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Paramètres" sheetId="2" state="visible" r:id="rId2"/>
    <sheet xmlns:r="http://schemas.openxmlformats.org/officeDocument/2006/relationships" name="Journal" sheetId="3" state="visible" r:id="rId3"/>
    <sheet xmlns:r="http://schemas.openxmlformats.org/officeDocument/2006/relationships" name="Visites_Contacts" sheetId="4" state="visible" r:id="rId4"/>
    <sheet xmlns:r="http://schemas.openxmlformats.org/officeDocument/2006/relationships" name="Commandes" sheetId="5" state="visible" r:id="rId5"/>
    <sheet xmlns:r="http://schemas.openxmlformats.org/officeDocument/2006/relationships" name="Encaissements" sheetId="6" state="visible" r:id="rId6"/>
    <sheet xmlns:r="http://schemas.openxmlformats.org/officeDocument/2006/relationships" name="Clients" sheetId="7" state="visible" r:id="rId7"/>
    <sheet xmlns:r="http://schemas.openxmlformats.org/officeDocument/2006/relationships" name="Planning" sheetId="8" state="visible" r:id="rId8"/>
    <sheet xmlns:r="http://schemas.openxmlformats.org/officeDocument/2006/relationships" name="Stock" sheetId="9" state="visible" r:id="rId9"/>
    <sheet xmlns:r="http://schemas.openxmlformats.org/officeDocument/2006/relationships" name="Objectifs" sheetId="10" state="visible" r:id="rId10"/>
    <sheet xmlns:r="http://schemas.openxmlformats.org/officeDocument/2006/relationships" name="Bilans_Hebdo" sheetId="11" state="visible" r:id="rId11"/>
    <sheet xmlns:r="http://schemas.openxmlformats.org/officeDocument/2006/relationships" name="Fiche_Client" sheetId="12" state="visible" r:id="rId12"/>
    <sheet xmlns:r="http://schemas.openxmlformats.org/officeDocument/2006/relationships" name="Rapport_Jour" sheetId="13" state="visible" r:id="rId13"/>
    <sheet xmlns:r="http://schemas.openxmlformats.org/officeDocument/2006/relationships" name="Rapport_Semaine" sheetId="14" state="visible" r:id="rId14"/>
    <sheet xmlns:r="http://schemas.openxmlformats.org/officeDocument/2006/relationships" name="Plan_Mensuel" sheetId="15" state="visible" r:id="rId15"/>
    <sheet xmlns:r="http://schemas.openxmlformats.org/officeDocument/2006/relationships" name="Équipe" sheetId="16" state="visible" r:id="rId16"/>
    <sheet xmlns:r="http://schemas.openxmlformats.org/officeDocument/2006/relationships" name="Listes" sheetId="17" state="visible" r:id="rId17"/>
    <sheet xmlns:r="http://schemas.openxmlformats.org/officeDocument/2006/relationships" name="Correspondances" sheetId="18" state="visible" r:id="rId18"/>
    <sheet xmlns:r="http://schemas.openxmlformats.org/officeDocument/2006/relationships" name="Tableau_de_bord" sheetId="19" state="visible" r:id="rId19"/>
  </sheets>
  <definedNames>
    <definedName name="Commercial_Nom">'Paramètres'!$C$5</definedName>
    <definedName name="Commercial_Code">'Paramètres'!$C$6</definedName>
    <definedName name="Commercial_Fonction">'Paramètres'!$C$7</definedName>
    <definedName name="Commercial_Zone">'Paramètres'!$C$8</definedName>
    <definedName name="Commercial_Tel">'Paramètres'!$C$9</definedName>
    <definedName name="Commercial_Resp">'Paramètres'!$C$10</definedName>
    <definedName name="Commercial_Debut">'Paramètres'!$C$11</definedName>
    <definedName name="Commercial_Id">'Paramètres'!$C$12</definedName>
    <definedName name="P_JoursInactif">'Paramètres'!$C$15</definedName>
    <definedName name="P_JoursNonVisite">'Paramètres'!$C$16</definedName>
    <definedName name="Equipe_Code">'Paramètres'!$B$21:$B$35</definedName>
    <definedName name="Equipe_Nom">'Paramètres'!$C$21:$C$35</definedName>
    <definedName name="Equipe_Fonction">'Paramètres'!$D$21:$D$35</definedName>
    <definedName name="Equipe_Zone">'Paramètres'!$E$21:$E$35</definedName>
    <definedName name="Equipe_Tel">'Paramètres'!$F$21:$F$35</definedName>
    <definedName name="L_Equipe">OFFSET('Paramètres'!$B$21,0,0,MAX(1,COUNTA('Paramètres'!$B$21:$B$35)),1)</definedName>
    <definedName name="Jr_date">'Journal'!$A$6:$A$205</definedName>
    <definedName name="Jr_commercial">'Journal'!$B$6:$B$205</definedName>
    <definedName name="Jr_jour">'Journal'!$C$6:$C$205</definedName>
    <definedName name="Jr_semaine">'Journal'!$D$6:$D$205</definedName>
    <definedName name="Jr_debut">'Journal'!$E$6:$E$205</definedName>
    <definedName name="Jr_fin">'Journal'!$F$6:$F$205</definedName>
    <definedName name="Jr_zone">'Journal'!$G$6:$G$205</definedName>
    <definedName name="Jr_frais">'Journal'!$H$6:$H$205</definedName>
    <definedName name="Jr_amplitude">'Journal'!$I$6:$I$205</definedName>
    <definedName name="Jr_visites">'Journal'!$J$6:$J$205</definedName>
    <definedName name="Jr_contacts">'Journal'!$K$6:$K$205</definedName>
    <definedName name="Jr_prospects">'Journal'!$L$6:$L$205</definedName>
    <definedName name="Jr_nvxclients">'Journal'!$M$6:$M$205</definedName>
    <definedName name="Jr_cmdnb">'Journal'!$N$6:$N$205</definedName>
    <definedName name="Jr_cmdval">'Journal'!$O$6:$O$205</definedName>
    <definedName name="Jr_ca">'Journal'!$P$6:$P$205</definedName>
    <definedName name="Jr_encaisse">'Journal'!$Q$6:$Q$205</definedName>
    <definedName name="Jr_casses">'Journal'!$R$6:$R$205</definedName>
    <definedName name="Jr_forts">'Journal'!$S$6:$S$205</definedName>
    <definedName name="Jr_difficultes">'Journal'!$T$6:$T$205</definedName>
    <definedName name="Jr_soutien">'Journal'!$U$6:$U$205</definedName>
    <definedName name="Jr_demain">'Journal'!$V$6:$V$205</definedName>
    <definedName name="VC_num">'Visites_Contacts'!$A$6:$A$2005</definedName>
    <definedName name="VC_ref">'Visites_Contacts'!$B$6:$B$2005</definedName>
    <definedName name="VC_date">'Visites_Contacts'!$C$6:$C$2005</definedName>
    <definedName name="VC_heure">'Visites_Contacts'!$D$6:$D$2005</definedName>
    <definedName name="VC_type">'Visites_Contacts'!$E$6:$E$2005</definedName>
    <definedName name="VC_client">'Visites_Contacts'!$F$6:$F$2005</definedName>
    <definedName name="VC_objet">'Visites_Contacts'!$G$6:$G$2005</definedName>
    <definedName name="VC_resultat">'Visites_Contacts'!$H$6:$H$2005</definedName>
    <definedName name="VC_concurrent">'Visites_Contacts'!$I$6:$I$2005</definedName>
    <definedName name="VC_prixconc">'Visites_Contacts'!$J$6:$J$2005</definedName>
    <definedName name="VC_actiondate">'Visites_Contacts'!$K$6:$K$2005</definedName>
    <definedName name="VC_actiontexte">'Visites_Contacts'!$L$6:$L$2005</definedName>
    <definedName name="VC_lat">'Visites_Contacts'!$M$6:$M$2005</definedName>
    <definedName name="VC_lng">'Visites_Contacts'!$N$6:$N$2005</definedName>
    <definedName name="VC_notes">'Visites_Contacts'!$O$6:$O$2005</definedName>
    <definedName name="VC_commercial">'Visites_Contacts'!$P$6:$P$2005</definedName>
    <definedName name="VC_numclient">'Visites_Contacts'!$Q$6:$Q$2005</definedName>
    <definedName name="VC_cle">'Visites_Contacts'!$R$6:$R$2005</definedName>
    <definedName name="VC_code">'Visites_Contacts'!$S$6:$S$2005</definedName>
    <definedName name="VC_nomclient">'Visites_Contacts'!$T$6:$T$2005</definedName>
    <definedName name="VC_quartier">'Visites_Contacts'!$U$6:$U$2005</definedName>
    <definedName name="VC_semaine">'Visites_Contacts'!$V$6:$V$2005</definedName>
    <definedName name="Cmd_num">'Commandes'!$A$6:$A$2005</definedName>
    <definedName name="Cmd_ref">'Commandes'!$B$6:$B$2005</definedName>
    <definedName name="Cmd_date">'Commandes'!$C$6:$C$2005</definedName>
    <definedName name="Cmd_client">'Commandes'!$D$6:$D$2005</definedName>
    <definedName name="Cmd_type">'Commandes'!$E$6:$E$2005</definedName>
    <definedName name="Cmd_produit">'Commandes'!$F$6:$F$2005</definedName>
    <definedName name="Cmd_qte">'Commandes'!$G$6:$G$2005</definedName>
    <definedName name="Cmd_pu">'Commandes'!$H$6:$H$2005</definedName>
    <definedName name="Cmd_remise">'Commandes'!$I$6:$I$2005</definedName>
    <definedName name="Cmd_livprevue">'Commandes'!$J$6:$J$2005</definedName>
    <definedName name="Cmd_livreelle">'Commandes'!$K$6:$K$2005</definedName>
    <definedName name="Cmd_annulee">'Commandes'!$L$6:$L$2005</definedName>
    <definedName name="Cmd_paiement">'Commandes'!$M$6:$M$2005</definedName>
    <definedName name="Cmd_docref">'Commandes'!$N$6:$N$2005</definedName>
    <definedName name="Cmd_obs">'Commandes'!$O$6:$O$2005</definedName>
    <definedName name="Cmd_commercial">'Commandes'!$P$6:$P$2005</definedName>
    <definedName name="Cmd_bon">'Commandes'!$Q$6:$Q$2005</definedName>
    <definedName name="Cmd_statut">'Commandes'!$R$6:$R$2005</definedName>
    <definedName name="Cmd_unite">'Commandes'!$S$6:$S$2005</definedName>
    <definedName name="Cmd_prixref">'Commandes'!$T$6:$T$2005</definedName>
    <definedName name="Cmd_prix">'Commandes'!$U$6:$U$2005</definedName>
    <definedName name="Cmd_montant">'Commandes'!$V$6:$V$2005</definedName>
    <definedName name="Cmd_numclient">'Commandes'!$W$6:$W$2005</definedName>
    <definedName name="Cmd_cle">'Commandes'!$X$6:$X$2005</definedName>
    <definedName name="Cmd_code">'Commandes'!$Y$6:$Y$2005</definedName>
    <definedName name="Cmd_nomclient">'Commandes'!$Z$6:$Z$2005</definedName>
    <definedName name="Cmd_quartier">'Commandes'!$AA$6:$AA$2005</definedName>
    <definedName name="Cmd_dateca">'Commandes'!$AB$6:$AB$2005</definedName>
    <definedName name="Cmd_grp">'Commandes'!$AC$6:$AC$2005</definedName>
    <definedName name="Cmd_premiere">'Commandes'!$AD$6:$AD$2005</definedName>
    <definedName name="Cmd_venteunique">'Commandes'!$AE$6:$AE$2005</definedName>
    <definedName name="Cmd_semaine">'Commandes'!$AF$6:$AF$2005</definedName>
    <definedName name="Enc_num">'Encaissements'!$A$6:$A$1505</definedName>
    <definedName name="Enc_ref">'Encaissements'!$B$6:$B$1505</definedName>
    <definedName name="Enc_date">'Encaissements'!$C$6:$C$1505</definedName>
    <definedName name="Enc_client">'Encaissements'!$D$6:$D$1505</definedName>
    <definedName name="Enc_montant">'Encaissements'!$E$6:$E$1505</definedName>
    <definedName name="Enc_mode">'Encaissements'!$F$6:$F$1505</definedName>
    <definedName name="Enc_reference">'Encaissements'!$G$6:$G$1505</definedName>
    <definedName name="Enc_recu">'Encaissements'!$H$6:$H$1505</definedName>
    <definedName name="Enc_dateverse">'Encaissements'!$I$6:$I$1505</definedName>
    <definedName name="Enc_refverse">'Encaissements'!$J$6:$J$1505</definedName>
    <definedName name="Enc_obs">'Encaissements'!$K$6:$K$1505</definedName>
    <definedName name="Enc_commercial">'Encaissements'!$L$6:$L$1505</definedName>
    <definedName name="Enc_verse">'Encaissements'!$M$6:$M$1505</definedName>
    <definedName name="Enc_numclient">'Encaissements'!$N$6:$N$1505</definedName>
    <definedName name="Enc_cle">'Encaissements'!$O$6:$O$1505</definedName>
    <definedName name="Enc_code">'Encaissements'!$P$6:$P$1505</definedName>
    <definedName name="Enc_nomclient">'Encaissements'!$Q$6:$Q$1505</definedName>
    <definedName name="Enc_resteclient">'Encaissements'!$R$6:$R$1505</definedName>
    <definedName name="Enc_semaine">'Encaissements'!$S$6:$S$1505</definedName>
    <definedName name="Cl_num">'Clients'!$A$6:$A$605</definedName>
    <definedName name="Cl_code">'Clients'!$B$6:$B$605</definedName>
    <definedName name="Cl_nom">'Clients'!$C$6:$C$605</definedName>
    <definedName name="Cl_statut">'Clients'!$D$6:$D$605</definedName>
    <definedName name="Cl_type">'Clients'!$E$6:$E$605</definedName>
    <definedName name="Cl_interlocuteur">'Clients'!$F$6:$F$605</definedName>
    <definedName name="Cl_tel">'Clients'!$G$6:$G$605</definedName>
    <definedName name="Cl_tel2">'Clients'!$H$6:$H$605</definedName>
    <definedName name="Cl_quartier">'Clients'!$I$6:$I$605</definedName>
    <definedName name="Cl_repere">'Clients'!$J$6:$J$605</definedName>
    <definedName name="Cl_lat">'Clients'!$K$6:$K$605</definedName>
    <definedName name="Cl_lng">'Clients'!$L$6:$L$605</definedName>
    <definedName name="Cl_source">'Clients'!$M$6:$M$605</definedName>
    <definedName name="Cl_etape">'Clients'!$N$6:$N$605</definedName>
    <definedName name="Cl_creation">'Clients'!$O$6:$O$605</definedName>
    <definedName name="Cl_produit">'Clients'!$P$6:$P$605</definedName>
    <definedName name="Cl_potentiel">'Clients'!$Q$6:$Q$605</definedName>
    <definedName name="Cl_unite">'Clients'!$R$6:$R$605</definedName>
    <definedName name="Cl_paiement">'Clients'!$S$6:$S$605</definedName>
    <definedName name="Cl_differe">'Clients'!$T$6:$T$605</definedName>
    <definedName name="Cl_perdu">'Clients'!$U$6:$U$605</definedName>
    <definedName name="Cl_motifperte">'Clients'!$V$6:$V$605</definedName>
    <definedName name="Cl_obs">'Clients'!$W$6:$W$605</definedName>
    <definedName name="Cl_commercial">'Clients'!$X$6:$X$605</definedName>
    <definedName name="Cl_nature">'Clients'!$Y$6:$Y$605</definedName>
    <definedName name="Cl_nbvisites">'Clients'!$Z$6:$Z$605</definedName>
    <definedName name="Cl_dernier">'Clients'!$AA$6:$AA$605</definedName>
    <definedName name="Cl_actiondate">'Clients'!$AB$6:$AB$605</definedName>
    <definedName name="Cl_actiontexte">'Clients'!$AC$6:$AC$605</definedName>
    <definedName name="Cl_vente1">'Clients'!$AD$6:$AD$605</definedName>
    <definedName name="Cl_dernierevente">'Clients'!$AE$6:$AE$605</definedName>
    <definedName name="Cl_ca">'Clients'!$AF$6:$AF$605</definedName>
    <definedName name="Cl_encaisse">'Clients'!$AG$6:$AG$605</definedName>
    <definedName name="Cl_reste">'Clients'!$AH$6:$AH$605</definedName>
    <definedName name="Cl_alerte">'Clients'!$AI$6:$AI$605</definedName>
    <definedName name="Cl_label">'Clients'!$AJ$6:$AJ$605</definedName>
    <definedName name="Cl_cle">'Clients'!$AK$6:$AK$605</definedName>
    <definedName name="Cl_clecontact">'Clients'!$AL$6:$AL$605</definedName>
    <definedName name="Cl_cleaction">'Clients'!$AM$6:$AM$605</definedName>
    <definedName name="Cl_clecca">'Clients'!$AN$6:$AN$605</definedName>
    <definedName name="Pl_num">'Planning'!$A$6:$A$605</definedName>
    <definedName name="Pl_mois">'Planning'!$B$6:$B$605</definedName>
    <definedName name="Pl_semmois">'Planning'!$C$6:$C$605</definedName>
    <definedName name="Pl_jour">'Planning'!$D$6:$D$605</definedName>
    <definedName name="Pl_client">'Planning'!$E$6:$E$605</definedName>
    <definedName name="Pl_objet">'Planning'!$F$6:$F$605</definedName>
    <definedName name="Pl_remarque">'Planning'!$G$6:$G$605</definedName>
    <definedName name="Pl_commercial">'Planning'!$H$6:$H$605</definedName>
    <definedName name="Pl_numclient">'Planning'!$I$6:$I$605</definedName>
    <definedName name="Pl_cle">'Planning'!$J$6:$J$605</definedName>
    <definedName name="Pl_code">'Planning'!$K$6:$K$605</definedName>
    <definedName name="Pl_nomclient">'Planning'!$L$6:$L$605</definedName>
    <definedName name="Pl_moisref">'Planning'!$M$6:$M$605</definedName>
    <definedName name="Pl_quartier">'Planning'!$N$6:$N$605</definedName>
    <definedName name="Pl_tel">'Planning'!$O$6:$O$605</definedName>
    <definedName name="Pl_potentiel">'Planning'!$P$6:$P$605</definedName>
    <definedName name="Pl_realise">'Planning'!$Q$6:$Q$605</definedName>
    <definedName name="Stk_num">'Stock'!$A$6:$A$1505</definedName>
    <definedName name="Stk_ref">'Stock'!$B$6:$B$1505</definedName>
    <definedName name="Stk_date">'Stock'!$C$6:$C$1505</definedName>
    <definedName name="Stk_mouvement">'Stock'!$D$6:$D$1505</definedName>
    <definedName name="Stk_produit">'Stock'!$E$6:$E$1505</definedName>
    <definedName name="Stk_qte">'Stock'!$F$6:$F$1505</definedName>
    <definedName name="Stk_cause">'Stock'!$G$6:$G$1505</definedName>
    <definedName name="Stk_photo">'Stock'!$H$6:$H$1505</definedName>
    <definedName name="Stk_valeursaisie">'Stock'!$I$6:$I$1505</definedName>
    <definedName name="Stk_doc">'Stock'!$J$6:$J$1505</definedName>
    <definedName name="Stk_obs">'Stock'!$K$6:$K$1505</definedName>
    <definedName name="Stk_commercial">'Stock'!$L$6:$L$1505</definedName>
    <definedName name="Stk_unite">'Stock'!$M$6:$M$1505</definedName>
    <definedName name="Stk_prixref">'Stock'!$N$6:$N$1505</definedName>
    <definedName name="Stk_valeur">'Stock'!$O$6:$O$1505</definedName>
    <definedName name="Stk_effet">'Stock'!$P$6:$P$1505</definedName>
    <definedName name="Stk_semaine">'Stock'!$Q$6:$Q$1505</definedName>
    <definedName name="Obj_num">'Objectifs'!$A$6:$A$205</definedName>
    <definedName name="Obj_commercial">'Objectifs'!$B$6:$B$205</definedName>
    <definedName name="Obj_metrique">'Objectifs'!$C$6:$C$205</definedName>
    <definedName name="Obj_produit">'Objectifs'!$D$6:$D$205</definedName>
    <definedName name="Obj_periode">'Objectifs'!$E$6:$E$205</definedName>
    <definedName name="Obj_debut">'Objectifs'!$F$6:$F$205</definedName>
    <definedName name="Obj_valeur">'Objectifs'!$G$6:$G$205</definedName>
    <definedName name="Obj_commentaire">'Objectifs'!$H$6:$H$205</definedName>
    <definedName name="Obj_fin">'Objectifs'!$I$6:$I$205</definedName>
    <definedName name="Obj_duree">'Objectifs'!$J$6:$J$205</definedName>
    <definedName name="Bil_lundi">'Bilans_Hebdo'!$A$6:$A$85</definedName>
    <definedName name="Bil_commercial">'Bilans_Hebdo'!$B$6:$B$85</definedName>
    <definedName name="Bil_semaine">'Bilans_Hebdo'!$C$6:$C$85</definedName>
    <definedName name="Bil_visites">'Bilans_Hebdo'!$D$6:$D$85</definedName>
    <definedName name="Bil_nvxclients">'Bilans_Hebdo'!$E$6:$E$85</definedName>
    <definedName name="Bil_ca">'Bilans_Hebdo'!$F$6:$F$85</definedName>
    <definedName name="Bil_encaisse">'Bilans_Hebdo'!$G$6:$G$85</definedName>
    <definedName name="Bil_reussites">'Bilans_Hebdo'!$H$6:$H$85</definedName>
    <definedName name="Bil_difficultes">'Bilans_Hebdo'!$I$6:$I$85</definedName>
    <definedName name="Bil_besoins">'Bilans_Hebdo'!$J$6:$J$85</definedName>
    <definedName name="Bil_priorites">'Bilans_Hebdo'!$K$6:$K$85</definedName>
    <definedName name="Bil_marche">'Bilans_Hebdo'!$L$6:$L$85</definedName>
    <definedName name="Bil_valide">'Bilans_Hebdo'!$M$6:$M$85</definedName>
    <definedName name="Bil_comresp">'Bilans_Hebdo'!$N$6:$N$85</definedName>
    <definedName name="L_Clients">OFFSET('Clients'!$AJ$6,0,0,MAX(1,COUNTIF('Clients'!$C$6:$C$605,"?*")),1)</definedName>
    <definedName name="L_ResultatsClient">OFFSET('Fiche_Client'!$A$9,0,0,MAX(1,COUNTIF('Fiche_Client'!$A$9:$A$23,"?*")),1)</definedName>
    <definedName name="L_Fonction">OFFSET('Listes'!$A$6,0,0,MAX(1,COUNTA('Listes'!$A$6:$A$45)),1)</definedName>
    <definedName name="L_TypeClient">OFFSET('Listes'!$D$6,0,0,MAX(1,COUNTA('Listes'!$D$6:$D$45)),1)</definedName>
    <definedName name="L_Source">OFFSET('Listes'!$G$6,0,0,MAX(1,COUNTA('Listes'!$G$6:$G$45)),1)</definedName>
    <definedName name="L_Statut">OFFSET('Listes'!$J$6,0,0,MAX(1,COUNTA('Listes'!$J$6:$J$45)),1)</definedName>
    <definedName name="L_Etape">OFFSET('Listes'!$M$6,0,0,MAX(1,COUNTA('Listes'!$M$6:$M$45)),1)</definedName>
    <definedName name="L_TypeContact">OFFSET('Listes'!$P$6,0,0,MAX(1,COUNTA('Listes'!$P$6:$P$45)),1)</definedName>
    <definedName name="L_ObjetVisite">OFFSET('Listes'!$S$6,0,0,MAX(1,COUNTA('Listes'!$S$6:$S$45)),1)</definedName>
    <definedName name="L_Resultat">OFFSET('Listes'!$V$6,0,0,MAX(1,COUNTA('Listes'!$V$6:$V$45)),1)</definedName>
    <definedName name="L_MotifPerte">OFFSET('Listes'!$Y$6,0,0,MAX(1,COUNTA('Listes'!$Y$6:$Y$45)),1)</definedName>
    <definedName name="L_Unite">OFFSET('Listes'!$AB$6,0,0,MAX(1,COUNTA('Listes'!$AB$6:$AB$45)),1)</definedName>
    <definedName name="L_Paiement">OFFSET('Listes'!$AE$6,0,0,MAX(1,COUNTA('Listes'!$AE$6:$AE$45)),1)</definedName>
    <definedName name="L_TypeOp">OFFSET('Listes'!$AH$6,0,0,MAX(1,COUNTA('Listes'!$AH$6:$AH$45)),1)</definedName>
    <definedName name="L_StatutCmd">OFFSET('Listes'!$AK$6,0,0,MAX(1,COUNTA('Listes'!$AK$6:$AK$45)),1)</definedName>
    <definedName name="L_PaiementPrevu">OFFSET('Listes'!$AN$6,0,0,MAX(1,COUNTA('Listes'!$AN$6:$AN$45)),1)</definedName>
    <definedName name="L_Mouvement">OFFSET('Listes'!$AQ$6,0,0,MAX(1,COUNTA('Listes'!$AQ$6:$AQ$45)),1)</definedName>
    <definedName name="L_Cause">OFFSET('Listes'!$AT$6,0,0,MAX(1,COUNTA('Listes'!$AT$6:$AT$45)),1)</definedName>
    <definedName name="L_Zone">OFFSET('Listes'!$AW$6,0,0,MAX(1,COUNTA('Listes'!$AW$6:$AW$45)),1)</definedName>
    <definedName name="L_Metrique">OFFSET('Listes'!$AZ$6,0,0,MAX(1,COUNTA('Listes'!$AZ$6:$AZ$45)),1)</definedName>
    <definedName name="L_TypePeriode">OFFSET('Listes'!$BC$6,0,0,MAX(1,COUNTA('Listes'!$BC$6:$BC$45)),1)</definedName>
    <definedName name="L_OuiNon">OFFSET('Listes'!$BF$6,0,0,MAX(1,COUNTA('Listes'!$BF$6:$BF$45)),1)</definedName>
    <definedName name="L_SemMois">OFFSET('Listes'!$BI$6,0,0,MAX(1,COUNTA('Listes'!$BI$6:$BI$45)),1)</definedName>
    <definedName name="L_Produit">OFFSET('Listes'!$BL$6,0,0,MAX(1,COUNTA('Listes'!$BL$6:$BL$45)),1)</definedName>
    <definedName name="T_Produits">'Listes'!$BL$6:$BO$45</definedName>
    <definedName name="L_DatesPassees">'Listes'!$BQ$6:$BQ$65</definedName>
    <definedName name="L_DatesAvenir">'Listes'!$BS$6:$BS$95</definedName>
    <definedName name="L_LundisPasses">'Listes'!$BU$6:$BU$35</definedName>
    <definedName name="L_LundisAvenir">'Listes'!$BW$6:$BW$31</definedName>
    <definedName name="L_Mois">'Listes'!$BY$6:$BY$24</definedName>
    <definedName name="L_Heures">'Listes'!$CA$6:$CA$74</definedName>
    <definedName name="L_Quantites">'Listes'!$CC$6:$CC$29</definedName>
    <definedName name="L_Frais">'Listes'!$CE$6:$CE$17</definedName>
    <definedName name="L_Remises">'Listes'!$CG$6:$CG$13</definedName>
    <definedName name="_xlnm.Print_Area" localSheetId="0">'LISEZ-MOI'!$A$1:$G$97</definedName>
    <definedName name="_xlnm.Print_Area" localSheetId="1">'Paramètres'!$A$1:$F$36</definedName>
    <definedName name="_xlnm._FilterDatabase" localSheetId="2" hidden="1">'Journal'!$A$5:$V$205</definedName>
    <definedName name="_xlnm.Print_Titles" localSheetId="2">'Journal'!$5:$5</definedName>
    <definedName name="_xlnm._FilterDatabase" localSheetId="3" hidden="1">'Visites_Contacts'!$A$5:$V$2005</definedName>
    <definedName name="_xlnm.Print_Titles" localSheetId="3">'Visites_Contacts'!$5:$5</definedName>
    <definedName name="_xlnm._FilterDatabase" localSheetId="4" hidden="1">'Commandes'!$A$5:$AF$2005</definedName>
    <definedName name="_xlnm.Print_Titles" localSheetId="4">'Commandes'!$5:$5</definedName>
    <definedName name="_xlnm._FilterDatabase" localSheetId="5" hidden="1">'Encaissements'!$A$5:$S$1505</definedName>
    <definedName name="_xlnm.Print_Titles" localSheetId="5">'Encaissements'!$5:$5</definedName>
    <definedName name="_xlnm._FilterDatabase" localSheetId="6" hidden="1">'Clients'!$A$5:$AN$605</definedName>
    <definedName name="_xlnm.Print_Titles" localSheetId="6">'Clients'!$5:$5</definedName>
    <definedName name="_xlnm._FilterDatabase" localSheetId="7" hidden="1">'Planning'!$A$5:$Q$605</definedName>
    <definedName name="_xlnm.Print_Titles" localSheetId="7">'Planning'!$5:$5</definedName>
    <definedName name="_xlnm._FilterDatabase" localSheetId="8" hidden="1">'Stock'!$A$5:$Q$1505</definedName>
    <definedName name="_xlnm.Print_Titles" localSheetId="8">'Stock'!$5:$5</definedName>
    <definedName name="_xlnm._FilterDatabase" localSheetId="9" hidden="1">'Objectifs'!$A$5:$J$205</definedName>
    <definedName name="_xlnm.Print_Titles" localSheetId="9">'Objectifs'!$5:$5</definedName>
    <definedName name="_xlnm._FilterDatabase" localSheetId="10" hidden="1">'Bilans_Hebdo'!$A$5:$N$85</definedName>
    <definedName name="_xlnm.Print_Titles" localSheetId="10">'Bilans_Hebdo'!$5:$5</definedName>
    <definedName name="_xlnm.Print_Area" localSheetId="11">'Fiche_Client'!$A$1:$H$63</definedName>
    <definedName name="_xlnm.Print_Area" localSheetId="12">'Rapport_Jour'!$A$1:$F$93</definedName>
    <definedName name="_xlnm.Print_Area" localSheetId="13">'Rapport_Semaine'!$A$1:$J$67</definedName>
    <definedName name="_xlnm.Print_Area" localSheetId="14">'Plan_Mensuel'!$A$1:$F$27</definedName>
    <definedName name="_xlnm.Print_Area" localSheetId="15">'Équipe'!$A$1:$M$22</definedName>
    <definedName name="_xlnm._FilterDatabase" localSheetId="17" hidden="1">'Correspondances'!$A$5:$F$198</definedName>
    <definedName name="_xlnm.Print_Area" localSheetId="18">'Tableau_de_bord'!$A$1:$L$92</definedName>
  </definedNames>
  <calcPr calcId="124519" fullCalcOnLoad="1"/>
</workbook>
</file>

<file path=xl/styles.xml><?xml version="1.0" encoding="utf-8"?>
<styleSheet xmlns="http://schemas.openxmlformats.org/spreadsheetml/2006/main">
  <numFmts count="9">
    <numFmt numFmtId="164" formatCode="dd/mm/yyyy"/>
    <numFmt numFmtId="165" formatCode="hh:mm"/>
    <numFmt numFmtId="166" formatCode="0.0"/>
    <numFmt numFmtId="167" formatCode="0.000000"/>
    <numFmt numFmtId="168" formatCode="dd/mm/yyyy;;"/>
    <numFmt numFmtId="169" formatCode="0.00000"/>
    <numFmt numFmtId="170" formatCode="mmmm yyyy"/>
    <numFmt numFmtId="171" formatCode="[&lt;1000]General;#,##0"/>
    <numFmt numFmtId="172" formatCode="ddd dd/mm/yyyy"/>
  </numFmts>
  <fonts count="19">
    <font>
      <name val="Calibri"/>
      <family val="2"/>
      <color theme="1"/>
      <sz val="11"/>
      <scheme val="minor"/>
    </font>
    <font>
      <name val="Calibri"/>
      <b val="1"/>
      <color rgb="001F4D3A"/>
      <sz val="16"/>
    </font>
    <font>
      <name val="Calibri"/>
      <i val="1"/>
      <color rgb="005F6B73"/>
      <sz val="10"/>
    </font>
    <font>
      <name val="Calibri"/>
      <b val="1"/>
      <color rgb="002F6EBA"/>
      <sz val="10"/>
      <u val="single"/>
    </font>
    <font>
      <name val="Calibri"/>
      <b val="1"/>
      <color rgb="00FFFFFF"/>
      <sz val="11"/>
    </font>
    <font>
      <name val="Calibri"/>
      <b val="1"/>
      <color rgb="001F4D3A"/>
      <sz val="10"/>
    </font>
    <font>
      <name val="Calibri"/>
      <b val="1"/>
      <color rgb="00000000"/>
      <sz val="10"/>
    </font>
    <font>
      <name val="Calibri"/>
      <i val="1"/>
      <color rgb="005F6B73"/>
      <sz val="9"/>
    </font>
    <font>
      <name val="Calibri"/>
      <b val="1"/>
      <color rgb="005F6B73"/>
      <sz val="10"/>
    </font>
    <font>
      <name val="Calibri"/>
      <b val="1"/>
      <color rgb="00FFFFFF"/>
      <sz val="10"/>
    </font>
    <font>
      <name val="Calibri"/>
      <color rgb="00000000"/>
      <sz val="10"/>
    </font>
    <font>
      <name val="Calibri"/>
      <color rgb="00000000"/>
      <sz val="9"/>
    </font>
    <font>
      <name val="Calibri"/>
      <color rgb="005F6B73"/>
      <sz val="9"/>
    </font>
    <font>
      <name val="Calibri"/>
      <color rgb="009C0006"/>
      <sz val="9"/>
    </font>
    <font>
      <name val="Calibri"/>
      <i val="1"/>
      <color rgb="005F6B73"/>
      <sz val="8"/>
    </font>
    <font>
      <name val="Calibri"/>
      <color rgb="005F6B73"/>
      <sz val="10"/>
    </font>
    <font>
      <name val="Calibri"/>
      <b val="1"/>
      <color rgb="001F4D3A"/>
      <sz val="11"/>
    </font>
    <font>
      <name val="Calibri"/>
      <b val="1"/>
      <color rgb="00000000"/>
      <sz val="9"/>
    </font>
    <font>
      <name val="Calibri"/>
      <b val="1"/>
      <color rgb="001F4D3A"/>
      <sz val="20"/>
    </font>
  </fonts>
  <fills count="10">
    <fill>
      <patternFill/>
    </fill>
    <fill>
      <patternFill patternType="gray125"/>
    </fill>
    <fill>
      <patternFill patternType="solid">
        <fgColor rgb="002E7D5B"/>
        <bgColor rgb="002E7D5B"/>
      </patternFill>
    </fill>
    <fill>
      <patternFill patternType="solid">
        <fgColor rgb="00FFF4CC"/>
        <bgColor rgb="00FFF4CC"/>
      </patternFill>
    </fill>
    <fill>
      <patternFill patternType="solid">
        <fgColor rgb="00F1F3F4"/>
        <bgColor rgb="00F1F3F4"/>
      </patternFill>
    </fill>
    <fill>
      <patternFill patternType="solid">
        <fgColor rgb="005F6B73"/>
        <bgColor rgb="005F6B73"/>
      </patternFill>
    </fill>
    <fill>
      <patternFill patternType="solid">
        <fgColor rgb="00FFFFFF"/>
        <bgColor rgb="00FFFFFF"/>
      </patternFill>
    </fill>
    <fill>
      <patternFill patternType="solid">
        <fgColor rgb="00FFC7CE"/>
        <bgColor rgb="00FFC7CE"/>
      </patternFill>
    </fill>
    <fill>
      <patternFill patternType="solid">
        <fgColor rgb="001F4D3A"/>
        <bgColor rgb="001F4D3A"/>
      </patternFill>
    </fill>
    <fill>
      <patternFill patternType="solid">
        <fgColor rgb="00D9E8DF"/>
        <bgColor rgb="00D9E8DF"/>
      </patternFill>
    </fill>
  </fills>
  <borders count="6">
    <border>
      <left/>
      <right/>
      <top/>
      <bottom/>
      <diagonal/>
    </border>
    <border>
      <left style="thin">
        <color rgb="00C9CED2"/>
      </left>
      <right style="thin">
        <color rgb="00C9CED2"/>
      </right>
      <top style="thin">
        <color rgb="00C9CED2"/>
      </top>
      <bottom style="thin">
        <color rgb="00C9CED2"/>
      </bottom>
    </border>
    <border>
      <left/>
      <right/>
      <top style="thin">
        <color rgb="00C9CED2"/>
      </top>
      <bottom/>
      <diagonal/>
    </border>
    <border>
      <left/>
      <right style="thin">
        <color rgb="00C9CED2"/>
      </right>
      <top style="thin">
        <color rgb="00C9CED2"/>
      </top>
      <bottom/>
      <diagonal/>
    </border>
    <border>
      <left/>
      <right/>
      <top style="thin">
        <color rgb="00C9CED2"/>
      </top>
      <bottom style="thin">
        <color rgb="00C9CED2"/>
      </bottom>
      <diagonal/>
    </border>
    <border>
      <left/>
      <right style="thin">
        <color rgb="00C9CED2"/>
      </right>
      <top style="thin">
        <color rgb="00C9CED2"/>
      </top>
      <bottom style="thin">
        <color rgb="00C9CED2"/>
      </bottom>
      <diagonal/>
    </border>
  </borders>
  <cellStyleXfs count="1">
    <xf numFmtId="0" fontId="0" fillId="0" borderId="0"/>
  </cellStyleXfs>
  <cellXfs count="115">
    <xf numFmtId="0" fontId="0" fillId="0" borderId="0" pivotButton="0" quotePrefix="0" xfId="0"/>
    <xf numFmtId="0" fontId="18" fillId="0" borderId="0" pivotButton="0" quotePrefix="0" xfId="0"/>
    <xf numFmtId="0" fontId="2" fillId="0" borderId="0" pivotButton="0" quotePrefix="0" xfId="0"/>
    <xf numFmtId="0" fontId="4" fillId="2" borderId="0" applyAlignment="1" pivotButton="0" quotePrefix="0" xfId="0">
      <alignment horizontal="left" vertical="center" indent="1"/>
    </xf>
    <xf numFmtId="0" fontId="0" fillId="2" borderId="0" pivotButton="0" quotePrefix="0" xfId="0"/>
    <xf numFmtId="0" fontId="10" fillId="0" borderId="0" applyAlignment="1" pivotButton="0" quotePrefix="0" xfId="0">
      <alignment vertical="center" wrapText="1" indent="1"/>
    </xf>
    <xf numFmtId="0" fontId="6" fillId="0" borderId="0" applyAlignment="1" pivotButton="0" quotePrefix="0" xfId="0">
      <alignment vertical="center" wrapText="1" indent="1"/>
    </xf>
    <xf numFmtId="0" fontId="9" fillId="5" borderId="1" applyAlignment="1" pivotButton="0" quotePrefix="0" xfId="0">
      <alignment horizontal="center" vertical="center" wrapText="1"/>
    </xf>
    <xf numFmtId="0" fontId="6" fillId="0" borderId="1" applyAlignment="1" pivotButton="0" quotePrefix="0" xfId="0">
      <alignment vertical="center" wrapText="1"/>
    </xf>
    <xf numFmtId="0" fontId="10" fillId="0" borderId="1" applyAlignment="1" pivotButton="0" quotePrefix="0" xfId="0">
      <alignment vertical="center" wrapText="1"/>
    </xf>
    <xf numFmtId="0" fontId="5" fillId="0" borderId="0" applyAlignment="1" pivotButton="0" quotePrefix="0" xfId="0">
      <alignment vertical="center" wrapText="1" indent="1"/>
    </xf>
    <xf numFmtId="0" fontId="0" fillId="0" borderId="4" pivotButton="0" quotePrefix="0" xfId="0"/>
    <xf numFmtId="0" fontId="0" fillId="0" borderId="5" pivotButton="0" quotePrefix="0" xfId="0"/>
    <xf numFmtId="0" fontId="3" fillId="0" borderId="1" applyAlignment="1" pivotButton="0" quotePrefix="0" xfId="0">
      <alignment vertical="center" wrapText="1"/>
    </xf>
    <xf numFmtId="0" fontId="15" fillId="0" borderId="0" applyAlignment="1" pivotButton="0" quotePrefix="0" xfId="0">
      <alignment vertical="center" wrapText="1" indent="1"/>
    </xf>
    <xf numFmtId="0" fontId="1" fillId="0" borderId="0" pivotButton="0" quotePrefix="0" xfId="0"/>
    <xf numFmtId="0" fontId="3" fillId="0" borderId="0" pivotButton="0" quotePrefix="0" xfId="0"/>
    <xf numFmtId="0" fontId="5" fillId="0" borderId="1" pivotButton="0" quotePrefix="0" xfId="0"/>
    <xf numFmtId="0" fontId="6" fillId="3" borderId="1" pivotButton="0" quotePrefix="0" xfId="0"/>
    <xf numFmtId="0" fontId="7" fillId="0" borderId="0" pivotButton="0" quotePrefix="0" xfId="0"/>
    <xf numFmtId="49" fontId="6" fillId="3" borderId="1" pivotButton="0" quotePrefix="0" xfId="0"/>
    <xf numFmtId="164" fontId="6" fillId="3" borderId="1" pivotButton="0" quotePrefix="0" xfId="0"/>
    <xf numFmtId="0" fontId="8" fillId="4" borderId="1" pivotButton="0" quotePrefix="0" xfId="0"/>
    <xf numFmtId="0" fontId="6" fillId="3" borderId="1" applyAlignment="1" pivotButton="0" quotePrefix="0" xfId="0">
      <alignment horizontal="left"/>
    </xf>
    <xf numFmtId="49" fontId="10" fillId="3" borderId="1" pivotButton="0" quotePrefix="0" xfId="0"/>
    <xf numFmtId="0" fontId="10" fillId="6" borderId="1" pivotButton="0" quotePrefix="0" xfId="0"/>
    <xf numFmtId="49" fontId="10" fillId="6" borderId="1" pivotButton="0" quotePrefix="0" xfId="0"/>
    <xf numFmtId="0" fontId="11" fillId="0" borderId="1" applyAlignment="1" pivotButton="0" quotePrefix="0" xfId="0">
      <alignment horizontal="center" vertical="center" shrinkToFit="1"/>
    </xf>
    <xf numFmtId="0" fontId="12" fillId="4" borderId="1" applyAlignment="1" pivotButton="0" quotePrefix="0" xfId="0">
      <alignment horizontal="center" vertical="center" shrinkToFit="1"/>
    </xf>
    <xf numFmtId="0" fontId="13" fillId="7" borderId="1" applyAlignment="1" pivotButton="0" quotePrefix="0" xfId="0">
      <alignment horizontal="center" vertical="center" shrinkToFit="1"/>
    </xf>
    <xf numFmtId="0" fontId="14" fillId="0" borderId="0" applyAlignment="1" pivotButton="0" quotePrefix="0" xfId="0">
      <alignment horizontal="center" vertical="center" wrapText="1"/>
    </xf>
    <xf numFmtId="0" fontId="9" fillId="8" borderId="1" applyAlignment="1" pivotButton="0" quotePrefix="0" xfId="0">
      <alignment horizontal="center" vertical="center" wrapText="1"/>
    </xf>
    <xf numFmtId="164" fontId="10" fillId="0" borderId="1" applyAlignment="1" pivotButton="0" quotePrefix="0" xfId="0">
      <alignment horizontal="center" vertical="center"/>
    </xf>
    <xf numFmtId="0" fontId="15" fillId="4" borderId="1" applyAlignment="1" pivotButton="0" quotePrefix="0" xfId="0">
      <alignment vertical="center"/>
    </xf>
    <xf numFmtId="0" fontId="15" fillId="4" borderId="1" applyAlignment="1" pivotButton="0" quotePrefix="0" xfId="0">
      <alignment horizontal="center" vertical="center"/>
    </xf>
    <xf numFmtId="165" fontId="10" fillId="0" borderId="1" applyAlignment="1" pivotButton="0" quotePrefix="0" xfId="0">
      <alignment horizontal="center" vertical="center"/>
    </xf>
    <xf numFmtId="0" fontId="10" fillId="0" borderId="1" applyAlignment="1" pivotButton="0" quotePrefix="0" xfId="0">
      <alignment vertical="center"/>
    </xf>
    <xf numFmtId="3" fontId="10" fillId="0" borderId="1" applyAlignment="1" pivotButton="0" quotePrefix="0" xfId="0">
      <alignment vertical="center"/>
    </xf>
    <xf numFmtId="166" fontId="15" fillId="4" borderId="1" applyAlignment="1" pivotButton="0" quotePrefix="0" xfId="0">
      <alignment horizontal="center" vertical="center"/>
    </xf>
    <xf numFmtId="1" fontId="15" fillId="4" borderId="1" applyAlignment="1" pivotButton="0" quotePrefix="0" xfId="0">
      <alignment horizontal="center" vertical="center"/>
    </xf>
    <xf numFmtId="3" fontId="15" fillId="4" borderId="1" applyAlignment="1" pivotButton="0" quotePrefix="0" xfId="0">
      <alignment vertical="center"/>
    </xf>
    <xf numFmtId="167" fontId="10" fillId="0" borderId="1" applyAlignment="1" pivotButton="0" quotePrefix="0" xfId="0">
      <alignment vertical="center"/>
    </xf>
    <xf numFmtId="0" fontId="10" fillId="0" borderId="1" applyAlignment="1" pivotButton="0" quotePrefix="0" xfId="0">
      <alignment horizontal="right" vertical="center"/>
    </xf>
    <xf numFmtId="0" fontId="10" fillId="0" borderId="1" applyAlignment="1" pivotButton="0" quotePrefix="0" xfId="0">
      <alignment horizontal="center" vertical="center"/>
    </xf>
    <xf numFmtId="49" fontId="10" fillId="0" borderId="1" applyAlignment="1" pivotButton="0" quotePrefix="0" xfId="0">
      <alignment vertical="center"/>
    </xf>
    <xf numFmtId="168" fontId="15" fillId="4" borderId="1" applyAlignment="1" pivotButton="0" quotePrefix="0" xfId="0">
      <alignment horizontal="center" vertical="center"/>
    </xf>
    <xf numFmtId="164" fontId="15" fillId="4" borderId="1" applyAlignment="1" pivotButton="0" quotePrefix="0" xfId="0">
      <alignment horizontal="center" vertical="center"/>
    </xf>
    <xf numFmtId="169" fontId="15" fillId="4" borderId="1" applyAlignment="1" pivotButton="0" quotePrefix="0" xfId="0">
      <alignment vertical="center"/>
    </xf>
    <xf numFmtId="167" fontId="15" fillId="4" borderId="1" applyAlignment="1" pivotButton="0" quotePrefix="0" xfId="0">
      <alignment vertical="center"/>
    </xf>
    <xf numFmtId="170" fontId="10" fillId="0" borderId="1" applyAlignment="1" pivotButton="0" quotePrefix="0" xfId="0">
      <alignment horizontal="center" vertical="center"/>
    </xf>
    <xf numFmtId="0" fontId="15" fillId="4" borderId="1" applyAlignment="1" pivotButton="0" quotePrefix="0" xfId="0">
      <alignment horizontal="right" vertical="center"/>
    </xf>
    <xf numFmtId="171" fontId="10" fillId="0" borderId="1" applyAlignment="1" pivotButton="0" quotePrefix="0" xfId="0">
      <alignment vertical="center"/>
    </xf>
    <xf numFmtId="0" fontId="5" fillId="0" borderId="0" applyAlignment="1" pivotButton="0" quotePrefix="0" xfId="0">
      <alignment horizontal="left" vertical="center"/>
    </xf>
    <xf numFmtId="0" fontId="6" fillId="3" borderId="1" applyAlignment="1" applyProtection="1" pivotButton="0" quotePrefix="0" xfId="0">
      <alignment horizontal="center" vertical="center"/>
      <protection locked="0" hidden="0"/>
    </xf>
    <xf numFmtId="0" fontId="0" fillId="3" borderId="4" applyProtection="1" pivotButton="0" quotePrefix="0" xfId="0">
      <protection locked="0" hidden="0"/>
    </xf>
    <xf numFmtId="0" fontId="0" fillId="3" borderId="5" applyProtection="1" pivotButton="0" quotePrefix="0" xfId="0">
      <protection locked="0" hidden="0"/>
    </xf>
    <xf numFmtId="0" fontId="12" fillId="0" borderId="1" applyAlignment="1" pivotButton="0" quotePrefix="0" xfId="0">
      <alignment vertical="center"/>
    </xf>
    <xf numFmtId="0" fontId="10" fillId="0" borderId="1" applyAlignment="1" pivotButton="0" quotePrefix="0" xfId="0">
      <alignment vertical="center"/>
    </xf>
    <xf numFmtId="0" fontId="10" fillId="0" borderId="1" applyAlignment="1" pivotButton="0" quotePrefix="0" xfId="0">
      <alignment horizontal="center" vertical="center"/>
    </xf>
    <xf numFmtId="3" fontId="10" fillId="0" borderId="1" applyAlignment="1" pivotButton="0" quotePrefix="0" xfId="0">
      <alignment horizontal="right" vertical="center"/>
    </xf>
    <xf numFmtId="164" fontId="10" fillId="0" borderId="1" applyAlignment="1" pivotButton="0" quotePrefix="0" xfId="0">
      <alignment horizontal="center" vertical="center"/>
    </xf>
    <xf numFmtId="0" fontId="6" fillId="0" borderId="1" applyAlignment="1" pivotButton="0" quotePrefix="0" xfId="0">
      <alignment vertical="center"/>
    </xf>
    <xf numFmtId="0" fontId="10" fillId="4" borderId="1" applyAlignment="1" pivotButton="0" quotePrefix="0" xfId="0">
      <alignment vertical="center"/>
    </xf>
    <xf numFmtId="0" fontId="0" fillId="0" borderId="1" pivotButton="0" quotePrefix="0" xfId="0"/>
    <xf numFmtId="3" fontId="10" fillId="4" borderId="1" applyAlignment="1" pivotButton="0" quotePrefix="0" xfId="0">
      <alignment horizontal="right" vertical="center"/>
    </xf>
    <xf numFmtId="1" fontId="10" fillId="4" borderId="1" applyAlignment="1" pivotButton="0" quotePrefix="0" xfId="0">
      <alignment horizontal="right" vertical="center"/>
    </xf>
    <xf numFmtId="164" fontId="10" fillId="4" borderId="1" applyAlignment="1" pivotButton="0" quotePrefix="0" xfId="0">
      <alignment vertical="center"/>
    </xf>
    <xf numFmtId="165" fontId="10" fillId="0" borderId="1" applyAlignment="1" pivotButton="0" quotePrefix="0" xfId="0">
      <alignment horizontal="center" vertical="center"/>
    </xf>
    <xf numFmtId="164" fontId="6" fillId="3" borderId="1" applyAlignment="1" applyProtection="1" pivotButton="0" quotePrefix="0" xfId="0">
      <alignment horizontal="center" vertical="center"/>
      <protection locked="0" hidden="0"/>
    </xf>
    <xf numFmtId="0" fontId="6" fillId="4" borderId="1" applyAlignment="1" pivotButton="0" quotePrefix="0" xfId="0">
      <alignment vertical="center"/>
    </xf>
    <xf numFmtId="165" fontId="10" fillId="4" borderId="1" applyAlignment="1" pivotButton="0" quotePrefix="0" xfId="0">
      <alignment horizontal="center" vertical="center"/>
    </xf>
    <xf numFmtId="1" fontId="6" fillId="4" borderId="1" applyAlignment="1" pivotButton="0" quotePrefix="0" xfId="0">
      <alignment horizontal="right" vertical="center"/>
    </xf>
    <xf numFmtId="3" fontId="6" fillId="4" borderId="1" applyAlignment="1" pivotButton="0" quotePrefix="0" xfId="0">
      <alignment horizontal="right" vertical="center"/>
    </xf>
    <xf numFmtId="166" fontId="6" fillId="4" borderId="1" applyAlignment="1" pivotButton="0" quotePrefix="0" xfId="0">
      <alignment horizontal="right" vertical="center"/>
    </xf>
    <xf numFmtId="0" fontId="10" fillId="0" borderId="1" applyAlignment="1" pivotButton="0" quotePrefix="0" xfId="0">
      <alignment horizontal="right" vertical="center"/>
    </xf>
    <xf numFmtId="0" fontId="6" fillId="0" borderId="1" applyAlignment="1" pivotButton="0" quotePrefix="0" xfId="0">
      <alignment horizontal="right" vertical="center"/>
    </xf>
    <xf numFmtId="0" fontId="0" fillId="0" borderId="5" applyProtection="1" pivotButton="0" quotePrefix="0" xfId="0">
      <protection locked="0" hidden="0"/>
    </xf>
    <xf numFmtId="0" fontId="6" fillId="4" borderId="1" applyAlignment="1" pivotButton="0" quotePrefix="0" xfId="0">
      <alignment horizontal="center" vertical="center"/>
    </xf>
    <xf numFmtId="164" fontId="10" fillId="4" borderId="1" applyAlignment="1" pivotButton="0" quotePrefix="0" xfId="0">
      <alignment horizontal="center" vertical="center"/>
    </xf>
    <xf numFmtId="0" fontId="6" fillId="9" borderId="1" applyAlignment="1" pivotButton="0" quotePrefix="0" xfId="0">
      <alignment vertical="center"/>
    </xf>
    <xf numFmtId="0" fontId="10" fillId="9" borderId="1" applyAlignment="1" pivotButton="0" quotePrefix="0" xfId="0">
      <alignment vertical="center"/>
    </xf>
    <xf numFmtId="1" fontId="6" fillId="9" borderId="1" applyAlignment="1" pivotButton="0" quotePrefix="0" xfId="0">
      <alignment horizontal="right" vertical="center"/>
    </xf>
    <xf numFmtId="3" fontId="6" fillId="9" borderId="1" applyAlignment="1" pivotButton="0" quotePrefix="0" xfId="0">
      <alignment horizontal="right" vertical="center"/>
    </xf>
    <xf numFmtId="9" fontId="10" fillId="0" borderId="1" applyAlignment="1" pivotButton="0" quotePrefix="0" xfId="0">
      <alignment horizontal="right" vertical="center"/>
    </xf>
    <xf numFmtId="1" fontId="10" fillId="4" borderId="1" applyAlignment="1" pivotButton="0" quotePrefix="0" xfId="0">
      <alignment horizontal="center" vertical="center"/>
    </xf>
    <xf numFmtId="9" fontId="10" fillId="4" borderId="1" applyAlignment="1" pivotButton="0" quotePrefix="0" xfId="0">
      <alignment horizontal="center" vertical="center"/>
    </xf>
    <xf numFmtId="1" fontId="6" fillId="4" borderId="1" applyAlignment="1" pivotButton="0" quotePrefix="0" xfId="0">
      <alignment horizontal="center" vertical="center"/>
    </xf>
    <xf numFmtId="9" fontId="6" fillId="4" borderId="1" applyAlignment="1" pivotButton="0" quotePrefix="0" xfId="0">
      <alignment horizontal="center" vertical="center"/>
    </xf>
    <xf numFmtId="170" fontId="6" fillId="3" borderId="1" applyAlignment="1" applyProtection="1" pivotButton="0" quotePrefix="0" xfId="0">
      <alignment horizontal="center" vertical="center"/>
      <protection locked="0" hidden="0"/>
    </xf>
    <xf numFmtId="0" fontId="10" fillId="4" borderId="1" applyAlignment="1" pivotButton="0" quotePrefix="0" xfId="0">
      <alignment horizontal="center" vertical="center"/>
    </xf>
    <xf numFmtId="0" fontId="6" fillId="9" borderId="1" applyAlignment="1" pivotButton="0" quotePrefix="0" xfId="0">
      <alignment vertical="center" wrapText="1"/>
    </xf>
    <xf numFmtId="1" fontId="6" fillId="9" borderId="1" applyAlignment="1" pivotButton="0" quotePrefix="0" xfId="0">
      <alignment horizontal="center" vertical="center"/>
    </xf>
    <xf numFmtId="0" fontId="6" fillId="9" borderId="1" applyAlignment="1" pivotButton="0" quotePrefix="0" xfId="0">
      <alignment horizontal="center" vertical="center"/>
    </xf>
    <xf numFmtId="9" fontId="6" fillId="9" borderId="1" applyAlignment="1" pivotButton="0" quotePrefix="0" xfId="0">
      <alignment horizontal="center" vertical="center"/>
    </xf>
    <xf numFmtId="9" fontId="10" fillId="0" borderId="1" applyAlignment="1" pivotButton="0" quotePrefix="0" xfId="0">
      <alignment horizontal="center" vertical="center"/>
    </xf>
    <xf numFmtId="0" fontId="12" fillId="0" borderId="1" applyAlignment="1" pivotButton="0" quotePrefix="0" xfId="0">
      <alignment vertical="center" wrapText="1"/>
    </xf>
    <xf numFmtId="9" fontId="6" fillId="0" borderId="1" applyAlignment="1" pivotButton="0" quotePrefix="0" xfId="0">
      <alignment horizontal="center" vertical="center"/>
    </xf>
    <xf numFmtId="0" fontId="16" fillId="0" borderId="0" pivotButton="0" quotePrefix="0" xfId="0"/>
    <xf numFmtId="0" fontId="9" fillId="8" borderId="1" applyAlignment="1" pivotButton="0" quotePrefix="0" xfId="0">
      <alignment horizontal="center" vertical="center"/>
    </xf>
    <xf numFmtId="0" fontId="15" fillId="0" borderId="1" pivotButton="0" quotePrefix="0" xfId="0"/>
    <xf numFmtId="3" fontId="15" fillId="0" borderId="1" pivotButton="0" quotePrefix="0" xfId="0"/>
    <xf numFmtId="172" fontId="15" fillId="4" borderId="1" pivotButton="0" quotePrefix="0" xfId="0"/>
    <xf numFmtId="164" fontId="15" fillId="4" borderId="1" pivotButton="0" quotePrefix="0" xfId="0"/>
    <xf numFmtId="170" fontId="15" fillId="4" borderId="1" pivotButton="0" quotePrefix="0" xfId="0"/>
    <xf numFmtId="165" fontId="15" fillId="4" borderId="1" pivotButton="0" quotePrefix="0" xfId="0"/>
    <xf numFmtId="0" fontId="15" fillId="4" borderId="1" pivotButton="0" quotePrefix="0" xfId="0"/>
    <xf numFmtId="3" fontId="15" fillId="4" borderId="1" pivotButton="0" quotePrefix="0" xfId="0"/>
    <xf numFmtId="0" fontId="17"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vertical="center" wrapText="1"/>
    </xf>
    <xf numFmtId="0" fontId="6" fillId="0" borderId="1" applyAlignment="1" pivotButton="0" quotePrefix="0" xfId="0">
      <alignment horizontal="center" vertical="center"/>
    </xf>
    <xf numFmtId="9" fontId="10" fillId="4" borderId="1" applyAlignment="1" pivotButton="0" quotePrefix="0" xfId="0">
      <alignment horizontal="right" vertical="center"/>
    </xf>
    <xf numFmtId="0" fontId="8" fillId="0" borderId="1" applyAlignment="1" pivotButton="0" quotePrefix="0" xfId="0">
      <alignment vertical="center"/>
    </xf>
    <xf numFmtId="9" fontId="6" fillId="4" borderId="1" applyAlignment="1" pivotButton="0" quotePrefix="0" xfId="0">
      <alignment horizontal="right" vertical="center"/>
    </xf>
    <xf numFmtId="164" fontId="6" fillId="4" borderId="1" applyAlignment="1" pivotButton="0" quotePrefix="0" xfId="0">
      <alignment horizontal="center" vertical="center"/>
    </xf>
  </cellXfs>
  <cellStyles count="1">
    <cellStyle name="Normal" xfId="0" builtinId="0" hidden="0"/>
  </cellStyles>
  <dxfs count="4">
    <dxf>
      <font>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7F6000"/>
      </font>
      <fill>
        <patternFill patternType="solid">
          <fgColor rgb="00FFEB9C"/>
          <bgColor rgb="00FFEB9C"/>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Visites et nouveaux prospects par jour</a:t>
            </a:r>
          </a:p>
        </rich>
      </tx>
      <overlay val="0"/>
    </title>
    <plotArea>
      <barChart>
        <barDir val="col"/>
        <grouping val="clustered"/>
        <ser>
          <idx val="0"/>
          <order val="0"/>
          <tx>
            <strRef>
              <f>'Rapport_Semaine'!C8</f>
            </strRef>
          </tx>
          <spPr>
            <a:ln xmlns:a="http://schemas.openxmlformats.org/drawingml/2006/main">
              <a:prstDash val="solid"/>
            </a:ln>
          </spPr>
          <cat>
            <numRef>
              <f>'Rapport_Semaine'!$A$9:$A$15</f>
            </numRef>
          </cat>
          <val>
            <numRef>
              <f>'Rapport_Semaine'!$C$9:$C$15</f>
            </numRef>
          </val>
        </ser>
        <ser>
          <idx val="1"/>
          <order val="1"/>
          <tx>
            <strRef>
              <f>'Rapport_Semaine'!E8</f>
            </strRef>
          </tx>
          <spPr>
            <a:ln xmlns:a="http://schemas.openxmlformats.org/drawingml/2006/main">
              <a:prstDash val="solid"/>
            </a:ln>
          </spPr>
          <cat>
            <numRef>
              <f>'Rapport_Semaine'!$A$9:$A$15</f>
            </numRef>
          </cat>
          <val>
            <numRef>
              <f>'Rapport_Semaine'!$E$9:$E$15</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 réalisé et encaissé par jour (XAF)</a:t>
            </a:r>
          </a:p>
        </rich>
      </tx>
      <overlay val="0"/>
    </title>
    <plotArea>
      <barChart>
        <barDir val="col"/>
        <grouping val="clustered"/>
        <ser>
          <idx val="0"/>
          <order val="0"/>
          <tx>
            <strRef>
              <f>'Rapport_Semaine'!H8</f>
            </strRef>
          </tx>
          <spPr>
            <a:ln xmlns:a="http://schemas.openxmlformats.org/drawingml/2006/main">
              <a:prstDash val="solid"/>
            </a:ln>
          </spPr>
          <cat>
            <numRef>
              <f>'Rapport_Semaine'!$A$9:$A$15</f>
            </numRef>
          </cat>
          <val>
            <numRef>
              <f>'Rapport_Semaine'!$H$9:$H$15</f>
            </numRef>
          </val>
        </ser>
        <ser>
          <idx val="1"/>
          <order val="1"/>
          <tx>
            <strRef>
              <f>'Rapport_Semaine'!I8</f>
            </strRef>
          </tx>
          <spPr>
            <a:ln xmlns:a="http://schemas.openxmlformats.org/drawingml/2006/main">
              <a:prstDash val="solid"/>
            </a:ln>
          </spPr>
          <cat>
            <numRef>
              <f>'Rapport_Semaine'!$A$9:$A$15</f>
            </numRef>
          </cat>
          <val>
            <numRef>
              <f>'Rapport_Semaine'!$I$9:$I$15</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 réalisé et encaissé par semaine (XAF)</a:t>
            </a:r>
          </a:p>
        </rich>
      </tx>
      <overlay val="0"/>
    </title>
    <plotArea>
      <barChart>
        <barDir val="col"/>
        <grouping val="clustered"/>
        <ser>
          <idx val="0"/>
          <order val="0"/>
          <tx>
            <strRef>
              <f>'Tableau_de_bord'!G29</f>
            </strRef>
          </tx>
          <spPr>
            <a:ln xmlns:a="http://schemas.openxmlformats.org/drawingml/2006/main">
              <a:prstDash val="solid"/>
            </a:ln>
          </spPr>
          <cat>
            <numRef>
              <f>'Tableau_de_bord'!$A$30:$A$41</f>
            </numRef>
          </cat>
          <val>
            <numRef>
              <f>'Tableau_de_bord'!$G$30:$G$41</f>
            </numRef>
          </val>
        </ser>
        <ser>
          <idx val="1"/>
          <order val="1"/>
          <tx>
            <strRef>
              <f>'Tableau_de_bord'!H29</f>
            </strRef>
          </tx>
          <spPr>
            <a:ln xmlns:a="http://schemas.openxmlformats.org/drawingml/2006/main">
              <a:prstDash val="solid"/>
            </a:ln>
          </spPr>
          <cat>
            <numRef>
              <f>'Tableau_de_bord'!$A$30:$A$41</f>
            </numRef>
          </cat>
          <val>
            <numRef>
              <f>'Tableau_de_bord'!$H$30:$H$41</f>
            </numRef>
          </val>
        </ser>
        <gapWidth val="150"/>
        <axId val="10"/>
        <axId val="100"/>
      </barChart>
      <catAx>
        <axId val="10"/>
        <scaling>
          <orientation val="minMax"/>
        </scaling>
        <delete val="0"/>
        <axPos val="l"/>
        <numFmt formatCode="dd/mm" sourceLinked="0"/>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Activité terrain par semaine</a:t>
            </a:r>
          </a:p>
        </rich>
      </tx>
      <overlay val="0"/>
    </title>
    <plotArea>
      <lineChart>
        <grouping val="standard"/>
        <ser>
          <idx val="0"/>
          <order val="0"/>
          <tx>
            <strRef>
              <f>'Tableau_de_bord'!B29</f>
            </strRef>
          </tx>
          <spPr>
            <a:ln xmlns:a="http://schemas.openxmlformats.org/drawingml/2006/main">
              <a:prstDash val="solid"/>
            </a:ln>
          </spPr>
          <marker>
            <symbol val="circle"/>
            <size val="5"/>
            <spPr>
              <a:ln xmlns:a="http://schemas.openxmlformats.org/drawingml/2006/main">
                <a:prstDash val="solid"/>
              </a:ln>
            </spPr>
          </marker>
          <cat>
            <numRef>
              <f>'Tableau_de_bord'!$A$30:$A$41</f>
            </numRef>
          </cat>
          <val>
            <numRef>
              <f>'Tableau_de_bord'!$B$30:$B$41</f>
            </numRef>
          </val>
          <smooth val="0"/>
        </ser>
        <ser>
          <idx val="1"/>
          <order val="1"/>
          <tx>
            <strRef>
              <f>'Tableau_de_bord'!D29</f>
            </strRef>
          </tx>
          <spPr>
            <a:ln xmlns:a="http://schemas.openxmlformats.org/drawingml/2006/main">
              <a:prstDash val="solid"/>
            </a:ln>
          </spPr>
          <marker>
            <symbol val="circle"/>
            <size val="5"/>
            <spPr>
              <a:ln xmlns:a="http://schemas.openxmlformats.org/drawingml/2006/main">
                <a:prstDash val="solid"/>
              </a:ln>
            </spPr>
          </marker>
          <cat>
            <numRef>
              <f>'Tableau_de_bord'!$A$30:$A$41</f>
            </numRef>
          </cat>
          <val>
            <numRef>
              <f>'Tableau_de_bord'!$D$30:$D$41</f>
            </numRef>
          </val>
          <smooth val="0"/>
        </ser>
        <axId val="10"/>
        <axId val="100"/>
      </lineChart>
      <catAx>
        <axId val="10"/>
        <scaling>
          <orientation val="minMax"/>
        </scaling>
        <delete val="0"/>
        <axPos val="l"/>
        <numFmt formatCode="dd/mm" sourceLinked="0"/>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plotArea>
    <legend>
      <legendPos val="b"/>
      <overlay val="0"/>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Nouveaux clients et CA cumulé</a:t>
            </a:r>
          </a:p>
        </rich>
      </tx>
      <overlay val="0"/>
    </title>
    <plotArea>
      <barChart>
        <barDir val="col"/>
        <grouping val="clustered"/>
        <ser>
          <idx val="0"/>
          <order val="0"/>
          <tx>
            <strRef>
              <f>'Tableau_de_bord'!E29</f>
            </strRef>
          </tx>
          <spPr>
            <a:ln xmlns:a="http://schemas.openxmlformats.org/drawingml/2006/main">
              <a:prstDash val="solid"/>
            </a:ln>
          </spPr>
          <cat>
            <numRef>
              <f>'Tableau_de_bord'!$A$30:$A$41</f>
            </numRef>
          </cat>
          <val>
            <numRef>
              <f>'Tableau_de_bord'!$E$30:$E$41</f>
            </numRef>
          </val>
        </ser>
        <gapWidth val="150"/>
        <axId val="10"/>
        <axId val="100"/>
      </barChart>
      <lineChart>
        <grouping val="standard"/>
        <ser>
          <idx val="1"/>
          <order val="1"/>
          <tx>
            <strRef>
              <f>'Tableau_de_bord'!L29</f>
            </strRef>
          </tx>
          <spPr>
            <a:ln xmlns:a="http://schemas.openxmlformats.org/drawingml/2006/main">
              <a:prstDash val="solid"/>
            </a:ln>
          </spPr>
          <marker>
            <symbol val="circle"/>
            <size val="5"/>
            <spPr>
              <a:ln xmlns:a="http://schemas.openxmlformats.org/drawingml/2006/main">
                <a:prstDash val="solid"/>
              </a:ln>
            </spPr>
          </marker>
          <val>
            <numRef>
              <f>'Tableau_de_bord'!$L$30:$L$41</f>
            </numRef>
          </val>
          <smooth val="0"/>
        </ser>
        <axId val="10"/>
        <axId val="200"/>
      </lineChart>
      <catAx>
        <axId val="10"/>
        <scaling>
          <orientation val="minMax"/>
        </scaling>
        <delete val="0"/>
        <axPos val="l"/>
        <numFmt formatCode="dd/mm" sourceLinked="0"/>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majorTickMark val="none"/>
        <minorTickMark val="none"/>
        <crossAx val="10"/>
      </valAx>
      <valAx>
        <axId val="200"/>
        <scaling>
          <orientation val="minMax"/>
        </scaling>
        <delete val="0"/>
        <axPos val="l"/>
        <majorTickMark val="none"/>
        <minorTickMark val="none"/>
        <crossAx val="10"/>
        <crosses val="max"/>
      </valAx>
    </plotArea>
    <legend>
      <legendPos val="b"/>
      <overlay val="0"/>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CA par produit (XAF)</a:t>
            </a:r>
          </a:p>
        </rich>
      </tx>
      <overlay val="0"/>
    </title>
    <plotArea>
      <barChart>
        <barDir val="bar"/>
        <grouping val="clustered"/>
        <ser>
          <idx val="0"/>
          <order val="0"/>
          <tx>
            <strRef>
              <f>'Tableau_de_bord'!B63</f>
            </strRef>
          </tx>
          <spPr>
            <a:ln xmlns:a="http://schemas.openxmlformats.org/drawingml/2006/main">
              <a:prstDash val="solid"/>
            </a:ln>
          </spPr>
          <cat>
            <numRef>
              <f>'Tableau_de_bord'!$A$64:$A$70</f>
            </numRef>
          </cat>
          <val>
            <numRef>
              <f>'Tableau_de_bord'!$B$64:$B$70</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numFmt formatCode="0,&quot;k&quot;" sourceLinked="0"/>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Top quartiers par CA (XAF)</a:t>
            </a:r>
          </a:p>
        </rich>
      </tx>
      <overlay val="0"/>
    </title>
    <plotArea>
      <barChart>
        <barDir val="bar"/>
        <grouping val="clustered"/>
        <ser>
          <idx val="0"/>
          <order val="0"/>
          <tx>
            <strRef>
              <f>'Tableau_de_bord'!F63</f>
            </strRef>
          </tx>
          <spPr>
            <a:ln xmlns:a="http://schemas.openxmlformats.org/drawingml/2006/main">
              <a:prstDash val="solid"/>
            </a:ln>
          </spPr>
          <cat>
            <numRef>
              <f>'Tableau_de_bord'!$E$64:$E$71</f>
            </numRef>
          </cat>
          <val>
            <numRef>
              <f>'Tableau_de_bord'!$F$64:$F$71</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xmlns:a="http://schemas.openxmlformats.org/drawingml/2006/main" w="6350">
              <a:solidFill>
                <a:srgbClr val="D9D9D9"/>
              </a:solidFill>
              <a:prstDash val="solid"/>
            </a:ln>
          </spPr>
        </majorGridlines>
        <numFmt formatCode="0,&quot;k&quot;" sourceLinked="0"/>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Résultat des visites et contacts</a:t>
            </a:r>
          </a:p>
        </rich>
      </tx>
      <overlay val="0"/>
    </title>
    <plotArea>
      <doughnutChart>
        <varyColors val="1"/>
        <ser>
          <idx val="0"/>
          <order val="0"/>
          <tx>
            <strRef>
              <f>'Tableau_de_bord'!J63</f>
            </strRef>
          </tx>
          <spPr>
            <a:ln xmlns:a="http://schemas.openxmlformats.org/drawingml/2006/main">
              <a:prstDash val="solid"/>
            </a:ln>
          </spPr>
          <cat>
            <numRef>
              <f>'Tableau_de_bord'!$I$64:$I$72</f>
            </numRef>
          </cat>
          <val>
            <numRef>
              <f>'Tableau_de_bord'!$J$64:$J$72</f>
            </numRef>
          </val>
        </ser>
        <firstSliceAng val="0"/>
        <holeSize val="10"/>
      </doughnutChart>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 Type="http://schemas.openxmlformats.org/officeDocument/2006/relationships/chart" Target="/xl/charts/chart8.xml" Id="rId6"/></Relationships>
</file>

<file path=xl/drawings/drawing1.xml><?xml version="1.0" encoding="utf-8"?>
<wsDr xmlns="http://schemas.openxmlformats.org/drawingml/2006/spreadsheetDrawing">
  <oneCellAnchor>
    <from>
      <col>0</col>
      <colOff>0</colOff>
      <row>51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51</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44</row>
      <rowOff>0</rowOff>
    </from>
    <ext cx="4752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44</row>
      <rowOff>0</rowOff>
    </from>
    <ext cx="4752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44</row>
      <rowOff>0</rowOff>
    </from>
    <ext cx="4752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75</row>
      <rowOff>0</rowOff>
    </from>
    <ext cx="4752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4</col>
      <colOff>0</colOff>
      <row>75</row>
      <rowOff>0</rowOff>
    </from>
    <ext cx="4752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9</col>
      <colOff>0</colOff>
      <row>75</row>
      <rowOff>0</rowOff>
    </from>
    <ext cx="4752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aram&#232;tres'!A1" TargetMode="External" Id="rId1"/><Relationship Type="http://schemas.openxmlformats.org/officeDocument/2006/relationships/hyperlink" Target="#'Journal'!A1" TargetMode="External" Id="rId2"/><Relationship Type="http://schemas.openxmlformats.org/officeDocument/2006/relationships/hyperlink" Target="#'Visites_Contacts'!A1" TargetMode="External" Id="rId3"/><Relationship Type="http://schemas.openxmlformats.org/officeDocument/2006/relationships/hyperlink" Target="#'Commandes'!A1" TargetMode="External" Id="rId4"/><Relationship Type="http://schemas.openxmlformats.org/officeDocument/2006/relationships/hyperlink" Target="#'Encaissements'!A1" TargetMode="External" Id="rId5"/><Relationship Type="http://schemas.openxmlformats.org/officeDocument/2006/relationships/hyperlink" Target="#'Clients'!A1" TargetMode="External" Id="rId6"/><Relationship Type="http://schemas.openxmlformats.org/officeDocument/2006/relationships/hyperlink" Target="#'Planning'!A1" TargetMode="External" Id="rId7"/><Relationship Type="http://schemas.openxmlformats.org/officeDocument/2006/relationships/hyperlink" Target="#'Stock'!A1" TargetMode="External" Id="rId8"/><Relationship Type="http://schemas.openxmlformats.org/officeDocument/2006/relationships/hyperlink" Target="#'Objectifs'!A1" TargetMode="External" Id="rId9"/><Relationship Type="http://schemas.openxmlformats.org/officeDocument/2006/relationships/hyperlink" Target="#'Bilans_Hebdo'!A1" TargetMode="External" Id="rId10"/><Relationship Type="http://schemas.openxmlformats.org/officeDocument/2006/relationships/hyperlink" Target="#'Fiche_Client'!A1" TargetMode="External" Id="rId11"/><Relationship Type="http://schemas.openxmlformats.org/officeDocument/2006/relationships/hyperlink" Target="#'Rapport_Jour'!A1" TargetMode="External" Id="rId12"/><Relationship Type="http://schemas.openxmlformats.org/officeDocument/2006/relationships/hyperlink" Target="#'Rapport_Semaine'!A1" TargetMode="External" Id="rId13"/><Relationship Type="http://schemas.openxmlformats.org/officeDocument/2006/relationships/hyperlink" Target="#'Plan_Mensuel'!A1" TargetMode="External" Id="rId14"/><Relationship Type="http://schemas.openxmlformats.org/officeDocument/2006/relationships/hyperlink" Target="#'&#201;quipe'!A1" TargetMode="External" Id="rId15"/><Relationship Type="http://schemas.openxmlformats.org/officeDocument/2006/relationships/hyperlink" Target="#'Listes'!A1" TargetMode="External" Id="rId16"/><Relationship Type="http://schemas.openxmlformats.org/officeDocument/2006/relationships/hyperlink" Target="#'Correspondances'!A1" TargetMode="External" Id="rId17"/><Relationship Type="http://schemas.openxmlformats.org/officeDocument/2006/relationships/hyperlink" Target="#'Tableau_de_bord'!A1" TargetMode="External" Id="rId18"/></Relationships>
</file>

<file path=xl/worksheets/_rels/sheet2.xml.rels><Relationships xmlns="http://schemas.openxmlformats.org/package/2006/relationships"><Relationship Type="http://schemas.openxmlformats.org/officeDocument/2006/relationships/hyperlink" Target="#'LISEZ-MOI'!A1" TargetMode="External" Id="rId1"/></Relationships>
</file>

<file path=xl/worksheets/_rels/sheet3.xml.rels><Relationships xmlns="http://schemas.openxmlformats.org/package/2006/relationships"><Relationship Type="http://schemas.openxmlformats.org/officeDocument/2006/relationships/hyperlink" Target="#'LISEZ-MOI'!A1" TargetMode="External" Id="rId1"/></Relationships>
</file>

<file path=xl/worksheets/_rels/sheet4.xml.rels><Relationships xmlns="http://schemas.openxmlformats.org/package/2006/relationships"><Relationship Type="http://schemas.openxmlformats.org/officeDocument/2006/relationships/hyperlink" Target="#'LISEZ-MOI'!A1" TargetMode="External" Id="rId1"/></Relationships>
</file>

<file path=xl/worksheets/_rels/sheet5.xml.rels><Relationships xmlns="http://schemas.openxmlformats.org/package/2006/relationships"><Relationship Type="http://schemas.openxmlformats.org/officeDocument/2006/relationships/hyperlink" Target="#'LISEZ-MOI'!A1" TargetMode="External" Id="rId1"/></Relationships>
</file>

<file path=xl/worksheets/_rels/sheet6.xml.rels><Relationships xmlns="http://schemas.openxmlformats.org/package/2006/relationships"><Relationship Type="http://schemas.openxmlformats.org/officeDocument/2006/relationships/hyperlink" Target="#'LISEZ-MOI'!A1" TargetMode="External" Id="rId1"/></Relationships>
</file>

<file path=xl/worksheets/_rels/sheet7.xml.rels><Relationships xmlns="http://schemas.openxmlformats.org/package/2006/relationships"><Relationship Type="http://schemas.openxmlformats.org/officeDocument/2006/relationships/hyperlink" Target="#'LISEZ-MOI'!A1" TargetMode="External" Id="rId1"/></Relationships>
</file>

<file path=xl/worksheets/_rels/sheet8.xml.rels><Relationships xmlns="http://schemas.openxmlformats.org/package/2006/relationships"><Relationship Type="http://schemas.openxmlformats.org/officeDocument/2006/relationships/hyperlink" Target="#'LISEZ-MOI'!A1" TargetMode="External" Id="rId1"/></Relationships>
</file>

<file path=xl/worksheets/_rels/sheet9.xml.rels><Relationships xmlns="http://schemas.openxmlformats.org/package/2006/relationships"><Relationship Type="http://schemas.openxmlformats.org/officeDocument/2006/relationships/hyperlink" Target="#'LISEZ-MOI'!A1" TargetMode="External" Id="rId1"/></Relationships>
</file>

<file path=xl/worksheets/_rels/sheet10.xml.rels><Relationships xmlns="http://schemas.openxmlformats.org/package/2006/relationships"><Relationship Type="http://schemas.openxmlformats.org/officeDocument/2006/relationships/hyperlink" Target="#'LISEZ-MOI'!A1" TargetMode="External" Id="rId1"/></Relationships>
</file>

<file path=xl/worksheets/_rels/sheet11.xml.rels><Relationships xmlns="http://schemas.openxmlformats.org/package/2006/relationships"><Relationship Type="http://schemas.openxmlformats.org/officeDocument/2006/relationships/hyperlink" Target="#'LISEZ-MOI'!A1" TargetMode="External" Id="rId1"/></Relationships>
</file>

<file path=xl/worksheets/_rels/sheet12.xml.rels><Relationships xmlns="http://schemas.openxmlformats.org/package/2006/relationships"><Relationship Type="http://schemas.openxmlformats.org/officeDocument/2006/relationships/hyperlink" Target="#'LISEZ-MOI'!A1" TargetMode="External" Id="rId1"/></Relationships>
</file>

<file path=xl/worksheets/_rels/sheet13.xml.rels><Relationships xmlns="http://schemas.openxmlformats.org/package/2006/relationships"><Relationship Type="http://schemas.openxmlformats.org/officeDocument/2006/relationships/hyperlink" Target="#'LISEZ-MOI'!A1" TargetMode="External" Id="rId1"/></Relationships>
</file>

<file path=xl/worksheets/_rels/sheet14.xml.rels><Relationships xmlns="http://schemas.openxmlformats.org/package/2006/relationships"><Relationship Type="http://schemas.openxmlformats.org/officeDocument/2006/relationships/hyperlink" Target="#'LISEZ-MOI'!A1" TargetMode="External" Id="rId1"/><Relationship Type="http://schemas.openxmlformats.org/officeDocument/2006/relationships/drawing" Target="/xl/drawings/drawing1.xml" Id="rId2"/></Relationships>
</file>

<file path=xl/worksheets/_rels/sheet15.xml.rels><Relationships xmlns="http://schemas.openxmlformats.org/package/2006/relationships"><Relationship Type="http://schemas.openxmlformats.org/officeDocument/2006/relationships/hyperlink" Target="#'LISEZ-MOI'!A1" TargetMode="External" Id="rId1"/></Relationships>
</file>

<file path=xl/worksheets/_rels/sheet16.xml.rels><Relationships xmlns="http://schemas.openxmlformats.org/package/2006/relationships"><Relationship Type="http://schemas.openxmlformats.org/officeDocument/2006/relationships/hyperlink" Target="#'LISEZ-MOI'!A1" TargetMode="External" Id="rId1"/></Relationships>
</file>

<file path=xl/worksheets/_rels/sheet17.xml.rels><Relationships xmlns="http://schemas.openxmlformats.org/package/2006/relationships"><Relationship Type="http://schemas.openxmlformats.org/officeDocument/2006/relationships/hyperlink" Target="#'LISEZ-MOI'!A1" TargetMode="External" Id="rId1"/></Relationships>
</file>

<file path=xl/worksheets/_rels/sheet18.xml.rels><Relationships xmlns="http://schemas.openxmlformats.org/package/2006/relationships"><Relationship Type="http://schemas.openxmlformats.org/officeDocument/2006/relationships/hyperlink" Target="#'LISEZ-MOI'!A1" TargetMode="External" Id="rId1"/></Relationships>
</file>

<file path=xl/worksheets/_rels/sheet19.xml.rels><Relationships xmlns="http://schemas.openxmlformats.org/package/2006/relationships"><Relationship Type="http://schemas.openxmlformats.org/officeDocument/2006/relationships/hyperlink" Target="#'LISEZ-MOI'!A1" TargetMode="External" Id="rId1"/><Relationship Type="http://schemas.openxmlformats.org/officeDocument/2006/relationships/drawing" Target="/xl/drawings/drawing2.xml" Id="rId2"/></Relationships>
</file>

<file path=xl/worksheets/sheet1.xml><?xml version="1.0" encoding="utf-8"?>
<worksheet xmlns="http://schemas.openxmlformats.org/spreadsheetml/2006/main">
  <sheetPr>
    <tabColor rgb="001F4D3A"/>
    <outlinePr summaryBelow="1" summaryRight="1"/>
    <pageSetUpPr fitToPage="1"/>
  </sheetPr>
  <dimension ref="B1:F96"/>
  <sheetViews>
    <sheetView showGridLines="0" tabSelected="1" zoomScale="90" workbookViewId="0">
      <pane ySplit="3" topLeftCell="A4" activePane="bottomLeft" state="frozen"/>
      <selection pane="bottomLeft" activeCell="A1" sqref="A1"/>
    </sheetView>
  </sheetViews>
  <sheetFormatPr baseColWidth="8" defaultRowHeight="15"/>
  <cols>
    <col width="3" customWidth="1" min="1" max="1"/>
    <col width="26" customWidth="1" min="2" max="2"/>
    <col width="28" customWidth="1" min="3" max="3"/>
    <col width="22" customWidth="1" min="4" max="4"/>
    <col width="58" customWidth="1" min="5" max="5"/>
    <col width="14" customWidth="1" min="6" max="6"/>
    <col width="3" customWidth="1" min="7" max="7"/>
  </cols>
  <sheetData>
    <row r="1" ht="34" customHeight="1">
      <c r="B1" s="1" t="inlineStr">
        <is>
          <t>FICHE DE REPORTING COMMERCIAL — GIC AGROPELC</t>
        </is>
      </c>
    </row>
    <row r="2">
      <c r="B2" s="2" t="inlineStr">
        <is>
          <t>Version 2.0 · 08/10/2026 · Votre cahier de terrain, vos rapports et votre tableau de bord dans un seul fichier.</t>
        </is>
      </c>
    </row>
    <row r="4" ht="22" customHeight="1">
      <c r="B4" s="3" t="inlineStr">
        <is>
          <t>1. L'ESSENTIEL EN 30 SECONDES</t>
        </is>
      </c>
      <c r="C4" s="4" t="n"/>
      <c r="D4" s="4" t="n"/>
      <c r="E4" s="4" t="n"/>
      <c r="F4" s="4" t="n"/>
    </row>
    <row r="5" ht="35" customHeight="1">
      <c r="B5" s="5" t="inlineStr">
        <is>
          <t>Cette fiche remplace votre cahier : vous y notez ce que vous faites sur le terrain, et elle calcule toute seule vos rapports (jour, semaine, mois) et votre tableau de bord.</t>
        </is>
      </c>
    </row>
    <row r="6" ht="49.5" customHeight="1">
      <c r="B6" s="5" t="inlineStr">
        <is>
          <t>Vous ne tapez presque rien. Presque chaque case s'ouvre en liste : cliquez la case, puis la petite flèche à droite, et choisissez. Pour une DATE, la liste propose les jours (aujourd'hui en premier). Pour une HEURE, la liste propose chaque quart d'heure. Pour un CLIENT ou un PRODUIT, tapez les premières lettres (Excel 365 filtre la liste) ou ouvrez la liste.</t>
        </is>
      </c>
    </row>
    <row r="7" ht="20.5" customHeight="1">
      <c r="B7" s="5" t="inlineStr">
        <is>
          <t>Les « cases à cocher » sont des listes à un clic : ☑ Oui / ☐ Non.</t>
        </is>
      </c>
    </row>
    <row r="8" ht="35" customHeight="1">
      <c r="B8" s="6" t="inlineStr">
        <is>
          <t>Couleurs : case BLANCHE = à remplir · case GRISE = se calcule seule, n'y touchez pas · case JAUNE = votre choix dans un rapport (date, commercial) · case ROUGE = une information obligatoire manque.</t>
        </is>
      </c>
    </row>
    <row r="10" ht="22" customHeight="1">
      <c r="B10" s="3" t="inlineStr">
        <is>
          <t>2. CE QUE JE REMPLIS, ET QUAND</t>
        </is>
      </c>
      <c r="C10" s="4" t="n"/>
      <c r="D10" s="4" t="n"/>
      <c r="E10" s="4" t="n"/>
      <c r="F10" s="4" t="n"/>
    </row>
    <row r="11" ht="24" customHeight="1">
      <c r="B11" s="7" t="inlineStr">
        <is>
          <t>Quand</t>
        </is>
      </c>
      <c r="C11" s="7" t="inlineStr">
        <is>
          <t>Je remplis</t>
        </is>
      </c>
      <c r="D11" s="7" t="inlineStr">
        <is>
          <t>Dans la feuille</t>
        </is>
      </c>
      <c r="E11" s="7" t="inlineStr">
        <is>
          <t>Comment (en clair)</t>
        </is>
      </c>
      <c r="F11" s="7" t="inlineStr">
        <is>
          <t>Durée</t>
        </is>
      </c>
    </row>
    <row r="12" ht="35" customHeight="1">
      <c r="B12" s="8" t="inlineStr">
        <is>
          <t>UNE SEULE FOIS, le premier jour</t>
        </is>
      </c>
      <c r="C12" s="9" t="inlineStr">
        <is>
          <t>Mon identité</t>
        </is>
      </c>
      <c r="D12" s="9" t="inlineStr">
        <is>
          <t>Paramètres</t>
        </is>
      </c>
      <c r="E12" s="9" t="inlineStr">
        <is>
          <t>Nom, CODE COMMERCIAL (ex. COM01), fonction, zone. Ne changez plus le code ensuite.</t>
        </is>
      </c>
      <c r="F12" s="9" t="inlineStr">
        <is>
          <t>3 min</t>
        </is>
      </c>
    </row>
    <row r="13" ht="49.5" customHeight="1">
      <c r="B13" s="8" t="inlineStr">
        <is>
          <t>UNE SEULE FOIS</t>
        </is>
      </c>
      <c r="C13" s="9" t="inlineStr">
        <is>
          <t>Mon portefeuille</t>
        </is>
      </c>
      <c r="D13" s="9" t="inlineStr">
        <is>
          <t>Clients</t>
        </is>
      </c>
      <c r="E13" s="9" t="inlineStr">
        <is>
          <t>Une ligne par client ou prospect : nom, type, téléphone, quartier, source, date de création. Ces clients apparaissent ensuite dans toutes les listes.</t>
        </is>
      </c>
      <c r="F13" s="9" t="inlineStr">
        <is>
          <t>10 à 30 min</t>
        </is>
      </c>
    </row>
    <row r="14" ht="35" customHeight="1">
      <c r="B14" s="8" t="inlineStr">
        <is>
          <t>UNE SEULE FOIS (direction)</t>
        </is>
      </c>
      <c r="C14" s="9" t="inlineStr">
        <is>
          <t>Les prix de référence</t>
        </is>
      </c>
      <c r="D14" s="9" t="inlineStr">
        <is>
          <t>Listes</t>
        </is>
      </c>
      <c r="E14" s="9" t="inlineStr">
        <is>
          <t>Colonne « Prix de référence » des produits. Les commandes et les casses les utilisent toutes seules.</t>
        </is>
      </c>
      <c r="F14" s="9" t="inlineStr">
        <is>
          <t>5 min</t>
        </is>
      </c>
    </row>
    <row r="15" ht="35" customHeight="1">
      <c r="B15" s="8" t="inlineStr">
        <is>
          <t>CHAQUE LUNDI (ou en fin de mois)</t>
        </is>
      </c>
      <c r="C15" s="9" t="inlineStr">
        <is>
          <t>Mes objectifs</t>
        </is>
      </c>
      <c r="D15" s="9" t="inlineStr">
        <is>
          <t>Objectifs</t>
        </is>
      </c>
      <c r="E15" s="9" t="inlineStr">
        <is>
          <t>Choisir l'indicateur, « Semaine » ou « Mois », le début dans la liste, la valeur à atteindre.</t>
        </is>
      </c>
      <c r="F15" s="9" t="inlineStr">
        <is>
          <t>3 min</t>
        </is>
      </c>
    </row>
    <row r="16" ht="49.5" customHeight="1">
      <c r="B16" s="8" t="inlineStr">
        <is>
          <t>CHAQUE MATIN</t>
        </is>
      </c>
      <c r="C16" s="9" t="inlineStr">
        <is>
          <t>Ma journée</t>
        </is>
      </c>
      <c r="D16" s="9" t="inlineStr">
        <is>
          <t>Journal</t>
        </is>
      </c>
      <c r="E16" s="9" t="inlineStr">
        <is>
          <t>Date du jour (premier de la liste), heure de prise de service, zone du jour. Regardez « Rapport_Jour » : actions et visites prévues.</t>
        </is>
      </c>
      <c r="F16" s="9" t="inlineStr">
        <is>
          <t>1 min</t>
        </is>
      </c>
    </row>
    <row r="17" ht="49.5" customHeight="1">
      <c r="B17" s="8" t="inlineStr">
        <is>
          <t>APRÈS CHAQUE VISITE OU APPEL</t>
        </is>
      </c>
      <c r="C17" s="9" t="inlineStr">
        <is>
          <t>Le contact</t>
        </is>
      </c>
      <c r="D17" s="9" t="inlineStr">
        <is>
          <t>Visites_Contacts</t>
        </is>
      </c>
      <c r="E17" s="9" t="inlineStr">
        <is>
          <t>Date, heure, type de contact, client, objet, résultat ; si une action est à faire : sa date et ce qu'il faut faire.</t>
        </is>
      </c>
      <c r="F17" s="9" t="inlineStr">
        <is>
          <t>1 min</t>
        </is>
      </c>
    </row>
    <row r="18" ht="35" customHeight="1">
      <c r="B18" s="8" t="inlineStr">
        <is>
          <t>QUAND JE TROUVE UN NOUVEAU PROSPECT</t>
        </is>
      </c>
      <c r="C18" s="9" t="inlineStr">
        <is>
          <t>Le prospect</t>
        </is>
      </c>
      <c r="D18" s="9" t="inlineStr">
        <is>
          <t>Clients</t>
        </is>
      </c>
      <c r="E18" s="9" t="inlineStr">
        <is>
          <t>Nom, type, téléphone, quartier, source, étape, date de création. À faire AVANT d'enregistrer la visite.</t>
        </is>
      </c>
      <c r="F18" s="9" t="inlineStr">
        <is>
          <t>1 min</t>
        </is>
      </c>
    </row>
    <row r="19" ht="49.5" customHeight="1">
      <c r="B19" s="8" t="inlineStr">
        <is>
          <t>À CHAQUE COMMANDE OU VENTE</t>
        </is>
      </c>
      <c r="C19" s="9" t="inlineStr">
        <is>
          <t>Les produits</t>
        </is>
      </c>
      <c r="D19" s="9" t="inlineStr">
        <is>
          <t>Commandes</t>
        </is>
      </c>
      <c r="E19" s="9" t="inlineStr">
        <is>
          <t>Date, client, type, produit, quantité (une ligne par produit). Livraison réelle quand c'est livré. Le prix et le montant se calculent.</t>
        </is>
      </c>
      <c r="F19" s="9" t="inlineStr">
        <is>
          <t>1 min</t>
        </is>
      </c>
    </row>
    <row r="20" ht="35" customHeight="1">
      <c r="B20" s="8" t="inlineStr">
        <is>
          <t>À CHAQUE PAIEMENT REÇU</t>
        </is>
      </c>
      <c r="C20" s="9" t="inlineStr">
        <is>
          <t>L'argent</t>
        </is>
      </c>
      <c r="D20" s="9" t="inlineStr">
        <is>
          <t>Encaissements</t>
        </is>
      </c>
      <c r="E20" s="9" t="inlineStr">
        <is>
          <t>Date, client, montant, mode de paiement (+ référence si Orange Money, MoMo, virement ou chèque).</t>
        </is>
      </c>
      <c r="F20" s="9" t="inlineStr">
        <is>
          <t>30 s</t>
        </is>
      </c>
    </row>
    <row r="21" ht="35" customHeight="1">
      <c r="B21" s="8" t="inlineStr">
        <is>
          <t>QUAND JE VERSE L'ARGENT À L'ENTREPRISE</t>
        </is>
      </c>
      <c r="C21" s="9" t="inlineStr">
        <is>
          <t>La date du versement</t>
        </is>
      </c>
      <c r="D21" s="9" t="inlineStr">
        <is>
          <t>Encaissements</t>
        </is>
      </c>
      <c r="E21" s="9" t="inlineStr">
        <is>
          <t>Sur les lignes d'espèces concernées : choisir la date du versement. « Versé ? » passe à ☑ Oui tout seul.</t>
        </is>
      </c>
      <c r="F21" s="9" t="inlineStr">
        <is>
          <t>30 s</t>
        </is>
      </c>
    </row>
    <row r="22" ht="49.5" customHeight="1">
      <c r="B22" s="8" t="inlineStr">
        <is>
          <t>QUAND JE REÇOIS, RENDS OU CASSE DE LA MARCHANDISE</t>
        </is>
      </c>
      <c r="C22" s="9" t="inlineStr">
        <is>
          <t>Le mouvement</t>
        </is>
      </c>
      <c r="D22" s="9" t="inlineStr">
        <is>
          <t>Stock</t>
        </is>
      </c>
      <c r="E22" s="9" t="inlineStr">
        <is>
          <t>Date, mouvement, produit, quantité ; pour une casse : la cause et « Photo prise ? ».</t>
        </is>
      </c>
      <c r="F22" s="9" t="inlineStr">
        <is>
          <t>1 min</t>
        </is>
      </c>
    </row>
    <row r="23" ht="35" customHeight="1">
      <c r="B23" s="8" t="inlineStr">
        <is>
          <t>CHAQUE SOIR</t>
        </is>
      </c>
      <c r="C23" s="9" t="inlineStr">
        <is>
          <t>Mon bilan du jour</t>
        </is>
      </c>
      <c r="D23" s="9" t="inlineStr">
        <is>
          <t>Journal</t>
        </is>
      </c>
      <c r="E23" s="9" t="inlineStr">
        <is>
          <t>Heure de fin, frais, réussites, difficultés, besoin de soutien, plan du lendemain.</t>
        </is>
      </c>
      <c r="F23" s="9" t="inlineStr">
        <is>
          <t>3 min</t>
        </is>
      </c>
    </row>
    <row r="24" ht="35" customHeight="1">
      <c r="B24" s="8" t="inlineStr">
        <is>
          <t>CHAQUE SOIR</t>
        </is>
      </c>
      <c r="C24" s="9" t="inlineStr">
        <is>
          <t>Mon rapport du jour</t>
        </is>
      </c>
      <c r="D24" s="9" t="inlineStr">
        <is>
          <t>Rapport_Jour</t>
        </is>
      </c>
      <c r="E24" s="9" t="inlineStr">
        <is>
          <t>Choisir la date (case jaune) puis imprimer ou exporter en PDF et envoyer au responsable.</t>
        </is>
      </c>
      <c r="F24" s="9" t="inlineStr">
        <is>
          <t>1 min</t>
        </is>
      </c>
    </row>
    <row r="25" ht="49.5" customHeight="1">
      <c r="B25" s="8" t="inlineStr">
        <is>
          <t>CHAQUE VENDREDI OU SAMEDI</t>
        </is>
      </c>
      <c r="C25" s="9" t="inlineStr">
        <is>
          <t>Mon bilan de la semaine</t>
        </is>
      </c>
      <c r="D25" s="9" t="inlineStr">
        <is>
          <t>Bilans_Hebdo</t>
        </is>
      </c>
      <c r="E25" s="9" t="inlineStr">
        <is>
          <t>Choisir le lundi dans la liste puis écrire les 5 rubriques. Vérifiez « Rapport_Semaine », préparez le « Planning » de la semaine suivante.</t>
        </is>
      </c>
      <c r="F25" s="9" t="inlineStr">
        <is>
          <t>10 min</t>
        </is>
      </c>
    </row>
    <row r="26" ht="35" customHeight="1">
      <c r="B26" s="8" t="inlineStr">
        <is>
          <t>CHAQUE DÉBUT DE MOIS</t>
        </is>
      </c>
      <c r="C26" s="9" t="inlineStr">
        <is>
          <t>Mon plan et mon bilan du mois</t>
        </is>
      </c>
      <c r="D26" s="9" t="inlineStr">
        <is>
          <t>Plan_Mensuel, Tableau_de_bord</t>
        </is>
      </c>
      <c r="E26" s="9" t="inlineStr">
        <is>
          <t>Choisir le mois ; lire les résultats ; regarder l'évolution sur 12 semaines dans le tableau de bord.</t>
        </is>
      </c>
      <c r="F26" s="9" t="inlineStr">
        <is>
          <t>5 min</t>
        </is>
      </c>
    </row>
    <row r="27" ht="35" customHeight="1">
      <c r="B27" s="8" t="inlineStr">
        <is>
          <t>RESPONSABLE COMMERCIAL, CHAQUE SEMAINE</t>
        </is>
      </c>
      <c r="C27" s="9" t="inlineStr">
        <is>
          <t>Le suivi de l'équipe</t>
        </is>
      </c>
      <c r="D27" s="9" t="inlineStr">
        <is>
          <t>Équipe, Tableau_de_bord, Bilans_Hebdo</t>
        </is>
      </c>
      <c r="E27" s="9" t="inlineStr">
        <is>
          <t>Choisir le lundi ; comparer les commerciaux ; écrire le commentaire du responsable dans Bilans_Hebdo.</t>
        </is>
      </c>
      <c r="F27" s="9" t="inlineStr">
        <is>
          <t>15 min</t>
        </is>
      </c>
    </row>
    <row r="29" ht="22" customHeight="1">
      <c r="B29" s="3" t="inlineStr">
        <is>
          <t>3. REMPLIR UNE LIGNE, PAS À PAS</t>
        </is>
      </c>
      <c r="C29" s="4" t="n"/>
      <c r="D29" s="4" t="n"/>
      <c r="E29" s="4" t="n"/>
      <c r="F29" s="4" t="n"/>
    </row>
    <row r="30" ht="20.5" customHeight="1">
      <c r="B30" s="10" t="inlineStr">
        <is>
          <t>EXEMPLE 1 — Je viens de visiter « Resto La Paix » (feuille Visites_Contacts, première ligne vide)</t>
        </is>
      </c>
    </row>
    <row r="31" ht="64" customHeight="1">
      <c r="B31" s="5" t="inlineStr">
        <is>
          <t>1) Date : cliquez la case, puis la flèche : choisissez aujourd'hui (premier de la liste).   2) Heure : choisissez dans la liste.   3) Type de contact : « Visite sur place ».   4) Client : tapez « Resto » puis choisissez « Resto La Paix [001] ».   5) Objet et Résultat : choisissez dans les listes.   6) S'il y a quelque chose à faire : date de la prochaine action (liste) et ce qu'il faut faire (ex. « Rappeler jeudi »).   C'est tout : le nom, le quartier et la semaine s'affichent seuls, et la fiche du client se met à jour.</t>
        </is>
      </c>
    </row>
    <row r="32" ht="20.5" customHeight="1">
      <c r="B32" s="10" t="inlineStr">
        <is>
          <t>EXEMPLE 2 — Le client commande 20 alvéoles et 5 poulets (feuille Commandes, deux lignes)</t>
        </is>
      </c>
    </row>
    <row r="33" ht="64" customHeight="1">
      <c r="B33" s="5" t="inlineStr">
        <is>
          <t>Ligne 1 : date, client, type « Commande », produit « Œufs frais - alvéole de 30 », quantité 20. Ligne 2 : mêmes date, client et type, produit « Poulet de chair entier », quantité 5. Le numéro de commande, le prix (celui de la feuille Listes), le montant et le statut se remplissent seuls. Quand c'est livré : choisissez la « Livraison réelle ». À la première livraison, le prospect devient « Client » tout seul.</t>
        </is>
      </c>
    </row>
    <row r="34" ht="20.5" customHeight="1">
      <c r="B34" s="10" t="inlineStr">
        <is>
          <t>EXEMPLE 3 — Le client paie 30 000 XAF en espèces (feuille Encaissements)</t>
        </is>
      </c>
    </row>
    <row r="35" ht="35" customHeight="1">
      <c r="B35" s="5" t="inlineStr">
        <is>
          <t>Date, client, montant, mode « Espèces ». La colonne « Reste dû par le client » vous montre ce qu'il doit encore. Quand vous remettez l'argent à l'entreprise, choisissez la « Date du versement » sur cette ligne.</t>
        </is>
      </c>
    </row>
    <row r="37" ht="22" customHeight="1">
      <c r="B37" s="3" t="inlineStr">
        <is>
          <t>4. CE QUI SE REMPLIT TOUT SEUL (les liens entre les feuilles)</t>
        </is>
      </c>
      <c r="C37" s="4" t="n"/>
      <c r="D37" s="4" t="n"/>
      <c r="E37" s="4" t="n"/>
      <c r="F37" s="4" t="n"/>
    </row>
    <row r="38" ht="24" customHeight="1">
      <c r="B38" s="7" t="inlineStr">
        <is>
          <t>Je saisis…</t>
        </is>
      </c>
      <c r="C38" s="7" t="inlineStr">
        <is>
          <t>…et cela apparaît automatiquement dans</t>
        </is>
      </c>
      <c r="D38" s="11" t="n"/>
      <c r="E38" s="11" t="n"/>
      <c r="F38" s="12" t="n"/>
    </row>
    <row r="39" ht="20.5" customHeight="1">
      <c r="B39" s="8" t="inlineStr">
        <is>
          <t>un client (Clients)</t>
        </is>
      </c>
      <c r="C39" s="9" t="inlineStr">
        <is>
          <t>les listes de Visites_Contacts, Commandes, Encaissements et Planning ; la feuille Fiche_Client ; son code et son statut</t>
        </is>
      </c>
      <c r="D39" s="11" t="n"/>
      <c r="E39" s="11" t="n"/>
      <c r="F39" s="12" t="n"/>
    </row>
    <row r="40" ht="35" customHeight="1">
      <c r="B40" s="8" t="inlineStr">
        <is>
          <t>une visite ou un appel</t>
        </is>
      </c>
      <c r="C40" s="9" t="inlineStr">
        <is>
          <t>Clients (dernier contact, prochaine action, nombre de visites) ; Journal (compteurs du jour) ; Rapport_Jour ; Rapport_Semaine ; Tableau_de_bord</t>
        </is>
      </c>
      <c r="D40" s="11" t="n"/>
      <c r="E40" s="11" t="n"/>
      <c r="F40" s="12" t="n"/>
    </row>
    <row r="41" ht="20.5" customHeight="1">
      <c r="B41" s="8" t="inlineStr">
        <is>
          <t>une commande livrée</t>
        </is>
      </c>
      <c r="C41" s="9" t="inlineStr">
        <is>
          <t>Clients (devient « Client », CA, dernier achat) ; Journal (CA du jour) ; Stock (vendu et restant) ; tous les rapports</t>
        </is>
      </c>
      <c r="D41" s="11" t="n"/>
      <c r="E41" s="11" t="n"/>
      <c r="F41" s="12" t="n"/>
    </row>
    <row r="42" ht="35" customHeight="1">
      <c r="B42" s="8" t="inlineStr">
        <is>
          <t>un paiement</t>
        </is>
      </c>
      <c r="C42" s="9" t="inlineStr">
        <is>
          <t>Clients (encaissé et reste à encaisser) ; Journal ; « espèces détenues » des rapports ; taux de recouvrement du tableau de bord</t>
        </is>
      </c>
      <c r="D42" s="11" t="n"/>
      <c r="E42" s="11" t="n"/>
      <c r="F42" s="12" t="n"/>
    </row>
    <row r="43" ht="20.5" customHeight="1">
      <c r="B43" s="8" t="inlineStr">
        <is>
          <t>une casse ou une perte</t>
        </is>
      </c>
      <c r="C43" s="9" t="inlineStr">
        <is>
          <t>Stock (restant) ; Journal (casses) ; rapports ; tableau de bord</t>
        </is>
      </c>
      <c r="D43" s="11" t="n"/>
      <c r="E43" s="11" t="n"/>
      <c r="F43" s="12" t="n"/>
    </row>
    <row r="44" ht="20.5" customHeight="1">
      <c r="B44" s="8" t="inlineStr">
        <is>
          <t>un objectif</t>
        </is>
      </c>
      <c r="C44" s="9" t="inlineStr">
        <is>
          <t>Rapport_Semaine, Plan_Mensuel, Équipe et Tableau_de_bord (taux d'atteinte coloré)</t>
        </is>
      </c>
      <c r="D44" s="11" t="n"/>
      <c r="E44" s="11" t="n"/>
      <c r="F44" s="12" t="n"/>
    </row>
    <row r="45" ht="35" customHeight="1">
      <c r="B45" s="8" t="inlineStr">
        <is>
          <t>un prix de référence (Listes)</t>
        </is>
      </c>
      <c r="C45" s="9" t="inlineStr">
        <is>
          <t>Commandes (prix appliqué, montant) et Stock (valeur des casses)</t>
        </is>
      </c>
      <c r="D45" s="11" t="n"/>
      <c r="E45" s="11" t="n"/>
      <c r="F45" s="12" t="n"/>
    </row>
    <row r="46" ht="35" customHeight="1">
      <c r="B46" s="8" t="inlineStr">
        <is>
          <t>mon code commercial (Paramètres)</t>
        </is>
      </c>
      <c r="C46" s="9" t="inlineStr">
        <is>
          <t>la colonne « Commercial » de toutes les feuilles et les références des lignes</t>
        </is>
      </c>
      <c r="D46" s="11" t="n"/>
      <c r="E46" s="11" t="n"/>
      <c r="F46" s="12" t="n"/>
    </row>
    <row r="48" ht="22" customHeight="1">
      <c r="B48" s="3" t="inlineStr">
        <is>
          <t>5. LES 4 RÈGLES D'OR</t>
        </is>
      </c>
      <c r="C48" s="4" t="n"/>
      <c r="D48" s="4" t="n"/>
      <c r="E48" s="4" t="n"/>
      <c r="F48" s="4" t="n"/>
    </row>
    <row r="49" ht="35" customHeight="1">
      <c r="B49" s="5" t="inlineStr">
        <is>
          <t>1.  Une ligne = un fait (une visite, un produit commandé, un paiement…). Ne regroupez pas, ne fusionnez pas de cellules dans les feuilles de saisie.</t>
        </is>
      </c>
    </row>
    <row r="50" ht="20.5" customHeight="1">
      <c r="B50" s="5" t="inlineStr">
        <is>
          <t>2.  Choisissez dans les listes plutôt que de taper : c'est ce qui rend les totaux justes. N'écrivez jamais dans une case grise.</t>
        </is>
      </c>
    </row>
    <row r="51" ht="20.5" customHeight="1">
      <c r="B51" s="5" t="inlineStr">
        <is>
          <t>3.  Remplissez sans laisser de ligne vide au milieu. Ne supprimez ni n'insérez de colonne ; ne renommez pas les feuilles.</t>
        </is>
      </c>
    </row>
    <row r="52" ht="20.5" customHeight="1">
      <c r="B52" s="5" t="inlineStr">
        <is>
          <t>4.  Une case ROUGE = il manque une information obligatoire, ou une date mal écrite : corrigez-la, les rapports en dépendent.</t>
        </is>
      </c>
    </row>
    <row r="54" ht="22" customHeight="1">
      <c r="B54" s="3" t="inlineStr">
        <is>
          <t>6. LES FEUILLES</t>
        </is>
      </c>
      <c r="C54" s="4" t="n"/>
      <c r="D54" s="4" t="n"/>
      <c r="E54" s="4" t="n"/>
      <c r="F54" s="4" t="n"/>
    </row>
    <row r="55" ht="24" customHeight="1">
      <c r="B55" s="7" t="inlineStr">
        <is>
          <t>Feuille</t>
        </is>
      </c>
      <c r="C55" s="7" t="inlineStr">
        <is>
          <t>Quand</t>
        </is>
      </c>
      <c r="D55" s="7" t="inlineStr">
        <is>
          <t>Qui</t>
        </is>
      </c>
      <c r="E55" s="7" t="inlineStr">
        <is>
          <t>À quoi elle sert</t>
        </is>
      </c>
    </row>
    <row r="56" ht="20.5" customHeight="1">
      <c r="B56" s="13" t="inlineStr">
        <is>
          <t>Paramètres</t>
        </is>
      </c>
      <c r="C56" s="9" t="inlineStr">
        <is>
          <t>Une fois</t>
        </is>
      </c>
      <c r="D56" s="9" t="inlineStr">
        <is>
          <t>Tous</t>
        </is>
      </c>
      <c r="E56" s="9" t="inlineStr">
        <is>
          <t>Identité, seuils d'alerte, équipe</t>
        </is>
      </c>
    </row>
    <row r="57" ht="35" customHeight="1">
      <c r="B57" s="13" t="inlineStr">
        <is>
          <t>Journal</t>
        </is>
      </c>
      <c r="C57" s="9" t="inlineStr">
        <is>
          <t>Chaque jour</t>
        </is>
      </c>
      <c r="D57" s="9" t="inlineStr">
        <is>
          <t>Commercial</t>
        </is>
      </c>
      <c r="E57" s="9" t="inlineStr">
        <is>
          <t>Une ligne par jour : heures, zone, frais, bilan (+ chiffres du jour calculés)</t>
        </is>
      </c>
    </row>
    <row r="58" ht="35" customHeight="1">
      <c r="B58" s="13" t="inlineStr">
        <is>
          <t>Visites_Contacts</t>
        </is>
      </c>
      <c r="C58" s="9" t="inlineStr">
        <is>
          <t>Chaque contact</t>
        </is>
      </c>
      <c r="D58" s="9" t="inlineStr">
        <is>
          <t>Commercial</t>
        </is>
      </c>
      <c r="E58" s="9" t="inlineStr">
        <is>
          <t>Chaque visite, appel ou message, avec résultat et prochaine action</t>
        </is>
      </c>
    </row>
    <row r="59" ht="35" customHeight="1">
      <c r="B59" s="13" t="inlineStr">
        <is>
          <t>Commandes</t>
        </is>
      </c>
      <c r="C59" s="9" t="inlineStr">
        <is>
          <t>Chaque commande</t>
        </is>
      </c>
      <c r="D59" s="9" t="inlineStr">
        <is>
          <t>Commercial</t>
        </is>
      </c>
      <c r="E59" s="9" t="inlineStr">
        <is>
          <t>Précommandes, commandes, ventes directes (une ligne par produit)</t>
        </is>
      </c>
    </row>
    <row r="60" ht="20.5" customHeight="1">
      <c r="B60" s="13" t="inlineStr">
        <is>
          <t>Encaissements</t>
        </is>
      </c>
      <c r="C60" s="9" t="inlineStr">
        <is>
          <t>Chaque paiement</t>
        </is>
      </c>
      <c r="D60" s="9" t="inlineStr">
        <is>
          <t>Commercial</t>
        </is>
      </c>
      <c r="E60" s="9" t="inlineStr">
        <is>
          <t>Paiements reçus et versement à l'entreprise</t>
        </is>
      </c>
    </row>
    <row r="61" ht="20.5" customHeight="1">
      <c r="B61" s="13" t="inlineStr">
        <is>
          <t>Clients</t>
        </is>
      </c>
      <c r="C61" s="9" t="inlineStr">
        <is>
          <t>Chaque nouveau contact</t>
        </is>
      </c>
      <c r="D61" s="9" t="inlineStr">
        <is>
          <t>Commercial</t>
        </is>
      </c>
      <c r="E61" s="9" t="inlineStr">
        <is>
          <t>Portefeuille, pipeline, alertes, CA par client</t>
        </is>
      </c>
    </row>
    <row r="62" ht="20.5" customHeight="1">
      <c r="B62" s="13" t="inlineStr">
        <is>
          <t>Planning</t>
        </is>
      </c>
      <c r="C62" s="9" t="inlineStr">
        <is>
          <t>Chaque semaine</t>
        </is>
      </c>
      <c r="D62" s="9" t="inlineStr">
        <is>
          <t>Commercial</t>
        </is>
      </c>
      <c r="E62" s="9" t="inlineStr">
        <is>
          <t>Visites à faire, semaine par semaine</t>
        </is>
      </c>
    </row>
    <row r="63" ht="20.5" customHeight="1">
      <c r="B63" s="13" t="inlineStr">
        <is>
          <t>Stock</t>
        </is>
      </c>
      <c r="C63" s="9" t="inlineStr">
        <is>
          <t>Chaque mouvement</t>
        </is>
      </c>
      <c r="D63" s="9" t="inlineStr">
        <is>
          <t>Commercial</t>
        </is>
      </c>
      <c r="E63" s="9" t="inlineStr">
        <is>
          <t>Marchandise reçue, rendue, cassée ou perdue</t>
        </is>
      </c>
    </row>
    <row r="64" ht="35" customHeight="1">
      <c r="B64" s="13" t="inlineStr">
        <is>
          <t>Objectifs</t>
        </is>
      </c>
      <c r="C64" s="9" t="inlineStr">
        <is>
          <t>Chaque semaine / mois</t>
        </is>
      </c>
      <c r="D64" s="9" t="inlineStr">
        <is>
          <t>Commercial, responsable</t>
        </is>
      </c>
      <c r="E64" s="9" t="inlineStr">
        <is>
          <t>Cibles de la semaine ou du mois</t>
        </is>
      </c>
    </row>
    <row r="65" ht="35" customHeight="1">
      <c r="B65" s="13" t="inlineStr">
        <is>
          <t>Bilans_Hebdo</t>
        </is>
      </c>
      <c r="C65" s="9" t="inlineStr">
        <is>
          <t>Chaque semaine</t>
        </is>
      </c>
      <c r="D65" s="9" t="inlineStr">
        <is>
          <t>Commercial, responsable</t>
        </is>
      </c>
      <c r="E65" s="9" t="inlineStr">
        <is>
          <t>Le texte du rapport de la semaine (+ chiffres de la semaine)</t>
        </is>
      </c>
    </row>
    <row r="66" ht="20.5" customHeight="1">
      <c r="B66" s="13" t="inlineStr">
        <is>
          <t>Fiche_Client</t>
        </is>
      </c>
      <c r="C66" s="9" t="inlineStr">
        <is>
          <t>Au besoin</t>
        </is>
      </c>
      <c r="D66" s="9" t="inlineStr">
        <is>
          <t>Tous</t>
        </is>
      </c>
      <c r="E66" s="9" t="inlineStr">
        <is>
          <t>Rechercher un client et voir toute son histoire</t>
        </is>
      </c>
    </row>
    <row r="67" ht="20.5" customHeight="1">
      <c r="B67" s="13" t="inlineStr">
        <is>
          <t>Rapport_Jour</t>
        </is>
      </c>
      <c r="C67" s="9" t="inlineStr">
        <is>
          <t>Chaque soir</t>
        </is>
      </c>
      <c r="D67" s="9" t="inlineStr">
        <is>
          <t>Tous</t>
        </is>
      </c>
      <c r="E67" s="9" t="inlineStr">
        <is>
          <t>Rapport journalier imprimable</t>
        </is>
      </c>
    </row>
    <row r="68" ht="20.5" customHeight="1">
      <c r="B68" s="13" t="inlineStr">
        <is>
          <t>Rapport_Semaine</t>
        </is>
      </c>
      <c r="C68" s="9" t="inlineStr">
        <is>
          <t>Chaque semaine</t>
        </is>
      </c>
      <c r="D68" s="9" t="inlineStr">
        <is>
          <t>Tous</t>
        </is>
      </c>
      <c r="E68" s="9" t="inlineStr">
        <is>
          <t>Rapport hebdomadaire avec graphiques</t>
        </is>
      </c>
    </row>
    <row r="69" ht="20.5" customHeight="1">
      <c r="B69" s="13" t="inlineStr">
        <is>
          <t>Plan_Mensuel</t>
        </is>
      </c>
      <c r="C69" s="9" t="inlineStr">
        <is>
          <t>Chaque mois</t>
        </is>
      </c>
      <c r="D69" s="9" t="inlineStr">
        <is>
          <t>Tous</t>
        </is>
      </c>
      <c r="E69" s="9" t="inlineStr">
        <is>
          <t>Plan et résultats du mois, semaine par semaine</t>
        </is>
      </c>
    </row>
    <row r="70" ht="20.5" customHeight="1">
      <c r="B70" s="13" t="inlineStr">
        <is>
          <t>Équipe</t>
        </is>
      </c>
      <c r="C70" s="9" t="inlineStr">
        <is>
          <t>Chaque semaine</t>
        </is>
      </c>
      <c r="D70" s="9" t="inlineStr">
        <is>
          <t>Responsable</t>
        </is>
      </c>
      <c r="E70" s="9" t="inlineStr">
        <is>
          <t>Comparaison des commerciaux</t>
        </is>
      </c>
    </row>
    <row r="71" ht="35" customHeight="1">
      <c r="B71" s="13" t="inlineStr">
        <is>
          <t>Listes</t>
        </is>
      </c>
      <c r="C71" s="9" t="inlineStr">
        <is>
          <t>Au besoin</t>
        </is>
      </c>
      <c r="D71" s="9" t="inlineStr">
        <is>
          <t>Responsable</t>
        </is>
      </c>
      <c r="E71" s="9" t="inlineStr">
        <is>
          <t>Choix des listes déroulantes, prix de référence (modifiable)</t>
        </is>
      </c>
    </row>
    <row r="72" ht="20.5" customHeight="1">
      <c r="B72" s="13" t="inlineStr">
        <is>
          <t>Correspondances</t>
        </is>
      </c>
      <c r="C72" s="9" t="inlineStr">
        <is>
          <t>—</t>
        </is>
      </c>
      <c r="D72" s="9" t="inlineStr">
        <is>
          <t>Équipe projet</t>
        </is>
      </c>
      <c r="E72" s="9" t="inlineStr">
        <is>
          <t>Où ira chaque colonne dans l'application (information)</t>
        </is>
      </c>
    </row>
    <row r="73" ht="35" customHeight="1">
      <c r="B73" s="13" t="inlineStr">
        <is>
          <t>Tableau_de_bord</t>
        </is>
      </c>
      <c r="C73" s="9" t="inlineStr">
        <is>
          <t>Chaque semaine</t>
        </is>
      </c>
      <c r="D73" s="9" t="inlineStr">
        <is>
          <t>Tous</t>
        </is>
      </c>
      <c r="E73" s="9" t="inlineStr">
        <is>
          <t>Indicateurs clés et leur évolution sur 12 semaines (dernière page)</t>
        </is>
      </c>
    </row>
    <row r="75" ht="22" customHeight="1">
      <c r="B75" s="3" t="inlineStr">
        <is>
          <t>7. VOCABULAIRE</t>
        </is>
      </c>
      <c r="C75" s="4" t="n"/>
      <c r="D75" s="4" t="n"/>
      <c r="E75" s="4" t="n"/>
      <c r="F75" s="4" t="n"/>
    </row>
    <row r="76" ht="24" customHeight="1">
      <c r="B76" s="7" t="inlineStr">
        <is>
          <t>Mot</t>
        </is>
      </c>
      <c r="C76" s="7" t="inlineStr">
        <is>
          <t>Ce que cela veut dire</t>
        </is>
      </c>
      <c r="D76" s="11" t="n"/>
      <c r="E76" s="11" t="n"/>
      <c r="F76" s="12" t="n"/>
    </row>
    <row r="77" ht="35" customHeight="1">
      <c r="B77" s="8" t="inlineStr">
        <is>
          <t>Prospect / Client / Perdu</t>
        </is>
      </c>
      <c r="C77" s="9" t="inlineStr">
        <is>
          <t>Un prospect n'a pas encore acheté ; il devient Client automatiquement à sa première livraison ; marquez « Compte perdu ? » s'il renonce (avec le motif).</t>
        </is>
      </c>
      <c r="D77" s="11" t="n"/>
      <c r="E77" s="11" t="n"/>
      <c r="F77" s="12" t="n"/>
    </row>
    <row r="78" ht="35" customHeight="1">
      <c r="B78" s="8" t="inlineStr">
        <is>
          <t>Précommande</t>
        </is>
      </c>
      <c r="C78" s="9" t="inlineStr">
        <is>
          <t>Commande prise avant que la marchandise soit disponible (ex. premiers poulets). Elle n'entre dans le chiffre d'affaires qu'à la livraison.</t>
        </is>
      </c>
      <c r="D78" s="11" t="n"/>
      <c r="E78" s="11" t="n"/>
      <c r="F78" s="12" t="n"/>
    </row>
    <row r="79" ht="20.5" customHeight="1">
      <c r="B79" s="8" t="inlineStr">
        <is>
          <t>Vente directe</t>
        </is>
      </c>
      <c r="C79" s="9" t="inlineStr">
        <is>
          <t>Marchandise livrée et payée sur place, sans commande préalable : elle est livrée à la date de la vente.</t>
        </is>
      </c>
      <c r="D79" s="11" t="n"/>
      <c r="E79" s="11" t="n"/>
      <c r="F79" s="12" t="n"/>
    </row>
    <row r="80" ht="35" customHeight="1">
      <c r="B80" s="8" t="inlineStr">
        <is>
          <t>Chiffre d'affaires réalisé</t>
        </is>
      </c>
      <c r="C80" s="9" t="inlineStr">
        <is>
          <t>Valeur des lignes livrées, comptée à la date de livraison.</t>
        </is>
      </c>
      <c r="D80" s="11" t="n"/>
      <c r="E80" s="11" t="n"/>
      <c r="F80" s="12" t="n"/>
    </row>
    <row r="81" ht="35" customHeight="1">
      <c r="B81" s="8" t="inlineStr">
        <is>
          <t>Commande prévisionnelle par jour</t>
        </is>
      </c>
      <c r="C81" s="9" t="inlineStr">
        <is>
          <t>Quantité qu'un point de vente pourrait commander chaque jour, estimée à la prospection (Clients, « Potentiel estimé par jour »).</t>
        </is>
      </c>
      <c r="D81" s="11" t="n"/>
      <c r="E81" s="11" t="n"/>
      <c r="F81" s="12" t="n"/>
    </row>
    <row r="82" ht="20.5" customHeight="1">
      <c r="B82" s="8" t="inlineStr">
        <is>
          <t>Panier moyen</t>
        </is>
      </c>
      <c r="C82" s="9" t="inlineStr">
        <is>
          <t>Chiffre d'affaires divisé par le nombre de ventes (un client servi un jour = une vente).</t>
        </is>
      </c>
      <c r="D82" s="11" t="n"/>
      <c r="E82" s="11" t="n"/>
      <c r="F82" s="12" t="n"/>
    </row>
    <row r="83" ht="20.5" customHeight="1">
      <c r="B83" s="8" t="inlineStr">
        <is>
          <t>Taux de conversion</t>
        </is>
      </c>
      <c r="C83" s="9" t="inlineStr">
        <is>
          <t>Part des visites sur place qui se terminent par une commande prise.</t>
        </is>
      </c>
      <c r="D83" s="11" t="n"/>
      <c r="E83" s="11" t="n"/>
      <c r="F83" s="12" t="n"/>
    </row>
    <row r="84" ht="20.5" customHeight="1">
      <c r="B84" s="8" t="inlineStr">
        <is>
          <t>Espèces détenues</t>
        </is>
      </c>
      <c r="C84" s="9" t="inlineStr">
        <is>
          <t>Espèces encaissées et pas encore versées à l'entreprise.</t>
        </is>
      </c>
      <c r="D84" s="11" t="n"/>
      <c r="E84" s="11" t="n"/>
      <c r="F84" s="12" t="n"/>
    </row>
    <row r="86" ht="22" customHeight="1">
      <c r="B86" s="3" t="inlineStr">
        <is>
          <t>8. CE QUI A ÉTÉ REPRIS DE LA FICHE DE SEPTEMBRE 2026</t>
        </is>
      </c>
      <c r="C86" s="4" t="n"/>
      <c r="D86" s="4" t="n"/>
      <c r="E86" s="4" t="n"/>
      <c r="F86" s="4" t="n"/>
    </row>
    <row r="87" ht="49.5" customHeight="1">
      <c r="B87" s="14" t="inlineStr">
        <is>
          <t>Les chiffres de votre fiche « ÉTAT DE DÉPLOIEMENT SEPTEMBRE » sont déjà dans ce classeur : vous n'avez pas à les ressaisir, seulement à les compléter au fil des visites. Le petit tableau « RECAP » des SIM n'a pas été repris : il se trouvait là par erreur (modèle d'une autre activité).</t>
        </is>
      </c>
    </row>
    <row r="88" ht="24" customHeight="1">
      <c r="B88" s="7" t="inlineStr">
        <is>
          <t>Dans votre fiche</t>
        </is>
      </c>
      <c r="C88" s="12" t="n"/>
      <c r="D88" s="7" t="inlineStr">
        <is>
          <t>Dans ce classeur</t>
        </is>
      </c>
      <c r="E88" s="12" t="n"/>
      <c r="F88" s="7" t="inlineStr">
        <is>
          <t>Où</t>
        </is>
      </c>
    </row>
    <row r="89" ht="35" customHeight="1">
      <c r="B89" s="8" t="inlineStr">
        <is>
          <t>26 points de vente des semaines 1, 2 et 4, avec leur numéro GSM</t>
        </is>
      </c>
      <c r="C89" s="12" t="n"/>
      <c r="D89" s="9" t="inlineStr">
        <is>
          <t>Un prospect par ligne : nom, type, téléphone, localisation, source, statut</t>
        </is>
      </c>
      <c r="E89" s="12" t="n"/>
      <c r="F89" s="9" t="inlineStr">
        <is>
          <t>Clients</t>
        </is>
      </c>
    </row>
    <row r="90" ht="35" customHeight="1">
      <c r="B90" s="8" t="inlineStr">
        <is>
          <t>Commande prévisionnelle par jour de chaque point de vente</t>
        </is>
      </c>
      <c r="C90" s="12" t="n"/>
      <c r="D90" s="9" t="inlineStr">
        <is>
          <t>Colonne « Potentiel estimé par jour »</t>
        </is>
      </c>
      <c r="E90" s="12" t="n"/>
      <c r="F90" s="9" t="inlineStr">
        <is>
          <t>Clients</t>
        </is>
      </c>
    </row>
    <row r="91" ht="35" customHeight="1">
      <c r="B91" s="8" t="inlineStr">
        <is>
          <t>Type de point de vente (RESTO, PARTICULIER, REVENDEUR)</t>
        </is>
      </c>
      <c r="C91" s="12" t="n"/>
      <c r="D91" s="9" t="inlineStr">
        <is>
          <t>Type de client (Restaurant, Particulier / ménage, Revendeur)</t>
        </is>
      </c>
      <c r="E91" s="12" t="n"/>
      <c r="F91" s="9" t="inlineStr">
        <is>
          <t>Clients</t>
        </is>
      </c>
    </row>
    <row r="92" ht="35" customHeight="1">
      <c r="B92" s="8" t="inlineStr">
        <is>
          <t>Découpage en semaines 1, 2 et 4</t>
        </is>
      </c>
      <c r="C92" s="12" t="n"/>
      <c r="D92" s="9" t="inlineStr">
        <is>
          <t>Une ligne de planning par point de vente avec son numéro de semaine (septembre 2026)</t>
        </is>
      </c>
      <c r="E92" s="12" t="n"/>
      <c r="F92" s="9" t="inlineStr">
        <is>
          <t>Planning</t>
        </is>
      </c>
    </row>
    <row r="93" ht="20.5" customHeight="1">
      <c r="B93" s="8" t="inlineStr">
        <is>
          <t>TOTAL COMMANDE PRÉVISIONNELLE JOUR</t>
        </is>
      </c>
      <c r="C93" s="12" t="n"/>
      <c r="D93" s="9" t="inlineStr">
        <is>
          <t>Calculé : semaine 1 = 51, semaine 2 = 39, semaine 4 = 45, soit 135 par jour</t>
        </is>
      </c>
      <c r="E93" s="12" t="n"/>
      <c r="F93" s="9" t="inlineStr">
        <is>
          <t>Plan_Mensuel</t>
        </is>
      </c>
    </row>
    <row r="94" ht="64" customHeight="1">
      <c r="B94" s="5" t="inlineStr">
        <is>
          <t>Valeurs de départ retenues (modifiables directement) : noms construits d'après le type et la localisation ; type déduit du libellé pour les semaines 1 et 2 quand il est explicite (hôtel, boulangerie, marché), sinon « Autre » ; étape « Nouveau », source « Prospection terrain », date de création = premier jour de la semaine de ciblage (1er, 7 et 21 septembre 2026) ; code commercial « COM01 » prérempli dans Paramètres, à remplacer par le vôtre.</t>
        </is>
      </c>
    </row>
    <row r="96" ht="35" customHeight="1">
      <c r="B96" s="14" t="inlineStr">
        <is>
          <t>Besoin d'aide ou d'une évolution de la fiche ? Contactez la direction commerciale. Cette fiche sera chargée dans l'application GIC AGROPELC à son ouverture ; gardez-la à jour, c'est ce qui permettra de reprendre votre historique.</t>
        </is>
      </c>
    </row>
  </sheetData>
  <mergeCells count="55">
    <mergeCell ref="B4:F4"/>
    <mergeCell ref="B91:C91"/>
    <mergeCell ref="B75:F75"/>
    <mergeCell ref="B7:F7"/>
    <mergeCell ref="C39:F39"/>
    <mergeCell ref="B54:F54"/>
    <mergeCell ref="B90:C90"/>
    <mergeCell ref="D90:E90"/>
    <mergeCell ref="C38:F38"/>
    <mergeCell ref="C82:F82"/>
    <mergeCell ref="B31:F31"/>
    <mergeCell ref="B93:C93"/>
    <mergeCell ref="C81:F81"/>
    <mergeCell ref="B96:F96"/>
    <mergeCell ref="B52:F52"/>
    <mergeCell ref="C78:F78"/>
    <mergeCell ref="B48:F48"/>
    <mergeCell ref="B86:F86"/>
    <mergeCell ref="C77:F77"/>
    <mergeCell ref="C83:F83"/>
    <mergeCell ref="B8:F8"/>
    <mergeCell ref="C42:F42"/>
    <mergeCell ref="B88:C88"/>
    <mergeCell ref="D91:E91"/>
    <mergeCell ref="B29:F29"/>
    <mergeCell ref="C45:F45"/>
    <mergeCell ref="C76:F76"/>
    <mergeCell ref="C79:F79"/>
    <mergeCell ref="B87:F87"/>
    <mergeCell ref="B34:F34"/>
    <mergeCell ref="B10:F10"/>
    <mergeCell ref="B37:F37"/>
    <mergeCell ref="D93:E93"/>
    <mergeCell ref="C41:F41"/>
    <mergeCell ref="C44:F44"/>
    <mergeCell ref="B49:F49"/>
    <mergeCell ref="B30:F30"/>
    <mergeCell ref="C40:F40"/>
    <mergeCell ref="C84:F84"/>
    <mergeCell ref="B92:C92"/>
    <mergeCell ref="C80:F80"/>
    <mergeCell ref="D92:E92"/>
    <mergeCell ref="B6:F6"/>
    <mergeCell ref="B33:F33"/>
    <mergeCell ref="C43:F43"/>
    <mergeCell ref="D88:E88"/>
    <mergeCell ref="B5:F5"/>
    <mergeCell ref="C46:F46"/>
    <mergeCell ref="B51:F51"/>
    <mergeCell ref="B89:C89"/>
    <mergeCell ref="D89:E89"/>
    <mergeCell ref="B94:F94"/>
    <mergeCell ref="B32:F32"/>
    <mergeCell ref="B50:F50"/>
    <mergeCell ref="B35:F35"/>
  </mergeCells>
  <hyperlinks>
    <hyperlink xmlns:r="http://schemas.openxmlformats.org/officeDocument/2006/relationships" ref="B56" r:id="rId1"/>
    <hyperlink xmlns:r="http://schemas.openxmlformats.org/officeDocument/2006/relationships" ref="B57" r:id="rId2"/>
    <hyperlink xmlns:r="http://schemas.openxmlformats.org/officeDocument/2006/relationships" ref="B58" r:id="rId3"/>
    <hyperlink xmlns:r="http://schemas.openxmlformats.org/officeDocument/2006/relationships" ref="B59" r:id="rId4"/>
    <hyperlink xmlns:r="http://schemas.openxmlformats.org/officeDocument/2006/relationships" ref="B60" r:id="rId5"/>
    <hyperlink xmlns:r="http://schemas.openxmlformats.org/officeDocument/2006/relationships" ref="B61" r:id="rId6"/>
    <hyperlink xmlns:r="http://schemas.openxmlformats.org/officeDocument/2006/relationships" ref="B62" r:id="rId7"/>
    <hyperlink xmlns:r="http://schemas.openxmlformats.org/officeDocument/2006/relationships" ref="B63" r:id="rId8"/>
    <hyperlink xmlns:r="http://schemas.openxmlformats.org/officeDocument/2006/relationships" ref="B64" r:id="rId9"/>
    <hyperlink xmlns:r="http://schemas.openxmlformats.org/officeDocument/2006/relationships" ref="B65" r:id="rId10"/>
    <hyperlink xmlns:r="http://schemas.openxmlformats.org/officeDocument/2006/relationships" ref="B66" r:id="rId11"/>
    <hyperlink xmlns:r="http://schemas.openxmlformats.org/officeDocument/2006/relationships" ref="B67" r:id="rId12"/>
    <hyperlink xmlns:r="http://schemas.openxmlformats.org/officeDocument/2006/relationships" ref="B68" r:id="rId13"/>
    <hyperlink xmlns:r="http://schemas.openxmlformats.org/officeDocument/2006/relationships" ref="B69" r:id="rId14"/>
    <hyperlink xmlns:r="http://schemas.openxmlformats.org/officeDocument/2006/relationships" ref="B70" r:id="rId15"/>
    <hyperlink xmlns:r="http://schemas.openxmlformats.org/officeDocument/2006/relationships" ref="B71" r:id="rId16"/>
    <hyperlink xmlns:r="http://schemas.openxmlformats.org/officeDocument/2006/relationships" ref="B72" r:id="rId17"/>
    <hyperlink xmlns:r="http://schemas.openxmlformats.org/officeDocument/2006/relationships" ref="B73" r:id="rId18"/>
  </hyperlinks>
  <printOptions horizontalCentered="1"/>
  <pageMargins left="0.4" right="0.4" top="0.5" bottom="0.5" header="0.5" footer="0.5"/>
  <pageSetup orientation="portrait" paperSize="9" fitToHeight="0" fitToWidth="1"/>
</worksheet>
</file>

<file path=xl/worksheets/sheet2.xml><?xml version="1.0" encoding="utf-8"?>
<worksheet xmlns="http://schemas.openxmlformats.org/spreadsheetml/2006/main">
  <sheetPr>
    <tabColor rgb="001F4D3A"/>
    <outlinePr summaryBelow="1" summaryRight="1"/>
    <pageSetUpPr fitToPage="1"/>
  </sheetPr>
  <dimension ref="B1:F35"/>
  <sheetViews>
    <sheetView showGridLines="0" tabSelected="0" zoomScale="90" workbookViewId="0">
      <pane ySplit="3" topLeftCell="A4" activePane="bottomLeft" state="frozen"/>
      <selection pane="bottomLeft" activeCell="A1" sqref="A1"/>
    </sheetView>
  </sheetViews>
  <sheetFormatPr baseColWidth="8" defaultRowHeight="15"/>
  <cols>
    <col width="3" customWidth="1" min="1" max="1"/>
    <col width="46" customWidth="1" min="2" max="2"/>
    <col width="34" customWidth="1" min="3" max="3"/>
    <col width="40" customWidth="1" min="4" max="4"/>
    <col width="24" customWidth="1" min="5" max="5"/>
    <col width="18" customWidth="1" min="6" max="6"/>
  </cols>
  <sheetData>
    <row r="1" ht="26" customHeight="1">
      <c r="B1" s="15" t="inlineStr">
        <is>
          <t>PARAMÈTRES — qui remplit cette fiche ?</t>
        </is>
      </c>
    </row>
    <row r="2">
      <c r="B2" s="2" t="inlineStr">
        <is>
          <t>À remplir une seule fois, avant la première saisie. Les cellules jaunes se saisissent ; les cellules grises se calculent.</t>
        </is>
      </c>
    </row>
    <row r="3">
      <c r="B3" s="16" t="inlineStr">
        <is>
          <t>◄ Sommaire</t>
        </is>
      </c>
    </row>
    <row r="4" ht="22" customHeight="1">
      <c r="B4" s="3" t="inlineStr">
        <is>
          <t>1. MON IDENTITÉ</t>
        </is>
      </c>
      <c r="C4" s="4" t="n"/>
      <c r="D4" s="4" t="n"/>
      <c r="E4" s="4" t="n"/>
      <c r="F4" s="4" t="n"/>
    </row>
    <row r="5">
      <c r="B5" s="17" t="inlineStr">
        <is>
          <t>Nom et prénom du commercial</t>
        </is>
      </c>
      <c r="C5" s="18" t="n"/>
      <c r="D5" s="19" t="inlineStr">
        <is>
          <t>Ex. Awa Mbarga</t>
        </is>
      </c>
    </row>
    <row r="6">
      <c r="B6" s="17" t="inlineStr">
        <is>
          <t>Code commercial</t>
        </is>
      </c>
      <c r="C6" s="20" t="inlineStr">
        <is>
          <t>COM01</t>
        </is>
      </c>
      <c r="D6" s="19" t="inlineStr">
        <is>
          <t>Ex. COM01 — à saisir une seule fois, avant tout le reste</t>
        </is>
      </c>
    </row>
    <row r="7">
      <c r="B7" s="17" t="inlineStr">
        <is>
          <t>Fonction</t>
        </is>
      </c>
      <c r="C7" s="18" t="n"/>
      <c r="D7" s="19" t="inlineStr">
        <is>
          <t>Choisir dans la liste</t>
        </is>
      </c>
    </row>
    <row r="8">
      <c r="B8" s="17" t="inlineStr">
        <is>
          <t>Zone / secteur principal</t>
        </is>
      </c>
      <c r="C8" s="18" t="n"/>
      <c r="D8" s="19" t="inlineStr">
        <is>
          <t>Choisir dans la liste</t>
        </is>
      </c>
    </row>
    <row r="9">
      <c r="B9" s="17" t="inlineStr">
        <is>
          <t>Téléphone</t>
        </is>
      </c>
      <c r="C9" s="20" t="n"/>
    </row>
    <row r="10">
      <c r="B10" s="17" t="inlineStr">
        <is>
          <t>Responsable direct</t>
        </is>
      </c>
      <c r="C10" s="18" t="n"/>
    </row>
    <row r="11">
      <c r="B11" s="17" t="inlineStr">
        <is>
          <t>Date de début d'utilisation de la fiche</t>
        </is>
      </c>
      <c r="C11" s="21" t="n"/>
      <c r="D11" s="19" t="inlineStr">
        <is>
          <t>Choisir dans la liste de dates</t>
        </is>
      </c>
    </row>
    <row r="12">
      <c r="B12" s="17" t="inlineStr">
        <is>
          <t>Identifiant utilisé dans toutes les feuilles</t>
        </is>
      </c>
      <c r="C12" s="22">
        <f>IF(C6="","À RENSEIGNER",C6)</f>
        <v/>
      </c>
      <c r="D12" s="19" t="inlineStr">
        <is>
          <t>Calculé : tant que le code est vide, « À RENSEIGNER » apparaît dans les feuilles.</t>
        </is>
      </c>
    </row>
    <row r="14" ht="22" customHeight="1">
      <c r="B14" s="3" t="inlineStr">
        <is>
          <t>2. SEUILS D'ALERTE (colonne « Alerte » de la feuille Clients)</t>
        </is>
      </c>
      <c r="C14" s="4" t="n"/>
      <c r="D14" s="4" t="n"/>
      <c r="E14" s="4" t="n"/>
      <c r="F14" s="4" t="n"/>
    </row>
    <row r="15">
      <c r="B15" s="17" t="inlineStr">
        <is>
          <t>Jours sans achat avant « client inactif »</t>
        </is>
      </c>
      <c r="C15" s="23" t="n">
        <v>30</v>
      </c>
    </row>
    <row r="16">
      <c r="B16" s="17" t="inlineStr">
        <is>
          <t>Jours avant « prospect jamais visité »</t>
        </is>
      </c>
      <c r="C16" s="23" t="n">
        <v>7</v>
      </c>
    </row>
    <row r="18" ht="22" customHeight="1">
      <c r="B18" s="3" t="inlineStr">
        <is>
          <t>3. MON ÉQUIPE (pour le responsable commercial)</t>
        </is>
      </c>
      <c r="C18" s="4" t="n"/>
      <c r="D18" s="4" t="n"/>
      <c r="E18" s="4" t="n"/>
      <c r="F18" s="4" t="n"/>
    </row>
    <row r="19">
      <c r="B19" s="19" t="inlineStr">
        <is>
          <t>Listez ici les commerciaux suivis : ils alimentent les listes « Commercial » et la feuille Équipe. Un commercial seul peut laisser ce tableau vide.</t>
        </is>
      </c>
    </row>
    <row r="20" ht="22" customHeight="1">
      <c r="B20" s="7" t="inlineStr">
        <is>
          <t>Code</t>
        </is>
      </c>
      <c r="C20" s="7" t="inlineStr">
        <is>
          <t>Nom et prénom</t>
        </is>
      </c>
      <c r="D20" s="7" t="inlineStr">
        <is>
          <t>Fonction</t>
        </is>
      </c>
      <c r="E20" s="7" t="inlineStr">
        <is>
          <t>Zone</t>
        </is>
      </c>
      <c r="F20" s="7" t="inlineStr">
        <is>
          <t>Téléphone</t>
        </is>
      </c>
    </row>
    <row r="21" ht="18" customHeight="1">
      <c r="B21" s="24" t="n"/>
      <c r="C21" s="25" t="n"/>
      <c r="D21" s="25" t="n"/>
      <c r="E21" s="25" t="n"/>
      <c r="F21" s="26" t="n"/>
    </row>
    <row r="22" ht="18" customHeight="1">
      <c r="B22" s="24" t="n"/>
      <c r="C22" s="25" t="n"/>
      <c r="D22" s="25" t="n"/>
      <c r="E22" s="25" t="n"/>
      <c r="F22" s="26" t="n"/>
    </row>
    <row r="23" ht="18" customHeight="1">
      <c r="B23" s="24" t="n"/>
      <c r="C23" s="25" t="n"/>
      <c r="D23" s="25" t="n"/>
      <c r="E23" s="25" t="n"/>
      <c r="F23" s="26" t="n"/>
    </row>
    <row r="24" ht="18" customHeight="1">
      <c r="B24" s="24" t="n"/>
      <c r="C24" s="25" t="n"/>
      <c r="D24" s="25" t="n"/>
      <c r="E24" s="25" t="n"/>
      <c r="F24" s="26" t="n"/>
    </row>
    <row r="25" ht="18" customHeight="1">
      <c r="B25" s="24" t="n"/>
      <c r="C25" s="25" t="n"/>
      <c r="D25" s="25" t="n"/>
      <c r="E25" s="25" t="n"/>
      <c r="F25" s="26" t="n"/>
    </row>
    <row r="26" ht="18" customHeight="1">
      <c r="B26" s="24" t="n"/>
      <c r="C26" s="25" t="n"/>
      <c r="D26" s="25" t="n"/>
      <c r="E26" s="25" t="n"/>
      <c r="F26" s="26" t="n"/>
    </row>
    <row r="27" ht="18" customHeight="1">
      <c r="B27" s="24" t="n"/>
      <c r="C27" s="25" t="n"/>
      <c r="D27" s="25" t="n"/>
      <c r="E27" s="25" t="n"/>
      <c r="F27" s="26" t="n"/>
    </row>
    <row r="28" ht="18" customHeight="1">
      <c r="B28" s="24" t="n"/>
      <c r="C28" s="25" t="n"/>
      <c r="D28" s="25" t="n"/>
      <c r="E28" s="25" t="n"/>
      <c r="F28" s="26" t="n"/>
    </row>
    <row r="29" ht="18" customHeight="1">
      <c r="B29" s="24" t="n"/>
      <c r="C29" s="25" t="n"/>
      <c r="D29" s="25" t="n"/>
      <c r="E29" s="25" t="n"/>
      <c r="F29" s="26" t="n"/>
    </row>
    <row r="30" ht="18" customHeight="1">
      <c r="B30" s="24" t="n"/>
      <c r="C30" s="25" t="n"/>
      <c r="D30" s="25" t="n"/>
      <c r="E30" s="25" t="n"/>
      <c r="F30" s="26" t="n"/>
    </row>
    <row r="31" ht="18" customHeight="1">
      <c r="B31" s="24" t="n"/>
      <c r="C31" s="25" t="n"/>
      <c r="D31" s="25" t="n"/>
      <c r="E31" s="25" t="n"/>
      <c r="F31" s="26" t="n"/>
    </row>
    <row r="32" ht="18" customHeight="1">
      <c r="B32" s="24" t="n"/>
      <c r="C32" s="25" t="n"/>
      <c r="D32" s="25" t="n"/>
      <c r="E32" s="25" t="n"/>
      <c r="F32" s="26" t="n"/>
    </row>
    <row r="33" ht="18" customHeight="1">
      <c r="B33" s="24" t="n"/>
      <c r="C33" s="25" t="n"/>
      <c r="D33" s="25" t="n"/>
      <c r="E33" s="25" t="n"/>
      <c r="F33" s="26" t="n"/>
    </row>
    <row r="34" ht="18" customHeight="1">
      <c r="B34" s="24" t="n"/>
      <c r="C34" s="25" t="n"/>
      <c r="D34" s="25" t="n"/>
      <c r="E34" s="25" t="n"/>
      <c r="F34" s="26" t="n"/>
    </row>
    <row r="35" ht="18" customHeight="1">
      <c r="B35" s="24" t="n"/>
      <c r="C35" s="25" t="n"/>
      <c r="D35" s="25" t="n"/>
      <c r="E35" s="25" t="n"/>
      <c r="F35" s="26" t="n"/>
    </row>
  </sheetData>
  <mergeCells count="3">
    <mergeCell ref="B4:F4"/>
    <mergeCell ref="B18:F18"/>
    <mergeCell ref="B14:F14"/>
  </mergeCells>
  <dataValidations count="7">
    <dataValidation sqref="C7" showDropDown="0" showInputMessage="0" showErrorMessage="1" allowBlank="1" errorTitle="Valeur hors liste" error="Cette valeur n'est pas dans la liste. Choisissez-la avec la flèche à droite de la cellule." type="list" errorStyle="stop">
      <formula1>=L_Fonction</formula1>
    </dataValidation>
    <dataValidation sqref="C8"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 sqref="C11"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C15" showDropDown="0" showInputMessage="0" showErrorMessage="1" allowBlank="1" errorTitle="Nombre entier attendu" error="Saisissez un nombre entier entre 1 et 365." type="whole" errorStyle="stop" operator="between">
      <formula1>1</formula1>
      <formula2>365</formula2>
    </dataValidation>
    <dataValidation sqref="C16" showDropDown="0" showInputMessage="0" showErrorMessage="1" allowBlank="1" errorTitle="Nombre entier attendu" error="Saisissez un nombre entier entre 1 et 365." type="whole" errorStyle="stop" operator="between">
      <formula1>1</formula1>
      <formula2>365</formula2>
    </dataValidation>
    <dataValidation sqref="D21:D35" showDropDown="0" showInputMessage="0" showErrorMessage="1" allowBlank="1" errorTitle="Valeur hors liste" error="Cette valeur n'est pas dans la liste. Choisissez-la avec la flèche à droite de la cellule." type="list" errorStyle="stop">
      <formula1>=L_Fonction</formula1>
    </dataValidation>
    <dataValidation sqref="E21:E35"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s>
  <hyperlinks>
    <hyperlink xmlns:r="http://schemas.openxmlformats.org/officeDocument/2006/relationships" ref="B3" r:id="rId1"/>
  </hyperlinks>
  <printOptions horizontalCentered="1"/>
  <pageMargins left="0.4" right="0.4" top="0.5" bottom="0.5" header="0.5" footer="0.5"/>
  <pageSetup orientation="portrait" paperSize="9" fitToHeight="0" fitToWidth="1"/>
</worksheet>
</file>

<file path=xl/worksheets/sheet3.xml><?xml version="1.0" encoding="utf-8"?>
<worksheet xmlns="http://schemas.openxmlformats.org/spreadsheetml/2006/main">
  <sheetPr>
    <tabColor rgb="002F6EBA"/>
    <outlinePr summaryBelow="1" summaryRight="1"/>
    <pageSetUpPr fitToPage="1"/>
  </sheetPr>
  <dimension ref="A1:V205"/>
  <sheetViews>
    <sheetView tabSelected="0" zoomScale="90"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1" customWidth="1" min="3" max="3"/>
    <col width="10" customWidth="1" min="4" max="4"/>
    <col width="11" customWidth="1" min="5" max="5"/>
    <col width="11" customWidth="1" min="6" max="6"/>
    <col width="20" customWidth="1" min="7" max="7"/>
    <col width="13" customWidth="1" min="8" max="8"/>
    <col width="9" customWidth="1" min="9" max="9"/>
    <col width="10" customWidth="1" min="10" max="10"/>
    <col width="10" customWidth="1" min="11" max="11"/>
    <col width="10" customWidth="1" min="12" max="12"/>
    <col width="10" customWidth="1" min="13" max="13"/>
    <col width="13" customWidth="1" min="14" max="14"/>
    <col width="14" customWidth="1" min="15" max="15"/>
    <col width="14" customWidth="1" min="16" max="16"/>
    <col width="14" customWidth="1" min="17" max="17"/>
    <col width="13" customWidth="1" min="18" max="18"/>
    <col width="36" customWidth="1" min="19" max="19"/>
    <col width="36" customWidth="1" min="20" max="20"/>
    <col width="32" customWidth="1" min="21" max="21"/>
    <col width="36" customWidth="1" min="22" max="22"/>
  </cols>
  <sheetData>
    <row r="1" ht="26" customHeight="1">
      <c r="A1" s="15" t="inlineStr">
        <is>
          <t>JOURNAL DU COMMERCIAL — mon rapport de chaque jour</t>
        </is>
      </c>
    </row>
    <row r="2" ht="18" customHeight="1">
      <c r="A2" s="2" t="inlineStr">
        <is>
          <t>Une ligne par jour travaillé : choisissez la date et les heures dans les listes, puis le bilan en quelques mots. Les chiffres du jour se calculent seuls ; le rapport imprimable est dans « Rapport_Jour ».</t>
        </is>
      </c>
    </row>
    <row r="3" ht="22" customHeight="1">
      <c r="A3" s="16" t="inlineStr">
        <is>
          <t>◄ Sommaire</t>
        </is>
      </c>
      <c r="C3" s="27" t="inlineStr">
        <is>
          <t>Saisie</t>
        </is>
      </c>
      <c r="D3" s="28" t="inlineStr">
        <is>
          <t>Calculé</t>
        </is>
      </c>
      <c r="E3" s="29" t="inlineStr">
        <is>
          <t>À compléter</t>
        </is>
      </c>
    </row>
    <row r="4" ht="40" customHeight="1">
      <c r="A4" s="30" t="inlineStr">
        <is>
          <t>Liste de dates (aujourd'hui en tête)</t>
        </is>
      </c>
      <c r="B4" s="30" t="inlineStr">
        <is>
          <t>Rempli seul (Paramètres) ; remplaçable</t>
        </is>
      </c>
      <c r="C4" s="30" t="inlineStr">
        <is>
          <t>Calculé</t>
        </is>
      </c>
      <c r="D4" s="30" t="inlineStr">
        <is>
          <t>Calculé (ISO)</t>
        </is>
      </c>
      <c r="E4" s="30" t="inlineStr">
        <is>
          <t>Liste d'heures</t>
        </is>
      </c>
      <c r="F4" s="30" t="inlineStr">
        <is>
          <t>Liste d'heures</t>
        </is>
      </c>
      <c r="G4" s="30" t="inlineStr">
        <is>
          <t>Liste</t>
        </is>
      </c>
      <c r="H4" s="30" t="inlineStr">
        <is>
          <t>Liste (ou autre montant)</t>
        </is>
      </c>
      <c r="I4" s="30" t="inlineStr">
        <is>
          <t>Calculé</t>
        </is>
      </c>
      <c r="J4" s="30" t="inlineStr">
        <is>
          <t>Depuis Visites_Contacts</t>
        </is>
      </c>
      <c r="K4" s="30" t="inlineStr">
        <is>
          <t>Appels, messages</t>
        </is>
      </c>
      <c r="L4" s="30" t="inlineStr">
        <is>
          <t>Depuis Clients</t>
        </is>
      </c>
      <c r="M4" s="30" t="inlineStr">
        <is>
          <t>1ère vente ce jour</t>
        </is>
      </c>
      <c r="N4" s="30" t="inlineStr">
        <is>
          <t>Hors ventes directes</t>
        </is>
      </c>
      <c r="O4" s="30" t="inlineStr">
        <is>
          <t>Valeur</t>
        </is>
      </c>
      <c r="P4" s="30" t="inlineStr">
        <is>
          <t>Livré / vendu ce jour</t>
        </is>
      </c>
      <c r="Q4" s="30" t="inlineStr">
        <is>
          <t>Depuis Encaissements</t>
        </is>
      </c>
      <c r="R4" s="30" t="inlineStr">
        <is>
          <t>Depuis Stock</t>
        </is>
      </c>
      <c r="S4" s="30" t="inlineStr">
        <is>
          <t>Ce qui a bien marché</t>
        </is>
      </c>
      <c r="T4" s="30" t="inlineStr">
        <is>
          <t>Blocages, refus, retards</t>
        </is>
      </c>
      <c r="U4" s="30" t="inlineStr">
        <is>
          <t>Ce dont vous avez besoin</t>
        </is>
      </c>
      <c r="V4" s="30" t="inlineStr">
        <is>
          <t>Zones, clients, objectifs</t>
        </is>
      </c>
    </row>
    <row r="5" ht="44" customHeight="1">
      <c r="A5" s="31" t="inlineStr">
        <is>
          <t>Date</t>
        </is>
      </c>
      <c r="B5" s="7" t="inlineStr">
        <is>
          <t>Commercial</t>
        </is>
      </c>
      <c r="C5" s="7" t="inlineStr">
        <is>
          <t>Jour</t>
        </is>
      </c>
      <c r="D5" s="7" t="inlineStr">
        <is>
          <t>Semaine</t>
        </is>
      </c>
      <c r="E5" s="31" t="inlineStr">
        <is>
          <t>Prise de service (heure)</t>
        </is>
      </c>
      <c r="F5" s="31" t="inlineStr">
        <is>
          <t>Fin de service (heure)</t>
        </is>
      </c>
      <c r="G5" s="31" t="inlineStr">
        <is>
          <t>Zone / quartier du jour</t>
        </is>
      </c>
      <c r="H5" s="31" t="inlineStr">
        <is>
          <t>Frais engagés (XAF)</t>
        </is>
      </c>
      <c r="I5" s="7" t="inlineStr">
        <is>
          <t>Durée (h)</t>
        </is>
      </c>
      <c r="J5" s="7" t="inlineStr">
        <is>
          <t>Visites sur place</t>
        </is>
      </c>
      <c r="K5" s="7" t="inlineStr">
        <is>
          <t>Contacts à distance</t>
        </is>
      </c>
      <c r="L5" s="7" t="inlineStr">
        <is>
          <t>Nouveaux prospects</t>
        </is>
      </c>
      <c r="M5" s="7" t="inlineStr">
        <is>
          <t>Nouveaux clients</t>
        </is>
      </c>
      <c r="N5" s="7" t="inlineStr">
        <is>
          <t>Commandes prises (nb)</t>
        </is>
      </c>
      <c r="O5" s="7" t="inlineStr">
        <is>
          <t>Commandes prises (XAF)</t>
        </is>
      </c>
      <c r="P5" s="7" t="inlineStr">
        <is>
          <t>CA réalisé (XAF)</t>
        </is>
      </c>
      <c r="Q5" s="7" t="inlineStr">
        <is>
          <t>Encaissé (XAF)</t>
        </is>
      </c>
      <c r="R5" s="7" t="inlineStr">
        <is>
          <t>Casses et pertes (XAF)</t>
        </is>
      </c>
      <c r="S5" s="31" t="inlineStr">
        <is>
          <t>Réussites du jour</t>
        </is>
      </c>
      <c r="T5" s="31" t="inlineStr">
        <is>
          <t>Difficultés rencontrées</t>
        </is>
      </c>
      <c r="U5" s="31" t="inlineStr">
        <is>
          <t>Besoin de soutien (direction)</t>
        </is>
      </c>
      <c r="V5" s="31" t="inlineStr">
        <is>
          <t>Plan du lendemain</t>
        </is>
      </c>
    </row>
    <row r="6" ht="18" customHeight="1">
      <c r="A6" s="32" t="n"/>
      <c r="B6" s="33">
        <f>IF(A6="","",Commercial_Id)</f>
        <v/>
      </c>
      <c r="C6" s="34">
        <f>IF(A6="","",CHOOSE(WEEKDAY(A6,2),"Lundi","Mardi","Mercredi","Jeudi","Vendredi","Samedi","Dimanche"))</f>
        <v/>
      </c>
      <c r="D6" s="34">
        <f>IF(A6="","",YEAR(A6-WEEKDAY(A6,2)+4)&amp;"-S"&amp;TEXT(INT((A6-DATE(YEAR(A6-WEEKDAY(A6,2)+4),1,3)+WEEKDAY(DATE(YEAR(A6-WEEKDAY(A6,2)+4),1,3),2)+5)/7),"00"))</f>
        <v/>
      </c>
      <c r="E6" s="35" t="n"/>
      <c r="F6" s="35" t="n"/>
      <c r="G6" s="36" t="n"/>
      <c r="H6" s="37" t="n"/>
      <c r="I6" s="38">
        <f>IF(OR(E6="",F6=""),"",ROUND((F6-E6)*24,1))</f>
        <v/>
      </c>
      <c r="J6" s="39">
        <f>IF(A6="","",COUNTIFS(VC_date,"&gt;="&amp;A6,VC_date,"&lt;="&amp;A6,VC_commercial,B6,VC_type,"Visite sur place"))</f>
        <v/>
      </c>
      <c r="K6" s="39">
        <f>IF(A6="","",COUNTIFS(VC_date,"&gt;="&amp;A6,VC_date,"&lt;="&amp;A6,VC_commercial,B6,VC_type,"&lt;&gt;Visite sur place",VC_type,"&lt;&gt;"))</f>
        <v/>
      </c>
      <c r="L6" s="39">
        <f>IF(A6="","",COUNTIFS(Cl_creation,"&gt;="&amp;A6,Cl_creation,"&lt;="&amp;A6,Cl_commercial,B6))</f>
        <v/>
      </c>
      <c r="M6" s="39">
        <f>IF(A6="","",COUNTIFS(Cl_vente1,"&gt;="&amp;A6,Cl_vente1,"&lt;="&amp;A6,Cl_commercial,B6))</f>
        <v/>
      </c>
      <c r="N6" s="39">
        <f>IF(A6="","",SUMIFS(Cmd_premiere,Cmd_date,"&gt;="&amp;A6,Cmd_date,"&lt;="&amp;A6,Cmd_commercial,B6,Cmd_statut,"&lt;&gt;Annulée",Cmd_type,"&lt;&gt;Vente directe"))</f>
        <v/>
      </c>
      <c r="O6" s="40">
        <f>IF(A6="","",SUMIFS(Cmd_montant,Cmd_date,"&gt;="&amp;A6,Cmd_date,"&lt;="&amp;A6,Cmd_commercial,B6,Cmd_statut,"&lt;&gt;Annulée",Cmd_type,"&lt;&gt;Vente directe"))</f>
        <v/>
      </c>
      <c r="P6" s="40">
        <f>IF(A6="","",SUMIFS(Cmd_montant,Cmd_dateca,"&gt;="&amp;A6,Cmd_dateca,"&lt;="&amp;A6,Cmd_commercial,B6))</f>
        <v/>
      </c>
      <c r="Q6" s="40">
        <f>IF(A6="","",SUMIFS(Enc_montant,Enc_date,"&gt;="&amp;A6,Enc_date,"&lt;="&amp;A6,Enc_commercial,B6))</f>
        <v/>
      </c>
      <c r="R6" s="40">
        <f>IF(A6="","",SUMIFS(Stk_valeur,Stk_date,"&gt;="&amp;A6,Stk_date,"&lt;="&amp;A6,Stk_commercial,B6,Stk_mouvement,"Casse / avarie")+SUMIFS(Stk_valeur,Stk_date,"&gt;="&amp;A6,Stk_date,"&lt;="&amp;A6,Stk_commercial,B6,Stk_mouvement,"Perte / vol"))</f>
        <v/>
      </c>
      <c r="S6" s="36" t="n"/>
      <c r="T6" s="36" t="n"/>
      <c r="U6" s="36" t="n"/>
      <c r="V6" s="36" t="n"/>
    </row>
    <row r="7" ht="18" customHeight="1">
      <c r="A7" s="32" t="n"/>
      <c r="B7" s="33">
        <f>IF(A7="","",Commercial_Id)</f>
        <v/>
      </c>
      <c r="C7" s="34">
        <f>IF(A7="","",CHOOSE(WEEKDAY(A7,2),"Lundi","Mardi","Mercredi","Jeudi","Vendredi","Samedi","Dimanche"))</f>
        <v/>
      </c>
      <c r="D7" s="34">
        <f>IF(A7="","",YEAR(A7-WEEKDAY(A7,2)+4)&amp;"-S"&amp;TEXT(INT((A7-DATE(YEAR(A7-WEEKDAY(A7,2)+4),1,3)+WEEKDAY(DATE(YEAR(A7-WEEKDAY(A7,2)+4),1,3),2)+5)/7),"00"))</f>
        <v/>
      </c>
      <c r="E7" s="35" t="n"/>
      <c r="F7" s="35" t="n"/>
      <c r="G7" s="36" t="n"/>
      <c r="H7" s="37" t="n"/>
      <c r="I7" s="38">
        <f>IF(OR(E7="",F7=""),"",ROUND((F7-E7)*24,1))</f>
        <v/>
      </c>
      <c r="J7" s="39">
        <f>IF(A7="","",COUNTIFS(VC_date,"&gt;="&amp;A7,VC_date,"&lt;="&amp;A7,VC_commercial,B7,VC_type,"Visite sur place"))</f>
        <v/>
      </c>
      <c r="K7" s="39">
        <f>IF(A7="","",COUNTIFS(VC_date,"&gt;="&amp;A7,VC_date,"&lt;="&amp;A7,VC_commercial,B7,VC_type,"&lt;&gt;Visite sur place",VC_type,"&lt;&gt;"))</f>
        <v/>
      </c>
      <c r="L7" s="39">
        <f>IF(A7="","",COUNTIFS(Cl_creation,"&gt;="&amp;A7,Cl_creation,"&lt;="&amp;A7,Cl_commercial,B7))</f>
        <v/>
      </c>
      <c r="M7" s="39">
        <f>IF(A7="","",COUNTIFS(Cl_vente1,"&gt;="&amp;A7,Cl_vente1,"&lt;="&amp;A7,Cl_commercial,B7))</f>
        <v/>
      </c>
      <c r="N7" s="39">
        <f>IF(A7="","",SUMIFS(Cmd_premiere,Cmd_date,"&gt;="&amp;A7,Cmd_date,"&lt;="&amp;A7,Cmd_commercial,B7,Cmd_statut,"&lt;&gt;Annulée",Cmd_type,"&lt;&gt;Vente directe"))</f>
        <v/>
      </c>
      <c r="O7" s="40">
        <f>IF(A7="","",SUMIFS(Cmd_montant,Cmd_date,"&gt;="&amp;A7,Cmd_date,"&lt;="&amp;A7,Cmd_commercial,B7,Cmd_statut,"&lt;&gt;Annulée",Cmd_type,"&lt;&gt;Vente directe"))</f>
        <v/>
      </c>
      <c r="P7" s="40">
        <f>IF(A7="","",SUMIFS(Cmd_montant,Cmd_dateca,"&gt;="&amp;A7,Cmd_dateca,"&lt;="&amp;A7,Cmd_commercial,B7))</f>
        <v/>
      </c>
      <c r="Q7" s="40">
        <f>IF(A7="","",SUMIFS(Enc_montant,Enc_date,"&gt;="&amp;A7,Enc_date,"&lt;="&amp;A7,Enc_commercial,B7))</f>
        <v/>
      </c>
      <c r="R7" s="40">
        <f>IF(A7="","",SUMIFS(Stk_valeur,Stk_date,"&gt;="&amp;A7,Stk_date,"&lt;="&amp;A7,Stk_commercial,B7,Stk_mouvement,"Casse / avarie")+SUMIFS(Stk_valeur,Stk_date,"&gt;="&amp;A7,Stk_date,"&lt;="&amp;A7,Stk_commercial,B7,Stk_mouvement,"Perte / vol"))</f>
        <v/>
      </c>
      <c r="S7" s="36" t="n"/>
      <c r="T7" s="36" t="n"/>
      <c r="U7" s="36" t="n"/>
      <c r="V7" s="36" t="n"/>
    </row>
    <row r="8" ht="18" customHeight="1">
      <c r="A8" s="32" t="n"/>
      <c r="B8" s="33">
        <f>IF(A8="","",Commercial_Id)</f>
        <v/>
      </c>
      <c r="C8" s="34">
        <f>IF(A8="","",CHOOSE(WEEKDAY(A8,2),"Lundi","Mardi","Mercredi","Jeudi","Vendredi","Samedi","Dimanche"))</f>
        <v/>
      </c>
      <c r="D8" s="34">
        <f>IF(A8="","",YEAR(A8-WEEKDAY(A8,2)+4)&amp;"-S"&amp;TEXT(INT((A8-DATE(YEAR(A8-WEEKDAY(A8,2)+4),1,3)+WEEKDAY(DATE(YEAR(A8-WEEKDAY(A8,2)+4),1,3),2)+5)/7),"00"))</f>
        <v/>
      </c>
      <c r="E8" s="35" t="n"/>
      <c r="F8" s="35" t="n"/>
      <c r="G8" s="36" t="n"/>
      <c r="H8" s="37" t="n"/>
      <c r="I8" s="38">
        <f>IF(OR(E8="",F8=""),"",ROUND((F8-E8)*24,1))</f>
        <v/>
      </c>
      <c r="J8" s="39">
        <f>IF(A8="","",COUNTIFS(VC_date,"&gt;="&amp;A8,VC_date,"&lt;="&amp;A8,VC_commercial,B8,VC_type,"Visite sur place"))</f>
        <v/>
      </c>
      <c r="K8" s="39">
        <f>IF(A8="","",COUNTIFS(VC_date,"&gt;="&amp;A8,VC_date,"&lt;="&amp;A8,VC_commercial,B8,VC_type,"&lt;&gt;Visite sur place",VC_type,"&lt;&gt;"))</f>
        <v/>
      </c>
      <c r="L8" s="39">
        <f>IF(A8="","",COUNTIFS(Cl_creation,"&gt;="&amp;A8,Cl_creation,"&lt;="&amp;A8,Cl_commercial,B8))</f>
        <v/>
      </c>
      <c r="M8" s="39">
        <f>IF(A8="","",COUNTIFS(Cl_vente1,"&gt;="&amp;A8,Cl_vente1,"&lt;="&amp;A8,Cl_commercial,B8))</f>
        <v/>
      </c>
      <c r="N8" s="39">
        <f>IF(A8="","",SUMIFS(Cmd_premiere,Cmd_date,"&gt;="&amp;A8,Cmd_date,"&lt;="&amp;A8,Cmd_commercial,B8,Cmd_statut,"&lt;&gt;Annulée",Cmd_type,"&lt;&gt;Vente directe"))</f>
        <v/>
      </c>
      <c r="O8" s="40">
        <f>IF(A8="","",SUMIFS(Cmd_montant,Cmd_date,"&gt;="&amp;A8,Cmd_date,"&lt;="&amp;A8,Cmd_commercial,B8,Cmd_statut,"&lt;&gt;Annulée",Cmd_type,"&lt;&gt;Vente directe"))</f>
        <v/>
      </c>
      <c r="P8" s="40">
        <f>IF(A8="","",SUMIFS(Cmd_montant,Cmd_dateca,"&gt;="&amp;A8,Cmd_dateca,"&lt;="&amp;A8,Cmd_commercial,B8))</f>
        <v/>
      </c>
      <c r="Q8" s="40">
        <f>IF(A8="","",SUMIFS(Enc_montant,Enc_date,"&gt;="&amp;A8,Enc_date,"&lt;="&amp;A8,Enc_commercial,B8))</f>
        <v/>
      </c>
      <c r="R8" s="40">
        <f>IF(A8="","",SUMIFS(Stk_valeur,Stk_date,"&gt;="&amp;A8,Stk_date,"&lt;="&amp;A8,Stk_commercial,B8,Stk_mouvement,"Casse / avarie")+SUMIFS(Stk_valeur,Stk_date,"&gt;="&amp;A8,Stk_date,"&lt;="&amp;A8,Stk_commercial,B8,Stk_mouvement,"Perte / vol"))</f>
        <v/>
      </c>
      <c r="S8" s="36" t="n"/>
      <c r="T8" s="36" t="n"/>
      <c r="U8" s="36" t="n"/>
      <c r="V8" s="36" t="n"/>
    </row>
    <row r="9" ht="18" customHeight="1">
      <c r="A9" s="32" t="n"/>
      <c r="B9" s="33">
        <f>IF(A9="","",Commercial_Id)</f>
        <v/>
      </c>
      <c r="C9" s="34">
        <f>IF(A9="","",CHOOSE(WEEKDAY(A9,2),"Lundi","Mardi","Mercredi","Jeudi","Vendredi","Samedi","Dimanche"))</f>
        <v/>
      </c>
      <c r="D9" s="34">
        <f>IF(A9="","",YEAR(A9-WEEKDAY(A9,2)+4)&amp;"-S"&amp;TEXT(INT((A9-DATE(YEAR(A9-WEEKDAY(A9,2)+4),1,3)+WEEKDAY(DATE(YEAR(A9-WEEKDAY(A9,2)+4),1,3),2)+5)/7),"00"))</f>
        <v/>
      </c>
      <c r="E9" s="35" t="n"/>
      <c r="F9" s="35" t="n"/>
      <c r="G9" s="36" t="n"/>
      <c r="H9" s="37" t="n"/>
      <c r="I9" s="38">
        <f>IF(OR(E9="",F9=""),"",ROUND((F9-E9)*24,1))</f>
        <v/>
      </c>
      <c r="J9" s="39">
        <f>IF(A9="","",COUNTIFS(VC_date,"&gt;="&amp;A9,VC_date,"&lt;="&amp;A9,VC_commercial,B9,VC_type,"Visite sur place"))</f>
        <v/>
      </c>
      <c r="K9" s="39">
        <f>IF(A9="","",COUNTIFS(VC_date,"&gt;="&amp;A9,VC_date,"&lt;="&amp;A9,VC_commercial,B9,VC_type,"&lt;&gt;Visite sur place",VC_type,"&lt;&gt;"))</f>
        <v/>
      </c>
      <c r="L9" s="39">
        <f>IF(A9="","",COUNTIFS(Cl_creation,"&gt;="&amp;A9,Cl_creation,"&lt;="&amp;A9,Cl_commercial,B9))</f>
        <v/>
      </c>
      <c r="M9" s="39">
        <f>IF(A9="","",COUNTIFS(Cl_vente1,"&gt;="&amp;A9,Cl_vente1,"&lt;="&amp;A9,Cl_commercial,B9))</f>
        <v/>
      </c>
      <c r="N9" s="39">
        <f>IF(A9="","",SUMIFS(Cmd_premiere,Cmd_date,"&gt;="&amp;A9,Cmd_date,"&lt;="&amp;A9,Cmd_commercial,B9,Cmd_statut,"&lt;&gt;Annulée",Cmd_type,"&lt;&gt;Vente directe"))</f>
        <v/>
      </c>
      <c r="O9" s="40">
        <f>IF(A9="","",SUMIFS(Cmd_montant,Cmd_date,"&gt;="&amp;A9,Cmd_date,"&lt;="&amp;A9,Cmd_commercial,B9,Cmd_statut,"&lt;&gt;Annulée",Cmd_type,"&lt;&gt;Vente directe"))</f>
        <v/>
      </c>
      <c r="P9" s="40">
        <f>IF(A9="","",SUMIFS(Cmd_montant,Cmd_dateca,"&gt;="&amp;A9,Cmd_dateca,"&lt;="&amp;A9,Cmd_commercial,B9))</f>
        <v/>
      </c>
      <c r="Q9" s="40">
        <f>IF(A9="","",SUMIFS(Enc_montant,Enc_date,"&gt;="&amp;A9,Enc_date,"&lt;="&amp;A9,Enc_commercial,B9))</f>
        <v/>
      </c>
      <c r="R9" s="40">
        <f>IF(A9="","",SUMIFS(Stk_valeur,Stk_date,"&gt;="&amp;A9,Stk_date,"&lt;="&amp;A9,Stk_commercial,B9,Stk_mouvement,"Casse / avarie")+SUMIFS(Stk_valeur,Stk_date,"&gt;="&amp;A9,Stk_date,"&lt;="&amp;A9,Stk_commercial,B9,Stk_mouvement,"Perte / vol"))</f>
        <v/>
      </c>
      <c r="S9" s="36" t="n"/>
      <c r="T9" s="36" t="n"/>
      <c r="U9" s="36" t="n"/>
      <c r="V9" s="36" t="n"/>
    </row>
    <row r="10" ht="18" customHeight="1">
      <c r="A10" s="32" t="n"/>
      <c r="B10" s="33">
        <f>IF(A10="","",Commercial_Id)</f>
        <v/>
      </c>
      <c r="C10" s="34">
        <f>IF(A10="","",CHOOSE(WEEKDAY(A10,2),"Lundi","Mardi","Mercredi","Jeudi","Vendredi","Samedi","Dimanche"))</f>
        <v/>
      </c>
      <c r="D10" s="34">
        <f>IF(A10="","",YEAR(A10-WEEKDAY(A10,2)+4)&amp;"-S"&amp;TEXT(INT((A10-DATE(YEAR(A10-WEEKDAY(A10,2)+4),1,3)+WEEKDAY(DATE(YEAR(A10-WEEKDAY(A10,2)+4),1,3),2)+5)/7),"00"))</f>
        <v/>
      </c>
      <c r="E10" s="35" t="n"/>
      <c r="F10" s="35" t="n"/>
      <c r="G10" s="36" t="n"/>
      <c r="H10" s="37" t="n"/>
      <c r="I10" s="38">
        <f>IF(OR(E10="",F10=""),"",ROUND((F10-E10)*24,1))</f>
        <v/>
      </c>
      <c r="J10" s="39">
        <f>IF(A10="","",COUNTIFS(VC_date,"&gt;="&amp;A10,VC_date,"&lt;="&amp;A10,VC_commercial,B10,VC_type,"Visite sur place"))</f>
        <v/>
      </c>
      <c r="K10" s="39">
        <f>IF(A10="","",COUNTIFS(VC_date,"&gt;="&amp;A10,VC_date,"&lt;="&amp;A10,VC_commercial,B10,VC_type,"&lt;&gt;Visite sur place",VC_type,"&lt;&gt;"))</f>
        <v/>
      </c>
      <c r="L10" s="39">
        <f>IF(A10="","",COUNTIFS(Cl_creation,"&gt;="&amp;A10,Cl_creation,"&lt;="&amp;A10,Cl_commercial,B10))</f>
        <v/>
      </c>
      <c r="M10" s="39">
        <f>IF(A10="","",COUNTIFS(Cl_vente1,"&gt;="&amp;A10,Cl_vente1,"&lt;="&amp;A10,Cl_commercial,B10))</f>
        <v/>
      </c>
      <c r="N10" s="39">
        <f>IF(A10="","",SUMIFS(Cmd_premiere,Cmd_date,"&gt;="&amp;A10,Cmd_date,"&lt;="&amp;A10,Cmd_commercial,B10,Cmd_statut,"&lt;&gt;Annulée",Cmd_type,"&lt;&gt;Vente directe"))</f>
        <v/>
      </c>
      <c r="O10" s="40">
        <f>IF(A10="","",SUMIFS(Cmd_montant,Cmd_date,"&gt;="&amp;A10,Cmd_date,"&lt;="&amp;A10,Cmd_commercial,B10,Cmd_statut,"&lt;&gt;Annulée",Cmd_type,"&lt;&gt;Vente directe"))</f>
        <v/>
      </c>
      <c r="P10" s="40">
        <f>IF(A10="","",SUMIFS(Cmd_montant,Cmd_dateca,"&gt;="&amp;A10,Cmd_dateca,"&lt;="&amp;A10,Cmd_commercial,B10))</f>
        <v/>
      </c>
      <c r="Q10" s="40">
        <f>IF(A10="","",SUMIFS(Enc_montant,Enc_date,"&gt;="&amp;A10,Enc_date,"&lt;="&amp;A10,Enc_commercial,B10))</f>
        <v/>
      </c>
      <c r="R10" s="40">
        <f>IF(A10="","",SUMIFS(Stk_valeur,Stk_date,"&gt;="&amp;A10,Stk_date,"&lt;="&amp;A10,Stk_commercial,B10,Stk_mouvement,"Casse / avarie")+SUMIFS(Stk_valeur,Stk_date,"&gt;="&amp;A10,Stk_date,"&lt;="&amp;A10,Stk_commercial,B10,Stk_mouvement,"Perte / vol"))</f>
        <v/>
      </c>
      <c r="S10" s="36" t="n"/>
      <c r="T10" s="36" t="n"/>
      <c r="U10" s="36" t="n"/>
      <c r="V10" s="36" t="n"/>
    </row>
    <row r="11" ht="18" customHeight="1">
      <c r="A11" s="32" t="n"/>
      <c r="B11" s="33">
        <f>IF(A11="","",Commercial_Id)</f>
        <v/>
      </c>
      <c r="C11" s="34">
        <f>IF(A11="","",CHOOSE(WEEKDAY(A11,2),"Lundi","Mardi","Mercredi","Jeudi","Vendredi","Samedi","Dimanche"))</f>
        <v/>
      </c>
      <c r="D11" s="34">
        <f>IF(A11="","",YEAR(A11-WEEKDAY(A11,2)+4)&amp;"-S"&amp;TEXT(INT((A11-DATE(YEAR(A11-WEEKDAY(A11,2)+4),1,3)+WEEKDAY(DATE(YEAR(A11-WEEKDAY(A11,2)+4),1,3),2)+5)/7),"00"))</f>
        <v/>
      </c>
      <c r="E11" s="35" t="n"/>
      <c r="F11" s="35" t="n"/>
      <c r="G11" s="36" t="n"/>
      <c r="H11" s="37" t="n"/>
      <c r="I11" s="38">
        <f>IF(OR(E11="",F11=""),"",ROUND((F11-E11)*24,1))</f>
        <v/>
      </c>
      <c r="J11" s="39">
        <f>IF(A11="","",COUNTIFS(VC_date,"&gt;="&amp;A11,VC_date,"&lt;="&amp;A11,VC_commercial,B11,VC_type,"Visite sur place"))</f>
        <v/>
      </c>
      <c r="K11" s="39">
        <f>IF(A11="","",COUNTIFS(VC_date,"&gt;="&amp;A11,VC_date,"&lt;="&amp;A11,VC_commercial,B11,VC_type,"&lt;&gt;Visite sur place",VC_type,"&lt;&gt;"))</f>
        <v/>
      </c>
      <c r="L11" s="39">
        <f>IF(A11="","",COUNTIFS(Cl_creation,"&gt;="&amp;A11,Cl_creation,"&lt;="&amp;A11,Cl_commercial,B11))</f>
        <v/>
      </c>
      <c r="M11" s="39">
        <f>IF(A11="","",COUNTIFS(Cl_vente1,"&gt;="&amp;A11,Cl_vente1,"&lt;="&amp;A11,Cl_commercial,B11))</f>
        <v/>
      </c>
      <c r="N11" s="39">
        <f>IF(A11="","",SUMIFS(Cmd_premiere,Cmd_date,"&gt;="&amp;A11,Cmd_date,"&lt;="&amp;A11,Cmd_commercial,B11,Cmd_statut,"&lt;&gt;Annulée",Cmd_type,"&lt;&gt;Vente directe"))</f>
        <v/>
      </c>
      <c r="O11" s="40">
        <f>IF(A11="","",SUMIFS(Cmd_montant,Cmd_date,"&gt;="&amp;A11,Cmd_date,"&lt;="&amp;A11,Cmd_commercial,B11,Cmd_statut,"&lt;&gt;Annulée",Cmd_type,"&lt;&gt;Vente directe"))</f>
        <v/>
      </c>
      <c r="P11" s="40">
        <f>IF(A11="","",SUMIFS(Cmd_montant,Cmd_dateca,"&gt;="&amp;A11,Cmd_dateca,"&lt;="&amp;A11,Cmd_commercial,B11))</f>
        <v/>
      </c>
      <c r="Q11" s="40">
        <f>IF(A11="","",SUMIFS(Enc_montant,Enc_date,"&gt;="&amp;A11,Enc_date,"&lt;="&amp;A11,Enc_commercial,B11))</f>
        <v/>
      </c>
      <c r="R11" s="40">
        <f>IF(A11="","",SUMIFS(Stk_valeur,Stk_date,"&gt;="&amp;A11,Stk_date,"&lt;="&amp;A11,Stk_commercial,B11,Stk_mouvement,"Casse / avarie")+SUMIFS(Stk_valeur,Stk_date,"&gt;="&amp;A11,Stk_date,"&lt;="&amp;A11,Stk_commercial,B11,Stk_mouvement,"Perte / vol"))</f>
        <v/>
      </c>
      <c r="S11" s="36" t="n"/>
      <c r="T11" s="36" t="n"/>
      <c r="U11" s="36" t="n"/>
      <c r="V11" s="36" t="n"/>
    </row>
    <row r="12" ht="18" customHeight="1">
      <c r="A12" s="32" t="n"/>
      <c r="B12" s="33">
        <f>IF(A12="","",Commercial_Id)</f>
        <v/>
      </c>
      <c r="C12" s="34">
        <f>IF(A12="","",CHOOSE(WEEKDAY(A12,2),"Lundi","Mardi","Mercredi","Jeudi","Vendredi","Samedi","Dimanche"))</f>
        <v/>
      </c>
      <c r="D12" s="34">
        <f>IF(A12="","",YEAR(A12-WEEKDAY(A12,2)+4)&amp;"-S"&amp;TEXT(INT((A12-DATE(YEAR(A12-WEEKDAY(A12,2)+4),1,3)+WEEKDAY(DATE(YEAR(A12-WEEKDAY(A12,2)+4),1,3),2)+5)/7),"00"))</f>
        <v/>
      </c>
      <c r="E12" s="35" t="n"/>
      <c r="F12" s="35" t="n"/>
      <c r="G12" s="36" t="n"/>
      <c r="H12" s="37" t="n"/>
      <c r="I12" s="38">
        <f>IF(OR(E12="",F12=""),"",ROUND((F12-E12)*24,1))</f>
        <v/>
      </c>
      <c r="J12" s="39">
        <f>IF(A12="","",COUNTIFS(VC_date,"&gt;="&amp;A12,VC_date,"&lt;="&amp;A12,VC_commercial,B12,VC_type,"Visite sur place"))</f>
        <v/>
      </c>
      <c r="K12" s="39">
        <f>IF(A12="","",COUNTIFS(VC_date,"&gt;="&amp;A12,VC_date,"&lt;="&amp;A12,VC_commercial,B12,VC_type,"&lt;&gt;Visite sur place",VC_type,"&lt;&gt;"))</f>
        <v/>
      </c>
      <c r="L12" s="39">
        <f>IF(A12="","",COUNTIFS(Cl_creation,"&gt;="&amp;A12,Cl_creation,"&lt;="&amp;A12,Cl_commercial,B12))</f>
        <v/>
      </c>
      <c r="M12" s="39">
        <f>IF(A12="","",COUNTIFS(Cl_vente1,"&gt;="&amp;A12,Cl_vente1,"&lt;="&amp;A12,Cl_commercial,B12))</f>
        <v/>
      </c>
      <c r="N12" s="39">
        <f>IF(A12="","",SUMIFS(Cmd_premiere,Cmd_date,"&gt;="&amp;A12,Cmd_date,"&lt;="&amp;A12,Cmd_commercial,B12,Cmd_statut,"&lt;&gt;Annulée",Cmd_type,"&lt;&gt;Vente directe"))</f>
        <v/>
      </c>
      <c r="O12" s="40">
        <f>IF(A12="","",SUMIFS(Cmd_montant,Cmd_date,"&gt;="&amp;A12,Cmd_date,"&lt;="&amp;A12,Cmd_commercial,B12,Cmd_statut,"&lt;&gt;Annulée",Cmd_type,"&lt;&gt;Vente directe"))</f>
        <v/>
      </c>
      <c r="P12" s="40">
        <f>IF(A12="","",SUMIFS(Cmd_montant,Cmd_dateca,"&gt;="&amp;A12,Cmd_dateca,"&lt;="&amp;A12,Cmd_commercial,B12))</f>
        <v/>
      </c>
      <c r="Q12" s="40">
        <f>IF(A12="","",SUMIFS(Enc_montant,Enc_date,"&gt;="&amp;A12,Enc_date,"&lt;="&amp;A12,Enc_commercial,B12))</f>
        <v/>
      </c>
      <c r="R12" s="40">
        <f>IF(A12="","",SUMIFS(Stk_valeur,Stk_date,"&gt;="&amp;A12,Stk_date,"&lt;="&amp;A12,Stk_commercial,B12,Stk_mouvement,"Casse / avarie")+SUMIFS(Stk_valeur,Stk_date,"&gt;="&amp;A12,Stk_date,"&lt;="&amp;A12,Stk_commercial,B12,Stk_mouvement,"Perte / vol"))</f>
        <v/>
      </c>
      <c r="S12" s="36" t="n"/>
      <c r="T12" s="36" t="n"/>
      <c r="U12" s="36" t="n"/>
      <c r="V12" s="36" t="n"/>
    </row>
    <row r="13" ht="18" customHeight="1">
      <c r="A13" s="32" t="n"/>
      <c r="B13" s="33">
        <f>IF(A13="","",Commercial_Id)</f>
        <v/>
      </c>
      <c r="C13" s="34">
        <f>IF(A13="","",CHOOSE(WEEKDAY(A13,2),"Lundi","Mardi","Mercredi","Jeudi","Vendredi","Samedi","Dimanche"))</f>
        <v/>
      </c>
      <c r="D13" s="34">
        <f>IF(A13="","",YEAR(A13-WEEKDAY(A13,2)+4)&amp;"-S"&amp;TEXT(INT((A13-DATE(YEAR(A13-WEEKDAY(A13,2)+4),1,3)+WEEKDAY(DATE(YEAR(A13-WEEKDAY(A13,2)+4),1,3),2)+5)/7),"00"))</f>
        <v/>
      </c>
      <c r="E13" s="35" t="n"/>
      <c r="F13" s="35" t="n"/>
      <c r="G13" s="36" t="n"/>
      <c r="H13" s="37" t="n"/>
      <c r="I13" s="38">
        <f>IF(OR(E13="",F13=""),"",ROUND((F13-E13)*24,1))</f>
        <v/>
      </c>
      <c r="J13" s="39">
        <f>IF(A13="","",COUNTIFS(VC_date,"&gt;="&amp;A13,VC_date,"&lt;="&amp;A13,VC_commercial,B13,VC_type,"Visite sur place"))</f>
        <v/>
      </c>
      <c r="K13" s="39">
        <f>IF(A13="","",COUNTIFS(VC_date,"&gt;="&amp;A13,VC_date,"&lt;="&amp;A13,VC_commercial,B13,VC_type,"&lt;&gt;Visite sur place",VC_type,"&lt;&gt;"))</f>
        <v/>
      </c>
      <c r="L13" s="39">
        <f>IF(A13="","",COUNTIFS(Cl_creation,"&gt;="&amp;A13,Cl_creation,"&lt;="&amp;A13,Cl_commercial,B13))</f>
        <v/>
      </c>
      <c r="M13" s="39">
        <f>IF(A13="","",COUNTIFS(Cl_vente1,"&gt;="&amp;A13,Cl_vente1,"&lt;="&amp;A13,Cl_commercial,B13))</f>
        <v/>
      </c>
      <c r="N13" s="39">
        <f>IF(A13="","",SUMIFS(Cmd_premiere,Cmd_date,"&gt;="&amp;A13,Cmd_date,"&lt;="&amp;A13,Cmd_commercial,B13,Cmd_statut,"&lt;&gt;Annulée",Cmd_type,"&lt;&gt;Vente directe"))</f>
        <v/>
      </c>
      <c r="O13" s="40">
        <f>IF(A13="","",SUMIFS(Cmd_montant,Cmd_date,"&gt;="&amp;A13,Cmd_date,"&lt;="&amp;A13,Cmd_commercial,B13,Cmd_statut,"&lt;&gt;Annulée",Cmd_type,"&lt;&gt;Vente directe"))</f>
        <v/>
      </c>
      <c r="P13" s="40">
        <f>IF(A13="","",SUMIFS(Cmd_montant,Cmd_dateca,"&gt;="&amp;A13,Cmd_dateca,"&lt;="&amp;A13,Cmd_commercial,B13))</f>
        <v/>
      </c>
      <c r="Q13" s="40">
        <f>IF(A13="","",SUMIFS(Enc_montant,Enc_date,"&gt;="&amp;A13,Enc_date,"&lt;="&amp;A13,Enc_commercial,B13))</f>
        <v/>
      </c>
      <c r="R13" s="40">
        <f>IF(A13="","",SUMIFS(Stk_valeur,Stk_date,"&gt;="&amp;A13,Stk_date,"&lt;="&amp;A13,Stk_commercial,B13,Stk_mouvement,"Casse / avarie")+SUMIFS(Stk_valeur,Stk_date,"&gt;="&amp;A13,Stk_date,"&lt;="&amp;A13,Stk_commercial,B13,Stk_mouvement,"Perte / vol"))</f>
        <v/>
      </c>
      <c r="S13" s="36" t="n"/>
      <c r="T13" s="36" t="n"/>
      <c r="U13" s="36" t="n"/>
      <c r="V13" s="36" t="n"/>
    </row>
    <row r="14" ht="18" customHeight="1">
      <c r="A14" s="32" t="n"/>
      <c r="B14" s="33">
        <f>IF(A14="","",Commercial_Id)</f>
        <v/>
      </c>
      <c r="C14" s="34">
        <f>IF(A14="","",CHOOSE(WEEKDAY(A14,2),"Lundi","Mardi","Mercredi","Jeudi","Vendredi","Samedi","Dimanche"))</f>
        <v/>
      </c>
      <c r="D14" s="34">
        <f>IF(A14="","",YEAR(A14-WEEKDAY(A14,2)+4)&amp;"-S"&amp;TEXT(INT((A14-DATE(YEAR(A14-WEEKDAY(A14,2)+4),1,3)+WEEKDAY(DATE(YEAR(A14-WEEKDAY(A14,2)+4),1,3),2)+5)/7),"00"))</f>
        <v/>
      </c>
      <c r="E14" s="35" t="n"/>
      <c r="F14" s="35" t="n"/>
      <c r="G14" s="36" t="n"/>
      <c r="H14" s="37" t="n"/>
      <c r="I14" s="38">
        <f>IF(OR(E14="",F14=""),"",ROUND((F14-E14)*24,1))</f>
        <v/>
      </c>
      <c r="J14" s="39">
        <f>IF(A14="","",COUNTIFS(VC_date,"&gt;="&amp;A14,VC_date,"&lt;="&amp;A14,VC_commercial,B14,VC_type,"Visite sur place"))</f>
        <v/>
      </c>
      <c r="K14" s="39">
        <f>IF(A14="","",COUNTIFS(VC_date,"&gt;="&amp;A14,VC_date,"&lt;="&amp;A14,VC_commercial,B14,VC_type,"&lt;&gt;Visite sur place",VC_type,"&lt;&gt;"))</f>
        <v/>
      </c>
      <c r="L14" s="39">
        <f>IF(A14="","",COUNTIFS(Cl_creation,"&gt;="&amp;A14,Cl_creation,"&lt;="&amp;A14,Cl_commercial,B14))</f>
        <v/>
      </c>
      <c r="M14" s="39">
        <f>IF(A14="","",COUNTIFS(Cl_vente1,"&gt;="&amp;A14,Cl_vente1,"&lt;="&amp;A14,Cl_commercial,B14))</f>
        <v/>
      </c>
      <c r="N14" s="39">
        <f>IF(A14="","",SUMIFS(Cmd_premiere,Cmd_date,"&gt;="&amp;A14,Cmd_date,"&lt;="&amp;A14,Cmd_commercial,B14,Cmd_statut,"&lt;&gt;Annulée",Cmd_type,"&lt;&gt;Vente directe"))</f>
        <v/>
      </c>
      <c r="O14" s="40">
        <f>IF(A14="","",SUMIFS(Cmd_montant,Cmd_date,"&gt;="&amp;A14,Cmd_date,"&lt;="&amp;A14,Cmd_commercial,B14,Cmd_statut,"&lt;&gt;Annulée",Cmd_type,"&lt;&gt;Vente directe"))</f>
        <v/>
      </c>
      <c r="P14" s="40">
        <f>IF(A14="","",SUMIFS(Cmd_montant,Cmd_dateca,"&gt;="&amp;A14,Cmd_dateca,"&lt;="&amp;A14,Cmd_commercial,B14))</f>
        <v/>
      </c>
      <c r="Q14" s="40">
        <f>IF(A14="","",SUMIFS(Enc_montant,Enc_date,"&gt;="&amp;A14,Enc_date,"&lt;="&amp;A14,Enc_commercial,B14))</f>
        <v/>
      </c>
      <c r="R14" s="40">
        <f>IF(A14="","",SUMIFS(Stk_valeur,Stk_date,"&gt;="&amp;A14,Stk_date,"&lt;="&amp;A14,Stk_commercial,B14,Stk_mouvement,"Casse / avarie")+SUMIFS(Stk_valeur,Stk_date,"&gt;="&amp;A14,Stk_date,"&lt;="&amp;A14,Stk_commercial,B14,Stk_mouvement,"Perte / vol"))</f>
        <v/>
      </c>
      <c r="S14" s="36" t="n"/>
      <c r="T14" s="36" t="n"/>
      <c r="U14" s="36" t="n"/>
      <c r="V14" s="36" t="n"/>
    </row>
    <row r="15" ht="18" customHeight="1">
      <c r="A15" s="32" t="n"/>
      <c r="B15" s="33">
        <f>IF(A15="","",Commercial_Id)</f>
        <v/>
      </c>
      <c r="C15" s="34">
        <f>IF(A15="","",CHOOSE(WEEKDAY(A15,2),"Lundi","Mardi","Mercredi","Jeudi","Vendredi","Samedi","Dimanche"))</f>
        <v/>
      </c>
      <c r="D15" s="34">
        <f>IF(A15="","",YEAR(A15-WEEKDAY(A15,2)+4)&amp;"-S"&amp;TEXT(INT((A15-DATE(YEAR(A15-WEEKDAY(A15,2)+4),1,3)+WEEKDAY(DATE(YEAR(A15-WEEKDAY(A15,2)+4),1,3),2)+5)/7),"00"))</f>
        <v/>
      </c>
      <c r="E15" s="35" t="n"/>
      <c r="F15" s="35" t="n"/>
      <c r="G15" s="36" t="n"/>
      <c r="H15" s="37" t="n"/>
      <c r="I15" s="38">
        <f>IF(OR(E15="",F15=""),"",ROUND((F15-E15)*24,1))</f>
        <v/>
      </c>
      <c r="J15" s="39">
        <f>IF(A15="","",COUNTIFS(VC_date,"&gt;="&amp;A15,VC_date,"&lt;="&amp;A15,VC_commercial,B15,VC_type,"Visite sur place"))</f>
        <v/>
      </c>
      <c r="K15" s="39">
        <f>IF(A15="","",COUNTIFS(VC_date,"&gt;="&amp;A15,VC_date,"&lt;="&amp;A15,VC_commercial,B15,VC_type,"&lt;&gt;Visite sur place",VC_type,"&lt;&gt;"))</f>
        <v/>
      </c>
      <c r="L15" s="39">
        <f>IF(A15="","",COUNTIFS(Cl_creation,"&gt;="&amp;A15,Cl_creation,"&lt;="&amp;A15,Cl_commercial,B15))</f>
        <v/>
      </c>
      <c r="M15" s="39">
        <f>IF(A15="","",COUNTIFS(Cl_vente1,"&gt;="&amp;A15,Cl_vente1,"&lt;="&amp;A15,Cl_commercial,B15))</f>
        <v/>
      </c>
      <c r="N15" s="39">
        <f>IF(A15="","",SUMIFS(Cmd_premiere,Cmd_date,"&gt;="&amp;A15,Cmd_date,"&lt;="&amp;A15,Cmd_commercial,B15,Cmd_statut,"&lt;&gt;Annulée",Cmd_type,"&lt;&gt;Vente directe"))</f>
        <v/>
      </c>
      <c r="O15" s="40">
        <f>IF(A15="","",SUMIFS(Cmd_montant,Cmd_date,"&gt;="&amp;A15,Cmd_date,"&lt;="&amp;A15,Cmd_commercial,B15,Cmd_statut,"&lt;&gt;Annulée",Cmd_type,"&lt;&gt;Vente directe"))</f>
        <v/>
      </c>
      <c r="P15" s="40">
        <f>IF(A15="","",SUMIFS(Cmd_montant,Cmd_dateca,"&gt;="&amp;A15,Cmd_dateca,"&lt;="&amp;A15,Cmd_commercial,B15))</f>
        <v/>
      </c>
      <c r="Q15" s="40">
        <f>IF(A15="","",SUMIFS(Enc_montant,Enc_date,"&gt;="&amp;A15,Enc_date,"&lt;="&amp;A15,Enc_commercial,B15))</f>
        <v/>
      </c>
      <c r="R15" s="40">
        <f>IF(A15="","",SUMIFS(Stk_valeur,Stk_date,"&gt;="&amp;A15,Stk_date,"&lt;="&amp;A15,Stk_commercial,B15,Stk_mouvement,"Casse / avarie")+SUMIFS(Stk_valeur,Stk_date,"&gt;="&amp;A15,Stk_date,"&lt;="&amp;A15,Stk_commercial,B15,Stk_mouvement,"Perte / vol"))</f>
        <v/>
      </c>
      <c r="S15" s="36" t="n"/>
      <c r="T15" s="36" t="n"/>
      <c r="U15" s="36" t="n"/>
      <c r="V15" s="36" t="n"/>
    </row>
    <row r="16" ht="18" customHeight="1">
      <c r="A16" s="32" t="n"/>
      <c r="B16" s="33">
        <f>IF(A16="","",Commercial_Id)</f>
        <v/>
      </c>
      <c r="C16" s="34">
        <f>IF(A16="","",CHOOSE(WEEKDAY(A16,2),"Lundi","Mardi","Mercredi","Jeudi","Vendredi","Samedi","Dimanche"))</f>
        <v/>
      </c>
      <c r="D16" s="34">
        <f>IF(A16="","",YEAR(A16-WEEKDAY(A16,2)+4)&amp;"-S"&amp;TEXT(INT((A16-DATE(YEAR(A16-WEEKDAY(A16,2)+4),1,3)+WEEKDAY(DATE(YEAR(A16-WEEKDAY(A16,2)+4),1,3),2)+5)/7),"00"))</f>
        <v/>
      </c>
      <c r="E16" s="35" t="n"/>
      <c r="F16" s="35" t="n"/>
      <c r="G16" s="36" t="n"/>
      <c r="H16" s="37" t="n"/>
      <c r="I16" s="38">
        <f>IF(OR(E16="",F16=""),"",ROUND((F16-E16)*24,1))</f>
        <v/>
      </c>
      <c r="J16" s="39">
        <f>IF(A16="","",COUNTIFS(VC_date,"&gt;="&amp;A16,VC_date,"&lt;="&amp;A16,VC_commercial,B16,VC_type,"Visite sur place"))</f>
        <v/>
      </c>
      <c r="K16" s="39">
        <f>IF(A16="","",COUNTIFS(VC_date,"&gt;="&amp;A16,VC_date,"&lt;="&amp;A16,VC_commercial,B16,VC_type,"&lt;&gt;Visite sur place",VC_type,"&lt;&gt;"))</f>
        <v/>
      </c>
      <c r="L16" s="39">
        <f>IF(A16="","",COUNTIFS(Cl_creation,"&gt;="&amp;A16,Cl_creation,"&lt;="&amp;A16,Cl_commercial,B16))</f>
        <v/>
      </c>
      <c r="M16" s="39">
        <f>IF(A16="","",COUNTIFS(Cl_vente1,"&gt;="&amp;A16,Cl_vente1,"&lt;="&amp;A16,Cl_commercial,B16))</f>
        <v/>
      </c>
      <c r="N16" s="39">
        <f>IF(A16="","",SUMIFS(Cmd_premiere,Cmd_date,"&gt;="&amp;A16,Cmd_date,"&lt;="&amp;A16,Cmd_commercial,B16,Cmd_statut,"&lt;&gt;Annulée",Cmd_type,"&lt;&gt;Vente directe"))</f>
        <v/>
      </c>
      <c r="O16" s="40">
        <f>IF(A16="","",SUMIFS(Cmd_montant,Cmd_date,"&gt;="&amp;A16,Cmd_date,"&lt;="&amp;A16,Cmd_commercial,B16,Cmd_statut,"&lt;&gt;Annulée",Cmd_type,"&lt;&gt;Vente directe"))</f>
        <v/>
      </c>
      <c r="P16" s="40">
        <f>IF(A16="","",SUMIFS(Cmd_montant,Cmd_dateca,"&gt;="&amp;A16,Cmd_dateca,"&lt;="&amp;A16,Cmd_commercial,B16))</f>
        <v/>
      </c>
      <c r="Q16" s="40">
        <f>IF(A16="","",SUMIFS(Enc_montant,Enc_date,"&gt;="&amp;A16,Enc_date,"&lt;="&amp;A16,Enc_commercial,B16))</f>
        <v/>
      </c>
      <c r="R16" s="40">
        <f>IF(A16="","",SUMIFS(Stk_valeur,Stk_date,"&gt;="&amp;A16,Stk_date,"&lt;="&amp;A16,Stk_commercial,B16,Stk_mouvement,"Casse / avarie")+SUMIFS(Stk_valeur,Stk_date,"&gt;="&amp;A16,Stk_date,"&lt;="&amp;A16,Stk_commercial,B16,Stk_mouvement,"Perte / vol"))</f>
        <v/>
      </c>
      <c r="S16" s="36" t="n"/>
      <c r="T16" s="36" t="n"/>
      <c r="U16" s="36" t="n"/>
      <c r="V16" s="36" t="n"/>
    </row>
    <row r="17" ht="18" customHeight="1">
      <c r="A17" s="32" t="n"/>
      <c r="B17" s="33">
        <f>IF(A17="","",Commercial_Id)</f>
        <v/>
      </c>
      <c r="C17" s="34">
        <f>IF(A17="","",CHOOSE(WEEKDAY(A17,2),"Lundi","Mardi","Mercredi","Jeudi","Vendredi","Samedi","Dimanche"))</f>
        <v/>
      </c>
      <c r="D17" s="34">
        <f>IF(A17="","",YEAR(A17-WEEKDAY(A17,2)+4)&amp;"-S"&amp;TEXT(INT((A17-DATE(YEAR(A17-WEEKDAY(A17,2)+4),1,3)+WEEKDAY(DATE(YEAR(A17-WEEKDAY(A17,2)+4),1,3),2)+5)/7),"00"))</f>
        <v/>
      </c>
      <c r="E17" s="35" t="n"/>
      <c r="F17" s="35" t="n"/>
      <c r="G17" s="36" t="n"/>
      <c r="H17" s="37" t="n"/>
      <c r="I17" s="38">
        <f>IF(OR(E17="",F17=""),"",ROUND((F17-E17)*24,1))</f>
        <v/>
      </c>
      <c r="J17" s="39">
        <f>IF(A17="","",COUNTIFS(VC_date,"&gt;="&amp;A17,VC_date,"&lt;="&amp;A17,VC_commercial,B17,VC_type,"Visite sur place"))</f>
        <v/>
      </c>
      <c r="K17" s="39">
        <f>IF(A17="","",COUNTIFS(VC_date,"&gt;="&amp;A17,VC_date,"&lt;="&amp;A17,VC_commercial,B17,VC_type,"&lt;&gt;Visite sur place",VC_type,"&lt;&gt;"))</f>
        <v/>
      </c>
      <c r="L17" s="39">
        <f>IF(A17="","",COUNTIFS(Cl_creation,"&gt;="&amp;A17,Cl_creation,"&lt;="&amp;A17,Cl_commercial,B17))</f>
        <v/>
      </c>
      <c r="M17" s="39">
        <f>IF(A17="","",COUNTIFS(Cl_vente1,"&gt;="&amp;A17,Cl_vente1,"&lt;="&amp;A17,Cl_commercial,B17))</f>
        <v/>
      </c>
      <c r="N17" s="39">
        <f>IF(A17="","",SUMIFS(Cmd_premiere,Cmd_date,"&gt;="&amp;A17,Cmd_date,"&lt;="&amp;A17,Cmd_commercial,B17,Cmd_statut,"&lt;&gt;Annulée",Cmd_type,"&lt;&gt;Vente directe"))</f>
        <v/>
      </c>
      <c r="O17" s="40">
        <f>IF(A17="","",SUMIFS(Cmd_montant,Cmd_date,"&gt;="&amp;A17,Cmd_date,"&lt;="&amp;A17,Cmd_commercial,B17,Cmd_statut,"&lt;&gt;Annulée",Cmd_type,"&lt;&gt;Vente directe"))</f>
        <v/>
      </c>
      <c r="P17" s="40">
        <f>IF(A17="","",SUMIFS(Cmd_montant,Cmd_dateca,"&gt;="&amp;A17,Cmd_dateca,"&lt;="&amp;A17,Cmd_commercial,B17))</f>
        <v/>
      </c>
      <c r="Q17" s="40">
        <f>IF(A17="","",SUMIFS(Enc_montant,Enc_date,"&gt;="&amp;A17,Enc_date,"&lt;="&amp;A17,Enc_commercial,B17))</f>
        <v/>
      </c>
      <c r="R17" s="40">
        <f>IF(A17="","",SUMIFS(Stk_valeur,Stk_date,"&gt;="&amp;A17,Stk_date,"&lt;="&amp;A17,Stk_commercial,B17,Stk_mouvement,"Casse / avarie")+SUMIFS(Stk_valeur,Stk_date,"&gt;="&amp;A17,Stk_date,"&lt;="&amp;A17,Stk_commercial,B17,Stk_mouvement,"Perte / vol"))</f>
        <v/>
      </c>
      <c r="S17" s="36" t="n"/>
      <c r="T17" s="36" t="n"/>
      <c r="U17" s="36" t="n"/>
      <c r="V17" s="36" t="n"/>
    </row>
    <row r="18" ht="18" customHeight="1">
      <c r="A18" s="32" t="n"/>
      <c r="B18" s="33">
        <f>IF(A18="","",Commercial_Id)</f>
        <v/>
      </c>
      <c r="C18" s="34">
        <f>IF(A18="","",CHOOSE(WEEKDAY(A18,2),"Lundi","Mardi","Mercredi","Jeudi","Vendredi","Samedi","Dimanche"))</f>
        <v/>
      </c>
      <c r="D18" s="34">
        <f>IF(A18="","",YEAR(A18-WEEKDAY(A18,2)+4)&amp;"-S"&amp;TEXT(INT((A18-DATE(YEAR(A18-WEEKDAY(A18,2)+4),1,3)+WEEKDAY(DATE(YEAR(A18-WEEKDAY(A18,2)+4),1,3),2)+5)/7),"00"))</f>
        <v/>
      </c>
      <c r="E18" s="35" t="n"/>
      <c r="F18" s="35" t="n"/>
      <c r="G18" s="36" t="n"/>
      <c r="H18" s="37" t="n"/>
      <c r="I18" s="38">
        <f>IF(OR(E18="",F18=""),"",ROUND((F18-E18)*24,1))</f>
        <v/>
      </c>
      <c r="J18" s="39">
        <f>IF(A18="","",COUNTIFS(VC_date,"&gt;="&amp;A18,VC_date,"&lt;="&amp;A18,VC_commercial,B18,VC_type,"Visite sur place"))</f>
        <v/>
      </c>
      <c r="K18" s="39">
        <f>IF(A18="","",COUNTIFS(VC_date,"&gt;="&amp;A18,VC_date,"&lt;="&amp;A18,VC_commercial,B18,VC_type,"&lt;&gt;Visite sur place",VC_type,"&lt;&gt;"))</f>
        <v/>
      </c>
      <c r="L18" s="39">
        <f>IF(A18="","",COUNTIFS(Cl_creation,"&gt;="&amp;A18,Cl_creation,"&lt;="&amp;A18,Cl_commercial,B18))</f>
        <v/>
      </c>
      <c r="M18" s="39">
        <f>IF(A18="","",COUNTIFS(Cl_vente1,"&gt;="&amp;A18,Cl_vente1,"&lt;="&amp;A18,Cl_commercial,B18))</f>
        <v/>
      </c>
      <c r="N18" s="39">
        <f>IF(A18="","",SUMIFS(Cmd_premiere,Cmd_date,"&gt;="&amp;A18,Cmd_date,"&lt;="&amp;A18,Cmd_commercial,B18,Cmd_statut,"&lt;&gt;Annulée",Cmd_type,"&lt;&gt;Vente directe"))</f>
        <v/>
      </c>
      <c r="O18" s="40">
        <f>IF(A18="","",SUMIFS(Cmd_montant,Cmd_date,"&gt;="&amp;A18,Cmd_date,"&lt;="&amp;A18,Cmd_commercial,B18,Cmd_statut,"&lt;&gt;Annulée",Cmd_type,"&lt;&gt;Vente directe"))</f>
        <v/>
      </c>
      <c r="P18" s="40">
        <f>IF(A18="","",SUMIFS(Cmd_montant,Cmd_dateca,"&gt;="&amp;A18,Cmd_dateca,"&lt;="&amp;A18,Cmd_commercial,B18))</f>
        <v/>
      </c>
      <c r="Q18" s="40">
        <f>IF(A18="","",SUMIFS(Enc_montant,Enc_date,"&gt;="&amp;A18,Enc_date,"&lt;="&amp;A18,Enc_commercial,B18))</f>
        <v/>
      </c>
      <c r="R18" s="40">
        <f>IF(A18="","",SUMIFS(Stk_valeur,Stk_date,"&gt;="&amp;A18,Stk_date,"&lt;="&amp;A18,Stk_commercial,B18,Stk_mouvement,"Casse / avarie")+SUMIFS(Stk_valeur,Stk_date,"&gt;="&amp;A18,Stk_date,"&lt;="&amp;A18,Stk_commercial,B18,Stk_mouvement,"Perte / vol"))</f>
        <v/>
      </c>
      <c r="S18" s="36" t="n"/>
      <c r="T18" s="36" t="n"/>
      <c r="U18" s="36" t="n"/>
      <c r="V18" s="36" t="n"/>
    </row>
    <row r="19" ht="18" customHeight="1">
      <c r="A19" s="32" t="n"/>
      <c r="B19" s="33">
        <f>IF(A19="","",Commercial_Id)</f>
        <v/>
      </c>
      <c r="C19" s="34">
        <f>IF(A19="","",CHOOSE(WEEKDAY(A19,2),"Lundi","Mardi","Mercredi","Jeudi","Vendredi","Samedi","Dimanche"))</f>
        <v/>
      </c>
      <c r="D19" s="34">
        <f>IF(A19="","",YEAR(A19-WEEKDAY(A19,2)+4)&amp;"-S"&amp;TEXT(INT((A19-DATE(YEAR(A19-WEEKDAY(A19,2)+4),1,3)+WEEKDAY(DATE(YEAR(A19-WEEKDAY(A19,2)+4),1,3),2)+5)/7),"00"))</f>
        <v/>
      </c>
      <c r="E19" s="35" t="n"/>
      <c r="F19" s="35" t="n"/>
      <c r="G19" s="36" t="n"/>
      <c r="H19" s="37" t="n"/>
      <c r="I19" s="38">
        <f>IF(OR(E19="",F19=""),"",ROUND((F19-E19)*24,1))</f>
        <v/>
      </c>
      <c r="J19" s="39">
        <f>IF(A19="","",COUNTIFS(VC_date,"&gt;="&amp;A19,VC_date,"&lt;="&amp;A19,VC_commercial,B19,VC_type,"Visite sur place"))</f>
        <v/>
      </c>
      <c r="K19" s="39">
        <f>IF(A19="","",COUNTIFS(VC_date,"&gt;="&amp;A19,VC_date,"&lt;="&amp;A19,VC_commercial,B19,VC_type,"&lt;&gt;Visite sur place",VC_type,"&lt;&gt;"))</f>
        <v/>
      </c>
      <c r="L19" s="39">
        <f>IF(A19="","",COUNTIFS(Cl_creation,"&gt;="&amp;A19,Cl_creation,"&lt;="&amp;A19,Cl_commercial,B19))</f>
        <v/>
      </c>
      <c r="M19" s="39">
        <f>IF(A19="","",COUNTIFS(Cl_vente1,"&gt;="&amp;A19,Cl_vente1,"&lt;="&amp;A19,Cl_commercial,B19))</f>
        <v/>
      </c>
      <c r="N19" s="39">
        <f>IF(A19="","",SUMIFS(Cmd_premiere,Cmd_date,"&gt;="&amp;A19,Cmd_date,"&lt;="&amp;A19,Cmd_commercial,B19,Cmd_statut,"&lt;&gt;Annulée",Cmd_type,"&lt;&gt;Vente directe"))</f>
        <v/>
      </c>
      <c r="O19" s="40">
        <f>IF(A19="","",SUMIFS(Cmd_montant,Cmd_date,"&gt;="&amp;A19,Cmd_date,"&lt;="&amp;A19,Cmd_commercial,B19,Cmd_statut,"&lt;&gt;Annulée",Cmd_type,"&lt;&gt;Vente directe"))</f>
        <v/>
      </c>
      <c r="P19" s="40">
        <f>IF(A19="","",SUMIFS(Cmd_montant,Cmd_dateca,"&gt;="&amp;A19,Cmd_dateca,"&lt;="&amp;A19,Cmd_commercial,B19))</f>
        <v/>
      </c>
      <c r="Q19" s="40">
        <f>IF(A19="","",SUMIFS(Enc_montant,Enc_date,"&gt;="&amp;A19,Enc_date,"&lt;="&amp;A19,Enc_commercial,B19))</f>
        <v/>
      </c>
      <c r="R19" s="40">
        <f>IF(A19="","",SUMIFS(Stk_valeur,Stk_date,"&gt;="&amp;A19,Stk_date,"&lt;="&amp;A19,Stk_commercial,B19,Stk_mouvement,"Casse / avarie")+SUMIFS(Stk_valeur,Stk_date,"&gt;="&amp;A19,Stk_date,"&lt;="&amp;A19,Stk_commercial,B19,Stk_mouvement,"Perte / vol"))</f>
        <v/>
      </c>
      <c r="S19" s="36" t="n"/>
      <c r="T19" s="36" t="n"/>
      <c r="U19" s="36" t="n"/>
      <c r="V19" s="36" t="n"/>
    </row>
    <row r="20" ht="18" customHeight="1">
      <c r="A20" s="32" t="n"/>
      <c r="B20" s="33">
        <f>IF(A20="","",Commercial_Id)</f>
        <v/>
      </c>
      <c r="C20" s="34">
        <f>IF(A20="","",CHOOSE(WEEKDAY(A20,2),"Lundi","Mardi","Mercredi","Jeudi","Vendredi","Samedi","Dimanche"))</f>
        <v/>
      </c>
      <c r="D20" s="34">
        <f>IF(A20="","",YEAR(A20-WEEKDAY(A20,2)+4)&amp;"-S"&amp;TEXT(INT((A20-DATE(YEAR(A20-WEEKDAY(A20,2)+4),1,3)+WEEKDAY(DATE(YEAR(A20-WEEKDAY(A20,2)+4),1,3),2)+5)/7),"00"))</f>
        <v/>
      </c>
      <c r="E20" s="35" t="n"/>
      <c r="F20" s="35" t="n"/>
      <c r="G20" s="36" t="n"/>
      <c r="H20" s="37" t="n"/>
      <c r="I20" s="38">
        <f>IF(OR(E20="",F20=""),"",ROUND((F20-E20)*24,1))</f>
        <v/>
      </c>
      <c r="J20" s="39">
        <f>IF(A20="","",COUNTIFS(VC_date,"&gt;="&amp;A20,VC_date,"&lt;="&amp;A20,VC_commercial,B20,VC_type,"Visite sur place"))</f>
        <v/>
      </c>
      <c r="K20" s="39">
        <f>IF(A20="","",COUNTIFS(VC_date,"&gt;="&amp;A20,VC_date,"&lt;="&amp;A20,VC_commercial,B20,VC_type,"&lt;&gt;Visite sur place",VC_type,"&lt;&gt;"))</f>
        <v/>
      </c>
      <c r="L20" s="39">
        <f>IF(A20="","",COUNTIFS(Cl_creation,"&gt;="&amp;A20,Cl_creation,"&lt;="&amp;A20,Cl_commercial,B20))</f>
        <v/>
      </c>
      <c r="M20" s="39">
        <f>IF(A20="","",COUNTIFS(Cl_vente1,"&gt;="&amp;A20,Cl_vente1,"&lt;="&amp;A20,Cl_commercial,B20))</f>
        <v/>
      </c>
      <c r="N20" s="39">
        <f>IF(A20="","",SUMIFS(Cmd_premiere,Cmd_date,"&gt;="&amp;A20,Cmd_date,"&lt;="&amp;A20,Cmd_commercial,B20,Cmd_statut,"&lt;&gt;Annulée",Cmd_type,"&lt;&gt;Vente directe"))</f>
        <v/>
      </c>
      <c r="O20" s="40">
        <f>IF(A20="","",SUMIFS(Cmd_montant,Cmd_date,"&gt;="&amp;A20,Cmd_date,"&lt;="&amp;A20,Cmd_commercial,B20,Cmd_statut,"&lt;&gt;Annulée",Cmd_type,"&lt;&gt;Vente directe"))</f>
        <v/>
      </c>
      <c r="P20" s="40">
        <f>IF(A20="","",SUMIFS(Cmd_montant,Cmd_dateca,"&gt;="&amp;A20,Cmd_dateca,"&lt;="&amp;A20,Cmd_commercial,B20))</f>
        <v/>
      </c>
      <c r="Q20" s="40">
        <f>IF(A20="","",SUMIFS(Enc_montant,Enc_date,"&gt;="&amp;A20,Enc_date,"&lt;="&amp;A20,Enc_commercial,B20))</f>
        <v/>
      </c>
      <c r="R20" s="40">
        <f>IF(A20="","",SUMIFS(Stk_valeur,Stk_date,"&gt;="&amp;A20,Stk_date,"&lt;="&amp;A20,Stk_commercial,B20,Stk_mouvement,"Casse / avarie")+SUMIFS(Stk_valeur,Stk_date,"&gt;="&amp;A20,Stk_date,"&lt;="&amp;A20,Stk_commercial,B20,Stk_mouvement,"Perte / vol"))</f>
        <v/>
      </c>
      <c r="S20" s="36" t="n"/>
      <c r="T20" s="36" t="n"/>
      <c r="U20" s="36" t="n"/>
      <c r="V20" s="36" t="n"/>
    </row>
    <row r="21" ht="18" customHeight="1">
      <c r="A21" s="32" t="n"/>
      <c r="B21" s="33">
        <f>IF(A21="","",Commercial_Id)</f>
        <v/>
      </c>
      <c r="C21" s="34">
        <f>IF(A21="","",CHOOSE(WEEKDAY(A21,2),"Lundi","Mardi","Mercredi","Jeudi","Vendredi","Samedi","Dimanche"))</f>
        <v/>
      </c>
      <c r="D21" s="34">
        <f>IF(A21="","",YEAR(A21-WEEKDAY(A21,2)+4)&amp;"-S"&amp;TEXT(INT((A21-DATE(YEAR(A21-WEEKDAY(A21,2)+4),1,3)+WEEKDAY(DATE(YEAR(A21-WEEKDAY(A21,2)+4),1,3),2)+5)/7),"00"))</f>
        <v/>
      </c>
      <c r="E21" s="35" t="n"/>
      <c r="F21" s="35" t="n"/>
      <c r="G21" s="36" t="n"/>
      <c r="H21" s="37" t="n"/>
      <c r="I21" s="38">
        <f>IF(OR(E21="",F21=""),"",ROUND((F21-E21)*24,1))</f>
        <v/>
      </c>
      <c r="J21" s="39">
        <f>IF(A21="","",COUNTIFS(VC_date,"&gt;="&amp;A21,VC_date,"&lt;="&amp;A21,VC_commercial,B21,VC_type,"Visite sur place"))</f>
        <v/>
      </c>
      <c r="K21" s="39">
        <f>IF(A21="","",COUNTIFS(VC_date,"&gt;="&amp;A21,VC_date,"&lt;="&amp;A21,VC_commercial,B21,VC_type,"&lt;&gt;Visite sur place",VC_type,"&lt;&gt;"))</f>
        <v/>
      </c>
      <c r="L21" s="39">
        <f>IF(A21="","",COUNTIFS(Cl_creation,"&gt;="&amp;A21,Cl_creation,"&lt;="&amp;A21,Cl_commercial,B21))</f>
        <v/>
      </c>
      <c r="M21" s="39">
        <f>IF(A21="","",COUNTIFS(Cl_vente1,"&gt;="&amp;A21,Cl_vente1,"&lt;="&amp;A21,Cl_commercial,B21))</f>
        <v/>
      </c>
      <c r="N21" s="39">
        <f>IF(A21="","",SUMIFS(Cmd_premiere,Cmd_date,"&gt;="&amp;A21,Cmd_date,"&lt;="&amp;A21,Cmd_commercial,B21,Cmd_statut,"&lt;&gt;Annulée",Cmd_type,"&lt;&gt;Vente directe"))</f>
        <v/>
      </c>
      <c r="O21" s="40">
        <f>IF(A21="","",SUMIFS(Cmd_montant,Cmd_date,"&gt;="&amp;A21,Cmd_date,"&lt;="&amp;A21,Cmd_commercial,B21,Cmd_statut,"&lt;&gt;Annulée",Cmd_type,"&lt;&gt;Vente directe"))</f>
        <v/>
      </c>
      <c r="P21" s="40">
        <f>IF(A21="","",SUMIFS(Cmd_montant,Cmd_dateca,"&gt;="&amp;A21,Cmd_dateca,"&lt;="&amp;A21,Cmd_commercial,B21))</f>
        <v/>
      </c>
      <c r="Q21" s="40">
        <f>IF(A21="","",SUMIFS(Enc_montant,Enc_date,"&gt;="&amp;A21,Enc_date,"&lt;="&amp;A21,Enc_commercial,B21))</f>
        <v/>
      </c>
      <c r="R21" s="40">
        <f>IF(A21="","",SUMIFS(Stk_valeur,Stk_date,"&gt;="&amp;A21,Stk_date,"&lt;="&amp;A21,Stk_commercial,B21,Stk_mouvement,"Casse / avarie")+SUMIFS(Stk_valeur,Stk_date,"&gt;="&amp;A21,Stk_date,"&lt;="&amp;A21,Stk_commercial,B21,Stk_mouvement,"Perte / vol"))</f>
        <v/>
      </c>
      <c r="S21" s="36" t="n"/>
      <c r="T21" s="36" t="n"/>
      <c r="U21" s="36" t="n"/>
      <c r="V21" s="36" t="n"/>
    </row>
    <row r="22" ht="18" customHeight="1">
      <c r="A22" s="32" t="n"/>
      <c r="B22" s="33">
        <f>IF(A22="","",Commercial_Id)</f>
        <v/>
      </c>
      <c r="C22" s="34">
        <f>IF(A22="","",CHOOSE(WEEKDAY(A22,2),"Lundi","Mardi","Mercredi","Jeudi","Vendredi","Samedi","Dimanche"))</f>
        <v/>
      </c>
      <c r="D22" s="34">
        <f>IF(A22="","",YEAR(A22-WEEKDAY(A22,2)+4)&amp;"-S"&amp;TEXT(INT((A22-DATE(YEAR(A22-WEEKDAY(A22,2)+4),1,3)+WEEKDAY(DATE(YEAR(A22-WEEKDAY(A22,2)+4),1,3),2)+5)/7),"00"))</f>
        <v/>
      </c>
      <c r="E22" s="35" t="n"/>
      <c r="F22" s="35" t="n"/>
      <c r="G22" s="36" t="n"/>
      <c r="H22" s="37" t="n"/>
      <c r="I22" s="38">
        <f>IF(OR(E22="",F22=""),"",ROUND((F22-E22)*24,1))</f>
        <v/>
      </c>
      <c r="J22" s="39">
        <f>IF(A22="","",COUNTIFS(VC_date,"&gt;="&amp;A22,VC_date,"&lt;="&amp;A22,VC_commercial,B22,VC_type,"Visite sur place"))</f>
        <v/>
      </c>
      <c r="K22" s="39">
        <f>IF(A22="","",COUNTIFS(VC_date,"&gt;="&amp;A22,VC_date,"&lt;="&amp;A22,VC_commercial,B22,VC_type,"&lt;&gt;Visite sur place",VC_type,"&lt;&gt;"))</f>
        <v/>
      </c>
      <c r="L22" s="39">
        <f>IF(A22="","",COUNTIFS(Cl_creation,"&gt;="&amp;A22,Cl_creation,"&lt;="&amp;A22,Cl_commercial,B22))</f>
        <v/>
      </c>
      <c r="M22" s="39">
        <f>IF(A22="","",COUNTIFS(Cl_vente1,"&gt;="&amp;A22,Cl_vente1,"&lt;="&amp;A22,Cl_commercial,B22))</f>
        <v/>
      </c>
      <c r="N22" s="39">
        <f>IF(A22="","",SUMIFS(Cmd_premiere,Cmd_date,"&gt;="&amp;A22,Cmd_date,"&lt;="&amp;A22,Cmd_commercial,B22,Cmd_statut,"&lt;&gt;Annulée",Cmd_type,"&lt;&gt;Vente directe"))</f>
        <v/>
      </c>
      <c r="O22" s="40">
        <f>IF(A22="","",SUMIFS(Cmd_montant,Cmd_date,"&gt;="&amp;A22,Cmd_date,"&lt;="&amp;A22,Cmd_commercial,B22,Cmd_statut,"&lt;&gt;Annulée",Cmd_type,"&lt;&gt;Vente directe"))</f>
        <v/>
      </c>
      <c r="P22" s="40">
        <f>IF(A22="","",SUMIFS(Cmd_montant,Cmd_dateca,"&gt;="&amp;A22,Cmd_dateca,"&lt;="&amp;A22,Cmd_commercial,B22))</f>
        <v/>
      </c>
      <c r="Q22" s="40">
        <f>IF(A22="","",SUMIFS(Enc_montant,Enc_date,"&gt;="&amp;A22,Enc_date,"&lt;="&amp;A22,Enc_commercial,B22))</f>
        <v/>
      </c>
      <c r="R22" s="40">
        <f>IF(A22="","",SUMIFS(Stk_valeur,Stk_date,"&gt;="&amp;A22,Stk_date,"&lt;="&amp;A22,Stk_commercial,B22,Stk_mouvement,"Casse / avarie")+SUMIFS(Stk_valeur,Stk_date,"&gt;="&amp;A22,Stk_date,"&lt;="&amp;A22,Stk_commercial,B22,Stk_mouvement,"Perte / vol"))</f>
        <v/>
      </c>
      <c r="S22" s="36" t="n"/>
      <c r="T22" s="36" t="n"/>
      <c r="U22" s="36" t="n"/>
      <c r="V22" s="36" t="n"/>
    </row>
    <row r="23" ht="18" customHeight="1">
      <c r="A23" s="32" t="n"/>
      <c r="B23" s="33">
        <f>IF(A23="","",Commercial_Id)</f>
        <v/>
      </c>
      <c r="C23" s="34">
        <f>IF(A23="","",CHOOSE(WEEKDAY(A23,2),"Lundi","Mardi","Mercredi","Jeudi","Vendredi","Samedi","Dimanche"))</f>
        <v/>
      </c>
      <c r="D23" s="34">
        <f>IF(A23="","",YEAR(A23-WEEKDAY(A23,2)+4)&amp;"-S"&amp;TEXT(INT((A23-DATE(YEAR(A23-WEEKDAY(A23,2)+4),1,3)+WEEKDAY(DATE(YEAR(A23-WEEKDAY(A23,2)+4),1,3),2)+5)/7),"00"))</f>
        <v/>
      </c>
      <c r="E23" s="35" t="n"/>
      <c r="F23" s="35" t="n"/>
      <c r="G23" s="36" t="n"/>
      <c r="H23" s="37" t="n"/>
      <c r="I23" s="38">
        <f>IF(OR(E23="",F23=""),"",ROUND((F23-E23)*24,1))</f>
        <v/>
      </c>
      <c r="J23" s="39">
        <f>IF(A23="","",COUNTIFS(VC_date,"&gt;="&amp;A23,VC_date,"&lt;="&amp;A23,VC_commercial,B23,VC_type,"Visite sur place"))</f>
        <v/>
      </c>
      <c r="K23" s="39">
        <f>IF(A23="","",COUNTIFS(VC_date,"&gt;="&amp;A23,VC_date,"&lt;="&amp;A23,VC_commercial,B23,VC_type,"&lt;&gt;Visite sur place",VC_type,"&lt;&gt;"))</f>
        <v/>
      </c>
      <c r="L23" s="39">
        <f>IF(A23="","",COUNTIFS(Cl_creation,"&gt;="&amp;A23,Cl_creation,"&lt;="&amp;A23,Cl_commercial,B23))</f>
        <v/>
      </c>
      <c r="M23" s="39">
        <f>IF(A23="","",COUNTIFS(Cl_vente1,"&gt;="&amp;A23,Cl_vente1,"&lt;="&amp;A23,Cl_commercial,B23))</f>
        <v/>
      </c>
      <c r="N23" s="39">
        <f>IF(A23="","",SUMIFS(Cmd_premiere,Cmd_date,"&gt;="&amp;A23,Cmd_date,"&lt;="&amp;A23,Cmd_commercial,B23,Cmd_statut,"&lt;&gt;Annulée",Cmd_type,"&lt;&gt;Vente directe"))</f>
        <v/>
      </c>
      <c r="O23" s="40">
        <f>IF(A23="","",SUMIFS(Cmd_montant,Cmd_date,"&gt;="&amp;A23,Cmd_date,"&lt;="&amp;A23,Cmd_commercial,B23,Cmd_statut,"&lt;&gt;Annulée",Cmd_type,"&lt;&gt;Vente directe"))</f>
        <v/>
      </c>
      <c r="P23" s="40">
        <f>IF(A23="","",SUMIFS(Cmd_montant,Cmd_dateca,"&gt;="&amp;A23,Cmd_dateca,"&lt;="&amp;A23,Cmd_commercial,B23))</f>
        <v/>
      </c>
      <c r="Q23" s="40">
        <f>IF(A23="","",SUMIFS(Enc_montant,Enc_date,"&gt;="&amp;A23,Enc_date,"&lt;="&amp;A23,Enc_commercial,B23))</f>
        <v/>
      </c>
      <c r="R23" s="40">
        <f>IF(A23="","",SUMIFS(Stk_valeur,Stk_date,"&gt;="&amp;A23,Stk_date,"&lt;="&amp;A23,Stk_commercial,B23,Stk_mouvement,"Casse / avarie")+SUMIFS(Stk_valeur,Stk_date,"&gt;="&amp;A23,Stk_date,"&lt;="&amp;A23,Stk_commercial,B23,Stk_mouvement,"Perte / vol"))</f>
        <v/>
      </c>
      <c r="S23" s="36" t="n"/>
      <c r="T23" s="36" t="n"/>
      <c r="U23" s="36" t="n"/>
      <c r="V23" s="36" t="n"/>
    </row>
    <row r="24" ht="18" customHeight="1">
      <c r="A24" s="32" t="n"/>
      <c r="B24" s="33">
        <f>IF(A24="","",Commercial_Id)</f>
        <v/>
      </c>
      <c r="C24" s="34">
        <f>IF(A24="","",CHOOSE(WEEKDAY(A24,2),"Lundi","Mardi","Mercredi","Jeudi","Vendredi","Samedi","Dimanche"))</f>
        <v/>
      </c>
      <c r="D24" s="34">
        <f>IF(A24="","",YEAR(A24-WEEKDAY(A24,2)+4)&amp;"-S"&amp;TEXT(INT((A24-DATE(YEAR(A24-WEEKDAY(A24,2)+4),1,3)+WEEKDAY(DATE(YEAR(A24-WEEKDAY(A24,2)+4),1,3),2)+5)/7),"00"))</f>
        <v/>
      </c>
      <c r="E24" s="35" t="n"/>
      <c r="F24" s="35" t="n"/>
      <c r="G24" s="36" t="n"/>
      <c r="H24" s="37" t="n"/>
      <c r="I24" s="38">
        <f>IF(OR(E24="",F24=""),"",ROUND((F24-E24)*24,1))</f>
        <v/>
      </c>
      <c r="J24" s="39">
        <f>IF(A24="","",COUNTIFS(VC_date,"&gt;="&amp;A24,VC_date,"&lt;="&amp;A24,VC_commercial,B24,VC_type,"Visite sur place"))</f>
        <v/>
      </c>
      <c r="K24" s="39">
        <f>IF(A24="","",COUNTIFS(VC_date,"&gt;="&amp;A24,VC_date,"&lt;="&amp;A24,VC_commercial,B24,VC_type,"&lt;&gt;Visite sur place",VC_type,"&lt;&gt;"))</f>
        <v/>
      </c>
      <c r="L24" s="39">
        <f>IF(A24="","",COUNTIFS(Cl_creation,"&gt;="&amp;A24,Cl_creation,"&lt;="&amp;A24,Cl_commercial,B24))</f>
        <v/>
      </c>
      <c r="M24" s="39">
        <f>IF(A24="","",COUNTIFS(Cl_vente1,"&gt;="&amp;A24,Cl_vente1,"&lt;="&amp;A24,Cl_commercial,B24))</f>
        <v/>
      </c>
      <c r="N24" s="39">
        <f>IF(A24="","",SUMIFS(Cmd_premiere,Cmd_date,"&gt;="&amp;A24,Cmd_date,"&lt;="&amp;A24,Cmd_commercial,B24,Cmd_statut,"&lt;&gt;Annulée",Cmd_type,"&lt;&gt;Vente directe"))</f>
        <v/>
      </c>
      <c r="O24" s="40">
        <f>IF(A24="","",SUMIFS(Cmd_montant,Cmd_date,"&gt;="&amp;A24,Cmd_date,"&lt;="&amp;A24,Cmd_commercial,B24,Cmd_statut,"&lt;&gt;Annulée",Cmd_type,"&lt;&gt;Vente directe"))</f>
        <v/>
      </c>
      <c r="P24" s="40">
        <f>IF(A24="","",SUMIFS(Cmd_montant,Cmd_dateca,"&gt;="&amp;A24,Cmd_dateca,"&lt;="&amp;A24,Cmd_commercial,B24))</f>
        <v/>
      </c>
      <c r="Q24" s="40">
        <f>IF(A24="","",SUMIFS(Enc_montant,Enc_date,"&gt;="&amp;A24,Enc_date,"&lt;="&amp;A24,Enc_commercial,B24))</f>
        <v/>
      </c>
      <c r="R24" s="40">
        <f>IF(A24="","",SUMIFS(Stk_valeur,Stk_date,"&gt;="&amp;A24,Stk_date,"&lt;="&amp;A24,Stk_commercial,B24,Stk_mouvement,"Casse / avarie")+SUMIFS(Stk_valeur,Stk_date,"&gt;="&amp;A24,Stk_date,"&lt;="&amp;A24,Stk_commercial,B24,Stk_mouvement,"Perte / vol"))</f>
        <v/>
      </c>
      <c r="S24" s="36" t="n"/>
      <c r="T24" s="36" t="n"/>
      <c r="U24" s="36" t="n"/>
      <c r="V24" s="36" t="n"/>
    </row>
    <row r="25" ht="18" customHeight="1">
      <c r="A25" s="32" t="n"/>
      <c r="B25" s="33">
        <f>IF(A25="","",Commercial_Id)</f>
        <v/>
      </c>
      <c r="C25" s="34">
        <f>IF(A25="","",CHOOSE(WEEKDAY(A25,2),"Lundi","Mardi","Mercredi","Jeudi","Vendredi","Samedi","Dimanche"))</f>
        <v/>
      </c>
      <c r="D25" s="34">
        <f>IF(A25="","",YEAR(A25-WEEKDAY(A25,2)+4)&amp;"-S"&amp;TEXT(INT((A25-DATE(YEAR(A25-WEEKDAY(A25,2)+4),1,3)+WEEKDAY(DATE(YEAR(A25-WEEKDAY(A25,2)+4),1,3),2)+5)/7),"00"))</f>
        <v/>
      </c>
      <c r="E25" s="35" t="n"/>
      <c r="F25" s="35" t="n"/>
      <c r="G25" s="36" t="n"/>
      <c r="H25" s="37" t="n"/>
      <c r="I25" s="38">
        <f>IF(OR(E25="",F25=""),"",ROUND((F25-E25)*24,1))</f>
        <v/>
      </c>
      <c r="J25" s="39">
        <f>IF(A25="","",COUNTIFS(VC_date,"&gt;="&amp;A25,VC_date,"&lt;="&amp;A25,VC_commercial,B25,VC_type,"Visite sur place"))</f>
        <v/>
      </c>
      <c r="K25" s="39">
        <f>IF(A25="","",COUNTIFS(VC_date,"&gt;="&amp;A25,VC_date,"&lt;="&amp;A25,VC_commercial,B25,VC_type,"&lt;&gt;Visite sur place",VC_type,"&lt;&gt;"))</f>
        <v/>
      </c>
      <c r="L25" s="39">
        <f>IF(A25="","",COUNTIFS(Cl_creation,"&gt;="&amp;A25,Cl_creation,"&lt;="&amp;A25,Cl_commercial,B25))</f>
        <v/>
      </c>
      <c r="M25" s="39">
        <f>IF(A25="","",COUNTIFS(Cl_vente1,"&gt;="&amp;A25,Cl_vente1,"&lt;="&amp;A25,Cl_commercial,B25))</f>
        <v/>
      </c>
      <c r="N25" s="39">
        <f>IF(A25="","",SUMIFS(Cmd_premiere,Cmd_date,"&gt;="&amp;A25,Cmd_date,"&lt;="&amp;A25,Cmd_commercial,B25,Cmd_statut,"&lt;&gt;Annulée",Cmd_type,"&lt;&gt;Vente directe"))</f>
        <v/>
      </c>
      <c r="O25" s="40">
        <f>IF(A25="","",SUMIFS(Cmd_montant,Cmd_date,"&gt;="&amp;A25,Cmd_date,"&lt;="&amp;A25,Cmd_commercial,B25,Cmd_statut,"&lt;&gt;Annulée",Cmd_type,"&lt;&gt;Vente directe"))</f>
        <v/>
      </c>
      <c r="P25" s="40">
        <f>IF(A25="","",SUMIFS(Cmd_montant,Cmd_dateca,"&gt;="&amp;A25,Cmd_dateca,"&lt;="&amp;A25,Cmd_commercial,B25))</f>
        <v/>
      </c>
      <c r="Q25" s="40">
        <f>IF(A25="","",SUMIFS(Enc_montant,Enc_date,"&gt;="&amp;A25,Enc_date,"&lt;="&amp;A25,Enc_commercial,B25))</f>
        <v/>
      </c>
      <c r="R25" s="40">
        <f>IF(A25="","",SUMIFS(Stk_valeur,Stk_date,"&gt;="&amp;A25,Stk_date,"&lt;="&amp;A25,Stk_commercial,B25,Stk_mouvement,"Casse / avarie")+SUMIFS(Stk_valeur,Stk_date,"&gt;="&amp;A25,Stk_date,"&lt;="&amp;A25,Stk_commercial,B25,Stk_mouvement,"Perte / vol"))</f>
        <v/>
      </c>
      <c r="S25" s="36" t="n"/>
      <c r="T25" s="36" t="n"/>
      <c r="U25" s="36" t="n"/>
      <c r="V25" s="36" t="n"/>
    </row>
    <row r="26" ht="18" customHeight="1">
      <c r="A26" s="32" t="n"/>
      <c r="B26" s="33">
        <f>IF(A26="","",Commercial_Id)</f>
        <v/>
      </c>
      <c r="C26" s="34">
        <f>IF(A26="","",CHOOSE(WEEKDAY(A26,2),"Lundi","Mardi","Mercredi","Jeudi","Vendredi","Samedi","Dimanche"))</f>
        <v/>
      </c>
      <c r="D26" s="34">
        <f>IF(A26="","",YEAR(A26-WEEKDAY(A26,2)+4)&amp;"-S"&amp;TEXT(INT((A26-DATE(YEAR(A26-WEEKDAY(A26,2)+4),1,3)+WEEKDAY(DATE(YEAR(A26-WEEKDAY(A26,2)+4),1,3),2)+5)/7),"00"))</f>
        <v/>
      </c>
      <c r="E26" s="35" t="n"/>
      <c r="F26" s="35" t="n"/>
      <c r="G26" s="36" t="n"/>
      <c r="H26" s="37" t="n"/>
      <c r="I26" s="38">
        <f>IF(OR(E26="",F26=""),"",ROUND((F26-E26)*24,1))</f>
        <v/>
      </c>
      <c r="J26" s="39">
        <f>IF(A26="","",COUNTIFS(VC_date,"&gt;="&amp;A26,VC_date,"&lt;="&amp;A26,VC_commercial,B26,VC_type,"Visite sur place"))</f>
        <v/>
      </c>
      <c r="K26" s="39">
        <f>IF(A26="","",COUNTIFS(VC_date,"&gt;="&amp;A26,VC_date,"&lt;="&amp;A26,VC_commercial,B26,VC_type,"&lt;&gt;Visite sur place",VC_type,"&lt;&gt;"))</f>
        <v/>
      </c>
      <c r="L26" s="39">
        <f>IF(A26="","",COUNTIFS(Cl_creation,"&gt;="&amp;A26,Cl_creation,"&lt;="&amp;A26,Cl_commercial,B26))</f>
        <v/>
      </c>
      <c r="M26" s="39">
        <f>IF(A26="","",COUNTIFS(Cl_vente1,"&gt;="&amp;A26,Cl_vente1,"&lt;="&amp;A26,Cl_commercial,B26))</f>
        <v/>
      </c>
      <c r="N26" s="39">
        <f>IF(A26="","",SUMIFS(Cmd_premiere,Cmd_date,"&gt;="&amp;A26,Cmd_date,"&lt;="&amp;A26,Cmd_commercial,B26,Cmd_statut,"&lt;&gt;Annulée",Cmd_type,"&lt;&gt;Vente directe"))</f>
        <v/>
      </c>
      <c r="O26" s="40">
        <f>IF(A26="","",SUMIFS(Cmd_montant,Cmd_date,"&gt;="&amp;A26,Cmd_date,"&lt;="&amp;A26,Cmd_commercial,B26,Cmd_statut,"&lt;&gt;Annulée",Cmd_type,"&lt;&gt;Vente directe"))</f>
        <v/>
      </c>
      <c r="P26" s="40">
        <f>IF(A26="","",SUMIFS(Cmd_montant,Cmd_dateca,"&gt;="&amp;A26,Cmd_dateca,"&lt;="&amp;A26,Cmd_commercial,B26))</f>
        <v/>
      </c>
      <c r="Q26" s="40">
        <f>IF(A26="","",SUMIFS(Enc_montant,Enc_date,"&gt;="&amp;A26,Enc_date,"&lt;="&amp;A26,Enc_commercial,B26))</f>
        <v/>
      </c>
      <c r="R26" s="40">
        <f>IF(A26="","",SUMIFS(Stk_valeur,Stk_date,"&gt;="&amp;A26,Stk_date,"&lt;="&amp;A26,Stk_commercial,B26,Stk_mouvement,"Casse / avarie")+SUMIFS(Stk_valeur,Stk_date,"&gt;="&amp;A26,Stk_date,"&lt;="&amp;A26,Stk_commercial,B26,Stk_mouvement,"Perte / vol"))</f>
        <v/>
      </c>
      <c r="S26" s="36" t="n"/>
      <c r="T26" s="36" t="n"/>
      <c r="U26" s="36" t="n"/>
      <c r="V26" s="36" t="n"/>
    </row>
    <row r="27" ht="18" customHeight="1">
      <c r="A27" s="32" t="n"/>
      <c r="B27" s="33">
        <f>IF(A27="","",Commercial_Id)</f>
        <v/>
      </c>
      <c r="C27" s="34">
        <f>IF(A27="","",CHOOSE(WEEKDAY(A27,2),"Lundi","Mardi","Mercredi","Jeudi","Vendredi","Samedi","Dimanche"))</f>
        <v/>
      </c>
      <c r="D27" s="34">
        <f>IF(A27="","",YEAR(A27-WEEKDAY(A27,2)+4)&amp;"-S"&amp;TEXT(INT((A27-DATE(YEAR(A27-WEEKDAY(A27,2)+4),1,3)+WEEKDAY(DATE(YEAR(A27-WEEKDAY(A27,2)+4),1,3),2)+5)/7),"00"))</f>
        <v/>
      </c>
      <c r="E27" s="35" t="n"/>
      <c r="F27" s="35" t="n"/>
      <c r="G27" s="36" t="n"/>
      <c r="H27" s="37" t="n"/>
      <c r="I27" s="38">
        <f>IF(OR(E27="",F27=""),"",ROUND((F27-E27)*24,1))</f>
        <v/>
      </c>
      <c r="J27" s="39">
        <f>IF(A27="","",COUNTIFS(VC_date,"&gt;="&amp;A27,VC_date,"&lt;="&amp;A27,VC_commercial,B27,VC_type,"Visite sur place"))</f>
        <v/>
      </c>
      <c r="K27" s="39">
        <f>IF(A27="","",COUNTIFS(VC_date,"&gt;="&amp;A27,VC_date,"&lt;="&amp;A27,VC_commercial,B27,VC_type,"&lt;&gt;Visite sur place",VC_type,"&lt;&gt;"))</f>
        <v/>
      </c>
      <c r="L27" s="39">
        <f>IF(A27="","",COUNTIFS(Cl_creation,"&gt;="&amp;A27,Cl_creation,"&lt;="&amp;A27,Cl_commercial,B27))</f>
        <v/>
      </c>
      <c r="M27" s="39">
        <f>IF(A27="","",COUNTIFS(Cl_vente1,"&gt;="&amp;A27,Cl_vente1,"&lt;="&amp;A27,Cl_commercial,B27))</f>
        <v/>
      </c>
      <c r="N27" s="39">
        <f>IF(A27="","",SUMIFS(Cmd_premiere,Cmd_date,"&gt;="&amp;A27,Cmd_date,"&lt;="&amp;A27,Cmd_commercial,B27,Cmd_statut,"&lt;&gt;Annulée",Cmd_type,"&lt;&gt;Vente directe"))</f>
        <v/>
      </c>
      <c r="O27" s="40">
        <f>IF(A27="","",SUMIFS(Cmd_montant,Cmd_date,"&gt;="&amp;A27,Cmd_date,"&lt;="&amp;A27,Cmd_commercial,B27,Cmd_statut,"&lt;&gt;Annulée",Cmd_type,"&lt;&gt;Vente directe"))</f>
        <v/>
      </c>
      <c r="P27" s="40">
        <f>IF(A27="","",SUMIFS(Cmd_montant,Cmd_dateca,"&gt;="&amp;A27,Cmd_dateca,"&lt;="&amp;A27,Cmd_commercial,B27))</f>
        <v/>
      </c>
      <c r="Q27" s="40">
        <f>IF(A27="","",SUMIFS(Enc_montant,Enc_date,"&gt;="&amp;A27,Enc_date,"&lt;="&amp;A27,Enc_commercial,B27))</f>
        <v/>
      </c>
      <c r="R27" s="40">
        <f>IF(A27="","",SUMIFS(Stk_valeur,Stk_date,"&gt;="&amp;A27,Stk_date,"&lt;="&amp;A27,Stk_commercial,B27,Stk_mouvement,"Casse / avarie")+SUMIFS(Stk_valeur,Stk_date,"&gt;="&amp;A27,Stk_date,"&lt;="&amp;A27,Stk_commercial,B27,Stk_mouvement,"Perte / vol"))</f>
        <v/>
      </c>
      <c r="S27" s="36" t="n"/>
      <c r="T27" s="36" t="n"/>
      <c r="U27" s="36" t="n"/>
      <c r="V27" s="36" t="n"/>
    </row>
    <row r="28" ht="18" customHeight="1">
      <c r="A28" s="32" t="n"/>
      <c r="B28" s="33">
        <f>IF(A28="","",Commercial_Id)</f>
        <v/>
      </c>
      <c r="C28" s="34">
        <f>IF(A28="","",CHOOSE(WEEKDAY(A28,2),"Lundi","Mardi","Mercredi","Jeudi","Vendredi","Samedi","Dimanche"))</f>
        <v/>
      </c>
      <c r="D28" s="34">
        <f>IF(A28="","",YEAR(A28-WEEKDAY(A28,2)+4)&amp;"-S"&amp;TEXT(INT((A28-DATE(YEAR(A28-WEEKDAY(A28,2)+4),1,3)+WEEKDAY(DATE(YEAR(A28-WEEKDAY(A28,2)+4),1,3),2)+5)/7),"00"))</f>
        <v/>
      </c>
      <c r="E28" s="35" t="n"/>
      <c r="F28" s="35" t="n"/>
      <c r="G28" s="36" t="n"/>
      <c r="H28" s="37" t="n"/>
      <c r="I28" s="38">
        <f>IF(OR(E28="",F28=""),"",ROUND((F28-E28)*24,1))</f>
        <v/>
      </c>
      <c r="J28" s="39">
        <f>IF(A28="","",COUNTIFS(VC_date,"&gt;="&amp;A28,VC_date,"&lt;="&amp;A28,VC_commercial,B28,VC_type,"Visite sur place"))</f>
        <v/>
      </c>
      <c r="K28" s="39">
        <f>IF(A28="","",COUNTIFS(VC_date,"&gt;="&amp;A28,VC_date,"&lt;="&amp;A28,VC_commercial,B28,VC_type,"&lt;&gt;Visite sur place",VC_type,"&lt;&gt;"))</f>
        <v/>
      </c>
      <c r="L28" s="39">
        <f>IF(A28="","",COUNTIFS(Cl_creation,"&gt;="&amp;A28,Cl_creation,"&lt;="&amp;A28,Cl_commercial,B28))</f>
        <v/>
      </c>
      <c r="M28" s="39">
        <f>IF(A28="","",COUNTIFS(Cl_vente1,"&gt;="&amp;A28,Cl_vente1,"&lt;="&amp;A28,Cl_commercial,B28))</f>
        <v/>
      </c>
      <c r="N28" s="39">
        <f>IF(A28="","",SUMIFS(Cmd_premiere,Cmd_date,"&gt;="&amp;A28,Cmd_date,"&lt;="&amp;A28,Cmd_commercial,B28,Cmd_statut,"&lt;&gt;Annulée",Cmd_type,"&lt;&gt;Vente directe"))</f>
        <v/>
      </c>
      <c r="O28" s="40">
        <f>IF(A28="","",SUMIFS(Cmd_montant,Cmd_date,"&gt;="&amp;A28,Cmd_date,"&lt;="&amp;A28,Cmd_commercial,B28,Cmd_statut,"&lt;&gt;Annulée",Cmd_type,"&lt;&gt;Vente directe"))</f>
        <v/>
      </c>
      <c r="P28" s="40">
        <f>IF(A28="","",SUMIFS(Cmd_montant,Cmd_dateca,"&gt;="&amp;A28,Cmd_dateca,"&lt;="&amp;A28,Cmd_commercial,B28))</f>
        <v/>
      </c>
      <c r="Q28" s="40">
        <f>IF(A28="","",SUMIFS(Enc_montant,Enc_date,"&gt;="&amp;A28,Enc_date,"&lt;="&amp;A28,Enc_commercial,B28))</f>
        <v/>
      </c>
      <c r="R28" s="40">
        <f>IF(A28="","",SUMIFS(Stk_valeur,Stk_date,"&gt;="&amp;A28,Stk_date,"&lt;="&amp;A28,Stk_commercial,B28,Stk_mouvement,"Casse / avarie")+SUMIFS(Stk_valeur,Stk_date,"&gt;="&amp;A28,Stk_date,"&lt;="&amp;A28,Stk_commercial,B28,Stk_mouvement,"Perte / vol"))</f>
        <v/>
      </c>
      <c r="S28" s="36" t="n"/>
      <c r="T28" s="36" t="n"/>
      <c r="U28" s="36" t="n"/>
      <c r="V28" s="36" t="n"/>
    </row>
    <row r="29" ht="18" customHeight="1">
      <c r="A29" s="32" t="n"/>
      <c r="B29" s="33">
        <f>IF(A29="","",Commercial_Id)</f>
        <v/>
      </c>
      <c r="C29" s="34">
        <f>IF(A29="","",CHOOSE(WEEKDAY(A29,2),"Lundi","Mardi","Mercredi","Jeudi","Vendredi","Samedi","Dimanche"))</f>
        <v/>
      </c>
      <c r="D29" s="34">
        <f>IF(A29="","",YEAR(A29-WEEKDAY(A29,2)+4)&amp;"-S"&amp;TEXT(INT((A29-DATE(YEAR(A29-WEEKDAY(A29,2)+4),1,3)+WEEKDAY(DATE(YEAR(A29-WEEKDAY(A29,2)+4),1,3),2)+5)/7),"00"))</f>
        <v/>
      </c>
      <c r="E29" s="35" t="n"/>
      <c r="F29" s="35" t="n"/>
      <c r="G29" s="36" t="n"/>
      <c r="H29" s="37" t="n"/>
      <c r="I29" s="38">
        <f>IF(OR(E29="",F29=""),"",ROUND((F29-E29)*24,1))</f>
        <v/>
      </c>
      <c r="J29" s="39">
        <f>IF(A29="","",COUNTIFS(VC_date,"&gt;="&amp;A29,VC_date,"&lt;="&amp;A29,VC_commercial,B29,VC_type,"Visite sur place"))</f>
        <v/>
      </c>
      <c r="K29" s="39">
        <f>IF(A29="","",COUNTIFS(VC_date,"&gt;="&amp;A29,VC_date,"&lt;="&amp;A29,VC_commercial,B29,VC_type,"&lt;&gt;Visite sur place",VC_type,"&lt;&gt;"))</f>
        <v/>
      </c>
      <c r="L29" s="39">
        <f>IF(A29="","",COUNTIFS(Cl_creation,"&gt;="&amp;A29,Cl_creation,"&lt;="&amp;A29,Cl_commercial,B29))</f>
        <v/>
      </c>
      <c r="M29" s="39">
        <f>IF(A29="","",COUNTIFS(Cl_vente1,"&gt;="&amp;A29,Cl_vente1,"&lt;="&amp;A29,Cl_commercial,B29))</f>
        <v/>
      </c>
      <c r="N29" s="39">
        <f>IF(A29="","",SUMIFS(Cmd_premiere,Cmd_date,"&gt;="&amp;A29,Cmd_date,"&lt;="&amp;A29,Cmd_commercial,B29,Cmd_statut,"&lt;&gt;Annulée",Cmd_type,"&lt;&gt;Vente directe"))</f>
        <v/>
      </c>
      <c r="O29" s="40">
        <f>IF(A29="","",SUMIFS(Cmd_montant,Cmd_date,"&gt;="&amp;A29,Cmd_date,"&lt;="&amp;A29,Cmd_commercial,B29,Cmd_statut,"&lt;&gt;Annulée",Cmd_type,"&lt;&gt;Vente directe"))</f>
        <v/>
      </c>
      <c r="P29" s="40">
        <f>IF(A29="","",SUMIFS(Cmd_montant,Cmd_dateca,"&gt;="&amp;A29,Cmd_dateca,"&lt;="&amp;A29,Cmd_commercial,B29))</f>
        <v/>
      </c>
      <c r="Q29" s="40">
        <f>IF(A29="","",SUMIFS(Enc_montant,Enc_date,"&gt;="&amp;A29,Enc_date,"&lt;="&amp;A29,Enc_commercial,B29))</f>
        <v/>
      </c>
      <c r="R29" s="40">
        <f>IF(A29="","",SUMIFS(Stk_valeur,Stk_date,"&gt;="&amp;A29,Stk_date,"&lt;="&amp;A29,Stk_commercial,B29,Stk_mouvement,"Casse / avarie")+SUMIFS(Stk_valeur,Stk_date,"&gt;="&amp;A29,Stk_date,"&lt;="&amp;A29,Stk_commercial,B29,Stk_mouvement,"Perte / vol"))</f>
        <v/>
      </c>
      <c r="S29" s="36" t="n"/>
      <c r="T29" s="36" t="n"/>
      <c r="U29" s="36" t="n"/>
      <c r="V29" s="36" t="n"/>
    </row>
    <row r="30" ht="18" customHeight="1">
      <c r="A30" s="32" t="n"/>
      <c r="B30" s="33">
        <f>IF(A30="","",Commercial_Id)</f>
        <v/>
      </c>
      <c r="C30" s="34">
        <f>IF(A30="","",CHOOSE(WEEKDAY(A30,2),"Lundi","Mardi","Mercredi","Jeudi","Vendredi","Samedi","Dimanche"))</f>
        <v/>
      </c>
      <c r="D30" s="34">
        <f>IF(A30="","",YEAR(A30-WEEKDAY(A30,2)+4)&amp;"-S"&amp;TEXT(INT((A30-DATE(YEAR(A30-WEEKDAY(A30,2)+4),1,3)+WEEKDAY(DATE(YEAR(A30-WEEKDAY(A30,2)+4),1,3),2)+5)/7),"00"))</f>
        <v/>
      </c>
      <c r="E30" s="35" t="n"/>
      <c r="F30" s="35" t="n"/>
      <c r="G30" s="36" t="n"/>
      <c r="H30" s="37" t="n"/>
      <c r="I30" s="38">
        <f>IF(OR(E30="",F30=""),"",ROUND((F30-E30)*24,1))</f>
        <v/>
      </c>
      <c r="J30" s="39">
        <f>IF(A30="","",COUNTIFS(VC_date,"&gt;="&amp;A30,VC_date,"&lt;="&amp;A30,VC_commercial,B30,VC_type,"Visite sur place"))</f>
        <v/>
      </c>
      <c r="K30" s="39">
        <f>IF(A30="","",COUNTIFS(VC_date,"&gt;="&amp;A30,VC_date,"&lt;="&amp;A30,VC_commercial,B30,VC_type,"&lt;&gt;Visite sur place",VC_type,"&lt;&gt;"))</f>
        <v/>
      </c>
      <c r="L30" s="39">
        <f>IF(A30="","",COUNTIFS(Cl_creation,"&gt;="&amp;A30,Cl_creation,"&lt;="&amp;A30,Cl_commercial,B30))</f>
        <v/>
      </c>
      <c r="M30" s="39">
        <f>IF(A30="","",COUNTIFS(Cl_vente1,"&gt;="&amp;A30,Cl_vente1,"&lt;="&amp;A30,Cl_commercial,B30))</f>
        <v/>
      </c>
      <c r="N30" s="39">
        <f>IF(A30="","",SUMIFS(Cmd_premiere,Cmd_date,"&gt;="&amp;A30,Cmd_date,"&lt;="&amp;A30,Cmd_commercial,B30,Cmd_statut,"&lt;&gt;Annulée",Cmd_type,"&lt;&gt;Vente directe"))</f>
        <v/>
      </c>
      <c r="O30" s="40">
        <f>IF(A30="","",SUMIFS(Cmd_montant,Cmd_date,"&gt;="&amp;A30,Cmd_date,"&lt;="&amp;A30,Cmd_commercial,B30,Cmd_statut,"&lt;&gt;Annulée",Cmd_type,"&lt;&gt;Vente directe"))</f>
        <v/>
      </c>
      <c r="P30" s="40">
        <f>IF(A30="","",SUMIFS(Cmd_montant,Cmd_dateca,"&gt;="&amp;A30,Cmd_dateca,"&lt;="&amp;A30,Cmd_commercial,B30))</f>
        <v/>
      </c>
      <c r="Q30" s="40">
        <f>IF(A30="","",SUMIFS(Enc_montant,Enc_date,"&gt;="&amp;A30,Enc_date,"&lt;="&amp;A30,Enc_commercial,B30))</f>
        <v/>
      </c>
      <c r="R30" s="40">
        <f>IF(A30="","",SUMIFS(Stk_valeur,Stk_date,"&gt;="&amp;A30,Stk_date,"&lt;="&amp;A30,Stk_commercial,B30,Stk_mouvement,"Casse / avarie")+SUMIFS(Stk_valeur,Stk_date,"&gt;="&amp;A30,Stk_date,"&lt;="&amp;A30,Stk_commercial,B30,Stk_mouvement,"Perte / vol"))</f>
        <v/>
      </c>
      <c r="S30" s="36" t="n"/>
      <c r="T30" s="36" t="n"/>
      <c r="U30" s="36" t="n"/>
      <c r="V30" s="36" t="n"/>
    </row>
    <row r="31" ht="18" customHeight="1">
      <c r="A31" s="32" t="n"/>
      <c r="B31" s="33">
        <f>IF(A31="","",Commercial_Id)</f>
        <v/>
      </c>
      <c r="C31" s="34">
        <f>IF(A31="","",CHOOSE(WEEKDAY(A31,2),"Lundi","Mardi","Mercredi","Jeudi","Vendredi","Samedi","Dimanche"))</f>
        <v/>
      </c>
      <c r="D31" s="34">
        <f>IF(A31="","",YEAR(A31-WEEKDAY(A31,2)+4)&amp;"-S"&amp;TEXT(INT((A31-DATE(YEAR(A31-WEEKDAY(A31,2)+4),1,3)+WEEKDAY(DATE(YEAR(A31-WEEKDAY(A31,2)+4),1,3),2)+5)/7),"00"))</f>
        <v/>
      </c>
      <c r="E31" s="35" t="n"/>
      <c r="F31" s="35" t="n"/>
      <c r="G31" s="36" t="n"/>
      <c r="H31" s="37" t="n"/>
      <c r="I31" s="38">
        <f>IF(OR(E31="",F31=""),"",ROUND((F31-E31)*24,1))</f>
        <v/>
      </c>
      <c r="J31" s="39">
        <f>IF(A31="","",COUNTIFS(VC_date,"&gt;="&amp;A31,VC_date,"&lt;="&amp;A31,VC_commercial,B31,VC_type,"Visite sur place"))</f>
        <v/>
      </c>
      <c r="K31" s="39">
        <f>IF(A31="","",COUNTIFS(VC_date,"&gt;="&amp;A31,VC_date,"&lt;="&amp;A31,VC_commercial,B31,VC_type,"&lt;&gt;Visite sur place",VC_type,"&lt;&gt;"))</f>
        <v/>
      </c>
      <c r="L31" s="39">
        <f>IF(A31="","",COUNTIFS(Cl_creation,"&gt;="&amp;A31,Cl_creation,"&lt;="&amp;A31,Cl_commercial,B31))</f>
        <v/>
      </c>
      <c r="M31" s="39">
        <f>IF(A31="","",COUNTIFS(Cl_vente1,"&gt;="&amp;A31,Cl_vente1,"&lt;="&amp;A31,Cl_commercial,B31))</f>
        <v/>
      </c>
      <c r="N31" s="39">
        <f>IF(A31="","",SUMIFS(Cmd_premiere,Cmd_date,"&gt;="&amp;A31,Cmd_date,"&lt;="&amp;A31,Cmd_commercial,B31,Cmd_statut,"&lt;&gt;Annulée",Cmd_type,"&lt;&gt;Vente directe"))</f>
        <v/>
      </c>
      <c r="O31" s="40">
        <f>IF(A31="","",SUMIFS(Cmd_montant,Cmd_date,"&gt;="&amp;A31,Cmd_date,"&lt;="&amp;A31,Cmd_commercial,B31,Cmd_statut,"&lt;&gt;Annulée",Cmd_type,"&lt;&gt;Vente directe"))</f>
        <v/>
      </c>
      <c r="P31" s="40">
        <f>IF(A31="","",SUMIFS(Cmd_montant,Cmd_dateca,"&gt;="&amp;A31,Cmd_dateca,"&lt;="&amp;A31,Cmd_commercial,B31))</f>
        <v/>
      </c>
      <c r="Q31" s="40">
        <f>IF(A31="","",SUMIFS(Enc_montant,Enc_date,"&gt;="&amp;A31,Enc_date,"&lt;="&amp;A31,Enc_commercial,B31))</f>
        <v/>
      </c>
      <c r="R31" s="40">
        <f>IF(A31="","",SUMIFS(Stk_valeur,Stk_date,"&gt;="&amp;A31,Stk_date,"&lt;="&amp;A31,Stk_commercial,B31,Stk_mouvement,"Casse / avarie")+SUMIFS(Stk_valeur,Stk_date,"&gt;="&amp;A31,Stk_date,"&lt;="&amp;A31,Stk_commercial,B31,Stk_mouvement,"Perte / vol"))</f>
        <v/>
      </c>
      <c r="S31" s="36" t="n"/>
      <c r="T31" s="36" t="n"/>
      <c r="U31" s="36" t="n"/>
      <c r="V31" s="36" t="n"/>
    </row>
    <row r="32" ht="18" customHeight="1">
      <c r="A32" s="32" t="n"/>
      <c r="B32" s="33">
        <f>IF(A32="","",Commercial_Id)</f>
        <v/>
      </c>
      <c r="C32" s="34">
        <f>IF(A32="","",CHOOSE(WEEKDAY(A32,2),"Lundi","Mardi","Mercredi","Jeudi","Vendredi","Samedi","Dimanche"))</f>
        <v/>
      </c>
      <c r="D32" s="34">
        <f>IF(A32="","",YEAR(A32-WEEKDAY(A32,2)+4)&amp;"-S"&amp;TEXT(INT((A32-DATE(YEAR(A32-WEEKDAY(A32,2)+4),1,3)+WEEKDAY(DATE(YEAR(A32-WEEKDAY(A32,2)+4),1,3),2)+5)/7),"00"))</f>
        <v/>
      </c>
      <c r="E32" s="35" t="n"/>
      <c r="F32" s="35" t="n"/>
      <c r="G32" s="36" t="n"/>
      <c r="H32" s="37" t="n"/>
      <c r="I32" s="38">
        <f>IF(OR(E32="",F32=""),"",ROUND((F32-E32)*24,1))</f>
        <v/>
      </c>
      <c r="J32" s="39">
        <f>IF(A32="","",COUNTIFS(VC_date,"&gt;="&amp;A32,VC_date,"&lt;="&amp;A32,VC_commercial,B32,VC_type,"Visite sur place"))</f>
        <v/>
      </c>
      <c r="K32" s="39">
        <f>IF(A32="","",COUNTIFS(VC_date,"&gt;="&amp;A32,VC_date,"&lt;="&amp;A32,VC_commercial,B32,VC_type,"&lt;&gt;Visite sur place",VC_type,"&lt;&gt;"))</f>
        <v/>
      </c>
      <c r="L32" s="39">
        <f>IF(A32="","",COUNTIFS(Cl_creation,"&gt;="&amp;A32,Cl_creation,"&lt;="&amp;A32,Cl_commercial,B32))</f>
        <v/>
      </c>
      <c r="M32" s="39">
        <f>IF(A32="","",COUNTIFS(Cl_vente1,"&gt;="&amp;A32,Cl_vente1,"&lt;="&amp;A32,Cl_commercial,B32))</f>
        <v/>
      </c>
      <c r="N32" s="39">
        <f>IF(A32="","",SUMIFS(Cmd_premiere,Cmd_date,"&gt;="&amp;A32,Cmd_date,"&lt;="&amp;A32,Cmd_commercial,B32,Cmd_statut,"&lt;&gt;Annulée",Cmd_type,"&lt;&gt;Vente directe"))</f>
        <v/>
      </c>
      <c r="O32" s="40">
        <f>IF(A32="","",SUMIFS(Cmd_montant,Cmd_date,"&gt;="&amp;A32,Cmd_date,"&lt;="&amp;A32,Cmd_commercial,B32,Cmd_statut,"&lt;&gt;Annulée",Cmd_type,"&lt;&gt;Vente directe"))</f>
        <v/>
      </c>
      <c r="P32" s="40">
        <f>IF(A32="","",SUMIFS(Cmd_montant,Cmd_dateca,"&gt;="&amp;A32,Cmd_dateca,"&lt;="&amp;A32,Cmd_commercial,B32))</f>
        <v/>
      </c>
      <c r="Q32" s="40">
        <f>IF(A32="","",SUMIFS(Enc_montant,Enc_date,"&gt;="&amp;A32,Enc_date,"&lt;="&amp;A32,Enc_commercial,B32))</f>
        <v/>
      </c>
      <c r="R32" s="40">
        <f>IF(A32="","",SUMIFS(Stk_valeur,Stk_date,"&gt;="&amp;A32,Stk_date,"&lt;="&amp;A32,Stk_commercial,B32,Stk_mouvement,"Casse / avarie")+SUMIFS(Stk_valeur,Stk_date,"&gt;="&amp;A32,Stk_date,"&lt;="&amp;A32,Stk_commercial,B32,Stk_mouvement,"Perte / vol"))</f>
        <v/>
      </c>
      <c r="S32" s="36" t="n"/>
      <c r="T32" s="36" t="n"/>
      <c r="U32" s="36" t="n"/>
      <c r="V32" s="36" t="n"/>
    </row>
    <row r="33" ht="18" customHeight="1">
      <c r="A33" s="32" t="n"/>
      <c r="B33" s="33">
        <f>IF(A33="","",Commercial_Id)</f>
        <v/>
      </c>
      <c r="C33" s="34">
        <f>IF(A33="","",CHOOSE(WEEKDAY(A33,2),"Lundi","Mardi","Mercredi","Jeudi","Vendredi","Samedi","Dimanche"))</f>
        <v/>
      </c>
      <c r="D33" s="34">
        <f>IF(A33="","",YEAR(A33-WEEKDAY(A33,2)+4)&amp;"-S"&amp;TEXT(INT((A33-DATE(YEAR(A33-WEEKDAY(A33,2)+4),1,3)+WEEKDAY(DATE(YEAR(A33-WEEKDAY(A33,2)+4),1,3),2)+5)/7),"00"))</f>
        <v/>
      </c>
      <c r="E33" s="35" t="n"/>
      <c r="F33" s="35" t="n"/>
      <c r="G33" s="36" t="n"/>
      <c r="H33" s="37" t="n"/>
      <c r="I33" s="38">
        <f>IF(OR(E33="",F33=""),"",ROUND((F33-E33)*24,1))</f>
        <v/>
      </c>
      <c r="J33" s="39">
        <f>IF(A33="","",COUNTIFS(VC_date,"&gt;="&amp;A33,VC_date,"&lt;="&amp;A33,VC_commercial,B33,VC_type,"Visite sur place"))</f>
        <v/>
      </c>
      <c r="K33" s="39">
        <f>IF(A33="","",COUNTIFS(VC_date,"&gt;="&amp;A33,VC_date,"&lt;="&amp;A33,VC_commercial,B33,VC_type,"&lt;&gt;Visite sur place",VC_type,"&lt;&gt;"))</f>
        <v/>
      </c>
      <c r="L33" s="39">
        <f>IF(A33="","",COUNTIFS(Cl_creation,"&gt;="&amp;A33,Cl_creation,"&lt;="&amp;A33,Cl_commercial,B33))</f>
        <v/>
      </c>
      <c r="M33" s="39">
        <f>IF(A33="","",COUNTIFS(Cl_vente1,"&gt;="&amp;A33,Cl_vente1,"&lt;="&amp;A33,Cl_commercial,B33))</f>
        <v/>
      </c>
      <c r="N33" s="39">
        <f>IF(A33="","",SUMIFS(Cmd_premiere,Cmd_date,"&gt;="&amp;A33,Cmd_date,"&lt;="&amp;A33,Cmd_commercial,B33,Cmd_statut,"&lt;&gt;Annulée",Cmd_type,"&lt;&gt;Vente directe"))</f>
        <v/>
      </c>
      <c r="O33" s="40">
        <f>IF(A33="","",SUMIFS(Cmd_montant,Cmd_date,"&gt;="&amp;A33,Cmd_date,"&lt;="&amp;A33,Cmd_commercial,B33,Cmd_statut,"&lt;&gt;Annulée",Cmd_type,"&lt;&gt;Vente directe"))</f>
        <v/>
      </c>
      <c r="P33" s="40">
        <f>IF(A33="","",SUMIFS(Cmd_montant,Cmd_dateca,"&gt;="&amp;A33,Cmd_dateca,"&lt;="&amp;A33,Cmd_commercial,B33))</f>
        <v/>
      </c>
      <c r="Q33" s="40">
        <f>IF(A33="","",SUMIFS(Enc_montant,Enc_date,"&gt;="&amp;A33,Enc_date,"&lt;="&amp;A33,Enc_commercial,B33))</f>
        <v/>
      </c>
      <c r="R33" s="40">
        <f>IF(A33="","",SUMIFS(Stk_valeur,Stk_date,"&gt;="&amp;A33,Stk_date,"&lt;="&amp;A33,Stk_commercial,B33,Stk_mouvement,"Casse / avarie")+SUMIFS(Stk_valeur,Stk_date,"&gt;="&amp;A33,Stk_date,"&lt;="&amp;A33,Stk_commercial,B33,Stk_mouvement,"Perte / vol"))</f>
        <v/>
      </c>
      <c r="S33" s="36" t="n"/>
      <c r="T33" s="36" t="n"/>
      <c r="U33" s="36" t="n"/>
      <c r="V33" s="36" t="n"/>
    </row>
    <row r="34" ht="18" customHeight="1">
      <c r="A34" s="32" t="n"/>
      <c r="B34" s="33">
        <f>IF(A34="","",Commercial_Id)</f>
        <v/>
      </c>
      <c r="C34" s="34">
        <f>IF(A34="","",CHOOSE(WEEKDAY(A34,2),"Lundi","Mardi","Mercredi","Jeudi","Vendredi","Samedi","Dimanche"))</f>
        <v/>
      </c>
      <c r="D34" s="34">
        <f>IF(A34="","",YEAR(A34-WEEKDAY(A34,2)+4)&amp;"-S"&amp;TEXT(INT((A34-DATE(YEAR(A34-WEEKDAY(A34,2)+4),1,3)+WEEKDAY(DATE(YEAR(A34-WEEKDAY(A34,2)+4),1,3),2)+5)/7),"00"))</f>
        <v/>
      </c>
      <c r="E34" s="35" t="n"/>
      <c r="F34" s="35" t="n"/>
      <c r="G34" s="36" t="n"/>
      <c r="H34" s="37" t="n"/>
      <c r="I34" s="38">
        <f>IF(OR(E34="",F34=""),"",ROUND((F34-E34)*24,1))</f>
        <v/>
      </c>
      <c r="J34" s="39">
        <f>IF(A34="","",COUNTIFS(VC_date,"&gt;="&amp;A34,VC_date,"&lt;="&amp;A34,VC_commercial,B34,VC_type,"Visite sur place"))</f>
        <v/>
      </c>
      <c r="K34" s="39">
        <f>IF(A34="","",COUNTIFS(VC_date,"&gt;="&amp;A34,VC_date,"&lt;="&amp;A34,VC_commercial,B34,VC_type,"&lt;&gt;Visite sur place",VC_type,"&lt;&gt;"))</f>
        <v/>
      </c>
      <c r="L34" s="39">
        <f>IF(A34="","",COUNTIFS(Cl_creation,"&gt;="&amp;A34,Cl_creation,"&lt;="&amp;A34,Cl_commercial,B34))</f>
        <v/>
      </c>
      <c r="M34" s="39">
        <f>IF(A34="","",COUNTIFS(Cl_vente1,"&gt;="&amp;A34,Cl_vente1,"&lt;="&amp;A34,Cl_commercial,B34))</f>
        <v/>
      </c>
      <c r="N34" s="39">
        <f>IF(A34="","",SUMIFS(Cmd_premiere,Cmd_date,"&gt;="&amp;A34,Cmd_date,"&lt;="&amp;A34,Cmd_commercial,B34,Cmd_statut,"&lt;&gt;Annulée",Cmd_type,"&lt;&gt;Vente directe"))</f>
        <v/>
      </c>
      <c r="O34" s="40">
        <f>IF(A34="","",SUMIFS(Cmd_montant,Cmd_date,"&gt;="&amp;A34,Cmd_date,"&lt;="&amp;A34,Cmd_commercial,B34,Cmd_statut,"&lt;&gt;Annulée",Cmd_type,"&lt;&gt;Vente directe"))</f>
        <v/>
      </c>
      <c r="P34" s="40">
        <f>IF(A34="","",SUMIFS(Cmd_montant,Cmd_dateca,"&gt;="&amp;A34,Cmd_dateca,"&lt;="&amp;A34,Cmd_commercial,B34))</f>
        <v/>
      </c>
      <c r="Q34" s="40">
        <f>IF(A34="","",SUMIFS(Enc_montant,Enc_date,"&gt;="&amp;A34,Enc_date,"&lt;="&amp;A34,Enc_commercial,B34))</f>
        <v/>
      </c>
      <c r="R34" s="40">
        <f>IF(A34="","",SUMIFS(Stk_valeur,Stk_date,"&gt;="&amp;A34,Stk_date,"&lt;="&amp;A34,Stk_commercial,B34,Stk_mouvement,"Casse / avarie")+SUMIFS(Stk_valeur,Stk_date,"&gt;="&amp;A34,Stk_date,"&lt;="&amp;A34,Stk_commercial,B34,Stk_mouvement,"Perte / vol"))</f>
        <v/>
      </c>
      <c r="S34" s="36" t="n"/>
      <c r="T34" s="36" t="n"/>
      <c r="U34" s="36" t="n"/>
      <c r="V34" s="36" t="n"/>
    </row>
    <row r="35" ht="18" customHeight="1">
      <c r="A35" s="32" t="n"/>
      <c r="B35" s="33">
        <f>IF(A35="","",Commercial_Id)</f>
        <v/>
      </c>
      <c r="C35" s="34">
        <f>IF(A35="","",CHOOSE(WEEKDAY(A35,2),"Lundi","Mardi","Mercredi","Jeudi","Vendredi","Samedi","Dimanche"))</f>
        <v/>
      </c>
      <c r="D35" s="34">
        <f>IF(A35="","",YEAR(A35-WEEKDAY(A35,2)+4)&amp;"-S"&amp;TEXT(INT((A35-DATE(YEAR(A35-WEEKDAY(A35,2)+4),1,3)+WEEKDAY(DATE(YEAR(A35-WEEKDAY(A35,2)+4),1,3),2)+5)/7),"00"))</f>
        <v/>
      </c>
      <c r="E35" s="35" t="n"/>
      <c r="F35" s="35" t="n"/>
      <c r="G35" s="36" t="n"/>
      <c r="H35" s="37" t="n"/>
      <c r="I35" s="38">
        <f>IF(OR(E35="",F35=""),"",ROUND((F35-E35)*24,1))</f>
        <v/>
      </c>
      <c r="J35" s="39">
        <f>IF(A35="","",COUNTIFS(VC_date,"&gt;="&amp;A35,VC_date,"&lt;="&amp;A35,VC_commercial,B35,VC_type,"Visite sur place"))</f>
        <v/>
      </c>
      <c r="K35" s="39">
        <f>IF(A35="","",COUNTIFS(VC_date,"&gt;="&amp;A35,VC_date,"&lt;="&amp;A35,VC_commercial,B35,VC_type,"&lt;&gt;Visite sur place",VC_type,"&lt;&gt;"))</f>
        <v/>
      </c>
      <c r="L35" s="39">
        <f>IF(A35="","",COUNTIFS(Cl_creation,"&gt;="&amp;A35,Cl_creation,"&lt;="&amp;A35,Cl_commercial,B35))</f>
        <v/>
      </c>
      <c r="M35" s="39">
        <f>IF(A35="","",COUNTIFS(Cl_vente1,"&gt;="&amp;A35,Cl_vente1,"&lt;="&amp;A35,Cl_commercial,B35))</f>
        <v/>
      </c>
      <c r="N35" s="39">
        <f>IF(A35="","",SUMIFS(Cmd_premiere,Cmd_date,"&gt;="&amp;A35,Cmd_date,"&lt;="&amp;A35,Cmd_commercial,B35,Cmd_statut,"&lt;&gt;Annulée",Cmd_type,"&lt;&gt;Vente directe"))</f>
        <v/>
      </c>
      <c r="O35" s="40">
        <f>IF(A35="","",SUMIFS(Cmd_montant,Cmd_date,"&gt;="&amp;A35,Cmd_date,"&lt;="&amp;A35,Cmd_commercial,B35,Cmd_statut,"&lt;&gt;Annulée",Cmd_type,"&lt;&gt;Vente directe"))</f>
        <v/>
      </c>
      <c r="P35" s="40">
        <f>IF(A35="","",SUMIFS(Cmd_montant,Cmd_dateca,"&gt;="&amp;A35,Cmd_dateca,"&lt;="&amp;A35,Cmd_commercial,B35))</f>
        <v/>
      </c>
      <c r="Q35" s="40">
        <f>IF(A35="","",SUMIFS(Enc_montant,Enc_date,"&gt;="&amp;A35,Enc_date,"&lt;="&amp;A35,Enc_commercial,B35))</f>
        <v/>
      </c>
      <c r="R35" s="40">
        <f>IF(A35="","",SUMIFS(Stk_valeur,Stk_date,"&gt;="&amp;A35,Stk_date,"&lt;="&amp;A35,Stk_commercial,B35,Stk_mouvement,"Casse / avarie")+SUMIFS(Stk_valeur,Stk_date,"&gt;="&amp;A35,Stk_date,"&lt;="&amp;A35,Stk_commercial,B35,Stk_mouvement,"Perte / vol"))</f>
        <v/>
      </c>
      <c r="S35" s="36" t="n"/>
      <c r="T35" s="36" t="n"/>
      <c r="U35" s="36" t="n"/>
      <c r="V35" s="36" t="n"/>
    </row>
    <row r="36" ht="18" customHeight="1">
      <c r="A36" s="32" t="n"/>
      <c r="B36" s="33">
        <f>IF(A36="","",Commercial_Id)</f>
        <v/>
      </c>
      <c r="C36" s="34">
        <f>IF(A36="","",CHOOSE(WEEKDAY(A36,2),"Lundi","Mardi","Mercredi","Jeudi","Vendredi","Samedi","Dimanche"))</f>
        <v/>
      </c>
      <c r="D36" s="34">
        <f>IF(A36="","",YEAR(A36-WEEKDAY(A36,2)+4)&amp;"-S"&amp;TEXT(INT((A36-DATE(YEAR(A36-WEEKDAY(A36,2)+4),1,3)+WEEKDAY(DATE(YEAR(A36-WEEKDAY(A36,2)+4),1,3),2)+5)/7),"00"))</f>
        <v/>
      </c>
      <c r="E36" s="35" t="n"/>
      <c r="F36" s="35" t="n"/>
      <c r="G36" s="36" t="n"/>
      <c r="H36" s="37" t="n"/>
      <c r="I36" s="38">
        <f>IF(OR(E36="",F36=""),"",ROUND((F36-E36)*24,1))</f>
        <v/>
      </c>
      <c r="J36" s="39">
        <f>IF(A36="","",COUNTIFS(VC_date,"&gt;="&amp;A36,VC_date,"&lt;="&amp;A36,VC_commercial,B36,VC_type,"Visite sur place"))</f>
        <v/>
      </c>
      <c r="K36" s="39">
        <f>IF(A36="","",COUNTIFS(VC_date,"&gt;="&amp;A36,VC_date,"&lt;="&amp;A36,VC_commercial,B36,VC_type,"&lt;&gt;Visite sur place",VC_type,"&lt;&gt;"))</f>
        <v/>
      </c>
      <c r="L36" s="39">
        <f>IF(A36="","",COUNTIFS(Cl_creation,"&gt;="&amp;A36,Cl_creation,"&lt;="&amp;A36,Cl_commercial,B36))</f>
        <v/>
      </c>
      <c r="M36" s="39">
        <f>IF(A36="","",COUNTIFS(Cl_vente1,"&gt;="&amp;A36,Cl_vente1,"&lt;="&amp;A36,Cl_commercial,B36))</f>
        <v/>
      </c>
      <c r="N36" s="39">
        <f>IF(A36="","",SUMIFS(Cmd_premiere,Cmd_date,"&gt;="&amp;A36,Cmd_date,"&lt;="&amp;A36,Cmd_commercial,B36,Cmd_statut,"&lt;&gt;Annulée",Cmd_type,"&lt;&gt;Vente directe"))</f>
        <v/>
      </c>
      <c r="O36" s="40">
        <f>IF(A36="","",SUMIFS(Cmd_montant,Cmd_date,"&gt;="&amp;A36,Cmd_date,"&lt;="&amp;A36,Cmd_commercial,B36,Cmd_statut,"&lt;&gt;Annulée",Cmd_type,"&lt;&gt;Vente directe"))</f>
        <v/>
      </c>
      <c r="P36" s="40">
        <f>IF(A36="","",SUMIFS(Cmd_montant,Cmd_dateca,"&gt;="&amp;A36,Cmd_dateca,"&lt;="&amp;A36,Cmd_commercial,B36))</f>
        <v/>
      </c>
      <c r="Q36" s="40">
        <f>IF(A36="","",SUMIFS(Enc_montant,Enc_date,"&gt;="&amp;A36,Enc_date,"&lt;="&amp;A36,Enc_commercial,B36))</f>
        <v/>
      </c>
      <c r="R36" s="40">
        <f>IF(A36="","",SUMIFS(Stk_valeur,Stk_date,"&gt;="&amp;A36,Stk_date,"&lt;="&amp;A36,Stk_commercial,B36,Stk_mouvement,"Casse / avarie")+SUMIFS(Stk_valeur,Stk_date,"&gt;="&amp;A36,Stk_date,"&lt;="&amp;A36,Stk_commercial,B36,Stk_mouvement,"Perte / vol"))</f>
        <v/>
      </c>
      <c r="S36" s="36" t="n"/>
      <c r="T36" s="36" t="n"/>
      <c r="U36" s="36" t="n"/>
      <c r="V36" s="36" t="n"/>
    </row>
    <row r="37" ht="18" customHeight="1">
      <c r="A37" s="32" t="n"/>
      <c r="B37" s="33">
        <f>IF(A37="","",Commercial_Id)</f>
        <v/>
      </c>
      <c r="C37" s="34">
        <f>IF(A37="","",CHOOSE(WEEKDAY(A37,2),"Lundi","Mardi","Mercredi","Jeudi","Vendredi","Samedi","Dimanche"))</f>
        <v/>
      </c>
      <c r="D37" s="34">
        <f>IF(A37="","",YEAR(A37-WEEKDAY(A37,2)+4)&amp;"-S"&amp;TEXT(INT((A37-DATE(YEAR(A37-WEEKDAY(A37,2)+4),1,3)+WEEKDAY(DATE(YEAR(A37-WEEKDAY(A37,2)+4),1,3),2)+5)/7),"00"))</f>
        <v/>
      </c>
      <c r="E37" s="35" t="n"/>
      <c r="F37" s="35" t="n"/>
      <c r="G37" s="36" t="n"/>
      <c r="H37" s="37" t="n"/>
      <c r="I37" s="38">
        <f>IF(OR(E37="",F37=""),"",ROUND((F37-E37)*24,1))</f>
        <v/>
      </c>
      <c r="J37" s="39">
        <f>IF(A37="","",COUNTIFS(VC_date,"&gt;="&amp;A37,VC_date,"&lt;="&amp;A37,VC_commercial,B37,VC_type,"Visite sur place"))</f>
        <v/>
      </c>
      <c r="K37" s="39">
        <f>IF(A37="","",COUNTIFS(VC_date,"&gt;="&amp;A37,VC_date,"&lt;="&amp;A37,VC_commercial,B37,VC_type,"&lt;&gt;Visite sur place",VC_type,"&lt;&gt;"))</f>
        <v/>
      </c>
      <c r="L37" s="39">
        <f>IF(A37="","",COUNTIFS(Cl_creation,"&gt;="&amp;A37,Cl_creation,"&lt;="&amp;A37,Cl_commercial,B37))</f>
        <v/>
      </c>
      <c r="M37" s="39">
        <f>IF(A37="","",COUNTIFS(Cl_vente1,"&gt;="&amp;A37,Cl_vente1,"&lt;="&amp;A37,Cl_commercial,B37))</f>
        <v/>
      </c>
      <c r="N37" s="39">
        <f>IF(A37="","",SUMIFS(Cmd_premiere,Cmd_date,"&gt;="&amp;A37,Cmd_date,"&lt;="&amp;A37,Cmd_commercial,B37,Cmd_statut,"&lt;&gt;Annulée",Cmd_type,"&lt;&gt;Vente directe"))</f>
        <v/>
      </c>
      <c r="O37" s="40">
        <f>IF(A37="","",SUMIFS(Cmd_montant,Cmd_date,"&gt;="&amp;A37,Cmd_date,"&lt;="&amp;A37,Cmd_commercial,B37,Cmd_statut,"&lt;&gt;Annulée",Cmd_type,"&lt;&gt;Vente directe"))</f>
        <v/>
      </c>
      <c r="P37" s="40">
        <f>IF(A37="","",SUMIFS(Cmd_montant,Cmd_dateca,"&gt;="&amp;A37,Cmd_dateca,"&lt;="&amp;A37,Cmd_commercial,B37))</f>
        <v/>
      </c>
      <c r="Q37" s="40">
        <f>IF(A37="","",SUMIFS(Enc_montant,Enc_date,"&gt;="&amp;A37,Enc_date,"&lt;="&amp;A37,Enc_commercial,B37))</f>
        <v/>
      </c>
      <c r="R37" s="40">
        <f>IF(A37="","",SUMIFS(Stk_valeur,Stk_date,"&gt;="&amp;A37,Stk_date,"&lt;="&amp;A37,Stk_commercial,B37,Stk_mouvement,"Casse / avarie")+SUMIFS(Stk_valeur,Stk_date,"&gt;="&amp;A37,Stk_date,"&lt;="&amp;A37,Stk_commercial,B37,Stk_mouvement,"Perte / vol"))</f>
        <v/>
      </c>
      <c r="S37" s="36" t="n"/>
      <c r="T37" s="36" t="n"/>
      <c r="U37" s="36" t="n"/>
      <c r="V37" s="36" t="n"/>
    </row>
    <row r="38" ht="18" customHeight="1">
      <c r="A38" s="32" t="n"/>
      <c r="B38" s="33">
        <f>IF(A38="","",Commercial_Id)</f>
        <v/>
      </c>
      <c r="C38" s="34">
        <f>IF(A38="","",CHOOSE(WEEKDAY(A38,2),"Lundi","Mardi","Mercredi","Jeudi","Vendredi","Samedi","Dimanche"))</f>
        <v/>
      </c>
      <c r="D38" s="34">
        <f>IF(A38="","",YEAR(A38-WEEKDAY(A38,2)+4)&amp;"-S"&amp;TEXT(INT((A38-DATE(YEAR(A38-WEEKDAY(A38,2)+4),1,3)+WEEKDAY(DATE(YEAR(A38-WEEKDAY(A38,2)+4),1,3),2)+5)/7),"00"))</f>
        <v/>
      </c>
      <c r="E38" s="35" t="n"/>
      <c r="F38" s="35" t="n"/>
      <c r="G38" s="36" t="n"/>
      <c r="H38" s="37" t="n"/>
      <c r="I38" s="38">
        <f>IF(OR(E38="",F38=""),"",ROUND((F38-E38)*24,1))</f>
        <v/>
      </c>
      <c r="J38" s="39">
        <f>IF(A38="","",COUNTIFS(VC_date,"&gt;="&amp;A38,VC_date,"&lt;="&amp;A38,VC_commercial,B38,VC_type,"Visite sur place"))</f>
        <v/>
      </c>
      <c r="K38" s="39">
        <f>IF(A38="","",COUNTIFS(VC_date,"&gt;="&amp;A38,VC_date,"&lt;="&amp;A38,VC_commercial,B38,VC_type,"&lt;&gt;Visite sur place",VC_type,"&lt;&gt;"))</f>
        <v/>
      </c>
      <c r="L38" s="39">
        <f>IF(A38="","",COUNTIFS(Cl_creation,"&gt;="&amp;A38,Cl_creation,"&lt;="&amp;A38,Cl_commercial,B38))</f>
        <v/>
      </c>
      <c r="M38" s="39">
        <f>IF(A38="","",COUNTIFS(Cl_vente1,"&gt;="&amp;A38,Cl_vente1,"&lt;="&amp;A38,Cl_commercial,B38))</f>
        <v/>
      </c>
      <c r="N38" s="39">
        <f>IF(A38="","",SUMIFS(Cmd_premiere,Cmd_date,"&gt;="&amp;A38,Cmd_date,"&lt;="&amp;A38,Cmd_commercial,B38,Cmd_statut,"&lt;&gt;Annulée",Cmd_type,"&lt;&gt;Vente directe"))</f>
        <v/>
      </c>
      <c r="O38" s="40">
        <f>IF(A38="","",SUMIFS(Cmd_montant,Cmd_date,"&gt;="&amp;A38,Cmd_date,"&lt;="&amp;A38,Cmd_commercial,B38,Cmd_statut,"&lt;&gt;Annulée",Cmd_type,"&lt;&gt;Vente directe"))</f>
        <v/>
      </c>
      <c r="P38" s="40">
        <f>IF(A38="","",SUMIFS(Cmd_montant,Cmd_dateca,"&gt;="&amp;A38,Cmd_dateca,"&lt;="&amp;A38,Cmd_commercial,B38))</f>
        <v/>
      </c>
      <c r="Q38" s="40">
        <f>IF(A38="","",SUMIFS(Enc_montant,Enc_date,"&gt;="&amp;A38,Enc_date,"&lt;="&amp;A38,Enc_commercial,B38))</f>
        <v/>
      </c>
      <c r="R38" s="40">
        <f>IF(A38="","",SUMIFS(Stk_valeur,Stk_date,"&gt;="&amp;A38,Stk_date,"&lt;="&amp;A38,Stk_commercial,B38,Stk_mouvement,"Casse / avarie")+SUMIFS(Stk_valeur,Stk_date,"&gt;="&amp;A38,Stk_date,"&lt;="&amp;A38,Stk_commercial,B38,Stk_mouvement,"Perte / vol"))</f>
        <v/>
      </c>
      <c r="S38" s="36" t="n"/>
      <c r="T38" s="36" t="n"/>
      <c r="U38" s="36" t="n"/>
      <c r="V38" s="36" t="n"/>
    </row>
    <row r="39" ht="18" customHeight="1">
      <c r="A39" s="32" t="n"/>
      <c r="B39" s="33">
        <f>IF(A39="","",Commercial_Id)</f>
        <v/>
      </c>
      <c r="C39" s="34">
        <f>IF(A39="","",CHOOSE(WEEKDAY(A39,2),"Lundi","Mardi","Mercredi","Jeudi","Vendredi","Samedi","Dimanche"))</f>
        <v/>
      </c>
      <c r="D39" s="34">
        <f>IF(A39="","",YEAR(A39-WEEKDAY(A39,2)+4)&amp;"-S"&amp;TEXT(INT((A39-DATE(YEAR(A39-WEEKDAY(A39,2)+4),1,3)+WEEKDAY(DATE(YEAR(A39-WEEKDAY(A39,2)+4),1,3),2)+5)/7),"00"))</f>
        <v/>
      </c>
      <c r="E39" s="35" t="n"/>
      <c r="F39" s="35" t="n"/>
      <c r="G39" s="36" t="n"/>
      <c r="H39" s="37" t="n"/>
      <c r="I39" s="38">
        <f>IF(OR(E39="",F39=""),"",ROUND((F39-E39)*24,1))</f>
        <v/>
      </c>
      <c r="J39" s="39">
        <f>IF(A39="","",COUNTIFS(VC_date,"&gt;="&amp;A39,VC_date,"&lt;="&amp;A39,VC_commercial,B39,VC_type,"Visite sur place"))</f>
        <v/>
      </c>
      <c r="K39" s="39">
        <f>IF(A39="","",COUNTIFS(VC_date,"&gt;="&amp;A39,VC_date,"&lt;="&amp;A39,VC_commercial,B39,VC_type,"&lt;&gt;Visite sur place",VC_type,"&lt;&gt;"))</f>
        <v/>
      </c>
      <c r="L39" s="39">
        <f>IF(A39="","",COUNTIFS(Cl_creation,"&gt;="&amp;A39,Cl_creation,"&lt;="&amp;A39,Cl_commercial,B39))</f>
        <v/>
      </c>
      <c r="M39" s="39">
        <f>IF(A39="","",COUNTIFS(Cl_vente1,"&gt;="&amp;A39,Cl_vente1,"&lt;="&amp;A39,Cl_commercial,B39))</f>
        <v/>
      </c>
      <c r="N39" s="39">
        <f>IF(A39="","",SUMIFS(Cmd_premiere,Cmd_date,"&gt;="&amp;A39,Cmd_date,"&lt;="&amp;A39,Cmd_commercial,B39,Cmd_statut,"&lt;&gt;Annulée",Cmd_type,"&lt;&gt;Vente directe"))</f>
        <v/>
      </c>
      <c r="O39" s="40">
        <f>IF(A39="","",SUMIFS(Cmd_montant,Cmd_date,"&gt;="&amp;A39,Cmd_date,"&lt;="&amp;A39,Cmd_commercial,B39,Cmd_statut,"&lt;&gt;Annulée",Cmd_type,"&lt;&gt;Vente directe"))</f>
        <v/>
      </c>
      <c r="P39" s="40">
        <f>IF(A39="","",SUMIFS(Cmd_montant,Cmd_dateca,"&gt;="&amp;A39,Cmd_dateca,"&lt;="&amp;A39,Cmd_commercial,B39))</f>
        <v/>
      </c>
      <c r="Q39" s="40">
        <f>IF(A39="","",SUMIFS(Enc_montant,Enc_date,"&gt;="&amp;A39,Enc_date,"&lt;="&amp;A39,Enc_commercial,B39))</f>
        <v/>
      </c>
      <c r="R39" s="40">
        <f>IF(A39="","",SUMIFS(Stk_valeur,Stk_date,"&gt;="&amp;A39,Stk_date,"&lt;="&amp;A39,Stk_commercial,B39,Stk_mouvement,"Casse / avarie")+SUMIFS(Stk_valeur,Stk_date,"&gt;="&amp;A39,Stk_date,"&lt;="&amp;A39,Stk_commercial,B39,Stk_mouvement,"Perte / vol"))</f>
        <v/>
      </c>
      <c r="S39" s="36" t="n"/>
      <c r="T39" s="36" t="n"/>
      <c r="U39" s="36" t="n"/>
      <c r="V39" s="36" t="n"/>
    </row>
    <row r="40" ht="18" customHeight="1">
      <c r="A40" s="32" t="n"/>
      <c r="B40" s="33">
        <f>IF(A40="","",Commercial_Id)</f>
        <v/>
      </c>
      <c r="C40" s="34">
        <f>IF(A40="","",CHOOSE(WEEKDAY(A40,2),"Lundi","Mardi","Mercredi","Jeudi","Vendredi","Samedi","Dimanche"))</f>
        <v/>
      </c>
      <c r="D40" s="34">
        <f>IF(A40="","",YEAR(A40-WEEKDAY(A40,2)+4)&amp;"-S"&amp;TEXT(INT((A40-DATE(YEAR(A40-WEEKDAY(A40,2)+4),1,3)+WEEKDAY(DATE(YEAR(A40-WEEKDAY(A40,2)+4),1,3),2)+5)/7),"00"))</f>
        <v/>
      </c>
      <c r="E40" s="35" t="n"/>
      <c r="F40" s="35" t="n"/>
      <c r="G40" s="36" t="n"/>
      <c r="H40" s="37" t="n"/>
      <c r="I40" s="38">
        <f>IF(OR(E40="",F40=""),"",ROUND((F40-E40)*24,1))</f>
        <v/>
      </c>
      <c r="J40" s="39">
        <f>IF(A40="","",COUNTIFS(VC_date,"&gt;="&amp;A40,VC_date,"&lt;="&amp;A40,VC_commercial,B40,VC_type,"Visite sur place"))</f>
        <v/>
      </c>
      <c r="K40" s="39">
        <f>IF(A40="","",COUNTIFS(VC_date,"&gt;="&amp;A40,VC_date,"&lt;="&amp;A40,VC_commercial,B40,VC_type,"&lt;&gt;Visite sur place",VC_type,"&lt;&gt;"))</f>
        <v/>
      </c>
      <c r="L40" s="39">
        <f>IF(A40="","",COUNTIFS(Cl_creation,"&gt;="&amp;A40,Cl_creation,"&lt;="&amp;A40,Cl_commercial,B40))</f>
        <v/>
      </c>
      <c r="M40" s="39">
        <f>IF(A40="","",COUNTIFS(Cl_vente1,"&gt;="&amp;A40,Cl_vente1,"&lt;="&amp;A40,Cl_commercial,B40))</f>
        <v/>
      </c>
      <c r="N40" s="39">
        <f>IF(A40="","",SUMIFS(Cmd_premiere,Cmd_date,"&gt;="&amp;A40,Cmd_date,"&lt;="&amp;A40,Cmd_commercial,B40,Cmd_statut,"&lt;&gt;Annulée",Cmd_type,"&lt;&gt;Vente directe"))</f>
        <v/>
      </c>
      <c r="O40" s="40">
        <f>IF(A40="","",SUMIFS(Cmd_montant,Cmd_date,"&gt;="&amp;A40,Cmd_date,"&lt;="&amp;A40,Cmd_commercial,B40,Cmd_statut,"&lt;&gt;Annulée",Cmd_type,"&lt;&gt;Vente directe"))</f>
        <v/>
      </c>
      <c r="P40" s="40">
        <f>IF(A40="","",SUMIFS(Cmd_montant,Cmd_dateca,"&gt;="&amp;A40,Cmd_dateca,"&lt;="&amp;A40,Cmd_commercial,B40))</f>
        <v/>
      </c>
      <c r="Q40" s="40">
        <f>IF(A40="","",SUMIFS(Enc_montant,Enc_date,"&gt;="&amp;A40,Enc_date,"&lt;="&amp;A40,Enc_commercial,B40))</f>
        <v/>
      </c>
      <c r="R40" s="40">
        <f>IF(A40="","",SUMIFS(Stk_valeur,Stk_date,"&gt;="&amp;A40,Stk_date,"&lt;="&amp;A40,Stk_commercial,B40,Stk_mouvement,"Casse / avarie")+SUMIFS(Stk_valeur,Stk_date,"&gt;="&amp;A40,Stk_date,"&lt;="&amp;A40,Stk_commercial,B40,Stk_mouvement,"Perte / vol"))</f>
        <v/>
      </c>
      <c r="S40" s="36" t="n"/>
      <c r="T40" s="36" t="n"/>
      <c r="U40" s="36" t="n"/>
      <c r="V40" s="36" t="n"/>
    </row>
    <row r="41" ht="18" customHeight="1">
      <c r="A41" s="32" t="n"/>
      <c r="B41" s="33">
        <f>IF(A41="","",Commercial_Id)</f>
        <v/>
      </c>
      <c r="C41" s="34">
        <f>IF(A41="","",CHOOSE(WEEKDAY(A41,2),"Lundi","Mardi","Mercredi","Jeudi","Vendredi","Samedi","Dimanche"))</f>
        <v/>
      </c>
      <c r="D41" s="34">
        <f>IF(A41="","",YEAR(A41-WEEKDAY(A41,2)+4)&amp;"-S"&amp;TEXT(INT((A41-DATE(YEAR(A41-WEEKDAY(A41,2)+4),1,3)+WEEKDAY(DATE(YEAR(A41-WEEKDAY(A41,2)+4),1,3),2)+5)/7),"00"))</f>
        <v/>
      </c>
      <c r="E41" s="35" t="n"/>
      <c r="F41" s="35" t="n"/>
      <c r="G41" s="36" t="n"/>
      <c r="H41" s="37" t="n"/>
      <c r="I41" s="38">
        <f>IF(OR(E41="",F41=""),"",ROUND((F41-E41)*24,1))</f>
        <v/>
      </c>
      <c r="J41" s="39">
        <f>IF(A41="","",COUNTIFS(VC_date,"&gt;="&amp;A41,VC_date,"&lt;="&amp;A41,VC_commercial,B41,VC_type,"Visite sur place"))</f>
        <v/>
      </c>
      <c r="K41" s="39">
        <f>IF(A41="","",COUNTIFS(VC_date,"&gt;="&amp;A41,VC_date,"&lt;="&amp;A41,VC_commercial,B41,VC_type,"&lt;&gt;Visite sur place",VC_type,"&lt;&gt;"))</f>
        <v/>
      </c>
      <c r="L41" s="39">
        <f>IF(A41="","",COUNTIFS(Cl_creation,"&gt;="&amp;A41,Cl_creation,"&lt;="&amp;A41,Cl_commercial,B41))</f>
        <v/>
      </c>
      <c r="M41" s="39">
        <f>IF(A41="","",COUNTIFS(Cl_vente1,"&gt;="&amp;A41,Cl_vente1,"&lt;="&amp;A41,Cl_commercial,B41))</f>
        <v/>
      </c>
      <c r="N41" s="39">
        <f>IF(A41="","",SUMIFS(Cmd_premiere,Cmd_date,"&gt;="&amp;A41,Cmd_date,"&lt;="&amp;A41,Cmd_commercial,B41,Cmd_statut,"&lt;&gt;Annulée",Cmd_type,"&lt;&gt;Vente directe"))</f>
        <v/>
      </c>
      <c r="O41" s="40">
        <f>IF(A41="","",SUMIFS(Cmd_montant,Cmd_date,"&gt;="&amp;A41,Cmd_date,"&lt;="&amp;A41,Cmd_commercial,B41,Cmd_statut,"&lt;&gt;Annulée",Cmd_type,"&lt;&gt;Vente directe"))</f>
        <v/>
      </c>
      <c r="P41" s="40">
        <f>IF(A41="","",SUMIFS(Cmd_montant,Cmd_dateca,"&gt;="&amp;A41,Cmd_dateca,"&lt;="&amp;A41,Cmd_commercial,B41))</f>
        <v/>
      </c>
      <c r="Q41" s="40">
        <f>IF(A41="","",SUMIFS(Enc_montant,Enc_date,"&gt;="&amp;A41,Enc_date,"&lt;="&amp;A41,Enc_commercial,B41))</f>
        <v/>
      </c>
      <c r="R41" s="40">
        <f>IF(A41="","",SUMIFS(Stk_valeur,Stk_date,"&gt;="&amp;A41,Stk_date,"&lt;="&amp;A41,Stk_commercial,B41,Stk_mouvement,"Casse / avarie")+SUMIFS(Stk_valeur,Stk_date,"&gt;="&amp;A41,Stk_date,"&lt;="&amp;A41,Stk_commercial,B41,Stk_mouvement,"Perte / vol"))</f>
        <v/>
      </c>
      <c r="S41" s="36" t="n"/>
      <c r="T41" s="36" t="n"/>
      <c r="U41" s="36" t="n"/>
      <c r="V41" s="36" t="n"/>
    </row>
    <row r="42" ht="18" customHeight="1">
      <c r="A42" s="32" t="n"/>
      <c r="B42" s="33">
        <f>IF(A42="","",Commercial_Id)</f>
        <v/>
      </c>
      <c r="C42" s="34">
        <f>IF(A42="","",CHOOSE(WEEKDAY(A42,2),"Lundi","Mardi","Mercredi","Jeudi","Vendredi","Samedi","Dimanche"))</f>
        <v/>
      </c>
      <c r="D42" s="34">
        <f>IF(A42="","",YEAR(A42-WEEKDAY(A42,2)+4)&amp;"-S"&amp;TEXT(INT((A42-DATE(YEAR(A42-WEEKDAY(A42,2)+4),1,3)+WEEKDAY(DATE(YEAR(A42-WEEKDAY(A42,2)+4),1,3),2)+5)/7),"00"))</f>
        <v/>
      </c>
      <c r="E42" s="35" t="n"/>
      <c r="F42" s="35" t="n"/>
      <c r="G42" s="36" t="n"/>
      <c r="H42" s="37" t="n"/>
      <c r="I42" s="38">
        <f>IF(OR(E42="",F42=""),"",ROUND((F42-E42)*24,1))</f>
        <v/>
      </c>
      <c r="J42" s="39">
        <f>IF(A42="","",COUNTIFS(VC_date,"&gt;="&amp;A42,VC_date,"&lt;="&amp;A42,VC_commercial,B42,VC_type,"Visite sur place"))</f>
        <v/>
      </c>
      <c r="K42" s="39">
        <f>IF(A42="","",COUNTIFS(VC_date,"&gt;="&amp;A42,VC_date,"&lt;="&amp;A42,VC_commercial,B42,VC_type,"&lt;&gt;Visite sur place",VC_type,"&lt;&gt;"))</f>
        <v/>
      </c>
      <c r="L42" s="39">
        <f>IF(A42="","",COUNTIFS(Cl_creation,"&gt;="&amp;A42,Cl_creation,"&lt;="&amp;A42,Cl_commercial,B42))</f>
        <v/>
      </c>
      <c r="M42" s="39">
        <f>IF(A42="","",COUNTIFS(Cl_vente1,"&gt;="&amp;A42,Cl_vente1,"&lt;="&amp;A42,Cl_commercial,B42))</f>
        <v/>
      </c>
      <c r="N42" s="39">
        <f>IF(A42="","",SUMIFS(Cmd_premiere,Cmd_date,"&gt;="&amp;A42,Cmd_date,"&lt;="&amp;A42,Cmd_commercial,B42,Cmd_statut,"&lt;&gt;Annulée",Cmd_type,"&lt;&gt;Vente directe"))</f>
        <v/>
      </c>
      <c r="O42" s="40">
        <f>IF(A42="","",SUMIFS(Cmd_montant,Cmd_date,"&gt;="&amp;A42,Cmd_date,"&lt;="&amp;A42,Cmd_commercial,B42,Cmd_statut,"&lt;&gt;Annulée",Cmd_type,"&lt;&gt;Vente directe"))</f>
        <v/>
      </c>
      <c r="P42" s="40">
        <f>IF(A42="","",SUMIFS(Cmd_montant,Cmd_dateca,"&gt;="&amp;A42,Cmd_dateca,"&lt;="&amp;A42,Cmd_commercial,B42))</f>
        <v/>
      </c>
      <c r="Q42" s="40">
        <f>IF(A42="","",SUMIFS(Enc_montant,Enc_date,"&gt;="&amp;A42,Enc_date,"&lt;="&amp;A42,Enc_commercial,B42))</f>
        <v/>
      </c>
      <c r="R42" s="40">
        <f>IF(A42="","",SUMIFS(Stk_valeur,Stk_date,"&gt;="&amp;A42,Stk_date,"&lt;="&amp;A42,Stk_commercial,B42,Stk_mouvement,"Casse / avarie")+SUMIFS(Stk_valeur,Stk_date,"&gt;="&amp;A42,Stk_date,"&lt;="&amp;A42,Stk_commercial,B42,Stk_mouvement,"Perte / vol"))</f>
        <v/>
      </c>
      <c r="S42" s="36" t="n"/>
      <c r="T42" s="36" t="n"/>
      <c r="U42" s="36" t="n"/>
      <c r="V42" s="36" t="n"/>
    </row>
    <row r="43" ht="18" customHeight="1">
      <c r="A43" s="32" t="n"/>
      <c r="B43" s="33">
        <f>IF(A43="","",Commercial_Id)</f>
        <v/>
      </c>
      <c r="C43" s="34">
        <f>IF(A43="","",CHOOSE(WEEKDAY(A43,2),"Lundi","Mardi","Mercredi","Jeudi","Vendredi","Samedi","Dimanche"))</f>
        <v/>
      </c>
      <c r="D43" s="34">
        <f>IF(A43="","",YEAR(A43-WEEKDAY(A43,2)+4)&amp;"-S"&amp;TEXT(INT((A43-DATE(YEAR(A43-WEEKDAY(A43,2)+4),1,3)+WEEKDAY(DATE(YEAR(A43-WEEKDAY(A43,2)+4),1,3),2)+5)/7),"00"))</f>
        <v/>
      </c>
      <c r="E43" s="35" t="n"/>
      <c r="F43" s="35" t="n"/>
      <c r="G43" s="36" t="n"/>
      <c r="H43" s="37" t="n"/>
      <c r="I43" s="38">
        <f>IF(OR(E43="",F43=""),"",ROUND((F43-E43)*24,1))</f>
        <v/>
      </c>
      <c r="J43" s="39">
        <f>IF(A43="","",COUNTIFS(VC_date,"&gt;="&amp;A43,VC_date,"&lt;="&amp;A43,VC_commercial,B43,VC_type,"Visite sur place"))</f>
        <v/>
      </c>
      <c r="K43" s="39">
        <f>IF(A43="","",COUNTIFS(VC_date,"&gt;="&amp;A43,VC_date,"&lt;="&amp;A43,VC_commercial,B43,VC_type,"&lt;&gt;Visite sur place",VC_type,"&lt;&gt;"))</f>
        <v/>
      </c>
      <c r="L43" s="39">
        <f>IF(A43="","",COUNTIFS(Cl_creation,"&gt;="&amp;A43,Cl_creation,"&lt;="&amp;A43,Cl_commercial,B43))</f>
        <v/>
      </c>
      <c r="M43" s="39">
        <f>IF(A43="","",COUNTIFS(Cl_vente1,"&gt;="&amp;A43,Cl_vente1,"&lt;="&amp;A43,Cl_commercial,B43))</f>
        <v/>
      </c>
      <c r="N43" s="39">
        <f>IF(A43="","",SUMIFS(Cmd_premiere,Cmd_date,"&gt;="&amp;A43,Cmd_date,"&lt;="&amp;A43,Cmd_commercial,B43,Cmd_statut,"&lt;&gt;Annulée",Cmd_type,"&lt;&gt;Vente directe"))</f>
        <v/>
      </c>
      <c r="O43" s="40">
        <f>IF(A43="","",SUMIFS(Cmd_montant,Cmd_date,"&gt;="&amp;A43,Cmd_date,"&lt;="&amp;A43,Cmd_commercial,B43,Cmd_statut,"&lt;&gt;Annulée",Cmd_type,"&lt;&gt;Vente directe"))</f>
        <v/>
      </c>
      <c r="P43" s="40">
        <f>IF(A43="","",SUMIFS(Cmd_montant,Cmd_dateca,"&gt;="&amp;A43,Cmd_dateca,"&lt;="&amp;A43,Cmd_commercial,B43))</f>
        <v/>
      </c>
      <c r="Q43" s="40">
        <f>IF(A43="","",SUMIFS(Enc_montant,Enc_date,"&gt;="&amp;A43,Enc_date,"&lt;="&amp;A43,Enc_commercial,B43))</f>
        <v/>
      </c>
      <c r="R43" s="40">
        <f>IF(A43="","",SUMIFS(Stk_valeur,Stk_date,"&gt;="&amp;A43,Stk_date,"&lt;="&amp;A43,Stk_commercial,B43,Stk_mouvement,"Casse / avarie")+SUMIFS(Stk_valeur,Stk_date,"&gt;="&amp;A43,Stk_date,"&lt;="&amp;A43,Stk_commercial,B43,Stk_mouvement,"Perte / vol"))</f>
        <v/>
      </c>
      <c r="S43" s="36" t="n"/>
      <c r="T43" s="36" t="n"/>
      <c r="U43" s="36" t="n"/>
      <c r="V43" s="36" t="n"/>
    </row>
    <row r="44" ht="18" customHeight="1">
      <c r="A44" s="32" t="n"/>
      <c r="B44" s="33">
        <f>IF(A44="","",Commercial_Id)</f>
        <v/>
      </c>
      <c r="C44" s="34">
        <f>IF(A44="","",CHOOSE(WEEKDAY(A44,2),"Lundi","Mardi","Mercredi","Jeudi","Vendredi","Samedi","Dimanche"))</f>
        <v/>
      </c>
      <c r="D44" s="34">
        <f>IF(A44="","",YEAR(A44-WEEKDAY(A44,2)+4)&amp;"-S"&amp;TEXT(INT((A44-DATE(YEAR(A44-WEEKDAY(A44,2)+4),1,3)+WEEKDAY(DATE(YEAR(A44-WEEKDAY(A44,2)+4),1,3),2)+5)/7),"00"))</f>
        <v/>
      </c>
      <c r="E44" s="35" t="n"/>
      <c r="F44" s="35" t="n"/>
      <c r="G44" s="36" t="n"/>
      <c r="H44" s="37" t="n"/>
      <c r="I44" s="38">
        <f>IF(OR(E44="",F44=""),"",ROUND((F44-E44)*24,1))</f>
        <v/>
      </c>
      <c r="J44" s="39">
        <f>IF(A44="","",COUNTIFS(VC_date,"&gt;="&amp;A44,VC_date,"&lt;="&amp;A44,VC_commercial,B44,VC_type,"Visite sur place"))</f>
        <v/>
      </c>
      <c r="K44" s="39">
        <f>IF(A44="","",COUNTIFS(VC_date,"&gt;="&amp;A44,VC_date,"&lt;="&amp;A44,VC_commercial,B44,VC_type,"&lt;&gt;Visite sur place",VC_type,"&lt;&gt;"))</f>
        <v/>
      </c>
      <c r="L44" s="39">
        <f>IF(A44="","",COUNTIFS(Cl_creation,"&gt;="&amp;A44,Cl_creation,"&lt;="&amp;A44,Cl_commercial,B44))</f>
        <v/>
      </c>
      <c r="M44" s="39">
        <f>IF(A44="","",COUNTIFS(Cl_vente1,"&gt;="&amp;A44,Cl_vente1,"&lt;="&amp;A44,Cl_commercial,B44))</f>
        <v/>
      </c>
      <c r="N44" s="39">
        <f>IF(A44="","",SUMIFS(Cmd_premiere,Cmd_date,"&gt;="&amp;A44,Cmd_date,"&lt;="&amp;A44,Cmd_commercial,B44,Cmd_statut,"&lt;&gt;Annulée",Cmd_type,"&lt;&gt;Vente directe"))</f>
        <v/>
      </c>
      <c r="O44" s="40">
        <f>IF(A44="","",SUMIFS(Cmd_montant,Cmd_date,"&gt;="&amp;A44,Cmd_date,"&lt;="&amp;A44,Cmd_commercial,B44,Cmd_statut,"&lt;&gt;Annulée",Cmd_type,"&lt;&gt;Vente directe"))</f>
        <v/>
      </c>
      <c r="P44" s="40">
        <f>IF(A44="","",SUMIFS(Cmd_montant,Cmd_dateca,"&gt;="&amp;A44,Cmd_dateca,"&lt;="&amp;A44,Cmd_commercial,B44))</f>
        <v/>
      </c>
      <c r="Q44" s="40">
        <f>IF(A44="","",SUMIFS(Enc_montant,Enc_date,"&gt;="&amp;A44,Enc_date,"&lt;="&amp;A44,Enc_commercial,B44))</f>
        <v/>
      </c>
      <c r="R44" s="40">
        <f>IF(A44="","",SUMIFS(Stk_valeur,Stk_date,"&gt;="&amp;A44,Stk_date,"&lt;="&amp;A44,Stk_commercial,B44,Stk_mouvement,"Casse / avarie")+SUMIFS(Stk_valeur,Stk_date,"&gt;="&amp;A44,Stk_date,"&lt;="&amp;A44,Stk_commercial,B44,Stk_mouvement,"Perte / vol"))</f>
        <v/>
      </c>
      <c r="S44" s="36" t="n"/>
      <c r="T44" s="36" t="n"/>
      <c r="U44" s="36" t="n"/>
      <c r="V44" s="36" t="n"/>
    </row>
    <row r="45" ht="18" customHeight="1">
      <c r="A45" s="32" t="n"/>
      <c r="B45" s="33">
        <f>IF(A45="","",Commercial_Id)</f>
        <v/>
      </c>
      <c r="C45" s="34">
        <f>IF(A45="","",CHOOSE(WEEKDAY(A45,2),"Lundi","Mardi","Mercredi","Jeudi","Vendredi","Samedi","Dimanche"))</f>
        <v/>
      </c>
      <c r="D45" s="34">
        <f>IF(A45="","",YEAR(A45-WEEKDAY(A45,2)+4)&amp;"-S"&amp;TEXT(INT((A45-DATE(YEAR(A45-WEEKDAY(A45,2)+4),1,3)+WEEKDAY(DATE(YEAR(A45-WEEKDAY(A45,2)+4),1,3),2)+5)/7),"00"))</f>
        <v/>
      </c>
      <c r="E45" s="35" t="n"/>
      <c r="F45" s="35" t="n"/>
      <c r="G45" s="36" t="n"/>
      <c r="H45" s="37" t="n"/>
      <c r="I45" s="38">
        <f>IF(OR(E45="",F45=""),"",ROUND((F45-E45)*24,1))</f>
        <v/>
      </c>
      <c r="J45" s="39">
        <f>IF(A45="","",COUNTIFS(VC_date,"&gt;="&amp;A45,VC_date,"&lt;="&amp;A45,VC_commercial,B45,VC_type,"Visite sur place"))</f>
        <v/>
      </c>
      <c r="K45" s="39">
        <f>IF(A45="","",COUNTIFS(VC_date,"&gt;="&amp;A45,VC_date,"&lt;="&amp;A45,VC_commercial,B45,VC_type,"&lt;&gt;Visite sur place",VC_type,"&lt;&gt;"))</f>
        <v/>
      </c>
      <c r="L45" s="39">
        <f>IF(A45="","",COUNTIFS(Cl_creation,"&gt;="&amp;A45,Cl_creation,"&lt;="&amp;A45,Cl_commercial,B45))</f>
        <v/>
      </c>
      <c r="M45" s="39">
        <f>IF(A45="","",COUNTIFS(Cl_vente1,"&gt;="&amp;A45,Cl_vente1,"&lt;="&amp;A45,Cl_commercial,B45))</f>
        <v/>
      </c>
      <c r="N45" s="39">
        <f>IF(A45="","",SUMIFS(Cmd_premiere,Cmd_date,"&gt;="&amp;A45,Cmd_date,"&lt;="&amp;A45,Cmd_commercial,B45,Cmd_statut,"&lt;&gt;Annulée",Cmd_type,"&lt;&gt;Vente directe"))</f>
        <v/>
      </c>
      <c r="O45" s="40">
        <f>IF(A45="","",SUMIFS(Cmd_montant,Cmd_date,"&gt;="&amp;A45,Cmd_date,"&lt;="&amp;A45,Cmd_commercial,B45,Cmd_statut,"&lt;&gt;Annulée",Cmd_type,"&lt;&gt;Vente directe"))</f>
        <v/>
      </c>
      <c r="P45" s="40">
        <f>IF(A45="","",SUMIFS(Cmd_montant,Cmd_dateca,"&gt;="&amp;A45,Cmd_dateca,"&lt;="&amp;A45,Cmd_commercial,B45))</f>
        <v/>
      </c>
      <c r="Q45" s="40">
        <f>IF(A45="","",SUMIFS(Enc_montant,Enc_date,"&gt;="&amp;A45,Enc_date,"&lt;="&amp;A45,Enc_commercial,B45))</f>
        <v/>
      </c>
      <c r="R45" s="40">
        <f>IF(A45="","",SUMIFS(Stk_valeur,Stk_date,"&gt;="&amp;A45,Stk_date,"&lt;="&amp;A45,Stk_commercial,B45,Stk_mouvement,"Casse / avarie")+SUMIFS(Stk_valeur,Stk_date,"&gt;="&amp;A45,Stk_date,"&lt;="&amp;A45,Stk_commercial,B45,Stk_mouvement,"Perte / vol"))</f>
        <v/>
      </c>
      <c r="S45" s="36" t="n"/>
      <c r="T45" s="36" t="n"/>
      <c r="U45" s="36" t="n"/>
      <c r="V45" s="36" t="n"/>
    </row>
    <row r="46" ht="18" customHeight="1">
      <c r="A46" s="32" t="n"/>
      <c r="B46" s="33">
        <f>IF(A46="","",Commercial_Id)</f>
        <v/>
      </c>
      <c r="C46" s="34">
        <f>IF(A46="","",CHOOSE(WEEKDAY(A46,2),"Lundi","Mardi","Mercredi","Jeudi","Vendredi","Samedi","Dimanche"))</f>
        <v/>
      </c>
      <c r="D46" s="34">
        <f>IF(A46="","",YEAR(A46-WEEKDAY(A46,2)+4)&amp;"-S"&amp;TEXT(INT((A46-DATE(YEAR(A46-WEEKDAY(A46,2)+4),1,3)+WEEKDAY(DATE(YEAR(A46-WEEKDAY(A46,2)+4),1,3),2)+5)/7),"00"))</f>
        <v/>
      </c>
      <c r="E46" s="35" t="n"/>
      <c r="F46" s="35" t="n"/>
      <c r="G46" s="36" t="n"/>
      <c r="H46" s="37" t="n"/>
      <c r="I46" s="38">
        <f>IF(OR(E46="",F46=""),"",ROUND((F46-E46)*24,1))</f>
        <v/>
      </c>
      <c r="J46" s="39">
        <f>IF(A46="","",COUNTIFS(VC_date,"&gt;="&amp;A46,VC_date,"&lt;="&amp;A46,VC_commercial,B46,VC_type,"Visite sur place"))</f>
        <v/>
      </c>
      <c r="K46" s="39">
        <f>IF(A46="","",COUNTIFS(VC_date,"&gt;="&amp;A46,VC_date,"&lt;="&amp;A46,VC_commercial,B46,VC_type,"&lt;&gt;Visite sur place",VC_type,"&lt;&gt;"))</f>
        <v/>
      </c>
      <c r="L46" s="39">
        <f>IF(A46="","",COUNTIFS(Cl_creation,"&gt;="&amp;A46,Cl_creation,"&lt;="&amp;A46,Cl_commercial,B46))</f>
        <v/>
      </c>
      <c r="M46" s="39">
        <f>IF(A46="","",COUNTIFS(Cl_vente1,"&gt;="&amp;A46,Cl_vente1,"&lt;="&amp;A46,Cl_commercial,B46))</f>
        <v/>
      </c>
      <c r="N46" s="39">
        <f>IF(A46="","",SUMIFS(Cmd_premiere,Cmd_date,"&gt;="&amp;A46,Cmd_date,"&lt;="&amp;A46,Cmd_commercial,B46,Cmd_statut,"&lt;&gt;Annulée",Cmd_type,"&lt;&gt;Vente directe"))</f>
        <v/>
      </c>
      <c r="O46" s="40">
        <f>IF(A46="","",SUMIFS(Cmd_montant,Cmd_date,"&gt;="&amp;A46,Cmd_date,"&lt;="&amp;A46,Cmd_commercial,B46,Cmd_statut,"&lt;&gt;Annulée",Cmd_type,"&lt;&gt;Vente directe"))</f>
        <v/>
      </c>
      <c r="P46" s="40">
        <f>IF(A46="","",SUMIFS(Cmd_montant,Cmd_dateca,"&gt;="&amp;A46,Cmd_dateca,"&lt;="&amp;A46,Cmd_commercial,B46))</f>
        <v/>
      </c>
      <c r="Q46" s="40">
        <f>IF(A46="","",SUMIFS(Enc_montant,Enc_date,"&gt;="&amp;A46,Enc_date,"&lt;="&amp;A46,Enc_commercial,B46))</f>
        <v/>
      </c>
      <c r="R46" s="40">
        <f>IF(A46="","",SUMIFS(Stk_valeur,Stk_date,"&gt;="&amp;A46,Stk_date,"&lt;="&amp;A46,Stk_commercial,B46,Stk_mouvement,"Casse / avarie")+SUMIFS(Stk_valeur,Stk_date,"&gt;="&amp;A46,Stk_date,"&lt;="&amp;A46,Stk_commercial,B46,Stk_mouvement,"Perte / vol"))</f>
        <v/>
      </c>
      <c r="S46" s="36" t="n"/>
      <c r="T46" s="36" t="n"/>
      <c r="U46" s="36" t="n"/>
      <c r="V46" s="36" t="n"/>
    </row>
    <row r="47" ht="18" customHeight="1">
      <c r="A47" s="32" t="n"/>
      <c r="B47" s="33">
        <f>IF(A47="","",Commercial_Id)</f>
        <v/>
      </c>
      <c r="C47" s="34">
        <f>IF(A47="","",CHOOSE(WEEKDAY(A47,2),"Lundi","Mardi","Mercredi","Jeudi","Vendredi","Samedi","Dimanche"))</f>
        <v/>
      </c>
      <c r="D47" s="34">
        <f>IF(A47="","",YEAR(A47-WEEKDAY(A47,2)+4)&amp;"-S"&amp;TEXT(INT((A47-DATE(YEAR(A47-WEEKDAY(A47,2)+4),1,3)+WEEKDAY(DATE(YEAR(A47-WEEKDAY(A47,2)+4),1,3),2)+5)/7),"00"))</f>
        <v/>
      </c>
      <c r="E47" s="35" t="n"/>
      <c r="F47" s="35" t="n"/>
      <c r="G47" s="36" t="n"/>
      <c r="H47" s="37" t="n"/>
      <c r="I47" s="38">
        <f>IF(OR(E47="",F47=""),"",ROUND((F47-E47)*24,1))</f>
        <v/>
      </c>
      <c r="J47" s="39">
        <f>IF(A47="","",COUNTIFS(VC_date,"&gt;="&amp;A47,VC_date,"&lt;="&amp;A47,VC_commercial,B47,VC_type,"Visite sur place"))</f>
        <v/>
      </c>
      <c r="K47" s="39">
        <f>IF(A47="","",COUNTIFS(VC_date,"&gt;="&amp;A47,VC_date,"&lt;="&amp;A47,VC_commercial,B47,VC_type,"&lt;&gt;Visite sur place",VC_type,"&lt;&gt;"))</f>
        <v/>
      </c>
      <c r="L47" s="39">
        <f>IF(A47="","",COUNTIFS(Cl_creation,"&gt;="&amp;A47,Cl_creation,"&lt;="&amp;A47,Cl_commercial,B47))</f>
        <v/>
      </c>
      <c r="M47" s="39">
        <f>IF(A47="","",COUNTIFS(Cl_vente1,"&gt;="&amp;A47,Cl_vente1,"&lt;="&amp;A47,Cl_commercial,B47))</f>
        <v/>
      </c>
      <c r="N47" s="39">
        <f>IF(A47="","",SUMIFS(Cmd_premiere,Cmd_date,"&gt;="&amp;A47,Cmd_date,"&lt;="&amp;A47,Cmd_commercial,B47,Cmd_statut,"&lt;&gt;Annulée",Cmd_type,"&lt;&gt;Vente directe"))</f>
        <v/>
      </c>
      <c r="O47" s="40">
        <f>IF(A47="","",SUMIFS(Cmd_montant,Cmd_date,"&gt;="&amp;A47,Cmd_date,"&lt;="&amp;A47,Cmd_commercial,B47,Cmd_statut,"&lt;&gt;Annulée",Cmd_type,"&lt;&gt;Vente directe"))</f>
        <v/>
      </c>
      <c r="P47" s="40">
        <f>IF(A47="","",SUMIFS(Cmd_montant,Cmd_dateca,"&gt;="&amp;A47,Cmd_dateca,"&lt;="&amp;A47,Cmd_commercial,B47))</f>
        <v/>
      </c>
      <c r="Q47" s="40">
        <f>IF(A47="","",SUMIFS(Enc_montant,Enc_date,"&gt;="&amp;A47,Enc_date,"&lt;="&amp;A47,Enc_commercial,B47))</f>
        <v/>
      </c>
      <c r="R47" s="40">
        <f>IF(A47="","",SUMIFS(Stk_valeur,Stk_date,"&gt;="&amp;A47,Stk_date,"&lt;="&amp;A47,Stk_commercial,B47,Stk_mouvement,"Casse / avarie")+SUMIFS(Stk_valeur,Stk_date,"&gt;="&amp;A47,Stk_date,"&lt;="&amp;A47,Stk_commercial,B47,Stk_mouvement,"Perte / vol"))</f>
        <v/>
      </c>
      <c r="S47" s="36" t="n"/>
      <c r="T47" s="36" t="n"/>
      <c r="U47" s="36" t="n"/>
      <c r="V47" s="36" t="n"/>
    </row>
    <row r="48" ht="18" customHeight="1">
      <c r="A48" s="32" t="n"/>
      <c r="B48" s="33">
        <f>IF(A48="","",Commercial_Id)</f>
        <v/>
      </c>
      <c r="C48" s="34">
        <f>IF(A48="","",CHOOSE(WEEKDAY(A48,2),"Lundi","Mardi","Mercredi","Jeudi","Vendredi","Samedi","Dimanche"))</f>
        <v/>
      </c>
      <c r="D48" s="34">
        <f>IF(A48="","",YEAR(A48-WEEKDAY(A48,2)+4)&amp;"-S"&amp;TEXT(INT((A48-DATE(YEAR(A48-WEEKDAY(A48,2)+4),1,3)+WEEKDAY(DATE(YEAR(A48-WEEKDAY(A48,2)+4),1,3),2)+5)/7),"00"))</f>
        <v/>
      </c>
      <c r="E48" s="35" t="n"/>
      <c r="F48" s="35" t="n"/>
      <c r="G48" s="36" t="n"/>
      <c r="H48" s="37" t="n"/>
      <c r="I48" s="38">
        <f>IF(OR(E48="",F48=""),"",ROUND((F48-E48)*24,1))</f>
        <v/>
      </c>
      <c r="J48" s="39">
        <f>IF(A48="","",COUNTIFS(VC_date,"&gt;="&amp;A48,VC_date,"&lt;="&amp;A48,VC_commercial,B48,VC_type,"Visite sur place"))</f>
        <v/>
      </c>
      <c r="K48" s="39">
        <f>IF(A48="","",COUNTIFS(VC_date,"&gt;="&amp;A48,VC_date,"&lt;="&amp;A48,VC_commercial,B48,VC_type,"&lt;&gt;Visite sur place",VC_type,"&lt;&gt;"))</f>
        <v/>
      </c>
      <c r="L48" s="39">
        <f>IF(A48="","",COUNTIFS(Cl_creation,"&gt;="&amp;A48,Cl_creation,"&lt;="&amp;A48,Cl_commercial,B48))</f>
        <v/>
      </c>
      <c r="M48" s="39">
        <f>IF(A48="","",COUNTIFS(Cl_vente1,"&gt;="&amp;A48,Cl_vente1,"&lt;="&amp;A48,Cl_commercial,B48))</f>
        <v/>
      </c>
      <c r="N48" s="39">
        <f>IF(A48="","",SUMIFS(Cmd_premiere,Cmd_date,"&gt;="&amp;A48,Cmd_date,"&lt;="&amp;A48,Cmd_commercial,B48,Cmd_statut,"&lt;&gt;Annulée",Cmd_type,"&lt;&gt;Vente directe"))</f>
        <v/>
      </c>
      <c r="O48" s="40">
        <f>IF(A48="","",SUMIFS(Cmd_montant,Cmd_date,"&gt;="&amp;A48,Cmd_date,"&lt;="&amp;A48,Cmd_commercial,B48,Cmd_statut,"&lt;&gt;Annulée",Cmd_type,"&lt;&gt;Vente directe"))</f>
        <v/>
      </c>
      <c r="P48" s="40">
        <f>IF(A48="","",SUMIFS(Cmd_montant,Cmd_dateca,"&gt;="&amp;A48,Cmd_dateca,"&lt;="&amp;A48,Cmd_commercial,B48))</f>
        <v/>
      </c>
      <c r="Q48" s="40">
        <f>IF(A48="","",SUMIFS(Enc_montant,Enc_date,"&gt;="&amp;A48,Enc_date,"&lt;="&amp;A48,Enc_commercial,B48))</f>
        <v/>
      </c>
      <c r="R48" s="40">
        <f>IF(A48="","",SUMIFS(Stk_valeur,Stk_date,"&gt;="&amp;A48,Stk_date,"&lt;="&amp;A48,Stk_commercial,B48,Stk_mouvement,"Casse / avarie")+SUMIFS(Stk_valeur,Stk_date,"&gt;="&amp;A48,Stk_date,"&lt;="&amp;A48,Stk_commercial,B48,Stk_mouvement,"Perte / vol"))</f>
        <v/>
      </c>
      <c r="S48" s="36" t="n"/>
      <c r="T48" s="36" t="n"/>
      <c r="U48" s="36" t="n"/>
      <c r="V48" s="36" t="n"/>
    </row>
    <row r="49" ht="18" customHeight="1">
      <c r="A49" s="32" t="n"/>
      <c r="B49" s="33">
        <f>IF(A49="","",Commercial_Id)</f>
        <v/>
      </c>
      <c r="C49" s="34">
        <f>IF(A49="","",CHOOSE(WEEKDAY(A49,2),"Lundi","Mardi","Mercredi","Jeudi","Vendredi","Samedi","Dimanche"))</f>
        <v/>
      </c>
      <c r="D49" s="34">
        <f>IF(A49="","",YEAR(A49-WEEKDAY(A49,2)+4)&amp;"-S"&amp;TEXT(INT((A49-DATE(YEAR(A49-WEEKDAY(A49,2)+4),1,3)+WEEKDAY(DATE(YEAR(A49-WEEKDAY(A49,2)+4),1,3),2)+5)/7),"00"))</f>
        <v/>
      </c>
      <c r="E49" s="35" t="n"/>
      <c r="F49" s="35" t="n"/>
      <c r="G49" s="36" t="n"/>
      <c r="H49" s="37" t="n"/>
      <c r="I49" s="38">
        <f>IF(OR(E49="",F49=""),"",ROUND((F49-E49)*24,1))</f>
        <v/>
      </c>
      <c r="J49" s="39">
        <f>IF(A49="","",COUNTIFS(VC_date,"&gt;="&amp;A49,VC_date,"&lt;="&amp;A49,VC_commercial,B49,VC_type,"Visite sur place"))</f>
        <v/>
      </c>
      <c r="K49" s="39">
        <f>IF(A49="","",COUNTIFS(VC_date,"&gt;="&amp;A49,VC_date,"&lt;="&amp;A49,VC_commercial,B49,VC_type,"&lt;&gt;Visite sur place",VC_type,"&lt;&gt;"))</f>
        <v/>
      </c>
      <c r="L49" s="39">
        <f>IF(A49="","",COUNTIFS(Cl_creation,"&gt;="&amp;A49,Cl_creation,"&lt;="&amp;A49,Cl_commercial,B49))</f>
        <v/>
      </c>
      <c r="M49" s="39">
        <f>IF(A49="","",COUNTIFS(Cl_vente1,"&gt;="&amp;A49,Cl_vente1,"&lt;="&amp;A49,Cl_commercial,B49))</f>
        <v/>
      </c>
      <c r="N49" s="39">
        <f>IF(A49="","",SUMIFS(Cmd_premiere,Cmd_date,"&gt;="&amp;A49,Cmd_date,"&lt;="&amp;A49,Cmd_commercial,B49,Cmd_statut,"&lt;&gt;Annulée",Cmd_type,"&lt;&gt;Vente directe"))</f>
        <v/>
      </c>
      <c r="O49" s="40">
        <f>IF(A49="","",SUMIFS(Cmd_montant,Cmd_date,"&gt;="&amp;A49,Cmd_date,"&lt;="&amp;A49,Cmd_commercial,B49,Cmd_statut,"&lt;&gt;Annulée",Cmd_type,"&lt;&gt;Vente directe"))</f>
        <v/>
      </c>
      <c r="P49" s="40">
        <f>IF(A49="","",SUMIFS(Cmd_montant,Cmd_dateca,"&gt;="&amp;A49,Cmd_dateca,"&lt;="&amp;A49,Cmd_commercial,B49))</f>
        <v/>
      </c>
      <c r="Q49" s="40">
        <f>IF(A49="","",SUMIFS(Enc_montant,Enc_date,"&gt;="&amp;A49,Enc_date,"&lt;="&amp;A49,Enc_commercial,B49))</f>
        <v/>
      </c>
      <c r="R49" s="40">
        <f>IF(A49="","",SUMIFS(Stk_valeur,Stk_date,"&gt;="&amp;A49,Stk_date,"&lt;="&amp;A49,Stk_commercial,B49,Stk_mouvement,"Casse / avarie")+SUMIFS(Stk_valeur,Stk_date,"&gt;="&amp;A49,Stk_date,"&lt;="&amp;A49,Stk_commercial,B49,Stk_mouvement,"Perte / vol"))</f>
        <v/>
      </c>
      <c r="S49" s="36" t="n"/>
      <c r="T49" s="36" t="n"/>
      <c r="U49" s="36" t="n"/>
      <c r="V49" s="36" t="n"/>
    </row>
    <row r="50" ht="18" customHeight="1">
      <c r="A50" s="32" t="n"/>
      <c r="B50" s="33">
        <f>IF(A50="","",Commercial_Id)</f>
        <v/>
      </c>
      <c r="C50" s="34">
        <f>IF(A50="","",CHOOSE(WEEKDAY(A50,2),"Lundi","Mardi","Mercredi","Jeudi","Vendredi","Samedi","Dimanche"))</f>
        <v/>
      </c>
      <c r="D50" s="34">
        <f>IF(A50="","",YEAR(A50-WEEKDAY(A50,2)+4)&amp;"-S"&amp;TEXT(INT((A50-DATE(YEAR(A50-WEEKDAY(A50,2)+4),1,3)+WEEKDAY(DATE(YEAR(A50-WEEKDAY(A50,2)+4),1,3),2)+5)/7),"00"))</f>
        <v/>
      </c>
      <c r="E50" s="35" t="n"/>
      <c r="F50" s="35" t="n"/>
      <c r="G50" s="36" t="n"/>
      <c r="H50" s="37" t="n"/>
      <c r="I50" s="38">
        <f>IF(OR(E50="",F50=""),"",ROUND((F50-E50)*24,1))</f>
        <v/>
      </c>
      <c r="J50" s="39">
        <f>IF(A50="","",COUNTIFS(VC_date,"&gt;="&amp;A50,VC_date,"&lt;="&amp;A50,VC_commercial,B50,VC_type,"Visite sur place"))</f>
        <v/>
      </c>
      <c r="K50" s="39">
        <f>IF(A50="","",COUNTIFS(VC_date,"&gt;="&amp;A50,VC_date,"&lt;="&amp;A50,VC_commercial,B50,VC_type,"&lt;&gt;Visite sur place",VC_type,"&lt;&gt;"))</f>
        <v/>
      </c>
      <c r="L50" s="39">
        <f>IF(A50="","",COUNTIFS(Cl_creation,"&gt;="&amp;A50,Cl_creation,"&lt;="&amp;A50,Cl_commercial,B50))</f>
        <v/>
      </c>
      <c r="M50" s="39">
        <f>IF(A50="","",COUNTIFS(Cl_vente1,"&gt;="&amp;A50,Cl_vente1,"&lt;="&amp;A50,Cl_commercial,B50))</f>
        <v/>
      </c>
      <c r="N50" s="39">
        <f>IF(A50="","",SUMIFS(Cmd_premiere,Cmd_date,"&gt;="&amp;A50,Cmd_date,"&lt;="&amp;A50,Cmd_commercial,B50,Cmd_statut,"&lt;&gt;Annulée",Cmd_type,"&lt;&gt;Vente directe"))</f>
        <v/>
      </c>
      <c r="O50" s="40">
        <f>IF(A50="","",SUMIFS(Cmd_montant,Cmd_date,"&gt;="&amp;A50,Cmd_date,"&lt;="&amp;A50,Cmd_commercial,B50,Cmd_statut,"&lt;&gt;Annulée",Cmd_type,"&lt;&gt;Vente directe"))</f>
        <v/>
      </c>
      <c r="P50" s="40">
        <f>IF(A50="","",SUMIFS(Cmd_montant,Cmd_dateca,"&gt;="&amp;A50,Cmd_dateca,"&lt;="&amp;A50,Cmd_commercial,B50))</f>
        <v/>
      </c>
      <c r="Q50" s="40">
        <f>IF(A50="","",SUMIFS(Enc_montant,Enc_date,"&gt;="&amp;A50,Enc_date,"&lt;="&amp;A50,Enc_commercial,B50))</f>
        <v/>
      </c>
      <c r="R50" s="40">
        <f>IF(A50="","",SUMIFS(Stk_valeur,Stk_date,"&gt;="&amp;A50,Stk_date,"&lt;="&amp;A50,Stk_commercial,B50,Stk_mouvement,"Casse / avarie")+SUMIFS(Stk_valeur,Stk_date,"&gt;="&amp;A50,Stk_date,"&lt;="&amp;A50,Stk_commercial,B50,Stk_mouvement,"Perte / vol"))</f>
        <v/>
      </c>
      <c r="S50" s="36" t="n"/>
      <c r="T50" s="36" t="n"/>
      <c r="U50" s="36" t="n"/>
      <c r="V50" s="36" t="n"/>
    </row>
    <row r="51" ht="18" customHeight="1">
      <c r="A51" s="32" t="n"/>
      <c r="B51" s="33">
        <f>IF(A51="","",Commercial_Id)</f>
        <v/>
      </c>
      <c r="C51" s="34">
        <f>IF(A51="","",CHOOSE(WEEKDAY(A51,2),"Lundi","Mardi","Mercredi","Jeudi","Vendredi","Samedi","Dimanche"))</f>
        <v/>
      </c>
      <c r="D51" s="34">
        <f>IF(A51="","",YEAR(A51-WEEKDAY(A51,2)+4)&amp;"-S"&amp;TEXT(INT((A51-DATE(YEAR(A51-WEEKDAY(A51,2)+4),1,3)+WEEKDAY(DATE(YEAR(A51-WEEKDAY(A51,2)+4),1,3),2)+5)/7),"00"))</f>
        <v/>
      </c>
      <c r="E51" s="35" t="n"/>
      <c r="F51" s="35" t="n"/>
      <c r="G51" s="36" t="n"/>
      <c r="H51" s="37" t="n"/>
      <c r="I51" s="38">
        <f>IF(OR(E51="",F51=""),"",ROUND((F51-E51)*24,1))</f>
        <v/>
      </c>
      <c r="J51" s="39">
        <f>IF(A51="","",COUNTIFS(VC_date,"&gt;="&amp;A51,VC_date,"&lt;="&amp;A51,VC_commercial,B51,VC_type,"Visite sur place"))</f>
        <v/>
      </c>
      <c r="K51" s="39">
        <f>IF(A51="","",COUNTIFS(VC_date,"&gt;="&amp;A51,VC_date,"&lt;="&amp;A51,VC_commercial,B51,VC_type,"&lt;&gt;Visite sur place",VC_type,"&lt;&gt;"))</f>
        <v/>
      </c>
      <c r="L51" s="39">
        <f>IF(A51="","",COUNTIFS(Cl_creation,"&gt;="&amp;A51,Cl_creation,"&lt;="&amp;A51,Cl_commercial,B51))</f>
        <v/>
      </c>
      <c r="M51" s="39">
        <f>IF(A51="","",COUNTIFS(Cl_vente1,"&gt;="&amp;A51,Cl_vente1,"&lt;="&amp;A51,Cl_commercial,B51))</f>
        <v/>
      </c>
      <c r="N51" s="39">
        <f>IF(A51="","",SUMIFS(Cmd_premiere,Cmd_date,"&gt;="&amp;A51,Cmd_date,"&lt;="&amp;A51,Cmd_commercial,B51,Cmd_statut,"&lt;&gt;Annulée",Cmd_type,"&lt;&gt;Vente directe"))</f>
        <v/>
      </c>
      <c r="O51" s="40">
        <f>IF(A51="","",SUMIFS(Cmd_montant,Cmd_date,"&gt;="&amp;A51,Cmd_date,"&lt;="&amp;A51,Cmd_commercial,B51,Cmd_statut,"&lt;&gt;Annulée",Cmd_type,"&lt;&gt;Vente directe"))</f>
        <v/>
      </c>
      <c r="P51" s="40">
        <f>IF(A51="","",SUMIFS(Cmd_montant,Cmd_dateca,"&gt;="&amp;A51,Cmd_dateca,"&lt;="&amp;A51,Cmd_commercial,B51))</f>
        <v/>
      </c>
      <c r="Q51" s="40">
        <f>IF(A51="","",SUMIFS(Enc_montant,Enc_date,"&gt;="&amp;A51,Enc_date,"&lt;="&amp;A51,Enc_commercial,B51))</f>
        <v/>
      </c>
      <c r="R51" s="40">
        <f>IF(A51="","",SUMIFS(Stk_valeur,Stk_date,"&gt;="&amp;A51,Stk_date,"&lt;="&amp;A51,Stk_commercial,B51,Stk_mouvement,"Casse / avarie")+SUMIFS(Stk_valeur,Stk_date,"&gt;="&amp;A51,Stk_date,"&lt;="&amp;A51,Stk_commercial,B51,Stk_mouvement,"Perte / vol"))</f>
        <v/>
      </c>
      <c r="S51" s="36" t="n"/>
      <c r="T51" s="36" t="n"/>
      <c r="U51" s="36" t="n"/>
      <c r="V51" s="36" t="n"/>
    </row>
    <row r="52" ht="18" customHeight="1">
      <c r="A52" s="32" t="n"/>
      <c r="B52" s="33">
        <f>IF(A52="","",Commercial_Id)</f>
        <v/>
      </c>
      <c r="C52" s="34">
        <f>IF(A52="","",CHOOSE(WEEKDAY(A52,2),"Lundi","Mardi","Mercredi","Jeudi","Vendredi","Samedi","Dimanche"))</f>
        <v/>
      </c>
      <c r="D52" s="34">
        <f>IF(A52="","",YEAR(A52-WEEKDAY(A52,2)+4)&amp;"-S"&amp;TEXT(INT((A52-DATE(YEAR(A52-WEEKDAY(A52,2)+4),1,3)+WEEKDAY(DATE(YEAR(A52-WEEKDAY(A52,2)+4),1,3),2)+5)/7),"00"))</f>
        <v/>
      </c>
      <c r="E52" s="35" t="n"/>
      <c r="F52" s="35" t="n"/>
      <c r="G52" s="36" t="n"/>
      <c r="H52" s="37" t="n"/>
      <c r="I52" s="38">
        <f>IF(OR(E52="",F52=""),"",ROUND((F52-E52)*24,1))</f>
        <v/>
      </c>
      <c r="J52" s="39">
        <f>IF(A52="","",COUNTIFS(VC_date,"&gt;="&amp;A52,VC_date,"&lt;="&amp;A52,VC_commercial,B52,VC_type,"Visite sur place"))</f>
        <v/>
      </c>
      <c r="K52" s="39">
        <f>IF(A52="","",COUNTIFS(VC_date,"&gt;="&amp;A52,VC_date,"&lt;="&amp;A52,VC_commercial,B52,VC_type,"&lt;&gt;Visite sur place",VC_type,"&lt;&gt;"))</f>
        <v/>
      </c>
      <c r="L52" s="39">
        <f>IF(A52="","",COUNTIFS(Cl_creation,"&gt;="&amp;A52,Cl_creation,"&lt;="&amp;A52,Cl_commercial,B52))</f>
        <v/>
      </c>
      <c r="M52" s="39">
        <f>IF(A52="","",COUNTIFS(Cl_vente1,"&gt;="&amp;A52,Cl_vente1,"&lt;="&amp;A52,Cl_commercial,B52))</f>
        <v/>
      </c>
      <c r="N52" s="39">
        <f>IF(A52="","",SUMIFS(Cmd_premiere,Cmd_date,"&gt;="&amp;A52,Cmd_date,"&lt;="&amp;A52,Cmd_commercial,B52,Cmd_statut,"&lt;&gt;Annulée",Cmd_type,"&lt;&gt;Vente directe"))</f>
        <v/>
      </c>
      <c r="O52" s="40">
        <f>IF(A52="","",SUMIFS(Cmd_montant,Cmd_date,"&gt;="&amp;A52,Cmd_date,"&lt;="&amp;A52,Cmd_commercial,B52,Cmd_statut,"&lt;&gt;Annulée",Cmd_type,"&lt;&gt;Vente directe"))</f>
        <v/>
      </c>
      <c r="P52" s="40">
        <f>IF(A52="","",SUMIFS(Cmd_montant,Cmd_dateca,"&gt;="&amp;A52,Cmd_dateca,"&lt;="&amp;A52,Cmd_commercial,B52))</f>
        <v/>
      </c>
      <c r="Q52" s="40">
        <f>IF(A52="","",SUMIFS(Enc_montant,Enc_date,"&gt;="&amp;A52,Enc_date,"&lt;="&amp;A52,Enc_commercial,B52))</f>
        <v/>
      </c>
      <c r="R52" s="40">
        <f>IF(A52="","",SUMIFS(Stk_valeur,Stk_date,"&gt;="&amp;A52,Stk_date,"&lt;="&amp;A52,Stk_commercial,B52,Stk_mouvement,"Casse / avarie")+SUMIFS(Stk_valeur,Stk_date,"&gt;="&amp;A52,Stk_date,"&lt;="&amp;A52,Stk_commercial,B52,Stk_mouvement,"Perte / vol"))</f>
        <v/>
      </c>
      <c r="S52" s="36" t="n"/>
      <c r="T52" s="36" t="n"/>
      <c r="U52" s="36" t="n"/>
      <c r="V52" s="36" t="n"/>
    </row>
    <row r="53" ht="18" customHeight="1">
      <c r="A53" s="32" t="n"/>
      <c r="B53" s="33">
        <f>IF(A53="","",Commercial_Id)</f>
        <v/>
      </c>
      <c r="C53" s="34">
        <f>IF(A53="","",CHOOSE(WEEKDAY(A53,2),"Lundi","Mardi","Mercredi","Jeudi","Vendredi","Samedi","Dimanche"))</f>
        <v/>
      </c>
      <c r="D53" s="34">
        <f>IF(A53="","",YEAR(A53-WEEKDAY(A53,2)+4)&amp;"-S"&amp;TEXT(INT((A53-DATE(YEAR(A53-WEEKDAY(A53,2)+4),1,3)+WEEKDAY(DATE(YEAR(A53-WEEKDAY(A53,2)+4),1,3),2)+5)/7),"00"))</f>
        <v/>
      </c>
      <c r="E53" s="35" t="n"/>
      <c r="F53" s="35" t="n"/>
      <c r="G53" s="36" t="n"/>
      <c r="H53" s="37" t="n"/>
      <c r="I53" s="38">
        <f>IF(OR(E53="",F53=""),"",ROUND((F53-E53)*24,1))</f>
        <v/>
      </c>
      <c r="J53" s="39">
        <f>IF(A53="","",COUNTIFS(VC_date,"&gt;="&amp;A53,VC_date,"&lt;="&amp;A53,VC_commercial,B53,VC_type,"Visite sur place"))</f>
        <v/>
      </c>
      <c r="K53" s="39">
        <f>IF(A53="","",COUNTIFS(VC_date,"&gt;="&amp;A53,VC_date,"&lt;="&amp;A53,VC_commercial,B53,VC_type,"&lt;&gt;Visite sur place",VC_type,"&lt;&gt;"))</f>
        <v/>
      </c>
      <c r="L53" s="39">
        <f>IF(A53="","",COUNTIFS(Cl_creation,"&gt;="&amp;A53,Cl_creation,"&lt;="&amp;A53,Cl_commercial,B53))</f>
        <v/>
      </c>
      <c r="M53" s="39">
        <f>IF(A53="","",COUNTIFS(Cl_vente1,"&gt;="&amp;A53,Cl_vente1,"&lt;="&amp;A53,Cl_commercial,B53))</f>
        <v/>
      </c>
      <c r="N53" s="39">
        <f>IF(A53="","",SUMIFS(Cmd_premiere,Cmd_date,"&gt;="&amp;A53,Cmd_date,"&lt;="&amp;A53,Cmd_commercial,B53,Cmd_statut,"&lt;&gt;Annulée",Cmd_type,"&lt;&gt;Vente directe"))</f>
        <v/>
      </c>
      <c r="O53" s="40">
        <f>IF(A53="","",SUMIFS(Cmd_montant,Cmd_date,"&gt;="&amp;A53,Cmd_date,"&lt;="&amp;A53,Cmd_commercial,B53,Cmd_statut,"&lt;&gt;Annulée",Cmd_type,"&lt;&gt;Vente directe"))</f>
        <v/>
      </c>
      <c r="P53" s="40">
        <f>IF(A53="","",SUMIFS(Cmd_montant,Cmd_dateca,"&gt;="&amp;A53,Cmd_dateca,"&lt;="&amp;A53,Cmd_commercial,B53))</f>
        <v/>
      </c>
      <c r="Q53" s="40">
        <f>IF(A53="","",SUMIFS(Enc_montant,Enc_date,"&gt;="&amp;A53,Enc_date,"&lt;="&amp;A53,Enc_commercial,B53))</f>
        <v/>
      </c>
      <c r="R53" s="40">
        <f>IF(A53="","",SUMIFS(Stk_valeur,Stk_date,"&gt;="&amp;A53,Stk_date,"&lt;="&amp;A53,Stk_commercial,B53,Stk_mouvement,"Casse / avarie")+SUMIFS(Stk_valeur,Stk_date,"&gt;="&amp;A53,Stk_date,"&lt;="&amp;A53,Stk_commercial,B53,Stk_mouvement,"Perte / vol"))</f>
        <v/>
      </c>
      <c r="S53" s="36" t="n"/>
      <c r="T53" s="36" t="n"/>
      <c r="U53" s="36" t="n"/>
      <c r="V53" s="36" t="n"/>
    </row>
    <row r="54" ht="18" customHeight="1">
      <c r="A54" s="32" t="n"/>
      <c r="B54" s="33">
        <f>IF(A54="","",Commercial_Id)</f>
        <v/>
      </c>
      <c r="C54" s="34">
        <f>IF(A54="","",CHOOSE(WEEKDAY(A54,2),"Lundi","Mardi","Mercredi","Jeudi","Vendredi","Samedi","Dimanche"))</f>
        <v/>
      </c>
      <c r="D54" s="34">
        <f>IF(A54="","",YEAR(A54-WEEKDAY(A54,2)+4)&amp;"-S"&amp;TEXT(INT((A54-DATE(YEAR(A54-WEEKDAY(A54,2)+4),1,3)+WEEKDAY(DATE(YEAR(A54-WEEKDAY(A54,2)+4),1,3),2)+5)/7),"00"))</f>
        <v/>
      </c>
      <c r="E54" s="35" t="n"/>
      <c r="F54" s="35" t="n"/>
      <c r="G54" s="36" t="n"/>
      <c r="H54" s="37" t="n"/>
      <c r="I54" s="38">
        <f>IF(OR(E54="",F54=""),"",ROUND((F54-E54)*24,1))</f>
        <v/>
      </c>
      <c r="J54" s="39">
        <f>IF(A54="","",COUNTIFS(VC_date,"&gt;="&amp;A54,VC_date,"&lt;="&amp;A54,VC_commercial,B54,VC_type,"Visite sur place"))</f>
        <v/>
      </c>
      <c r="K54" s="39">
        <f>IF(A54="","",COUNTIFS(VC_date,"&gt;="&amp;A54,VC_date,"&lt;="&amp;A54,VC_commercial,B54,VC_type,"&lt;&gt;Visite sur place",VC_type,"&lt;&gt;"))</f>
        <v/>
      </c>
      <c r="L54" s="39">
        <f>IF(A54="","",COUNTIFS(Cl_creation,"&gt;="&amp;A54,Cl_creation,"&lt;="&amp;A54,Cl_commercial,B54))</f>
        <v/>
      </c>
      <c r="M54" s="39">
        <f>IF(A54="","",COUNTIFS(Cl_vente1,"&gt;="&amp;A54,Cl_vente1,"&lt;="&amp;A54,Cl_commercial,B54))</f>
        <v/>
      </c>
      <c r="N54" s="39">
        <f>IF(A54="","",SUMIFS(Cmd_premiere,Cmd_date,"&gt;="&amp;A54,Cmd_date,"&lt;="&amp;A54,Cmd_commercial,B54,Cmd_statut,"&lt;&gt;Annulée",Cmd_type,"&lt;&gt;Vente directe"))</f>
        <v/>
      </c>
      <c r="O54" s="40">
        <f>IF(A54="","",SUMIFS(Cmd_montant,Cmd_date,"&gt;="&amp;A54,Cmd_date,"&lt;="&amp;A54,Cmd_commercial,B54,Cmd_statut,"&lt;&gt;Annulée",Cmd_type,"&lt;&gt;Vente directe"))</f>
        <v/>
      </c>
      <c r="P54" s="40">
        <f>IF(A54="","",SUMIFS(Cmd_montant,Cmd_dateca,"&gt;="&amp;A54,Cmd_dateca,"&lt;="&amp;A54,Cmd_commercial,B54))</f>
        <v/>
      </c>
      <c r="Q54" s="40">
        <f>IF(A54="","",SUMIFS(Enc_montant,Enc_date,"&gt;="&amp;A54,Enc_date,"&lt;="&amp;A54,Enc_commercial,B54))</f>
        <v/>
      </c>
      <c r="R54" s="40">
        <f>IF(A54="","",SUMIFS(Stk_valeur,Stk_date,"&gt;="&amp;A54,Stk_date,"&lt;="&amp;A54,Stk_commercial,B54,Stk_mouvement,"Casse / avarie")+SUMIFS(Stk_valeur,Stk_date,"&gt;="&amp;A54,Stk_date,"&lt;="&amp;A54,Stk_commercial,B54,Stk_mouvement,"Perte / vol"))</f>
        <v/>
      </c>
      <c r="S54" s="36" t="n"/>
      <c r="T54" s="36" t="n"/>
      <c r="U54" s="36" t="n"/>
      <c r="V54" s="36" t="n"/>
    </row>
    <row r="55" ht="18" customHeight="1">
      <c r="A55" s="32" t="n"/>
      <c r="B55" s="33">
        <f>IF(A55="","",Commercial_Id)</f>
        <v/>
      </c>
      <c r="C55" s="34">
        <f>IF(A55="","",CHOOSE(WEEKDAY(A55,2),"Lundi","Mardi","Mercredi","Jeudi","Vendredi","Samedi","Dimanche"))</f>
        <v/>
      </c>
      <c r="D55" s="34">
        <f>IF(A55="","",YEAR(A55-WEEKDAY(A55,2)+4)&amp;"-S"&amp;TEXT(INT((A55-DATE(YEAR(A55-WEEKDAY(A55,2)+4),1,3)+WEEKDAY(DATE(YEAR(A55-WEEKDAY(A55,2)+4),1,3),2)+5)/7),"00"))</f>
        <v/>
      </c>
      <c r="E55" s="35" t="n"/>
      <c r="F55" s="35" t="n"/>
      <c r="G55" s="36" t="n"/>
      <c r="H55" s="37" t="n"/>
      <c r="I55" s="38">
        <f>IF(OR(E55="",F55=""),"",ROUND((F55-E55)*24,1))</f>
        <v/>
      </c>
      <c r="J55" s="39">
        <f>IF(A55="","",COUNTIFS(VC_date,"&gt;="&amp;A55,VC_date,"&lt;="&amp;A55,VC_commercial,B55,VC_type,"Visite sur place"))</f>
        <v/>
      </c>
      <c r="K55" s="39">
        <f>IF(A55="","",COUNTIFS(VC_date,"&gt;="&amp;A55,VC_date,"&lt;="&amp;A55,VC_commercial,B55,VC_type,"&lt;&gt;Visite sur place",VC_type,"&lt;&gt;"))</f>
        <v/>
      </c>
      <c r="L55" s="39">
        <f>IF(A55="","",COUNTIFS(Cl_creation,"&gt;="&amp;A55,Cl_creation,"&lt;="&amp;A55,Cl_commercial,B55))</f>
        <v/>
      </c>
      <c r="M55" s="39">
        <f>IF(A55="","",COUNTIFS(Cl_vente1,"&gt;="&amp;A55,Cl_vente1,"&lt;="&amp;A55,Cl_commercial,B55))</f>
        <v/>
      </c>
      <c r="N55" s="39">
        <f>IF(A55="","",SUMIFS(Cmd_premiere,Cmd_date,"&gt;="&amp;A55,Cmd_date,"&lt;="&amp;A55,Cmd_commercial,B55,Cmd_statut,"&lt;&gt;Annulée",Cmd_type,"&lt;&gt;Vente directe"))</f>
        <v/>
      </c>
      <c r="O55" s="40">
        <f>IF(A55="","",SUMIFS(Cmd_montant,Cmd_date,"&gt;="&amp;A55,Cmd_date,"&lt;="&amp;A55,Cmd_commercial,B55,Cmd_statut,"&lt;&gt;Annulée",Cmd_type,"&lt;&gt;Vente directe"))</f>
        <v/>
      </c>
      <c r="P55" s="40">
        <f>IF(A55="","",SUMIFS(Cmd_montant,Cmd_dateca,"&gt;="&amp;A55,Cmd_dateca,"&lt;="&amp;A55,Cmd_commercial,B55))</f>
        <v/>
      </c>
      <c r="Q55" s="40">
        <f>IF(A55="","",SUMIFS(Enc_montant,Enc_date,"&gt;="&amp;A55,Enc_date,"&lt;="&amp;A55,Enc_commercial,B55))</f>
        <v/>
      </c>
      <c r="R55" s="40">
        <f>IF(A55="","",SUMIFS(Stk_valeur,Stk_date,"&gt;="&amp;A55,Stk_date,"&lt;="&amp;A55,Stk_commercial,B55,Stk_mouvement,"Casse / avarie")+SUMIFS(Stk_valeur,Stk_date,"&gt;="&amp;A55,Stk_date,"&lt;="&amp;A55,Stk_commercial,B55,Stk_mouvement,"Perte / vol"))</f>
        <v/>
      </c>
      <c r="S55" s="36" t="n"/>
      <c r="T55" s="36" t="n"/>
      <c r="U55" s="36" t="n"/>
      <c r="V55" s="36" t="n"/>
    </row>
    <row r="56" ht="18" customHeight="1">
      <c r="A56" s="32" t="n"/>
      <c r="B56" s="33">
        <f>IF(A56="","",Commercial_Id)</f>
        <v/>
      </c>
      <c r="C56" s="34">
        <f>IF(A56="","",CHOOSE(WEEKDAY(A56,2),"Lundi","Mardi","Mercredi","Jeudi","Vendredi","Samedi","Dimanche"))</f>
        <v/>
      </c>
      <c r="D56" s="34">
        <f>IF(A56="","",YEAR(A56-WEEKDAY(A56,2)+4)&amp;"-S"&amp;TEXT(INT((A56-DATE(YEAR(A56-WEEKDAY(A56,2)+4),1,3)+WEEKDAY(DATE(YEAR(A56-WEEKDAY(A56,2)+4),1,3),2)+5)/7),"00"))</f>
        <v/>
      </c>
      <c r="E56" s="35" t="n"/>
      <c r="F56" s="35" t="n"/>
      <c r="G56" s="36" t="n"/>
      <c r="H56" s="37" t="n"/>
      <c r="I56" s="38">
        <f>IF(OR(E56="",F56=""),"",ROUND((F56-E56)*24,1))</f>
        <v/>
      </c>
      <c r="J56" s="39">
        <f>IF(A56="","",COUNTIFS(VC_date,"&gt;="&amp;A56,VC_date,"&lt;="&amp;A56,VC_commercial,B56,VC_type,"Visite sur place"))</f>
        <v/>
      </c>
      <c r="K56" s="39">
        <f>IF(A56="","",COUNTIFS(VC_date,"&gt;="&amp;A56,VC_date,"&lt;="&amp;A56,VC_commercial,B56,VC_type,"&lt;&gt;Visite sur place",VC_type,"&lt;&gt;"))</f>
        <v/>
      </c>
      <c r="L56" s="39">
        <f>IF(A56="","",COUNTIFS(Cl_creation,"&gt;="&amp;A56,Cl_creation,"&lt;="&amp;A56,Cl_commercial,B56))</f>
        <v/>
      </c>
      <c r="M56" s="39">
        <f>IF(A56="","",COUNTIFS(Cl_vente1,"&gt;="&amp;A56,Cl_vente1,"&lt;="&amp;A56,Cl_commercial,B56))</f>
        <v/>
      </c>
      <c r="N56" s="39">
        <f>IF(A56="","",SUMIFS(Cmd_premiere,Cmd_date,"&gt;="&amp;A56,Cmd_date,"&lt;="&amp;A56,Cmd_commercial,B56,Cmd_statut,"&lt;&gt;Annulée",Cmd_type,"&lt;&gt;Vente directe"))</f>
        <v/>
      </c>
      <c r="O56" s="40">
        <f>IF(A56="","",SUMIFS(Cmd_montant,Cmd_date,"&gt;="&amp;A56,Cmd_date,"&lt;="&amp;A56,Cmd_commercial,B56,Cmd_statut,"&lt;&gt;Annulée",Cmd_type,"&lt;&gt;Vente directe"))</f>
        <v/>
      </c>
      <c r="P56" s="40">
        <f>IF(A56="","",SUMIFS(Cmd_montant,Cmd_dateca,"&gt;="&amp;A56,Cmd_dateca,"&lt;="&amp;A56,Cmd_commercial,B56))</f>
        <v/>
      </c>
      <c r="Q56" s="40">
        <f>IF(A56="","",SUMIFS(Enc_montant,Enc_date,"&gt;="&amp;A56,Enc_date,"&lt;="&amp;A56,Enc_commercial,B56))</f>
        <v/>
      </c>
      <c r="R56" s="40">
        <f>IF(A56="","",SUMIFS(Stk_valeur,Stk_date,"&gt;="&amp;A56,Stk_date,"&lt;="&amp;A56,Stk_commercial,B56,Stk_mouvement,"Casse / avarie")+SUMIFS(Stk_valeur,Stk_date,"&gt;="&amp;A56,Stk_date,"&lt;="&amp;A56,Stk_commercial,B56,Stk_mouvement,"Perte / vol"))</f>
        <v/>
      </c>
      <c r="S56" s="36" t="n"/>
      <c r="T56" s="36" t="n"/>
      <c r="U56" s="36" t="n"/>
      <c r="V56" s="36" t="n"/>
    </row>
    <row r="57" ht="18" customHeight="1">
      <c r="A57" s="32" t="n"/>
      <c r="B57" s="33">
        <f>IF(A57="","",Commercial_Id)</f>
        <v/>
      </c>
      <c r="C57" s="34">
        <f>IF(A57="","",CHOOSE(WEEKDAY(A57,2),"Lundi","Mardi","Mercredi","Jeudi","Vendredi","Samedi","Dimanche"))</f>
        <v/>
      </c>
      <c r="D57" s="34">
        <f>IF(A57="","",YEAR(A57-WEEKDAY(A57,2)+4)&amp;"-S"&amp;TEXT(INT((A57-DATE(YEAR(A57-WEEKDAY(A57,2)+4),1,3)+WEEKDAY(DATE(YEAR(A57-WEEKDAY(A57,2)+4),1,3),2)+5)/7),"00"))</f>
        <v/>
      </c>
      <c r="E57" s="35" t="n"/>
      <c r="F57" s="35" t="n"/>
      <c r="G57" s="36" t="n"/>
      <c r="H57" s="37" t="n"/>
      <c r="I57" s="38">
        <f>IF(OR(E57="",F57=""),"",ROUND((F57-E57)*24,1))</f>
        <v/>
      </c>
      <c r="J57" s="39">
        <f>IF(A57="","",COUNTIFS(VC_date,"&gt;="&amp;A57,VC_date,"&lt;="&amp;A57,VC_commercial,B57,VC_type,"Visite sur place"))</f>
        <v/>
      </c>
      <c r="K57" s="39">
        <f>IF(A57="","",COUNTIFS(VC_date,"&gt;="&amp;A57,VC_date,"&lt;="&amp;A57,VC_commercial,B57,VC_type,"&lt;&gt;Visite sur place",VC_type,"&lt;&gt;"))</f>
        <v/>
      </c>
      <c r="L57" s="39">
        <f>IF(A57="","",COUNTIFS(Cl_creation,"&gt;="&amp;A57,Cl_creation,"&lt;="&amp;A57,Cl_commercial,B57))</f>
        <v/>
      </c>
      <c r="M57" s="39">
        <f>IF(A57="","",COUNTIFS(Cl_vente1,"&gt;="&amp;A57,Cl_vente1,"&lt;="&amp;A57,Cl_commercial,B57))</f>
        <v/>
      </c>
      <c r="N57" s="39">
        <f>IF(A57="","",SUMIFS(Cmd_premiere,Cmd_date,"&gt;="&amp;A57,Cmd_date,"&lt;="&amp;A57,Cmd_commercial,B57,Cmd_statut,"&lt;&gt;Annulée",Cmd_type,"&lt;&gt;Vente directe"))</f>
        <v/>
      </c>
      <c r="O57" s="40">
        <f>IF(A57="","",SUMIFS(Cmd_montant,Cmd_date,"&gt;="&amp;A57,Cmd_date,"&lt;="&amp;A57,Cmd_commercial,B57,Cmd_statut,"&lt;&gt;Annulée",Cmd_type,"&lt;&gt;Vente directe"))</f>
        <v/>
      </c>
      <c r="P57" s="40">
        <f>IF(A57="","",SUMIFS(Cmd_montant,Cmd_dateca,"&gt;="&amp;A57,Cmd_dateca,"&lt;="&amp;A57,Cmd_commercial,B57))</f>
        <v/>
      </c>
      <c r="Q57" s="40">
        <f>IF(A57="","",SUMIFS(Enc_montant,Enc_date,"&gt;="&amp;A57,Enc_date,"&lt;="&amp;A57,Enc_commercial,B57))</f>
        <v/>
      </c>
      <c r="R57" s="40">
        <f>IF(A57="","",SUMIFS(Stk_valeur,Stk_date,"&gt;="&amp;A57,Stk_date,"&lt;="&amp;A57,Stk_commercial,B57,Stk_mouvement,"Casse / avarie")+SUMIFS(Stk_valeur,Stk_date,"&gt;="&amp;A57,Stk_date,"&lt;="&amp;A57,Stk_commercial,B57,Stk_mouvement,"Perte / vol"))</f>
        <v/>
      </c>
      <c r="S57" s="36" t="n"/>
      <c r="T57" s="36" t="n"/>
      <c r="U57" s="36" t="n"/>
      <c r="V57" s="36" t="n"/>
    </row>
    <row r="58" ht="18" customHeight="1">
      <c r="A58" s="32" t="n"/>
      <c r="B58" s="33">
        <f>IF(A58="","",Commercial_Id)</f>
        <v/>
      </c>
      <c r="C58" s="34">
        <f>IF(A58="","",CHOOSE(WEEKDAY(A58,2),"Lundi","Mardi","Mercredi","Jeudi","Vendredi","Samedi","Dimanche"))</f>
        <v/>
      </c>
      <c r="D58" s="34">
        <f>IF(A58="","",YEAR(A58-WEEKDAY(A58,2)+4)&amp;"-S"&amp;TEXT(INT((A58-DATE(YEAR(A58-WEEKDAY(A58,2)+4),1,3)+WEEKDAY(DATE(YEAR(A58-WEEKDAY(A58,2)+4),1,3),2)+5)/7),"00"))</f>
        <v/>
      </c>
      <c r="E58" s="35" t="n"/>
      <c r="F58" s="35" t="n"/>
      <c r="G58" s="36" t="n"/>
      <c r="H58" s="37" t="n"/>
      <c r="I58" s="38">
        <f>IF(OR(E58="",F58=""),"",ROUND((F58-E58)*24,1))</f>
        <v/>
      </c>
      <c r="J58" s="39">
        <f>IF(A58="","",COUNTIFS(VC_date,"&gt;="&amp;A58,VC_date,"&lt;="&amp;A58,VC_commercial,B58,VC_type,"Visite sur place"))</f>
        <v/>
      </c>
      <c r="K58" s="39">
        <f>IF(A58="","",COUNTIFS(VC_date,"&gt;="&amp;A58,VC_date,"&lt;="&amp;A58,VC_commercial,B58,VC_type,"&lt;&gt;Visite sur place",VC_type,"&lt;&gt;"))</f>
        <v/>
      </c>
      <c r="L58" s="39">
        <f>IF(A58="","",COUNTIFS(Cl_creation,"&gt;="&amp;A58,Cl_creation,"&lt;="&amp;A58,Cl_commercial,B58))</f>
        <v/>
      </c>
      <c r="M58" s="39">
        <f>IF(A58="","",COUNTIFS(Cl_vente1,"&gt;="&amp;A58,Cl_vente1,"&lt;="&amp;A58,Cl_commercial,B58))</f>
        <v/>
      </c>
      <c r="N58" s="39">
        <f>IF(A58="","",SUMIFS(Cmd_premiere,Cmd_date,"&gt;="&amp;A58,Cmd_date,"&lt;="&amp;A58,Cmd_commercial,B58,Cmd_statut,"&lt;&gt;Annulée",Cmd_type,"&lt;&gt;Vente directe"))</f>
        <v/>
      </c>
      <c r="O58" s="40">
        <f>IF(A58="","",SUMIFS(Cmd_montant,Cmd_date,"&gt;="&amp;A58,Cmd_date,"&lt;="&amp;A58,Cmd_commercial,B58,Cmd_statut,"&lt;&gt;Annulée",Cmd_type,"&lt;&gt;Vente directe"))</f>
        <v/>
      </c>
      <c r="P58" s="40">
        <f>IF(A58="","",SUMIFS(Cmd_montant,Cmd_dateca,"&gt;="&amp;A58,Cmd_dateca,"&lt;="&amp;A58,Cmd_commercial,B58))</f>
        <v/>
      </c>
      <c r="Q58" s="40">
        <f>IF(A58="","",SUMIFS(Enc_montant,Enc_date,"&gt;="&amp;A58,Enc_date,"&lt;="&amp;A58,Enc_commercial,B58))</f>
        <v/>
      </c>
      <c r="R58" s="40">
        <f>IF(A58="","",SUMIFS(Stk_valeur,Stk_date,"&gt;="&amp;A58,Stk_date,"&lt;="&amp;A58,Stk_commercial,B58,Stk_mouvement,"Casse / avarie")+SUMIFS(Stk_valeur,Stk_date,"&gt;="&amp;A58,Stk_date,"&lt;="&amp;A58,Stk_commercial,B58,Stk_mouvement,"Perte / vol"))</f>
        <v/>
      </c>
      <c r="S58" s="36" t="n"/>
      <c r="T58" s="36" t="n"/>
      <c r="U58" s="36" t="n"/>
      <c r="V58" s="36" t="n"/>
    </row>
    <row r="59" ht="18" customHeight="1">
      <c r="A59" s="32" t="n"/>
      <c r="B59" s="33">
        <f>IF(A59="","",Commercial_Id)</f>
        <v/>
      </c>
      <c r="C59" s="34">
        <f>IF(A59="","",CHOOSE(WEEKDAY(A59,2),"Lundi","Mardi","Mercredi","Jeudi","Vendredi","Samedi","Dimanche"))</f>
        <v/>
      </c>
      <c r="D59" s="34">
        <f>IF(A59="","",YEAR(A59-WEEKDAY(A59,2)+4)&amp;"-S"&amp;TEXT(INT((A59-DATE(YEAR(A59-WEEKDAY(A59,2)+4),1,3)+WEEKDAY(DATE(YEAR(A59-WEEKDAY(A59,2)+4),1,3),2)+5)/7),"00"))</f>
        <v/>
      </c>
      <c r="E59" s="35" t="n"/>
      <c r="F59" s="35" t="n"/>
      <c r="G59" s="36" t="n"/>
      <c r="H59" s="37" t="n"/>
      <c r="I59" s="38">
        <f>IF(OR(E59="",F59=""),"",ROUND((F59-E59)*24,1))</f>
        <v/>
      </c>
      <c r="J59" s="39">
        <f>IF(A59="","",COUNTIFS(VC_date,"&gt;="&amp;A59,VC_date,"&lt;="&amp;A59,VC_commercial,B59,VC_type,"Visite sur place"))</f>
        <v/>
      </c>
      <c r="K59" s="39">
        <f>IF(A59="","",COUNTIFS(VC_date,"&gt;="&amp;A59,VC_date,"&lt;="&amp;A59,VC_commercial,B59,VC_type,"&lt;&gt;Visite sur place",VC_type,"&lt;&gt;"))</f>
        <v/>
      </c>
      <c r="L59" s="39">
        <f>IF(A59="","",COUNTIFS(Cl_creation,"&gt;="&amp;A59,Cl_creation,"&lt;="&amp;A59,Cl_commercial,B59))</f>
        <v/>
      </c>
      <c r="M59" s="39">
        <f>IF(A59="","",COUNTIFS(Cl_vente1,"&gt;="&amp;A59,Cl_vente1,"&lt;="&amp;A59,Cl_commercial,B59))</f>
        <v/>
      </c>
      <c r="N59" s="39">
        <f>IF(A59="","",SUMIFS(Cmd_premiere,Cmd_date,"&gt;="&amp;A59,Cmd_date,"&lt;="&amp;A59,Cmd_commercial,B59,Cmd_statut,"&lt;&gt;Annulée",Cmd_type,"&lt;&gt;Vente directe"))</f>
        <v/>
      </c>
      <c r="O59" s="40">
        <f>IF(A59="","",SUMIFS(Cmd_montant,Cmd_date,"&gt;="&amp;A59,Cmd_date,"&lt;="&amp;A59,Cmd_commercial,B59,Cmd_statut,"&lt;&gt;Annulée",Cmd_type,"&lt;&gt;Vente directe"))</f>
        <v/>
      </c>
      <c r="P59" s="40">
        <f>IF(A59="","",SUMIFS(Cmd_montant,Cmd_dateca,"&gt;="&amp;A59,Cmd_dateca,"&lt;="&amp;A59,Cmd_commercial,B59))</f>
        <v/>
      </c>
      <c r="Q59" s="40">
        <f>IF(A59="","",SUMIFS(Enc_montant,Enc_date,"&gt;="&amp;A59,Enc_date,"&lt;="&amp;A59,Enc_commercial,B59))</f>
        <v/>
      </c>
      <c r="R59" s="40">
        <f>IF(A59="","",SUMIFS(Stk_valeur,Stk_date,"&gt;="&amp;A59,Stk_date,"&lt;="&amp;A59,Stk_commercial,B59,Stk_mouvement,"Casse / avarie")+SUMIFS(Stk_valeur,Stk_date,"&gt;="&amp;A59,Stk_date,"&lt;="&amp;A59,Stk_commercial,B59,Stk_mouvement,"Perte / vol"))</f>
        <v/>
      </c>
      <c r="S59" s="36" t="n"/>
      <c r="T59" s="36" t="n"/>
      <c r="U59" s="36" t="n"/>
      <c r="V59" s="36" t="n"/>
    </row>
    <row r="60" ht="18" customHeight="1">
      <c r="A60" s="32" t="n"/>
      <c r="B60" s="33">
        <f>IF(A60="","",Commercial_Id)</f>
        <v/>
      </c>
      <c r="C60" s="34">
        <f>IF(A60="","",CHOOSE(WEEKDAY(A60,2),"Lundi","Mardi","Mercredi","Jeudi","Vendredi","Samedi","Dimanche"))</f>
        <v/>
      </c>
      <c r="D60" s="34">
        <f>IF(A60="","",YEAR(A60-WEEKDAY(A60,2)+4)&amp;"-S"&amp;TEXT(INT((A60-DATE(YEAR(A60-WEEKDAY(A60,2)+4),1,3)+WEEKDAY(DATE(YEAR(A60-WEEKDAY(A60,2)+4),1,3),2)+5)/7),"00"))</f>
        <v/>
      </c>
      <c r="E60" s="35" t="n"/>
      <c r="F60" s="35" t="n"/>
      <c r="G60" s="36" t="n"/>
      <c r="H60" s="37" t="n"/>
      <c r="I60" s="38">
        <f>IF(OR(E60="",F60=""),"",ROUND((F60-E60)*24,1))</f>
        <v/>
      </c>
      <c r="J60" s="39">
        <f>IF(A60="","",COUNTIFS(VC_date,"&gt;="&amp;A60,VC_date,"&lt;="&amp;A60,VC_commercial,B60,VC_type,"Visite sur place"))</f>
        <v/>
      </c>
      <c r="K60" s="39">
        <f>IF(A60="","",COUNTIFS(VC_date,"&gt;="&amp;A60,VC_date,"&lt;="&amp;A60,VC_commercial,B60,VC_type,"&lt;&gt;Visite sur place",VC_type,"&lt;&gt;"))</f>
        <v/>
      </c>
      <c r="L60" s="39">
        <f>IF(A60="","",COUNTIFS(Cl_creation,"&gt;="&amp;A60,Cl_creation,"&lt;="&amp;A60,Cl_commercial,B60))</f>
        <v/>
      </c>
      <c r="M60" s="39">
        <f>IF(A60="","",COUNTIFS(Cl_vente1,"&gt;="&amp;A60,Cl_vente1,"&lt;="&amp;A60,Cl_commercial,B60))</f>
        <v/>
      </c>
      <c r="N60" s="39">
        <f>IF(A60="","",SUMIFS(Cmd_premiere,Cmd_date,"&gt;="&amp;A60,Cmd_date,"&lt;="&amp;A60,Cmd_commercial,B60,Cmd_statut,"&lt;&gt;Annulée",Cmd_type,"&lt;&gt;Vente directe"))</f>
        <v/>
      </c>
      <c r="O60" s="40">
        <f>IF(A60="","",SUMIFS(Cmd_montant,Cmd_date,"&gt;="&amp;A60,Cmd_date,"&lt;="&amp;A60,Cmd_commercial,B60,Cmd_statut,"&lt;&gt;Annulée",Cmd_type,"&lt;&gt;Vente directe"))</f>
        <v/>
      </c>
      <c r="P60" s="40">
        <f>IF(A60="","",SUMIFS(Cmd_montant,Cmd_dateca,"&gt;="&amp;A60,Cmd_dateca,"&lt;="&amp;A60,Cmd_commercial,B60))</f>
        <v/>
      </c>
      <c r="Q60" s="40">
        <f>IF(A60="","",SUMIFS(Enc_montant,Enc_date,"&gt;="&amp;A60,Enc_date,"&lt;="&amp;A60,Enc_commercial,B60))</f>
        <v/>
      </c>
      <c r="R60" s="40">
        <f>IF(A60="","",SUMIFS(Stk_valeur,Stk_date,"&gt;="&amp;A60,Stk_date,"&lt;="&amp;A60,Stk_commercial,B60,Stk_mouvement,"Casse / avarie")+SUMIFS(Stk_valeur,Stk_date,"&gt;="&amp;A60,Stk_date,"&lt;="&amp;A60,Stk_commercial,B60,Stk_mouvement,"Perte / vol"))</f>
        <v/>
      </c>
      <c r="S60" s="36" t="n"/>
      <c r="T60" s="36" t="n"/>
      <c r="U60" s="36" t="n"/>
      <c r="V60" s="36" t="n"/>
    </row>
    <row r="61" ht="18" customHeight="1">
      <c r="A61" s="32" t="n"/>
      <c r="B61" s="33">
        <f>IF(A61="","",Commercial_Id)</f>
        <v/>
      </c>
      <c r="C61" s="34">
        <f>IF(A61="","",CHOOSE(WEEKDAY(A61,2),"Lundi","Mardi","Mercredi","Jeudi","Vendredi","Samedi","Dimanche"))</f>
        <v/>
      </c>
      <c r="D61" s="34">
        <f>IF(A61="","",YEAR(A61-WEEKDAY(A61,2)+4)&amp;"-S"&amp;TEXT(INT((A61-DATE(YEAR(A61-WEEKDAY(A61,2)+4),1,3)+WEEKDAY(DATE(YEAR(A61-WEEKDAY(A61,2)+4),1,3),2)+5)/7),"00"))</f>
        <v/>
      </c>
      <c r="E61" s="35" t="n"/>
      <c r="F61" s="35" t="n"/>
      <c r="G61" s="36" t="n"/>
      <c r="H61" s="37" t="n"/>
      <c r="I61" s="38">
        <f>IF(OR(E61="",F61=""),"",ROUND((F61-E61)*24,1))</f>
        <v/>
      </c>
      <c r="J61" s="39">
        <f>IF(A61="","",COUNTIFS(VC_date,"&gt;="&amp;A61,VC_date,"&lt;="&amp;A61,VC_commercial,B61,VC_type,"Visite sur place"))</f>
        <v/>
      </c>
      <c r="K61" s="39">
        <f>IF(A61="","",COUNTIFS(VC_date,"&gt;="&amp;A61,VC_date,"&lt;="&amp;A61,VC_commercial,B61,VC_type,"&lt;&gt;Visite sur place",VC_type,"&lt;&gt;"))</f>
        <v/>
      </c>
      <c r="L61" s="39">
        <f>IF(A61="","",COUNTIFS(Cl_creation,"&gt;="&amp;A61,Cl_creation,"&lt;="&amp;A61,Cl_commercial,B61))</f>
        <v/>
      </c>
      <c r="M61" s="39">
        <f>IF(A61="","",COUNTIFS(Cl_vente1,"&gt;="&amp;A61,Cl_vente1,"&lt;="&amp;A61,Cl_commercial,B61))</f>
        <v/>
      </c>
      <c r="N61" s="39">
        <f>IF(A61="","",SUMIFS(Cmd_premiere,Cmd_date,"&gt;="&amp;A61,Cmd_date,"&lt;="&amp;A61,Cmd_commercial,B61,Cmd_statut,"&lt;&gt;Annulée",Cmd_type,"&lt;&gt;Vente directe"))</f>
        <v/>
      </c>
      <c r="O61" s="40">
        <f>IF(A61="","",SUMIFS(Cmd_montant,Cmd_date,"&gt;="&amp;A61,Cmd_date,"&lt;="&amp;A61,Cmd_commercial,B61,Cmd_statut,"&lt;&gt;Annulée",Cmd_type,"&lt;&gt;Vente directe"))</f>
        <v/>
      </c>
      <c r="P61" s="40">
        <f>IF(A61="","",SUMIFS(Cmd_montant,Cmd_dateca,"&gt;="&amp;A61,Cmd_dateca,"&lt;="&amp;A61,Cmd_commercial,B61))</f>
        <v/>
      </c>
      <c r="Q61" s="40">
        <f>IF(A61="","",SUMIFS(Enc_montant,Enc_date,"&gt;="&amp;A61,Enc_date,"&lt;="&amp;A61,Enc_commercial,B61))</f>
        <v/>
      </c>
      <c r="R61" s="40">
        <f>IF(A61="","",SUMIFS(Stk_valeur,Stk_date,"&gt;="&amp;A61,Stk_date,"&lt;="&amp;A61,Stk_commercial,B61,Stk_mouvement,"Casse / avarie")+SUMIFS(Stk_valeur,Stk_date,"&gt;="&amp;A61,Stk_date,"&lt;="&amp;A61,Stk_commercial,B61,Stk_mouvement,"Perte / vol"))</f>
        <v/>
      </c>
      <c r="S61" s="36" t="n"/>
      <c r="T61" s="36" t="n"/>
      <c r="U61" s="36" t="n"/>
      <c r="V61" s="36" t="n"/>
    </row>
    <row r="62" ht="18" customHeight="1">
      <c r="A62" s="32" t="n"/>
      <c r="B62" s="33">
        <f>IF(A62="","",Commercial_Id)</f>
        <v/>
      </c>
      <c r="C62" s="34">
        <f>IF(A62="","",CHOOSE(WEEKDAY(A62,2),"Lundi","Mardi","Mercredi","Jeudi","Vendredi","Samedi","Dimanche"))</f>
        <v/>
      </c>
      <c r="D62" s="34">
        <f>IF(A62="","",YEAR(A62-WEEKDAY(A62,2)+4)&amp;"-S"&amp;TEXT(INT((A62-DATE(YEAR(A62-WEEKDAY(A62,2)+4),1,3)+WEEKDAY(DATE(YEAR(A62-WEEKDAY(A62,2)+4),1,3),2)+5)/7),"00"))</f>
        <v/>
      </c>
      <c r="E62" s="35" t="n"/>
      <c r="F62" s="35" t="n"/>
      <c r="G62" s="36" t="n"/>
      <c r="H62" s="37" t="n"/>
      <c r="I62" s="38">
        <f>IF(OR(E62="",F62=""),"",ROUND((F62-E62)*24,1))</f>
        <v/>
      </c>
      <c r="J62" s="39">
        <f>IF(A62="","",COUNTIFS(VC_date,"&gt;="&amp;A62,VC_date,"&lt;="&amp;A62,VC_commercial,B62,VC_type,"Visite sur place"))</f>
        <v/>
      </c>
      <c r="K62" s="39">
        <f>IF(A62="","",COUNTIFS(VC_date,"&gt;="&amp;A62,VC_date,"&lt;="&amp;A62,VC_commercial,B62,VC_type,"&lt;&gt;Visite sur place",VC_type,"&lt;&gt;"))</f>
        <v/>
      </c>
      <c r="L62" s="39">
        <f>IF(A62="","",COUNTIFS(Cl_creation,"&gt;="&amp;A62,Cl_creation,"&lt;="&amp;A62,Cl_commercial,B62))</f>
        <v/>
      </c>
      <c r="M62" s="39">
        <f>IF(A62="","",COUNTIFS(Cl_vente1,"&gt;="&amp;A62,Cl_vente1,"&lt;="&amp;A62,Cl_commercial,B62))</f>
        <v/>
      </c>
      <c r="N62" s="39">
        <f>IF(A62="","",SUMIFS(Cmd_premiere,Cmd_date,"&gt;="&amp;A62,Cmd_date,"&lt;="&amp;A62,Cmd_commercial,B62,Cmd_statut,"&lt;&gt;Annulée",Cmd_type,"&lt;&gt;Vente directe"))</f>
        <v/>
      </c>
      <c r="O62" s="40">
        <f>IF(A62="","",SUMIFS(Cmd_montant,Cmd_date,"&gt;="&amp;A62,Cmd_date,"&lt;="&amp;A62,Cmd_commercial,B62,Cmd_statut,"&lt;&gt;Annulée",Cmd_type,"&lt;&gt;Vente directe"))</f>
        <v/>
      </c>
      <c r="P62" s="40">
        <f>IF(A62="","",SUMIFS(Cmd_montant,Cmd_dateca,"&gt;="&amp;A62,Cmd_dateca,"&lt;="&amp;A62,Cmd_commercial,B62))</f>
        <v/>
      </c>
      <c r="Q62" s="40">
        <f>IF(A62="","",SUMIFS(Enc_montant,Enc_date,"&gt;="&amp;A62,Enc_date,"&lt;="&amp;A62,Enc_commercial,B62))</f>
        <v/>
      </c>
      <c r="R62" s="40">
        <f>IF(A62="","",SUMIFS(Stk_valeur,Stk_date,"&gt;="&amp;A62,Stk_date,"&lt;="&amp;A62,Stk_commercial,B62,Stk_mouvement,"Casse / avarie")+SUMIFS(Stk_valeur,Stk_date,"&gt;="&amp;A62,Stk_date,"&lt;="&amp;A62,Stk_commercial,B62,Stk_mouvement,"Perte / vol"))</f>
        <v/>
      </c>
      <c r="S62" s="36" t="n"/>
      <c r="T62" s="36" t="n"/>
      <c r="U62" s="36" t="n"/>
      <c r="V62" s="36" t="n"/>
    </row>
    <row r="63" ht="18" customHeight="1">
      <c r="A63" s="32" t="n"/>
      <c r="B63" s="33">
        <f>IF(A63="","",Commercial_Id)</f>
        <v/>
      </c>
      <c r="C63" s="34">
        <f>IF(A63="","",CHOOSE(WEEKDAY(A63,2),"Lundi","Mardi","Mercredi","Jeudi","Vendredi","Samedi","Dimanche"))</f>
        <v/>
      </c>
      <c r="D63" s="34">
        <f>IF(A63="","",YEAR(A63-WEEKDAY(A63,2)+4)&amp;"-S"&amp;TEXT(INT((A63-DATE(YEAR(A63-WEEKDAY(A63,2)+4),1,3)+WEEKDAY(DATE(YEAR(A63-WEEKDAY(A63,2)+4),1,3),2)+5)/7),"00"))</f>
        <v/>
      </c>
      <c r="E63" s="35" t="n"/>
      <c r="F63" s="35" t="n"/>
      <c r="G63" s="36" t="n"/>
      <c r="H63" s="37" t="n"/>
      <c r="I63" s="38">
        <f>IF(OR(E63="",F63=""),"",ROUND((F63-E63)*24,1))</f>
        <v/>
      </c>
      <c r="J63" s="39">
        <f>IF(A63="","",COUNTIFS(VC_date,"&gt;="&amp;A63,VC_date,"&lt;="&amp;A63,VC_commercial,B63,VC_type,"Visite sur place"))</f>
        <v/>
      </c>
      <c r="K63" s="39">
        <f>IF(A63="","",COUNTIFS(VC_date,"&gt;="&amp;A63,VC_date,"&lt;="&amp;A63,VC_commercial,B63,VC_type,"&lt;&gt;Visite sur place",VC_type,"&lt;&gt;"))</f>
        <v/>
      </c>
      <c r="L63" s="39">
        <f>IF(A63="","",COUNTIFS(Cl_creation,"&gt;="&amp;A63,Cl_creation,"&lt;="&amp;A63,Cl_commercial,B63))</f>
        <v/>
      </c>
      <c r="M63" s="39">
        <f>IF(A63="","",COUNTIFS(Cl_vente1,"&gt;="&amp;A63,Cl_vente1,"&lt;="&amp;A63,Cl_commercial,B63))</f>
        <v/>
      </c>
      <c r="N63" s="39">
        <f>IF(A63="","",SUMIFS(Cmd_premiere,Cmd_date,"&gt;="&amp;A63,Cmd_date,"&lt;="&amp;A63,Cmd_commercial,B63,Cmd_statut,"&lt;&gt;Annulée",Cmd_type,"&lt;&gt;Vente directe"))</f>
        <v/>
      </c>
      <c r="O63" s="40">
        <f>IF(A63="","",SUMIFS(Cmd_montant,Cmd_date,"&gt;="&amp;A63,Cmd_date,"&lt;="&amp;A63,Cmd_commercial,B63,Cmd_statut,"&lt;&gt;Annulée",Cmd_type,"&lt;&gt;Vente directe"))</f>
        <v/>
      </c>
      <c r="P63" s="40">
        <f>IF(A63="","",SUMIFS(Cmd_montant,Cmd_dateca,"&gt;="&amp;A63,Cmd_dateca,"&lt;="&amp;A63,Cmd_commercial,B63))</f>
        <v/>
      </c>
      <c r="Q63" s="40">
        <f>IF(A63="","",SUMIFS(Enc_montant,Enc_date,"&gt;="&amp;A63,Enc_date,"&lt;="&amp;A63,Enc_commercial,B63))</f>
        <v/>
      </c>
      <c r="R63" s="40">
        <f>IF(A63="","",SUMIFS(Stk_valeur,Stk_date,"&gt;="&amp;A63,Stk_date,"&lt;="&amp;A63,Stk_commercial,B63,Stk_mouvement,"Casse / avarie")+SUMIFS(Stk_valeur,Stk_date,"&gt;="&amp;A63,Stk_date,"&lt;="&amp;A63,Stk_commercial,B63,Stk_mouvement,"Perte / vol"))</f>
        <v/>
      </c>
      <c r="S63" s="36" t="n"/>
      <c r="T63" s="36" t="n"/>
      <c r="U63" s="36" t="n"/>
      <c r="V63" s="36" t="n"/>
    </row>
    <row r="64" ht="18" customHeight="1">
      <c r="A64" s="32" t="n"/>
      <c r="B64" s="33">
        <f>IF(A64="","",Commercial_Id)</f>
        <v/>
      </c>
      <c r="C64" s="34">
        <f>IF(A64="","",CHOOSE(WEEKDAY(A64,2),"Lundi","Mardi","Mercredi","Jeudi","Vendredi","Samedi","Dimanche"))</f>
        <v/>
      </c>
      <c r="D64" s="34">
        <f>IF(A64="","",YEAR(A64-WEEKDAY(A64,2)+4)&amp;"-S"&amp;TEXT(INT((A64-DATE(YEAR(A64-WEEKDAY(A64,2)+4),1,3)+WEEKDAY(DATE(YEAR(A64-WEEKDAY(A64,2)+4),1,3),2)+5)/7),"00"))</f>
        <v/>
      </c>
      <c r="E64" s="35" t="n"/>
      <c r="F64" s="35" t="n"/>
      <c r="G64" s="36" t="n"/>
      <c r="H64" s="37" t="n"/>
      <c r="I64" s="38">
        <f>IF(OR(E64="",F64=""),"",ROUND((F64-E64)*24,1))</f>
        <v/>
      </c>
      <c r="J64" s="39">
        <f>IF(A64="","",COUNTIFS(VC_date,"&gt;="&amp;A64,VC_date,"&lt;="&amp;A64,VC_commercial,B64,VC_type,"Visite sur place"))</f>
        <v/>
      </c>
      <c r="K64" s="39">
        <f>IF(A64="","",COUNTIFS(VC_date,"&gt;="&amp;A64,VC_date,"&lt;="&amp;A64,VC_commercial,B64,VC_type,"&lt;&gt;Visite sur place",VC_type,"&lt;&gt;"))</f>
        <v/>
      </c>
      <c r="L64" s="39">
        <f>IF(A64="","",COUNTIFS(Cl_creation,"&gt;="&amp;A64,Cl_creation,"&lt;="&amp;A64,Cl_commercial,B64))</f>
        <v/>
      </c>
      <c r="M64" s="39">
        <f>IF(A64="","",COUNTIFS(Cl_vente1,"&gt;="&amp;A64,Cl_vente1,"&lt;="&amp;A64,Cl_commercial,B64))</f>
        <v/>
      </c>
      <c r="N64" s="39">
        <f>IF(A64="","",SUMIFS(Cmd_premiere,Cmd_date,"&gt;="&amp;A64,Cmd_date,"&lt;="&amp;A64,Cmd_commercial,B64,Cmd_statut,"&lt;&gt;Annulée",Cmd_type,"&lt;&gt;Vente directe"))</f>
        <v/>
      </c>
      <c r="O64" s="40">
        <f>IF(A64="","",SUMIFS(Cmd_montant,Cmd_date,"&gt;="&amp;A64,Cmd_date,"&lt;="&amp;A64,Cmd_commercial,B64,Cmd_statut,"&lt;&gt;Annulée",Cmd_type,"&lt;&gt;Vente directe"))</f>
        <v/>
      </c>
      <c r="P64" s="40">
        <f>IF(A64="","",SUMIFS(Cmd_montant,Cmd_dateca,"&gt;="&amp;A64,Cmd_dateca,"&lt;="&amp;A64,Cmd_commercial,B64))</f>
        <v/>
      </c>
      <c r="Q64" s="40">
        <f>IF(A64="","",SUMIFS(Enc_montant,Enc_date,"&gt;="&amp;A64,Enc_date,"&lt;="&amp;A64,Enc_commercial,B64))</f>
        <v/>
      </c>
      <c r="R64" s="40">
        <f>IF(A64="","",SUMIFS(Stk_valeur,Stk_date,"&gt;="&amp;A64,Stk_date,"&lt;="&amp;A64,Stk_commercial,B64,Stk_mouvement,"Casse / avarie")+SUMIFS(Stk_valeur,Stk_date,"&gt;="&amp;A64,Stk_date,"&lt;="&amp;A64,Stk_commercial,B64,Stk_mouvement,"Perte / vol"))</f>
        <v/>
      </c>
      <c r="S64" s="36" t="n"/>
      <c r="T64" s="36" t="n"/>
      <c r="U64" s="36" t="n"/>
      <c r="V64" s="36" t="n"/>
    </row>
    <row r="65" ht="18" customHeight="1">
      <c r="A65" s="32" t="n"/>
      <c r="B65" s="33">
        <f>IF(A65="","",Commercial_Id)</f>
        <v/>
      </c>
      <c r="C65" s="34">
        <f>IF(A65="","",CHOOSE(WEEKDAY(A65,2),"Lundi","Mardi","Mercredi","Jeudi","Vendredi","Samedi","Dimanche"))</f>
        <v/>
      </c>
      <c r="D65" s="34">
        <f>IF(A65="","",YEAR(A65-WEEKDAY(A65,2)+4)&amp;"-S"&amp;TEXT(INT((A65-DATE(YEAR(A65-WEEKDAY(A65,2)+4),1,3)+WEEKDAY(DATE(YEAR(A65-WEEKDAY(A65,2)+4),1,3),2)+5)/7),"00"))</f>
        <v/>
      </c>
      <c r="E65" s="35" t="n"/>
      <c r="F65" s="35" t="n"/>
      <c r="G65" s="36" t="n"/>
      <c r="H65" s="37" t="n"/>
      <c r="I65" s="38">
        <f>IF(OR(E65="",F65=""),"",ROUND((F65-E65)*24,1))</f>
        <v/>
      </c>
      <c r="J65" s="39">
        <f>IF(A65="","",COUNTIFS(VC_date,"&gt;="&amp;A65,VC_date,"&lt;="&amp;A65,VC_commercial,B65,VC_type,"Visite sur place"))</f>
        <v/>
      </c>
      <c r="K65" s="39">
        <f>IF(A65="","",COUNTIFS(VC_date,"&gt;="&amp;A65,VC_date,"&lt;="&amp;A65,VC_commercial,B65,VC_type,"&lt;&gt;Visite sur place",VC_type,"&lt;&gt;"))</f>
        <v/>
      </c>
      <c r="L65" s="39">
        <f>IF(A65="","",COUNTIFS(Cl_creation,"&gt;="&amp;A65,Cl_creation,"&lt;="&amp;A65,Cl_commercial,B65))</f>
        <v/>
      </c>
      <c r="M65" s="39">
        <f>IF(A65="","",COUNTIFS(Cl_vente1,"&gt;="&amp;A65,Cl_vente1,"&lt;="&amp;A65,Cl_commercial,B65))</f>
        <v/>
      </c>
      <c r="N65" s="39">
        <f>IF(A65="","",SUMIFS(Cmd_premiere,Cmd_date,"&gt;="&amp;A65,Cmd_date,"&lt;="&amp;A65,Cmd_commercial,B65,Cmd_statut,"&lt;&gt;Annulée",Cmd_type,"&lt;&gt;Vente directe"))</f>
        <v/>
      </c>
      <c r="O65" s="40">
        <f>IF(A65="","",SUMIFS(Cmd_montant,Cmd_date,"&gt;="&amp;A65,Cmd_date,"&lt;="&amp;A65,Cmd_commercial,B65,Cmd_statut,"&lt;&gt;Annulée",Cmd_type,"&lt;&gt;Vente directe"))</f>
        <v/>
      </c>
      <c r="P65" s="40">
        <f>IF(A65="","",SUMIFS(Cmd_montant,Cmd_dateca,"&gt;="&amp;A65,Cmd_dateca,"&lt;="&amp;A65,Cmd_commercial,B65))</f>
        <v/>
      </c>
      <c r="Q65" s="40">
        <f>IF(A65="","",SUMIFS(Enc_montant,Enc_date,"&gt;="&amp;A65,Enc_date,"&lt;="&amp;A65,Enc_commercial,B65))</f>
        <v/>
      </c>
      <c r="R65" s="40">
        <f>IF(A65="","",SUMIFS(Stk_valeur,Stk_date,"&gt;="&amp;A65,Stk_date,"&lt;="&amp;A65,Stk_commercial,B65,Stk_mouvement,"Casse / avarie")+SUMIFS(Stk_valeur,Stk_date,"&gt;="&amp;A65,Stk_date,"&lt;="&amp;A65,Stk_commercial,B65,Stk_mouvement,"Perte / vol"))</f>
        <v/>
      </c>
      <c r="S65" s="36" t="n"/>
      <c r="T65" s="36" t="n"/>
      <c r="U65" s="36" t="n"/>
      <c r="V65" s="36" t="n"/>
    </row>
    <row r="66" ht="18" customHeight="1">
      <c r="A66" s="32" t="n"/>
      <c r="B66" s="33">
        <f>IF(A66="","",Commercial_Id)</f>
        <v/>
      </c>
      <c r="C66" s="34">
        <f>IF(A66="","",CHOOSE(WEEKDAY(A66,2),"Lundi","Mardi","Mercredi","Jeudi","Vendredi","Samedi","Dimanche"))</f>
        <v/>
      </c>
      <c r="D66" s="34">
        <f>IF(A66="","",YEAR(A66-WEEKDAY(A66,2)+4)&amp;"-S"&amp;TEXT(INT((A66-DATE(YEAR(A66-WEEKDAY(A66,2)+4),1,3)+WEEKDAY(DATE(YEAR(A66-WEEKDAY(A66,2)+4),1,3),2)+5)/7),"00"))</f>
        <v/>
      </c>
      <c r="E66" s="35" t="n"/>
      <c r="F66" s="35" t="n"/>
      <c r="G66" s="36" t="n"/>
      <c r="H66" s="37" t="n"/>
      <c r="I66" s="38">
        <f>IF(OR(E66="",F66=""),"",ROUND((F66-E66)*24,1))</f>
        <v/>
      </c>
      <c r="J66" s="39">
        <f>IF(A66="","",COUNTIFS(VC_date,"&gt;="&amp;A66,VC_date,"&lt;="&amp;A66,VC_commercial,B66,VC_type,"Visite sur place"))</f>
        <v/>
      </c>
      <c r="K66" s="39">
        <f>IF(A66="","",COUNTIFS(VC_date,"&gt;="&amp;A66,VC_date,"&lt;="&amp;A66,VC_commercial,B66,VC_type,"&lt;&gt;Visite sur place",VC_type,"&lt;&gt;"))</f>
        <v/>
      </c>
      <c r="L66" s="39">
        <f>IF(A66="","",COUNTIFS(Cl_creation,"&gt;="&amp;A66,Cl_creation,"&lt;="&amp;A66,Cl_commercial,B66))</f>
        <v/>
      </c>
      <c r="M66" s="39">
        <f>IF(A66="","",COUNTIFS(Cl_vente1,"&gt;="&amp;A66,Cl_vente1,"&lt;="&amp;A66,Cl_commercial,B66))</f>
        <v/>
      </c>
      <c r="N66" s="39">
        <f>IF(A66="","",SUMIFS(Cmd_premiere,Cmd_date,"&gt;="&amp;A66,Cmd_date,"&lt;="&amp;A66,Cmd_commercial,B66,Cmd_statut,"&lt;&gt;Annulée",Cmd_type,"&lt;&gt;Vente directe"))</f>
        <v/>
      </c>
      <c r="O66" s="40">
        <f>IF(A66="","",SUMIFS(Cmd_montant,Cmd_date,"&gt;="&amp;A66,Cmd_date,"&lt;="&amp;A66,Cmd_commercial,B66,Cmd_statut,"&lt;&gt;Annulée",Cmd_type,"&lt;&gt;Vente directe"))</f>
        <v/>
      </c>
      <c r="P66" s="40">
        <f>IF(A66="","",SUMIFS(Cmd_montant,Cmd_dateca,"&gt;="&amp;A66,Cmd_dateca,"&lt;="&amp;A66,Cmd_commercial,B66))</f>
        <v/>
      </c>
      <c r="Q66" s="40">
        <f>IF(A66="","",SUMIFS(Enc_montant,Enc_date,"&gt;="&amp;A66,Enc_date,"&lt;="&amp;A66,Enc_commercial,B66))</f>
        <v/>
      </c>
      <c r="R66" s="40">
        <f>IF(A66="","",SUMIFS(Stk_valeur,Stk_date,"&gt;="&amp;A66,Stk_date,"&lt;="&amp;A66,Stk_commercial,B66,Stk_mouvement,"Casse / avarie")+SUMIFS(Stk_valeur,Stk_date,"&gt;="&amp;A66,Stk_date,"&lt;="&amp;A66,Stk_commercial,B66,Stk_mouvement,"Perte / vol"))</f>
        <v/>
      </c>
      <c r="S66" s="36" t="n"/>
      <c r="T66" s="36" t="n"/>
      <c r="U66" s="36" t="n"/>
      <c r="V66" s="36" t="n"/>
    </row>
    <row r="67" ht="18" customHeight="1">
      <c r="A67" s="32" t="n"/>
      <c r="B67" s="33">
        <f>IF(A67="","",Commercial_Id)</f>
        <v/>
      </c>
      <c r="C67" s="34">
        <f>IF(A67="","",CHOOSE(WEEKDAY(A67,2),"Lundi","Mardi","Mercredi","Jeudi","Vendredi","Samedi","Dimanche"))</f>
        <v/>
      </c>
      <c r="D67" s="34">
        <f>IF(A67="","",YEAR(A67-WEEKDAY(A67,2)+4)&amp;"-S"&amp;TEXT(INT((A67-DATE(YEAR(A67-WEEKDAY(A67,2)+4),1,3)+WEEKDAY(DATE(YEAR(A67-WEEKDAY(A67,2)+4),1,3),2)+5)/7),"00"))</f>
        <v/>
      </c>
      <c r="E67" s="35" t="n"/>
      <c r="F67" s="35" t="n"/>
      <c r="G67" s="36" t="n"/>
      <c r="H67" s="37" t="n"/>
      <c r="I67" s="38">
        <f>IF(OR(E67="",F67=""),"",ROUND((F67-E67)*24,1))</f>
        <v/>
      </c>
      <c r="J67" s="39">
        <f>IF(A67="","",COUNTIFS(VC_date,"&gt;="&amp;A67,VC_date,"&lt;="&amp;A67,VC_commercial,B67,VC_type,"Visite sur place"))</f>
        <v/>
      </c>
      <c r="K67" s="39">
        <f>IF(A67="","",COUNTIFS(VC_date,"&gt;="&amp;A67,VC_date,"&lt;="&amp;A67,VC_commercial,B67,VC_type,"&lt;&gt;Visite sur place",VC_type,"&lt;&gt;"))</f>
        <v/>
      </c>
      <c r="L67" s="39">
        <f>IF(A67="","",COUNTIFS(Cl_creation,"&gt;="&amp;A67,Cl_creation,"&lt;="&amp;A67,Cl_commercial,B67))</f>
        <v/>
      </c>
      <c r="M67" s="39">
        <f>IF(A67="","",COUNTIFS(Cl_vente1,"&gt;="&amp;A67,Cl_vente1,"&lt;="&amp;A67,Cl_commercial,B67))</f>
        <v/>
      </c>
      <c r="N67" s="39">
        <f>IF(A67="","",SUMIFS(Cmd_premiere,Cmd_date,"&gt;="&amp;A67,Cmd_date,"&lt;="&amp;A67,Cmd_commercial,B67,Cmd_statut,"&lt;&gt;Annulée",Cmd_type,"&lt;&gt;Vente directe"))</f>
        <v/>
      </c>
      <c r="O67" s="40">
        <f>IF(A67="","",SUMIFS(Cmd_montant,Cmd_date,"&gt;="&amp;A67,Cmd_date,"&lt;="&amp;A67,Cmd_commercial,B67,Cmd_statut,"&lt;&gt;Annulée",Cmd_type,"&lt;&gt;Vente directe"))</f>
        <v/>
      </c>
      <c r="P67" s="40">
        <f>IF(A67="","",SUMIFS(Cmd_montant,Cmd_dateca,"&gt;="&amp;A67,Cmd_dateca,"&lt;="&amp;A67,Cmd_commercial,B67))</f>
        <v/>
      </c>
      <c r="Q67" s="40">
        <f>IF(A67="","",SUMIFS(Enc_montant,Enc_date,"&gt;="&amp;A67,Enc_date,"&lt;="&amp;A67,Enc_commercial,B67))</f>
        <v/>
      </c>
      <c r="R67" s="40">
        <f>IF(A67="","",SUMIFS(Stk_valeur,Stk_date,"&gt;="&amp;A67,Stk_date,"&lt;="&amp;A67,Stk_commercial,B67,Stk_mouvement,"Casse / avarie")+SUMIFS(Stk_valeur,Stk_date,"&gt;="&amp;A67,Stk_date,"&lt;="&amp;A67,Stk_commercial,B67,Stk_mouvement,"Perte / vol"))</f>
        <v/>
      </c>
      <c r="S67" s="36" t="n"/>
      <c r="T67" s="36" t="n"/>
      <c r="U67" s="36" t="n"/>
      <c r="V67" s="36" t="n"/>
    </row>
    <row r="68" ht="18" customHeight="1">
      <c r="A68" s="32" t="n"/>
      <c r="B68" s="33">
        <f>IF(A68="","",Commercial_Id)</f>
        <v/>
      </c>
      <c r="C68" s="34">
        <f>IF(A68="","",CHOOSE(WEEKDAY(A68,2),"Lundi","Mardi","Mercredi","Jeudi","Vendredi","Samedi","Dimanche"))</f>
        <v/>
      </c>
      <c r="D68" s="34">
        <f>IF(A68="","",YEAR(A68-WEEKDAY(A68,2)+4)&amp;"-S"&amp;TEXT(INT((A68-DATE(YEAR(A68-WEEKDAY(A68,2)+4),1,3)+WEEKDAY(DATE(YEAR(A68-WEEKDAY(A68,2)+4),1,3),2)+5)/7),"00"))</f>
        <v/>
      </c>
      <c r="E68" s="35" t="n"/>
      <c r="F68" s="35" t="n"/>
      <c r="G68" s="36" t="n"/>
      <c r="H68" s="37" t="n"/>
      <c r="I68" s="38">
        <f>IF(OR(E68="",F68=""),"",ROUND((F68-E68)*24,1))</f>
        <v/>
      </c>
      <c r="J68" s="39">
        <f>IF(A68="","",COUNTIFS(VC_date,"&gt;="&amp;A68,VC_date,"&lt;="&amp;A68,VC_commercial,B68,VC_type,"Visite sur place"))</f>
        <v/>
      </c>
      <c r="K68" s="39">
        <f>IF(A68="","",COUNTIFS(VC_date,"&gt;="&amp;A68,VC_date,"&lt;="&amp;A68,VC_commercial,B68,VC_type,"&lt;&gt;Visite sur place",VC_type,"&lt;&gt;"))</f>
        <v/>
      </c>
      <c r="L68" s="39">
        <f>IF(A68="","",COUNTIFS(Cl_creation,"&gt;="&amp;A68,Cl_creation,"&lt;="&amp;A68,Cl_commercial,B68))</f>
        <v/>
      </c>
      <c r="M68" s="39">
        <f>IF(A68="","",COUNTIFS(Cl_vente1,"&gt;="&amp;A68,Cl_vente1,"&lt;="&amp;A68,Cl_commercial,B68))</f>
        <v/>
      </c>
      <c r="N68" s="39">
        <f>IF(A68="","",SUMIFS(Cmd_premiere,Cmd_date,"&gt;="&amp;A68,Cmd_date,"&lt;="&amp;A68,Cmd_commercial,B68,Cmd_statut,"&lt;&gt;Annulée",Cmd_type,"&lt;&gt;Vente directe"))</f>
        <v/>
      </c>
      <c r="O68" s="40">
        <f>IF(A68="","",SUMIFS(Cmd_montant,Cmd_date,"&gt;="&amp;A68,Cmd_date,"&lt;="&amp;A68,Cmd_commercial,B68,Cmd_statut,"&lt;&gt;Annulée",Cmd_type,"&lt;&gt;Vente directe"))</f>
        <v/>
      </c>
      <c r="P68" s="40">
        <f>IF(A68="","",SUMIFS(Cmd_montant,Cmd_dateca,"&gt;="&amp;A68,Cmd_dateca,"&lt;="&amp;A68,Cmd_commercial,B68))</f>
        <v/>
      </c>
      <c r="Q68" s="40">
        <f>IF(A68="","",SUMIFS(Enc_montant,Enc_date,"&gt;="&amp;A68,Enc_date,"&lt;="&amp;A68,Enc_commercial,B68))</f>
        <v/>
      </c>
      <c r="R68" s="40">
        <f>IF(A68="","",SUMIFS(Stk_valeur,Stk_date,"&gt;="&amp;A68,Stk_date,"&lt;="&amp;A68,Stk_commercial,B68,Stk_mouvement,"Casse / avarie")+SUMIFS(Stk_valeur,Stk_date,"&gt;="&amp;A68,Stk_date,"&lt;="&amp;A68,Stk_commercial,B68,Stk_mouvement,"Perte / vol"))</f>
        <v/>
      </c>
      <c r="S68" s="36" t="n"/>
      <c r="T68" s="36" t="n"/>
      <c r="U68" s="36" t="n"/>
      <c r="V68" s="36" t="n"/>
    </row>
    <row r="69" ht="18" customHeight="1">
      <c r="A69" s="32" t="n"/>
      <c r="B69" s="33">
        <f>IF(A69="","",Commercial_Id)</f>
        <v/>
      </c>
      <c r="C69" s="34">
        <f>IF(A69="","",CHOOSE(WEEKDAY(A69,2),"Lundi","Mardi","Mercredi","Jeudi","Vendredi","Samedi","Dimanche"))</f>
        <v/>
      </c>
      <c r="D69" s="34">
        <f>IF(A69="","",YEAR(A69-WEEKDAY(A69,2)+4)&amp;"-S"&amp;TEXT(INT((A69-DATE(YEAR(A69-WEEKDAY(A69,2)+4),1,3)+WEEKDAY(DATE(YEAR(A69-WEEKDAY(A69,2)+4),1,3),2)+5)/7),"00"))</f>
        <v/>
      </c>
      <c r="E69" s="35" t="n"/>
      <c r="F69" s="35" t="n"/>
      <c r="G69" s="36" t="n"/>
      <c r="H69" s="37" t="n"/>
      <c r="I69" s="38">
        <f>IF(OR(E69="",F69=""),"",ROUND((F69-E69)*24,1))</f>
        <v/>
      </c>
      <c r="J69" s="39">
        <f>IF(A69="","",COUNTIFS(VC_date,"&gt;="&amp;A69,VC_date,"&lt;="&amp;A69,VC_commercial,B69,VC_type,"Visite sur place"))</f>
        <v/>
      </c>
      <c r="K69" s="39">
        <f>IF(A69="","",COUNTIFS(VC_date,"&gt;="&amp;A69,VC_date,"&lt;="&amp;A69,VC_commercial,B69,VC_type,"&lt;&gt;Visite sur place",VC_type,"&lt;&gt;"))</f>
        <v/>
      </c>
      <c r="L69" s="39">
        <f>IF(A69="","",COUNTIFS(Cl_creation,"&gt;="&amp;A69,Cl_creation,"&lt;="&amp;A69,Cl_commercial,B69))</f>
        <v/>
      </c>
      <c r="M69" s="39">
        <f>IF(A69="","",COUNTIFS(Cl_vente1,"&gt;="&amp;A69,Cl_vente1,"&lt;="&amp;A69,Cl_commercial,B69))</f>
        <v/>
      </c>
      <c r="N69" s="39">
        <f>IF(A69="","",SUMIFS(Cmd_premiere,Cmd_date,"&gt;="&amp;A69,Cmd_date,"&lt;="&amp;A69,Cmd_commercial,B69,Cmd_statut,"&lt;&gt;Annulée",Cmd_type,"&lt;&gt;Vente directe"))</f>
        <v/>
      </c>
      <c r="O69" s="40">
        <f>IF(A69="","",SUMIFS(Cmd_montant,Cmd_date,"&gt;="&amp;A69,Cmd_date,"&lt;="&amp;A69,Cmd_commercial,B69,Cmd_statut,"&lt;&gt;Annulée",Cmd_type,"&lt;&gt;Vente directe"))</f>
        <v/>
      </c>
      <c r="P69" s="40">
        <f>IF(A69="","",SUMIFS(Cmd_montant,Cmd_dateca,"&gt;="&amp;A69,Cmd_dateca,"&lt;="&amp;A69,Cmd_commercial,B69))</f>
        <v/>
      </c>
      <c r="Q69" s="40">
        <f>IF(A69="","",SUMIFS(Enc_montant,Enc_date,"&gt;="&amp;A69,Enc_date,"&lt;="&amp;A69,Enc_commercial,B69))</f>
        <v/>
      </c>
      <c r="R69" s="40">
        <f>IF(A69="","",SUMIFS(Stk_valeur,Stk_date,"&gt;="&amp;A69,Stk_date,"&lt;="&amp;A69,Stk_commercial,B69,Stk_mouvement,"Casse / avarie")+SUMIFS(Stk_valeur,Stk_date,"&gt;="&amp;A69,Stk_date,"&lt;="&amp;A69,Stk_commercial,B69,Stk_mouvement,"Perte / vol"))</f>
        <v/>
      </c>
      <c r="S69" s="36" t="n"/>
      <c r="T69" s="36" t="n"/>
      <c r="U69" s="36" t="n"/>
      <c r="V69" s="36" t="n"/>
    </row>
    <row r="70" ht="18" customHeight="1">
      <c r="A70" s="32" t="n"/>
      <c r="B70" s="33">
        <f>IF(A70="","",Commercial_Id)</f>
        <v/>
      </c>
      <c r="C70" s="34">
        <f>IF(A70="","",CHOOSE(WEEKDAY(A70,2),"Lundi","Mardi","Mercredi","Jeudi","Vendredi","Samedi","Dimanche"))</f>
        <v/>
      </c>
      <c r="D70" s="34">
        <f>IF(A70="","",YEAR(A70-WEEKDAY(A70,2)+4)&amp;"-S"&amp;TEXT(INT((A70-DATE(YEAR(A70-WEEKDAY(A70,2)+4),1,3)+WEEKDAY(DATE(YEAR(A70-WEEKDAY(A70,2)+4),1,3),2)+5)/7),"00"))</f>
        <v/>
      </c>
      <c r="E70" s="35" t="n"/>
      <c r="F70" s="35" t="n"/>
      <c r="G70" s="36" t="n"/>
      <c r="H70" s="37" t="n"/>
      <c r="I70" s="38">
        <f>IF(OR(E70="",F70=""),"",ROUND((F70-E70)*24,1))</f>
        <v/>
      </c>
      <c r="J70" s="39">
        <f>IF(A70="","",COUNTIFS(VC_date,"&gt;="&amp;A70,VC_date,"&lt;="&amp;A70,VC_commercial,B70,VC_type,"Visite sur place"))</f>
        <v/>
      </c>
      <c r="K70" s="39">
        <f>IF(A70="","",COUNTIFS(VC_date,"&gt;="&amp;A70,VC_date,"&lt;="&amp;A70,VC_commercial,B70,VC_type,"&lt;&gt;Visite sur place",VC_type,"&lt;&gt;"))</f>
        <v/>
      </c>
      <c r="L70" s="39">
        <f>IF(A70="","",COUNTIFS(Cl_creation,"&gt;="&amp;A70,Cl_creation,"&lt;="&amp;A70,Cl_commercial,B70))</f>
        <v/>
      </c>
      <c r="M70" s="39">
        <f>IF(A70="","",COUNTIFS(Cl_vente1,"&gt;="&amp;A70,Cl_vente1,"&lt;="&amp;A70,Cl_commercial,B70))</f>
        <v/>
      </c>
      <c r="N70" s="39">
        <f>IF(A70="","",SUMIFS(Cmd_premiere,Cmd_date,"&gt;="&amp;A70,Cmd_date,"&lt;="&amp;A70,Cmd_commercial,B70,Cmd_statut,"&lt;&gt;Annulée",Cmd_type,"&lt;&gt;Vente directe"))</f>
        <v/>
      </c>
      <c r="O70" s="40">
        <f>IF(A70="","",SUMIFS(Cmd_montant,Cmd_date,"&gt;="&amp;A70,Cmd_date,"&lt;="&amp;A70,Cmd_commercial,B70,Cmd_statut,"&lt;&gt;Annulée",Cmd_type,"&lt;&gt;Vente directe"))</f>
        <v/>
      </c>
      <c r="P70" s="40">
        <f>IF(A70="","",SUMIFS(Cmd_montant,Cmd_dateca,"&gt;="&amp;A70,Cmd_dateca,"&lt;="&amp;A70,Cmd_commercial,B70))</f>
        <v/>
      </c>
      <c r="Q70" s="40">
        <f>IF(A70="","",SUMIFS(Enc_montant,Enc_date,"&gt;="&amp;A70,Enc_date,"&lt;="&amp;A70,Enc_commercial,B70))</f>
        <v/>
      </c>
      <c r="R70" s="40">
        <f>IF(A70="","",SUMIFS(Stk_valeur,Stk_date,"&gt;="&amp;A70,Stk_date,"&lt;="&amp;A70,Stk_commercial,B70,Stk_mouvement,"Casse / avarie")+SUMIFS(Stk_valeur,Stk_date,"&gt;="&amp;A70,Stk_date,"&lt;="&amp;A70,Stk_commercial,B70,Stk_mouvement,"Perte / vol"))</f>
        <v/>
      </c>
      <c r="S70" s="36" t="n"/>
      <c r="T70" s="36" t="n"/>
      <c r="U70" s="36" t="n"/>
      <c r="V70" s="36" t="n"/>
    </row>
    <row r="71" ht="18" customHeight="1">
      <c r="A71" s="32" t="n"/>
      <c r="B71" s="33">
        <f>IF(A71="","",Commercial_Id)</f>
        <v/>
      </c>
      <c r="C71" s="34">
        <f>IF(A71="","",CHOOSE(WEEKDAY(A71,2),"Lundi","Mardi","Mercredi","Jeudi","Vendredi","Samedi","Dimanche"))</f>
        <v/>
      </c>
      <c r="D71" s="34">
        <f>IF(A71="","",YEAR(A71-WEEKDAY(A71,2)+4)&amp;"-S"&amp;TEXT(INT((A71-DATE(YEAR(A71-WEEKDAY(A71,2)+4),1,3)+WEEKDAY(DATE(YEAR(A71-WEEKDAY(A71,2)+4),1,3),2)+5)/7),"00"))</f>
        <v/>
      </c>
      <c r="E71" s="35" t="n"/>
      <c r="F71" s="35" t="n"/>
      <c r="G71" s="36" t="n"/>
      <c r="H71" s="37" t="n"/>
      <c r="I71" s="38">
        <f>IF(OR(E71="",F71=""),"",ROUND((F71-E71)*24,1))</f>
        <v/>
      </c>
      <c r="J71" s="39">
        <f>IF(A71="","",COUNTIFS(VC_date,"&gt;="&amp;A71,VC_date,"&lt;="&amp;A71,VC_commercial,B71,VC_type,"Visite sur place"))</f>
        <v/>
      </c>
      <c r="K71" s="39">
        <f>IF(A71="","",COUNTIFS(VC_date,"&gt;="&amp;A71,VC_date,"&lt;="&amp;A71,VC_commercial,B71,VC_type,"&lt;&gt;Visite sur place",VC_type,"&lt;&gt;"))</f>
        <v/>
      </c>
      <c r="L71" s="39">
        <f>IF(A71="","",COUNTIFS(Cl_creation,"&gt;="&amp;A71,Cl_creation,"&lt;="&amp;A71,Cl_commercial,B71))</f>
        <v/>
      </c>
      <c r="M71" s="39">
        <f>IF(A71="","",COUNTIFS(Cl_vente1,"&gt;="&amp;A71,Cl_vente1,"&lt;="&amp;A71,Cl_commercial,B71))</f>
        <v/>
      </c>
      <c r="N71" s="39">
        <f>IF(A71="","",SUMIFS(Cmd_premiere,Cmd_date,"&gt;="&amp;A71,Cmd_date,"&lt;="&amp;A71,Cmd_commercial,B71,Cmd_statut,"&lt;&gt;Annulée",Cmd_type,"&lt;&gt;Vente directe"))</f>
        <v/>
      </c>
      <c r="O71" s="40">
        <f>IF(A71="","",SUMIFS(Cmd_montant,Cmd_date,"&gt;="&amp;A71,Cmd_date,"&lt;="&amp;A71,Cmd_commercial,B71,Cmd_statut,"&lt;&gt;Annulée",Cmd_type,"&lt;&gt;Vente directe"))</f>
        <v/>
      </c>
      <c r="P71" s="40">
        <f>IF(A71="","",SUMIFS(Cmd_montant,Cmd_dateca,"&gt;="&amp;A71,Cmd_dateca,"&lt;="&amp;A71,Cmd_commercial,B71))</f>
        <v/>
      </c>
      <c r="Q71" s="40">
        <f>IF(A71="","",SUMIFS(Enc_montant,Enc_date,"&gt;="&amp;A71,Enc_date,"&lt;="&amp;A71,Enc_commercial,B71))</f>
        <v/>
      </c>
      <c r="R71" s="40">
        <f>IF(A71="","",SUMIFS(Stk_valeur,Stk_date,"&gt;="&amp;A71,Stk_date,"&lt;="&amp;A71,Stk_commercial,B71,Stk_mouvement,"Casse / avarie")+SUMIFS(Stk_valeur,Stk_date,"&gt;="&amp;A71,Stk_date,"&lt;="&amp;A71,Stk_commercial,B71,Stk_mouvement,"Perte / vol"))</f>
        <v/>
      </c>
      <c r="S71" s="36" t="n"/>
      <c r="T71" s="36" t="n"/>
      <c r="U71" s="36" t="n"/>
      <c r="V71" s="36" t="n"/>
    </row>
    <row r="72" ht="18" customHeight="1">
      <c r="A72" s="32" t="n"/>
      <c r="B72" s="33">
        <f>IF(A72="","",Commercial_Id)</f>
        <v/>
      </c>
      <c r="C72" s="34">
        <f>IF(A72="","",CHOOSE(WEEKDAY(A72,2),"Lundi","Mardi","Mercredi","Jeudi","Vendredi","Samedi","Dimanche"))</f>
        <v/>
      </c>
      <c r="D72" s="34">
        <f>IF(A72="","",YEAR(A72-WEEKDAY(A72,2)+4)&amp;"-S"&amp;TEXT(INT((A72-DATE(YEAR(A72-WEEKDAY(A72,2)+4),1,3)+WEEKDAY(DATE(YEAR(A72-WEEKDAY(A72,2)+4),1,3),2)+5)/7),"00"))</f>
        <v/>
      </c>
      <c r="E72" s="35" t="n"/>
      <c r="F72" s="35" t="n"/>
      <c r="G72" s="36" t="n"/>
      <c r="H72" s="37" t="n"/>
      <c r="I72" s="38">
        <f>IF(OR(E72="",F72=""),"",ROUND((F72-E72)*24,1))</f>
        <v/>
      </c>
      <c r="J72" s="39">
        <f>IF(A72="","",COUNTIFS(VC_date,"&gt;="&amp;A72,VC_date,"&lt;="&amp;A72,VC_commercial,B72,VC_type,"Visite sur place"))</f>
        <v/>
      </c>
      <c r="K72" s="39">
        <f>IF(A72="","",COUNTIFS(VC_date,"&gt;="&amp;A72,VC_date,"&lt;="&amp;A72,VC_commercial,B72,VC_type,"&lt;&gt;Visite sur place",VC_type,"&lt;&gt;"))</f>
        <v/>
      </c>
      <c r="L72" s="39">
        <f>IF(A72="","",COUNTIFS(Cl_creation,"&gt;="&amp;A72,Cl_creation,"&lt;="&amp;A72,Cl_commercial,B72))</f>
        <v/>
      </c>
      <c r="M72" s="39">
        <f>IF(A72="","",COUNTIFS(Cl_vente1,"&gt;="&amp;A72,Cl_vente1,"&lt;="&amp;A72,Cl_commercial,B72))</f>
        <v/>
      </c>
      <c r="N72" s="39">
        <f>IF(A72="","",SUMIFS(Cmd_premiere,Cmd_date,"&gt;="&amp;A72,Cmd_date,"&lt;="&amp;A72,Cmd_commercial,B72,Cmd_statut,"&lt;&gt;Annulée",Cmd_type,"&lt;&gt;Vente directe"))</f>
        <v/>
      </c>
      <c r="O72" s="40">
        <f>IF(A72="","",SUMIFS(Cmd_montant,Cmd_date,"&gt;="&amp;A72,Cmd_date,"&lt;="&amp;A72,Cmd_commercial,B72,Cmd_statut,"&lt;&gt;Annulée",Cmd_type,"&lt;&gt;Vente directe"))</f>
        <v/>
      </c>
      <c r="P72" s="40">
        <f>IF(A72="","",SUMIFS(Cmd_montant,Cmd_dateca,"&gt;="&amp;A72,Cmd_dateca,"&lt;="&amp;A72,Cmd_commercial,B72))</f>
        <v/>
      </c>
      <c r="Q72" s="40">
        <f>IF(A72="","",SUMIFS(Enc_montant,Enc_date,"&gt;="&amp;A72,Enc_date,"&lt;="&amp;A72,Enc_commercial,B72))</f>
        <v/>
      </c>
      <c r="R72" s="40">
        <f>IF(A72="","",SUMIFS(Stk_valeur,Stk_date,"&gt;="&amp;A72,Stk_date,"&lt;="&amp;A72,Stk_commercial,B72,Stk_mouvement,"Casse / avarie")+SUMIFS(Stk_valeur,Stk_date,"&gt;="&amp;A72,Stk_date,"&lt;="&amp;A72,Stk_commercial,B72,Stk_mouvement,"Perte / vol"))</f>
        <v/>
      </c>
      <c r="S72" s="36" t="n"/>
      <c r="T72" s="36" t="n"/>
      <c r="U72" s="36" t="n"/>
      <c r="V72" s="36" t="n"/>
    </row>
    <row r="73" ht="18" customHeight="1">
      <c r="A73" s="32" t="n"/>
      <c r="B73" s="33">
        <f>IF(A73="","",Commercial_Id)</f>
        <v/>
      </c>
      <c r="C73" s="34">
        <f>IF(A73="","",CHOOSE(WEEKDAY(A73,2),"Lundi","Mardi","Mercredi","Jeudi","Vendredi","Samedi","Dimanche"))</f>
        <v/>
      </c>
      <c r="D73" s="34">
        <f>IF(A73="","",YEAR(A73-WEEKDAY(A73,2)+4)&amp;"-S"&amp;TEXT(INT((A73-DATE(YEAR(A73-WEEKDAY(A73,2)+4),1,3)+WEEKDAY(DATE(YEAR(A73-WEEKDAY(A73,2)+4),1,3),2)+5)/7),"00"))</f>
        <v/>
      </c>
      <c r="E73" s="35" t="n"/>
      <c r="F73" s="35" t="n"/>
      <c r="G73" s="36" t="n"/>
      <c r="H73" s="37" t="n"/>
      <c r="I73" s="38">
        <f>IF(OR(E73="",F73=""),"",ROUND((F73-E73)*24,1))</f>
        <v/>
      </c>
      <c r="J73" s="39">
        <f>IF(A73="","",COUNTIFS(VC_date,"&gt;="&amp;A73,VC_date,"&lt;="&amp;A73,VC_commercial,B73,VC_type,"Visite sur place"))</f>
        <v/>
      </c>
      <c r="K73" s="39">
        <f>IF(A73="","",COUNTIFS(VC_date,"&gt;="&amp;A73,VC_date,"&lt;="&amp;A73,VC_commercial,B73,VC_type,"&lt;&gt;Visite sur place",VC_type,"&lt;&gt;"))</f>
        <v/>
      </c>
      <c r="L73" s="39">
        <f>IF(A73="","",COUNTIFS(Cl_creation,"&gt;="&amp;A73,Cl_creation,"&lt;="&amp;A73,Cl_commercial,B73))</f>
        <v/>
      </c>
      <c r="M73" s="39">
        <f>IF(A73="","",COUNTIFS(Cl_vente1,"&gt;="&amp;A73,Cl_vente1,"&lt;="&amp;A73,Cl_commercial,B73))</f>
        <v/>
      </c>
      <c r="N73" s="39">
        <f>IF(A73="","",SUMIFS(Cmd_premiere,Cmd_date,"&gt;="&amp;A73,Cmd_date,"&lt;="&amp;A73,Cmd_commercial,B73,Cmd_statut,"&lt;&gt;Annulée",Cmd_type,"&lt;&gt;Vente directe"))</f>
        <v/>
      </c>
      <c r="O73" s="40">
        <f>IF(A73="","",SUMIFS(Cmd_montant,Cmd_date,"&gt;="&amp;A73,Cmd_date,"&lt;="&amp;A73,Cmd_commercial,B73,Cmd_statut,"&lt;&gt;Annulée",Cmd_type,"&lt;&gt;Vente directe"))</f>
        <v/>
      </c>
      <c r="P73" s="40">
        <f>IF(A73="","",SUMIFS(Cmd_montant,Cmd_dateca,"&gt;="&amp;A73,Cmd_dateca,"&lt;="&amp;A73,Cmd_commercial,B73))</f>
        <v/>
      </c>
      <c r="Q73" s="40">
        <f>IF(A73="","",SUMIFS(Enc_montant,Enc_date,"&gt;="&amp;A73,Enc_date,"&lt;="&amp;A73,Enc_commercial,B73))</f>
        <v/>
      </c>
      <c r="R73" s="40">
        <f>IF(A73="","",SUMIFS(Stk_valeur,Stk_date,"&gt;="&amp;A73,Stk_date,"&lt;="&amp;A73,Stk_commercial,B73,Stk_mouvement,"Casse / avarie")+SUMIFS(Stk_valeur,Stk_date,"&gt;="&amp;A73,Stk_date,"&lt;="&amp;A73,Stk_commercial,B73,Stk_mouvement,"Perte / vol"))</f>
        <v/>
      </c>
      <c r="S73" s="36" t="n"/>
      <c r="T73" s="36" t="n"/>
      <c r="U73" s="36" t="n"/>
      <c r="V73" s="36" t="n"/>
    </row>
    <row r="74" ht="18" customHeight="1">
      <c r="A74" s="32" t="n"/>
      <c r="B74" s="33">
        <f>IF(A74="","",Commercial_Id)</f>
        <v/>
      </c>
      <c r="C74" s="34">
        <f>IF(A74="","",CHOOSE(WEEKDAY(A74,2),"Lundi","Mardi","Mercredi","Jeudi","Vendredi","Samedi","Dimanche"))</f>
        <v/>
      </c>
      <c r="D74" s="34">
        <f>IF(A74="","",YEAR(A74-WEEKDAY(A74,2)+4)&amp;"-S"&amp;TEXT(INT((A74-DATE(YEAR(A74-WEEKDAY(A74,2)+4),1,3)+WEEKDAY(DATE(YEAR(A74-WEEKDAY(A74,2)+4),1,3),2)+5)/7),"00"))</f>
        <v/>
      </c>
      <c r="E74" s="35" t="n"/>
      <c r="F74" s="35" t="n"/>
      <c r="G74" s="36" t="n"/>
      <c r="H74" s="37" t="n"/>
      <c r="I74" s="38">
        <f>IF(OR(E74="",F74=""),"",ROUND((F74-E74)*24,1))</f>
        <v/>
      </c>
      <c r="J74" s="39">
        <f>IF(A74="","",COUNTIFS(VC_date,"&gt;="&amp;A74,VC_date,"&lt;="&amp;A74,VC_commercial,B74,VC_type,"Visite sur place"))</f>
        <v/>
      </c>
      <c r="K74" s="39">
        <f>IF(A74="","",COUNTIFS(VC_date,"&gt;="&amp;A74,VC_date,"&lt;="&amp;A74,VC_commercial,B74,VC_type,"&lt;&gt;Visite sur place",VC_type,"&lt;&gt;"))</f>
        <v/>
      </c>
      <c r="L74" s="39">
        <f>IF(A74="","",COUNTIFS(Cl_creation,"&gt;="&amp;A74,Cl_creation,"&lt;="&amp;A74,Cl_commercial,B74))</f>
        <v/>
      </c>
      <c r="M74" s="39">
        <f>IF(A74="","",COUNTIFS(Cl_vente1,"&gt;="&amp;A74,Cl_vente1,"&lt;="&amp;A74,Cl_commercial,B74))</f>
        <v/>
      </c>
      <c r="N74" s="39">
        <f>IF(A74="","",SUMIFS(Cmd_premiere,Cmd_date,"&gt;="&amp;A74,Cmd_date,"&lt;="&amp;A74,Cmd_commercial,B74,Cmd_statut,"&lt;&gt;Annulée",Cmd_type,"&lt;&gt;Vente directe"))</f>
        <v/>
      </c>
      <c r="O74" s="40">
        <f>IF(A74="","",SUMIFS(Cmd_montant,Cmd_date,"&gt;="&amp;A74,Cmd_date,"&lt;="&amp;A74,Cmd_commercial,B74,Cmd_statut,"&lt;&gt;Annulée",Cmd_type,"&lt;&gt;Vente directe"))</f>
        <v/>
      </c>
      <c r="P74" s="40">
        <f>IF(A74="","",SUMIFS(Cmd_montant,Cmd_dateca,"&gt;="&amp;A74,Cmd_dateca,"&lt;="&amp;A74,Cmd_commercial,B74))</f>
        <v/>
      </c>
      <c r="Q74" s="40">
        <f>IF(A74="","",SUMIFS(Enc_montant,Enc_date,"&gt;="&amp;A74,Enc_date,"&lt;="&amp;A74,Enc_commercial,B74))</f>
        <v/>
      </c>
      <c r="R74" s="40">
        <f>IF(A74="","",SUMIFS(Stk_valeur,Stk_date,"&gt;="&amp;A74,Stk_date,"&lt;="&amp;A74,Stk_commercial,B74,Stk_mouvement,"Casse / avarie")+SUMIFS(Stk_valeur,Stk_date,"&gt;="&amp;A74,Stk_date,"&lt;="&amp;A74,Stk_commercial,B74,Stk_mouvement,"Perte / vol"))</f>
        <v/>
      </c>
      <c r="S74" s="36" t="n"/>
      <c r="T74" s="36" t="n"/>
      <c r="U74" s="36" t="n"/>
      <c r="V74" s="36" t="n"/>
    </row>
    <row r="75" ht="18" customHeight="1">
      <c r="A75" s="32" t="n"/>
      <c r="B75" s="33">
        <f>IF(A75="","",Commercial_Id)</f>
        <v/>
      </c>
      <c r="C75" s="34">
        <f>IF(A75="","",CHOOSE(WEEKDAY(A75,2),"Lundi","Mardi","Mercredi","Jeudi","Vendredi","Samedi","Dimanche"))</f>
        <v/>
      </c>
      <c r="D75" s="34">
        <f>IF(A75="","",YEAR(A75-WEEKDAY(A75,2)+4)&amp;"-S"&amp;TEXT(INT((A75-DATE(YEAR(A75-WEEKDAY(A75,2)+4),1,3)+WEEKDAY(DATE(YEAR(A75-WEEKDAY(A75,2)+4),1,3),2)+5)/7),"00"))</f>
        <v/>
      </c>
      <c r="E75" s="35" t="n"/>
      <c r="F75" s="35" t="n"/>
      <c r="G75" s="36" t="n"/>
      <c r="H75" s="37" t="n"/>
      <c r="I75" s="38">
        <f>IF(OR(E75="",F75=""),"",ROUND((F75-E75)*24,1))</f>
        <v/>
      </c>
      <c r="J75" s="39">
        <f>IF(A75="","",COUNTIFS(VC_date,"&gt;="&amp;A75,VC_date,"&lt;="&amp;A75,VC_commercial,B75,VC_type,"Visite sur place"))</f>
        <v/>
      </c>
      <c r="K75" s="39">
        <f>IF(A75="","",COUNTIFS(VC_date,"&gt;="&amp;A75,VC_date,"&lt;="&amp;A75,VC_commercial,B75,VC_type,"&lt;&gt;Visite sur place",VC_type,"&lt;&gt;"))</f>
        <v/>
      </c>
      <c r="L75" s="39">
        <f>IF(A75="","",COUNTIFS(Cl_creation,"&gt;="&amp;A75,Cl_creation,"&lt;="&amp;A75,Cl_commercial,B75))</f>
        <v/>
      </c>
      <c r="M75" s="39">
        <f>IF(A75="","",COUNTIFS(Cl_vente1,"&gt;="&amp;A75,Cl_vente1,"&lt;="&amp;A75,Cl_commercial,B75))</f>
        <v/>
      </c>
      <c r="N75" s="39">
        <f>IF(A75="","",SUMIFS(Cmd_premiere,Cmd_date,"&gt;="&amp;A75,Cmd_date,"&lt;="&amp;A75,Cmd_commercial,B75,Cmd_statut,"&lt;&gt;Annulée",Cmd_type,"&lt;&gt;Vente directe"))</f>
        <v/>
      </c>
      <c r="O75" s="40">
        <f>IF(A75="","",SUMIFS(Cmd_montant,Cmd_date,"&gt;="&amp;A75,Cmd_date,"&lt;="&amp;A75,Cmd_commercial,B75,Cmd_statut,"&lt;&gt;Annulée",Cmd_type,"&lt;&gt;Vente directe"))</f>
        <v/>
      </c>
      <c r="P75" s="40">
        <f>IF(A75="","",SUMIFS(Cmd_montant,Cmd_dateca,"&gt;="&amp;A75,Cmd_dateca,"&lt;="&amp;A75,Cmd_commercial,B75))</f>
        <v/>
      </c>
      <c r="Q75" s="40">
        <f>IF(A75="","",SUMIFS(Enc_montant,Enc_date,"&gt;="&amp;A75,Enc_date,"&lt;="&amp;A75,Enc_commercial,B75))</f>
        <v/>
      </c>
      <c r="R75" s="40">
        <f>IF(A75="","",SUMIFS(Stk_valeur,Stk_date,"&gt;="&amp;A75,Stk_date,"&lt;="&amp;A75,Stk_commercial,B75,Stk_mouvement,"Casse / avarie")+SUMIFS(Stk_valeur,Stk_date,"&gt;="&amp;A75,Stk_date,"&lt;="&amp;A75,Stk_commercial,B75,Stk_mouvement,"Perte / vol"))</f>
        <v/>
      </c>
      <c r="S75" s="36" t="n"/>
      <c r="T75" s="36" t="n"/>
      <c r="U75" s="36" t="n"/>
      <c r="V75" s="36" t="n"/>
    </row>
    <row r="76" ht="18" customHeight="1">
      <c r="A76" s="32" t="n"/>
      <c r="B76" s="33">
        <f>IF(A76="","",Commercial_Id)</f>
        <v/>
      </c>
      <c r="C76" s="34">
        <f>IF(A76="","",CHOOSE(WEEKDAY(A76,2),"Lundi","Mardi","Mercredi","Jeudi","Vendredi","Samedi","Dimanche"))</f>
        <v/>
      </c>
      <c r="D76" s="34">
        <f>IF(A76="","",YEAR(A76-WEEKDAY(A76,2)+4)&amp;"-S"&amp;TEXT(INT((A76-DATE(YEAR(A76-WEEKDAY(A76,2)+4),1,3)+WEEKDAY(DATE(YEAR(A76-WEEKDAY(A76,2)+4),1,3),2)+5)/7),"00"))</f>
        <v/>
      </c>
      <c r="E76" s="35" t="n"/>
      <c r="F76" s="35" t="n"/>
      <c r="G76" s="36" t="n"/>
      <c r="H76" s="37" t="n"/>
      <c r="I76" s="38">
        <f>IF(OR(E76="",F76=""),"",ROUND((F76-E76)*24,1))</f>
        <v/>
      </c>
      <c r="J76" s="39">
        <f>IF(A76="","",COUNTIFS(VC_date,"&gt;="&amp;A76,VC_date,"&lt;="&amp;A76,VC_commercial,B76,VC_type,"Visite sur place"))</f>
        <v/>
      </c>
      <c r="K76" s="39">
        <f>IF(A76="","",COUNTIFS(VC_date,"&gt;="&amp;A76,VC_date,"&lt;="&amp;A76,VC_commercial,B76,VC_type,"&lt;&gt;Visite sur place",VC_type,"&lt;&gt;"))</f>
        <v/>
      </c>
      <c r="L76" s="39">
        <f>IF(A76="","",COUNTIFS(Cl_creation,"&gt;="&amp;A76,Cl_creation,"&lt;="&amp;A76,Cl_commercial,B76))</f>
        <v/>
      </c>
      <c r="M76" s="39">
        <f>IF(A76="","",COUNTIFS(Cl_vente1,"&gt;="&amp;A76,Cl_vente1,"&lt;="&amp;A76,Cl_commercial,B76))</f>
        <v/>
      </c>
      <c r="N76" s="39">
        <f>IF(A76="","",SUMIFS(Cmd_premiere,Cmd_date,"&gt;="&amp;A76,Cmd_date,"&lt;="&amp;A76,Cmd_commercial,B76,Cmd_statut,"&lt;&gt;Annulée",Cmd_type,"&lt;&gt;Vente directe"))</f>
        <v/>
      </c>
      <c r="O76" s="40">
        <f>IF(A76="","",SUMIFS(Cmd_montant,Cmd_date,"&gt;="&amp;A76,Cmd_date,"&lt;="&amp;A76,Cmd_commercial,B76,Cmd_statut,"&lt;&gt;Annulée",Cmd_type,"&lt;&gt;Vente directe"))</f>
        <v/>
      </c>
      <c r="P76" s="40">
        <f>IF(A76="","",SUMIFS(Cmd_montant,Cmd_dateca,"&gt;="&amp;A76,Cmd_dateca,"&lt;="&amp;A76,Cmd_commercial,B76))</f>
        <v/>
      </c>
      <c r="Q76" s="40">
        <f>IF(A76="","",SUMIFS(Enc_montant,Enc_date,"&gt;="&amp;A76,Enc_date,"&lt;="&amp;A76,Enc_commercial,B76))</f>
        <v/>
      </c>
      <c r="R76" s="40">
        <f>IF(A76="","",SUMIFS(Stk_valeur,Stk_date,"&gt;="&amp;A76,Stk_date,"&lt;="&amp;A76,Stk_commercial,B76,Stk_mouvement,"Casse / avarie")+SUMIFS(Stk_valeur,Stk_date,"&gt;="&amp;A76,Stk_date,"&lt;="&amp;A76,Stk_commercial,B76,Stk_mouvement,"Perte / vol"))</f>
        <v/>
      </c>
      <c r="S76" s="36" t="n"/>
      <c r="T76" s="36" t="n"/>
      <c r="U76" s="36" t="n"/>
      <c r="V76" s="36" t="n"/>
    </row>
    <row r="77" ht="18" customHeight="1">
      <c r="A77" s="32" t="n"/>
      <c r="B77" s="33">
        <f>IF(A77="","",Commercial_Id)</f>
        <v/>
      </c>
      <c r="C77" s="34">
        <f>IF(A77="","",CHOOSE(WEEKDAY(A77,2),"Lundi","Mardi","Mercredi","Jeudi","Vendredi","Samedi","Dimanche"))</f>
        <v/>
      </c>
      <c r="D77" s="34">
        <f>IF(A77="","",YEAR(A77-WEEKDAY(A77,2)+4)&amp;"-S"&amp;TEXT(INT((A77-DATE(YEAR(A77-WEEKDAY(A77,2)+4),1,3)+WEEKDAY(DATE(YEAR(A77-WEEKDAY(A77,2)+4),1,3),2)+5)/7),"00"))</f>
        <v/>
      </c>
      <c r="E77" s="35" t="n"/>
      <c r="F77" s="35" t="n"/>
      <c r="G77" s="36" t="n"/>
      <c r="H77" s="37" t="n"/>
      <c r="I77" s="38">
        <f>IF(OR(E77="",F77=""),"",ROUND((F77-E77)*24,1))</f>
        <v/>
      </c>
      <c r="J77" s="39">
        <f>IF(A77="","",COUNTIFS(VC_date,"&gt;="&amp;A77,VC_date,"&lt;="&amp;A77,VC_commercial,B77,VC_type,"Visite sur place"))</f>
        <v/>
      </c>
      <c r="K77" s="39">
        <f>IF(A77="","",COUNTIFS(VC_date,"&gt;="&amp;A77,VC_date,"&lt;="&amp;A77,VC_commercial,B77,VC_type,"&lt;&gt;Visite sur place",VC_type,"&lt;&gt;"))</f>
        <v/>
      </c>
      <c r="L77" s="39">
        <f>IF(A77="","",COUNTIFS(Cl_creation,"&gt;="&amp;A77,Cl_creation,"&lt;="&amp;A77,Cl_commercial,B77))</f>
        <v/>
      </c>
      <c r="M77" s="39">
        <f>IF(A77="","",COUNTIFS(Cl_vente1,"&gt;="&amp;A77,Cl_vente1,"&lt;="&amp;A77,Cl_commercial,B77))</f>
        <v/>
      </c>
      <c r="N77" s="39">
        <f>IF(A77="","",SUMIFS(Cmd_premiere,Cmd_date,"&gt;="&amp;A77,Cmd_date,"&lt;="&amp;A77,Cmd_commercial,B77,Cmd_statut,"&lt;&gt;Annulée",Cmd_type,"&lt;&gt;Vente directe"))</f>
        <v/>
      </c>
      <c r="O77" s="40">
        <f>IF(A77="","",SUMIFS(Cmd_montant,Cmd_date,"&gt;="&amp;A77,Cmd_date,"&lt;="&amp;A77,Cmd_commercial,B77,Cmd_statut,"&lt;&gt;Annulée",Cmd_type,"&lt;&gt;Vente directe"))</f>
        <v/>
      </c>
      <c r="P77" s="40">
        <f>IF(A77="","",SUMIFS(Cmd_montant,Cmd_dateca,"&gt;="&amp;A77,Cmd_dateca,"&lt;="&amp;A77,Cmd_commercial,B77))</f>
        <v/>
      </c>
      <c r="Q77" s="40">
        <f>IF(A77="","",SUMIFS(Enc_montant,Enc_date,"&gt;="&amp;A77,Enc_date,"&lt;="&amp;A77,Enc_commercial,B77))</f>
        <v/>
      </c>
      <c r="R77" s="40">
        <f>IF(A77="","",SUMIFS(Stk_valeur,Stk_date,"&gt;="&amp;A77,Stk_date,"&lt;="&amp;A77,Stk_commercial,B77,Stk_mouvement,"Casse / avarie")+SUMIFS(Stk_valeur,Stk_date,"&gt;="&amp;A77,Stk_date,"&lt;="&amp;A77,Stk_commercial,B77,Stk_mouvement,"Perte / vol"))</f>
        <v/>
      </c>
      <c r="S77" s="36" t="n"/>
      <c r="T77" s="36" t="n"/>
      <c r="U77" s="36" t="n"/>
      <c r="V77" s="36" t="n"/>
    </row>
    <row r="78" ht="18" customHeight="1">
      <c r="A78" s="32" t="n"/>
      <c r="B78" s="33">
        <f>IF(A78="","",Commercial_Id)</f>
        <v/>
      </c>
      <c r="C78" s="34">
        <f>IF(A78="","",CHOOSE(WEEKDAY(A78,2),"Lundi","Mardi","Mercredi","Jeudi","Vendredi","Samedi","Dimanche"))</f>
        <v/>
      </c>
      <c r="D78" s="34">
        <f>IF(A78="","",YEAR(A78-WEEKDAY(A78,2)+4)&amp;"-S"&amp;TEXT(INT((A78-DATE(YEAR(A78-WEEKDAY(A78,2)+4),1,3)+WEEKDAY(DATE(YEAR(A78-WEEKDAY(A78,2)+4),1,3),2)+5)/7),"00"))</f>
        <v/>
      </c>
      <c r="E78" s="35" t="n"/>
      <c r="F78" s="35" t="n"/>
      <c r="G78" s="36" t="n"/>
      <c r="H78" s="37" t="n"/>
      <c r="I78" s="38">
        <f>IF(OR(E78="",F78=""),"",ROUND((F78-E78)*24,1))</f>
        <v/>
      </c>
      <c r="J78" s="39">
        <f>IF(A78="","",COUNTIFS(VC_date,"&gt;="&amp;A78,VC_date,"&lt;="&amp;A78,VC_commercial,B78,VC_type,"Visite sur place"))</f>
        <v/>
      </c>
      <c r="K78" s="39">
        <f>IF(A78="","",COUNTIFS(VC_date,"&gt;="&amp;A78,VC_date,"&lt;="&amp;A78,VC_commercial,B78,VC_type,"&lt;&gt;Visite sur place",VC_type,"&lt;&gt;"))</f>
        <v/>
      </c>
      <c r="L78" s="39">
        <f>IF(A78="","",COUNTIFS(Cl_creation,"&gt;="&amp;A78,Cl_creation,"&lt;="&amp;A78,Cl_commercial,B78))</f>
        <v/>
      </c>
      <c r="M78" s="39">
        <f>IF(A78="","",COUNTIFS(Cl_vente1,"&gt;="&amp;A78,Cl_vente1,"&lt;="&amp;A78,Cl_commercial,B78))</f>
        <v/>
      </c>
      <c r="N78" s="39">
        <f>IF(A78="","",SUMIFS(Cmd_premiere,Cmd_date,"&gt;="&amp;A78,Cmd_date,"&lt;="&amp;A78,Cmd_commercial,B78,Cmd_statut,"&lt;&gt;Annulée",Cmd_type,"&lt;&gt;Vente directe"))</f>
        <v/>
      </c>
      <c r="O78" s="40">
        <f>IF(A78="","",SUMIFS(Cmd_montant,Cmd_date,"&gt;="&amp;A78,Cmd_date,"&lt;="&amp;A78,Cmd_commercial,B78,Cmd_statut,"&lt;&gt;Annulée",Cmd_type,"&lt;&gt;Vente directe"))</f>
        <v/>
      </c>
      <c r="P78" s="40">
        <f>IF(A78="","",SUMIFS(Cmd_montant,Cmd_dateca,"&gt;="&amp;A78,Cmd_dateca,"&lt;="&amp;A78,Cmd_commercial,B78))</f>
        <v/>
      </c>
      <c r="Q78" s="40">
        <f>IF(A78="","",SUMIFS(Enc_montant,Enc_date,"&gt;="&amp;A78,Enc_date,"&lt;="&amp;A78,Enc_commercial,B78))</f>
        <v/>
      </c>
      <c r="R78" s="40">
        <f>IF(A78="","",SUMIFS(Stk_valeur,Stk_date,"&gt;="&amp;A78,Stk_date,"&lt;="&amp;A78,Stk_commercial,B78,Stk_mouvement,"Casse / avarie")+SUMIFS(Stk_valeur,Stk_date,"&gt;="&amp;A78,Stk_date,"&lt;="&amp;A78,Stk_commercial,B78,Stk_mouvement,"Perte / vol"))</f>
        <v/>
      </c>
      <c r="S78" s="36" t="n"/>
      <c r="T78" s="36" t="n"/>
      <c r="U78" s="36" t="n"/>
      <c r="V78" s="36" t="n"/>
    </row>
    <row r="79" ht="18" customHeight="1">
      <c r="A79" s="32" t="n"/>
      <c r="B79" s="33">
        <f>IF(A79="","",Commercial_Id)</f>
        <v/>
      </c>
      <c r="C79" s="34">
        <f>IF(A79="","",CHOOSE(WEEKDAY(A79,2),"Lundi","Mardi","Mercredi","Jeudi","Vendredi","Samedi","Dimanche"))</f>
        <v/>
      </c>
      <c r="D79" s="34">
        <f>IF(A79="","",YEAR(A79-WEEKDAY(A79,2)+4)&amp;"-S"&amp;TEXT(INT((A79-DATE(YEAR(A79-WEEKDAY(A79,2)+4),1,3)+WEEKDAY(DATE(YEAR(A79-WEEKDAY(A79,2)+4),1,3),2)+5)/7),"00"))</f>
        <v/>
      </c>
      <c r="E79" s="35" t="n"/>
      <c r="F79" s="35" t="n"/>
      <c r="G79" s="36" t="n"/>
      <c r="H79" s="37" t="n"/>
      <c r="I79" s="38">
        <f>IF(OR(E79="",F79=""),"",ROUND((F79-E79)*24,1))</f>
        <v/>
      </c>
      <c r="J79" s="39">
        <f>IF(A79="","",COUNTIFS(VC_date,"&gt;="&amp;A79,VC_date,"&lt;="&amp;A79,VC_commercial,B79,VC_type,"Visite sur place"))</f>
        <v/>
      </c>
      <c r="K79" s="39">
        <f>IF(A79="","",COUNTIFS(VC_date,"&gt;="&amp;A79,VC_date,"&lt;="&amp;A79,VC_commercial,B79,VC_type,"&lt;&gt;Visite sur place",VC_type,"&lt;&gt;"))</f>
        <v/>
      </c>
      <c r="L79" s="39">
        <f>IF(A79="","",COUNTIFS(Cl_creation,"&gt;="&amp;A79,Cl_creation,"&lt;="&amp;A79,Cl_commercial,B79))</f>
        <v/>
      </c>
      <c r="M79" s="39">
        <f>IF(A79="","",COUNTIFS(Cl_vente1,"&gt;="&amp;A79,Cl_vente1,"&lt;="&amp;A79,Cl_commercial,B79))</f>
        <v/>
      </c>
      <c r="N79" s="39">
        <f>IF(A79="","",SUMIFS(Cmd_premiere,Cmd_date,"&gt;="&amp;A79,Cmd_date,"&lt;="&amp;A79,Cmd_commercial,B79,Cmd_statut,"&lt;&gt;Annulée",Cmd_type,"&lt;&gt;Vente directe"))</f>
        <v/>
      </c>
      <c r="O79" s="40">
        <f>IF(A79="","",SUMIFS(Cmd_montant,Cmd_date,"&gt;="&amp;A79,Cmd_date,"&lt;="&amp;A79,Cmd_commercial,B79,Cmd_statut,"&lt;&gt;Annulée",Cmd_type,"&lt;&gt;Vente directe"))</f>
        <v/>
      </c>
      <c r="P79" s="40">
        <f>IF(A79="","",SUMIFS(Cmd_montant,Cmd_dateca,"&gt;="&amp;A79,Cmd_dateca,"&lt;="&amp;A79,Cmd_commercial,B79))</f>
        <v/>
      </c>
      <c r="Q79" s="40">
        <f>IF(A79="","",SUMIFS(Enc_montant,Enc_date,"&gt;="&amp;A79,Enc_date,"&lt;="&amp;A79,Enc_commercial,B79))</f>
        <v/>
      </c>
      <c r="R79" s="40">
        <f>IF(A79="","",SUMIFS(Stk_valeur,Stk_date,"&gt;="&amp;A79,Stk_date,"&lt;="&amp;A79,Stk_commercial,B79,Stk_mouvement,"Casse / avarie")+SUMIFS(Stk_valeur,Stk_date,"&gt;="&amp;A79,Stk_date,"&lt;="&amp;A79,Stk_commercial,B79,Stk_mouvement,"Perte / vol"))</f>
        <v/>
      </c>
      <c r="S79" s="36" t="n"/>
      <c r="T79" s="36" t="n"/>
      <c r="U79" s="36" t="n"/>
      <c r="V79" s="36" t="n"/>
    </row>
    <row r="80" ht="18" customHeight="1">
      <c r="A80" s="32" t="n"/>
      <c r="B80" s="33">
        <f>IF(A80="","",Commercial_Id)</f>
        <v/>
      </c>
      <c r="C80" s="34">
        <f>IF(A80="","",CHOOSE(WEEKDAY(A80,2),"Lundi","Mardi","Mercredi","Jeudi","Vendredi","Samedi","Dimanche"))</f>
        <v/>
      </c>
      <c r="D80" s="34">
        <f>IF(A80="","",YEAR(A80-WEEKDAY(A80,2)+4)&amp;"-S"&amp;TEXT(INT((A80-DATE(YEAR(A80-WEEKDAY(A80,2)+4),1,3)+WEEKDAY(DATE(YEAR(A80-WEEKDAY(A80,2)+4),1,3),2)+5)/7),"00"))</f>
        <v/>
      </c>
      <c r="E80" s="35" t="n"/>
      <c r="F80" s="35" t="n"/>
      <c r="G80" s="36" t="n"/>
      <c r="H80" s="37" t="n"/>
      <c r="I80" s="38">
        <f>IF(OR(E80="",F80=""),"",ROUND((F80-E80)*24,1))</f>
        <v/>
      </c>
      <c r="J80" s="39">
        <f>IF(A80="","",COUNTIFS(VC_date,"&gt;="&amp;A80,VC_date,"&lt;="&amp;A80,VC_commercial,B80,VC_type,"Visite sur place"))</f>
        <v/>
      </c>
      <c r="K80" s="39">
        <f>IF(A80="","",COUNTIFS(VC_date,"&gt;="&amp;A80,VC_date,"&lt;="&amp;A80,VC_commercial,B80,VC_type,"&lt;&gt;Visite sur place",VC_type,"&lt;&gt;"))</f>
        <v/>
      </c>
      <c r="L80" s="39">
        <f>IF(A80="","",COUNTIFS(Cl_creation,"&gt;="&amp;A80,Cl_creation,"&lt;="&amp;A80,Cl_commercial,B80))</f>
        <v/>
      </c>
      <c r="M80" s="39">
        <f>IF(A80="","",COUNTIFS(Cl_vente1,"&gt;="&amp;A80,Cl_vente1,"&lt;="&amp;A80,Cl_commercial,B80))</f>
        <v/>
      </c>
      <c r="N80" s="39">
        <f>IF(A80="","",SUMIFS(Cmd_premiere,Cmd_date,"&gt;="&amp;A80,Cmd_date,"&lt;="&amp;A80,Cmd_commercial,B80,Cmd_statut,"&lt;&gt;Annulée",Cmd_type,"&lt;&gt;Vente directe"))</f>
        <v/>
      </c>
      <c r="O80" s="40">
        <f>IF(A80="","",SUMIFS(Cmd_montant,Cmd_date,"&gt;="&amp;A80,Cmd_date,"&lt;="&amp;A80,Cmd_commercial,B80,Cmd_statut,"&lt;&gt;Annulée",Cmd_type,"&lt;&gt;Vente directe"))</f>
        <v/>
      </c>
      <c r="P80" s="40">
        <f>IF(A80="","",SUMIFS(Cmd_montant,Cmd_dateca,"&gt;="&amp;A80,Cmd_dateca,"&lt;="&amp;A80,Cmd_commercial,B80))</f>
        <v/>
      </c>
      <c r="Q80" s="40">
        <f>IF(A80="","",SUMIFS(Enc_montant,Enc_date,"&gt;="&amp;A80,Enc_date,"&lt;="&amp;A80,Enc_commercial,B80))</f>
        <v/>
      </c>
      <c r="R80" s="40">
        <f>IF(A80="","",SUMIFS(Stk_valeur,Stk_date,"&gt;="&amp;A80,Stk_date,"&lt;="&amp;A80,Stk_commercial,B80,Stk_mouvement,"Casse / avarie")+SUMIFS(Stk_valeur,Stk_date,"&gt;="&amp;A80,Stk_date,"&lt;="&amp;A80,Stk_commercial,B80,Stk_mouvement,"Perte / vol"))</f>
        <v/>
      </c>
      <c r="S80" s="36" t="n"/>
      <c r="T80" s="36" t="n"/>
      <c r="U80" s="36" t="n"/>
      <c r="V80" s="36" t="n"/>
    </row>
    <row r="81" ht="18" customHeight="1">
      <c r="A81" s="32" t="n"/>
      <c r="B81" s="33">
        <f>IF(A81="","",Commercial_Id)</f>
        <v/>
      </c>
      <c r="C81" s="34">
        <f>IF(A81="","",CHOOSE(WEEKDAY(A81,2),"Lundi","Mardi","Mercredi","Jeudi","Vendredi","Samedi","Dimanche"))</f>
        <v/>
      </c>
      <c r="D81" s="34">
        <f>IF(A81="","",YEAR(A81-WEEKDAY(A81,2)+4)&amp;"-S"&amp;TEXT(INT((A81-DATE(YEAR(A81-WEEKDAY(A81,2)+4),1,3)+WEEKDAY(DATE(YEAR(A81-WEEKDAY(A81,2)+4),1,3),2)+5)/7),"00"))</f>
        <v/>
      </c>
      <c r="E81" s="35" t="n"/>
      <c r="F81" s="35" t="n"/>
      <c r="G81" s="36" t="n"/>
      <c r="H81" s="37" t="n"/>
      <c r="I81" s="38">
        <f>IF(OR(E81="",F81=""),"",ROUND((F81-E81)*24,1))</f>
        <v/>
      </c>
      <c r="J81" s="39">
        <f>IF(A81="","",COUNTIFS(VC_date,"&gt;="&amp;A81,VC_date,"&lt;="&amp;A81,VC_commercial,B81,VC_type,"Visite sur place"))</f>
        <v/>
      </c>
      <c r="K81" s="39">
        <f>IF(A81="","",COUNTIFS(VC_date,"&gt;="&amp;A81,VC_date,"&lt;="&amp;A81,VC_commercial,B81,VC_type,"&lt;&gt;Visite sur place",VC_type,"&lt;&gt;"))</f>
        <v/>
      </c>
      <c r="L81" s="39">
        <f>IF(A81="","",COUNTIFS(Cl_creation,"&gt;="&amp;A81,Cl_creation,"&lt;="&amp;A81,Cl_commercial,B81))</f>
        <v/>
      </c>
      <c r="M81" s="39">
        <f>IF(A81="","",COUNTIFS(Cl_vente1,"&gt;="&amp;A81,Cl_vente1,"&lt;="&amp;A81,Cl_commercial,B81))</f>
        <v/>
      </c>
      <c r="N81" s="39">
        <f>IF(A81="","",SUMIFS(Cmd_premiere,Cmd_date,"&gt;="&amp;A81,Cmd_date,"&lt;="&amp;A81,Cmd_commercial,B81,Cmd_statut,"&lt;&gt;Annulée",Cmd_type,"&lt;&gt;Vente directe"))</f>
        <v/>
      </c>
      <c r="O81" s="40">
        <f>IF(A81="","",SUMIFS(Cmd_montant,Cmd_date,"&gt;="&amp;A81,Cmd_date,"&lt;="&amp;A81,Cmd_commercial,B81,Cmd_statut,"&lt;&gt;Annulée",Cmd_type,"&lt;&gt;Vente directe"))</f>
        <v/>
      </c>
      <c r="P81" s="40">
        <f>IF(A81="","",SUMIFS(Cmd_montant,Cmd_dateca,"&gt;="&amp;A81,Cmd_dateca,"&lt;="&amp;A81,Cmd_commercial,B81))</f>
        <v/>
      </c>
      <c r="Q81" s="40">
        <f>IF(A81="","",SUMIFS(Enc_montant,Enc_date,"&gt;="&amp;A81,Enc_date,"&lt;="&amp;A81,Enc_commercial,B81))</f>
        <v/>
      </c>
      <c r="R81" s="40">
        <f>IF(A81="","",SUMIFS(Stk_valeur,Stk_date,"&gt;="&amp;A81,Stk_date,"&lt;="&amp;A81,Stk_commercial,B81,Stk_mouvement,"Casse / avarie")+SUMIFS(Stk_valeur,Stk_date,"&gt;="&amp;A81,Stk_date,"&lt;="&amp;A81,Stk_commercial,B81,Stk_mouvement,"Perte / vol"))</f>
        <v/>
      </c>
      <c r="S81" s="36" t="n"/>
      <c r="T81" s="36" t="n"/>
      <c r="U81" s="36" t="n"/>
      <c r="V81" s="36" t="n"/>
    </row>
    <row r="82" ht="18" customHeight="1">
      <c r="A82" s="32" t="n"/>
      <c r="B82" s="33">
        <f>IF(A82="","",Commercial_Id)</f>
        <v/>
      </c>
      <c r="C82" s="34">
        <f>IF(A82="","",CHOOSE(WEEKDAY(A82,2),"Lundi","Mardi","Mercredi","Jeudi","Vendredi","Samedi","Dimanche"))</f>
        <v/>
      </c>
      <c r="D82" s="34">
        <f>IF(A82="","",YEAR(A82-WEEKDAY(A82,2)+4)&amp;"-S"&amp;TEXT(INT((A82-DATE(YEAR(A82-WEEKDAY(A82,2)+4),1,3)+WEEKDAY(DATE(YEAR(A82-WEEKDAY(A82,2)+4),1,3),2)+5)/7),"00"))</f>
        <v/>
      </c>
      <c r="E82" s="35" t="n"/>
      <c r="F82" s="35" t="n"/>
      <c r="G82" s="36" t="n"/>
      <c r="H82" s="37" t="n"/>
      <c r="I82" s="38">
        <f>IF(OR(E82="",F82=""),"",ROUND((F82-E82)*24,1))</f>
        <v/>
      </c>
      <c r="J82" s="39">
        <f>IF(A82="","",COUNTIFS(VC_date,"&gt;="&amp;A82,VC_date,"&lt;="&amp;A82,VC_commercial,B82,VC_type,"Visite sur place"))</f>
        <v/>
      </c>
      <c r="K82" s="39">
        <f>IF(A82="","",COUNTIFS(VC_date,"&gt;="&amp;A82,VC_date,"&lt;="&amp;A82,VC_commercial,B82,VC_type,"&lt;&gt;Visite sur place",VC_type,"&lt;&gt;"))</f>
        <v/>
      </c>
      <c r="L82" s="39">
        <f>IF(A82="","",COUNTIFS(Cl_creation,"&gt;="&amp;A82,Cl_creation,"&lt;="&amp;A82,Cl_commercial,B82))</f>
        <v/>
      </c>
      <c r="M82" s="39">
        <f>IF(A82="","",COUNTIFS(Cl_vente1,"&gt;="&amp;A82,Cl_vente1,"&lt;="&amp;A82,Cl_commercial,B82))</f>
        <v/>
      </c>
      <c r="N82" s="39">
        <f>IF(A82="","",SUMIFS(Cmd_premiere,Cmd_date,"&gt;="&amp;A82,Cmd_date,"&lt;="&amp;A82,Cmd_commercial,B82,Cmd_statut,"&lt;&gt;Annulée",Cmd_type,"&lt;&gt;Vente directe"))</f>
        <v/>
      </c>
      <c r="O82" s="40">
        <f>IF(A82="","",SUMIFS(Cmd_montant,Cmd_date,"&gt;="&amp;A82,Cmd_date,"&lt;="&amp;A82,Cmd_commercial,B82,Cmd_statut,"&lt;&gt;Annulée",Cmd_type,"&lt;&gt;Vente directe"))</f>
        <v/>
      </c>
      <c r="P82" s="40">
        <f>IF(A82="","",SUMIFS(Cmd_montant,Cmd_dateca,"&gt;="&amp;A82,Cmd_dateca,"&lt;="&amp;A82,Cmd_commercial,B82))</f>
        <v/>
      </c>
      <c r="Q82" s="40">
        <f>IF(A82="","",SUMIFS(Enc_montant,Enc_date,"&gt;="&amp;A82,Enc_date,"&lt;="&amp;A82,Enc_commercial,B82))</f>
        <v/>
      </c>
      <c r="R82" s="40">
        <f>IF(A82="","",SUMIFS(Stk_valeur,Stk_date,"&gt;="&amp;A82,Stk_date,"&lt;="&amp;A82,Stk_commercial,B82,Stk_mouvement,"Casse / avarie")+SUMIFS(Stk_valeur,Stk_date,"&gt;="&amp;A82,Stk_date,"&lt;="&amp;A82,Stk_commercial,B82,Stk_mouvement,"Perte / vol"))</f>
        <v/>
      </c>
      <c r="S82" s="36" t="n"/>
      <c r="T82" s="36" t="n"/>
      <c r="U82" s="36" t="n"/>
      <c r="V82" s="36" t="n"/>
    </row>
    <row r="83" ht="18" customHeight="1">
      <c r="A83" s="32" t="n"/>
      <c r="B83" s="33">
        <f>IF(A83="","",Commercial_Id)</f>
        <v/>
      </c>
      <c r="C83" s="34">
        <f>IF(A83="","",CHOOSE(WEEKDAY(A83,2),"Lundi","Mardi","Mercredi","Jeudi","Vendredi","Samedi","Dimanche"))</f>
        <v/>
      </c>
      <c r="D83" s="34">
        <f>IF(A83="","",YEAR(A83-WEEKDAY(A83,2)+4)&amp;"-S"&amp;TEXT(INT((A83-DATE(YEAR(A83-WEEKDAY(A83,2)+4),1,3)+WEEKDAY(DATE(YEAR(A83-WEEKDAY(A83,2)+4),1,3),2)+5)/7),"00"))</f>
        <v/>
      </c>
      <c r="E83" s="35" t="n"/>
      <c r="F83" s="35" t="n"/>
      <c r="G83" s="36" t="n"/>
      <c r="H83" s="37" t="n"/>
      <c r="I83" s="38">
        <f>IF(OR(E83="",F83=""),"",ROUND((F83-E83)*24,1))</f>
        <v/>
      </c>
      <c r="J83" s="39">
        <f>IF(A83="","",COUNTIFS(VC_date,"&gt;="&amp;A83,VC_date,"&lt;="&amp;A83,VC_commercial,B83,VC_type,"Visite sur place"))</f>
        <v/>
      </c>
      <c r="K83" s="39">
        <f>IF(A83="","",COUNTIFS(VC_date,"&gt;="&amp;A83,VC_date,"&lt;="&amp;A83,VC_commercial,B83,VC_type,"&lt;&gt;Visite sur place",VC_type,"&lt;&gt;"))</f>
        <v/>
      </c>
      <c r="L83" s="39">
        <f>IF(A83="","",COUNTIFS(Cl_creation,"&gt;="&amp;A83,Cl_creation,"&lt;="&amp;A83,Cl_commercial,B83))</f>
        <v/>
      </c>
      <c r="M83" s="39">
        <f>IF(A83="","",COUNTIFS(Cl_vente1,"&gt;="&amp;A83,Cl_vente1,"&lt;="&amp;A83,Cl_commercial,B83))</f>
        <v/>
      </c>
      <c r="N83" s="39">
        <f>IF(A83="","",SUMIFS(Cmd_premiere,Cmd_date,"&gt;="&amp;A83,Cmd_date,"&lt;="&amp;A83,Cmd_commercial,B83,Cmd_statut,"&lt;&gt;Annulée",Cmd_type,"&lt;&gt;Vente directe"))</f>
        <v/>
      </c>
      <c r="O83" s="40">
        <f>IF(A83="","",SUMIFS(Cmd_montant,Cmd_date,"&gt;="&amp;A83,Cmd_date,"&lt;="&amp;A83,Cmd_commercial,B83,Cmd_statut,"&lt;&gt;Annulée",Cmd_type,"&lt;&gt;Vente directe"))</f>
        <v/>
      </c>
      <c r="P83" s="40">
        <f>IF(A83="","",SUMIFS(Cmd_montant,Cmd_dateca,"&gt;="&amp;A83,Cmd_dateca,"&lt;="&amp;A83,Cmd_commercial,B83))</f>
        <v/>
      </c>
      <c r="Q83" s="40">
        <f>IF(A83="","",SUMIFS(Enc_montant,Enc_date,"&gt;="&amp;A83,Enc_date,"&lt;="&amp;A83,Enc_commercial,B83))</f>
        <v/>
      </c>
      <c r="R83" s="40">
        <f>IF(A83="","",SUMIFS(Stk_valeur,Stk_date,"&gt;="&amp;A83,Stk_date,"&lt;="&amp;A83,Stk_commercial,B83,Stk_mouvement,"Casse / avarie")+SUMIFS(Stk_valeur,Stk_date,"&gt;="&amp;A83,Stk_date,"&lt;="&amp;A83,Stk_commercial,B83,Stk_mouvement,"Perte / vol"))</f>
        <v/>
      </c>
      <c r="S83" s="36" t="n"/>
      <c r="T83" s="36" t="n"/>
      <c r="U83" s="36" t="n"/>
      <c r="V83" s="36" t="n"/>
    </row>
    <row r="84" ht="18" customHeight="1">
      <c r="A84" s="32" t="n"/>
      <c r="B84" s="33">
        <f>IF(A84="","",Commercial_Id)</f>
        <v/>
      </c>
      <c r="C84" s="34">
        <f>IF(A84="","",CHOOSE(WEEKDAY(A84,2),"Lundi","Mardi","Mercredi","Jeudi","Vendredi","Samedi","Dimanche"))</f>
        <v/>
      </c>
      <c r="D84" s="34">
        <f>IF(A84="","",YEAR(A84-WEEKDAY(A84,2)+4)&amp;"-S"&amp;TEXT(INT((A84-DATE(YEAR(A84-WEEKDAY(A84,2)+4),1,3)+WEEKDAY(DATE(YEAR(A84-WEEKDAY(A84,2)+4),1,3),2)+5)/7),"00"))</f>
        <v/>
      </c>
      <c r="E84" s="35" t="n"/>
      <c r="F84" s="35" t="n"/>
      <c r="G84" s="36" t="n"/>
      <c r="H84" s="37" t="n"/>
      <c r="I84" s="38">
        <f>IF(OR(E84="",F84=""),"",ROUND((F84-E84)*24,1))</f>
        <v/>
      </c>
      <c r="J84" s="39">
        <f>IF(A84="","",COUNTIFS(VC_date,"&gt;="&amp;A84,VC_date,"&lt;="&amp;A84,VC_commercial,B84,VC_type,"Visite sur place"))</f>
        <v/>
      </c>
      <c r="K84" s="39">
        <f>IF(A84="","",COUNTIFS(VC_date,"&gt;="&amp;A84,VC_date,"&lt;="&amp;A84,VC_commercial,B84,VC_type,"&lt;&gt;Visite sur place",VC_type,"&lt;&gt;"))</f>
        <v/>
      </c>
      <c r="L84" s="39">
        <f>IF(A84="","",COUNTIFS(Cl_creation,"&gt;="&amp;A84,Cl_creation,"&lt;="&amp;A84,Cl_commercial,B84))</f>
        <v/>
      </c>
      <c r="M84" s="39">
        <f>IF(A84="","",COUNTIFS(Cl_vente1,"&gt;="&amp;A84,Cl_vente1,"&lt;="&amp;A84,Cl_commercial,B84))</f>
        <v/>
      </c>
      <c r="N84" s="39">
        <f>IF(A84="","",SUMIFS(Cmd_premiere,Cmd_date,"&gt;="&amp;A84,Cmd_date,"&lt;="&amp;A84,Cmd_commercial,B84,Cmd_statut,"&lt;&gt;Annulée",Cmd_type,"&lt;&gt;Vente directe"))</f>
        <v/>
      </c>
      <c r="O84" s="40">
        <f>IF(A84="","",SUMIFS(Cmd_montant,Cmd_date,"&gt;="&amp;A84,Cmd_date,"&lt;="&amp;A84,Cmd_commercial,B84,Cmd_statut,"&lt;&gt;Annulée",Cmd_type,"&lt;&gt;Vente directe"))</f>
        <v/>
      </c>
      <c r="P84" s="40">
        <f>IF(A84="","",SUMIFS(Cmd_montant,Cmd_dateca,"&gt;="&amp;A84,Cmd_dateca,"&lt;="&amp;A84,Cmd_commercial,B84))</f>
        <v/>
      </c>
      <c r="Q84" s="40">
        <f>IF(A84="","",SUMIFS(Enc_montant,Enc_date,"&gt;="&amp;A84,Enc_date,"&lt;="&amp;A84,Enc_commercial,B84))</f>
        <v/>
      </c>
      <c r="R84" s="40">
        <f>IF(A84="","",SUMIFS(Stk_valeur,Stk_date,"&gt;="&amp;A84,Stk_date,"&lt;="&amp;A84,Stk_commercial,B84,Stk_mouvement,"Casse / avarie")+SUMIFS(Stk_valeur,Stk_date,"&gt;="&amp;A84,Stk_date,"&lt;="&amp;A84,Stk_commercial,B84,Stk_mouvement,"Perte / vol"))</f>
        <v/>
      </c>
      <c r="S84" s="36" t="n"/>
      <c r="T84" s="36" t="n"/>
      <c r="U84" s="36" t="n"/>
      <c r="V84" s="36" t="n"/>
    </row>
    <row r="85" ht="18" customHeight="1">
      <c r="A85" s="32" t="n"/>
      <c r="B85" s="33">
        <f>IF(A85="","",Commercial_Id)</f>
        <v/>
      </c>
      <c r="C85" s="34">
        <f>IF(A85="","",CHOOSE(WEEKDAY(A85,2),"Lundi","Mardi","Mercredi","Jeudi","Vendredi","Samedi","Dimanche"))</f>
        <v/>
      </c>
      <c r="D85" s="34">
        <f>IF(A85="","",YEAR(A85-WEEKDAY(A85,2)+4)&amp;"-S"&amp;TEXT(INT((A85-DATE(YEAR(A85-WEEKDAY(A85,2)+4),1,3)+WEEKDAY(DATE(YEAR(A85-WEEKDAY(A85,2)+4),1,3),2)+5)/7),"00"))</f>
        <v/>
      </c>
      <c r="E85" s="35" t="n"/>
      <c r="F85" s="35" t="n"/>
      <c r="G85" s="36" t="n"/>
      <c r="H85" s="37" t="n"/>
      <c r="I85" s="38">
        <f>IF(OR(E85="",F85=""),"",ROUND((F85-E85)*24,1))</f>
        <v/>
      </c>
      <c r="J85" s="39">
        <f>IF(A85="","",COUNTIFS(VC_date,"&gt;="&amp;A85,VC_date,"&lt;="&amp;A85,VC_commercial,B85,VC_type,"Visite sur place"))</f>
        <v/>
      </c>
      <c r="K85" s="39">
        <f>IF(A85="","",COUNTIFS(VC_date,"&gt;="&amp;A85,VC_date,"&lt;="&amp;A85,VC_commercial,B85,VC_type,"&lt;&gt;Visite sur place",VC_type,"&lt;&gt;"))</f>
        <v/>
      </c>
      <c r="L85" s="39">
        <f>IF(A85="","",COUNTIFS(Cl_creation,"&gt;="&amp;A85,Cl_creation,"&lt;="&amp;A85,Cl_commercial,B85))</f>
        <v/>
      </c>
      <c r="M85" s="39">
        <f>IF(A85="","",COUNTIFS(Cl_vente1,"&gt;="&amp;A85,Cl_vente1,"&lt;="&amp;A85,Cl_commercial,B85))</f>
        <v/>
      </c>
      <c r="N85" s="39">
        <f>IF(A85="","",SUMIFS(Cmd_premiere,Cmd_date,"&gt;="&amp;A85,Cmd_date,"&lt;="&amp;A85,Cmd_commercial,B85,Cmd_statut,"&lt;&gt;Annulée",Cmd_type,"&lt;&gt;Vente directe"))</f>
        <v/>
      </c>
      <c r="O85" s="40">
        <f>IF(A85="","",SUMIFS(Cmd_montant,Cmd_date,"&gt;="&amp;A85,Cmd_date,"&lt;="&amp;A85,Cmd_commercial,B85,Cmd_statut,"&lt;&gt;Annulée",Cmd_type,"&lt;&gt;Vente directe"))</f>
        <v/>
      </c>
      <c r="P85" s="40">
        <f>IF(A85="","",SUMIFS(Cmd_montant,Cmd_dateca,"&gt;="&amp;A85,Cmd_dateca,"&lt;="&amp;A85,Cmd_commercial,B85))</f>
        <v/>
      </c>
      <c r="Q85" s="40">
        <f>IF(A85="","",SUMIFS(Enc_montant,Enc_date,"&gt;="&amp;A85,Enc_date,"&lt;="&amp;A85,Enc_commercial,B85))</f>
        <v/>
      </c>
      <c r="R85" s="40">
        <f>IF(A85="","",SUMIFS(Stk_valeur,Stk_date,"&gt;="&amp;A85,Stk_date,"&lt;="&amp;A85,Stk_commercial,B85,Stk_mouvement,"Casse / avarie")+SUMIFS(Stk_valeur,Stk_date,"&gt;="&amp;A85,Stk_date,"&lt;="&amp;A85,Stk_commercial,B85,Stk_mouvement,"Perte / vol"))</f>
        <v/>
      </c>
      <c r="S85" s="36" t="n"/>
      <c r="T85" s="36" t="n"/>
      <c r="U85" s="36" t="n"/>
      <c r="V85" s="36" t="n"/>
    </row>
    <row r="86" ht="18" customHeight="1">
      <c r="A86" s="32" t="n"/>
      <c r="B86" s="33">
        <f>IF(A86="","",Commercial_Id)</f>
        <v/>
      </c>
      <c r="C86" s="34">
        <f>IF(A86="","",CHOOSE(WEEKDAY(A86,2),"Lundi","Mardi","Mercredi","Jeudi","Vendredi","Samedi","Dimanche"))</f>
        <v/>
      </c>
      <c r="D86" s="34">
        <f>IF(A86="","",YEAR(A86-WEEKDAY(A86,2)+4)&amp;"-S"&amp;TEXT(INT((A86-DATE(YEAR(A86-WEEKDAY(A86,2)+4),1,3)+WEEKDAY(DATE(YEAR(A86-WEEKDAY(A86,2)+4),1,3),2)+5)/7),"00"))</f>
        <v/>
      </c>
      <c r="E86" s="35" t="n"/>
      <c r="F86" s="35" t="n"/>
      <c r="G86" s="36" t="n"/>
      <c r="H86" s="37" t="n"/>
      <c r="I86" s="38">
        <f>IF(OR(E86="",F86=""),"",ROUND((F86-E86)*24,1))</f>
        <v/>
      </c>
      <c r="J86" s="39">
        <f>IF(A86="","",COUNTIFS(VC_date,"&gt;="&amp;A86,VC_date,"&lt;="&amp;A86,VC_commercial,B86,VC_type,"Visite sur place"))</f>
        <v/>
      </c>
      <c r="K86" s="39">
        <f>IF(A86="","",COUNTIFS(VC_date,"&gt;="&amp;A86,VC_date,"&lt;="&amp;A86,VC_commercial,B86,VC_type,"&lt;&gt;Visite sur place",VC_type,"&lt;&gt;"))</f>
        <v/>
      </c>
      <c r="L86" s="39">
        <f>IF(A86="","",COUNTIFS(Cl_creation,"&gt;="&amp;A86,Cl_creation,"&lt;="&amp;A86,Cl_commercial,B86))</f>
        <v/>
      </c>
      <c r="M86" s="39">
        <f>IF(A86="","",COUNTIFS(Cl_vente1,"&gt;="&amp;A86,Cl_vente1,"&lt;="&amp;A86,Cl_commercial,B86))</f>
        <v/>
      </c>
      <c r="N86" s="39">
        <f>IF(A86="","",SUMIFS(Cmd_premiere,Cmd_date,"&gt;="&amp;A86,Cmd_date,"&lt;="&amp;A86,Cmd_commercial,B86,Cmd_statut,"&lt;&gt;Annulée",Cmd_type,"&lt;&gt;Vente directe"))</f>
        <v/>
      </c>
      <c r="O86" s="40">
        <f>IF(A86="","",SUMIFS(Cmd_montant,Cmd_date,"&gt;="&amp;A86,Cmd_date,"&lt;="&amp;A86,Cmd_commercial,B86,Cmd_statut,"&lt;&gt;Annulée",Cmd_type,"&lt;&gt;Vente directe"))</f>
        <v/>
      </c>
      <c r="P86" s="40">
        <f>IF(A86="","",SUMIFS(Cmd_montant,Cmd_dateca,"&gt;="&amp;A86,Cmd_dateca,"&lt;="&amp;A86,Cmd_commercial,B86))</f>
        <v/>
      </c>
      <c r="Q86" s="40">
        <f>IF(A86="","",SUMIFS(Enc_montant,Enc_date,"&gt;="&amp;A86,Enc_date,"&lt;="&amp;A86,Enc_commercial,B86))</f>
        <v/>
      </c>
      <c r="R86" s="40">
        <f>IF(A86="","",SUMIFS(Stk_valeur,Stk_date,"&gt;="&amp;A86,Stk_date,"&lt;="&amp;A86,Stk_commercial,B86,Stk_mouvement,"Casse / avarie")+SUMIFS(Stk_valeur,Stk_date,"&gt;="&amp;A86,Stk_date,"&lt;="&amp;A86,Stk_commercial,B86,Stk_mouvement,"Perte / vol"))</f>
        <v/>
      </c>
      <c r="S86" s="36" t="n"/>
      <c r="T86" s="36" t="n"/>
      <c r="U86" s="36" t="n"/>
      <c r="V86" s="36" t="n"/>
    </row>
    <row r="87" ht="18" customHeight="1">
      <c r="A87" s="32" t="n"/>
      <c r="B87" s="33">
        <f>IF(A87="","",Commercial_Id)</f>
        <v/>
      </c>
      <c r="C87" s="34">
        <f>IF(A87="","",CHOOSE(WEEKDAY(A87,2),"Lundi","Mardi","Mercredi","Jeudi","Vendredi","Samedi","Dimanche"))</f>
        <v/>
      </c>
      <c r="D87" s="34">
        <f>IF(A87="","",YEAR(A87-WEEKDAY(A87,2)+4)&amp;"-S"&amp;TEXT(INT((A87-DATE(YEAR(A87-WEEKDAY(A87,2)+4),1,3)+WEEKDAY(DATE(YEAR(A87-WEEKDAY(A87,2)+4),1,3),2)+5)/7),"00"))</f>
        <v/>
      </c>
      <c r="E87" s="35" t="n"/>
      <c r="F87" s="35" t="n"/>
      <c r="G87" s="36" t="n"/>
      <c r="H87" s="37" t="n"/>
      <c r="I87" s="38">
        <f>IF(OR(E87="",F87=""),"",ROUND((F87-E87)*24,1))</f>
        <v/>
      </c>
      <c r="J87" s="39">
        <f>IF(A87="","",COUNTIFS(VC_date,"&gt;="&amp;A87,VC_date,"&lt;="&amp;A87,VC_commercial,B87,VC_type,"Visite sur place"))</f>
        <v/>
      </c>
      <c r="K87" s="39">
        <f>IF(A87="","",COUNTIFS(VC_date,"&gt;="&amp;A87,VC_date,"&lt;="&amp;A87,VC_commercial,B87,VC_type,"&lt;&gt;Visite sur place",VC_type,"&lt;&gt;"))</f>
        <v/>
      </c>
      <c r="L87" s="39">
        <f>IF(A87="","",COUNTIFS(Cl_creation,"&gt;="&amp;A87,Cl_creation,"&lt;="&amp;A87,Cl_commercial,B87))</f>
        <v/>
      </c>
      <c r="M87" s="39">
        <f>IF(A87="","",COUNTIFS(Cl_vente1,"&gt;="&amp;A87,Cl_vente1,"&lt;="&amp;A87,Cl_commercial,B87))</f>
        <v/>
      </c>
      <c r="N87" s="39">
        <f>IF(A87="","",SUMIFS(Cmd_premiere,Cmd_date,"&gt;="&amp;A87,Cmd_date,"&lt;="&amp;A87,Cmd_commercial,B87,Cmd_statut,"&lt;&gt;Annulée",Cmd_type,"&lt;&gt;Vente directe"))</f>
        <v/>
      </c>
      <c r="O87" s="40">
        <f>IF(A87="","",SUMIFS(Cmd_montant,Cmd_date,"&gt;="&amp;A87,Cmd_date,"&lt;="&amp;A87,Cmd_commercial,B87,Cmd_statut,"&lt;&gt;Annulée",Cmd_type,"&lt;&gt;Vente directe"))</f>
        <v/>
      </c>
      <c r="P87" s="40">
        <f>IF(A87="","",SUMIFS(Cmd_montant,Cmd_dateca,"&gt;="&amp;A87,Cmd_dateca,"&lt;="&amp;A87,Cmd_commercial,B87))</f>
        <v/>
      </c>
      <c r="Q87" s="40">
        <f>IF(A87="","",SUMIFS(Enc_montant,Enc_date,"&gt;="&amp;A87,Enc_date,"&lt;="&amp;A87,Enc_commercial,B87))</f>
        <v/>
      </c>
      <c r="R87" s="40">
        <f>IF(A87="","",SUMIFS(Stk_valeur,Stk_date,"&gt;="&amp;A87,Stk_date,"&lt;="&amp;A87,Stk_commercial,B87,Stk_mouvement,"Casse / avarie")+SUMIFS(Stk_valeur,Stk_date,"&gt;="&amp;A87,Stk_date,"&lt;="&amp;A87,Stk_commercial,B87,Stk_mouvement,"Perte / vol"))</f>
        <v/>
      </c>
      <c r="S87" s="36" t="n"/>
      <c r="T87" s="36" t="n"/>
      <c r="U87" s="36" t="n"/>
      <c r="V87" s="36" t="n"/>
    </row>
    <row r="88" ht="18" customHeight="1">
      <c r="A88" s="32" t="n"/>
      <c r="B88" s="33">
        <f>IF(A88="","",Commercial_Id)</f>
        <v/>
      </c>
      <c r="C88" s="34">
        <f>IF(A88="","",CHOOSE(WEEKDAY(A88,2),"Lundi","Mardi","Mercredi","Jeudi","Vendredi","Samedi","Dimanche"))</f>
        <v/>
      </c>
      <c r="D88" s="34">
        <f>IF(A88="","",YEAR(A88-WEEKDAY(A88,2)+4)&amp;"-S"&amp;TEXT(INT((A88-DATE(YEAR(A88-WEEKDAY(A88,2)+4),1,3)+WEEKDAY(DATE(YEAR(A88-WEEKDAY(A88,2)+4),1,3),2)+5)/7),"00"))</f>
        <v/>
      </c>
      <c r="E88" s="35" t="n"/>
      <c r="F88" s="35" t="n"/>
      <c r="G88" s="36" t="n"/>
      <c r="H88" s="37" t="n"/>
      <c r="I88" s="38">
        <f>IF(OR(E88="",F88=""),"",ROUND((F88-E88)*24,1))</f>
        <v/>
      </c>
      <c r="J88" s="39">
        <f>IF(A88="","",COUNTIFS(VC_date,"&gt;="&amp;A88,VC_date,"&lt;="&amp;A88,VC_commercial,B88,VC_type,"Visite sur place"))</f>
        <v/>
      </c>
      <c r="K88" s="39">
        <f>IF(A88="","",COUNTIFS(VC_date,"&gt;="&amp;A88,VC_date,"&lt;="&amp;A88,VC_commercial,B88,VC_type,"&lt;&gt;Visite sur place",VC_type,"&lt;&gt;"))</f>
        <v/>
      </c>
      <c r="L88" s="39">
        <f>IF(A88="","",COUNTIFS(Cl_creation,"&gt;="&amp;A88,Cl_creation,"&lt;="&amp;A88,Cl_commercial,B88))</f>
        <v/>
      </c>
      <c r="M88" s="39">
        <f>IF(A88="","",COUNTIFS(Cl_vente1,"&gt;="&amp;A88,Cl_vente1,"&lt;="&amp;A88,Cl_commercial,B88))</f>
        <v/>
      </c>
      <c r="N88" s="39">
        <f>IF(A88="","",SUMIFS(Cmd_premiere,Cmd_date,"&gt;="&amp;A88,Cmd_date,"&lt;="&amp;A88,Cmd_commercial,B88,Cmd_statut,"&lt;&gt;Annulée",Cmd_type,"&lt;&gt;Vente directe"))</f>
        <v/>
      </c>
      <c r="O88" s="40">
        <f>IF(A88="","",SUMIFS(Cmd_montant,Cmd_date,"&gt;="&amp;A88,Cmd_date,"&lt;="&amp;A88,Cmd_commercial,B88,Cmd_statut,"&lt;&gt;Annulée",Cmd_type,"&lt;&gt;Vente directe"))</f>
        <v/>
      </c>
      <c r="P88" s="40">
        <f>IF(A88="","",SUMIFS(Cmd_montant,Cmd_dateca,"&gt;="&amp;A88,Cmd_dateca,"&lt;="&amp;A88,Cmd_commercial,B88))</f>
        <v/>
      </c>
      <c r="Q88" s="40">
        <f>IF(A88="","",SUMIFS(Enc_montant,Enc_date,"&gt;="&amp;A88,Enc_date,"&lt;="&amp;A88,Enc_commercial,B88))</f>
        <v/>
      </c>
      <c r="R88" s="40">
        <f>IF(A88="","",SUMIFS(Stk_valeur,Stk_date,"&gt;="&amp;A88,Stk_date,"&lt;="&amp;A88,Stk_commercial,B88,Stk_mouvement,"Casse / avarie")+SUMIFS(Stk_valeur,Stk_date,"&gt;="&amp;A88,Stk_date,"&lt;="&amp;A88,Stk_commercial,B88,Stk_mouvement,"Perte / vol"))</f>
        <v/>
      </c>
      <c r="S88" s="36" t="n"/>
      <c r="T88" s="36" t="n"/>
      <c r="U88" s="36" t="n"/>
      <c r="V88" s="36" t="n"/>
    </row>
    <row r="89" ht="18" customHeight="1">
      <c r="A89" s="32" t="n"/>
      <c r="B89" s="33">
        <f>IF(A89="","",Commercial_Id)</f>
        <v/>
      </c>
      <c r="C89" s="34">
        <f>IF(A89="","",CHOOSE(WEEKDAY(A89,2),"Lundi","Mardi","Mercredi","Jeudi","Vendredi","Samedi","Dimanche"))</f>
        <v/>
      </c>
      <c r="D89" s="34">
        <f>IF(A89="","",YEAR(A89-WEEKDAY(A89,2)+4)&amp;"-S"&amp;TEXT(INT((A89-DATE(YEAR(A89-WEEKDAY(A89,2)+4),1,3)+WEEKDAY(DATE(YEAR(A89-WEEKDAY(A89,2)+4),1,3),2)+5)/7),"00"))</f>
        <v/>
      </c>
      <c r="E89" s="35" t="n"/>
      <c r="F89" s="35" t="n"/>
      <c r="G89" s="36" t="n"/>
      <c r="H89" s="37" t="n"/>
      <c r="I89" s="38">
        <f>IF(OR(E89="",F89=""),"",ROUND((F89-E89)*24,1))</f>
        <v/>
      </c>
      <c r="J89" s="39">
        <f>IF(A89="","",COUNTIFS(VC_date,"&gt;="&amp;A89,VC_date,"&lt;="&amp;A89,VC_commercial,B89,VC_type,"Visite sur place"))</f>
        <v/>
      </c>
      <c r="K89" s="39">
        <f>IF(A89="","",COUNTIFS(VC_date,"&gt;="&amp;A89,VC_date,"&lt;="&amp;A89,VC_commercial,B89,VC_type,"&lt;&gt;Visite sur place",VC_type,"&lt;&gt;"))</f>
        <v/>
      </c>
      <c r="L89" s="39">
        <f>IF(A89="","",COUNTIFS(Cl_creation,"&gt;="&amp;A89,Cl_creation,"&lt;="&amp;A89,Cl_commercial,B89))</f>
        <v/>
      </c>
      <c r="M89" s="39">
        <f>IF(A89="","",COUNTIFS(Cl_vente1,"&gt;="&amp;A89,Cl_vente1,"&lt;="&amp;A89,Cl_commercial,B89))</f>
        <v/>
      </c>
      <c r="N89" s="39">
        <f>IF(A89="","",SUMIFS(Cmd_premiere,Cmd_date,"&gt;="&amp;A89,Cmd_date,"&lt;="&amp;A89,Cmd_commercial,B89,Cmd_statut,"&lt;&gt;Annulée",Cmd_type,"&lt;&gt;Vente directe"))</f>
        <v/>
      </c>
      <c r="O89" s="40">
        <f>IF(A89="","",SUMIFS(Cmd_montant,Cmd_date,"&gt;="&amp;A89,Cmd_date,"&lt;="&amp;A89,Cmd_commercial,B89,Cmd_statut,"&lt;&gt;Annulée",Cmd_type,"&lt;&gt;Vente directe"))</f>
        <v/>
      </c>
      <c r="P89" s="40">
        <f>IF(A89="","",SUMIFS(Cmd_montant,Cmd_dateca,"&gt;="&amp;A89,Cmd_dateca,"&lt;="&amp;A89,Cmd_commercial,B89))</f>
        <v/>
      </c>
      <c r="Q89" s="40">
        <f>IF(A89="","",SUMIFS(Enc_montant,Enc_date,"&gt;="&amp;A89,Enc_date,"&lt;="&amp;A89,Enc_commercial,B89))</f>
        <v/>
      </c>
      <c r="R89" s="40">
        <f>IF(A89="","",SUMIFS(Stk_valeur,Stk_date,"&gt;="&amp;A89,Stk_date,"&lt;="&amp;A89,Stk_commercial,B89,Stk_mouvement,"Casse / avarie")+SUMIFS(Stk_valeur,Stk_date,"&gt;="&amp;A89,Stk_date,"&lt;="&amp;A89,Stk_commercial,B89,Stk_mouvement,"Perte / vol"))</f>
        <v/>
      </c>
      <c r="S89" s="36" t="n"/>
      <c r="T89" s="36" t="n"/>
      <c r="U89" s="36" t="n"/>
      <c r="V89" s="36" t="n"/>
    </row>
    <row r="90" ht="18" customHeight="1">
      <c r="A90" s="32" t="n"/>
      <c r="B90" s="33">
        <f>IF(A90="","",Commercial_Id)</f>
        <v/>
      </c>
      <c r="C90" s="34">
        <f>IF(A90="","",CHOOSE(WEEKDAY(A90,2),"Lundi","Mardi","Mercredi","Jeudi","Vendredi","Samedi","Dimanche"))</f>
        <v/>
      </c>
      <c r="D90" s="34">
        <f>IF(A90="","",YEAR(A90-WEEKDAY(A90,2)+4)&amp;"-S"&amp;TEXT(INT((A90-DATE(YEAR(A90-WEEKDAY(A90,2)+4),1,3)+WEEKDAY(DATE(YEAR(A90-WEEKDAY(A90,2)+4),1,3),2)+5)/7),"00"))</f>
        <v/>
      </c>
      <c r="E90" s="35" t="n"/>
      <c r="F90" s="35" t="n"/>
      <c r="G90" s="36" t="n"/>
      <c r="H90" s="37" t="n"/>
      <c r="I90" s="38">
        <f>IF(OR(E90="",F90=""),"",ROUND((F90-E90)*24,1))</f>
        <v/>
      </c>
      <c r="J90" s="39">
        <f>IF(A90="","",COUNTIFS(VC_date,"&gt;="&amp;A90,VC_date,"&lt;="&amp;A90,VC_commercial,B90,VC_type,"Visite sur place"))</f>
        <v/>
      </c>
      <c r="K90" s="39">
        <f>IF(A90="","",COUNTIFS(VC_date,"&gt;="&amp;A90,VC_date,"&lt;="&amp;A90,VC_commercial,B90,VC_type,"&lt;&gt;Visite sur place",VC_type,"&lt;&gt;"))</f>
        <v/>
      </c>
      <c r="L90" s="39">
        <f>IF(A90="","",COUNTIFS(Cl_creation,"&gt;="&amp;A90,Cl_creation,"&lt;="&amp;A90,Cl_commercial,B90))</f>
        <v/>
      </c>
      <c r="M90" s="39">
        <f>IF(A90="","",COUNTIFS(Cl_vente1,"&gt;="&amp;A90,Cl_vente1,"&lt;="&amp;A90,Cl_commercial,B90))</f>
        <v/>
      </c>
      <c r="N90" s="39">
        <f>IF(A90="","",SUMIFS(Cmd_premiere,Cmd_date,"&gt;="&amp;A90,Cmd_date,"&lt;="&amp;A90,Cmd_commercial,B90,Cmd_statut,"&lt;&gt;Annulée",Cmd_type,"&lt;&gt;Vente directe"))</f>
        <v/>
      </c>
      <c r="O90" s="40">
        <f>IF(A90="","",SUMIFS(Cmd_montant,Cmd_date,"&gt;="&amp;A90,Cmd_date,"&lt;="&amp;A90,Cmd_commercial,B90,Cmd_statut,"&lt;&gt;Annulée",Cmd_type,"&lt;&gt;Vente directe"))</f>
        <v/>
      </c>
      <c r="P90" s="40">
        <f>IF(A90="","",SUMIFS(Cmd_montant,Cmd_dateca,"&gt;="&amp;A90,Cmd_dateca,"&lt;="&amp;A90,Cmd_commercial,B90))</f>
        <v/>
      </c>
      <c r="Q90" s="40">
        <f>IF(A90="","",SUMIFS(Enc_montant,Enc_date,"&gt;="&amp;A90,Enc_date,"&lt;="&amp;A90,Enc_commercial,B90))</f>
        <v/>
      </c>
      <c r="R90" s="40">
        <f>IF(A90="","",SUMIFS(Stk_valeur,Stk_date,"&gt;="&amp;A90,Stk_date,"&lt;="&amp;A90,Stk_commercial,B90,Stk_mouvement,"Casse / avarie")+SUMIFS(Stk_valeur,Stk_date,"&gt;="&amp;A90,Stk_date,"&lt;="&amp;A90,Stk_commercial,B90,Stk_mouvement,"Perte / vol"))</f>
        <v/>
      </c>
      <c r="S90" s="36" t="n"/>
      <c r="T90" s="36" t="n"/>
      <c r="U90" s="36" t="n"/>
      <c r="V90" s="36" t="n"/>
    </row>
    <row r="91" ht="18" customHeight="1">
      <c r="A91" s="32" t="n"/>
      <c r="B91" s="33">
        <f>IF(A91="","",Commercial_Id)</f>
        <v/>
      </c>
      <c r="C91" s="34">
        <f>IF(A91="","",CHOOSE(WEEKDAY(A91,2),"Lundi","Mardi","Mercredi","Jeudi","Vendredi","Samedi","Dimanche"))</f>
        <v/>
      </c>
      <c r="D91" s="34">
        <f>IF(A91="","",YEAR(A91-WEEKDAY(A91,2)+4)&amp;"-S"&amp;TEXT(INT((A91-DATE(YEAR(A91-WEEKDAY(A91,2)+4),1,3)+WEEKDAY(DATE(YEAR(A91-WEEKDAY(A91,2)+4),1,3),2)+5)/7),"00"))</f>
        <v/>
      </c>
      <c r="E91" s="35" t="n"/>
      <c r="F91" s="35" t="n"/>
      <c r="G91" s="36" t="n"/>
      <c r="H91" s="37" t="n"/>
      <c r="I91" s="38">
        <f>IF(OR(E91="",F91=""),"",ROUND((F91-E91)*24,1))</f>
        <v/>
      </c>
      <c r="J91" s="39">
        <f>IF(A91="","",COUNTIFS(VC_date,"&gt;="&amp;A91,VC_date,"&lt;="&amp;A91,VC_commercial,B91,VC_type,"Visite sur place"))</f>
        <v/>
      </c>
      <c r="K91" s="39">
        <f>IF(A91="","",COUNTIFS(VC_date,"&gt;="&amp;A91,VC_date,"&lt;="&amp;A91,VC_commercial,B91,VC_type,"&lt;&gt;Visite sur place",VC_type,"&lt;&gt;"))</f>
        <v/>
      </c>
      <c r="L91" s="39">
        <f>IF(A91="","",COUNTIFS(Cl_creation,"&gt;="&amp;A91,Cl_creation,"&lt;="&amp;A91,Cl_commercial,B91))</f>
        <v/>
      </c>
      <c r="M91" s="39">
        <f>IF(A91="","",COUNTIFS(Cl_vente1,"&gt;="&amp;A91,Cl_vente1,"&lt;="&amp;A91,Cl_commercial,B91))</f>
        <v/>
      </c>
      <c r="N91" s="39">
        <f>IF(A91="","",SUMIFS(Cmd_premiere,Cmd_date,"&gt;="&amp;A91,Cmd_date,"&lt;="&amp;A91,Cmd_commercial,B91,Cmd_statut,"&lt;&gt;Annulée",Cmd_type,"&lt;&gt;Vente directe"))</f>
        <v/>
      </c>
      <c r="O91" s="40">
        <f>IF(A91="","",SUMIFS(Cmd_montant,Cmd_date,"&gt;="&amp;A91,Cmd_date,"&lt;="&amp;A91,Cmd_commercial,B91,Cmd_statut,"&lt;&gt;Annulée",Cmd_type,"&lt;&gt;Vente directe"))</f>
        <v/>
      </c>
      <c r="P91" s="40">
        <f>IF(A91="","",SUMIFS(Cmd_montant,Cmd_dateca,"&gt;="&amp;A91,Cmd_dateca,"&lt;="&amp;A91,Cmd_commercial,B91))</f>
        <v/>
      </c>
      <c r="Q91" s="40">
        <f>IF(A91="","",SUMIFS(Enc_montant,Enc_date,"&gt;="&amp;A91,Enc_date,"&lt;="&amp;A91,Enc_commercial,B91))</f>
        <v/>
      </c>
      <c r="R91" s="40">
        <f>IF(A91="","",SUMIFS(Stk_valeur,Stk_date,"&gt;="&amp;A91,Stk_date,"&lt;="&amp;A91,Stk_commercial,B91,Stk_mouvement,"Casse / avarie")+SUMIFS(Stk_valeur,Stk_date,"&gt;="&amp;A91,Stk_date,"&lt;="&amp;A91,Stk_commercial,B91,Stk_mouvement,"Perte / vol"))</f>
        <v/>
      </c>
      <c r="S91" s="36" t="n"/>
      <c r="T91" s="36" t="n"/>
      <c r="U91" s="36" t="n"/>
      <c r="V91" s="36" t="n"/>
    </row>
    <row r="92" ht="18" customHeight="1">
      <c r="A92" s="32" t="n"/>
      <c r="B92" s="33">
        <f>IF(A92="","",Commercial_Id)</f>
        <v/>
      </c>
      <c r="C92" s="34">
        <f>IF(A92="","",CHOOSE(WEEKDAY(A92,2),"Lundi","Mardi","Mercredi","Jeudi","Vendredi","Samedi","Dimanche"))</f>
        <v/>
      </c>
      <c r="D92" s="34">
        <f>IF(A92="","",YEAR(A92-WEEKDAY(A92,2)+4)&amp;"-S"&amp;TEXT(INT((A92-DATE(YEAR(A92-WEEKDAY(A92,2)+4),1,3)+WEEKDAY(DATE(YEAR(A92-WEEKDAY(A92,2)+4),1,3),2)+5)/7),"00"))</f>
        <v/>
      </c>
      <c r="E92" s="35" t="n"/>
      <c r="F92" s="35" t="n"/>
      <c r="G92" s="36" t="n"/>
      <c r="H92" s="37" t="n"/>
      <c r="I92" s="38">
        <f>IF(OR(E92="",F92=""),"",ROUND((F92-E92)*24,1))</f>
        <v/>
      </c>
      <c r="J92" s="39">
        <f>IF(A92="","",COUNTIFS(VC_date,"&gt;="&amp;A92,VC_date,"&lt;="&amp;A92,VC_commercial,B92,VC_type,"Visite sur place"))</f>
        <v/>
      </c>
      <c r="K92" s="39">
        <f>IF(A92="","",COUNTIFS(VC_date,"&gt;="&amp;A92,VC_date,"&lt;="&amp;A92,VC_commercial,B92,VC_type,"&lt;&gt;Visite sur place",VC_type,"&lt;&gt;"))</f>
        <v/>
      </c>
      <c r="L92" s="39">
        <f>IF(A92="","",COUNTIFS(Cl_creation,"&gt;="&amp;A92,Cl_creation,"&lt;="&amp;A92,Cl_commercial,B92))</f>
        <v/>
      </c>
      <c r="M92" s="39">
        <f>IF(A92="","",COUNTIFS(Cl_vente1,"&gt;="&amp;A92,Cl_vente1,"&lt;="&amp;A92,Cl_commercial,B92))</f>
        <v/>
      </c>
      <c r="N92" s="39">
        <f>IF(A92="","",SUMIFS(Cmd_premiere,Cmd_date,"&gt;="&amp;A92,Cmd_date,"&lt;="&amp;A92,Cmd_commercial,B92,Cmd_statut,"&lt;&gt;Annulée",Cmd_type,"&lt;&gt;Vente directe"))</f>
        <v/>
      </c>
      <c r="O92" s="40">
        <f>IF(A92="","",SUMIFS(Cmd_montant,Cmd_date,"&gt;="&amp;A92,Cmd_date,"&lt;="&amp;A92,Cmd_commercial,B92,Cmd_statut,"&lt;&gt;Annulée",Cmd_type,"&lt;&gt;Vente directe"))</f>
        <v/>
      </c>
      <c r="P92" s="40">
        <f>IF(A92="","",SUMIFS(Cmd_montant,Cmd_dateca,"&gt;="&amp;A92,Cmd_dateca,"&lt;="&amp;A92,Cmd_commercial,B92))</f>
        <v/>
      </c>
      <c r="Q92" s="40">
        <f>IF(A92="","",SUMIFS(Enc_montant,Enc_date,"&gt;="&amp;A92,Enc_date,"&lt;="&amp;A92,Enc_commercial,B92))</f>
        <v/>
      </c>
      <c r="R92" s="40">
        <f>IF(A92="","",SUMIFS(Stk_valeur,Stk_date,"&gt;="&amp;A92,Stk_date,"&lt;="&amp;A92,Stk_commercial,B92,Stk_mouvement,"Casse / avarie")+SUMIFS(Stk_valeur,Stk_date,"&gt;="&amp;A92,Stk_date,"&lt;="&amp;A92,Stk_commercial,B92,Stk_mouvement,"Perte / vol"))</f>
        <v/>
      </c>
      <c r="S92" s="36" t="n"/>
      <c r="T92" s="36" t="n"/>
      <c r="U92" s="36" t="n"/>
      <c r="V92" s="36" t="n"/>
    </row>
    <row r="93" ht="18" customHeight="1">
      <c r="A93" s="32" t="n"/>
      <c r="B93" s="33">
        <f>IF(A93="","",Commercial_Id)</f>
        <v/>
      </c>
      <c r="C93" s="34">
        <f>IF(A93="","",CHOOSE(WEEKDAY(A93,2),"Lundi","Mardi","Mercredi","Jeudi","Vendredi","Samedi","Dimanche"))</f>
        <v/>
      </c>
      <c r="D93" s="34">
        <f>IF(A93="","",YEAR(A93-WEEKDAY(A93,2)+4)&amp;"-S"&amp;TEXT(INT((A93-DATE(YEAR(A93-WEEKDAY(A93,2)+4),1,3)+WEEKDAY(DATE(YEAR(A93-WEEKDAY(A93,2)+4),1,3),2)+5)/7),"00"))</f>
        <v/>
      </c>
      <c r="E93" s="35" t="n"/>
      <c r="F93" s="35" t="n"/>
      <c r="G93" s="36" t="n"/>
      <c r="H93" s="37" t="n"/>
      <c r="I93" s="38">
        <f>IF(OR(E93="",F93=""),"",ROUND((F93-E93)*24,1))</f>
        <v/>
      </c>
      <c r="J93" s="39">
        <f>IF(A93="","",COUNTIFS(VC_date,"&gt;="&amp;A93,VC_date,"&lt;="&amp;A93,VC_commercial,B93,VC_type,"Visite sur place"))</f>
        <v/>
      </c>
      <c r="K93" s="39">
        <f>IF(A93="","",COUNTIFS(VC_date,"&gt;="&amp;A93,VC_date,"&lt;="&amp;A93,VC_commercial,B93,VC_type,"&lt;&gt;Visite sur place",VC_type,"&lt;&gt;"))</f>
        <v/>
      </c>
      <c r="L93" s="39">
        <f>IF(A93="","",COUNTIFS(Cl_creation,"&gt;="&amp;A93,Cl_creation,"&lt;="&amp;A93,Cl_commercial,B93))</f>
        <v/>
      </c>
      <c r="M93" s="39">
        <f>IF(A93="","",COUNTIFS(Cl_vente1,"&gt;="&amp;A93,Cl_vente1,"&lt;="&amp;A93,Cl_commercial,B93))</f>
        <v/>
      </c>
      <c r="N93" s="39">
        <f>IF(A93="","",SUMIFS(Cmd_premiere,Cmd_date,"&gt;="&amp;A93,Cmd_date,"&lt;="&amp;A93,Cmd_commercial,B93,Cmd_statut,"&lt;&gt;Annulée",Cmd_type,"&lt;&gt;Vente directe"))</f>
        <v/>
      </c>
      <c r="O93" s="40">
        <f>IF(A93="","",SUMIFS(Cmd_montant,Cmd_date,"&gt;="&amp;A93,Cmd_date,"&lt;="&amp;A93,Cmd_commercial,B93,Cmd_statut,"&lt;&gt;Annulée",Cmd_type,"&lt;&gt;Vente directe"))</f>
        <v/>
      </c>
      <c r="P93" s="40">
        <f>IF(A93="","",SUMIFS(Cmd_montant,Cmd_dateca,"&gt;="&amp;A93,Cmd_dateca,"&lt;="&amp;A93,Cmd_commercial,B93))</f>
        <v/>
      </c>
      <c r="Q93" s="40">
        <f>IF(A93="","",SUMIFS(Enc_montant,Enc_date,"&gt;="&amp;A93,Enc_date,"&lt;="&amp;A93,Enc_commercial,B93))</f>
        <v/>
      </c>
      <c r="R93" s="40">
        <f>IF(A93="","",SUMIFS(Stk_valeur,Stk_date,"&gt;="&amp;A93,Stk_date,"&lt;="&amp;A93,Stk_commercial,B93,Stk_mouvement,"Casse / avarie")+SUMIFS(Stk_valeur,Stk_date,"&gt;="&amp;A93,Stk_date,"&lt;="&amp;A93,Stk_commercial,B93,Stk_mouvement,"Perte / vol"))</f>
        <v/>
      </c>
      <c r="S93" s="36" t="n"/>
      <c r="T93" s="36" t="n"/>
      <c r="U93" s="36" t="n"/>
      <c r="V93" s="36" t="n"/>
    </row>
    <row r="94" ht="18" customHeight="1">
      <c r="A94" s="32" t="n"/>
      <c r="B94" s="33">
        <f>IF(A94="","",Commercial_Id)</f>
        <v/>
      </c>
      <c r="C94" s="34">
        <f>IF(A94="","",CHOOSE(WEEKDAY(A94,2),"Lundi","Mardi","Mercredi","Jeudi","Vendredi","Samedi","Dimanche"))</f>
        <v/>
      </c>
      <c r="D94" s="34">
        <f>IF(A94="","",YEAR(A94-WEEKDAY(A94,2)+4)&amp;"-S"&amp;TEXT(INT((A94-DATE(YEAR(A94-WEEKDAY(A94,2)+4),1,3)+WEEKDAY(DATE(YEAR(A94-WEEKDAY(A94,2)+4),1,3),2)+5)/7),"00"))</f>
        <v/>
      </c>
      <c r="E94" s="35" t="n"/>
      <c r="F94" s="35" t="n"/>
      <c r="G94" s="36" t="n"/>
      <c r="H94" s="37" t="n"/>
      <c r="I94" s="38">
        <f>IF(OR(E94="",F94=""),"",ROUND((F94-E94)*24,1))</f>
        <v/>
      </c>
      <c r="J94" s="39">
        <f>IF(A94="","",COUNTIFS(VC_date,"&gt;="&amp;A94,VC_date,"&lt;="&amp;A94,VC_commercial,B94,VC_type,"Visite sur place"))</f>
        <v/>
      </c>
      <c r="K94" s="39">
        <f>IF(A94="","",COUNTIFS(VC_date,"&gt;="&amp;A94,VC_date,"&lt;="&amp;A94,VC_commercial,B94,VC_type,"&lt;&gt;Visite sur place",VC_type,"&lt;&gt;"))</f>
        <v/>
      </c>
      <c r="L94" s="39">
        <f>IF(A94="","",COUNTIFS(Cl_creation,"&gt;="&amp;A94,Cl_creation,"&lt;="&amp;A94,Cl_commercial,B94))</f>
        <v/>
      </c>
      <c r="M94" s="39">
        <f>IF(A94="","",COUNTIFS(Cl_vente1,"&gt;="&amp;A94,Cl_vente1,"&lt;="&amp;A94,Cl_commercial,B94))</f>
        <v/>
      </c>
      <c r="N94" s="39">
        <f>IF(A94="","",SUMIFS(Cmd_premiere,Cmd_date,"&gt;="&amp;A94,Cmd_date,"&lt;="&amp;A94,Cmd_commercial,B94,Cmd_statut,"&lt;&gt;Annulée",Cmd_type,"&lt;&gt;Vente directe"))</f>
        <v/>
      </c>
      <c r="O94" s="40">
        <f>IF(A94="","",SUMIFS(Cmd_montant,Cmd_date,"&gt;="&amp;A94,Cmd_date,"&lt;="&amp;A94,Cmd_commercial,B94,Cmd_statut,"&lt;&gt;Annulée",Cmd_type,"&lt;&gt;Vente directe"))</f>
        <v/>
      </c>
      <c r="P94" s="40">
        <f>IF(A94="","",SUMIFS(Cmd_montant,Cmd_dateca,"&gt;="&amp;A94,Cmd_dateca,"&lt;="&amp;A94,Cmd_commercial,B94))</f>
        <v/>
      </c>
      <c r="Q94" s="40">
        <f>IF(A94="","",SUMIFS(Enc_montant,Enc_date,"&gt;="&amp;A94,Enc_date,"&lt;="&amp;A94,Enc_commercial,B94))</f>
        <v/>
      </c>
      <c r="R94" s="40">
        <f>IF(A94="","",SUMIFS(Stk_valeur,Stk_date,"&gt;="&amp;A94,Stk_date,"&lt;="&amp;A94,Stk_commercial,B94,Stk_mouvement,"Casse / avarie")+SUMIFS(Stk_valeur,Stk_date,"&gt;="&amp;A94,Stk_date,"&lt;="&amp;A94,Stk_commercial,B94,Stk_mouvement,"Perte / vol"))</f>
        <v/>
      </c>
      <c r="S94" s="36" t="n"/>
      <c r="T94" s="36" t="n"/>
      <c r="U94" s="36" t="n"/>
      <c r="V94" s="36" t="n"/>
    </row>
    <row r="95" ht="18" customHeight="1">
      <c r="A95" s="32" t="n"/>
      <c r="B95" s="33">
        <f>IF(A95="","",Commercial_Id)</f>
        <v/>
      </c>
      <c r="C95" s="34">
        <f>IF(A95="","",CHOOSE(WEEKDAY(A95,2),"Lundi","Mardi","Mercredi","Jeudi","Vendredi","Samedi","Dimanche"))</f>
        <v/>
      </c>
      <c r="D95" s="34">
        <f>IF(A95="","",YEAR(A95-WEEKDAY(A95,2)+4)&amp;"-S"&amp;TEXT(INT((A95-DATE(YEAR(A95-WEEKDAY(A95,2)+4),1,3)+WEEKDAY(DATE(YEAR(A95-WEEKDAY(A95,2)+4),1,3),2)+5)/7),"00"))</f>
        <v/>
      </c>
      <c r="E95" s="35" t="n"/>
      <c r="F95" s="35" t="n"/>
      <c r="G95" s="36" t="n"/>
      <c r="H95" s="37" t="n"/>
      <c r="I95" s="38">
        <f>IF(OR(E95="",F95=""),"",ROUND((F95-E95)*24,1))</f>
        <v/>
      </c>
      <c r="J95" s="39">
        <f>IF(A95="","",COUNTIFS(VC_date,"&gt;="&amp;A95,VC_date,"&lt;="&amp;A95,VC_commercial,B95,VC_type,"Visite sur place"))</f>
        <v/>
      </c>
      <c r="K95" s="39">
        <f>IF(A95="","",COUNTIFS(VC_date,"&gt;="&amp;A95,VC_date,"&lt;="&amp;A95,VC_commercial,B95,VC_type,"&lt;&gt;Visite sur place",VC_type,"&lt;&gt;"))</f>
        <v/>
      </c>
      <c r="L95" s="39">
        <f>IF(A95="","",COUNTIFS(Cl_creation,"&gt;="&amp;A95,Cl_creation,"&lt;="&amp;A95,Cl_commercial,B95))</f>
        <v/>
      </c>
      <c r="M95" s="39">
        <f>IF(A95="","",COUNTIFS(Cl_vente1,"&gt;="&amp;A95,Cl_vente1,"&lt;="&amp;A95,Cl_commercial,B95))</f>
        <v/>
      </c>
      <c r="N95" s="39">
        <f>IF(A95="","",SUMIFS(Cmd_premiere,Cmd_date,"&gt;="&amp;A95,Cmd_date,"&lt;="&amp;A95,Cmd_commercial,B95,Cmd_statut,"&lt;&gt;Annulée",Cmd_type,"&lt;&gt;Vente directe"))</f>
        <v/>
      </c>
      <c r="O95" s="40">
        <f>IF(A95="","",SUMIFS(Cmd_montant,Cmd_date,"&gt;="&amp;A95,Cmd_date,"&lt;="&amp;A95,Cmd_commercial,B95,Cmd_statut,"&lt;&gt;Annulée",Cmd_type,"&lt;&gt;Vente directe"))</f>
        <v/>
      </c>
      <c r="P95" s="40">
        <f>IF(A95="","",SUMIFS(Cmd_montant,Cmd_dateca,"&gt;="&amp;A95,Cmd_dateca,"&lt;="&amp;A95,Cmd_commercial,B95))</f>
        <v/>
      </c>
      <c r="Q95" s="40">
        <f>IF(A95="","",SUMIFS(Enc_montant,Enc_date,"&gt;="&amp;A95,Enc_date,"&lt;="&amp;A95,Enc_commercial,B95))</f>
        <v/>
      </c>
      <c r="R95" s="40">
        <f>IF(A95="","",SUMIFS(Stk_valeur,Stk_date,"&gt;="&amp;A95,Stk_date,"&lt;="&amp;A95,Stk_commercial,B95,Stk_mouvement,"Casse / avarie")+SUMIFS(Stk_valeur,Stk_date,"&gt;="&amp;A95,Stk_date,"&lt;="&amp;A95,Stk_commercial,B95,Stk_mouvement,"Perte / vol"))</f>
        <v/>
      </c>
      <c r="S95" s="36" t="n"/>
      <c r="T95" s="36" t="n"/>
      <c r="U95" s="36" t="n"/>
      <c r="V95" s="36" t="n"/>
    </row>
    <row r="96" ht="18" customHeight="1">
      <c r="A96" s="32" t="n"/>
      <c r="B96" s="33">
        <f>IF(A96="","",Commercial_Id)</f>
        <v/>
      </c>
      <c r="C96" s="34">
        <f>IF(A96="","",CHOOSE(WEEKDAY(A96,2),"Lundi","Mardi","Mercredi","Jeudi","Vendredi","Samedi","Dimanche"))</f>
        <v/>
      </c>
      <c r="D96" s="34">
        <f>IF(A96="","",YEAR(A96-WEEKDAY(A96,2)+4)&amp;"-S"&amp;TEXT(INT((A96-DATE(YEAR(A96-WEEKDAY(A96,2)+4),1,3)+WEEKDAY(DATE(YEAR(A96-WEEKDAY(A96,2)+4),1,3),2)+5)/7),"00"))</f>
        <v/>
      </c>
      <c r="E96" s="35" t="n"/>
      <c r="F96" s="35" t="n"/>
      <c r="G96" s="36" t="n"/>
      <c r="H96" s="37" t="n"/>
      <c r="I96" s="38">
        <f>IF(OR(E96="",F96=""),"",ROUND((F96-E96)*24,1))</f>
        <v/>
      </c>
      <c r="J96" s="39">
        <f>IF(A96="","",COUNTIFS(VC_date,"&gt;="&amp;A96,VC_date,"&lt;="&amp;A96,VC_commercial,B96,VC_type,"Visite sur place"))</f>
        <v/>
      </c>
      <c r="K96" s="39">
        <f>IF(A96="","",COUNTIFS(VC_date,"&gt;="&amp;A96,VC_date,"&lt;="&amp;A96,VC_commercial,B96,VC_type,"&lt;&gt;Visite sur place",VC_type,"&lt;&gt;"))</f>
        <v/>
      </c>
      <c r="L96" s="39">
        <f>IF(A96="","",COUNTIFS(Cl_creation,"&gt;="&amp;A96,Cl_creation,"&lt;="&amp;A96,Cl_commercial,B96))</f>
        <v/>
      </c>
      <c r="M96" s="39">
        <f>IF(A96="","",COUNTIFS(Cl_vente1,"&gt;="&amp;A96,Cl_vente1,"&lt;="&amp;A96,Cl_commercial,B96))</f>
        <v/>
      </c>
      <c r="N96" s="39">
        <f>IF(A96="","",SUMIFS(Cmd_premiere,Cmd_date,"&gt;="&amp;A96,Cmd_date,"&lt;="&amp;A96,Cmd_commercial,B96,Cmd_statut,"&lt;&gt;Annulée",Cmd_type,"&lt;&gt;Vente directe"))</f>
        <v/>
      </c>
      <c r="O96" s="40">
        <f>IF(A96="","",SUMIFS(Cmd_montant,Cmd_date,"&gt;="&amp;A96,Cmd_date,"&lt;="&amp;A96,Cmd_commercial,B96,Cmd_statut,"&lt;&gt;Annulée",Cmd_type,"&lt;&gt;Vente directe"))</f>
        <v/>
      </c>
      <c r="P96" s="40">
        <f>IF(A96="","",SUMIFS(Cmd_montant,Cmd_dateca,"&gt;="&amp;A96,Cmd_dateca,"&lt;="&amp;A96,Cmd_commercial,B96))</f>
        <v/>
      </c>
      <c r="Q96" s="40">
        <f>IF(A96="","",SUMIFS(Enc_montant,Enc_date,"&gt;="&amp;A96,Enc_date,"&lt;="&amp;A96,Enc_commercial,B96))</f>
        <v/>
      </c>
      <c r="R96" s="40">
        <f>IF(A96="","",SUMIFS(Stk_valeur,Stk_date,"&gt;="&amp;A96,Stk_date,"&lt;="&amp;A96,Stk_commercial,B96,Stk_mouvement,"Casse / avarie")+SUMIFS(Stk_valeur,Stk_date,"&gt;="&amp;A96,Stk_date,"&lt;="&amp;A96,Stk_commercial,B96,Stk_mouvement,"Perte / vol"))</f>
        <v/>
      </c>
      <c r="S96" s="36" t="n"/>
      <c r="T96" s="36" t="n"/>
      <c r="U96" s="36" t="n"/>
      <c r="V96" s="36" t="n"/>
    </row>
    <row r="97" ht="18" customHeight="1">
      <c r="A97" s="32" t="n"/>
      <c r="B97" s="33">
        <f>IF(A97="","",Commercial_Id)</f>
        <v/>
      </c>
      <c r="C97" s="34">
        <f>IF(A97="","",CHOOSE(WEEKDAY(A97,2),"Lundi","Mardi","Mercredi","Jeudi","Vendredi","Samedi","Dimanche"))</f>
        <v/>
      </c>
      <c r="D97" s="34">
        <f>IF(A97="","",YEAR(A97-WEEKDAY(A97,2)+4)&amp;"-S"&amp;TEXT(INT((A97-DATE(YEAR(A97-WEEKDAY(A97,2)+4),1,3)+WEEKDAY(DATE(YEAR(A97-WEEKDAY(A97,2)+4),1,3),2)+5)/7),"00"))</f>
        <v/>
      </c>
      <c r="E97" s="35" t="n"/>
      <c r="F97" s="35" t="n"/>
      <c r="G97" s="36" t="n"/>
      <c r="H97" s="37" t="n"/>
      <c r="I97" s="38">
        <f>IF(OR(E97="",F97=""),"",ROUND((F97-E97)*24,1))</f>
        <v/>
      </c>
      <c r="J97" s="39">
        <f>IF(A97="","",COUNTIFS(VC_date,"&gt;="&amp;A97,VC_date,"&lt;="&amp;A97,VC_commercial,B97,VC_type,"Visite sur place"))</f>
        <v/>
      </c>
      <c r="K97" s="39">
        <f>IF(A97="","",COUNTIFS(VC_date,"&gt;="&amp;A97,VC_date,"&lt;="&amp;A97,VC_commercial,B97,VC_type,"&lt;&gt;Visite sur place",VC_type,"&lt;&gt;"))</f>
        <v/>
      </c>
      <c r="L97" s="39">
        <f>IF(A97="","",COUNTIFS(Cl_creation,"&gt;="&amp;A97,Cl_creation,"&lt;="&amp;A97,Cl_commercial,B97))</f>
        <v/>
      </c>
      <c r="M97" s="39">
        <f>IF(A97="","",COUNTIFS(Cl_vente1,"&gt;="&amp;A97,Cl_vente1,"&lt;="&amp;A97,Cl_commercial,B97))</f>
        <v/>
      </c>
      <c r="N97" s="39">
        <f>IF(A97="","",SUMIFS(Cmd_premiere,Cmd_date,"&gt;="&amp;A97,Cmd_date,"&lt;="&amp;A97,Cmd_commercial,B97,Cmd_statut,"&lt;&gt;Annulée",Cmd_type,"&lt;&gt;Vente directe"))</f>
        <v/>
      </c>
      <c r="O97" s="40">
        <f>IF(A97="","",SUMIFS(Cmd_montant,Cmd_date,"&gt;="&amp;A97,Cmd_date,"&lt;="&amp;A97,Cmd_commercial,B97,Cmd_statut,"&lt;&gt;Annulée",Cmd_type,"&lt;&gt;Vente directe"))</f>
        <v/>
      </c>
      <c r="P97" s="40">
        <f>IF(A97="","",SUMIFS(Cmd_montant,Cmd_dateca,"&gt;="&amp;A97,Cmd_dateca,"&lt;="&amp;A97,Cmd_commercial,B97))</f>
        <v/>
      </c>
      <c r="Q97" s="40">
        <f>IF(A97="","",SUMIFS(Enc_montant,Enc_date,"&gt;="&amp;A97,Enc_date,"&lt;="&amp;A97,Enc_commercial,B97))</f>
        <v/>
      </c>
      <c r="R97" s="40">
        <f>IF(A97="","",SUMIFS(Stk_valeur,Stk_date,"&gt;="&amp;A97,Stk_date,"&lt;="&amp;A97,Stk_commercial,B97,Stk_mouvement,"Casse / avarie")+SUMIFS(Stk_valeur,Stk_date,"&gt;="&amp;A97,Stk_date,"&lt;="&amp;A97,Stk_commercial,B97,Stk_mouvement,"Perte / vol"))</f>
        <v/>
      </c>
      <c r="S97" s="36" t="n"/>
      <c r="T97" s="36" t="n"/>
      <c r="U97" s="36" t="n"/>
      <c r="V97" s="36" t="n"/>
    </row>
    <row r="98" ht="18" customHeight="1">
      <c r="A98" s="32" t="n"/>
      <c r="B98" s="33">
        <f>IF(A98="","",Commercial_Id)</f>
        <v/>
      </c>
      <c r="C98" s="34">
        <f>IF(A98="","",CHOOSE(WEEKDAY(A98,2),"Lundi","Mardi","Mercredi","Jeudi","Vendredi","Samedi","Dimanche"))</f>
        <v/>
      </c>
      <c r="D98" s="34">
        <f>IF(A98="","",YEAR(A98-WEEKDAY(A98,2)+4)&amp;"-S"&amp;TEXT(INT((A98-DATE(YEAR(A98-WEEKDAY(A98,2)+4),1,3)+WEEKDAY(DATE(YEAR(A98-WEEKDAY(A98,2)+4),1,3),2)+5)/7),"00"))</f>
        <v/>
      </c>
      <c r="E98" s="35" t="n"/>
      <c r="F98" s="35" t="n"/>
      <c r="G98" s="36" t="n"/>
      <c r="H98" s="37" t="n"/>
      <c r="I98" s="38">
        <f>IF(OR(E98="",F98=""),"",ROUND((F98-E98)*24,1))</f>
        <v/>
      </c>
      <c r="J98" s="39">
        <f>IF(A98="","",COUNTIFS(VC_date,"&gt;="&amp;A98,VC_date,"&lt;="&amp;A98,VC_commercial,B98,VC_type,"Visite sur place"))</f>
        <v/>
      </c>
      <c r="K98" s="39">
        <f>IF(A98="","",COUNTIFS(VC_date,"&gt;="&amp;A98,VC_date,"&lt;="&amp;A98,VC_commercial,B98,VC_type,"&lt;&gt;Visite sur place",VC_type,"&lt;&gt;"))</f>
        <v/>
      </c>
      <c r="L98" s="39">
        <f>IF(A98="","",COUNTIFS(Cl_creation,"&gt;="&amp;A98,Cl_creation,"&lt;="&amp;A98,Cl_commercial,B98))</f>
        <v/>
      </c>
      <c r="M98" s="39">
        <f>IF(A98="","",COUNTIFS(Cl_vente1,"&gt;="&amp;A98,Cl_vente1,"&lt;="&amp;A98,Cl_commercial,B98))</f>
        <v/>
      </c>
      <c r="N98" s="39">
        <f>IF(A98="","",SUMIFS(Cmd_premiere,Cmd_date,"&gt;="&amp;A98,Cmd_date,"&lt;="&amp;A98,Cmd_commercial,B98,Cmd_statut,"&lt;&gt;Annulée",Cmd_type,"&lt;&gt;Vente directe"))</f>
        <v/>
      </c>
      <c r="O98" s="40">
        <f>IF(A98="","",SUMIFS(Cmd_montant,Cmd_date,"&gt;="&amp;A98,Cmd_date,"&lt;="&amp;A98,Cmd_commercial,B98,Cmd_statut,"&lt;&gt;Annulée",Cmd_type,"&lt;&gt;Vente directe"))</f>
        <v/>
      </c>
      <c r="P98" s="40">
        <f>IF(A98="","",SUMIFS(Cmd_montant,Cmd_dateca,"&gt;="&amp;A98,Cmd_dateca,"&lt;="&amp;A98,Cmd_commercial,B98))</f>
        <v/>
      </c>
      <c r="Q98" s="40">
        <f>IF(A98="","",SUMIFS(Enc_montant,Enc_date,"&gt;="&amp;A98,Enc_date,"&lt;="&amp;A98,Enc_commercial,B98))</f>
        <v/>
      </c>
      <c r="R98" s="40">
        <f>IF(A98="","",SUMIFS(Stk_valeur,Stk_date,"&gt;="&amp;A98,Stk_date,"&lt;="&amp;A98,Stk_commercial,B98,Stk_mouvement,"Casse / avarie")+SUMIFS(Stk_valeur,Stk_date,"&gt;="&amp;A98,Stk_date,"&lt;="&amp;A98,Stk_commercial,B98,Stk_mouvement,"Perte / vol"))</f>
        <v/>
      </c>
      <c r="S98" s="36" t="n"/>
      <c r="T98" s="36" t="n"/>
      <c r="U98" s="36" t="n"/>
      <c r="V98" s="36" t="n"/>
    </row>
    <row r="99" ht="18" customHeight="1">
      <c r="A99" s="32" t="n"/>
      <c r="B99" s="33">
        <f>IF(A99="","",Commercial_Id)</f>
        <v/>
      </c>
      <c r="C99" s="34">
        <f>IF(A99="","",CHOOSE(WEEKDAY(A99,2),"Lundi","Mardi","Mercredi","Jeudi","Vendredi","Samedi","Dimanche"))</f>
        <v/>
      </c>
      <c r="D99" s="34">
        <f>IF(A99="","",YEAR(A99-WEEKDAY(A99,2)+4)&amp;"-S"&amp;TEXT(INT((A99-DATE(YEAR(A99-WEEKDAY(A99,2)+4),1,3)+WEEKDAY(DATE(YEAR(A99-WEEKDAY(A99,2)+4),1,3),2)+5)/7),"00"))</f>
        <v/>
      </c>
      <c r="E99" s="35" t="n"/>
      <c r="F99" s="35" t="n"/>
      <c r="G99" s="36" t="n"/>
      <c r="H99" s="37" t="n"/>
      <c r="I99" s="38">
        <f>IF(OR(E99="",F99=""),"",ROUND((F99-E99)*24,1))</f>
        <v/>
      </c>
      <c r="J99" s="39">
        <f>IF(A99="","",COUNTIFS(VC_date,"&gt;="&amp;A99,VC_date,"&lt;="&amp;A99,VC_commercial,B99,VC_type,"Visite sur place"))</f>
        <v/>
      </c>
      <c r="K99" s="39">
        <f>IF(A99="","",COUNTIFS(VC_date,"&gt;="&amp;A99,VC_date,"&lt;="&amp;A99,VC_commercial,B99,VC_type,"&lt;&gt;Visite sur place",VC_type,"&lt;&gt;"))</f>
        <v/>
      </c>
      <c r="L99" s="39">
        <f>IF(A99="","",COUNTIFS(Cl_creation,"&gt;="&amp;A99,Cl_creation,"&lt;="&amp;A99,Cl_commercial,B99))</f>
        <v/>
      </c>
      <c r="M99" s="39">
        <f>IF(A99="","",COUNTIFS(Cl_vente1,"&gt;="&amp;A99,Cl_vente1,"&lt;="&amp;A99,Cl_commercial,B99))</f>
        <v/>
      </c>
      <c r="N99" s="39">
        <f>IF(A99="","",SUMIFS(Cmd_premiere,Cmd_date,"&gt;="&amp;A99,Cmd_date,"&lt;="&amp;A99,Cmd_commercial,B99,Cmd_statut,"&lt;&gt;Annulée",Cmd_type,"&lt;&gt;Vente directe"))</f>
        <v/>
      </c>
      <c r="O99" s="40">
        <f>IF(A99="","",SUMIFS(Cmd_montant,Cmd_date,"&gt;="&amp;A99,Cmd_date,"&lt;="&amp;A99,Cmd_commercial,B99,Cmd_statut,"&lt;&gt;Annulée",Cmd_type,"&lt;&gt;Vente directe"))</f>
        <v/>
      </c>
      <c r="P99" s="40">
        <f>IF(A99="","",SUMIFS(Cmd_montant,Cmd_dateca,"&gt;="&amp;A99,Cmd_dateca,"&lt;="&amp;A99,Cmd_commercial,B99))</f>
        <v/>
      </c>
      <c r="Q99" s="40">
        <f>IF(A99="","",SUMIFS(Enc_montant,Enc_date,"&gt;="&amp;A99,Enc_date,"&lt;="&amp;A99,Enc_commercial,B99))</f>
        <v/>
      </c>
      <c r="R99" s="40">
        <f>IF(A99="","",SUMIFS(Stk_valeur,Stk_date,"&gt;="&amp;A99,Stk_date,"&lt;="&amp;A99,Stk_commercial,B99,Stk_mouvement,"Casse / avarie")+SUMIFS(Stk_valeur,Stk_date,"&gt;="&amp;A99,Stk_date,"&lt;="&amp;A99,Stk_commercial,B99,Stk_mouvement,"Perte / vol"))</f>
        <v/>
      </c>
      <c r="S99" s="36" t="n"/>
      <c r="T99" s="36" t="n"/>
      <c r="U99" s="36" t="n"/>
      <c r="V99" s="36" t="n"/>
    </row>
    <row r="100" ht="18" customHeight="1">
      <c r="A100" s="32" t="n"/>
      <c r="B100" s="33">
        <f>IF(A100="","",Commercial_Id)</f>
        <v/>
      </c>
      <c r="C100" s="34">
        <f>IF(A100="","",CHOOSE(WEEKDAY(A100,2),"Lundi","Mardi","Mercredi","Jeudi","Vendredi","Samedi","Dimanche"))</f>
        <v/>
      </c>
      <c r="D100" s="34">
        <f>IF(A100="","",YEAR(A100-WEEKDAY(A100,2)+4)&amp;"-S"&amp;TEXT(INT((A100-DATE(YEAR(A100-WEEKDAY(A100,2)+4),1,3)+WEEKDAY(DATE(YEAR(A100-WEEKDAY(A100,2)+4),1,3),2)+5)/7),"00"))</f>
        <v/>
      </c>
      <c r="E100" s="35" t="n"/>
      <c r="F100" s="35" t="n"/>
      <c r="G100" s="36" t="n"/>
      <c r="H100" s="37" t="n"/>
      <c r="I100" s="38">
        <f>IF(OR(E100="",F100=""),"",ROUND((F100-E100)*24,1))</f>
        <v/>
      </c>
      <c r="J100" s="39">
        <f>IF(A100="","",COUNTIFS(VC_date,"&gt;="&amp;A100,VC_date,"&lt;="&amp;A100,VC_commercial,B100,VC_type,"Visite sur place"))</f>
        <v/>
      </c>
      <c r="K100" s="39">
        <f>IF(A100="","",COUNTIFS(VC_date,"&gt;="&amp;A100,VC_date,"&lt;="&amp;A100,VC_commercial,B100,VC_type,"&lt;&gt;Visite sur place",VC_type,"&lt;&gt;"))</f>
        <v/>
      </c>
      <c r="L100" s="39">
        <f>IF(A100="","",COUNTIFS(Cl_creation,"&gt;="&amp;A100,Cl_creation,"&lt;="&amp;A100,Cl_commercial,B100))</f>
        <v/>
      </c>
      <c r="M100" s="39">
        <f>IF(A100="","",COUNTIFS(Cl_vente1,"&gt;="&amp;A100,Cl_vente1,"&lt;="&amp;A100,Cl_commercial,B100))</f>
        <v/>
      </c>
      <c r="N100" s="39">
        <f>IF(A100="","",SUMIFS(Cmd_premiere,Cmd_date,"&gt;="&amp;A100,Cmd_date,"&lt;="&amp;A100,Cmd_commercial,B100,Cmd_statut,"&lt;&gt;Annulée",Cmd_type,"&lt;&gt;Vente directe"))</f>
        <v/>
      </c>
      <c r="O100" s="40">
        <f>IF(A100="","",SUMIFS(Cmd_montant,Cmd_date,"&gt;="&amp;A100,Cmd_date,"&lt;="&amp;A100,Cmd_commercial,B100,Cmd_statut,"&lt;&gt;Annulée",Cmd_type,"&lt;&gt;Vente directe"))</f>
        <v/>
      </c>
      <c r="P100" s="40">
        <f>IF(A100="","",SUMIFS(Cmd_montant,Cmd_dateca,"&gt;="&amp;A100,Cmd_dateca,"&lt;="&amp;A100,Cmd_commercial,B100))</f>
        <v/>
      </c>
      <c r="Q100" s="40">
        <f>IF(A100="","",SUMIFS(Enc_montant,Enc_date,"&gt;="&amp;A100,Enc_date,"&lt;="&amp;A100,Enc_commercial,B100))</f>
        <v/>
      </c>
      <c r="R100" s="40">
        <f>IF(A100="","",SUMIFS(Stk_valeur,Stk_date,"&gt;="&amp;A100,Stk_date,"&lt;="&amp;A100,Stk_commercial,B100,Stk_mouvement,"Casse / avarie")+SUMIFS(Stk_valeur,Stk_date,"&gt;="&amp;A100,Stk_date,"&lt;="&amp;A100,Stk_commercial,B100,Stk_mouvement,"Perte / vol"))</f>
        <v/>
      </c>
      <c r="S100" s="36" t="n"/>
      <c r="T100" s="36" t="n"/>
      <c r="U100" s="36" t="n"/>
      <c r="V100" s="36" t="n"/>
    </row>
    <row r="101" ht="18" customHeight="1">
      <c r="A101" s="32" t="n"/>
      <c r="B101" s="33">
        <f>IF(A101="","",Commercial_Id)</f>
        <v/>
      </c>
      <c r="C101" s="34">
        <f>IF(A101="","",CHOOSE(WEEKDAY(A101,2),"Lundi","Mardi","Mercredi","Jeudi","Vendredi","Samedi","Dimanche"))</f>
        <v/>
      </c>
      <c r="D101" s="34">
        <f>IF(A101="","",YEAR(A101-WEEKDAY(A101,2)+4)&amp;"-S"&amp;TEXT(INT((A101-DATE(YEAR(A101-WEEKDAY(A101,2)+4),1,3)+WEEKDAY(DATE(YEAR(A101-WEEKDAY(A101,2)+4),1,3),2)+5)/7),"00"))</f>
        <v/>
      </c>
      <c r="E101" s="35" t="n"/>
      <c r="F101" s="35" t="n"/>
      <c r="G101" s="36" t="n"/>
      <c r="H101" s="37" t="n"/>
      <c r="I101" s="38">
        <f>IF(OR(E101="",F101=""),"",ROUND((F101-E101)*24,1))</f>
        <v/>
      </c>
      <c r="J101" s="39">
        <f>IF(A101="","",COUNTIFS(VC_date,"&gt;="&amp;A101,VC_date,"&lt;="&amp;A101,VC_commercial,B101,VC_type,"Visite sur place"))</f>
        <v/>
      </c>
      <c r="K101" s="39">
        <f>IF(A101="","",COUNTIFS(VC_date,"&gt;="&amp;A101,VC_date,"&lt;="&amp;A101,VC_commercial,B101,VC_type,"&lt;&gt;Visite sur place",VC_type,"&lt;&gt;"))</f>
        <v/>
      </c>
      <c r="L101" s="39">
        <f>IF(A101="","",COUNTIFS(Cl_creation,"&gt;="&amp;A101,Cl_creation,"&lt;="&amp;A101,Cl_commercial,B101))</f>
        <v/>
      </c>
      <c r="M101" s="39">
        <f>IF(A101="","",COUNTIFS(Cl_vente1,"&gt;="&amp;A101,Cl_vente1,"&lt;="&amp;A101,Cl_commercial,B101))</f>
        <v/>
      </c>
      <c r="N101" s="39">
        <f>IF(A101="","",SUMIFS(Cmd_premiere,Cmd_date,"&gt;="&amp;A101,Cmd_date,"&lt;="&amp;A101,Cmd_commercial,B101,Cmd_statut,"&lt;&gt;Annulée",Cmd_type,"&lt;&gt;Vente directe"))</f>
        <v/>
      </c>
      <c r="O101" s="40">
        <f>IF(A101="","",SUMIFS(Cmd_montant,Cmd_date,"&gt;="&amp;A101,Cmd_date,"&lt;="&amp;A101,Cmd_commercial,B101,Cmd_statut,"&lt;&gt;Annulée",Cmd_type,"&lt;&gt;Vente directe"))</f>
        <v/>
      </c>
      <c r="P101" s="40">
        <f>IF(A101="","",SUMIFS(Cmd_montant,Cmd_dateca,"&gt;="&amp;A101,Cmd_dateca,"&lt;="&amp;A101,Cmd_commercial,B101))</f>
        <v/>
      </c>
      <c r="Q101" s="40">
        <f>IF(A101="","",SUMIFS(Enc_montant,Enc_date,"&gt;="&amp;A101,Enc_date,"&lt;="&amp;A101,Enc_commercial,B101))</f>
        <v/>
      </c>
      <c r="R101" s="40">
        <f>IF(A101="","",SUMIFS(Stk_valeur,Stk_date,"&gt;="&amp;A101,Stk_date,"&lt;="&amp;A101,Stk_commercial,B101,Stk_mouvement,"Casse / avarie")+SUMIFS(Stk_valeur,Stk_date,"&gt;="&amp;A101,Stk_date,"&lt;="&amp;A101,Stk_commercial,B101,Stk_mouvement,"Perte / vol"))</f>
        <v/>
      </c>
      <c r="S101" s="36" t="n"/>
      <c r="T101" s="36" t="n"/>
      <c r="U101" s="36" t="n"/>
      <c r="V101" s="36" t="n"/>
    </row>
    <row r="102" ht="18" customHeight="1">
      <c r="A102" s="32" t="n"/>
      <c r="B102" s="33">
        <f>IF(A102="","",Commercial_Id)</f>
        <v/>
      </c>
      <c r="C102" s="34">
        <f>IF(A102="","",CHOOSE(WEEKDAY(A102,2),"Lundi","Mardi","Mercredi","Jeudi","Vendredi","Samedi","Dimanche"))</f>
        <v/>
      </c>
      <c r="D102" s="34">
        <f>IF(A102="","",YEAR(A102-WEEKDAY(A102,2)+4)&amp;"-S"&amp;TEXT(INT((A102-DATE(YEAR(A102-WEEKDAY(A102,2)+4),1,3)+WEEKDAY(DATE(YEAR(A102-WEEKDAY(A102,2)+4),1,3),2)+5)/7),"00"))</f>
        <v/>
      </c>
      <c r="E102" s="35" t="n"/>
      <c r="F102" s="35" t="n"/>
      <c r="G102" s="36" t="n"/>
      <c r="H102" s="37" t="n"/>
      <c r="I102" s="38">
        <f>IF(OR(E102="",F102=""),"",ROUND((F102-E102)*24,1))</f>
        <v/>
      </c>
      <c r="J102" s="39">
        <f>IF(A102="","",COUNTIFS(VC_date,"&gt;="&amp;A102,VC_date,"&lt;="&amp;A102,VC_commercial,B102,VC_type,"Visite sur place"))</f>
        <v/>
      </c>
      <c r="K102" s="39">
        <f>IF(A102="","",COUNTIFS(VC_date,"&gt;="&amp;A102,VC_date,"&lt;="&amp;A102,VC_commercial,B102,VC_type,"&lt;&gt;Visite sur place",VC_type,"&lt;&gt;"))</f>
        <v/>
      </c>
      <c r="L102" s="39">
        <f>IF(A102="","",COUNTIFS(Cl_creation,"&gt;="&amp;A102,Cl_creation,"&lt;="&amp;A102,Cl_commercial,B102))</f>
        <v/>
      </c>
      <c r="M102" s="39">
        <f>IF(A102="","",COUNTIFS(Cl_vente1,"&gt;="&amp;A102,Cl_vente1,"&lt;="&amp;A102,Cl_commercial,B102))</f>
        <v/>
      </c>
      <c r="N102" s="39">
        <f>IF(A102="","",SUMIFS(Cmd_premiere,Cmd_date,"&gt;="&amp;A102,Cmd_date,"&lt;="&amp;A102,Cmd_commercial,B102,Cmd_statut,"&lt;&gt;Annulée",Cmd_type,"&lt;&gt;Vente directe"))</f>
        <v/>
      </c>
      <c r="O102" s="40">
        <f>IF(A102="","",SUMIFS(Cmd_montant,Cmd_date,"&gt;="&amp;A102,Cmd_date,"&lt;="&amp;A102,Cmd_commercial,B102,Cmd_statut,"&lt;&gt;Annulée",Cmd_type,"&lt;&gt;Vente directe"))</f>
        <v/>
      </c>
      <c r="P102" s="40">
        <f>IF(A102="","",SUMIFS(Cmd_montant,Cmd_dateca,"&gt;="&amp;A102,Cmd_dateca,"&lt;="&amp;A102,Cmd_commercial,B102))</f>
        <v/>
      </c>
      <c r="Q102" s="40">
        <f>IF(A102="","",SUMIFS(Enc_montant,Enc_date,"&gt;="&amp;A102,Enc_date,"&lt;="&amp;A102,Enc_commercial,B102))</f>
        <v/>
      </c>
      <c r="R102" s="40">
        <f>IF(A102="","",SUMIFS(Stk_valeur,Stk_date,"&gt;="&amp;A102,Stk_date,"&lt;="&amp;A102,Stk_commercial,B102,Stk_mouvement,"Casse / avarie")+SUMIFS(Stk_valeur,Stk_date,"&gt;="&amp;A102,Stk_date,"&lt;="&amp;A102,Stk_commercial,B102,Stk_mouvement,"Perte / vol"))</f>
        <v/>
      </c>
      <c r="S102" s="36" t="n"/>
      <c r="T102" s="36" t="n"/>
      <c r="U102" s="36" t="n"/>
      <c r="V102" s="36" t="n"/>
    </row>
    <row r="103" ht="18" customHeight="1">
      <c r="A103" s="32" t="n"/>
      <c r="B103" s="33">
        <f>IF(A103="","",Commercial_Id)</f>
        <v/>
      </c>
      <c r="C103" s="34">
        <f>IF(A103="","",CHOOSE(WEEKDAY(A103,2),"Lundi","Mardi","Mercredi","Jeudi","Vendredi","Samedi","Dimanche"))</f>
        <v/>
      </c>
      <c r="D103" s="34">
        <f>IF(A103="","",YEAR(A103-WEEKDAY(A103,2)+4)&amp;"-S"&amp;TEXT(INT((A103-DATE(YEAR(A103-WEEKDAY(A103,2)+4),1,3)+WEEKDAY(DATE(YEAR(A103-WEEKDAY(A103,2)+4),1,3),2)+5)/7),"00"))</f>
        <v/>
      </c>
      <c r="E103" s="35" t="n"/>
      <c r="F103" s="35" t="n"/>
      <c r="G103" s="36" t="n"/>
      <c r="H103" s="37" t="n"/>
      <c r="I103" s="38">
        <f>IF(OR(E103="",F103=""),"",ROUND((F103-E103)*24,1))</f>
        <v/>
      </c>
      <c r="J103" s="39">
        <f>IF(A103="","",COUNTIFS(VC_date,"&gt;="&amp;A103,VC_date,"&lt;="&amp;A103,VC_commercial,B103,VC_type,"Visite sur place"))</f>
        <v/>
      </c>
      <c r="K103" s="39">
        <f>IF(A103="","",COUNTIFS(VC_date,"&gt;="&amp;A103,VC_date,"&lt;="&amp;A103,VC_commercial,B103,VC_type,"&lt;&gt;Visite sur place",VC_type,"&lt;&gt;"))</f>
        <v/>
      </c>
      <c r="L103" s="39">
        <f>IF(A103="","",COUNTIFS(Cl_creation,"&gt;="&amp;A103,Cl_creation,"&lt;="&amp;A103,Cl_commercial,B103))</f>
        <v/>
      </c>
      <c r="M103" s="39">
        <f>IF(A103="","",COUNTIFS(Cl_vente1,"&gt;="&amp;A103,Cl_vente1,"&lt;="&amp;A103,Cl_commercial,B103))</f>
        <v/>
      </c>
      <c r="N103" s="39">
        <f>IF(A103="","",SUMIFS(Cmd_premiere,Cmd_date,"&gt;="&amp;A103,Cmd_date,"&lt;="&amp;A103,Cmd_commercial,B103,Cmd_statut,"&lt;&gt;Annulée",Cmd_type,"&lt;&gt;Vente directe"))</f>
        <v/>
      </c>
      <c r="O103" s="40">
        <f>IF(A103="","",SUMIFS(Cmd_montant,Cmd_date,"&gt;="&amp;A103,Cmd_date,"&lt;="&amp;A103,Cmd_commercial,B103,Cmd_statut,"&lt;&gt;Annulée",Cmd_type,"&lt;&gt;Vente directe"))</f>
        <v/>
      </c>
      <c r="P103" s="40">
        <f>IF(A103="","",SUMIFS(Cmd_montant,Cmd_dateca,"&gt;="&amp;A103,Cmd_dateca,"&lt;="&amp;A103,Cmd_commercial,B103))</f>
        <v/>
      </c>
      <c r="Q103" s="40">
        <f>IF(A103="","",SUMIFS(Enc_montant,Enc_date,"&gt;="&amp;A103,Enc_date,"&lt;="&amp;A103,Enc_commercial,B103))</f>
        <v/>
      </c>
      <c r="R103" s="40">
        <f>IF(A103="","",SUMIFS(Stk_valeur,Stk_date,"&gt;="&amp;A103,Stk_date,"&lt;="&amp;A103,Stk_commercial,B103,Stk_mouvement,"Casse / avarie")+SUMIFS(Stk_valeur,Stk_date,"&gt;="&amp;A103,Stk_date,"&lt;="&amp;A103,Stk_commercial,B103,Stk_mouvement,"Perte / vol"))</f>
        <v/>
      </c>
      <c r="S103" s="36" t="n"/>
      <c r="T103" s="36" t="n"/>
      <c r="U103" s="36" t="n"/>
      <c r="V103" s="36" t="n"/>
    </row>
    <row r="104" ht="18" customHeight="1">
      <c r="A104" s="32" t="n"/>
      <c r="B104" s="33">
        <f>IF(A104="","",Commercial_Id)</f>
        <v/>
      </c>
      <c r="C104" s="34">
        <f>IF(A104="","",CHOOSE(WEEKDAY(A104,2),"Lundi","Mardi","Mercredi","Jeudi","Vendredi","Samedi","Dimanche"))</f>
        <v/>
      </c>
      <c r="D104" s="34">
        <f>IF(A104="","",YEAR(A104-WEEKDAY(A104,2)+4)&amp;"-S"&amp;TEXT(INT((A104-DATE(YEAR(A104-WEEKDAY(A104,2)+4),1,3)+WEEKDAY(DATE(YEAR(A104-WEEKDAY(A104,2)+4),1,3),2)+5)/7),"00"))</f>
        <v/>
      </c>
      <c r="E104" s="35" t="n"/>
      <c r="F104" s="35" t="n"/>
      <c r="G104" s="36" t="n"/>
      <c r="H104" s="37" t="n"/>
      <c r="I104" s="38">
        <f>IF(OR(E104="",F104=""),"",ROUND((F104-E104)*24,1))</f>
        <v/>
      </c>
      <c r="J104" s="39">
        <f>IF(A104="","",COUNTIFS(VC_date,"&gt;="&amp;A104,VC_date,"&lt;="&amp;A104,VC_commercial,B104,VC_type,"Visite sur place"))</f>
        <v/>
      </c>
      <c r="K104" s="39">
        <f>IF(A104="","",COUNTIFS(VC_date,"&gt;="&amp;A104,VC_date,"&lt;="&amp;A104,VC_commercial,B104,VC_type,"&lt;&gt;Visite sur place",VC_type,"&lt;&gt;"))</f>
        <v/>
      </c>
      <c r="L104" s="39">
        <f>IF(A104="","",COUNTIFS(Cl_creation,"&gt;="&amp;A104,Cl_creation,"&lt;="&amp;A104,Cl_commercial,B104))</f>
        <v/>
      </c>
      <c r="M104" s="39">
        <f>IF(A104="","",COUNTIFS(Cl_vente1,"&gt;="&amp;A104,Cl_vente1,"&lt;="&amp;A104,Cl_commercial,B104))</f>
        <v/>
      </c>
      <c r="N104" s="39">
        <f>IF(A104="","",SUMIFS(Cmd_premiere,Cmd_date,"&gt;="&amp;A104,Cmd_date,"&lt;="&amp;A104,Cmd_commercial,B104,Cmd_statut,"&lt;&gt;Annulée",Cmd_type,"&lt;&gt;Vente directe"))</f>
        <v/>
      </c>
      <c r="O104" s="40">
        <f>IF(A104="","",SUMIFS(Cmd_montant,Cmd_date,"&gt;="&amp;A104,Cmd_date,"&lt;="&amp;A104,Cmd_commercial,B104,Cmd_statut,"&lt;&gt;Annulée",Cmd_type,"&lt;&gt;Vente directe"))</f>
        <v/>
      </c>
      <c r="P104" s="40">
        <f>IF(A104="","",SUMIFS(Cmd_montant,Cmd_dateca,"&gt;="&amp;A104,Cmd_dateca,"&lt;="&amp;A104,Cmd_commercial,B104))</f>
        <v/>
      </c>
      <c r="Q104" s="40">
        <f>IF(A104="","",SUMIFS(Enc_montant,Enc_date,"&gt;="&amp;A104,Enc_date,"&lt;="&amp;A104,Enc_commercial,B104))</f>
        <v/>
      </c>
      <c r="R104" s="40">
        <f>IF(A104="","",SUMIFS(Stk_valeur,Stk_date,"&gt;="&amp;A104,Stk_date,"&lt;="&amp;A104,Stk_commercial,B104,Stk_mouvement,"Casse / avarie")+SUMIFS(Stk_valeur,Stk_date,"&gt;="&amp;A104,Stk_date,"&lt;="&amp;A104,Stk_commercial,B104,Stk_mouvement,"Perte / vol"))</f>
        <v/>
      </c>
      <c r="S104" s="36" t="n"/>
      <c r="T104" s="36" t="n"/>
      <c r="U104" s="36" t="n"/>
      <c r="V104" s="36" t="n"/>
    </row>
    <row r="105" ht="18" customHeight="1">
      <c r="A105" s="32" t="n"/>
      <c r="B105" s="33">
        <f>IF(A105="","",Commercial_Id)</f>
        <v/>
      </c>
      <c r="C105" s="34">
        <f>IF(A105="","",CHOOSE(WEEKDAY(A105,2),"Lundi","Mardi","Mercredi","Jeudi","Vendredi","Samedi","Dimanche"))</f>
        <v/>
      </c>
      <c r="D105" s="34">
        <f>IF(A105="","",YEAR(A105-WEEKDAY(A105,2)+4)&amp;"-S"&amp;TEXT(INT((A105-DATE(YEAR(A105-WEEKDAY(A105,2)+4),1,3)+WEEKDAY(DATE(YEAR(A105-WEEKDAY(A105,2)+4),1,3),2)+5)/7),"00"))</f>
        <v/>
      </c>
      <c r="E105" s="35" t="n"/>
      <c r="F105" s="35" t="n"/>
      <c r="G105" s="36" t="n"/>
      <c r="H105" s="37" t="n"/>
      <c r="I105" s="38">
        <f>IF(OR(E105="",F105=""),"",ROUND((F105-E105)*24,1))</f>
        <v/>
      </c>
      <c r="J105" s="39">
        <f>IF(A105="","",COUNTIFS(VC_date,"&gt;="&amp;A105,VC_date,"&lt;="&amp;A105,VC_commercial,B105,VC_type,"Visite sur place"))</f>
        <v/>
      </c>
      <c r="K105" s="39">
        <f>IF(A105="","",COUNTIFS(VC_date,"&gt;="&amp;A105,VC_date,"&lt;="&amp;A105,VC_commercial,B105,VC_type,"&lt;&gt;Visite sur place",VC_type,"&lt;&gt;"))</f>
        <v/>
      </c>
      <c r="L105" s="39">
        <f>IF(A105="","",COUNTIFS(Cl_creation,"&gt;="&amp;A105,Cl_creation,"&lt;="&amp;A105,Cl_commercial,B105))</f>
        <v/>
      </c>
      <c r="M105" s="39">
        <f>IF(A105="","",COUNTIFS(Cl_vente1,"&gt;="&amp;A105,Cl_vente1,"&lt;="&amp;A105,Cl_commercial,B105))</f>
        <v/>
      </c>
      <c r="N105" s="39">
        <f>IF(A105="","",SUMIFS(Cmd_premiere,Cmd_date,"&gt;="&amp;A105,Cmd_date,"&lt;="&amp;A105,Cmd_commercial,B105,Cmd_statut,"&lt;&gt;Annulée",Cmd_type,"&lt;&gt;Vente directe"))</f>
        <v/>
      </c>
      <c r="O105" s="40">
        <f>IF(A105="","",SUMIFS(Cmd_montant,Cmd_date,"&gt;="&amp;A105,Cmd_date,"&lt;="&amp;A105,Cmd_commercial,B105,Cmd_statut,"&lt;&gt;Annulée",Cmd_type,"&lt;&gt;Vente directe"))</f>
        <v/>
      </c>
      <c r="P105" s="40">
        <f>IF(A105="","",SUMIFS(Cmd_montant,Cmd_dateca,"&gt;="&amp;A105,Cmd_dateca,"&lt;="&amp;A105,Cmd_commercial,B105))</f>
        <v/>
      </c>
      <c r="Q105" s="40">
        <f>IF(A105="","",SUMIFS(Enc_montant,Enc_date,"&gt;="&amp;A105,Enc_date,"&lt;="&amp;A105,Enc_commercial,B105))</f>
        <v/>
      </c>
      <c r="R105" s="40">
        <f>IF(A105="","",SUMIFS(Stk_valeur,Stk_date,"&gt;="&amp;A105,Stk_date,"&lt;="&amp;A105,Stk_commercial,B105,Stk_mouvement,"Casse / avarie")+SUMIFS(Stk_valeur,Stk_date,"&gt;="&amp;A105,Stk_date,"&lt;="&amp;A105,Stk_commercial,B105,Stk_mouvement,"Perte / vol"))</f>
        <v/>
      </c>
      <c r="S105" s="36" t="n"/>
      <c r="T105" s="36" t="n"/>
      <c r="U105" s="36" t="n"/>
      <c r="V105" s="36" t="n"/>
    </row>
    <row r="106" ht="18" customHeight="1">
      <c r="A106" s="32" t="n"/>
      <c r="B106" s="33">
        <f>IF(A106="","",Commercial_Id)</f>
        <v/>
      </c>
      <c r="C106" s="34">
        <f>IF(A106="","",CHOOSE(WEEKDAY(A106,2),"Lundi","Mardi","Mercredi","Jeudi","Vendredi","Samedi","Dimanche"))</f>
        <v/>
      </c>
      <c r="D106" s="34">
        <f>IF(A106="","",YEAR(A106-WEEKDAY(A106,2)+4)&amp;"-S"&amp;TEXT(INT((A106-DATE(YEAR(A106-WEEKDAY(A106,2)+4),1,3)+WEEKDAY(DATE(YEAR(A106-WEEKDAY(A106,2)+4),1,3),2)+5)/7),"00"))</f>
        <v/>
      </c>
      <c r="E106" s="35" t="n"/>
      <c r="F106" s="35" t="n"/>
      <c r="G106" s="36" t="n"/>
      <c r="H106" s="37" t="n"/>
      <c r="I106" s="38">
        <f>IF(OR(E106="",F106=""),"",ROUND((F106-E106)*24,1))</f>
        <v/>
      </c>
      <c r="J106" s="39">
        <f>IF(A106="","",COUNTIFS(VC_date,"&gt;="&amp;A106,VC_date,"&lt;="&amp;A106,VC_commercial,B106,VC_type,"Visite sur place"))</f>
        <v/>
      </c>
      <c r="K106" s="39">
        <f>IF(A106="","",COUNTIFS(VC_date,"&gt;="&amp;A106,VC_date,"&lt;="&amp;A106,VC_commercial,B106,VC_type,"&lt;&gt;Visite sur place",VC_type,"&lt;&gt;"))</f>
        <v/>
      </c>
      <c r="L106" s="39">
        <f>IF(A106="","",COUNTIFS(Cl_creation,"&gt;="&amp;A106,Cl_creation,"&lt;="&amp;A106,Cl_commercial,B106))</f>
        <v/>
      </c>
      <c r="M106" s="39">
        <f>IF(A106="","",COUNTIFS(Cl_vente1,"&gt;="&amp;A106,Cl_vente1,"&lt;="&amp;A106,Cl_commercial,B106))</f>
        <v/>
      </c>
      <c r="N106" s="39">
        <f>IF(A106="","",SUMIFS(Cmd_premiere,Cmd_date,"&gt;="&amp;A106,Cmd_date,"&lt;="&amp;A106,Cmd_commercial,B106,Cmd_statut,"&lt;&gt;Annulée",Cmd_type,"&lt;&gt;Vente directe"))</f>
        <v/>
      </c>
      <c r="O106" s="40">
        <f>IF(A106="","",SUMIFS(Cmd_montant,Cmd_date,"&gt;="&amp;A106,Cmd_date,"&lt;="&amp;A106,Cmd_commercial,B106,Cmd_statut,"&lt;&gt;Annulée",Cmd_type,"&lt;&gt;Vente directe"))</f>
        <v/>
      </c>
      <c r="P106" s="40">
        <f>IF(A106="","",SUMIFS(Cmd_montant,Cmd_dateca,"&gt;="&amp;A106,Cmd_dateca,"&lt;="&amp;A106,Cmd_commercial,B106))</f>
        <v/>
      </c>
      <c r="Q106" s="40">
        <f>IF(A106="","",SUMIFS(Enc_montant,Enc_date,"&gt;="&amp;A106,Enc_date,"&lt;="&amp;A106,Enc_commercial,B106))</f>
        <v/>
      </c>
      <c r="R106" s="40">
        <f>IF(A106="","",SUMIFS(Stk_valeur,Stk_date,"&gt;="&amp;A106,Stk_date,"&lt;="&amp;A106,Stk_commercial,B106,Stk_mouvement,"Casse / avarie")+SUMIFS(Stk_valeur,Stk_date,"&gt;="&amp;A106,Stk_date,"&lt;="&amp;A106,Stk_commercial,B106,Stk_mouvement,"Perte / vol"))</f>
        <v/>
      </c>
      <c r="S106" s="36" t="n"/>
      <c r="T106" s="36" t="n"/>
      <c r="U106" s="36" t="n"/>
      <c r="V106" s="36" t="n"/>
    </row>
    <row r="107" ht="18" customHeight="1">
      <c r="A107" s="32" t="n"/>
      <c r="B107" s="33">
        <f>IF(A107="","",Commercial_Id)</f>
        <v/>
      </c>
      <c r="C107" s="34">
        <f>IF(A107="","",CHOOSE(WEEKDAY(A107,2),"Lundi","Mardi","Mercredi","Jeudi","Vendredi","Samedi","Dimanche"))</f>
        <v/>
      </c>
      <c r="D107" s="34">
        <f>IF(A107="","",YEAR(A107-WEEKDAY(A107,2)+4)&amp;"-S"&amp;TEXT(INT((A107-DATE(YEAR(A107-WEEKDAY(A107,2)+4),1,3)+WEEKDAY(DATE(YEAR(A107-WEEKDAY(A107,2)+4),1,3),2)+5)/7),"00"))</f>
        <v/>
      </c>
      <c r="E107" s="35" t="n"/>
      <c r="F107" s="35" t="n"/>
      <c r="G107" s="36" t="n"/>
      <c r="H107" s="37" t="n"/>
      <c r="I107" s="38">
        <f>IF(OR(E107="",F107=""),"",ROUND((F107-E107)*24,1))</f>
        <v/>
      </c>
      <c r="J107" s="39">
        <f>IF(A107="","",COUNTIFS(VC_date,"&gt;="&amp;A107,VC_date,"&lt;="&amp;A107,VC_commercial,B107,VC_type,"Visite sur place"))</f>
        <v/>
      </c>
      <c r="K107" s="39">
        <f>IF(A107="","",COUNTIFS(VC_date,"&gt;="&amp;A107,VC_date,"&lt;="&amp;A107,VC_commercial,B107,VC_type,"&lt;&gt;Visite sur place",VC_type,"&lt;&gt;"))</f>
        <v/>
      </c>
      <c r="L107" s="39">
        <f>IF(A107="","",COUNTIFS(Cl_creation,"&gt;="&amp;A107,Cl_creation,"&lt;="&amp;A107,Cl_commercial,B107))</f>
        <v/>
      </c>
      <c r="M107" s="39">
        <f>IF(A107="","",COUNTIFS(Cl_vente1,"&gt;="&amp;A107,Cl_vente1,"&lt;="&amp;A107,Cl_commercial,B107))</f>
        <v/>
      </c>
      <c r="N107" s="39">
        <f>IF(A107="","",SUMIFS(Cmd_premiere,Cmd_date,"&gt;="&amp;A107,Cmd_date,"&lt;="&amp;A107,Cmd_commercial,B107,Cmd_statut,"&lt;&gt;Annulée",Cmd_type,"&lt;&gt;Vente directe"))</f>
        <v/>
      </c>
      <c r="O107" s="40">
        <f>IF(A107="","",SUMIFS(Cmd_montant,Cmd_date,"&gt;="&amp;A107,Cmd_date,"&lt;="&amp;A107,Cmd_commercial,B107,Cmd_statut,"&lt;&gt;Annulée",Cmd_type,"&lt;&gt;Vente directe"))</f>
        <v/>
      </c>
      <c r="P107" s="40">
        <f>IF(A107="","",SUMIFS(Cmd_montant,Cmd_dateca,"&gt;="&amp;A107,Cmd_dateca,"&lt;="&amp;A107,Cmd_commercial,B107))</f>
        <v/>
      </c>
      <c r="Q107" s="40">
        <f>IF(A107="","",SUMIFS(Enc_montant,Enc_date,"&gt;="&amp;A107,Enc_date,"&lt;="&amp;A107,Enc_commercial,B107))</f>
        <v/>
      </c>
      <c r="R107" s="40">
        <f>IF(A107="","",SUMIFS(Stk_valeur,Stk_date,"&gt;="&amp;A107,Stk_date,"&lt;="&amp;A107,Stk_commercial,B107,Stk_mouvement,"Casse / avarie")+SUMIFS(Stk_valeur,Stk_date,"&gt;="&amp;A107,Stk_date,"&lt;="&amp;A107,Stk_commercial,B107,Stk_mouvement,"Perte / vol"))</f>
        <v/>
      </c>
      <c r="S107" s="36" t="n"/>
      <c r="T107" s="36" t="n"/>
      <c r="U107" s="36" t="n"/>
      <c r="V107" s="36" t="n"/>
    </row>
    <row r="108" ht="18" customHeight="1">
      <c r="A108" s="32" t="n"/>
      <c r="B108" s="33">
        <f>IF(A108="","",Commercial_Id)</f>
        <v/>
      </c>
      <c r="C108" s="34">
        <f>IF(A108="","",CHOOSE(WEEKDAY(A108,2),"Lundi","Mardi","Mercredi","Jeudi","Vendredi","Samedi","Dimanche"))</f>
        <v/>
      </c>
      <c r="D108" s="34">
        <f>IF(A108="","",YEAR(A108-WEEKDAY(A108,2)+4)&amp;"-S"&amp;TEXT(INT((A108-DATE(YEAR(A108-WEEKDAY(A108,2)+4),1,3)+WEEKDAY(DATE(YEAR(A108-WEEKDAY(A108,2)+4),1,3),2)+5)/7),"00"))</f>
        <v/>
      </c>
      <c r="E108" s="35" t="n"/>
      <c r="F108" s="35" t="n"/>
      <c r="G108" s="36" t="n"/>
      <c r="H108" s="37" t="n"/>
      <c r="I108" s="38">
        <f>IF(OR(E108="",F108=""),"",ROUND((F108-E108)*24,1))</f>
        <v/>
      </c>
      <c r="J108" s="39">
        <f>IF(A108="","",COUNTIFS(VC_date,"&gt;="&amp;A108,VC_date,"&lt;="&amp;A108,VC_commercial,B108,VC_type,"Visite sur place"))</f>
        <v/>
      </c>
      <c r="K108" s="39">
        <f>IF(A108="","",COUNTIFS(VC_date,"&gt;="&amp;A108,VC_date,"&lt;="&amp;A108,VC_commercial,B108,VC_type,"&lt;&gt;Visite sur place",VC_type,"&lt;&gt;"))</f>
        <v/>
      </c>
      <c r="L108" s="39">
        <f>IF(A108="","",COUNTIFS(Cl_creation,"&gt;="&amp;A108,Cl_creation,"&lt;="&amp;A108,Cl_commercial,B108))</f>
        <v/>
      </c>
      <c r="M108" s="39">
        <f>IF(A108="","",COUNTIFS(Cl_vente1,"&gt;="&amp;A108,Cl_vente1,"&lt;="&amp;A108,Cl_commercial,B108))</f>
        <v/>
      </c>
      <c r="N108" s="39">
        <f>IF(A108="","",SUMIFS(Cmd_premiere,Cmd_date,"&gt;="&amp;A108,Cmd_date,"&lt;="&amp;A108,Cmd_commercial,B108,Cmd_statut,"&lt;&gt;Annulée",Cmd_type,"&lt;&gt;Vente directe"))</f>
        <v/>
      </c>
      <c r="O108" s="40">
        <f>IF(A108="","",SUMIFS(Cmd_montant,Cmd_date,"&gt;="&amp;A108,Cmd_date,"&lt;="&amp;A108,Cmd_commercial,B108,Cmd_statut,"&lt;&gt;Annulée",Cmd_type,"&lt;&gt;Vente directe"))</f>
        <v/>
      </c>
      <c r="P108" s="40">
        <f>IF(A108="","",SUMIFS(Cmd_montant,Cmd_dateca,"&gt;="&amp;A108,Cmd_dateca,"&lt;="&amp;A108,Cmd_commercial,B108))</f>
        <v/>
      </c>
      <c r="Q108" s="40">
        <f>IF(A108="","",SUMIFS(Enc_montant,Enc_date,"&gt;="&amp;A108,Enc_date,"&lt;="&amp;A108,Enc_commercial,B108))</f>
        <v/>
      </c>
      <c r="R108" s="40">
        <f>IF(A108="","",SUMIFS(Stk_valeur,Stk_date,"&gt;="&amp;A108,Stk_date,"&lt;="&amp;A108,Stk_commercial,B108,Stk_mouvement,"Casse / avarie")+SUMIFS(Stk_valeur,Stk_date,"&gt;="&amp;A108,Stk_date,"&lt;="&amp;A108,Stk_commercial,B108,Stk_mouvement,"Perte / vol"))</f>
        <v/>
      </c>
      <c r="S108" s="36" t="n"/>
      <c r="T108" s="36" t="n"/>
      <c r="U108" s="36" t="n"/>
      <c r="V108" s="36" t="n"/>
    </row>
    <row r="109" ht="18" customHeight="1">
      <c r="A109" s="32" t="n"/>
      <c r="B109" s="33">
        <f>IF(A109="","",Commercial_Id)</f>
        <v/>
      </c>
      <c r="C109" s="34">
        <f>IF(A109="","",CHOOSE(WEEKDAY(A109,2),"Lundi","Mardi","Mercredi","Jeudi","Vendredi","Samedi","Dimanche"))</f>
        <v/>
      </c>
      <c r="D109" s="34">
        <f>IF(A109="","",YEAR(A109-WEEKDAY(A109,2)+4)&amp;"-S"&amp;TEXT(INT((A109-DATE(YEAR(A109-WEEKDAY(A109,2)+4),1,3)+WEEKDAY(DATE(YEAR(A109-WEEKDAY(A109,2)+4),1,3),2)+5)/7),"00"))</f>
        <v/>
      </c>
      <c r="E109" s="35" t="n"/>
      <c r="F109" s="35" t="n"/>
      <c r="G109" s="36" t="n"/>
      <c r="H109" s="37" t="n"/>
      <c r="I109" s="38">
        <f>IF(OR(E109="",F109=""),"",ROUND((F109-E109)*24,1))</f>
        <v/>
      </c>
      <c r="J109" s="39">
        <f>IF(A109="","",COUNTIFS(VC_date,"&gt;="&amp;A109,VC_date,"&lt;="&amp;A109,VC_commercial,B109,VC_type,"Visite sur place"))</f>
        <v/>
      </c>
      <c r="K109" s="39">
        <f>IF(A109="","",COUNTIFS(VC_date,"&gt;="&amp;A109,VC_date,"&lt;="&amp;A109,VC_commercial,B109,VC_type,"&lt;&gt;Visite sur place",VC_type,"&lt;&gt;"))</f>
        <v/>
      </c>
      <c r="L109" s="39">
        <f>IF(A109="","",COUNTIFS(Cl_creation,"&gt;="&amp;A109,Cl_creation,"&lt;="&amp;A109,Cl_commercial,B109))</f>
        <v/>
      </c>
      <c r="M109" s="39">
        <f>IF(A109="","",COUNTIFS(Cl_vente1,"&gt;="&amp;A109,Cl_vente1,"&lt;="&amp;A109,Cl_commercial,B109))</f>
        <v/>
      </c>
      <c r="N109" s="39">
        <f>IF(A109="","",SUMIFS(Cmd_premiere,Cmd_date,"&gt;="&amp;A109,Cmd_date,"&lt;="&amp;A109,Cmd_commercial,B109,Cmd_statut,"&lt;&gt;Annulée",Cmd_type,"&lt;&gt;Vente directe"))</f>
        <v/>
      </c>
      <c r="O109" s="40">
        <f>IF(A109="","",SUMIFS(Cmd_montant,Cmd_date,"&gt;="&amp;A109,Cmd_date,"&lt;="&amp;A109,Cmd_commercial,B109,Cmd_statut,"&lt;&gt;Annulée",Cmd_type,"&lt;&gt;Vente directe"))</f>
        <v/>
      </c>
      <c r="P109" s="40">
        <f>IF(A109="","",SUMIFS(Cmd_montant,Cmd_dateca,"&gt;="&amp;A109,Cmd_dateca,"&lt;="&amp;A109,Cmd_commercial,B109))</f>
        <v/>
      </c>
      <c r="Q109" s="40">
        <f>IF(A109="","",SUMIFS(Enc_montant,Enc_date,"&gt;="&amp;A109,Enc_date,"&lt;="&amp;A109,Enc_commercial,B109))</f>
        <v/>
      </c>
      <c r="R109" s="40">
        <f>IF(A109="","",SUMIFS(Stk_valeur,Stk_date,"&gt;="&amp;A109,Stk_date,"&lt;="&amp;A109,Stk_commercial,B109,Stk_mouvement,"Casse / avarie")+SUMIFS(Stk_valeur,Stk_date,"&gt;="&amp;A109,Stk_date,"&lt;="&amp;A109,Stk_commercial,B109,Stk_mouvement,"Perte / vol"))</f>
        <v/>
      </c>
      <c r="S109" s="36" t="n"/>
      <c r="T109" s="36" t="n"/>
      <c r="U109" s="36" t="n"/>
      <c r="V109" s="36" t="n"/>
    </row>
    <row r="110" ht="18" customHeight="1">
      <c r="A110" s="32" t="n"/>
      <c r="B110" s="33">
        <f>IF(A110="","",Commercial_Id)</f>
        <v/>
      </c>
      <c r="C110" s="34">
        <f>IF(A110="","",CHOOSE(WEEKDAY(A110,2),"Lundi","Mardi","Mercredi","Jeudi","Vendredi","Samedi","Dimanche"))</f>
        <v/>
      </c>
      <c r="D110" s="34">
        <f>IF(A110="","",YEAR(A110-WEEKDAY(A110,2)+4)&amp;"-S"&amp;TEXT(INT((A110-DATE(YEAR(A110-WEEKDAY(A110,2)+4),1,3)+WEEKDAY(DATE(YEAR(A110-WEEKDAY(A110,2)+4),1,3),2)+5)/7),"00"))</f>
        <v/>
      </c>
      <c r="E110" s="35" t="n"/>
      <c r="F110" s="35" t="n"/>
      <c r="G110" s="36" t="n"/>
      <c r="H110" s="37" t="n"/>
      <c r="I110" s="38">
        <f>IF(OR(E110="",F110=""),"",ROUND((F110-E110)*24,1))</f>
        <v/>
      </c>
      <c r="J110" s="39">
        <f>IF(A110="","",COUNTIFS(VC_date,"&gt;="&amp;A110,VC_date,"&lt;="&amp;A110,VC_commercial,B110,VC_type,"Visite sur place"))</f>
        <v/>
      </c>
      <c r="K110" s="39">
        <f>IF(A110="","",COUNTIFS(VC_date,"&gt;="&amp;A110,VC_date,"&lt;="&amp;A110,VC_commercial,B110,VC_type,"&lt;&gt;Visite sur place",VC_type,"&lt;&gt;"))</f>
        <v/>
      </c>
      <c r="L110" s="39">
        <f>IF(A110="","",COUNTIFS(Cl_creation,"&gt;="&amp;A110,Cl_creation,"&lt;="&amp;A110,Cl_commercial,B110))</f>
        <v/>
      </c>
      <c r="M110" s="39">
        <f>IF(A110="","",COUNTIFS(Cl_vente1,"&gt;="&amp;A110,Cl_vente1,"&lt;="&amp;A110,Cl_commercial,B110))</f>
        <v/>
      </c>
      <c r="N110" s="39">
        <f>IF(A110="","",SUMIFS(Cmd_premiere,Cmd_date,"&gt;="&amp;A110,Cmd_date,"&lt;="&amp;A110,Cmd_commercial,B110,Cmd_statut,"&lt;&gt;Annulée",Cmd_type,"&lt;&gt;Vente directe"))</f>
        <v/>
      </c>
      <c r="O110" s="40">
        <f>IF(A110="","",SUMIFS(Cmd_montant,Cmd_date,"&gt;="&amp;A110,Cmd_date,"&lt;="&amp;A110,Cmd_commercial,B110,Cmd_statut,"&lt;&gt;Annulée",Cmd_type,"&lt;&gt;Vente directe"))</f>
        <v/>
      </c>
      <c r="P110" s="40">
        <f>IF(A110="","",SUMIFS(Cmd_montant,Cmd_dateca,"&gt;="&amp;A110,Cmd_dateca,"&lt;="&amp;A110,Cmd_commercial,B110))</f>
        <v/>
      </c>
      <c r="Q110" s="40">
        <f>IF(A110="","",SUMIFS(Enc_montant,Enc_date,"&gt;="&amp;A110,Enc_date,"&lt;="&amp;A110,Enc_commercial,B110))</f>
        <v/>
      </c>
      <c r="R110" s="40">
        <f>IF(A110="","",SUMIFS(Stk_valeur,Stk_date,"&gt;="&amp;A110,Stk_date,"&lt;="&amp;A110,Stk_commercial,B110,Stk_mouvement,"Casse / avarie")+SUMIFS(Stk_valeur,Stk_date,"&gt;="&amp;A110,Stk_date,"&lt;="&amp;A110,Stk_commercial,B110,Stk_mouvement,"Perte / vol"))</f>
        <v/>
      </c>
      <c r="S110" s="36" t="n"/>
      <c r="T110" s="36" t="n"/>
      <c r="U110" s="36" t="n"/>
      <c r="V110" s="36" t="n"/>
    </row>
    <row r="111" ht="18" customHeight="1">
      <c r="A111" s="32" t="n"/>
      <c r="B111" s="33">
        <f>IF(A111="","",Commercial_Id)</f>
        <v/>
      </c>
      <c r="C111" s="34">
        <f>IF(A111="","",CHOOSE(WEEKDAY(A111,2),"Lundi","Mardi","Mercredi","Jeudi","Vendredi","Samedi","Dimanche"))</f>
        <v/>
      </c>
      <c r="D111" s="34">
        <f>IF(A111="","",YEAR(A111-WEEKDAY(A111,2)+4)&amp;"-S"&amp;TEXT(INT((A111-DATE(YEAR(A111-WEEKDAY(A111,2)+4),1,3)+WEEKDAY(DATE(YEAR(A111-WEEKDAY(A111,2)+4),1,3),2)+5)/7),"00"))</f>
        <v/>
      </c>
      <c r="E111" s="35" t="n"/>
      <c r="F111" s="35" t="n"/>
      <c r="G111" s="36" t="n"/>
      <c r="H111" s="37" t="n"/>
      <c r="I111" s="38">
        <f>IF(OR(E111="",F111=""),"",ROUND((F111-E111)*24,1))</f>
        <v/>
      </c>
      <c r="J111" s="39">
        <f>IF(A111="","",COUNTIFS(VC_date,"&gt;="&amp;A111,VC_date,"&lt;="&amp;A111,VC_commercial,B111,VC_type,"Visite sur place"))</f>
        <v/>
      </c>
      <c r="K111" s="39">
        <f>IF(A111="","",COUNTIFS(VC_date,"&gt;="&amp;A111,VC_date,"&lt;="&amp;A111,VC_commercial,B111,VC_type,"&lt;&gt;Visite sur place",VC_type,"&lt;&gt;"))</f>
        <v/>
      </c>
      <c r="L111" s="39">
        <f>IF(A111="","",COUNTIFS(Cl_creation,"&gt;="&amp;A111,Cl_creation,"&lt;="&amp;A111,Cl_commercial,B111))</f>
        <v/>
      </c>
      <c r="M111" s="39">
        <f>IF(A111="","",COUNTIFS(Cl_vente1,"&gt;="&amp;A111,Cl_vente1,"&lt;="&amp;A111,Cl_commercial,B111))</f>
        <v/>
      </c>
      <c r="N111" s="39">
        <f>IF(A111="","",SUMIFS(Cmd_premiere,Cmd_date,"&gt;="&amp;A111,Cmd_date,"&lt;="&amp;A111,Cmd_commercial,B111,Cmd_statut,"&lt;&gt;Annulée",Cmd_type,"&lt;&gt;Vente directe"))</f>
        <v/>
      </c>
      <c r="O111" s="40">
        <f>IF(A111="","",SUMIFS(Cmd_montant,Cmd_date,"&gt;="&amp;A111,Cmd_date,"&lt;="&amp;A111,Cmd_commercial,B111,Cmd_statut,"&lt;&gt;Annulée",Cmd_type,"&lt;&gt;Vente directe"))</f>
        <v/>
      </c>
      <c r="P111" s="40">
        <f>IF(A111="","",SUMIFS(Cmd_montant,Cmd_dateca,"&gt;="&amp;A111,Cmd_dateca,"&lt;="&amp;A111,Cmd_commercial,B111))</f>
        <v/>
      </c>
      <c r="Q111" s="40">
        <f>IF(A111="","",SUMIFS(Enc_montant,Enc_date,"&gt;="&amp;A111,Enc_date,"&lt;="&amp;A111,Enc_commercial,B111))</f>
        <v/>
      </c>
      <c r="R111" s="40">
        <f>IF(A111="","",SUMIFS(Stk_valeur,Stk_date,"&gt;="&amp;A111,Stk_date,"&lt;="&amp;A111,Stk_commercial,B111,Stk_mouvement,"Casse / avarie")+SUMIFS(Stk_valeur,Stk_date,"&gt;="&amp;A111,Stk_date,"&lt;="&amp;A111,Stk_commercial,B111,Stk_mouvement,"Perte / vol"))</f>
        <v/>
      </c>
      <c r="S111" s="36" t="n"/>
      <c r="T111" s="36" t="n"/>
      <c r="U111" s="36" t="n"/>
      <c r="V111" s="36" t="n"/>
    </row>
    <row r="112" ht="18" customHeight="1">
      <c r="A112" s="32" t="n"/>
      <c r="B112" s="33">
        <f>IF(A112="","",Commercial_Id)</f>
        <v/>
      </c>
      <c r="C112" s="34">
        <f>IF(A112="","",CHOOSE(WEEKDAY(A112,2),"Lundi","Mardi","Mercredi","Jeudi","Vendredi","Samedi","Dimanche"))</f>
        <v/>
      </c>
      <c r="D112" s="34">
        <f>IF(A112="","",YEAR(A112-WEEKDAY(A112,2)+4)&amp;"-S"&amp;TEXT(INT((A112-DATE(YEAR(A112-WEEKDAY(A112,2)+4),1,3)+WEEKDAY(DATE(YEAR(A112-WEEKDAY(A112,2)+4),1,3),2)+5)/7),"00"))</f>
        <v/>
      </c>
      <c r="E112" s="35" t="n"/>
      <c r="F112" s="35" t="n"/>
      <c r="G112" s="36" t="n"/>
      <c r="H112" s="37" t="n"/>
      <c r="I112" s="38">
        <f>IF(OR(E112="",F112=""),"",ROUND((F112-E112)*24,1))</f>
        <v/>
      </c>
      <c r="J112" s="39">
        <f>IF(A112="","",COUNTIFS(VC_date,"&gt;="&amp;A112,VC_date,"&lt;="&amp;A112,VC_commercial,B112,VC_type,"Visite sur place"))</f>
        <v/>
      </c>
      <c r="K112" s="39">
        <f>IF(A112="","",COUNTIFS(VC_date,"&gt;="&amp;A112,VC_date,"&lt;="&amp;A112,VC_commercial,B112,VC_type,"&lt;&gt;Visite sur place",VC_type,"&lt;&gt;"))</f>
        <v/>
      </c>
      <c r="L112" s="39">
        <f>IF(A112="","",COUNTIFS(Cl_creation,"&gt;="&amp;A112,Cl_creation,"&lt;="&amp;A112,Cl_commercial,B112))</f>
        <v/>
      </c>
      <c r="M112" s="39">
        <f>IF(A112="","",COUNTIFS(Cl_vente1,"&gt;="&amp;A112,Cl_vente1,"&lt;="&amp;A112,Cl_commercial,B112))</f>
        <v/>
      </c>
      <c r="N112" s="39">
        <f>IF(A112="","",SUMIFS(Cmd_premiere,Cmd_date,"&gt;="&amp;A112,Cmd_date,"&lt;="&amp;A112,Cmd_commercial,B112,Cmd_statut,"&lt;&gt;Annulée",Cmd_type,"&lt;&gt;Vente directe"))</f>
        <v/>
      </c>
      <c r="O112" s="40">
        <f>IF(A112="","",SUMIFS(Cmd_montant,Cmd_date,"&gt;="&amp;A112,Cmd_date,"&lt;="&amp;A112,Cmd_commercial,B112,Cmd_statut,"&lt;&gt;Annulée",Cmd_type,"&lt;&gt;Vente directe"))</f>
        <v/>
      </c>
      <c r="P112" s="40">
        <f>IF(A112="","",SUMIFS(Cmd_montant,Cmd_dateca,"&gt;="&amp;A112,Cmd_dateca,"&lt;="&amp;A112,Cmd_commercial,B112))</f>
        <v/>
      </c>
      <c r="Q112" s="40">
        <f>IF(A112="","",SUMIFS(Enc_montant,Enc_date,"&gt;="&amp;A112,Enc_date,"&lt;="&amp;A112,Enc_commercial,B112))</f>
        <v/>
      </c>
      <c r="R112" s="40">
        <f>IF(A112="","",SUMIFS(Stk_valeur,Stk_date,"&gt;="&amp;A112,Stk_date,"&lt;="&amp;A112,Stk_commercial,B112,Stk_mouvement,"Casse / avarie")+SUMIFS(Stk_valeur,Stk_date,"&gt;="&amp;A112,Stk_date,"&lt;="&amp;A112,Stk_commercial,B112,Stk_mouvement,"Perte / vol"))</f>
        <v/>
      </c>
      <c r="S112" s="36" t="n"/>
      <c r="T112" s="36" t="n"/>
      <c r="U112" s="36" t="n"/>
      <c r="V112" s="36" t="n"/>
    </row>
    <row r="113" ht="18" customHeight="1">
      <c r="A113" s="32" t="n"/>
      <c r="B113" s="33">
        <f>IF(A113="","",Commercial_Id)</f>
        <v/>
      </c>
      <c r="C113" s="34">
        <f>IF(A113="","",CHOOSE(WEEKDAY(A113,2),"Lundi","Mardi","Mercredi","Jeudi","Vendredi","Samedi","Dimanche"))</f>
        <v/>
      </c>
      <c r="D113" s="34">
        <f>IF(A113="","",YEAR(A113-WEEKDAY(A113,2)+4)&amp;"-S"&amp;TEXT(INT((A113-DATE(YEAR(A113-WEEKDAY(A113,2)+4),1,3)+WEEKDAY(DATE(YEAR(A113-WEEKDAY(A113,2)+4),1,3),2)+5)/7),"00"))</f>
        <v/>
      </c>
      <c r="E113" s="35" t="n"/>
      <c r="F113" s="35" t="n"/>
      <c r="G113" s="36" t="n"/>
      <c r="H113" s="37" t="n"/>
      <c r="I113" s="38">
        <f>IF(OR(E113="",F113=""),"",ROUND((F113-E113)*24,1))</f>
        <v/>
      </c>
      <c r="J113" s="39">
        <f>IF(A113="","",COUNTIFS(VC_date,"&gt;="&amp;A113,VC_date,"&lt;="&amp;A113,VC_commercial,B113,VC_type,"Visite sur place"))</f>
        <v/>
      </c>
      <c r="K113" s="39">
        <f>IF(A113="","",COUNTIFS(VC_date,"&gt;="&amp;A113,VC_date,"&lt;="&amp;A113,VC_commercial,B113,VC_type,"&lt;&gt;Visite sur place",VC_type,"&lt;&gt;"))</f>
        <v/>
      </c>
      <c r="L113" s="39">
        <f>IF(A113="","",COUNTIFS(Cl_creation,"&gt;="&amp;A113,Cl_creation,"&lt;="&amp;A113,Cl_commercial,B113))</f>
        <v/>
      </c>
      <c r="M113" s="39">
        <f>IF(A113="","",COUNTIFS(Cl_vente1,"&gt;="&amp;A113,Cl_vente1,"&lt;="&amp;A113,Cl_commercial,B113))</f>
        <v/>
      </c>
      <c r="N113" s="39">
        <f>IF(A113="","",SUMIFS(Cmd_premiere,Cmd_date,"&gt;="&amp;A113,Cmd_date,"&lt;="&amp;A113,Cmd_commercial,B113,Cmd_statut,"&lt;&gt;Annulée",Cmd_type,"&lt;&gt;Vente directe"))</f>
        <v/>
      </c>
      <c r="O113" s="40">
        <f>IF(A113="","",SUMIFS(Cmd_montant,Cmd_date,"&gt;="&amp;A113,Cmd_date,"&lt;="&amp;A113,Cmd_commercial,B113,Cmd_statut,"&lt;&gt;Annulée",Cmd_type,"&lt;&gt;Vente directe"))</f>
        <v/>
      </c>
      <c r="P113" s="40">
        <f>IF(A113="","",SUMIFS(Cmd_montant,Cmd_dateca,"&gt;="&amp;A113,Cmd_dateca,"&lt;="&amp;A113,Cmd_commercial,B113))</f>
        <v/>
      </c>
      <c r="Q113" s="40">
        <f>IF(A113="","",SUMIFS(Enc_montant,Enc_date,"&gt;="&amp;A113,Enc_date,"&lt;="&amp;A113,Enc_commercial,B113))</f>
        <v/>
      </c>
      <c r="R113" s="40">
        <f>IF(A113="","",SUMIFS(Stk_valeur,Stk_date,"&gt;="&amp;A113,Stk_date,"&lt;="&amp;A113,Stk_commercial,B113,Stk_mouvement,"Casse / avarie")+SUMIFS(Stk_valeur,Stk_date,"&gt;="&amp;A113,Stk_date,"&lt;="&amp;A113,Stk_commercial,B113,Stk_mouvement,"Perte / vol"))</f>
        <v/>
      </c>
      <c r="S113" s="36" t="n"/>
      <c r="T113" s="36" t="n"/>
      <c r="U113" s="36" t="n"/>
      <c r="V113" s="36" t="n"/>
    </row>
    <row r="114" ht="18" customHeight="1">
      <c r="A114" s="32" t="n"/>
      <c r="B114" s="33">
        <f>IF(A114="","",Commercial_Id)</f>
        <v/>
      </c>
      <c r="C114" s="34">
        <f>IF(A114="","",CHOOSE(WEEKDAY(A114,2),"Lundi","Mardi","Mercredi","Jeudi","Vendredi","Samedi","Dimanche"))</f>
        <v/>
      </c>
      <c r="D114" s="34">
        <f>IF(A114="","",YEAR(A114-WEEKDAY(A114,2)+4)&amp;"-S"&amp;TEXT(INT((A114-DATE(YEAR(A114-WEEKDAY(A114,2)+4),1,3)+WEEKDAY(DATE(YEAR(A114-WEEKDAY(A114,2)+4),1,3),2)+5)/7),"00"))</f>
        <v/>
      </c>
      <c r="E114" s="35" t="n"/>
      <c r="F114" s="35" t="n"/>
      <c r="G114" s="36" t="n"/>
      <c r="H114" s="37" t="n"/>
      <c r="I114" s="38">
        <f>IF(OR(E114="",F114=""),"",ROUND((F114-E114)*24,1))</f>
        <v/>
      </c>
      <c r="J114" s="39">
        <f>IF(A114="","",COUNTIFS(VC_date,"&gt;="&amp;A114,VC_date,"&lt;="&amp;A114,VC_commercial,B114,VC_type,"Visite sur place"))</f>
        <v/>
      </c>
      <c r="K114" s="39">
        <f>IF(A114="","",COUNTIFS(VC_date,"&gt;="&amp;A114,VC_date,"&lt;="&amp;A114,VC_commercial,B114,VC_type,"&lt;&gt;Visite sur place",VC_type,"&lt;&gt;"))</f>
        <v/>
      </c>
      <c r="L114" s="39">
        <f>IF(A114="","",COUNTIFS(Cl_creation,"&gt;="&amp;A114,Cl_creation,"&lt;="&amp;A114,Cl_commercial,B114))</f>
        <v/>
      </c>
      <c r="M114" s="39">
        <f>IF(A114="","",COUNTIFS(Cl_vente1,"&gt;="&amp;A114,Cl_vente1,"&lt;="&amp;A114,Cl_commercial,B114))</f>
        <v/>
      </c>
      <c r="N114" s="39">
        <f>IF(A114="","",SUMIFS(Cmd_premiere,Cmd_date,"&gt;="&amp;A114,Cmd_date,"&lt;="&amp;A114,Cmd_commercial,B114,Cmd_statut,"&lt;&gt;Annulée",Cmd_type,"&lt;&gt;Vente directe"))</f>
        <v/>
      </c>
      <c r="O114" s="40">
        <f>IF(A114="","",SUMIFS(Cmd_montant,Cmd_date,"&gt;="&amp;A114,Cmd_date,"&lt;="&amp;A114,Cmd_commercial,B114,Cmd_statut,"&lt;&gt;Annulée",Cmd_type,"&lt;&gt;Vente directe"))</f>
        <v/>
      </c>
      <c r="P114" s="40">
        <f>IF(A114="","",SUMIFS(Cmd_montant,Cmd_dateca,"&gt;="&amp;A114,Cmd_dateca,"&lt;="&amp;A114,Cmd_commercial,B114))</f>
        <v/>
      </c>
      <c r="Q114" s="40">
        <f>IF(A114="","",SUMIFS(Enc_montant,Enc_date,"&gt;="&amp;A114,Enc_date,"&lt;="&amp;A114,Enc_commercial,B114))</f>
        <v/>
      </c>
      <c r="R114" s="40">
        <f>IF(A114="","",SUMIFS(Stk_valeur,Stk_date,"&gt;="&amp;A114,Stk_date,"&lt;="&amp;A114,Stk_commercial,B114,Stk_mouvement,"Casse / avarie")+SUMIFS(Stk_valeur,Stk_date,"&gt;="&amp;A114,Stk_date,"&lt;="&amp;A114,Stk_commercial,B114,Stk_mouvement,"Perte / vol"))</f>
        <v/>
      </c>
      <c r="S114" s="36" t="n"/>
      <c r="T114" s="36" t="n"/>
      <c r="U114" s="36" t="n"/>
      <c r="V114" s="36" t="n"/>
    </row>
    <row r="115" ht="18" customHeight="1">
      <c r="A115" s="32" t="n"/>
      <c r="B115" s="33">
        <f>IF(A115="","",Commercial_Id)</f>
        <v/>
      </c>
      <c r="C115" s="34">
        <f>IF(A115="","",CHOOSE(WEEKDAY(A115,2),"Lundi","Mardi","Mercredi","Jeudi","Vendredi","Samedi","Dimanche"))</f>
        <v/>
      </c>
      <c r="D115" s="34">
        <f>IF(A115="","",YEAR(A115-WEEKDAY(A115,2)+4)&amp;"-S"&amp;TEXT(INT((A115-DATE(YEAR(A115-WEEKDAY(A115,2)+4),1,3)+WEEKDAY(DATE(YEAR(A115-WEEKDAY(A115,2)+4),1,3),2)+5)/7),"00"))</f>
        <v/>
      </c>
      <c r="E115" s="35" t="n"/>
      <c r="F115" s="35" t="n"/>
      <c r="G115" s="36" t="n"/>
      <c r="H115" s="37" t="n"/>
      <c r="I115" s="38">
        <f>IF(OR(E115="",F115=""),"",ROUND((F115-E115)*24,1))</f>
        <v/>
      </c>
      <c r="J115" s="39">
        <f>IF(A115="","",COUNTIFS(VC_date,"&gt;="&amp;A115,VC_date,"&lt;="&amp;A115,VC_commercial,B115,VC_type,"Visite sur place"))</f>
        <v/>
      </c>
      <c r="K115" s="39">
        <f>IF(A115="","",COUNTIFS(VC_date,"&gt;="&amp;A115,VC_date,"&lt;="&amp;A115,VC_commercial,B115,VC_type,"&lt;&gt;Visite sur place",VC_type,"&lt;&gt;"))</f>
        <v/>
      </c>
      <c r="L115" s="39">
        <f>IF(A115="","",COUNTIFS(Cl_creation,"&gt;="&amp;A115,Cl_creation,"&lt;="&amp;A115,Cl_commercial,B115))</f>
        <v/>
      </c>
      <c r="M115" s="39">
        <f>IF(A115="","",COUNTIFS(Cl_vente1,"&gt;="&amp;A115,Cl_vente1,"&lt;="&amp;A115,Cl_commercial,B115))</f>
        <v/>
      </c>
      <c r="N115" s="39">
        <f>IF(A115="","",SUMIFS(Cmd_premiere,Cmd_date,"&gt;="&amp;A115,Cmd_date,"&lt;="&amp;A115,Cmd_commercial,B115,Cmd_statut,"&lt;&gt;Annulée",Cmd_type,"&lt;&gt;Vente directe"))</f>
        <v/>
      </c>
      <c r="O115" s="40">
        <f>IF(A115="","",SUMIFS(Cmd_montant,Cmd_date,"&gt;="&amp;A115,Cmd_date,"&lt;="&amp;A115,Cmd_commercial,B115,Cmd_statut,"&lt;&gt;Annulée",Cmd_type,"&lt;&gt;Vente directe"))</f>
        <v/>
      </c>
      <c r="P115" s="40">
        <f>IF(A115="","",SUMIFS(Cmd_montant,Cmd_dateca,"&gt;="&amp;A115,Cmd_dateca,"&lt;="&amp;A115,Cmd_commercial,B115))</f>
        <v/>
      </c>
      <c r="Q115" s="40">
        <f>IF(A115="","",SUMIFS(Enc_montant,Enc_date,"&gt;="&amp;A115,Enc_date,"&lt;="&amp;A115,Enc_commercial,B115))</f>
        <v/>
      </c>
      <c r="R115" s="40">
        <f>IF(A115="","",SUMIFS(Stk_valeur,Stk_date,"&gt;="&amp;A115,Stk_date,"&lt;="&amp;A115,Stk_commercial,B115,Stk_mouvement,"Casse / avarie")+SUMIFS(Stk_valeur,Stk_date,"&gt;="&amp;A115,Stk_date,"&lt;="&amp;A115,Stk_commercial,B115,Stk_mouvement,"Perte / vol"))</f>
        <v/>
      </c>
      <c r="S115" s="36" t="n"/>
      <c r="T115" s="36" t="n"/>
      <c r="U115" s="36" t="n"/>
      <c r="V115" s="36" t="n"/>
    </row>
    <row r="116" ht="18" customHeight="1">
      <c r="A116" s="32" t="n"/>
      <c r="B116" s="33">
        <f>IF(A116="","",Commercial_Id)</f>
        <v/>
      </c>
      <c r="C116" s="34">
        <f>IF(A116="","",CHOOSE(WEEKDAY(A116,2),"Lundi","Mardi","Mercredi","Jeudi","Vendredi","Samedi","Dimanche"))</f>
        <v/>
      </c>
      <c r="D116" s="34">
        <f>IF(A116="","",YEAR(A116-WEEKDAY(A116,2)+4)&amp;"-S"&amp;TEXT(INT((A116-DATE(YEAR(A116-WEEKDAY(A116,2)+4),1,3)+WEEKDAY(DATE(YEAR(A116-WEEKDAY(A116,2)+4),1,3),2)+5)/7),"00"))</f>
        <v/>
      </c>
      <c r="E116" s="35" t="n"/>
      <c r="F116" s="35" t="n"/>
      <c r="G116" s="36" t="n"/>
      <c r="H116" s="37" t="n"/>
      <c r="I116" s="38">
        <f>IF(OR(E116="",F116=""),"",ROUND((F116-E116)*24,1))</f>
        <v/>
      </c>
      <c r="J116" s="39">
        <f>IF(A116="","",COUNTIFS(VC_date,"&gt;="&amp;A116,VC_date,"&lt;="&amp;A116,VC_commercial,B116,VC_type,"Visite sur place"))</f>
        <v/>
      </c>
      <c r="K116" s="39">
        <f>IF(A116="","",COUNTIFS(VC_date,"&gt;="&amp;A116,VC_date,"&lt;="&amp;A116,VC_commercial,B116,VC_type,"&lt;&gt;Visite sur place",VC_type,"&lt;&gt;"))</f>
        <v/>
      </c>
      <c r="L116" s="39">
        <f>IF(A116="","",COUNTIFS(Cl_creation,"&gt;="&amp;A116,Cl_creation,"&lt;="&amp;A116,Cl_commercial,B116))</f>
        <v/>
      </c>
      <c r="M116" s="39">
        <f>IF(A116="","",COUNTIFS(Cl_vente1,"&gt;="&amp;A116,Cl_vente1,"&lt;="&amp;A116,Cl_commercial,B116))</f>
        <v/>
      </c>
      <c r="N116" s="39">
        <f>IF(A116="","",SUMIFS(Cmd_premiere,Cmd_date,"&gt;="&amp;A116,Cmd_date,"&lt;="&amp;A116,Cmd_commercial,B116,Cmd_statut,"&lt;&gt;Annulée",Cmd_type,"&lt;&gt;Vente directe"))</f>
        <v/>
      </c>
      <c r="O116" s="40">
        <f>IF(A116="","",SUMIFS(Cmd_montant,Cmd_date,"&gt;="&amp;A116,Cmd_date,"&lt;="&amp;A116,Cmd_commercial,B116,Cmd_statut,"&lt;&gt;Annulée",Cmd_type,"&lt;&gt;Vente directe"))</f>
        <v/>
      </c>
      <c r="P116" s="40">
        <f>IF(A116="","",SUMIFS(Cmd_montant,Cmd_dateca,"&gt;="&amp;A116,Cmd_dateca,"&lt;="&amp;A116,Cmd_commercial,B116))</f>
        <v/>
      </c>
      <c r="Q116" s="40">
        <f>IF(A116="","",SUMIFS(Enc_montant,Enc_date,"&gt;="&amp;A116,Enc_date,"&lt;="&amp;A116,Enc_commercial,B116))</f>
        <v/>
      </c>
      <c r="R116" s="40">
        <f>IF(A116="","",SUMIFS(Stk_valeur,Stk_date,"&gt;="&amp;A116,Stk_date,"&lt;="&amp;A116,Stk_commercial,B116,Stk_mouvement,"Casse / avarie")+SUMIFS(Stk_valeur,Stk_date,"&gt;="&amp;A116,Stk_date,"&lt;="&amp;A116,Stk_commercial,B116,Stk_mouvement,"Perte / vol"))</f>
        <v/>
      </c>
      <c r="S116" s="36" t="n"/>
      <c r="T116" s="36" t="n"/>
      <c r="U116" s="36" t="n"/>
      <c r="V116" s="36" t="n"/>
    </row>
    <row r="117" ht="18" customHeight="1">
      <c r="A117" s="32" t="n"/>
      <c r="B117" s="33">
        <f>IF(A117="","",Commercial_Id)</f>
        <v/>
      </c>
      <c r="C117" s="34">
        <f>IF(A117="","",CHOOSE(WEEKDAY(A117,2),"Lundi","Mardi","Mercredi","Jeudi","Vendredi","Samedi","Dimanche"))</f>
        <v/>
      </c>
      <c r="D117" s="34">
        <f>IF(A117="","",YEAR(A117-WEEKDAY(A117,2)+4)&amp;"-S"&amp;TEXT(INT((A117-DATE(YEAR(A117-WEEKDAY(A117,2)+4),1,3)+WEEKDAY(DATE(YEAR(A117-WEEKDAY(A117,2)+4),1,3),2)+5)/7),"00"))</f>
        <v/>
      </c>
      <c r="E117" s="35" t="n"/>
      <c r="F117" s="35" t="n"/>
      <c r="G117" s="36" t="n"/>
      <c r="H117" s="37" t="n"/>
      <c r="I117" s="38">
        <f>IF(OR(E117="",F117=""),"",ROUND((F117-E117)*24,1))</f>
        <v/>
      </c>
      <c r="J117" s="39">
        <f>IF(A117="","",COUNTIFS(VC_date,"&gt;="&amp;A117,VC_date,"&lt;="&amp;A117,VC_commercial,B117,VC_type,"Visite sur place"))</f>
        <v/>
      </c>
      <c r="K117" s="39">
        <f>IF(A117="","",COUNTIFS(VC_date,"&gt;="&amp;A117,VC_date,"&lt;="&amp;A117,VC_commercial,B117,VC_type,"&lt;&gt;Visite sur place",VC_type,"&lt;&gt;"))</f>
        <v/>
      </c>
      <c r="L117" s="39">
        <f>IF(A117="","",COUNTIFS(Cl_creation,"&gt;="&amp;A117,Cl_creation,"&lt;="&amp;A117,Cl_commercial,B117))</f>
        <v/>
      </c>
      <c r="M117" s="39">
        <f>IF(A117="","",COUNTIFS(Cl_vente1,"&gt;="&amp;A117,Cl_vente1,"&lt;="&amp;A117,Cl_commercial,B117))</f>
        <v/>
      </c>
      <c r="N117" s="39">
        <f>IF(A117="","",SUMIFS(Cmd_premiere,Cmd_date,"&gt;="&amp;A117,Cmd_date,"&lt;="&amp;A117,Cmd_commercial,B117,Cmd_statut,"&lt;&gt;Annulée",Cmd_type,"&lt;&gt;Vente directe"))</f>
        <v/>
      </c>
      <c r="O117" s="40">
        <f>IF(A117="","",SUMIFS(Cmd_montant,Cmd_date,"&gt;="&amp;A117,Cmd_date,"&lt;="&amp;A117,Cmd_commercial,B117,Cmd_statut,"&lt;&gt;Annulée",Cmd_type,"&lt;&gt;Vente directe"))</f>
        <v/>
      </c>
      <c r="P117" s="40">
        <f>IF(A117="","",SUMIFS(Cmd_montant,Cmd_dateca,"&gt;="&amp;A117,Cmd_dateca,"&lt;="&amp;A117,Cmd_commercial,B117))</f>
        <v/>
      </c>
      <c r="Q117" s="40">
        <f>IF(A117="","",SUMIFS(Enc_montant,Enc_date,"&gt;="&amp;A117,Enc_date,"&lt;="&amp;A117,Enc_commercial,B117))</f>
        <v/>
      </c>
      <c r="R117" s="40">
        <f>IF(A117="","",SUMIFS(Stk_valeur,Stk_date,"&gt;="&amp;A117,Stk_date,"&lt;="&amp;A117,Stk_commercial,B117,Stk_mouvement,"Casse / avarie")+SUMIFS(Stk_valeur,Stk_date,"&gt;="&amp;A117,Stk_date,"&lt;="&amp;A117,Stk_commercial,B117,Stk_mouvement,"Perte / vol"))</f>
        <v/>
      </c>
      <c r="S117" s="36" t="n"/>
      <c r="T117" s="36" t="n"/>
      <c r="U117" s="36" t="n"/>
      <c r="V117" s="36" t="n"/>
    </row>
    <row r="118" ht="18" customHeight="1">
      <c r="A118" s="32" t="n"/>
      <c r="B118" s="33">
        <f>IF(A118="","",Commercial_Id)</f>
        <v/>
      </c>
      <c r="C118" s="34">
        <f>IF(A118="","",CHOOSE(WEEKDAY(A118,2),"Lundi","Mardi","Mercredi","Jeudi","Vendredi","Samedi","Dimanche"))</f>
        <v/>
      </c>
      <c r="D118" s="34">
        <f>IF(A118="","",YEAR(A118-WEEKDAY(A118,2)+4)&amp;"-S"&amp;TEXT(INT((A118-DATE(YEAR(A118-WEEKDAY(A118,2)+4),1,3)+WEEKDAY(DATE(YEAR(A118-WEEKDAY(A118,2)+4),1,3),2)+5)/7),"00"))</f>
        <v/>
      </c>
      <c r="E118" s="35" t="n"/>
      <c r="F118" s="35" t="n"/>
      <c r="G118" s="36" t="n"/>
      <c r="H118" s="37" t="n"/>
      <c r="I118" s="38">
        <f>IF(OR(E118="",F118=""),"",ROUND((F118-E118)*24,1))</f>
        <v/>
      </c>
      <c r="J118" s="39">
        <f>IF(A118="","",COUNTIFS(VC_date,"&gt;="&amp;A118,VC_date,"&lt;="&amp;A118,VC_commercial,B118,VC_type,"Visite sur place"))</f>
        <v/>
      </c>
      <c r="K118" s="39">
        <f>IF(A118="","",COUNTIFS(VC_date,"&gt;="&amp;A118,VC_date,"&lt;="&amp;A118,VC_commercial,B118,VC_type,"&lt;&gt;Visite sur place",VC_type,"&lt;&gt;"))</f>
        <v/>
      </c>
      <c r="L118" s="39">
        <f>IF(A118="","",COUNTIFS(Cl_creation,"&gt;="&amp;A118,Cl_creation,"&lt;="&amp;A118,Cl_commercial,B118))</f>
        <v/>
      </c>
      <c r="M118" s="39">
        <f>IF(A118="","",COUNTIFS(Cl_vente1,"&gt;="&amp;A118,Cl_vente1,"&lt;="&amp;A118,Cl_commercial,B118))</f>
        <v/>
      </c>
      <c r="N118" s="39">
        <f>IF(A118="","",SUMIFS(Cmd_premiere,Cmd_date,"&gt;="&amp;A118,Cmd_date,"&lt;="&amp;A118,Cmd_commercial,B118,Cmd_statut,"&lt;&gt;Annulée",Cmd_type,"&lt;&gt;Vente directe"))</f>
        <v/>
      </c>
      <c r="O118" s="40">
        <f>IF(A118="","",SUMIFS(Cmd_montant,Cmd_date,"&gt;="&amp;A118,Cmd_date,"&lt;="&amp;A118,Cmd_commercial,B118,Cmd_statut,"&lt;&gt;Annulée",Cmd_type,"&lt;&gt;Vente directe"))</f>
        <v/>
      </c>
      <c r="P118" s="40">
        <f>IF(A118="","",SUMIFS(Cmd_montant,Cmd_dateca,"&gt;="&amp;A118,Cmd_dateca,"&lt;="&amp;A118,Cmd_commercial,B118))</f>
        <v/>
      </c>
      <c r="Q118" s="40">
        <f>IF(A118="","",SUMIFS(Enc_montant,Enc_date,"&gt;="&amp;A118,Enc_date,"&lt;="&amp;A118,Enc_commercial,B118))</f>
        <v/>
      </c>
      <c r="R118" s="40">
        <f>IF(A118="","",SUMIFS(Stk_valeur,Stk_date,"&gt;="&amp;A118,Stk_date,"&lt;="&amp;A118,Stk_commercial,B118,Stk_mouvement,"Casse / avarie")+SUMIFS(Stk_valeur,Stk_date,"&gt;="&amp;A118,Stk_date,"&lt;="&amp;A118,Stk_commercial,B118,Stk_mouvement,"Perte / vol"))</f>
        <v/>
      </c>
      <c r="S118" s="36" t="n"/>
      <c r="T118" s="36" t="n"/>
      <c r="U118" s="36" t="n"/>
      <c r="V118" s="36" t="n"/>
    </row>
    <row r="119" ht="18" customHeight="1">
      <c r="A119" s="32" t="n"/>
      <c r="B119" s="33">
        <f>IF(A119="","",Commercial_Id)</f>
        <v/>
      </c>
      <c r="C119" s="34">
        <f>IF(A119="","",CHOOSE(WEEKDAY(A119,2),"Lundi","Mardi","Mercredi","Jeudi","Vendredi","Samedi","Dimanche"))</f>
        <v/>
      </c>
      <c r="D119" s="34">
        <f>IF(A119="","",YEAR(A119-WEEKDAY(A119,2)+4)&amp;"-S"&amp;TEXT(INT((A119-DATE(YEAR(A119-WEEKDAY(A119,2)+4),1,3)+WEEKDAY(DATE(YEAR(A119-WEEKDAY(A119,2)+4),1,3),2)+5)/7),"00"))</f>
        <v/>
      </c>
      <c r="E119" s="35" t="n"/>
      <c r="F119" s="35" t="n"/>
      <c r="G119" s="36" t="n"/>
      <c r="H119" s="37" t="n"/>
      <c r="I119" s="38">
        <f>IF(OR(E119="",F119=""),"",ROUND((F119-E119)*24,1))</f>
        <v/>
      </c>
      <c r="J119" s="39">
        <f>IF(A119="","",COUNTIFS(VC_date,"&gt;="&amp;A119,VC_date,"&lt;="&amp;A119,VC_commercial,B119,VC_type,"Visite sur place"))</f>
        <v/>
      </c>
      <c r="K119" s="39">
        <f>IF(A119="","",COUNTIFS(VC_date,"&gt;="&amp;A119,VC_date,"&lt;="&amp;A119,VC_commercial,B119,VC_type,"&lt;&gt;Visite sur place",VC_type,"&lt;&gt;"))</f>
        <v/>
      </c>
      <c r="L119" s="39">
        <f>IF(A119="","",COUNTIFS(Cl_creation,"&gt;="&amp;A119,Cl_creation,"&lt;="&amp;A119,Cl_commercial,B119))</f>
        <v/>
      </c>
      <c r="M119" s="39">
        <f>IF(A119="","",COUNTIFS(Cl_vente1,"&gt;="&amp;A119,Cl_vente1,"&lt;="&amp;A119,Cl_commercial,B119))</f>
        <v/>
      </c>
      <c r="N119" s="39">
        <f>IF(A119="","",SUMIFS(Cmd_premiere,Cmd_date,"&gt;="&amp;A119,Cmd_date,"&lt;="&amp;A119,Cmd_commercial,B119,Cmd_statut,"&lt;&gt;Annulée",Cmd_type,"&lt;&gt;Vente directe"))</f>
        <v/>
      </c>
      <c r="O119" s="40">
        <f>IF(A119="","",SUMIFS(Cmd_montant,Cmd_date,"&gt;="&amp;A119,Cmd_date,"&lt;="&amp;A119,Cmd_commercial,B119,Cmd_statut,"&lt;&gt;Annulée",Cmd_type,"&lt;&gt;Vente directe"))</f>
        <v/>
      </c>
      <c r="P119" s="40">
        <f>IF(A119="","",SUMIFS(Cmd_montant,Cmd_dateca,"&gt;="&amp;A119,Cmd_dateca,"&lt;="&amp;A119,Cmd_commercial,B119))</f>
        <v/>
      </c>
      <c r="Q119" s="40">
        <f>IF(A119="","",SUMIFS(Enc_montant,Enc_date,"&gt;="&amp;A119,Enc_date,"&lt;="&amp;A119,Enc_commercial,B119))</f>
        <v/>
      </c>
      <c r="R119" s="40">
        <f>IF(A119="","",SUMIFS(Stk_valeur,Stk_date,"&gt;="&amp;A119,Stk_date,"&lt;="&amp;A119,Stk_commercial,B119,Stk_mouvement,"Casse / avarie")+SUMIFS(Stk_valeur,Stk_date,"&gt;="&amp;A119,Stk_date,"&lt;="&amp;A119,Stk_commercial,B119,Stk_mouvement,"Perte / vol"))</f>
        <v/>
      </c>
      <c r="S119" s="36" t="n"/>
      <c r="T119" s="36" t="n"/>
      <c r="U119" s="36" t="n"/>
      <c r="V119" s="36" t="n"/>
    </row>
    <row r="120" ht="18" customHeight="1">
      <c r="A120" s="32" t="n"/>
      <c r="B120" s="33">
        <f>IF(A120="","",Commercial_Id)</f>
        <v/>
      </c>
      <c r="C120" s="34">
        <f>IF(A120="","",CHOOSE(WEEKDAY(A120,2),"Lundi","Mardi","Mercredi","Jeudi","Vendredi","Samedi","Dimanche"))</f>
        <v/>
      </c>
      <c r="D120" s="34">
        <f>IF(A120="","",YEAR(A120-WEEKDAY(A120,2)+4)&amp;"-S"&amp;TEXT(INT((A120-DATE(YEAR(A120-WEEKDAY(A120,2)+4),1,3)+WEEKDAY(DATE(YEAR(A120-WEEKDAY(A120,2)+4),1,3),2)+5)/7),"00"))</f>
        <v/>
      </c>
      <c r="E120" s="35" t="n"/>
      <c r="F120" s="35" t="n"/>
      <c r="G120" s="36" t="n"/>
      <c r="H120" s="37" t="n"/>
      <c r="I120" s="38">
        <f>IF(OR(E120="",F120=""),"",ROUND((F120-E120)*24,1))</f>
        <v/>
      </c>
      <c r="J120" s="39">
        <f>IF(A120="","",COUNTIFS(VC_date,"&gt;="&amp;A120,VC_date,"&lt;="&amp;A120,VC_commercial,B120,VC_type,"Visite sur place"))</f>
        <v/>
      </c>
      <c r="K120" s="39">
        <f>IF(A120="","",COUNTIFS(VC_date,"&gt;="&amp;A120,VC_date,"&lt;="&amp;A120,VC_commercial,B120,VC_type,"&lt;&gt;Visite sur place",VC_type,"&lt;&gt;"))</f>
        <v/>
      </c>
      <c r="L120" s="39">
        <f>IF(A120="","",COUNTIFS(Cl_creation,"&gt;="&amp;A120,Cl_creation,"&lt;="&amp;A120,Cl_commercial,B120))</f>
        <v/>
      </c>
      <c r="M120" s="39">
        <f>IF(A120="","",COUNTIFS(Cl_vente1,"&gt;="&amp;A120,Cl_vente1,"&lt;="&amp;A120,Cl_commercial,B120))</f>
        <v/>
      </c>
      <c r="N120" s="39">
        <f>IF(A120="","",SUMIFS(Cmd_premiere,Cmd_date,"&gt;="&amp;A120,Cmd_date,"&lt;="&amp;A120,Cmd_commercial,B120,Cmd_statut,"&lt;&gt;Annulée",Cmd_type,"&lt;&gt;Vente directe"))</f>
        <v/>
      </c>
      <c r="O120" s="40">
        <f>IF(A120="","",SUMIFS(Cmd_montant,Cmd_date,"&gt;="&amp;A120,Cmd_date,"&lt;="&amp;A120,Cmd_commercial,B120,Cmd_statut,"&lt;&gt;Annulée",Cmd_type,"&lt;&gt;Vente directe"))</f>
        <v/>
      </c>
      <c r="P120" s="40">
        <f>IF(A120="","",SUMIFS(Cmd_montant,Cmd_dateca,"&gt;="&amp;A120,Cmd_dateca,"&lt;="&amp;A120,Cmd_commercial,B120))</f>
        <v/>
      </c>
      <c r="Q120" s="40">
        <f>IF(A120="","",SUMIFS(Enc_montant,Enc_date,"&gt;="&amp;A120,Enc_date,"&lt;="&amp;A120,Enc_commercial,B120))</f>
        <v/>
      </c>
      <c r="R120" s="40">
        <f>IF(A120="","",SUMIFS(Stk_valeur,Stk_date,"&gt;="&amp;A120,Stk_date,"&lt;="&amp;A120,Stk_commercial,B120,Stk_mouvement,"Casse / avarie")+SUMIFS(Stk_valeur,Stk_date,"&gt;="&amp;A120,Stk_date,"&lt;="&amp;A120,Stk_commercial,B120,Stk_mouvement,"Perte / vol"))</f>
        <v/>
      </c>
      <c r="S120" s="36" t="n"/>
      <c r="T120" s="36" t="n"/>
      <c r="U120" s="36" t="n"/>
      <c r="V120" s="36" t="n"/>
    </row>
    <row r="121" ht="18" customHeight="1">
      <c r="A121" s="32" t="n"/>
      <c r="B121" s="33">
        <f>IF(A121="","",Commercial_Id)</f>
        <v/>
      </c>
      <c r="C121" s="34">
        <f>IF(A121="","",CHOOSE(WEEKDAY(A121,2),"Lundi","Mardi","Mercredi","Jeudi","Vendredi","Samedi","Dimanche"))</f>
        <v/>
      </c>
      <c r="D121" s="34">
        <f>IF(A121="","",YEAR(A121-WEEKDAY(A121,2)+4)&amp;"-S"&amp;TEXT(INT((A121-DATE(YEAR(A121-WEEKDAY(A121,2)+4),1,3)+WEEKDAY(DATE(YEAR(A121-WEEKDAY(A121,2)+4),1,3),2)+5)/7),"00"))</f>
        <v/>
      </c>
      <c r="E121" s="35" t="n"/>
      <c r="F121" s="35" t="n"/>
      <c r="G121" s="36" t="n"/>
      <c r="H121" s="37" t="n"/>
      <c r="I121" s="38">
        <f>IF(OR(E121="",F121=""),"",ROUND((F121-E121)*24,1))</f>
        <v/>
      </c>
      <c r="J121" s="39">
        <f>IF(A121="","",COUNTIFS(VC_date,"&gt;="&amp;A121,VC_date,"&lt;="&amp;A121,VC_commercial,B121,VC_type,"Visite sur place"))</f>
        <v/>
      </c>
      <c r="K121" s="39">
        <f>IF(A121="","",COUNTIFS(VC_date,"&gt;="&amp;A121,VC_date,"&lt;="&amp;A121,VC_commercial,B121,VC_type,"&lt;&gt;Visite sur place",VC_type,"&lt;&gt;"))</f>
        <v/>
      </c>
      <c r="L121" s="39">
        <f>IF(A121="","",COUNTIFS(Cl_creation,"&gt;="&amp;A121,Cl_creation,"&lt;="&amp;A121,Cl_commercial,B121))</f>
        <v/>
      </c>
      <c r="M121" s="39">
        <f>IF(A121="","",COUNTIFS(Cl_vente1,"&gt;="&amp;A121,Cl_vente1,"&lt;="&amp;A121,Cl_commercial,B121))</f>
        <v/>
      </c>
      <c r="N121" s="39">
        <f>IF(A121="","",SUMIFS(Cmd_premiere,Cmd_date,"&gt;="&amp;A121,Cmd_date,"&lt;="&amp;A121,Cmd_commercial,B121,Cmd_statut,"&lt;&gt;Annulée",Cmd_type,"&lt;&gt;Vente directe"))</f>
        <v/>
      </c>
      <c r="O121" s="40">
        <f>IF(A121="","",SUMIFS(Cmd_montant,Cmd_date,"&gt;="&amp;A121,Cmd_date,"&lt;="&amp;A121,Cmd_commercial,B121,Cmd_statut,"&lt;&gt;Annulée",Cmd_type,"&lt;&gt;Vente directe"))</f>
        <v/>
      </c>
      <c r="P121" s="40">
        <f>IF(A121="","",SUMIFS(Cmd_montant,Cmd_dateca,"&gt;="&amp;A121,Cmd_dateca,"&lt;="&amp;A121,Cmd_commercial,B121))</f>
        <v/>
      </c>
      <c r="Q121" s="40">
        <f>IF(A121="","",SUMIFS(Enc_montant,Enc_date,"&gt;="&amp;A121,Enc_date,"&lt;="&amp;A121,Enc_commercial,B121))</f>
        <v/>
      </c>
      <c r="R121" s="40">
        <f>IF(A121="","",SUMIFS(Stk_valeur,Stk_date,"&gt;="&amp;A121,Stk_date,"&lt;="&amp;A121,Stk_commercial,B121,Stk_mouvement,"Casse / avarie")+SUMIFS(Stk_valeur,Stk_date,"&gt;="&amp;A121,Stk_date,"&lt;="&amp;A121,Stk_commercial,B121,Stk_mouvement,"Perte / vol"))</f>
        <v/>
      </c>
      <c r="S121" s="36" t="n"/>
      <c r="T121" s="36" t="n"/>
      <c r="U121" s="36" t="n"/>
      <c r="V121" s="36" t="n"/>
    </row>
    <row r="122" ht="18" customHeight="1">
      <c r="A122" s="32" t="n"/>
      <c r="B122" s="33">
        <f>IF(A122="","",Commercial_Id)</f>
        <v/>
      </c>
      <c r="C122" s="34">
        <f>IF(A122="","",CHOOSE(WEEKDAY(A122,2),"Lundi","Mardi","Mercredi","Jeudi","Vendredi","Samedi","Dimanche"))</f>
        <v/>
      </c>
      <c r="D122" s="34">
        <f>IF(A122="","",YEAR(A122-WEEKDAY(A122,2)+4)&amp;"-S"&amp;TEXT(INT((A122-DATE(YEAR(A122-WEEKDAY(A122,2)+4),1,3)+WEEKDAY(DATE(YEAR(A122-WEEKDAY(A122,2)+4),1,3),2)+5)/7),"00"))</f>
        <v/>
      </c>
      <c r="E122" s="35" t="n"/>
      <c r="F122" s="35" t="n"/>
      <c r="G122" s="36" t="n"/>
      <c r="H122" s="37" t="n"/>
      <c r="I122" s="38">
        <f>IF(OR(E122="",F122=""),"",ROUND((F122-E122)*24,1))</f>
        <v/>
      </c>
      <c r="J122" s="39">
        <f>IF(A122="","",COUNTIFS(VC_date,"&gt;="&amp;A122,VC_date,"&lt;="&amp;A122,VC_commercial,B122,VC_type,"Visite sur place"))</f>
        <v/>
      </c>
      <c r="K122" s="39">
        <f>IF(A122="","",COUNTIFS(VC_date,"&gt;="&amp;A122,VC_date,"&lt;="&amp;A122,VC_commercial,B122,VC_type,"&lt;&gt;Visite sur place",VC_type,"&lt;&gt;"))</f>
        <v/>
      </c>
      <c r="L122" s="39">
        <f>IF(A122="","",COUNTIFS(Cl_creation,"&gt;="&amp;A122,Cl_creation,"&lt;="&amp;A122,Cl_commercial,B122))</f>
        <v/>
      </c>
      <c r="M122" s="39">
        <f>IF(A122="","",COUNTIFS(Cl_vente1,"&gt;="&amp;A122,Cl_vente1,"&lt;="&amp;A122,Cl_commercial,B122))</f>
        <v/>
      </c>
      <c r="N122" s="39">
        <f>IF(A122="","",SUMIFS(Cmd_premiere,Cmd_date,"&gt;="&amp;A122,Cmd_date,"&lt;="&amp;A122,Cmd_commercial,B122,Cmd_statut,"&lt;&gt;Annulée",Cmd_type,"&lt;&gt;Vente directe"))</f>
        <v/>
      </c>
      <c r="O122" s="40">
        <f>IF(A122="","",SUMIFS(Cmd_montant,Cmd_date,"&gt;="&amp;A122,Cmd_date,"&lt;="&amp;A122,Cmd_commercial,B122,Cmd_statut,"&lt;&gt;Annulée",Cmd_type,"&lt;&gt;Vente directe"))</f>
        <v/>
      </c>
      <c r="P122" s="40">
        <f>IF(A122="","",SUMIFS(Cmd_montant,Cmd_dateca,"&gt;="&amp;A122,Cmd_dateca,"&lt;="&amp;A122,Cmd_commercial,B122))</f>
        <v/>
      </c>
      <c r="Q122" s="40">
        <f>IF(A122="","",SUMIFS(Enc_montant,Enc_date,"&gt;="&amp;A122,Enc_date,"&lt;="&amp;A122,Enc_commercial,B122))</f>
        <v/>
      </c>
      <c r="R122" s="40">
        <f>IF(A122="","",SUMIFS(Stk_valeur,Stk_date,"&gt;="&amp;A122,Stk_date,"&lt;="&amp;A122,Stk_commercial,B122,Stk_mouvement,"Casse / avarie")+SUMIFS(Stk_valeur,Stk_date,"&gt;="&amp;A122,Stk_date,"&lt;="&amp;A122,Stk_commercial,B122,Stk_mouvement,"Perte / vol"))</f>
        <v/>
      </c>
      <c r="S122" s="36" t="n"/>
      <c r="T122" s="36" t="n"/>
      <c r="U122" s="36" t="n"/>
      <c r="V122" s="36" t="n"/>
    </row>
    <row r="123" ht="18" customHeight="1">
      <c r="A123" s="32" t="n"/>
      <c r="B123" s="33">
        <f>IF(A123="","",Commercial_Id)</f>
        <v/>
      </c>
      <c r="C123" s="34">
        <f>IF(A123="","",CHOOSE(WEEKDAY(A123,2),"Lundi","Mardi","Mercredi","Jeudi","Vendredi","Samedi","Dimanche"))</f>
        <v/>
      </c>
      <c r="D123" s="34">
        <f>IF(A123="","",YEAR(A123-WEEKDAY(A123,2)+4)&amp;"-S"&amp;TEXT(INT((A123-DATE(YEAR(A123-WEEKDAY(A123,2)+4),1,3)+WEEKDAY(DATE(YEAR(A123-WEEKDAY(A123,2)+4),1,3),2)+5)/7),"00"))</f>
        <v/>
      </c>
      <c r="E123" s="35" t="n"/>
      <c r="F123" s="35" t="n"/>
      <c r="G123" s="36" t="n"/>
      <c r="H123" s="37" t="n"/>
      <c r="I123" s="38">
        <f>IF(OR(E123="",F123=""),"",ROUND((F123-E123)*24,1))</f>
        <v/>
      </c>
      <c r="J123" s="39">
        <f>IF(A123="","",COUNTIFS(VC_date,"&gt;="&amp;A123,VC_date,"&lt;="&amp;A123,VC_commercial,B123,VC_type,"Visite sur place"))</f>
        <v/>
      </c>
      <c r="K123" s="39">
        <f>IF(A123="","",COUNTIFS(VC_date,"&gt;="&amp;A123,VC_date,"&lt;="&amp;A123,VC_commercial,B123,VC_type,"&lt;&gt;Visite sur place",VC_type,"&lt;&gt;"))</f>
        <v/>
      </c>
      <c r="L123" s="39">
        <f>IF(A123="","",COUNTIFS(Cl_creation,"&gt;="&amp;A123,Cl_creation,"&lt;="&amp;A123,Cl_commercial,B123))</f>
        <v/>
      </c>
      <c r="M123" s="39">
        <f>IF(A123="","",COUNTIFS(Cl_vente1,"&gt;="&amp;A123,Cl_vente1,"&lt;="&amp;A123,Cl_commercial,B123))</f>
        <v/>
      </c>
      <c r="N123" s="39">
        <f>IF(A123="","",SUMIFS(Cmd_premiere,Cmd_date,"&gt;="&amp;A123,Cmd_date,"&lt;="&amp;A123,Cmd_commercial,B123,Cmd_statut,"&lt;&gt;Annulée",Cmd_type,"&lt;&gt;Vente directe"))</f>
        <v/>
      </c>
      <c r="O123" s="40">
        <f>IF(A123="","",SUMIFS(Cmd_montant,Cmd_date,"&gt;="&amp;A123,Cmd_date,"&lt;="&amp;A123,Cmd_commercial,B123,Cmd_statut,"&lt;&gt;Annulée",Cmd_type,"&lt;&gt;Vente directe"))</f>
        <v/>
      </c>
      <c r="P123" s="40">
        <f>IF(A123="","",SUMIFS(Cmd_montant,Cmd_dateca,"&gt;="&amp;A123,Cmd_dateca,"&lt;="&amp;A123,Cmd_commercial,B123))</f>
        <v/>
      </c>
      <c r="Q123" s="40">
        <f>IF(A123="","",SUMIFS(Enc_montant,Enc_date,"&gt;="&amp;A123,Enc_date,"&lt;="&amp;A123,Enc_commercial,B123))</f>
        <v/>
      </c>
      <c r="R123" s="40">
        <f>IF(A123="","",SUMIFS(Stk_valeur,Stk_date,"&gt;="&amp;A123,Stk_date,"&lt;="&amp;A123,Stk_commercial,B123,Stk_mouvement,"Casse / avarie")+SUMIFS(Stk_valeur,Stk_date,"&gt;="&amp;A123,Stk_date,"&lt;="&amp;A123,Stk_commercial,B123,Stk_mouvement,"Perte / vol"))</f>
        <v/>
      </c>
      <c r="S123" s="36" t="n"/>
      <c r="T123" s="36" t="n"/>
      <c r="U123" s="36" t="n"/>
      <c r="V123" s="36" t="n"/>
    </row>
    <row r="124" ht="18" customHeight="1">
      <c r="A124" s="32" t="n"/>
      <c r="B124" s="33">
        <f>IF(A124="","",Commercial_Id)</f>
        <v/>
      </c>
      <c r="C124" s="34">
        <f>IF(A124="","",CHOOSE(WEEKDAY(A124,2),"Lundi","Mardi","Mercredi","Jeudi","Vendredi","Samedi","Dimanche"))</f>
        <v/>
      </c>
      <c r="D124" s="34">
        <f>IF(A124="","",YEAR(A124-WEEKDAY(A124,2)+4)&amp;"-S"&amp;TEXT(INT((A124-DATE(YEAR(A124-WEEKDAY(A124,2)+4),1,3)+WEEKDAY(DATE(YEAR(A124-WEEKDAY(A124,2)+4),1,3),2)+5)/7),"00"))</f>
        <v/>
      </c>
      <c r="E124" s="35" t="n"/>
      <c r="F124" s="35" t="n"/>
      <c r="G124" s="36" t="n"/>
      <c r="H124" s="37" t="n"/>
      <c r="I124" s="38">
        <f>IF(OR(E124="",F124=""),"",ROUND((F124-E124)*24,1))</f>
        <v/>
      </c>
      <c r="J124" s="39">
        <f>IF(A124="","",COUNTIFS(VC_date,"&gt;="&amp;A124,VC_date,"&lt;="&amp;A124,VC_commercial,B124,VC_type,"Visite sur place"))</f>
        <v/>
      </c>
      <c r="K124" s="39">
        <f>IF(A124="","",COUNTIFS(VC_date,"&gt;="&amp;A124,VC_date,"&lt;="&amp;A124,VC_commercial,B124,VC_type,"&lt;&gt;Visite sur place",VC_type,"&lt;&gt;"))</f>
        <v/>
      </c>
      <c r="L124" s="39">
        <f>IF(A124="","",COUNTIFS(Cl_creation,"&gt;="&amp;A124,Cl_creation,"&lt;="&amp;A124,Cl_commercial,B124))</f>
        <v/>
      </c>
      <c r="M124" s="39">
        <f>IF(A124="","",COUNTIFS(Cl_vente1,"&gt;="&amp;A124,Cl_vente1,"&lt;="&amp;A124,Cl_commercial,B124))</f>
        <v/>
      </c>
      <c r="N124" s="39">
        <f>IF(A124="","",SUMIFS(Cmd_premiere,Cmd_date,"&gt;="&amp;A124,Cmd_date,"&lt;="&amp;A124,Cmd_commercial,B124,Cmd_statut,"&lt;&gt;Annulée",Cmd_type,"&lt;&gt;Vente directe"))</f>
        <v/>
      </c>
      <c r="O124" s="40">
        <f>IF(A124="","",SUMIFS(Cmd_montant,Cmd_date,"&gt;="&amp;A124,Cmd_date,"&lt;="&amp;A124,Cmd_commercial,B124,Cmd_statut,"&lt;&gt;Annulée",Cmd_type,"&lt;&gt;Vente directe"))</f>
        <v/>
      </c>
      <c r="P124" s="40">
        <f>IF(A124="","",SUMIFS(Cmd_montant,Cmd_dateca,"&gt;="&amp;A124,Cmd_dateca,"&lt;="&amp;A124,Cmd_commercial,B124))</f>
        <v/>
      </c>
      <c r="Q124" s="40">
        <f>IF(A124="","",SUMIFS(Enc_montant,Enc_date,"&gt;="&amp;A124,Enc_date,"&lt;="&amp;A124,Enc_commercial,B124))</f>
        <v/>
      </c>
      <c r="R124" s="40">
        <f>IF(A124="","",SUMIFS(Stk_valeur,Stk_date,"&gt;="&amp;A124,Stk_date,"&lt;="&amp;A124,Stk_commercial,B124,Stk_mouvement,"Casse / avarie")+SUMIFS(Stk_valeur,Stk_date,"&gt;="&amp;A124,Stk_date,"&lt;="&amp;A124,Stk_commercial,B124,Stk_mouvement,"Perte / vol"))</f>
        <v/>
      </c>
      <c r="S124" s="36" t="n"/>
      <c r="T124" s="36" t="n"/>
      <c r="U124" s="36" t="n"/>
      <c r="V124" s="36" t="n"/>
    </row>
    <row r="125" ht="18" customHeight="1">
      <c r="A125" s="32" t="n"/>
      <c r="B125" s="33">
        <f>IF(A125="","",Commercial_Id)</f>
        <v/>
      </c>
      <c r="C125" s="34">
        <f>IF(A125="","",CHOOSE(WEEKDAY(A125,2),"Lundi","Mardi","Mercredi","Jeudi","Vendredi","Samedi","Dimanche"))</f>
        <v/>
      </c>
      <c r="D125" s="34">
        <f>IF(A125="","",YEAR(A125-WEEKDAY(A125,2)+4)&amp;"-S"&amp;TEXT(INT((A125-DATE(YEAR(A125-WEEKDAY(A125,2)+4),1,3)+WEEKDAY(DATE(YEAR(A125-WEEKDAY(A125,2)+4),1,3),2)+5)/7),"00"))</f>
        <v/>
      </c>
      <c r="E125" s="35" t="n"/>
      <c r="F125" s="35" t="n"/>
      <c r="G125" s="36" t="n"/>
      <c r="H125" s="37" t="n"/>
      <c r="I125" s="38">
        <f>IF(OR(E125="",F125=""),"",ROUND((F125-E125)*24,1))</f>
        <v/>
      </c>
      <c r="J125" s="39">
        <f>IF(A125="","",COUNTIFS(VC_date,"&gt;="&amp;A125,VC_date,"&lt;="&amp;A125,VC_commercial,B125,VC_type,"Visite sur place"))</f>
        <v/>
      </c>
      <c r="K125" s="39">
        <f>IF(A125="","",COUNTIFS(VC_date,"&gt;="&amp;A125,VC_date,"&lt;="&amp;A125,VC_commercial,B125,VC_type,"&lt;&gt;Visite sur place",VC_type,"&lt;&gt;"))</f>
        <v/>
      </c>
      <c r="L125" s="39">
        <f>IF(A125="","",COUNTIFS(Cl_creation,"&gt;="&amp;A125,Cl_creation,"&lt;="&amp;A125,Cl_commercial,B125))</f>
        <v/>
      </c>
      <c r="M125" s="39">
        <f>IF(A125="","",COUNTIFS(Cl_vente1,"&gt;="&amp;A125,Cl_vente1,"&lt;="&amp;A125,Cl_commercial,B125))</f>
        <v/>
      </c>
      <c r="N125" s="39">
        <f>IF(A125="","",SUMIFS(Cmd_premiere,Cmd_date,"&gt;="&amp;A125,Cmd_date,"&lt;="&amp;A125,Cmd_commercial,B125,Cmd_statut,"&lt;&gt;Annulée",Cmd_type,"&lt;&gt;Vente directe"))</f>
        <v/>
      </c>
      <c r="O125" s="40">
        <f>IF(A125="","",SUMIFS(Cmd_montant,Cmd_date,"&gt;="&amp;A125,Cmd_date,"&lt;="&amp;A125,Cmd_commercial,B125,Cmd_statut,"&lt;&gt;Annulée",Cmd_type,"&lt;&gt;Vente directe"))</f>
        <v/>
      </c>
      <c r="P125" s="40">
        <f>IF(A125="","",SUMIFS(Cmd_montant,Cmd_dateca,"&gt;="&amp;A125,Cmd_dateca,"&lt;="&amp;A125,Cmd_commercial,B125))</f>
        <v/>
      </c>
      <c r="Q125" s="40">
        <f>IF(A125="","",SUMIFS(Enc_montant,Enc_date,"&gt;="&amp;A125,Enc_date,"&lt;="&amp;A125,Enc_commercial,B125))</f>
        <v/>
      </c>
      <c r="R125" s="40">
        <f>IF(A125="","",SUMIFS(Stk_valeur,Stk_date,"&gt;="&amp;A125,Stk_date,"&lt;="&amp;A125,Stk_commercial,B125,Stk_mouvement,"Casse / avarie")+SUMIFS(Stk_valeur,Stk_date,"&gt;="&amp;A125,Stk_date,"&lt;="&amp;A125,Stk_commercial,B125,Stk_mouvement,"Perte / vol"))</f>
        <v/>
      </c>
      <c r="S125" s="36" t="n"/>
      <c r="T125" s="36" t="n"/>
      <c r="U125" s="36" t="n"/>
      <c r="V125" s="36" t="n"/>
    </row>
    <row r="126" ht="18" customHeight="1">
      <c r="A126" s="32" t="n"/>
      <c r="B126" s="33">
        <f>IF(A126="","",Commercial_Id)</f>
        <v/>
      </c>
      <c r="C126" s="34">
        <f>IF(A126="","",CHOOSE(WEEKDAY(A126,2),"Lundi","Mardi","Mercredi","Jeudi","Vendredi","Samedi","Dimanche"))</f>
        <v/>
      </c>
      <c r="D126" s="34">
        <f>IF(A126="","",YEAR(A126-WEEKDAY(A126,2)+4)&amp;"-S"&amp;TEXT(INT((A126-DATE(YEAR(A126-WEEKDAY(A126,2)+4),1,3)+WEEKDAY(DATE(YEAR(A126-WEEKDAY(A126,2)+4),1,3),2)+5)/7),"00"))</f>
        <v/>
      </c>
      <c r="E126" s="35" t="n"/>
      <c r="F126" s="35" t="n"/>
      <c r="G126" s="36" t="n"/>
      <c r="H126" s="37" t="n"/>
      <c r="I126" s="38">
        <f>IF(OR(E126="",F126=""),"",ROUND((F126-E126)*24,1))</f>
        <v/>
      </c>
      <c r="J126" s="39">
        <f>IF(A126="","",COUNTIFS(VC_date,"&gt;="&amp;A126,VC_date,"&lt;="&amp;A126,VC_commercial,B126,VC_type,"Visite sur place"))</f>
        <v/>
      </c>
      <c r="K126" s="39">
        <f>IF(A126="","",COUNTIFS(VC_date,"&gt;="&amp;A126,VC_date,"&lt;="&amp;A126,VC_commercial,B126,VC_type,"&lt;&gt;Visite sur place",VC_type,"&lt;&gt;"))</f>
        <v/>
      </c>
      <c r="L126" s="39">
        <f>IF(A126="","",COUNTIFS(Cl_creation,"&gt;="&amp;A126,Cl_creation,"&lt;="&amp;A126,Cl_commercial,B126))</f>
        <v/>
      </c>
      <c r="M126" s="39">
        <f>IF(A126="","",COUNTIFS(Cl_vente1,"&gt;="&amp;A126,Cl_vente1,"&lt;="&amp;A126,Cl_commercial,B126))</f>
        <v/>
      </c>
      <c r="N126" s="39">
        <f>IF(A126="","",SUMIFS(Cmd_premiere,Cmd_date,"&gt;="&amp;A126,Cmd_date,"&lt;="&amp;A126,Cmd_commercial,B126,Cmd_statut,"&lt;&gt;Annulée",Cmd_type,"&lt;&gt;Vente directe"))</f>
        <v/>
      </c>
      <c r="O126" s="40">
        <f>IF(A126="","",SUMIFS(Cmd_montant,Cmd_date,"&gt;="&amp;A126,Cmd_date,"&lt;="&amp;A126,Cmd_commercial,B126,Cmd_statut,"&lt;&gt;Annulée",Cmd_type,"&lt;&gt;Vente directe"))</f>
        <v/>
      </c>
      <c r="P126" s="40">
        <f>IF(A126="","",SUMIFS(Cmd_montant,Cmd_dateca,"&gt;="&amp;A126,Cmd_dateca,"&lt;="&amp;A126,Cmd_commercial,B126))</f>
        <v/>
      </c>
      <c r="Q126" s="40">
        <f>IF(A126="","",SUMIFS(Enc_montant,Enc_date,"&gt;="&amp;A126,Enc_date,"&lt;="&amp;A126,Enc_commercial,B126))</f>
        <v/>
      </c>
      <c r="R126" s="40">
        <f>IF(A126="","",SUMIFS(Stk_valeur,Stk_date,"&gt;="&amp;A126,Stk_date,"&lt;="&amp;A126,Stk_commercial,B126,Stk_mouvement,"Casse / avarie")+SUMIFS(Stk_valeur,Stk_date,"&gt;="&amp;A126,Stk_date,"&lt;="&amp;A126,Stk_commercial,B126,Stk_mouvement,"Perte / vol"))</f>
        <v/>
      </c>
      <c r="S126" s="36" t="n"/>
      <c r="T126" s="36" t="n"/>
      <c r="U126" s="36" t="n"/>
      <c r="V126" s="36" t="n"/>
    </row>
    <row r="127" ht="18" customHeight="1">
      <c r="A127" s="32" t="n"/>
      <c r="B127" s="33">
        <f>IF(A127="","",Commercial_Id)</f>
        <v/>
      </c>
      <c r="C127" s="34">
        <f>IF(A127="","",CHOOSE(WEEKDAY(A127,2),"Lundi","Mardi","Mercredi","Jeudi","Vendredi","Samedi","Dimanche"))</f>
        <v/>
      </c>
      <c r="D127" s="34">
        <f>IF(A127="","",YEAR(A127-WEEKDAY(A127,2)+4)&amp;"-S"&amp;TEXT(INT((A127-DATE(YEAR(A127-WEEKDAY(A127,2)+4),1,3)+WEEKDAY(DATE(YEAR(A127-WEEKDAY(A127,2)+4),1,3),2)+5)/7),"00"))</f>
        <v/>
      </c>
      <c r="E127" s="35" t="n"/>
      <c r="F127" s="35" t="n"/>
      <c r="G127" s="36" t="n"/>
      <c r="H127" s="37" t="n"/>
      <c r="I127" s="38">
        <f>IF(OR(E127="",F127=""),"",ROUND((F127-E127)*24,1))</f>
        <v/>
      </c>
      <c r="J127" s="39">
        <f>IF(A127="","",COUNTIFS(VC_date,"&gt;="&amp;A127,VC_date,"&lt;="&amp;A127,VC_commercial,B127,VC_type,"Visite sur place"))</f>
        <v/>
      </c>
      <c r="K127" s="39">
        <f>IF(A127="","",COUNTIFS(VC_date,"&gt;="&amp;A127,VC_date,"&lt;="&amp;A127,VC_commercial,B127,VC_type,"&lt;&gt;Visite sur place",VC_type,"&lt;&gt;"))</f>
        <v/>
      </c>
      <c r="L127" s="39">
        <f>IF(A127="","",COUNTIFS(Cl_creation,"&gt;="&amp;A127,Cl_creation,"&lt;="&amp;A127,Cl_commercial,B127))</f>
        <v/>
      </c>
      <c r="M127" s="39">
        <f>IF(A127="","",COUNTIFS(Cl_vente1,"&gt;="&amp;A127,Cl_vente1,"&lt;="&amp;A127,Cl_commercial,B127))</f>
        <v/>
      </c>
      <c r="N127" s="39">
        <f>IF(A127="","",SUMIFS(Cmd_premiere,Cmd_date,"&gt;="&amp;A127,Cmd_date,"&lt;="&amp;A127,Cmd_commercial,B127,Cmd_statut,"&lt;&gt;Annulée",Cmd_type,"&lt;&gt;Vente directe"))</f>
        <v/>
      </c>
      <c r="O127" s="40">
        <f>IF(A127="","",SUMIFS(Cmd_montant,Cmd_date,"&gt;="&amp;A127,Cmd_date,"&lt;="&amp;A127,Cmd_commercial,B127,Cmd_statut,"&lt;&gt;Annulée",Cmd_type,"&lt;&gt;Vente directe"))</f>
        <v/>
      </c>
      <c r="P127" s="40">
        <f>IF(A127="","",SUMIFS(Cmd_montant,Cmd_dateca,"&gt;="&amp;A127,Cmd_dateca,"&lt;="&amp;A127,Cmd_commercial,B127))</f>
        <v/>
      </c>
      <c r="Q127" s="40">
        <f>IF(A127="","",SUMIFS(Enc_montant,Enc_date,"&gt;="&amp;A127,Enc_date,"&lt;="&amp;A127,Enc_commercial,B127))</f>
        <v/>
      </c>
      <c r="R127" s="40">
        <f>IF(A127="","",SUMIFS(Stk_valeur,Stk_date,"&gt;="&amp;A127,Stk_date,"&lt;="&amp;A127,Stk_commercial,B127,Stk_mouvement,"Casse / avarie")+SUMIFS(Stk_valeur,Stk_date,"&gt;="&amp;A127,Stk_date,"&lt;="&amp;A127,Stk_commercial,B127,Stk_mouvement,"Perte / vol"))</f>
        <v/>
      </c>
      <c r="S127" s="36" t="n"/>
      <c r="T127" s="36" t="n"/>
      <c r="U127" s="36" t="n"/>
      <c r="V127" s="36" t="n"/>
    </row>
    <row r="128" ht="18" customHeight="1">
      <c r="A128" s="32" t="n"/>
      <c r="B128" s="33">
        <f>IF(A128="","",Commercial_Id)</f>
        <v/>
      </c>
      <c r="C128" s="34">
        <f>IF(A128="","",CHOOSE(WEEKDAY(A128,2),"Lundi","Mardi","Mercredi","Jeudi","Vendredi","Samedi","Dimanche"))</f>
        <v/>
      </c>
      <c r="D128" s="34">
        <f>IF(A128="","",YEAR(A128-WEEKDAY(A128,2)+4)&amp;"-S"&amp;TEXT(INT((A128-DATE(YEAR(A128-WEEKDAY(A128,2)+4),1,3)+WEEKDAY(DATE(YEAR(A128-WEEKDAY(A128,2)+4),1,3),2)+5)/7),"00"))</f>
        <v/>
      </c>
      <c r="E128" s="35" t="n"/>
      <c r="F128" s="35" t="n"/>
      <c r="G128" s="36" t="n"/>
      <c r="H128" s="37" t="n"/>
      <c r="I128" s="38">
        <f>IF(OR(E128="",F128=""),"",ROUND((F128-E128)*24,1))</f>
        <v/>
      </c>
      <c r="J128" s="39">
        <f>IF(A128="","",COUNTIFS(VC_date,"&gt;="&amp;A128,VC_date,"&lt;="&amp;A128,VC_commercial,B128,VC_type,"Visite sur place"))</f>
        <v/>
      </c>
      <c r="K128" s="39">
        <f>IF(A128="","",COUNTIFS(VC_date,"&gt;="&amp;A128,VC_date,"&lt;="&amp;A128,VC_commercial,B128,VC_type,"&lt;&gt;Visite sur place",VC_type,"&lt;&gt;"))</f>
        <v/>
      </c>
      <c r="L128" s="39">
        <f>IF(A128="","",COUNTIFS(Cl_creation,"&gt;="&amp;A128,Cl_creation,"&lt;="&amp;A128,Cl_commercial,B128))</f>
        <v/>
      </c>
      <c r="M128" s="39">
        <f>IF(A128="","",COUNTIFS(Cl_vente1,"&gt;="&amp;A128,Cl_vente1,"&lt;="&amp;A128,Cl_commercial,B128))</f>
        <v/>
      </c>
      <c r="N128" s="39">
        <f>IF(A128="","",SUMIFS(Cmd_premiere,Cmd_date,"&gt;="&amp;A128,Cmd_date,"&lt;="&amp;A128,Cmd_commercial,B128,Cmd_statut,"&lt;&gt;Annulée",Cmd_type,"&lt;&gt;Vente directe"))</f>
        <v/>
      </c>
      <c r="O128" s="40">
        <f>IF(A128="","",SUMIFS(Cmd_montant,Cmd_date,"&gt;="&amp;A128,Cmd_date,"&lt;="&amp;A128,Cmd_commercial,B128,Cmd_statut,"&lt;&gt;Annulée",Cmd_type,"&lt;&gt;Vente directe"))</f>
        <v/>
      </c>
      <c r="P128" s="40">
        <f>IF(A128="","",SUMIFS(Cmd_montant,Cmd_dateca,"&gt;="&amp;A128,Cmd_dateca,"&lt;="&amp;A128,Cmd_commercial,B128))</f>
        <v/>
      </c>
      <c r="Q128" s="40">
        <f>IF(A128="","",SUMIFS(Enc_montant,Enc_date,"&gt;="&amp;A128,Enc_date,"&lt;="&amp;A128,Enc_commercial,B128))</f>
        <v/>
      </c>
      <c r="R128" s="40">
        <f>IF(A128="","",SUMIFS(Stk_valeur,Stk_date,"&gt;="&amp;A128,Stk_date,"&lt;="&amp;A128,Stk_commercial,B128,Stk_mouvement,"Casse / avarie")+SUMIFS(Stk_valeur,Stk_date,"&gt;="&amp;A128,Stk_date,"&lt;="&amp;A128,Stk_commercial,B128,Stk_mouvement,"Perte / vol"))</f>
        <v/>
      </c>
      <c r="S128" s="36" t="n"/>
      <c r="T128" s="36" t="n"/>
      <c r="U128" s="36" t="n"/>
      <c r="V128" s="36" t="n"/>
    </row>
    <row r="129" ht="18" customHeight="1">
      <c r="A129" s="32" t="n"/>
      <c r="B129" s="33">
        <f>IF(A129="","",Commercial_Id)</f>
        <v/>
      </c>
      <c r="C129" s="34">
        <f>IF(A129="","",CHOOSE(WEEKDAY(A129,2),"Lundi","Mardi","Mercredi","Jeudi","Vendredi","Samedi","Dimanche"))</f>
        <v/>
      </c>
      <c r="D129" s="34">
        <f>IF(A129="","",YEAR(A129-WEEKDAY(A129,2)+4)&amp;"-S"&amp;TEXT(INT((A129-DATE(YEAR(A129-WEEKDAY(A129,2)+4),1,3)+WEEKDAY(DATE(YEAR(A129-WEEKDAY(A129,2)+4),1,3),2)+5)/7),"00"))</f>
        <v/>
      </c>
      <c r="E129" s="35" t="n"/>
      <c r="F129" s="35" t="n"/>
      <c r="G129" s="36" t="n"/>
      <c r="H129" s="37" t="n"/>
      <c r="I129" s="38">
        <f>IF(OR(E129="",F129=""),"",ROUND((F129-E129)*24,1))</f>
        <v/>
      </c>
      <c r="J129" s="39">
        <f>IF(A129="","",COUNTIFS(VC_date,"&gt;="&amp;A129,VC_date,"&lt;="&amp;A129,VC_commercial,B129,VC_type,"Visite sur place"))</f>
        <v/>
      </c>
      <c r="K129" s="39">
        <f>IF(A129="","",COUNTIFS(VC_date,"&gt;="&amp;A129,VC_date,"&lt;="&amp;A129,VC_commercial,B129,VC_type,"&lt;&gt;Visite sur place",VC_type,"&lt;&gt;"))</f>
        <v/>
      </c>
      <c r="L129" s="39">
        <f>IF(A129="","",COUNTIFS(Cl_creation,"&gt;="&amp;A129,Cl_creation,"&lt;="&amp;A129,Cl_commercial,B129))</f>
        <v/>
      </c>
      <c r="M129" s="39">
        <f>IF(A129="","",COUNTIFS(Cl_vente1,"&gt;="&amp;A129,Cl_vente1,"&lt;="&amp;A129,Cl_commercial,B129))</f>
        <v/>
      </c>
      <c r="N129" s="39">
        <f>IF(A129="","",SUMIFS(Cmd_premiere,Cmd_date,"&gt;="&amp;A129,Cmd_date,"&lt;="&amp;A129,Cmd_commercial,B129,Cmd_statut,"&lt;&gt;Annulée",Cmd_type,"&lt;&gt;Vente directe"))</f>
        <v/>
      </c>
      <c r="O129" s="40">
        <f>IF(A129="","",SUMIFS(Cmd_montant,Cmd_date,"&gt;="&amp;A129,Cmd_date,"&lt;="&amp;A129,Cmd_commercial,B129,Cmd_statut,"&lt;&gt;Annulée",Cmd_type,"&lt;&gt;Vente directe"))</f>
        <v/>
      </c>
      <c r="P129" s="40">
        <f>IF(A129="","",SUMIFS(Cmd_montant,Cmd_dateca,"&gt;="&amp;A129,Cmd_dateca,"&lt;="&amp;A129,Cmd_commercial,B129))</f>
        <v/>
      </c>
      <c r="Q129" s="40">
        <f>IF(A129="","",SUMIFS(Enc_montant,Enc_date,"&gt;="&amp;A129,Enc_date,"&lt;="&amp;A129,Enc_commercial,B129))</f>
        <v/>
      </c>
      <c r="R129" s="40">
        <f>IF(A129="","",SUMIFS(Stk_valeur,Stk_date,"&gt;="&amp;A129,Stk_date,"&lt;="&amp;A129,Stk_commercial,B129,Stk_mouvement,"Casse / avarie")+SUMIFS(Stk_valeur,Stk_date,"&gt;="&amp;A129,Stk_date,"&lt;="&amp;A129,Stk_commercial,B129,Stk_mouvement,"Perte / vol"))</f>
        <v/>
      </c>
      <c r="S129" s="36" t="n"/>
      <c r="T129" s="36" t="n"/>
      <c r="U129" s="36" t="n"/>
      <c r="V129" s="36" t="n"/>
    </row>
    <row r="130" ht="18" customHeight="1">
      <c r="A130" s="32" t="n"/>
      <c r="B130" s="33">
        <f>IF(A130="","",Commercial_Id)</f>
        <v/>
      </c>
      <c r="C130" s="34">
        <f>IF(A130="","",CHOOSE(WEEKDAY(A130,2),"Lundi","Mardi","Mercredi","Jeudi","Vendredi","Samedi","Dimanche"))</f>
        <v/>
      </c>
      <c r="D130" s="34">
        <f>IF(A130="","",YEAR(A130-WEEKDAY(A130,2)+4)&amp;"-S"&amp;TEXT(INT((A130-DATE(YEAR(A130-WEEKDAY(A130,2)+4),1,3)+WEEKDAY(DATE(YEAR(A130-WEEKDAY(A130,2)+4),1,3),2)+5)/7),"00"))</f>
        <v/>
      </c>
      <c r="E130" s="35" t="n"/>
      <c r="F130" s="35" t="n"/>
      <c r="G130" s="36" t="n"/>
      <c r="H130" s="37" t="n"/>
      <c r="I130" s="38">
        <f>IF(OR(E130="",F130=""),"",ROUND((F130-E130)*24,1))</f>
        <v/>
      </c>
      <c r="J130" s="39">
        <f>IF(A130="","",COUNTIFS(VC_date,"&gt;="&amp;A130,VC_date,"&lt;="&amp;A130,VC_commercial,B130,VC_type,"Visite sur place"))</f>
        <v/>
      </c>
      <c r="K130" s="39">
        <f>IF(A130="","",COUNTIFS(VC_date,"&gt;="&amp;A130,VC_date,"&lt;="&amp;A130,VC_commercial,B130,VC_type,"&lt;&gt;Visite sur place",VC_type,"&lt;&gt;"))</f>
        <v/>
      </c>
      <c r="L130" s="39">
        <f>IF(A130="","",COUNTIFS(Cl_creation,"&gt;="&amp;A130,Cl_creation,"&lt;="&amp;A130,Cl_commercial,B130))</f>
        <v/>
      </c>
      <c r="M130" s="39">
        <f>IF(A130="","",COUNTIFS(Cl_vente1,"&gt;="&amp;A130,Cl_vente1,"&lt;="&amp;A130,Cl_commercial,B130))</f>
        <v/>
      </c>
      <c r="N130" s="39">
        <f>IF(A130="","",SUMIFS(Cmd_premiere,Cmd_date,"&gt;="&amp;A130,Cmd_date,"&lt;="&amp;A130,Cmd_commercial,B130,Cmd_statut,"&lt;&gt;Annulée",Cmd_type,"&lt;&gt;Vente directe"))</f>
        <v/>
      </c>
      <c r="O130" s="40">
        <f>IF(A130="","",SUMIFS(Cmd_montant,Cmd_date,"&gt;="&amp;A130,Cmd_date,"&lt;="&amp;A130,Cmd_commercial,B130,Cmd_statut,"&lt;&gt;Annulée",Cmd_type,"&lt;&gt;Vente directe"))</f>
        <v/>
      </c>
      <c r="P130" s="40">
        <f>IF(A130="","",SUMIFS(Cmd_montant,Cmd_dateca,"&gt;="&amp;A130,Cmd_dateca,"&lt;="&amp;A130,Cmd_commercial,B130))</f>
        <v/>
      </c>
      <c r="Q130" s="40">
        <f>IF(A130="","",SUMIFS(Enc_montant,Enc_date,"&gt;="&amp;A130,Enc_date,"&lt;="&amp;A130,Enc_commercial,B130))</f>
        <v/>
      </c>
      <c r="R130" s="40">
        <f>IF(A130="","",SUMIFS(Stk_valeur,Stk_date,"&gt;="&amp;A130,Stk_date,"&lt;="&amp;A130,Stk_commercial,B130,Stk_mouvement,"Casse / avarie")+SUMIFS(Stk_valeur,Stk_date,"&gt;="&amp;A130,Stk_date,"&lt;="&amp;A130,Stk_commercial,B130,Stk_mouvement,"Perte / vol"))</f>
        <v/>
      </c>
      <c r="S130" s="36" t="n"/>
      <c r="T130" s="36" t="n"/>
      <c r="U130" s="36" t="n"/>
      <c r="V130" s="36" t="n"/>
    </row>
    <row r="131" ht="18" customHeight="1">
      <c r="A131" s="32" t="n"/>
      <c r="B131" s="33">
        <f>IF(A131="","",Commercial_Id)</f>
        <v/>
      </c>
      <c r="C131" s="34">
        <f>IF(A131="","",CHOOSE(WEEKDAY(A131,2),"Lundi","Mardi","Mercredi","Jeudi","Vendredi","Samedi","Dimanche"))</f>
        <v/>
      </c>
      <c r="D131" s="34">
        <f>IF(A131="","",YEAR(A131-WEEKDAY(A131,2)+4)&amp;"-S"&amp;TEXT(INT((A131-DATE(YEAR(A131-WEEKDAY(A131,2)+4),1,3)+WEEKDAY(DATE(YEAR(A131-WEEKDAY(A131,2)+4),1,3),2)+5)/7),"00"))</f>
        <v/>
      </c>
      <c r="E131" s="35" t="n"/>
      <c r="F131" s="35" t="n"/>
      <c r="G131" s="36" t="n"/>
      <c r="H131" s="37" t="n"/>
      <c r="I131" s="38">
        <f>IF(OR(E131="",F131=""),"",ROUND((F131-E131)*24,1))</f>
        <v/>
      </c>
      <c r="J131" s="39">
        <f>IF(A131="","",COUNTIFS(VC_date,"&gt;="&amp;A131,VC_date,"&lt;="&amp;A131,VC_commercial,B131,VC_type,"Visite sur place"))</f>
        <v/>
      </c>
      <c r="K131" s="39">
        <f>IF(A131="","",COUNTIFS(VC_date,"&gt;="&amp;A131,VC_date,"&lt;="&amp;A131,VC_commercial,B131,VC_type,"&lt;&gt;Visite sur place",VC_type,"&lt;&gt;"))</f>
        <v/>
      </c>
      <c r="L131" s="39">
        <f>IF(A131="","",COUNTIFS(Cl_creation,"&gt;="&amp;A131,Cl_creation,"&lt;="&amp;A131,Cl_commercial,B131))</f>
        <v/>
      </c>
      <c r="M131" s="39">
        <f>IF(A131="","",COUNTIFS(Cl_vente1,"&gt;="&amp;A131,Cl_vente1,"&lt;="&amp;A131,Cl_commercial,B131))</f>
        <v/>
      </c>
      <c r="N131" s="39">
        <f>IF(A131="","",SUMIFS(Cmd_premiere,Cmd_date,"&gt;="&amp;A131,Cmd_date,"&lt;="&amp;A131,Cmd_commercial,B131,Cmd_statut,"&lt;&gt;Annulée",Cmd_type,"&lt;&gt;Vente directe"))</f>
        <v/>
      </c>
      <c r="O131" s="40">
        <f>IF(A131="","",SUMIFS(Cmd_montant,Cmd_date,"&gt;="&amp;A131,Cmd_date,"&lt;="&amp;A131,Cmd_commercial,B131,Cmd_statut,"&lt;&gt;Annulée",Cmd_type,"&lt;&gt;Vente directe"))</f>
        <v/>
      </c>
      <c r="P131" s="40">
        <f>IF(A131="","",SUMIFS(Cmd_montant,Cmd_dateca,"&gt;="&amp;A131,Cmd_dateca,"&lt;="&amp;A131,Cmd_commercial,B131))</f>
        <v/>
      </c>
      <c r="Q131" s="40">
        <f>IF(A131="","",SUMIFS(Enc_montant,Enc_date,"&gt;="&amp;A131,Enc_date,"&lt;="&amp;A131,Enc_commercial,B131))</f>
        <v/>
      </c>
      <c r="R131" s="40">
        <f>IF(A131="","",SUMIFS(Stk_valeur,Stk_date,"&gt;="&amp;A131,Stk_date,"&lt;="&amp;A131,Stk_commercial,B131,Stk_mouvement,"Casse / avarie")+SUMIFS(Stk_valeur,Stk_date,"&gt;="&amp;A131,Stk_date,"&lt;="&amp;A131,Stk_commercial,B131,Stk_mouvement,"Perte / vol"))</f>
        <v/>
      </c>
      <c r="S131" s="36" t="n"/>
      <c r="T131" s="36" t="n"/>
      <c r="U131" s="36" t="n"/>
      <c r="V131" s="36" t="n"/>
    </row>
    <row r="132" ht="18" customHeight="1">
      <c r="A132" s="32" t="n"/>
      <c r="B132" s="33">
        <f>IF(A132="","",Commercial_Id)</f>
        <v/>
      </c>
      <c r="C132" s="34">
        <f>IF(A132="","",CHOOSE(WEEKDAY(A132,2),"Lundi","Mardi","Mercredi","Jeudi","Vendredi","Samedi","Dimanche"))</f>
        <v/>
      </c>
      <c r="D132" s="34">
        <f>IF(A132="","",YEAR(A132-WEEKDAY(A132,2)+4)&amp;"-S"&amp;TEXT(INT((A132-DATE(YEAR(A132-WEEKDAY(A132,2)+4),1,3)+WEEKDAY(DATE(YEAR(A132-WEEKDAY(A132,2)+4),1,3),2)+5)/7),"00"))</f>
        <v/>
      </c>
      <c r="E132" s="35" t="n"/>
      <c r="F132" s="35" t="n"/>
      <c r="G132" s="36" t="n"/>
      <c r="H132" s="37" t="n"/>
      <c r="I132" s="38">
        <f>IF(OR(E132="",F132=""),"",ROUND((F132-E132)*24,1))</f>
        <v/>
      </c>
      <c r="J132" s="39">
        <f>IF(A132="","",COUNTIFS(VC_date,"&gt;="&amp;A132,VC_date,"&lt;="&amp;A132,VC_commercial,B132,VC_type,"Visite sur place"))</f>
        <v/>
      </c>
      <c r="K132" s="39">
        <f>IF(A132="","",COUNTIFS(VC_date,"&gt;="&amp;A132,VC_date,"&lt;="&amp;A132,VC_commercial,B132,VC_type,"&lt;&gt;Visite sur place",VC_type,"&lt;&gt;"))</f>
        <v/>
      </c>
      <c r="L132" s="39">
        <f>IF(A132="","",COUNTIFS(Cl_creation,"&gt;="&amp;A132,Cl_creation,"&lt;="&amp;A132,Cl_commercial,B132))</f>
        <v/>
      </c>
      <c r="M132" s="39">
        <f>IF(A132="","",COUNTIFS(Cl_vente1,"&gt;="&amp;A132,Cl_vente1,"&lt;="&amp;A132,Cl_commercial,B132))</f>
        <v/>
      </c>
      <c r="N132" s="39">
        <f>IF(A132="","",SUMIFS(Cmd_premiere,Cmd_date,"&gt;="&amp;A132,Cmd_date,"&lt;="&amp;A132,Cmd_commercial,B132,Cmd_statut,"&lt;&gt;Annulée",Cmd_type,"&lt;&gt;Vente directe"))</f>
        <v/>
      </c>
      <c r="O132" s="40">
        <f>IF(A132="","",SUMIFS(Cmd_montant,Cmd_date,"&gt;="&amp;A132,Cmd_date,"&lt;="&amp;A132,Cmd_commercial,B132,Cmd_statut,"&lt;&gt;Annulée",Cmd_type,"&lt;&gt;Vente directe"))</f>
        <v/>
      </c>
      <c r="P132" s="40">
        <f>IF(A132="","",SUMIFS(Cmd_montant,Cmd_dateca,"&gt;="&amp;A132,Cmd_dateca,"&lt;="&amp;A132,Cmd_commercial,B132))</f>
        <v/>
      </c>
      <c r="Q132" s="40">
        <f>IF(A132="","",SUMIFS(Enc_montant,Enc_date,"&gt;="&amp;A132,Enc_date,"&lt;="&amp;A132,Enc_commercial,B132))</f>
        <v/>
      </c>
      <c r="R132" s="40">
        <f>IF(A132="","",SUMIFS(Stk_valeur,Stk_date,"&gt;="&amp;A132,Stk_date,"&lt;="&amp;A132,Stk_commercial,B132,Stk_mouvement,"Casse / avarie")+SUMIFS(Stk_valeur,Stk_date,"&gt;="&amp;A132,Stk_date,"&lt;="&amp;A132,Stk_commercial,B132,Stk_mouvement,"Perte / vol"))</f>
        <v/>
      </c>
      <c r="S132" s="36" t="n"/>
      <c r="T132" s="36" t="n"/>
      <c r="U132" s="36" t="n"/>
      <c r="V132" s="36" t="n"/>
    </row>
    <row r="133" ht="18" customHeight="1">
      <c r="A133" s="32" t="n"/>
      <c r="B133" s="33">
        <f>IF(A133="","",Commercial_Id)</f>
        <v/>
      </c>
      <c r="C133" s="34">
        <f>IF(A133="","",CHOOSE(WEEKDAY(A133,2),"Lundi","Mardi","Mercredi","Jeudi","Vendredi","Samedi","Dimanche"))</f>
        <v/>
      </c>
      <c r="D133" s="34">
        <f>IF(A133="","",YEAR(A133-WEEKDAY(A133,2)+4)&amp;"-S"&amp;TEXT(INT((A133-DATE(YEAR(A133-WEEKDAY(A133,2)+4),1,3)+WEEKDAY(DATE(YEAR(A133-WEEKDAY(A133,2)+4),1,3),2)+5)/7),"00"))</f>
        <v/>
      </c>
      <c r="E133" s="35" t="n"/>
      <c r="F133" s="35" t="n"/>
      <c r="G133" s="36" t="n"/>
      <c r="H133" s="37" t="n"/>
      <c r="I133" s="38">
        <f>IF(OR(E133="",F133=""),"",ROUND((F133-E133)*24,1))</f>
        <v/>
      </c>
      <c r="J133" s="39">
        <f>IF(A133="","",COUNTIFS(VC_date,"&gt;="&amp;A133,VC_date,"&lt;="&amp;A133,VC_commercial,B133,VC_type,"Visite sur place"))</f>
        <v/>
      </c>
      <c r="K133" s="39">
        <f>IF(A133="","",COUNTIFS(VC_date,"&gt;="&amp;A133,VC_date,"&lt;="&amp;A133,VC_commercial,B133,VC_type,"&lt;&gt;Visite sur place",VC_type,"&lt;&gt;"))</f>
        <v/>
      </c>
      <c r="L133" s="39">
        <f>IF(A133="","",COUNTIFS(Cl_creation,"&gt;="&amp;A133,Cl_creation,"&lt;="&amp;A133,Cl_commercial,B133))</f>
        <v/>
      </c>
      <c r="M133" s="39">
        <f>IF(A133="","",COUNTIFS(Cl_vente1,"&gt;="&amp;A133,Cl_vente1,"&lt;="&amp;A133,Cl_commercial,B133))</f>
        <v/>
      </c>
      <c r="N133" s="39">
        <f>IF(A133="","",SUMIFS(Cmd_premiere,Cmd_date,"&gt;="&amp;A133,Cmd_date,"&lt;="&amp;A133,Cmd_commercial,B133,Cmd_statut,"&lt;&gt;Annulée",Cmd_type,"&lt;&gt;Vente directe"))</f>
        <v/>
      </c>
      <c r="O133" s="40">
        <f>IF(A133="","",SUMIFS(Cmd_montant,Cmd_date,"&gt;="&amp;A133,Cmd_date,"&lt;="&amp;A133,Cmd_commercial,B133,Cmd_statut,"&lt;&gt;Annulée",Cmd_type,"&lt;&gt;Vente directe"))</f>
        <v/>
      </c>
      <c r="P133" s="40">
        <f>IF(A133="","",SUMIFS(Cmd_montant,Cmd_dateca,"&gt;="&amp;A133,Cmd_dateca,"&lt;="&amp;A133,Cmd_commercial,B133))</f>
        <v/>
      </c>
      <c r="Q133" s="40">
        <f>IF(A133="","",SUMIFS(Enc_montant,Enc_date,"&gt;="&amp;A133,Enc_date,"&lt;="&amp;A133,Enc_commercial,B133))</f>
        <v/>
      </c>
      <c r="R133" s="40">
        <f>IF(A133="","",SUMIFS(Stk_valeur,Stk_date,"&gt;="&amp;A133,Stk_date,"&lt;="&amp;A133,Stk_commercial,B133,Stk_mouvement,"Casse / avarie")+SUMIFS(Stk_valeur,Stk_date,"&gt;="&amp;A133,Stk_date,"&lt;="&amp;A133,Stk_commercial,B133,Stk_mouvement,"Perte / vol"))</f>
        <v/>
      </c>
      <c r="S133" s="36" t="n"/>
      <c r="T133" s="36" t="n"/>
      <c r="U133" s="36" t="n"/>
      <c r="V133" s="36" t="n"/>
    </row>
    <row r="134" ht="18" customHeight="1">
      <c r="A134" s="32" t="n"/>
      <c r="B134" s="33">
        <f>IF(A134="","",Commercial_Id)</f>
        <v/>
      </c>
      <c r="C134" s="34">
        <f>IF(A134="","",CHOOSE(WEEKDAY(A134,2),"Lundi","Mardi","Mercredi","Jeudi","Vendredi","Samedi","Dimanche"))</f>
        <v/>
      </c>
      <c r="D134" s="34">
        <f>IF(A134="","",YEAR(A134-WEEKDAY(A134,2)+4)&amp;"-S"&amp;TEXT(INT((A134-DATE(YEAR(A134-WEEKDAY(A134,2)+4),1,3)+WEEKDAY(DATE(YEAR(A134-WEEKDAY(A134,2)+4),1,3),2)+5)/7),"00"))</f>
        <v/>
      </c>
      <c r="E134" s="35" t="n"/>
      <c r="F134" s="35" t="n"/>
      <c r="G134" s="36" t="n"/>
      <c r="H134" s="37" t="n"/>
      <c r="I134" s="38">
        <f>IF(OR(E134="",F134=""),"",ROUND((F134-E134)*24,1))</f>
        <v/>
      </c>
      <c r="J134" s="39">
        <f>IF(A134="","",COUNTIFS(VC_date,"&gt;="&amp;A134,VC_date,"&lt;="&amp;A134,VC_commercial,B134,VC_type,"Visite sur place"))</f>
        <v/>
      </c>
      <c r="K134" s="39">
        <f>IF(A134="","",COUNTIFS(VC_date,"&gt;="&amp;A134,VC_date,"&lt;="&amp;A134,VC_commercial,B134,VC_type,"&lt;&gt;Visite sur place",VC_type,"&lt;&gt;"))</f>
        <v/>
      </c>
      <c r="L134" s="39">
        <f>IF(A134="","",COUNTIFS(Cl_creation,"&gt;="&amp;A134,Cl_creation,"&lt;="&amp;A134,Cl_commercial,B134))</f>
        <v/>
      </c>
      <c r="M134" s="39">
        <f>IF(A134="","",COUNTIFS(Cl_vente1,"&gt;="&amp;A134,Cl_vente1,"&lt;="&amp;A134,Cl_commercial,B134))</f>
        <v/>
      </c>
      <c r="N134" s="39">
        <f>IF(A134="","",SUMIFS(Cmd_premiere,Cmd_date,"&gt;="&amp;A134,Cmd_date,"&lt;="&amp;A134,Cmd_commercial,B134,Cmd_statut,"&lt;&gt;Annulée",Cmd_type,"&lt;&gt;Vente directe"))</f>
        <v/>
      </c>
      <c r="O134" s="40">
        <f>IF(A134="","",SUMIFS(Cmd_montant,Cmd_date,"&gt;="&amp;A134,Cmd_date,"&lt;="&amp;A134,Cmd_commercial,B134,Cmd_statut,"&lt;&gt;Annulée",Cmd_type,"&lt;&gt;Vente directe"))</f>
        <v/>
      </c>
      <c r="P134" s="40">
        <f>IF(A134="","",SUMIFS(Cmd_montant,Cmd_dateca,"&gt;="&amp;A134,Cmd_dateca,"&lt;="&amp;A134,Cmd_commercial,B134))</f>
        <v/>
      </c>
      <c r="Q134" s="40">
        <f>IF(A134="","",SUMIFS(Enc_montant,Enc_date,"&gt;="&amp;A134,Enc_date,"&lt;="&amp;A134,Enc_commercial,B134))</f>
        <v/>
      </c>
      <c r="R134" s="40">
        <f>IF(A134="","",SUMIFS(Stk_valeur,Stk_date,"&gt;="&amp;A134,Stk_date,"&lt;="&amp;A134,Stk_commercial,B134,Stk_mouvement,"Casse / avarie")+SUMIFS(Stk_valeur,Stk_date,"&gt;="&amp;A134,Stk_date,"&lt;="&amp;A134,Stk_commercial,B134,Stk_mouvement,"Perte / vol"))</f>
        <v/>
      </c>
      <c r="S134" s="36" t="n"/>
      <c r="T134" s="36" t="n"/>
      <c r="U134" s="36" t="n"/>
      <c r="V134" s="36" t="n"/>
    </row>
    <row r="135" ht="18" customHeight="1">
      <c r="A135" s="32" t="n"/>
      <c r="B135" s="33">
        <f>IF(A135="","",Commercial_Id)</f>
        <v/>
      </c>
      <c r="C135" s="34">
        <f>IF(A135="","",CHOOSE(WEEKDAY(A135,2),"Lundi","Mardi","Mercredi","Jeudi","Vendredi","Samedi","Dimanche"))</f>
        <v/>
      </c>
      <c r="D135" s="34">
        <f>IF(A135="","",YEAR(A135-WEEKDAY(A135,2)+4)&amp;"-S"&amp;TEXT(INT((A135-DATE(YEAR(A135-WEEKDAY(A135,2)+4),1,3)+WEEKDAY(DATE(YEAR(A135-WEEKDAY(A135,2)+4),1,3),2)+5)/7),"00"))</f>
        <v/>
      </c>
      <c r="E135" s="35" t="n"/>
      <c r="F135" s="35" t="n"/>
      <c r="G135" s="36" t="n"/>
      <c r="H135" s="37" t="n"/>
      <c r="I135" s="38">
        <f>IF(OR(E135="",F135=""),"",ROUND((F135-E135)*24,1))</f>
        <v/>
      </c>
      <c r="J135" s="39">
        <f>IF(A135="","",COUNTIFS(VC_date,"&gt;="&amp;A135,VC_date,"&lt;="&amp;A135,VC_commercial,B135,VC_type,"Visite sur place"))</f>
        <v/>
      </c>
      <c r="K135" s="39">
        <f>IF(A135="","",COUNTIFS(VC_date,"&gt;="&amp;A135,VC_date,"&lt;="&amp;A135,VC_commercial,B135,VC_type,"&lt;&gt;Visite sur place",VC_type,"&lt;&gt;"))</f>
        <v/>
      </c>
      <c r="L135" s="39">
        <f>IF(A135="","",COUNTIFS(Cl_creation,"&gt;="&amp;A135,Cl_creation,"&lt;="&amp;A135,Cl_commercial,B135))</f>
        <v/>
      </c>
      <c r="M135" s="39">
        <f>IF(A135="","",COUNTIFS(Cl_vente1,"&gt;="&amp;A135,Cl_vente1,"&lt;="&amp;A135,Cl_commercial,B135))</f>
        <v/>
      </c>
      <c r="N135" s="39">
        <f>IF(A135="","",SUMIFS(Cmd_premiere,Cmd_date,"&gt;="&amp;A135,Cmd_date,"&lt;="&amp;A135,Cmd_commercial,B135,Cmd_statut,"&lt;&gt;Annulée",Cmd_type,"&lt;&gt;Vente directe"))</f>
        <v/>
      </c>
      <c r="O135" s="40">
        <f>IF(A135="","",SUMIFS(Cmd_montant,Cmd_date,"&gt;="&amp;A135,Cmd_date,"&lt;="&amp;A135,Cmd_commercial,B135,Cmd_statut,"&lt;&gt;Annulée",Cmd_type,"&lt;&gt;Vente directe"))</f>
        <v/>
      </c>
      <c r="P135" s="40">
        <f>IF(A135="","",SUMIFS(Cmd_montant,Cmd_dateca,"&gt;="&amp;A135,Cmd_dateca,"&lt;="&amp;A135,Cmd_commercial,B135))</f>
        <v/>
      </c>
      <c r="Q135" s="40">
        <f>IF(A135="","",SUMIFS(Enc_montant,Enc_date,"&gt;="&amp;A135,Enc_date,"&lt;="&amp;A135,Enc_commercial,B135))</f>
        <v/>
      </c>
      <c r="R135" s="40">
        <f>IF(A135="","",SUMIFS(Stk_valeur,Stk_date,"&gt;="&amp;A135,Stk_date,"&lt;="&amp;A135,Stk_commercial,B135,Stk_mouvement,"Casse / avarie")+SUMIFS(Stk_valeur,Stk_date,"&gt;="&amp;A135,Stk_date,"&lt;="&amp;A135,Stk_commercial,B135,Stk_mouvement,"Perte / vol"))</f>
        <v/>
      </c>
      <c r="S135" s="36" t="n"/>
      <c r="T135" s="36" t="n"/>
      <c r="U135" s="36" t="n"/>
      <c r="V135" s="36" t="n"/>
    </row>
    <row r="136" ht="18" customHeight="1">
      <c r="A136" s="32" t="n"/>
      <c r="B136" s="33">
        <f>IF(A136="","",Commercial_Id)</f>
        <v/>
      </c>
      <c r="C136" s="34">
        <f>IF(A136="","",CHOOSE(WEEKDAY(A136,2),"Lundi","Mardi","Mercredi","Jeudi","Vendredi","Samedi","Dimanche"))</f>
        <v/>
      </c>
      <c r="D136" s="34">
        <f>IF(A136="","",YEAR(A136-WEEKDAY(A136,2)+4)&amp;"-S"&amp;TEXT(INT((A136-DATE(YEAR(A136-WEEKDAY(A136,2)+4),1,3)+WEEKDAY(DATE(YEAR(A136-WEEKDAY(A136,2)+4),1,3),2)+5)/7),"00"))</f>
        <v/>
      </c>
      <c r="E136" s="35" t="n"/>
      <c r="F136" s="35" t="n"/>
      <c r="G136" s="36" t="n"/>
      <c r="H136" s="37" t="n"/>
      <c r="I136" s="38">
        <f>IF(OR(E136="",F136=""),"",ROUND((F136-E136)*24,1))</f>
        <v/>
      </c>
      <c r="J136" s="39">
        <f>IF(A136="","",COUNTIFS(VC_date,"&gt;="&amp;A136,VC_date,"&lt;="&amp;A136,VC_commercial,B136,VC_type,"Visite sur place"))</f>
        <v/>
      </c>
      <c r="K136" s="39">
        <f>IF(A136="","",COUNTIFS(VC_date,"&gt;="&amp;A136,VC_date,"&lt;="&amp;A136,VC_commercial,B136,VC_type,"&lt;&gt;Visite sur place",VC_type,"&lt;&gt;"))</f>
        <v/>
      </c>
      <c r="L136" s="39">
        <f>IF(A136="","",COUNTIFS(Cl_creation,"&gt;="&amp;A136,Cl_creation,"&lt;="&amp;A136,Cl_commercial,B136))</f>
        <v/>
      </c>
      <c r="M136" s="39">
        <f>IF(A136="","",COUNTIFS(Cl_vente1,"&gt;="&amp;A136,Cl_vente1,"&lt;="&amp;A136,Cl_commercial,B136))</f>
        <v/>
      </c>
      <c r="N136" s="39">
        <f>IF(A136="","",SUMIFS(Cmd_premiere,Cmd_date,"&gt;="&amp;A136,Cmd_date,"&lt;="&amp;A136,Cmd_commercial,B136,Cmd_statut,"&lt;&gt;Annulée",Cmd_type,"&lt;&gt;Vente directe"))</f>
        <v/>
      </c>
      <c r="O136" s="40">
        <f>IF(A136="","",SUMIFS(Cmd_montant,Cmd_date,"&gt;="&amp;A136,Cmd_date,"&lt;="&amp;A136,Cmd_commercial,B136,Cmd_statut,"&lt;&gt;Annulée",Cmd_type,"&lt;&gt;Vente directe"))</f>
        <v/>
      </c>
      <c r="P136" s="40">
        <f>IF(A136="","",SUMIFS(Cmd_montant,Cmd_dateca,"&gt;="&amp;A136,Cmd_dateca,"&lt;="&amp;A136,Cmd_commercial,B136))</f>
        <v/>
      </c>
      <c r="Q136" s="40">
        <f>IF(A136="","",SUMIFS(Enc_montant,Enc_date,"&gt;="&amp;A136,Enc_date,"&lt;="&amp;A136,Enc_commercial,B136))</f>
        <v/>
      </c>
      <c r="R136" s="40">
        <f>IF(A136="","",SUMIFS(Stk_valeur,Stk_date,"&gt;="&amp;A136,Stk_date,"&lt;="&amp;A136,Stk_commercial,B136,Stk_mouvement,"Casse / avarie")+SUMIFS(Stk_valeur,Stk_date,"&gt;="&amp;A136,Stk_date,"&lt;="&amp;A136,Stk_commercial,B136,Stk_mouvement,"Perte / vol"))</f>
        <v/>
      </c>
      <c r="S136" s="36" t="n"/>
      <c r="T136" s="36" t="n"/>
      <c r="U136" s="36" t="n"/>
      <c r="V136" s="36" t="n"/>
    </row>
    <row r="137" ht="18" customHeight="1">
      <c r="A137" s="32" t="n"/>
      <c r="B137" s="33">
        <f>IF(A137="","",Commercial_Id)</f>
        <v/>
      </c>
      <c r="C137" s="34">
        <f>IF(A137="","",CHOOSE(WEEKDAY(A137,2),"Lundi","Mardi","Mercredi","Jeudi","Vendredi","Samedi","Dimanche"))</f>
        <v/>
      </c>
      <c r="D137" s="34">
        <f>IF(A137="","",YEAR(A137-WEEKDAY(A137,2)+4)&amp;"-S"&amp;TEXT(INT((A137-DATE(YEAR(A137-WEEKDAY(A137,2)+4),1,3)+WEEKDAY(DATE(YEAR(A137-WEEKDAY(A137,2)+4),1,3),2)+5)/7),"00"))</f>
        <v/>
      </c>
      <c r="E137" s="35" t="n"/>
      <c r="F137" s="35" t="n"/>
      <c r="G137" s="36" t="n"/>
      <c r="H137" s="37" t="n"/>
      <c r="I137" s="38">
        <f>IF(OR(E137="",F137=""),"",ROUND((F137-E137)*24,1))</f>
        <v/>
      </c>
      <c r="J137" s="39">
        <f>IF(A137="","",COUNTIFS(VC_date,"&gt;="&amp;A137,VC_date,"&lt;="&amp;A137,VC_commercial,B137,VC_type,"Visite sur place"))</f>
        <v/>
      </c>
      <c r="K137" s="39">
        <f>IF(A137="","",COUNTIFS(VC_date,"&gt;="&amp;A137,VC_date,"&lt;="&amp;A137,VC_commercial,B137,VC_type,"&lt;&gt;Visite sur place",VC_type,"&lt;&gt;"))</f>
        <v/>
      </c>
      <c r="L137" s="39">
        <f>IF(A137="","",COUNTIFS(Cl_creation,"&gt;="&amp;A137,Cl_creation,"&lt;="&amp;A137,Cl_commercial,B137))</f>
        <v/>
      </c>
      <c r="M137" s="39">
        <f>IF(A137="","",COUNTIFS(Cl_vente1,"&gt;="&amp;A137,Cl_vente1,"&lt;="&amp;A137,Cl_commercial,B137))</f>
        <v/>
      </c>
      <c r="N137" s="39">
        <f>IF(A137="","",SUMIFS(Cmd_premiere,Cmd_date,"&gt;="&amp;A137,Cmd_date,"&lt;="&amp;A137,Cmd_commercial,B137,Cmd_statut,"&lt;&gt;Annulée",Cmd_type,"&lt;&gt;Vente directe"))</f>
        <v/>
      </c>
      <c r="O137" s="40">
        <f>IF(A137="","",SUMIFS(Cmd_montant,Cmd_date,"&gt;="&amp;A137,Cmd_date,"&lt;="&amp;A137,Cmd_commercial,B137,Cmd_statut,"&lt;&gt;Annulée",Cmd_type,"&lt;&gt;Vente directe"))</f>
        <v/>
      </c>
      <c r="P137" s="40">
        <f>IF(A137="","",SUMIFS(Cmd_montant,Cmd_dateca,"&gt;="&amp;A137,Cmd_dateca,"&lt;="&amp;A137,Cmd_commercial,B137))</f>
        <v/>
      </c>
      <c r="Q137" s="40">
        <f>IF(A137="","",SUMIFS(Enc_montant,Enc_date,"&gt;="&amp;A137,Enc_date,"&lt;="&amp;A137,Enc_commercial,B137))</f>
        <v/>
      </c>
      <c r="R137" s="40">
        <f>IF(A137="","",SUMIFS(Stk_valeur,Stk_date,"&gt;="&amp;A137,Stk_date,"&lt;="&amp;A137,Stk_commercial,B137,Stk_mouvement,"Casse / avarie")+SUMIFS(Stk_valeur,Stk_date,"&gt;="&amp;A137,Stk_date,"&lt;="&amp;A137,Stk_commercial,B137,Stk_mouvement,"Perte / vol"))</f>
        <v/>
      </c>
      <c r="S137" s="36" t="n"/>
      <c r="T137" s="36" t="n"/>
      <c r="U137" s="36" t="n"/>
      <c r="V137" s="36" t="n"/>
    </row>
    <row r="138" ht="18" customHeight="1">
      <c r="A138" s="32" t="n"/>
      <c r="B138" s="33">
        <f>IF(A138="","",Commercial_Id)</f>
        <v/>
      </c>
      <c r="C138" s="34">
        <f>IF(A138="","",CHOOSE(WEEKDAY(A138,2),"Lundi","Mardi","Mercredi","Jeudi","Vendredi","Samedi","Dimanche"))</f>
        <v/>
      </c>
      <c r="D138" s="34">
        <f>IF(A138="","",YEAR(A138-WEEKDAY(A138,2)+4)&amp;"-S"&amp;TEXT(INT((A138-DATE(YEAR(A138-WEEKDAY(A138,2)+4),1,3)+WEEKDAY(DATE(YEAR(A138-WEEKDAY(A138,2)+4),1,3),2)+5)/7),"00"))</f>
        <v/>
      </c>
      <c r="E138" s="35" t="n"/>
      <c r="F138" s="35" t="n"/>
      <c r="G138" s="36" t="n"/>
      <c r="H138" s="37" t="n"/>
      <c r="I138" s="38">
        <f>IF(OR(E138="",F138=""),"",ROUND((F138-E138)*24,1))</f>
        <v/>
      </c>
      <c r="J138" s="39">
        <f>IF(A138="","",COUNTIFS(VC_date,"&gt;="&amp;A138,VC_date,"&lt;="&amp;A138,VC_commercial,B138,VC_type,"Visite sur place"))</f>
        <v/>
      </c>
      <c r="K138" s="39">
        <f>IF(A138="","",COUNTIFS(VC_date,"&gt;="&amp;A138,VC_date,"&lt;="&amp;A138,VC_commercial,B138,VC_type,"&lt;&gt;Visite sur place",VC_type,"&lt;&gt;"))</f>
        <v/>
      </c>
      <c r="L138" s="39">
        <f>IF(A138="","",COUNTIFS(Cl_creation,"&gt;="&amp;A138,Cl_creation,"&lt;="&amp;A138,Cl_commercial,B138))</f>
        <v/>
      </c>
      <c r="M138" s="39">
        <f>IF(A138="","",COUNTIFS(Cl_vente1,"&gt;="&amp;A138,Cl_vente1,"&lt;="&amp;A138,Cl_commercial,B138))</f>
        <v/>
      </c>
      <c r="N138" s="39">
        <f>IF(A138="","",SUMIFS(Cmd_premiere,Cmd_date,"&gt;="&amp;A138,Cmd_date,"&lt;="&amp;A138,Cmd_commercial,B138,Cmd_statut,"&lt;&gt;Annulée",Cmd_type,"&lt;&gt;Vente directe"))</f>
        <v/>
      </c>
      <c r="O138" s="40">
        <f>IF(A138="","",SUMIFS(Cmd_montant,Cmd_date,"&gt;="&amp;A138,Cmd_date,"&lt;="&amp;A138,Cmd_commercial,B138,Cmd_statut,"&lt;&gt;Annulée",Cmd_type,"&lt;&gt;Vente directe"))</f>
        <v/>
      </c>
      <c r="P138" s="40">
        <f>IF(A138="","",SUMIFS(Cmd_montant,Cmd_dateca,"&gt;="&amp;A138,Cmd_dateca,"&lt;="&amp;A138,Cmd_commercial,B138))</f>
        <v/>
      </c>
      <c r="Q138" s="40">
        <f>IF(A138="","",SUMIFS(Enc_montant,Enc_date,"&gt;="&amp;A138,Enc_date,"&lt;="&amp;A138,Enc_commercial,B138))</f>
        <v/>
      </c>
      <c r="R138" s="40">
        <f>IF(A138="","",SUMIFS(Stk_valeur,Stk_date,"&gt;="&amp;A138,Stk_date,"&lt;="&amp;A138,Stk_commercial,B138,Stk_mouvement,"Casse / avarie")+SUMIFS(Stk_valeur,Stk_date,"&gt;="&amp;A138,Stk_date,"&lt;="&amp;A138,Stk_commercial,B138,Stk_mouvement,"Perte / vol"))</f>
        <v/>
      </c>
      <c r="S138" s="36" t="n"/>
      <c r="T138" s="36" t="n"/>
      <c r="U138" s="36" t="n"/>
      <c r="V138" s="36" t="n"/>
    </row>
    <row r="139" ht="18" customHeight="1">
      <c r="A139" s="32" t="n"/>
      <c r="B139" s="33">
        <f>IF(A139="","",Commercial_Id)</f>
        <v/>
      </c>
      <c r="C139" s="34">
        <f>IF(A139="","",CHOOSE(WEEKDAY(A139,2),"Lundi","Mardi","Mercredi","Jeudi","Vendredi","Samedi","Dimanche"))</f>
        <v/>
      </c>
      <c r="D139" s="34">
        <f>IF(A139="","",YEAR(A139-WEEKDAY(A139,2)+4)&amp;"-S"&amp;TEXT(INT((A139-DATE(YEAR(A139-WEEKDAY(A139,2)+4),1,3)+WEEKDAY(DATE(YEAR(A139-WEEKDAY(A139,2)+4),1,3),2)+5)/7),"00"))</f>
        <v/>
      </c>
      <c r="E139" s="35" t="n"/>
      <c r="F139" s="35" t="n"/>
      <c r="G139" s="36" t="n"/>
      <c r="H139" s="37" t="n"/>
      <c r="I139" s="38">
        <f>IF(OR(E139="",F139=""),"",ROUND((F139-E139)*24,1))</f>
        <v/>
      </c>
      <c r="J139" s="39">
        <f>IF(A139="","",COUNTIFS(VC_date,"&gt;="&amp;A139,VC_date,"&lt;="&amp;A139,VC_commercial,B139,VC_type,"Visite sur place"))</f>
        <v/>
      </c>
      <c r="K139" s="39">
        <f>IF(A139="","",COUNTIFS(VC_date,"&gt;="&amp;A139,VC_date,"&lt;="&amp;A139,VC_commercial,B139,VC_type,"&lt;&gt;Visite sur place",VC_type,"&lt;&gt;"))</f>
        <v/>
      </c>
      <c r="L139" s="39">
        <f>IF(A139="","",COUNTIFS(Cl_creation,"&gt;="&amp;A139,Cl_creation,"&lt;="&amp;A139,Cl_commercial,B139))</f>
        <v/>
      </c>
      <c r="M139" s="39">
        <f>IF(A139="","",COUNTIFS(Cl_vente1,"&gt;="&amp;A139,Cl_vente1,"&lt;="&amp;A139,Cl_commercial,B139))</f>
        <v/>
      </c>
      <c r="N139" s="39">
        <f>IF(A139="","",SUMIFS(Cmd_premiere,Cmd_date,"&gt;="&amp;A139,Cmd_date,"&lt;="&amp;A139,Cmd_commercial,B139,Cmd_statut,"&lt;&gt;Annulée",Cmd_type,"&lt;&gt;Vente directe"))</f>
        <v/>
      </c>
      <c r="O139" s="40">
        <f>IF(A139="","",SUMIFS(Cmd_montant,Cmd_date,"&gt;="&amp;A139,Cmd_date,"&lt;="&amp;A139,Cmd_commercial,B139,Cmd_statut,"&lt;&gt;Annulée",Cmd_type,"&lt;&gt;Vente directe"))</f>
        <v/>
      </c>
      <c r="P139" s="40">
        <f>IF(A139="","",SUMIFS(Cmd_montant,Cmd_dateca,"&gt;="&amp;A139,Cmd_dateca,"&lt;="&amp;A139,Cmd_commercial,B139))</f>
        <v/>
      </c>
      <c r="Q139" s="40">
        <f>IF(A139="","",SUMIFS(Enc_montant,Enc_date,"&gt;="&amp;A139,Enc_date,"&lt;="&amp;A139,Enc_commercial,B139))</f>
        <v/>
      </c>
      <c r="R139" s="40">
        <f>IF(A139="","",SUMIFS(Stk_valeur,Stk_date,"&gt;="&amp;A139,Stk_date,"&lt;="&amp;A139,Stk_commercial,B139,Stk_mouvement,"Casse / avarie")+SUMIFS(Stk_valeur,Stk_date,"&gt;="&amp;A139,Stk_date,"&lt;="&amp;A139,Stk_commercial,B139,Stk_mouvement,"Perte / vol"))</f>
        <v/>
      </c>
      <c r="S139" s="36" t="n"/>
      <c r="T139" s="36" t="n"/>
      <c r="U139" s="36" t="n"/>
      <c r="V139" s="36" t="n"/>
    </row>
    <row r="140" ht="18" customHeight="1">
      <c r="A140" s="32" t="n"/>
      <c r="B140" s="33">
        <f>IF(A140="","",Commercial_Id)</f>
        <v/>
      </c>
      <c r="C140" s="34">
        <f>IF(A140="","",CHOOSE(WEEKDAY(A140,2),"Lundi","Mardi","Mercredi","Jeudi","Vendredi","Samedi","Dimanche"))</f>
        <v/>
      </c>
      <c r="D140" s="34">
        <f>IF(A140="","",YEAR(A140-WEEKDAY(A140,2)+4)&amp;"-S"&amp;TEXT(INT((A140-DATE(YEAR(A140-WEEKDAY(A140,2)+4),1,3)+WEEKDAY(DATE(YEAR(A140-WEEKDAY(A140,2)+4),1,3),2)+5)/7),"00"))</f>
        <v/>
      </c>
      <c r="E140" s="35" t="n"/>
      <c r="F140" s="35" t="n"/>
      <c r="G140" s="36" t="n"/>
      <c r="H140" s="37" t="n"/>
      <c r="I140" s="38">
        <f>IF(OR(E140="",F140=""),"",ROUND((F140-E140)*24,1))</f>
        <v/>
      </c>
      <c r="J140" s="39">
        <f>IF(A140="","",COUNTIFS(VC_date,"&gt;="&amp;A140,VC_date,"&lt;="&amp;A140,VC_commercial,B140,VC_type,"Visite sur place"))</f>
        <v/>
      </c>
      <c r="K140" s="39">
        <f>IF(A140="","",COUNTIFS(VC_date,"&gt;="&amp;A140,VC_date,"&lt;="&amp;A140,VC_commercial,B140,VC_type,"&lt;&gt;Visite sur place",VC_type,"&lt;&gt;"))</f>
        <v/>
      </c>
      <c r="L140" s="39">
        <f>IF(A140="","",COUNTIFS(Cl_creation,"&gt;="&amp;A140,Cl_creation,"&lt;="&amp;A140,Cl_commercial,B140))</f>
        <v/>
      </c>
      <c r="M140" s="39">
        <f>IF(A140="","",COUNTIFS(Cl_vente1,"&gt;="&amp;A140,Cl_vente1,"&lt;="&amp;A140,Cl_commercial,B140))</f>
        <v/>
      </c>
      <c r="N140" s="39">
        <f>IF(A140="","",SUMIFS(Cmd_premiere,Cmd_date,"&gt;="&amp;A140,Cmd_date,"&lt;="&amp;A140,Cmd_commercial,B140,Cmd_statut,"&lt;&gt;Annulée",Cmd_type,"&lt;&gt;Vente directe"))</f>
        <v/>
      </c>
      <c r="O140" s="40">
        <f>IF(A140="","",SUMIFS(Cmd_montant,Cmd_date,"&gt;="&amp;A140,Cmd_date,"&lt;="&amp;A140,Cmd_commercial,B140,Cmd_statut,"&lt;&gt;Annulée",Cmd_type,"&lt;&gt;Vente directe"))</f>
        <v/>
      </c>
      <c r="P140" s="40">
        <f>IF(A140="","",SUMIFS(Cmd_montant,Cmd_dateca,"&gt;="&amp;A140,Cmd_dateca,"&lt;="&amp;A140,Cmd_commercial,B140))</f>
        <v/>
      </c>
      <c r="Q140" s="40">
        <f>IF(A140="","",SUMIFS(Enc_montant,Enc_date,"&gt;="&amp;A140,Enc_date,"&lt;="&amp;A140,Enc_commercial,B140))</f>
        <v/>
      </c>
      <c r="R140" s="40">
        <f>IF(A140="","",SUMIFS(Stk_valeur,Stk_date,"&gt;="&amp;A140,Stk_date,"&lt;="&amp;A140,Stk_commercial,B140,Stk_mouvement,"Casse / avarie")+SUMIFS(Stk_valeur,Stk_date,"&gt;="&amp;A140,Stk_date,"&lt;="&amp;A140,Stk_commercial,B140,Stk_mouvement,"Perte / vol"))</f>
        <v/>
      </c>
      <c r="S140" s="36" t="n"/>
      <c r="T140" s="36" t="n"/>
      <c r="U140" s="36" t="n"/>
      <c r="V140" s="36" t="n"/>
    </row>
    <row r="141" ht="18" customHeight="1">
      <c r="A141" s="32" t="n"/>
      <c r="B141" s="33">
        <f>IF(A141="","",Commercial_Id)</f>
        <v/>
      </c>
      <c r="C141" s="34">
        <f>IF(A141="","",CHOOSE(WEEKDAY(A141,2),"Lundi","Mardi","Mercredi","Jeudi","Vendredi","Samedi","Dimanche"))</f>
        <v/>
      </c>
      <c r="D141" s="34">
        <f>IF(A141="","",YEAR(A141-WEEKDAY(A141,2)+4)&amp;"-S"&amp;TEXT(INT((A141-DATE(YEAR(A141-WEEKDAY(A141,2)+4),1,3)+WEEKDAY(DATE(YEAR(A141-WEEKDAY(A141,2)+4),1,3),2)+5)/7),"00"))</f>
        <v/>
      </c>
      <c r="E141" s="35" t="n"/>
      <c r="F141" s="35" t="n"/>
      <c r="G141" s="36" t="n"/>
      <c r="H141" s="37" t="n"/>
      <c r="I141" s="38">
        <f>IF(OR(E141="",F141=""),"",ROUND((F141-E141)*24,1))</f>
        <v/>
      </c>
      <c r="J141" s="39">
        <f>IF(A141="","",COUNTIFS(VC_date,"&gt;="&amp;A141,VC_date,"&lt;="&amp;A141,VC_commercial,B141,VC_type,"Visite sur place"))</f>
        <v/>
      </c>
      <c r="K141" s="39">
        <f>IF(A141="","",COUNTIFS(VC_date,"&gt;="&amp;A141,VC_date,"&lt;="&amp;A141,VC_commercial,B141,VC_type,"&lt;&gt;Visite sur place",VC_type,"&lt;&gt;"))</f>
        <v/>
      </c>
      <c r="L141" s="39">
        <f>IF(A141="","",COUNTIFS(Cl_creation,"&gt;="&amp;A141,Cl_creation,"&lt;="&amp;A141,Cl_commercial,B141))</f>
        <v/>
      </c>
      <c r="M141" s="39">
        <f>IF(A141="","",COUNTIFS(Cl_vente1,"&gt;="&amp;A141,Cl_vente1,"&lt;="&amp;A141,Cl_commercial,B141))</f>
        <v/>
      </c>
      <c r="N141" s="39">
        <f>IF(A141="","",SUMIFS(Cmd_premiere,Cmd_date,"&gt;="&amp;A141,Cmd_date,"&lt;="&amp;A141,Cmd_commercial,B141,Cmd_statut,"&lt;&gt;Annulée",Cmd_type,"&lt;&gt;Vente directe"))</f>
        <v/>
      </c>
      <c r="O141" s="40">
        <f>IF(A141="","",SUMIFS(Cmd_montant,Cmd_date,"&gt;="&amp;A141,Cmd_date,"&lt;="&amp;A141,Cmd_commercial,B141,Cmd_statut,"&lt;&gt;Annulée",Cmd_type,"&lt;&gt;Vente directe"))</f>
        <v/>
      </c>
      <c r="P141" s="40">
        <f>IF(A141="","",SUMIFS(Cmd_montant,Cmd_dateca,"&gt;="&amp;A141,Cmd_dateca,"&lt;="&amp;A141,Cmd_commercial,B141))</f>
        <v/>
      </c>
      <c r="Q141" s="40">
        <f>IF(A141="","",SUMIFS(Enc_montant,Enc_date,"&gt;="&amp;A141,Enc_date,"&lt;="&amp;A141,Enc_commercial,B141))</f>
        <v/>
      </c>
      <c r="R141" s="40">
        <f>IF(A141="","",SUMIFS(Stk_valeur,Stk_date,"&gt;="&amp;A141,Stk_date,"&lt;="&amp;A141,Stk_commercial,B141,Stk_mouvement,"Casse / avarie")+SUMIFS(Stk_valeur,Stk_date,"&gt;="&amp;A141,Stk_date,"&lt;="&amp;A141,Stk_commercial,B141,Stk_mouvement,"Perte / vol"))</f>
        <v/>
      </c>
      <c r="S141" s="36" t="n"/>
      <c r="T141" s="36" t="n"/>
      <c r="U141" s="36" t="n"/>
      <c r="V141" s="36" t="n"/>
    </row>
    <row r="142" ht="18" customHeight="1">
      <c r="A142" s="32" t="n"/>
      <c r="B142" s="33">
        <f>IF(A142="","",Commercial_Id)</f>
        <v/>
      </c>
      <c r="C142" s="34">
        <f>IF(A142="","",CHOOSE(WEEKDAY(A142,2),"Lundi","Mardi","Mercredi","Jeudi","Vendredi","Samedi","Dimanche"))</f>
        <v/>
      </c>
      <c r="D142" s="34">
        <f>IF(A142="","",YEAR(A142-WEEKDAY(A142,2)+4)&amp;"-S"&amp;TEXT(INT((A142-DATE(YEAR(A142-WEEKDAY(A142,2)+4),1,3)+WEEKDAY(DATE(YEAR(A142-WEEKDAY(A142,2)+4),1,3),2)+5)/7),"00"))</f>
        <v/>
      </c>
      <c r="E142" s="35" t="n"/>
      <c r="F142" s="35" t="n"/>
      <c r="G142" s="36" t="n"/>
      <c r="H142" s="37" t="n"/>
      <c r="I142" s="38">
        <f>IF(OR(E142="",F142=""),"",ROUND((F142-E142)*24,1))</f>
        <v/>
      </c>
      <c r="J142" s="39">
        <f>IF(A142="","",COUNTIFS(VC_date,"&gt;="&amp;A142,VC_date,"&lt;="&amp;A142,VC_commercial,B142,VC_type,"Visite sur place"))</f>
        <v/>
      </c>
      <c r="K142" s="39">
        <f>IF(A142="","",COUNTIFS(VC_date,"&gt;="&amp;A142,VC_date,"&lt;="&amp;A142,VC_commercial,B142,VC_type,"&lt;&gt;Visite sur place",VC_type,"&lt;&gt;"))</f>
        <v/>
      </c>
      <c r="L142" s="39">
        <f>IF(A142="","",COUNTIFS(Cl_creation,"&gt;="&amp;A142,Cl_creation,"&lt;="&amp;A142,Cl_commercial,B142))</f>
        <v/>
      </c>
      <c r="M142" s="39">
        <f>IF(A142="","",COUNTIFS(Cl_vente1,"&gt;="&amp;A142,Cl_vente1,"&lt;="&amp;A142,Cl_commercial,B142))</f>
        <v/>
      </c>
      <c r="N142" s="39">
        <f>IF(A142="","",SUMIFS(Cmd_premiere,Cmd_date,"&gt;="&amp;A142,Cmd_date,"&lt;="&amp;A142,Cmd_commercial,B142,Cmd_statut,"&lt;&gt;Annulée",Cmd_type,"&lt;&gt;Vente directe"))</f>
        <v/>
      </c>
      <c r="O142" s="40">
        <f>IF(A142="","",SUMIFS(Cmd_montant,Cmd_date,"&gt;="&amp;A142,Cmd_date,"&lt;="&amp;A142,Cmd_commercial,B142,Cmd_statut,"&lt;&gt;Annulée",Cmd_type,"&lt;&gt;Vente directe"))</f>
        <v/>
      </c>
      <c r="P142" s="40">
        <f>IF(A142="","",SUMIFS(Cmd_montant,Cmd_dateca,"&gt;="&amp;A142,Cmd_dateca,"&lt;="&amp;A142,Cmd_commercial,B142))</f>
        <v/>
      </c>
      <c r="Q142" s="40">
        <f>IF(A142="","",SUMIFS(Enc_montant,Enc_date,"&gt;="&amp;A142,Enc_date,"&lt;="&amp;A142,Enc_commercial,B142))</f>
        <v/>
      </c>
      <c r="R142" s="40">
        <f>IF(A142="","",SUMIFS(Stk_valeur,Stk_date,"&gt;="&amp;A142,Stk_date,"&lt;="&amp;A142,Stk_commercial,B142,Stk_mouvement,"Casse / avarie")+SUMIFS(Stk_valeur,Stk_date,"&gt;="&amp;A142,Stk_date,"&lt;="&amp;A142,Stk_commercial,B142,Stk_mouvement,"Perte / vol"))</f>
        <v/>
      </c>
      <c r="S142" s="36" t="n"/>
      <c r="T142" s="36" t="n"/>
      <c r="U142" s="36" t="n"/>
      <c r="V142" s="36" t="n"/>
    </row>
    <row r="143" ht="18" customHeight="1">
      <c r="A143" s="32" t="n"/>
      <c r="B143" s="33">
        <f>IF(A143="","",Commercial_Id)</f>
        <v/>
      </c>
      <c r="C143" s="34">
        <f>IF(A143="","",CHOOSE(WEEKDAY(A143,2),"Lundi","Mardi","Mercredi","Jeudi","Vendredi","Samedi","Dimanche"))</f>
        <v/>
      </c>
      <c r="D143" s="34">
        <f>IF(A143="","",YEAR(A143-WEEKDAY(A143,2)+4)&amp;"-S"&amp;TEXT(INT((A143-DATE(YEAR(A143-WEEKDAY(A143,2)+4),1,3)+WEEKDAY(DATE(YEAR(A143-WEEKDAY(A143,2)+4),1,3),2)+5)/7),"00"))</f>
        <v/>
      </c>
      <c r="E143" s="35" t="n"/>
      <c r="F143" s="35" t="n"/>
      <c r="G143" s="36" t="n"/>
      <c r="H143" s="37" t="n"/>
      <c r="I143" s="38">
        <f>IF(OR(E143="",F143=""),"",ROUND((F143-E143)*24,1))</f>
        <v/>
      </c>
      <c r="J143" s="39">
        <f>IF(A143="","",COUNTIFS(VC_date,"&gt;="&amp;A143,VC_date,"&lt;="&amp;A143,VC_commercial,B143,VC_type,"Visite sur place"))</f>
        <v/>
      </c>
      <c r="K143" s="39">
        <f>IF(A143="","",COUNTIFS(VC_date,"&gt;="&amp;A143,VC_date,"&lt;="&amp;A143,VC_commercial,B143,VC_type,"&lt;&gt;Visite sur place",VC_type,"&lt;&gt;"))</f>
        <v/>
      </c>
      <c r="L143" s="39">
        <f>IF(A143="","",COUNTIFS(Cl_creation,"&gt;="&amp;A143,Cl_creation,"&lt;="&amp;A143,Cl_commercial,B143))</f>
        <v/>
      </c>
      <c r="M143" s="39">
        <f>IF(A143="","",COUNTIFS(Cl_vente1,"&gt;="&amp;A143,Cl_vente1,"&lt;="&amp;A143,Cl_commercial,B143))</f>
        <v/>
      </c>
      <c r="N143" s="39">
        <f>IF(A143="","",SUMIFS(Cmd_premiere,Cmd_date,"&gt;="&amp;A143,Cmd_date,"&lt;="&amp;A143,Cmd_commercial,B143,Cmd_statut,"&lt;&gt;Annulée",Cmd_type,"&lt;&gt;Vente directe"))</f>
        <v/>
      </c>
      <c r="O143" s="40">
        <f>IF(A143="","",SUMIFS(Cmd_montant,Cmd_date,"&gt;="&amp;A143,Cmd_date,"&lt;="&amp;A143,Cmd_commercial,B143,Cmd_statut,"&lt;&gt;Annulée",Cmd_type,"&lt;&gt;Vente directe"))</f>
        <v/>
      </c>
      <c r="P143" s="40">
        <f>IF(A143="","",SUMIFS(Cmd_montant,Cmd_dateca,"&gt;="&amp;A143,Cmd_dateca,"&lt;="&amp;A143,Cmd_commercial,B143))</f>
        <v/>
      </c>
      <c r="Q143" s="40">
        <f>IF(A143="","",SUMIFS(Enc_montant,Enc_date,"&gt;="&amp;A143,Enc_date,"&lt;="&amp;A143,Enc_commercial,B143))</f>
        <v/>
      </c>
      <c r="R143" s="40">
        <f>IF(A143="","",SUMIFS(Stk_valeur,Stk_date,"&gt;="&amp;A143,Stk_date,"&lt;="&amp;A143,Stk_commercial,B143,Stk_mouvement,"Casse / avarie")+SUMIFS(Stk_valeur,Stk_date,"&gt;="&amp;A143,Stk_date,"&lt;="&amp;A143,Stk_commercial,B143,Stk_mouvement,"Perte / vol"))</f>
        <v/>
      </c>
      <c r="S143" s="36" t="n"/>
      <c r="T143" s="36" t="n"/>
      <c r="U143" s="36" t="n"/>
      <c r="V143" s="36" t="n"/>
    </row>
    <row r="144" ht="18" customHeight="1">
      <c r="A144" s="32" t="n"/>
      <c r="B144" s="33">
        <f>IF(A144="","",Commercial_Id)</f>
        <v/>
      </c>
      <c r="C144" s="34">
        <f>IF(A144="","",CHOOSE(WEEKDAY(A144,2),"Lundi","Mardi","Mercredi","Jeudi","Vendredi","Samedi","Dimanche"))</f>
        <v/>
      </c>
      <c r="D144" s="34">
        <f>IF(A144="","",YEAR(A144-WEEKDAY(A144,2)+4)&amp;"-S"&amp;TEXT(INT((A144-DATE(YEAR(A144-WEEKDAY(A144,2)+4),1,3)+WEEKDAY(DATE(YEAR(A144-WEEKDAY(A144,2)+4),1,3),2)+5)/7),"00"))</f>
        <v/>
      </c>
      <c r="E144" s="35" t="n"/>
      <c r="F144" s="35" t="n"/>
      <c r="G144" s="36" t="n"/>
      <c r="H144" s="37" t="n"/>
      <c r="I144" s="38">
        <f>IF(OR(E144="",F144=""),"",ROUND((F144-E144)*24,1))</f>
        <v/>
      </c>
      <c r="J144" s="39">
        <f>IF(A144="","",COUNTIFS(VC_date,"&gt;="&amp;A144,VC_date,"&lt;="&amp;A144,VC_commercial,B144,VC_type,"Visite sur place"))</f>
        <v/>
      </c>
      <c r="K144" s="39">
        <f>IF(A144="","",COUNTIFS(VC_date,"&gt;="&amp;A144,VC_date,"&lt;="&amp;A144,VC_commercial,B144,VC_type,"&lt;&gt;Visite sur place",VC_type,"&lt;&gt;"))</f>
        <v/>
      </c>
      <c r="L144" s="39">
        <f>IF(A144="","",COUNTIFS(Cl_creation,"&gt;="&amp;A144,Cl_creation,"&lt;="&amp;A144,Cl_commercial,B144))</f>
        <v/>
      </c>
      <c r="M144" s="39">
        <f>IF(A144="","",COUNTIFS(Cl_vente1,"&gt;="&amp;A144,Cl_vente1,"&lt;="&amp;A144,Cl_commercial,B144))</f>
        <v/>
      </c>
      <c r="N144" s="39">
        <f>IF(A144="","",SUMIFS(Cmd_premiere,Cmd_date,"&gt;="&amp;A144,Cmd_date,"&lt;="&amp;A144,Cmd_commercial,B144,Cmd_statut,"&lt;&gt;Annulée",Cmd_type,"&lt;&gt;Vente directe"))</f>
        <v/>
      </c>
      <c r="O144" s="40">
        <f>IF(A144="","",SUMIFS(Cmd_montant,Cmd_date,"&gt;="&amp;A144,Cmd_date,"&lt;="&amp;A144,Cmd_commercial,B144,Cmd_statut,"&lt;&gt;Annulée",Cmd_type,"&lt;&gt;Vente directe"))</f>
        <v/>
      </c>
      <c r="P144" s="40">
        <f>IF(A144="","",SUMIFS(Cmd_montant,Cmd_dateca,"&gt;="&amp;A144,Cmd_dateca,"&lt;="&amp;A144,Cmd_commercial,B144))</f>
        <v/>
      </c>
      <c r="Q144" s="40">
        <f>IF(A144="","",SUMIFS(Enc_montant,Enc_date,"&gt;="&amp;A144,Enc_date,"&lt;="&amp;A144,Enc_commercial,B144))</f>
        <v/>
      </c>
      <c r="R144" s="40">
        <f>IF(A144="","",SUMIFS(Stk_valeur,Stk_date,"&gt;="&amp;A144,Stk_date,"&lt;="&amp;A144,Stk_commercial,B144,Stk_mouvement,"Casse / avarie")+SUMIFS(Stk_valeur,Stk_date,"&gt;="&amp;A144,Stk_date,"&lt;="&amp;A144,Stk_commercial,B144,Stk_mouvement,"Perte / vol"))</f>
        <v/>
      </c>
      <c r="S144" s="36" t="n"/>
      <c r="T144" s="36" t="n"/>
      <c r="U144" s="36" t="n"/>
      <c r="V144" s="36" t="n"/>
    </row>
    <row r="145" ht="18" customHeight="1">
      <c r="A145" s="32" t="n"/>
      <c r="B145" s="33">
        <f>IF(A145="","",Commercial_Id)</f>
        <v/>
      </c>
      <c r="C145" s="34">
        <f>IF(A145="","",CHOOSE(WEEKDAY(A145,2),"Lundi","Mardi","Mercredi","Jeudi","Vendredi","Samedi","Dimanche"))</f>
        <v/>
      </c>
      <c r="D145" s="34">
        <f>IF(A145="","",YEAR(A145-WEEKDAY(A145,2)+4)&amp;"-S"&amp;TEXT(INT((A145-DATE(YEAR(A145-WEEKDAY(A145,2)+4),1,3)+WEEKDAY(DATE(YEAR(A145-WEEKDAY(A145,2)+4),1,3),2)+5)/7),"00"))</f>
        <v/>
      </c>
      <c r="E145" s="35" t="n"/>
      <c r="F145" s="35" t="n"/>
      <c r="G145" s="36" t="n"/>
      <c r="H145" s="37" t="n"/>
      <c r="I145" s="38">
        <f>IF(OR(E145="",F145=""),"",ROUND((F145-E145)*24,1))</f>
        <v/>
      </c>
      <c r="J145" s="39">
        <f>IF(A145="","",COUNTIFS(VC_date,"&gt;="&amp;A145,VC_date,"&lt;="&amp;A145,VC_commercial,B145,VC_type,"Visite sur place"))</f>
        <v/>
      </c>
      <c r="K145" s="39">
        <f>IF(A145="","",COUNTIFS(VC_date,"&gt;="&amp;A145,VC_date,"&lt;="&amp;A145,VC_commercial,B145,VC_type,"&lt;&gt;Visite sur place",VC_type,"&lt;&gt;"))</f>
        <v/>
      </c>
      <c r="L145" s="39">
        <f>IF(A145="","",COUNTIFS(Cl_creation,"&gt;="&amp;A145,Cl_creation,"&lt;="&amp;A145,Cl_commercial,B145))</f>
        <v/>
      </c>
      <c r="M145" s="39">
        <f>IF(A145="","",COUNTIFS(Cl_vente1,"&gt;="&amp;A145,Cl_vente1,"&lt;="&amp;A145,Cl_commercial,B145))</f>
        <v/>
      </c>
      <c r="N145" s="39">
        <f>IF(A145="","",SUMIFS(Cmd_premiere,Cmd_date,"&gt;="&amp;A145,Cmd_date,"&lt;="&amp;A145,Cmd_commercial,B145,Cmd_statut,"&lt;&gt;Annulée",Cmd_type,"&lt;&gt;Vente directe"))</f>
        <v/>
      </c>
      <c r="O145" s="40">
        <f>IF(A145="","",SUMIFS(Cmd_montant,Cmd_date,"&gt;="&amp;A145,Cmd_date,"&lt;="&amp;A145,Cmd_commercial,B145,Cmd_statut,"&lt;&gt;Annulée",Cmd_type,"&lt;&gt;Vente directe"))</f>
        <v/>
      </c>
      <c r="P145" s="40">
        <f>IF(A145="","",SUMIFS(Cmd_montant,Cmd_dateca,"&gt;="&amp;A145,Cmd_dateca,"&lt;="&amp;A145,Cmd_commercial,B145))</f>
        <v/>
      </c>
      <c r="Q145" s="40">
        <f>IF(A145="","",SUMIFS(Enc_montant,Enc_date,"&gt;="&amp;A145,Enc_date,"&lt;="&amp;A145,Enc_commercial,B145))</f>
        <v/>
      </c>
      <c r="R145" s="40">
        <f>IF(A145="","",SUMIFS(Stk_valeur,Stk_date,"&gt;="&amp;A145,Stk_date,"&lt;="&amp;A145,Stk_commercial,B145,Stk_mouvement,"Casse / avarie")+SUMIFS(Stk_valeur,Stk_date,"&gt;="&amp;A145,Stk_date,"&lt;="&amp;A145,Stk_commercial,B145,Stk_mouvement,"Perte / vol"))</f>
        <v/>
      </c>
      <c r="S145" s="36" t="n"/>
      <c r="T145" s="36" t="n"/>
      <c r="U145" s="36" t="n"/>
      <c r="V145" s="36" t="n"/>
    </row>
    <row r="146" ht="18" customHeight="1">
      <c r="A146" s="32" t="n"/>
      <c r="B146" s="33">
        <f>IF(A146="","",Commercial_Id)</f>
        <v/>
      </c>
      <c r="C146" s="34">
        <f>IF(A146="","",CHOOSE(WEEKDAY(A146,2),"Lundi","Mardi","Mercredi","Jeudi","Vendredi","Samedi","Dimanche"))</f>
        <v/>
      </c>
      <c r="D146" s="34">
        <f>IF(A146="","",YEAR(A146-WEEKDAY(A146,2)+4)&amp;"-S"&amp;TEXT(INT((A146-DATE(YEAR(A146-WEEKDAY(A146,2)+4),1,3)+WEEKDAY(DATE(YEAR(A146-WEEKDAY(A146,2)+4),1,3),2)+5)/7),"00"))</f>
        <v/>
      </c>
      <c r="E146" s="35" t="n"/>
      <c r="F146" s="35" t="n"/>
      <c r="G146" s="36" t="n"/>
      <c r="H146" s="37" t="n"/>
      <c r="I146" s="38">
        <f>IF(OR(E146="",F146=""),"",ROUND((F146-E146)*24,1))</f>
        <v/>
      </c>
      <c r="J146" s="39">
        <f>IF(A146="","",COUNTIFS(VC_date,"&gt;="&amp;A146,VC_date,"&lt;="&amp;A146,VC_commercial,B146,VC_type,"Visite sur place"))</f>
        <v/>
      </c>
      <c r="K146" s="39">
        <f>IF(A146="","",COUNTIFS(VC_date,"&gt;="&amp;A146,VC_date,"&lt;="&amp;A146,VC_commercial,B146,VC_type,"&lt;&gt;Visite sur place",VC_type,"&lt;&gt;"))</f>
        <v/>
      </c>
      <c r="L146" s="39">
        <f>IF(A146="","",COUNTIFS(Cl_creation,"&gt;="&amp;A146,Cl_creation,"&lt;="&amp;A146,Cl_commercial,B146))</f>
        <v/>
      </c>
      <c r="M146" s="39">
        <f>IF(A146="","",COUNTIFS(Cl_vente1,"&gt;="&amp;A146,Cl_vente1,"&lt;="&amp;A146,Cl_commercial,B146))</f>
        <v/>
      </c>
      <c r="N146" s="39">
        <f>IF(A146="","",SUMIFS(Cmd_premiere,Cmd_date,"&gt;="&amp;A146,Cmd_date,"&lt;="&amp;A146,Cmd_commercial,B146,Cmd_statut,"&lt;&gt;Annulée",Cmd_type,"&lt;&gt;Vente directe"))</f>
        <v/>
      </c>
      <c r="O146" s="40">
        <f>IF(A146="","",SUMIFS(Cmd_montant,Cmd_date,"&gt;="&amp;A146,Cmd_date,"&lt;="&amp;A146,Cmd_commercial,B146,Cmd_statut,"&lt;&gt;Annulée",Cmd_type,"&lt;&gt;Vente directe"))</f>
        <v/>
      </c>
      <c r="P146" s="40">
        <f>IF(A146="","",SUMIFS(Cmd_montant,Cmd_dateca,"&gt;="&amp;A146,Cmd_dateca,"&lt;="&amp;A146,Cmd_commercial,B146))</f>
        <v/>
      </c>
      <c r="Q146" s="40">
        <f>IF(A146="","",SUMIFS(Enc_montant,Enc_date,"&gt;="&amp;A146,Enc_date,"&lt;="&amp;A146,Enc_commercial,B146))</f>
        <v/>
      </c>
      <c r="R146" s="40">
        <f>IF(A146="","",SUMIFS(Stk_valeur,Stk_date,"&gt;="&amp;A146,Stk_date,"&lt;="&amp;A146,Stk_commercial,B146,Stk_mouvement,"Casse / avarie")+SUMIFS(Stk_valeur,Stk_date,"&gt;="&amp;A146,Stk_date,"&lt;="&amp;A146,Stk_commercial,B146,Stk_mouvement,"Perte / vol"))</f>
        <v/>
      </c>
      <c r="S146" s="36" t="n"/>
      <c r="T146" s="36" t="n"/>
      <c r="U146" s="36" t="n"/>
      <c r="V146" s="36" t="n"/>
    </row>
    <row r="147" ht="18" customHeight="1">
      <c r="A147" s="32" t="n"/>
      <c r="B147" s="33">
        <f>IF(A147="","",Commercial_Id)</f>
        <v/>
      </c>
      <c r="C147" s="34">
        <f>IF(A147="","",CHOOSE(WEEKDAY(A147,2),"Lundi","Mardi","Mercredi","Jeudi","Vendredi","Samedi","Dimanche"))</f>
        <v/>
      </c>
      <c r="D147" s="34">
        <f>IF(A147="","",YEAR(A147-WEEKDAY(A147,2)+4)&amp;"-S"&amp;TEXT(INT((A147-DATE(YEAR(A147-WEEKDAY(A147,2)+4),1,3)+WEEKDAY(DATE(YEAR(A147-WEEKDAY(A147,2)+4),1,3),2)+5)/7),"00"))</f>
        <v/>
      </c>
      <c r="E147" s="35" t="n"/>
      <c r="F147" s="35" t="n"/>
      <c r="G147" s="36" t="n"/>
      <c r="H147" s="37" t="n"/>
      <c r="I147" s="38">
        <f>IF(OR(E147="",F147=""),"",ROUND((F147-E147)*24,1))</f>
        <v/>
      </c>
      <c r="J147" s="39">
        <f>IF(A147="","",COUNTIFS(VC_date,"&gt;="&amp;A147,VC_date,"&lt;="&amp;A147,VC_commercial,B147,VC_type,"Visite sur place"))</f>
        <v/>
      </c>
      <c r="K147" s="39">
        <f>IF(A147="","",COUNTIFS(VC_date,"&gt;="&amp;A147,VC_date,"&lt;="&amp;A147,VC_commercial,B147,VC_type,"&lt;&gt;Visite sur place",VC_type,"&lt;&gt;"))</f>
        <v/>
      </c>
      <c r="L147" s="39">
        <f>IF(A147="","",COUNTIFS(Cl_creation,"&gt;="&amp;A147,Cl_creation,"&lt;="&amp;A147,Cl_commercial,B147))</f>
        <v/>
      </c>
      <c r="M147" s="39">
        <f>IF(A147="","",COUNTIFS(Cl_vente1,"&gt;="&amp;A147,Cl_vente1,"&lt;="&amp;A147,Cl_commercial,B147))</f>
        <v/>
      </c>
      <c r="N147" s="39">
        <f>IF(A147="","",SUMIFS(Cmd_premiere,Cmd_date,"&gt;="&amp;A147,Cmd_date,"&lt;="&amp;A147,Cmd_commercial,B147,Cmd_statut,"&lt;&gt;Annulée",Cmd_type,"&lt;&gt;Vente directe"))</f>
        <v/>
      </c>
      <c r="O147" s="40">
        <f>IF(A147="","",SUMIFS(Cmd_montant,Cmd_date,"&gt;="&amp;A147,Cmd_date,"&lt;="&amp;A147,Cmd_commercial,B147,Cmd_statut,"&lt;&gt;Annulée",Cmd_type,"&lt;&gt;Vente directe"))</f>
        <v/>
      </c>
      <c r="P147" s="40">
        <f>IF(A147="","",SUMIFS(Cmd_montant,Cmd_dateca,"&gt;="&amp;A147,Cmd_dateca,"&lt;="&amp;A147,Cmd_commercial,B147))</f>
        <v/>
      </c>
      <c r="Q147" s="40">
        <f>IF(A147="","",SUMIFS(Enc_montant,Enc_date,"&gt;="&amp;A147,Enc_date,"&lt;="&amp;A147,Enc_commercial,B147))</f>
        <v/>
      </c>
      <c r="R147" s="40">
        <f>IF(A147="","",SUMIFS(Stk_valeur,Stk_date,"&gt;="&amp;A147,Stk_date,"&lt;="&amp;A147,Stk_commercial,B147,Stk_mouvement,"Casse / avarie")+SUMIFS(Stk_valeur,Stk_date,"&gt;="&amp;A147,Stk_date,"&lt;="&amp;A147,Stk_commercial,B147,Stk_mouvement,"Perte / vol"))</f>
        <v/>
      </c>
      <c r="S147" s="36" t="n"/>
      <c r="T147" s="36" t="n"/>
      <c r="U147" s="36" t="n"/>
      <c r="V147" s="36" t="n"/>
    </row>
    <row r="148" ht="18" customHeight="1">
      <c r="A148" s="32" t="n"/>
      <c r="B148" s="33">
        <f>IF(A148="","",Commercial_Id)</f>
        <v/>
      </c>
      <c r="C148" s="34">
        <f>IF(A148="","",CHOOSE(WEEKDAY(A148,2),"Lundi","Mardi","Mercredi","Jeudi","Vendredi","Samedi","Dimanche"))</f>
        <v/>
      </c>
      <c r="D148" s="34">
        <f>IF(A148="","",YEAR(A148-WEEKDAY(A148,2)+4)&amp;"-S"&amp;TEXT(INT((A148-DATE(YEAR(A148-WEEKDAY(A148,2)+4),1,3)+WEEKDAY(DATE(YEAR(A148-WEEKDAY(A148,2)+4),1,3),2)+5)/7),"00"))</f>
        <v/>
      </c>
      <c r="E148" s="35" t="n"/>
      <c r="F148" s="35" t="n"/>
      <c r="G148" s="36" t="n"/>
      <c r="H148" s="37" t="n"/>
      <c r="I148" s="38">
        <f>IF(OR(E148="",F148=""),"",ROUND((F148-E148)*24,1))</f>
        <v/>
      </c>
      <c r="J148" s="39">
        <f>IF(A148="","",COUNTIFS(VC_date,"&gt;="&amp;A148,VC_date,"&lt;="&amp;A148,VC_commercial,B148,VC_type,"Visite sur place"))</f>
        <v/>
      </c>
      <c r="K148" s="39">
        <f>IF(A148="","",COUNTIFS(VC_date,"&gt;="&amp;A148,VC_date,"&lt;="&amp;A148,VC_commercial,B148,VC_type,"&lt;&gt;Visite sur place",VC_type,"&lt;&gt;"))</f>
        <v/>
      </c>
      <c r="L148" s="39">
        <f>IF(A148="","",COUNTIFS(Cl_creation,"&gt;="&amp;A148,Cl_creation,"&lt;="&amp;A148,Cl_commercial,B148))</f>
        <v/>
      </c>
      <c r="M148" s="39">
        <f>IF(A148="","",COUNTIFS(Cl_vente1,"&gt;="&amp;A148,Cl_vente1,"&lt;="&amp;A148,Cl_commercial,B148))</f>
        <v/>
      </c>
      <c r="N148" s="39">
        <f>IF(A148="","",SUMIFS(Cmd_premiere,Cmd_date,"&gt;="&amp;A148,Cmd_date,"&lt;="&amp;A148,Cmd_commercial,B148,Cmd_statut,"&lt;&gt;Annulée",Cmd_type,"&lt;&gt;Vente directe"))</f>
        <v/>
      </c>
      <c r="O148" s="40">
        <f>IF(A148="","",SUMIFS(Cmd_montant,Cmd_date,"&gt;="&amp;A148,Cmd_date,"&lt;="&amp;A148,Cmd_commercial,B148,Cmd_statut,"&lt;&gt;Annulée",Cmd_type,"&lt;&gt;Vente directe"))</f>
        <v/>
      </c>
      <c r="P148" s="40">
        <f>IF(A148="","",SUMIFS(Cmd_montant,Cmd_dateca,"&gt;="&amp;A148,Cmd_dateca,"&lt;="&amp;A148,Cmd_commercial,B148))</f>
        <v/>
      </c>
      <c r="Q148" s="40">
        <f>IF(A148="","",SUMIFS(Enc_montant,Enc_date,"&gt;="&amp;A148,Enc_date,"&lt;="&amp;A148,Enc_commercial,B148))</f>
        <v/>
      </c>
      <c r="R148" s="40">
        <f>IF(A148="","",SUMIFS(Stk_valeur,Stk_date,"&gt;="&amp;A148,Stk_date,"&lt;="&amp;A148,Stk_commercial,B148,Stk_mouvement,"Casse / avarie")+SUMIFS(Stk_valeur,Stk_date,"&gt;="&amp;A148,Stk_date,"&lt;="&amp;A148,Stk_commercial,B148,Stk_mouvement,"Perte / vol"))</f>
        <v/>
      </c>
      <c r="S148" s="36" t="n"/>
      <c r="T148" s="36" t="n"/>
      <c r="U148" s="36" t="n"/>
      <c r="V148" s="36" t="n"/>
    </row>
    <row r="149" ht="18" customHeight="1">
      <c r="A149" s="32" t="n"/>
      <c r="B149" s="33">
        <f>IF(A149="","",Commercial_Id)</f>
        <v/>
      </c>
      <c r="C149" s="34">
        <f>IF(A149="","",CHOOSE(WEEKDAY(A149,2),"Lundi","Mardi","Mercredi","Jeudi","Vendredi","Samedi","Dimanche"))</f>
        <v/>
      </c>
      <c r="D149" s="34">
        <f>IF(A149="","",YEAR(A149-WEEKDAY(A149,2)+4)&amp;"-S"&amp;TEXT(INT((A149-DATE(YEAR(A149-WEEKDAY(A149,2)+4),1,3)+WEEKDAY(DATE(YEAR(A149-WEEKDAY(A149,2)+4),1,3),2)+5)/7),"00"))</f>
        <v/>
      </c>
      <c r="E149" s="35" t="n"/>
      <c r="F149" s="35" t="n"/>
      <c r="G149" s="36" t="n"/>
      <c r="H149" s="37" t="n"/>
      <c r="I149" s="38">
        <f>IF(OR(E149="",F149=""),"",ROUND((F149-E149)*24,1))</f>
        <v/>
      </c>
      <c r="J149" s="39">
        <f>IF(A149="","",COUNTIFS(VC_date,"&gt;="&amp;A149,VC_date,"&lt;="&amp;A149,VC_commercial,B149,VC_type,"Visite sur place"))</f>
        <v/>
      </c>
      <c r="K149" s="39">
        <f>IF(A149="","",COUNTIFS(VC_date,"&gt;="&amp;A149,VC_date,"&lt;="&amp;A149,VC_commercial,B149,VC_type,"&lt;&gt;Visite sur place",VC_type,"&lt;&gt;"))</f>
        <v/>
      </c>
      <c r="L149" s="39">
        <f>IF(A149="","",COUNTIFS(Cl_creation,"&gt;="&amp;A149,Cl_creation,"&lt;="&amp;A149,Cl_commercial,B149))</f>
        <v/>
      </c>
      <c r="M149" s="39">
        <f>IF(A149="","",COUNTIFS(Cl_vente1,"&gt;="&amp;A149,Cl_vente1,"&lt;="&amp;A149,Cl_commercial,B149))</f>
        <v/>
      </c>
      <c r="N149" s="39">
        <f>IF(A149="","",SUMIFS(Cmd_premiere,Cmd_date,"&gt;="&amp;A149,Cmd_date,"&lt;="&amp;A149,Cmd_commercial,B149,Cmd_statut,"&lt;&gt;Annulée",Cmd_type,"&lt;&gt;Vente directe"))</f>
        <v/>
      </c>
      <c r="O149" s="40">
        <f>IF(A149="","",SUMIFS(Cmd_montant,Cmd_date,"&gt;="&amp;A149,Cmd_date,"&lt;="&amp;A149,Cmd_commercial,B149,Cmd_statut,"&lt;&gt;Annulée",Cmd_type,"&lt;&gt;Vente directe"))</f>
        <v/>
      </c>
      <c r="P149" s="40">
        <f>IF(A149="","",SUMIFS(Cmd_montant,Cmd_dateca,"&gt;="&amp;A149,Cmd_dateca,"&lt;="&amp;A149,Cmd_commercial,B149))</f>
        <v/>
      </c>
      <c r="Q149" s="40">
        <f>IF(A149="","",SUMIFS(Enc_montant,Enc_date,"&gt;="&amp;A149,Enc_date,"&lt;="&amp;A149,Enc_commercial,B149))</f>
        <v/>
      </c>
      <c r="R149" s="40">
        <f>IF(A149="","",SUMIFS(Stk_valeur,Stk_date,"&gt;="&amp;A149,Stk_date,"&lt;="&amp;A149,Stk_commercial,B149,Stk_mouvement,"Casse / avarie")+SUMIFS(Stk_valeur,Stk_date,"&gt;="&amp;A149,Stk_date,"&lt;="&amp;A149,Stk_commercial,B149,Stk_mouvement,"Perte / vol"))</f>
        <v/>
      </c>
      <c r="S149" s="36" t="n"/>
      <c r="T149" s="36" t="n"/>
      <c r="U149" s="36" t="n"/>
      <c r="V149" s="36" t="n"/>
    </row>
    <row r="150" ht="18" customHeight="1">
      <c r="A150" s="32" t="n"/>
      <c r="B150" s="33">
        <f>IF(A150="","",Commercial_Id)</f>
        <v/>
      </c>
      <c r="C150" s="34">
        <f>IF(A150="","",CHOOSE(WEEKDAY(A150,2),"Lundi","Mardi","Mercredi","Jeudi","Vendredi","Samedi","Dimanche"))</f>
        <v/>
      </c>
      <c r="D150" s="34">
        <f>IF(A150="","",YEAR(A150-WEEKDAY(A150,2)+4)&amp;"-S"&amp;TEXT(INT((A150-DATE(YEAR(A150-WEEKDAY(A150,2)+4),1,3)+WEEKDAY(DATE(YEAR(A150-WEEKDAY(A150,2)+4),1,3),2)+5)/7),"00"))</f>
        <v/>
      </c>
      <c r="E150" s="35" t="n"/>
      <c r="F150" s="35" t="n"/>
      <c r="G150" s="36" t="n"/>
      <c r="H150" s="37" t="n"/>
      <c r="I150" s="38">
        <f>IF(OR(E150="",F150=""),"",ROUND((F150-E150)*24,1))</f>
        <v/>
      </c>
      <c r="J150" s="39">
        <f>IF(A150="","",COUNTIFS(VC_date,"&gt;="&amp;A150,VC_date,"&lt;="&amp;A150,VC_commercial,B150,VC_type,"Visite sur place"))</f>
        <v/>
      </c>
      <c r="K150" s="39">
        <f>IF(A150="","",COUNTIFS(VC_date,"&gt;="&amp;A150,VC_date,"&lt;="&amp;A150,VC_commercial,B150,VC_type,"&lt;&gt;Visite sur place",VC_type,"&lt;&gt;"))</f>
        <v/>
      </c>
      <c r="L150" s="39">
        <f>IF(A150="","",COUNTIFS(Cl_creation,"&gt;="&amp;A150,Cl_creation,"&lt;="&amp;A150,Cl_commercial,B150))</f>
        <v/>
      </c>
      <c r="M150" s="39">
        <f>IF(A150="","",COUNTIFS(Cl_vente1,"&gt;="&amp;A150,Cl_vente1,"&lt;="&amp;A150,Cl_commercial,B150))</f>
        <v/>
      </c>
      <c r="N150" s="39">
        <f>IF(A150="","",SUMIFS(Cmd_premiere,Cmd_date,"&gt;="&amp;A150,Cmd_date,"&lt;="&amp;A150,Cmd_commercial,B150,Cmd_statut,"&lt;&gt;Annulée",Cmd_type,"&lt;&gt;Vente directe"))</f>
        <v/>
      </c>
      <c r="O150" s="40">
        <f>IF(A150="","",SUMIFS(Cmd_montant,Cmd_date,"&gt;="&amp;A150,Cmd_date,"&lt;="&amp;A150,Cmd_commercial,B150,Cmd_statut,"&lt;&gt;Annulée",Cmd_type,"&lt;&gt;Vente directe"))</f>
        <v/>
      </c>
      <c r="P150" s="40">
        <f>IF(A150="","",SUMIFS(Cmd_montant,Cmd_dateca,"&gt;="&amp;A150,Cmd_dateca,"&lt;="&amp;A150,Cmd_commercial,B150))</f>
        <v/>
      </c>
      <c r="Q150" s="40">
        <f>IF(A150="","",SUMIFS(Enc_montant,Enc_date,"&gt;="&amp;A150,Enc_date,"&lt;="&amp;A150,Enc_commercial,B150))</f>
        <v/>
      </c>
      <c r="R150" s="40">
        <f>IF(A150="","",SUMIFS(Stk_valeur,Stk_date,"&gt;="&amp;A150,Stk_date,"&lt;="&amp;A150,Stk_commercial,B150,Stk_mouvement,"Casse / avarie")+SUMIFS(Stk_valeur,Stk_date,"&gt;="&amp;A150,Stk_date,"&lt;="&amp;A150,Stk_commercial,B150,Stk_mouvement,"Perte / vol"))</f>
        <v/>
      </c>
      <c r="S150" s="36" t="n"/>
      <c r="T150" s="36" t="n"/>
      <c r="U150" s="36" t="n"/>
      <c r="V150" s="36" t="n"/>
    </row>
    <row r="151" ht="18" customHeight="1">
      <c r="A151" s="32" t="n"/>
      <c r="B151" s="33">
        <f>IF(A151="","",Commercial_Id)</f>
        <v/>
      </c>
      <c r="C151" s="34">
        <f>IF(A151="","",CHOOSE(WEEKDAY(A151,2),"Lundi","Mardi","Mercredi","Jeudi","Vendredi","Samedi","Dimanche"))</f>
        <v/>
      </c>
      <c r="D151" s="34">
        <f>IF(A151="","",YEAR(A151-WEEKDAY(A151,2)+4)&amp;"-S"&amp;TEXT(INT((A151-DATE(YEAR(A151-WEEKDAY(A151,2)+4),1,3)+WEEKDAY(DATE(YEAR(A151-WEEKDAY(A151,2)+4),1,3),2)+5)/7),"00"))</f>
        <v/>
      </c>
      <c r="E151" s="35" t="n"/>
      <c r="F151" s="35" t="n"/>
      <c r="G151" s="36" t="n"/>
      <c r="H151" s="37" t="n"/>
      <c r="I151" s="38">
        <f>IF(OR(E151="",F151=""),"",ROUND((F151-E151)*24,1))</f>
        <v/>
      </c>
      <c r="J151" s="39">
        <f>IF(A151="","",COUNTIFS(VC_date,"&gt;="&amp;A151,VC_date,"&lt;="&amp;A151,VC_commercial,B151,VC_type,"Visite sur place"))</f>
        <v/>
      </c>
      <c r="K151" s="39">
        <f>IF(A151="","",COUNTIFS(VC_date,"&gt;="&amp;A151,VC_date,"&lt;="&amp;A151,VC_commercial,B151,VC_type,"&lt;&gt;Visite sur place",VC_type,"&lt;&gt;"))</f>
        <v/>
      </c>
      <c r="L151" s="39">
        <f>IF(A151="","",COUNTIFS(Cl_creation,"&gt;="&amp;A151,Cl_creation,"&lt;="&amp;A151,Cl_commercial,B151))</f>
        <v/>
      </c>
      <c r="M151" s="39">
        <f>IF(A151="","",COUNTIFS(Cl_vente1,"&gt;="&amp;A151,Cl_vente1,"&lt;="&amp;A151,Cl_commercial,B151))</f>
        <v/>
      </c>
      <c r="N151" s="39">
        <f>IF(A151="","",SUMIFS(Cmd_premiere,Cmd_date,"&gt;="&amp;A151,Cmd_date,"&lt;="&amp;A151,Cmd_commercial,B151,Cmd_statut,"&lt;&gt;Annulée",Cmd_type,"&lt;&gt;Vente directe"))</f>
        <v/>
      </c>
      <c r="O151" s="40">
        <f>IF(A151="","",SUMIFS(Cmd_montant,Cmd_date,"&gt;="&amp;A151,Cmd_date,"&lt;="&amp;A151,Cmd_commercial,B151,Cmd_statut,"&lt;&gt;Annulée",Cmd_type,"&lt;&gt;Vente directe"))</f>
        <v/>
      </c>
      <c r="P151" s="40">
        <f>IF(A151="","",SUMIFS(Cmd_montant,Cmd_dateca,"&gt;="&amp;A151,Cmd_dateca,"&lt;="&amp;A151,Cmd_commercial,B151))</f>
        <v/>
      </c>
      <c r="Q151" s="40">
        <f>IF(A151="","",SUMIFS(Enc_montant,Enc_date,"&gt;="&amp;A151,Enc_date,"&lt;="&amp;A151,Enc_commercial,B151))</f>
        <v/>
      </c>
      <c r="R151" s="40">
        <f>IF(A151="","",SUMIFS(Stk_valeur,Stk_date,"&gt;="&amp;A151,Stk_date,"&lt;="&amp;A151,Stk_commercial,B151,Stk_mouvement,"Casse / avarie")+SUMIFS(Stk_valeur,Stk_date,"&gt;="&amp;A151,Stk_date,"&lt;="&amp;A151,Stk_commercial,B151,Stk_mouvement,"Perte / vol"))</f>
        <v/>
      </c>
      <c r="S151" s="36" t="n"/>
      <c r="T151" s="36" t="n"/>
      <c r="U151" s="36" t="n"/>
      <c r="V151" s="36" t="n"/>
    </row>
    <row r="152" ht="18" customHeight="1">
      <c r="A152" s="32" t="n"/>
      <c r="B152" s="33">
        <f>IF(A152="","",Commercial_Id)</f>
        <v/>
      </c>
      <c r="C152" s="34">
        <f>IF(A152="","",CHOOSE(WEEKDAY(A152,2),"Lundi","Mardi","Mercredi","Jeudi","Vendredi","Samedi","Dimanche"))</f>
        <v/>
      </c>
      <c r="D152" s="34">
        <f>IF(A152="","",YEAR(A152-WEEKDAY(A152,2)+4)&amp;"-S"&amp;TEXT(INT((A152-DATE(YEAR(A152-WEEKDAY(A152,2)+4),1,3)+WEEKDAY(DATE(YEAR(A152-WEEKDAY(A152,2)+4),1,3),2)+5)/7),"00"))</f>
        <v/>
      </c>
      <c r="E152" s="35" t="n"/>
      <c r="F152" s="35" t="n"/>
      <c r="G152" s="36" t="n"/>
      <c r="H152" s="37" t="n"/>
      <c r="I152" s="38">
        <f>IF(OR(E152="",F152=""),"",ROUND((F152-E152)*24,1))</f>
        <v/>
      </c>
      <c r="J152" s="39">
        <f>IF(A152="","",COUNTIFS(VC_date,"&gt;="&amp;A152,VC_date,"&lt;="&amp;A152,VC_commercial,B152,VC_type,"Visite sur place"))</f>
        <v/>
      </c>
      <c r="K152" s="39">
        <f>IF(A152="","",COUNTIFS(VC_date,"&gt;="&amp;A152,VC_date,"&lt;="&amp;A152,VC_commercial,B152,VC_type,"&lt;&gt;Visite sur place",VC_type,"&lt;&gt;"))</f>
        <v/>
      </c>
      <c r="L152" s="39">
        <f>IF(A152="","",COUNTIFS(Cl_creation,"&gt;="&amp;A152,Cl_creation,"&lt;="&amp;A152,Cl_commercial,B152))</f>
        <v/>
      </c>
      <c r="M152" s="39">
        <f>IF(A152="","",COUNTIFS(Cl_vente1,"&gt;="&amp;A152,Cl_vente1,"&lt;="&amp;A152,Cl_commercial,B152))</f>
        <v/>
      </c>
      <c r="N152" s="39">
        <f>IF(A152="","",SUMIFS(Cmd_premiere,Cmd_date,"&gt;="&amp;A152,Cmd_date,"&lt;="&amp;A152,Cmd_commercial,B152,Cmd_statut,"&lt;&gt;Annulée",Cmd_type,"&lt;&gt;Vente directe"))</f>
        <v/>
      </c>
      <c r="O152" s="40">
        <f>IF(A152="","",SUMIFS(Cmd_montant,Cmd_date,"&gt;="&amp;A152,Cmd_date,"&lt;="&amp;A152,Cmd_commercial,B152,Cmd_statut,"&lt;&gt;Annulée",Cmd_type,"&lt;&gt;Vente directe"))</f>
        <v/>
      </c>
      <c r="P152" s="40">
        <f>IF(A152="","",SUMIFS(Cmd_montant,Cmd_dateca,"&gt;="&amp;A152,Cmd_dateca,"&lt;="&amp;A152,Cmd_commercial,B152))</f>
        <v/>
      </c>
      <c r="Q152" s="40">
        <f>IF(A152="","",SUMIFS(Enc_montant,Enc_date,"&gt;="&amp;A152,Enc_date,"&lt;="&amp;A152,Enc_commercial,B152))</f>
        <v/>
      </c>
      <c r="R152" s="40">
        <f>IF(A152="","",SUMIFS(Stk_valeur,Stk_date,"&gt;="&amp;A152,Stk_date,"&lt;="&amp;A152,Stk_commercial,B152,Stk_mouvement,"Casse / avarie")+SUMIFS(Stk_valeur,Stk_date,"&gt;="&amp;A152,Stk_date,"&lt;="&amp;A152,Stk_commercial,B152,Stk_mouvement,"Perte / vol"))</f>
        <v/>
      </c>
      <c r="S152" s="36" t="n"/>
      <c r="T152" s="36" t="n"/>
      <c r="U152" s="36" t="n"/>
      <c r="V152" s="36" t="n"/>
    </row>
    <row r="153" ht="18" customHeight="1">
      <c r="A153" s="32" t="n"/>
      <c r="B153" s="33">
        <f>IF(A153="","",Commercial_Id)</f>
        <v/>
      </c>
      <c r="C153" s="34">
        <f>IF(A153="","",CHOOSE(WEEKDAY(A153,2),"Lundi","Mardi","Mercredi","Jeudi","Vendredi","Samedi","Dimanche"))</f>
        <v/>
      </c>
      <c r="D153" s="34">
        <f>IF(A153="","",YEAR(A153-WEEKDAY(A153,2)+4)&amp;"-S"&amp;TEXT(INT((A153-DATE(YEAR(A153-WEEKDAY(A153,2)+4),1,3)+WEEKDAY(DATE(YEAR(A153-WEEKDAY(A153,2)+4),1,3),2)+5)/7),"00"))</f>
        <v/>
      </c>
      <c r="E153" s="35" t="n"/>
      <c r="F153" s="35" t="n"/>
      <c r="G153" s="36" t="n"/>
      <c r="H153" s="37" t="n"/>
      <c r="I153" s="38">
        <f>IF(OR(E153="",F153=""),"",ROUND((F153-E153)*24,1))</f>
        <v/>
      </c>
      <c r="J153" s="39">
        <f>IF(A153="","",COUNTIFS(VC_date,"&gt;="&amp;A153,VC_date,"&lt;="&amp;A153,VC_commercial,B153,VC_type,"Visite sur place"))</f>
        <v/>
      </c>
      <c r="K153" s="39">
        <f>IF(A153="","",COUNTIFS(VC_date,"&gt;="&amp;A153,VC_date,"&lt;="&amp;A153,VC_commercial,B153,VC_type,"&lt;&gt;Visite sur place",VC_type,"&lt;&gt;"))</f>
        <v/>
      </c>
      <c r="L153" s="39">
        <f>IF(A153="","",COUNTIFS(Cl_creation,"&gt;="&amp;A153,Cl_creation,"&lt;="&amp;A153,Cl_commercial,B153))</f>
        <v/>
      </c>
      <c r="M153" s="39">
        <f>IF(A153="","",COUNTIFS(Cl_vente1,"&gt;="&amp;A153,Cl_vente1,"&lt;="&amp;A153,Cl_commercial,B153))</f>
        <v/>
      </c>
      <c r="N153" s="39">
        <f>IF(A153="","",SUMIFS(Cmd_premiere,Cmd_date,"&gt;="&amp;A153,Cmd_date,"&lt;="&amp;A153,Cmd_commercial,B153,Cmd_statut,"&lt;&gt;Annulée",Cmd_type,"&lt;&gt;Vente directe"))</f>
        <v/>
      </c>
      <c r="O153" s="40">
        <f>IF(A153="","",SUMIFS(Cmd_montant,Cmd_date,"&gt;="&amp;A153,Cmd_date,"&lt;="&amp;A153,Cmd_commercial,B153,Cmd_statut,"&lt;&gt;Annulée",Cmd_type,"&lt;&gt;Vente directe"))</f>
        <v/>
      </c>
      <c r="P153" s="40">
        <f>IF(A153="","",SUMIFS(Cmd_montant,Cmd_dateca,"&gt;="&amp;A153,Cmd_dateca,"&lt;="&amp;A153,Cmd_commercial,B153))</f>
        <v/>
      </c>
      <c r="Q153" s="40">
        <f>IF(A153="","",SUMIFS(Enc_montant,Enc_date,"&gt;="&amp;A153,Enc_date,"&lt;="&amp;A153,Enc_commercial,B153))</f>
        <v/>
      </c>
      <c r="R153" s="40">
        <f>IF(A153="","",SUMIFS(Stk_valeur,Stk_date,"&gt;="&amp;A153,Stk_date,"&lt;="&amp;A153,Stk_commercial,B153,Stk_mouvement,"Casse / avarie")+SUMIFS(Stk_valeur,Stk_date,"&gt;="&amp;A153,Stk_date,"&lt;="&amp;A153,Stk_commercial,B153,Stk_mouvement,"Perte / vol"))</f>
        <v/>
      </c>
      <c r="S153" s="36" t="n"/>
      <c r="T153" s="36" t="n"/>
      <c r="U153" s="36" t="n"/>
      <c r="V153" s="36" t="n"/>
    </row>
    <row r="154" ht="18" customHeight="1">
      <c r="A154" s="32" t="n"/>
      <c r="B154" s="33">
        <f>IF(A154="","",Commercial_Id)</f>
        <v/>
      </c>
      <c r="C154" s="34">
        <f>IF(A154="","",CHOOSE(WEEKDAY(A154,2),"Lundi","Mardi","Mercredi","Jeudi","Vendredi","Samedi","Dimanche"))</f>
        <v/>
      </c>
      <c r="D154" s="34">
        <f>IF(A154="","",YEAR(A154-WEEKDAY(A154,2)+4)&amp;"-S"&amp;TEXT(INT((A154-DATE(YEAR(A154-WEEKDAY(A154,2)+4),1,3)+WEEKDAY(DATE(YEAR(A154-WEEKDAY(A154,2)+4),1,3),2)+5)/7),"00"))</f>
        <v/>
      </c>
      <c r="E154" s="35" t="n"/>
      <c r="F154" s="35" t="n"/>
      <c r="G154" s="36" t="n"/>
      <c r="H154" s="37" t="n"/>
      <c r="I154" s="38">
        <f>IF(OR(E154="",F154=""),"",ROUND((F154-E154)*24,1))</f>
        <v/>
      </c>
      <c r="J154" s="39">
        <f>IF(A154="","",COUNTIFS(VC_date,"&gt;="&amp;A154,VC_date,"&lt;="&amp;A154,VC_commercial,B154,VC_type,"Visite sur place"))</f>
        <v/>
      </c>
      <c r="K154" s="39">
        <f>IF(A154="","",COUNTIFS(VC_date,"&gt;="&amp;A154,VC_date,"&lt;="&amp;A154,VC_commercial,B154,VC_type,"&lt;&gt;Visite sur place",VC_type,"&lt;&gt;"))</f>
        <v/>
      </c>
      <c r="L154" s="39">
        <f>IF(A154="","",COUNTIFS(Cl_creation,"&gt;="&amp;A154,Cl_creation,"&lt;="&amp;A154,Cl_commercial,B154))</f>
        <v/>
      </c>
      <c r="M154" s="39">
        <f>IF(A154="","",COUNTIFS(Cl_vente1,"&gt;="&amp;A154,Cl_vente1,"&lt;="&amp;A154,Cl_commercial,B154))</f>
        <v/>
      </c>
      <c r="N154" s="39">
        <f>IF(A154="","",SUMIFS(Cmd_premiere,Cmd_date,"&gt;="&amp;A154,Cmd_date,"&lt;="&amp;A154,Cmd_commercial,B154,Cmd_statut,"&lt;&gt;Annulée",Cmd_type,"&lt;&gt;Vente directe"))</f>
        <v/>
      </c>
      <c r="O154" s="40">
        <f>IF(A154="","",SUMIFS(Cmd_montant,Cmd_date,"&gt;="&amp;A154,Cmd_date,"&lt;="&amp;A154,Cmd_commercial,B154,Cmd_statut,"&lt;&gt;Annulée",Cmd_type,"&lt;&gt;Vente directe"))</f>
        <v/>
      </c>
      <c r="P154" s="40">
        <f>IF(A154="","",SUMIFS(Cmd_montant,Cmd_dateca,"&gt;="&amp;A154,Cmd_dateca,"&lt;="&amp;A154,Cmd_commercial,B154))</f>
        <v/>
      </c>
      <c r="Q154" s="40">
        <f>IF(A154="","",SUMIFS(Enc_montant,Enc_date,"&gt;="&amp;A154,Enc_date,"&lt;="&amp;A154,Enc_commercial,B154))</f>
        <v/>
      </c>
      <c r="R154" s="40">
        <f>IF(A154="","",SUMIFS(Stk_valeur,Stk_date,"&gt;="&amp;A154,Stk_date,"&lt;="&amp;A154,Stk_commercial,B154,Stk_mouvement,"Casse / avarie")+SUMIFS(Stk_valeur,Stk_date,"&gt;="&amp;A154,Stk_date,"&lt;="&amp;A154,Stk_commercial,B154,Stk_mouvement,"Perte / vol"))</f>
        <v/>
      </c>
      <c r="S154" s="36" t="n"/>
      <c r="T154" s="36" t="n"/>
      <c r="U154" s="36" t="n"/>
      <c r="V154" s="36" t="n"/>
    </row>
    <row r="155" ht="18" customHeight="1">
      <c r="A155" s="32" t="n"/>
      <c r="B155" s="33">
        <f>IF(A155="","",Commercial_Id)</f>
        <v/>
      </c>
      <c r="C155" s="34">
        <f>IF(A155="","",CHOOSE(WEEKDAY(A155,2),"Lundi","Mardi","Mercredi","Jeudi","Vendredi","Samedi","Dimanche"))</f>
        <v/>
      </c>
      <c r="D155" s="34">
        <f>IF(A155="","",YEAR(A155-WEEKDAY(A155,2)+4)&amp;"-S"&amp;TEXT(INT((A155-DATE(YEAR(A155-WEEKDAY(A155,2)+4),1,3)+WEEKDAY(DATE(YEAR(A155-WEEKDAY(A155,2)+4),1,3),2)+5)/7),"00"))</f>
        <v/>
      </c>
      <c r="E155" s="35" t="n"/>
      <c r="F155" s="35" t="n"/>
      <c r="G155" s="36" t="n"/>
      <c r="H155" s="37" t="n"/>
      <c r="I155" s="38">
        <f>IF(OR(E155="",F155=""),"",ROUND((F155-E155)*24,1))</f>
        <v/>
      </c>
      <c r="J155" s="39">
        <f>IF(A155="","",COUNTIFS(VC_date,"&gt;="&amp;A155,VC_date,"&lt;="&amp;A155,VC_commercial,B155,VC_type,"Visite sur place"))</f>
        <v/>
      </c>
      <c r="K155" s="39">
        <f>IF(A155="","",COUNTIFS(VC_date,"&gt;="&amp;A155,VC_date,"&lt;="&amp;A155,VC_commercial,B155,VC_type,"&lt;&gt;Visite sur place",VC_type,"&lt;&gt;"))</f>
        <v/>
      </c>
      <c r="L155" s="39">
        <f>IF(A155="","",COUNTIFS(Cl_creation,"&gt;="&amp;A155,Cl_creation,"&lt;="&amp;A155,Cl_commercial,B155))</f>
        <v/>
      </c>
      <c r="M155" s="39">
        <f>IF(A155="","",COUNTIFS(Cl_vente1,"&gt;="&amp;A155,Cl_vente1,"&lt;="&amp;A155,Cl_commercial,B155))</f>
        <v/>
      </c>
      <c r="N155" s="39">
        <f>IF(A155="","",SUMIFS(Cmd_premiere,Cmd_date,"&gt;="&amp;A155,Cmd_date,"&lt;="&amp;A155,Cmd_commercial,B155,Cmd_statut,"&lt;&gt;Annulée",Cmd_type,"&lt;&gt;Vente directe"))</f>
        <v/>
      </c>
      <c r="O155" s="40">
        <f>IF(A155="","",SUMIFS(Cmd_montant,Cmd_date,"&gt;="&amp;A155,Cmd_date,"&lt;="&amp;A155,Cmd_commercial,B155,Cmd_statut,"&lt;&gt;Annulée",Cmd_type,"&lt;&gt;Vente directe"))</f>
        <v/>
      </c>
      <c r="P155" s="40">
        <f>IF(A155="","",SUMIFS(Cmd_montant,Cmd_dateca,"&gt;="&amp;A155,Cmd_dateca,"&lt;="&amp;A155,Cmd_commercial,B155))</f>
        <v/>
      </c>
      <c r="Q155" s="40">
        <f>IF(A155="","",SUMIFS(Enc_montant,Enc_date,"&gt;="&amp;A155,Enc_date,"&lt;="&amp;A155,Enc_commercial,B155))</f>
        <v/>
      </c>
      <c r="R155" s="40">
        <f>IF(A155="","",SUMIFS(Stk_valeur,Stk_date,"&gt;="&amp;A155,Stk_date,"&lt;="&amp;A155,Stk_commercial,B155,Stk_mouvement,"Casse / avarie")+SUMIFS(Stk_valeur,Stk_date,"&gt;="&amp;A155,Stk_date,"&lt;="&amp;A155,Stk_commercial,B155,Stk_mouvement,"Perte / vol"))</f>
        <v/>
      </c>
      <c r="S155" s="36" t="n"/>
      <c r="T155" s="36" t="n"/>
      <c r="U155" s="36" t="n"/>
      <c r="V155" s="36" t="n"/>
    </row>
    <row r="156" ht="18" customHeight="1">
      <c r="A156" s="32" t="n"/>
      <c r="B156" s="33">
        <f>IF(A156="","",Commercial_Id)</f>
        <v/>
      </c>
      <c r="C156" s="34">
        <f>IF(A156="","",CHOOSE(WEEKDAY(A156,2),"Lundi","Mardi","Mercredi","Jeudi","Vendredi","Samedi","Dimanche"))</f>
        <v/>
      </c>
      <c r="D156" s="34">
        <f>IF(A156="","",YEAR(A156-WEEKDAY(A156,2)+4)&amp;"-S"&amp;TEXT(INT((A156-DATE(YEAR(A156-WEEKDAY(A156,2)+4),1,3)+WEEKDAY(DATE(YEAR(A156-WEEKDAY(A156,2)+4),1,3),2)+5)/7),"00"))</f>
        <v/>
      </c>
      <c r="E156" s="35" t="n"/>
      <c r="F156" s="35" t="n"/>
      <c r="G156" s="36" t="n"/>
      <c r="H156" s="37" t="n"/>
      <c r="I156" s="38">
        <f>IF(OR(E156="",F156=""),"",ROUND((F156-E156)*24,1))</f>
        <v/>
      </c>
      <c r="J156" s="39">
        <f>IF(A156="","",COUNTIFS(VC_date,"&gt;="&amp;A156,VC_date,"&lt;="&amp;A156,VC_commercial,B156,VC_type,"Visite sur place"))</f>
        <v/>
      </c>
      <c r="K156" s="39">
        <f>IF(A156="","",COUNTIFS(VC_date,"&gt;="&amp;A156,VC_date,"&lt;="&amp;A156,VC_commercial,B156,VC_type,"&lt;&gt;Visite sur place",VC_type,"&lt;&gt;"))</f>
        <v/>
      </c>
      <c r="L156" s="39">
        <f>IF(A156="","",COUNTIFS(Cl_creation,"&gt;="&amp;A156,Cl_creation,"&lt;="&amp;A156,Cl_commercial,B156))</f>
        <v/>
      </c>
      <c r="M156" s="39">
        <f>IF(A156="","",COUNTIFS(Cl_vente1,"&gt;="&amp;A156,Cl_vente1,"&lt;="&amp;A156,Cl_commercial,B156))</f>
        <v/>
      </c>
      <c r="N156" s="39">
        <f>IF(A156="","",SUMIFS(Cmd_premiere,Cmd_date,"&gt;="&amp;A156,Cmd_date,"&lt;="&amp;A156,Cmd_commercial,B156,Cmd_statut,"&lt;&gt;Annulée",Cmd_type,"&lt;&gt;Vente directe"))</f>
        <v/>
      </c>
      <c r="O156" s="40">
        <f>IF(A156="","",SUMIFS(Cmd_montant,Cmd_date,"&gt;="&amp;A156,Cmd_date,"&lt;="&amp;A156,Cmd_commercial,B156,Cmd_statut,"&lt;&gt;Annulée",Cmd_type,"&lt;&gt;Vente directe"))</f>
        <v/>
      </c>
      <c r="P156" s="40">
        <f>IF(A156="","",SUMIFS(Cmd_montant,Cmd_dateca,"&gt;="&amp;A156,Cmd_dateca,"&lt;="&amp;A156,Cmd_commercial,B156))</f>
        <v/>
      </c>
      <c r="Q156" s="40">
        <f>IF(A156="","",SUMIFS(Enc_montant,Enc_date,"&gt;="&amp;A156,Enc_date,"&lt;="&amp;A156,Enc_commercial,B156))</f>
        <v/>
      </c>
      <c r="R156" s="40">
        <f>IF(A156="","",SUMIFS(Stk_valeur,Stk_date,"&gt;="&amp;A156,Stk_date,"&lt;="&amp;A156,Stk_commercial,B156,Stk_mouvement,"Casse / avarie")+SUMIFS(Stk_valeur,Stk_date,"&gt;="&amp;A156,Stk_date,"&lt;="&amp;A156,Stk_commercial,B156,Stk_mouvement,"Perte / vol"))</f>
        <v/>
      </c>
      <c r="S156" s="36" t="n"/>
      <c r="T156" s="36" t="n"/>
      <c r="U156" s="36" t="n"/>
      <c r="V156" s="36" t="n"/>
    </row>
    <row r="157" ht="18" customHeight="1">
      <c r="A157" s="32" t="n"/>
      <c r="B157" s="33">
        <f>IF(A157="","",Commercial_Id)</f>
        <v/>
      </c>
      <c r="C157" s="34">
        <f>IF(A157="","",CHOOSE(WEEKDAY(A157,2),"Lundi","Mardi","Mercredi","Jeudi","Vendredi","Samedi","Dimanche"))</f>
        <v/>
      </c>
      <c r="D157" s="34">
        <f>IF(A157="","",YEAR(A157-WEEKDAY(A157,2)+4)&amp;"-S"&amp;TEXT(INT((A157-DATE(YEAR(A157-WEEKDAY(A157,2)+4),1,3)+WEEKDAY(DATE(YEAR(A157-WEEKDAY(A157,2)+4),1,3),2)+5)/7),"00"))</f>
        <v/>
      </c>
      <c r="E157" s="35" t="n"/>
      <c r="F157" s="35" t="n"/>
      <c r="G157" s="36" t="n"/>
      <c r="H157" s="37" t="n"/>
      <c r="I157" s="38">
        <f>IF(OR(E157="",F157=""),"",ROUND((F157-E157)*24,1))</f>
        <v/>
      </c>
      <c r="J157" s="39">
        <f>IF(A157="","",COUNTIFS(VC_date,"&gt;="&amp;A157,VC_date,"&lt;="&amp;A157,VC_commercial,B157,VC_type,"Visite sur place"))</f>
        <v/>
      </c>
      <c r="K157" s="39">
        <f>IF(A157="","",COUNTIFS(VC_date,"&gt;="&amp;A157,VC_date,"&lt;="&amp;A157,VC_commercial,B157,VC_type,"&lt;&gt;Visite sur place",VC_type,"&lt;&gt;"))</f>
        <v/>
      </c>
      <c r="L157" s="39">
        <f>IF(A157="","",COUNTIFS(Cl_creation,"&gt;="&amp;A157,Cl_creation,"&lt;="&amp;A157,Cl_commercial,B157))</f>
        <v/>
      </c>
      <c r="M157" s="39">
        <f>IF(A157="","",COUNTIFS(Cl_vente1,"&gt;="&amp;A157,Cl_vente1,"&lt;="&amp;A157,Cl_commercial,B157))</f>
        <v/>
      </c>
      <c r="N157" s="39">
        <f>IF(A157="","",SUMIFS(Cmd_premiere,Cmd_date,"&gt;="&amp;A157,Cmd_date,"&lt;="&amp;A157,Cmd_commercial,B157,Cmd_statut,"&lt;&gt;Annulée",Cmd_type,"&lt;&gt;Vente directe"))</f>
        <v/>
      </c>
      <c r="O157" s="40">
        <f>IF(A157="","",SUMIFS(Cmd_montant,Cmd_date,"&gt;="&amp;A157,Cmd_date,"&lt;="&amp;A157,Cmd_commercial,B157,Cmd_statut,"&lt;&gt;Annulée",Cmd_type,"&lt;&gt;Vente directe"))</f>
        <v/>
      </c>
      <c r="P157" s="40">
        <f>IF(A157="","",SUMIFS(Cmd_montant,Cmd_dateca,"&gt;="&amp;A157,Cmd_dateca,"&lt;="&amp;A157,Cmd_commercial,B157))</f>
        <v/>
      </c>
      <c r="Q157" s="40">
        <f>IF(A157="","",SUMIFS(Enc_montant,Enc_date,"&gt;="&amp;A157,Enc_date,"&lt;="&amp;A157,Enc_commercial,B157))</f>
        <v/>
      </c>
      <c r="R157" s="40">
        <f>IF(A157="","",SUMIFS(Stk_valeur,Stk_date,"&gt;="&amp;A157,Stk_date,"&lt;="&amp;A157,Stk_commercial,B157,Stk_mouvement,"Casse / avarie")+SUMIFS(Stk_valeur,Stk_date,"&gt;="&amp;A157,Stk_date,"&lt;="&amp;A157,Stk_commercial,B157,Stk_mouvement,"Perte / vol"))</f>
        <v/>
      </c>
      <c r="S157" s="36" t="n"/>
      <c r="T157" s="36" t="n"/>
      <c r="U157" s="36" t="n"/>
      <c r="V157" s="36" t="n"/>
    </row>
    <row r="158" ht="18" customHeight="1">
      <c r="A158" s="32" t="n"/>
      <c r="B158" s="33">
        <f>IF(A158="","",Commercial_Id)</f>
        <v/>
      </c>
      <c r="C158" s="34">
        <f>IF(A158="","",CHOOSE(WEEKDAY(A158,2),"Lundi","Mardi","Mercredi","Jeudi","Vendredi","Samedi","Dimanche"))</f>
        <v/>
      </c>
      <c r="D158" s="34">
        <f>IF(A158="","",YEAR(A158-WEEKDAY(A158,2)+4)&amp;"-S"&amp;TEXT(INT((A158-DATE(YEAR(A158-WEEKDAY(A158,2)+4),1,3)+WEEKDAY(DATE(YEAR(A158-WEEKDAY(A158,2)+4),1,3),2)+5)/7),"00"))</f>
        <v/>
      </c>
      <c r="E158" s="35" t="n"/>
      <c r="F158" s="35" t="n"/>
      <c r="G158" s="36" t="n"/>
      <c r="H158" s="37" t="n"/>
      <c r="I158" s="38">
        <f>IF(OR(E158="",F158=""),"",ROUND((F158-E158)*24,1))</f>
        <v/>
      </c>
      <c r="J158" s="39">
        <f>IF(A158="","",COUNTIFS(VC_date,"&gt;="&amp;A158,VC_date,"&lt;="&amp;A158,VC_commercial,B158,VC_type,"Visite sur place"))</f>
        <v/>
      </c>
      <c r="K158" s="39">
        <f>IF(A158="","",COUNTIFS(VC_date,"&gt;="&amp;A158,VC_date,"&lt;="&amp;A158,VC_commercial,B158,VC_type,"&lt;&gt;Visite sur place",VC_type,"&lt;&gt;"))</f>
        <v/>
      </c>
      <c r="L158" s="39">
        <f>IF(A158="","",COUNTIFS(Cl_creation,"&gt;="&amp;A158,Cl_creation,"&lt;="&amp;A158,Cl_commercial,B158))</f>
        <v/>
      </c>
      <c r="M158" s="39">
        <f>IF(A158="","",COUNTIFS(Cl_vente1,"&gt;="&amp;A158,Cl_vente1,"&lt;="&amp;A158,Cl_commercial,B158))</f>
        <v/>
      </c>
      <c r="N158" s="39">
        <f>IF(A158="","",SUMIFS(Cmd_premiere,Cmd_date,"&gt;="&amp;A158,Cmd_date,"&lt;="&amp;A158,Cmd_commercial,B158,Cmd_statut,"&lt;&gt;Annulée",Cmd_type,"&lt;&gt;Vente directe"))</f>
        <v/>
      </c>
      <c r="O158" s="40">
        <f>IF(A158="","",SUMIFS(Cmd_montant,Cmd_date,"&gt;="&amp;A158,Cmd_date,"&lt;="&amp;A158,Cmd_commercial,B158,Cmd_statut,"&lt;&gt;Annulée",Cmd_type,"&lt;&gt;Vente directe"))</f>
        <v/>
      </c>
      <c r="P158" s="40">
        <f>IF(A158="","",SUMIFS(Cmd_montant,Cmd_dateca,"&gt;="&amp;A158,Cmd_dateca,"&lt;="&amp;A158,Cmd_commercial,B158))</f>
        <v/>
      </c>
      <c r="Q158" s="40">
        <f>IF(A158="","",SUMIFS(Enc_montant,Enc_date,"&gt;="&amp;A158,Enc_date,"&lt;="&amp;A158,Enc_commercial,B158))</f>
        <v/>
      </c>
      <c r="R158" s="40">
        <f>IF(A158="","",SUMIFS(Stk_valeur,Stk_date,"&gt;="&amp;A158,Stk_date,"&lt;="&amp;A158,Stk_commercial,B158,Stk_mouvement,"Casse / avarie")+SUMIFS(Stk_valeur,Stk_date,"&gt;="&amp;A158,Stk_date,"&lt;="&amp;A158,Stk_commercial,B158,Stk_mouvement,"Perte / vol"))</f>
        <v/>
      </c>
      <c r="S158" s="36" t="n"/>
      <c r="T158" s="36" t="n"/>
      <c r="U158" s="36" t="n"/>
      <c r="V158" s="36" t="n"/>
    </row>
    <row r="159" ht="18" customHeight="1">
      <c r="A159" s="32" t="n"/>
      <c r="B159" s="33">
        <f>IF(A159="","",Commercial_Id)</f>
        <v/>
      </c>
      <c r="C159" s="34">
        <f>IF(A159="","",CHOOSE(WEEKDAY(A159,2),"Lundi","Mardi","Mercredi","Jeudi","Vendredi","Samedi","Dimanche"))</f>
        <v/>
      </c>
      <c r="D159" s="34">
        <f>IF(A159="","",YEAR(A159-WEEKDAY(A159,2)+4)&amp;"-S"&amp;TEXT(INT((A159-DATE(YEAR(A159-WEEKDAY(A159,2)+4),1,3)+WEEKDAY(DATE(YEAR(A159-WEEKDAY(A159,2)+4),1,3),2)+5)/7),"00"))</f>
        <v/>
      </c>
      <c r="E159" s="35" t="n"/>
      <c r="F159" s="35" t="n"/>
      <c r="G159" s="36" t="n"/>
      <c r="H159" s="37" t="n"/>
      <c r="I159" s="38">
        <f>IF(OR(E159="",F159=""),"",ROUND((F159-E159)*24,1))</f>
        <v/>
      </c>
      <c r="J159" s="39">
        <f>IF(A159="","",COUNTIFS(VC_date,"&gt;="&amp;A159,VC_date,"&lt;="&amp;A159,VC_commercial,B159,VC_type,"Visite sur place"))</f>
        <v/>
      </c>
      <c r="K159" s="39">
        <f>IF(A159="","",COUNTIFS(VC_date,"&gt;="&amp;A159,VC_date,"&lt;="&amp;A159,VC_commercial,B159,VC_type,"&lt;&gt;Visite sur place",VC_type,"&lt;&gt;"))</f>
        <v/>
      </c>
      <c r="L159" s="39">
        <f>IF(A159="","",COUNTIFS(Cl_creation,"&gt;="&amp;A159,Cl_creation,"&lt;="&amp;A159,Cl_commercial,B159))</f>
        <v/>
      </c>
      <c r="M159" s="39">
        <f>IF(A159="","",COUNTIFS(Cl_vente1,"&gt;="&amp;A159,Cl_vente1,"&lt;="&amp;A159,Cl_commercial,B159))</f>
        <v/>
      </c>
      <c r="N159" s="39">
        <f>IF(A159="","",SUMIFS(Cmd_premiere,Cmd_date,"&gt;="&amp;A159,Cmd_date,"&lt;="&amp;A159,Cmd_commercial,B159,Cmd_statut,"&lt;&gt;Annulée",Cmd_type,"&lt;&gt;Vente directe"))</f>
        <v/>
      </c>
      <c r="O159" s="40">
        <f>IF(A159="","",SUMIFS(Cmd_montant,Cmd_date,"&gt;="&amp;A159,Cmd_date,"&lt;="&amp;A159,Cmd_commercial,B159,Cmd_statut,"&lt;&gt;Annulée",Cmd_type,"&lt;&gt;Vente directe"))</f>
        <v/>
      </c>
      <c r="P159" s="40">
        <f>IF(A159="","",SUMIFS(Cmd_montant,Cmd_dateca,"&gt;="&amp;A159,Cmd_dateca,"&lt;="&amp;A159,Cmd_commercial,B159))</f>
        <v/>
      </c>
      <c r="Q159" s="40">
        <f>IF(A159="","",SUMIFS(Enc_montant,Enc_date,"&gt;="&amp;A159,Enc_date,"&lt;="&amp;A159,Enc_commercial,B159))</f>
        <v/>
      </c>
      <c r="R159" s="40">
        <f>IF(A159="","",SUMIFS(Stk_valeur,Stk_date,"&gt;="&amp;A159,Stk_date,"&lt;="&amp;A159,Stk_commercial,B159,Stk_mouvement,"Casse / avarie")+SUMIFS(Stk_valeur,Stk_date,"&gt;="&amp;A159,Stk_date,"&lt;="&amp;A159,Stk_commercial,B159,Stk_mouvement,"Perte / vol"))</f>
        <v/>
      </c>
      <c r="S159" s="36" t="n"/>
      <c r="T159" s="36" t="n"/>
      <c r="U159" s="36" t="n"/>
      <c r="V159" s="36" t="n"/>
    </row>
    <row r="160" ht="18" customHeight="1">
      <c r="A160" s="32" t="n"/>
      <c r="B160" s="33">
        <f>IF(A160="","",Commercial_Id)</f>
        <v/>
      </c>
      <c r="C160" s="34">
        <f>IF(A160="","",CHOOSE(WEEKDAY(A160,2),"Lundi","Mardi","Mercredi","Jeudi","Vendredi","Samedi","Dimanche"))</f>
        <v/>
      </c>
      <c r="D160" s="34">
        <f>IF(A160="","",YEAR(A160-WEEKDAY(A160,2)+4)&amp;"-S"&amp;TEXT(INT((A160-DATE(YEAR(A160-WEEKDAY(A160,2)+4),1,3)+WEEKDAY(DATE(YEAR(A160-WEEKDAY(A160,2)+4),1,3),2)+5)/7),"00"))</f>
        <v/>
      </c>
      <c r="E160" s="35" t="n"/>
      <c r="F160" s="35" t="n"/>
      <c r="G160" s="36" t="n"/>
      <c r="H160" s="37" t="n"/>
      <c r="I160" s="38">
        <f>IF(OR(E160="",F160=""),"",ROUND((F160-E160)*24,1))</f>
        <v/>
      </c>
      <c r="J160" s="39">
        <f>IF(A160="","",COUNTIFS(VC_date,"&gt;="&amp;A160,VC_date,"&lt;="&amp;A160,VC_commercial,B160,VC_type,"Visite sur place"))</f>
        <v/>
      </c>
      <c r="K160" s="39">
        <f>IF(A160="","",COUNTIFS(VC_date,"&gt;="&amp;A160,VC_date,"&lt;="&amp;A160,VC_commercial,B160,VC_type,"&lt;&gt;Visite sur place",VC_type,"&lt;&gt;"))</f>
        <v/>
      </c>
      <c r="L160" s="39">
        <f>IF(A160="","",COUNTIFS(Cl_creation,"&gt;="&amp;A160,Cl_creation,"&lt;="&amp;A160,Cl_commercial,B160))</f>
        <v/>
      </c>
      <c r="M160" s="39">
        <f>IF(A160="","",COUNTIFS(Cl_vente1,"&gt;="&amp;A160,Cl_vente1,"&lt;="&amp;A160,Cl_commercial,B160))</f>
        <v/>
      </c>
      <c r="N160" s="39">
        <f>IF(A160="","",SUMIFS(Cmd_premiere,Cmd_date,"&gt;="&amp;A160,Cmd_date,"&lt;="&amp;A160,Cmd_commercial,B160,Cmd_statut,"&lt;&gt;Annulée",Cmd_type,"&lt;&gt;Vente directe"))</f>
        <v/>
      </c>
      <c r="O160" s="40">
        <f>IF(A160="","",SUMIFS(Cmd_montant,Cmd_date,"&gt;="&amp;A160,Cmd_date,"&lt;="&amp;A160,Cmd_commercial,B160,Cmd_statut,"&lt;&gt;Annulée",Cmd_type,"&lt;&gt;Vente directe"))</f>
        <v/>
      </c>
      <c r="P160" s="40">
        <f>IF(A160="","",SUMIFS(Cmd_montant,Cmd_dateca,"&gt;="&amp;A160,Cmd_dateca,"&lt;="&amp;A160,Cmd_commercial,B160))</f>
        <v/>
      </c>
      <c r="Q160" s="40">
        <f>IF(A160="","",SUMIFS(Enc_montant,Enc_date,"&gt;="&amp;A160,Enc_date,"&lt;="&amp;A160,Enc_commercial,B160))</f>
        <v/>
      </c>
      <c r="R160" s="40">
        <f>IF(A160="","",SUMIFS(Stk_valeur,Stk_date,"&gt;="&amp;A160,Stk_date,"&lt;="&amp;A160,Stk_commercial,B160,Stk_mouvement,"Casse / avarie")+SUMIFS(Stk_valeur,Stk_date,"&gt;="&amp;A160,Stk_date,"&lt;="&amp;A160,Stk_commercial,B160,Stk_mouvement,"Perte / vol"))</f>
        <v/>
      </c>
      <c r="S160" s="36" t="n"/>
      <c r="T160" s="36" t="n"/>
      <c r="U160" s="36" t="n"/>
      <c r="V160" s="36" t="n"/>
    </row>
    <row r="161" ht="18" customHeight="1">
      <c r="A161" s="32" t="n"/>
      <c r="B161" s="33">
        <f>IF(A161="","",Commercial_Id)</f>
        <v/>
      </c>
      <c r="C161" s="34">
        <f>IF(A161="","",CHOOSE(WEEKDAY(A161,2),"Lundi","Mardi","Mercredi","Jeudi","Vendredi","Samedi","Dimanche"))</f>
        <v/>
      </c>
      <c r="D161" s="34">
        <f>IF(A161="","",YEAR(A161-WEEKDAY(A161,2)+4)&amp;"-S"&amp;TEXT(INT((A161-DATE(YEAR(A161-WEEKDAY(A161,2)+4),1,3)+WEEKDAY(DATE(YEAR(A161-WEEKDAY(A161,2)+4),1,3),2)+5)/7),"00"))</f>
        <v/>
      </c>
      <c r="E161" s="35" t="n"/>
      <c r="F161" s="35" t="n"/>
      <c r="G161" s="36" t="n"/>
      <c r="H161" s="37" t="n"/>
      <c r="I161" s="38">
        <f>IF(OR(E161="",F161=""),"",ROUND((F161-E161)*24,1))</f>
        <v/>
      </c>
      <c r="J161" s="39">
        <f>IF(A161="","",COUNTIFS(VC_date,"&gt;="&amp;A161,VC_date,"&lt;="&amp;A161,VC_commercial,B161,VC_type,"Visite sur place"))</f>
        <v/>
      </c>
      <c r="K161" s="39">
        <f>IF(A161="","",COUNTIFS(VC_date,"&gt;="&amp;A161,VC_date,"&lt;="&amp;A161,VC_commercial,B161,VC_type,"&lt;&gt;Visite sur place",VC_type,"&lt;&gt;"))</f>
        <v/>
      </c>
      <c r="L161" s="39">
        <f>IF(A161="","",COUNTIFS(Cl_creation,"&gt;="&amp;A161,Cl_creation,"&lt;="&amp;A161,Cl_commercial,B161))</f>
        <v/>
      </c>
      <c r="M161" s="39">
        <f>IF(A161="","",COUNTIFS(Cl_vente1,"&gt;="&amp;A161,Cl_vente1,"&lt;="&amp;A161,Cl_commercial,B161))</f>
        <v/>
      </c>
      <c r="N161" s="39">
        <f>IF(A161="","",SUMIFS(Cmd_premiere,Cmd_date,"&gt;="&amp;A161,Cmd_date,"&lt;="&amp;A161,Cmd_commercial,B161,Cmd_statut,"&lt;&gt;Annulée",Cmd_type,"&lt;&gt;Vente directe"))</f>
        <v/>
      </c>
      <c r="O161" s="40">
        <f>IF(A161="","",SUMIFS(Cmd_montant,Cmd_date,"&gt;="&amp;A161,Cmd_date,"&lt;="&amp;A161,Cmd_commercial,B161,Cmd_statut,"&lt;&gt;Annulée",Cmd_type,"&lt;&gt;Vente directe"))</f>
        <v/>
      </c>
      <c r="P161" s="40">
        <f>IF(A161="","",SUMIFS(Cmd_montant,Cmd_dateca,"&gt;="&amp;A161,Cmd_dateca,"&lt;="&amp;A161,Cmd_commercial,B161))</f>
        <v/>
      </c>
      <c r="Q161" s="40">
        <f>IF(A161="","",SUMIFS(Enc_montant,Enc_date,"&gt;="&amp;A161,Enc_date,"&lt;="&amp;A161,Enc_commercial,B161))</f>
        <v/>
      </c>
      <c r="R161" s="40">
        <f>IF(A161="","",SUMIFS(Stk_valeur,Stk_date,"&gt;="&amp;A161,Stk_date,"&lt;="&amp;A161,Stk_commercial,B161,Stk_mouvement,"Casse / avarie")+SUMIFS(Stk_valeur,Stk_date,"&gt;="&amp;A161,Stk_date,"&lt;="&amp;A161,Stk_commercial,B161,Stk_mouvement,"Perte / vol"))</f>
        <v/>
      </c>
      <c r="S161" s="36" t="n"/>
      <c r="T161" s="36" t="n"/>
      <c r="U161" s="36" t="n"/>
      <c r="V161" s="36" t="n"/>
    </row>
    <row r="162" ht="18" customHeight="1">
      <c r="A162" s="32" t="n"/>
      <c r="B162" s="33">
        <f>IF(A162="","",Commercial_Id)</f>
        <v/>
      </c>
      <c r="C162" s="34">
        <f>IF(A162="","",CHOOSE(WEEKDAY(A162,2),"Lundi","Mardi","Mercredi","Jeudi","Vendredi","Samedi","Dimanche"))</f>
        <v/>
      </c>
      <c r="D162" s="34">
        <f>IF(A162="","",YEAR(A162-WEEKDAY(A162,2)+4)&amp;"-S"&amp;TEXT(INT((A162-DATE(YEAR(A162-WEEKDAY(A162,2)+4),1,3)+WEEKDAY(DATE(YEAR(A162-WEEKDAY(A162,2)+4),1,3),2)+5)/7),"00"))</f>
        <v/>
      </c>
      <c r="E162" s="35" t="n"/>
      <c r="F162" s="35" t="n"/>
      <c r="G162" s="36" t="n"/>
      <c r="H162" s="37" t="n"/>
      <c r="I162" s="38">
        <f>IF(OR(E162="",F162=""),"",ROUND((F162-E162)*24,1))</f>
        <v/>
      </c>
      <c r="J162" s="39">
        <f>IF(A162="","",COUNTIFS(VC_date,"&gt;="&amp;A162,VC_date,"&lt;="&amp;A162,VC_commercial,B162,VC_type,"Visite sur place"))</f>
        <v/>
      </c>
      <c r="K162" s="39">
        <f>IF(A162="","",COUNTIFS(VC_date,"&gt;="&amp;A162,VC_date,"&lt;="&amp;A162,VC_commercial,B162,VC_type,"&lt;&gt;Visite sur place",VC_type,"&lt;&gt;"))</f>
        <v/>
      </c>
      <c r="L162" s="39">
        <f>IF(A162="","",COUNTIFS(Cl_creation,"&gt;="&amp;A162,Cl_creation,"&lt;="&amp;A162,Cl_commercial,B162))</f>
        <v/>
      </c>
      <c r="M162" s="39">
        <f>IF(A162="","",COUNTIFS(Cl_vente1,"&gt;="&amp;A162,Cl_vente1,"&lt;="&amp;A162,Cl_commercial,B162))</f>
        <v/>
      </c>
      <c r="N162" s="39">
        <f>IF(A162="","",SUMIFS(Cmd_premiere,Cmd_date,"&gt;="&amp;A162,Cmd_date,"&lt;="&amp;A162,Cmd_commercial,B162,Cmd_statut,"&lt;&gt;Annulée",Cmd_type,"&lt;&gt;Vente directe"))</f>
        <v/>
      </c>
      <c r="O162" s="40">
        <f>IF(A162="","",SUMIFS(Cmd_montant,Cmd_date,"&gt;="&amp;A162,Cmd_date,"&lt;="&amp;A162,Cmd_commercial,B162,Cmd_statut,"&lt;&gt;Annulée",Cmd_type,"&lt;&gt;Vente directe"))</f>
        <v/>
      </c>
      <c r="P162" s="40">
        <f>IF(A162="","",SUMIFS(Cmd_montant,Cmd_dateca,"&gt;="&amp;A162,Cmd_dateca,"&lt;="&amp;A162,Cmd_commercial,B162))</f>
        <v/>
      </c>
      <c r="Q162" s="40">
        <f>IF(A162="","",SUMIFS(Enc_montant,Enc_date,"&gt;="&amp;A162,Enc_date,"&lt;="&amp;A162,Enc_commercial,B162))</f>
        <v/>
      </c>
      <c r="R162" s="40">
        <f>IF(A162="","",SUMIFS(Stk_valeur,Stk_date,"&gt;="&amp;A162,Stk_date,"&lt;="&amp;A162,Stk_commercial,B162,Stk_mouvement,"Casse / avarie")+SUMIFS(Stk_valeur,Stk_date,"&gt;="&amp;A162,Stk_date,"&lt;="&amp;A162,Stk_commercial,B162,Stk_mouvement,"Perte / vol"))</f>
        <v/>
      </c>
      <c r="S162" s="36" t="n"/>
      <c r="T162" s="36" t="n"/>
      <c r="U162" s="36" t="n"/>
      <c r="V162" s="36" t="n"/>
    </row>
    <row r="163" ht="18" customHeight="1">
      <c r="A163" s="32" t="n"/>
      <c r="B163" s="33">
        <f>IF(A163="","",Commercial_Id)</f>
        <v/>
      </c>
      <c r="C163" s="34">
        <f>IF(A163="","",CHOOSE(WEEKDAY(A163,2),"Lundi","Mardi","Mercredi","Jeudi","Vendredi","Samedi","Dimanche"))</f>
        <v/>
      </c>
      <c r="D163" s="34">
        <f>IF(A163="","",YEAR(A163-WEEKDAY(A163,2)+4)&amp;"-S"&amp;TEXT(INT((A163-DATE(YEAR(A163-WEEKDAY(A163,2)+4),1,3)+WEEKDAY(DATE(YEAR(A163-WEEKDAY(A163,2)+4),1,3),2)+5)/7),"00"))</f>
        <v/>
      </c>
      <c r="E163" s="35" t="n"/>
      <c r="F163" s="35" t="n"/>
      <c r="G163" s="36" t="n"/>
      <c r="H163" s="37" t="n"/>
      <c r="I163" s="38">
        <f>IF(OR(E163="",F163=""),"",ROUND((F163-E163)*24,1))</f>
        <v/>
      </c>
      <c r="J163" s="39">
        <f>IF(A163="","",COUNTIFS(VC_date,"&gt;="&amp;A163,VC_date,"&lt;="&amp;A163,VC_commercial,B163,VC_type,"Visite sur place"))</f>
        <v/>
      </c>
      <c r="K163" s="39">
        <f>IF(A163="","",COUNTIFS(VC_date,"&gt;="&amp;A163,VC_date,"&lt;="&amp;A163,VC_commercial,B163,VC_type,"&lt;&gt;Visite sur place",VC_type,"&lt;&gt;"))</f>
        <v/>
      </c>
      <c r="L163" s="39">
        <f>IF(A163="","",COUNTIFS(Cl_creation,"&gt;="&amp;A163,Cl_creation,"&lt;="&amp;A163,Cl_commercial,B163))</f>
        <v/>
      </c>
      <c r="M163" s="39">
        <f>IF(A163="","",COUNTIFS(Cl_vente1,"&gt;="&amp;A163,Cl_vente1,"&lt;="&amp;A163,Cl_commercial,B163))</f>
        <v/>
      </c>
      <c r="N163" s="39">
        <f>IF(A163="","",SUMIFS(Cmd_premiere,Cmd_date,"&gt;="&amp;A163,Cmd_date,"&lt;="&amp;A163,Cmd_commercial,B163,Cmd_statut,"&lt;&gt;Annulée",Cmd_type,"&lt;&gt;Vente directe"))</f>
        <v/>
      </c>
      <c r="O163" s="40">
        <f>IF(A163="","",SUMIFS(Cmd_montant,Cmd_date,"&gt;="&amp;A163,Cmd_date,"&lt;="&amp;A163,Cmd_commercial,B163,Cmd_statut,"&lt;&gt;Annulée",Cmd_type,"&lt;&gt;Vente directe"))</f>
        <v/>
      </c>
      <c r="P163" s="40">
        <f>IF(A163="","",SUMIFS(Cmd_montant,Cmd_dateca,"&gt;="&amp;A163,Cmd_dateca,"&lt;="&amp;A163,Cmd_commercial,B163))</f>
        <v/>
      </c>
      <c r="Q163" s="40">
        <f>IF(A163="","",SUMIFS(Enc_montant,Enc_date,"&gt;="&amp;A163,Enc_date,"&lt;="&amp;A163,Enc_commercial,B163))</f>
        <v/>
      </c>
      <c r="R163" s="40">
        <f>IF(A163="","",SUMIFS(Stk_valeur,Stk_date,"&gt;="&amp;A163,Stk_date,"&lt;="&amp;A163,Stk_commercial,B163,Stk_mouvement,"Casse / avarie")+SUMIFS(Stk_valeur,Stk_date,"&gt;="&amp;A163,Stk_date,"&lt;="&amp;A163,Stk_commercial,B163,Stk_mouvement,"Perte / vol"))</f>
        <v/>
      </c>
      <c r="S163" s="36" t="n"/>
      <c r="T163" s="36" t="n"/>
      <c r="U163" s="36" t="n"/>
      <c r="V163" s="36" t="n"/>
    </row>
    <row r="164" ht="18" customHeight="1">
      <c r="A164" s="32" t="n"/>
      <c r="B164" s="33">
        <f>IF(A164="","",Commercial_Id)</f>
        <v/>
      </c>
      <c r="C164" s="34">
        <f>IF(A164="","",CHOOSE(WEEKDAY(A164,2),"Lundi","Mardi","Mercredi","Jeudi","Vendredi","Samedi","Dimanche"))</f>
        <v/>
      </c>
      <c r="D164" s="34">
        <f>IF(A164="","",YEAR(A164-WEEKDAY(A164,2)+4)&amp;"-S"&amp;TEXT(INT((A164-DATE(YEAR(A164-WEEKDAY(A164,2)+4),1,3)+WEEKDAY(DATE(YEAR(A164-WEEKDAY(A164,2)+4),1,3),2)+5)/7),"00"))</f>
        <v/>
      </c>
      <c r="E164" s="35" t="n"/>
      <c r="F164" s="35" t="n"/>
      <c r="G164" s="36" t="n"/>
      <c r="H164" s="37" t="n"/>
      <c r="I164" s="38">
        <f>IF(OR(E164="",F164=""),"",ROUND((F164-E164)*24,1))</f>
        <v/>
      </c>
      <c r="J164" s="39">
        <f>IF(A164="","",COUNTIFS(VC_date,"&gt;="&amp;A164,VC_date,"&lt;="&amp;A164,VC_commercial,B164,VC_type,"Visite sur place"))</f>
        <v/>
      </c>
      <c r="K164" s="39">
        <f>IF(A164="","",COUNTIFS(VC_date,"&gt;="&amp;A164,VC_date,"&lt;="&amp;A164,VC_commercial,B164,VC_type,"&lt;&gt;Visite sur place",VC_type,"&lt;&gt;"))</f>
        <v/>
      </c>
      <c r="L164" s="39">
        <f>IF(A164="","",COUNTIFS(Cl_creation,"&gt;="&amp;A164,Cl_creation,"&lt;="&amp;A164,Cl_commercial,B164))</f>
        <v/>
      </c>
      <c r="M164" s="39">
        <f>IF(A164="","",COUNTIFS(Cl_vente1,"&gt;="&amp;A164,Cl_vente1,"&lt;="&amp;A164,Cl_commercial,B164))</f>
        <v/>
      </c>
      <c r="N164" s="39">
        <f>IF(A164="","",SUMIFS(Cmd_premiere,Cmd_date,"&gt;="&amp;A164,Cmd_date,"&lt;="&amp;A164,Cmd_commercial,B164,Cmd_statut,"&lt;&gt;Annulée",Cmd_type,"&lt;&gt;Vente directe"))</f>
        <v/>
      </c>
      <c r="O164" s="40">
        <f>IF(A164="","",SUMIFS(Cmd_montant,Cmd_date,"&gt;="&amp;A164,Cmd_date,"&lt;="&amp;A164,Cmd_commercial,B164,Cmd_statut,"&lt;&gt;Annulée",Cmd_type,"&lt;&gt;Vente directe"))</f>
        <v/>
      </c>
      <c r="P164" s="40">
        <f>IF(A164="","",SUMIFS(Cmd_montant,Cmd_dateca,"&gt;="&amp;A164,Cmd_dateca,"&lt;="&amp;A164,Cmd_commercial,B164))</f>
        <v/>
      </c>
      <c r="Q164" s="40">
        <f>IF(A164="","",SUMIFS(Enc_montant,Enc_date,"&gt;="&amp;A164,Enc_date,"&lt;="&amp;A164,Enc_commercial,B164))</f>
        <v/>
      </c>
      <c r="R164" s="40">
        <f>IF(A164="","",SUMIFS(Stk_valeur,Stk_date,"&gt;="&amp;A164,Stk_date,"&lt;="&amp;A164,Stk_commercial,B164,Stk_mouvement,"Casse / avarie")+SUMIFS(Stk_valeur,Stk_date,"&gt;="&amp;A164,Stk_date,"&lt;="&amp;A164,Stk_commercial,B164,Stk_mouvement,"Perte / vol"))</f>
        <v/>
      </c>
      <c r="S164" s="36" t="n"/>
      <c r="T164" s="36" t="n"/>
      <c r="U164" s="36" t="n"/>
      <c r="V164" s="36" t="n"/>
    </row>
    <row r="165" ht="18" customHeight="1">
      <c r="A165" s="32" t="n"/>
      <c r="B165" s="33">
        <f>IF(A165="","",Commercial_Id)</f>
        <v/>
      </c>
      <c r="C165" s="34">
        <f>IF(A165="","",CHOOSE(WEEKDAY(A165,2),"Lundi","Mardi","Mercredi","Jeudi","Vendredi","Samedi","Dimanche"))</f>
        <v/>
      </c>
      <c r="D165" s="34">
        <f>IF(A165="","",YEAR(A165-WEEKDAY(A165,2)+4)&amp;"-S"&amp;TEXT(INT((A165-DATE(YEAR(A165-WEEKDAY(A165,2)+4),1,3)+WEEKDAY(DATE(YEAR(A165-WEEKDAY(A165,2)+4),1,3),2)+5)/7),"00"))</f>
        <v/>
      </c>
      <c r="E165" s="35" t="n"/>
      <c r="F165" s="35" t="n"/>
      <c r="G165" s="36" t="n"/>
      <c r="H165" s="37" t="n"/>
      <c r="I165" s="38">
        <f>IF(OR(E165="",F165=""),"",ROUND((F165-E165)*24,1))</f>
        <v/>
      </c>
      <c r="J165" s="39">
        <f>IF(A165="","",COUNTIFS(VC_date,"&gt;="&amp;A165,VC_date,"&lt;="&amp;A165,VC_commercial,B165,VC_type,"Visite sur place"))</f>
        <v/>
      </c>
      <c r="K165" s="39">
        <f>IF(A165="","",COUNTIFS(VC_date,"&gt;="&amp;A165,VC_date,"&lt;="&amp;A165,VC_commercial,B165,VC_type,"&lt;&gt;Visite sur place",VC_type,"&lt;&gt;"))</f>
        <v/>
      </c>
      <c r="L165" s="39">
        <f>IF(A165="","",COUNTIFS(Cl_creation,"&gt;="&amp;A165,Cl_creation,"&lt;="&amp;A165,Cl_commercial,B165))</f>
        <v/>
      </c>
      <c r="M165" s="39">
        <f>IF(A165="","",COUNTIFS(Cl_vente1,"&gt;="&amp;A165,Cl_vente1,"&lt;="&amp;A165,Cl_commercial,B165))</f>
        <v/>
      </c>
      <c r="N165" s="39">
        <f>IF(A165="","",SUMIFS(Cmd_premiere,Cmd_date,"&gt;="&amp;A165,Cmd_date,"&lt;="&amp;A165,Cmd_commercial,B165,Cmd_statut,"&lt;&gt;Annulée",Cmd_type,"&lt;&gt;Vente directe"))</f>
        <v/>
      </c>
      <c r="O165" s="40">
        <f>IF(A165="","",SUMIFS(Cmd_montant,Cmd_date,"&gt;="&amp;A165,Cmd_date,"&lt;="&amp;A165,Cmd_commercial,B165,Cmd_statut,"&lt;&gt;Annulée",Cmd_type,"&lt;&gt;Vente directe"))</f>
        <v/>
      </c>
      <c r="P165" s="40">
        <f>IF(A165="","",SUMIFS(Cmd_montant,Cmd_dateca,"&gt;="&amp;A165,Cmd_dateca,"&lt;="&amp;A165,Cmd_commercial,B165))</f>
        <v/>
      </c>
      <c r="Q165" s="40">
        <f>IF(A165="","",SUMIFS(Enc_montant,Enc_date,"&gt;="&amp;A165,Enc_date,"&lt;="&amp;A165,Enc_commercial,B165))</f>
        <v/>
      </c>
      <c r="R165" s="40">
        <f>IF(A165="","",SUMIFS(Stk_valeur,Stk_date,"&gt;="&amp;A165,Stk_date,"&lt;="&amp;A165,Stk_commercial,B165,Stk_mouvement,"Casse / avarie")+SUMIFS(Stk_valeur,Stk_date,"&gt;="&amp;A165,Stk_date,"&lt;="&amp;A165,Stk_commercial,B165,Stk_mouvement,"Perte / vol"))</f>
        <v/>
      </c>
      <c r="S165" s="36" t="n"/>
      <c r="T165" s="36" t="n"/>
      <c r="U165" s="36" t="n"/>
      <c r="V165" s="36" t="n"/>
    </row>
    <row r="166" ht="18" customHeight="1">
      <c r="A166" s="32" t="n"/>
      <c r="B166" s="33">
        <f>IF(A166="","",Commercial_Id)</f>
        <v/>
      </c>
      <c r="C166" s="34">
        <f>IF(A166="","",CHOOSE(WEEKDAY(A166,2),"Lundi","Mardi","Mercredi","Jeudi","Vendredi","Samedi","Dimanche"))</f>
        <v/>
      </c>
      <c r="D166" s="34">
        <f>IF(A166="","",YEAR(A166-WEEKDAY(A166,2)+4)&amp;"-S"&amp;TEXT(INT((A166-DATE(YEAR(A166-WEEKDAY(A166,2)+4),1,3)+WEEKDAY(DATE(YEAR(A166-WEEKDAY(A166,2)+4),1,3),2)+5)/7),"00"))</f>
        <v/>
      </c>
      <c r="E166" s="35" t="n"/>
      <c r="F166" s="35" t="n"/>
      <c r="G166" s="36" t="n"/>
      <c r="H166" s="37" t="n"/>
      <c r="I166" s="38">
        <f>IF(OR(E166="",F166=""),"",ROUND((F166-E166)*24,1))</f>
        <v/>
      </c>
      <c r="J166" s="39">
        <f>IF(A166="","",COUNTIFS(VC_date,"&gt;="&amp;A166,VC_date,"&lt;="&amp;A166,VC_commercial,B166,VC_type,"Visite sur place"))</f>
        <v/>
      </c>
      <c r="K166" s="39">
        <f>IF(A166="","",COUNTIFS(VC_date,"&gt;="&amp;A166,VC_date,"&lt;="&amp;A166,VC_commercial,B166,VC_type,"&lt;&gt;Visite sur place",VC_type,"&lt;&gt;"))</f>
        <v/>
      </c>
      <c r="L166" s="39">
        <f>IF(A166="","",COUNTIFS(Cl_creation,"&gt;="&amp;A166,Cl_creation,"&lt;="&amp;A166,Cl_commercial,B166))</f>
        <v/>
      </c>
      <c r="M166" s="39">
        <f>IF(A166="","",COUNTIFS(Cl_vente1,"&gt;="&amp;A166,Cl_vente1,"&lt;="&amp;A166,Cl_commercial,B166))</f>
        <v/>
      </c>
      <c r="N166" s="39">
        <f>IF(A166="","",SUMIFS(Cmd_premiere,Cmd_date,"&gt;="&amp;A166,Cmd_date,"&lt;="&amp;A166,Cmd_commercial,B166,Cmd_statut,"&lt;&gt;Annulée",Cmd_type,"&lt;&gt;Vente directe"))</f>
        <v/>
      </c>
      <c r="O166" s="40">
        <f>IF(A166="","",SUMIFS(Cmd_montant,Cmd_date,"&gt;="&amp;A166,Cmd_date,"&lt;="&amp;A166,Cmd_commercial,B166,Cmd_statut,"&lt;&gt;Annulée",Cmd_type,"&lt;&gt;Vente directe"))</f>
        <v/>
      </c>
      <c r="P166" s="40">
        <f>IF(A166="","",SUMIFS(Cmd_montant,Cmd_dateca,"&gt;="&amp;A166,Cmd_dateca,"&lt;="&amp;A166,Cmd_commercial,B166))</f>
        <v/>
      </c>
      <c r="Q166" s="40">
        <f>IF(A166="","",SUMIFS(Enc_montant,Enc_date,"&gt;="&amp;A166,Enc_date,"&lt;="&amp;A166,Enc_commercial,B166))</f>
        <v/>
      </c>
      <c r="R166" s="40">
        <f>IF(A166="","",SUMIFS(Stk_valeur,Stk_date,"&gt;="&amp;A166,Stk_date,"&lt;="&amp;A166,Stk_commercial,B166,Stk_mouvement,"Casse / avarie")+SUMIFS(Stk_valeur,Stk_date,"&gt;="&amp;A166,Stk_date,"&lt;="&amp;A166,Stk_commercial,B166,Stk_mouvement,"Perte / vol"))</f>
        <v/>
      </c>
      <c r="S166" s="36" t="n"/>
      <c r="T166" s="36" t="n"/>
      <c r="U166" s="36" t="n"/>
      <c r="V166" s="36" t="n"/>
    </row>
    <row r="167" ht="18" customHeight="1">
      <c r="A167" s="32" t="n"/>
      <c r="B167" s="33">
        <f>IF(A167="","",Commercial_Id)</f>
        <v/>
      </c>
      <c r="C167" s="34">
        <f>IF(A167="","",CHOOSE(WEEKDAY(A167,2),"Lundi","Mardi","Mercredi","Jeudi","Vendredi","Samedi","Dimanche"))</f>
        <v/>
      </c>
      <c r="D167" s="34">
        <f>IF(A167="","",YEAR(A167-WEEKDAY(A167,2)+4)&amp;"-S"&amp;TEXT(INT((A167-DATE(YEAR(A167-WEEKDAY(A167,2)+4),1,3)+WEEKDAY(DATE(YEAR(A167-WEEKDAY(A167,2)+4),1,3),2)+5)/7),"00"))</f>
        <v/>
      </c>
      <c r="E167" s="35" t="n"/>
      <c r="F167" s="35" t="n"/>
      <c r="G167" s="36" t="n"/>
      <c r="H167" s="37" t="n"/>
      <c r="I167" s="38">
        <f>IF(OR(E167="",F167=""),"",ROUND((F167-E167)*24,1))</f>
        <v/>
      </c>
      <c r="J167" s="39">
        <f>IF(A167="","",COUNTIFS(VC_date,"&gt;="&amp;A167,VC_date,"&lt;="&amp;A167,VC_commercial,B167,VC_type,"Visite sur place"))</f>
        <v/>
      </c>
      <c r="K167" s="39">
        <f>IF(A167="","",COUNTIFS(VC_date,"&gt;="&amp;A167,VC_date,"&lt;="&amp;A167,VC_commercial,B167,VC_type,"&lt;&gt;Visite sur place",VC_type,"&lt;&gt;"))</f>
        <v/>
      </c>
      <c r="L167" s="39">
        <f>IF(A167="","",COUNTIFS(Cl_creation,"&gt;="&amp;A167,Cl_creation,"&lt;="&amp;A167,Cl_commercial,B167))</f>
        <v/>
      </c>
      <c r="M167" s="39">
        <f>IF(A167="","",COUNTIFS(Cl_vente1,"&gt;="&amp;A167,Cl_vente1,"&lt;="&amp;A167,Cl_commercial,B167))</f>
        <v/>
      </c>
      <c r="N167" s="39">
        <f>IF(A167="","",SUMIFS(Cmd_premiere,Cmd_date,"&gt;="&amp;A167,Cmd_date,"&lt;="&amp;A167,Cmd_commercial,B167,Cmd_statut,"&lt;&gt;Annulée",Cmd_type,"&lt;&gt;Vente directe"))</f>
        <v/>
      </c>
      <c r="O167" s="40">
        <f>IF(A167="","",SUMIFS(Cmd_montant,Cmd_date,"&gt;="&amp;A167,Cmd_date,"&lt;="&amp;A167,Cmd_commercial,B167,Cmd_statut,"&lt;&gt;Annulée",Cmd_type,"&lt;&gt;Vente directe"))</f>
        <v/>
      </c>
      <c r="P167" s="40">
        <f>IF(A167="","",SUMIFS(Cmd_montant,Cmd_dateca,"&gt;="&amp;A167,Cmd_dateca,"&lt;="&amp;A167,Cmd_commercial,B167))</f>
        <v/>
      </c>
      <c r="Q167" s="40">
        <f>IF(A167="","",SUMIFS(Enc_montant,Enc_date,"&gt;="&amp;A167,Enc_date,"&lt;="&amp;A167,Enc_commercial,B167))</f>
        <v/>
      </c>
      <c r="R167" s="40">
        <f>IF(A167="","",SUMIFS(Stk_valeur,Stk_date,"&gt;="&amp;A167,Stk_date,"&lt;="&amp;A167,Stk_commercial,B167,Stk_mouvement,"Casse / avarie")+SUMIFS(Stk_valeur,Stk_date,"&gt;="&amp;A167,Stk_date,"&lt;="&amp;A167,Stk_commercial,B167,Stk_mouvement,"Perte / vol"))</f>
        <v/>
      </c>
      <c r="S167" s="36" t="n"/>
      <c r="T167" s="36" t="n"/>
      <c r="U167" s="36" t="n"/>
      <c r="V167" s="36" t="n"/>
    </row>
    <row r="168" ht="18" customHeight="1">
      <c r="A168" s="32" t="n"/>
      <c r="B168" s="33">
        <f>IF(A168="","",Commercial_Id)</f>
        <v/>
      </c>
      <c r="C168" s="34">
        <f>IF(A168="","",CHOOSE(WEEKDAY(A168,2),"Lundi","Mardi","Mercredi","Jeudi","Vendredi","Samedi","Dimanche"))</f>
        <v/>
      </c>
      <c r="D168" s="34">
        <f>IF(A168="","",YEAR(A168-WEEKDAY(A168,2)+4)&amp;"-S"&amp;TEXT(INT((A168-DATE(YEAR(A168-WEEKDAY(A168,2)+4),1,3)+WEEKDAY(DATE(YEAR(A168-WEEKDAY(A168,2)+4),1,3),2)+5)/7),"00"))</f>
        <v/>
      </c>
      <c r="E168" s="35" t="n"/>
      <c r="F168" s="35" t="n"/>
      <c r="G168" s="36" t="n"/>
      <c r="H168" s="37" t="n"/>
      <c r="I168" s="38">
        <f>IF(OR(E168="",F168=""),"",ROUND((F168-E168)*24,1))</f>
        <v/>
      </c>
      <c r="J168" s="39">
        <f>IF(A168="","",COUNTIFS(VC_date,"&gt;="&amp;A168,VC_date,"&lt;="&amp;A168,VC_commercial,B168,VC_type,"Visite sur place"))</f>
        <v/>
      </c>
      <c r="K168" s="39">
        <f>IF(A168="","",COUNTIFS(VC_date,"&gt;="&amp;A168,VC_date,"&lt;="&amp;A168,VC_commercial,B168,VC_type,"&lt;&gt;Visite sur place",VC_type,"&lt;&gt;"))</f>
        <v/>
      </c>
      <c r="L168" s="39">
        <f>IF(A168="","",COUNTIFS(Cl_creation,"&gt;="&amp;A168,Cl_creation,"&lt;="&amp;A168,Cl_commercial,B168))</f>
        <v/>
      </c>
      <c r="M168" s="39">
        <f>IF(A168="","",COUNTIFS(Cl_vente1,"&gt;="&amp;A168,Cl_vente1,"&lt;="&amp;A168,Cl_commercial,B168))</f>
        <v/>
      </c>
      <c r="N168" s="39">
        <f>IF(A168="","",SUMIFS(Cmd_premiere,Cmd_date,"&gt;="&amp;A168,Cmd_date,"&lt;="&amp;A168,Cmd_commercial,B168,Cmd_statut,"&lt;&gt;Annulée",Cmd_type,"&lt;&gt;Vente directe"))</f>
        <v/>
      </c>
      <c r="O168" s="40">
        <f>IF(A168="","",SUMIFS(Cmd_montant,Cmd_date,"&gt;="&amp;A168,Cmd_date,"&lt;="&amp;A168,Cmd_commercial,B168,Cmd_statut,"&lt;&gt;Annulée",Cmd_type,"&lt;&gt;Vente directe"))</f>
        <v/>
      </c>
      <c r="P168" s="40">
        <f>IF(A168="","",SUMIFS(Cmd_montant,Cmd_dateca,"&gt;="&amp;A168,Cmd_dateca,"&lt;="&amp;A168,Cmd_commercial,B168))</f>
        <v/>
      </c>
      <c r="Q168" s="40">
        <f>IF(A168="","",SUMIFS(Enc_montant,Enc_date,"&gt;="&amp;A168,Enc_date,"&lt;="&amp;A168,Enc_commercial,B168))</f>
        <v/>
      </c>
      <c r="R168" s="40">
        <f>IF(A168="","",SUMIFS(Stk_valeur,Stk_date,"&gt;="&amp;A168,Stk_date,"&lt;="&amp;A168,Stk_commercial,B168,Stk_mouvement,"Casse / avarie")+SUMIFS(Stk_valeur,Stk_date,"&gt;="&amp;A168,Stk_date,"&lt;="&amp;A168,Stk_commercial,B168,Stk_mouvement,"Perte / vol"))</f>
        <v/>
      </c>
      <c r="S168" s="36" t="n"/>
      <c r="T168" s="36" t="n"/>
      <c r="U168" s="36" t="n"/>
      <c r="V168" s="36" t="n"/>
    </row>
    <row r="169" ht="18" customHeight="1">
      <c r="A169" s="32" t="n"/>
      <c r="B169" s="33">
        <f>IF(A169="","",Commercial_Id)</f>
        <v/>
      </c>
      <c r="C169" s="34">
        <f>IF(A169="","",CHOOSE(WEEKDAY(A169,2),"Lundi","Mardi","Mercredi","Jeudi","Vendredi","Samedi","Dimanche"))</f>
        <v/>
      </c>
      <c r="D169" s="34">
        <f>IF(A169="","",YEAR(A169-WEEKDAY(A169,2)+4)&amp;"-S"&amp;TEXT(INT((A169-DATE(YEAR(A169-WEEKDAY(A169,2)+4),1,3)+WEEKDAY(DATE(YEAR(A169-WEEKDAY(A169,2)+4),1,3),2)+5)/7),"00"))</f>
        <v/>
      </c>
      <c r="E169" s="35" t="n"/>
      <c r="F169" s="35" t="n"/>
      <c r="G169" s="36" t="n"/>
      <c r="H169" s="37" t="n"/>
      <c r="I169" s="38">
        <f>IF(OR(E169="",F169=""),"",ROUND((F169-E169)*24,1))</f>
        <v/>
      </c>
      <c r="J169" s="39">
        <f>IF(A169="","",COUNTIFS(VC_date,"&gt;="&amp;A169,VC_date,"&lt;="&amp;A169,VC_commercial,B169,VC_type,"Visite sur place"))</f>
        <v/>
      </c>
      <c r="K169" s="39">
        <f>IF(A169="","",COUNTIFS(VC_date,"&gt;="&amp;A169,VC_date,"&lt;="&amp;A169,VC_commercial,B169,VC_type,"&lt;&gt;Visite sur place",VC_type,"&lt;&gt;"))</f>
        <v/>
      </c>
      <c r="L169" s="39">
        <f>IF(A169="","",COUNTIFS(Cl_creation,"&gt;="&amp;A169,Cl_creation,"&lt;="&amp;A169,Cl_commercial,B169))</f>
        <v/>
      </c>
      <c r="M169" s="39">
        <f>IF(A169="","",COUNTIFS(Cl_vente1,"&gt;="&amp;A169,Cl_vente1,"&lt;="&amp;A169,Cl_commercial,B169))</f>
        <v/>
      </c>
      <c r="N169" s="39">
        <f>IF(A169="","",SUMIFS(Cmd_premiere,Cmd_date,"&gt;="&amp;A169,Cmd_date,"&lt;="&amp;A169,Cmd_commercial,B169,Cmd_statut,"&lt;&gt;Annulée",Cmd_type,"&lt;&gt;Vente directe"))</f>
        <v/>
      </c>
      <c r="O169" s="40">
        <f>IF(A169="","",SUMIFS(Cmd_montant,Cmd_date,"&gt;="&amp;A169,Cmd_date,"&lt;="&amp;A169,Cmd_commercial,B169,Cmd_statut,"&lt;&gt;Annulée",Cmd_type,"&lt;&gt;Vente directe"))</f>
        <v/>
      </c>
      <c r="P169" s="40">
        <f>IF(A169="","",SUMIFS(Cmd_montant,Cmd_dateca,"&gt;="&amp;A169,Cmd_dateca,"&lt;="&amp;A169,Cmd_commercial,B169))</f>
        <v/>
      </c>
      <c r="Q169" s="40">
        <f>IF(A169="","",SUMIFS(Enc_montant,Enc_date,"&gt;="&amp;A169,Enc_date,"&lt;="&amp;A169,Enc_commercial,B169))</f>
        <v/>
      </c>
      <c r="R169" s="40">
        <f>IF(A169="","",SUMIFS(Stk_valeur,Stk_date,"&gt;="&amp;A169,Stk_date,"&lt;="&amp;A169,Stk_commercial,B169,Stk_mouvement,"Casse / avarie")+SUMIFS(Stk_valeur,Stk_date,"&gt;="&amp;A169,Stk_date,"&lt;="&amp;A169,Stk_commercial,B169,Stk_mouvement,"Perte / vol"))</f>
        <v/>
      </c>
      <c r="S169" s="36" t="n"/>
      <c r="T169" s="36" t="n"/>
      <c r="U169" s="36" t="n"/>
      <c r="V169" s="36" t="n"/>
    </row>
    <row r="170" ht="18" customHeight="1">
      <c r="A170" s="32" t="n"/>
      <c r="B170" s="33">
        <f>IF(A170="","",Commercial_Id)</f>
        <v/>
      </c>
      <c r="C170" s="34">
        <f>IF(A170="","",CHOOSE(WEEKDAY(A170,2),"Lundi","Mardi","Mercredi","Jeudi","Vendredi","Samedi","Dimanche"))</f>
        <v/>
      </c>
      <c r="D170" s="34">
        <f>IF(A170="","",YEAR(A170-WEEKDAY(A170,2)+4)&amp;"-S"&amp;TEXT(INT((A170-DATE(YEAR(A170-WEEKDAY(A170,2)+4),1,3)+WEEKDAY(DATE(YEAR(A170-WEEKDAY(A170,2)+4),1,3),2)+5)/7),"00"))</f>
        <v/>
      </c>
      <c r="E170" s="35" t="n"/>
      <c r="F170" s="35" t="n"/>
      <c r="G170" s="36" t="n"/>
      <c r="H170" s="37" t="n"/>
      <c r="I170" s="38">
        <f>IF(OR(E170="",F170=""),"",ROUND((F170-E170)*24,1))</f>
        <v/>
      </c>
      <c r="J170" s="39">
        <f>IF(A170="","",COUNTIFS(VC_date,"&gt;="&amp;A170,VC_date,"&lt;="&amp;A170,VC_commercial,B170,VC_type,"Visite sur place"))</f>
        <v/>
      </c>
      <c r="K170" s="39">
        <f>IF(A170="","",COUNTIFS(VC_date,"&gt;="&amp;A170,VC_date,"&lt;="&amp;A170,VC_commercial,B170,VC_type,"&lt;&gt;Visite sur place",VC_type,"&lt;&gt;"))</f>
        <v/>
      </c>
      <c r="L170" s="39">
        <f>IF(A170="","",COUNTIFS(Cl_creation,"&gt;="&amp;A170,Cl_creation,"&lt;="&amp;A170,Cl_commercial,B170))</f>
        <v/>
      </c>
      <c r="M170" s="39">
        <f>IF(A170="","",COUNTIFS(Cl_vente1,"&gt;="&amp;A170,Cl_vente1,"&lt;="&amp;A170,Cl_commercial,B170))</f>
        <v/>
      </c>
      <c r="N170" s="39">
        <f>IF(A170="","",SUMIFS(Cmd_premiere,Cmd_date,"&gt;="&amp;A170,Cmd_date,"&lt;="&amp;A170,Cmd_commercial,B170,Cmd_statut,"&lt;&gt;Annulée",Cmd_type,"&lt;&gt;Vente directe"))</f>
        <v/>
      </c>
      <c r="O170" s="40">
        <f>IF(A170="","",SUMIFS(Cmd_montant,Cmd_date,"&gt;="&amp;A170,Cmd_date,"&lt;="&amp;A170,Cmd_commercial,B170,Cmd_statut,"&lt;&gt;Annulée",Cmd_type,"&lt;&gt;Vente directe"))</f>
        <v/>
      </c>
      <c r="P170" s="40">
        <f>IF(A170="","",SUMIFS(Cmd_montant,Cmd_dateca,"&gt;="&amp;A170,Cmd_dateca,"&lt;="&amp;A170,Cmd_commercial,B170))</f>
        <v/>
      </c>
      <c r="Q170" s="40">
        <f>IF(A170="","",SUMIFS(Enc_montant,Enc_date,"&gt;="&amp;A170,Enc_date,"&lt;="&amp;A170,Enc_commercial,B170))</f>
        <v/>
      </c>
      <c r="R170" s="40">
        <f>IF(A170="","",SUMIFS(Stk_valeur,Stk_date,"&gt;="&amp;A170,Stk_date,"&lt;="&amp;A170,Stk_commercial,B170,Stk_mouvement,"Casse / avarie")+SUMIFS(Stk_valeur,Stk_date,"&gt;="&amp;A170,Stk_date,"&lt;="&amp;A170,Stk_commercial,B170,Stk_mouvement,"Perte / vol"))</f>
        <v/>
      </c>
      <c r="S170" s="36" t="n"/>
      <c r="T170" s="36" t="n"/>
      <c r="U170" s="36" t="n"/>
      <c r="V170" s="36" t="n"/>
    </row>
    <row r="171" ht="18" customHeight="1">
      <c r="A171" s="32" t="n"/>
      <c r="B171" s="33">
        <f>IF(A171="","",Commercial_Id)</f>
        <v/>
      </c>
      <c r="C171" s="34">
        <f>IF(A171="","",CHOOSE(WEEKDAY(A171,2),"Lundi","Mardi","Mercredi","Jeudi","Vendredi","Samedi","Dimanche"))</f>
        <v/>
      </c>
      <c r="D171" s="34">
        <f>IF(A171="","",YEAR(A171-WEEKDAY(A171,2)+4)&amp;"-S"&amp;TEXT(INT((A171-DATE(YEAR(A171-WEEKDAY(A171,2)+4),1,3)+WEEKDAY(DATE(YEAR(A171-WEEKDAY(A171,2)+4),1,3),2)+5)/7),"00"))</f>
        <v/>
      </c>
      <c r="E171" s="35" t="n"/>
      <c r="F171" s="35" t="n"/>
      <c r="G171" s="36" t="n"/>
      <c r="H171" s="37" t="n"/>
      <c r="I171" s="38">
        <f>IF(OR(E171="",F171=""),"",ROUND((F171-E171)*24,1))</f>
        <v/>
      </c>
      <c r="J171" s="39">
        <f>IF(A171="","",COUNTIFS(VC_date,"&gt;="&amp;A171,VC_date,"&lt;="&amp;A171,VC_commercial,B171,VC_type,"Visite sur place"))</f>
        <v/>
      </c>
      <c r="K171" s="39">
        <f>IF(A171="","",COUNTIFS(VC_date,"&gt;="&amp;A171,VC_date,"&lt;="&amp;A171,VC_commercial,B171,VC_type,"&lt;&gt;Visite sur place",VC_type,"&lt;&gt;"))</f>
        <v/>
      </c>
      <c r="L171" s="39">
        <f>IF(A171="","",COUNTIFS(Cl_creation,"&gt;="&amp;A171,Cl_creation,"&lt;="&amp;A171,Cl_commercial,B171))</f>
        <v/>
      </c>
      <c r="M171" s="39">
        <f>IF(A171="","",COUNTIFS(Cl_vente1,"&gt;="&amp;A171,Cl_vente1,"&lt;="&amp;A171,Cl_commercial,B171))</f>
        <v/>
      </c>
      <c r="N171" s="39">
        <f>IF(A171="","",SUMIFS(Cmd_premiere,Cmd_date,"&gt;="&amp;A171,Cmd_date,"&lt;="&amp;A171,Cmd_commercial,B171,Cmd_statut,"&lt;&gt;Annulée",Cmd_type,"&lt;&gt;Vente directe"))</f>
        <v/>
      </c>
      <c r="O171" s="40">
        <f>IF(A171="","",SUMIFS(Cmd_montant,Cmd_date,"&gt;="&amp;A171,Cmd_date,"&lt;="&amp;A171,Cmd_commercial,B171,Cmd_statut,"&lt;&gt;Annulée",Cmd_type,"&lt;&gt;Vente directe"))</f>
        <v/>
      </c>
      <c r="P171" s="40">
        <f>IF(A171="","",SUMIFS(Cmd_montant,Cmd_dateca,"&gt;="&amp;A171,Cmd_dateca,"&lt;="&amp;A171,Cmd_commercial,B171))</f>
        <v/>
      </c>
      <c r="Q171" s="40">
        <f>IF(A171="","",SUMIFS(Enc_montant,Enc_date,"&gt;="&amp;A171,Enc_date,"&lt;="&amp;A171,Enc_commercial,B171))</f>
        <v/>
      </c>
      <c r="R171" s="40">
        <f>IF(A171="","",SUMIFS(Stk_valeur,Stk_date,"&gt;="&amp;A171,Stk_date,"&lt;="&amp;A171,Stk_commercial,B171,Stk_mouvement,"Casse / avarie")+SUMIFS(Stk_valeur,Stk_date,"&gt;="&amp;A171,Stk_date,"&lt;="&amp;A171,Stk_commercial,B171,Stk_mouvement,"Perte / vol"))</f>
        <v/>
      </c>
      <c r="S171" s="36" t="n"/>
      <c r="T171" s="36" t="n"/>
      <c r="U171" s="36" t="n"/>
      <c r="V171" s="36" t="n"/>
    </row>
    <row r="172" ht="18" customHeight="1">
      <c r="A172" s="32" t="n"/>
      <c r="B172" s="33">
        <f>IF(A172="","",Commercial_Id)</f>
        <v/>
      </c>
      <c r="C172" s="34">
        <f>IF(A172="","",CHOOSE(WEEKDAY(A172,2),"Lundi","Mardi","Mercredi","Jeudi","Vendredi","Samedi","Dimanche"))</f>
        <v/>
      </c>
      <c r="D172" s="34">
        <f>IF(A172="","",YEAR(A172-WEEKDAY(A172,2)+4)&amp;"-S"&amp;TEXT(INT((A172-DATE(YEAR(A172-WEEKDAY(A172,2)+4),1,3)+WEEKDAY(DATE(YEAR(A172-WEEKDAY(A172,2)+4),1,3),2)+5)/7),"00"))</f>
        <v/>
      </c>
      <c r="E172" s="35" t="n"/>
      <c r="F172" s="35" t="n"/>
      <c r="G172" s="36" t="n"/>
      <c r="H172" s="37" t="n"/>
      <c r="I172" s="38">
        <f>IF(OR(E172="",F172=""),"",ROUND((F172-E172)*24,1))</f>
        <v/>
      </c>
      <c r="J172" s="39">
        <f>IF(A172="","",COUNTIFS(VC_date,"&gt;="&amp;A172,VC_date,"&lt;="&amp;A172,VC_commercial,B172,VC_type,"Visite sur place"))</f>
        <v/>
      </c>
      <c r="K172" s="39">
        <f>IF(A172="","",COUNTIFS(VC_date,"&gt;="&amp;A172,VC_date,"&lt;="&amp;A172,VC_commercial,B172,VC_type,"&lt;&gt;Visite sur place",VC_type,"&lt;&gt;"))</f>
        <v/>
      </c>
      <c r="L172" s="39">
        <f>IF(A172="","",COUNTIFS(Cl_creation,"&gt;="&amp;A172,Cl_creation,"&lt;="&amp;A172,Cl_commercial,B172))</f>
        <v/>
      </c>
      <c r="M172" s="39">
        <f>IF(A172="","",COUNTIFS(Cl_vente1,"&gt;="&amp;A172,Cl_vente1,"&lt;="&amp;A172,Cl_commercial,B172))</f>
        <v/>
      </c>
      <c r="N172" s="39">
        <f>IF(A172="","",SUMIFS(Cmd_premiere,Cmd_date,"&gt;="&amp;A172,Cmd_date,"&lt;="&amp;A172,Cmd_commercial,B172,Cmd_statut,"&lt;&gt;Annulée",Cmd_type,"&lt;&gt;Vente directe"))</f>
        <v/>
      </c>
      <c r="O172" s="40">
        <f>IF(A172="","",SUMIFS(Cmd_montant,Cmd_date,"&gt;="&amp;A172,Cmd_date,"&lt;="&amp;A172,Cmd_commercial,B172,Cmd_statut,"&lt;&gt;Annulée",Cmd_type,"&lt;&gt;Vente directe"))</f>
        <v/>
      </c>
      <c r="P172" s="40">
        <f>IF(A172="","",SUMIFS(Cmd_montant,Cmd_dateca,"&gt;="&amp;A172,Cmd_dateca,"&lt;="&amp;A172,Cmd_commercial,B172))</f>
        <v/>
      </c>
      <c r="Q172" s="40">
        <f>IF(A172="","",SUMIFS(Enc_montant,Enc_date,"&gt;="&amp;A172,Enc_date,"&lt;="&amp;A172,Enc_commercial,B172))</f>
        <v/>
      </c>
      <c r="R172" s="40">
        <f>IF(A172="","",SUMIFS(Stk_valeur,Stk_date,"&gt;="&amp;A172,Stk_date,"&lt;="&amp;A172,Stk_commercial,B172,Stk_mouvement,"Casse / avarie")+SUMIFS(Stk_valeur,Stk_date,"&gt;="&amp;A172,Stk_date,"&lt;="&amp;A172,Stk_commercial,B172,Stk_mouvement,"Perte / vol"))</f>
        <v/>
      </c>
      <c r="S172" s="36" t="n"/>
      <c r="T172" s="36" t="n"/>
      <c r="U172" s="36" t="n"/>
      <c r="V172" s="36" t="n"/>
    </row>
    <row r="173" ht="18" customHeight="1">
      <c r="A173" s="32" t="n"/>
      <c r="B173" s="33">
        <f>IF(A173="","",Commercial_Id)</f>
        <v/>
      </c>
      <c r="C173" s="34">
        <f>IF(A173="","",CHOOSE(WEEKDAY(A173,2),"Lundi","Mardi","Mercredi","Jeudi","Vendredi","Samedi","Dimanche"))</f>
        <v/>
      </c>
      <c r="D173" s="34">
        <f>IF(A173="","",YEAR(A173-WEEKDAY(A173,2)+4)&amp;"-S"&amp;TEXT(INT((A173-DATE(YEAR(A173-WEEKDAY(A173,2)+4),1,3)+WEEKDAY(DATE(YEAR(A173-WEEKDAY(A173,2)+4),1,3),2)+5)/7),"00"))</f>
        <v/>
      </c>
      <c r="E173" s="35" t="n"/>
      <c r="F173" s="35" t="n"/>
      <c r="G173" s="36" t="n"/>
      <c r="H173" s="37" t="n"/>
      <c r="I173" s="38">
        <f>IF(OR(E173="",F173=""),"",ROUND((F173-E173)*24,1))</f>
        <v/>
      </c>
      <c r="J173" s="39">
        <f>IF(A173="","",COUNTIFS(VC_date,"&gt;="&amp;A173,VC_date,"&lt;="&amp;A173,VC_commercial,B173,VC_type,"Visite sur place"))</f>
        <v/>
      </c>
      <c r="K173" s="39">
        <f>IF(A173="","",COUNTIFS(VC_date,"&gt;="&amp;A173,VC_date,"&lt;="&amp;A173,VC_commercial,B173,VC_type,"&lt;&gt;Visite sur place",VC_type,"&lt;&gt;"))</f>
        <v/>
      </c>
      <c r="L173" s="39">
        <f>IF(A173="","",COUNTIFS(Cl_creation,"&gt;="&amp;A173,Cl_creation,"&lt;="&amp;A173,Cl_commercial,B173))</f>
        <v/>
      </c>
      <c r="M173" s="39">
        <f>IF(A173="","",COUNTIFS(Cl_vente1,"&gt;="&amp;A173,Cl_vente1,"&lt;="&amp;A173,Cl_commercial,B173))</f>
        <v/>
      </c>
      <c r="N173" s="39">
        <f>IF(A173="","",SUMIFS(Cmd_premiere,Cmd_date,"&gt;="&amp;A173,Cmd_date,"&lt;="&amp;A173,Cmd_commercial,B173,Cmd_statut,"&lt;&gt;Annulée",Cmd_type,"&lt;&gt;Vente directe"))</f>
        <v/>
      </c>
      <c r="O173" s="40">
        <f>IF(A173="","",SUMIFS(Cmd_montant,Cmd_date,"&gt;="&amp;A173,Cmd_date,"&lt;="&amp;A173,Cmd_commercial,B173,Cmd_statut,"&lt;&gt;Annulée",Cmd_type,"&lt;&gt;Vente directe"))</f>
        <v/>
      </c>
      <c r="P173" s="40">
        <f>IF(A173="","",SUMIFS(Cmd_montant,Cmd_dateca,"&gt;="&amp;A173,Cmd_dateca,"&lt;="&amp;A173,Cmd_commercial,B173))</f>
        <v/>
      </c>
      <c r="Q173" s="40">
        <f>IF(A173="","",SUMIFS(Enc_montant,Enc_date,"&gt;="&amp;A173,Enc_date,"&lt;="&amp;A173,Enc_commercial,B173))</f>
        <v/>
      </c>
      <c r="R173" s="40">
        <f>IF(A173="","",SUMIFS(Stk_valeur,Stk_date,"&gt;="&amp;A173,Stk_date,"&lt;="&amp;A173,Stk_commercial,B173,Stk_mouvement,"Casse / avarie")+SUMIFS(Stk_valeur,Stk_date,"&gt;="&amp;A173,Stk_date,"&lt;="&amp;A173,Stk_commercial,B173,Stk_mouvement,"Perte / vol"))</f>
        <v/>
      </c>
      <c r="S173" s="36" t="n"/>
      <c r="T173" s="36" t="n"/>
      <c r="U173" s="36" t="n"/>
      <c r="V173" s="36" t="n"/>
    </row>
    <row r="174" ht="18" customHeight="1">
      <c r="A174" s="32" t="n"/>
      <c r="B174" s="33">
        <f>IF(A174="","",Commercial_Id)</f>
        <v/>
      </c>
      <c r="C174" s="34">
        <f>IF(A174="","",CHOOSE(WEEKDAY(A174,2),"Lundi","Mardi","Mercredi","Jeudi","Vendredi","Samedi","Dimanche"))</f>
        <v/>
      </c>
      <c r="D174" s="34">
        <f>IF(A174="","",YEAR(A174-WEEKDAY(A174,2)+4)&amp;"-S"&amp;TEXT(INT((A174-DATE(YEAR(A174-WEEKDAY(A174,2)+4),1,3)+WEEKDAY(DATE(YEAR(A174-WEEKDAY(A174,2)+4),1,3),2)+5)/7),"00"))</f>
        <v/>
      </c>
      <c r="E174" s="35" t="n"/>
      <c r="F174" s="35" t="n"/>
      <c r="G174" s="36" t="n"/>
      <c r="H174" s="37" t="n"/>
      <c r="I174" s="38">
        <f>IF(OR(E174="",F174=""),"",ROUND((F174-E174)*24,1))</f>
        <v/>
      </c>
      <c r="J174" s="39">
        <f>IF(A174="","",COUNTIFS(VC_date,"&gt;="&amp;A174,VC_date,"&lt;="&amp;A174,VC_commercial,B174,VC_type,"Visite sur place"))</f>
        <v/>
      </c>
      <c r="K174" s="39">
        <f>IF(A174="","",COUNTIFS(VC_date,"&gt;="&amp;A174,VC_date,"&lt;="&amp;A174,VC_commercial,B174,VC_type,"&lt;&gt;Visite sur place",VC_type,"&lt;&gt;"))</f>
        <v/>
      </c>
      <c r="L174" s="39">
        <f>IF(A174="","",COUNTIFS(Cl_creation,"&gt;="&amp;A174,Cl_creation,"&lt;="&amp;A174,Cl_commercial,B174))</f>
        <v/>
      </c>
      <c r="M174" s="39">
        <f>IF(A174="","",COUNTIFS(Cl_vente1,"&gt;="&amp;A174,Cl_vente1,"&lt;="&amp;A174,Cl_commercial,B174))</f>
        <v/>
      </c>
      <c r="N174" s="39">
        <f>IF(A174="","",SUMIFS(Cmd_premiere,Cmd_date,"&gt;="&amp;A174,Cmd_date,"&lt;="&amp;A174,Cmd_commercial,B174,Cmd_statut,"&lt;&gt;Annulée",Cmd_type,"&lt;&gt;Vente directe"))</f>
        <v/>
      </c>
      <c r="O174" s="40">
        <f>IF(A174="","",SUMIFS(Cmd_montant,Cmd_date,"&gt;="&amp;A174,Cmd_date,"&lt;="&amp;A174,Cmd_commercial,B174,Cmd_statut,"&lt;&gt;Annulée",Cmd_type,"&lt;&gt;Vente directe"))</f>
        <v/>
      </c>
      <c r="P174" s="40">
        <f>IF(A174="","",SUMIFS(Cmd_montant,Cmd_dateca,"&gt;="&amp;A174,Cmd_dateca,"&lt;="&amp;A174,Cmd_commercial,B174))</f>
        <v/>
      </c>
      <c r="Q174" s="40">
        <f>IF(A174="","",SUMIFS(Enc_montant,Enc_date,"&gt;="&amp;A174,Enc_date,"&lt;="&amp;A174,Enc_commercial,B174))</f>
        <v/>
      </c>
      <c r="R174" s="40">
        <f>IF(A174="","",SUMIFS(Stk_valeur,Stk_date,"&gt;="&amp;A174,Stk_date,"&lt;="&amp;A174,Stk_commercial,B174,Stk_mouvement,"Casse / avarie")+SUMIFS(Stk_valeur,Stk_date,"&gt;="&amp;A174,Stk_date,"&lt;="&amp;A174,Stk_commercial,B174,Stk_mouvement,"Perte / vol"))</f>
        <v/>
      </c>
      <c r="S174" s="36" t="n"/>
      <c r="T174" s="36" t="n"/>
      <c r="U174" s="36" t="n"/>
      <c r="V174" s="36" t="n"/>
    </row>
    <row r="175" ht="18" customHeight="1">
      <c r="A175" s="32" t="n"/>
      <c r="B175" s="33">
        <f>IF(A175="","",Commercial_Id)</f>
        <v/>
      </c>
      <c r="C175" s="34">
        <f>IF(A175="","",CHOOSE(WEEKDAY(A175,2),"Lundi","Mardi","Mercredi","Jeudi","Vendredi","Samedi","Dimanche"))</f>
        <v/>
      </c>
      <c r="D175" s="34">
        <f>IF(A175="","",YEAR(A175-WEEKDAY(A175,2)+4)&amp;"-S"&amp;TEXT(INT((A175-DATE(YEAR(A175-WEEKDAY(A175,2)+4),1,3)+WEEKDAY(DATE(YEAR(A175-WEEKDAY(A175,2)+4),1,3),2)+5)/7),"00"))</f>
        <v/>
      </c>
      <c r="E175" s="35" t="n"/>
      <c r="F175" s="35" t="n"/>
      <c r="G175" s="36" t="n"/>
      <c r="H175" s="37" t="n"/>
      <c r="I175" s="38">
        <f>IF(OR(E175="",F175=""),"",ROUND((F175-E175)*24,1))</f>
        <v/>
      </c>
      <c r="J175" s="39">
        <f>IF(A175="","",COUNTIFS(VC_date,"&gt;="&amp;A175,VC_date,"&lt;="&amp;A175,VC_commercial,B175,VC_type,"Visite sur place"))</f>
        <v/>
      </c>
      <c r="K175" s="39">
        <f>IF(A175="","",COUNTIFS(VC_date,"&gt;="&amp;A175,VC_date,"&lt;="&amp;A175,VC_commercial,B175,VC_type,"&lt;&gt;Visite sur place",VC_type,"&lt;&gt;"))</f>
        <v/>
      </c>
      <c r="L175" s="39">
        <f>IF(A175="","",COUNTIFS(Cl_creation,"&gt;="&amp;A175,Cl_creation,"&lt;="&amp;A175,Cl_commercial,B175))</f>
        <v/>
      </c>
      <c r="M175" s="39">
        <f>IF(A175="","",COUNTIFS(Cl_vente1,"&gt;="&amp;A175,Cl_vente1,"&lt;="&amp;A175,Cl_commercial,B175))</f>
        <v/>
      </c>
      <c r="N175" s="39">
        <f>IF(A175="","",SUMIFS(Cmd_premiere,Cmd_date,"&gt;="&amp;A175,Cmd_date,"&lt;="&amp;A175,Cmd_commercial,B175,Cmd_statut,"&lt;&gt;Annulée",Cmd_type,"&lt;&gt;Vente directe"))</f>
        <v/>
      </c>
      <c r="O175" s="40">
        <f>IF(A175="","",SUMIFS(Cmd_montant,Cmd_date,"&gt;="&amp;A175,Cmd_date,"&lt;="&amp;A175,Cmd_commercial,B175,Cmd_statut,"&lt;&gt;Annulée",Cmd_type,"&lt;&gt;Vente directe"))</f>
        <v/>
      </c>
      <c r="P175" s="40">
        <f>IF(A175="","",SUMIFS(Cmd_montant,Cmd_dateca,"&gt;="&amp;A175,Cmd_dateca,"&lt;="&amp;A175,Cmd_commercial,B175))</f>
        <v/>
      </c>
      <c r="Q175" s="40">
        <f>IF(A175="","",SUMIFS(Enc_montant,Enc_date,"&gt;="&amp;A175,Enc_date,"&lt;="&amp;A175,Enc_commercial,B175))</f>
        <v/>
      </c>
      <c r="R175" s="40">
        <f>IF(A175="","",SUMIFS(Stk_valeur,Stk_date,"&gt;="&amp;A175,Stk_date,"&lt;="&amp;A175,Stk_commercial,B175,Stk_mouvement,"Casse / avarie")+SUMIFS(Stk_valeur,Stk_date,"&gt;="&amp;A175,Stk_date,"&lt;="&amp;A175,Stk_commercial,B175,Stk_mouvement,"Perte / vol"))</f>
        <v/>
      </c>
      <c r="S175" s="36" t="n"/>
      <c r="T175" s="36" t="n"/>
      <c r="U175" s="36" t="n"/>
      <c r="V175" s="36" t="n"/>
    </row>
    <row r="176" ht="18" customHeight="1">
      <c r="A176" s="32" t="n"/>
      <c r="B176" s="33">
        <f>IF(A176="","",Commercial_Id)</f>
        <v/>
      </c>
      <c r="C176" s="34">
        <f>IF(A176="","",CHOOSE(WEEKDAY(A176,2),"Lundi","Mardi","Mercredi","Jeudi","Vendredi","Samedi","Dimanche"))</f>
        <v/>
      </c>
      <c r="D176" s="34">
        <f>IF(A176="","",YEAR(A176-WEEKDAY(A176,2)+4)&amp;"-S"&amp;TEXT(INT((A176-DATE(YEAR(A176-WEEKDAY(A176,2)+4),1,3)+WEEKDAY(DATE(YEAR(A176-WEEKDAY(A176,2)+4),1,3),2)+5)/7),"00"))</f>
        <v/>
      </c>
      <c r="E176" s="35" t="n"/>
      <c r="F176" s="35" t="n"/>
      <c r="G176" s="36" t="n"/>
      <c r="H176" s="37" t="n"/>
      <c r="I176" s="38">
        <f>IF(OR(E176="",F176=""),"",ROUND((F176-E176)*24,1))</f>
        <v/>
      </c>
      <c r="J176" s="39">
        <f>IF(A176="","",COUNTIFS(VC_date,"&gt;="&amp;A176,VC_date,"&lt;="&amp;A176,VC_commercial,B176,VC_type,"Visite sur place"))</f>
        <v/>
      </c>
      <c r="K176" s="39">
        <f>IF(A176="","",COUNTIFS(VC_date,"&gt;="&amp;A176,VC_date,"&lt;="&amp;A176,VC_commercial,B176,VC_type,"&lt;&gt;Visite sur place",VC_type,"&lt;&gt;"))</f>
        <v/>
      </c>
      <c r="L176" s="39">
        <f>IF(A176="","",COUNTIFS(Cl_creation,"&gt;="&amp;A176,Cl_creation,"&lt;="&amp;A176,Cl_commercial,B176))</f>
        <v/>
      </c>
      <c r="M176" s="39">
        <f>IF(A176="","",COUNTIFS(Cl_vente1,"&gt;="&amp;A176,Cl_vente1,"&lt;="&amp;A176,Cl_commercial,B176))</f>
        <v/>
      </c>
      <c r="N176" s="39">
        <f>IF(A176="","",SUMIFS(Cmd_premiere,Cmd_date,"&gt;="&amp;A176,Cmd_date,"&lt;="&amp;A176,Cmd_commercial,B176,Cmd_statut,"&lt;&gt;Annulée",Cmd_type,"&lt;&gt;Vente directe"))</f>
        <v/>
      </c>
      <c r="O176" s="40">
        <f>IF(A176="","",SUMIFS(Cmd_montant,Cmd_date,"&gt;="&amp;A176,Cmd_date,"&lt;="&amp;A176,Cmd_commercial,B176,Cmd_statut,"&lt;&gt;Annulée",Cmd_type,"&lt;&gt;Vente directe"))</f>
        <v/>
      </c>
      <c r="P176" s="40">
        <f>IF(A176="","",SUMIFS(Cmd_montant,Cmd_dateca,"&gt;="&amp;A176,Cmd_dateca,"&lt;="&amp;A176,Cmd_commercial,B176))</f>
        <v/>
      </c>
      <c r="Q176" s="40">
        <f>IF(A176="","",SUMIFS(Enc_montant,Enc_date,"&gt;="&amp;A176,Enc_date,"&lt;="&amp;A176,Enc_commercial,B176))</f>
        <v/>
      </c>
      <c r="R176" s="40">
        <f>IF(A176="","",SUMIFS(Stk_valeur,Stk_date,"&gt;="&amp;A176,Stk_date,"&lt;="&amp;A176,Stk_commercial,B176,Stk_mouvement,"Casse / avarie")+SUMIFS(Stk_valeur,Stk_date,"&gt;="&amp;A176,Stk_date,"&lt;="&amp;A176,Stk_commercial,B176,Stk_mouvement,"Perte / vol"))</f>
        <v/>
      </c>
      <c r="S176" s="36" t="n"/>
      <c r="T176" s="36" t="n"/>
      <c r="U176" s="36" t="n"/>
      <c r="V176" s="36" t="n"/>
    </row>
    <row r="177" ht="18" customHeight="1">
      <c r="A177" s="32" t="n"/>
      <c r="B177" s="33">
        <f>IF(A177="","",Commercial_Id)</f>
        <v/>
      </c>
      <c r="C177" s="34">
        <f>IF(A177="","",CHOOSE(WEEKDAY(A177,2),"Lundi","Mardi","Mercredi","Jeudi","Vendredi","Samedi","Dimanche"))</f>
        <v/>
      </c>
      <c r="D177" s="34">
        <f>IF(A177="","",YEAR(A177-WEEKDAY(A177,2)+4)&amp;"-S"&amp;TEXT(INT((A177-DATE(YEAR(A177-WEEKDAY(A177,2)+4),1,3)+WEEKDAY(DATE(YEAR(A177-WEEKDAY(A177,2)+4),1,3),2)+5)/7),"00"))</f>
        <v/>
      </c>
      <c r="E177" s="35" t="n"/>
      <c r="F177" s="35" t="n"/>
      <c r="G177" s="36" t="n"/>
      <c r="H177" s="37" t="n"/>
      <c r="I177" s="38">
        <f>IF(OR(E177="",F177=""),"",ROUND((F177-E177)*24,1))</f>
        <v/>
      </c>
      <c r="J177" s="39">
        <f>IF(A177="","",COUNTIFS(VC_date,"&gt;="&amp;A177,VC_date,"&lt;="&amp;A177,VC_commercial,B177,VC_type,"Visite sur place"))</f>
        <v/>
      </c>
      <c r="K177" s="39">
        <f>IF(A177="","",COUNTIFS(VC_date,"&gt;="&amp;A177,VC_date,"&lt;="&amp;A177,VC_commercial,B177,VC_type,"&lt;&gt;Visite sur place",VC_type,"&lt;&gt;"))</f>
        <v/>
      </c>
      <c r="L177" s="39">
        <f>IF(A177="","",COUNTIFS(Cl_creation,"&gt;="&amp;A177,Cl_creation,"&lt;="&amp;A177,Cl_commercial,B177))</f>
        <v/>
      </c>
      <c r="M177" s="39">
        <f>IF(A177="","",COUNTIFS(Cl_vente1,"&gt;="&amp;A177,Cl_vente1,"&lt;="&amp;A177,Cl_commercial,B177))</f>
        <v/>
      </c>
      <c r="N177" s="39">
        <f>IF(A177="","",SUMIFS(Cmd_premiere,Cmd_date,"&gt;="&amp;A177,Cmd_date,"&lt;="&amp;A177,Cmd_commercial,B177,Cmd_statut,"&lt;&gt;Annulée",Cmd_type,"&lt;&gt;Vente directe"))</f>
        <v/>
      </c>
      <c r="O177" s="40">
        <f>IF(A177="","",SUMIFS(Cmd_montant,Cmd_date,"&gt;="&amp;A177,Cmd_date,"&lt;="&amp;A177,Cmd_commercial,B177,Cmd_statut,"&lt;&gt;Annulée",Cmd_type,"&lt;&gt;Vente directe"))</f>
        <v/>
      </c>
      <c r="P177" s="40">
        <f>IF(A177="","",SUMIFS(Cmd_montant,Cmd_dateca,"&gt;="&amp;A177,Cmd_dateca,"&lt;="&amp;A177,Cmd_commercial,B177))</f>
        <v/>
      </c>
      <c r="Q177" s="40">
        <f>IF(A177="","",SUMIFS(Enc_montant,Enc_date,"&gt;="&amp;A177,Enc_date,"&lt;="&amp;A177,Enc_commercial,B177))</f>
        <v/>
      </c>
      <c r="R177" s="40">
        <f>IF(A177="","",SUMIFS(Stk_valeur,Stk_date,"&gt;="&amp;A177,Stk_date,"&lt;="&amp;A177,Stk_commercial,B177,Stk_mouvement,"Casse / avarie")+SUMIFS(Stk_valeur,Stk_date,"&gt;="&amp;A177,Stk_date,"&lt;="&amp;A177,Stk_commercial,B177,Stk_mouvement,"Perte / vol"))</f>
        <v/>
      </c>
      <c r="S177" s="36" t="n"/>
      <c r="T177" s="36" t="n"/>
      <c r="U177" s="36" t="n"/>
      <c r="V177" s="36" t="n"/>
    </row>
    <row r="178" ht="18" customHeight="1">
      <c r="A178" s="32" t="n"/>
      <c r="B178" s="33">
        <f>IF(A178="","",Commercial_Id)</f>
        <v/>
      </c>
      <c r="C178" s="34">
        <f>IF(A178="","",CHOOSE(WEEKDAY(A178,2),"Lundi","Mardi","Mercredi","Jeudi","Vendredi","Samedi","Dimanche"))</f>
        <v/>
      </c>
      <c r="D178" s="34">
        <f>IF(A178="","",YEAR(A178-WEEKDAY(A178,2)+4)&amp;"-S"&amp;TEXT(INT((A178-DATE(YEAR(A178-WEEKDAY(A178,2)+4),1,3)+WEEKDAY(DATE(YEAR(A178-WEEKDAY(A178,2)+4),1,3),2)+5)/7),"00"))</f>
        <v/>
      </c>
      <c r="E178" s="35" t="n"/>
      <c r="F178" s="35" t="n"/>
      <c r="G178" s="36" t="n"/>
      <c r="H178" s="37" t="n"/>
      <c r="I178" s="38">
        <f>IF(OR(E178="",F178=""),"",ROUND((F178-E178)*24,1))</f>
        <v/>
      </c>
      <c r="J178" s="39">
        <f>IF(A178="","",COUNTIFS(VC_date,"&gt;="&amp;A178,VC_date,"&lt;="&amp;A178,VC_commercial,B178,VC_type,"Visite sur place"))</f>
        <v/>
      </c>
      <c r="K178" s="39">
        <f>IF(A178="","",COUNTIFS(VC_date,"&gt;="&amp;A178,VC_date,"&lt;="&amp;A178,VC_commercial,B178,VC_type,"&lt;&gt;Visite sur place",VC_type,"&lt;&gt;"))</f>
        <v/>
      </c>
      <c r="L178" s="39">
        <f>IF(A178="","",COUNTIFS(Cl_creation,"&gt;="&amp;A178,Cl_creation,"&lt;="&amp;A178,Cl_commercial,B178))</f>
        <v/>
      </c>
      <c r="M178" s="39">
        <f>IF(A178="","",COUNTIFS(Cl_vente1,"&gt;="&amp;A178,Cl_vente1,"&lt;="&amp;A178,Cl_commercial,B178))</f>
        <v/>
      </c>
      <c r="N178" s="39">
        <f>IF(A178="","",SUMIFS(Cmd_premiere,Cmd_date,"&gt;="&amp;A178,Cmd_date,"&lt;="&amp;A178,Cmd_commercial,B178,Cmd_statut,"&lt;&gt;Annulée",Cmd_type,"&lt;&gt;Vente directe"))</f>
        <v/>
      </c>
      <c r="O178" s="40">
        <f>IF(A178="","",SUMIFS(Cmd_montant,Cmd_date,"&gt;="&amp;A178,Cmd_date,"&lt;="&amp;A178,Cmd_commercial,B178,Cmd_statut,"&lt;&gt;Annulée",Cmd_type,"&lt;&gt;Vente directe"))</f>
        <v/>
      </c>
      <c r="P178" s="40">
        <f>IF(A178="","",SUMIFS(Cmd_montant,Cmd_dateca,"&gt;="&amp;A178,Cmd_dateca,"&lt;="&amp;A178,Cmd_commercial,B178))</f>
        <v/>
      </c>
      <c r="Q178" s="40">
        <f>IF(A178="","",SUMIFS(Enc_montant,Enc_date,"&gt;="&amp;A178,Enc_date,"&lt;="&amp;A178,Enc_commercial,B178))</f>
        <v/>
      </c>
      <c r="R178" s="40">
        <f>IF(A178="","",SUMIFS(Stk_valeur,Stk_date,"&gt;="&amp;A178,Stk_date,"&lt;="&amp;A178,Stk_commercial,B178,Stk_mouvement,"Casse / avarie")+SUMIFS(Stk_valeur,Stk_date,"&gt;="&amp;A178,Stk_date,"&lt;="&amp;A178,Stk_commercial,B178,Stk_mouvement,"Perte / vol"))</f>
        <v/>
      </c>
      <c r="S178" s="36" t="n"/>
      <c r="T178" s="36" t="n"/>
      <c r="U178" s="36" t="n"/>
      <c r="V178" s="36" t="n"/>
    </row>
    <row r="179" ht="18" customHeight="1">
      <c r="A179" s="32" t="n"/>
      <c r="B179" s="33">
        <f>IF(A179="","",Commercial_Id)</f>
        <v/>
      </c>
      <c r="C179" s="34">
        <f>IF(A179="","",CHOOSE(WEEKDAY(A179,2),"Lundi","Mardi","Mercredi","Jeudi","Vendredi","Samedi","Dimanche"))</f>
        <v/>
      </c>
      <c r="D179" s="34">
        <f>IF(A179="","",YEAR(A179-WEEKDAY(A179,2)+4)&amp;"-S"&amp;TEXT(INT((A179-DATE(YEAR(A179-WEEKDAY(A179,2)+4),1,3)+WEEKDAY(DATE(YEAR(A179-WEEKDAY(A179,2)+4),1,3),2)+5)/7),"00"))</f>
        <v/>
      </c>
      <c r="E179" s="35" t="n"/>
      <c r="F179" s="35" t="n"/>
      <c r="G179" s="36" t="n"/>
      <c r="H179" s="37" t="n"/>
      <c r="I179" s="38">
        <f>IF(OR(E179="",F179=""),"",ROUND((F179-E179)*24,1))</f>
        <v/>
      </c>
      <c r="J179" s="39">
        <f>IF(A179="","",COUNTIFS(VC_date,"&gt;="&amp;A179,VC_date,"&lt;="&amp;A179,VC_commercial,B179,VC_type,"Visite sur place"))</f>
        <v/>
      </c>
      <c r="K179" s="39">
        <f>IF(A179="","",COUNTIFS(VC_date,"&gt;="&amp;A179,VC_date,"&lt;="&amp;A179,VC_commercial,B179,VC_type,"&lt;&gt;Visite sur place",VC_type,"&lt;&gt;"))</f>
        <v/>
      </c>
      <c r="L179" s="39">
        <f>IF(A179="","",COUNTIFS(Cl_creation,"&gt;="&amp;A179,Cl_creation,"&lt;="&amp;A179,Cl_commercial,B179))</f>
        <v/>
      </c>
      <c r="M179" s="39">
        <f>IF(A179="","",COUNTIFS(Cl_vente1,"&gt;="&amp;A179,Cl_vente1,"&lt;="&amp;A179,Cl_commercial,B179))</f>
        <v/>
      </c>
      <c r="N179" s="39">
        <f>IF(A179="","",SUMIFS(Cmd_premiere,Cmd_date,"&gt;="&amp;A179,Cmd_date,"&lt;="&amp;A179,Cmd_commercial,B179,Cmd_statut,"&lt;&gt;Annulée",Cmd_type,"&lt;&gt;Vente directe"))</f>
        <v/>
      </c>
      <c r="O179" s="40">
        <f>IF(A179="","",SUMIFS(Cmd_montant,Cmd_date,"&gt;="&amp;A179,Cmd_date,"&lt;="&amp;A179,Cmd_commercial,B179,Cmd_statut,"&lt;&gt;Annulée",Cmd_type,"&lt;&gt;Vente directe"))</f>
        <v/>
      </c>
      <c r="P179" s="40">
        <f>IF(A179="","",SUMIFS(Cmd_montant,Cmd_dateca,"&gt;="&amp;A179,Cmd_dateca,"&lt;="&amp;A179,Cmd_commercial,B179))</f>
        <v/>
      </c>
      <c r="Q179" s="40">
        <f>IF(A179="","",SUMIFS(Enc_montant,Enc_date,"&gt;="&amp;A179,Enc_date,"&lt;="&amp;A179,Enc_commercial,B179))</f>
        <v/>
      </c>
      <c r="R179" s="40">
        <f>IF(A179="","",SUMIFS(Stk_valeur,Stk_date,"&gt;="&amp;A179,Stk_date,"&lt;="&amp;A179,Stk_commercial,B179,Stk_mouvement,"Casse / avarie")+SUMIFS(Stk_valeur,Stk_date,"&gt;="&amp;A179,Stk_date,"&lt;="&amp;A179,Stk_commercial,B179,Stk_mouvement,"Perte / vol"))</f>
        <v/>
      </c>
      <c r="S179" s="36" t="n"/>
      <c r="T179" s="36" t="n"/>
      <c r="U179" s="36" t="n"/>
      <c r="V179" s="36" t="n"/>
    </row>
    <row r="180" ht="18" customHeight="1">
      <c r="A180" s="32" t="n"/>
      <c r="B180" s="33">
        <f>IF(A180="","",Commercial_Id)</f>
        <v/>
      </c>
      <c r="C180" s="34">
        <f>IF(A180="","",CHOOSE(WEEKDAY(A180,2),"Lundi","Mardi","Mercredi","Jeudi","Vendredi","Samedi","Dimanche"))</f>
        <v/>
      </c>
      <c r="D180" s="34">
        <f>IF(A180="","",YEAR(A180-WEEKDAY(A180,2)+4)&amp;"-S"&amp;TEXT(INT((A180-DATE(YEAR(A180-WEEKDAY(A180,2)+4),1,3)+WEEKDAY(DATE(YEAR(A180-WEEKDAY(A180,2)+4),1,3),2)+5)/7),"00"))</f>
        <v/>
      </c>
      <c r="E180" s="35" t="n"/>
      <c r="F180" s="35" t="n"/>
      <c r="G180" s="36" t="n"/>
      <c r="H180" s="37" t="n"/>
      <c r="I180" s="38">
        <f>IF(OR(E180="",F180=""),"",ROUND((F180-E180)*24,1))</f>
        <v/>
      </c>
      <c r="J180" s="39">
        <f>IF(A180="","",COUNTIFS(VC_date,"&gt;="&amp;A180,VC_date,"&lt;="&amp;A180,VC_commercial,B180,VC_type,"Visite sur place"))</f>
        <v/>
      </c>
      <c r="K180" s="39">
        <f>IF(A180="","",COUNTIFS(VC_date,"&gt;="&amp;A180,VC_date,"&lt;="&amp;A180,VC_commercial,B180,VC_type,"&lt;&gt;Visite sur place",VC_type,"&lt;&gt;"))</f>
        <v/>
      </c>
      <c r="L180" s="39">
        <f>IF(A180="","",COUNTIFS(Cl_creation,"&gt;="&amp;A180,Cl_creation,"&lt;="&amp;A180,Cl_commercial,B180))</f>
        <v/>
      </c>
      <c r="M180" s="39">
        <f>IF(A180="","",COUNTIFS(Cl_vente1,"&gt;="&amp;A180,Cl_vente1,"&lt;="&amp;A180,Cl_commercial,B180))</f>
        <v/>
      </c>
      <c r="N180" s="39">
        <f>IF(A180="","",SUMIFS(Cmd_premiere,Cmd_date,"&gt;="&amp;A180,Cmd_date,"&lt;="&amp;A180,Cmd_commercial,B180,Cmd_statut,"&lt;&gt;Annulée",Cmd_type,"&lt;&gt;Vente directe"))</f>
        <v/>
      </c>
      <c r="O180" s="40">
        <f>IF(A180="","",SUMIFS(Cmd_montant,Cmd_date,"&gt;="&amp;A180,Cmd_date,"&lt;="&amp;A180,Cmd_commercial,B180,Cmd_statut,"&lt;&gt;Annulée",Cmd_type,"&lt;&gt;Vente directe"))</f>
        <v/>
      </c>
      <c r="P180" s="40">
        <f>IF(A180="","",SUMIFS(Cmd_montant,Cmd_dateca,"&gt;="&amp;A180,Cmd_dateca,"&lt;="&amp;A180,Cmd_commercial,B180))</f>
        <v/>
      </c>
      <c r="Q180" s="40">
        <f>IF(A180="","",SUMIFS(Enc_montant,Enc_date,"&gt;="&amp;A180,Enc_date,"&lt;="&amp;A180,Enc_commercial,B180))</f>
        <v/>
      </c>
      <c r="R180" s="40">
        <f>IF(A180="","",SUMIFS(Stk_valeur,Stk_date,"&gt;="&amp;A180,Stk_date,"&lt;="&amp;A180,Stk_commercial,B180,Stk_mouvement,"Casse / avarie")+SUMIFS(Stk_valeur,Stk_date,"&gt;="&amp;A180,Stk_date,"&lt;="&amp;A180,Stk_commercial,B180,Stk_mouvement,"Perte / vol"))</f>
        <v/>
      </c>
      <c r="S180" s="36" t="n"/>
      <c r="T180" s="36" t="n"/>
      <c r="U180" s="36" t="n"/>
      <c r="V180" s="36" t="n"/>
    </row>
    <row r="181" ht="18" customHeight="1">
      <c r="A181" s="32" t="n"/>
      <c r="B181" s="33">
        <f>IF(A181="","",Commercial_Id)</f>
        <v/>
      </c>
      <c r="C181" s="34">
        <f>IF(A181="","",CHOOSE(WEEKDAY(A181,2),"Lundi","Mardi","Mercredi","Jeudi","Vendredi","Samedi","Dimanche"))</f>
        <v/>
      </c>
      <c r="D181" s="34">
        <f>IF(A181="","",YEAR(A181-WEEKDAY(A181,2)+4)&amp;"-S"&amp;TEXT(INT((A181-DATE(YEAR(A181-WEEKDAY(A181,2)+4),1,3)+WEEKDAY(DATE(YEAR(A181-WEEKDAY(A181,2)+4),1,3),2)+5)/7),"00"))</f>
        <v/>
      </c>
      <c r="E181" s="35" t="n"/>
      <c r="F181" s="35" t="n"/>
      <c r="G181" s="36" t="n"/>
      <c r="H181" s="37" t="n"/>
      <c r="I181" s="38">
        <f>IF(OR(E181="",F181=""),"",ROUND((F181-E181)*24,1))</f>
        <v/>
      </c>
      <c r="J181" s="39">
        <f>IF(A181="","",COUNTIFS(VC_date,"&gt;="&amp;A181,VC_date,"&lt;="&amp;A181,VC_commercial,B181,VC_type,"Visite sur place"))</f>
        <v/>
      </c>
      <c r="K181" s="39">
        <f>IF(A181="","",COUNTIFS(VC_date,"&gt;="&amp;A181,VC_date,"&lt;="&amp;A181,VC_commercial,B181,VC_type,"&lt;&gt;Visite sur place",VC_type,"&lt;&gt;"))</f>
        <v/>
      </c>
      <c r="L181" s="39">
        <f>IF(A181="","",COUNTIFS(Cl_creation,"&gt;="&amp;A181,Cl_creation,"&lt;="&amp;A181,Cl_commercial,B181))</f>
        <v/>
      </c>
      <c r="M181" s="39">
        <f>IF(A181="","",COUNTIFS(Cl_vente1,"&gt;="&amp;A181,Cl_vente1,"&lt;="&amp;A181,Cl_commercial,B181))</f>
        <v/>
      </c>
      <c r="N181" s="39">
        <f>IF(A181="","",SUMIFS(Cmd_premiere,Cmd_date,"&gt;="&amp;A181,Cmd_date,"&lt;="&amp;A181,Cmd_commercial,B181,Cmd_statut,"&lt;&gt;Annulée",Cmd_type,"&lt;&gt;Vente directe"))</f>
        <v/>
      </c>
      <c r="O181" s="40">
        <f>IF(A181="","",SUMIFS(Cmd_montant,Cmd_date,"&gt;="&amp;A181,Cmd_date,"&lt;="&amp;A181,Cmd_commercial,B181,Cmd_statut,"&lt;&gt;Annulée",Cmd_type,"&lt;&gt;Vente directe"))</f>
        <v/>
      </c>
      <c r="P181" s="40">
        <f>IF(A181="","",SUMIFS(Cmd_montant,Cmd_dateca,"&gt;="&amp;A181,Cmd_dateca,"&lt;="&amp;A181,Cmd_commercial,B181))</f>
        <v/>
      </c>
      <c r="Q181" s="40">
        <f>IF(A181="","",SUMIFS(Enc_montant,Enc_date,"&gt;="&amp;A181,Enc_date,"&lt;="&amp;A181,Enc_commercial,B181))</f>
        <v/>
      </c>
      <c r="R181" s="40">
        <f>IF(A181="","",SUMIFS(Stk_valeur,Stk_date,"&gt;="&amp;A181,Stk_date,"&lt;="&amp;A181,Stk_commercial,B181,Stk_mouvement,"Casse / avarie")+SUMIFS(Stk_valeur,Stk_date,"&gt;="&amp;A181,Stk_date,"&lt;="&amp;A181,Stk_commercial,B181,Stk_mouvement,"Perte / vol"))</f>
        <v/>
      </c>
      <c r="S181" s="36" t="n"/>
      <c r="T181" s="36" t="n"/>
      <c r="U181" s="36" t="n"/>
      <c r="V181" s="36" t="n"/>
    </row>
    <row r="182" ht="18" customHeight="1">
      <c r="A182" s="32" t="n"/>
      <c r="B182" s="33">
        <f>IF(A182="","",Commercial_Id)</f>
        <v/>
      </c>
      <c r="C182" s="34">
        <f>IF(A182="","",CHOOSE(WEEKDAY(A182,2),"Lundi","Mardi","Mercredi","Jeudi","Vendredi","Samedi","Dimanche"))</f>
        <v/>
      </c>
      <c r="D182" s="34">
        <f>IF(A182="","",YEAR(A182-WEEKDAY(A182,2)+4)&amp;"-S"&amp;TEXT(INT((A182-DATE(YEAR(A182-WEEKDAY(A182,2)+4),1,3)+WEEKDAY(DATE(YEAR(A182-WEEKDAY(A182,2)+4),1,3),2)+5)/7),"00"))</f>
        <v/>
      </c>
      <c r="E182" s="35" t="n"/>
      <c r="F182" s="35" t="n"/>
      <c r="G182" s="36" t="n"/>
      <c r="H182" s="37" t="n"/>
      <c r="I182" s="38">
        <f>IF(OR(E182="",F182=""),"",ROUND((F182-E182)*24,1))</f>
        <v/>
      </c>
      <c r="J182" s="39">
        <f>IF(A182="","",COUNTIFS(VC_date,"&gt;="&amp;A182,VC_date,"&lt;="&amp;A182,VC_commercial,B182,VC_type,"Visite sur place"))</f>
        <v/>
      </c>
      <c r="K182" s="39">
        <f>IF(A182="","",COUNTIFS(VC_date,"&gt;="&amp;A182,VC_date,"&lt;="&amp;A182,VC_commercial,B182,VC_type,"&lt;&gt;Visite sur place",VC_type,"&lt;&gt;"))</f>
        <v/>
      </c>
      <c r="L182" s="39">
        <f>IF(A182="","",COUNTIFS(Cl_creation,"&gt;="&amp;A182,Cl_creation,"&lt;="&amp;A182,Cl_commercial,B182))</f>
        <v/>
      </c>
      <c r="M182" s="39">
        <f>IF(A182="","",COUNTIFS(Cl_vente1,"&gt;="&amp;A182,Cl_vente1,"&lt;="&amp;A182,Cl_commercial,B182))</f>
        <v/>
      </c>
      <c r="N182" s="39">
        <f>IF(A182="","",SUMIFS(Cmd_premiere,Cmd_date,"&gt;="&amp;A182,Cmd_date,"&lt;="&amp;A182,Cmd_commercial,B182,Cmd_statut,"&lt;&gt;Annulée",Cmd_type,"&lt;&gt;Vente directe"))</f>
        <v/>
      </c>
      <c r="O182" s="40">
        <f>IF(A182="","",SUMIFS(Cmd_montant,Cmd_date,"&gt;="&amp;A182,Cmd_date,"&lt;="&amp;A182,Cmd_commercial,B182,Cmd_statut,"&lt;&gt;Annulée",Cmd_type,"&lt;&gt;Vente directe"))</f>
        <v/>
      </c>
      <c r="P182" s="40">
        <f>IF(A182="","",SUMIFS(Cmd_montant,Cmd_dateca,"&gt;="&amp;A182,Cmd_dateca,"&lt;="&amp;A182,Cmd_commercial,B182))</f>
        <v/>
      </c>
      <c r="Q182" s="40">
        <f>IF(A182="","",SUMIFS(Enc_montant,Enc_date,"&gt;="&amp;A182,Enc_date,"&lt;="&amp;A182,Enc_commercial,B182))</f>
        <v/>
      </c>
      <c r="R182" s="40">
        <f>IF(A182="","",SUMIFS(Stk_valeur,Stk_date,"&gt;="&amp;A182,Stk_date,"&lt;="&amp;A182,Stk_commercial,B182,Stk_mouvement,"Casse / avarie")+SUMIFS(Stk_valeur,Stk_date,"&gt;="&amp;A182,Stk_date,"&lt;="&amp;A182,Stk_commercial,B182,Stk_mouvement,"Perte / vol"))</f>
        <v/>
      </c>
      <c r="S182" s="36" t="n"/>
      <c r="T182" s="36" t="n"/>
      <c r="U182" s="36" t="n"/>
      <c r="V182" s="36" t="n"/>
    </row>
    <row r="183" ht="18" customHeight="1">
      <c r="A183" s="32" t="n"/>
      <c r="B183" s="33">
        <f>IF(A183="","",Commercial_Id)</f>
        <v/>
      </c>
      <c r="C183" s="34">
        <f>IF(A183="","",CHOOSE(WEEKDAY(A183,2),"Lundi","Mardi","Mercredi","Jeudi","Vendredi","Samedi","Dimanche"))</f>
        <v/>
      </c>
      <c r="D183" s="34">
        <f>IF(A183="","",YEAR(A183-WEEKDAY(A183,2)+4)&amp;"-S"&amp;TEXT(INT((A183-DATE(YEAR(A183-WEEKDAY(A183,2)+4),1,3)+WEEKDAY(DATE(YEAR(A183-WEEKDAY(A183,2)+4),1,3),2)+5)/7),"00"))</f>
        <v/>
      </c>
      <c r="E183" s="35" t="n"/>
      <c r="F183" s="35" t="n"/>
      <c r="G183" s="36" t="n"/>
      <c r="H183" s="37" t="n"/>
      <c r="I183" s="38">
        <f>IF(OR(E183="",F183=""),"",ROUND((F183-E183)*24,1))</f>
        <v/>
      </c>
      <c r="J183" s="39">
        <f>IF(A183="","",COUNTIFS(VC_date,"&gt;="&amp;A183,VC_date,"&lt;="&amp;A183,VC_commercial,B183,VC_type,"Visite sur place"))</f>
        <v/>
      </c>
      <c r="K183" s="39">
        <f>IF(A183="","",COUNTIFS(VC_date,"&gt;="&amp;A183,VC_date,"&lt;="&amp;A183,VC_commercial,B183,VC_type,"&lt;&gt;Visite sur place",VC_type,"&lt;&gt;"))</f>
        <v/>
      </c>
      <c r="L183" s="39">
        <f>IF(A183="","",COUNTIFS(Cl_creation,"&gt;="&amp;A183,Cl_creation,"&lt;="&amp;A183,Cl_commercial,B183))</f>
        <v/>
      </c>
      <c r="M183" s="39">
        <f>IF(A183="","",COUNTIFS(Cl_vente1,"&gt;="&amp;A183,Cl_vente1,"&lt;="&amp;A183,Cl_commercial,B183))</f>
        <v/>
      </c>
      <c r="N183" s="39">
        <f>IF(A183="","",SUMIFS(Cmd_premiere,Cmd_date,"&gt;="&amp;A183,Cmd_date,"&lt;="&amp;A183,Cmd_commercial,B183,Cmd_statut,"&lt;&gt;Annulée",Cmd_type,"&lt;&gt;Vente directe"))</f>
        <v/>
      </c>
      <c r="O183" s="40">
        <f>IF(A183="","",SUMIFS(Cmd_montant,Cmd_date,"&gt;="&amp;A183,Cmd_date,"&lt;="&amp;A183,Cmd_commercial,B183,Cmd_statut,"&lt;&gt;Annulée",Cmd_type,"&lt;&gt;Vente directe"))</f>
        <v/>
      </c>
      <c r="P183" s="40">
        <f>IF(A183="","",SUMIFS(Cmd_montant,Cmd_dateca,"&gt;="&amp;A183,Cmd_dateca,"&lt;="&amp;A183,Cmd_commercial,B183))</f>
        <v/>
      </c>
      <c r="Q183" s="40">
        <f>IF(A183="","",SUMIFS(Enc_montant,Enc_date,"&gt;="&amp;A183,Enc_date,"&lt;="&amp;A183,Enc_commercial,B183))</f>
        <v/>
      </c>
      <c r="R183" s="40">
        <f>IF(A183="","",SUMIFS(Stk_valeur,Stk_date,"&gt;="&amp;A183,Stk_date,"&lt;="&amp;A183,Stk_commercial,B183,Stk_mouvement,"Casse / avarie")+SUMIFS(Stk_valeur,Stk_date,"&gt;="&amp;A183,Stk_date,"&lt;="&amp;A183,Stk_commercial,B183,Stk_mouvement,"Perte / vol"))</f>
        <v/>
      </c>
      <c r="S183" s="36" t="n"/>
      <c r="T183" s="36" t="n"/>
      <c r="U183" s="36" t="n"/>
      <c r="V183" s="36" t="n"/>
    </row>
    <row r="184" ht="18" customHeight="1">
      <c r="A184" s="32" t="n"/>
      <c r="B184" s="33">
        <f>IF(A184="","",Commercial_Id)</f>
        <v/>
      </c>
      <c r="C184" s="34">
        <f>IF(A184="","",CHOOSE(WEEKDAY(A184,2),"Lundi","Mardi","Mercredi","Jeudi","Vendredi","Samedi","Dimanche"))</f>
        <v/>
      </c>
      <c r="D184" s="34">
        <f>IF(A184="","",YEAR(A184-WEEKDAY(A184,2)+4)&amp;"-S"&amp;TEXT(INT((A184-DATE(YEAR(A184-WEEKDAY(A184,2)+4),1,3)+WEEKDAY(DATE(YEAR(A184-WEEKDAY(A184,2)+4),1,3),2)+5)/7),"00"))</f>
        <v/>
      </c>
      <c r="E184" s="35" t="n"/>
      <c r="F184" s="35" t="n"/>
      <c r="G184" s="36" t="n"/>
      <c r="H184" s="37" t="n"/>
      <c r="I184" s="38">
        <f>IF(OR(E184="",F184=""),"",ROUND((F184-E184)*24,1))</f>
        <v/>
      </c>
      <c r="J184" s="39">
        <f>IF(A184="","",COUNTIFS(VC_date,"&gt;="&amp;A184,VC_date,"&lt;="&amp;A184,VC_commercial,B184,VC_type,"Visite sur place"))</f>
        <v/>
      </c>
      <c r="K184" s="39">
        <f>IF(A184="","",COUNTIFS(VC_date,"&gt;="&amp;A184,VC_date,"&lt;="&amp;A184,VC_commercial,B184,VC_type,"&lt;&gt;Visite sur place",VC_type,"&lt;&gt;"))</f>
        <v/>
      </c>
      <c r="L184" s="39">
        <f>IF(A184="","",COUNTIFS(Cl_creation,"&gt;="&amp;A184,Cl_creation,"&lt;="&amp;A184,Cl_commercial,B184))</f>
        <v/>
      </c>
      <c r="M184" s="39">
        <f>IF(A184="","",COUNTIFS(Cl_vente1,"&gt;="&amp;A184,Cl_vente1,"&lt;="&amp;A184,Cl_commercial,B184))</f>
        <v/>
      </c>
      <c r="N184" s="39">
        <f>IF(A184="","",SUMIFS(Cmd_premiere,Cmd_date,"&gt;="&amp;A184,Cmd_date,"&lt;="&amp;A184,Cmd_commercial,B184,Cmd_statut,"&lt;&gt;Annulée",Cmd_type,"&lt;&gt;Vente directe"))</f>
        <v/>
      </c>
      <c r="O184" s="40">
        <f>IF(A184="","",SUMIFS(Cmd_montant,Cmd_date,"&gt;="&amp;A184,Cmd_date,"&lt;="&amp;A184,Cmd_commercial,B184,Cmd_statut,"&lt;&gt;Annulée",Cmd_type,"&lt;&gt;Vente directe"))</f>
        <v/>
      </c>
      <c r="P184" s="40">
        <f>IF(A184="","",SUMIFS(Cmd_montant,Cmd_dateca,"&gt;="&amp;A184,Cmd_dateca,"&lt;="&amp;A184,Cmd_commercial,B184))</f>
        <v/>
      </c>
      <c r="Q184" s="40">
        <f>IF(A184="","",SUMIFS(Enc_montant,Enc_date,"&gt;="&amp;A184,Enc_date,"&lt;="&amp;A184,Enc_commercial,B184))</f>
        <v/>
      </c>
      <c r="R184" s="40">
        <f>IF(A184="","",SUMIFS(Stk_valeur,Stk_date,"&gt;="&amp;A184,Stk_date,"&lt;="&amp;A184,Stk_commercial,B184,Stk_mouvement,"Casse / avarie")+SUMIFS(Stk_valeur,Stk_date,"&gt;="&amp;A184,Stk_date,"&lt;="&amp;A184,Stk_commercial,B184,Stk_mouvement,"Perte / vol"))</f>
        <v/>
      </c>
      <c r="S184" s="36" t="n"/>
      <c r="T184" s="36" t="n"/>
      <c r="U184" s="36" t="n"/>
      <c r="V184" s="36" t="n"/>
    </row>
    <row r="185" ht="18" customHeight="1">
      <c r="A185" s="32" t="n"/>
      <c r="B185" s="33">
        <f>IF(A185="","",Commercial_Id)</f>
        <v/>
      </c>
      <c r="C185" s="34">
        <f>IF(A185="","",CHOOSE(WEEKDAY(A185,2),"Lundi","Mardi","Mercredi","Jeudi","Vendredi","Samedi","Dimanche"))</f>
        <v/>
      </c>
      <c r="D185" s="34">
        <f>IF(A185="","",YEAR(A185-WEEKDAY(A185,2)+4)&amp;"-S"&amp;TEXT(INT((A185-DATE(YEAR(A185-WEEKDAY(A185,2)+4),1,3)+WEEKDAY(DATE(YEAR(A185-WEEKDAY(A185,2)+4),1,3),2)+5)/7),"00"))</f>
        <v/>
      </c>
      <c r="E185" s="35" t="n"/>
      <c r="F185" s="35" t="n"/>
      <c r="G185" s="36" t="n"/>
      <c r="H185" s="37" t="n"/>
      <c r="I185" s="38">
        <f>IF(OR(E185="",F185=""),"",ROUND((F185-E185)*24,1))</f>
        <v/>
      </c>
      <c r="J185" s="39">
        <f>IF(A185="","",COUNTIFS(VC_date,"&gt;="&amp;A185,VC_date,"&lt;="&amp;A185,VC_commercial,B185,VC_type,"Visite sur place"))</f>
        <v/>
      </c>
      <c r="K185" s="39">
        <f>IF(A185="","",COUNTIFS(VC_date,"&gt;="&amp;A185,VC_date,"&lt;="&amp;A185,VC_commercial,B185,VC_type,"&lt;&gt;Visite sur place",VC_type,"&lt;&gt;"))</f>
        <v/>
      </c>
      <c r="L185" s="39">
        <f>IF(A185="","",COUNTIFS(Cl_creation,"&gt;="&amp;A185,Cl_creation,"&lt;="&amp;A185,Cl_commercial,B185))</f>
        <v/>
      </c>
      <c r="M185" s="39">
        <f>IF(A185="","",COUNTIFS(Cl_vente1,"&gt;="&amp;A185,Cl_vente1,"&lt;="&amp;A185,Cl_commercial,B185))</f>
        <v/>
      </c>
      <c r="N185" s="39">
        <f>IF(A185="","",SUMIFS(Cmd_premiere,Cmd_date,"&gt;="&amp;A185,Cmd_date,"&lt;="&amp;A185,Cmd_commercial,B185,Cmd_statut,"&lt;&gt;Annulée",Cmd_type,"&lt;&gt;Vente directe"))</f>
        <v/>
      </c>
      <c r="O185" s="40">
        <f>IF(A185="","",SUMIFS(Cmd_montant,Cmd_date,"&gt;="&amp;A185,Cmd_date,"&lt;="&amp;A185,Cmd_commercial,B185,Cmd_statut,"&lt;&gt;Annulée",Cmd_type,"&lt;&gt;Vente directe"))</f>
        <v/>
      </c>
      <c r="P185" s="40">
        <f>IF(A185="","",SUMIFS(Cmd_montant,Cmd_dateca,"&gt;="&amp;A185,Cmd_dateca,"&lt;="&amp;A185,Cmd_commercial,B185))</f>
        <v/>
      </c>
      <c r="Q185" s="40">
        <f>IF(A185="","",SUMIFS(Enc_montant,Enc_date,"&gt;="&amp;A185,Enc_date,"&lt;="&amp;A185,Enc_commercial,B185))</f>
        <v/>
      </c>
      <c r="R185" s="40">
        <f>IF(A185="","",SUMIFS(Stk_valeur,Stk_date,"&gt;="&amp;A185,Stk_date,"&lt;="&amp;A185,Stk_commercial,B185,Stk_mouvement,"Casse / avarie")+SUMIFS(Stk_valeur,Stk_date,"&gt;="&amp;A185,Stk_date,"&lt;="&amp;A185,Stk_commercial,B185,Stk_mouvement,"Perte / vol"))</f>
        <v/>
      </c>
      <c r="S185" s="36" t="n"/>
      <c r="T185" s="36" t="n"/>
      <c r="U185" s="36" t="n"/>
      <c r="V185" s="36" t="n"/>
    </row>
    <row r="186" ht="18" customHeight="1">
      <c r="A186" s="32" t="n"/>
      <c r="B186" s="33">
        <f>IF(A186="","",Commercial_Id)</f>
        <v/>
      </c>
      <c r="C186" s="34">
        <f>IF(A186="","",CHOOSE(WEEKDAY(A186,2),"Lundi","Mardi","Mercredi","Jeudi","Vendredi","Samedi","Dimanche"))</f>
        <v/>
      </c>
      <c r="D186" s="34">
        <f>IF(A186="","",YEAR(A186-WEEKDAY(A186,2)+4)&amp;"-S"&amp;TEXT(INT((A186-DATE(YEAR(A186-WEEKDAY(A186,2)+4),1,3)+WEEKDAY(DATE(YEAR(A186-WEEKDAY(A186,2)+4),1,3),2)+5)/7),"00"))</f>
        <v/>
      </c>
      <c r="E186" s="35" t="n"/>
      <c r="F186" s="35" t="n"/>
      <c r="G186" s="36" t="n"/>
      <c r="H186" s="37" t="n"/>
      <c r="I186" s="38">
        <f>IF(OR(E186="",F186=""),"",ROUND((F186-E186)*24,1))</f>
        <v/>
      </c>
      <c r="J186" s="39">
        <f>IF(A186="","",COUNTIFS(VC_date,"&gt;="&amp;A186,VC_date,"&lt;="&amp;A186,VC_commercial,B186,VC_type,"Visite sur place"))</f>
        <v/>
      </c>
      <c r="K186" s="39">
        <f>IF(A186="","",COUNTIFS(VC_date,"&gt;="&amp;A186,VC_date,"&lt;="&amp;A186,VC_commercial,B186,VC_type,"&lt;&gt;Visite sur place",VC_type,"&lt;&gt;"))</f>
        <v/>
      </c>
      <c r="L186" s="39">
        <f>IF(A186="","",COUNTIFS(Cl_creation,"&gt;="&amp;A186,Cl_creation,"&lt;="&amp;A186,Cl_commercial,B186))</f>
        <v/>
      </c>
      <c r="M186" s="39">
        <f>IF(A186="","",COUNTIFS(Cl_vente1,"&gt;="&amp;A186,Cl_vente1,"&lt;="&amp;A186,Cl_commercial,B186))</f>
        <v/>
      </c>
      <c r="N186" s="39">
        <f>IF(A186="","",SUMIFS(Cmd_premiere,Cmd_date,"&gt;="&amp;A186,Cmd_date,"&lt;="&amp;A186,Cmd_commercial,B186,Cmd_statut,"&lt;&gt;Annulée",Cmd_type,"&lt;&gt;Vente directe"))</f>
        <v/>
      </c>
      <c r="O186" s="40">
        <f>IF(A186="","",SUMIFS(Cmd_montant,Cmd_date,"&gt;="&amp;A186,Cmd_date,"&lt;="&amp;A186,Cmd_commercial,B186,Cmd_statut,"&lt;&gt;Annulée",Cmd_type,"&lt;&gt;Vente directe"))</f>
        <v/>
      </c>
      <c r="P186" s="40">
        <f>IF(A186="","",SUMIFS(Cmd_montant,Cmd_dateca,"&gt;="&amp;A186,Cmd_dateca,"&lt;="&amp;A186,Cmd_commercial,B186))</f>
        <v/>
      </c>
      <c r="Q186" s="40">
        <f>IF(A186="","",SUMIFS(Enc_montant,Enc_date,"&gt;="&amp;A186,Enc_date,"&lt;="&amp;A186,Enc_commercial,B186))</f>
        <v/>
      </c>
      <c r="R186" s="40">
        <f>IF(A186="","",SUMIFS(Stk_valeur,Stk_date,"&gt;="&amp;A186,Stk_date,"&lt;="&amp;A186,Stk_commercial,B186,Stk_mouvement,"Casse / avarie")+SUMIFS(Stk_valeur,Stk_date,"&gt;="&amp;A186,Stk_date,"&lt;="&amp;A186,Stk_commercial,B186,Stk_mouvement,"Perte / vol"))</f>
        <v/>
      </c>
      <c r="S186" s="36" t="n"/>
      <c r="T186" s="36" t="n"/>
      <c r="U186" s="36" t="n"/>
      <c r="V186" s="36" t="n"/>
    </row>
    <row r="187" ht="18" customHeight="1">
      <c r="A187" s="32" t="n"/>
      <c r="B187" s="33">
        <f>IF(A187="","",Commercial_Id)</f>
        <v/>
      </c>
      <c r="C187" s="34">
        <f>IF(A187="","",CHOOSE(WEEKDAY(A187,2),"Lundi","Mardi","Mercredi","Jeudi","Vendredi","Samedi","Dimanche"))</f>
        <v/>
      </c>
      <c r="D187" s="34">
        <f>IF(A187="","",YEAR(A187-WEEKDAY(A187,2)+4)&amp;"-S"&amp;TEXT(INT((A187-DATE(YEAR(A187-WEEKDAY(A187,2)+4),1,3)+WEEKDAY(DATE(YEAR(A187-WEEKDAY(A187,2)+4),1,3),2)+5)/7),"00"))</f>
        <v/>
      </c>
      <c r="E187" s="35" t="n"/>
      <c r="F187" s="35" t="n"/>
      <c r="G187" s="36" t="n"/>
      <c r="H187" s="37" t="n"/>
      <c r="I187" s="38">
        <f>IF(OR(E187="",F187=""),"",ROUND((F187-E187)*24,1))</f>
        <v/>
      </c>
      <c r="J187" s="39">
        <f>IF(A187="","",COUNTIFS(VC_date,"&gt;="&amp;A187,VC_date,"&lt;="&amp;A187,VC_commercial,B187,VC_type,"Visite sur place"))</f>
        <v/>
      </c>
      <c r="K187" s="39">
        <f>IF(A187="","",COUNTIFS(VC_date,"&gt;="&amp;A187,VC_date,"&lt;="&amp;A187,VC_commercial,B187,VC_type,"&lt;&gt;Visite sur place",VC_type,"&lt;&gt;"))</f>
        <v/>
      </c>
      <c r="L187" s="39">
        <f>IF(A187="","",COUNTIFS(Cl_creation,"&gt;="&amp;A187,Cl_creation,"&lt;="&amp;A187,Cl_commercial,B187))</f>
        <v/>
      </c>
      <c r="M187" s="39">
        <f>IF(A187="","",COUNTIFS(Cl_vente1,"&gt;="&amp;A187,Cl_vente1,"&lt;="&amp;A187,Cl_commercial,B187))</f>
        <v/>
      </c>
      <c r="N187" s="39">
        <f>IF(A187="","",SUMIFS(Cmd_premiere,Cmd_date,"&gt;="&amp;A187,Cmd_date,"&lt;="&amp;A187,Cmd_commercial,B187,Cmd_statut,"&lt;&gt;Annulée",Cmd_type,"&lt;&gt;Vente directe"))</f>
        <v/>
      </c>
      <c r="O187" s="40">
        <f>IF(A187="","",SUMIFS(Cmd_montant,Cmd_date,"&gt;="&amp;A187,Cmd_date,"&lt;="&amp;A187,Cmd_commercial,B187,Cmd_statut,"&lt;&gt;Annulée",Cmd_type,"&lt;&gt;Vente directe"))</f>
        <v/>
      </c>
      <c r="P187" s="40">
        <f>IF(A187="","",SUMIFS(Cmd_montant,Cmd_dateca,"&gt;="&amp;A187,Cmd_dateca,"&lt;="&amp;A187,Cmd_commercial,B187))</f>
        <v/>
      </c>
      <c r="Q187" s="40">
        <f>IF(A187="","",SUMIFS(Enc_montant,Enc_date,"&gt;="&amp;A187,Enc_date,"&lt;="&amp;A187,Enc_commercial,B187))</f>
        <v/>
      </c>
      <c r="R187" s="40">
        <f>IF(A187="","",SUMIFS(Stk_valeur,Stk_date,"&gt;="&amp;A187,Stk_date,"&lt;="&amp;A187,Stk_commercial,B187,Stk_mouvement,"Casse / avarie")+SUMIFS(Stk_valeur,Stk_date,"&gt;="&amp;A187,Stk_date,"&lt;="&amp;A187,Stk_commercial,B187,Stk_mouvement,"Perte / vol"))</f>
        <v/>
      </c>
      <c r="S187" s="36" t="n"/>
      <c r="T187" s="36" t="n"/>
      <c r="U187" s="36" t="n"/>
      <c r="V187" s="36" t="n"/>
    </row>
    <row r="188" ht="18" customHeight="1">
      <c r="A188" s="32" t="n"/>
      <c r="B188" s="33">
        <f>IF(A188="","",Commercial_Id)</f>
        <v/>
      </c>
      <c r="C188" s="34">
        <f>IF(A188="","",CHOOSE(WEEKDAY(A188,2),"Lundi","Mardi","Mercredi","Jeudi","Vendredi","Samedi","Dimanche"))</f>
        <v/>
      </c>
      <c r="D188" s="34">
        <f>IF(A188="","",YEAR(A188-WEEKDAY(A188,2)+4)&amp;"-S"&amp;TEXT(INT((A188-DATE(YEAR(A188-WEEKDAY(A188,2)+4),1,3)+WEEKDAY(DATE(YEAR(A188-WEEKDAY(A188,2)+4),1,3),2)+5)/7),"00"))</f>
        <v/>
      </c>
      <c r="E188" s="35" t="n"/>
      <c r="F188" s="35" t="n"/>
      <c r="G188" s="36" t="n"/>
      <c r="H188" s="37" t="n"/>
      <c r="I188" s="38">
        <f>IF(OR(E188="",F188=""),"",ROUND((F188-E188)*24,1))</f>
        <v/>
      </c>
      <c r="J188" s="39">
        <f>IF(A188="","",COUNTIFS(VC_date,"&gt;="&amp;A188,VC_date,"&lt;="&amp;A188,VC_commercial,B188,VC_type,"Visite sur place"))</f>
        <v/>
      </c>
      <c r="K188" s="39">
        <f>IF(A188="","",COUNTIFS(VC_date,"&gt;="&amp;A188,VC_date,"&lt;="&amp;A188,VC_commercial,B188,VC_type,"&lt;&gt;Visite sur place",VC_type,"&lt;&gt;"))</f>
        <v/>
      </c>
      <c r="L188" s="39">
        <f>IF(A188="","",COUNTIFS(Cl_creation,"&gt;="&amp;A188,Cl_creation,"&lt;="&amp;A188,Cl_commercial,B188))</f>
        <v/>
      </c>
      <c r="M188" s="39">
        <f>IF(A188="","",COUNTIFS(Cl_vente1,"&gt;="&amp;A188,Cl_vente1,"&lt;="&amp;A188,Cl_commercial,B188))</f>
        <v/>
      </c>
      <c r="N188" s="39">
        <f>IF(A188="","",SUMIFS(Cmd_premiere,Cmd_date,"&gt;="&amp;A188,Cmd_date,"&lt;="&amp;A188,Cmd_commercial,B188,Cmd_statut,"&lt;&gt;Annulée",Cmd_type,"&lt;&gt;Vente directe"))</f>
        <v/>
      </c>
      <c r="O188" s="40">
        <f>IF(A188="","",SUMIFS(Cmd_montant,Cmd_date,"&gt;="&amp;A188,Cmd_date,"&lt;="&amp;A188,Cmd_commercial,B188,Cmd_statut,"&lt;&gt;Annulée",Cmd_type,"&lt;&gt;Vente directe"))</f>
        <v/>
      </c>
      <c r="P188" s="40">
        <f>IF(A188="","",SUMIFS(Cmd_montant,Cmd_dateca,"&gt;="&amp;A188,Cmd_dateca,"&lt;="&amp;A188,Cmd_commercial,B188))</f>
        <v/>
      </c>
      <c r="Q188" s="40">
        <f>IF(A188="","",SUMIFS(Enc_montant,Enc_date,"&gt;="&amp;A188,Enc_date,"&lt;="&amp;A188,Enc_commercial,B188))</f>
        <v/>
      </c>
      <c r="R188" s="40">
        <f>IF(A188="","",SUMIFS(Stk_valeur,Stk_date,"&gt;="&amp;A188,Stk_date,"&lt;="&amp;A188,Stk_commercial,B188,Stk_mouvement,"Casse / avarie")+SUMIFS(Stk_valeur,Stk_date,"&gt;="&amp;A188,Stk_date,"&lt;="&amp;A188,Stk_commercial,B188,Stk_mouvement,"Perte / vol"))</f>
        <v/>
      </c>
      <c r="S188" s="36" t="n"/>
      <c r="T188" s="36" t="n"/>
      <c r="U188" s="36" t="n"/>
      <c r="V188" s="36" t="n"/>
    </row>
    <row r="189" ht="18" customHeight="1">
      <c r="A189" s="32" t="n"/>
      <c r="B189" s="33">
        <f>IF(A189="","",Commercial_Id)</f>
        <v/>
      </c>
      <c r="C189" s="34">
        <f>IF(A189="","",CHOOSE(WEEKDAY(A189,2),"Lundi","Mardi","Mercredi","Jeudi","Vendredi","Samedi","Dimanche"))</f>
        <v/>
      </c>
      <c r="D189" s="34">
        <f>IF(A189="","",YEAR(A189-WEEKDAY(A189,2)+4)&amp;"-S"&amp;TEXT(INT((A189-DATE(YEAR(A189-WEEKDAY(A189,2)+4),1,3)+WEEKDAY(DATE(YEAR(A189-WEEKDAY(A189,2)+4),1,3),2)+5)/7),"00"))</f>
        <v/>
      </c>
      <c r="E189" s="35" t="n"/>
      <c r="F189" s="35" t="n"/>
      <c r="G189" s="36" t="n"/>
      <c r="H189" s="37" t="n"/>
      <c r="I189" s="38">
        <f>IF(OR(E189="",F189=""),"",ROUND((F189-E189)*24,1))</f>
        <v/>
      </c>
      <c r="J189" s="39">
        <f>IF(A189="","",COUNTIFS(VC_date,"&gt;="&amp;A189,VC_date,"&lt;="&amp;A189,VC_commercial,B189,VC_type,"Visite sur place"))</f>
        <v/>
      </c>
      <c r="K189" s="39">
        <f>IF(A189="","",COUNTIFS(VC_date,"&gt;="&amp;A189,VC_date,"&lt;="&amp;A189,VC_commercial,B189,VC_type,"&lt;&gt;Visite sur place",VC_type,"&lt;&gt;"))</f>
        <v/>
      </c>
      <c r="L189" s="39">
        <f>IF(A189="","",COUNTIFS(Cl_creation,"&gt;="&amp;A189,Cl_creation,"&lt;="&amp;A189,Cl_commercial,B189))</f>
        <v/>
      </c>
      <c r="M189" s="39">
        <f>IF(A189="","",COUNTIFS(Cl_vente1,"&gt;="&amp;A189,Cl_vente1,"&lt;="&amp;A189,Cl_commercial,B189))</f>
        <v/>
      </c>
      <c r="N189" s="39">
        <f>IF(A189="","",SUMIFS(Cmd_premiere,Cmd_date,"&gt;="&amp;A189,Cmd_date,"&lt;="&amp;A189,Cmd_commercial,B189,Cmd_statut,"&lt;&gt;Annulée",Cmd_type,"&lt;&gt;Vente directe"))</f>
        <v/>
      </c>
      <c r="O189" s="40">
        <f>IF(A189="","",SUMIFS(Cmd_montant,Cmd_date,"&gt;="&amp;A189,Cmd_date,"&lt;="&amp;A189,Cmd_commercial,B189,Cmd_statut,"&lt;&gt;Annulée",Cmd_type,"&lt;&gt;Vente directe"))</f>
        <v/>
      </c>
      <c r="P189" s="40">
        <f>IF(A189="","",SUMIFS(Cmd_montant,Cmd_dateca,"&gt;="&amp;A189,Cmd_dateca,"&lt;="&amp;A189,Cmd_commercial,B189))</f>
        <v/>
      </c>
      <c r="Q189" s="40">
        <f>IF(A189="","",SUMIFS(Enc_montant,Enc_date,"&gt;="&amp;A189,Enc_date,"&lt;="&amp;A189,Enc_commercial,B189))</f>
        <v/>
      </c>
      <c r="R189" s="40">
        <f>IF(A189="","",SUMIFS(Stk_valeur,Stk_date,"&gt;="&amp;A189,Stk_date,"&lt;="&amp;A189,Stk_commercial,B189,Stk_mouvement,"Casse / avarie")+SUMIFS(Stk_valeur,Stk_date,"&gt;="&amp;A189,Stk_date,"&lt;="&amp;A189,Stk_commercial,B189,Stk_mouvement,"Perte / vol"))</f>
        <v/>
      </c>
      <c r="S189" s="36" t="n"/>
      <c r="T189" s="36" t="n"/>
      <c r="U189" s="36" t="n"/>
      <c r="V189" s="36" t="n"/>
    </row>
    <row r="190" ht="18" customHeight="1">
      <c r="A190" s="32" t="n"/>
      <c r="B190" s="33">
        <f>IF(A190="","",Commercial_Id)</f>
        <v/>
      </c>
      <c r="C190" s="34">
        <f>IF(A190="","",CHOOSE(WEEKDAY(A190,2),"Lundi","Mardi","Mercredi","Jeudi","Vendredi","Samedi","Dimanche"))</f>
        <v/>
      </c>
      <c r="D190" s="34">
        <f>IF(A190="","",YEAR(A190-WEEKDAY(A190,2)+4)&amp;"-S"&amp;TEXT(INT((A190-DATE(YEAR(A190-WEEKDAY(A190,2)+4),1,3)+WEEKDAY(DATE(YEAR(A190-WEEKDAY(A190,2)+4),1,3),2)+5)/7),"00"))</f>
        <v/>
      </c>
      <c r="E190" s="35" t="n"/>
      <c r="F190" s="35" t="n"/>
      <c r="G190" s="36" t="n"/>
      <c r="H190" s="37" t="n"/>
      <c r="I190" s="38">
        <f>IF(OR(E190="",F190=""),"",ROUND((F190-E190)*24,1))</f>
        <v/>
      </c>
      <c r="J190" s="39">
        <f>IF(A190="","",COUNTIFS(VC_date,"&gt;="&amp;A190,VC_date,"&lt;="&amp;A190,VC_commercial,B190,VC_type,"Visite sur place"))</f>
        <v/>
      </c>
      <c r="K190" s="39">
        <f>IF(A190="","",COUNTIFS(VC_date,"&gt;="&amp;A190,VC_date,"&lt;="&amp;A190,VC_commercial,B190,VC_type,"&lt;&gt;Visite sur place",VC_type,"&lt;&gt;"))</f>
        <v/>
      </c>
      <c r="L190" s="39">
        <f>IF(A190="","",COUNTIFS(Cl_creation,"&gt;="&amp;A190,Cl_creation,"&lt;="&amp;A190,Cl_commercial,B190))</f>
        <v/>
      </c>
      <c r="M190" s="39">
        <f>IF(A190="","",COUNTIFS(Cl_vente1,"&gt;="&amp;A190,Cl_vente1,"&lt;="&amp;A190,Cl_commercial,B190))</f>
        <v/>
      </c>
      <c r="N190" s="39">
        <f>IF(A190="","",SUMIFS(Cmd_premiere,Cmd_date,"&gt;="&amp;A190,Cmd_date,"&lt;="&amp;A190,Cmd_commercial,B190,Cmd_statut,"&lt;&gt;Annulée",Cmd_type,"&lt;&gt;Vente directe"))</f>
        <v/>
      </c>
      <c r="O190" s="40">
        <f>IF(A190="","",SUMIFS(Cmd_montant,Cmd_date,"&gt;="&amp;A190,Cmd_date,"&lt;="&amp;A190,Cmd_commercial,B190,Cmd_statut,"&lt;&gt;Annulée",Cmd_type,"&lt;&gt;Vente directe"))</f>
        <v/>
      </c>
      <c r="P190" s="40">
        <f>IF(A190="","",SUMIFS(Cmd_montant,Cmd_dateca,"&gt;="&amp;A190,Cmd_dateca,"&lt;="&amp;A190,Cmd_commercial,B190))</f>
        <v/>
      </c>
      <c r="Q190" s="40">
        <f>IF(A190="","",SUMIFS(Enc_montant,Enc_date,"&gt;="&amp;A190,Enc_date,"&lt;="&amp;A190,Enc_commercial,B190))</f>
        <v/>
      </c>
      <c r="R190" s="40">
        <f>IF(A190="","",SUMIFS(Stk_valeur,Stk_date,"&gt;="&amp;A190,Stk_date,"&lt;="&amp;A190,Stk_commercial,B190,Stk_mouvement,"Casse / avarie")+SUMIFS(Stk_valeur,Stk_date,"&gt;="&amp;A190,Stk_date,"&lt;="&amp;A190,Stk_commercial,B190,Stk_mouvement,"Perte / vol"))</f>
        <v/>
      </c>
      <c r="S190" s="36" t="n"/>
      <c r="T190" s="36" t="n"/>
      <c r="U190" s="36" t="n"/>
      <c r="V190" s="36" t="n"/>
    </row>
    <row r="191" ht="18" customHeight="1">
      <c r="A191" s="32" t="n"/>
      <c r="B191" s="33">
        <f>IF(A191="","",Commercial_Id)</f>
        <v/>
      </c>
      <c r="C191" s="34">
        <f>IF(A191="","",CHOOSE(WEEKDAY(A191,2),"Lundi","Mardi","Mercredi","Jeudi","Vendredi","Samedi","Dimanche"))</f>
        <v/>
      </c>
      <c r="D191" s="34">
        <f>IF(A191="","",YEAR(A191-WEEKDAY(A191,2)+4)&amp;"-S"&amp;TEXT(INT((A191-DATE(YEAR(A191-WEEKDAY(A191,2)+4),1,3)+WEEKDAY(DATE(YEAR(A191-WEEKDAY(A191,2)+4),1,3),2)+5)/7),"00"))</f>
        <v/>
      </c>
      <c r="E191" s="35" t="n"/>
      <c r="F191" s="35" t="n"/>
      <c r="G191" s="36" t="n"/>
      <c r="H191" s="37" t="n"/>
      <c r="I191" s="38">
        <f>IF(OR(E191="",F191=""),"",ROUND((F191-E191)*24,1))</f>
        <v/>
      </c>
      <c r="J191" s="39">
        <f>IF(A191="","",COUNTIFS(VC_date,"&gt;="&amp;A191,VC_date,"&lt;="&amp;A191,VC_commercial,B191,VC_type,"Visite sur place"))</f>
        <v/>
      </c>
      <c r="K191" s="39">
        <f>IF(A191="","",COUNTIFS(VC_date,"&gt;="&amp;A191,VC_date,"&lt;="&amp;A191,VC_commercial,B191,VC_type,"&lt;&gt;Visite sur place",VC_type,"&lt;&gt;"))</f>
        <v/>
      </c>
      <c r="L191" s="39">
        <f>IF(A191="","",COUNTIFS(Cl_creation,"&gt;="&amp;A191,Cl_creation,"&lt;="&amp;A191,Cl_commercial,B191))</f>
        <v/>
      </c>
      <c r="M191" s="39">
        <f>IF(A191="","",COUNTIFS(Cl_vente1,"&gt;="&amp;A191,Cl_vente1,"&lt;="&amp;A191,Cl_commercial,B191))</f>
        <v/>
      </c>
      <c r="N191" s="39">
        <f>IF(A191="","",SUMIFS(Cmd_premiere,Cmd_date,"&gt;="&amp;A191,Cmd_date,"&lt;="&amp;A191,Cmd_commercial,B191,Cmd_statut,"&lt;&gt;Annulée",Cmd_type,"&lt;&gt;Vente directe"))</f>
        <v/>
      </c>
      <c r="O191" s="40">
        <f>IF(A191="","",SUMIFS(Cmd_montant,Cmd_date,"&gt;="&amp;A191,Cmd_date,"&lt;="&amp;A191,Cmd_commercial,B191,Cmd_statut,"&lt;&gt;Annulée",Cmd_type,"&lt;&gt;Vente directe"))</f>
        <v/>
      </c>
      <c r="P191" s="40">
        <f>IF(A191="","",SUMIFS(Cmd_montant,Cmd_dateca,"&gt;="&amp;A191,Cmd_dateca,"&lt;="&amp;A191,Cmd_commercial,B191))</f>
        <v/>
      </c>
      <c r="Q191" s="40">
        <f>IF(A191="","",SUMIFS(Enc_montant,Enc_date,"&gt;="&amp;A191,Enc_date,"&lt;="&amp;A191,Enc_commercial,B191))</f>
        <v/>
      </c>
      <c r="R191" s="40">
        <f>IF(A191="","",SUMIFS(Stk_valeur,Stk_date,"&gt;="&amp;A191,Stk_date,"&lt;="&amp;A191,Stk_commercial,B191,Stk_mouvement,"Casse / avarie")+SUMIFS(Stk_valeur,Stk_date,"&gt;="&amp;A191,Stk_date,"&lt;="&amp;A191,Stk_commercial,B191,Stk_mouvement,"Perte / vol"))</f>
        <v/>
      </c>
      <c r="S191" s="36" t="n"/>
      <c r="T191" s="36" t="n"/>
      <c r="U191" s="36" t="n"/>
      <c r="V191" s="36" t="n"/>
    </row>
    <row r="192" ht="18" customHeight="1">
      <c r="A192" s="32" t="n"/>
      <c r="B192" s="33">
        <f>IF(A192="","",Commercial_Id)</f>
        <v/>
      </c>
      <c r="C192" s="34">
        <f>IF(A192="","",CHOOSE(WEEKDAY(A192,2),"Lundi","Mardi","Mercredi","Jeudi","Vendredi","Samedi","Dimanche"))</f>
        <v/>
      </c>
      <c r="D192" s="34">
        <f>IF(A192="","",YEAR(A192-WEEKDAY(A192,2)+4)&amp;"-S"&amp;TEXT(INT((A192-DATE(YEAR(A192-WEEKDAY(A192,2)+4),1,3)+WEEKDAY(DATE(YEAR(A192-WEEKDAY(A192,2)+4),1,3),2)+5)/7),"00"))</f>
        <v/>
      </c>
      <c r="E192" s="35" t="n"/>
      <c r="F192" s="35" t="n"/>
      <c r="G192" s="36" t="n"/>
      <c r="H192" s="37" t="n"/>
      <c r="I192" s="38">
        <f>IF(OR(E192="",F192=""),"",ROUND((F192-E192)*24,1))</f>
        <v/>
      </c>
      <c r="J192" s="39">
        <f>IF(A192="","",COUNTIFS(VC_date,"&gt;="&amp;A192,VC_date,"&lt;="&amp;A192,VC_commercial,B192,VC_type,"Visite sur place"))</f>
        <v/>
      </c>
      <c r="K192" s="39">
        <f>IF(A192="","",COUNTIFS(VC_date,"&gt;="&amp;A192,VC_date,"&lt;="&amp;A192,VC_commercial,B192,VC_type,"&lt;&gt;Visite sur place",VC_type,"&lt;&gt;"))</f>
        <v/>
      </c>
      <c r="L192" s="39">
        <f>IF(A192="","",COUNTIFS(Cl_creation,"&gt;="&amp;A192,Cl_creation,"&lt;="&amp;A192,Cl_commercial,B192))</f>
        <v/>
      </c>
      <c r="M192" s="39">
        <f>IF(A192="","",COUNTIFS(Cl_vente1,"&gt;="&amp;A192,Cl_vente1,"&lt;="&amp;A192,Cl_commercial,B192))</f>
        <v/>
      </c>
      <c r="N192" s="39">
        <f>IF(A192="","",SUMIFS(Cmd_premiere,Cmd_date,"&gt;="&amp;A192,Cmd_date,"&lt;="&amp;A192,Cmd_commercial,B192,Cmd_statut,"&lt;&gt;Annulée",Cmd_type,"&lt;&gt;Vente directe"))</f>
        <v/>
      </c>
      <c r="O192" s="40">
        <f>IF(A192="","",SUMIFS(Cmd_montant,Cmd_date,"&gt;="&amp;A192,Cmd_date,"&lt;="&amp;A192,Cmd_commercial,B192,Cmd_statut,"&lt;&gt;Annulée",Cmd_type,"&lt;&gt;Vente directe"))</f>
        <v/>
      </c>
      <c r="P192" s="40">
        <f>IF(A192="","",SUMIFS(Cmd_montant,Cmd_dateca,"&gt;="&amp;A192,Cmd_dateca,"&lt;="&amp;A192,Cmd_commercial,B192))</f>
        <v/>
      </c>
      <c r="Q192" s="40">
        <f>IF(A192="","",SUMIFS(Enc_montant,Enc_date,"&gt;="&amp;A192,Enc_date,"&lt;="&amp;A192,Enc_commercial,B192))</f>
        <v/>
      </c>
      <c r="R192" s="40">
        <f>IF(A192="","",SUMIFS(Stk_valeur,Stk_date,"&gt;="&amp;A192,Stk_date,"&lt;="&amp;A192,Stk_commercial,B192,Stk_mouvement,"Casse / avarie")+SUMIFS(Stk_valeur,Stk_date,"&gt;="&amp;A192,Stk_date,"&lt;="&amp;A192,Stk_commercial,B192,Stk_mouvement,"Perte / vol"))</f>
        <v/>
      </c>
      <c r="S192" s="36" t="n"/>
      <c r="T192" s="36" t="n"/>
      <c r="U192" s="36" t="n"/>
      <c r="V192" s="36" t="n"/>
    </row>
    <row r="193" ht="18" customHeight="1">
      <c r="A193" s="32" t="n"/>
      <c r="B193" s="33">
        <f>IF(A193="","",Commercial_Id)</f>
        <v/>
      </c>
      <c r="C193" s="34">
        <f>IF(A193="","",CHOOSE(WEEKDAY(A193,2),"Lundi","Mardi","Mercredi","Jeudi","Vendredi","Samedi","Dimanche"))</f>
        <v/>
      </c>
      <c r="D193" s="34">
        <f>IF(A193="","",YEAR(A193-WEEKDAY(A193,2)+4)&amp;"-S"&amp;TEXT(INT((A193-DATE(YEAR(A193-WEEKDAY(A193,2)+4),1,3)+WEEKDAY(DATE(YEAR(A193-WEEKDAY(A193,2)+4),1,3),2)+5)/7),"00"))</f>
        <v/>
      </c>
      <c r="E193" s="35" t="n"/>
      <c r="F193" s="35" t="n"/>
      <c r="G193" s="36" t="n"/>
      <c r="H193" s="37" t="n"/>
      <c r="I193" s="38">
        <f>IF(OR(E193="",F193=""),"",ROUND((F193-E193)*24,1))</f>
        <v/>
      </c>
      <c r="J193" s="39">
        <f>IF(A193="","",COUNTIFS(VC_date,"&gt;="&amp;A193,VC_date,"&lt;="&amp;A193,VC_commercial,B193,VC_type,"Visite sur place"))</f>
        <v/>
      </c>
      <c r="K193" s="39">
        <f>IF(A193="","",COUNTIFS(VC_date,"&gt;="&amp;A193,VC_date,"&lt;="&amp;A193,VC_commercial,B193,VC_type,"&lt;&gt;Visite sur place",VC_type,"&lt;&gt;"))</f>
        <v/>
      </c>
      <c r="L193" s="39">
        <f>IF(A193="","",COUNTIFS(Cl_creation,"&gt;="&amp;A193,Cl_creation,"&lt;="&amp;A193,Cl_commercial,B193))</f>
        <v/>
      </c>
      <c r="M193" s="39">
        <f>IF(A193="","",COUNTIFS(Cl_vente1,"&gt;="&amp;A193,Cl_vente1,"&lt;="&amp;A193,Cl_commercial,B193))</f>
        <v/>
      </c>
      <c r="N193" s="39">
        <f>IF(A193="","",SUMIFS(Cmd_premiere,Cmd_date,"&gt;="&amp;A193,Cmd_date,"&lt;="&amp;A193,Cmd_commercial,B193,Cmd_statut,"&lt;&gt;Annulée",Cmd_type,"&lt;&gt;Vente directe"))</f>
        <v/>
      </c>
      <c r="O193" s="40">
        <f>IF(A193="","",SUMIFS(Cmd_montant,Cmd_date,"&gt;="&amp;A193,Cmd_date,"&lt;="&amp;A193,Cmd_commercial,B193,Cmd_statut,"&lt;&gt;Annulée",Cmd_type,"&lt;&gt;Vente directe"))</f>
        <v/>
      </c>
      <c r="P193" s="40">
        <f>IF(A193="","",SUMIFS(Cmd_montant,Cmd_dateca,"&gt;="&amp;A193,Cmd_dateca,"&lt;="&amp;A193,Cmd_commercial,B193))</f>
        <v/>
      </c>
      <c r="Q193" s="40">
        <f>IF(A193="","",SUMIFS(Enc_montant,Enc_date,"&gt;="&amp;A193,Enc_date,"&lt;="&amp;A193,Enc_commercial,B193))</f>
        <v/>
      </c>
      <c r="R193" s="40">
        <f>IF(A193="","",SUMIFS(Stk_valeur,Stk_date,"&gt;="&amp;A193,Stk_date,"&lt;="&amp;A193,Stk_commercial,B193,Stk_mouvement,"Casse / avarie")+SUMIFS(Stk_valeur,Stk_date,"&gt;="&amp;A193,Stk_date,"&lt;="&amp;A193,Stk_commercial,B193,Stk_mouvement,"Perte / vol"))</f>
        <v/>
      </c>
      <c r="S193" s="36" t="n"/>
      <c r="T193" s="36" t="n"/>
      <c r="U193" s="36" t="n"/>
      <c r="V193" s="36" t="n"/>
    </row>
    <row r="194" ht="18" customHeight="1">
      <c r="A194" s="32" t="n"/>
      <c r="B194" s="33">
        <f>IF(A194="","",Commercial_Id)</f>
        <v/>
      </c>
      <c r="C194" s="34">
        <f>IF(A194="","",CHOOSE(WEEKDAY(A194,2),"Lundi","Mardi","Mercredi","Jeudi","Vendredi","Samedi","Dimanche"))</f>
        <v/>
      </c>
      <c r="D194" s="34">
        <f>IF(A194="","",YEAR(A194-WEEKDAY(A194,2)+4)&amp;"-S"&amp;TEXT(INT((A194-DATE(YEAR(A194-WEEKDAY(A194,2)+4),1,3)+WEEKDAY(DATE(YEAR(A194-WEEKDAY(A194,2)+4),1,3),2)+5)/7),"00"))</f>
        <v/>
      </c>
      <c r="E194" s="35" t="n"/>
      <c r="F194" s="35" t="n"/>
      <c r="G194" s="36" t="n"/>
      <c r="H194" s="37" t="n"/>
      <c r="I194" s="38">
        <f>IF(OR(E194="",F194=""),"",ROUND((F194-E194)*24,1))</f>
        <v/>
      </c>
      <c r="J194" s="39">
        <f>IF(A194="","",COUNTIFS(VC_date,"&gt;="&amp;A194,VC_date,"&lt;="&amp;A194,VC_commercial,B194,VC_type,"Visite sur place"))</f>
        <v/>
      </c>
      <c r="K194" s="39">
        <f>IF(A194="","",COUNTIFS(VC_date,"&gt;="&amp;A194,VC_date,"&lt;="&amp;A194,VC_commercial,B194,VC_type,"&lt;&gt;Visite sur place",VC_type,"&lt;&gt;"))</f>
        <v/>
      </c>
      <c r="L194" s="39">
        <f>IF(A194="","",COUNTIFS(Cl_creation,"&gt;="&amp;A194,Cl_creation,"&lt;="&amp;A194,Cl_commercial,B194))</f>
        <v/>
      </c>
      <c r="M194" s="39">
        <f>IF(A194="","",COUNTIFS(Cl_vente1,"&gt;="&amp;A194,Cl_vente1,"&lt;="&amp;A194,Cl_commercial,B194))</f>
        <v/>
      </c>
      <c r="N194" s="39">
        <f>IF(A194="","",SUMIFS(Cmd_premiere,Cmd_date,"&gt;="&amp;A194,Cmd_date,"&lt;="&amp;A194,Cmd_commercial,B194,Cmd_statut,"&lt;&gt;Annulée",Cmd_type,"&lt;&gt;Vente directe"))</f>
        <v/>
      </c>
      <c r="O194" s="40">
        <f>IF(A194="","",SUMIFS(Cmd_montant,Cmd_date,"&gt;="&amp;A194,Cmd_date,"&lt;="&amp;A194,Cmd_commercial,B194,Cmd_statut,"&lt;&gt;Annulée",Cmd_type,"&lt;&gt;Vente directe"))</f>
        <v/>
      </c>
      <c r="P194" s="40">
        <f>IF(A194="","",SUMIFS(Cmd_montant,Cmd_dateca,"&gt;="&amp;A194,Cmd_dateca,"&lt;="&amp;A194,Cmd_commercial,B194))</f>
        <v/>
      </c>
      <c r="Q194" s="40">
        <f>IF(A194="","",SUMIFS(Enc_montant,Enc_date,"&gt;="&amp;A194,Enc_date,"&lt;="&amp;A194,Enc_commercial,B194))</f>
        <v/>
      </c>
      <c r="R194" s="40">
        <f>IF(A194="","",SUMIFS(Stk_valeur,Stk_date,"&gt;="&amp;A194,Stk_date,"&lt;="&amp;A194,Stk_commercial,B194,Stk_mouvement,"Casse / avarie")+SUMIFS(Stk_valeur,Stk_date,"&gt;="&amp;A194,Stk_date,"&lt;="&amp;A194,Stk_commercial,B194,Stk_mouvement,"Perte / vol"))</f>
        <v/>
      </c>
      <c r="S194" s="36" t="n"/>
      <c r="T194" s="36" t="n"/>
      <c r="U194" s="36" t="n"/>
      <c r="V194" s="36" t="n"/>
    </row>
    <row r="195" ht="18" customHeight="1">
      <c r="A195" s="32" t="n"/>
      <c r="B195" s="33">
        <f>IF(A195="","",Commercial_Id)</f>
        <v/>
      </c>
      <c r="C195" s="34">
        <f>IF(A195="","",CHOOSE(WEEKDAY(A195,2),"Lundi","Mardi","Mercredi","Jeudi","Vendredi","Samedi","Dimanche"))</f>
        <v/>
      </c>
      <c r="D195" s="34">
        <f>IF(A195="","",YEAR(A195-WEEKDAY(A195,2)+4)&amp;"-S"&amp;TEXT(INT((A195-DATE(YEAR(A195-WEEKDAY(A195,2)+4),1,3)+WEEKDAY(DATE(YEAR(A195-WEEKDAY(A195,2)+4),1,3),2)+5)/7),"00"))</f>
        <v/>
      </c>
      <c r="E195" s="35" t="n"/>
      <c r="F195" s="35" t="n"/>
      <c r="G195" s="36" t="n"/>
      <c r="H195" s="37" t="n"/>
      <c r="I195" s="38">
        <f>IF(OR(E195="",F195=""),"",ROUND((F195-E195)*24,1))</f>
        <v/>
      </c>
      <c r="J195" s="39">
        <f>IF(A195="","",COUNTIFS(VC_date,"&gt;="&amp;A195,VC_date,"&lt;="&amp;A195,VC_commercial,B195,VC_type,"Visite sur place"))</f>
        <v/>
      </c>
      <c r="K195" s="39">
        <f>IF(A195="","",COUNTIFS(VC_date,"&gt;="&amp;A195,VC_date,"&lt;="&amp;A195,VC_commercial,B195,VC_type,"&lt;&gt;Visite sur place",VC_type,"&lt;&gt;"))</f>
        <v/>
      </c>
      <c r="L195" s="39">
        <f>IF(A195="","",COUNTIFS(Cl_creation,"&gt;="&amp;A195,Cl_creation,"&lt;="&amp;A195,Cl_commercial,B195))</f>
        <v/>
      </c>
      <c r="M195" s="39">
        <f>IF(A195="","",COUNTIFS(Cl_vente1,"&gt;="&amp;A195,Cl_vente1,"&lt;="&amp;A195,Cl_commercial,B195))</f>
        <v/>
      </c>
      <c r="N195" s="39">
        <f>IF(A195="","",SUMIFS(Cmd_premiere,Cmd_date,"&gt;="&amp;A195,Cmd_date,"&lt;="&amp;A195,Cmd_commercial,B195,Cmd_statut,"&lt;&gt;Annulée",Cmd_type,"&lt;&gt;Vente directe"))</f>
        <v/>
      </c>
      <c r="O195" s="40">
        <f>IF(A195="","",SUMIFS(Cmd_montant,Cmd_date,"&gt;="&amp;A195,Cmd_date,"&lt;="&amp;A195,Cmd_commercial,B195,Cmd_statut,"&lt;&gt;Annulée",Cmd_type,"&lt;&gt;Vente directe"))</f>
        <v/>
      </c>
      <c r="P195" s="40">
        <f>IF(A195="","",SUMIFS(Cmd_montant,Cmd_dateca,"&gt;="&amp;A195,Cmd_dateca,"&lt;="&amp;A195,Cmd_commercial,B195))</f>
        <v/>
      </c>
      <c r="Q195" s="40">
        <f>IF(A195="","",SUMIFS(Enc_montant,Enc_date,"&gt;="&amp;A195,Enc_date,"&lt;="&amp;A195,Enc_commercial,B195))</f>
        <v/>
      </c>
      <c r="R195" s="40">
        <f>IF(A195="","",SUMIFS(Stk_valeur,Stk_date,"&gt;="&amp;A195,Stk_date,"&lt;="&amp;A195,Stk_commercial,B195,Stk_mouvement,"Casse / avarie")+SUMIFS(Stk_valeur,Stk_date,"&gt;="&amp;A195,Stk_date,"&lt;="&amp;A195,Stk_commercial,B195,Stk_mouvement,"Perte / vol"))</f>
        <v/>
      </c>
      <c r="S195" s="36" t="n"/>
      <c r="T195" s="36" t="n"/>
      <c r="U195" s="36" t="n"/>
      <c r="V195" s="36" t="n"/>
    </row>
    <row r="196" ht="18" customHeight="1">
      <c r="A196" s="32" t="n"/>
      <c r="B196" s="33">
        <f>IF(A196="","",Commercial_Id)</f>
        <v/>
      </c>
      <c r="C196" s="34">
        <f>IF(A196="","",CHOOSE(WEEKDAY(A196,2),"Lundi","Mardi","Mercredi","Jeudi","Vendredi","Samedi","Dimanche"))</f>
        <v/>
      </c>
      <c r="D196" s="34">
        <f>IF(A196="","",YEAR(A196-WEEKDAY(A196,2)+4)&amp;"-S"&amp;TEXT(INT((A196-DATE(YEAR(A196-WEEKDAY(A196,2)+4),1,3)+WEEKDAY(DATE(YEAR(A196-WEEKDAY(A196,2)+4),1,3),2)+5)/7),"00"))</f>
        <v/>
      </c>
      <c r="E196" s="35" t="n"/>
      <c r="F196" s="35" t="n"/>
      <c r="G196" s="36" t="n"/>
      <c r="H196" s="37" t="n"/>
      <c r="I196" s="38">
        <f>IF(OR(E196="",F196=""),"",ROUND((F196-E196)*24,1))</f>
        <v/>
      </c>
      <c r="J196" s="39">
        <f>IF(A196="","",COUNTIFS(VC_date,"&gt;="&amp;A196,VC_date,"&lt;="&amp;A196,VC_commercial,B196,VC_type,"Visite sur place"))</f>
        <v/>
      </c>
      <c r="K196" s="39">
        <f>IF(A196="","",COUNTIFS(VC_date,"&gt;="&amp;A196,VC_date,"&lt;="&amp;A196,VC_commercial,B196,VC_type,"&lt;&gt;Visite sur place",VC_type,"&lt;&gt;"))</f>
        <v/>
      </c>
      <c r="L196" s="39">
        <f>IF(A196="","",COUNTIFS(Cl_creation,"&gt;="&amp;A196,Cl_creation,"&lt;="&amp;A196,Cl_commercial,B196))</f>
        <v/>
      </c>
      <c r="M196" s="39">
        <f>IF(A196="","",COUNTIFS(Cl_vente1,"&gt;="&amp;A196,Cl_vente1,"&lt;="&amp;A196,Cl_commercial,B196))</f>
        <v/>
      </c>
      <c r="N196" s="39">
        <f>IF(A196="","",SUMIFS(Cmd_premiere,Cmd_date,"&gt;="&amp;A196,Cmd_date,"&lt;="&amp;A196,Cmd_commercial,B196,Cmd_statut,"&lt;&gt;Annulée",Cmd_type,"&lt;&gt;Vente directe"))</f>
        <v/>
      </c>
      <c r="O196" s="40">
        <f>IF(A196="","",SUMIFS(Cmd_montant,Cmd_date,"&gt;="&amp;A196,Cmd_date,"&lt;="&amp;A196,Cmd_commercial,B196,Cmd_statut,"&lt;&gt;Annulée",Cmd_type,"&lt;&gt;Vente directe"))</f>
        <v/>
      </c>
      <c r="P196" s="40">
        <f>IF(A196="","",SUMIFS(Cmd_montant,Cmd_dateca,"&gt;="&amp;A196,Cmd_dateca,"&lt;="&amp;A196,Cmd_commercial,B196))</f>
        <v/>
      </c>
      <c r="Q196" s="40">
        <f>IF(A196="","",SUMIFS(Enc_montant,Enc_date,"&gt;="&amp;A196,Enc_date,"&lt;="&amp;A196,Enc_commercial,B196))</f>
        <v/>
      </c>
      <c r="R196" s="40">
        <f>IF(A196="","",SUMIFS(Stk_valeur,Stk_date,"&gt;="&amp;A196,Stk_date,"&lt;="&amp;A196,Stk_commercial,B196,Stk_mouvement,"Casse / avarie")+SUMIFS(Stk_valeur,Stk_date,"&gt;="&amp;A196,Stk_date,"&lt;="&amp;A196,Stk_commercial,B196,Stk_mouvement,"Perte / vol"))</f>
        <v/>
      </c>
      <c r="S196" s="36" t="n"/>
      <c r="T196" s="36" t="n"/>
      <c r="U196" s="36" t="n"/>
      <c r="V196" s="36" t="n"/>
    </row>
    <row r="197" ht="18" customHeight="1">
      <c r="A197" s="32" t="n"/>
      <c r="B197" s="33">
        <f>IF(A197="","",Commercial_Id)</f>
        <v/>
      </c>
      <c r="C197" s="34">
        <f>IF(A197="","",CHOOSE(WEEKDAY(A197,2),"Lundi","Mardi","Mercredi","Jeudi","Vendredi","Samedi","Dimanche"))</f>
        <v/>
      </c>
      <c r="D197" s="34">
        <f>IF(A197="","",YEAR(A197-WEEKDAY(A197,2)+4)&amp;"-S"&amp;TEXT(INT((A197-DATE(YEAR(A197-WEEKDAY(A197,2)+4),1,3)+WEEKDAY(DATE(YEAR(A197-WEEKDAY(A197,2)+4),1,3),2)+5)/7),"00"))</f>
        <v/>
      </c>
      <c r="E197" s="35" t="n"/>
      <c r="F197" s="35" t="n"/>
      <c r="G197" s="36" t="n"/>
      <c r="H197" s="37" t="n"/>
      <c r="I197" s="38">
        <f>IF(OR(E197="",F197=""),"",ROUND((F197-E197)*24,1))</f>
        <v/>
      </c>
      <c r="J197" s="39">
        <f>IF(A197="","",COUNTIFS(VC_date,"&gt;="&amp;A197,VC_date,"&lt;="&amp;A197,VC_commercial,B197,VC_type,"Visite sur place"))</f>
        <v/>
      </c>
      <c r="K197" s="39">
        <f>IF(A197="","",COUNTIFS(VC_date,"&gt;="&amp;A197,VC_date,"&lt;="&amp;A197,VC_commercial,B197,VC_type,"&lt;&gt;Visite sur place",VC_type,"&lt;&gt;"))</f>
        <v/>
      </c>
      <c r="L197" s="39">
        <f>IF(A197="","",COUNTIFS(Cl_creation,"&gt;="&amp;A197,Cl_creation,"&lt;="&amp;A197,Cl_commercial,B197))</f>
        <v/>
      </c>
      <c r="M197" s="39">
        <f>IF(A197="","",COUNTIFS(Cl_vente1,"&gt;="&amp;A197,Cl_vente1,"&lt;="&amp;A197,Cl_commercial,B197))</f>
        <v/>
      </c>
      <c r="N197" s="39">
        <f>IF(A197="","",SUMIFS(Cmd_premiere,Cmd_date,"&gt;="&amp;A197,Cmd_date,"&lt;="&amp;A197,Cmd_commercial,B197,Cmd_statut,"&lt;&gt;Annulée",Cmd_type,"&lt;&gt;Vente directe"))</f>
        <v/>
      </c>
      <c r="O197" s="40">
        <f>IF(A197="","",SUMIFS(Cmd_montant,Cmd_date,"&gt;="&amp;A197,Cmd_date,"&lt;="&amp;A197,Cmd_commercial,B197,Cmd_statut,"&lt;&gt;Annulée",Cmd_type,"&lt;&gt;Vente directe"))</f>
        <v/>
      </c>
      <c r="P197" s="40">
        <f>IF(A197="","",SUMIFS(Cmd_montant,Cmd_dateca,"&gt;="&amp;A197,Cmd_dateca,"&lt;="&amp;A197,Cmd_commercial,B197))</f>
        <v/>
      </c>
      <c r="Q197" s="40">
        <f>IF(A197="","",SUMIFS(Enc_montant,Enc_date,"&gt;="&amp;A197,Enc_date,"&lt;="&amp;A197,Enc_commercial,B197))</f>
        <v/>
      </c>
      <c r="R197" s="40">
        <f>IF(A197="","",SUMIFS(Stk_valeur,Stk_date,"&gt;="&amp;A197,Stk_date,"&lt;="&amp;A197,Stk_commercial,B197,Stk_mouvement,"Casse / avarie")+SUMIFS(Stk_valeur,Stk_date,"&gt;="&amp;A197,Stk_date,"&lt;="&amp;A197,Stk_commercial,B197,Stk_mouvement,"Perte / vol"))</f>
        <v/>
      </c>
      <c r="S197" s="36" t="n"/>
      <c r="T197" s="36" t="n"/>
      <c r="U197" s="36" t="n"/>
      <c r="V197" s="36" t="n"/>
    </row>
    <row r="198" ht="18" customHeight="1">
      <c r="A198" s="32" t="n"/>
      <c r="B198" s="33">
        <f>IF(A198="","",Commercial_Id)</f>
        <v/>
      </c>
      <c r="C198" s="34">
        <f>IF(A198="","",CHOOSE(WEEKDAY(A198,2),"Lundi","Mardi","Mercredi","Jeudi","Vendredi","Samedi","Dimanche"))</f>
        <v/>
      </c>
      <c r="D198" s="34">
        <f>IF(A198="","",YEAR(A198-WEEKDAY(A198,2)+4)&amp;"-S"&amp;TEXT(INT((A198-DATE(YEAR(A198-WEEKDAY(A198,2)+4),1,3)+WEEKDAY(DATE(YEAR(A198-WEEKDAY(A198,2)+4),1,3),2)+5)/7),"00"))</f>
        <v/>
      </c>
      <c r="E198" s="35" t="n"/>
      <c r="F198" s="35" t="n"/>
      <c r="G198" s="36" t="n"/>
      <c r="H198" s="37" t="n"/>
      <c r="I198" s="38">
        <f>IF(OR(E198="",F198=""),"",ROUND((F198-E198)*24,1))</f>
        <v/>
      </c>
      <c r="J198" s="39">
        <f>IF(A198="","",COUNTIFS(VC_date,"&gt;="&amp;A198,VC_date,"&lt;="&amp;A198,VC_commercial,B198,VC_type,"Visite sur place"))</f>
        <v/>
      </c>
      <c r="K198" s="39">
        <f>IF(A198="","",COUNTIFS(VC_date,"&gt;="&amp;A198,VC_date,"&lt;="&amp;A198,VC_commercial,B198,VC_type,"&lt;&gt;Visite sur place",VC_type,"&lt;&gt;"))</f>
        <v/>
      </c>
      <c r="L198" s="39">
        <f>IF(A198="","",COUNTIFS(Cl_creation,"&gt;="&amp;A198,Cl_creation,"&lt;="&amp;A198,Cl_commercial,B198))</f>
        <v/>
      </c>
      <c r="M198" s="39">
        <f>IF(A198="","",COUNTIFS(Cl_vente1,"&gt;="&amp;A198,Cl_vente1,"&lt;="&amp;A198,Cl_commercial,B198))</f>
        <v/>
      </c>
      <c r="N198" s="39">
        <f>IF(A198="","",SUMIFS(Cmd_premiere,Cmd_date,"&gt;="&amp;A198,Cmd_date,"&lt;="&amp;A198,Cmd_commercial,B198,Cmd_statut,"&lt;&gt;Annulée",Cmd_type,"&lt;&gt;Vente directe"))</f>
        <v/>
      </c>
      <c r="O198" s="40">
        <f>IF(A198="","",SUMIFS(Cmd_montant,Cmd_date,"&gt;="&amp;A198,Cmd_date,"&lt;="&amp;A198,Cmd_commercial,B198,Cmd_statut,"&lt;&gt;Annulée",Cmd_type,"&lt;&gt;Vente directe"))</f>
        <v/>
      </c>
      <c r="P198" s="40">
        <f>IF(A198="","",SUMIFS(Cmd_montant,Cmd_dateca,"&gt;="&amp;A198,Cmd_dateca,"&lt;="&amp;A198,Cmd_commercial,B198))</f>
        <v/>
      </c>
      <c r="Q198" s="40">
        <f>IF(A198="","",SUMIFS(Enc_montant,Enc_date,"&gt;="&amp;A198,Enc_date,"&lt;="&amp;A198,Enc_commercial,B198))</f>
        <v/>
      </c>
      <c r="R198" s="40">
        <f>IF(A198="","",SUMIFS(Stk_valeur,Stk_date,"&gt;="&amp;A198,Stk_date,"&lt;="&amp;A198,Stk_commercial,B198,Stk_mouvement,"Casse / avarie")+SUMIFS(Stk_valeur,Stk_date,"&gt;="&amp;A198,Stk_date,"&lt;="&amp;A198,Stk_commercial,B198,Stk_mouvement,"Perte / vol"))</f>
        <v/>
      </c>
      <c r="S198" s="36" t="n"/>
      <c r="T198" s="36" t="n"/>
      <c r="U198" s="36" t="n"/>
      <c r="V198" s="36" t="n"/>
    </row>
    <row r="199" ht="18" customHeight="1">
      <c r="A199" s="32" t="n"/>
      <c r="B199" s="33">
        <f>IF(A199="","",Commercial_Id)</f>
        <v/>
      </c>
      <c r="C199" s="34">
        <f>IF(A199="","",CHOOSE(WEEKDAY(A199,2),"Lundi","Mardi","Mercredi","Jeudi","Vendredi","Samedi","Dimanche"))</f>
        <v/>
      </c>
      <c r="D199" s="34">
        <f>IF(A199="","",YEAR(A199-WEEKDAY(A199,2)+4)&amp;"-S"&amp;TEXT(INT((A199-DATE(YEAR(A199-WEEKDAY(A199,2)+4),1,3)+WEEKDAY(DATE(YEAR(A199-WEEKDAY(A199,2)+4),1,3),2)+5)/7),"00"))</f>
        <v/>
      </c>
      <c r="E199" s="35" t="n"/>
      <c r="F199" s="35" t="n"/>
      <c r="G199" s="36" t="n"/>
      <c r="H199" s="37" t="n"/>
      <c r="I199" s="38">
        <f>IF(OR(E199="",F199=""),"",ROUND((F199-E199)*24,1))</f>
        <v/>
      </c>
      <c r="J199" s="39">
        <f>IF(A199="","",COUNTIFS(VC_date,"&gt;="&amp;A199,VC_date,"&lt;="&amp;A199,VC_commercial,B199,VC_type,"Visite sur place"))</f>
        <v/>
      </c>
      <c r="K199" s="39">
        <f>IF(A199="","",COUNTIFS(VC_date,"&gt;="&amp;A199,VC_date,"&lt;="&amp;A199,VC_commercial,B199,VC_type,"&lt;&gt;Visite sur place",VC_type,"&lt;&gt;"))</f>
        <v/>
      </c>
      <c r="L199" s="39">
        <f>IF(A199="","",COUNTIFS(Cl_creation,"&gt;="&amp;A199,Cl_creation,"&lt;="&amp;A199,Cl_commercial,B199))</f>
        <v/>
      </c>
      <c r="M199" s="39">
        <f>IF(A199="","",COUNTIFS(Cl_vente1,"&gt;="&amp;A199,Cl_vente1,"&lt;="&amp;A199,Cl_commercial,B199))</f>
        <v/>
      </c>
      <c r="N199" s="39">
        <f>IF(A199="","",SUMIFS(Cmd_premiere,Cmd_date,"&gt;="&amp;A199,Cmd_date,"&lt;="&amp;A199,Cmd_commercial,B199,Cmd_statut,"&lt;&gt;Annulée",Cmd_type,"&lt;&gt;Vente directe"))</f>
        <v/>
      </c>
      <c r="O199" s="40">
        <f>IF(A199="","",SUMIFS(Cmd_montant,Cmd_date,"&gt;="&amp;A199,Cmd_date,"&lt;="&amp;A199,Cmd_commercial,B199,Cmd_statut,"&lt;&gt;Annulée",Cmd_type,"&lt;&gt;Vente directe"))</f>
        <v/>
      </c>
      <c r="P199" s="40">
        <f>IF(A199="","",SUMIFS(Cmd_montant,Cmd_dateca,"&gt;="&amp;A199,Cmd_dateca,"&lt;="&amp;A199,Cmd_commercial,B199))</f>
        <v/>
      </c>
      <c r="Q199" s="40">
        <f>IF(A199="","",SUMIFS(Enc_montant,Enc_date,"&gt;="&amp;A199,Enc_date,"&lt;="&amp;A199,Enc_commercial,B199))</f>
        <v/>
      </c>
      <c r="R199" s="40">
        <f>IF(A199="","",SUMIFS(Stk_valeur,Stk_date,"&gt;="&amp;A199,Stk_date,"&lt;="&amp;A199,Stk_commercial,B199,Stk_mouvement,"Casse / avarie")+SUMIFS(Stk_valeur,Stk_date,"&gt;="&amp;A199,Stk_date,"&lt;="&amp;A199,Stk_commercial,B199,Stk_mouvement,"Perte / vol"))</f>
        <v/>
      </c>
      <c r="S199" s="36" t="n"/>
      <c r="T199" s="36" t="n"/>
      <c r="U199" s="36" t="n"/>
      <c r="V199" s="36" t="n"/>
    </row>
    <row r="200" ht="18" customHeight="1">
      <c r="A200" s="32" t="n"/>
      <c r="B200" s="33">
        <f>IF(A200="","",Commercial_Id)</f>
        <v/>
      </c>
      <c r="C200" s="34">
        <f>IF(A200="","",CHOOSE(WEEKDAY(A200,2),"Lundi","Mardi","Mercredi","Jeudi","Vendredi","Samedi","Dimanche"))</f>
        <v/>
      </c>
      <c r="D200" s="34">
        <f>IF(A200="","",YEAR(A200-WEEKDAY(A200,2)+4)&amp;"-S"&amp;TEXT(INT((A200-DATE(YEAR(A200-WEEKDAY(A200,2)+4),1,3)+WEEKDAY(DATE(YEAR(A200-WEEKDAY(A200,2)+4),1,3),2)+5)/7),"00"))</f>
        <v/>
      </c>
      <c r="E200" s="35" t="n"/>
      <c r="F200" s="35" t="n"/>
      <c r="G200" s="36" t="n"/>
      <c r="H200" s="37" t="n"/>
      <c r="I200" s="38">
        <f>IF(OR(E200="",F200=""),"",ROUND((F200-E200)*24,1))</f>
        <v/>
      </c>
      <c r="J200" s="39">
        <f>IF(A200="","",COUNTIFS(VC_date,"&gt;="&amp;A200,VC_date,"&lt;="&amp;A200,VC_commercial,B200,VC_type,"Visite sur place"))</f>
        <v/>
      </c>
      <c r="K200" s="39">
        <f>IF(A200="","",COUNTIFS(VC_date,"&gt;="&amp;A200,VC_date,"&lt;="&amp;A200,VC_commercial,B200,VC_type,"&lt;&gt;Visite sur place",VC_type,"&lt;&gt;"))</f>
        <v/>
      </c>
      <c r="L200" s="39">
        <f>IF(A200="","",COUNTIFS(Cl_creation,"&gt;="&amp;A200,Cl_creation,"&lt;="&amp;A200,Cl_commercial,B200))</f>
        <v/>
      </c>
      <c r="M200" s="39">
        <f>IF(A200="","",COUNTIFS(Cl_vente1,"&gt;="&amp;A200,Cl_vente1,"&lt;="&amp;A200,Cl_commercial,B200))</f>
        <v/>
      </c>
      <c r="N200" s="39">
        <f>IF(A200="","",SUMIFS(Cmd_premiere,Cmd_date,"&gt;="&amp;A200,Cmd_date,"&lt;="&amp;A200,Cmd_commercial,B200,Cmd_statut,"&lt;&gt;Annulée",Cmd_type,"&lt;&gt;Vente directe"))</f>
        <v/>
      </c>
      <c r="O200" s="40">
        <f>IF(A200="","",SUMIFS(Cmd_montant,Cmd_date,"&gt;="&amp;A200,Cmd_date,"&lt;="&amp;A200,Cmd_commercial,B200,Cmd_statut,"&lt;&gt;Annulée",Cmd_type,"&lt;&gt;Vente directe"))</f>
        <v/>
      </c>
      <c r="P200" s="40">
        <f>IF(A200="","",SUMIFS(Cmd_montant,Cmd_dateca,"&gt;="&amp;A200,Cmd_dateca,"&lt;="&amp;A200,Cmd_commercial,B200))</f>
        <v/>
      </c>
      <c r="Q200" s="40">
        <f>IF(A200="","",SUMIFS(Enc_montant,Enc_date,"&gt;="&amp;A200,Enc_date,"&lt;="&amp;A200,Enc_commercial,B200))</f>
        <v/>
      </c>
      <c r="R200" s="40">
        <f>IF(A200="","",SUMIFS(Stk_valeur,Stk_date,"&gt;="&amp;A200,Stk_date,"&lt;="&amp;A200,Stk_commercial,B200,Stk_mouvement,"Casse / avarie")+SUMIFS(Stk_valeur,Stk_date,"&gt;="&amp;A200,Stk_date,"&lt;="&amp;A200,Stk_commercial,B200,Stk_mouvement,"Perte / vol"))</f>
        <v/>
      </c>
      <c r="S200" s="36" t="n"/>
      <c r="T200" s="36" t="n"/>
      <c r="U200" s="36" t="n"/>
      <c r="V200" s="36" t="n"/>
    </row>
    <row r="201" ht="18" customHeight="1">
      <c r="A201" s="32" t="n"/>
      <c r="B201" s="33">
        <f>IF(A201="","",Commercial_Id)</f>
        <v/>
      </c>
      <c r="C201" s="34">
        <f>IF(A201="","",CHOOSE(WEEKDAY(A201,2),"Lundi","Mardi","Mercredi","Jeudi","Vendredi","Samedi","Dimanche"))</f>
        <v/>
      </c>
      <c r="D201" s="34">
        <f>IF(A201="","",YEAR(A201-WEEKDAY(A201,2)+4)&amp;"-S"&amp;TEXT(INT((A201-DATE(YEAR(A201-WEEKDAY(A201,2)+4),1,3)+WEEKDAY(DATE(YEAR(A201-WEEKDAY(A201,2)+4),1,3),2)+5)/7),"00"))</f>
        <v/>
      </c>
      <c r="E201" s="35" t="n"/>
      <c r="F201" s="35" t="n"/>
      <c r="G201" s="36" t="n"/>
      <c r="H201" s="37" t="n"/>
      <c r="I201" s="38">
        <f>IF(OR(E201="",F201=""),"",ROUND((F201-E201)*24,1))</f>
        <v/>
      </c>
      <c r="J201" s="39">
        <f>IF(A201="","",COUNTIFS(VC_date,"&gt;="&amp;A201,VC_date,"&lt;="&amp;A201,VC_commercial,B201,VC_type,"Visite sur place"))</f>
        <v/>
      </c>
      <c r="K201" s="39">
        <f>IF(A201="","",COUNTIFS(VC_date,"&gt;="&amp;A201,VC_date,"&lt;="&amp;A201,VC_commercial,B201,VC_type,"&lt;&gt;Visite sur place",VC_type,"&lt;&gt;"))</f>
        <v/>
      </c>
      <c r="L201" s="39">
        <f>IF(A201="","",COUNTIFS(Cl_creation,"&gt;="&amp;A201,Cl_creation,"&lt;="&amp;A201,Cl_commercial,B201))</f>
        <v/>
      </c>
      <c r="M201" s="39">
        <f>IF(A201="","",COUNTIFS(Cl_vente1,"&gt;="&amp;A201,Cl_vente1,"&lt;="&amp;A201,Cl_commercial,B201))</f>
        <v/>
      </c>
      <c r="N201" s="39">
        <f>IF(A201="","",SUMIFS(Cmd_premiere,Cmd_date,"&gt;="&amp;A201,Cmd_date,"&lt;="&amp;A201,Cmd_commercial,B201,Cmd_statut,"&lt;&gt;Annulée",Cmd_type,"&lt;&gt;Vente directe"))</f>
        <v/>
      </c>
      <c r="O201" s="40">
        <f>IF(A201="","",SUMIFS(Cmd_montant,Cmd_date,"&gt;="&amp;A201,Cmd_date,"&lt;="&amp;A201,Cmd_commercial,B201,Cmd_statut,"&lt;&gt;Annulée",Cmd_type,"&lt;&gt;Vente directe"))</f>
        <v/>
      </c>
      <c r="P201" s="40">
        <f>IF(A201="","",SUMIFS(Cmd_montant,Cmd_dateca,"&gt;="&amp;A201,Cmd_dateca,"&lt;="&amp;A201,Cmd_commercial,B201))</f>
        <v/>
      </c>
      <c r="Q201" s="40">
        <f>IF(A201="","",SUMIFS(Enc_montant,Enc_date,"&gt;="&amp;A201,Enc_date,"&lt;="&amp;A201,Enc_commercial,B201))</f>
        <v/>
      </c>
      <c r="R201" s="40">
        <f>IF(A201="","",SUMIFS(Stk_valeur,Stk_date,"&gt;="&amp;A201,Stk_date,"&lt;="&amp;A201,Stk_commercial,B201,Stk_mouvement,"Casse / avarie")+SUMIFS(Stk_valeur,Stk_date,"&gt;="&amp;A201,Stk_date,"&lt;="&amp;A201,Stk_commercial,B201,Stk_mouvement,"Perte / vol"))</f>
        <v/>
      </c>
      <c r="S201" s="36" t="n"/>
      <c r="T201" s="36" t="n"/>
      <c r="U201" s="36" t="n"/>
      <c r="V201" s="36" t="n"/>
    </row>
    <row r="202" ht="18" customHeight="1">
      <c r="A202" s="32" t="n"/>
      <c r="B202" s="33">
        <f>IF(A202="","",Commercial_Id)</f>
        <v/>
      </c>
      <c r="C202" s="34">
        <f>IF(A202="","",CHOOSE(WEEKDAY(A202,2),"Lundi","Mardi","Mercredi","Jeudi","Vendredi","Samedi","Dimanche"))</f>
        <v/>
      </c>
      <c r="D202" s="34">
        <f>IF(A202="","",YEAR(A202-WEEKDAY(A202,2)+4)&amp;"-S"&amp;TEXT(INT((A202-DATE(YEAR(A202-WEEKDAY(A202,2)+4),1,3)+WEEKDAY(DATE(YEAR(A202-WEEKDAY(A202,2)+4),1,3),2)+5)/7),"00"))</f>
        <v/>
      </c>
      <c r="E202" s="35" t="n"/>
      <c r="F202" s="35" t="n"/>
      <c r="G202" s="36" t="n"/>
      <c r="H202" s="37" t="n"/>
      <c r="I202" s="38">
        <f>IF(OR(E202="",F202=""),"",ROUND((F202-E202)*24,1))</f>
        <v/>
      </c>
      <c r="J202" s="39">
        <f>IF(A202="","",COUNTIFS(VC_date,"&gt;="&amp;A202,VC_date,"&lt;="&amp;A202,VC_commercial,B202,VC_type,"Visite sur place"))</f>
        <v/>
      </c>
      <c r="K202" s="39">
        <f>IF(A202="","",COUNTIFS(VC_date,"&gt;="&amp;A202,VC_date,"&lt;="&amp;A202,VC_commercial,B202,VC_type,"&lt;&gt;Visite sur place",VC_type,"&lt;&gt;"))</f>
        <v/>
      </c>
      <c r="L202" s="39">
        <f>IF(A202="","",COUNTIFS(Cl_creation,"&gt;="&amp;A202,Cl_creation,"&lt;="&amp;A202,Cl_commercial,B202))</f>
        <v/>
      </c>
      <c r="M202" s="39">
        <f>IF(A202="","",COUNTIFS(Cl_vente1,"&gt;="&amp;A202,Cl_vente1,"&lt;="&amp;A202,Cl_commercial,B202))</f>
        <v/>
      </c>
      <c r="N202" s="39">
        <f>IF(A202="","",SUMIFS(Cmd_premiere,Cmd_date,"&gt;="&amp;A202,Cmd_date,"&lt;="&amp;A202,Cmd_commercial,B202,Cmd_statut,"&lt;&gt;Annulée",Cmd_type,"&lt;&gt;Vente directe"))</f>
        <v/>
      </c>
      <c r="O202" s="40">
        <f>IF(A202="","",SUMIFS(Cmd_montant,Cmd_date,"&gt;="&amp;A202,Cmd_date,"&lt;="&amp;A202,Cmd_commercial,B202,Cmd_statut,"&lt;&gt;Annulée",Cmd_type,"&lt;&gt;Vente directe"))</f>
        <v/>
      </c>
      <c r="P202" s="40">
        <f>IF(A202="","",SUMIFS(Cmd_montant,Cmd_dateca,"&gt;="&amp;A202,Cmd_dateca,"&lt;="&amp;A202,Cmd_commercial,B202))</f>
        <v/>
      </c>
      <c r="Q202" s="40">
        <f>IF(A202="","",SUMIFS(Enc_montant,Enc_date,"&gt;="&amp;A202,Enc_date,"&lt;="&amp;A202,Enc_commercial,B202))</f>
        <v/>
      </c>
      <c r="R202" s="40">
        <f>IF(A202="","",SUMIFS(Stk_valeur,Stk_date,"&gt;="&amp;A202,Stk_date,"&lt;="&amp;A202,Stk_commercial,B202,Stk_mouvement,"Casse / avarie")+SUMIFS(Stk_valeur,Stk_date,"&gt;="&amp;A202,Stk_date,"&lt;="&amp;A202,Stk_commercial,B202,Stk_mouvement,"Perte / vol"))</f>
        <v/>
      </c>
      <c r="S202" s="36" t="n"/>
      <c r="T202" s="36" t="n"/>
      <c r="U202" s="36" t="n"/>
      <c r="V202" s="36" t="n"/>
    </row>
    <row r="203" ht="18" customHeight="1">
      <c r="A203" s="32" t="n"/>
      <c r="B203" s="33">
        <f>IF(A203="","",Commercial_Id)</f>
        <v/>
      </c>
      <c r="C203" s="34">
        <f>IF(A203="","",CHOOSE(WEEKDAY(A203,2),"Lundi","Mardi","Mercredi","Jeudi","Vendredi","Samedi","Dimanche"))</f>
        <v/>
      </c>
      <c r="D203" s="34">
        <f>IF(A203="","",YEAR(A203-WEEKDAY(A203,2)+4)&amp;"-S"&amp;TEXT(INT((A203-DATE(YEAR(A203-WEEKDAY(A203,2)+4),1,3)+WEEKDAY(DATE(YEAR(A203-WEEKDAY(A203,2)+4),1,3),2)+5)/7),"00"))</f>
        <v/>
      </c>
      <c r="E203" s="35" t="n"/>
      <c r="F203" s="35" t="n"/>
      <c r="G203" s="36" t="n"/>
      <c r="H203" s="37" t="n"/>
      <c r="I203" s="38">
        <f>IF(OR(E203="",F203=""),"",ROUND((F203-E203)*24,1))</f>
        <v/>
      </c>
      <c r="J203" s="39">
        <f>IF(A203="","",COUNTIFS(VC_date,"&gt;="&amp;A203,VC_date,"&lt;="&amp;A203,VC_commercial,B203,VC_type,"Visite sur place"))</f>
        <v/>
      </c>
      <c r="K203" s="39">
        <f>IF(A203="","",COUNTIFS(VC_date,"&gt;="&amp;A203,VC_date,"&lt;="&amp;A203,VC_commercial,B203,VC_type,"&lt;&gt;Visite sur place",VC_type,"&lt;&gt;"))</f>
        <v/>
      </c>
      <c r="L203" s="39">
        <f>IF(A203="","",COUNTIFS(Cl_creation,"&gt;="&amp;A203,Cl_creation,"&lt;="&amp;A203,Cl_commercial,B203))</f>
        <v/>
      </c>
      <c r="M203" s="39">
        <f>IF(A203="","",COUNTIFS(Cl_vente1,"&gt;="&amp;A203,Cl_vente1,"&lt;="&amp;A203,Cl_commercial,B203))</f>
        <v/>
      </c>
      <c r="N203" s="39">
        <f>IF(A203="","",SUMIFS(Cmd_premiere,Cmd_date,"&gt;="&amp;A203,Cmd_date,"&lt;="&amp;A203,Cmd_commercial,B203,Cmd_statut,"&lt;&gt;Annulée",Cmd_type,"&lt;&gt;Vente directe"))</f>
        <v/>
      </c>
      <c r="O203" s="40">
        <f>IF(A203="","",SUMIFS(Cmd_montant,Cmd_date,"&gt;="&amp;A203,Cmd_date,"&lt;="&amp;A203,Cmd_commercial,B203,Cmd_statut,"&lt;&gt;Annulée",Cmd_type,"&lt;&gt;Vente directe"))</f>
        <v/>
      </c>
      <c r="P203" s="40">
        <f>IF(A203="","",SUMIFS(Cmd_montant,Cmd_dateca,"&gt;="&amp;A203,Cmd_dateca,"&lt;="&amp;A203,Cmd_commercial,B203))</f>
        <v/>
      </c>
      <c r="Q203" s="40">
        <f>IF(A203="","",SUMIFS(Enc_montant,Enc_date,"&gt;="&amp;A203,Enc_date,"&lt;="&amp;A203,Enc_commercial,B203))</f>
        <v/>
      </c>
      <c r="R203" s="40">
        <f>IF(A203="","",SUMIFS(Stk_valeur,Stk_date,"&gt;="&amp;A203,Stk_date,"&lt;="&amp;A203,Stk_commercial,B203,Stk_mouvement,"Casse / avarie")+SUMIFS(Stk_valeur,Stk_date,"&gt;="&amp;A203,Stk_date,"&lt;="&amp;A203,Stk_commercial,B203,Stk_mouvement,"Perte / vol"))</f>
        <v/>
      </c>
      <c r="S203" s="36" t="n"/>
      <c r="T203" s="36" t="n"/>
      <c r="U203" s="36" t="n"/>
      <c r="V203" s="36" t="n"/>
    </row>
    <row r="204" ht="18" customHeight="1">
      <c r="A204" s="32" t="n"/>
      <c r="B204" s="33">
        <f>IF(A204="","",Commercial_Id)</f>
        <v/>
      </c>
      <c r="C204" s="34">
        <f>IF(A204="","",CHOOSE(WEEKDAY(A204,2),"Lundi","Mardi","Mercredi","Jeudi","Vendredi","Samedi","Dimanche"))</f>
        <v/>
      </c>
      <c r="D204" s="34">
        <f>IF(A204="","",YEAR(A204-WEEKDAY(A204,2)+4)&amp;"-S"&amp;TEXT(INT((A204-DATE(YEAR(A204-WEEKDAY(A204,2)+4),1,3)+WEEKDAY(DATE(YEAR(A204-WEEKDAY(A204,2)+4),1,3),2)+5)/7),"00"))</f>
        <v/>
      </c>
      <c r="E204" s="35" t="n"/>
      <c r="F204" s="35" t="n"/>
      <c r="G204" s="36" t="n"/>
      <c r="H204" s="37" t="n"/>
      <c r="I204" s="38">
        <f>IF(OR(E204="",F204=""),"",ROUND((F204-E204)*24,1))</f>
        <v/>
      </c>
      <c r="J204" s="39">
        <f>IF(A204="","",COUNTIFS(VC_date,"&gt;="&amp;A204,VC_date,"&lt;="&amp;A204,VC_commercial,B204,VC_type,"Visite sur place"))</f>
        <v/>
      </c>
      <c r="K204" s="39">
        <f>IF(A204="","",COUNTIFS(VC_date,"&gt;="&amp;A204,VC_date,"&lt;="&amp;A204,VC_commercial,B204,VC_type,"&lt;&gt;Visite sur place",VC_type,"&lt;&gt;"))</f>
        <v/>
      </c>
      <c r="L204" s="39">
        <f>IF(A204="","",COUNTIFS(Cl_creation,"&gt;="&amp;A204,Cl_creation,"&lt;="&amp;A204,Cl_commercial,B204))</f>
        <v/>
      </c>
      <c r="M204" s="39">
        <f>IF(A204="","",COUNTIFS(Cl_vente1,"&gt;="&amp;A204,Cl_vente1,"&lt;="&amp;A204,Cl_commercial,B204))</f>
        <v/>
      </c>
      <c r="N204" s="39">
        <f>IF(A204="","",SUMIFS(Cmd_premiere,Cmd_date,"&gt;="&amp;A204,Cmd_date,"&lt;="&amp;A204,Cmd_commercial,B204,Cmd_statut,"&lt;&gt;Annulée",Cmd_type,"&lt;&gt;Vente directe"))</f>
        <v/>
      </c>
      <c r="O204" s="40">
        <f>IF(A204="","",SUMIFS(Cmd_montant,Cmd_date,"&gt;="&amp;A204,Cmd_date,"&lt;="&amp;A204,Cmd_commercial,B204,Cmd_statut,"&lt;&gt;Annulée",Cmd_type,"&lt;&gt;Vente directe"))</f>
        <v/>
      </c>
      <c r="P204" s="40">
        <f>IF(A204="","",SUMIFS(Cmd_montant,Cmd_dateca,"&gt;="&amp;A204,Cmd_dateca,"&lt;="&amp;A204,Cmd_commercial,B204))</f>
        <v/>
      </c>
      <c r="Q204" s="40">
        <f>IF(A204="","",SUMIFS(Enc_montant,Enc_date,"&gt;="&amp;A204,Enc_date,"&lt;="&amp;A204,Enc_commercial,B204))</f>
        <v/>
      </c>
      <c r="R204" s="40">
        <f>IF(A204="","",SUMIFS(Stk_valeur,Stk_date,"&gt;="&amp;A204,Stk_date,"&lt;="&amp;A204,Stk_commercial,B204,Stk_mouvement,"Casse / avarie")+SUMIFS(Stk_valeur,Stk_date,"&gt;="&amp;A204,Stk_date,"&lt;="&amp;A204,Stk_commercial,B204,Stk_mouvement,"Perte / vol"))</f>
        <v/>
      </c>
      <c r="S204" s="36" t="n"/>
      <c r="T204" s="36" t="n"/>
      <c r="U204" s="36" t="n"/>
      <c r="V204" s="36" t="n"/>
    </row>
    <row r="205" ht="18" customHeight="1">
      <c r="A205" s="32" t="n"/>
      <c r="B205" s="33">
        <f>IF(A205="","",Commercial_Id)</f>
        <v/>
      </c>
      <c r="C205" s="34">
        <f>IF(A205="","",CHOOSE(WEEKDAY(A205,2),"Lundi","Mardi","Mercredi","Jeudi","Vendredi","Samedi","Dimanche"))</f>
        <v/>
      </c>
      <c r="D205" s="34">
        <f>IF(A205="","",YEAR(A205-WEEKDAY(A205,2)+4)&amp;"-S"&amp;TEXT(INT((A205-DATE(YEAR(A205-WEEKDAY(A205,2)+4),1,3)+WEEKDAY(DATE(YEAR(A205-WEEKDAY(A205,2)+4),1,3),2)+5)/7),"00"))</f>
        <v/>
      </c>
      <c r="E205" s="35" t="n"/>
      <c r="F205" s="35" t="n"/>
      <c r="G205" s="36" t="n"/>
      <c r="H205" s="37" t="n"/>
      <c r="I205" s="38">
        <f>IF(OR(E205="",F205=""),"",ROUND((F205-E205)*24,1))</f>
        <v/>
      </c>
      <c r="J205" s="39">
        <f>IF(A205="","",COUNTIFS(VC_date,"&gt;="&amp;A205,VC_date,"&lt;="&amp;A205,VC_commercial,B205,VC_type,"Visite sur place"))</f>
        <v/>
      </c>
      <c r="K205" s="39">
        <f>IF(A205="","",COUNTIFS(VC_date,"&gt;="&amp;A205,VC_date,"&lt;="&amp;A205,VC_commercial,B205,VC_type,"&lt;&gt;Visite sur place",VC_type,"&lt;&gt;"))</f>
        <v/>
      </c>
      <c r="L205" s="39">
        <f>IF(A205="","",COUNTIFS(Cl_creation,"&gt;="&amp;A205,Cl_creation,"&lt;="&amp;A205,Cl_commercial,B205))</f>
        <v/>
      </c>
      <c r="M205" s="39">
        <f>IF(A205="","",COUNTIFS(Cl_vente1,"&gt;="&amp;A205,Cl_vente1,"&lt;="&amp;A205,Cl_commercial,B205))</f>
        <v/>
      </c>
      <c r="N205" s="39">
        <f>IF(A205="","",SUMIFS(Cmd_premiere,Cmd_date,"&gt;="&amp;A205,Cmd_date,"&lt;="&amp;A205,Cmd_commercial,B205,Cmd_statut,"&lt;&gt;Annulée",Cmd_type,"&lt;&gt;Vente directe"))</f>
        <v/>
      </c>
      <c r="O205" s="40">
        <f>IF(A205="","",SUMIFS(Cmd_montant,Cmd_date,"&gt;="&amp;A205,Cmd_date,"&lt;="&amp;A205,Cmd_commercial,B205,Cmd_statut,"&lt;&gt;Annulée",Cmd_type,"&lt;&gt;Vente directe"))</f>
        <v/>
      </c>
      <c r="P205" s="40">
        <f>IF(A205="","",SUMIFS(Cmd_montant,Cmd_dateca,"&gt;="&amp;A205,Cmd_dateca,"&lt;="&amp;A205,Cmd_commercial,B205))</f>
        <v/>
      </c>
      <c r="Q205" s="40">
        <f>IF(A205="","",SUMIFS(Enc_montant,Enc_date,"&gt;="&amp;A205,Enc_date,"&lt;="&amp;A205,Enc_commercial,B205))</f>
        <v/>
      </c>
      <c r="R205" s="40">
        <f>IF(A205="","",SUMIFS(Stk_valeur,Stk_date,"&gt;="&amp;A205,Stk_date,"&lt;="&amp;A205,Stk_commercial,B205,Stk_mouvement,"Casse / avarie")+SUMIFS(Stk_valeur,Stk_date,"&gt;="&amp;A205,Stk_date,"&lt;="&amp;A205,Stk_commercial,B205,Stk_mouvement,"Perte / vol"))</f>
        <v/>
      </c>
      <c r="S205" s="36" t="n"/>
      <c r="T205" s="36" t="n"/>
      <c r="U205" s="36" t="n"/>
      <c r="V205" s="36" t="n"/>
    </row>
  </sheetData>
  <autoFilter ref="A5:V205"/>
  <mergeCells count="1">
    <mergeCell ref="A3:B3"/>
  </mergeCells>
  <conditionalFormatting sqref="A6:A205">
    <cfRule type="expression" priority="1" dxfId="0">
      <formula>AND(COUNTA($A6:$A6,$E6:$H6,$S6:$V6)&gt;0,A6="")</formula>
    </cfRule>
    <cfRule type="expression" priority="2" dxfId="0">
      <formula>AND(A6&lt;&gt;"",NOT(ISNUMBER(A6)))</formula>
    </cfRule>
  </conditionalFormatting>
  <dataValidations count="5">
    <dataValidation sqref="A6:A2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E6:E205" showDropDown="0" showInputMessage="0" showErrorMessage="1" allowBlank="1" errorTitle="Valeur hors liste" error="Choisissez l'heure dans la liste (tous les quarts d'heure). Vous pouvez aussi taper une autre heure, au format hh:mm. Cliquez sur OK pour la garder telle quelle." type="list" errorStyle="information">
      <formula1>=L_Heures</formula1>
    </dataValidation>
    <dataValidation sqref="F6:F205" showDropDown="0" showInputMessage="0" showErrorMessage="1" allowBlank="1" errorTitle="Valeur hors liste" error="Choisissez l'heure dans la liste (tous les quarts d'heure). Vous pouvez aussi taper une autre heure, au format hh:mm. Cliquez sur OK pour la garder telle quelle." type="list" errorStyle="information">
      <formula1>=L_Heures</formula1>
    </dataValidation>
    <dataValidation sqref="G6:G205"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 sqref="H6:H205" showDropDown="0" showInputMessage="0" showErrorMessage="1" allowBlank="1" errorTitle="Valeur hors liste" error="Choisissez un montant dans la liste ou tapez-en un autre. Cliquez sur OK pour la garder telle quelle." type="list" errorStyle="information">
      <formula1>=L_Frais</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4.xml><?xml version="1.0" encoding="utf-8"?>
<worksheet xmlns="http://schemas.openxmlformats.org/spreadsheetml/2006/main">
  <sheetPr>
    <tabColor rgb="002F6EBA"/>
    <outlinePr summaryBelow="1" summaryRight="1"/>
    <pageSetUpPr fitToPage="1"/>
  </sheetPr>
  <dimension ref="A1:V20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9" customWidth="1" min="4" max="4"/>
    <col width="18" customWidth="1" min="5" max="5"/>
    <col width="38" customWidth="1" min="6" max="6"/>
    <col width="28" customWidth="1" min="7" max="7"/>
    <col width="22" customWidth="1" min="8" max="8"/>
    <col width="24" customWidth="1" min="9" max="9"/>
    <col width="14" customWidth="1" min="10" max="10"/>
    <col width="16" customWidth="1" min="11" max="11"/>
    <col width="28" customWidth="1" min="12" max="12"/>
    <col width="11" customWidth="1" min="13" max="13"/>
    <col width="11" customWidth="1" min="14" max="14"/>
    <col width="36" customWidth="1" min="15" max="15"/>
    <col width="13" customWidth="1" min="16" max="16"/>
    <col width="9" customWidth="1" min="17" max="17"/>
    <col hidden="1" width="14" customWidth="1" min="18" max="18"/>
    <col width="12" customWidth="1" min="19" max="19"/>
    <col width="30" customWidth="1" min="20" max="20"/>
    <col width="18" customWidth="1" min="21" max="21"/>
    <col width="10" customWidth="1" min="22" max="22"/>
  </cols>
  <sheetData>
    <row r="1" ht="26" customHeight="1">
      <c r="A1" s="15" t="inlineStr">
        <is>
          <t>VISITES ET CONTACTS — journal du terrain</t>
        </is>
      </c>
    </row>
    <row r="2" ht="18" customHeight="1">
      <c r="A2" s="2" t="inlineStr">
        <is>
          <t>Une ligne par visite sur place ou par appel / message. Choisissez la date, l'heure et le client dans les listes ; ajoutez d'abord un nouveau prospect dans « Clients ».</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Liste d'heures</t>
        </is>
      </c>
      <c r="E4" s="30" t="inlineStr">
        <is>
          <t>Sur place, appel…</t>
        </is>
      </c>
      <c r="F4" s="30" t="inlineStr">
        <is>
          <t>Tapez les premières lettres ou ouvrez la liste</t>
        </is>
      </c>
      <c r="G4" s="30" t="inlineStr">
        <is>
          <t>Liste</t>
        </is>
      </c>
      <c r="H4" s="30" t="inlineStr">
        <is>
          <t>Liste</t>
        </is>
      </c>
      <c r="I4" s="30" t="inlineStr">
        <is>
          <t>Veille marché</t>
        </is>
      </c>
      <c r="J4" s="30" t="inlineStr">
        <is>
          <t>Veille marché</t>
        </is>
      </c>
      <c r="K4" s="30" t="inlineStr">
        <is>
          <t>Remplace l'action précédente du client</t>
        </is>
      </c>
      <c r="L4" s="30" t="inlineStr">
        <is>
          <t>Ex. rappeler jeudi</t>
        </is>
      </c>
      <c r="M4" s="30" t="inlineStr">
        <is>
          <t>Facultatif</t>
        </is>
      </c>
      <c r="N4" s="30" t="inlineStr">
        <is>
          <t>Facultatif</t>
        </is>
      </c>
      <c r="O4" s="30" t="inlineStr">
        <is>
          <t>Libre</t>
        </is>
      </c>
      <c r="P4" s="30" t="inlineStr">
        <is>
          <t>Rempli seul (Paramètres) ; remplaçable</t>
        </is>
      </c>
      <c r="Q4" s="30" t="inlineStr">
        <is>
          <t>Calculé</t>
        </is>
      </c>
      <c r="R4" s="30" t="inlineStr">
        <is>
          <t>Technique</t>
        </is>
      </c>
      <c r="S4" s="30" t="inlineStr">
        <is>
          <t>Calculé</t>
        </is>
      </c>
      <c r="T4" s="30" t="inlineStr">
        <is>
          <t>Calculé</t>
        </is>
      </c>
      <c r="U4" s="30" t="inlineStr">
        <is>
          <t>Calculé</t>
        </is>
      </c>
      <c r="V4" s="30" t="inlineStr">
        <is>
          <t>Calculé (ISO)</t>
        </is>
      </c>
    </row>
    <row r="5" ht="44" customHeight="1">
      <c r="A5" s="7" t="inlineStr">
        <is>
          <t>N°</t>
        </is>
      </c>
      <c r="B5" s="7" t="inlineStr">
        <is>
          <t>Réf. de la ligne</t>
        </is>
      </c>
      <c r="C5" s="31" t="inlineStr">
        <is>
          <t>Date</t>
        </is>
      </c>
      <c r="D5" s="31" t="inlineStr">
        <is>
          <t>Heure</t>
        </is>
      </c>
      <c r="E5" s="31" t="inlineStr">
        <is>
          <t>Type de contact</t>
        </is>
      </c>
      <c r="F5" s="31" t="inlineStr">
        <is>
          <t>Client / prospect</t>
        </is>
      </c>
      <c r="G5" s="31" t="inlineStr">
        <is>
          <t>Objet du contact</t>
        </is>
      </c>
      <c r="H5" s="31" t="inlineStr">
        <is>
          <t>Résultat</t>
        </is>
      </c>
      <c r="I5" s="31" t="inlineStr">
        <is>
          <t>Fournisseur actuel / concurrent</t>
        </is>
      </c>
      <c r="J5" s="31" t="inlineStr">
        <is>
          <t>Prix concurrent constaté (XAF)</t>
        </is>
      </c>
      <c r="K5" s="31" t="inlineStr">
        <is>
          <t>Prochaine action : date</t>
        </is>
      </c>
      <c r="L5" s="31" t="inlineStr">
        <is>
          <t>Prochaine action : à faire</t>
        </is>
      </c>
      <c r="M5" s="31" t="inlineStr">
        <is>
          <t>Latitude</t>
        </is>
      </c>
      <c r="N5" s="31" t="inlineStr">
        <is>
          <t>Longitude</t>
        </is>
      </c>
      <c r="O5" s="31" t="inlineStr">
        <is>
          <t>Notes</t>
        </is>
      </c>
      <c r="P5" s="7" t="inlineStr">
        <is>
          <t>Commercial</t>
        </is>
      </c>
      <c r="Q5" s="7" t="inlineStr">
        <is>
          <t>N° client</t>
        </is>
      </c>
      <c r="R5" s="7" t="inlineStr">
        <is>
          <t>Clé client</t>
        </is>
      </c>
      <c r="S5" s="7" t="inlineStr">
        <is>
          <t>Code client</t>
        </is>
      </c>
      <c r="T5" s="7" t="inlineStr">
        <is>
          <t>Nom du client</t>
        </is>
      </c>
      <c r="U5" s="7" t="inlineStr">
        <is>
          <t>Quartier</t>
        </is>
      </c>
      <c r="V5" s="7" t="inlineStr">
        <is>
          <t>Semaine</t>
        </is>
      </c>
    </row>
    <row r="6" ht="18" customHeight="1">
      <c r="A6" s="39" t="n">
        <v>1</v>
      </c>
      <c r="B6" s="33">
        <f>IF(C6="","",IF(P6="À RENSEIGNER","GIC",P6)&amp;"-V"&amp;TEXT(A6,"00000"))</f>
        <v/>
      </c>
      <c r="C6" s="32" t="n"/>
      <c r="D6" s="35" t="n"/>
      <c r="E6" s="36" t="n"/>
      <c r="F6" s="36" t="n"/>
      <c r="G6" s="36" t="n"/>
      <c r="H6" s="36" t="n"/>
      <c r="I6" s="36" t="n"/>
      <c r="J6" s="37" t="n"/>
      <c r="K6" s="32" t="n"/>
      <c r="L6" s="36" t="n"/>
      <c r="M6" s="41" t="n"/>
      <c r="N6" s="41" t="n"/>
      <c r="O6" s="36" t="n"/>
      <c r="P6" s="33">
        <f>IF(C6="","",Commercial_Id)</f>
        <v/>
      </c>
      <c r="Q6" s="39">
        <f>IF(F6="","",IFERROR(VALUE(MID(F6,LEN(F6)-3,3)),""))</f>
        <v/>
      </c>
      <c r="R6" s="33">
        <f>IF(Q6="","",P6&amp;"|"&amp;Q6)</f>
        <v/>
      </c>
      <c r="S6" s="33">
        <f>IF(Q6="","",IF(P6="À RENSEIGNER","GIC",P6)&amp;"-"&amp;TEXT(Q6,"000"))</f>
        <v/>
      </c>
      <c r="T6" s="33">
        <f>IF(R6="","",IFERROR(INDEX(Cl_nom,MATCH(R6,Cl_cle,0)),"(client introuvable)"))</f>
        <v/>
      </c>
      <c r="U6" s="33">
        <f>IF(R6="","",IFERROR(INDEX(Cl_quartier,MATCH(R6,Cl_cle,0))&amp;"",""))</f>
        <v/>
      </c>
      <c r="V6" s="34">
        <f>IF(C6="","",YEAR(C6-WEEKDAY(C6,2)+4)&amp;"-S"&amp;TEXT(INT((C6-DATE(YEAR(C6-WEEKDAY(C6,2)+4),1,3)+WEEKDAY(DATE(YEAR(C6-WEEKDAY(C6,2)+4),1,3),2)+5)/7),"00"))</f>
        <v/>
      </c>
    </row>
    <row r="7" ht="18" customHeight="1">
      <c r="A7" s="39" t="n">
        <v>2</v>
      </c>
      <c r="B7" s="33">
        <f>IF(C7="","",IF(P7="À RENSEIGNER","GIC",P7)&amp;"-V"&amp;TEXT(A7,"00000"))</f>
        <v/>
      </c>
      <c r="C7" s="32" t="n"/>
      <c r="D7" s="35" t="n"/>
      <c r="E7" s="36" t="n"/>
      <c r="F7" s="36" t="n"/>
      <c r="G7" s="36" t="n"/>
      <c r="H7" s="36" t="n"/>
      <c r="I7" s="36" t="n"/>
      <c r="J7" s="37" t="n"/>
      <c r="K7" s="32" t="n"/>
      <c r="L7" s="36" t="n"/>
      <c r="M7" s="41" t="n"/>
      <c r="N7" s="41" t="n"/>
      <c r="O7" s="36" t="n"/>
      <c r="P7" s="33">
        <f>IF(C7="","",Commercial_Id)</f>
        <v/>
      </c>
      <c r="Q7" s="39">
        <f>IF(F7="","",IFERROR(VALUE(MID(F7,LEN(F7)-3,3)),""))</f>
        <v/>
      </c>
      <c r="R7" s="33">
        <f>IF(Q7="","",P7&amp;"|"&amp;Q7)</f>
        <v/>
      </c>
      <c r="S7" s="33">
        <f>IF(Q7="","",IF(P7="À RENSEIGNER","GIC",P7)&amp;"-"&amp;TEXT(Q7,"000"))</f>
        <v/>
      </c>
      <c r="T7" s="33">
        <f>IF(R7="","",IFERROR(INDEX(Cl_nom,MATCH(R7,Cl_cle,0)),"(client introuvable)"))</f>
        <v/>
      </c>
      <c r="U7" s="33">
        <f>IF(R7="","",IFERROR(INDEX(Cl_quartier,MATCH(R7,Cl_cle,0))&amp;"",""))</f>
        <v/>
      </c>
      <c r="V7" s="34">
        <f>IF(C7="","",YEAR(C7-WEEKDAY(C7,2)+4)&amp;"-S"&amp;TEXT(INT((C7-DATE(YEAR(C7-WEEKDAY(C7,2)+4),1,3)+WEEKDAY(DATE(YEAR(C7-WEEKDAY(C7,2)+4),1,3),2)+5)/7),"00"))</f>
        <v/>
      </c>
    </row>
    <row r="8" ht="18" customHeight="1">
      <c r="A8" s="39" t="n">
        <v>3</v>
      </c>
      <c r="B8" s="33">
        <f>IF(C8="","",IF(P8="À RENSEIGNER","GIC",P8)&amp;"-V"&amp;TEXT(A8,"00000"))</f>
        <v/>
      </c>
      <c r="C8" s="32" t="n"/>
      <c r="D8" s="35" t="n"/>
      <c r="E8" s="36" t="n"/>
      <c r="F8" s="36" t="n"/>
      <c r="G8" s="36" t="n"/>
      <c r="H8" s="36" t="n"/>
      <c r="I8" s="36" t="n"/>
      <c r="J8" s="37" t="n"/>
      <c r="K8" s="32" t="n"/>
      <c r="L8" s="36" t="n"/>
      <c r="M8" s="41" t="n"/>
      <c r="N8" s="41" t="n"/>
      <c r="O8" s="36" t="n"/>
      <c r="P8" s="33">
        <f>IF(C8="","",Commercial_Id)</f>
        <v/>
      </c>
      <c r="Q8" s="39">
        <f>IF(F8="","",IFERROR(VALUE(MID(F8,LEN(F8)-3,3)),""))</f>
        <v/>
      </c>
      <c r="R8" s="33">
        <f>IF(Q8="","",P8&amp;"|"&amp;Q8)</f>
        <v/>
      </c>
      <c r="S8" s="33">
        <f>IF(Q8="","",IF(P8="À RENSEIGNER","GIC",P8)&amp;"-"&amp;TEXT(Q8,"000"))</f>
        <v/>
      </c>
      <c r="T8" s="33">
        <f>IF(R8="","",IFERROR(INDEX(Cl_nom,MATCH(R8,Cl_cle,0)),"(client introuvable)"))</f>
        <v/>
      </c>
      <c r="U8" s="33">
        <f>IF(R8="","",IFERROR(INDEX(Cl_quartier,MATCH(R8,Cl_cle,0))&amp;"",""))</f>
        <v/>
      </c>
      <c r="V8" s="34">
        <f>IF(C8="","",YEAR(C8-WEEKDAY(C8,2)+4)&amp;"-S"&amp;TEXT(INT((C8-DATE(YEAR(C8-WEEKDAY(C8,2)+4),1,3)+WEEKDAY(DATE(YEAR(C8-WEEKDAY(C8,2)+4),1,3),2)+5)/7),"00"))</f>
        <v/>
      </c>
    </row>
    <row r="9" ht="18" customHeight="1">
      <c r="A9" s="39" t="n">
        <v>4</v>
      </c>
      <c r="B9" s="33">
        <f>IF(C9="","",IF(P9="À RENSEIGNER","GIC",P9)&amp;"-V"&amp;TEXT(A9,"00000"))</f>
        <v/>
      </c>
      <c r="C9" s="32" t="n"/>
      <c r="D9" s="35" t="n"/>
      <c r="E9" s="36" t="n"/>
      <c r="F9" s="36" t="n"/>
      <c r="G9" s="36" t="n"/>
      <c r="H9" s="36" t="n"/>
      <c r="I9" s="36" t="n"/>
      <c r="J9" s="37" t="n"/>
      <c r="K9" s="32" t="n"/>
      <c r="L9" s="36" t="n"/>
      <c r="M9" s="41" t="n"/>
      <c r="N9" s="41" t="n"/>
      <c r="O9" s="36" t="n"/>
      <c r="P9" s="33">
        <f>IF(C9="","",Commercial_Id)</f>
        <v/>
      </c>
      <c r="Q9" s="39">
        <f>IF(F9="","",IFERROR(VALUE(MID(F9,LEN(F9)-3,3)),""))</f>
        <v/>
      </c>
      <c r="R9" s="33">
        <f>IF(Q9="","",P9&amp;"|"&amp;Q9)</f>
        <v/>
      </c>
      <c r="S9" s="33">
        <f>IF(Q9="","",IF(P9="À RENSEIGNER","GIC",P9)&amp;"-"&amp;TEXT(Q9,"000"))</f>
        <v/>
      </c>
      <c r="T9" s="33">
        <f>IF(R9="","",IFERROR(INDEX(Cl_nom,MATCH(R9,Cl_cle,0)),"(client introuvable)"))</f>
        <v/>
      </c>
      <c r="U9" s="33">
        <f>IF(R9="","",IFERROR(INDEX(Cl_quartier,MATCH(R9,Cl_cle,0))&amp;"",""))</f>
        <v/>
      </c>
      <c r="V9" s="34">
        <f>IF(C9="","",YEAR(C9-WEEKDAY(C9,2)+4)&amp;"-S"&amp;TEXT(INT((C9-DATE(YEAR(C9-WEEKDAY(C9,2)+4),1,3)+WEEKDAY(DATE(YEAR(C9-WEEKDAY(C9,2)+4),1,3),2)+5)/7),"00"))</f>
        <v/>
      </c>
    </row>
    <row r="10" ht="18" customHeight="1">
      <c r="A10" s="39" t="n">
        <v>5</v>
      </c>
      <c r="B10" s="33">
        <f>IF(C10="","",IF(P10="À RENSEIGNER","GIC",P10)&amp;"-V"&amp;TEXT(A10,"00000"))</f>
        <v/>
      </c>
      <c r="C10" s="32" t="n"/>
      <c r="D10" s="35" t="n"/>
      <c r="E10" s="36" t="n"/>
      <c r="F10" s="36" t="n"/>
      <c r="G10" s="36" t="n"/>
      <c r="H10" s="36" t="n"/>
      <c r="I10" s="36" t="n"/>
      <c r="J10" s="37" t="n"/>
      <c r="K10" s="32" t="n"/>
      <c r="L10" s="36" t="n"/>
      <c r="M10" s="41" t="n"/>
      <c r="N10" s="41" t="n"/>
      <c r="O10" s="36" t="n"/>
      <c r="P10" s="33">
        <f>IF(C10="","",Commercial_Id)</f>
        <v/>
      </c>
      <c r="Q10" s="39">
        <f>IF(F10="","",IFERROR(VALUE(MID(F10,LEN(F10)-3,3)),""))</f>
        <v/>
      </c>
      <c r="R10" s="33">
        <f>IF(Q10="","",P10&amp;"|"&amp;Q10)</f>
        <v/>
      </c>
      <c r="S10" s="33">
        <f>IF(Q10="","",IF(P10="À RENSEIGNER","GIC",P10)&amp;"-"&amp;TEXT(Q10,"000"))</f>
        <v/>
      </c>
      <c r="T10" s="33">
        <f>IF(R10="","",IFERROR(INDEX(Cl_nom,MATCH(R10,Cl_cle,0)),"(client introuvable)"))</f>
        <v/>
      </c>
      <c r="U10" s="33">
        <f>IF(R10="","",IFERROR(INDEX(Cl_quartier,MATCH(R10,Cl_cle,0))&amp;"",""))</f>
        <v/>
      </c>
      <c r="V10" s="34">
        <f>IF(C10="","",YEAR(C10-WEEKDAY(C10,2)+4)&amp;"-S"&amp;TEXT(INT((C10-DATE(YEAR(C10-WEEKDAY(C10,2)+4),1,3)+WEEKDAY(DATE(YEAR(C10-WEEKDAY(C10,2)+4),1,3),2)+5)/7),"00"))</f>
        <v/>
      </c>
    </row>
    <row r="11" ht="18" customHeight="1">
      <c r="A11" s="39" t="n">
        <v>6</v>
      </c>
      <c r="B11" s="33">
        <f>IF(C11="","",IF(P11="À RENSEIGNER","GIC",P11)&amp;"-V"&amp;TEXT(A11,"00000"))</f>
        <v/>
      </c>
      <c r="C11" s="32" t="n"/>
      <c r="D11" s="35" t="n"/>
      <c r="E11" s="36" t="n"/>
      <c r="F11" s="36" t="n"/>
      <c r="G11" s="36" t="n"/>
      <c r="H11" s="36" t="n"/>
      <c r="I11" s="36" t="n"/>
      <c r="J11" s="37" t="n"/>
      <c r="K11" s="32" t="n"/>
      <c r="L11" s="36" t="n"/>
      <c r="M11" s="41" t="n"/>
      <c r="N11" s="41" t="n"/>
      <c r="O11" s="36" t="n"/>
      <c r="P11" s="33">
        <f>IF(C11="","",Commercial_Id)</f>
        <v/>
      </c>
      <c r="Q11" s="39">
        <f>IF(F11="","",IFERROR(VALUE(MID(F11,LEN(F11)-3,3)),""))</f>
        <v/>
      </c>
      <c r="R11" s="33">
        <f>IF(Q11="","",P11&amp;"|"&amp;Q11)</f>
        <v/>
      </c>
      <c r="S11" s="33">
        <f>IF(Q11="","",IF(P11="À RENSEIGNER","GIC",P11)&amp;"-"&amp;TEXT(Q11,"000"))</f>
        <v/>
      </c>
      <c r="T11" s="33">
        <f>IF(R11="","",IFERROR(INDEX(Cl_nom,MATCH(R11,Cl_cle,0)),"(client introuvable)"))</f>
        <v/>
      </c>
      <c r="U11" s="33">
        <f>IF(R11="","",IFERROR(INDEX(Cl_quartier,MATCH(R11,Cl_cle,0))&amp;"",""))</f>
        <v/>
      </c>
      <c r="V11" s="34">
        <f>IF(C11="","",YEAR(C11-WEEKDAY(C11,2)+4)&amp;"-S"&amp;TEXT(INT((C11-DATE(YEAR(C11-WEEKDAY(C11,2)+4),1,3)+WEEKDAY(DATE(YEAR(C11-WEEKDAY(C11,2)+4),1,3),2)+5)/7),"00"))</f>
        <v/>
      </c>
    </row>
    <row r="12" ht="18" customHeight="1">
      <c r="A12" s="39" t="n">
        <v>7</v>
      </c>
      <c r="B12" s="33">
        <f>IF(C12="","",IF(P12="À RENSEIGNER","GIC",P12)&amp;"-V"&amp;TEXT(A12,"00000"))</f>
        <v/>
      </c>
      <c r="C12" s="32" t="n"/>
      <c r="D12" s="35" t="n"/>
      <c r="E12" s="36" t="n"/>
      <c r="F12" s="36" t="n"/>
      <c r="G12" s="36" t="n"/>
      <c r="H12" s="36" t="n"/>
      <c r="I12" s="36" t="n"/>
      <c r="J12" s="37" t="n"/>
      <c r="K12" s="32" t="n"/>
      <c r="L12" s="36" t="n"/>
      <c r="M12" s="41" t="n"/>
      <c r="N12" s="41" t="n"/>
      <c r="O12" s="36" t="n"/>
      <c r="P12" s="33">
        <f>IF(C12="","",Commercial_Id)</f>
        <v/>
      </c>
      <c r="Q12" s="39">
        <f>IF(F12="","",IFERROR(VALUE(MID(F12,LEN(F12)-3,3)),""))</f>
        <v/>
      </c>
      <c r="R12" s="33">
        <f>IF(Q12="","",P12&amp;"|"&amp;Q12)</f>
        <v/>
      </c>
      <c r="S12" s="33">
        <f>IF(Q12="","",IF(P12="À RENSEIGNER","GIC",P12)&amp;"-"&amp;TEXT(Q12,"000"))</f>
        <v/>
      </c>
      <c r="T12" s="33">
        <f>IF(R12="","",IFERROR(INDEX(Cl_nom,MATCH(R12,Cl_cle,0)),"(client introuvable)"))</f>
        <v/>
      </c>
      <c r="U12" s="33">
        <f>IF(R12="","",IFERROR(INDEX(Cl_quartier,MATCH(R12,Cl_cle,0))&amp;"",""))</f>
        <v/>
      </c>
      <c r="V12" s="34">
        <f>IF(C12="","",YEAR(C12-WEEKDAY(C12,2)+4)&amp;"-S"&amp;TEXT(INT((C12-DATE(YEAR(C12-WEEKDAY(C12,2)+4),1,3)+WEEKDAY(DATE(YEAR(C12-WEEKDAY(C12,2)+4),1,3),2)+5)/7),"00"))</f>
        <v/>
      </c>
    </row>
    <row r="13" ht="18" customHeight="1">
      <c r="A13" s="39" t="n">
        <v>8</v>
      </c>
      <c r="B13" s="33">
        <f>IF(C13="","",IF(P13="À RENSEIGNER","GIC",P13)&amp;"-V"&amp;TEXT(A13,"00000"))</f>
        <v/>
      </c>
      <c r="C13" s="32" t="n"/>
      <c r="D13" s="35" t="n"/>
      <c r="E13" s="36" t="n"/>
      <c r="F13" s="36" t="n"/>
      <c r="G13" s="36" t="n"/>
      <c r="H13" s="36" t="n"/>
      <c r="I13" s="36" t="n"/>
      <c r="J13" s="37" t="n"/>
      <c r="K13" s="32" t="n"/>
      <c r="L13" s="36" t="n"/>
      <c r="M13" s="41" t="n"/>
      <c r="N13" s="41" t="n"/>
      <c r="O13" s="36" t="n"/>
      <c r="P13" s="33">
        <f>IF(C13="","",Commercial_Id)</f>
        <v/>
      </c>
      <c r="Q13" s="39">
        <f>IF(F13="","",IFERROR(VALUE(MID(F13,LEN(F13)-3,3)),""))</f>
        <v/>
      </c>
      <c r="R13" s="33">
        <f>IF(Q13="","",P13&amp;"|"&amp;Q13)</f>
        <v/>
      </c>
      <c r="S13" s="33">
        <f>IF(Q13="","",IF(P13="À RENSEIGNER","GIC",P13)&amp;"-"&amp;TEXT(Q13,"000"))</f>
        <v/>
      </c>
      <c r="T13" s="33">
        <f>IF(R13="","",IFERROR(INDEX(Cl_nom,MATCH(R13,Cl_cle,0)),"(client introuvable)"))</f>
        <v/>
      </c>
      <c r="U13" s="33">
        <f>IF(R13="","",IFERROR(INDEX(Cl_quartier,MATCH(R13,Cl_cle,0))&amp;"",""))</f>
        <v/>
      </c>
      <c r="V13" s="34">
        <f>IF(C13="","",YEAR(C13-WEEKDAY(C13,2)+4)&amp;"-S"&amp;TEXT(INT((C13-DATE(YEAR(C13-WEEKDAY(C13,2)+4),1,3)+WEEKDAY(DATE(YEAR(C13-WEEKDAY(C13,2)+4),1,3),2)+5)/7),"00"))</f>
        <v/>
      </c>
    </row>
    <row r="14" ht="18" customHeight="1">
      <c r="A14" s="39" t="n">
        <v>9</v>
      </c>
      <c r="B14" s="33">
        <f>IF(C14="","",IF(P14="À RENSEIGNER","GIC",P14)&amp;"-V"&amp;TEXT(A14,"00000"))</f>
        <v/>
      </c>
      <c r="C14" s="32" t="n"/>
      <c r="D14" s="35" t="n"/>
      <c r="E14" s="36" t="n"/>
      <c r="F14" s="36" t="n"/>
      <c r="G14" s="36" t="n"/>
      <c r="H14" s="36" t="n"/>
      <c r="I14" s="36" t="n"/>
      <c r="J14" s="37" t="n"/>
      <c r="K14" s="32" t="n"/>
      <c r="L14" s="36" t="n"/>
      <c r="M14" s="41" t="n"/>
      <c r="N14" s="41" t="n"/>
      <c r="O14" s="36" t="n"/>
      <c r="P14" s="33">
        <f>IF(C14="","",Commercial_Id)</f>
        <v/>
      </c>
      <c r="Q14" s="39">
        <f>IF(F14="","",IFERROR(VALUE(MID(F14,LEN(F14)-3,3)),""))</f>
        <v/>
      </c>
      <c r="R14" s="33">
        <f>IF(Q14="","",P14&amp;"|"&amp;Q14)</f>
        <v/>
      </c>
      <c r="S14" s="33">
        <f>IF(Q14="","",IF(P14="À RENSEIGNER","GIC",P14)&amp;"-"&amp;TEXT(Q14,"000"))</f>
        <v/>
      </c>
      <c r="T14" s="33">
        <f>IF(R14="","",IFERROR(INDEX(Cl_nom,MATCH(R14,Cl_cle,0)),"(client introuvable)"))</f>
        <v/>
      </c>
      <c r="U14" s="33">
        <f>IF(R14="","",IFERROR(INDEX(Cl_quartier,MATCH(R14,Cl_cle,0))&amp;"",""))</f>
        <v/>
      </c>
      <c r="V14" s="34">
        <f>IF(C14="","",YEAR(C14-WEEKDAY(C14,2)+4)&amp;"-S"&amp;TEXT(INT((C14-DATE(YEAR(C14-WEEKDAY(C14,2)+4),1,3)+WEEKDAY(DATE(YEAR(C14-WEEKDAY(C14,2)+4),1,3),2)+5)/7),"00"))</f>
        <v/>
      </c>
    </row>
    <row r="15" ht="18" customHeight="1">
      <c r="A15" s="39" t="n">
        <v>10</v>
      </c>
      <c r="B15" s="33">
        <f>IF(C15="","",IF(P15="À RENSEIGNER","GIC",P15)&amp;"-V"&amp;TEXT(A15,"00000"))</f>
        <v/>
      </c>
      <c r="C15" s="32" t="n"/>
      <c r="D15" s="35" t="n"/>
      <c r="E15" s="36" t="n"/>
      <c r="F15" s="36" t="n"/>
      <c r="G15" s="36" t="n"/>
      <c r="H15" s="36" t="n"/>
      <c r="I15" s="36" t="n"/>
      <c r="J15" s="37" t="n"/>
      <c r="K15" s="32" t="n"/>
      <c r="L15" s="36" t="n"/>
      <c r="M15" s="41" t="n"/>
      <c r="N15" s="41" t="n"/>
      <c r="O15" s="36" t="n"/>
      <c r="P15" s="33">
        <f>IF(C15="","",Commercial_Id)</f>
        <v/>
      </c>
      <c r="Q15" s="39">
        <f>IF(F15="","",IFERROR(VALUE(MID(F15,LEN(F15)-3,3)),""))</f>
        <v/>
      </c>
      <c r="R15" s="33">
        <f>IF(Q15="","",P15&amp;"|"&amp;Q15)</f>
        <v/>
      </c>
      <c r="S15" s="33">
        <f>IF(Q15="","",IF(P15="À RENSEIGNER","GIC",P15)&amp;"-"&amp;TEXT(Q15,"000"))</f>
        <v/>
      </c>
      <c r="T15" s="33">
        <f>IF(R15="","",IFERROR(INDEX(Cl_nom,MATCH(R15,Cl_cle,0)),"(client introuvable)"))</f>
        <v/>
      </c>
      <c r="U15" s="33">
        <f>IF(R15="","",IFERROR(INDEX(Cl_quartier,MATCH(R15,Cl_cle,0))&amp;"",""))</f>
        <v/>
      </c>
      <c r="V15" s="34">
        <f>IF(C15="","",YEAR(C15-WEEKDAY(C15,2)+4)&amp;"-S"&amp;TEXT(INT((C15-DATE(YEAR(C15-WEEKDAY(C15,2)+4),1,3)+WEEKDAY(DATE(YEAR(C15-WEEKDAY(C15,2)+4),1,3),2)+5)/7),"00"))</f>
        <v/>
      </c>
    </row>
    <row r="16" ht="18" customHeight="1">
      <c r="A16" s="39" t="n">
        <v>11</v>
      </c>
      <c r="B16" s="33">
        <f>IF(C16="","",IF(P16="À RENSEIGNER","GIC",P16)&amp;"-V"&amp;TEXT(A16,"00000"))</f>
        <v/>
      </c>
      <c r="C16" s="32" t="n"/>
      <c r="D16" s="35" t="n"/>
      <c r="E16" s="36" t="n"/>
      <c r="F16" s="36" t="n"/>
      <c r="G16" s="36" t="n"/>
      <c r="H16" s="36" t="n"/>
      <c r="I16" s="36" t="n"/>
      <c r="J16" s="37" t="n"/>
      <c r="K16" s="32" t="n"/>
      <c r="L16" s="36" t="n"/>
      <c r="M16" s="41" t="n"/>
      <c r="N16" s="41" t="n"/>
      <c r="O16" s="36" t="n"/>
      <c r="P16" s="33">
        <f>IF(C16="","",Commercial_Id)</f>
        <v/>
      </c>
      <c r="Q16" s="39">
        <f>IF(F16="","",IFERROR(VALUE(MID(F16,LEN(F16)-3,3)),""))</f>
        <v/>
      </c>
      <c r="R16" s="33">
        <f>IF(Q16="","",P16&amp;"|"&amp;Q16)</f>
        <v/>
      </c>
      <c r="S16" s="33">
        <f>IF(Q16="","",IF(P16="À RENSEIGNER","GIC",P16)&amp;"-"&amp;TEXT(Q16,"000"))</f>
        <v/>
      </c>
      <c r="T16" s="33">
        <f>IF(R16="","",IFERROR(INDEX(Cl_nom,MATCH(R16,Cl_cle,0)),"(client introuvable)"))</f>
        <v/>
      </c>
      <c r="U16" s="33">
        <f>IF(R16="","",IFERROR(INDEX(Cl_quartier,MATCH(R16,Cl_cle,0))&amp;"",""))</f>
        <v/>
      </c>
      <c r="V16" s="34">
        <f>IF(C16="","",YEAR(C16-WEEKDAY(C16,2)+4)&amp;"-S"&amp;TEXT(INT((C16-DATE(YEAR(C16-WEEKDAY(C16,2)+4),1,3)+WEEKDAY(DATE(YEAR(C16-WEEKDAY(C16,2)+4),1,3),2)+5)/7),"00"))</f>
        <v/>
      </c>
    </row>
    <row r="17" ht="18" customHeight="1">
      <c r="A17" s="39" t="n">
        <v>12</v>
      </c>
      <c r="B17" s="33">
        <f>IF(C17="","",IF(P17="À RENSEIGNER","GIC",P17)&amp;"-V"&amp;TEXT(A17,"00000"))</f>
        <v/>
      </c>
      <c r="C17" s="32" t="n"/>
      <c r="D17" s="35" t="n"/>
      <c r="E17" s="36" t="n"/>
      <c r="F17" s="36" t="n"/>
      <c r="G17" s="36" t="n"/>
      <c r="H17" s="36" t="n"/>
      <c r="I17" s="36" t="n"/>
      <c r="J17" s="37" t="n"/>
      <c r="K17" s="32" t="n"/>
      <c r="L17" s="36" t="n"/>
      <c r="M17" s="41" t="n"/>
      <c r="N17" s="41" t="n"/>
      <c r="O17" s="36" t="n"/>
      <c r="P17" s="33">
        <f>IF(C17="","",Commercial_Id)</f>
        <v/>
      </c>
      <c r="Q17" s="39">
        <f>IF(F17="","",IFERROR(VALUE(MID(F17,LEN(F17)-3,3)),""))</f>
        <v/>
      </c>
      <c r="R17" s="33">
        <f>IF(Q17="","",P17&amp;"|"&amp;Q17)</f>
        <v/>
      </c>
      <c r="S17" s="33">
        <f>IF(Q17="","",IF(P17="À RENSEIGNER","GIC",P17)&amp;"-"&amp;TEXT(Q17,"000"))</f>
        <v/>
      </c>
      <c r="T17" s="33">
        <f>IF(R17="","",IFERROR(INDEX(Cl_nom,MATCH(R17,Cl_cle,0)),"(client introuvable)"))</f>
        <v/>
      </c>
      <c r="U17" s="33">
        <f>IF(R17="","",IFERROR(INDEX(Cl_quartier,MATCH(R17,Cl_cle,0))&amp;"",""))</f>
        <v/>
      </c>
      <c r="V17" s="34">
        <f>IF(C17="","",YEAR(C17-WEEKDAY(C17,2)+4)&amp;"-S"&amp;TEXT(INT((C17-DATE(YEAR(C17-WEEKDAY(C17,2)+4),1,3)+WEEKDAY(DATE(YEAR(C17-WEEKDAY(C17,2)+4),1,3),2)+5)/7),"00"))</f>
        <v/>
      </c>
    </row>
    <row r="18" ht="18" customHeight="1">
      <c r="A18" s="39" t="n">
        <v>13</v>
      </c>
      <c r="B18" s="33">
        <f>IF(C18="","",IF(P18="À RENSEIGNER","GIC",P18)&amp;"-V"&amp;TEXT(A18,"00000"))</f>
        <v/>
      </c>
      <c r="C18" s="32" t="n"/>
      <c r="D18" s="35" t="n"/>
      <c r="E18" s="36" t="n"/>
      <c r="F18" s="36" t="n"/>
      <c r="G18" s="36" t="n"/>
      <c r="H18" s="36" t="n"/>
      <c r="I18" s="36" t="n"/>
      <c r="J18" s="37" t="n"/>
      <c r="K18" s="32" t="n"/>
      <c r="L18" s="36" t="n"/>
      <c r="M18" s="41" t="n"/>
      <c r="N18" s="41" t="n"/>
      <c r="O18" s="36" t="n"/>
      <c r="P18" s="33">
        <f>IF(C18="","",Commercial_Id)</f>
        <v/>
      </c>
      <c r="Q18" s="39">
        <f>IF(F18="","",IFERROR(VALUE(MID(F18,LEN(F18)-3,3)),""))</f>
        <v/>
      </c>
      <c r="R18" s="33">
        <f>IF(Q18="","",P18&amp;"|"&amp;Q18)</f>
        <v/>
      </c>
      <c r="S18" s="33">
        <f>IF(Q18="","",IF(P18="À RENSEIGNER","GIC",P18)&amp;"-"&amp;TEXT(Q18,"000"))</f>
        <v/>
      </c>
      <c r="T18" s="33">
        <f>IF(R18="","",IFERROR(INDEX(Cl_nom,MATCH(R18,Cl_cle,0)),"(client introuvable)"))</f>
        <v/>
      </c>
      <c r="U18" s="33">
        <f>IF(R18="","",IFERROR(INDEX(Cl_quartier,MATCH(R18,Cl_cle,0))&amp;"",""))</f>
        <v/>
      </c>
      <c r="V18" s="34">
        <f>IF(C18="","",YEAR(C18-WEEKDAY(C18,2)+4)&amp;"-S"&amp;TEXT(INT((C18-DATE(YEAR(C18-WEEKDAY(C18,2)+4),1,3)+WEEKDAY(DATE(YEAR(C18-WEEKDAY(C18,2)+4),1,3),2)+5)/7),"00"))</f>
        <v/>
      </c>
    </row>
    <row r="19" ht="18" customHeight="1">
      <c r="A19" s="39" t="n">
        <v>14</v>
      </c>
      <c r="B19" s="33">
        <f>IF(C19="","",IF(P19="À RENSEIGNER","GIC",P19)&amp;"-V"&amp;TEXT(A19,"00000"))</f>
        <v/>
      </c>
      <c r="C19" s="32" t="n"/>
      <c r="D19" s="35" t="n"/>
      <c r="E19" s="36" t="n"/>
      <c r="F19" s="36" t="n"/>
      <c r="G19" s="36" t="n"/>
      <c r="H19" s="36" t="n"/>
      <c r="I19" s="36" t="n"/>
      <c r="J19" s="37" t="n"/>
      <c r="K19" s="32" t="n"/>
      <c r="L19" s="36" t="n"/>
      <c r="M19" s="41" t="n"/>
      <c r="N19" s="41" t="n"/>
      <c r="O19" s="36" t="n"/>
      <c r="P19" s="33">
        <f>IF(C19="","",Commercial_Id)</f>
        <v/>
      </c>
      <c r="Q19" s="39">
        <f>IF(F19="","",IFERROR(VALUE(MID(F19,LEN(F19)-3,3)),""))</f>
        <v/>
      </c>
      <c r="R19" s="33">
        <f>IF(Q19="","",P19&amp;"|"&amp;Q19)</f>
        <v/>
      </c>
      <c r="S19" s="33">
        <f>IF(Q19="","",IF(P19="À RENSEIGNER","GIC",P19)&amp;"-"&amp;TEXT(Q19,"000"))</f>
        <v/>
      </c>
      <c r="T19" s="33">
        <f>IF(R19="","",IFERROR(INDEX(Cl_nom,MATCH(R19,Cl_cle,0)),"(client introuvable)"))</f>
        <v/>
      </c>
      <c r="U19" s="33">
        <f>IF(R19="","",IFERROR(INDEX(Cl_quartier,MATCH(R19,Cl_cle,0))&amp;"",""))</f>
        <v/>
      </c>
      <c r="V19" s="34">
        <f>IF(C19="","",YEAR(C19-WEEKDAY(C19,2)+4)&amp;"-S"&amp;TEXT(INT((C19-DATE(YEAR(C19-WEEKDAY(C19,2)+4),1,3)+WEEKDAY(DATE(YEAR(C19-WEEKDAY(C19,2)+4),1,3),2)+5)/7),"00"))</f>
        <v/>
      </c>
    </row>
    <row r="20" ht="18" customHeight="1">
      <c r="A20" s="39" t="n">
        <v>15</v>
      </c>
      <c r="B20" s="33">
        <f>IF(C20="","",IF(P20="À RENSEIGNER","GIC",P20)&amp;"-V"&amp;TEXT(A20,"00000"))</f>
        <v/>
      </c>
      <c r="C20" s="32" t="n"/>
      <c r="D20" s="35" t="n"/>
      <c r="E20" s="36" t="n"/>
      <c r="F20" s="36" t="n"/>
      <c r="G20" s="36" t="n"/>
      <c r="H20" s="36" t="n"/>
      <c r="I20" s="36" t="n"/>
      <c r="J20" s="37" t="n"/>
      <c r="K20" s="32" t="n"/>
      <c r="L20" s="36" t="n"/>
      <c r="M20" s="41" t="n"/>
      <c r="N20" s="41" t="n"/>
      <c r="O20" s="36" t="n"/>
      <c r="P20" s="33">
        <f>IF(C20="","",Commercial_Id)</f>
        <v/>
      </c>
      <c r="Q20" s="39">
        <f>IF(F20="","",IFERROR(VALUE(MID(F20,LEN(F20)-3,3)),""))</f>
        <v/>
      </c>
      <c r="R20" s="33">
        <f>IF(Q20="","",P20&amp;"|"&amp;Q20)</f>
        <v/>
      </c>
      <c r="S20" s="33">
        <f>IF(Q20="","",IF(P20="À RENSEIGNER","GIC",P20)&amp;"-"&amp;TEXT(Q20,"000"))</f>
        <v/>
      </c>
      <c r="T20" s="33">
        <f>IF(R20="","",IFERROR(INDEX(Cl_nom,MATCH(R20,Cl_cle,0)),"(client introuvable)"))</f>
        <v/>
      </c>
      <c r="U20" s="33">
        <f>IF(R20="","",IFERROR(INDEX(Cl_quartier,MATCH(R20,Cl_cle,0))&amp;"",""))</f>
        <v/>
      </c>
      <c r="V20" s="34">
        <f>IF(C20="","",YEAR(C20-WEEKDAY(C20,2)+4)&amp;"-S"&amp;TEXT(INT((C20-DATE(YEAR(C20-WEEKDAY(C20,2)+4),1,3)+WEEKDAY(DATE(YEAR(C20-WEEKDAY(C20,2)+4),1,3),2)+5)/7),"00"))</f>
        <v/>
      </c>
    </row>
    <row r="21" ht="18" customHeight="1">
      <c r="A21" s="39" t="n">
        <v>16</v>
      </c>
      <c r="B21" s="33">
        <f>IF(C21="","",IF(P21="À RENSEIGNER","GIC",P21)&amp;"-V"&amp;TEXT(A21,"00000"))</f>
        <v/>
      </c>
      <c r="C21" s="32" t="n"/>
      <c r="D21" s="35" t="n"/>
      <c r="E21" s="36" t="n"/>
      <c r="F21" s="36" t="n"/>
      <c r="G21" s="36" t="n"/>
      <c r="H21" s="36" t="n"/>
      <c r="I21" s="36" t="n"/>
      <c r="J21" s="37" t="n"/>
      <c r="K21" s="32" t="n"/>
      <c r="L21" s="36" t="n"/>
      <c r="M21" s="41" t="n"/>
      <c r="N21" s="41" t="n"/>
      <c r="O21" s="36" t="n"/>
      <c r="P21" s="33">
        <f>IF(C21="","",Commercial_Id)</f>
        <v/>
      </c>
      <c r="Q21" s="39">
        <f>IF(F21="","",IFERROR(VALUE(MID(F21,LEN(F21)-3,3)),""))</f>
        <v/>
      </c>
      <c r="R21" s="33">
        <f>IF(Q21="","",P21&amp;"|"&amp;Q21)</f>
        <v/>
      </c>
      <c r="S21" s="33">
        <f>IF(Q21="","",IF(P21="À RENSEIGNER","GIC",P21)&amp;"-"&amp;TEXT(Q21,"000"))</f>
        <v/>
      </c>
      <c r="T21" s="33">
        <f>IF(R21="","",IFERROR(INDEX(Cl_nom,MATCH(R21,Cl_cle,0)),"(client introuvable)"))</f>
        <v/>
      </c>
      <c r="U21" s="33">
        <f>IF(R21="","",IFERROR(INDEX(Cl_quartier,MATCH(R21,Cl_cle,0))&amp;"",""))</f>
        <v/>
      </c>
      <c r="V21" s="34">
        <f>IF(C21="","",YEAR(C21-WEEKDAY(C21,2)+4)&amp;"-S"&amp;TEXT(INT((C21-DATE(YEAR(C21-WEEKDAY(C21,2)+4),1,3)+WEEKDAY(DATE(YEAR(C21-WEEKDAY(C21,2)+4),1,3),2)+5)/7),"00"))</f>
        <v/>
      </c>
    </row>
    <row r="22" ht="18" customHeight="1">
      <c r="A22" s="39" t="n">
        <v>17</v>
      </c>
      <c r="B22" s="33">
        <f>IF(C22="","",IF(P22="À RENSEIGNER","GIC",P22)&amp;"-V"&amp;TEXT(A22,"00000"))</f>
        <v/>
      </c>
      <c r="C22" s="32" t="n"/>
      <c r="D22" s="35" t="n"/>
      <c r="E22" s="36" t="n"/>
      <c r="F22" s="36" t="n"/>
      <c r="G22" s="36" t="n"/>
      <c r="H22" s="36" t="n"/>
      <c r="I22" s="36" t="n"/>
      <c r="J22" s="37" t="n"/>
      <c r="K22" s="32" t="n"/>
      <c r="L22" s="36" t="n"/>
      <c r="M22" s="41" t="n"/>
      <c r="N22" s="41" t="n"/>
      <c r="O22" s="36" t="n"/>
      <c r="P22" s="33">
        <f>IF(C22="","",Commercial_Id)</f>
        <v/>
      </c>
      <c r="Q22" s="39">
        <f>IF(F22="","",IFERROR(VALUE(MID(F22,LEN(F22)-3,3)),""))</f>
        <v/>
      </c>
      <c r="R22" s="33">
        <f>IF(Q22="","",P22&amp;"|"&amp;Q22)</f>
        <v/>
      </c>
      <c r="S22" s="33">
        <f>IF(Q22="","",IF(P22="À RENSEIGNER","GIC",P22)&amp;"-"&amp;TEXT(Q22,"000"))</f>
        <v/>
      </c>
      <c r="T22" s="33">
        <f>IF(R22="","",IFERROR(INDEX(Cl_nom,MATCH(R22,Cl_cle,0)),"(client introuvable)"))</f>
        <v/>
      </c>
      <c r="U22" s="33">
        <f>IF(R22="","",IFERROR(INDEX(Cl_quartier,MATCH(R22,Cl_cle,0))&amp;"",""))</f>
        <v/>
      </c>
      <c r="V22" s="34">
        <f>IF(C22="","",YEAR(C22-WEEKDAY(C22,2)+4)&amp;"-S"&amp;TEXT(INT((C22-DATE(YEAR(C22-WEEKDAY(C22,2)+4),1,3)+WEEKDAY(DATE(YEAR(C22-WEEKDAY(C22,2)+4),1,3),2)+5)/7),"00"))</f>
        <v/>
      </c>
    </row>
    <row r="23" ht="18" customHeight="1">
      <c r="A23" s="39" t="n">
        <v>18</v>
      </c>
      <c r="B23" s="33">
        <f>IF(C23="","",IF(P23="À RENSEIGNER","GIC",P23)&amp;"-V"&amp;TEXT(A23,"00000"))</f>
        <v/>
      </c>
      <c r="C23" s="32" t="n"/>
      <c r="D23" s="35" t="n"/>
      <c r="E23" s="36" t="n"/>
      <c r="F23" s="36" t="n"/>
      <c r="G23" s="36" t="n"/>
      <c r="H23" s="36" t="n"/>
      <c r="I23" s="36" t="n"/>
      <c r="J23" s="37" t="n"/>
      <c r="K23" s="32" t="n"/>
      <c r="L23" s="36" t="n"/>
      <c r="M23" s="41" t="n"/>
      <c r="N23" s="41" t="n"/>
      <c r="O23" s="36" t="n"/>
      <c r="P23" s="33">
        <f>IF(C23="","",Commercial_Id)</f>
        <v/>
      </c>
      <c r="Q23" s="39">
        <f>IF(F23="","",IFERROR(VALUE(MID(F23,LEN(F23)-3,3)),""))</f>
        <v/>
      </c>
      <c r="R23" s="33">
        <f>IF(Q23="","",P23&amp;"|"&amp;Q23)</f>
        <v/>
      </c>
      <c r="S23" s="33">
        <f>IF(Q23="","",IF(P23="À RENSEIGNER","GIC",P23)&amp;"-"&amp;TEXT(Q23,"000"))</f>
        <v/>
      </c>
      <c r="T23" s="33">
        <f>IF(R23="","",IFERROR(INDEX(Cl_nom,MATCH(R23,Cl_cle,0)),"(client introuvable)"))</f>
        <v/>
      </c>
      <c r="U23" s="33">
        <f>IF(R23="","",IFERROR(INDEX(Cl_quartier,MATCH(R23,Cl_cle,0))&amp;"",""))</f>
        <v/>
      </c>
      <c r="V23" s="34">
        <f>IF(C23="","",YEAR(C23-WEEKDAY(C23,2)+4)&amp;"-S"&amp;TEXT(INT((C23-DATE(YEAR(C23-WEEKDAY(C23,2)+4),1,3)+WEEKDAY(DATE(YEAR(C23-WEEKDAY(C23,2)+4),1,3),2)+5)/7),"00"))</f>
        <v/>
      </c>
    </row>
    <row r="24" ht="18" customHeight="1">
      <c r="A24" s="39" t="n">
        <v>19</v>
      </c>
      <c r="B24" s="33">
        <f>IF(C24="","",IF(P24="À RENSEIGNER","GIC",P24)&amp;"-V"&amp;TEXT(A24,"00000"))</f>
        <v/>
      </c>
      <c r="C24" s="32" t="n"/>
      <c r="D24" s="35" t="n"/>
      <c r="E24" s="36" t="n"/>
      <c r="F24" s="36" t="n"/>
      <c r="G24" s="36" t="n"/>
      <c r="H24" s="36" t="n"/>
      <c r="I24" s="36" t="n"/>
      <c r="J24" s="37" t="n"/>
      <c r="K24" s="32" t="n"/>
      <c r="L24" s="36" t="n"/>
      <c r="M24" s="41" t="n"/>
      <c r="N24" s="41" t="n"/>
      <c r="O24" s="36" t="n"/>
      <c r="P24" s="33">
        <f>IF(C24="","",Commercial_Id)</f>
        <v/>
      </c>
      <c r="Q24" s="39">
        <f>IF(F24="","",IFERROR(VALUE(MID(F24,LEN(F24)-3,3)),""))</f>
        <v/>
      </c>
      <c r="R24" s="33">
        <f>IF(Q24="","",P24&amp;"|"&amp;Q24)</f>
        <v/>
      </c>
      <c r="S24" s="33">
        <f>IF(Q24="","",IF(P24="À RENSEIGNER","GIC",P24)&amp;"-"&amp;TEXT(Q24,"000"))</f>
        <v/>
      </c>
      <c r="T24" s="33">
        <f>IF(R24="","",IFERROR(INDEX(Cl_nom,MATCH(R24,Cl_cle,0)),"(client introuvable)"))</f>
        <v/>
      </c>
      <c r="U24" s="33">
        <f>IF(R24="","",IFERROR(INDEX(Cl_quartier,MATCH(R24,Cl_cle,0))&amp;"",""))</f>
        <v/>
      </c>
      <c r="V24" s="34">
        <f>IF(C24="","",YEAR(C24-WEEKDAY(C24,2)+4)&amp;"-S"&amp;TEXT(INT((C24-DATE(YEAR(C24-WEEKDAY(C24,2)+4),1,3)+WEEKDAY(DATE(YEAR(C24-WEEKDAY(C24,2)+4),1,3),2)+5)/7),"00"))</f>
        <v/>
      </c>
    </row>
    <row r="25" ht="18" customHeight="1">
      <c r="A25" s="39" t="n">
        <v>20</v>
      </c>
      <c r="B25" s="33">
        <f>IF(C25="","",IF(P25="À RENSEIGNER","GIC",P25)&amp;"-V"&amp;TEXT(A25,"00000"))</f>
        <v/>
      </c>
      <c r="C25" s="32" t="n"/>
      <c r="D25" s="35" t="n"/>
      <c r="E25" s="36" t="n"/>
      <c r="F25" s="36" t="n"/>
      <c r="G25" s="36" t="n"/>
      <c r="H25" s="36" t="n"/>
      <c r="I25" s="36" t="n"/>
      <c r="J25" s="37" t="n"/>
      <c r="K25" s="32" t="n"/>
      <c r="L25" s="36" t="n"/>
      <c r="M25" s="41" t="n"/>
      <c r="N25" s="41" t="n"/>
      <c r="O25" s="36" t="n"/>
      <c r="P25" s="33">
        <f>IF(C25="","",Commercial_Id)</f>
        <v/>
      </c>
      <c r="Q25" s="39">
        <f>IF(F25="","",IFERROR(VALUE(MID(F25,LEN(F25)-3,3)),""))</f>
        <v/>
      </c>
      <c r="R25" s="33">
        <f>IF(Q25="","",P25&amp;"|"&amp;Q25)</f>
        <v/>
      </c>
      <c r="S25" s="33">
        <f>IF(Q25="","",IF(P25="À RENSEIGNER","GIC",P25)&amp;"-"&amp;TEXT(Q25,"000"))</f>
        <v/>
      </c>
      <c r="T25" s="33">
        <f>IF(R25="","",IFERROR(INDEX(Cl_nom,MATCH(R25,Cl_cle,0)),"(client introuvable)"))</f>
        <v/>
      </c>
      <c r="U25" s="33">
        <f>IF(R25="","",IFERROR(INDEX(Cl_quartier,MATCH(R25,Cl_cle,0))&amp;"",""))</f>
        <v/>
      </c>
      <c r="V25" s="34">
        <f>IF(C25="","",YEAR(C25-WEEKDAY(C25,2)+4)&amp;"-S"&amp;TEXT(INT((C25-DATE(YEAR(C25-WEEKDAY(C25,2)+4),1,3)+WEEKDAY(DATE(YEAR(C25-WEEKDAY(C25,2)+4),1,3),2)+5)/7),"00"))</f>
        <v/>
      </c>
    </row>
    <row r="26" ht="18" customHeight="1">
      <c r="A26" s="39" t="n">
        <v>21</v>
      </c>
      <c r="B26" s="33">
        <f>IF(C26="","",IF(P26="À RENSEIGNER","GIC",P26)&amp;"-V"&amp;TEXT(A26,"00000"))</f>
        <v/>
      </c>
      <c r="C26" s="32" t="n"/>
      <c r="D26" s="35" t="n"/>
      <c r="E26" s="36" t="n"/>
      <c r="F26" s="36" t="n"/>
      <c r="G26" s="36" t="n"/>
      <c r="H26" s="36" t="n"/>
      <c r="I26" s="36" t="n"/>
      <c r="J26" s="37" t="n"/>
      <c r="K26" s="32" t="n"/>
      <c r="L26" s="36" t="n"/>
      <c r="M26" s="41" t="n"/>
      <c r="N26" s="41" t="n"/>
      <c r="O26" s="36" t="n"/>
      <c r="P26" s="33">
        <f>IF(C26="","",Commercial_Id)</f>
        <v/>
      </c>
      <c r="Q26" s="39">
        <f>IF(F26="","",IFERROR(VALUE(MID(F26,LEN(F26)-3,3)),""))</f>
        <v/>
      </c>
      <c r="R26" s="33">
        <f>IF(Q26="","",P26&amp;"|"&amp;Q26)</f>
        <v/>
      </c>
      <c r="S26" s="33">
        <f>IF(Q26="","",IF(P26="À RENSEIGNER","GIC",P26)&amp;"-"&amp;TEXT(Q26,"000"))</f>
        <v/>
      </c>
      <c r="T26" s="33">
        <f>IF(R26="","",IFERROR(INDEX(Cl_nom,MATCH(R26,Cl_cle,0)),"(client introuvable)"))</f>
        <v/>
      </c>
      <c r="U26" s="33">
        <f>IF(R26="","",IFERROR(INDEX(Cl_quartier,MATCH(R26,Cl_cle,0))&amp;"",""))</f>
        <v/>
      </c>
      <c r="V26" s="34">
        <f>IF(C26="","",YEAR(C26-WEEKDAY(C26,2)+4)&amp;"-S"&amp;TEXT(INT((C26-DATE(YEAR(C26-WEEKDAY(C26,2)+4),1,3)+WEEKDAY(DATE(YEAR(C26-WEEKDAY(C26,2)+4),1,3),2)+5)/7),"00"))</f>
        <v/>
      </c>
    </row>
    <row r="27" ht="18" customHeight="1">
      <c r="A27" s="39" t="n">
        <v>22</v>
      </c>
      <c r="B27" s="33">
        <f>IF(C27="","",IF(P27="À RENSEIGNER","GIC",P27)&amp;"-V"&amp;TEXT(A27,"00000"))</f>
        <v/>
      </c>
      <c r="C27" s="32" t="n"/>
      <c r="D27" s="35" t="n"/>
      <c r="E27" s="36" t="n"/>
      <c r="F27" s="36" t="n"/>
      <c r="G27" s="36" t="n"/>
      <c r="H27" s="36" t="n"/>
      <c r="I27" s="36" t="n"/>
      <c r="J27" s="37" t="n"/>
      <c r="K27" s="32" t="n"/>
      <c r="L27" s="36" t="n"/>
      <c r="M27" s="41" t="n"/>
      <c r="N27" s="41" t="n"/>
      <c r="O27" s="36" t="n"/>
      <c r="P27" s="33">
        <f>IF(C27="","",Commercial_Id)</f>
        <v/>
      </c>
      <c r="Q27" s="39">
        <f>IF(F27="","",IFERROR(VALUE(MID(F27,LEN(F27)-3,3)),""))</f>
        <v/>
      </c>
      <c r="R27" s="33">
        <f>IF(Q27="","",P27&amp;"|"&amp;Q27)</f>
        <v/>
      </c>
      <c r="S27" s="33">
        <f>IF(Q27="","",IF(P27="À RENSEIGNER","GIC",P27)&amp;"-"&amp;TEXT(Q27,"000"))</f>
        <v/>
      </c>
      <c r="T27" s="33">
        <f>IF(R27="","",IFERROR(INDEX(Cl_nom,MATCH(R27,Cl_cle,0)),"(client introuvable)"))</f>
        <v/>
      </c>
      <c r="U27" s="33">
        <f>IF(R27="","",IFERROR(INDEX(Cl_quartier,MATCH(R27,Cl_cle,0))&amp;"",""))</f>
        <v/>
      </c>
      <c r="V27" s="34">
        <f>IF(C27="","",YEAR(C27-WEEKDAY(C27,2)+4)&amp;"-S"&amp;TEXT(INT((C27-DATE(YEAR(C27-WEEKDAY(C27,2)+4),1,3)+WEEKDAY(DATE(YEAR(C27-WEEKDAY(C27,2)+4),1,3),2)+5)/7),"00"))</f>
        <v/>
      </c>
    </row>
    <row r="28" ht="18" customHeight="1">
      <c r="A28" s="39" t="n">
        <v>23</v>
      </c>
      <c r="B28" s="33">
        <f>IF(C28="","",IF(P28="À RENSEIGNER","GIC",P28)&amp;"-V"&amp;TEXT(A28,"00000"))</f>
        <v/>
      </c>
      <c r="C28" s="32" t="n"/>
      <c r="D28" s="35" t="n"/>
      <c r="E28" s="36" t="n"/>
      <c r="F28" s="36" t="n"/>
      <c r="G28" s="36" t="n"/>
      <c r="H28" s="36" t="n"/>
      <c r="I28" s="36" t="n"/>
      <c r="J28" s="37" t="n"/>
      <c r="K28" s="32" t="n"/>
      <c r="L28" s="36" t="n"/>
      <c r="M28" s="41" t="n"/>
      <c r="N28" s="41" t="n"/>
      <c r="O28" s="36" t="n"/>
      <c r="P28" s="33">
        <f>IF(C28="","",Commercial_Id)</f>
        <v/>
      </c>
      <c r="Q28" s="39">
        <f>IF(F28="","",IFERROR(VALUE(MID(F28,LEN(F28)-3,3)),""))</f>
        <v/>
      </c>
      <c r="R28" s="33">
        <f>IF(Q28="","",P28&amp;"|"&amp;Q28)</f>
        <v/>
      </c>
      <c r="S28" s="33">
        <f>IF(Q28="","",IF(P28="À RENSEIGNER","GIC",P28)&amp;"-"&amp;TEXT(Q28,"000"))</f>
        <v/>
      </c>
      <c r="T28" s="33">
        <f>IF(R28="","",IFERROR(INDEX(Cl_nom,MATCH(R28,Cl_cle,0)),"(client introuvable)"))</f>
        <v/>
      </c>
      <c r="U28" s="33">
        <f>IF(R28="","",IFERROR(INDEX(Cl_quartier,MATCH(R28,Cl_cle,0))&amp;"",""))</f>
        <v/>
      </c>
      <c r="V28" s="34">
        <f>IF(C28="","",YEAR(C28-WEEKDAY(C28,2)+4)&amp;"-S"&amp;TEXT(INT((C28-DATE(YEAR(C28-WEEKDAY(C28,2)+4),1,3)+WEEKDAY(DATE(YEAR(C28-WEEKDAY(C28,2)+4),1,3),2)+5)/7),"00"))</f>
        <v/>
      </c>
    </row>
    <row r="29" ht="18" customHeight="1">
      <c r="A29" s="39" t="n">
        <v>24</v>
      </c>
      <c r="B29" s="33">
        <f>IF(C29="","",IF(P29="À RENSEIGNER","GIC",P29)&amp;"-V"&amp;TEXT(A29,"00000"))</f>
        <v/>
      </c>
      <c r="C29" s="32" t="n"/>
      <c r="D29" s="35" t="n"/>
      <c r="E29" s="36" t="n"/>
      <c r="F29" s="36" t="n"/>
      <c r="G29" s="36" t="n"/>
      <c r="H29" s="36" t="n"/>
      <c r="I29" s="36" t="n"/>
      <c r="J29" s="37" t="n"/>
      <c r="K29" s="32" t="n"/>
      <c r="L29" s="36" t="n"/>
      <c r="M29" s="41" t="n"/>
      <c r="N29" s="41" t="n"/>
      <c r="O29" s="36" t="n"/>
      <c r="P29" s="33">
        <f>IF(C29="","",Commercial_Id)</f>
        <v/>
      </c>
      <c r="Q29" s="39">
        <f>IF(F29="","",IFERROR(VALUE(MID(F29,LEN(F29)-3,3)),""))</f>
        <v/>
      </c>
      <c r="R29" s="33">
        <f>IF(Q29="","",P29&amp;"|"&amp;Q29)</f>
        <v/>
      </c>
      <c r="S29" s="33">
        <f>IF(Q29="","",IF(P29="À RENSEIGNER","GIC",P29)&amp;"-"&amp;TEXT(Q29,"000"))</f>
        <v/>
      </c>
      <c r="T29" s="33">
        <f>IF(R29="","",IFERROR(INDEX(Cl_nom,MATCH(R29,Cl_cle,0)),"(client introuvable)"))</f>
        <v/>
      </c>
      <c r="U29" s="33">
        <f>IF(R29="","",IFERROR(INDEX(Cl_quartier,MATCH(R29,Cl_cle,0))&amp;"",""))</f>
        <v/>
      </c>
      <c r="V29" s="34">
        <f>IF(C29="","",YEAR(C29-WEEKDAY(C29,2)+4)&amp;"-S"&amp;TEXT(INT((C29-DATE(YEAR(C29-WEEKDAY(C29,2)+4),1,3)+WEEKDAY(DATE(YEAR(C29-WEEKDAY(C29,2)+4),1,3),2)+5)/7),"00"))</f>
        <v/>
      </c>
    </row>
    <row r="30" ht="18" customHeight="1">
      <c r="A30" s="39" t="n">
        <v>25</v>
      </c>
      <c r="B30" s="33">
        <f>IF(C30="","",IF(P30="À RENSEIGNER","GIC",P30)&amp;"-V"&amp;TEXT(A30,"00000"))</f>
        <v/>
      </c>
      <c r="C30" s="32" t="n"/>
      <c r="D30" s="35" t="n"/>
      <c r="E30" s="36" t="n"/>
      <c r="F30" s="36" t="n"/>
      <c r="G30" s="36" t="n"/>
      <c r="H30" s="36" t="n"/>
      <c r="I30" s="36" t="n"/>
      <c r="J30" s="37" t="n"/>
      <c r="K30" s="32" t="n"/>
      <c r="L30" s="36" t="n"/>
      <c r="M30" s="41" t="n"/>
      <c r="N30" s="41" t="n"/>
      <c r="O30" s="36" t="n"/>
      <c r="P30" s="33">
        <f>IF(C30="","",Commercial_Id)</f>
        <v/>
      </c>
      <c r="Q30" s="39">
        <f>IF(F30="","",IFERROR(VALUE(MID(F30,LEN(F30)-3,3)),""))</f>
        <v/>
      </c>
      <c r="R30" s="33">
        <f>IF(Q30="","",P30&amp;"|"&amp;Q30)</f>
        <v/>
      </c>
      <c r="S30" s="33">
        <f>IF(Q30="","",IF(P30="À RENSEIGNER","GIC",P30)&amp;"-"&amp;TEXT(Q30,"000"))</f>
        <v/>
      </c>
      <c r="T30" s="33">
        <f>IF(R30="","",IFERROR(INDEX(Cl_nom,MATCH(R30,Cl_cle,0)),"(client introuvable)"))</f>
        <v/>
      </c>
      <c r="U30" s="33">
        <f>IF(R30="","",IFERROR(INDEX(Cl_quartier,MATCH(R30,Cl_cle,0))&amp;"",""))</f>
        <v/>
      </c>
      <c r="V30" s="34">
        <f>IF(C30="","",YEAR(C30-WEEKDAY(C30,2)+4)&amp;"-S"&amp;TEXT(INT((C30-DATE(YEAR(C30-WEEKDAY(C30,2)+4),1,3)+WEEKDAY(DATE(YEAR(C30-WEEKDAY(C30,2)+4),1,3),2)+5)/7),"00"))</f>
        <v/>
      </c>
    </row>
    <row r="31" ht="18" customHeight="1">
      <c r="A31" s="39" t="n">
        <v>26</v>
      </c>
      <c r="B31" s="33">
        <f>IF(C31="","",IF(P31="À RENSEIGNER","GIC",P31)&amp;"-V"&amp;TEXT(A31,"00000"))</f>
        <v/>
      </c>
      <c r="C31" s="32" t="n"/>
      <c r="D31" s="35" t="n"/>
      <c r="E31" s="36" t="n"/>
      <c r="F31" s="36" t="n"/>
      <c r="G31" s="36" t="n"/>
      <c r="H31" s="36" t="n"/>
      <c r="I31" s="36" t="n"/>
      <c r="J31" s="37" t="n"/>
      <c r="K31" s="32" t="n"/>
      <c r="L31" s="36" t="n"/>
      <c r="M31" s="41" t="n"/>
      <c r="N31" s="41" t="n"/>
      <c r="O31" s="36" t="n"/>
      <c r="P31" s="33">
        <f>IF(C31="","",Commercial_Id)</f>
        <v/>
      </c>
      <c r="Q31" s="39">
        <f>IF(F31="","",IFERROR(VALUE(MID(F31,LEN(F31)-3,3)),""))</f>
        <v/>
      </c>
      <c r="R31" s="33">
        <f>IF(Q31="","",P31&amp;"|"&amp;Q31)</f>
        <v/>
      </c>
      <c r="S31" s="33">
        <f>IF(Q31="","",IF(P31="À RENSEIGNER","GIC",P31)&amp;"-"&amp;TEXT(Q31,"000"))</f>
        <v/>
      </c>
      <c r="T31" s="33">
        <f>IF(R31="","",IFERROR(INDEX(Cl_nom,MATCH(R31,Cl_cle,0)),"(client introuvable)"))</f>
        <v/>
      </c>
      <c r="U31" s="33">
        <f>IF(R31="","",IFERROR(INDEX(Cl_quartier,MATCH(R31,Cl_cle,0))&amp;"",""))</f>
        <v/>
      </c>
      <c r="V31" s="34">
        <f>IF(C31="","",YEAR(C31-WEEKDAY(C31,2)+4)&amp;"-S"&amp;TEXT(INT((C31-DATE(YEAR(C31-WEEKDAY(C31,2)+4),1,3)+WEEKDAY(DATE(YEAR(C31-WEEKDAY(C31,2)+4),1,3),2)+5)/7),"00"))</f>
        <v/>
      </c>
    </row>
    <row r="32" ht="18" customHeight="1">
      <c r="A32" s="39" t="n">
        <v>27</v>
      </c>
      <c r="B32" s="33">
        <f>IF(C32="","",IF(P32="À RENSEIGNER","GIC",P32)&amp;"-V"&amp;TEXT(A32,"00000"))</f>
        <v/>
      </c>
      <c r="C32" s="32" t="n"/>
      <c r="D32" s="35" t="n"/>
      <c r="E32" s="36" t="n"/>
      <c r="F32" s="36" t="n"/>
      <c r="G32" s="36" t="n"/>
      <c r="H32" s="36" t="n"/>
      <c r="I32" s="36" t="n"/>
      <c r="J32" s="37" t="n"/>
      <c r="K32" s="32" t="n"/>
      <c r="L32" s="36" t="n"/>
      <c r="M32" s="41" t="n"/>
      <c r="N32" s="41" t="n"/>
      <c r="O32" s="36" t="n"/>
      <c r="P32" s="33">
        <f>IF(C32="","",Commercial_Id)</f>
        <v/>
      </c>
      <c r="Q32" s="39">
        <f>IF(F32="","",IFERROR(VALUE(MID(F32,LEN(F32)-3,3)),""))</f>
        <v/>
      </c>
      <c r="R32" s="33">
        <f>IF(Q32="","",P32&amp;"|"&amp;Q32)</f>
        <v/>
      </c>
      <c r="S32" s="33">
        <f>IF(Q32="","",IF(P32="À RENSEIGNER","GIC",P32)&amp;"-"&amp;TEXT(Q32,"000"))</f>
        <v/>
      </c>
      <c r="T32" s="33">
        <f>IF(R32="","",IFERROR(INDEX(Cl_nom,MATCH(R32,Cl_cle,0)),"(client introuvable)"))</f>
        <v/>
      </c>
      <c r="U32" s="33">
        <f>IF(R32="","",IFERROR(INDEX(Cl_quartier,MATCH(R32,Cl_cle,0))&amp;"",""))</f>
        <v/>
      </c>
      <c r="V32" s="34">
        <f>IF(C32="","",YEAR(C32-WEEKDAY(C32,2)+4)&amp;"-S"&amp;TEXT(INT((C32-DATE(YEAR(C32-WEEKDAY(C32,2)+4),1,3)+WEEKDAY(DATE(YEAR(C32-WEEKDAY(C32,2)+4),1,3),2)+5)/7),"00"))</f>
        <v/>
      </c>
    </row>
    <row r="33" ht="18" customHeight="1">
      <c r="A33" s="39" t="n">
        <v>28</v>
      </c>
      <c r="B33" s="33">
        <f>IF(C33="","",IF(P33="À RENSEIGNER","GIC",P33)&amp;"-V"&amp;TEXT(A33,"00000"))</f>
        <v/>
      </c>
      <c r="C33" s="32" t="n"/>
      <c r="D33" s="35" t="n"/>
      <c r="E33" s="36" t="n"/>
      <c r="F33" s="36" t="n"/>
      <c r="G33" s="36" t="n"/>
      <c r="H33" s="36" t="n"/>
      <c r="I33" s="36" t="n"/>
      <c r="J33" s="37" t="n"/>
      <c r="K33" s="32" t="n"/>
      <c r="L33" s="36" t="n"/>
      <c r="M33" s="41" t="n"/>
      <c r="N33" s="41" t="n"/>
      <c r="O33" s="36" t="n"/>
      <c r="P33" s="33">
        <f>IF(C33="","",Commercial_Id)</f>
        <v/>
      </c>
      <c r="Q33" s="39">
        <f>IF(F33="","",IFERROR(VALUE(MID(F33,LEN(F33)-3,3)),""))</f>
        <v/>
      </c>
      <c r="R33" s="33">
        <f>IF(Q33="","",P33&amp;"|"&amp;Q33)</f>
        <v/>
      </c>
      <c r="S33" s="33">
        <f>IF(Q33="","",IF(P33="À RENSEIGNER","GIC",P33)&amp;"-"&amp;TEXT(Q33,"000"))</f>
        <v/>
      </c>
      <c r="T33" s="33">
        <f>IF(R33="","",IFERROR(INDEX(Cl_nom,MATCH(R33,Cl_cle,0)),"(client introuvable)"))</f>
        <v/>
      </c>
      <c r="U33" s="33">
        <f>IF(R33="","",IFERROR(INDEX(Cl_quartier,MATCH(R33,Cl_cle,0))&amp;"",""))</f>
        <v/>
      </c>
      <c r="V33" s="34">
        <f>IF(C33="","",YEAR(C33-WEEKDAY(C33,2)+4)&amp;"-S"&amp;TEXT(INT((C33-DATE(YEAR(C33-WEEKDAY(C33,2)+4),1,3)+WEEKDAY(DATE(YEAR(C33-WEEKDAY(C33,2)+4),1,3),2)+5)/7),"00"))</f>
        <v/>
      </c>
    </row>
    <row r="34" ht="18" customHeight="1">
      <c r="A34" s="39" t="n">
        <v>29</v>
      </c>
      <c r="B34" s="33">
        <f>IF(C34="","",IF(P34="À RENSEIGNER","GIC",P34)&amp;"-V"&amp;TEXT(A34,"00000"))</f>
        <v/>
      </c>
      <c r="C34" s="32" t="n"/>
      <c r="D34" s="35" t="n"/>
      <c r="E34" s="36" t="n"/>
      <c r="F34" s="36" t="n"/>
      <c r="G34" s="36" t="n"/>
      <c r="H34" s="36" t="n"/>
      <c r="I34" s="36" t="n"/>
      <c r="J34" s="37" t="n"/>
      <c r="K34" s="32" t="n"/>
      <c r="L34" s="36" t="n"/>
      <c r="M34" s="41" t="n"/>
      <c r="N34" s="41" t="n"/>
      <c r="O34" s="36" t="n"/>
      <c r="P34" s="33">
        <f>IF(C34="","",Commercial_Id)</f>
        <v/>
      </c>
      <c r="Q34" s="39">
        <f>IF(F34="","",IFERROR(VALUE(MID(F34,LEN(F34)-3,3)),""))</f>
        <v/>
      </c>
      <c r="R34" s="33">
        <f>IF(Q34="","",P34&amp;"|"&amp;Q34)</f>
        <v/>
      </c>
      <c r="S34" s="33">
        <f>IF(Q34="","",IF(P34="À RENSEIGNER","GIC",P34)&amp;"-"&amp;TEXT(Q34,"000"))</f>
        <v/>
      </c>
      <c r="T34" s="33">
        <f>IF(R34="","",IFERROR(INDEX(Cl_nom,MATCH(R34,Cl_cle,0)),"(client introuvable)"))</f>
        <v/>
      </c>
      <c r="U34" s="33">
        <f>IF(R34="","",IFERROR(INDEX(Cl_quartier,MATCH(R34,Cl_cle,0))&amp;"",""))</f>
        <v/>
      </c>
      <c r="V34" s="34">
        <f>IF(C34="","",YEAR(C34-WEEKDAY(C34,2)+4)&amp;"-S"&amp;TEXT(INT((C34-DATE(YEAR(C34-WEEKDAY(C34,2)+4),1,3)+WEEKDAY(DATE(YEAR(C34-WEEKDAY(C34,2)+4),1,3),2)+5)/7),"00"))</f>
        <v/>
      </c>
    </row>
    <row r="35" ht="18" customHeight="1">
      <c r="A35" s="39" t="n">
        <v>30</v>
      </c>
      <c r="B35" s="33">
        <f>IF(C35="","",IF(P35="À RENSEIGNER","GIC",P35)&amp;"-V"&amp;TEXT(A35,"00000"))</f>
        <v/>
      </c>
      <c r="C35" s="32" t="n"/>
      <c r="D35" s="35" t="n"/>
      <c r="E35" s="36" t="n"/>
      <c r="F35" s="36" t="n"/>
      <c r="G35" s="36" t="n"/>
      <c r="H35" s="36" t="n"/>
      <c r="I35" s="36" t="n"/>
      <c r="J35" s="37" t="n"/>
      <c r="K35" s="32" t="n"/>
      <c r="L35" s="36" t="n"/>
      <c r="M35" s="41" t="n"/>
      <c r="N35" s="41" t="n"/>
      <c r="O35" s="36" t="n"/>
      <c r="P35" s="33">
        <f>IF(C35="","",Commercial_Id)</f>
        <v/>
      </c>
      <c r="Q35" s="39">
        <f>IF(F35="","",IFERROR(VALUE(MID(F35,LEN(F35)-3,3)),""))</f>
        <v/>
      </c>
      <c r="R35" s="33">
        <f>IF(Q35="","",P35&amp;"|"&amp;Q35)</f>
        <v/>
      </c>
      <c r="S35" s="33">
        <f>IF(Q35="","",IF(P35="À RENSEIGNER","GIC",P35)&amp;"-"&amp;TEXT(Q35,"000"))</f>
        <v/>
      </c>
      <c r="T35" s="33">
        <f>IF(R35="","",IFERROR(INDEX(Cl_nom,MATCH(R35,Cl_cle,0)),"(client introuvable)"))</f>
        <v/>
      </c>
      <c r="U35" s="33">
        <f>IF(R35="","",IFERROR(INDEX(Cl_quartier,MATCH(R35,Cl_cle,0))&amp;"",""))</f>
        <v/>
      </c>
      <c r="V35" s="34">
        <f>IF(C35="","",YEAR(C35-WEEKDAY(C35,2)+4)&amp;"-S"&amp;TEXT(INT((C35-DATE(YEAR(C35-WEEKDAY(C35,2)+4),1,3)+WEEKDAY(DATE(YEAR(C35-WEEKDAY(C35,2)+4),1,3),2)+5)/7),"00"))</f>
        <v/>
      </c>
    </row>
    <row r="36" ht="18" customHeight="1">
      <c r="A36" s="39" t="n">
        <v>31</v>
      </c>
      <c r="B36" s="33">
        <f>IF(C36="","",IF(P36="À RENSEIGNER","GIC",P36)&amp;"-V"&amp;TEXT(A36,"00000"))</f>
        <v/>
      </c>
      <c r="C36" s="32" t="n"/>
      <c r="D36" s="35" t="n"/>
      <c r="E36" s="36" t="n"/>
      <c r="F36" s="36" t="n"/>
      <c r="G36" s="36" t="n"/>
      <c r="H36" s="36" t="n"/>
      <c r="I36" s="36" t="n"/>
      <c r="J36" s="37" t="n"/>
      <c r="K36" s="32" t="n"/>
      <c r="L36" s="36" t="n"/>
      <c r="M36" s="41" t="n"/>
      <c r="N36" s="41" t="n"/>
      <c r="O36" s="36" t="n"/>
      <c r="P36" s="33">
        <f>IF(C36="","",Commercial_Id)</f>
        <v/>
      </c>
      <c r="Q36" s="39">
        <f>IF(F36="","",IFERROR(VALUE(MID(F36,LEN(F36)-3,3)),""))</f>
        <v/>
      </c>
      <c r="R36" s="33">
        <f>IF(Q36="","",P36&amp;"|"&amp;Q36)</f>
        <v/>
      </c>
      <c r="S36" s="33">
        <f>IF(Q36="","",IF(P36="À RENSEIGNER","GIC",P36)&amp;"-"&amp;TEXT(Q36,"000"))</f>
        <v/>
      </c>
      <c r="T36" s="33">
        <f>IF(R36="","",IFERROR(INDEX(Cl_nom,MATCH(R36,Cl_cle,0)),"(client introuvable)"))</f>
        <v/>
      </c>
      <c r="U36" s="33">
        <f>IF(R36="","",IFERROR(INDEX(Cl_quartier,MATCH(R36,Cl_cle,0))&amp;"",""))</f>
        <v/>
      </c>
      <c r="V36" s="34">
        <f>IF(C36="","",YEAR(C36-WEEKDAY(C36,2)+4)&amp;"-S"&amp;TEXT(INT((C36-DATE(YEAR(C36-WEEKDAY(C36,2)+4),1,3)+WEEKDAY(DATE(YEAR(C36-WEEKDAY(C36,2)+4),1,3),2)+5)/7),"00"))</f>
        <v/>
      </c>
    </row>
    <row r="37" ht="18" customHeight="1">
      <c r="A37" s="39" t="n">
        <v>32</v>
      </c>
      <c r="B37" s="33">
        <f>IF(C37="","",IF(P37="À RENSEIGNER","GIC",P37)&amp;"-V"&amp;TEXT(A37,"00000"))</f>
        <v/>
      </c>
      <c r="C37" s="32" t="n"/>
      <c r="D37" s="35" t="n"/>
      <c r="E37" s="36" t="n"/>
      <c r="F37" s="36" t="n"/>
      <c r="G37" s="36" t="n"/>
      <c r="H37" s="36" t="n"/>
      <c r="I37" s="36" t="n"/>
      <c r="J37" s="37" t="n"/>
      <c r="K37" s="32" t="n"/>
      <c r="L37" s="36" t="n"/>
      <c r="M37" s="41" t="n"/>
      <c r="N37" s="41" t="n"/>
      <c r="O37" s="36" t="n"/>
      <c r="P37" s="33">
        <f>IF(C37="","",Commercial_Id)</f>
        <v/>
      </c>
      <c r="Q37" s="39">
        <f>IF(F37="","",IFERROR(VALUE(MID(F37,LEN(F37)-3,3)),""))</f>
        <v/>
      </c>
      <c r="R37" s="33">
        <f>IF(Q37="","",P37&amp;"|"&amp;Q37)</f>
        <v/>
      </c>
      <c r="S37" s="33">
        <f>IF(Q37="","",IF(P37="À RENSEIGNER","GIC",P37)&amp;"-"&amp;TEXT(Q37,"000"))</f>
        <v/>
      </c>
      <c r="T37" s="33">
        <f>IF(R37="","",IFERROR(INDEX(Cl_nom,MATCH(R37,Cl_cle,0)),"(client introuvable)"))</f>
        <v/>
      </c>
      <c r="U37" s="33">
        <f>IF(R37="","",IFERROR(INDEX(Cl_quartier,MATCH(R37,Cl_cle,0))&amp;"",""))</f>
        <v/>
      </c>
      <c r="V37" s="34">
        <f>IF(C37="","",YEAR(C37-WEEKDAY(C37,2)+4)&amp;"-S"&amp;TEXT(INT((C37-DATE(YEAR(C37-WEEKDAY(C37,2)+4),1,3)+WEEKDAY(DATE(YEAR(C37-WEEKDAY(C37,2)+4),1,3),2)+5)/7),"00"))</f>
        <v/>
      </c>
    </row>
    <row r="38" ht="18" customHeight="1">
      <c r="A38" s="39" t="n">
        <v>33</v>
      </c>
      <c r="B38" s="33">
        <f>IF(C38="","",IF(P38="À RENSEIGNER","GIC",P38)&amp;"-V"&amp;TEXT(A38,"00000"))</f>
        <v/>
      </c>
      <c r="C38" s="32" t="n"/>
      <c r="D38" s="35" t="n"/>
      <c r="E38" s="36" t="n"/>
      <c r="F38" s="36" t="n"/>
      <c r="G38" s="36" t="n"/>
      <c r="H38" s="36" t="n"/>
      <c r="I38" s="36" t="n"/>
      <c r="J38" s="37" t="n"/>
      <c r="K38" s="32" t="n"/>
      <c r="L38" s="36" t="n"/>
      <c r="M38" s="41" t="n"/>
      <c r="N38" s="41" t="n"/>
      <c r="O38" s="36" t="n"/>
      <c r="P38" s="33">
        <f>IF(C38="","",Commercial_Id)</f>
        <v/>
      </c>
      <c r="Q38" s="39">
        <f>IF(F38="","",IFERROR(VALUE(MID(F38,LEN(F38)-3,3)),""))</f>
        <v/>
      </c>
      <c r="R38" s="33">
        <f>IF(Q38="","",P38&amp;"|"&amp;Q38)</f>
        <v/>
      </c>
      <c r="S38" s="33">
        <f>IF(Q38="","",IF(P38="À RENSEIGNER","GIC",P38)&amp;"-"&amp;TEXT(Q38,"000"))</f>
        <v/>
      </c>
      <c r="T38" s="33">
        <f>IF(R38="","",IFERROR(INDEX(Cl_nom,MATCH(R38,Cl_cle,0)),"(client introuvable)"))</f>
        <v/>
      </c>
      <c r="U38" s="33">
        <f>IF(R38="","",IFERROR(INDEX(Cl_quartier,MATCH(R38,Cl_cle,0))&amp;"",""))</f>
        <v/>
      </c>
      <c r="V38" s="34">
        <f>IF(C38="","",YEAR(C38-WEEKDAY(C38,2)+4)&amp;"-S"&amp;TEXT(INT((C38-DATE(YEAR(C38-WEEKDAY(C38,2)+4),1,3)+WEEKDAY(DATE(YEAR(C38-WEEKDAY(C38,2)+4),1,3),2)+5)/7),"00"))</f>
        <v/>
      </c>
    </row>
    <row r="39" ht="18" customHeight="1">
      <c r="A39" s="39" t="n">
        <v>34</v>
      </c>
      <c r="B39" s="33">
        <f>IF(C39="","",IF(P39="À RENSEIGNER","GIC",P39)&amp;"-V"&amp;TEXT(A39,"00000"))</f>
        <v/>
      </c>
      <c r="C39" s="32" t="n"/>
      <c r="D39" s="35" t="n"/>
      <c r="E39" s="36" t="n"/>
      <c r="F39" s="36" t="n"/>
      <c r="G39" s="36" t="n"/>
      <c r="H39" s="36" t="n"/>
      <c r="I39" s="36" t="n"/>
      <c r="J39" s="37" t="n"/>
      <c r="K39" s="32" t="n"/>
      <c r="L39" s="36" t="n"/>
      <c r="M39" s="41" t="n"/>
      <c r="N39" s="41" t="n"/>
      <c r="O39" s="36" t="n"/>
      <c r="P39" s="33">
        <f>IF(C39="","",Commercial_Id)</f>
        <v/>
      </c>
      <c r="Q39" s="39">
        <f>IF(F39="","",IFERROR(VALUE(MID(F39,LEN(F39)-3,3)),""))</f>
        <v/>
      </c>
      <c r="R39" s="33">
        <f>IF(Q39="","",P39&amp;"|"&amp;Q39)</f>
        <v/>
      </c>
      <c r="S39" s="33">
        <f>IF(Q39="","",IF(P39="À RENSEIGNER","GIC",P39)&amp;"-"&amp;TEXT(Q39,"000"))</f>
        <v/>
      </c>
      <c r="T39" s="33">
        <f>IF(R39="","",IFERROR(INDEX(Cl_nom,MATCH(R39,Cl_cle,0)),"(client introuvable)"))</f>
        <v/>
      </c>
      <c r="U39" s="33">
        <f>IF(R39="","",IFERROR(INDEX(Cl_quartier,MATCH(R39,Cl_cle,0))&amp;"",""))</f>
        <v/>
      </c>
      <c r="V39" s="34">
        <f>IF(C39="","",YEAR(C39-WEEKDAY(C39,2)+4)&amp;"-S"&amp;TEXT(INT((C39-DATE(YEAR(C39-WEEKDAY(C39,2)+4),1,3)+WEEKDAY(DATE(YEAR(C39-WEEKDAY(C39,2)+4),1,3),2)+5)/7),"00"))</f>
        <v/>
      </c>
    </row>
    <row r="40" ht="18" customHeight="1">
      <c r="A40" s="39" t="n">
        <v>35</v>
      </c>
      <c r="B40" s="33">
        <f>IF(C40="","",IF(P40="À RENSEIGNER","GIC",P40)&amp;"-V"&amp;TEXT(A40,"00000"))</f>
        <v/>
      </c>
      <c r="C40" s="32" t="n"/>
      <c r="D40" s="35" t="n"/>
      <c r="E40" s="36" t="n"/>
      <c r="F40" s="36" t="n"/>
      <c r="G40" s="36" t="n"/>
      <c r="H40" s="36" t="n"/>
      <c r="I40" s="36" t="n"/>
      <c r="J40" s="37" t="n"/>
      <c r="K40" s="32" t="n"/>
      <c r="L40" s="36" t="n"/>
      <c r="M40" s="41" t="n"/>
      <c r="N40" s="41" t="n"/>
      <c r="O40" s="36" t="n"/>
      <c r="P40" s="33">
        <f>IF(C40="","",Commercial_Id)</f>
        <v/>
      </c>
      <c r="Q40" s="39">
        <f>IF(F40="","",IFERROR(VALUE(MID(F40,LEN(F40)-3,3)),""))</f>
        <v/>
      </c>
      <c r="R40" s="33">
        <f>IF(Q40="","",P40&amp;"|"&amp;Q40)</f>
        <v/>
      </c>
      <c r="S40" s="33">
        <f>IF(Q40="","",IF(P40="À RENSEIGNER","GIC",P40)&amp;"-"&amp;TEXT(Q40,"000"))</f>
        <v/>
      </c>
      <c r="T40" s="33">
        <f>IF(R40="","",IFERROR(INDEX(Cl_nom,MATCH(R40,Cl_cle,0)),"(client introuvable)"))</f>
        <v/>
      </c>
      <c r="U40" s="33">
        <f>IF(R40="","",IFERROR(INDEX(Cl_quartier,MATCH(R40,Cl_cle,0))&amp;"",""))</f>
        <v/>
      </c>
      <c r="V40" s="34">
        <f>IF(C40="","",YEAR(C40-WEEKDAY(C40,2)+4)&amp;"-S"&amp;TEXT(INT((C40-DATE(YEAR(C40-WEEKDAY(C40,2)+4),1,3)+WEEKDAY(DATE(YEAR(C40-WEEKDAY(C40,2)+4),1,3),2)+5)/7),"00"))</f>
        <v/>
      </c>
    </row>
    <row r="41" ht="18" customHeight="1">
      <c r="A41" s="39" t="n">
        <v>36</v>
      </c>
      <c r="B41" s="33">
        <f>IF(C41="","",IF(P41="À RENSEIGNER","GIC",P41)&amp;"-V"&amp;TEXT(A41,"00000"))</f>
        <v/>
      </c>
      <c r="C41" s="32" t="n"/>
      <c r="D41" s="35" t="n"/>
      <c r="E41" s="36" t="n"/>
      <c r="F41" s="36" t="n"/>
      <c r="G41" s="36" t="n"/>
      <c r="H41" s="36" t="n"/>
      <c r="I41" s="36" t="n"/>
      <c r="J41" s="37" t="n"/>
      <c r="K41" s="32" t="n"/>
      <c r="L41" s="36" t="n"/>
      <c r="M41" s="41" t="n"/>
      <c r="N41" s="41" t="n"/>
      <c r="O41" s="36" t="n"/>
      <c r="P41" s="33">
        <f>IF(C41="","",Commercial_Id)</f>
        <v/>
      </c>
      <c r="Q41" s="39">
        <f>IF(F41="","",IFERROR(VALUE(MID(F41,LEN(F41)-3,3)),""))</f>
        <v/>
      </c>
      <c r="R41" s="33">
        <f>IF(Q41="","",P41&amp;"|"&amp;Q41)</f>
        <v/>
      </c>
      <c r="S41" s="33">
        <f>IF(Q41="","",IF(P41="À RENSEIGNER","GIC",P41)&amp;"-"&amp;TEXT(Q41,"000"))</f>
        <v/>
      </c>
      <c r="T41" s="33">
        <f>IF(R41="","",IFERROR(INDEX(Cl_nom,MATCH(R41,Cl_cle,0)),"(client introuvable)"))</f>
        <v/>
      </c>
      <c r="U41" s="33">
        <f>IF(R41="","",IFERROR(INDEX(Cl_quartier,MATCH(R41,Cl_cle,0))&amp;"",""))</f>
        <v/>
      </c>
      <c r="V41" s="34">
        <f>IF(C41="","",YEAR(C41-WEEKDAY(C41,2)+4)&amp;"-S"&amp;TEXT(INT((C41-DATE(YEAR(C41-WEEKDAY(C41,2)+4),1,3)+WEEKDAY(DATE(YEAR(C41-WEEKDAY(C41,2)+4),1,3),2)+5)/7),"00"))</f>
        <v/>
      </c>
    </row>
    <row r="42" ht="18" customHeight="1">
      <c r="A42" s="39" t="n">
        <v>37</v>
      </c>
      <c r="B42" s="33">
        <f>IF(C42="","",IF(P42="À RENSEIGNER","GIC",P42)&amp;"-V"&amp;TEXT(A42,"00000"))</f>
        <v/>
      </c>
      <c r="C42" s="32" t="n"/>
      <c r="D42" s="35" t="n"/>
      <c r="E42" s="36" t="n"/>
      <c r="F42" s="36" t="n"/>
      <c r="G42" s="36" t="n"/>
      <c r="H42" s="36" t="n"/>
      <c r="I42" s="36" t="n"/>
      <c r="J42" s="37" t="n"/>
      <c r="K42" s="32" t="n"/>
      <c r="L42" s="36" t="n"/>
      <c r="M42" s="41" t="n"/>
      <c r="N42" s="41" t="n"/>
      <c r="O42" s="36" t="n"/>
      <c r="P42" s="33">
        <f>IF(C42="","",Commercial_Id)</f>
        <v/>
      </c>
      <c r="Q42" s="39">
        <f>IF(F42="","",IFERROR(VALUE(MID(F42,LEN(F42)-3,3)),""))</f>
        <v/>
      </c>
      <c r="R42" s="33">
        <f>IF(Q42="","",P42&amp;"|"&amp;Q42)</f>
        <v/>
      </c>
      <c r="S42" s="33">
        <f>IF(Q42="","",IF(P42="À RENSEIGNER","GIC",P42)&amp;"-"&amp;TEXT(Q42,"000"))</f>
        <v/>
      </c>
      <c r="T42" s="33">
        <f>IF(R42="","",IFERROR(INDEX(Cl_nom,MATCH(R42,Cl_cle,0)),"(client introuvable)"))</f>
        <v/>
      </c>
      <c r="U42" s="33">
        <f>IF(R42="","",IFERROR(INDEX(Cl_quartier,MATCH(R42,Cl_cle,0))&amp;"",""))</f>
        <v/>
      </c>
      <c r="V42" s="34">
        <f>IF(C42="","",YEAR(C42-WEEKDAY(C42,2)+4)&amp;"-S"&amp;TEXT(INT((C42-DATE(YEAR(C42-WEEKDAY(C42,2)+4),1,3)+WEEKDAY(DATE(YEAR(C42-WEEKDAY(C42,2)+4),1,3),2)+5)/7),"00"))</f>
        <v/>
      </c>
    </row>
    <row r="43" ht="18" customHeight="1">
      <c r="A43" s="39" t="n">
        <v>38</v>
      </c>
      <c r="B43" s="33">
        <f>IF(C43="","",IF(P43="À RENSEIGNER","GIC",P43)&amp;"-V"&amp;TEXT(A43,"00000"))</f>
        <v/>
      </c>
      <c r="C43" s="32" t="n"/>
      <c r="D43" s="35" t="n"/>
      <c r="E43" s="36" t="n"/>
      <c r="F43" s="36" t="n"/>
      <c r="G43" s="36" t="n"/>
      <c r="H43" s="36" t="n"/>
      <c r="I43" s="36" t="n"/>
      <c r="J43" s="37" t="n"/>
      <c r="K43" s="32" t="n"/>
      <c r="L43" s="36" t="n"/>
      <c r="M43" s="41" t="n"/>
      <c r="N43" s="41" t="n"/>
      <c r="O43" s="36" t="n"/>
      <c r="P43" s="33">
        <f>IF(C43="","",Commercial_Id)</f>
        <v/>
      </c>
      <c r="Q43" s="39">
        <f>IF(F43="","",IFERROR(VALUE(MID(F43,LEN(F43)-3,3)),""))</f>
        <v/>
      </c>
      <c r="R43" s="33">
        <f>IF(Q43="","",P43&amp;"|"&amp;Q43)</f>
        <v/>
      </c>
      <c r="S43" s="33">
        <f>IF(Q43="","",IF(P43="À RENSEIGNER","GIC",P43)&amp;"-"&amp;TEXT(Q43,"000"))</f>
        <v/>
      </c>
      <c r="T43" s="33">
        <f>IF(R43="","",IFERROR(INDEX(Cl_nom,MATCH(R43,Cl_cle,0)),"(client introuvable)"))</f>
        <v/>
      </c>
      <c r="U43" s="33">
        <f>IF(R43="","",IFERROR(INDEX(Cl_quartier,MATCH(R43,Cl_cle,0))&amp;"",""))</f>
        <v/>
      </c>
      <c r="V43" s="34">
        <f>IF(C43="","",YEAR(C43-WEEKDAY(C43,2)+4)&amp;"-S"&amp;TEXT(INT((C43-DATE(YEAR(C43-WEEKDAY(C43,2)+4),1,3)+WEEKDAY(DATE(YEAR(C43-WEEKDAY(C43,2)+4),1,3),2)+5)/7),"00"))</f>
        <v/>
      </c>
    </row>
    <row r="44" ht="18" customHeight="1">
      <c r="A44" s="39" t="n">
        <v>39</v>
      </c>
      <c r="B44" s="33">
        <f>IF(C44="","",IF(P44="À RENSEIGNER","GIC",P44)&amp;"-V"&amp;TEXT(A44,"00000"))</f>
        <v/>
      </c>
      <c r="C44" s="32" t="n"/>
      <c r="D44" s="35" t="n"/>
      <c r="E44" s="36" t="n"/>
      <c r="F44" s="36" t="n"/>
      <c r="G44" s="36" t="n"/>
      <c r="H44" s="36" t="n"/>
      <c r="I44" s="36" t="n"/>
      <c r="J44" s="37" t="n"/>
      <c r="K44" s="32" t="n"/>
      <c r="L44" s="36" t="n"/>
      <c r="M44" s="41" t="n"/>
      <c r="N44" s="41" t="n"/>
      <c r="O44" s="36" t="n"/>
      <c r="P44" s="33">
        <f>IF(C44="","",Commercial_Id)</f>
        <v/>
      </c>
      <c r="Q44" s="39">
        <f>IF(F44="","",IFERROR(VALUE(MID(F44,LEN(F44)-3,3)),""))</f>
        <v/>
      </c>
      <c r="R44" s="33">
        <f>IF(Q44="","",P44&amp;"|"&amp;Q44)</f>
        <v/>
      </c>
      <c r="S44" s="33">
        <f>IF(Q44="","",IF(P44="À RENSEIGNER","GIC",P44)&amp;"-"&amp;TEXT(Q44,"000"))</f>
        <v/>
      </c>
      <c r="T44" s="33">
        <f>IF(R44="","",IFERROR(INDEX(Cl_nom,MATCH(R44,Cl_cle,0)),"(client introuvable)"))</f>
        <v/>
      </c>
      <c r="U44" s="33">
        <f>IF(R44="","",IFERROR(INDEX(Cl_quartier,MATCH(R44,Cl_cle,0))&amp;"",""))</f>
        <v/>
      </c>
      <c r="V44" s="34">
        <f>IF(C44="","",YEAR(C44-WEEKDAY(C44,2)+4)&amp;"-S"&amp;TEXT(INT((C44-DATE(YEAR(C44-WEEKDAY(C44,2)+4),1,3)+WEEKDAY(DATE(YEAR(C44-WEEKDAY(C44,2)+4),1,3),2)+5)/7),"00"))</f>
        <v/>
      </c>
    </row>
    <row r="45" ht="18" customHeight="1">
      <c r="A45" s="39" t="n">
        <v>40</v>
      </c>
      <c r="B45" s="33">
        <f>IF(C45="","",IF(P45="À RENSEIGNER","GIC",P45)&amp;"-V"&amp;TEXT(A45,"00000"))</f>
        <v/>
      </c>
      <c r="C45" s="32" t="n"/>
      <c r="D45" s="35" t="n"/>
      <c r="E45" s="36" t="n"/>
      <c r="F45" s="36" t="n"/>
      <c r="G45" s="36" t="n"/>
      <c r="H45" s="36" t="n"/>
      <c r="I45" s="36" t="n"/>
      <c r="J45" s="37" t="n"/>
      <c r="K45" s="32" t="n"/>
      <c r="L45" s="36" t="n"/>
      <c r="M45" s="41" t="n"/>
      <c r="N45" s="41" t="n"/>
      <c r="O45" s="36" t="n"/>
      <c r="P45" s="33">
        <f>IF(C45="","",Commercial_Id)</f>
        <v/>
      </c>
      <c r="Q45" s="39">
        <f>IF(F45="","",IFERROR(VALUE(MID(F45,LEN(F45)-3,3)),""))</f>
        <v/>
      </c>
      <c r="R45" s="33">
        <f>IF(Q45="","",P45&amp;"|"&amp;Q45)</f>
        <v/>
      </c>
      <c r="S45" s="33">
        <f>IF(Q45="","",IF(P45="À RENSEIGNER","GIC",P45)&amp;"-"&amp;TEXT(Q45,"000"))</f>
        <v/>
      </c>
      <c r="T45" s="33">
        <f>IF(R45="","",IFERROR(INDEX(Cl_nom,MATCH(R45,Cl_cle,0)),"(client introuvable)"))</f>
        <v/>
      </c>
      <c r="U45" s="33">
        <f>IF(R45="","",IFERROR(INDEX(Cl_quartier,MATCH(R45,Cl_cle,0))&amp;"",""))</f>
        <v/>
      </c>
      <c r="V45" s="34">
        <f>IF(C45="","",YEAR(C45-WEEKDAY(C45,2)+4)&amp;"-S"&amp;TEXT(INT((C45-DATE(YEAR(C45-WEEKDAY(C45,2)+4),1,3)+WEEKDAY(DATE(YEAR(C45-WEEKDAY(C45,2)+4),1,3),2)+5)/7),"00"))</f>
        <v/>
      </c>
    </row>
    <row r="46" ht="18" customHeight="1">
      <c r="A46" s="39" t="n">
        <v>41</v>
      </c>
      <c r="B46" s="33">
        <f>IF(C46="","",IF(P46="À RENSEIGNER","GIC",P46)&amp;"-V"&amp;TEXT(A46,"00000"))</f>
        <v/>
      </c>
      <c r="C46" s="32" t="n"/>
      <c r="D46" s="35" t="n"/>
      <c r="E46" s="36" t="n"/>
      <c r="F46" s="36" t="n"/>
      <c r="G46" s="36" t="n"/>
      <c r="H46" s="36" t="n"/>
      <c r="I46" s="36" t="n"/>
      <c r="J46" s="37" t="n"/>
      <c r="K46" s="32" t="n"/>
      <c r="L46" s="36" t="n"/>
      <c r="M46" s="41" t="n"/>
      <c r="N46" s="41" t="n"/>
      <c r="O46" s="36" t="n"/>
      <c r="P46" s="33">
        <f>IF(C46="","",Commercial_Id)</f>
        <v/>
      </c>
      <c r="Q46" s="39">
        <f>IF(F46="","",IFERROR(VALUE(MID(F46,LEN(F46)-3,3)),""))</f>
        <v/>
      </c>
      <c r="R46" s="33">
        <f>IF(Q46="","",P46&amp;"|"&amp;Q46)</f>
        <v/>
      </c>
      <c r="S46" s="33">
        <f>IF(Q46="","",IF(P46="À RENSEIGNER","GIC",P46)&amp;"-"&amp;TEXT(Q46,"000"))</f>
        <v/>
      </c>
      <c r="T46" s="33">
        <f>IF(R46="","",IFERROR(INDEX(Cl_nom,MATCH(R46,Cl_cle,0)),"(client introuvable)"))</f>
        <v/>
      </c>
      <c r="U46" s="33">
        <f>IF(R46="","",IFERROR(INDEX(Cl_quartier,MATCH(R46,Cl_cle,0))&amp;"",""))</f>
        <v/>
      </c>
      <c r="V46" s="34">
        <f>IF(C46="","",YEAR(C46-WEEKDAY(C46,2)+4)&amp;"-S"&amp;TEXT(INT((C46-DATE(YEAR(C46-WEEKDAY(C46,2)+4),1,3)+WEEKDAY(DATE(YEAR(C46-WEEKDAY(C46,2)+4),1,3),2)+5)/7),"00"))</f>
        <v/>
      </c>
    </row>
    <row r="47" ht="18" customHeight="1">
      <c r="A47" s="39" t="n">
        <v>42</v>
      </c>
      <c r="B47" s="33">
        <f>IF(C47="","",IF(P47="À RENSEIGNER","GIC",P47)&amp;"-V"&amp;TEXT(A47,"00000"))</f>
        <v/>
      </c>
      <c r="C47" s="32" t="n"/>
      <c r="D47" s="35" t="n"/>
      <c r="E47" s="36" t="n"/>
      <c r="F47" s="36" t="n"/>
      <c r="G47" s="36" t="n"/>
      <c r="H47" s="36" t="n"/>
      <c r="I47" s="36" t="n"/>
      <c r="J47" s="37" t="n"/>
      <c r="K47" s="32" t="n"/>
      <c r="L47" s="36" t="n"/>
      <c r="M47" s="41" t="n"/>
      <c r="N47" s="41" t="n"/>
      <c r="O47" s="36" t="n"/>
      <c r="P47" s="33">
        <f>IF(C47="","",Commercial_Id)</f>
        <v/>
      </c>
      <c r="Q47" s="39">
        <f>IF(F47="","",IFERROR(VALUE(MID(F47,LEN(F47)-3,3)),""))</f>
        <v/>
      </c>
      <c r="R47" s="33">
        <f>IF(Q47="","",P47&amp;"|"&amp;Q47)</f>
        <v/>
      </c>
      <c r="S47" s="33">
        <f>IF(Q47="","",IF(P47="À RENSEIGNER","GIC",P47)&amp;"-"&amp;TEXT(Q47,"000"))</f>
        <v/>
      </c>
      <c r="T47" s="33">
        <f>IF(R47="","",IFERROR(INDEX(Cl_nom,MATCH(R47,Cl_cle,0)),"(client introuvable)"))</f>
        <v/>
      </c>
      <c r="U47" s="33">
        <f>IF(R47="","",IFERROR(INDEX(Cl_quartier,MATCH(R47,Cl_cle,0))&amp;"",""))</f>
        <v/>
      </c>
      <c r="V47" s="34">
        <f>IF(C47="","",YEAR(C47-WEEKDAY(C47,2)+4)&amp;"-S"&amp;TEXT(INT((C47-DATE(YEAR(C47-WEEKDAY(C47,2)+4),1,3)+WEEKDAY(DATE(YEAR(C47-WEEKDAY(C47,2)+4),1,3),2)+5)/7),"00"))</f>
        <v/>
      </c>
    </row>
    <row r="48" ht="18" customHeight="1">
      <c r="A48" s="39" t="n">
        <v>43</v>
      </c>
      <c r="B48" s="33">
        <f>IF(C48="","",IF(P48="À RENSEIGNER","GIC",P48)&amp;"-V"&amp;TEXT(A48,"00000"))</f>
        <v/>
      </c>
      <c r="C48" s="32" t="n"/>
      <c r="D48" s="35" t="n"/>
      <c r="E48" s="36" t="n"/>
      <c r="F48" s="36" t="n"/>
      <c r="G48" s="36" t="n"/>
      <c r="H48" s="36" t="n"/>
      <c r="I48" s="36" t="n"/>
      <c r="J48" s="37" t="n"/>
      <c r="K48" s="32" t="n"/>
      <c r="L48" s="36" t="n"/>
      <c r="M48" s="41" t="n"/>
      <c r="N48" s="41" t="n"/>
      <c r="O48" s="36" t="n"/>
      <c r="P48" s="33">
        <f>IF(C48="","",Commercial_Id)</f>
        <v/>
      </c>
      <c r="Q48" s="39">
        <f>IF(F48="","",IFERROR(VALUE(MID(F48,LEN(F48)-3,3)),""))</f>
        <v/>
      </c>
      <c r="R48" s="33">
        <f>IF(Q48="","",P48&amp;"|"&amp;Q48)</f>
        <v/>
      </c>
      <c r="S48" s="33">
        <f>IF(Q48="","",IF(P48="À RENSEIGNER","GIC",P48)&amp;"-"&amp;TEXT(Q48,"000"))</f>
        <v/>
      </c>
      <c r="T48" s="33">
        <f>IF(R48="","",IFERROR(INDEX(Cl_nom,MATCH(R48,Cl_cle,0)),"(client introuvable)"))</f>
        <v/>
      </c>
      <c r="U48" s="33">
        <f>IF(R48="","",IFERROR(INDEX(Cl_quartier,MATCH(R48,Cl_cle,0))&amp;"",""))</f>
        <v/>
      </c>
      <c r="V48" s="34">
        <f>IF(C48="","",YEAR(C48-WEEKDAY(C48,2)+4)&amp;"-S"&amp;TEXT(INT((C48-DATE(YEAR(C48-WEEKDAY(C48,2)+4),1,3)+WEEKDAY(DATE(YEAR(C48-WEEKDAY(C48,2)+4),1,3),2)+5)/7),"00"))</f>
        <v/>
      </c>
    </row>
    <row r="49" ht="18" customHeight="1">
      <c r="A49" s="39" t="n">
        <v>44</v>
      </c>
      <c r="B49" s="33">
        <f>IF(C49="","",IF(P49="À RENSEIGNER","GIC",P49)&amp;"-V"&amp;TEXT(A49,"00000"))</f>
        <v/>
      </c>
      <c r="C49" s="32" t="n"/>
      <c r="D49" s="35" t="n"/>
      <c r="E49" s="36" t="n"/>
      <c r="F49" s="36" t="n"/>
      <c r="G49" s="36" t="n"/>
      <c r="H49" s="36" t="n"/>
      <c r="I49" s="36" t="n"/>
      <c r="J49" s="37" t="n"/>
      <c r="K49" s="32" t="n"/>
      <c r="L49" s="36" t="n"/>
      <c r="M49" s="41" t="n"/>
      <c r="N49" s="41" t="n"/>
      <c r="O49" s="36" t="n"/>
      <c r="P49" s="33">
        <f>IF(C49="","",Commercial_Id)</f>
        <v/>
      </c>
      <c r="Q49" s="39">
        <f>IF(F49="","",IFERROR(VALUE(MID(F49,LEN(F49)-3,3)),""))</f>
        <v/>
      </c>
      <c r="R49" s="33">
        <f>IF(Q49="","",P49&amp;"|"&amp;Q49)</f>
        <v/>
      </c>
      <c r="S49" s="33">
        <f>IF(Q49="","",IF(P49="À RENSEIGNER","GIC",P49)&amp;"-"&amp;TEXT(Q49,"000"))</f>
        <v/>
      </c>
      <c r="T49" s="33">
        <f>IF(R49="","",IFERROR(INDEX(Cl_nom,MATCH(R49,Cl_cle,0)),"(client introuvable)"))</f>
        <v/>
      </c>
      <c r="U49" s="33">
        <f>IF(R49="","",IFERROR(INDEX(Cl_quartier,MATCH(R49,Cl_cle,0))&amp;"",""))</f>
        <v/>
      </c>
      <c r="V49" s="34">
        <f>IF(C49="","",YEAR(C49-WEEKDAY(C49,2)+4)&amp;"-S"&amp;TEXT(INT((C49-DATE(YEAR(C49-WEEKDAY(C49,2)+4),1,3)+WEEKDAY(DATE(YEAR(C49-WEEKDAY(C49,2)+4),1,3),2)+5)/7),"00"))</f>
        <v/>
      </c>
    </row>
    <row r="50" ht="18" customHeight="1">
      <c r="A50" s="39" t="n">
        <v>45</v>
      </c>
      <c r="B50" s="33">
        <f>IF(C50="","",IF(P50="À RENSEIGNER","GIC",P50)&amp;"-V"&amp;TEXT(A50,"00000"))</f>
        <v/>
      </c>
      <c r="C50" s="32" t="n"/>
      <c r="D50" s="35" t="n"/>
      <c r="E50" s="36" t="n"/>
      <c r="F50" s="36" t="n"/>
      <c r="G50" s="36" t="n"/>
      <c r="H50" s="36" t="n"/>
      <c r="I50" s="36" t="n"/>
      <c r="J50" s="37" t="n"/>
      <c r="K50" s="32" t="n"/>
      <c r="L50" s="36" t="n"/>
      <c r="M50" s="41" t="n"/>
      <c r="N50" s="41" t="n"/>
      <c r="O50" s="36" t="n"/>
      <c r="P50" s="33">
        <f>IF(C50="","",Commercial_Id)</f>
        <v/>
      </c>
      <c r="Q50" s="39">
        <f>IF(F50="","",IFERROR(VALUE(MID(F50,LEN(F50)-3,3)),""))</f>
        <v/>
      </c>
      <c r="R50" s="33">
        <f>IF(Q50="","",P50&amp;"|"&amp;Q50)</f>
        <v/>
      </c>
      <c r="S50" s="33">
        <f>IF(Q50="","",IF(P50="À RENSEIGNER","GIC",P50)&amp;"-"&amp;TEXT(Q50,"000"))</f>
        <v/>
      </c>
      <c r="T50" s="33">
        <f>IF(R50="","",IFERROR(INDEX(Cl_nom,MATCH(R50,Cl_cle,0)),"(client introuvable)"))</f>
        <v/>
      </c>
      <c r="U50" s="33">
        <f>IF(R50="","",IFERROR(INDEX(Cl_quartier,MATCH(R50,Cl_cle,0))&amp;"",""))</f>
        <v/>
      </c>
      <c r="V50" s="34">
        <f>IF(C50="","",YEAR(C50-WEEKDAY(C50,2)+4)&amp;"-S"&amp;TEXT(INT((C50-DATE(YEAR(C50-WEEKDAY(C50,2)+4),1,3)+WEEKDAY(DATE(YEAR(C50-WEEKDAY(C50,2)+4),1,3),2)+5)/7),"00"))</f>
        <v/>
      </c>
    </row>
    <row r="51" ht="18" customHeight="1">
      <c r="A51" s="39" t="n">
        <v>46</v>
      </c>
      <c r="B51" s="33">
        <f>IF(C51="","",IF(P51="À RENSEIGNER","GIC",P51)&amp;"-V"&amp;TEXT(A51,"00000"))</f>
        <v/>
      </c>
      <c r="C51" s="32" t="n"/>
      <c r="D51" s="35" t="n"/>
      <c r="E51" s="36" t="n"/>
      <c r="F51" s="36" t="n"/>
      <c r="G51" s="36" t="n"/>
      <c r="H51" s="36" t="n"/>
      <c r="I51" s="36" t="n"/>
      <c r="J51" s="37" t="n"/>
      <c r="K51" s="32" t="n"/>
      <c r="L51" s="36" t="n"/>
      <c r="M51" s="41" t="n"/>
      <c r="N51" s="41" t="n"/>
      <c r="O51" s="36" t="n"/>
      <c r="P51" s="33">
        <f>IF(C51="","",Commercial_Id)</f>
        <v/>
      </c>
      <c r="Q51" s="39">
        <f>IF(F51="","",IFERROR(VALUE(MID(F51,LEN(F51)-3,3)),""))</f>
        <v/>
      </c>
      <c r="R51" s="33">
        <f>IF(Q51="","",P51&amp;"|"&amp;Q51)</f>
        <v/>
      </c>
      <c r="S51" s="33">
        <f>IF(Q51="","",IF(P51="À RENSEIGNER","GIC",P51)&amp;"-"&amp;TEXT(Q51,"000"))</f>
        <v/>
      </c>
      <c r="T51" s="33">
        <f>IF(R51="","",IFERROR(INDEX(Cl_nom,MATCH(R51,Cl_cle,0)),"(client introuvable)"))</f>
        <v/>
      </c>
      <c r="U51" s="33">
        <f>IF(R51="","",IFERROR(INDEX(Cl_quartier,MATCH(R51,Cl_cle,0))&amp;"",""))</f>
        <v/>
      </c>
      <c r="V51" s="34">
        <f>IF(C51="","",YEAR(C51-WEEKDAY(C51,2)+4)&amp;"-S"&amp;TEXT(INT((C51-DATE(YEAR(C51-WEEKDAY(C51,2)+4),1,3)+WEEKDAY(DATE(YEAR(C51-WEEKDAY(C51,2)+4),1,3),2)+5)/7),"00"))</f>
        <v/>
      </c>
    </row>
    <row r="52" ht="18" customHeight="1">
      <c r="A52" s="39" t="n">
        <v>47</v>
      </c>
      <c r="B52" s="33">
        <f>IF(C52="","",IF(P52="À RENSEIGNER","GIC",P52)&amp;"-V"&amp;TEXT(A52,"00000"))</f>
        <v/>
      </c>
      <c r="C52" s="32" t="n"/>
      <c r="D52" s="35" t="n"/>
      <c r="E52" s="36" t="n"/>
      <c r="F52" s="36" t="n"/>
      <c r="G52" s="36" t="n"/>
      <c r="H52" s="36" t="n"/>
      <c r="I52" s="36" t="n"/>
      <c r="J52" s="37" t="n"/>
      <c r="K52" s="32" t="n"/>
      <c r="L52" s="36" t="n"/>
      <c r="M52" s="41" t="n"/>
      <c r="N52" s="41" t="n"/>
      <c r="O52" s="36" t="n"/>
      <c r="P52" s="33">
        <f>IF(C52="","",Commercial_Id)</f>
        <v/>
      </c>
      <c r="Q52" s="39">
        <f>IF(F52="","",IFERROR(VALUE(MID(F52,LEN(F52)-3,3)),""))</f>
        <v/>
      </c>
      <c r="R52" s="33">
        <f>IF(Q52="","",P52&amp;"|"&amp;Q52)</f>
        <v/>
      </c>
      <c r="S52" s="33">
        <f>IF(Q52="","",IF(P52="À RENSEIGNER","GIC",P52)&amp;"-"&amp;TEXT(Q52,"000"))</f>
        <v/>
      </c>
      <c r="T52" s="33">
        <f>IF(R52="","",IFERROR(INDEX(Cl_nom,MATCH(R52,Cl_cle,0)),"(client introuvable)"))</f>
        <v/>
      </c>
      <c r="U52" s="33">
        <f>IF(R52="","",IFERROR(INDEX(Cl_quartier,MATCH(R52,Cl_cle,0))&amp;"",""))</f>
        <v/>
      </c>
      <c r="V52" s="34">
        <f>IF(C52="","",YEAR(C52-WEEKDAY(C52,2)+4)&amp;"-S"&amp;TEXT(INT((C52-DATE(YEAR(C52-WEEKDAY(C52,2)+4),1,3)+WEEKDAY(DATE(YEAR(C52-WEEKDAY(C52,2)+4),1,3),2)+5)/7),"00"))</f>
        <v/>
      </c>
    </row>
    <row r="53" ht="18" customHeight="1">
      <c r="A53" s="39" t="n">
        <v>48</v>
      </c>
      <c r="B53" s="33">
        <f>IF(C53="","",IF(P53="À RENSEIGNER","GIC",P53)&amp;"-V"&amp;TEXT(A53,"00000"))</f>
        <v/>
      </c>
      <c r="C53" s="32" t="n"/>
      <c r="D53" s="35" t="n"/>
      <c r="E53" s="36" t="n"/>
      <c r="F53" s="36" t="n"/>
      <c r="G53" s="36" t="n"/>
      <c r="H53" s="36" t="n"/>
      <c r="I53" s="36" t="n"/>
      <c r="J53" s="37" t="n"/>
      <c r="K53" s="32" t="n"/>
      <c r="L53" s="36" t="n"/>
      <c r="M53" s="41" t="n"/>
      <c r="N53" s="41" t="n"/>
      <c r="O53" s="36" t="n"/>
      <c r="P53" s="33">
        <f>IF(C53="","",Commercial_Id)</f>
        <v/>
      </c>
      <c r="Q53" s="39">
        <f>IF(F53="","",IFERROR(VALUE(MID(F53,LEN(F53)-3,3)),""))</f>
        <v/>
      </c>
      <c r="R53" s="33">
        <f>IF(Q53="","",P53&amp;"|"&amp;Q53)</f>
        <v/>
      </c>
      <c r="S53" s="33">
        <f>IF(Q53="","",IF(P53="À RENSEIGNER","GIC",P53)&amp;"-"&amp;TEXT(Q53,"000"))</f>
        <v/>
      </c>
      <c r="T53" s="33">
        <f>IF(R53="","",IFERROR(INDEX(Cl_nom,MATCH(R53,Cl_cle,0)),"(client introuvable)"))</f>
        <v/>
      </c>
      <c r="U53" s="33">
        <f>IF(R53="","",IFERROR(INDEX(Cl_quartier,MATCH(R53,Cl_cle,0))&amp;"",""))</f>
        <v/>
      </c>
      <c r="V53" s="34">
        <f>IF(C53="","",YEAR(C53-WEEKDAY(C53,2)+4)&amp;"-S"&amp;TEXT(INT((C53-DATE(YEAR(C53-WEEKDAY(C53,2)+4),1,3)+WEEKDAY(DATE(YEAR(C53-WEEKDAY(C53,2)+4),1,3),2)+5)/7),"00"))</f>
        <v/>
      </c>
    </row>
    <row r="54" ht="18" customHeight="1">
      <c r="A54" s="39" t="n">
        <v>49</v>
      </c>
      <c r="B54" s="33">
        <f>IF(C54="","",IF(P54="À RENSEIGNER","GIC",P54)&amp;"-V"&amp;TEXT(A54,"00000"))</f>
        <v/>
      </c>
      <c r="C54" s="32" t="n"/>
      <c r="D54" s="35" t="n"/>
      <c r="E54" s="36" t="n"/>
      <c r="F54" s="36" t="n"/>
      <c r="G54" s="36" t="n"/>
      <c r="H54" s="36" t="n"/>
      <c r="I54" s="36" t="n"/>
      <c r="J54" s="37" t="n"/>
      <c r="K54" s="32" t="n"/>
      <c r="L54" s="36" t="n"/>
      <c r="M54" s="41" t="n"/>
      <c r="N54" s="41" t="n"/>
      <c r="O54" s="36" t="n"/>
      <c r="P54" s="33">
        <f>IF(C54="","",Commercial_Id)</f>
        <v/>
      </c>
      <c r="Q54" s="39">
        <f>IF(F54="","",IFERROR(VALUE(MID(F54,LEN(F54)-3,3)),""))</f>
        <v/>
      </c>
      <c r="R54" s="33">
        <f>IF(Q54="","",P54&amp;"|"&amp;Q54)</f>
        <v/>
      </c>
      <c r="S54" s="33">
        <f>IF(Q54="","",IF(P54="À RENSEIGNER","GIC",P54)&amp;"-"&amp;TEXT(Q54,"000"))</f>
        <v/>
      </c>
      <c r="T54" s="33">
        <f>IF(R54="","",IFERROR(INDEX(Cl_nom,MATCH(R54,Cl_cle,0)),"(client introuvable)"))</f>
        <v/>
      </c>
      <c r="U54" s="33">
        <f>IF(R54="","",IFERROR(INDEX(Cl_quartier,MATCH(R54,Cl_cle,0))&amp;"",""))</f>
        <v/>
      </c>
      <c r="V54" s="34">
        <f>IF(C54="","",YEAR(C54-WEEKDAY(C54,2)+4)&amp;"-S"&amp;TEXT(INT((C54-DATE(YEAR(C54-WEEKDAY(C54,2)+4),1,3)+WEEKDAY(DATE(YEAR(C54-WEEKDAY(C54,2)+4),1,3),2)+5)/7),"00"))</f>
        <v/>
      </c>
    </row>
    <row r="55" ht="18" customHeight="1">
      <c r="A55" s="39" t="n">
        <v>50</v>
      </c>
      <c r="B55" s="33">
        <f>IF(C55="","",IF(P55="À RENSEIGNER","GIC",P55)&amp;"-V"&amp;TEXT(A55,"00000"))</f>
        <v/>
      </c>
      <c r="C55" s="32" t="n"/>
      <c r="D55" s="35" t="n"/>
      <c r="E55" s="36" t="n"/>
      <c r="F55" s="36" t="n"/>
      <c r="G55" s="36" t="n"/>
      <c r="H55" s="36" t="n"/>
      <c r="I55" s="36" t="n"/>
      <c r="J55" s="37" t="n"/>
      <c r="K55" s="32" t="n"/>
      <c r="L55" s="36" t="n"/>
      <c r="M55" s="41" t="n"/>
      <c r="N55" s="41" t="n"/>
      <c r="O55" s="36" t="n"/>
      <c r="P55" s="33">
        <f>IF(C55="","",Commercial_Id)</f>
        <v/>
      </c>
      <c r="Q55" s="39">
        <f>IF(F55="","",IFERROR(VALUE(MID(F55,LEN(F55)-3,3)),""))</f>
        <v/>
      </c>
      <c r="R55" s="33">
        <f>IF(Q55="","",P55&amp;"|"&amp;Q55)</f>
        <v/>
      </c>
      <c r="S55" s="33">
        <f>IF(Q55="","",IF(P55="À RENSEIGNER","GIC",P55)&amp;"-"&amp;TEXT(Q55,"000"))</f>
        <v/>
      </c>
      <c r="T55" s="33">
        <f>IF(R55="","",IFERROR(INDEX(Cl_nom,MATCH(R55,Cl_cle,0)),"(client introuvable)"))</f>
        <v/>
      </c>
      <c r="U55" s="33">
        <f>IF(R55="","",IFERROR(INDEX(Cl_quartier,MATCH(R55,Cl_cle,0))&amp;"",""))</f>
        <v/>
      </c>
      <c r="V55" s="34">
        <f>IF(C55="","",YEAR(C55-WEEKDAY(C55,2)+4)&amp;"-S"&amp;TEXT(INT((C55-DATE(YEAR(C55-WEEKDAY(C55,2)+4),1,3)+WEEKDAY(DATE(YEAR(C55-WEEKDAY(C55,2)+4),1,3),2)+5)/7),"00"))</f>
        <v/>
      </c>
    </row>
    <row r="56" ht="18" customHeight="1">
      <c r="A56" s="39" t="n">
        <v>51</v>
      </c>
      <c r="B56" s="33">
        <f>IF(C56="","",IF(P56="À RENSEIGNER","GIC",P56)&amp;"-V"&amp;TEXT(A56,"00000"))</f>
        <v/>
      </c>
      <c r="C56" s="32" t="n"/>
      <c r="D56" s="35" t="n"/>
      <c r="E56" s="36" t="n"/>
      <c r="F56" s="36" t="n"/>
      <c r="G56" s="36" t="n"/>
      <c r="H56" s="36" t="n"/>
      <c r="I56" s="36" t="n"/>
      <c r="J56" s="37" t="n"/>
      <c r="K56" s="32" t="n"/>
      <c r="L56" s="36" t="n"/>
      <c r="M56" s="41" t="n"/>
      <c r="N56" s="41" t="n"/>
      <c r="O56" s="36" t="n"/>
      <c r="P56" s="33">
        <f>IF(C56="","",Commercial_Id)</f>
        <v/>
      </c>
      <c r="Q56" s="39">
        <f>IF(F56="","",IFERROR(VALUE(MID(F56,LEN(F56)-3,3)),""))</f>
        <v/>
      </c>
      <c r="R56" s="33">
        <f>IF(Q56="","",P56&amp;"|"&amp;Q56)</f>
        <v/>
      </c>
      <c r="S56" s="33">
        <f>IF(Q56="","",IF(P56="À RENSEIGNER","GIC",P56)&amp;"-"&amp;TEXT(Q56,"000"))</f>
        <v/>
      </c>
      <c r="T56" s="33">
        <f>IF(R56="","",IFERROR(INDEX(Cl_nom,MATCH(R56,Cl_cle,0)),"(client introuvable)"))</f>
        <v/>
      </c>
      <c r="U56" s="33">
        <f>IF(R56="","",IFERROR(INDEX(Cl_quartier,MATCH(R56,Cl_cle,0))&amp;"",""))</f>
        <v/>
      </c>
      <c r="V56" s="34">
        <f>IF(C56="","",YEAR(C56-WEEKDAY(C56,2)+4)&amp;"-S"&amp;TEXT(INT((C56-DATE(YEAR(C56-WEEKDAY(C56,2)+4),1,3)+WEEKDAY(DATE(YEAR(C56-WEEKDAY(C56,2)+4),1,3),2)+5)/7),"00"))</f>
        <v/>
      </c>
    </row>
    <row r="57" ht="18" customHeight="1">
      <c r="A57" s="39" t="n">
        <v>52</v>
      </c>
      <c r="B57" s="33">
        <f>IF(C57="","",IF(P57="À RENSEIGNER","GIC",P57)&amp;"-V"&amp;TEXT(A57,"00000"))</f>
        <v/>
      </c>
      <c r="C57" s="32" t="n"/>
      <c r="D57" s="35" t="n"/>
      <c r="E57" s="36" t="n"/>
      <c r="F57" s="36" t="n"/>
      <c r="G57" s="36" t="n"/>
      <c r="H57" s="36" t="n"/>
      <c r="I57" s="36" t="n"/>
      <c r="J57" s="37" t="n"/>
      <c r="K57" s="32" t="n"/>
      <c r="L57" s="36" t="n"/>
      <c r="M57" s="41" t="n"/>
      <c r="N57" s="41" t="n"/>
      <c r="O57" s="36" t="n"/>
      <c r="P57" s="33">
        <f>IF(C57="","",Commercial_Id)</f>
        <v/>
      </c>
      <c r="Q57" s="39">
        <f>IF(F57="","",IFERROR(VALUE(MID(F57,LEN(F57)-3,3)),""))</f>
        <v/>
      </c>
      <c r="R57" s="33">
        <f>IF(Q57="","",P57&amp;"|"&amp;Q57)</f>
        <v/>
      </c>
      <c r="S57" s="33">
        <f>IF(Q57="","",IF(P57="À RENSEIGNER","GIC",P57)&amp;"-"&amp;TEXT(Q57,"000"))</f>
        <v/>
      </c>
      <c r="T57" s="33">
        <f>IF(R57="","",IFERROR(INDEX(Cl_nom,MATCH(R57,Cl_cle,0)),"(client introuvable)"))</f>
        <v/>
      </c>
      <c r="U57" s="33">
        <f>IF(R57="","",IFERROR(INDEX(Cl_quartier,MATCH(R57,Cl_cle,0))&amp;"",""))</f>
        <v/>
      </c>
      <c r="V57" s="34">
        <f>IF(C57="","",YEAR(C57-WEEKDAY(C57,2)+4)&amp;"-S"&amp;TEXT(INT((C57-DATE(YEAR(C57-WEEKDAY(C57,2)+4),1,3)+WEEKDAY(DATE(YEAR(C57-WEEKDAY(C57,2)+4),1,3),2)+5)/7),"00"))</f>
        <v/>
      </c>
    </row>
    <row r="58" ht="18" customHeight="1">
      <c r="A58" s="39" t="n">
        <v>53</v>
      </c>
      <c r="B58" s="33">
        <f>IF(C58="","",IF(P58="À RENSEIGNER","GIC",P58)&amp;"-V"&amp;TEXT(A58,"00000"))</f>
        <v/>
      </c>
      <c r="C58" s="32" t="n"/>
      <c r="D58" s="35" t="n"/>
      <c r="E58" s="36" t="n"/>
      <c r="F58" s="36" t="n"/>
      <c r="G58" s="36" t="n"/>
      <c r="H58" s="36" t="n"/>
      <c r="I58" s="36" t="n"/>
      <c r="J58" s="37" t="n"/>
      <c r="K58" s="32" t="n"/>
      <c r="L58" s="36" t="n"/>
      <c r="M58" s="41" t="n"/>
      <c r="N58" s="41" t="n"/>
      <c r="O58" s="36" t="n"/>
      <c r="P58" s="33">
        <f>IF(C58="","",Commercial_Id)</f>
        <v/>
      </c>
      <c r="Q58" s="39">
        <f>IF(F58="","",IFERROR(VALUE(MID(F58,LEN(F58)-3,3)),""))</f>
        <v/>
      </c>
      <c r="R58" s="33">
        <f>IF(Q58="","",P58&amp;"|"&amp;Q58)</f>
        <v/>
      </c>
      <c r="S58" s="33">
        <f>IF(Q58="","",IF(P58="À RENSEIGNER","GIC",P58)&amp;"-"&amp;TEXT(Q58,"000"))</f>
        <v/>
      </c>
      <c r="T58" s="33">
        <f>IF(R58="","",IFERROR(INDEX(Cl_nom,MATCH(R58,Cl_cle,0)),"(client introuvable)"))</f>
        <v/>
      </c>
      <c r="U58" s="33">
        <f>IF(R58="","",IFERROR(INDEX(Cl_quartier,MATCH(R58,Cl_cle,0))&amp;"",""))</f>
        <v/>
      </c>
      <c r="V58" s="34">
        <f>IF(C58="","",YEAR(C58-WEEKDAY(C58,2)+4)&amp;"-S"&amp;TEXT(INT((C58-DATE(YEAR(C58-WEEKDAY(C58,2)+4),1,3)+WEEKDAY(DATE(YEAR(C58-WEEKDAY(C58,2)+4),1,3),2)+5)/7),"00"))</f>
        <v/>
      </c>
    </row>
    <row r="59" ht="18" customHeight="1">
      <c r="A59" s="39" t="n">
        <v>54</v>
      </c>
      <c r="B59" s="33">
        <f>IF(C59="","",IF(P59="À RENSEIGNER","GIC",P59)&amp;"-V"&amp;TEXT(A59,"00000"))</f>
        <v/>
      </c>
      <c r="C59" s="32" t="n"/>
      <c r="D59" s="35" t="n"/>
      <c r="E59" s="36" t="n"/>
      <c r="F59" s="36" t="n"/>
      <c r="G59" s="36" t="n"/>
      <c r="H59" s="36" t="n"/>
      <c r="I59" s="36" t="n"/>
      <c r="J59" s="37" t="n"/>
      <c r="K59" s="32" t="n"/>
      <c r="L59" s="36" t="n"/>
      <c r="M59" s="41" t="n"/>
      <c r="N59" s="41" t="n"/>
      <c r="O59" s="36" t="n"/>
      <c r="P59" s="33">
        <f>IF(C59="","",Commercial_Id)</f>
        <v/>
      </c>
      <c r="Q59" s="39">
        <f>IF(F59="","",IFERROR(VALUE(MID(F59,LEN(F59)-3,3)),""))</f>
        <v/>
      </c>
      <c r="R59" s="33">
        <f>IF(Q59="","",P59&amp;"|"&amp;Q59)</f>
        <v/>
      </c>
      <c r="S59" s="33">
        <f>IF(Q59="","",IF(P59="À RENSEIGNER","GIC",P59)&amp;"-"&amp;TEXT(Q59,"000"))</f>
        <v/>
      </c>
      <c r="T59" s="33">
        <f>IF(R59="","",IFERROR(INDEX(Cl_nom,MATCH(R59,Cl_cle,0)),"(client introuvable)"))</f>
        <v/>
      </c>
      <c r="U59" s="33">
        <f>IF(R59="","",IFERROR(INDEX(Cl_quartier,MATCH(R59,Cl_cle,0))&amp;"",""))</f>
        <v/>
      </c>
      <c r="V59" s="34">
        <f>IF(C59="","",YEAR(C59-WEEKDAY(C59,2)+4)&amp;"-S"&amp;TEXT(INT((C59-DATE(YEAR(C59-WEEKDAY(C59,2)+4),1,3)+WEEKDAY(DATE(YEAR(C59-WEEKDAY(C59,2)+4),1,3),2)+5)/7),"00"))</f>
        <v/>
      </c>
    </row>
    <row r="60" ht="18" customHeight="1">
      <c r="A60" s="39" t="n">
        <v>55</v>
      </c>
      <c r="B60" s="33">
        <f>IF(C60="","",IF(P60="À RENSEIGNER","GIC",P60)&amp;"-V"&amp;TEXT(A60,"00000"))</f>
        <v/>
      </c>
      <c r="C60" s="32" t="n"/>
      <c r="D60" s="35" t="n"/>
      <c r="E60" s="36" t="n"/>
      <c r="F60" s="36" t="n"/>
      <c r="G60" s="36" t="n"/>
      <c r="H60" s="36" t="n"/>
      <c r="I60" s="36" t="n"/>
      <c r="J60" s="37" t="n"/>
      <c r="K60" s="32" t="n"/>
      <c r="L60" s="36" t="n"/>
      <c r="M60" s="41" t="n"/>
      <c r="N60" s="41" t="n"/>
      <c r="O60" s="36" t="n"/>
      <c r="P60" s="33">
        <f>IF(C60="","",Commercial_Id)</f>
        <v/>
      </c>
      <c r="Q60" s="39">
        <f>IF(F60="","",IFERROR(VALUE(MID(F60,LEN(F60)-3,3)),""))</f>
        <v/>
      </c>
      <c r="R60" s="33">
        <f>IF(Q60="","",P60&amp;"|"&amp;Q60)</f>
        <v/>
      </c>
      <c r="S60" s="33">
        <f>IF(Q60="","",IF(P60="À RENSEIGNER","GIC",P60)&amp;"-"&amp;TEXT(Q60,"000"))</f>
        <v/>
      </c>
      <c r="T60" s="33">
        <f>IF(R60="","",IFERROR(INDEX(Cl_nom,MATCH(R60,Cl_cle,0)),"(client introuvable)"))</f>
        <v/>
      </c>
      <c r="U60" s="33">
        <f>IF(R60="","",IFERROR(INDEX(Cl_quartier,MATCH(R60,Cl_cle,0))&amp;"",""))</f>
        <v/>
      </c>
      <c r="V60" s="34">
        <f>IF(C60="","",YEAR(C60-WEEKDAY(C60,2)+4)&amp;"-S"&amp;TEXT(INT((C60-DATE(YEAR(C60-WEEKDAY(C60,2)+4),1,3)+WEEKDAY(DATE(YEAR(C60-WEEKDAY(C60,2)+4),1,3),2)+5)/7),"00"))</f>
        <v/>
      </c>
    </row>
    <row r="61" ht="18" customHeight="1">
      <c r="A61" s="39" t="n">
        <v>56</v>
      </c>
      <c r="B61" s="33">
        <f>IF(C61="","",IF(P61="À RENSEIGNER","GIC",P61)&amp;"-V"&amp;TEXT(A61,"00000"))</f>
        <v/>
      </c>
      <c r="C61" s="32" t="n"/>
      <c r="D61" s="35" t="n"/>
      <c r="E61" s="36" t="n"/>
      <c r="F61" s="36" t="n"/>
      <c r="G61" s="36" t="n"/>
      <c r="H61" s="36" t="n"/>
      <c r="I61" s="36" t="n"/>
      <c r="J61" s="37" t="n"/>
      <c r="K61" s="32" t="n"/>
      <c r="L61" s="36" t="n"/>
      <c r="M61" s="41" t="n"/>
      <c r="N61" s="41" t="n"/>
      <c r="O61" s="36" t="n"/>
      <c r="P61" s="33">
        <f>IF(C61="","",Commercial_Id)</f>
        <v/>
      </c>
      <c r="Q61" s="39">
        <f>IF(F61="","",IFERROR(VALUE(MID(F61,LEN(F61)-3,3)),""))</f>
        <v/>
      </c>
      <c r="R61" s="33">
        <f>IF(Q61="","",P61&amp;"|"&amp;Q61)</f>
        <v/>
      </c>
      <c r="S61" s="33">
        <f>IF(Q61="","",IF(P61="À RENSEIGNER","GIC",P61)&amp;"-"&amp;TEXT(Q61,"000"))</f>
        <v/>
      </c>
      <c r="T61" s="33">
        <f>IF(R61="","",IFERROR(INDEX(Cl_nom,MATCH(R61,Cl_cle,0)),"(client introuvable)"))</f>
        <v/>
      </c>
      <c r="U61" s="33">
        <f>IF(R61="","",IFERROR(INDEX(Cl_quartier,MATCH(R61,Cl_cle,0))&amp;"",""))</f>
        <v/>
      </c>
      <c r="V61" s="34">
        <f>IF(C61="","",YEAR(C61-WEEKDAY(C61,2)+4)&amp;"-S"&amp;TEXT(INT((C61-DATE(YEAR(C61-WEEKDAY(C61,2)+4),1,3)+WEEKDAY(DATE(YEAR(C61-WEEKDAY(C61,2)+4),1,3),2)+5)/7),"00"))</f>
        <v/>
      </c>
    </row>
    <row r="62" ht="18" customHeight="1">
      <c r="A62" s="39" t="n">
        <v>57</v>
      </c>
      <c r="B62" s="33">
        <f>IF(C62="","",IF(P62="À RENSEIGNER","GIC",P62)&amp;"-V"&amp;TEXT(A62,"00000"))</f>
        <v/>
      </c>
      <c r="C62" s="32" t="n"/>
      <c r="D62" s="35" t="n"/>
      <c r="E62" s="36" t="n"/>
      <c r="F62" s="36" t="n"/>
      <c r="G62" s="36" t="n"/>
      <c r="H62" s="36" t="n"/>
      <c r="I62" s="36" t="n"/>
      <c r="J62" s="37" t="n"/>
      <c r="K62" s="32" t="n"/>
      <c r="L62" s="36" t="n"/>
      <c r="M62" s="41" t="n"/>
      <c r="N62" s="41" t="n"/>
      <c r="O62" s="36" t="n"/>
      <c r="P62" s="33">
        <f>IF(C62="","",Commercial_Id)</f>
        <v/>
      </c>
      <c r="Q62" s="39">
        <f>IF(F62="","",IFERROR(VALUE(MID(F62,LEN(F62)-3,3)),""))</f>
        <v/>
      </c>
      <c r="R62" s="33">
        <f>IF(Q62="","",P62&amp;"|"&amp;Q62)</f>
        <v/>
      </c>
      <c r="S62" s="33">
        <f>IF(Q62="","",IF(P62="À RENSEIGNER","GIC",P62)&amp;"-"&amp;TEXT(Q62,"000"))</f>
        <v/>
      </c>
      <c r="T62" s="33">
        <f>IF(R62="","",IFERROR(INDEX(Cl_nom,MATCH(R62,Cl_cle,0)),"(client introuvable)"))</f>
        <v/>
      </c>
      <c r="U62" s="33">
        <f>IF(R62="","",IFERROR(INDEX(Cl_quartier,MATCH(R62,Cl_cle,0))&amp;"",""))</f>
        <v/>
      </c>
      <c r="V62" s="34">
        <f>IF(C62="","",YEAR(C62-WEEKDAY(C62,2)+4)&amp;"-S"&amp;TEXT(INT((C62-DATE(YEAR(C62-WEEKDAY(C62,2)+4),1,3)+WEEKDAY(DATE(YEAR(C62-WEEKDAY(C62,2)+4),1,3),2)+5)/7),"00"))</f>
        <v/>
      </c>
    </row>
    <row r="63" ht="18" customHeight="1">
      <c r="A63" s="39" t="n">
        <v>58</v>
      </c>
      <c r="B63" s="33">
        <f>IF(C63="","",IF(P63="À RENSEIGNER","GIC",P63)&amp;"-V"&amp;TEXT(A63,"00000"))</f>
        <v/>
      </c>
      <c r="C63" s="32" t="n"/>
      <c r="D63" s="35" t="n"/>
      <c r="E63" s="36" t="n"/>
      <c r="F63" s="36" t="n"/>
      <c r="G63" s="36" t="n"/>
      <c r="H63" s="36" t="n"/>
      <c r="I63" s="36" t="n"/>
      <c r="J63" s="37" t="n"/>
      <c r="K63" s="32" t="n"/>
      <c r="L63" s="36" t="n"/>
      <c r="M63" s="41" t="n"/>
      <c r="N63" s="41" t="n"/>
      <c r="O63" s="36" t="n"/>
      <c r="P63" s="33">
        <f>IF(C63="","",Commercial_Id)</f>
        <v/>
      </c>
      <c r="Q63" s="39">
        <f>IF(F63="","",IFERROR(VALUE(MID(F63,LEN(F63)-3,3)),""))</f>
        <v/>
      </c>
      <c r="R63" s="33">
        <f>IF(Q63="","",P63&amp;"|"&amp;Q63)</f>
        <v/>
      </c>
      <c r="S63" s="33">
        <f>IF(Q63="","",IF(P63="À RENSEIGNER","GIC",P63)&amp;"-"&amp;TEXT(Q63,"000"))</f>
        <v/>
      </c>
      <c r="T63" s="33">
        <f>IF(R63="","",IFERROR(INDEX(Cl_nom,MATCH(R63,Cl_cle,0)),"(client introuvable)"))</f>
        <v/>
      </c>
      <c r="U63" s="33">
        <f>IF(R63="","",IFERROR(INDEX(Cl_quartier,MATCH(R63,Cl_cle,0))&amp;"",""))</f>
        <v/>
      </c>
      <c r="V63" s="34">
        <f>IF(C63="","",YEAR(C63-WEEKDAY(C63,2)+4)&amp;"-S"&amp;TEXT(INT((C63-DATE(YEAR(C63-WEEKDAY(C63,2)+4),1,3)+WEEKDAY(DATE(YEAR(C63-WEEKDAY(C63,2)+4),1,3),2)+5)/7),"00"))</f>
        <v/>
      </c>
    </row>
    <row r="64" ht="18" customHeight="1">
      <c r="A64" s="39" t="n">
        <v>59</v>
      </c>
      <c r="B64" s="33">
        <f>IF(C64="","",IF(P64="À RENSEIGNER","GIC",P64)&amp;"-V"&amp;TEXT(A64,"00000"))</f>
        <v/>
      </c>
      <c r="C64" s="32" t="n"/>
      <c r="D64" s="35" t="n"/>
      <c r="E64" s="36" t="n"/>
      <c r="F64" s="36" t="n"/>
      <c r="G64" s="36" t="n"/>
      <c r="H64" s="36" t="n"/>
      <c r="I64" s="36" t="n"/>
      <c r="J64" s="37" t="n"/>
      <c r="K64" s="32" t="n"/>
      <c r="L64" s="36" t="n"/>
      <c r="M64" s="41" t="n"/>
      <c r="N64" s="41" t="n"/>
      <c r="O64" s="36" t="n"/>
      <c r="P64" s="33">
        <f>IF(C64="","",Commercial_Id)</f>
        <v/>
      </c>
      <c r="Q64" s="39">
        <f>IF(F64="","",IFERROR(VALUE(MID(F64,LEN(F64)-3,3)),""))</f>
        <v/>
      </c>
      <c r="R64" s="33">
        <f>IF(Q64="","",P64&amp;"|"&amp;Q64)</f>
        <v/>
      </c>
      <c r="S64" s="33">
        <f>IF(Q64="","",IF(P64="À RENSEIGNER","GIC",P64)&amp;"-"&amp;TEXT(Q64,"000"))</f>
        <v/>
      </c>
      <c r="T64" s="33">
        <f>IF(R64="","",IFERROR(INDEX(Cl_nom,MATCH(R64,Cl_cle,0)),"(client introuvable)"))</f>
        <v/>
      </c>
      <c r="U64" s="33">
        <f>IF(R64="","",IFERROR(INDEX(Cl_quartier,MATCH(R64,Cl_cle,0))&amp;"",""))</f>
        <v/>
      </c>
      <c r="V64" s="34">
        <f>IF(C64="","",YEAR(C64-WEEKDAY(C64,2)+4)&amp;"-S"&amp;TEXT(INT((C64-DATE(YEAR(C64-WEEKDAY(C64,2)+4),1,3)+WEEKDAY(DATE(YEAR(C64-WEEKDAY(C64,2)+4),1,3),2)+5)/7),"00"))</f>
        <v/>
      </c>
    </row>
    <row r="65" ht="18" customHeight="1">
      <c r="A65" s="39" t="n">
        <v>60</v>
      </c>
      <c r="B65" s="33">
        <f>IF(C65="","",IF(P65="À RENSEIGNER","GIC",P65)&amp;"-V"&amp;TEXT(A65,"00000"))</f>
        <v/>
      </c>
      <c r="C65" s="32" t="n"/>
      <c r="D65" s="35" t="n"/>
      <c r="E65" s="36" t="n"/>
      <c r="F65" s="36" t="n"/>
      <c r="G65" s="36" t="n"/>
      <c r="H65" s="36" t="n"/>
      <c r="I65" s="36" t="n"/>
      <c r="J65" s="37" t="n"/>
      <c r="K65" s="32" t="n"/>
      <c r="L65" s="36" t="n"/>
      <c r="M65" s="41" t="n"/>
      <c r="N65" s="41" t="n"/>
      <c r="O65" s="36" t="n"/>
      <c r="P65" s="33">
        <f>IF(C65="","",Commercial_Id)</f>
        <v/>
      </c>
      <c r="Q65" s="39">
        <f>IF(F65="","",IFERROR(VALUE(MID(F65,LEN(F65)-3,3)),""))</f>
        <v/>
      </c>
      <c r="R65" s="33">
        <f>IF(Q65="","",P65&amp;"|"&amp;Q65)</f>
        <v/>
      </c>
      <c r="S65" s="33">
        <f>IF(Q65="","",IF(P65="À RENSEIGNER","GIC",P65)&amp;"-"&amp;TEXT(Q65,"000"))</f>
        <v/>
      </c>
      <c r="T65" s="33">
        <f>IF(R65="","",IFERROR(INDEX(Cl_nom,MATCH(R65,Cl_cle,0)),"(client introuvable)"))</f>
        <v/>
      </c>
      <c r="U65" s="33">
        <f>IF(R65="","",IFERROR(INDEX(Cl_quartier,MATCH(R65,Cl_cle,0))&amp;"",""))</f>
        <v/>
      </c>
      <c r="V65" s="34">
        <f>IF(C65="","",YEAR(C65-WEEKDAY(C65,2)+4)&amp;"-S"&amp;TEXT(INT((C65-DATE(YEAR(C65-WEEKDAY(C65,2)+4),1,3)+WEEKDAY(DATE(YEAR(C65-WEEKDAY(C65,2)+4),1,3),2)+5)/7),"00"))</f>
        <v/>
      </c>
    </row>
    <row r="66" ht="18" customHeight="1">
      <c r="A66" s="39" t="n">
        <v>61</v>
      </c>
      <c r="B66" s="33">
        <f>IF(C66="","",IF(P66="À RENSEIGNER","GIC",P66)&amp;"-V"&amp;TEXT(A66,"00000"))</f>
        <v/>
      </c>
      <c r="C66" s="32" t="n"/>
      <c r="D66" s="35" t="n"/>
      <c r="E66" s="36" t="n"/>
      <c r="F66" s="36" t="n"/>
      <c r="G66" s="36" t="n"/>
      <c r="H66" s="36" t="n"/>
      <c r="I66" s="36" t="n"/>
      <c r="J66" s="37" t="n"/>
      <c r="K66" s="32" t="n"/>
      <c r="L66" s="36" t="n"/>
      <c r="M66" s="41" t="n"/>
      <c r="N66" s="41" t="n"/>
      <c r="O66" s="36" t="n"/>
      <c r="P66" s="33">
        <f>IF(C66="","",Commercial_Id)</f>
        <v/>
      </c>
      <c r="Q66" s="39">
        <f>IF(F66="","",IFERROR(VALUE(MID(F66,LEN(F66)-3,3)),""))</f>
        <v/>
      </c>
      <c r="R66" s="33">
        <f>IF(Q66="","",P66&amp;"|"&amp;Q66)</f>
        <v/>
      </c>
      <c r="S66" s="33">
        <f>IF(Q66="","",IF(P66="À RENSEIGNER","GIC",P66)&amp;"-"&amp;TEXT(Q66,"000"))</f>
        <v/>
      </c>
      <c r="T66" s="33">
        <f>IF(R66="","",IFERROR(INDEX(Cl_nom,MATCH(R66,Cl_cle,0)),"(client introuvable)"))</f>
        <v/>
      </c>
      <c r="U66" s="33">
        <f>IF(R66="","",IFERROR(INDEX(Cl_quartier,MATCH(R66,Cl_cle,0))&amp;"",""))</f>
        <v/>
      </c>
      <c r="V66" s="34">
        <f>IF(C66="","",YEAR(C66-WEEKDAY(C66,2)+4)&amp;"-S"&amp;TEXT(INT((C66-DATE(YEAR(C66-WEEKDAY(C66,2)+4),1,3)+WEEKDAY(DATE(YEAR(C66-WEEKDAY(C66,2)+4),1,3),2)+5)/7),"00"))</f>
        <v/>
      </c>
    </row>
    <row r="67" ht="18" customHeight="1">
      <c r="A67" s="39" t="n">
        <v>62</v>
      </c>
      <c r="B67" s="33">
        <f>IF(C67="","",IF(P67="À RENSEIGNER","GIC",P67)&amp;"-V"&amp;TEXT(A67,"00000"))</f>
        <v/>
      </c>
      <c r="C67" s="32" t="n"/>
      <c r="D67" s="35" t="n"/>
      <c r="E67" s="36" t="n"/>
      <c r="F67" s="36" t="n"/>
      <c r="G67" s="36" t="n"/>
      <c r="H67" s="36" t="n"/>
      <c r="I67" s="36" t="n"/>
      <c r="J67" s="37" t="n"/>
      <c r="K67" s="32" t="n"/>
      <c r="L67" s="36" t="n"/>
      <c r="M67" s="41" t="n"/>
      <c r="N67" s="41" t="n"/>
      <c r="O67" s="36" t="n"/>
      <c r="P67" s="33">
        <f>IF(C67="","",Commercial_Id)</f>
        <v/>
      </c>
      <c r="Q67" s="39">
        <f>IF(F67="","",IFERROR(VALUE(MID(F67,LEN(F67)-3,3)),""))</f>
        <v/>
      </c>
      <c r="R67" s="33">
        <f>IF(Q67="","",P67&amp;"|"&amp;Q67)</f>
        <v/>
      </c>
      <c r="S67" s="33">
        <f>IF(Q67="","",IF(P67="À RENSEIGNER","GIC",P67)&amp;"-"&amp;TEXT(Q67,"000"))</f>
        <v/>
      </c>
      <c r="T67" s="33">
        <f>IF(R67="","",IFERROR(INDEX(Cl_nom,MATCH(R67,Cl_cle,0)),"(client introuvable)"))</f>
        <v/>
      </c>
      <c r="U67" s="33">
        <f>IF(R67="","",IFERROR(INDEX(Cl_quartier,MATCH(R67,Cl_cle,0))&amp;"",""))</f>
        <v/>
      </c>
      <c r="V67" s="34">
        <f>IF(C67="","",YEAR(C67-WEEKDAY(C67,2)+4)&amp;"-S"&amp;TEXT(INT((C67-DATE(YEAR(C67-WEEKDAY(C67,2)+4),1,3)+WEEKDAY(DATE(YEAR(C67-WEEKDAY(C67,2)+4),1,3),2)+5)/7),"00"))</f>
        <v/>
      </c>
    </row>
    <row r="68" ht="18" customHeight="1">
      <c r="A68" s="39" t="n">
        <v>63</v>
      </c>
      <c r="B68" s="33">
        <f>IF(C68="","",IF(P68="À RENSEIGNER","GIC",P68)&amp;"-V"&amp;TEXT(A68,"00000"))</f>
        <v/>
      </c>
      <c r="C68" s="32" t="n"/>
      <c r="D68" s="35" t="n"/>
      <c r="E68" s="36" t="n"/>
      <c r="F68" s="36" t="n"/>
      <c r="G68" s="36" t="n"/>
      <c r="H68" s="36" t="n"/>
      <c r="I68" s="36" t="n"/>
      <c r="J68" s="37" t="n"/>
      <c r="K68" s="32" t="n"/>
      <c r="L68" s="36" t="n"/>
      <c r="M68" s="41" t="n"/>
      <c r="N68" s="41" t="n"/>
      <c r="O68" s="36" t="n"/>
      <c r="P68" s="33">
        <f>IF(C68="","",Commercial_Id)</f>
        <v/>
      </c>
      <c r="Q68" s="39">
        <f>IF(F68="","",IFERROR(VALUE(MID(F68,LEN(F68)-3,3)),""))</f>
        <v/>
      </c>
      <c r="R68" s="33">
        <f>IF(Q68="","",P68&amp;"|"&amp;Q68)</f>
        <v/>
      </c>
      <c r="S68" s="33">
        <f>IF(Q68="","",IF(P68="À RENSEIGNER","GIC",P68)&amp;"-"&amp;TEXT(Q68,"000"))</f>
        <v/>
      </c>
      <c r="T68" s="33">
        <f>IF(R68="","",IFERROR(INDEX(Cl_nom,MATCH(R68,Cl_cle,0)),"(client introuvable)"))</f>
        <v/>
      </c>
      <c r="U68" s="33">
        <f>IF(R68="","",IFERROR(INDEX(Cl_quartier,MATCH(R68,Cl_cle,0))&amp;"",""))</f>
        <v/>
      </c>
      <c r="V68" s="34">
        <f>IF(C68="","",YEAR(C68-WEEKDAY(C68,2)+4)&amp;"-S"&amp;TEXT(INT((C68-DATE(YEAR(C68-WEEKDAY(C68,2)+4),1,3)+WEEKDAY(DATE(YEAR(C68-WEEKDAY(C68,2)+4),1,3),2)+5)/7),"00"))</f>
        <v/>
      </c>
    </row>
    <row r="69" ht="18" customHeight="1">
      <c r="A69" s="39" t="n">
        <v>64</v>
      </c>
      <c r="B69" s="33">
        <f>IF(C69="","",IF(P69="À RENSEIGNER","GIC",P69)&amp;"-V"&amp;TEXT(A69,"00000"))</f>
        <v/>
      </c>
      <c r="C69" s="32" t="n"/>
      <c r="D69" s="35" t="n"/>
      <c r="E69" s="36" t="n"/>
      <c r="F69" s="36" t="n"/>
      <c r="G69" s="36" t="n"/>
      <c r="H69" s="36" t="n"/>
      <c r="I69" s="36" t="n"/>
      <c r="J69" s="37" t="n"/>
      <c r="K69" s="32" t="n"/>
      <c r="L69" s="36" t="n"/>
      <c r="M69" s="41" t="n"/>
      <c r="N69" s="41" t="n"/>
      <c r="O69" s="36" t="n"/>
      <c r="P69" s="33">
        <f>IF(C69="","",Commercial_Id)</f>
        <v/>
      </c>
      <c r="Q69" s="39">
        <f>IF(F69="","",IFERROR(VALUE(MID(F69,LEN(F69)-3,3)),""))</f>
        <v/>
      </c>
      <c r="R69" s="33">
        <f>IF(Q69="","",P69&amp;"|"&amp;Q69)</f>
        <v/>
      </c>
      <c r="S69" s="33">
        <f>IF(Q69="","",IF(P69="À RENSEIGNER","GIC",P69)&amp;"-"&amp;TEXT(Q69,"000"))</f>
        <v/>
      </c>
      <c r="T69" s="33">
        <f>IF(R69="","",IFERROR(INDEX(Cl_nom,MATCH(R69,Cl_cle,0)),"(client introuvable)"))</f>
        <v/>
      </c>
      <c r="U69" s="33">
        <f>IF(R69="","",IFERROR(INDEX(Cl_quartier,MATCH(R69,Cl_cle,0))&amp;"",""))</f>
        <v/>
      </c>
      <c r="V69" s="34">
        <f>IF(C69="","",YEAR(C69-WEEKDAY(C69,2)+4)&amp;"-S"&amp;TEXT(INT((C69-DATE(YEAR(C69-WEEKDAY(C69,2)+4),1,3)+WEEKDAY(DATE(YEAR(C69-WEEKDAY(C69,2)+4),1,3),2)+5)/7),"00"))</f>
        <v/>
      </c>
    </row>
    <row r="70" ht="18" customHeight="1">
      <c r="A70" s="39" t="n">
        <v>65</v>
      </c>
      <c r="B70" s="33">
        <f>IF(C70="","",IF(P70="À RENSEIGNER","GIC",P70)&amp;"-V"&amp;TEXT(A70,"00000"))</f>
        <v/>
      </c>
      <c r="C70" s="32" t="n"/>
      <c r="D70" s="35" t="n"/>
      <c r="E70" s="36" t="n"/>
      <c r="F70" s="36" t="n"/>
      <c r="G70" s="36" t="n"/>
      <c r="H70" s="36" t="n"/>
      <c r="I70" s="36" t="n"/>
      <c r="J70" s="37" t="n"/>
      <c r="K70" s="32" t="n"/>
      <c r="L70" s="36" t="n"/>
      <c r="M70" s="41" t="n"/>
      <c r="N70" s="41" t="n"/>
      <c r="O70" s="36" t="n"/>
      <c r="P70" s="33">
        <f>IF(C70="","",Commercial_Id)</f>
        <v/>
      </c>
      <c r="Q70" s="39">
        <f>IF(F70="","",IFERROR(VALUE(MID(F70,LEN(F70)-3,3)),""))</f>
        <v/>
      </c>
      <c r="R70" s="33">
        <f>IF(Q70="","",P70&amp;"|"&amp;Q70)</f>
        <v/>
      </c>
      <c r="S70" s="33">
        <f>IF(Q70="","",IF(P70="À RENSEIGNER","GIC",P70)&amp;"-"&amp;TEXT(Q70,"000"))</f>
        <v/>
      </c>
      <c r="T70" s="33">
        <f>IF(R70="","",IFERROR(INDEX(Cl_nom,MATCH(R70,Cl_cle,0)),"(client introuvable)"))</f>
        <v/>
      </c>
      <c r="U70" s="33">
        <f>IF(R70="","",IFERROR(INDEX(Cl_quartier,MATCH(R70,Cl_cle,0))&amp;"",""))</f>
        <v/>
      </c>
      <c r="V70" s="34">
        <f>IF(C70="","",YEAR(C70-WEEKDAY(C70,2)+4)&amp;"-S"&amp;TEXT(INT((C70-DATE(YEAR(C70-WEEKDAY(C70,2)+4),1,3)+WEEKDAY(DATE(YEAR(C70-WEEKDAY(C70,2)+4),1,3),2)+5)/7),"00"))</f>
        <v/>
      </c>
    </row>
    <row r="71" ht="18" customHeight="1">
      <c r="A71" s="39" t="n">
        <v>66</v>
      </c>
      <c r="B71" s="33">
        <f>IF(C71="","",IF(P71="À RENSEIGNER","GIC",P71)&amp;"-V"&amp;TEXT(A71,"00000"))</f>
        <v/>
      </c>
      <c r="C71" s="32" t="n"/>
      <c r="D71" s="35" t="n"/>
      <c r="E71" s="36" t="n"/>
      <c r="F71" s="36" t="n"/>
      <c r="G71" s="36" t="n"/>
      <c r="H71" s="36" t="n"/>
      <c r="I71" s="36" t="n"/>
      <c r="J71" s="37" t="n"/>
      <c r="K71" s="32" t="n"/>
      <c r="L71" s="36" t="n"/>
      <c r="M71" s="41" t="n"/>
      <c r="N71" s="41" t="n"/>
      <c r="O71" s="36" t="n"/>
      <c r="P71" s="33">
        <f>IF(C71="","",Commercial_Id)</f>
        <v/>
      </c>
      <c r="Q71" s="39">
        <f>IF(F71="","",IFERROR(VALUE(MID(F71,LEN(F71)-3,3)),""))</f>
        <v/>
      </c>
      <c r="R71" s="33">
        <f>IF(Q71="","",P71&amp;"|"&amp;Q71)</f>
        <v/>
      </c>
      <c r="S71" s="33">
        <f>IF(Q71="","",IF(P71="À RENSEIGNER","GIC",P71)&amp;"-"&amp;TEXT(Q71,"000"))</f>
        <v/>
      </c>
      <c r="T71" s="33">
        <f>IF(R71="","",IFERROR(INDEX(Cl_nom,MATCH(R71,Cl_cle,0)),"(client introuvable)"))</f>
        <v/>
      </c>
      <c r="U71" s="33">
        <f>IF(R71="","",IFERROR(INDEX(Cl_quartier,MATCH(R71,Cl_cle,0))&amp;"",""))</f>
        <v/>
      </c>
      <c r="V71" s="34">
        <f>IF(C71="","",YEAR(C71-WEEKDAY(C71,2)+4)&amp;"-S"&amp;TEXT(INT((C71-DATE(YEAR(C71-WEEKDAY(C71,2)+4),1,3)+WEEKDAY(DATE(YEAR(C71-WEEKDAY(C71,2)+4),1,3),2)+5)/7),"00"))</f>
        <v/>
      </c>
    </row>
    <row r="72" ht="18" customHeight="1">
      <c r="A72" s="39" t="n">
        <v>67</v>
      </c>
      <c r="B72" s="33">
        <f>IF(C72="","",IF(P72="À RENSEIGNER","GIC",P72)&amp;"-V"&amp;TEXT(A72,"00000"))</f>
        <v/>
      </c>
      <c r="C72" s="32" t="n"/>
      <c r="D72" s="35" t="n"/>
      <c r="E72" s="36" t="n"/>
      <c r="F72" s="36" t="n"/>
      <c r="G72" s="36" t="n"/>
      <c r="H72" s="36" t="n"/>
      <c r="I72" s="36" t="n"/>
      <c r="J72" s="37" t="n"/>
      <c r="K72" s="32" t="n"/>
      <c r="L72" s="36" t="n"/>
      <c r="M72" s="41" t="n"/>
      <c r="N72" s="41" t="n"/>
      <c r="O72" s="36" t="n"/>
      <c r="P72" s="33">
        <f>IF(C72="","",Commercial_Id)</f>
        <v/>
      </c>
      <c r="Q72" s="39">
        <f>IF(F72="","",IFERROR(VALUE(MID(F72,LEN(F72)-3,3)),""))</f>
        <v/>
      </c>
      <c r="R72" s="33">
        <f>IF(Q72="","",P72&amp;"|"&amp;Q72)</f>
        <v/>
      </c>
      <c r="S72" s="33">
        <f>IF(Q72="","",IF(P72="À RENSEIGNER","GIC",P72)&amp;"-"&amp;TEXT(Q72,"000"))</f>
        <v/>
      </c>
      <c r="T72" s="33">
        <f>IF(R72="","",IFERROR(INDEX(Cl_nom,MATCH(R72,Cl_cle,0)),"(client introuvable)"))</f>
        <v/>
      </c>
      <c r="U72" s="33">
        <f>IF(R72="","",IFERROR(INDEX(Cl_quartier,MATCH(R72,Cl_cle,0))&amp;"",""))</f>
        <v/>
      </c>
      <c r="V72" s="34">
        <f>IF(C72="","",YEAR(C72-WEEKDAY(C72,2)+4)&amp;"-S"&amp;TEXT(INT((C72-DATE(YEAR(C72-WEEKDAY(C72,2)+4),1,3)+WEEKDAY(DATE(YEAR(C72-WEEKDAY(C72,2)+4),1,3),2)+5)/7),"00"))</f>
        <v/>
      </c>
    </row>
    <row r="73" ht="18" customHeight="1">
      <c r="A73" s="39" t="n">
        <v>68</v>
      </c>
      <c r="B73" s="33">
        <f>IF(C73="","",IF(P73="À RENSEIGNER","GIC",P73)&amp;"-V"&amp;TEXT(A73,"00000"))</f>
        <v/>
      </c>
      <c r="C73" s="32" t="n"/>
      <c r="D73" s="35" t="n"/>
      <c r="E73" s="36" t="n"/>
      <c r="F73" s="36" t="n"/>
      <c r="G73" s="36" t="n"/>
      <c r="H73" s="36" t="n"/>
      <c r="I73" s="36" t="n"/>
      <c r="J73" s="37" t="n"/>
      <c r="K73" s="32" t="n"/>
      <c r="L73" s="36" t="n"/>
      <c r="M73" s="41" t="n"/>
      <c r="N73" s="41" t="n"/>
      <c r="O73" s="36" t="n"/>
      <c r="P73" s="33">
        <f>IF(C73="","",Commercial_Id)</f>
        <v/>
      </c>
      <c r="Q73" s="39">
        <f>IF(F73="","",IFERROR(VALUE(MID(F73,LEN(F73)-3,3)),""))</f>
        <v/>
      </c>
      <c r="R73" s="33">
        <f>IF(Q73="","",P73&amp;"|"&amp;Q73)</f>
        <v/>
      </c>
      <c r="S73" s="33">
        <f>IF(Q73="","",IF(P73="À RENSEIGNER","GIC",P73)&amp;"-"&amp;TEXT(Q73,"000"))</f>
        <v/>
      </c>
      <c r="T73" s="33">
        <f>IF(R73="","",IFERROR(INDEX(Cl_nom,MATCH(R73,Cl_cle,0)),"(client introuvable)"))</f>
        <v/>
      </c>
      <c r="U73" s="33">
        <f>IF(R73="","",IFERROR(INDEX(Cl_quartier,MATCH(R73,Cl_cle,0))&amp;"",""))</f>
        <v/>
      </c>
      <c r="V73" s="34">
        <f>IF(C73="","",YEAR(C73-WEEKDAY(C73,2)+4)&amp;"-S"&amp;TEXT(INT((C73-DATE(YEAR(C73-WEEKDAY(C73,2)+4),1,3)+WEEKDAY(DATE(YEAR(C73-WEEKDAY(C73,2)+4),1,3),2)+5)/7),"00"))</f>
        <v/>
      </c>
    </row>
    <row r="74" ht="18" customHeight="1">
      <c r="A74" s="39" t="n">
        <v>69</v>
      </c>
      <c r="B74" s="33">
        <f>IF(C74="","",IF(P74="À RENSEIGNER","GIC",P74)&amp;"-V"&amp;TEXT(A74,"00000"))</f>
        <v/>
      </c>
      <c r="C74" s="32" t="n"/>
      <c r="D74" s="35" t="n"/>
      <c r="E74" s="36" t="n"/>
      <c r="F74" s="36" t="n"/>
      <c r="G74" s="36" t="n"/>
      <c r="H74" s="36" t="n"/>
      <c r="I74" s="36" t="n"/>
      <c r="J74" s="37" t="n"/>
      <c r="K74" s="32" t="n"/>
      <c r="L74" s="36" t="n"/>
      <c r="M74" s="41" t="n"/>
      <c r="N74" s="41" t="n"/>
      <c r="O74" s="36" t="n"/>
      <c r="P74" s="33">
        <f>IF(C74="","",Commercial_Id)</f>
        <v/>
      </c>
      <c r="Q74" s="39">
        <f>IF(F74="","",IFERROR(VALUE(MID(F74,LEN(F74)-3,3)),""))</f>
        <v/>
      </c>
      <c r="R74" s="33">
        <f>IF(Q74="","",P74&amp;"|"&amp;Q74)</f>
        <v/>
      </c>
      <c r="S74" s="33">
        <f>IF(Q74="","",IF(P74="À RENSEIGNER","GIC",P74)&amp;"-"&amp;TEXT(Q74,"000"))</f>
        <v/>
      </c>
      <c r="T74" s="33">
        <f>IF(R74="","",IFERROR(INDEX(Cl_nom,MATCH(R74,Cl_cle,0)),"(client introuvable)"))</f>
        <v/>
      </c>
      <c r="U74" s="33">
        <f>IF(R74="","",IFERROR(INDEX(Cl_quartier,MATCH(R74,Cl_cle,0))&amp;"",""))</f>
        <v/>
      </c>
      <c r="V74" s="34">
        <f>IF(C74="","",YEAR(C74-WEEKDAY(C74,2)+4)&amp;"-S"&amp;TEXT(INT((C74-DATE(YEAR(C74-WEEKDAY(C74,2)+4),1,3)+WEEKDAY(DATE(YEAR(C74-WEEKDAY(C74,2)+4),1,3),2)+5)/7),"00"))</f>
        <v/>
      </c>
    </row>
    <row r="75" ht="18" customHeight="1">
      <c r="A75" s="39" t="n">
        <v>70</v>
      </c>
      <c r="B75" s="33">
        <f>IF(C75="","",IF(P75="À RENSEIGNER","GIC",P75)&amp;"-V"&amp;TEXT(A75,"00000"))</f>
        <v/>
      </c>
      <c r="C75" s="32" t="n"/>
      <c r="D75" s="35" t="n"/>
      <c r="E75" s="36" t="n"/>
      <c r="F75" s="36" t="n"/>
      <c r="G75" s="36" t="n"/>
      <c r="H75" s="36" t="n"/>
      <c r="I75" s="36" t="n"/>
      <c r="J75" s="37" t="n"/>
      <c r="K75" s="32" t="n"/>
      <c r="L75" s="36" t="n"/>
      <c r="M75" s="41" t="n"/>
      <c r="N75" s="41" t="n"/>
      <c r="O75" s="36" t="n"/>
      <c r="P75" s="33">
        <f>IF(C75="","",Commercial_Id)</f>
        <v/>
      </c>
      <c r="Q75" s="39">
        <f>IF(F75="","",IFERROR(VALUE(MID(F75,LEN(F75)-3,3)),""))</f>
        <v/>
      </c>
      <c r="R75" s="33">
        <f>IF(Q75="","",P75&amp;"|"&amp;Q75)</f>
        <v/>
      </c>
      <c r="S75" s="33">
        <f>IF(Q75="","",IF(P75="À RENSEIGNER","GIC",P75)&amp;"-"&amp;TEXT(Q75,"000"))</f>
        <v/>
      </c>
      <c r="T75" s="33">
        <f>IF(R75="","",IFERROR(INDEX(Cl_nom,MATCH(R75,Cl_cle,0)),"(client introuvable)"))</f>
        <v/>
      </c>
      <c r="U75" s="33">
        <f>IF(R75="","",IFERROR(INDEX(Cl_quartier,MATCH(R75,Cl_cle,0))&amp;"",""))</f>
        <v/>
      </c>
      <c r="V75" s="34">
        <f>IF(C75="","",YEAR(C75-WEEKDAY(C75,2)+4)&amp;"-S"&amp;TEXT(INT((C75-DATE(YEAR(C75-WEEKDAY(C75,2)+4),1,3)+WEEKDAY(DATE(YEAR(C75-WEEKDAY(C75,2)+4),1,3),2)+5)/7),"00"))</f>
        <v/>
      </c>
    </row>
    <row r="76" ht="18" customHeight="1">
      <c r="A76" s="39" t="n">
        <v>71</v>
      </c>
      <c r="B76" s="33">
        <f>IF(C76="","",IF(P76="À RENSEIGNER","GIC",P76)&amp;"-V"&amp;TEXT(A76,"00000"))</f>
        <v/>
      </c>
      <c r="C76" s="32" t="n"/>
      <c r="D76" s="35" t="n"/>
      <c r="E76" s="36" t="n"/>
      <c r="F76" s="36" t="n"/>
      <c r="G76" s="36" t="n"/>
      <c r="H76" s="36" t="n"/>
      <c r="I76" s="36" t="n"/>
      <c r="J76" s="37" t="n"/>
      <c r="K76" s="32" t="n"/>
      <c r="L76" s="36" t="n"/>
      <c r="M76" s="41" t="n"/>
      <c r="N76" s="41" t="n"/>
      <c r="O76" s="36" t="n"/>
      <c r="P76" s="33">
        <f>IF(C76="","",Commercial_Id)</f>
        <v/>
      </c>
      <c r="Q76" s="39">
        <f>IF(F76="","",IFERROR(VALUE(MID(F76,LEN(F76)-3,3)),""))</f>
        <v/>
      </c>
      <c r="R76" s="33">
        <f>IF(Q76="","",P76&amp;"|"&amp;Q76)</f>
        <v/>
      </c>
      <c r="S76" s="33">
        <f>IF(Q76="","",IF(P76="À RENSEIGNER","GIC",P76)&amp;"-"&amp;TEXT(Q76,"000"))</f>
        <v/>
      </c>
      <c r="T76" s="33">
        <f>IF(R76="","",IFERROR(INDEX(Cl_nom,MATCH(R76,Cl_cle,0)),"(client introuvable)"))</f>
        <v/>
      </c>
      <c r="U76" s="33">
        <f>IF(R76="","",IFERROR(INDEX(Cl_quartier,MATCH(R76,Cl_cle,0))&amp;"",""))</f>
        <v/>
      </c>
      <c r="V76" s="34">
        <f>IF(C76="","",YEAR(C76-WEEKDAY(C76,2)+4)&amp;"-S"&amp;TEXT(INT((C76-DATE(YEAR(C76-WEEKDAY(C76,2)+4),1,3)+WEEKDAY(DATE(YEAR(C76-WEEKDAY(C76,2)+4),1,3),2)+5)/7),"00"))</f>
        <v/>
      </c>
    </row>
    <row r="77" ht="18" customHeight="1">
      <c r="A77" s="39" t="n">
        <v>72</v>
      </c>
      <c r="B77" s="33">
        <f>IF(C77="","",IF(P77="À RENSEIGNER","GIC",P77)&amp;"-V"&amp;TEXT(A77,"00000"))</f>
        <v/>
      </c>
      <c r="C77" s="32" t="n"/>
      <c r="D77" s="35" t="n"/>
      <c r="E77" s="36" t="n"/>
      <c r="F77" s="36" t="n"/>
      <c r="G77" s="36" t="n"/>
      <c r="H77" s="36" t="n"/>
      <c r="I77" s="36" t="n"/>
      <c r="J77" s="37" t="n"/>
      <c r="K77" s="32" t="n"/>
      <c r="L77" s="36" t="n"/>
      <c r="M77" s="41" t="n"/>
      <c r="N77" s="41" t="n"/>
      <c r="O77" s="36" t="n"/>
      <c r="P77" s="33">
        <f>IF(C77="","",Commercial_Id)</f>
        <v/>
      </c>
      <c r="Q77" s="39">
        <f>IF(F77="","",IFERROR(VALUE(MID(F77,LEN(F77)-3,3)),""))</f>
        <v/>
      </c>
      <c r="R77" s="33">
        <f>IF(Q77="","",P77&amp;"|"&amp;Q77)</f>
        <v/>
      </c>
      <c r="S77" s="33">
        <f>IF(Q77="","",IF(P77="À RENSEIGNER","GIC",P77)&amp;"-"&amp;TEXT(Q77,"000"))</f>
        <v/>
      </c>
      <c r="T77" s="33">
        <f>IF(R77="","",IFERROR(INDEX(Cl_nom,MATCH(R77,Cl_cle,0)),"(client introuvable)"))</f>
        <v/>
      </c>
      <c r="U77" s="33">
        <f>IF(R77="","",IFERROR(INDEX(Cl_quartier,MATCH(R77,Cl_cle,0))&amp;"",""))</f>
        <v/>
      </c>
      <c r="V77" s="34">
        <f>IF(C77="","",YEAR(C77-WEEKDAY(C77,2)+4)&amp;"-S"&amp;TEXT(INT((C77-DATE(YEAR(C77-WEEKDAY(C77,2)+4),1,3)+WEEKDAY(DATE(YEAR(C77-WEEKDAY(C77,2)+4),1,3),2)+5)/7),"00"))</f>
        <v/>
      </c>
    </row>
    <row r="78" ht="18" customHeight="1">
      <c r="A78" s="39" t="n">
        <v>73</v>
      </c>
      <c r="B78" s="33">
        <f>IF(C78="","",IF(P78="À RENSEIGNER","GIC",P78)&amp;"-V"&amp;TEXT(A78,"00000"))</f>
        <v/>
      </c>
      <c r="C78" s="32" t="n"/>
      <c r="D78" s="35" t="n"/>
      <c r="E78" s="36" t="n"/>
      <c r="F78" s="36" t="n"/>
      <c r="G78" s="36" t="n"/>
      <c r="H78" s="36" t="n"/>
      <c r="I78" s="36" t="n"/>
      <c r="J78" s="37" t="n"/>
      <c r="K78" s="32" t="n"/>
      <c r="L78" s="36" t="n"/>
      <c r="M78" s="41" t="n"/>
      <c r="N78" s="41" t="n"/>
      <c r="O78" s="36" t="n"/>
      <c r="P78" s="33">
        <f>IF(C78="","",Commercial_Id)</f>
        <v/>
      </c>
      <c r="Q78" s="39">
        <f>IF(F78="","",IFERROR(VALUE(MID(F78,LEN(F78)-3,3)),""))</f>
        <v/>
      </c>
      <c r="R78" s="33">
        <f>IF(Q78="","",P78&amp;"|"&amp;Q78)</f>
        <v/>
      </c>
      <c r="S78" s="33">
        <f>IF(Q78="","",IF(P78="À RENSEIGNER","GIC",P78)&amp;"-"&amp;TEXT(Q78,"000"))</f>
        <v/>
      </c>
      <c r="T78" s="33">
        <f>IF(R78="","",IFERROR(INDEX(Cl_nom,MATCH(R78,Cl_cle,0)),"(client introuvable)"))</f>
        <v/>
      </c>
      <c r="U78" s="33">
        <f>IF(R78="","",IFERROR(INDEX(Cl_quartier,MATCH(R78,Cl_cle,0))&amp;"",""))</f>
        <v/>
      </c>
      <c r="V78" s="34">
        <f>IF(C78="","",YEAR(C78-WEEKDAY(C78,2)+4)&amp;"-S"&amp;TEXT(INT((C78-DATE(YEAR(C78-WEEKDAY(C78,2)+4),1,3)+WEEKDAY(DATE(YEAR(C78-WEEKDAY(C78,2)+4),1,3),2)+5)/7),"00"))</f>
        <v/>
      </c>
    </row>
    <row r="79" ht="18" customHeight="1">
      <c r="A79" s="39" t="n">
        <v>74</v>
      </c>
      <c r="B79" s="33">
        <f>IF(C79="","",IF(P79="À RENSEIGNER","GIC",P79)&amp;"-V"&amp;TEXT(A79,"00000"))</f>
        <v/>
      </c>
      <c r="C79" s="32" t="n"/>
      <c r="D79" s="35" t="n"/>
      <c r="E79" s="36" t="n"/>
      <c r="F79" s="36" t="n"/>
      <c r="G79" s="36" t="n"/>
      <c r="H79" s="36" t="n"/>
      <c r="I79" s="36" t="n"/>
      <c r="J79" s="37" t="n"/>
      <c r="K79" s="32" t="n"/>
      <c r="L79" s="36" t="n"/>
      <c r="M79" s="41" t="n"/>
      <c r="N79" s="41" t="n"/>
      <c r="O79" s="36" t="n"/>
      <c r="P79" s="33">
        <f>IF(C79="","",Commercial_Id)</f>
        <v/>
      </c>
      <c r="Q79" s="39">
        <f>IF(F79="","",IFERROR(VALUE(MID(F79,LEN(F79)-3,3)),""))</f>
        <v/>
      </c>
      <c r="R79" s="33">
        <f>IF(Q79="","",P79&amp;"|"&amp;Q79)</f>
        <v/>
      </c>
      <c r="S79" s="33">
        <f>IF(Q79="","",IF(P79="À RENSEIGNER","GIC",P79)&amp;"-"&amp;TEXT(Q79,"000"))</f>
        <v/>
      </c>
      <c r="T79" s="33">
        <f>IF(R79="","",IFERROR(INDEX(Cl_nom,MATCH(R79,Cl_cle,0)),"(client introuvable)"))</f>
        <v/>
      </c>
      <c r="U79" s="33">
        <f>IF(R79="","",IFERROR(INDEX(Cl_quartier,MATCH(R79,Cl_cle,0))&amp;"",""))</f>
        <v/>
      </c>
      <c r="V79" s="34">
        <f>IF(C79="","",YEAR(C79-WEEKDAY(C79,2)+4)&amp;"-S"&amp;TEXT(INT((C79-DATE(YEAR(C79-WEEKDAY(C79,2)+4),1,3)+WEEKDAY(DATE(YEAR(C79-WEEKDAY(C79,2)+4),1,3),2)+5)/7),"00"))</f>
        <v/>
      </c>
    </row>
    <row r="80" ht="18" customHeight="1">
      <c r="A80" s="39" t="n">
        <v>75</v>
      </c>
      <c r="B80" s="33">
        <f>IF(C80="","",IF(P80="À RENSEIGNER","GIC",P80)&amp;"-V"&amp;TEXT(A80,"00000"))</f>
        <v/>
      </c>
      <c r="C80" s="32" t="n"/>
      <c r="D80" s="35" t="n"/>
      <c r="E80" s="36" t="n"/>
      <c r="F80" s="36" t="n"/>
      <c r="G80" s="36" t="n"/>
      <c r="H80" s="36" t="n"/>
      <c r="I80" s="36" t="n"/>
      <c r="J80" s="37" t="n"/>
      <c r="K80" s="32" t="n"/>
      <c r="L80" s="36" t="n"/>
      <c r="M80" s="41" t="n"/>
      <c r="N80" s="41" t="n"/>
      <c r="O80" s="36" t="n"/>
      <c r="P80" s="33">
        <f>IF(C80="","",Commercial_Id)</f>
        <v/>
      </c>
      <c r="Q80" s="39">
        <f>IF(F80="","",IFERROR(VALUE(MID(F80,LEN(F80)-3,3)),""))</f>
        <v/>
      </c>
      <c r="R80" s="33">
        <f>IF(Q80="","",P80&amp;"|"&amp;Q80)</f>
        <v/>
      </c>
      <c r="S80" s="33">
        <f>IF(Q80="","",IF(P80="À RENSEIGNER","GIC",P80)&amp;"-"&amp;TEXT(Q80,"000"))</f>
        <v/>
      </c>
      <c r="T80" s="33">
        <f>IF(R80="","",IFERROR(INDEX(Cl_nom,MATCH(R80,Cl_cle,0)),"(client introuvable)"))</f>
        <v/>
      </c>
      <c r="U80" s="33">
        <f>IF(R80="","",IFERROR(INDEX(Cl_quartier,MATCH(R80,Cl_cle,0))&amp;"",""))</f>
        <v/>
      </c>
      <c r="V80" s="34">
        <f>IF(C80="","",YEAR(C80-WEEKDAY(C80,2)+4)&amp;"-S"&amp;TEXT(INT((C80-DATE(YEAR(C80-WEEKDAY(C80,2)+4),1,3)+WEEKDAY(DATE(YEAR(C80-WEEKDAY(C80,2)+4),1,3),2)+5)/7),"00"))</f>
        <v/>
      </c>
    </row>
    <row r="81" ht="18" customHeight="1">
      <c r="A81" s="39" t="n">
        <v>76</v>
      </c>
      <c r="B81" s="33">
        <f>IF(C81="","",IF(P81="À RENSEIGNER","GIC",P81)&amp;"-V"&amp;TEXT(A81,"00000"))</f>
        <v/>
      </c>
      <c r="C81" s="32" t="n"/>
      <c r="D81" s="35" t="n"/>
      <c r="E81" s="36" t="n"/>
      <c r="F81" s="36" t="n"/>
      <c r="G81" s="36" t="n"/>
      <c r="H81" s="36" t="n"/>
      <c r="I81" s="36" t="n"/>
      <c r="J81" s="37" t="n"/>
      <c r="K81" s="32" t="n"/>
      <c r="L81" s="36" t="n"/>
      <c r="M81" s="41" t="n"/>
      <c r="N81" s="41" t="n"/>
      <c r="O81" s="36" t="n"/>
      <c r="P81" s="33">
        <f>IF(C81="","",Commercial_Id)</f>
        <v/>
      </c>
      <c r="Q81" s="39">
        <f>IF(F81="","",IFERROR(VALUE(MID(F81,LEN(F81)-3,3)),""))</f>
        <v/>
      </c>
      <c r="R81" s="33">
        <f>IF(Q81="","",P81&amp;"|"&amp;Q81)</f>
        <v/>
      </c>
      <c r="S81" s="33">
        <f>IF(Q81="","",IF(P81="À RENSEIGNER","GIC",P81)&amp;"-"&amp;TEXT(Q81,"000"))</f>
        <v/>
      </c>
      <c r="T81" s="33">
        <f>IF(R81="","",IFERROR(INDEX(Cl_nom,MATCH(R81,Cl_cle,0)),"(client introuvable)"))</f>
        <v/>
      </c>
      <c r="U81" s="33">
        <f>IF(R81="","",IFERROR(INDEX(Cl_quartier,MATCH(R81,Cl_cle,0))&amp;"",""))</f>
        <v/>
      </c>
      <c r="V81" s="34">
        <f>IF(C81="","",YEAR(C81-WEEKDAY(C81,2)+4)&amp;"-S"&amp;TEXT(INT((C81-DATE(YEAR(C81-WEEKDAY(C81,2)+4),1,3)+WEEKDAY(DATE(YEAR(C81-WEEKDAY(C81,2)+4),1,3),2)+5)/7),"00"))</f>
        <v/>
      </c>
    </row>
    <row r="82" ht="18" customHeight="1">
      <c r="A82" s="39" t="n">
        <v>77</v>
      </c>
      <c r="B82" s="33">
        <f>IF(C82="","",IF(P82="À RENSEIGNER","GIC",P82)&amp;"-V"&amp;TEXT(A82,"00000"))</f>
        <v/>
      </c>
      <c r="C82" s="32" t="n"/>
      <c r="D82" s="35" t="n"/>
      <c r="E82" s="36" t="n"/>
      <c r="F82" s="36" t="n"/>
      <c r="G82" s="36" t="n"/>
      <c r="H82" s="36" t="n"/>
      <c r="I82" s="36" t="n"/>
      <c r="J82" s="37" t="n"/>
      <c r="K82" s="32" t="n"/>
      <c r="L82" s="36" t="n"/>
      <c r="M82" s="41" t="n"/>
      <c r="N82" s="41" t="n"/>
      <c r="O82" s="36" t="n"/>
      <c r="P82" s="33">
        <f>IF(C82="","",Commercial_Id)</f>
        <v/>
      </c>
      <c r="Q82" s="39">
        <f>IF(F82="","",IFERROR(VALUE(MID(F82,LEN(F82)-3,3)),""))</f>
        <v/>
      </c>
      <c r="R82" s="33">
        <f>IF(Q82="","",P82&amp;"|"&amp;Q82)</f>
        <v/>
      </c>
      <c r="S82" s="33">
        <f>IF(Q82="","",IF(P82="À RENSEIGNER","GIC",P82)&amp;"-"&amp;TEXT(Q82,"000"))</f>
        <v/>
      </c>
      <c r="T82" s="33">
        <f>IF(R82="","",IFERROR(INDEX(Cl_nom,MATCH(R82,Cl_cle,0)),"(client introuvable)"))</f>
        <v/>
      </c>
      <c r="U82" s="33">
        <f>IF(R82="","",IFERROR(INDEX(Cl_quartier,MATCH(R82,Cl_cle,0))&amp;"",""))</f>
        <v/>
      </c>
      <c r="V82" s="34">
        <f>IF(C82="","",YEAR(C82-WEEKDAY(C82,2)+4)&amp;"-S"&amp;TEXT(INT((C82-DATE(YEAR(C82-WEEKDAY(C82,2)+4),1,3)+WEEKDAY(DATE(YEAR(C82-WEEKDAY(C82,2)+4),1,3),2)+5)/7),"00"))</f>
        <v/>
      </c>
    </row>
    <row r="83" ht="18" customHeight="1">
      <c r="A83" s="39" t="n">
        <v>78</v>
      </c>
      <c r="B83" s="33">
        <f>IF(C83="","",IF(P83="À RENSEIGNER","GIC",P83)&amp;"-V"&amp;TEXT(A83,"00000"))</f>
        <v/>
      </c>
      <c r="C83" s="32" t="n"/>
      <c r="D83" s="35" t="n"/>
      <c r="E83" s="36" t="n"/>
      <c r="F83" s="36" t="n"/>
      <c r="G83" s="36" t="n"/>
      <c r="H83" s="36" t="n"/>
      <c r="I83" s="36" t="n"/>
      <c r="J83" s="37" t="n"/>
      <c r="K83" s="32" t="n"/>
      <c r="L83" s="36" t="n"/>
      <c r="M83" s="41" t="n"/>
      <c r="N83" s="41" t="n"/>
      <c r="O83" s="36" t="n"/>
      <c r="P83" s="33">
        <f>IF(C83="","",Commercial_Id)</f>
        <v/>
      </c>
      <c r="Q83" s="39">
        <f>IF(F83="","",IFERROR(VALUE(MID(F83,LEN(F83)-3,3)),""))</f>
        <v/>
      </c>
      <c r="R83" s="33">
        <f>IF(Q83="","",P83&amp;"|"&amp;Q83)</f>
        <v/>
      </c>
      <c r="S83" s="33">
        <f>IF(Q83="","",IF(P83="À RENSEIGNER","GIC",P83)&amp;"-"&amp;TEXT(Q83,"000"))</f>
        <v/>
      </c>
      <c r="T83" s="33">
        <f>IF(R83="","",IFERROR(INDEX(Cl_nom,MATCH(R83,Cl_cle,0)),"(client introuvable)"))</f>
        <v/>
      </c>
      <c r="U83" s="33">
        <f>IF(R83="","",IFERROR(INDEX(Cl_quartier,MATCH(R83,Cl_cle,0))&amp;"",""))</f>
        <v/>
      </c>
      <c r="V83" s="34">
        <f>IF(C83="","",YEAR(C83-WEEKDAY(C83,2)+4)&amp;"-S"&amp;TEXT(INT((C83-DATE(YEAR(C83-WEEKDAY(C83,2)+4),1,3)+WEEKDAY(DATE(YEAR(C83-WEEKDAY(C83,2)+4),1,3),2)+5)/7),"00"))</f>
        <v/>
      </c>
    </row>
    <row r="84" ht="18" customHeight="1">
      <c r="A84" s="39" t="n">
        <v>79</v>
      </c>
      <c r="B84" s="33">
        <f>IF(C84="","",IF(P84="À RENSEIGNER","GIC",P84)&amp;"-V"&amp;TEXT(A84,"00000"))</f>
        <v/>
      </c>
      <c r="C84" s="32" t="n"/>
      <c r="D84" s="35" t="n"/>
      <c r="E84" s="36" t="n"/>
      <c r="F84" s="36" t="n"/>
      <c r="G84" s="36" t="n"/>
      <c r="H84" s="36" t="n"/>
      <c r="I84" s="36" t="n"/>
      <c r="J84" s="37" t="n"/>
      <c r="K84" s="32" t="n"/>
      <c r="L84" s="36" t="n"/>
      <c r="M84" s="41" t="n"/>
      <c r="N84" s="41" t="n"/>
      <c r="O84" s="36" t="n"/>
      <c r="P84" s="33">
        <f>IF(C84="","",Commercial_Id)</f>
        <v/>
      </c>
      <c r="Q84" s="39">
        <f>IF(F84="","",IFERROR(VALUE(MID(F84,LEN(F84)-3,3)),""))</f>
        <v/>
      </c>
      <c r="R84" s="33">
        <f>IF(Q84="","",P84&amp;"|"&amp;Q84)</f>
        <v/>
      </c>
      <c r="S84" s="33">
        <f>IF(Q84="","",IF(P84="À RENSEIGNER","GIC",P84)&amp;"-"&amp;TEXT(Q84,"000"))</f>
        <v/>
      </c>
      <c r="T84" s="33">
        <f>IF(R84="","",IFERROR(INDEX(Cl_nom,MATCH(R84,Cl_cle,0)),"(client introuvable)"))</f>
        <v/>
      </c>
      <c r="U84" s="33">
        <f>IF(R84="","",IFERROR(INDEX(Cl_quartier,MATCH(R84,Cl_cle,0))&amp;"",""))</f>
        <v/>
      </c>
      <c r="V84" s="34">
        <f>IF(C84="","",YEAR(C84-WEEKDAY(C84,2)+4)&amp;"-S"&amp;TEXT(INT((C84-DATE(YEAR(C84-WEEKDAY(C84,2)+4),1,3)+WEEKDAY(DATE(YEAR(C84-WEEKDAY(C84,2)+4),1,3),2)+5)/7),"00"))</f>
        <v/>
      </c>
    </row>
    <row r="85" ht="18" customHeight="1">
      <c r="A85" s="39" t="n">
        <v>80</v>
      </c>
      <c r="B85" s="33">
        <f>IF(C85="","",IF(P85="À RENSEIGNER","GIC",P85)&amp;"-V"&amp;TEXT(A85,"00000"))</f>
        <v/>
      </c>
      <c r="C85" s="32" t="n"/>
      <c r="D85" s="35" t="n"/>
      <c r="E85" s="36" t="n"/>
      <c r="F85" s="36" t="n"/>
      <c r="G85" s="36" t="n"/>
      <c r="H85" s="36" t="n"/>
      <c r="I85" s="36" t="n"/>
      <c r="J85" s="37" t="n"/>
      <c r="K85" s="32" t="n"/>
      <c r="L85" s="36" t="n"/>
      <c r="M85" s="41" t="n"/>
      <c r="N85" s="41" t="n"/>
      <c r="O85" s="36" t="n"/>
      <c r="P85" s="33">
        <f>IF(C85="","",Commercial_Id)</f>
        <v/>
      </c>
      <c r="Q85" s="39">
        <f>IF(F85="","",IFERROR(VALUE(MID(F85,LEN(F85)-3,3)),""))</f>
        <v/>
      </c>
      <c r="R85" s="33">
        <f>IF(Q85="","",P85&amp;"|"&amp;Q85)</f>
        <v/>
      </c>
      <c r="S85" s="33">
        <f>IF(Q85="","",IF(P85="À RENSEIGNER","GIC",P85)&amp;"-"&amp;TEXT(Q85,"000"))</f>
        <v/>
      </c>
      <c r="T85" s="33">
        <f>IF(R85="","",IFERROR(INDEX(Cl_nom,MATCH(R85,Cl_cle,0)),"(client introuvable)"))</f>
        <v/>
      </c>
      <c r="U85" s="33">
        <f>IF(R85="","",IFERROR(INDEX(Cl_quartier,MATCH(R85,Cl_cle,0))&amp;"",""))</f>
        <v/>
      </c>
      <c r="V85" s="34">
        <f>IF(C85="","",YEAR(C85-WEEKDAY(C85,2)+4)&amp;"-S"&amp;TEXT(INT((C85-DATE(YEAR(C85-WEEKDAY(C85,2)+4),1,3)+WEEKDAY(DATE(YEAR(C85-WEEKDAY(C85,2)+4),1,3),2)+5)/7),"00"))</f>
        <v/>
      </c>
    </row>
    <row r="86" ht="18" customHeight="1">
      <c r="A86" s="39" t="n">
        <v>81</v>
      </c>
      <c r="B86" s="33">
        <f>IF(C86="","",IF(P86="À RENSEIGNER","GIC",P86)&amp;"-V"&amp;TEXT(A86,"00000"))</f>
        <v/>
      </c>
      <c r="C86" s="32" t="n"/>
      <c r="D86" s="35" t="n"/>
      <c r="E86" s="36" t="n"/>
      <c r="F86" s="36" t="n"/>
      <c r="G86" s="36" t="n"/>
      <c r="H86" s="36" t="n"/>
      <c r="I86" s="36" t="n"/>
      <c r="J86" s="37" t="n"/>
      <c r="K86" s="32" t="n"/>
      <c r="L86" s="36" t="n"/>
      <c r="M86" s="41" t="n"/>
      <c r="N86" s="41" t="n"/>
      <c r="O86" s="36" t="n"/>
      <c r="P86" s="33">
        <f>IF(C86="","",Commercial_Id)</f>
        <v/>
      </c>
      <c r="Q86" s="39">
        <f>IF(F86="","",IFERROR(VALUE(MID(F86,LEN(F86)-3,3)),""))</f>
        <v/>
      </c>
      <c r="R86" s="33">
        <f>IF(Q86="","",P86&amp;"|"&amp;Q86)</f>
        <v/>
      </c>
      <c r="S86" s="33">
        <f>IF(Q86="","",IF(P86="À RENSEIGNER","GIC",P86)&amp;"-"&amp;TEXT(Q86,"000"))</f>
        <v/>
      </c>
      <c r="T86" s="33">
        <f>IF(R86="","",IFERROR(INDEX(Cl_nom,MATCH(R86,Cl_cle,0)),"(client introuvable)"))</f>
        <v/>
      </c>
      <c r="U86" s="33">
        <f>IF(R86="","",IFERROR(INDEX(Cl_quartier,MATCH(R86,Cl_cle,0))&amp;"",""))</f>
        <v/>
      </c>
      <c r="V86" s="34">
        <f>IF(C86="","",YEAR(C86-WEEKDAY(C86,2)+4)&amp;"-S"&amp;TEXT(INT((C86-DATE(YEAR(C86-WEEKDAY(C86,2)+4),1,3)+WEEKDAY(DATE(YEAR(C86-WEEKDAY(C86,2)+4),1,3),2)+5)/7),"00"))</f>
        <v/>
      </c>
    </row>
    <row r="87" ht="18" customHeight="1">
      <c r="A87" s="39" t="n">
        <v>82</v>
      </c>
      <c r="B87" s="33">
        <f>IF(C87="","",IF(P87="À RENSEIGNER","GIC",P87)&amp;"-V"&amp;TEXT(A87,"00000"))</f>
        <v/>
      </c>
      <c r="C87" s="32" t="n"/>
      <c r="D87" s="35" t="n"/>
      <c r="E87" s="36" t="n"/>
      <c r="F87" s="36" t="n"/>
      <c r="G87" s="36" t="n"/>
      <c r="H87" s="36" t="n"/>
      <c r="I87" s="36" t="n"/>
      <c r="J87" s="37" t="n"/>
      <c r="K87" s="32" t="n"/>
      <c r="L87" s="36" t="n"/>
      <c r="M87" s="41" t="n"/>
      <c r="N87" s="41" t="n"/>
      <c r="O87" s="36" t="n"/>
      <c r="P87" s="33">
        <f>IF(C87="","",Commercial_Id)</f>
        <v/>
      </c>
      <c r="Q87" s="39">
        <f>IF(F87="","",IFERROR(VALUE(MID(F87,LEN(F87)-3,3)),""))</f>
        <v/>
      </c>
      <c r="R87" s="33">
        <f>IF(Q87="","",P87&amp;"|"&amp;Q87)</f>
        <v/>
      </c>
      <c r="S87" s="33">
        <f>IF(Q87="","",IF(P87="À RENSEIGNER","GIC",P87)&amp;"-"&amp;TEXT(Q87,"000"))</f>
        <v/>
      </c>
      <c r="T87" s="33">
        <f>IF(R87="","",IFERROR(INDEX(Cl_nom,MATCH(R87,Cl_cle,0)),"(client introuvable)"))</f>
        <v/>
      </c>
      <c r="U87" s="33">
        <f>IF(R87="","",IFERROR(INDEX(Cl_quartier,MATCH(R87,Cl_cle,0))&amp;"",""))</f>
        <v/>
      </c>
      <c r="V87" s="34">
        <f>IF(C87="","",YEAR(C87-WEEKDAY(C87,2)+4)&amp;"-S"&amp;TEXT(INT((C87-DATE(YEAR(C87-WEEKDAY(C87,2)+4),1,3)+WEEKDAY(DATE(YEAR(C87-WEEKDAY(C87,2)+4),1,3),2)+5)/7),"00"))</f>
        <v/>
      </c>
    </row>
    <row r="88" ht="18" customHeight="1">
      <c r="A88" s="39" t="n">
        <v>83</v>
      </c>
      <c r="B88" s="33">
        <f>IF(C88="","",IF(P88="À RENSEIGNER","GIC",P88)&amp;"-V"&amp;TEXT(A88,"00000"))</f>
        <v/>
      </c>
      <c r="C88" s="32" t="n"/>
      <c r="D88" s="35" t="n"/>
      <c r="E88" s="36" t="n"/>
      <c r="F88" s="36" t="n"/>
      <c r="G88" s="36" t="n"/>
      <c r="H88" s="36" t="n"/>
      <c r="I88" s="36" t="n"/>
      <c r="J88" s="37" t="n"/>
      <c r="K88" s="32" t="n"/>
      <c r="L88" s="36" t="n"/>
      <c r="M88" s="41" t="n"/>
      <c r="N88" s="41" t="n"/>
      <c r="O88" s="36" t="n"/>
      <c r="P88" s="33">
        <f>IF(C88="","",Commercial_Id)</f>
        <v/>
      </c>
      <c r="Q88" s="39">
        <f>IF(F88="","",IFERROR(VALUE(MID(F88,LEN(F88)-3,3)),""))</f>
        <v/>
      </c>
      <c r="R88" s="33">
        <f>IF(Q88="","",P88&amp;"|"&amp;Q88)</f>
        <v/>
      </c>
      <c r="S88" s="33">
        <f>IF(Q88="","",IF(P88="À RENSEIGNER","GIC",P88)&amp;"-"&amp;TEXT(Q88,"000"))</f>
        <v/>
      </c>
      <c r="T88" s="33">
        <f>IF(R88="","",IFERROR(INDEX(Cl_nom,MATCH(R88,Cl_cle,0)),"(client introuvable)"))</f>
        <v/>
      </c>
      <c r="U88" s="33">
        <f>IF(R88="","",IFERROR(INDEX(Cl_quartier,MATCH(R88,Cl_cle,0))&amp;"",""))</f>
        <v/>
      </c>
      <c r="V88" s="34">
        <f>IF(C88="","",YEAR(C88-WEEKDAY(C88,2)+4)&amp;"-S"&amp;TEXT(INT((C88-DATE(YEAR(C88-WEEKDAY(C88,2)+4),1,3)+WEEKDAY(DATE(YEAR(C88-WEEKDAY(C88,2)+4),1,3),2)+5)/7),"00"))</f>
        <v/>
      </c>
    </row>
    <row r="89" ht="18" customHeight="1">
      <c r="A89" s="39" t="n">
        <v>84</v>
      </c>
      <c r="B89" s="33">
        <f>IF(C89="","",IF(P89="À RENSEIGNER","GIC",P89)&amp;"-V"&amp;TEXT(A89,"00000"))</f>
        <v/>
      </c>
      <c r="C89" s="32" t="n"/>
      <c r="D89" s="35" t="n"/>
      <c r="E89" s="36" t="n"/>
      <c r="F89" s="36" t="n"/>
      <c r="G89" s="36" t="n"/>
      <c r="H89" s="36" t="n"/>
      <c r="I89" s="36" t="n"/>
      <c r="J89" s="37" t="n"/>
      <c r="K89" s="32" t="n"/>
      <c r="L89" s="36" t="n"/>
      <c r="M89" s="41" t="n"/>
      <c r="N89" s="41" t="n"/>
      <c r="O89" s="36" t="n"/>
      <c r="P89" s="33">
        <f>IF(C89="","",Commercial_Id)</f>
        <v/>
      </c>
      <c r="Q89" s="39">
        <f>IF(F89="","",IFERROR(VALUE(MID(F89,LEN(F89)-3,3)),""))</f>
        <v/>
      </c>
      <c r="R89" s="33">
        <f>IF(Q89="","",P89&amp;"|"&amp;Q89)</f>
        <v/>
      </c>
      <c r="S89" s="33">
        <f>IF(Q89="","",IF(P89="À RENSEIGNER","GIC",P89)&amp;"-"&amp;TEXT(Q89,"000"))</f>
        <v/>
      </c>
      <c r="T89" s="33">
        <f>IF(R89="","",IFERROR(INDEX(Cl_nom,MATCH(R89,Cl_cle,0)),"(client introuvable)"))</f>
        <v/>
      </c>
      <c r="U89" s="33">
        <f>IF(R89="","",IFERROR(INDEX(Cl_quartier,MATCH(R89,Cl_cle,0))&amp;"",""))</f>
        <v/>
      </c>
      <c r="V89" s="34">
        <f>IF(C89="","",YEAR(C89-WEEKDAY(C89,2)+4)&amp;"-S"&amp;TEXT(INT((C89-DATE(YEAR(C89-WEEKDAY(C89,2)+4),1,3)+WEEKDAY(DATE(YEAR(C89-WEEKDAY(C89,2)+4),1,3),2)+5)/7),"00"))</f>
        <v/>
      </c>
    </row>
    <row r="90" ht="18" customHeight="1">
      <c r="A90" s="39" t="n">
        <v>85</v>
      </c>
      <c r="B90" s="33">
        <f>IF(C90="","",IF(P90="À RENSEIGNER","GIC",P90)&amp;"-V"&amp;TEXT(A90,"00000"))</f>
        <v/>
      </c>
      <c r="C90" s="32" t="n"/>
      <c r="D90" s="35" t="n"/>
      <c r="E90" s="36" t="n"/>
      <c r="F90" s="36" t="n"/>
      <c r="G90" s="36" t="n"/>
      <c r="H90" s="36" t="n"/>
      <c r="I90" s="36" t="n"/>
      <c r="J90" s="37" t="n"/>
      <c r="K90" s="32" t="n"/>
      <c r="L90" s="36" t="n"/>
      <c r="M90" s="41" t="n"/>
      <c r="N90" s="41" t="n"/>
      <c r="O90" s="36" t="n"/>
      <c r="P90" s="33">
        <f>IF(C90="","",Commercial_Id)</f>
        <v/>
      </c>
      <c r="Q90" s="39">
        <f>IF(F90="","",IFERROR(VALUE(MID(F90,LEN(F90)-3,3)),""))</f>
        <v/>
      </c>
      <c r="R90" s="33">
        <f>IF(Q90="","",P90&amp;"|"&amp;Q90)</f>
        <v/>
      </c>
      <c r="S90" s="33">
        <f>IF(Q90="","",IF(P90="À RENSEIGNER","GIC",P90)&amp;"-"&amp;TEXT(Q90,"000"))</f>
        <v/>
      </c>
      <c r="T90" s="33">
        <f>IF(R90="","",IFERROR(INDEX(Cl_nom,MATCH(R90,Cl_cle,0)),"(client introuvable)"))</f>
        <v/>
      </c>
      <c r="U90" s="33">
        <f>IF(R90="","",IFERROR(INDEX(Cl_quartier,MATCH(R90,Cl_cle,0))&amp;"",""))</f>
        <v/>
      </c>
      <c r="V90" s="34">
        <f>IF(C90="","",YEAR(C90-WEEKDAY(C90,2)+4)&amp;"-S"&amp;TEXT(INT((C90-DATE(YEAR(C90-WEEKDAY(C90,2)+4),1,3)+WEEKDAY(DATE(YEAR(C90-WEEKDAY(C90,2)+4),1,3),2)+5)/7),"00"))</f>
        <v/>
      </c>
    </row>
    <row r="91" ht="18" customHeight="1">
      <c r="A91" s="39" t="n">
        <v>86</v>
      </c>
      <c r="B91" s="33">
        <f>IF(C91="","",IF(P91="À RENSEIGNER","GIC",P91)&amp;"-V"&amp;TEXT(A91,"00000"))</f>
        <v/>
      </c>
      <c r="C91" s="32" t="n"/>
      <c r="D91" s="35" t="n"/>
      <c r="E91" s="36" t="n"/>
      <c r="F91" s="36" t="n"/>
      <c r="G91" s="36" t="n"/>
      <c r="H91" s="36" t="n"/>
      <c r="I91" s="36" t="n"/>
      <c r="J91" s="37" t="n"/>
      <c r="K91" s="32" t="n"/>
      <c r="L91" s="36" t="n"/>
      <c r="M91" s="41" t="n"/>
      <c r="N91" s="41" t="n"/>
      <c r="O91" s="36" t="n"/>
      <c r="P91" s="33">
        <f>IF(C91="","",Commercial_Id)</f>
        <v/>
      </c>
      <c r="Q91" s="39">
        <f>IF(F91="","",IFERROR(VALUE(MID(F91,LEN(F91)-3,3)),""))</f>
        <v/>
      </c>
      <c r="R91" s="33">
        <f>IF(Q91="","",P91&amp;"|"&amp;Q91)</f>
        <v/>
      </c>
      <c r="S91" s="33">
        <f>IF(Q91="","",IF(P91="À RENSEIGNER","GIC",P91)&amp;"-"&amp;TEXT(Q91,"000"))</f>
        <v/>
      </c>
      <c r="T91" s="33">
        <f>IF(R91="","",IFERROR(INDEX(Cl_nom,MATCH(R91,Cl_cle,0)),"(client introuvable)"))</f>
        <v/>
      </c>
      <c r="U91" s="33">
        <f>IF(R91="","",IFERROR(INDEX(Cl_quartier,MATCH(R91,Cl_cle,0))&amp;"",""))</f>
        <v/>
      </c>
      <c r="V91" s="34">
        <f>IF(C91="","",YEAR(C91-WEEKDAY(C91,2)+4)&amp;"-S"&amp;TEXT(INT((C91-DATE(YEAR(C91-WEEKDAY(C91,2)+4),1,3)+WEEKDAY(DATE(YEAR(C91-WEEKDAY(C91,2)+4),1,3),2)+5)/7),"00"))</f>
        <v/>
      </c>
    </row>
    <row r="92" ht="18" customHeight="1">
      <c r="A92" s="39" t="n">
        <v>87</v>
      </c>
      <c r="B92" s="33">
        <f>IF(C92="","",IF(P92="À RENSEIGNER","GIC",P92)&amp;"-V"&amp;TEXT(A92,"00000"))</f>
        <v/>
      </c>
      <c r="C92" s="32" t="n"/>
      <c r="D92" s="35" t="n"/>
      <c r="E92" s="36" t="n"/>
      <c r="F92" s="36" t="n"/>
      <c r="G92" s="36" t="n"/>
      <c r="H92" s="36" t="n"/>
      <c r="I92" s="36" t="n"/>
      <c r="J92" s="37" t="n"/>
      <c r="K92" s="32" t="n"/>
      <c r="L92" s="36" t="n"/>
      <c r="M92" s="41" t="n"/>
      <c r="N92" s="41" t="n"/>
      <c r="O92" s="36" t="n"/>
      <c r="P92" s="33">
        <f>IF(C92="","",Commercial_Id)</f>
        <v/>
      </c>
      <c r="Q92" s="39">
        <f>IF(F92="","",IFERROR(VALUE(MID(F92,LEN(F92)-3,3)),""))</f>
        <v/>
      </c>
      <c r="R92" s="33">
        <f>IF(Q92="","",P92&amp;"|"&amp;Q92)</f>
        <v/>
      </c>
      <c r="S92" s="33">
        <f>IF(Q92="","",IF(P92="À RENSEIGNER","GIC",P92)&amp;"-"&amp;TEXT(Q92,"000"))</f>
        <v/>
      </c>
      <c r="T92" s="33">
        <f>IF(R92="","",IFERROR(INDEX(Cl_nom,MATCH(R92,Cl_cle,0)),"(client introuvable)"))</f>
        <v/>
      </c>
      <c r="U92" s="33">
        <f>IF(R92="","",IFERROR(INDEX(Cl_quartier,MATCH(R92,Cl_cle,0))&amp;"",""))</f>
        <v/>
      </c>
      <c r="V92" s="34">
        <f>IF(C92="","",YEAR(C92-WEEKDAY(C92,2)+4)&amp;"-S"&amp;TEXT(INT((C92-DATE(YEAR(C92-WEEKDAY(C92,2)+4),1,3)+WEEKDAY(DATE(YEAR(C92-WEEKDAY(C92,2)+4),1,3),2)+5)/7),"00"))</f>
        <v/>
      </c>
    </row>
    <row r="93" ht="18" customHeight="1">
      <c r="A93" s="39" t="n">
        <v>88</v>
      </c>
      <c r="B93" s="33">
        <f>IF(C93="","",IF(P93="À RENSEIGNER","GIC",P93)&amp;"-V"&amp;TEXT(A93,"00000"))</f>
        <v/>
      </c>
      <c r="C93" s="32" t="n"/>
      <c r="D93" s="35" t="n"/>
      <c r="E93" s="36" t="n"/>
      <c r="F93" s="36" t="n"/>
      <c r="G93" s="36" t="n"/>
      <c r="H93" s="36" t="n"/>
      <c r="I93" s="36" t="n"/>
      <c r="J93" s="37" t="n"/>
      <c r="K93" s="32" t="n"/>
      <c r="L93" s="36" t="n"/>
      <c r="M93" s="41" t="n"/>
      <c r="N93" s="41" t="n"/>
      <c r="O93" s="36" t="n"/>
      <c r="P93" s="33">
        <f>IF(C93="","",Commercial_Id)</f>
        <v/>
      </c>
      <c r="Q93" s="39">
        <f>IF(F93="","",IFERROR(VALUE(MID(F93,LEN(F93)-3,3)),""))</f>
        <v/>
      </c>
      <c r="R93" s="33">
        <f>IF(Q93="","",P93&amp;"|"&amp;Q93)</f>
        <v/>
      </c>
      <c r="S93" s="33">
        <f>IF(Q93="","",IF(P93="À RENSEIGNER","GIC",P93)&amp;"-"&amp;TEXT(Q93,"000"))</f>
        <v/>
      </c>
      <c r="T93" s="33">
        <f>IF(R93="","",IFERROR(INDEX(Cl_nom,MATCH(R93,Cl_cle,0)),"(client introuvable)"))</f>
        <v/>
      </c>
      <c r="U93" s="33">
        <f>IF(R93="","",IFERROR(INDEX(Cl_quartier,MATCH(R93,Cl_cle,0))&amp;"",""))</f>
        <v/>
      </c>
      <c r="V93" s="34">
        <f>IF(C93="","",YEAR(C93-WEEKDAY(C93,2)+4)&amp;"-S"&amp;TEXT(INT((C93-DATE(YEAR(C93-WEEKDAY(C93,2)+4),1,3)+WEEKDAY(DATE(YEAR(C93-WEEKDAY(C93,2)+4),1,3),2)+5)/7),"00"))</f>
        <v/>
      </c>
    </row>
    <row r="94" ht="18" customHeight="1">
      <c r="A94" s="39" t="n">
        <v>89</v>
      </c>
      <c r="B94" s="33">
        <f>IF(C94="","",IF(P94="À RENSEIGNER","GIC",P94)&amp;"-V"&amp;TEXT(A94,"00000"))</f>
        <v/>
      </c>
      <c r="C94" s="32" t="n"/>
      <c r="D94" s="35" t="n"/>
      <c r="E94" s="36" t="n"/>
      <c r="F94" s="36" t="n"/>
      <c r="G94" s="36" t="n"/>
      <c r="H94" s="36" t="n"/>
      <c r="I94" s="36" t="n"/>
      <c r="J94" s="37" t="n"/>
      <c r="K94" s="32" t="n"/>
      <c r="L94" s="36" t="n"/>
      <c r="M94" s="41" t="n"/>
      <c r="N94" s="41" t="n"/>
      <c r="O94" s="36" t="n"/>
      <c r="P94" s="33">
        <f>IF(C94="","",Commercial_Id)</f>
        <v/>
      </c>
      <c r="Q94" s="39">
        <f>IF(F94="","",IFERROR(VALUE(MID(F94,LEN(F94)-3,3)),""))</f>
        <v/>
      </c>
      <c r="R94" s="33">
        <f>IF(Q94="","",P94&amp;"|"&amp;Q94)</f>
        <v/>
      </c>
      <c r="S94" s="33">
        <f>IF(Q94="","",IF(P94="À RENSEIGNER","GIC",P94)&amp;"-"&amp;TEXT(Q94,"000"))</f>
        <v/>
      </c>
      <c r="T94" s="33">
        <f>IF(R94="","",IFERROR(INDEX(Cl_nom,MATCH(R94,Cl_cle,0)),"(client introuvable)"))</f>
        <v/>
      </c>
      <c r="U94" s="33">
        <f>IF(R94="","",IFERROR(INDEX(Cl_quartier,MATCH(R94,Cl_cle,0))&amp;"",""))</f>
        <v/>
      </c>
      <c r="V94" s="34">
        <f>IF(C94="","",YEAR(C94-WEEKDAY(C94,2)+4)&amp;"-S"&amp;TEXT(INT((C94-DATE(YEAR(C94-WEEKDAY(C94,2)+4),1,3)+WEEKDAY(DATE(YEAR(C94-WEEKDAY(C94,2)+4),1,3),2)+5)/7),"00"))</f>
        <v/>
      </c>
    </row>
    <row r="95" ht="18" customHeight="1">
      <c r="A95" s="39" t="n">
        <v>90</v>
      </c>
      <c r="B95" s="33">
        <f>IF(C95="","",IF(P95="À RENSEIGNER","GIC",P95)&amp;"-V"&amp;TEXT(A95,"00000"))</f>
        <v/>
      </c>
      <c r="C95" s="32" t="n"/>
      <c r="D95" s="35" t="n"/>
      <c r="E95" s="36" t="n"/>
      <c r="F95" s="36" t="n"/>
      <c r="G95" s="36" t="n"/>
      <c r="H95" s="36" t="n"/>
      <c r="I95" s="36" t="n"/>
      <c r="J95" s="37" t="n"/>
      <c r="K95" s="32" t="n"/>
      <c r="L95" s="36" t="n"/>
      <c r="M95" s="41" t="n"/>
      <c r="N95" s="41" t="n"/>
      <c r="O95" s="36" t="n"/>
      <c r="P95" s="33">
        <f>IF(C95="","",Commercial_Id)</f>
        <v/>
      </c>
      <c r="Q95" s="39">
        <f>IF(F95="","",IFERROR(VALUE(MID(F95,LEN(F95)-3,3)),""))</f>
        <v/>
      </c>
      <c r="R95" s="33">
        <f>IF(Q95="","",P95&amp;"|"&amp;Q95)</f>
        <v/>
      </c>
      <c r="S95" s="33">
        <f>IF(Q95="","",IF(P95="À RENSEIGNER","GIC",P95)&amp;"-"&amp;TEXT(Q95,"000"))</f>
        <v/>
      </c>
      <c r="T95" s="33">
        <f>IF(R95="","",IFERROR(INDEX(Cl_nom,MATCH(R95,Cl_cle,0)),"(client introuvable)"))</f>
        <v/>
      </c>
      <c r="U95" s="33">
        <f>IF(R95="","",IFERROR(INDEX(Cl_quartier,MATCH(R95,Cl_cle,0))&amp;"",""))</f>
        <v/>
      </c>
      <c r="V95" s="34">
        <f>IF(C95="","",YEAR(C95-WEEKDAY(C95,2)+4)&amp;"-S"&amp;TEXT(INT((C95-DATE(YEAR(C95-WEEKDAY(C95,2)+4),1,3)+WEEKDAY(DATE(YEAR(C95-WEEKDAY(C95,2)+4),1,3),2)+5)/7),"00"))</f>
        <v/>
      </c>
    </row>
    <row r="96" ht="18" customHeight="1">
      <c r="A96" s="39" t="n">
        <v>91</v>
      </c>
      <c r="B96" s="33">
        <f>IF(C96="","",IF(P96="À RENSEIGNER","GIC",P96)&amp;"-V"&amp;TEXT(A96,"00000"))</f>
        <v/>
      </c>
      <c r="C96" s="32" t="n"/>
      <c r="D96" s="35" t="n"/>
      <c r="E96" s="36" t="n"/>
      <c r="F96" s="36" t="n"/>
      <c r="G96" s="36" t="n"/>
      <c r="H96" s="36" t="n"/>
      <c r="I96" s="36" t="n"/>
      <c r="J96" s="37" t="n"/>
      <c r="K96" s="32" t="n"/>
      <c r="L96" s="36" t="n"/>
      <c r="M96" s="41" t="n"/>
      <c r="N96" s="41" t="n"/>
      <c r="O96" s="36" t="n"/>
      <c r="P96" s="33">
        <f>IF(C96="","",Commercial_Id)</f>
        <v/>
      </c>
      <c r="Q96" s="39">
        <f>IF(F96="","",IFERROR(VALUE(MID(F96,LEN(F96)-3,3)),""))</f>
        <v/>
      </c>
      <c r="R96" s="33">
        <f>IF(Q96="","",P96&amp;"|"&amp;Q96)</f>
        <v/>
      </c>
      <c r="S96" s="33">
        <f>IF(Q96="","",IF(P96="À RENSEIGNER","GIC",P96)&amp;"-"&amp;TEXT(Q96,"000"))</f>
        <v/>
      </c>
      <c r="T96" s="33">
        <f>IF(R96="","",IFERROR(INDEX(Cl_nom,MATCH(R96,Cl_cle,0)),"(client introuvable)"))</f>
        <v/>
      </c>
      <c r="U96" s="33">
        <f>IF(R96="","",IFERROR(INDEX(Cl_quartier,MATCH(R96,Cl_cle,0))&amp;"",""))</f>
        <v/>
      </c>
      <c r="V96" s="34">
        <f>IF(C96="","",YEAR(C96-WEEKDAY(C96,2)+4)&amp;"-S"&amp;TEXT(INT((C96-DATE(YEAR(C96-WEEKDAY(C96,2)+4),1,3)+WEEKDAY(DATE(YEAR(C96-WEEKDAY(C96,2)+4),1,3),2)+5)/7),"00"))</f>
        <v/>
      </c>
    </row>
    <row r="97" ht="18" customHeight="1">
      <c r="A97" s="39" t="n">
        <v>92</v>
      </c>
      <c r="B97" s="33">
        <f>IF(C97="","",IF(P97="À RENSEIGNER","GIC",P97)&amp;"-V"&amp;TEXT(A97,"00000"))</f>
        <v/>
      </c>
      <c r="C97" s="32" t="n"/>
      <c r="D97" s="35" t="n"/>
      <c r="E97" s="36" t="n"/>
      <c r="F97" s="36" t="n"/>
      <c r="G97" s="36" t="n"/>
      <c r="H97" s="36" t="n"/>
      <c r="I97" s="36" t="n"/>
      <c r="J97" s="37" t="n"/>
      <c r="K97" s="32" t="n"/>
      <c r="L97" s="36" t="n"/>
      <c r="M97" s="41" t="n"/>
      <c r="N97" s="41" t="n"/>
      <c r="O97" s="36" t="n"/>
      <c r="P97" s="33">
        <f>IF(C97="","",Commercial_Id)</f>
        <v/>
      </c>
      <c r="Q97" s="39">
        <f>IF(F97="","",IFERROR(VALUE(MID(F97,LEN(F97)-3,3)),""))</f>
        <v/>
      </c>
      <c r="R97" s="33">
        <f>IF(Q97="","",P97&amp;"|"&amp;Q97)</f>
        <v/>
      </c>
      <c r="S97" s="33">
        <f>IF(Q97="","",IF(P97="À RENSEIGNER","GIC",P97)&amp;"-"&amp;TEXT(Q97,"000"))</f>
        <v/>
      </c>
      <c r="T97" s="33">
        <f>IF(R97="","",IFERROR(INDEX(Cl_nom,MATCH(R97,Cl_cle,0)),"(client introuvable)"))</f>
        <v/>
      </c>
      <c r="U97" s="33">
        <f>IF(R97="","",IFERROR(INDEX(Cl_quartier,MATCH(R97,Cl_cle,0))&amp;"",""))</f>
        <v/>
      </c>
      <c r="V97" s="34">
        <f>IF(C97="","",YEAR(C97-WEEKDAY(C97,2)+4)&amp;"-S"&amp;TEXT(INT((C97-DATE(YEAR(C97-WEEKDAY(C97,2)+4),1,3)+WEEKDAY(DATE(YEAR(C97-WEEKDAY(C97,2)+4),1,3),2)+5)/7),"00"))</f>
        <v/>
      </c>
    </row>
    <row r="98" ht="18" customHeight="1">
      <c r="A98" s="39" t="n">
        <v>93</v>
      </c>
      <c r="B98" s="33">
        <f>IF(C98="","",IF(P98="À RENSEIGNER","GIC",P98)&amp;"-V"&amp;TEXT(A98,"00000"))</f>
        <v/>
      </c>
      <c r="C98" s="32" t="n"/>
      <c r="D98" s="35" t="n"/>
      <c r="E98" s="36" t="n"/>
      <c r="F98" s="36" t="n"/>
      <c r="G98" s="36" t="n"/>
      <c r="H98" s="36" t="n"/>
      <c r="I98" s="36" t="n"/>
      <c r="J98" s="37" t="n"/>
      <c r="K98" s="32" t="n"/>
      <c r="L98" s="36" t="n"/>
      <c r="M98" s="41" t="n"/>
      <c r="N98" s="41" t="n"/>
      <c r="O98" s="36" t="n"/>
      <c r="P98" s="33">
        <f>IF(C98="","",Commercial_Id)</f>
        <v/>
      </c>
      <c r="Q98" s="39">
        <f>IF(F98="","",IFERROR(VALUE(MID(F98,LEN(F98)-3,3)),""))</f>
        <v/>
      </c>
      <c r="R98" s="33">
        <f>IF(Q98="","",P98&amp;"|"&amp;Q98)</f>
        <v/>
      </c>
      <c r="S98" s="33">
        <f>IF(Q98="","",IF(P98="À RENSEIGNER","GIC",P98)&amp;"-"&amp;TEXT(Q98,"000"))</f>
        <v/>
      </c>
      <c r="T98" s="33">
        <f>IF(R98="","",IFERROR(INDEX(Cl_nom,MATCH(R98,Cl_cle,0)),"(client introuvable)"))</f>
        <v/>
      </c>
      <c r="U98" s="33">
        <f>IF(R98="","",IFERROR(INDEX(Cl_quartier,MATCH(R98,Cl_cle,0))&amp;"",""))</f>
        <v/>
      </c>
      <c r="V98" s="34">
        <f>IF(C98="","",YEAR(C98-WEEKDAY(C98,2)+4)&amp;"-S"&amp;TEXT(INT((C98-DATE(YEAR(C98-WEEKDAY(C98,2)+4),1,3)+WEEKDAY(DATE(YEAR(C98-WEEKDAY(C98,2)+4),1,3),2)+5)/7),"00"))</f>
        <v/>
      </c>
    </row>
    <row r="99" ht="18" customHeight="1">
      <c r="A99" s="39" t="n">
        <v>94</v>
      </c>
      <c r="B99" s="33">
        <f>IF(C99="","",IF(P99="À RENSEIGNER","GIC",P99)&amp;"-V"&amp;TEXT(A99,"00000"))</f>
        <v/>
      </c>
      <c r="C99" s="32" t="n"/>
      <c r="D99" s="35" t="n"/>
      <c r="E99" s="36" t="n"/>
      <c r="F99" s="36" t="n"/>
      <c r="G99" s="36" t="n"/>
      <c r="H99" s="36" t="n"/>
      <c r="I99" s="36" t="n"/>
      <c r="J99" s="37" t="n"/>
      <c r="K99" s="32" t="n"/>
      <c r="L99" s="36" t="n"/>
      <c r="M99" s="41" t="n"/>
      <c r="N99" s="41" t="n"/>
      <c r="O99" s="36" t="n"/>
      <c r="P99" s="33">
        <f>IF(C99="","",Commercial_Id)</f>
        <v/>
      </c>
      <c r="Q99" s="39">
        <f>IF(F99="","",IFERROR(VALUE(MID(F99,LEN(F99)-3,3)),""))</f>
        <v/>
      </c>
      <c r="R99" s="33">
        <f>IF(Q99="","",P99&amp;"|"&amp;Q99)</f>
        <v/>
      </c>
      <c r="S99" s="33">
        <f>IF(Q99="","",IF(P99="À RENSEIGNER","GIC",P99)&amp;"-"&amp;TEXT(Q99,"000"))</f>
        <v/>
      </c>
      <c r="T99" s="33">
        <f>IF(R99="","",IFERROR(INDEX(Cl_nom,MATCH(R99,Cl_cle,0)),"(client introuvable)"))</f>
        <v/>
      </c>
      <c r="U99" s="33">
        <f>IF(R99="","",IFERROR(INDEX(Cl_quartier,MATCH(R99,Cl_cle,0))&amp;"",""))</f>
        <v/>
      </c>
      <c r="V99" s="34">
        <f>IF(C99="","",YEAR(C99-WEEKDAY(C99,2)+4)&amp;"-S"&amp;TEXT(INT((C99-DATE(YEAR(C99-WEEKDAY(C99,2)+4),1,3)+WEEKDAY(DATE(YEAR(C99-WEEKDAY(C99,2)+4),1,3),2)+5)/7),"00"))</f>
        <v/>
      </c>
    </row>
    <row r="100" ht="18" customHeight="1">
      <c r="A100" s="39" t="n">
        <v>95</v>
      </c>
      <c r="B100" s="33">
        <f>IF(C100="","",IF(P100="À RENSEIGNER","GIC",P100)&amp;"-V"&amp;TEXT(A100,"00000"))</f>
        <v/>
      </c>
      <c r="C100" s="32" t="n"/>
      <c r="D100" s="35" t="n"/>
      <c r="E100" s="36" t="n"/>
      <c r="F100" s="36" t="n"/>
      <c r="G100" s="36" t="n"/>
      <c r="H100" s="36" t="n"/>
      <c r="I100" s="36" t="n"/>
      <c r="J100" s="37" t="n"/>
      <c r="K100" s="32" t="n"/>
      <c r="L100" s="36" t="n"/>
      <c r="M100" s="41" t="n"/>
      <c r="N100" s="41" t="n"/>
      <c r="O100" s="36" t="n"/>
      <c r="P100" s="33">
        <f>IF(C100="","",Commercial_Id)</f>
        <v/>
      </c>
      <c r="Q100" s="39">
        <f>IF(F100="","",IFERROR(VALUE(MID(F100,LEN(F100)-3,3)),""))</f>
        <v/>
      </c>
      <c r="R100" s="33">
        <f>IF(Q100="","",P100&amp;"|"&amp;Q100)</f>
        <v/>
      </c>
      <c r="S100" s="33">
        <f>IF(Q100="","",IF(P100="À RENSEIGNER","GIC",P100)&amp;"-"&amp;TEXT(Q100,"000"))</f>
        <v/>
      </c>
      <c r="T100" s="33">
        <f>IF(R100="","",IFERROR(INDEX(Cl_nom,MATCH(R100,Cl_cle,0)),"(client introuvable)"))</f>
        <v/>
      </c>
      <c r="U100" s="33">
        <f>IF(R100="","",IFERROR(INDEX(Cl_quartier,MATCH(R100,Cl_cle,0))&amp;"",""))</f>
        <v/>
      </c>
      <c r="V100" s="34">
        <f>IF(C100="","",YEAR(C100-WEEKDAY(C100,2)+4)&amp;"-S"&amp;TEXT(INT((C100-DATE(YEAR(C100-WEEKDAY(C100,2)+4),1,3)+WEEKDAY(DATE(YEAR(C100-WEEKDAY(C100,2)+4),1,3),2)+5)/7),"00"))</f>
        <v/>
      </c>
    </row>
    <row r="101" ht="18" customHeight="1">
      <c r="A101" s="39" t="n">
        <v>96</v>
      </c>
      <c r="B101" s="33">
        <f>IF(C101="","",IF(P101="À RENSEIGNER","GIC",P101)&amp;"-V"&amp;TEXT(A101,"00000"))</f>
        <v/>
      </c>
      <c r="C101" s="32" t="n"/>
      <c r="D101" s="35" t="n"/>
      <c r="E101" s="36" t="n"/>
      <c r="F101" s="36" t="n"/>
      <c r="G101" s="36" t="n"/>
      <c r="H101" s="36" t="n"/>
      <c r="I101" s="36" t="n"/>
      <c r="J101" s="37" t="n"/>
      <c r="K101" s="32" t="n"/>
      <c r="L101" s="36" t="n"/>
      <c r="M101" s="41" t="n"/>
      <c r="N101" s="41" t="n"/>
      <c r="O101" s="36" t="n"/>
      <c r="P101" s="33">
        <f>IF(C101="","",Commercial_Id)</f>
        <v/>
      </c>
      <c r="Q101" s="39">
        <f>IF(F101="","",IFERROR(VALUE(MID(F101,LEN(F101)-3,3)),""))</f>
        <v/>
      </c>
      <c r="R101" s="33">
        <f>IF(Q101="","",P101&amp;"|"&amp;Q101)</f>
        <v/>
      </c>
      <c r="S101" s="33">
        <f>IF(Q101="","",IF(P101="À RENSEIGNER","GIC",P101)&amp;"-"&amp;TEXT(Q101,"000"))</f>
        <v/>
      </c>
      <c r="T101" s="33">
        <f>IF(R101="","",IFERROR(INDEX(Cl_nom,MATCH(R101,Cl_cle,0)),"(client introuvable)"))</f>
        <v/>
      </c>
      <c r="U101" s="33">
        <f>IF(R101="","",IFERROR(INDEX(Cl_quartier,MATCH(R101,Cl_cle,0))&amp;"",""))</f>
        <v/>
      </c>
      <c r="V101" s="34">
        <f>IF(C101="","",YEAR(C101-WEEKDAY(C101,2)+4)&amp;"-S"&amp;TEXT(INT((C101-DATE(YEAR(C101-WEEKDAY(C101,2)+4),1,3)+WEEKDAY(DATE(YEAR(C101-WEEKDAY(C101,2)+4),1,3),2)+5)/7),"00"))</f>
        <v/>
      </c>
    </row>
    <row r="102" ht="18" customHeight="1">
      <c r="A102" s="39" t="n">
        <v>97</v>
      </c>
      <c r="B102" s="33">
        <f>IF(C102="","",IF(P102="À RENSEIGNER","GIC",P102)&amp;"-V"&amp;TEXT(A102,"00000"))</f>
        <v/>
      </c>
      <c r="C102" s="32" t="n"/>
      <c r="D102" s="35" t="n"/>
      <c r="E102" s="36" t="n"/>
      <c r="F102" s="36" t="n"/>
      <c r="G102" s="36" t="n"/>
      <c r="H102" s="36" t="n"/>
      <c r="I102" s="36" t="n"/>
      <c r="J102" s="37" t="n"/>
      <c r="K102" s="32" t="n"/>
      <c r="L102" s="36" t="n"/>
      <c r="M102" s="41" t="n"/>
      <c r="N102" s="41" t="n"/>
      <c r="O102" s="36" t="n"/>
      <c r="P102" s="33">
        <f>IF(C102="","",Commercial_Id)</f>
        <v/>
      </c>
      <c r="Q102" s="39">
        <f>IF(F102="","",IFERROR(VALUE(MID(F102,LEN(F102)-3,3)),""))</f>
        <v/>
      </c>
      <c r="R102" s="33">
        <f>IF(Q102="","",P102&amp;"|"&amp;Q102)</f>
        <v/>
      </c>
      <c r="S102" s="33">
        <f>IF(Q102="","",IF(P102="À RENSEIGNER","GIC",P102)&amp;"-"&amp;TEXT(Q102,"000"))</f>
        <v/>
      </c>
      <c r="T102" s="33">
        <f>IF(R102="","",IFERROR(INDEX(Cl_nom,MATCH(R102,Cl_cle,0)),"(client introuvable)"))</f>
        <v/>
      </c>
      <c r="U102" s="33">
        <f>IF(R102="","",IFERROR(INDEX(Cl_quartier,MATCH(R102,Cl_cle,0))&amp;"",""))</f>
        <v/>
      </c>
      <c r="V102" s="34">
        <f>IF(C102="","",YEAR(C102-WEEKDAY(C102,2)+4)&amp;"-S"&amp;TEXT(INT((C102-DATE(YEAR(C102-WEEKDAY(C102,2)+4),1,3)+WEEKDAY(DATE(YEAR(C102-WEEKDAY(C102,2)+4),1,3),2)+5)/7),"00"))</f>
        <v/>
      </c>
    </row>
    <row r="103" ht="18" customHeight="1">
      <c r="A103" s="39" t="n">
        <v>98</v>
      </c>
      <c r="B103" s="33">
        <f>IF(C103="","",IF(P103="À RENSEIGNER","GIC",P103)&amp;"-V"&amp;TEXT(A103,"00000"))</f>
        <v/>
      </c>
      <c r="C103" s="32" t="n"/>
      <c r="D103" s="35" t="n"/>
      <c r="E103" s="36" t="n"/>
      <c r="F103" s="36" t="n"/>
      <c r="G103" s="36" t="n"/>
      <c r="H103" s="36" t="n"/>
      <c r="I103" s="36" t="n"/>
      <c r="J103" s="37" t="n"/>
      <c r="K103" s="32" t="n"/>
      <c r="L103" s="36" t="n"/>
      <c r="M103" s="41" t="n"/>
      <c r="N103" s="41" t="n"/>
      <c r="O103" s="36" t="n"/>
      <c r="P103" s="33">
        <f>IF(C103="","",Commercial_Id)</f>
        <v/>
      </c>
      <c r="Q103" s="39">
        <f>IF(F103="","",IFERROR(VALUE(MID(F103,LEN(F103)-3,3)),""))</f>
        <v/>
      </c>
      <c r="R103" s="33">
        <f>IF(Q103="","",P103&amp;"|"&amp;Q103)</f>
        <v/>
      </c>
      <c r="S103" s="33">
        <f>IF(Q103="","",IF(P103="À RENSEIGNER","GIC",P103)&amp;"-"&amp;TEXT(Q103,"000"))</f>
        <v/>
      </c>
      <c r="T103" s="33">
        <f>IF(R103="","",IFERROR(INDEX(Cl_nom,MATCH(R103,Cl_cle,0)),"(client introuvable)"))</f>
        <v/>
      </c>
      <c r="U103" s="33">
        <f>IF(R103="","",IFERROR(INDEX(Cl_quartier,MATCH(R103,Cl_cle,0))&amp;"",""))</f>
        <v/>
      </c>
      <c r="V103" s="34">
        <f>IF(C103="","",YEAR(C103-WEEKDAY(C103,2)+4)&amp;"-S"&amp;TEXT(INT((C103-DATE(YEAR(C103-WEEKDAY(C103,2)+4),1,3)+WEEKDAY(DATE(YEAR(C103-WEEKDAY(C103,2)+4),1,3),2)+5)/7),"00"))</f>
        <v/>
      </c>
    </row>
    <row r="104" ht="18" customHeight="1">
      <c r="A104" s="39" t="n">
        <v>99</v>
      </c>
      <c r="B104" s="33">
        <f>IF(C104="","",IF(P104="À RENSEIGNER","GIC",P104)&amp;"-V"&amp;TEXT(A104,"00000"))</f>
        <v/>
      </c>
      <c r="C104" s="32" t="n"/>
      <c r="D104" s="35" t="n"/>
      <c r="E104" s="36" t="n"/>
      <c r="F104" s="36" t="n"/>
      <c r="G104" s="36" t="n"/>
      <c r="H104" s="36" t="n"/>
      <c r="I104" s="36" t="n"/>
      <c r="J104" s="37" t="n"/>
      <c r="K104" s="32" t="n"/>
      <c r="L104" s="36" t="n"/>
      <c r="M104" s="41" t="n"/>
      <c r="N104" s="41" t="n"/>
      <c r="O104" s="36" t="n"/>
      <c r="P104" s="33">
        <f>IF(C104="","",Commercial_Id)</f>
        <v/>
      </c>
      <c r="Q104" s="39">
        <f>IF(F104="","",IFERROR(VALUE(MID(F104,LEN(F104)-3,3)),""))</f>
        <v/>
      </c>
      <c r="R104" s="33">
        <f>IF(Q104="","",P104&amp;"|"&amp;Q104)</f>
        <v/>
      </c>
      <c r="S104" s="33">
        <f>IF(Q104="","",IF(P104="À RENSEIGNER","GIC",P104)&amp;"-"&amp;TEXT(Q104,"000"))</f>
        <v/>
      </c>
      <c r="T104" s="33">
        <f>IF(R104="","",IFERROR(INDEX(Cl_nom,MATCH(R104,Cl_cle,0)),"(client introuvable)"))</f>
        <v/>
      </c>
      <c r="U104" s="33">
        <f>IF(R104="","",IFERROR(INDEX(Cl_quartier,MATCH(R104,Cl_cle,0))&amp;"",""))</f>
        <v/>
      </c>
      <c r="V104" s="34">
        <f>IF(C104="","",YEAR(C104-WEEKDAY(C104,2)+4)&amp;"-S"&amp;TEXT(INT((C104-DATE(YEAR(C104-WEEKDAY(C104,2)+4),1,3)+WEEKDAY(DATE(YEAR(C104-WEEKDAY(C104,2)+4),1,3),2)+5)/7),"00"))</f>
        <v/>
      </c>
    </row>
    <row r="105" ht="18" customHeight="1">
      <c r="A105" s="39" t="n">
        <v>100</v>
      </c>
      <c r="B105" s="33">
        <f>IF(C105="","",IF(P105="À RENSEIGNER","GIC",P105)&amp;"-V"&amp;TEXT(A105,"00000"))</f>
        <v/>
      </c>
      <c r="C105" s="32" t="n"/>
      <c r="D105" s="35" t="n"/>
      <c r="E105" s="36" t="n"/>
      <c r="F105" s="36" t="n"/>
      <c r="G105" s="36" t="n"/>
      <c r="H105" s="36" t="n"/>
      <c r="I105" s="36" t="n"/>
      <c r="J105" s="37" t="n"/>
      <c r="K105" s="32" t="n"/>
      <c r="L105" s="36" t="n"/>
      <c r="M105" s="41" t="n"/>
      <c r="N105" s="41" t="n"/>
      <c r="O105" s="36" t="n"/>
      <c r="P105" s="33">
        <f>IF(C105="","",Commercial_Id)</f>
        <v/>
      </c>
      <c r="Q105" s="39">
        <f>IF(F105="","",IFERROR(VALUE(MID(F105,LEN(F105)-3,3)),""))</f>
        <v/>
      </c>
      <c r="R105" s="33">
        <f>IF(Q105="","",P105&amp;"|"&amp;Q105)</f>
        <v/>
      </c>
      <c r="S105" s="33">
        <f>IF(Q105="","",IF(P105="À RENSEIGNER","GIC",P105)&amp;"-"&amp;TEXT(Q105,"000"))</f>
        <v/>
      </c>
      <c r="T105" s="33">
        <f>IF(R105="","",IFERROR(INDEX(Cl_nom,MATCH(R105,Cl_cle,0)),"(client introuvable)"))</f>
        <v/>
      </c>
      <c r="U105" s="33">
        <f>IF(R105="","",IFERROR(INDEX(Cl_quartier,MATCH(R105,Cl_cle,0))&amp;"",""))</f>
        <v/>
      </c>
      <c r="V105" s="34">
        <f>IF(C105="","",YEAR(C105-WEEKDAY(C105,2)+4)&amp;"-S"&amp;TEXT(INT((C105-DATE(YEAR(C105-WEEKDAY(C105,2)+4),1,3)+WEEKDAY(DATE(YEAR(C105-WEEKDAY(C105,2)+4),1,3),2)+5)/7),"00"))</f>
        <v/>
      </c>
    </row>
    <row r="106" ht="18" customHeight="1">
      <c r="A106" s="39" t="n">
        <v>101</v>
      </c>
      <c r="B106" s="33">
        <f>IF(C106="","",IF(P106="À RENSEIGNER","GIC",P106)&amp;"-V"&amp;TEXT(A106,"00000"))</f>
        <v/>
      </c>
      <c r="C106" s="32" t="n"/>
      <c r="D106" s="35" t="n"/>
      <c r="E106" s="36" t="n"/>
      <c r="F106" s="36" t="n"/>
      <c r="G106" s="36" t="n"/>
      <c r="H106" s="36" t="n"/>
      <c r="I106" s="36" t="n"/>
      <c r="J106" s="37" t="n"/>
      <c r="K106" s="32" t="n"/>
      <c r="L106" s="36" t="n"/>
      <c r="M106" s="41" t="n"/>
      <c r="N106" s="41" t="n"/>
      <c r="O106" s="36" t="n"/>
      <c r="P106" s="33">
        <f>IF(C106="","",Commercial_Id)</f>
        <v/>
      </c>
      <c r="Q106" s="39">
        <f>IF(F106="","",IFERROR(VALUE(MID(F106,LEN(F106)-3,3)),""))</f>
        <v/>
      </c>
      <c r="R106" s="33">
        <f>IF(Q106="","",P106&amp;"|"&amp;Q106)</f>
        <v/>
      </c>
      <c r="S106" s="33">
        <f>IF(Q106="","",IF(P106="À RENSEIGNER","GIC",P106)&amp;"-"&amp;TEXT(Q106,"000"))</f>
        <v/>
      </c>
      <c r="T106" s="33">
        <f>IF(R106="","",IFERROR(INDEX(Cl_nom,MATCH(R106,Cl_cle,0)),"(client introuvable)"))</f>
        <v/>
      </c>
      <c r="U106" s="33">
        <f>IF(R106="","",IFERROR(INDEX(Cl_quartier,MATCH(R106,Cl_cle,0))&amp;"",""))</f>
        <v/>
      </c>
      <c r="V106" s="34">
        <f>IF(C106="","",YEAR(C106-WEEKDAY(C106,2)+4)&amp;"-S"&amp;TEXT(INT((C106-DATE(YEAR(C106-WEEKDAY(C106,2)+4),1,3)+WEEKDAY(DATE(YEAR(C106-WEEKDAY(C106,2)+4),1,3),2)+5)/7),"00"))</f>
        <v/>
      </c>
    </row>
    <row r="107" ht="18" customHeight="1">
      <c r="A107" s="39" t="n">
        <v>102</v>
      </c>
      <c r="B107" s="33">
        <f>IF(C107="","",IF(P107="À RENSEIGNER","GIC",P107)&amp;"-V"&amp;TEXT(A107,"00000"))</f>
        <v/>
      </c>
      <c r="C107" s="32" t="n"/>
      <c r="D107" s="35" t="n"/>
      <c r="E107" s="36" t="n"/>
      <c r="F107" s="36" t="n"/>
      <c r="G107" s="36" t="n"/>
      <c r="H107" s="36" t="n"/>
      <c r="I107" s="36" t="n"/>
      <c r="J107" s="37" t="n"/>
      <c r="K107" s="32" t="n"/>
      <c r="L107" s="36" t="n"/>
      <c r="M107" s="41" t="n"/>
      <c r="N107" s="41" t="n"/>
      <c r="O107" s="36" t="n"/>
      <c r="P107" s="33">
        <f>IF(C107="","",Commercial_Id)</f>
        <v/>
      </c>
      <c r="Q107" s="39">
        <f>IF(F107="","",IFERROR(VALUE(MID(F107,LEN(F107)-3,3)),""))</f>
        <v/>
      </c>
      <c r="R107" s="33">
        <f>IF(Q107="","",P107&amp;"|"&amp;Q107)</f>
        <v/>
      </c>
      <c r="S107" s="33">
        <f>IF(Q107="","",IF(P107="À RENSEIGNER","GIC",P107)&amp;"-"&amp;TEXT(Q107,"000"))</f>
        <v/>
      </c>
      <c r="T107" s="33">
        <f>IF(R107="","",IFERROR(INDEX(Cl_nom,MATCH(R107,Cl_cle,0)),"(client introuvable)"))</f>
        <v/>
      </c>
      <c r="U107" s="33">
        <f>IF(R107="","",IFERROR(INDEX(Cl_quartier,MATCH(R107,Cl_cle,0))&amp;"",""))</f>
        <v/>
      </c>
      <c r="V107" s="34">
        <f>IF(C107="","",YEAR(C107-WEEKDAY(C107,2)+4)&amp;"-S"&amp;TEXT(INT((C107-DATE(YEAR(C107-WEEKDAY(C107,2)+4),1,3)+WEEKDAY(DATE(YEAR(C107-WEEKDAY(C107,2)+4),1,3),2)+5)/7),"00"))</f>
        <v/>
      </c>
    </row>
    <row r="108" ht="18" customHeight="1">
      <c r="A108" s="39" t="n">
        <v>103</v>
      </c>
      <c r="B108" s="33">
        <f>IF(C108="","",IF(P108="À RENSEIGNER","GIC",P108)&amp;"-V"&amp;TEXT(A108,"00000"))</f>
        <v/>
      </c>
      <c r="C108" s="32" t="n"/>
      <c r="D108" s="35" t="n"/>
      <c r="E108" s="36" t="n"/>
      <c r="F108" s="36" t="n"/>
      <c r="G108" s="36" t="n"/>
      <c r="H108" s="36" t="n"/>
      <c r="I108" s="36" t="n"/>
      <c r="J108" s="37" t="n"/>
      <c r="K108" s="32" t="n"/>
      <c r="L108" s="36" t="n"/>
      <c r="M108" s="41" t="n"/>
      <c r="N108" s="41" t="n"/>
      <c r="O108" s="36" t="n"/>
      <c r="P108" s="33">
        <f>IF(C108="","",Commercial_Id)</f>
        <v/>
      </c>
      <c r="Q108" s="39">
        <f>IF(F108="","",IFERROR(VALUE(MID(F108,LEN(F108)-3,3)),""))</f>
        <v/>
      </c>
      <c r="R108" s="33">
        <f>IF(Q108="","",P108&amp;"|"&amp;Q108)</f>
        <v/>
      </c>
      <c r="S108" s="33">
        <f>IF(Q108="","",IF(P108="À RENSEIGNER","GIC",P108)&amp;"-"&amp;TEXT(Q108,"000"))</f>
        <v/>
      </c>
      <c r="T108" s="33">
        <f>IF(R108="","",IFERROR(INDEX(Cl_nom,MATCH(R108,Cl_cle,0)),"(client introuvable)"))</f>
        <v/>
      </c>
      <c r="U108" s="33">
        <f>IF(R108="","",IFERROR(INDEX(Cl_quartier,MATCH(R108,Cl_cle,0))&amp;"",""))</f>
        <v/>
      </c>
      <c r="V108" s="34">
        <f>IF(C108="","",YEAR(C108-WEEKDAY(C108,2)+4)&amp;"-S"&amp;TEXT(INT((C108-DATE(YEAR(C108-WEEKDAY(C108,2)+4),1,3)+WEEKDAY(DATE(YEAR(C108-WEEKDAY(C108,2)+4),1,3),2)+5)/7),"00"))</f>
        <v/>
      </c>
    </row>
    <row r="109" ht="18" customHeight="1">
      <c r="A109" s="39" t="n">
        <v>104</v>
      </c>
      <c r="B109" s="33">
        <f>IF(C109="","",IF(P109="À RENSEIGNER","GIC",P109)&amp;"-V"&amp;TEXT(A109,"00000"))</f>
        <v/>
      </c>
      <c r="C109" s="32" t="n"/>
      <c r="D109" s="35" t="n"/>
      <c r="E109" s="36" t="n"/>
      <c r="F109" s="36" t="n"/>
      <c r="G109" s="36" t="n"/>
      <c r="H109" s="36" t="n"/>
      <c r="I109" s="36" t="n"/>
      <c r="J109" s="37" t="n"/>
      <c r="K109" s="32" t="n"/>
      <c r="L109" s="36" t="n"/>
      <c r="M109" s="41" t="n"/>
      <c r="N109" s="41" t="n"/>
      <c r="O109" s="36" t="n"/>
      <c r="P109" s="33">
        <f>IF(C109="","",Commercial_Id)</f>
        <v/>
      </c>
      <c r="Q109" s="39">
        <f>IF(F109="","",IFERROR(VALUE(MID(F109,LEN(F109)-3,3)),""))</f>
        <v/>
      </c>
      <c r="R109" s="33">
        <f>IF(Q109="","",P109&amp;"|"&amp;Q109)</f>
        <v/>
      </c>
      <c r="S109" s="33">
        <f>IF(Q109="","",IF(P109="À RENSEIGNER","GIC",P109)&amp;"-"&amp;TEXT(Q109,"000"))</f>
        <v/>
      </c>
      <c r="T109" s="33">
        <f>IF(R109="","",IFERROR(INDEX(Cl_nom,MATCH(R109,Cl_cle,0)),"(client introuvable)"))</f>
        <v/>
      </c>
      <c r="U109" s="33">
        <f>IF(R109="","",IFERROR(INDEX(Cl_quartier,MATCH(R109,Cl_cle,0))&amp;"",""))</f>
        <v/>
      </c>
      <c r="V109" s="34">
        <f>IF(C109="","",YEAR(C109-WEEKDAY(C109,2)+4)&amp;"-S"&amp;TEXT(INT((C109-DATE(YEAR(C109-WEEKDAY(C109,2)+4),1,3)+WEEKDAY(DATE(YEAR(C109-WEEKDAY(C109,2)+4),1,3),2)+5)/7),"00"))</f>
        <v/>
      </c>
    </row>
    <row r="110" ht="18" customHeight="1">
      <c r="A110" s="39" t="n">
        <v>105</v>
      </c>
      <c r="B110" s="33">
        <f>IF(C110="","",IF(P110="À RENSEIGNER","GIC",P110)&amp;"-V"&amp;TEXT(A110,"00000"))</f>
        <v/>
      </c>
      <c r="C110" s="32" t="n"/>
      <c r="D110" s="35" t="n"/>
      <c r="E110" s="36" t="n"/>
      <c r="F110" s="36" t="n"/>
      <c r="G110" s="36" t="n"/>
      <c r="H110" s="36" t="n"/>
      <c r="I110" s="36" t="n"/>
      <c r="J110" s="37" t="n"/>
      <c r="K110" s="32" t="n"/>
      <c r="L110" s="36" t="n"/>
      <c r="M110" s="41" t="n"/>
      <c r="N110" s="41" t="n"/>
      <c r="O110" s="36" t="n"/>
      <c r="P110" s="33">
        <f>IF(C110="","",Commercial_Id)</f>
        <v/>
      </c>
      <c r="Q110" s="39">
        <f>IF(F110="","",IFERROR(VALUE(MID(F110,LEN(F110)-3,3)),""))</f>
        <v/>
      </c>
      <c r="R110" s="33">
        <f>IF(Q110="","",P110&amp;"|"&amp;Q110)</f>
        <v/>
      </c>
      <c r="S110" s="33">
        <f>IF(Q110="","",IF(P110="À RENSEIGNER","GIC",P110)&amp;"-"&amp;TEXT(Q110,"000"))</f>
        <v/>
      </c>
      <c r="T110" s="33">
        <f>IF(R110="","",IFERROR(INDEX(Cl_nom,MATCH(R110,Cl_cle,0)),"(client introuvable)"))</f>
        <v/>
      </c>
      <c r="U110" s="33">
        <f>IF(R110="","",IFERROR(INDEX(Cl_quartier,MATCH(R110,Cl_cle,0))&amp;"",""))</f>
        <v/>
      </c>
      <c r="V110" s="34">
        <f>IF(C110="","",YEAR(C110-WEEKDAY(C110,2)+4)&amp;"-S"&amp;TEXT(INT((C110-DATE(YEAR(C110-WEEKDAY(C110,2)+4),1,3)+WEEKDAY(DATE(YEAR(C110-WEEKDAY(C110,2)+4),1,3),2)+5)/7),"00"))</f>
        <v/>
      </c>
    </row>
    <row r="111" ht="18" customHeight="1">
      <c r="A111" s="39" t="n">
        <v>106</v>
      </c>
      <c r="B111" s="33">
        <f>IF(C111="","",IF(P111="À RENSEIGNER","GIC",P111)&amp;"-V"&amp;TEXT(A111,"00000"))</f>
        <v/>
      </c>
      <c r="C111" s="32" t="n"/>
      <c r="D111" s="35" t="n"/>
      <c r="E111" s="36" t="n"/>
      <c r="F111" s="36" t="n"/>
      <c r="G111" s="36" t="n"/>
      <c r="H111" s="36" t="n"/>
      <c r="I111" s="36" t="n"/>
      <c r="J111" s="37" t="n"/>
      <c r="K111" s="32" t="n"/>
      <c r="L111" s="36" t="n"/>
      <c r="M111" s="41" t="n"/>
      <c r="N111" s="41" t="n"/>
      <c r="O111" s="36" t="n"/>
      <c r="P111" s="33">
        <f>IF(C111="","",Commercial_Id)</f>
        <v/>
      </c>
      <c r="Q111" s="39">
        <f>IF(F111="","",IFERROR(VALUE(MID(F111,LEN(F111)-3,3)),""))</f>
        <v/>
      </c>
      <c r="R111" s="33">
        <f>IF(Q111="","",P111&amp;"|"&amp;Q111)</f>
        <v/>
      </c>
      <c r="S111" s="33">
        <f>IF(Q111="","",IF(P111="À RENSEIGNER","GIC",P111)&amp;"-"&amp;TEXT(Q111,"000"))</f>
        <v/>
      </c>
      <c r="T111" s="33">
        <f>IF(R111="","",IFERROR(INDEX(Cl_nom,MATCH(R111,Cl_cle,0)),"(client introuvable)"))</f>
        <v/>
      </c>
      <c r="U111" s="33">
        <f>IF(R111="","",IFERROR(INDEX(Cl_quartier,MATCH(R111,Cl_cle,0))&amp;"",""))</f>
        <v/>
      </c>
      <c r="V111" s="34">
        <f>IF(C111="","",YEAR(C111-WEEKDAY(C111,2)+4)&amp;"-S"&amp;TEXT(INT((C111-DATE(YEAR(C111-WEEKDAY(C111,2)+4),1,3)+WEEKDAY(DATE(YEAR(C111-WEEKDAY(C111,2)+4),1,3),2)+5)/7),"00"))</f>
        <v/>
      </c>
    </row>
    <row r="112" ht="18" customHeight="1">
      <c r="A112" s="39" t="n">
        <v>107</v>
      </c>
      <c r="B112" s="33">
        <f>IF(C112="","",IF(P112="À RENSEIGNER","GIC",P112)&amp;"-V"&amp;TEXT(A112,"00000"))</f>
        <v/>
      </c>
      <c r="C112" s="32" t="n"/>
      <c r="D112" s="35" t="n"/>
      <c r="E112" s="36" t="n"/>
      <c r="F112" s="36" t="n"/>
      <c r="G112" s="36" t="n"/>
      <c r="H112" s="36" t="n"/>
      <c r="I112" s="36" t="n"/>
      <c r="J112" s="37" t="n"/>
      <c r="K112" s="32" t="n"/>
      <c r="L112" s="36" t="n"/>
      <c r="M112" s="41" t="n"/>
      <c r="N112" s="41" t="n"/>
      <c r="O112" s="36" t="n"/>
      <c r="P112" s="33">
        <f>IF(C112="","",Commercial_Id)</f>
        <v/>
      </c>
      <c r="Q112" s="39">
        <f>IF(F112="","",IFERROR(VALUE(MID(F112,LEN(F112)-3,3)),""))</f>
        <v/>
      </c>
      <c r="R112" s="33">
        <f>IF(Q112="","",P112&amp;"|"&amp;Q112)</f>
        <v/>
      </c>
      <c r="S112" s="33">
        <f>IF(Q112="","",IF(P112="À RENSEIGNER","GIC",P112)&amp;"-"&amp;TEXT(Q112,"000"))</f>
        <v/>
      </c>
      <c r="T112" s="33">
        <f>IF(R112="","",IFERROR(INDEX(Cl_nom,MATCH(R112,Cl_cle,0)),"(client introuvable)"))</f>
        <v/>
      </c>
      <c r="U112" s="33">
        <f>IF(R112="","",IFERROR(INDEX(Cl_quartier,MATCH(R112,Cl_cle,0))&amp;"",""))</f>
        <v/>
      </c>
      <c r="V112" s="34">
        <f>IF(C112="","",YEAR(C112-WEEKDAY(C112,2)+4)&amp;"-S"&amp;TEXT(INT((C112-DATE(YEAR(C112-WEEKDAY(C112,2)+4),1,3)+WEEKDAY(DATE(YEAR(C112-WEEKDAY(C112,2)+4),1,3),2)+5)/7),"00"))</f>
        <v/>
      </c>
    </row>
    <row r="113" ht="18" customHeight="1">
      <c r="A113" s="39" t="n">
        <v>108</v>
      </c>
      <c r="B113" s="33">
        <f>IF(C113="","",IF(P113="À RENSEIGNER","GIC",P113)&amp;"-V"&amp;TEXT(A113,"00000"))</f>
        <v/>
      </c>
      <c r="C113" s="32" t="n"/>
      <c r="D113" s="35" t="n"/>
      <c r="E113" s="36" t="n"/>
      <c r="F113" s="36" t="n"/>
      <c r="G113" s="36" t="n"/>
      <c r="H113" s="36" t="n"/>
      <c r="I113" s="36" t="n"/>
      <c r="J113" s="37" t="n"/>
      <c r="K113" s="32" t="n"/>
      <c r="L113" s="36" t="n"/>
      <c r="M113" s="41" t="n"/>
      <c r="N113" s="41" t="n"/>
      <c r="O113" s="36" t="n"/>
      <c r="P113" s="33">
        <f>IF(C113="","",Commercial_Id)</f>
        <v/>
      </c>
      <c r="Q113" s="39">
        <f>IF(F113="","",IFERROR(VALUE(MID(F113,LEN(F113)-3,3)),""))</f>
        <v/>
      </c>
      <c r="R113" s="33">
        <f>IF(Q113="","",P113&amp;"|"&amp;Q113)</f>
        <v/>
      </c>
      <c r="S113" s="33">
        <f>IF(Q113="","",IF(P113="À RENSEIGNER","GIC",P113)&amp;"-"&amp;TEXT(Q113,"000"))</f>
        <v/>
      </c>
      <c r="T113" s="33">
        <f>IF(R113="","",IFERROR(INDEX(Cl_nom,MATCH(R113,Cl_cle,0)),"(client introuvable)"))</f>
        <v/>
      </c>
      <c r="U113" s="33">
        <f>IF(R113="","",IFERROR(INDEX(Cl_quartier,MATCH(R113,Cl_cle,0))&amp;"",""))</f>
        <v/>
      </c>
      <c r="V113" s="34">
        <f>IF(C113="","",YEAR(C113-WEEKDAY(C113,2)+4)&amp;"-S"&amp;TEXT(INT((C113-DATE(YEAR(C113-WEEKDAY(C113,2)+4),1,3)+WEEKDAY(DATE(YEAR(C113-WEEKDAY(C113,2)+4),1,3),2)+5)/7),"00"))</f>
        <v/>
      </c>
    </row>
    <row r="114" ht="18" customHeight="1">
      <c r="A114" s="39" t="n">
        <v>109</v>
      </c>
      <c r="B114" s="33">
        <f>IF(C114="","",IF(P114="À RENSEIGNER","GIC",P114)&amp;"-V"&amp;TEXT(A114,"00000"))</f>
        <v/>
      </c>
      <c r="C114" s="32" t="n"/>
      <c r="D114" s="35" t="n"/>
      <c r="E114" s="36" t="n"/>
      <c r="F114" s="36" t="n"/>
      <c r="G114" s="36" t="n"/>
      <c r="H114" s="36" t="n"/>
      <c r="I114" s="36" t="n"/>
      <c r="J114" s="37" t="n"/>
      <c r="K114" s="32" t="n"/>
      <c r="L114" s="36" t="n"/>
      <c r="M114" s="41" t="n"/>
      <c r="N114" s="41" t="n"/>
      <c r="O114" s="36" t="n"/>
      <c r="P114" s="33">
        <f>IF(C114="","",Commercial_Id)</f>
        <v/>
      </c>
      <c r="Q114" s="39">
        <f>IF(F114="","",IFERROR(VALUE(MID(F114,LEN(F114)-3,3)),""))</f>
        <v/>
      </c>
      <c r="R114" s="33">
        <f>IF(Q114="","",P114&amp;"|"&amp;Q114)</f>
        <v/>
      </c>
      <c r="S114" s="33">
        <f>IF(Q114="","",IF(P114="À RENSEIGNER","GIC",P114)&amp;"-"&amp;TEXT(Q114,"000"))</f>
        <v/>
      </c>
      <c r="T114" s="33">
        <f>IF(R114="","",IFERROR(INDEX(Cl_nom,MATCH(R114,Cl_cle,0)),"(client introuvable)"))</f>
        <v/>
      </c>
      <c r="U114" s="33">
        <f>IF(R114="","",IFERROR(INDEX(Cl_quartier,MATCH(R114,Cl_cle,0))&amp;"",""))</f>
        <v/>
      </c>
      <c r="V114" s="34">
        <f>IF(C114="","",YEAR(C114-WEEKDAY(C114,2)+4)&amp;"-S"&amp;TEXT(INT((C114-DATE(YEAR(C114-WEEKDAY(C114,2)+4),1,3)+WEEKDAY(DATE(YEAR(C114-WEEKDAY(C114,2)+4),1,3),2)+5)/7),"00"))</f>
        <v/>
      </c>
    </row>
    <row r="115" ht="18" customHeight="1">
      <c r="A115" s="39" t="n">
        <v>110</v>
      </c>
      <c r="B115" s="33">
        <f>IF(C115="","",IF(P115="À RENSEIGNER","GIC",P115)&amp;"-V"&amp;TEXT(A115,"00000"))</f>
        <v/>
      </c>
      <c r="C115" s="32" t="n"/>
      <c r="D115" s="35" t="n"/>
      <c r="E115" s="36" t="n"/>
      <c r="F115" s="36" t="n"/>
      <c r="G115" s="36" t="n"/>
      <c r="H115" s="36" t="n"/>
      <c r="I115" s="36" t="n"/>
      <c r="J115" s="37" t="n"/>
      <c r="K115" s="32" t="n"/>
      <c r="L115" s="36" t="n"/>
      <c r="M115" s="41" t="n"/>
      <c r="N115" s="41" t="n"/>
      <c r="O115" s="36" t="n"/>
      <c r="P115" s="33">
        <f>IF(C115="","",Commercial_Id)</f>
        <v/>
      </c>
      <c r="Q115" s="39">
        <f>IF(F115="","",IFERROR(VALUE(MID(F115,LEN(F115)-3,3)),""))</f>
        <v/>
      </c>
      <c r="R115" s="33">
        <f>IF(Q115="","",P115&amp;"|"&amp;Q115)</f>
        <v/>
      </c>
      <c r="S115" s="33">
        <f>IF(Q115="","",IF(P115="À RENSEIGNER","GIC",P115)&amp;"-"&amp;TEXT(Q115,"000"))</f>
        <v/>
      </c>
      <c r="T115" s="33">
        <f>IF(R115="","",IFERROR(INDEX(Cl_nom,MATCH(R115,Cl_cle,0)),"(client introuvable)"))</f>
        <v/>
      </c>
      <c r="U115" s="33">
        <f>IF(R115="","",IFERROR(INDEX(Cl_quartier,MATCH(R115,Cl_cle,0))&amp;"",""))</f>
        <v/>
      </c>
      <c r="V115" s="34">
        <f>IF(C115="","",YEAR(C115-WEEKDAY(C115,2)+4)&amp;"-S"&amp;TEXT(INT((C115-DATE(YEAR(C115-WEEKDAY(C115,2)+4),1,3)+WEEKDAY(DATE(YEAR(C115-WEEKDAY(C115,2)+4),1,3),2)+5)/7),"00"))</f>
        <v/>
      </c>
    </row>
    <row r="116" ht="18" customHeight="1">
      <c r="A116" s="39" t="n">
        <v>111</v>
      </c>
      <c r="B116" s="33">
        <f>IF(C116="","",IF(P116="À RENSEIGNER","GIC",P116)&amp;"-V"&amp;TEXT(A116,"00000"))</f>
        <v/>
      </c>
      <c r="C116" s="32" t="n"/>
      <c r="D116" s="35" t="n"/>
      <c r="E116" s="36" t="n"/>
      <c r="F116" s="36" t="n"/>
      <c r="G116" s="36" t="n"/>
      <c r="H116" s="36" t="n"/>
      <c r="I116" s="36" t="n"/>
      <c r="J116" s="37" t="n"/>
      <c r="K116" s="32" t="n"/>
      <c r="L116" s="36" t="n"/>
      <c r="M116" s="41" t="n"/>
      <c r="N116" s="41" t="n"/>
      <c r="O116" s="36" t="n"/>
      <c r="P116" s="33">
        <f>IF(C116="","",Commercial_Id)</f>
        <v/>
      </c>
      <c r="Q116" s="39">
        <f>IF(F116="","",IFERROR(VALUE(MID(F116,LEN(F116)-3,3)),""))</f>
        <v/>
      </c>
      <c r="R116" s="33">
        <f>IF(Q116="","",P116&amp;"|"&amp;Q116)</f>
        <v/>
      </c>
      <c r="S116" s="33">
        <f>IF(Q116="","",IF(P116="À RENSEIGNER","GIC",P116)&amp;"-"&amp;TEXT(Q116,"000"))</f>
        <v/>
      </c>
      <c r="T116" s="33">
        <f>IF(R116="","",IFERROR(INDEX(Cl_nom,MATCH(R116,Cl_cle,0)),"(client introuvable)"))</f>
        <v/>
      </c>
      <c r="U116" s="33">
        <f>IF(R116="","",IFERROR(INDEX(Cl_quartier,MATCH(R116,Cl_cle,0))&amp;"",""))</f>
        <v/>
      </c>
      <c r="V116" s="34">
        <f>IF(C116="","",YEAR(C116-WEEKDAY(C116,2)+4)&amp;"-S"&amp;TEXT(INT((C116-DATE(YEAR(C116-WEEKDAY(C116,2)+4),1,3)+WEEKDAY(DATE(YEAR(C116-WEEKDAY(C116,2)+4),1,3),2)+5)/7),"00"))</f>
        <v/>
      </c>
    </row>
    <row r="117" ht="18" customHeight="1">
      <c r="A117" s="39" t="n">
        <v>112</v>
      </c>
      <c r="B117" s="33">
        <f>IF(C117="","",IF(P117="À RENSEIGNER","GIC",P117)&amp;"-V"&amp;TEXT(A117,"00000"))</f>
        <v/>
      </c>
      <c r="C117" s="32" t="n"/>
      <c r="D117" s="35" t="n"/>
      <c r="E117" s="36" t="n"/>
      <c r="F117" s="36" t="n"/>
      <c r="G117" s="36" t="n"/>
      <c r="H117" s="36" t="n"/>
      <c r="I117" s="36" t="n"/>
      <c r="J117" s="37" t="n"/>
      <c r="K117" s="32" t="n"/>
      <c r="L117" s="36" t="n"/>
      <c r="M117" s="41" t="n"/>
      <c r="N117" s="41" t="n"/>
      <c r="O117" s="36" t="n"/>
      <c r="P117" s="33">
        <f>IF(C117="","",Commercial_Id)</f>
        <v/>
      </c>
      <c r="Q117" s="39">
        <f>IF(F117="","",IFERROR(VALUE(MID(F117,LEN(F117)-3,3)),""))</f>
        <v/>
      </c>
      <c r="R117" s="33">
        <f>IF(Q117="","",P117&amp;"|"&amp;Q117)</f>
        <v/>
      </c>
      <c r="S117" s="33">
        <f>IF(Q117="","",IF(P117="À RENSEIGNER","GIC",P117)&amp;"-"&amp;TEXT(Q117,"000"))</f>
        <v/>
      </c>
      <c r="T117" s="33">
        <f>IF(R117="","",IFERROR(INDEX(Cl_nom,MATCH(R117,Cl_cle,0)),"(client introuvable)"))</f>
        <v/>
      </c>
      <c r="U117" s="33">
        <f>IF(R117="","",IFERROR(INDEX(Cl_quartier,MATCH(R117,Cl_cle,0))&amp;"",""))</f>
        <v/>
      </c>
      <c r="V117" s="34">
        <f>IF(C117="","",YEAR(C117-WEEKDAY(C117,2)+4)&amp;"-S"&amp;TEXT(INT((C117-DATE(YEAR(C117-WEEKDAY(C117,2)+4),1,3)+WEEKDAY(DATE(YEAR(C117-WEEKDAY(C117,2)+4),1,3),2)+5)/7),"00"))</f>
        <v/>
      </c>
    </row>
    <row r="118" ht="18" customHeight="1">
      <c r="A118" s="39" t="n">
        <v>113</v>
      </c>
      <c r="B118" s="33">
        <f>IF(C118="","",IF(P118="À RENSEIGNER","GIC",P118)&amp;"-V"&amp;TEXT(A118,"00000"))</f>
        <v/>
      </c>
      <c r="C118" s="32" t="n"/>
      <c r="D118" s="35" t="n"/>
      <c r="E118" s="36" t="n"/>
      <c r="F118" s="36" t="n"/>
      <c r="G118" s="36" t="n"/>
      <c r="H118" s="36" t="n"/>
      <c r="I118" s="36" t="n"/>
      <c r="J118" s="37" t="n"/>
      <c r="K118" s="32" t="n"/>
      <c r="L118" s="36" t="n"/>
      <c r="M118" s="41" t="n"/>
      <c r="N118" s="41" t="n"/>
      <c r="O118" s="36" t="n"/>
      <c r="P118" s="33">
        <f>IF(C118="","",Commercial_Id)</f>
        <v/>
      </c>
      <c r="Q118" s="39">
        <f>IF(F118="","",IFERROR(VALUE(MID(F118,LEN(F118)-3,3)),""))</f>
        <v/>
      </c>
      <c r="R118" s="33">
        <f>IF(Q118="","",P118&amp;"|"&amp;Q118)</f>
        <v/>
      </c>
      <c r="S118" s="33">
        <f>IF(Q118="","",IF(P118="À RENSEIGNER","GIC",P118)&amp;"-"&amp;TEXT(Q118,"000"))</f>
        <v/>
      </c>
      <c r="T118" s="33">
        <f>IF(R118="","",IFERROR(INDEX(Cl_nom,MATCH(R118,Cl_cle,0)),"(client introuvable)"))</f>
        <v/>
      </c>
      <c r="U118" s="33">
        <f>IF(R118="","",IFERROR(INDEX(Cl_quartier,MATCH(R118,Cl_cle,0))&amp;"",""))</f>
        <v/>
      </c>
      <c r="V118" s="34">
        <f>IF(C118="","",YEAR(C118-WEEKDAY(C118,2)+4)&amp;"-S"&amp;TEXT(INT((C118-DATE(YEAR(C118-WEEKDAY(C118,2)+4),1,3)+WEEKDAY(DATE(YEAR(C118-WEEKDAY(C118,2)+4),1,3),2)+5)/7),"00"))</f>
        <v/>
      </c>
    </row>
    <row r="119" ht="18" customHeight="1">
      <c r="A119" s="39" t="n">
        <v>114</v>
      </c>
      <c r="B119" s="33">
        <f>IF(C119="","",IF(P119="À RENSEIGNER","GIC",P119)&amp;"-V"&amp;TEXT(A119,"00000"))</f>
        <v/>
      </c>
      <c r="C119" s="32" t="n"/>
      <c r="D119" s="35" t="n"/>
      <c r="E119" s="36" t="n"/>
      <c r="F119" s="36" t="n"/>
      <c r="G119" s="36" t="n"/>
      <c r="H119" s="36" t="n"/>
      <c r="I119" s="36" t="n"/>
      <c r="J119" s="37" t="n"/>
      <c r="K119" s="32" t="n"/>
      <c r="L119" s="36" t="n"/>
      <c r="M119" s="41" t="n"/>
      <c r="N119" s="41" t="n"/>
      <c r="O119" s="36" t="n"/>
      <c r="P119" s="33">
        <f>IF(C119="","",Commercial_Id)</f>
        <v/>
      </c>
      <c r="Q119" s="39">
        <f>IF(F119="","",IFERROR(VALUE(MID(F119,LEN(F119)-3,3)),""))</f>
        <v/>
      </c>
      <c r="R119" s="33">
        <f>IF(Q119="","",P119&amp;"|"&amp;Q119)</f>
        <v/>
      </c>
      <c r="S119" s="33">
        <f>IF(Q119="","",IF(P119="À RENSEIGNER","GIC",P119)&amp;"-"&amp;TEXT(Q119,"000"))</f>
        <v/>
      </c>
      <c r="T119" s="33">
        <f>IF(R119="","",IFERROR(INDEX(Cl_nom,MATCH(R119,Cl_cle,0)),"(client introuvable)"))</f>
        <v/>
      </c>
      <c r="U119" s="33">
        <f>IF(R119="","",IFERROR(INDEX(Cl_quartier,MATCH(R119,Cl_cle,0))&amp;"",""))</f>
        <v/>
      </c>
      <c r="V119" s="34">
        <f>IF(C119="","",YEAR(C119-WEEKDAY(C119,2)+4)&amp;"-S"&amp;TEXT(INT((C119-DATE(YEAR(C119-WEEKDAY(C119,2)+4),1,3)+WEEKDAY(DATE(YEAR(C119-WEEKDAY(C119,2)+4),1,3),2)+5)/7),"00"))</f>
        <v/>
      </c>
    </row>
    <row r="120" ht="18" customHeight="1">
      <c r="A120" s="39" t="n">
        <v>115</v>
      </c>
      <c r="B120" s="33">
        <f>IF(C120="","",IF(P120="À RENSEIGNER","GIC",P120)&amp;"-V"&amp;TEXT(A120,"00000"))</f>
        <v/>
      </c>
      <c r="C120" s="32" t="n"/>
      <c r="D120" s="35" t="n"/>
      <c r="E120" s="36" t="n"/>
      <c r="F120" s="36" t="n"/>
      <c r="G120" s="36" t="n"/>
      <c r="H120" s="36" t="n"/>
      <c r="I120" s="36" t="n"/>
      <c r="J120" s="37" t="n"/>
      <c r="K120" s="32" t="n"/>
      <c r="L120" s="36" t="n"/>
      <c r="M120" s="41" t="n"/>
      <c r="N120" s="41" t="n"/>
      <c r="O120" s="36" t="n"/>
      <c r="P120" s="33">
        <f>IF(C120="","",Commercial_Id)</f>
        <v/>
      </c>
      <c r="Q120" s="39">
        <f>IF(F120="","",IFERROR(VALUE(MID(F120,LEN(F120)-3,3)),""))</f>
        <v/>
      </c>
      <c r="R120" s="33">
        <f>IF(Q120="","",P120&amp;"|"&amp;Q120)</f>
        <v/>
      </c>
      <c r="S120" s="33">
        <f>IF(Q120="","",IF(P120="À RENSEIGNER","GIC",P120)&amp;"-"&amp;TEXT(Q120,"000"))</f>
        <v/>
      </c>
      <c r="T120" s="33">
        <f>IF(R120="","",IFERROR(INDEX(Cl_nom,MATCH(R120,Cl_cle,0)),"(client introuvable)"))</f>
        <v/>
      </c>
      <c r="U120" s="33">
        <f>IF(R120="","",IFERROR(INDEX(Cl_quartier,MATCH(R120,Cl_cle,0))&amp;"",""))</f>
        <v/>
      </c>
      <c r="V120" s="34">
        <f>IF(C120="","",YEAR(C120-WEEKDAY(C120,2)+4)&amp;"-S"&amp;TEXT(INT((C120-DATE(YEAR(C120-WEEKDAY(C120,2)+4),1,3)+WEEKDAY(DATE(YEAR(C120-WEEKDAY(C120,2)+4),1,3),2)+5)/7),"00"))</f>
        <v/>
      </c>
    </row>
    <row r="121" ht="18" customHeight="1">
      <c r="A121" s="39" t="n">
        <v>116</v>
      </c>
      <c r="B121" s="33">
        <f>IF(C121="","",IF(P121="À RENSEIGNER","GIC",P121)&amp;"-V"&amp;TEXT(A121,"00000"))</f>
        <v/>
      </c>
      <c r="C121" s="32" t="n"/>
      <c r="D121" s="35" t="n"/>
      <c r="E121" s="36" t="n"/>
      <c r="F121" s="36" t="n"/>
      <c r="G121" s="36" t="n"/>
      <c r="H121" s="36" t="n"/>
      <c r="I121" s="36" t="n"/>
      <c r="J121" s="37" t="n"/>
      <c r="K121" s="32" t="n"/>
      <c r="L121" s="36" t="n"/>
      <c r="M121" s="41" t="n"/>
      <c r="N121" s="41" t="n"/>
      <c r="O121" s="36" t="n"/>
      <c r="P121" s="33">
        <f>IF(C121="","",Commercial_Id)</f>
        <v/>
      </c>
      <c r="Q121" s="39">
        <f>IF(F121="","",IFERROR(VALUE(MID(F121,LEN(F121)-3,3)),""))</f>
        <v/>
      </c>
      <c r="R121" s="33">
        <f>IF(Q121="","",P121&amp;"|"&amp;Q121)</f>
        <v/>
      </c>
      <c r="S121" s="33">
        <f>IF(Q121="","",IF(P121="À RENSEIGNER","GIC",P121)&amp;"-"&amp;TEXT(Q121,"000"))</f>
        <v/>
      </c>
      <c r="T121" s="33">
        <f>IF(R121="","",IFERROR(INDEX(Cl_nom,MATCH(R121,Cl_cle,0)),"(client introuvable)"))</f>
        <v/>
      </c>
      <c r="U121" s="33">
        <f>IF(R121="","",IFERROR(INDEX(Cl_quartier,MATCH(R121,Cl_cle,0))&amp;"",""))</f>
        <v/>
      </c>
      <c r="V121" s="34">
        <f>IF(C121="","",YEAR(C121-WEEKDAY(C121,2)+4)&amp;"-S"&amp;TEXT(INT((C121-DATE(YEAR(C121-WEEKDAY(C121,2)+4),1,3)+WEEKDAY(DATE(YEAR(C121-WEEKDAY(C121,2)+4),1,3),2)+5)/7),"00"))</f>
        <v/>
      </c>
    </row>
    <row r="122" ht="18" customHeight="1">
      <c r="A122" s="39" t="n">
        <v>117</v>
      </c>
      <c r="B122" s="33">
        <f>IF(C122="","",IF(P122="À RENSEIGNER","GIC",P122)&amp;"-V"&amp;TEXT(A122,"00000"))</f>
        <v/>
      </c>
      <c r="C122" s="32" t="n"/>
      <c r="D122" s="35" t="n"/>
      <c r="E122" s="36" t="n"/>
      <c r="F122" s="36" t="n"/>
      <c r="G122" s="36" t="n"/>
      <c r="H122" s="36" t="n"/>
      <c r="I122" s="36" t="n"/>
      <c r="J122" s="37" t="n"/>
      <c r="K122" s="32" t="n"/>
      <c r="L122" s="36" t="n"/>
      <c r="M122" s="41" t="n"/>
      <c r="N122" s="41" t="n"/>
      <c r="O122" s="36" t="n"/>
      <c r="P122" s="33">
        <f>IF(C122="","",Commercial_Id)</f>
        <v/>
      </c>
      <c r="Q122" s="39">
        <f>IF(F122="","",IFERROR(VALUE(MID(F122,LEN(F122)-3,3)),""))</f>
        <v/>
      </c>
      <c r="R122" s="33">
        <f>IF(Q122="","",P122&amp;"|"&amp;Q122)</f>
        <v/>
      </c>
      <c r="S122" s="33">
        <f>IF(Q122="","",IF(P122="À RENSEIGNER","GIC",P122)&amp;"-"&amp;TEXT(Q122,"000"))</f>
        <v/>
      </c>
      <c r="T122" s="33">
        <f>IF(R122="","",IFERROR(INDEX(Cl_nom,MATCH(R122,Cl_cle,0)),"(client introuvable)"))</f>
        <v/>
      </c>
      <c r="U122" s="33">
        <f>IF(R122="","",IFERROR(INDEX(Cl_quartier,MATCH(R122,Cl_cle,0))&amp;"",""))</f>
        <v/>
      </c>
      <c r="V122" s="34">
        <f>IF(C122="","",YEAR(C122-WEEKDAY(C122,2)+4)&amp;"-S"&amp;TEXT(INT((C122-DATE(YEAR(C122-WEEKDAY(C122,2)+4),1,3)+WEEKDAY(DATE(YEAR(C122-WEEKDAY(C122,2)+4),1,3),2)+5)/7),"00"))</f>
        <v/>
      </c>
    </row>
    <row r="123" ht="18" customHeight="1">
      <c r="A123" s="39" t="n">
        <v>118</v>
      </c>
      <c r="B123" s="33">
        <f>IF(C123="","",IF(P123="À RENSEIGNER","GIC",P123)&amp;"-V"&amp;TEXT(A123,"00000"))</f>
        <v/>
      </c>
      <c r="C123" s="32" t="n"/>
      <c r="D123" s="35" t="n"/>
      <c r="E123" s="36" t="n"/>
      <c r="F123" s="36" t="n"/>
      <c r="G123" s="36" t="n"/>
      <c r="H123" s="36" t="n"/>
      <c r="I123" s="36" t="n"/>
      <c r="J123" s="37" t="n"/>
      <c r="K123" s="32" t="n"/>
      <c r="L123" s="36" t="n"/>
      <c r="M123" s="41" t="n"/>
      <c r="N123" s="41" t="n"/>
      <c r="O123" s="36" t="n"/>
      <c r="P123" s="33">
        <f>IF(C123="","",Commercial_Id)</f>
        <v/>
      </c>
      <c r="Q123" s="39">
        <f>IF(F123="","",IFERROR(VALUE(MID(F123,LEN(F123)-3,3)),""))</f>
        <v/>
      </c>
      <c r="R123" s="33">
        <f>IF(Q123="","",P123&amp;"|"&amp;Q123)</f>
        <v/>
      </c>
      <c r="S123" s="33">
        <f>IF(Q123="","",IF(P123="À RENSEIGNER","GIC",P123)&amp;"-"&amp;TEXT(Q123,"000"))</f>
        <v/>
      </c>
      <c r="T123" s="33">
        <f>IF(R123="","",IFERROR(INDEX(Cl_nom,MATCH(R123,Cl_cle,0)),"(client introuvable)"))</f>
        <v/>
      </c>
      <c r="U123" s="33">
        <f>IF(R123="","",IFERROR(INDEX(Cl_quartier,MATCH(R123,Cl_cle,0))&amp;"",""))</f>
        <v/>
      </c>
      <c r="V123" s="34">
        <f>IF(C123="","",YEAR(C123-WEEKDAY(C123,2)+4)&amp;"-S"&amp;TEXT(INT((C123-DATE(YEAR(C123-WEEKDAY(C123,2)+4),1,3)+WEEKDAY(DATE(YEAR(C123-WEEKDAY(C123,2)+4),1,3),2)+5)/7),"00"))</f>
        <v/>
      </c>
    </row>
    <row r="124" ht="18" customHeight="1">
      <c r="A124" s="39" t="n">
        <v>119</v>
      </c>
      <c r="B124" s="33">
        <f>IF(C124="","",IF(P124="À RENSEIGNER","GIC",P124)&amp;"-V"&amp;TEXT(A124,"00000"))</f>
        <v/>
      </c>
      <c r="C124" s="32" t="n"/>
      <c r="D124" s="35" t="n"/>
      <c r="E124" s="36" t="n"/>
      <c r="F124" s="36" t="n"/>
      <c r="G124" s="36" t="n"/>
      <c r="H124" s="36" t="n"/>
      <c r="I124" s="36" t="n"/>
      <c r="J124" s="37" t="n"/>
      <c r="K124" s="32" t="n"/>
      <c r="L124" s="36" t="n"/>
      <c r="M124" s="41" t="n"/>
      <c r="N124" s="41" t="n"/>
      <c r="O124" s="36" t="n"/>
      <c r="P124" s="33">
        <f>IF(C124="","",Commercial_Id)</f>
        <v/>
      </c>
      <c r="Q124" s="39">
        <f>IF(F124="","",IFERROR(VALUE(MID(F124,LEN(F124)-3,3)),""))</f>
        <v/>
      </c>
      <c r="R124" s="33">
        <f>IF(Q124="","",P124&amp;"|"&amp;Q124)</f>
        <v/>
      </c>
      <c r="S124" s="33">
        <f>IF(Q124="","",IF(P124="À RENSEIGNER","GIC",P124)&amp;"-"&amp;TEXT(Q124,"000"))</f>
        <v/>
      </c>
      <c r="T124" s="33">
        <f>IF(R124="","",IFERROR(INDEX(Cl_nom,MATCH(R124,Cl_cle,0)),"(client introuvable)"))</f>
        <v/>
      </c>
      <c r="U124" s="33">
        <f>IF(R124="","",IFERROR(INDEX(Cl_quartier,MATCH(R124,Cl_cle,0))&amp;"",""))</f>
        <v/>
      </c>
      <c r="V124" s="34">
        <f>IF(C124="","",YEAR(C124-WEEKDAY(C124,2)+4)&amp;"-S"&amp;TEXT(INT((C124-DATE(YEAR(C124-WEEKDAY(C124,2)+4),1,3)+WEEKDAY(DATE(YEAR(C124-WEEKDAY(C124,2)+4),1,3),2)+5)/7),"00"))</f>
        <v/>
      </c>
    </row>
    <row r="125" ht="18" customHeight="1">
      <c r="A125" s="39" t="n">
        <v>120</v>
      </c>
      <c r="B125" s="33">
        <f>IF(C125="","",IF(P125="À RENSEIGNER","GIC",P125)&amp;"-V"&amp;TEXT(A125,"00000"))</f>
        <v/>
      </c>
      <c r="C125" s="32" t="n"/>
      <c r="D125" s="35" t="n"/>
      <c r="E125" s="36" t="n"/>
      <c r="F125" s="36" t="n"/>
      <c r="G125" s="36" t="n"/>
      <c r="H125" s="36" t="n"/>
      <c r="I125" s="36" t="n"/>
      <c r="J125" s="37" t="n"/>
      <c r="K125" s="32" t="n"/>
      <c r="L125" s="36" t="n"/>
      <c r="M125" s="41" t="n"/>
      <c r="N125" s="41" t="n"/>
      <c r="O125" s="36" t="n"/>
      <c r="P125" s="33">
        <f>IF(C125="","",Commercial_Id)</f>
        <v/>
      </c>
      <c r="Q125" s="39">
        <f>IF(F125="","",IFERROR(VALUE(MID(F125,LEN(F125)-3,3)),""))</f>
        <v/>
      </c>
      <c r="R125" s="33">
        <f>IF(Q125="","",P125&amp;"|"&amp;Q125)</f>
        <v/>
      </c>
      <c r="S125" s="33">
        <f>IF(Q125="","",IF(P125="À RENSEIGNER","GIC",P125)&amp;"-"&amp;TEXT(Q125,"000"))</f>
        <v/>
      </c>
      <c r="T125" s="33">
        <f>IF(R125="","",IFERROR(INDEX(Cl_nom,MATCH(R125,Cl_cle,0)),"(client introuvable)"))</f>
        <v/>
      </c>
      <c r="U125" s="33">
        <f>IF(R125="","",IFERROR(INDEX(Cl_quartier,MATCH(R125,Cl_cle,0))&amp;"",""))</f>
        <v/>
      </c>
      <c r="V125" s="34">
        <f>IF(C125="","",YEAR(C125-WEEKDAY(C125,2)+4)&amp;"-S"&amp;TEXT(INT((C125-DATE(YEAR(C125-WEEKDAY(C125,2)+4),1,3)+WEEKDAY(DATE(YEAR(C125-WEEKDAY(C125,2)+4),1,3),2)+5)/7),"00"))</f>
        <v/>
      </c>
    </row>
    <row r="126" ht="18" customHeight="1">
      <c r="A126" s="39" t="n">
        <v>121</v>
      </c>
      <c r="B126" s="33">
        <f>IF(C126="","",IF(P126="À RENSEIGNER","GIC",P126)&amp;"-V"&amp;TEXT(A126,"00000"))</f>
        <v/>
      </c>
      <c r="C126" s="32" t="n"/>
      <c r="D126" s="35" t="n"/>
      <c r="E126" s="36" t="n"/>
      <c r="F126" s="36" t="n"/>
      <c r="G126" s="36" t="n"/>
      <c r="H126" s="36" t="n"/>
      <c r="I126" s="36" t="n"/>
      <c r="J126" s="37" t="n"/>
      <c r="K126" s="32" t="n"/>
      <c r="L126" s="36" t="n"/>
      <c r="M126" s="41" t="n"/>
      <c r="N126" s="41" t="n"/>
      <c r="O126" s="36" t="n"/>
      <c r="P126" s="33">
        <f>IF(C126="","",Commercial_Id)</f>
        <v/>
      </c>
      <c r="Q126" s="39">
        <f>IF(F126="","",IFERROR(VALUE(MID(F126,LEN(F126)-3,3)),""))</f>
        <v/>
      </c>
      <c r="R126" s="33">
        <f>IF(Q126="","",P126&amp;"|"&amp;Q126)</f>
        <v/>
      </c>
      <c r="S126" s="33">
        <f>IF(Q126="","",IF(P126="À RENSEIGNER","GIC",P126)&amp;"-"&amp;TEXT(Q126,"000"))</f>
        <v/>
      </c>
      <c r="T126" s="33">
        <f>IF(R126="","",IFERROR(INDEX(Cl_nom,MATCH(R126,Cl_cle,0)),"(client introuvable)"))</f>
        <v/>
      </c>
      <c r="U126" s="33">
        <f>IF(R126="","",IFERROR(INDEX(Cl_quartier,MATCH(R126,Cl_cle,0))&amp;"",""))</f>
        <v/>
      </c>
      <c r="V126" s="34">
        <f>IF(C126="","",YEAR(C126-WEEKDAY(C126,2)+4)&amp;"-S"&amp;TEXT(INT((C126-DATE(YEAR(C126-WEEKDAY(C126,2)+4),1,3)+WEEKDAY(DATE(YEAR(C126-WEEKDAY(C126,2)+4),1,3),2)+5)/7),"00"))</f>
        <v/>
      </c>
    </row>
    <row r="127" ht="18" customHeight="1">
      <c r="A127" s="39" t="n">
        <v>122</v>
      </c>
      <c r="B127" s="33">
        <f>IF(C127="","",IF(P127="À RENSEIGNER","GIC",P127)&amp;"-V"&amp;TEXT(A127,"00000"))</f>
        <v/>
      </c>
      <c r="C127" s="32" t="n"/>
      <c r="D127" s="35" t="n"/>
      <c r="E127" s="36" t="n"/>
      <c r="F127" s="36" t="n"/>
      <c r="G127" s="36" t="n"/>
      <c r="H127" s="36" t="n"/>
      <c r="I127" s="36" t="n"/>
      <c r="J127" s="37" t="n"/>
      <c r="K127" s="32" t="n"/>
      <c r="L127" s="36" t="n"/>
      <c r="M127" s="41" t="n"/>
      <c r="N127" s="41" t="n"/>
      <c r="O127" s="36" t="n"/>
      <c r="P127" s="33">
        <f>IF(C127="","",Commercial_Id)</f>
        <v/>
      </c>
      <c r="Q127" s="39">
        <f>IF(F127="","",IFERROR(VALUE(MID(F127,LEN(F127)-3,3)),""))</f>
        <v/>
      </c>
      <c r="R127" s="33">
        <f>IF(Q127="","",P127&amp;"|"&amp;Q127)</f>
        <v/>
      </c>
      <c r="S127" s="33">
        <f>IF(Q127="","",IF(P127="À RENSEIGNER","GIC",P127)&amp;"-"&amp;TEXT(Q127,"000"))</f>
        <v/>
      </c>
      <c r="T127" s="33">
        <f>IF(R127="","",IFERROR(INDEX(Cl_nom,MATCH(R127,Cl_cle,0)),"(client introuvable)"))</f>
        <v/>
      </c>
      <c r="U127" s="33">
        <f>IF(R127="","",IFERROR(INDEX(Cl_quartier,MATCH(R127,Cl_cle,0))&amp;"",""))</f>
        <v/>
      </c>
      <c r="V127" s="34">
        <f>IF(C127="","",YEAR(C127-WEEKDAY(C127,2)+4)&amp;"-S"&amp;TEXT(INT((C127-DATE(YEAR(C127-WEEKDAY(C127,2)+4),1,3)+WEEKDAY(DATE(YEAR(C127-WEEKDAY(C127,2)+4),1,3),2)+5)/7),"00"))</f>
        <v/>
      </c>
    </row>
    <row r="128" ht="18" customHeight="1">
      <c r="A128" s="39" t="n">
        <v>123</v>
      </c>
      <c r="B128" s="33">
        <f>IF(C128="","",IF(P128="À RENSEIGNER","GIC",P128)&amp;"-V"&amp;TEXT(A128,"00000"))</f>
        <v/>
      </c>
      <c r="C128" s="32" t="n"/>
      <c r="D128" s="35" t="n"/>
      <c r="E128" s="36" t="n"/>
      <c r="F128" s="36" t="n"/>
      <c r="G128" s="36" t="n"/>
      <c r="H128" s="36" t="n"/>
      <c r="I128" s="36" t="n"/>
      <c r="J128" s="37" t="n"/>
      <c r="K128" s="32" t="n"/>
      <c r="L128" s="36" t="n"/>
      <c r="M128" s="41" t="n"/>
      <c r="N128" s="41" t="n"/>
      <c r="O128" s="36" t="n"/>
      <c r="P128" s="33">
        <f>IF(C128="","",Commercial_Id)</f>
        <v/>
      </c>
      <c r="Q128" s="39">
        <f>IF(F128="","",IFERROR(VALUE(MID(F128,LEN(F128)-3,3)),""))</f>
        <v/>
      </c>
      <c r="R128" s="33">
        <f>IF(Q128="","",P128&amp;"|"&amp;Q128)</f>
        <v/>
      </c>
      <c r="S128" s="33">
        <f>IF(Q128="","",IF(P128="À RENSEIGNER","GIC",P128)&amp;"-"&amp;TEXT(Q128,"000"))</f>
        <v/>
      </c>
      <c r="T128" s="33">
        <f>IF(R128="","",IFERROR(INDEX(Cl_nom,MATCH(R128,Cl_cle,0)),"(client introuvable)"))</f>
        <v/>
      </c>
      <c r="U128" s="33">
        <f>IF(R128="","",IFERROR(INDEX(Cl_quartier,MATCH(R128,Cl_cle,0))&amp;"",""))</f>
        <v/>
      </c>
      <c r="V128" s="34">
        <f>IF(C128="","",YEAR(C128-WEEKDAY(C128,2)+4)&amp;"-S"&amp;TEXT(INT((C128-DATE(YEAR(C128-WEEKDAY(C128,2)+4),1,3)+WEEKDAY(DATE(YEAR(C128-WEEKDAY(C128,2)+4),1,3),2)+5)/7),"00"))</f>
        <v/>
      </c>
    </row>
    <row r="129" ht="18" customHeight="1">
      <c r="A129" s="39" t="n">
        <v>124</v>
      </c>
      <c r="B129" s="33">
        <f>IF(C129="","",IF(P129="À RENSEIGNER","GIC",P129)&amp;"-V"&amp;TEXT(A129,"00000"))</f>
        <v/>
      </c>
      <c r="C129" s="32" t="n"/>
      <c r="D129" s="35" t="n"/>
      <c r="E129" s="36" t="n"/>
      <c r="F129" s="36" t="n"/>
      <c r="G129" s="36" t="n"/>
      <c r="H129" s="36" t="n"/>
      <c r="I129" s="36" t="n"/>
      <c r="J129" s="37" t="n"/>
      <c r="K129" s="32" t="n"/>
      <c r="L129" s="36" t="n"/>
      <c r="M129" s="41" t="n"/>
      <c r="N129" s="41" t="n"/>
      <c r="O129" s="36" t="n"/>
      <c r="P129" s="33">
        <f>IF(C129="","",Commercial_Id)</f>
        <v/>
      </c>
      <c r="Q129" s="39">
        <f>IF(F129="","",IFERROR(VALUE(MID(F129,LEN(F129)-3,3)),""))</f>
        <v/>
      </c>
      <c r="R129" s="33">
        <f>IF(Q129="","",P129&amp;"|"&amp;Q129)</f>
        <v/>
      </c>
      <c r="S129" s="33">
        <f>IF(Q129="","",IF(P129="À RENSEIGNER","GIC",P129)&amp;"-"&amp;TEXT(Q129,"000"))</f>
        <v/>
      </c>
      <c r="T129" s="33">
        <f>IF(R129="","",IFERROR(INDEX(Cl_nom,MATCH(R129,Cl_cle,0)),"(client introuvable)"))</f>
        <v/>
      </c>
      <c r="U129" s="33">
        <f>IF(R129="","",IFERROR(INDEX(Cl_quartier,MATCH(R129,Cl_cle,0))&amp;"",""))</f>
        <v/>
      </c>
      <c r="V129" s="34">
        <f>IF(C129="","",YEAR(C129-WEEKDAY(C129,2)+4)&amp;"-S"&amp;TEXT(INT((C129-DATE(YEAR(C129-WEEKDAY(C129,2)+4),1,3)+WEEKDAY(DATE(YEAR(C129-WEEKDAY(C129,2)+4),1,3),2)+5)/7),"00"))</f>
        <v/>
      </c>
    </row>
    <row r="130" ht="18" customHeight="1">
      <c r="A130" s="39" t="n">
        <v>125</v>
      </c>
      <c r="B130" s="33">
        <f>IF(C130="","",IF(P130="À RENSEIGNER","GIC",P130)&amp;"-V"&amp;TEXT(A130,"00000"))</f>
        <v/>
      </c>
      <c r="C130" s="32" t="n"/>
      <c r="D130" s="35" t="n"/>
      <c r="E130" s="36" t="n"/>
      <c r="F130" s="36" t="n"/>
      <c r="G130" s="36" t="n"/>
      <c r="H130" s="36" t="n"/>
      <c r="I130" s="36" t="n"/>
      <c r="J130" s="37" t="n"/>
      <c r="K130" s="32" t="n"/>
      <c r="L130" s="36" t="n"/>
      <c r="M130" s="41" t="n"/>
      <c r="N130" s="41" t="n"/>
      <c r="O130" s="36" t="n"/>
      <c r="P130" s="33">
        <f>IF(C130="","",Commercial_Id)</f>
        <v/>
      </c>
      <c r="Q130" s="39">
        <f>IF(F130="","",IFERROR(VALUE(MID(F130,LEN(F130)-3,3)),""))</f>
        <v/>
      </c>
      <c r="R130" s="33">
        <f>IF(Q130="","",P130&amp;"|"&amp;Q130)</f>
        <v/>
      </c>
      <c r="S130" s="33">
        <f>IF(Q130="","",IF(P130="À RENSEIGNER","GIC",P130)&amp;"-"&amp;TEXT(Q130,"000"))</f>
        <v/>
      </c>
      <c r="T130" s="33">
        <f>IF(R130="","",IFERROR(INDEX(Cl_nom,MATCH(R130,Cl_cle,0)),"(client introuvable)"))</f>
        <v/>
      </c>
      <c r="U130" s="33">
        <f>IF(R130="","",IFERROR(INDEX(Cl_quartier,MATCH(R130,Cl_cle,0))&amp;"",""))</f>
        <v/>
      </c>
      <c r="V130" s="34">
        <f>IF(C130="","",YEAR(C130-WEEKDAY(C130,2)+4)&amp;"-S"&amp;TEXT(INT((C130-DATE(YEAR(C130-WEEKDAY(C130,2)+4),1,3)+WEEKDAY(DATE(YEAR(C130-WEEKDAY(C130,2)+4),1,3),2)+5)/7),"00"))</f>
        <v/>
      </c>
    </row>
    <row r="131" ht="18" customHeight="1">
      <c r="A131" s="39" t="n">
        <v>126</v>
      </c>
      <c r="B131" s="33">
        <f>IF(C131="","",IF(P131="À RENSEIGNER","GIC",P131)&amp;"-V"&amp;TEXT(A131,"00000"))</f>
        <v/>
      </c>
      <c r="C131" s="32" t="n"/>
      <c r="D131" s="35" t="n"/>
      <c r="E131" s="36" t="n"/>
      <c r="F131" s="36" t="n"/>
      <c r="G131" s="36" t="n"/>
      <c r="H131" s="36" t="n"/>
      <c r="I131" s="36" t="n"/>
      <c r="J131" s="37" t="n"/>
      <c r="K131" s="32" t="n"/>
      <c r="L131" s="36" t="n"/>
      <c r="M131" s="41" t="n"/>
      <c r="N131" s="41" t="n"/>
      <c r="O131" s="36" t="n"/>
      <c r="P131" s="33">
        <f>IF(C131="","",Commercial_Id)</f>
        <v/>
      </c>
      <c r="Q131" s="39">
        <f>IF(F131="","",IFERROR(VALUE(MID(F131,LEN(F131)-3,3)),""))</f>
        <v/>
      </c>
      <c r="R131" s="33">
        <f>IF(Q131="","",P131&amp;"|"&amp;Q131)</f>
        <v/>
      </c>
      <c r="S131" s="33">
        <f>IF(Q131="","",IF(P131="À RENSEIGNER","GIC",P131)&amp;"-"&amp;TEXT(Q131,"000"))</f>
        <v/>
      </c>
      <c r="T131" s="33">
        <f>IF(R131="","",IFERROR(INDEX(Cl_nom,MATCH(R131,Cl_cle,0)),"(client introuvable)"))</f>
        <v/>
      </c>
      <c r="U131" s="33">
        <f>IF(R131="","",IFERROR(INDEX(Cl_quartier,MATCH(R131,Cl_cle,0))&amp;"",""))</f>
        <v/>
      </c>
      <c r="V131" s="34">
        <f>IF(C131="","",YEAR(C131-WEEKDAY(C131,2)+4)&amp;"-S"&amp;TEXT(INT((C131-DATE(YEAR(C131-WEEKDAY(C131,2)+4),1,3)+WEEKDAY(DATE(YEAR(C131-WEEKDAY(C131,2)+4),1,3),2)+5)/7),"00"))</f>
        <v/>
      </c>
    </row>
    <row r="132" ht="18" customHeight="1">
      <c r="A132" s="39" t="n">
        <v>127</v>
      </c>
      <c r="B132" s="33">
        <f>IF(C132="","",IF(P132="À RENSEIGNER","GIC",P132)&amp;"-V"&amp;TEXT(A132,"00000"))</f>
        <v/>
      </c>
      <c r="C132" s="32" t="n"/>
      <c r="D132" s="35" t="n"/>
      <c r="E132" s="36" t="n"/>
      <c r="F132" s="36" t="n"/>
      <c r="G132" s="36" t="n"/>
      <c r="H132" s="36" t="n"/>
      <c r="I132" s="36" t="n"/>
      <c r="J132" s="37" t="n"/>
      <c r="K132" s="32" t="n"/>
      <c r="L132" s="36" t="n"/>
      <c r="M132" s="41" t="n"/>
      <c r="N132" s="41" t="n"/>
      <c r="O132" s="36" t="n"/>
      <c r="P132" s="33">
        <f>IF(C132="","",Commercial_Id)</f>
        <v/>
      </c>
      <c r="Q132" s="39">
        <f>IF(F132="","",IFERROR(VALUE(MID(F132,LEN(F132)-3,3)),""))</f>
        <v/>
      </c>
      <c r="R132" s="33">
        <f>IF(Q132="","",P132&amp;"|"&amp;Q132)</f>
        <v/>
      </c>
      <c r="S132" s="33">
        <f>IF(Q132="","",IF(P132="À RENSEIGNER","GIC",P132)&amp;"-"&amp;TEXT(Q132,"000"))</f>
        <v/>
      </c>
      <c r="T132" s="33">
        <f>IF(R132="","",IFERROR(INDEX(Cl_nom,MATCH(R132,Cl_cle,0)),"(client introuvable)"))</f>
        <v/>
      </c>
      <c r="U132" s="33">
        <f>IF(R132="","",IFERROR(INDEX(Cl_quartier,MATCH(R132,Cl_cle,0))&amp;"",""))</f>
        <v/>
      </c>
      <c r="V132" s="34">
        <f>IF(C132="","",YEAR(C132-WEEKDAY(C132,2)+4)&amp;"-S"&amp;TEXT(INT((C132-DATE(YEAR(C132-WEEKDAY(C132,2)+4),1,3)+WEEKDAY(DATE(YEAR(C132-WEEKDAY(C132,2)+4),1,3),2)+5)/7),"00"))</f>
        <v/>
      </c>
    </row>
    <row r="133" ht="18" customHeight="1">
      <c r="A133" s="39" t="n">
        <v>128</v>
      </c>
      <c r="B133" s="33">
        <f>IF(C133="","",IF(P133="À RENSEIGNER","GIC",P133)&amp;"-V"&amp;TEXT(A133,"00000"))</f>
        <v/>
      </c>
      <c r="C133" s="32" t="n"/>
      <c r="D133" s="35" t="n"/>
      <c r="E133" s="36" t="n"/>
      <c r="F133" s="36" t="n"/>
      <c r="G133" s="36" t="n"/>
      <c r="H133" s="36" t="n"/>
      <c r="I133" s="36" t="n"/>
      <c r="J133" s="37" t="n"/>
      <c r="K133" s="32" t="n"/>
      <c r="L133" s="36" t="n"/>
      <c r="M133" s="41" t="n"/>
      <c r="N133" s="41" t="n"/>
      <c r="O133" s="36" t="n"/>
      <c r="P133" s="33">
        <f>IF(C133="","",Commercial_Id)</f>
        <v/>
      </c>
      <c r="Q133" s="39">
        <f>IF(F133="","",IFERROR(VALUE(MID(F133,LEN(F133)-3,3)),""))</f>
        <v/>
      </c>
      <c r="R133" s="33">
        <f>IF(Q133="","",P133&amp;"|"&amp;Q133)</f>
        <v/>
      </c>
      <c r="S133" s="33">
        <f>IF(Q133="","",IF(P133="À RENSEIGNER","GIC",P133)&amp;"-"&amp;TEXT(Q133,"000"))</f>
        <v/>
      </c>
      <c r="T133" s="33">
        <f>IF(R133="","",IFERROR(INDEX(Cl_nom,MATCH(R133,Cl_cle,0)),"(client introuvable)"))</f>
        <v/>
      </c>
      <c r="U133" s="33">
        <f>IF(R133="","",IFERROR(INDEX(Cl_quartier,MATCH(R133,Cl_cle,0))&amp;"",""))</f>
        <v/>
      </c>
      <c r="V133" s="34">
        <f>IF(C133="","",YEAR(C133-WEEKDAY(C133,2)+4)&amp;"-S"&amp;TEXT(INT((C133-DATE(YEAR(C133-WEEKDAY(C133,2)+4),1,3)+WEEKDAY(DATE(YEAR(C133-WEEKDAY(C133,2)+4),1,3),2)+5)/7),"00"))</f>
        <v/>
      </c>
    </row>
    <row r="134" ht="18" customHeight="1">
      <c r="A134" s="39" t="n">
        <v>129</v>
      </c>
      <c r="B134" s="33">
        <f>IF(C134="","",IF(P134="À RENSEIGNER","GIC",P134)&amp;"-V"&amp;TEXT(A134,"00000"))</f>
        <v/>
      </c>
      <c r="C134" s="32" t="n"/>
      <c r="D134" s="35" t="n"/>
      <c r="E134" s="36" t="n"/>
      <c r="F134" s="36" t="n"/>
      <c r="G134" s="36" t="n"/>
      <c r="H134" s="36" t="n"/>
      <c r="I134" s="36" t="n"/>
      <c r="J134" s="37" t="n"/>
      <c r="K134" s="32" t="n"/>
      <c r="L134" s="36" t="n"/>
      <c r="M134" s="41" t="n"/>
      <c r="N134" s="41" t="n"/>
      <c r="O134" s="36" t="n"/>
      <c r="P134" s="33">
        <f>IF(C134="","",Commercial_Id)</f>
        <v/>
      </c>
      <c r="Q134" s="39">
        <f>IF(F134="","",IFERROR(VALUE(MID(F134,LEN(F134)-3,3)),""))</f>
        <v/>
      </c>
      <c r="R134" s="33">
        <f>IF(Q134="","",P134&amp;"|"&amp;Q134)</f>
        <v/>
      </c>
      <c r="S134" s="33">
        <f>IF(Q134="","",IF(P134="À RENSEIGNER","GIC",P134)&amp;"-"&amp;TEXT(Q134,"000"))</f>
        <v/>
      </c>
      <c r="T134" s="33">
        <f>IF(R134="","",IFERROR(INDEX(Cl_nom,MATCH(R134,Cl_cle,0)),"(client introuvable)"))</f>
        <v/>
      </c>
      <c r="U134" s="33">
        <f>IF(R134="","",IFERROR(INDEX(Cl_quartier,MATCH(R134,Cl_cle,0))&amp;"",""))</f>
        <v/>
      </c>
      <c r="V134" s="34">
        <f>IF(C134="","",YEAR(C134-WEEKDAY(C134,2)+4)&amp;"-S"&amp;TEXT(INT((C134-DATE(YEAR(C134-WEEKDAY(C134,2)+4),1,3)+WEEKDAY(DATE(YEAR(C134-WEEKDAY(C134,2)+4),1,3),2)+5)/7),"00"))</f>
        <v/>
      </c>
    </row>
    <row r="135" ht="18" customHeight="1">
      <c r="A135" s="39" t="n">
        <v>130</v>
      </c>
      <c r="B135" s="33">
        <f>IF(C135="","",IF(P135="À RENSEIGNER","GIC",P135)&amp;"-V"&amp;TEXT(A135,"00000"))</f>
        <v/>
      </c>
      <c r="C135" s="32" t="n"/>
      <c r="D135" s="35" t="n"/>
      <c r="E135" s="36" t="n"/>
      <c r="F135" s="36" t="n"/>
      <c r="G135" s="36" t="n"/>
      <c r="H135" s="36" t="n"/>
      <c r="I135" s="36" t="n"/>
      <c r="J135" s="37" t="n"/>
      <c r="K135" s="32" t="n"/>
      <c r="L135" s="36" t="n"/>
      <c r="M135" s="41" t="n"/>
      <c r="N135" s="41" t="n"/>
      <c r="O135" s="36" t="n"/>
      <c r="P135" s="33">
        <f>IF(C135="","",Commercial_Id)</f>
        <v/>
      </c>
      <c r="Q135" s="39">
        <f>IF(F135="","",IFERROR(VALUE(MID(F135,LEN(F135)-3,3)),""))</f>
        <v/>
      </c>
      <c r="R135" s="33">
        <f>IF(Q135="","",P135&amp;"|"&amp;Q135)</f>
        <v/>
      </c>
      <c r="S135" s="33">
        <f>IF(Q135="","",IF(P135="À RENSEIGNER","GIC",P135)&amp;"-"&amp;TEXT(Q135,"000"))</f>
        <v/>
      </c>
      <c r="T135" s="33">
        <f>IF(R135="","",IFERROR(INDEX(Cl_nom,MATCH(R135,Cl_cle,0)),"(client introuvable)"))</f>
        <v/>
      </c>
      <c r="U135" s="33">
        <f>IF(R135="","",IFERROR(INDEX(Cl_quartier,MATCH(R135,Cl_cle,0))&amp;"",""))</f>
        <v/>
      </c>
      <c r="V135" s="34">
        <f>IF(C135="","",YEAR(C135-WEEKDAY(C135,2)+4)&amp;"-S"&amp;TEXT(INT((C135-DATE(YEAR(C135-WEEKDAY(C135,2)+4),1,3)+WEEKDAY(DATE(YEAR(C135-WEEKDAY(C135,2)+4),1,3),2)+5)/7),"00"))</f>
        <v/>
      </c>
    </row>
    <row r="136" ht="18" customHeight="1">
      <c r="A136" s="39" t="n">
        <v>131</v>
      </c>
      <c r="B136" s="33">
        <f>IF(C136="","",IF(P136="À RENSEIGNER","GIC",P136)&amp;"-V"&amp;TEXT(A136,"00000"))</f>
        <v/>
      </c>
      <c r="C136" s="32" t="n"/>
      <c r="D136" s="35" t="n"/>
      <c r="E136" s="36" t="n"/>
      <c r="F136" s="36" t="n"/>
      <c r="G136" s="36" t="n"/>
      <c r="H136" s="36" t="n"/>
      <c r="I136" s="36" t="n"/>
      <c r="J136" s="37" t="n"/>
      <c r="K136" s="32" t="n"/>
      <c r="L136" s="36" t="n"/>
      <c r="M136" s="41" t="n"/>
      <c r="N136" s="41" t="n"/>
      <c r="O136" s="36" t="n"/>
      <c r="P136" s="33">
        <f>IF(C136="","",Commercial_Id)</f>
        <v/>
      </c>
      <c r="Q136" s="39">
        <f>IF(F136="","",IFERROR(VALUE(MID(F136,LEN(F136)-3,3)),""))</f>
        <v/>
      </c>
      <c r="R136" s="33">
        <f>IF(Q136="","",P136&amp;"|"&amp;Q136)</f>
        <v/>
      </c>
      <c r="S136" s="33">
        <f>IF(Q136="","",IF(P136="À RENSEIGNER","GIC",P136)&amp;"-"&amp;TEXT(Q136,"000"))</f>
        <v/>
      </c>
      <c r="T136" s="33">
        <f>IF(R136="","",IFERROR(INDEX(Cl_nom,MATCH(R136,Cl_cle,0)),"(client introuvable)"))</f>
        <v/>
      </c>
      <c r="U136" s="33">
        <f>IF(R136="","",IFERROR(INDEX(Cl_quartier,MATCH(R136,Cl_cle,0))&amp;"",""))</f>
        <v/>
      </c>
      <c r="V136" s="34">
        <f>IF(C136="","",YEAR(C136-WEEKDAY(C136,2)+4)&amp;"-S"&amp;TEXT(INT((C136-DATE(YEAR(C136-WEEKDAY(C136,2)+4),1,3)+WEEKDAY(DATE(YEAR(C136-WEEKDAY(C136,2)+4),1,3),2)+5)/7),"00"))</f>
        <v/>
      </c>
    </row>
    <row r="137" ht="18" customHeight="1">
      <c r="A137" s="39" t="n">
        <v>132</v>
      </c>
      <c r="B137" s="33">
        <f>IF(C137="","",IF(P137="À RENSEIGNER","GIC",P137)&amp;"-V"&amp;TEXT(A137,"00000"))</f>
        <v/>
      </c>
      <c r="C137" s="32" t="n"/>
      <c r="D137" s="35" t="n"/>
      <c r="E137" s="36" t="n"/>
      <c r="F137" s="36" t="n"/>
      <c r="G137" s="36" t="n"/>
      <c r="H137" s="36" t="n"/>
      <c r="I137" s="36" t="n"/>
      <c r="J137" s="37" t="n"/>
      <c r="K137" s="32" t="n"/>
      <c r="L137" s="36" t="n"/>
      <c r="M137" s="41" t="n"/>
      <c r="N137" s="41" t="n"/>
      <c r="O137" s="36" t="n"/>
      <c r="P137" s="33">
        <f>IF(C137="","",Commercial_Id)</f>
        <v/>
      </c>
      <c r="Q137" s="39">
        <f>IF(F137="","",IFERROR(VALUE(MID(F137,LEN(F137)-3,3)),""))</f>
        <v/>
      </c>
      <c r="R137" s="33">
        <f>IF(Q137="","",P137&amp;"|"&amp;Q137)</f>
        <v/>
      </c>
      <c r="S137" s="33">
        <f>IF(Q137="","",IF(P137="À RENSEIGNER","GIC",P137)&amp;"-"&amp;TEXT(Q137,"000"))</f>
        <v/>
      </c>
      <c r="T137" s="33">
        <f>IF(R137="","",IFERROR(INDEX(Cl_nom,MATCH(R137,Cl_cle,0)),"(client introuvable)"))</f>
        <v/>
      </c>
      <c r="U137" s="33">
        <f>IF(R137="","",IFERROR(INDEX(Cl_quartier,MATCH(R137,Cl_cle,0))&amp;"",""))</f>
        <v/>
      </c>
      <c r="V137" s="34">
        <f>IF(C137="","",YEAR(C137-WEEKDAY(C137,2)+4)&amp;"-S"&amp;TEXT(INT((C137-DATE(YEAR(C137-WEEKDAY(C137,2)+4),1,3)+WEEKDAY(DATE(YEAR(C137-WEEKDAY(C137,2)+4),1,3),2)+5)/7),"00"))</f>
        <v/>
      </c>
    </row>
    <row r="138" ht="18" customHeight="1">
      <c r="A138" s="39" t="n">
        <v>133</v>
      </c>
      <c r="B138" s="33">
        <f>IF(C138="","",IF(P138="À RENSEIGNER","GIC",P138)&amp;"-V"&amp;TEXT(A138,"00000"))</f>
        <v/>
      </c>
      <c r="C138" s="32" t="n"/>
      <c r="D138" s="35" t="n"/>
      <c r="E138" s="36" t="n"/>
      <c r="F138" s="36" t="n"/>
      <c r="G138" s="36" t="n"/>
      <c r="H138" s="36" t="n"/>
      <c r="I138" s="36" t="n"/>
      <c r="J138" s="37" t="n"/>
      <c r="K138" s="32" t="n"/>
      <c r="L138" s="36" t="n"/>
      <c r="M138" s="41" t="n"/>
      <c r="N138" s="41" t="n"/>
      <c r="O138" s="36" t="n"/>
      <c r="P138" s="33">
        <f>IF(C138="","",Commercial_Id)</f>
        <v/>
      </c>
      <c r="Q138" s="39">
        <f>IF(F138="","",IFERROR(VALUE(MID(F138,LEN(F138)-3,3)),""))</f>
        <v/>
      </c>
      <c r="R138" s="33">
        <f>IF(Q138="","",P138&amp;"|"&amp;Q138)</f>
        <v/>
      </c>
      <c r="S138" s="33">
        <f>IF(Q138="","",IF(P138="À RENSEIGNER","GIC",P138)&amp;"-"&amp;TEXT(Q138,"000"))</f>
        <v/>
      </c>
      <c r="T138" s="33">
        <f>IF(R138="","",IFERROR(INDEX(Cl_nom,MATCH(R138,Cl_cle,0)),"(client introuvable)"))</f>
        <v/>
      </c>
      <c r="U138" s="33">
        <f>IF(R138="","",IFERROR(INDEX(Cl_quartier,MATCH(R138,Cl_cle,0))&amp;"",""))</f>
        <v/>
      </c>
      <c r="V138" s="34">
        <f>IF(C138="","",YEAR(C138-WEEKDAY(C138,2)+4)&amp;"-S"&amp;TEXT(INT((C138-DATE(YEAR(C138-WEEKDAY(C138,2)+4),1,3)+WEEKDAY(DATE(YEAR(C138-WEEKDAY(C138,2)+4),1,3),2)+5)/7),"00"))</f>
        <v/>
      </c>
    </row>
    <row r="139" ht="18" customHeight="1">
      <c r="A139" s="39" t="n">
        <v>134</v>
      </c>
      <c r="B139" s="33">
        <f>IF(C139="","",IF(P139="À RENSEIGNER","GIC",P139)&amp;"-V"&amp;TEXT(A139,"00000"))</f>
        <v/>
      </c>
      <c r="C139" s="32" t="n"/>
      <c r="D139" s="35" t="n"/>
      <c r="E139" s="36" t="n"/>
      <c r="F139" s="36" t="n"/>
      <c r="G139" s="36" t="n"/>
      <c r="H139" s="36" t="n"/>
      <c r="I139" s="36" t="n"/>
      <c r="J139" s="37" t="n"/>
      <c r="K139" s="32" t="n"/>
      <c r="L139" s="36" t="n"/>
      <c r="M139" s="41" t="n"/>
      <c r="N139" s="41" t="n"/>
      <c r="O139" s="36" t="n"/>
      <c r="P139" s="33">
        <f>IF(C139="","",Commercial_Id)</f>
        <v/>
      </c>
      <c r="Q139" s="39">
        <f>IF(F139="","",IFERROR(VALUE(MID(F139,LEN(F139)-3,3)),""))</f>
        <v/>
      </c>
      <c r="R139" s="33">
        <f>IF(Q139="","",P139&amp;"|"&amp;Q139)</f>
        <v/>
      </c>
      <c r="S139" s="33">
        <f>IF(Q139="","",IF(P139="À RENSEIGNER","GIC",P139)&amp;"-"&amp;TEXT(Q139,"000"))</f>
        <v/>
      </c>
      <c r="T139" s="33">
        <f>IF(R139="","",IFERROR(INDEX(Cl_nom,MATCH(R139,Cl_cle,0)),"(client introuvable)"))</f>
        <v/>
      </c>
      <c r="U139" s="33">
        <f>IF(R139="","",IFERROR(INDEX(Cl_quartier,MATCH(R139,Cl_cle,0))&amp;"",""))</f>
        <v/>
      </c>
      <c r="V139" s="34">
        <f>IF(C139="","",YEAR(C139-WEEKDAY(C139,2)+4)&amp;"-S"&amp;TEXT(INT((C139-DATE(YEAR(C139-WEEKDAY(C139,2)+4),1,3)+WEEKDAY(DATE(YEAR(C139-WEEKDAY(C139,2)+4),1,3),2)+5)/7),"00"))</f>
        <v/>
      </c>
    </row>
    <row r="140" ht="18" customHeight="1">
      <c r="A140" s="39" t="n">
        <v>135</v>
      </c>
      <c r="B140" s="33">
        <f>IF(C140="","",IF(P140="À RENSEIGNER","GIC",P140)&amp;"-V"&amp;TEXT(A140,"00000"))</f>
        <v/>
      </c>
      <c r="C140" s="32" t="n"/>
      <c r="D140" s="35" t="n"/>
      <c r="E140" s="36" t="n"/>
      <c r="F140" s="36" t="n"/>
      <c r="G140" s="36" t="n"/>
      <c r="H140" s="36" t="n"/>
      <c r="I140" s="36" t="n"/>
      <c r="J140" s="37" t="n"/>
      <c r="K140" s="32" t="n"/>
      <c r="L140" s="36" t="n"/>
      <c r="M140" s="41" t="n"/>
      <c r="N140" s="41" t="n"/>
      <c r="O140" s="36" t="n"/>
      <c r="P140" s="33">
        <f>IF(C140="","",Commercial_Id)</f>
        <v/>
      </c>
      <c r="Q140" s="39">
        <f>IF(F140="","",IFERROR(VALUE(MID(F140,LEN(F140)-3,3)),""))</f>
        <v/>
      </c>
      <c r="R140" s="33">
        <f>IF(Q140="","",P140&amp;"|"&amp;Q140)</f>
        <v/>
      </c>
      <c r="S140" s="33">
        <f>IF(Q140="","",IF(P140="À RENSEIGNER","GIC",P140)&amp;"-"&amp;TEXT(Q140,"000"))</f>
        <v/>
      </c>
      <c r="T140" s="33">
        <f>IF(R140="","",IFERROR(INDEX(Cl_nom,MATCH(R140,Cl_cle,0)),"(client introuvable)"))</f>
        <v/>
      </c>
      <c r="U140" s="33">
        <f>IF(R140="","",IFERROR(INDEX(Cl_quartier,MATCH(R140,Cl_cle,0))&amp;"",""))</f>
        <v/>
      </c>
      <c r="V140" s="34">
        <f>IF(C140="","",YEAR(C140-WEEKDAY(C140,2)+4)&amp;"-S"&amp;TEXT(INT((C140-DATE(YEAR(C140-WEEKDAY(C140,2)+4),1,3)+WEEKDAY(DATE(YEAR(C140-WEEKDAY(C140,2)+4),1,3),2)+5)/7),"00"))</f>
        <v/>
      </c>
    </row>
    <row r="141" ht="18" customHeight="1">
      <c r="A141" s="39" t="n">
        <v>136</v>
      </c>
      <c r="B141" s="33">
        <f>IF(C141="","",IF(P141="À RENSEIGNER","GIC",P141)&amp;"-V"&amp;TEXT(A141,"00000"))</f>
        <v/>
      </c>
      <c r="C141" s="32" t="n"/>
      <c r="D141" s="35" t="n"/>
      <c r="E141" s="36" t="n"/>
      <c r="F141" s="36" t="n"/>
      <c r="G141" s="36" t="n"/>
      <c r="H141" s="36" t="n"/>
      <c r="I141" s="36" t="n"/>
      <c r="J141" s="37" t="n"/>
      <c r="K141" s="32" t="n"/>
      <c r="L141" s="36" t="n"/>
      <c r="M141" s="41" t="n"/>
      <c r="N141" s="41" t="n"/>
      <c r="O141" s="36" t="n"/>
      <c r="P141" s="33">
        <f>IF(C141="","",Commercial_Id)</f>
        <v/>
      </c>
      <c r="Q141" s="39">
        <f>IF(F141="","",IFERROR(VALUE(MID(F141,LEN(F141)-3,3)),""))</f>
        <v/>
      </c>
      <c r="R141" s="33">
        <f>IF(Q141="","",P141&amp;"|"&amp;Q141)</f>
        <v/>
      </c>
      <c r="S141" s="33">
        <f>IF(Q141="","",IF(P141="À RENSEIGNER","GIC",P141)&amp;"-"&amp;TEXT(Q141,"000"))</f>
        <v/>
      </c>
      <c r="T141" s="33">
        <f>IF(R141="","",IFERROR(INDEX(Cl_nom,MATCH(R141,Cl_cle,0)),"(client introuvable)"))</f>
        <v/>
      </c>
      <c r="U141" s="33">
        <f>IF(R141="","",IFERROR(INDEX(Cl_quartier,MATCH(R141,Cl_cle,0))&amp;"",""))</f>
        <v/>
      </c>
      <c r="V141" s="34">
        <f>IF(C141="","",YEAR(C141-WEEKDAY(C141,2)+4)&amp;"-S"&amp;TEXT(INT((C141-DATE(YEAR(C141-WEEKDAY(C141,2)+4),1,3)+WEEKDAY(DATE(YEAR(C141-WEEKDAY(C141,2)+4),1,3),2)+5)/7),"00"))</f>
        <v/>
      </c>
    </row>
    <row r="142" ht="18" customHeight="1">
      <c r="A142" s="39" t="n">
        <v>137</v>
      </c>
      <c r="B142" s="33">
        <f>IF(C142="","",IF(P142="À RENSEIGNER","GIC",P142)&amp;"-V"&amp;TEXT(A142,"00000"))</f>
        <v/>
      </c>
      <c r="C142" s="32" t="n"/>
      <c r="D142" s="35" t="n"/>
      <c r="E142" s="36" t="n"/>
      <c r="F142" s="36" t="n"/>
      <c r="G142" s="36" t="n"/>
      <c r="H142" s="36" t="n"/>
      <c r="I142" s="36" t="n"/>
      <c r="J142" s="37" t="n"/>
      <c r="K142" s="32" t="n"/>
      <c r="L142" s="36" t="n"/>
      <c r="M142" s="41" t="n"/>
      <c r="N142" s="41" t="n"/>
      <c r="O142" s="36" t="n"/>
      <c r="P142" s="33">
        <f>IF(C142="","",Commercial_Id)</f>
        <v/>
      </c>
      <c r="Q142" s="39">
        <f>IF(F142="","",IFERROR(VALUE(MID(F142,LEN(F142)-3,3)),""))</f>
        <v/>
      </c>
      <c r="R142" s="33">
        <f>IF(Q142="","",P142&amp;"|"&amp;Q142)</f>
        <v/>
      </c>
      <c r="S142" s="33">
        <f>IF(Q142="","",IF(P142="À RENSEIGNER","GIC",P142)&amp;"-"&amp;TEXT(Q142,"000"))</f>
        <v/>
      </c>
      <c r="T142" s="33">
        <f>IF(R142="","",IFERROR(INDEX(Cl_nom,MATCH(R142,Cl_cle,0)),"(client introuvable)"))</f>
        <v/>
      </c>
      <c r="U142" s="33">
        <f>IF(R142="","",IFERROR(INDEX(Cl_quartier,MATCH(R142,Cl_cle,0))&amp;"",""))</f>
        <v/>
      </c>
      <c r="V142" s="34">
        <f>IF(C142="","",YEAR(C142-WEEKDAY(C142,2)+4)&amp;"-S"&amp;TEXT(INT((C142-DATE(YEAR(C142-WEEKDAY(C142,2)+4),1,3)+WEEKDAY(DATE(YEAR(C142-WEEKDAY(C142,2)+4),1,3),2)+5)/7),"00"))</f>
        <v/>
      </c>
    </row>
    <row r="143" ht="18" customHeight="1">
      <c r="A143" s="39" t="n">
        <v>138</v>
      </c>
      <c r="B143" s="33">
        <f>IF(C143="","",IF(P143="À RENSEIGNER","GIC",P143)&amp;"-V"&amp;TEXT(A143,"00000"))</f>
        <v/>
      </c>
      <c r="C143" s="32" t="n"/>
      <c r="D143" s="35" t="n"/>
      <c r="E143" s="36" t="n"/>
      <c r="F143" s="36" t="n"/>
      <c r="G143" s="36" t="n"/>
      <c r="H143" s="36" t="n"/>
      <c r="I143" s="36" t="n"/>
      <c r="J143" s="37" t="n"/>
      <c r="K143" s="32" t="n"/>
      <c r="L143" s="36" t="n"/>
      <c r="M143" s="41" t="n"/>
      <c r="N143" s="41" t="n"/>
      <c r="O143" s="36" t="n"/>
      <c r="P143" s="33">
        <f>IF(C143="","",Commercial_Id)</f>
        <v/>
      </c>
      <c r="Q143" s="39">
        <f>IF(F143="","",IFERROR(VALUE(MID(F143,LEN(F143)-3,3)),""))</f>
        <v/>
      </c>
      <c r="R143" s="33">
        <f>IF(Q143="","",P143&amp;"|"&amp;Q143)</f>
        <v/>
      </c>
      <c r="S143" s="33">
        <f>IF(Q143="","",IF(P143="À RENSEIGNER","GIC",P143)&amp;"-"&amp;TEXT(Q143,"000"))</f>
        <v/>
      </c>
      <c r="T143" s="33">
        <f>IF(R143="","",IFERROR(INDEX(Cl_nom,MATCH(R143,Cl_cle,0)),"(client introuvable)"))</f>
        <v/>
      </c>
      <c r="U143" s="33">
        <f>IF(R143="","",IFERROR(INDEX(Cl_quartier,MATCH(R143,Cl_cle,0))&amp;"",""))</f>
        <v/>
      </c>
      <c r="V143" s="34">
        <f>IF(C143="","",YEAR(C143-WEEKDAY(C143,2)+4)&amp;"-S"&amp;TEXT(INT((C143-DATE(YEAR(C143-WEEKDAY(C143,2)+4),1,3)+WEEKDAY(DATE(YEAR(C143-WEEKDAY(C143,2)+4),1,3),2)+5)/7),"00"))</f>
        <v/>
      </c>
    </row>
    <row r="144" ht="18" customHeight="1">
      <c r="A144" s="39" t="n">
        <v>139</v>
      </c>
      <c r="B144" s="33">
        <f>IF(C144="","",IF(P144="À RENSEIGNER","GIC",P144)&amp;"-V"&amp;TEXT(A144,"00000"))</f>
        <v/>
      </c>
      <c r="C144" s="32" t="n"/>
      <c r="D144" s="35" t="n"/>
      <c r="E144" s="36" t="n"/>
      <c r="F144" s="36" t="n"/>
      <c r="G144" s="36" t="n"/>
      <c r="H144" s="36" t="n"/>
      <c r="I144" s="36" t="n"/>
      <c r="J144" s="37" t="n"/>
      <c r="K144" s="32" t="n"/>
      <c r="L144" s="36" t="n"/>
      <c r="M144" s="41" t="n"/>
      <c r="N144" s="41" t="n"/>
      <c r="O144" s="36" t="n"/>
      <c r="P144" s="33">
        <f>IF(C144="","",Commercial_Id)</f>
        <v/>
      </c>
      <c r="Q144" s="39">
        <f>IF(F144="","",IFERROR(VALUE(MID(F144,LEN(F144)-3,3)),""))</f>
        <v/>
      </c>
      <c r="R144" s="33">
        <f>IF(Q144="","",P144&amp;"|"&amp;Q144)</f>
        <v/>
      </c>
      <c r="S144" s="33">
        <f>IF(Q144="","",IF(P144="À RENSEIGNER","GIC",P144)&amp;"-"&amp;TEXT(Q144,"000"))</f>
        <v/>
      </c>
      <c r="T144" s="33">
        <f>IF(R144="","",IFERROR(INDEX(Cl_nom,MATCH(R144,Cl_cle,0)),"(client introuvable)"))</f>
        <v/>
      </c>
      <c r="U144" s="33">
        <f>IF(R144="","",IFERROR(INDEX(Cl_quartier,MATCH(R144,Cl_cle,0))&amp;"",""))</f>
        <v/>
      </c>
      <c r="V144" s="34">
        <f>IF(C144="","",YEAR(C144-WEEKDAY(C144,2)+4)&amp;"-S"&amp;TEXT(INT((C144-DATE(YEAR(C144-WEEKDAY(C144,2)+4),1,3)+WEEKDAY(DATE(YEAR(C144-WEEKDAY(C144,2)+4),1,3),2)+5)/7),"00"))</f>
        <v/>
      </c>
    </row>
    <row r="145" ht="18" customHeight="1">
      <c r="A145" s="39" t="n">
        <v>140</v>
      </c>
      <c r="B145" s="33">
        <f>IF(C145="","",IF(P145="À RENSEIGNER","GIC",P145)&amp;"-V"&amp;TEXT(A145,"00000"))</f>
        <v/>
      </c>
      <c r="C145" s="32" t="n"/>
      <c r="D145" s="35" t="n"/>
      <c r="E145" s="36" t="n"/>
      <c r="F145" s="36" t="n"/>
      <c r="G145" s="36" t="n"/>
      <c r="H145" s="36" t="n"/>
      <c r="I145" s="36" t="n"/>
      <c r="J145" s="37" t="n"/>
      <c r="K145" s="32" t="n"/>
      <c r="L145" s="36" t="n"/>
      <c r="M145" s="41" t="n"/>
      <c r="N145" s="41" t="n"/>
      <c r="O145" s="36" t="n"/>
      <c r="P145" s="33">
        <f>IF(C145="","",Commercial_Id)</f>
        <v/>
      </c>
      <c r="Q145" s="39">
        <f>IF(F145="","",IFERROR(VALUE(MID(F145,LEN(F145)-3,3)),""))</f>
        <v/>
      </c>
      <c r="R145" s="33">
        <f>IF(Q145="","",P145&amp;"|"&amp;Q145)</f>
        <v/>
      </c>
      <c r="S145" s="33">
        <f>IF(Q145="","",IF(P145="À RENSEIGNER","GIC",P145)&amp;"-"&amp;TEXT(Q145,"000"))</f>
        <v/>
      </c>
      <c r="T145" s="33">
        <f>IF(R145="","",IFERROR(INDEX(Cl_nom,MATCH(R145,Cl_cle,0)),"(client introuvable)"))</f>
        <v/>
      </c>
      <c r="U145" s="33">
        <f>IF(R145="","",IFERROR(INDEX(Cl_quartier,MATCH(R145,Cl_cle,0))&amp;"",""))</f>
        <v/>
      </c>
      <c r="V145" s="34">
        <f>IF(C145="","",YEAR(C145-WEEKDAY(C145,2)+4)&amp;"-S"&amp;TEXT(INT((C145-DATE(YEAR(C145-WEEKDAY(C145,2)+4),1,3)+WEEKDAY(DATE(YEAR(C145-WEEKDAY(C145,2)+4),1,3),2)+5)/7),"00"))</f>
        <v/>
      </c>
    </row>
    <row r="146" ht="18" customHeight="1">
      <c r="A146" s="39" t="n">
        <v>141</v>
      </c>
      <c r="B146" s="33">
        <f>IF(C146="","",IF(P146="À RENSEIGNER","GIC",P146)&amp;"-V"&amp;TEXT(A146,"00000"))</f>
        <v/>
      </c>
      <c r="C146" s="32" t="n"/>
      <c r="D146" s="35" t="n"/>
      <c r="E146" s="36" t="n"/>
      <c r="F146" s="36" t="n"/>
      <c r="G146" s="36" t="n"/>
      <c r="H146" s="36" t="n"/>
      <c r="I146" s="36" t="n"/>
      <c r="J146" s="37" t="n"/>
      <c r="K146" s="32" t="n"/>
      <c r="L146" s="36" t="n"/>
      <c r="M146" s="41" t="n"/>
      <c r="N146" s="41" t="n"/>
      <c r="O146" s="36" t="n"/>
      <c r="P146" s="33">
        <f>IF(C146="","",Commercial_Id)</f>
        <v/>
      </c>
      <c r="Q146" s="39">
        <f>IF(F146="","",IFERROR(VALUE(MID(F146,LEN(F146)-3,3)),""))</f>
        <v/>
      </c>
      <c r="R146" s="33">
        <f>IF(Q146="","",P146&amp;"|"&amp;Q146)</f>
        <v/>
      </c>
      <c r="S146" s="33">
        <f>IF(Q146="","",IF(P146="À RENSEIGNER","GIC",P146)&amp;"-"&amp;TEXT(Q146,"000"))</f>
        <v/>
      </c>
      <c r="T146" s="33">
        <f>IF(R146="","",IFERROR(INDEX(Cl_nom,MATCH(R146,Cl_cle,0)),"(client introuvable)"))</f>
        <v/>
      </c>
      <c r="U146" s="33">
        <f>IF(R146="","",IFERROR(INDEX(Cl_quartier,MATCH(R146,Cl_cle,0))&amp;"",""))</f>
        <v/>
      </c>
      <c r="V146" s="34">
        <f>IF(C146="","",YEAR(C146-WEEKDAY(C146,2)+4)&amp;"-S"&amp;TEXT(INT((C146-DATE(YEAR(C146-WEEKDAY(C146,2)+4),1,3)+WEEKDAY(DATE(YEAR(C146-WEEKDAY(C146,2)+4),1,3),2)+5)/7),"00"))</f>
        <v/>
      </c>
    </row>
    <row r="147" ht="18" customHeight="1">
      <c r="A147" s="39" t="n">
        <v>142</v>
      </c>
      <c r="B147" s="33">
        <f>IF(C147="","",IF(P147="À RENSEIGNER","GIC",P147)&amp;"-V"&amp;TEXT(A147,"00000"))</f>
        <v/>
      </c>
      <c r="C147" s="32" t="n"/>
      <c r="D147" s="35" t="n"/>
      <c r="E147" s="36" t="n"/>
      <c r="F147" s="36" t="n"/>
      <c r="G147" s="36" t="n"/>
      <c r="H147" s="36" t="n"/>
      <c r="I147" s="36" t="n"/>
      <c r="J147" s="37" t="n"/>
      <c r="K147" s="32" t="n"/>
      <c r="L147" s="36" t="n"/>
      <c r="M147" s="41" t="n"/>
      <c r="N147" s="41" t="n"/>
      <c r="O147" s="36" t="n"/>
      <c r="P147" s="33">
        <f>IF(C147="","",Commercial_Id)</f>
        <v/>
      </c>
      <c r="Q147" s="39">
        <f>IF(F147="","",IFERROR(VALUE(MID(F147,LEN(F147)-3,3)),""))</f>
        <v/>
      </c>
      <c r="R147" s="33">
        <f>IF(Q147="","",P147&amp;"|"&amp;Q147)</f>
        <v/>
      </c>
      <c r="S147" s="33">
        <f>IF(Q147="","",IF(P147="À RENSEIGNER","GIC",P147)&amp;"-"&amp;TEXT(Q147,"000"))</f>
        <v/>
      </c>
      <c r="T147" s="33">
        <f>IF(R147="","",IFERROR(INDEX(Cl_nom,MATCH(R147,Cl_cle,0)),"(client introuvable)"))</f>
        <v/>
      </c>
      <c r="U147" s="33">
        <f>IF(R147="","",IFERROR(INDEX(Cl_quartier,MATCH(R147,Cl_cle,0))&amp;"",""))</f>
        <v/>
      </c>
      <c r="V147" s="34">
        <f>IF(C147="","",YEAR(C147-WEEKDAY(C147,2)+4)&amp;"-S"&amp;TEXT(INT((C147-DATE(YEAR(C147-WEEKDAY(C147,2)+4),1,3)+WEEKDAY(DATE(YEAR(C147-WEEKDAY(C147,2)+4),1,3),2)+5)/7),"00"))</f>
        <v/>
      </c>
    </row>
    <row r="148" ht="18" customHeight="1">
      <c r="A148" s="39" t="n">
        <v>143</v>
      </c>
      <c r="B148" s="33">
        <f>IF(C148="","",IF(P148="À RENSEIGNER","GIC",P148)&amp;"-V"&amp;TEXT(A148,"00000"))</f>
        <v/>
      </c>
      <c r="C148" s="32" t="n"/>
      <c r="D148" s="35" t="n"/>
      <c r="E148" s="36" t="n"/>
      <c r="F148" s="36" t="n"/>
      <c r="G148" s="36" t="n"/>
      <c r="H148" s="36" t="n"/>
      <c r="I148" s="36" t="n"/>
      <c r="J148" s="37" t="n"/>
      <c r="K148" s="32" t="n"/>
      <c r="L148" s="36" t="n"/>
      <c r="M148" s="41" t="n"/>
      <c r="N148" s="41" t="n"/>
      <c r="O148" s="36" t="n"/>
      <c r="P148" s="33">
        <f>IF(C148="","",Commercial_Id)</f>
        <v/>
      </c>
      <c r="Q148" s="39">
        <f>IF(F148="","",IFERROR(VALUE(MID(F148,LEN(F148)-3,3)),""))</f>
        <v/>
      </c>
      <c r="R148" s="33">
        <f>IF(Q148="","",P148&amp;"|"&amp;Q148)</f>
        <v/>
      </c>
      <c r="S148" s="33">
        <f>IF(Q148="","",IF(P148="À RENSEIGNER","GIC",P148)&amp;"-"&amp;TEXT(Q148,"000"))</f>
        <v/>
      </c>
      <c r="T148" s="33">
        <f>IF(R148="","",IFERROR(INDEX(Cl_nom,MATCH(R148,Cl_cle,0)),"(client introuvable)"))</f>
        <v/>
      </c>
      <c r="U148" s="33">
        <f>IF(R148="","",IFERROR(INDEX(Cl_quartier,MATCH(R148,Cl_cle,0))&amp;"",""))</f>
        <v/>
      </c>
      <c r="V148" s="34">
        <f>IF(C148="","",YEAR(C148-WEEKDAY(C148,2)+4)&amp;"-S"&amp;TEXT(INT((C148-DATE(YEAR(C148-WEEKDAY(C148,2)+4),1,3)+WEEKDAY(DATE(YEAR(C148-WEEKDAY(C148,2)+4),1,3),2)+5)/7),"00"))</f>
        <v/>
      </c>
    </row>
    <row r="149" ht="18" customHeight="1">
      <c r="A149" s="39" t="n">
        <v>144</v>
      </c>
      <c r="B149" s="33">
        <f>IF(C149="","",IF(P149="À RENSEIGNER","GIC",P149)&amp;"-V"&amp;TEXT(A149,"00000"))</f>
        <v/>
      </c>
      <c r="C149" s="32" t="n"/>
      <c r="D149" s="35" t="n"/>
      <c r="E149" s="36" t="n"/>
      <c r="F149" s="36" t="n"/>
      <c r="G149" s="36" t="n"/>
      <c r="H149" s="36" t="n"/>
      <c r="I149" s="36" t="n"/>
      <c r="J149" s="37" t="n"/>
      <c r="K149" s="32" t="n"/>
      <c r="L149" s="36" t="n"/>
      <c r="M149" s="41" t="n"/>
      <c r="N149" s="41" t="n"/>
      <c r="O149" s="36" t="n"/>
      <c r="P149" s="33">
        <f>IF(C149="","",Commercial_Id)</f>
        <v/>
      </c>
      <c r="Q149" s="39">
        <f>IF(F149="","",IFERROR(VALUE(MID(F149,LEN(F149)-3,3)),""))</f>
        <v/>
      </c>
      <c r="R149" s="33">
        <f>IF(Q149="","",P149&amp;"|"&amp;Q149)</f>
        <v/>
      </c>
      <c r="S149" s="33">
        <f>IF(Q149="","",IF(P149="À RENSEIGNER","GIC",P149)&amp;"-"&amp;TEXT(Q149,"000"))</f>
        <v/>
      </c>
      <c r="T149" s="33">
        <f>IF(R149="","",IFERROR(INDEX(Cl_nom,MATCH(R149,Cl_cle,0)),"(client introuvable)"))</f>
        <v/>
      </c>
      <c r="U149" s="33">
        <f>IF(R149="","",IFERROR(INDEX(Cl_quartier,MATCH(R149,Cl_cle,0))&amp;"",""))</f>
        <v/>
      </c>
      <c r="V149" s="34">
        <f>IF(C149="","",YEAR(C149-WEEKDAY(C149,2)+4)&amp;"-S"&amp;TEXT(INT((C149-DATE(YEAR(C149-WEEKDAY(C149,2)+4),1,3)+WEEKDAY(DATE(YEAR(C149-WEEKDAY(C149,2)+4),1,3),2)+5)/7),"00"))</f>
        <v/>
      </c>
    </row>
    <row r="150" ht="18" customHeight="1">
      <c r="A150" s="39" t="n">
        <v>145</v>
      </c>
      <c r="B150" s="33">
        <f>IF(C150="","",IF(P150="À RENSEIGNER","GIC",P150)&amp;"-V"&amp;TEXT(A150,"00000"))</f>
        <v/>
      </c>
      <c r="C150" s="32" t="n"/>
      <c r="D150" s="35" t="n"/>
      <c r="E150" s="36" t="n"/>
      <c r="F150" s="36" t="n"/>
      <c r="G150" s="36" t="n"/>
      <c r="H150" s="36" t="n"/>
      <c r="I150" s="36" t="n"/>
      <c r="J150" s="37" t="n"/>
      <c r="K150" s="32" t="n"/>
      <c r="L150" s="36" t="n"/>
      <c r="M150" s="41" t="n"/>
      <c r="N150" s="41" t="n"/>
      <c r="O150" s="36" t="n"/>
      <c r="P150" s="33">
        <f>IF(C150="","",Commercial_Id)</f>
        <v/>
      </c>
      <c r="Q150" s="39">
        <f>IF(F150="","",IFERROR(VALUE(MID(F150,LEN(F150)-3,3)),""))</f>
        <v/>
      </c>
      <c r="R150" s="33">
        <f>IF(Q150="","",P150&amp;"|"&amp;Q150)</f>
        <v/>
      </c>
      <c r="S150" s="33">
        <f>IF(Q150="","",IF(P150="À RENSEIGNER","GIC",P150)&amp;"-"&amp;TEXT(Q150,"000"))</f>
        <v/>
      </c>
      <c r="T150" s="33">
        <f>IF(R150="","",IFERROR(INDEX(Cl_nom,MATCH(R150,Cl_cle,0)),"(client introuvable)"))</f>
        <v/>
      </c>
      <c r="U150" s="33">
        <f>IF(R150="","",IFERROR(INDEX(Cl_quartier,MATCH(R150,Cl_cle,0))&amp;"",""))</f>
        <v/>
      </c>
      <c r="V150" s="34">
        <f>IF(C150="","",YEAR(C150-WEEKDAY(C150,2)+4)&amp;"-S"&amp;TEXT(INT((C150-DATE(YEAR(C150-WEEKDAY(C150,2)+4),1,3)+WEEKDAY(DATE(YEAR(C150-WEEKDAY(C150,2)+4),1,3),2)+5)/7),"00"))</f>
        <v/>
      </c>
    </row>
    <row r="151" ht="18" customHeight="1">
      <c r="A151" s="39" t="n">
        <v>146</v>
      </c>
      <c r="B151" s="33">
        <f>IF(C151="","",IF(P151="À RENSEIGNER","GIC",P151)&amp;"-V"&amp;TEXT(A151,"00000"))</f>
        <v/>
      </c>
      <c r="C151" s="32" t="n"/>
      <c r="D151" s="35" t="n"/>
      <c r="E151" s="36" t="n"/>
      <c r="F151" s="36" t="n"/>
      <c r="G151" s="36" t="n"/>
      <c r="H151" s="36" t="n"/>
      <c r="I151" s="36" t="n"/>
      <c r="J151" s="37" t="n"/>
      <c r="K151" s="32" t="n"/>
      <c r="L151" s="36" t="n"/>
      <c r="M151" s="41" t="n"/>
      <c r="N151" s="41" t="n"/>
      <c r="O151" s="36" t="n"/>
      <c r="P151" s="33">
        <f>IF(C151="","",Commercial_Id)</f>
        <v/>
      </c>
      <c r="Q151" s="39">
        <f>IF(F151="","",IFERROR(VALUE(MID(F151,LEN(F151)-3,3)),""))</f>
        <v/>
      </c>
      <c r="R151" s="33">
        <f>IF(Q151="","",P151&amp;"|"&amp;Q151)</f>
        <v/>
      </c>
      <c r="S151" s="33">
        <f>IF(Q151="","",IF(P151="À RENSEIGNER","GIC",P151)&amp;"-"&amp;TEXT(Q151,"000"))</f>
        <v/>
      </c>
      <c r="T151" s="33">
        <f>IF(R151="","",IFERROR(INDEX(Cl_nom,MATCH(R151,Cl_cle,0)),"(client introuvable)"))</f>
        <v/>
      </c>
      <c r="U151" s="33">
        <f>IF(R151="","",IFERROR(INDEX(Cl_quartier,MATCH(R151,Cl_cle,0))&amp;"",""))</f>
        <v/>
      </c>
      <c r="V151" s="34">
        <f>IF(C151="","",YEAR(C151-WEEKDAY(C151,2)+4)&amp;"-S"&amp;TEXT(INT((C151-DATE(YEAR(C151-WEEKDAY(C151,2)+4),1,3)+WEEKDAY(DATE(YEAR(C151-WEEKDAY(C151,2)+4),1,3),2)+5)/7),"00"))</f>
        <v/>
      </c>
    </row>
    <row r="152" ht="18" customHeight="1">
      <c r="A152" s="39" t="n">
        <v>147</v>
      </c>
      <c r="B152" s="33">
        <f>IF(C152="","",IF(P152="À RENSEIGNER","GIC",P152)&amp;"-V"&amp;TEXT(A152,"00000"))</f>
        <v/>
      </c>
      <c r="C152" s="32" t="n"/>
      <c r="D152" s="35" t="n"/>
      <c r="E152" s="36" t="n"/>
      <c r="F152" s="36" t="n"/>
      <c r="G152" s="36" t="n"/>
      <c r="H152" s="36" t="n"/>
      <c r="I152" s="36" t="n"/>
      <c r="J152" s="37" t="n"/>
      <c r="K152" s="32" t="n"/>
      <c r="L152" s="36" t="n"/>
      <c r="M152" s="41" t="n"/>
      <c r="N152" s="41" t="n"/>
      <c r="O152" s="36" t="n"/>
      <c r="P152" s="33">
        <f>IF(C152="","",Commercial_Id)</f>
        <v/>
      </c>
      <c r="Q152" s="39">
        <f>IF(F152="","",IFERROR(VALUE(MID(F152,LEN(F152)-3,3)),""))</f>
        <v/>
      </c>
      <c r="R152" s="33">
        <f>IF(Q152="","",P152&amp;"|"&amp;Q152)</f>
        <v/>
      </c>
      <c r="S152" s="33">
        <f>IF(Q152="","",IF(P152="À RENSEIGNER","GIC",P152)&amp;"-"&amp;TEXT(Q152,"000"))</f>
        <v/>
      </c>
      <c r="T152" s="33">
        <f>IF(R152="","",IFERROR(INDEX(Cl_nom,MATCH(R152,Cl_cle,0)),"(client introuvable)"))</f>
        <v/>
      </c>
      <c r="U152" s="33">
        <f>IF(R152="","",IFERROR(INDEX(Cl_quartier,MATCH(R152,Cl_cle,0))&amp;"",""))</f>
        <v/>
      </c>
      <c r="V152" s="34">
        <f>IF(C152="","",YEAR(C152-WEEKDAY(C152,2)+4)&amp;"-S"&amp;TEXT(INT((C152-DATE(YEAR(C152-WEEKDAY(C152,2)+4),1,3)+WEEKDAY(DATE(YEAR(C152-WEEKDAY(C152,2)+4),1,3),2)+5)/7),"00"))</f>
        <v/>
      </c>
    </row>
    <row r="153" ht="18" customHeight="1">
      <c r="A153" s="39" t="n">
        <v>148</v>
      </c>
      <c r="B153" s="33">
        <f>IF(C153="","",IF(P153="À RENSEIGNER","GIC",P153)&amp;"-V"&amp;TEXT(A153,"00000"))</f>
        <v/>
      </c>
      <c r="C153" s="32" t="n"/>
      <c r="D153" s="35" t="n"/>
      <c r="E153" s="36" t="n"/>
      <c r="F153" s="36" t="n"/>
      <c r="G153" s="36" t="n"/>
      <c r="H153" s="36" t="n"/>
      <c r="I153" s="36" t="n"/>
      <c r="J153" s="37" t="n"/>
      <c r="K153" s="32" t="n"/>
      <c r="L153" s="36" t="n"/>
      <c r="M153" s="41" t="n"/>
      <c r="N153" s="41" t="n"/>
      <c r="O153" s="36" t="n"/>
      <c r="P153" s="33">
        <f>IF(C153="","",Commercial_Id)</f>
        <v/>
      </c>
      <c r="Q153" s="39">
        <f>IF(F153="","",IFERROR(VALUE(MID(F153,LEN(F153)-3,3)),""))</f>
        <v/>
      </c>
      <c r="R153" s="33">
        <f>IF(Q153="","",P153&amp;"|"&amp;Q153)</f>
        <v/>
      </c>
      <c r="S153" s="33">
        <f>IF(Q153="","",IF(P153="À RENSEIGNER","GIC",P153)&amp;"-"&amp;TEXT(Q153,"000"))</f>
        <v/>
      </c>
      <c r="T153" s="33">
        <f>IF(R153="","",IFERROR(INDEX(Cl_nom,MATCH(R153,Cl_cle,0)),"(client introuvable)"))</f>
        <v/>
      </c>
      <c r="U153" s="33">
        <f>IF(R153="","",IFERROR(INDEX(Cl_quartier,MATCH(R153,Cl_cle,0))&amp;"",""))</f>
        <v/>
      </c>
      <c r="V153" s="34">
        <f>IF(C153="","",YEAR(C153-WEEKDAY(C153,2)+4)&amp;"-S"&amp;TEXT(INT((C153-DATE(YEAR(C153-WEEKDAY(C153,2)+4),1,3)+WEEKDAY(DATE(YEAR(C153-WEEKDAY(C153,2)+4),1,3),2)+5)/7),"00"))</f>
        <v/>
      </c>
    </row>
    <row r="154" ht="18" customHeight="1">
      <c r="A154" s="39" t="n">
        <v>149</v>
      </c>
      <c r="B154" s="33">
        <f>IF(C154="","",IF(P154="À RENSEIGNER","GIC",P154)&amp;"-V"&amp;TEXT(A154,"00000"))</f>
        <v/>
      </c>
      <c r="C154" s="32" t="n"/>
      <c r="D154" s="35" t="n"/>
      <c r="E154" s="36" t="n"/>
      <c r="F154" s="36" t="n"/>
      <c r="G154" s="36" t="n"/>
      <c r="H154" s="36" t="n"/>
      <c r="I154" s="36" t="n"/>
      <c r="J154" s="37" t="n"/>
      <c r="K154" s="32" t="n"/>
      <c r="L154" s="36" t="n"/>
      <c r="M154" s="41" t="n"/>
      <c r="N154" s="41" t="n"/>
      <c r="O154" s="36" t="n"/>
      <c r="P154" s="33">
        <f>IF(C154="","",Commercial_Id)</f>
        <v/>
      </c>
      <c r="Q154" s="39">
        <f>IF(F154="","",IFERROR(VALUE(MID(F154,LEN(F154)-3,3)),""))</f>
        <v/>
      </c>
      <c r="R154" s="33">
        <f>IF(Q154="","",P154&amp;"|"&amp;Q154)</f>
        <v/>
      </c>
      <c r="S154" s="33">
        <f>IF(Q154="","",IF(P154="À RENSEIGNER","GIC",P154)&amp;"-"&amp;TEXT(Q154,"000"))</f>
        <v/>
      </c>
      <c r="T154" s="33">
        <f>IF(R154="","",IFERROR(INDEX(Cl_nom,MATCH(R154,Cl_cle,0)),"(client introuvable)"))</f>
        <v/>
      </c>
      <c r="U154" s="33">
        <f>IF(R154="","",IFERROR(INDEX(Cl_quartier,MATCH(R154,Cl_cle,0))&amp;"",""))</f>
        <v/>
      </c>
      <c r="V154" s="34">
        <f>IF(C154="","",YEAR(C154-WEEKDAY(C154,2)+4)&amp;"-S"&amp;TEXT(INT((C154-DATE(YEAR(C154-WEEKDAY(C154,2)+4),1,3)+WEEKDAY(DATE(YEAR(C154-WEEKDAY(C154,2)+4),1,3),2)+5)/7),"00"))</f>
        <v/>
      </c>
    </row>
    <row r="155" ht="18" customHeight="1">
      <c r="A155" s="39" t="n">
        <v>150</v>
      </c>
      <c r="B155" s="33">
        <f>IF(C155="","",IF(P155="À RENSEIGNER","GIC",P155)&amp;"-V"&amp;TEXT(A155,"00000"))</f>
        <v/>
      </c>
      <c r="C155" s="32" t="n"/>
      <c r="D155" s="35" t="n"/>
      <c r="E155" s="36" t="n"/>
      <c r="F155" s="36" t="n"/>
      <c r="G155" s="36" t="n"/>
      <c r="H155" s="36" t="n"/>
      <c r="I155" s="36" t="n"/>
      <c r="J155" s="37" t="n"/>
      <c r="K155" s="32" t="n"/>
      <c r="L155" s="36" t="n"/>
      <c r="M155" s="41" t="n"/>
      <c r="N155" s="41" t="n"/>
      <c r="O155" s="36" t="n"/>
      <c r="P155" s="33">
        <f>IF(C155="","",Commercial_Id)</f>
        <v/>
      </c>
      <c r="Q155" s="39">
        <f>IF(F155="","",IFERROR(VALUE(MID(F155,LEN(F155)-3,3)),""))</f>
        <v/>
      </c>
      <c r="R155" s="33">
        <f>IF(Q155="","",P155&amp;"|"&amp;Q155)</f>
        <v/>
      </c>
      <c r="S155" s="33">
        <f>IF(Q155="","",IF(P155="À RENSEIGNER","GIC",P155)&amp;"-"&amp;TEXT(Q155,"000"))</f>
        <v/>
      </c>
      <c r="T155" s="33">
        <f>IF(R155="","",IFERROR(INDEX(Cl_nom,MATCH(R155,Cl_cle,0)),"(client introuvable)"))</f>
        <v/>
      </c>
      <c r="U155" s="33">
        <f>IF(R155="","",IFERROR(INDEX(Cl_quartier,MATCH(R155,Cl_cle,0))&amp;"",""))</f>
        <v/>
      </c>
      <c r="V155" s="34">
        <f>IF(C155="","",YEAR(C155-WEEKDAY(C155,2)+4)&amp;"-S"&amp;TEXT(INT((C155-DATE(YEAR(C155-WEEKDAY(C155,2)+4),1,3)+WEEKDAY(DATE(YEAR(C155-WEEKDAY(C155,2)+4),1,3),2)+5)/7),"00"))</f>
        <v/>
      </c>
    </row>
    <row r="156" ht="18" customHeight="1">
      <c r="A156" s="39" t="n">
        <v>151</v>
      </c>
      <c r="B156" s="33">
        <f>IF(C156="","",IF(P156="À RENSEIGNER","GIC",P156)&amp;"-V"&amp;TEXT(A156,"00000"))</f>
        <v/>
      </c>
      <c r="C156" s="32" t="n"/>
      <c r="D156" s="35" t="n"/>
      <c r="E156" s="36" t="n"/>
      <c r="F156" s="36" t="n"/>
      <c r="G156" s="36" t="n"/>
      <c r="H156" s="36" t="n"/>
      <c r="I156" s="36" t="n"/>
      <c r="J156" s="37" t="n"/>
      <c r="K156" s="32" t="n"/>
      <c r="L156" s="36" t="n"/>
      <c r="M156" s="41" t="n"/>
      <c r="N156" s="41" t="n"/>
      <c r="O156" s="36" t="n"/>
      <c r="P156" s="33">
        <f>IF(C156="","",Commercial_Id)</f>
        <v/>
      </c>
      <c r="Q156" s="39">
        <f>IF(F156="","",IFERROR(VALUE(MID(F156,LEN(F156)-3,3)),""))</f>
        <v/>
      </c>
      <c r="R156" s="33">
        <f>IF(Q156="","",P156&amp;"|"&amp;Q156)</f>
        <v/>
      </c>
      <c r="S156" s="33">
        <f>IF(Q156="","",IF(P156="À RENSEIGNER","GIC",P156)&amp;"-"&amp;TEXT(Q156,"000"))</f>
        <v/>
      </c>
      <c r="T156" s="33">
        <f>IF(R156="","",IFERROR(INDEX(Cl_nom,MATCH(R156,Cl_cle,0)),"(client introuvable)"))</f>
        <v/>
      </c>
      <c r="U156" s="33">
        <f>IF(R156="","",IFERROR(INDEX(Cl_quartier,MATCH(R156,Cl_cle,0))&amp;"",""))</f>
        <v/>
      </c>
      <c r="V156" s="34">
        <f>IF(C156="","",YEAR(C156-WEEKDAY(C156,2)+4)&amp;"-S"&amp;TEXT(INT((C156-DATE(YEAR(C156-WEEKDAY(C156,2)+4),1,3)+WEEKDAY(DATE(YEAR(C156-WEEKDAY(C156,2)+4),1,3),2)+5)/7),"00"))</f>
        <v/>
      </c>
    </row>
    <row r="157" ht="18" customHeight="1">
      <c r="A157" s="39" t="n">
        <v>152</v>
      </c>
      <c r="B157" s="33">
        <f>IF(C157="","",IF(P157="À RENSEIGNER","GIC",P157)&amp;"-V"&amp;TEXT(A157,"00000"))</f>
        <v/>
      </c>
      <c r="C157" s="32" t="n"/>
      <c r="D157" s="35" t="n"/>
      <c r="E157" s="36" t="n"/>
      <c r="F157" s="36" t="n"/>
      <c r="G157" s="36" t="n"/>
      <c r="H157" s="36" t="n"/>
      <c r="I157" s="36" t="n"/>
      <c r="J157" s="37" t="n"/>
      <c r="K157" s="32" t="n"/>
      <c r="L157" s="36" t="n"/>
      <c r="M157" s="41" t="n"/>
      <c r="N157" s="41" t="n"/>
      <c r="O157" s="36" t="n"/>
      <c r="P157" s="33">
        <f>IF(C157="","",Commercial_Id)</f>
        <v/>
      </c>
      <c r="Q157" s="39">
        <f>IF(F157="","",IFERROR(VALUE(MID(F157,LEN(F157)-3,3)),""))</f>
        <v/>
      </c>
      <c r="R157" s="33">
        <f>IF(Q157="","",P157&amp;"|"&amp;Q157)</f>
        <v/>
      </c>
      <c r="S157" s="33">
        <f>IF(Q157="","",IF(P157="À RENSEIGNER","GIC",P157)&amp;"-"&amp;TEXT(Q157,"000"))</f>
        <v/>
      </c>
      <c r="T157" s="33">
        <f>IF(R157="","",IFERROR(INDEX(Cl_nom,MATCH(R157,Cl_cle,0)),"(client introuvable)"))</f>
        <v/>
      </c>
      <c r="U157" s="33">
        <f>IF(R157="","",IFERROR(INDEX(Cl_quartier,MATCH(R157,Cl_cle,0))&amp;"",""))</f>
        <v/>
      </c>
      <c r="V157" s="34">
        <f>IF(C157="","",YEAR(C157-WEEKDAY(C157,2)+4)&amp;"-S"&amp;TEXT(INT((C157-DATE(YEAR(C157-WEEKDAY(C157,2)+4),1,3)+WEEKDAY(DATE(YEAR(C157-WEEKDAY(C157,2)+4),1,3),2)+5)/7),"00"))</f>
        <v/>
      </c>
    </row>
    <row r="158" ht="18" customHeight="1">
      <c r="A158" s="39" t="n">
        <v>153</v>
      </c>
      <c r="B158" s="33">
        <f>IF(C158="","",IF(P158="À RENSEIGNER","GIC",P158)&amp;"-V"&amp;TEXT(A158,"00000"))</f>
        <v/>
      </c>
      <c r="C158" s="32" t="n"/>
      <c r="D158" s="35" t="n"/>
      <c r="E158" s="36" t="n"/>
      <c r="F158" s="36" t="n"/>
      <c r="G158" s="36" t="n"/>
      <c r="H158" s="36" t="n"/>
      <c r="I158" s="36" t="n"/>
      <c r="J158" s="37" t="n"/>
      <c r="K158" s="32" t="n"/>
      <c r="L158" s="36" t="n"/>
      <c r="M158" s="41" t="n"/>
      <c r="N158" s="41" t="n"/>
      <c r="O158" s="36" t="n"/>
      <c r="P158" s="33">
        <f>IF(C158="","",Commercial_Id)</f>
        <v/>
      </c>
      <c r="Q158" s="39">
        <f>IF(F158="","",IFERROR(VALUE(MID(F158,LEN(F158)-3,3)),""))</f>
        <v/>
      </c>
      <c r="R158" s="33">
        <f>IF(Q158="","",P158&amp;"|"&amp;Q158)</f>
        <v/>
      </c>
      <c r="S158" s="33">
        <f>IF(Q158="","",IF(P158="À RENSEIGNER","GIC",P158)&amp;"-"&amp;TEXT(Q158,"000"))</f>
        <v/>
      </c>
      <c r="T158" s="33">
        <f>IF(R158="","",IFERROR(INDEX(Cl_nom,MATCH(R158,Cl_cle,0)),"(client introuvable)"))</f>
        <v/>
      </c>
      <c r="U158" s="33">
        <f>IF(R158="","",IFERROR(INDEX(Cl_quartier,MATCH(R158,Cl_cle,0))&amp;"",""))</f>
        <v/>
      </c>
      <c r="V158" s="34">
        <f>IF(C158="","",YEAR(C158-WEEKDAY(C158,2)+4)&amp;"-S"&amp;TEXT(INT((C158-DATE(YEAR(C158-WEEKDAY(C158,2)+4),1,3)+WEEKDAY(DATE(YEAR(C158-WEEKDAY(C158,2)+4),1,3),2)+5)/7),"00"))</f>
        <v/>
      </c>
    </row>
    <row r="159" ht="18" customHeight="1">
      <c r="A159" s="39" t="n">
        <v>154</v>
      </c>
      <c r="B159" s="33">
        <f>IF(C159="","",IF(P159="À RENSEIGNER","GIC",P159)&amp;"-V"&amp;TEXT(A159,"00000"))</f>
        <v/>
      </c>
      <c r="C159" s="32" t="n"/>
      <c r="D159" s="35" t="n"/>
      <c r="E159" s="36" t="n"/>
      <c r="F159" s="36" t="n"/>
      <c r="G159" s="36" t="n"/>
      <c r="H159" s="36" t="n"/>
      <c r="I159" s="36" t="n"/>
      <c r="J159" s="37" t="n"/>
      <c r="K159" s="32" t="n"/>
      <c r="L159" s="36" t="n"/>
      <c r="M159" s="41" t="n"/>
      <c r="N159" s="41" t="n"/>
      <c r="O159" s="36" t="n"/>
      <c r="P159" s="33">
        <f>IF(C159="","",Commercial_Id)</f>
        <v/>
      </c>
      <c r="Q159" s="39">
        <f>IF(F159="","",IFERROR(VALUE(MID(F159,LEN(F159)-3,3)),""))</f>
        <v/>
      </c>
      <c r="R159" s="33">
        <f>IF(Q159="","",P159&amp;"|"&amp;Q159)</f>
        <v/>
      </c>
      <c r="S159" s="33">
        <f>IF(Q159="","",IF(P159="À RENSEIGNER","GIC",P159)&amp;"-"&amp;TEXT(Q159,"000"))</f>
        <v/>
      </c>
      <c r="T159" s="33">
        <f>IF(R159="","",IFERROR(INDEX(Cl_nom,MATCH(R159,Cl_cle,0)),"(client introuvable)"))</f>
        <v/>
      </c>
      <c r="U159" s="33">
        <f>IF(R159="","",IFERROR(INDEX(Cl_quartier,MATCH(R159,Cl_cle,0))&amp;"",""))</f>
        <v/>
      </c>
      <c r="V159" s="34">
        <f>IF(C159="","",YEAR(C159-WEEKDAY(C159,2)+4)&amp;"-S"&amp;TEXT(INT((C159-DATE(YEAR(C159-WEEKDAY(C159,2)+4),1,3)+WEEKDAY(DATE(YEAR(C159-WEEKDAY(C159,2)+4),1,3),2)+5)/7),"00"))</f>
        <v/>
      </c>
    </row>
    <row r="160" ht="18" customHeight="1">
      <c r="A160" s="39" t="n">
        <v>155</v>
      </c>
      <c r="B160" s="33">
        <f>IF(C160="","",IF(P160="À RENSEIGNER","GIC",P160)&amp;"-V"&amp;TEXT(A160,"00000"))</f>
        <v/>
      </c>
      <c r="C160" s="32" t="n"/>
      <c r="D160" s="35" t="n"/>
      <c r="E160" s="36" t="n"/>
      <c r="F160" s="36" t="n"/>
      <c r="G160" s="36" t="n"/>
      <c r="H160" s="36" t="n"/>
      <c r="I160" s="36" t="n"/>
      <c r="J160" s="37" t="n"/>
      <c r="K160" s="32" t="n"/>
      <c r="L160" s="36" t="n"/>
      <c r="M160" s="41" t="n"/>
      <c r="N160" s="41" t="n"/>
      <c r="O160" s="36" t="n"/>
      <c r="P160" s="33">
        <f>IF(C160="","",Commercial_Id)</f>
        <v/>
      </c>
      <c r="Q160" s="39">
        <f>IF(F160="","",IFERROR(VALUE(MID(F160,LEN(F160)-3,3)),""))</f>
        <v/>
      </c>
      <c r="R160" s="33">
        <f>IF(Q160="","",P160&amp;"|"&amp;Q160)</f>
        <v/>
      </c>
      <c r="S160" s="33">
        <f>IF(Q160="","",IF(P160="À RENSEIGNER","GIC",P160)&amp;"-"&amp;TEXT(Q160,"000"))</f>
        <v/>
      </c>
      <c r="T160" s="33">
        <f>IF(R160="","",IFERROR(INDEX(Cl_nom,MATCH(R160,Cl_cle,0)),"(client introuvable)"))</f>
        <v/>
      </c>
      <c r="U160" s="33">
        <f>IF(R160="","",IFERROR(INDEX(Cl_quartier,MATCH(R160,Cl_cle,0))&amp;"",""))</f>
        <v/>
      </c>
      <c r="V160" s="34">
        <f>IF(C160="","",YEAR(C160-WEEKDAY(C160,2)+4)&amp;"-S"&amp;TEXT(INT((C160-DATE(YEAR(C160-WEEKDAY(C160,2)+4),1,3)+WEEKDAY(DATE(YEAR(C160-WEEKDAY(C160,2)+4),1,3),2)+5)/7),"00"))</f>
        <v/>
      </c>
    </row>
    <row r="161" ht="18" customHeight="1">
      <c r="A161" s="39" t="n">
        <v>156</v>
      </c>
      <c r="B161" s="33">
        <f>IF(C161="","",IF(P161="À RENSEIGNER","GIC",P161)&amp;"-V"&amp;TEXT(A161,"00000"))</f>
        <v/>
      </c>
      <c r="C161" s="32" t="n"/>
      <c r="D161" s="35" t="n"/>
      <c r="E161" s="36" t="n"/>
      <c r="F161" s="36" t="n"/>
      <c r="G161" s="36" t="n"/>
      <c r="H161" s="36" t="n"/>
      <c r="I161" s="36" t="n"/>
      <c r="J161" s="37" t="n"/>
      <c r="K161" s="32" t="n"/>
      <c r="L161" s="36" t="n"/>
      <c r="M161" s="41" t="n"/>
      <c r="N161" s="41" t="n"/>
      <c r="O161" s="36" t="n"/>
      <c r="P161" s="33">
        <f>IF(C161="","",Commercial_Id)</f>
        <v/>
      </c>
      <c r="Q161" s="39">
        <f>IF(F161="","",IFERROR(VALUE(MID(F161,LEN(F161)-3,3)),""))</f>
        <v/>
      </c>
      <c r="R161" s="33">
        <f>IF(Q161="","",P161&amp;"|"&amp;Q161)</f>
        <v/>
      </c>
      <c r="S161" s="33">
        <f>IF(Q161="","",IF(P161="À RENSEIGNER","GIC",P161)&amp;"-"&amp;TEXT(Q161,"000"))</f>
        <v/>
      </c>
      <c r="T161" s="33">
        <f>IF(R161="","",IFERROR(INDEX(Cl_nom,MATCH(R161,Cl_cle,0)),"(client introuvable)"))</f>
        <v/>
      </c>
      <c r="U161" s="33">
        <f>IF(R161="","",IFERROR(INDEX(Cl_quartier,MATCH(R161,Cl_cle,0))&amp;"",""))</f>
        <v/>
      </c>
      <c r="V161" s="34">
        <f>IF(C161="","",YEAR(C161-WEEKDAY(C161,2)+4)&amp;"-S"&amp;TEXT(INT((C161-DATE(YEAR(C161-WEEKDAY(C161,2)+4),1,3)+WEEKDAY(DATE(YEAR(C161-WEEKDAY(C161,2)+4),1,3),2)+5)/7),"00"))</f>
        <v/>
      </c>
    </row>
    <row r="162" ht="18" customHeight="1">
      <c r="A162" s="39" t="n">
        <v>157</v>
      </c>
      <c r="B162" s="33">
        <f>IF(C162="","",IF(P162="À RENSEIGNER","GIC",P162)&amp;"-V"&amp;TEXT(A162,"00000"))</f>
        <v/>
      </c>
      <c r="C162" s="32" t="n"/>
      <c r="D162" s="35" t="n"/>
      <c r="E162" s="36" t="n"/>
      <c r="F162" s="36" t="n"/>
      <c r="G162" s="36" t="n"/>
      <c r="H162" s="36" t="n"/>
      <c r="I162" s="36" t="n"/>
      <c r="J162" s="37" t="n"/>
      <c r="K162" s="32" t="n"/>
      <c r="L162" s="36" t="n"/>
      <c r="M162" s="41" t="n"/>
      <c r="N162" s="41" t="n"/>
      <c r="O162" s="36" t="n"/>
      <c r="P162" s="33">
        <f>IF(C162="","",Commercial_Id)</f>
        <v/>
      </c>
      <c r="Q162" s="39">
        <f>IF(F162="","",IFERROR(VALUE(MID(F162,LEN(F162)-3,3)),""))</f>
        <v/>
      </c>
      <c r="R162" s="33">
        <f>IF(Q162="","",P162&amp;"|"&amp;Q162)</f>
        <v/>
      </c>
      <c r="S162" s="33">
        <f>IF(Q162="","",IF(P162="À RENSEIGNER","GIC",P162)&amp;"-"&amp;TEXT(Q162,"000"))</f>
        <v/>
      </c>
      <c r="T162" s="33">
        <f>IF(R162="","",IFERROR(INDEX(Cl_nom,MATCH(R162,Cl_cle,0)),"(client introuvable)"))</f>
        <v/>
      </c>
      <c r="U162" s="33">
        <f>IF(R162="","",IFERROR(INDEX(Cl_quartier,MATCH(R162,Cl_cle,0))&amp;"",""))</f>
        <v/>
      </c>
      <c r="V162" s="34">
        <f>IF(C162="","",YEAR(C162-WEEKDAY(C162,2)+4)&amp;"-S"&amp;TEXT(INT((C162-DATE(YEAR(C162-WEEKDAY(C162,2)+4),1,3)+WEEKDAY(DATE(YEAR(C162-WEEKDAY(C162,2)+4),1,3),2)+5)/7),"00"))</f>
        <v/>
      </c>
    </row>
    <row r="163" ht="18" customHeight="1">
      <c r="A163" s="39" t="n">
        <v>158</v>
      </c>
      <c r="B163" s="33">
        <f>IF(C163="","",IF(P163="À RENSEIGNER","GIC",P163)&amp;"-V"&amp;TEXT(A163,"00000"))</f>
        <v/>
      </c>
      <c r="C163" s="32" t="n"/>
      <c r="D163" s="35" t="n"/>
      <c r="E163" s="36" t="n"/>
      <c r="F163" s="36" t="n"/>
      <c r="G163" s="36" t="n"/>
      <c r="H163" s="36" t="n"/>
      <c r="I163" s="36" t="n"/>
      <c r="J163" s="37" t="n"/>
      <c r="K163" s="32" t="n"/>
      <c r="L163" s="36" t="n"/>
      <c r="M163" s="41" t="n"/>
      <c r="N163" s="41" t="n"/>
      <c r="O163" s="36" t="n"/>
      <c r="P163" s="33">
        <f>IF(C163="","",Commercial_Id)</f>
        <v/>
      </c>
      <c r="Q163" s="39">
        <f>IF(F163="","",IFERROR(VALUE(MID(F163,LEN(F163)-3,3)),""))</f>
        <v/>
      </c>
      <c r="R163" s="33">
        <f>IF(Q163="","",P163&amp;"|"&amp;Q163)</f>
        <v/>
      </c>
      <c r="S163" s="33">
        <f>IF(Q163="","",IF(P163="À RENSEIGNER","GIC",P163)&amp;"-"&amp;TEXT(Q163,"000"))</f>
        <v/>
      </c>
      <c r="T163" s="33">
        <f>IF(R163="","",IFERROR(INDEX(Cl_nom,MATCH(R163,Cl_cle,0)),"(client introuvable)"))</f>
        <v/>
      </c>
      <c r="U163" s="33">
        <f>IF(R163="","",IFERROR(INDEX(Cl_quartier,MATCH(R163,Cl_cle,0))&amp;"",""))</f>
        <v/>
      </c>
      <c r="V163" s="34">
        <f>IF(C163="","",YEAR(C163-WEEKDAY(C163,2)+4)&amp;"-S"&amp;TEXT(INT((C163-DATE(YEAR(C163-WEEKDAY(C163,2)+4),1,3)+WEEKDAY(DATE(YEAR(C163-WEEKDAY(C163,2)+4),1,3),2)+5)/7),"00"))</f>
        <v/>
      </c>
    </row>
    <row r="164" ht="18" customHeight="1">
      <c r="A164" s="39" t="n">
        <v>159</v>
      </c>
      <c r="B164" s="33">
        <f>IF(C164="","",IF(P164="À RENSEIGNER","GIC",P164)&amp;"-V"&amp;TEXT(A164,"00000"))</f>
        <v/>
      </c>
      <c r="C164" s="32" t="n"/>
      <c r="D164" s="35" t="n"/>
      <c r="E164" s="36" t="n"/>
      <c r="F164" s="36" t="n"/>
      <c r="G164" s="36" t="n"/>
      <c r="H164" s="36" t="n"/>
      <c r="I164" s="36" t="n"/>
      <c r="J164" s="37" t="n"/>
      <c r="K164" s="32" t="n"/>
      <c r="L164" s="36" t="n"/>
      <c r="M164" s="41" t="n"/>
      <c r="N164" s="41" t="n"/>
      <c r="O164" s="36" t="n"/>
      <c r="P164" s="33">
        <f>IF(C164="","",Commercial_Id)</f>
        <v/>
      </c>
      <c r="Q164" s="39">
        <f>IF(F164="","",IFERROR(VALUE(MID(F164,LEN(F164)-3,3)),""))</f>
        <v/>
      </c>
      <c r="R164" s="33">
        <f>IF(Q164="","",P164&amp;"|"&amp;Q164)</f>
        <v/>
      </c>
      <c r="S164" s="33">
        <f>IF(Q164="","",IF(P164="À RENSEIGNER","GIC",P164)&amp;"-"&amp;TEXT(Q164,"000"))</f>
        <v/>
      </c>
      <c r="T164" s="33">
        <f>IF(R164="","",IFERROR(INDEX(Cl_nom,MATCH(R164,Cl_cle,0)),"(client introuvable)"))</f>
        <v/>
      </c>
      <c r="U164" s="33">
        <f>IF(R164="","",IFERROR(INDEX(Cl_quartier,MATCH(R164,Cl_cle,0))&amp;"",""))</f>
        <v/>
      </c>
      <c r="V164" s="34">
        <f>IF(C164="","",YEAR(C164-WEEKDAY(C164,2)+4)&amp;"-S"&amp;TEXT(INT((C164-DATE(YEAR(C164-WEEKDAY(C164,2)+4),1,3)+WEEKDAY(DATE(YEAR(C164-WEEKDAY(C164,2)+4),1,3),2)+5)/7),"00"))</f>
        <v/>
      </c>
    </row>
    <row r="165" ht="18" customHeight="1">
      <c r="A165" s="39" t="n">
        <v>160</v>
      </c>
      <c r="B165" s="33">
        <f>IF(C165="","",IF(P165="À RENSEIGNER","GIC",P165)&amp;"-V"&amp;TEXT(A165,"00000"))</f>
        <v/>
      </c>
      <c r="C165" s="32" t="n"/>
      <c r="D165" s="35" t="n"/>
      <c r="E165" s="36" t="n"/>
      <c r="F165" s="36" t="n"/>
      <c r="G165" s="36" t="n"/>
      <c r="H165" s="36" t="n"/>
      <c r="I165" s="36" t="n"/>
      <c r="J165" s="37" t="n"/>
      <c r="K165" s="32" t="n"/>
      <c r="L165" s="36" t="n"/>
      <c r="M165" s="41" t="n"/>
      <c r="N165" s="41" t="n"/>
      <c r="O165" s="36" t="n"/>
      <c r="P165" s="33">
        <f>IF(C165="","",Commercial_Id)</f>
        <v/>
      </c>
      <c r="Q165" s="39">
        <f>IF(F165="","",IFERROR(VALUE(MID(F165,LEN(F165)-3,3)),""))</f>
        <v/>
      </c>
      <c r="R165" s="33">
        <f>IF(Q165="","",P165&amp;"|"&amp;Q165)</f>
        <v/>
      </c>
      <c r="S165" s="33">
        <f>IF(Q165="","",IF(P165="À RENSEIGNER","GIC",P165)&amp;"-"&amp;TEXT(Q165,"000"))</f>
        <v/>
      </c>
      <c r="T165" s="33">
        <f>IF(R165="","",IFERROR(INDEX(Cl_nom,MATCH(R165,Cl_cle,0)),"(client introuvable)"))</f>
        <v/>
      </c>
      <c r="U165" s="33">
        <f>IF(R165="","",IFERROR(INDEX(Cl_quartier,MATCH(R165,Cl_cle,0))&amp;"",""))</f>
        <v/>
      </c>
      <c r="V165" s="34">
        <f>IF(C165="","",YEAR(C165-WEEKDAY(C165,2)+4)&amp;"-S"&amp;TEXT(INT((C165-DATE(YEAR(C165-WEEKDAY(C165,2)+4),1,3)+WEEKDAY(DATE(YEAR(C165-WEEKDAY(C165,2)+4),1,3),2)+5)/7),"00"))</f>
        <v/>
      </c>
    </row>
    <row r="166" ht="18" customHeight="1">
      <c r="A166" s="39" t="n">
        <v>161</v>
      </c>
      <c r="B166" s="33">
        <f>IF(C166="","",IF(P166="À RENSEIGNER","GIC",P166)&amp;"-V"&amp;TEXT(A166,"00000"))</f>
        <v/>
      </c>
      <c r="C166" s="32" t="n"/>
      <c r="D166" s="35" t="n"/>
      <c r="E166" s="36" t="n"/>
      <c r="F166" s="36" t="n"/>
      <c r="G166" s="36" t="n"/>
      <c r="H166" s="36" t="n"/>
      <c r="I166" s="36" t="n"/>
      <c r="J166" s="37" t="n"/>
      <c r="K166" s="32" t="n"/>
      <c r="L166" s="36" t="n"/>
      <c r="M166" s="41" t="n"/>
      <c r="N166" s="41" t="n"/>
      <c r="O166" s="36" t="n"/>
      <c r="P166" s="33">
        <f>IF(C166="","",Commercial_Id)</f>
        <v/>
      </c>
      <c r="Q166" s="39">
        <f>IF(F166="","",IFERROR(VALUE(MID(F166,LEN(F166)-3,3)),""))</f>
        <v/>
      </c>
      <c r="R166" s="33">
        <f>IF(Q166="","",P166&amp;"|"&amp;Q166)</f>
        <v/>
      </c>
      <c r="S166" s="33">
        <f>IF(Q166="","",IF(P166="À RENSEIGNER","GIC",P166)&amp;"-"&amp;TEXT(Q166,"000"))</f>
        <v/>
      </c>
      <c r="T166" s="33">
        <f>IF(R166="","",IFERROR(INDEX(Cl_nom,MATCH(R166,Cl_cle,0)),"(client introuvable)"))</f>
        <v/>
      </c>
      <c r="U166" s="33">
        <f>IF(R166="","",IFERROR(INDEX(Cl_quartier,MATCH(R166,Cl_cle,0))&amp;"",""))</f>
        <v/>
      </c>
      <c r="V166" s="34">
        <f>IF(C166="","",YEAR(C166-WEEKDAY(C166,2)+4)&amp;"-S"&amp;TEXT(INT((C166-DATE(YEAR(C166-WEEKDAY(C166,2)+4),1,3)+WEEKDAY(DATE(YEAR(C166-WEEKDAY(C166,2)+4),1,3),2)+5)/7),"00"))</f>
        <v/>
      </c>
    </row>
    <row r="167" ht="18" customHeight="1">
      <c r="A167" s="39" t="n">
        <v>162</v>
      </c>
      <c r="B167" s="33">
        <f>IF(C167="","",IF(P167="À RENSEIGNER","GIC",P167)&amp;"-V"&amp;TEXT(A167,"00000"))</f>
        <v/>
      </c>
      <c r="C167" s="32" t="n"/>
      <c r="D167" s="35" t="n"/>
      <c r="E167" s="36" t="n"/>
      <c r="F167" s="36" t="n"/>
      <c r="G167" s="36" t="n"/>
      <c r="H167" s="36" t="n"/>
      <c r="I167" s="36" t="n"/>
      <c r="J167" s="37" t="n"/>
      <c r="K167" s="32" t="n"/>
      <c r="L167" s="36" t="n"/>
      <c r="M167" s="41" t="n"/>
      <c r="N167" s="41" t="n"/>
      <c r="O167" s="36" t="n"/>
      <c r="P167" s="33">
        <f>IF(C167="","",Commercial_Id)</f>
        <v/>
      </c>
      <c r="Q167" s="39">
        <f>IF(F167="","",IFERROR(VALUE(MID(F167,LEN(F167)-3,3)),""))</f>
        <v/>
      </c>
      <c r="R167" s="33">
        <f>IF(Q167="","",P167&amp;"|"&amp;Q167)</f>
        <v/>
      </c>
      <c r="S167" s="33">
        <f>IF(Q167="","",IF(P167="À RENSEIGNER","GIC",P167)&amp;"-"&amp;TEXT(Q167,"000"))</f>
        <v/>
      </c>
      <c r="T167" s="33">
        <f>IF(R167="","",IFERROR(INDEX(Cl_nom,MATCH(R167,Cl_cle,0)),"(client introuvable)"))</f>
        <v/>
      </c>
      <c r="U167" s="33">
        <f>IF(R167="","",IFERROR(INDEX(Cl_quartier,MATCH(R167,Cl_cle,0))&amp;"",""))</f>
        <v/>
      </c>
      <c r="V167" s="34">
        <f>IF(C167="","",YEAR(C167-WEEKDAY(C167,2)+4)&amp;"-S"&amp;TEXT(INT((C167-DATE(YEAR(C167-WEEKDAY(C167,2)+4),1,3)+WEEKDAY(DATE(YEAR(C167-WEEKDAY(C167,2)+4),1,3),2)+5)/7),"00"))</f>
        <v/>
      </c>
    </row>
    <row r="168" ht="18" customHeight="1">
      <c r="A168" s="39" t="n">
        <v>163</v>
      </c>
      <c r="B168" s="33">
        <f>IF(C168="","",IF(P168="À RENSEIGNER","GIC",P168)&amp;"-V"&amp;TEXT(A168,"00000"))</f>
        <v/>
      </c>
      <c r="C168" s="32" t="n"/>
      <c r="D168" s="35" t="n"/>
      <c r="E168" s="36" t="n"/>
      <c r="F168" s="36" t="n"/>
      <c r="G168" s="36" t="n"/>
      <c r="H168" s="36" t="n"/>
      <c r="I168" s="36" t="n"/>
      <c r="J168" s="37" t="n"/>
      <c r="K168" s="32" t="n"/>
      <c r="L168" s="36" t="n"/>
      <c r="M168" s="41" t="n"/>
      <c r="N168" s="41" t="n"/>
      <c r="O168" s="36" t="n"/>
      <c r="P168" s="33">
        <f>IF(C168="","",Commercial_Id)</f>
        <v/>
      </c>
      <c r="Q168" s="39">
        <f>IF(F168="","",IFERROR(VALUE(MID(F168,LEN(F168)-3,3)),""))</f>
        <v/>
      </c>
      <c r="R168" s="33">
        <f>IF(Q168="","",P168&amp;"|"&amp;Q168)</f>
        <v/>
      </c>
      <c r="S168" s="33">
        <f>IF(Q168="","",IF(P168="À RENSEIGNER","GIC",P168)&amp;"-"&amp;TEXT(Q168,"000"))</f>
        <v/>
      </c>
      <c r="T168" s="33">
        <f>IF(R168="","",IFERROR(INDEX(Cl_nom,MATCH(R168,Cl_cle,0)),"(client introuvable)"))</f>
        <v/>
      </c>
      <c r="U168" s="33">
        <f>IF(R168="","",IFERROR(INDEX(Cl_quartier,MATCH(R168,Cl_cle,0))&amp;"",""))</f>
        <v/>
      </c>
      <c r="V168" s="34">
        <f>IF(C168="","",YEAR(C168-WEEKDAY(C168,2)+4)&amp;"-S"&amp;TEXT(INT((C168-DATE(YEAR(C168-WEEKDAY(C168,2)+4),1,3)+WEEKDAY(DATE(YEAR(C168-WEEKDAY(C168,2)+4),1,3),2)+5)/7),"00"))</f>
        <v/>
      </c>
    </row>
    <row r="169" ht="18" customHeight="1">
      <c r="A169" s="39" t="n">
        <v>164</v>
      </c>
      <c r="B169" s="33">
        <f>IF(C169="","",IF(P169="À RENSEIGNER","GIC",P169)&amp;"-V"&amp;TEXT(A169,"00000"))</f>
        <v/>
      </c>
      <c r="C169" s="32" t="n"/>
      <c r="D169" s="35" t="n"/>
      <c r="E169" s="36" t="n"/>
      <c r="F169" s="36" t="n"/>
      <c r="G169" s="36" t="n"/>
      <c r="H169" s="36" t="n"/>
      <c r="I169" s="36" t="n"/>
      <c r="J169" s="37" t="n"/>
      <c r="K169" s="32" t="n"/>
      <c r="L169" s="36" t="n"/>
      <c r="M169" s="41" t="n"/>
      <c r="N169" s="41" t="n"/>
      <c r="O169" s="36" t="n"/>
      <c r="P169" s="33">
        <f>IF(C169="","",Commercial_Id)</f>
        <v/>
      </c>
      <c r="Q169" s="39">
        <f>IF(F169="","",IFERROR(VALUE(MID(F169,LEN(F169)-3,3)),""))</f>
        <v/>
      </c>
      <c r="R169" s="33">
        <f>IF(Q169="","",P169&amp;"|"&amp;Q169)</f>
        <v/>
      </c>
      <c r="S169" s="33">
        <f>IF(Q169="","",IF(P169="À RENSEIGNER","GIC",P169)&amp;"-"&amp;TEXT(Q169,"000"))</f>
        <v/>
      </c>
      <c r="T169" s="33">
        <f>IF(R169="","",IFERROR(INDEX(Cl_nom,MATCH(R169,Cl_cle,0)),"(client introuvable)"))</f>
        <v/>
      </c>
      <c r="U169" s="33">
        <f>IF(R169="","",IFERROR(INDEX(Cl_quartier,MATCH(R169,Cl_cle,0))&amp;"",""))</f>
        <v/>
      </c>
      <c r="V169" s="34">
        <f>IF(C169="","",YEAR(C169-WEEKDAY(C169,2)+4)&amp;"-S"&amp;TEXT(INT((C169-DATE(YEAR(C169-WEEKDAY(C169,2)+4),1,3)+WEEKDAY(DATE(YEAR(C169-WEEKDAY(C169,2)+4),1,3),2)+5)/7),"00"))</f>
        <v/>
      </c>
    </row>
    <row r="170" ht="18" customHeight="1">
      <c r="A170" s="39" t="n">
        <v>165</v>
      </c>
      <c r="B170" s="33">
        <f>IF(C170="","",IF(P170="À RENSEIGNER","GIC",P170)&amp;"-V"&amp;TEXT(A170,"00000"))</f>
        <v/>
      </c>
      <c r="C170" s="32" t="n"/>
      <c r="D170" s="35" t="n"/>
      <c r="E170" s="36" t="n"/>
      <c r="F170" s="36" t="n"/>
      <c r="G170" s="36" t="n"/>
      <c r="H170" s="36" t="n"/>
      <c r="I170" s="36" t="n"/>
      <c r="J170" s="37" t="n"/>
      <c r="K170" s="32" t="n"/>
      <c r="L170" s="36" t="n"/>
      <c r="M170" s="41" t="n"/>
      <c r="N170" s="41" t="n"/>
      <c r="O170" s="36" t="n"/>
      <c r="P170" s="33">
        <f>IF(C170="","",Commercial_Id)</f>
        <v/>
      </c>
      <c r="Q170" s="39">
        <f>IF(F170="","",IFERROR(VALUE(MID(F170,LEN(F170)-3,3)),""))</f>
        <v/>
      </c>
      <c r="R170" s="33">
        <f>IF(Q170="","",P170&amp;"|"&amp;Q170)</f>
        <v/>
      </c>
      <c r="S170" s="33">
        <f>IF(Q170="","",IF(P170="À RENSEIGNER","GIC",P170)&amp;"-"&amp;TEXT(Q170,"000"))</f>
        <v/>
      </c>
      <c r="T170" s="33">
        <f>IF(R170="","",IFERROR(INDEX(Cl_nom,MATCH(R170,Cl_cle,0)),"(client introuvable)"))</f>
        <v/>
      </c>
      <c r="U170" s="33">
        <f>IF(R170="","",IFERROR(INDEX(Cl_quartier,MATCH(R170,Cl_cle,0))&amp;"",""))</f>
        <v/>
      </c>
      <c r="V170" s="34">
        <f>IF(C170="","",YEAR(C170-WEEKDAY(C170,2)+4)&amp;"-S"&amp;TEXT(INT((C170-DATE(YEAR(C170-WEEKDAY(C170,2)+4),1,3)+WEEKDAY(DATE(YEAR(C170-WEEKDAY(C170,2)+4),1,3),2)+5)/7),"00"))</f>
        <v/>
      </c>
    </row>
    <row r="171" ht="18" customHeight="1">
      <c r="A171" s="39" t="n">
        <v>166</v>
      </c>
      <c r="B171" s="33">
        <f>IF(C171="","",IF(P171="À RENSEIGNER","GIC",P171)&amp;"-V"&amp;TEXT(A171,"00000"))</f>
        <v/>
      </c>
      <c r="C171" s="32" t="n"/>
      <c r="D171" s="35" t="n"/>
      <c r="E171" s="36" t="n"/>
      <c r="F171" s="36" t="n"/>
      <c r="G171" s="36" t="n"/>
      <c r="H171" s="36" t="n"/>
      <c r="I171" s="36" t="n"/>
      <c r="J171" s="37" t="n"/>
      <c r="K171" s="32" t="n"/>
      <c r="L171" s="36" t="n"/>
      <c r="M171" s="41" t="n"/>
      <c r="N171" s="41" t="n"/>
      <c r="O171" s="36" t="n"/>
      <c r="P171" s="33">
        <f>IF(C171="","",Commercial_Id)</f>
        <v/>
      </c>
      <c r="Q171" s="39">
        <f>IF(F171="","",IFERROR(VALUE(MID(F171,LEN(F171)-3,3)),""))</f>
        <v/>
      </c>
      <c r="R171" s="33">
        <f>IF(Q171="","",P171&amp;"|"&amp;Q171)</f>
        <v/>
      </c>
      <c r="S171" s="33">
        <f>IF(Q171="","",IF(P171="À RENSEIGNER","GIC",P171)&amp;"-"&amp;TEXT(Q171,"000"))</f>
        <v/>
      </c>
      <c r="T171" s="33">
        <f>IF(R171="","",IFERROR(INDEX(Cl_nom,MATCH(R171,Cl_cle,0)),"(client introuvable)"))</f>
        <v/>
      </c>
      <c r="U171" s="33">
        <f>IF(R171="","",IFERROR(INDEX(Cl_quartier,MATCH(R171,Cl_cle,0))&amp;"",""))</f>
        <v/>
      </c>
      <c r="V171" s="34">
        <f>IF(C171="","",YEAR(C171-WEEKDAY(C171,2)+4)&amp;"-S"&amp;TEXT(INT((C171-DATE(YEAR(C171-WEEKDAY(C171,2)+4),1,3)+WEEKDAY(DATE(YEAR(C171-WEEKDAY(C171,2)+4),1,3),2)+5)/7),"00"))</f>
        <v/>
      </c>
    </row>
    <row r="172" ht="18" customHeight="1">
      <c r="A172" s="39" t="n">
        <v>167</v>
      </c>
      <c r="B172" s="33">
        <f>IF(C172="","",IF(P172="À RENSEIGNER","GIC",P172)&amp;"-V"&amp;TEXT(A172,"00000"))</f>
        <v/>
      </c>
      <c r="C172" s="32" t="n"/>
      <c r="D172" s="35" t="n"/>
      <c r="E172" s="36" t="n"/>
      <c r="F172" s="36" t="n"/>
      <c r="G172" s="36" t="n"/>
      <c r="H172" s="36" t="n"/>
      <c r="I172" s="36" t="n"/>
      <c r="J172" s="37" t="n"/>
      <c r="K172" s="32" t="n"/>
      <c r="L172" s="36" t="n"/>
      <c r="M172" s="41" t="n"/>
      <c r="N172" s="41" t="n"/>
      <c r="O172" s="36" t="n"/>
      <c r="P172" s="33">
        <f>IF(C172="","",Commercial_Id)</f>
        <v/>
      </c>
      <c r="Q172" s="39">
        <f>IF(F172="","",IFERROR(VALUE(MID(F172,LEN(F172)-3,3)),""))</f>
        <v/>
      </c>
      <c r="R172" s="33">
        <f>IF(Q172="","",P172&amp;"|"&amp;Q172)</f>
        <v/>
      </c>
      <c r="S172" s="33">
        <f>IF(Q172="","",IF(P172="À RENSEIGNER","GIC",P172)&amp;"-"&amp;TEXT(Q172,"000"))</f>
        <v/>
      </c>
      <c r="T172" s="33">
        <f>IF(R172="","",IFERROR(INDEX(Cl_nom,MATCH(R172,Cl_cle,0)),"(client introuvable)"))</f>
        <v/>
      </c>
      <c r="U172" s="33">
        <f>IF(R172="","",IFERROR(INDEX(Cl_quartier,MATCH(R172,Cl_cle,0))&amp;"",""))</f>
        <v/>
      </c>
      <c r="V172" s="34">
        <f>IF(C172="","",YEAR(C172-WEEKDAY(C172,2)+4)&amp;"-S"&amp;TEXT(INT((C172-DATE(YEAR(C172-WEEKDAY(C172,2)+4),1,3)+WEEKDAY(DATE(YEAR(C172-WEEKDAY(C172,2)+4),1,3),2)+5)/7),"00"))</f>
        <v/>
      </c>
    </row>
    <row r="173" ht="18" customHeight="1">
      <c r="A173" s="39" t="n">
        <v>168</v>
      </c>
      <c r="B173" s="33">
        <f>IF(C173="","",IF(P173="À RENSEIGNER","GIC",P173)&amp;"-V"&amp;TEXT(A173,"00000"))</f>
        <v/>
      </c>
      <c r="C173" s="32" t="n"/>
      <c r="D173" s="35" t="n"/>
      <c r="E173" s="36" t="n"/>
      <c r="F173" s="36" t="n"/>
      <c r="G173" s="36" t="n"/>
      <c r="H173" s="36" t="n"/>
      <c r="I173" s="36" t="n"/>
      <c r="J173" s="37" t="n"/>
      <c r="K173" s="32" t="n"/>
      <c r="L173" s="36" t="n"/>
      <c r="M173" s="41" t="n"/>
      <c r="N173" s="41" t="n"/>
      <c r="O173" s="36" t="n"/>
      <c r="P173" s="33">
        <f>IF(C173="","",Commercial_Id)</f>
        <v/>
      </c>
      <c r="Q173" s="39">
        <f>IF(F173="","",IFERROR(VALUE(MID(F173,LEN(F173)-3,3)),""))</f>
        <v/>
      </c>
      <c r="R173" s="33">
        <f>IF(Q173="","",P173&amp;"|"&amp;Q173)</f>
        <v/>
      </c>
      <c r="S173" s="33">
        <f>IF(Q173="","",IF(P173="À RENSEIGNER","GIC",P173)&amp;"-"&amp;TEXT(Q173,"000"))</f>
        <v/>
      </c>
      <c r="T173" s="33">
        <f>IF(R173="","",IFERROR(INDEX(Cl_nom,MATCH(R173,Cl_cle,0)),"(client introuvable)"))</f>
        <v/>
      </c>
      <c r="U173" s="33">
        <f>IF(R173="","",IFERROR(INDEX(Cl_quartier,MATCH(R173,Cl_cle,0))&amp;"",""))</f>
        <v/>
      </c>
      <c r="V173" s="34">
        <f>IF(C173="","",YEAR(C173-WEEKDAY(C173,2)+4)&amp;"-S"&amp;TEXT(INT((C173-DATE(YEAR(C173-WEEKDAY(C173,2)+4),1,3)+WEEKDAY(DATE(YEAR(C173-WEEKDAY(C173,2)+4),1,3),2)+5)/7),"00"))</f>
        <v/>
      </c>
    </row>
    <row r="174" ht="18" customHeight="1">
      <c r="A174" s="39" t="n">
        <v>169</v>
      </c>
      <c r="B174" s="33">
        <f>IF(C174="","",IF(P174="À RENSEIGNER","GIC",P174)&amp;"-V"&amp;TEXT(A174,"00000"))</f>
        <v/>
      </c>
      <c r="C174" s="32" t="n"/>
      <c r="D174" s="35" t="n"/>
      <c r="E174" s="36" t="n"/>
      <c r="F174" s="36" t="n"/>
      <c r="G174" s="36" t="n"/>
      <c r="H174" s="36" t="n"/>
      <c r="I174" s="36" t="n"/>
      <c r="J174" s="37" t="n"/>
      <c r="K174" s="32" t="n"/>
      <c r="L174" s="36" t="n"/>
      <c r="M174" s="41" t="n"/>
      <c r="N174" s="41" t="n"/>
      <c r="O174" s="36" t="n"/>
      <c r="P174" s="33">
        <f>IF(C174="","",Commercial_Id)</f>
        <v/>
      </c>
      <c r="Q174" s="39">
        <f>IF(F174="","",IFERROR(VALUE(MID(F174,LEN(F174)-3,3)),""))</f>
        <v/>
      </c>
      <c r="R174" s="33">
        <f>IF(Q174="","",P174&amp;"|"&amp;Q174)</f>
        <v/>
      </c>
      <c r="S174" s="33">
        <f>IF(Q174="","",IF(P174="À RENSEIGNER","GIC",P174)&amp;"-"&amp;TEXT(Q174,"000"))</f>
        <v/>
      </c>
      <c r="T174" s="33">
        <f>IF(R174="","",IFERROR(INDEX(Cl_nom,MATCH(R174,Cl_cle,0)),"(client introuvable)"))</f>
        <v/>
      </c>
      <c r="U174" s="33">
        <f>IF(R174="","",IFERROR(INDEX(Cl_quartier,MATCH(R174,Cl_cle,0))&amp;"",""))</f>
        <v/>
      </c>
      <c r="V174" s="34">
        <f>IF(C174="","",YEAR(C174-WEEKDAY(C174,2)+4)&amp;"-S"&amp;TEXT(INT((C174-DATE(YEAR(C174-WEEKDAY(C174,2)+4),1,3)+WEEKDAY(DATE(YEAR(C174-WEEKDAY(C174,2)+4),1,3),2)+5)/7),"00"))</f>
        <v/>
      </c>
    </row>
    <row r="175" ht="18" customHeight="1">
      <c r="A175" s="39" t="n">
        <v>170</v>
      </c>
      <c r="B175" s="33">
        <f>IF(C175="","",IF(P175="À RENSEIGNER","GIC",P175)&amp;"-V"&amp;TEXT(A175,"00000"))</f>
        <v/>
      </c>
      <c r="C175" s="32" t="n"/>
      <c r="D175" s="35" t="n"/>
      <c r="E175" s="36" t="n"/>
      <c r="F175" s="36" t="n"/>
      <c r="G175" s="36" t="n"/>
      <c r="H175" s="36" t="n"/>
      <c r="I175" s="36" t="n"/>
      <c r="J175" s="37" t="n"/>
      <c r="K175" s="32" t="n"/>
      <c r="L175" s="36" t="n"/>
      <c r="M175" s="41" t="n"/>
      <c r="N175" s="41" t="n"/>
      <c r="O175" s="36" t="n"/>
      <c r="P175" s="33">
        <f>IF(C175="","",Commercial_Id)</f>
        <v/>
      </c>
      <c r="Q175" s="39">
        <f>IF(F175="","",IFERROR(VALUE(MID(F175,LEN(F175)-3,3)),""))</f>
        <v/>
      </c>
      <c r="R175" s="33">
        <f>IF(Q175="","",P175&amp;"|"&amp;Q175)</f>
        <v/>
      </c>
      <c r="S175" s="33">
        <f>IF(Q175="","",IF(P175="À RENSEIGNER","GIC",P175)&amp;"-"&amp;TEXT(Q175,"000"))</f>
        <v/>
      </c>
      <c r="T175" s="33">
        <f>IF(R175="","",IFERROR(INDEX(Cl_nom,MATCH(R175,Cl_cle,0)),"(client introuvable)"))</f>
        <v/>
      </c>
      <c r="U175" s="33">
        <f>IF(R175="","",IFERROR(INDEX(Cl_quartier,MATCH(R175,Cl_cle,0))&amp;"",""))</f>
        <v/>
      </c>
      <c r="V175" s="34">
        <f>IF(C175="","",YEAR(C175-WEEKDAY(C175,2)+4)&amp;"-S"&amp;TEXT(INT((C175-DATE(YEAR(C175-WEEKDAY(C175,2)+4),1,3)+WEEKDAY(DATE(YEAR(C175-WEEKDAY(C175,2)+4),1,3),2)+5)/7),"00"))</f>
        <v/>
      </c>
    </row>
    <row r="176" ht="18" customHeight="1">
      <c r="A176" s="39" t="n">
        <v>171</v>
      </c>
      <c r="B176" s="33">
        <f>IF(C176="","",IF(P176="À RENSEIGNER","GIC",P176)&amp;"-V"&amp;TEXT(A176,"00000"))</f>
        <v/>
      </c>
      <c r="C176" s="32" t="n"/>
      <c r="D176" s="35" t="n"/>
      <c r="E176" s="36" t="n"/>
      <c r="F176" s="36" t="n"/>
      <c r="G176" s="36" t="n"/>
      <c r="H176" s="36" t="n"/>
      <c r="I176" s="36" t="n"/>
      <c r="J176" s="37" t="n"/>
      <c r="K176" s="32" t="n"/>
      <c r="L176" s="36" t="n"/>
      <c r="M176" s="41" t="n"/>
      <c r="N176" s="41" t="n"/>
      <c r="O176" s="36" t="n"/>
      <c r="P176" s="33">
        <f>IF(C176="","",Commercial_Id)</f>
        <v/>
      </c>
      <c r="Q176" s="39">
        <f>IF(F176="","",IFERROR(VALUE(MID(F176,LEN(F176)-3,3)),""))</f>
        <v/>
      </c>
      <c r="R176" s="33">
        <f>IF(Q176="","",P176&amp;"|"&amp;Q176)</f>
        <v/>
      </c>
      <c r="S176" s="33">
        <f>IF(Q176="","",IF(P176="À RENSEIGNER","GIC",P176)&amp;"-"&amp;TEXT(Q176,"000"))</f>
        <v/>
      </c>
      <c r="T176" s="33">
        <f>IF(R176="","",IFERROR(INDEX(Cl_nom,MATCH(R176,Cl_cle,0)),"(client introuvable)"))</f>
        <v/>
      </c>
      <c r="U176" s="33">
        <f>IF(R176="","",IFERROR(INDEX(Cl_quartier,MATCH(R176,Cl_cle,0))&amp;"",""))</f>
        <v/>
      </c>
      <c r="V176" s="34">
        <f>IF(C176="","",YEAR(C176-WEEKDAY(C176,2)+4)&amp;"-S"&amp;TEXT(INT((C176-DATE(YEAR(C176-WEEKDAY(C176,2)+4),1,3)+WEEKDAY(DATE(YEAR(C176-WEEKDAY(C176,2)+4),1,3),2)+5)/7),"00"))</f>
        <v/>
      </c>
    </row>
    <row r="177" ht="18" customHeight="1">
      <c r="A177" s="39" t="n">
        <v>172</v>
      </c>
      <c r="B177" s="33">
        <f>IF(C177="","",IF(P177="À RENSEIGNER","GIC",P177)&amp;"-V"&amp;TEXT(A177,"00000"))</f>
        <v/>
      </c>
      <c r="C177" s="32" t="n"/>
      <c r="D177" s="35" t="n"/>
      <c r="E177" s="36" t="n"/>
      <c r="F177" s="36" t="n"/>
      <c r="G177" s="36" t="n"/>
      <c r="H177" s="36" t="n"/>
      <c r="I177" s="36" t="n"/>
      <c r="J177" s="37" t="n"/>
      <c r="K177" s="32" t="n"/>
      <c r="L177" s="36" t="n"/>
      <c r="M177" s="41" t="n"/>
      <c r="N177" s="41" t="n"/>
      <c r="O177" s="36" t="n"/>
      <c r="P177" s="33">
        <f>IF(C177="","",Commercial_Id)</f>
        <v/>
      </c>
      <c r="Q177" s="39">
        <f>IF(F177="","",IFERROR(VALUE(MID(F177,LEN(F177)-3,3)),""))</f>
        <v/>
      </c>
      <c r="R177" s="33">
        <f>IF(Q177="","",P177&amp;"|"&amp;Q177)</f>
        <v/>
      </c>
      <c r="S177" s="33">
        <f>IF(Q177="","",IF(P177="À RENSEIGNER","GIC",P177)&amp;"-"&amp;TEXT(Q177,"000"))</f>
        <v/>
      </c>
      <c r="T177" s="33">
        <f>IF(R177="","",IFERROR(INDEX(Cl_nom,MATCH(R177,Cl_cle,0)),"(client introuvable)"))</f>
        <v/>
      </c>
      <c r="U177" s="33">
        <f>IF(R177="","",IFERROR(INDEX(Cl_quartier,MATCH(R177,Cl_cle,0))&amp;"",""))</f>
        <v/>
      </c>
      <c r="V177" s="34">
        <f>IF(C177="","",YEAR(C177-WEEKDAY(C177,2)+4)&amp;"-S"&amp;TEXT(INT((C177-DATE(YEAR(C177-WEEKDAY(C177,2)+4),1,3)+WEEKDAY(DATE(YEAR(C177-WEEKDAY(C177,2)+4),1,3),2)+5)/7),"00"))</f>
        <v/>
      </c>
    </row>
    <row r="178" ht="18" customHeight="1">
      <c r="A178" s="39" t="n">
        <v>173</v>
      </c>
      <c r="B178" s="33">
        <f>IF(C178="","",IF(P178="À RENSEIGNER","GIC",P178)&amp;"-V"&amp;TEXT(A178,"00000"))</f>
        <v/>
      </c>
      <c r="C178" s="32" t="n"/>
      <c r="D178" s="35" t="n"/>
      <c r="E178" s="36" t="n"/>
      <c r="F178" s="36" t="n"/>
      <c r="G178" s="36" t="n"/>
      <c r="H178" s="36" t="n"/>
      <c r="I178" s="36" t="n"/>
      <c r="J178" s="37" t="n"/>
      <c r="K178" s="32" t="n"/>
      <c r="L178" s="36" t="n"/>
      <c r="M178" s="41" t="n"/>
      <c r="N178" s="41" t="n"/>
      <c r="O178" s="36" t="n"/>
      <c r="P178" s="33">
        <f>IF(C178="","",Commercial_Id)</f>
        <v/>
      </c>
      <c r="Q178" s="39">
        <f>IF(F178="","",IFERROR(VALUE(MID(F178,LEN(F178)-3,3)),""))</f>
        <v/>
      </c>
      <c r="R178" s="33">
        <f>IF(Q178="","",P178&amp;"|"&amp;Q178)</f>
        <v/>
      </c>
      <c r="S178" s="33">
        <f>IF(Q178="","",IF(P178="À RENSEIGNER","GIC",P178)&amp;"-"&amp;TEXT(Q178,"000"))</f>
        <v/>
      </c>
      <c r="T178" s="33">
        <f>IF(R178="","",IFERROR(INDEX(Cl_nom,MATCH(R178,Cl_cle,0)),"(client introuvable)"))</f>
        <v/>
      </c>
      <c r="U178" s="33">
        <f>IF(R178="","",IFERROR(INDEX(Cl_quartier,MATCH(R178,Cl_cle,0))&amp;"",""))</f>
        <v/>
      </c>
      <c r="V178" s="34">
        <f>IF(C178="","",YEAR(C178-WEEKDAY(C178,2)+4)&amp;"-S"&amp;TEXT(INT((C178-DATE(YEAR(C178-WEEKDAY(C178,2)+4),1,3)+WEEKDAY(DATE(YEAR(C178-WEEKDAY(C178,2)+4),1,3),2)+5)/7),"00"))</f>
        <v/>
      </c>
    </row>
    <row r="179" ht="18" customHeight="1">
      <c r="A179" s="39" t="n">
        <v>174</v>
      </c>
      <c r="B179" s="33">
        <f>IF(C179="","",IF(P179="À RENSEIGNER","GIC",P179)&amp;"-V"&amp;TEXT(A179,"00000"))</f>
        <v/>
      </c>
      <c r="C179" s="32" t="n"/>
      <c r="D179" s="35" t="n"/>
      <c r="E179" s="36" t="n"/>
      <c r="F179" s="36" t="n"/>
      <c r="G179" s="36" t="n"/>
      <c r="H179" s="36" t="n"/>
      <c r="I179" s="36" t="n"/>
      <c r="J179" s="37" t="n"/>
      <c r="K179" s="32" t="n"/>
      <c r="L179" s="36" t="n"/>
      <c r="M179" s="41" t="n"/>
      <c r="N179" s="41" t="n"/>
      <c r="O179" s="36" t="n"/>
      <c r="P179" s="33">
        <f>IF(C179="","",Commercial_Id)</f>
        <v/>
      </c>
      <c r="Q179" s="39">
        <f>IF(F179="","",IFERROR(VALUE(MID(F179,LEN(F179)-3,3)),""))</f>
        <v/>
      </c>
      <c r="R179" s="33">
        <f>IF(Q179="","",P179&amp;"|"&amp;Q179)</f>
        <v/>
      </c>
      <c r="S179" s="33">
        <f>IF(Q179="","",IF(P179="À RENSEIGNER","GIC",P179)&amp;"-"&amp;TEXT(Q179,"000"))</f>
        <v/>
      </c>
      <c r="T179" s="33">
        <f>IF(R179="","",IFERROR(INDEX(Cl_nom,MATCH(R179,Cl_cle,0)),"(client introuvable)"))</f>
        <v/>
      </c>
      <c r="U179" s="33">
        <f>IF(R179="","",IFERROR(INDEX(Cl_quartier,MATCH(R179,Cl_cle,0))&amp;"",""))</f>
        <v/>
      </c>
      <c r="V179" s="34">
        <f>IF(C179="","",YEAR(C179-WEEKDAY(C179,2)+4)&amp;"-S"&amp;TEXT(INT((C179-DATE(YEAR(C179-WEEKDAY(C179,2)+4),1,3)+WEEKDAY(DATE(YEAR(C179-WEEKDAY(C179,2)+4),1,3),2)+5)/7),"00"))</f>
        <v/>
      </c>
    </row>
    <row r="180" ht="18" customHeight="1">
      <c r="A180" s="39" t="n">
        <v>175</v>
      </c>
      <c r="B180" s="33">
        <f>IF(C180="","",IF(P180="À RENSEIGNER","GIC",P180)&amp;"-V"&amp;TEXT(A180,"00000"))</f>
        <v/>
      </c>
      <c r="C180" s="32" t="n"/>
      <c r="D180" s="35" t="n"/>
      <c r="E180" s="36" t="n"/>
      <c r="F180" s="36" t="n"/>
      <c r="G180" s="36" t="n"/>
      <c r="H180" s="36" t="n"/>
      <c r="I180" s="36" t="n"/>
      <c r="J180" s="37" t="n"/>
      <c r="K180" s="32" t="n"/>
      <c r="L180" s="36" t="n"/>
      <c r="M180" s="41" t="n"/>
      <c r="N180" s="41" t="n"/>
      <c r="O180" s="36" t="n"/>
      <c r="P180" s="33">
        <f>IF(C180="","",Commercial_Id)</f>
        <v/>
      </c>
      <c r="Q180" s="39">
        <f>IF(F180="","",IFERROR(VALUE(MID(F180,LEN(F180)-3,3)),""))</f>
        <v/>
      </c>
      <c r="R180" s="33">
        <f>IF(Q180="","",P180&amp;"|"&amp;Q180)</f>
        <v/>
      </c>
      <c r="S180" s="33">
        <f>IF(Q180="","",IF(P180="À RENSEIGNER","GIC",P180)&amp;"-"&amp;TEXT(Q180,"000"))</f>
        <v/>
      </c>
      <c r="T180" s="33">
        <f>IF(R180="","",IFERROR(INDEX(Cl_nom,MATCH(R180,Cl_cle,0)),"(client introuvable)"))</f>
        <v/>
      </c>
      <c r="U180" s="33">
        <f>IF(R180="","",IFERROR(INDEX(Cl_quartier,MATCH(R180,Cl_cle,0))&amp;"",""))</f>
        <v/>
      </c>
      <c r="V180" s="34">
        <f>IF(C180="","",YEAR(C180-WEEKDAY(C180,2)+4)&amp;"-S"&amp;TEXT(INT((C180-DATE(YEAR(C180-WEEKDAY(C180,2)+4),1,3)+WEEKDAY(DATE(YEAR(C180-WEEKDAY(C180,2)+4),1,3),2)+5)/7),"00"))</f>
        <v/>
      </c>
    </row>
    <row r="181" ht="18" customHeight="1">
      <c r="A181" s="39" t="n">
        <v>176</v>
      </c>
      <c r="B181" s="33">
        <f>IF(C181="","",IF(P181="À RENSEIGNER","GIC",P181)&amp;"-V"&amp;TEXT(A181,"00000"))</f>
        <v/>
      </c>
      <c r="C181" s="32" t="n"/>
      <c r="D181" s="35" t="n"/>
      <c r="E181" s="36" t="n"/>
      <c r="F181" s="36" t="n"/>
      <c r="G181" s="36" t="n"/>
      <c r="H181" s="36" t="n"/>
      <c r="I181" s="36" t="n"/>
      <c r="J181" s="37" t="n"/>
      <c r="K181" s="32" t="n"/>
      <c r="L181" s="36" t="n"/>
      <c r="M181" s="41" t="n"/>
      <c r="N181" s="41" t="n"/>
      <c r="O181" s="36" t="n"/>
      <c r="P181" s="33">
        <f>IF(C181="","",Commercial_Id)</f>
        <v/>
      </c>
      <c r="Q181" s="39">
        <f>IF(F181="","",IFERROR(VALUE(MID(F181,LEN(F181)-3,3)),""))</f>
        <v/>
      </c>
      <c r="R181" s="33">
        <f>IF(Q181="","",P181&amp;"|"&amp;Q181)</f>
        <v/>
      </c>
      <c r="S181" s="33">
        <f>IF(Q181="","",IF(P181="À RENSEIGNER","GIC",P181)&amp;"-"&amp;TEXT(Q181,"000"))</f>
        <v/>
      </c>
      <c r="T181" s="33">
        <f>IF(R181="","",IFERROR(INDEX(Cl_nom,MATCH(R181,Cl_cle,0)),"(client introuvable)"))</f>
        <v/>
      </c>
      <c r="U181" s="33">
        <f>IF(R181="","",IFERROR(INDEX(Cl_quartier,MATCH(R181,Cl_cle,0))&amp;"",""))</f>
        <v/>
      </c>
      <c r="V181" s="34">
        <f>IF(C181="","",YEAR(C181-WEEKDAY(C181,2)+4)&amp;"-S"&amp;TEXT(INT((C181-DATE(YEAR(C181-WEEKDAY(C181,2)+4),1,3)+WEEKDAY(DATE(YEAR(C181-WEEKDAY(C181,2)+4),1,3),2)+5)/7),"00"))</f>
        <v/>
      </c>
    </row>
    <row r="182" ht="18" customHeight="1">
      <c r="A182" s="39" t="n">
        <v>177</v>
      </c>
      <c r="B182" s="33">
        <f>IF(C182="","",IF(P182="À RENSEIGNER","GIC",P182)&amp;"-V"&amp;TEXT(A182,"00000"))</f>
        <v/>
      </c>
      <c r="C182" s="32" t="n"/>
      <c r="D182" s="35" t="n"/>
      <c r="E182" s="36" t="n"/>
      <c r="F182" s="36" t="n"/>
      <c r="G182" s="36" t="n"/>
      <c r="H182" s="36" t="n"/>
      <c r="I182" s="36" t="n"/>
      <c r="J182" s="37" t="n"/>
      <c r="K182" s="32" t="n"/>
      <c r="L182" s="36" t="n"/>
      <c r="M182" s="41" t="n"/>
      <c r="N182" s="41" t="n"/>
      <c r="O182" s="36" t="n"/>
      <c r="P182" s="33">
        <f>IF(C182="","",Commercial_Id)</f>
        <v/>
      </c>
      <c r="Q182" s="39">
        <f>IF(F182="","",IFERROR(VALUE(MID(F182,LEN(F182)-3,3)),""))</f>
        <v/>
      </c>
      <c r="R182" s="33">
        <f>IF(Q182="","",P182&amp;"|"&amp;Q182)</f>
        <v/>
      </c>
      <c r="S182" s="33">
        <f>IF(Q182="","",IF(P182="À RENSEIGNER","GIC",P182)&amp;"-"&amp;TEXT(Q182,"000"))</f>
        <v/>
      </c>
      <c r="T182" s="33">
        <f>IF(R182="","",IFERROR(INDEX(Cl_nom,MATCH(R182,Cl_cle,0)),"(client introuvable)"))</f>
        <v/>
      </c>
      <c r="U182" s="33">
        <f>IF(R182="","",IFERROR(INDEX(Cl_quartier,MATCH(R182,Cl_cle,0))&amp;"",""))</f>
        <v/>
      </c>
      <c r="V182" s="34">
        <f>IF(C182="","",YEAR(C182-WEEKDAY(C182,2)+4)&amp;"-S"&amp;TEXT(INT((C182-DATE(YEAR(C182-WEEKDAY(C182,2)+4),1,3)+WEEKDAY(DATE(YEAR(C182-WEEKDAY(C182,2)+4),1,3),2)+5)/7),"00"))</f>
        <v/>
      </c>
    </row>
    <row r="183" ht="18" customHeight="1">
      <c r="A183" s="39" t="n">
        <v>178</v>
      </c>
      <c r="B183" s="33">
        <f>IF(C183="","",IF(P183="À RENSEIGNER","GIC",P183)&amp;"-V"&amp;TEXT(A183,"00000"))</f>
        <v/>
      </c>
      <c r="C183" s="32" t="n"/>
      <c r="D183" s="35" t="n"/>
      <c r="E183" s="36" t="n"/>
      <c r="F183" s="36" t="n"/>
      <c r="G183" s="36" t="n"/>
      <c r="H183" s="36" t="n"/>
      <c r="I183" s="36" t="n"/>
      <c r="J183" s="37" t="n"/>
      <c r="K183" s="32" t="n"/>
      <c r="L183" s="36" t="n"/>
      <c r="M183" s="41" t="n"/>
      <c r="N183" s="41" t="n"/>
      <c r="O183" s="36" t="n"/>
      <c r="P183" s="33">
        <f>IF(C183="","",Commercial_Id)</f>
        <v/>
      </c>
      <c r="Q183" s="39">
        <f>IF(F183="","",IFERROR(VALUE(MID(F183,LEN(F183)-3,3)),""))</f>
        <v/>
      </c>
      <c r="R183" s="33">
        <f>IF(Q183="","",P183&amp;"|"&amp;Q183)</f>
        <v/>
      </c>
      <c r="S183" s="33">
        <f>IF(Q183="","",IF(P183="À RENSEIGNER","GIC",P183)&amp;"-"&amp;TEXT(Q183,"000"))</f>
        <v/>
      </c>
      <c r="T183" s="33">
        <f>IF(R183="","",IFERROR(INDEX(Cl_nom,MATCH(R183,Cl_cle,0)),"(client introuvable)"))</f>
        <v/>
      </c>
      <c r="U183" s="33">
        <f>IF(R183="","",IFERROR(INDEX(Cl_quartier,MATCH(R183,Cl_cle,0))&amp;"",""))</f>
        <v/>
      </c>
      <c r="V183" s="34">
        <f>IF(C183="","",YEAR(C183-WEEKDAY(C183,2)+4)&amp;"-S"&amp;TEXT(INT((C183-DATE(YEAR(C183-WEEKDAY(C183,2)+4),1,3)+WEEKDAY(DATE(YEAR(C183-WEEKDAY(C183,2)+4),1,3),2)+5)/7),"00"))</f>
        <v/>
      </c>
    </row>
    <row r="184" ht="18" customHeight="1">
      <c r="A184" s="39" t="n">
        <v>179</v>
      </c>
      <c r="B184" s="33">
        <f>IF(C184="","",IF(P184="À RENSEIGNER","GIC",P184)&amp;"-V"&amp;TEXT(A184,"00000"))</f>
        <v/>
      </c>
      <c r="C184" s="32" t="n"/>
      <c r="D184" s="35" t="n"/>
      <c r="E184" s="36" t="n"/>
      <c r="F184" s="36" t="n"/>
      <c r="G184" s="36" t="n"/>
      <c r="H184" s="36" t="n"/>
      <c r="I184" s="36" t="n"/>
      <c r="J184" s="37" t="n"/>
      <c r="K184" s="32" t="n"/>
      <c r="L184" s="36" t="n"/>
      <c r="M184" s="41" t="n"/>
      <c r="N184" s="41" t="n"/>
      <c r="O184" s="36" t="n"/>
      <c r="P184" s="33">
        <f>IF(C184="","",Commercial_Id)</f>
        <v/>
      </c>
      <c r="Q184" s="39">
        <f>IF(F184="","",IFERROR(VALUE(MID(F184,LEN(F184)-3,3)),""))</f>
        <v/>
      </c>
      <c r="R184" s="33">
        <f>IF(Q184="","",P184&amp;"|"&amp;Q184)</f>
        <v/>
      </c>
      <c r="S184" s="33">
        <f>IF(Q184="","",IF(P184="À RENSEIGNER","GIC",P184)&amp;"-"&amp;TEXT(Q184,"000"))</f>
        <v/>
      </c>
      <c r="T184" s="33">
        <f>IF(R184="","",IFERROR(INDEX(Cl_nom,MATCH(R184,Cl_cle,0)),"(client introuvable)"))</f>
        <v/>
      </c>
      <c r="U184" s="33">
        <f>IF(R184="","",IFERROR(INDEX(Cl_quartier,MATCH(R184,Cl_cle,0))&amp;"",""))</f>
        <v/>
      </c>
      <c r="V184" s="34">
        <f>IF(C184="","",YEAR(C184-WEEKDAY(C184,2)+4)&amp;"-S"&amp;TEXT(INT((C184-DATE(YEAR(C184-WEEKDAY(C184,2)+4),1,3)+WEEKDAY(DATE(YEAR(C184-WEEKDAY(C184,2)+4),1,3),2)+5)/7),"00"))</f>
        <v/>
      </c>
    </row>
    <row r="185" ht="18" customHeight="1">
      <c r="A185" s="39" t="n">
        <v>180</v>
      </c>
      <c r="B185" s="33">
        <f>IF(C185="","",IF(P185="À RENSEIGNER","GIC",P185)&amp;"-V"&amp;TEXT(A185,"00000"))</f>
        <v/>
      </c>
      <c r="C185" s="32" t="n"/>
      <c r="D185" s="35" t="n"/>
      <c r="E185" s="36" t="n"/>
      <c r="F185" s="36" t="n"/>
      <c r="G185" s="36" t="n"/>
      <c r="H185" s="36" t="n"/>
      <c r="I185" s="36" t="n"/>
      <c r="J185" s="37" t="n"/>
      <c r="K185" s="32" t="n"/>
      <c r="L185" s="36" t="n"/>
      <c r="M185" s="41" t="n"/>
      <c r="N185" s="41" t="n"/>
      <c r="O185" s="36" t="n"/>
      <c r="P185" s="33">
        <f>IF(C185="","",Commercial_Id)</f>
        <v/>
      </c>
      <c r="Q185" s="39">
        <f>IF(F185="","",IFERROR(VALUE(MID(F185,LEN(F185)-3,3)),""))</f>
        <v/>
      </c>
      <c r="R185" s="33">
        <f>IF(Q185="","",P185&amp;"|"&amp;Q185)</f>
        <v/>
      </c>
      <c r="S185" s="33">
        <f>IF(Q185="","",IF(P185="À RENSEIGNER","GIC",P185)&amp;"-"&amp;TEXT(Q185,"000"))</f>
        <v/>
      </c>
      <c r="T185" s="33">
        <f>IF(R185="","",IFERROR(INDEX(Cl_nom,MATCH(R185,Cl_cle,0)),"(client introuvable)"))</f>
        <v/>
      </c>
      <c r="U185" s="33">
        <f>IF(R185="","",IFERROR(INDEX(Cl_quartier,MATCH(R185,Cl_cle,0))&amp;"",""))</f>
        <v/>
      </c>
      <c r="V185" s="34">
        <f>IF(C185="","",YEAR(C185-WEEKDAY(C185,2)+4)&amp;"-S"&amp;TEXT(INT((C185-DATE(YEAR(C185-WEEKDAY(C185,2)+4),1,3)+WEEKDAY(DATE(YEAR(C185-WEEKDAY(C185,2)+4),1,3),2)+5)/7),"00"))</f>
        <v/>
      </c>
    </row>
    <row r="186" ht="18" customHeight="1">
      <c r="A186" s="39" t="n">
        <v>181</v>
      </c>
      <c r="B186" s="33">
        <f>IF(C186="","",IF(P186="À RENSEIGNER","GIC",P186)&amp;"-V"&amp;TEXT(A186,"00000"))</f>
        <v/>
      </c>
      <c r="C186" s="32" t="n"/>
      <c r="D186" s="35" t="n"/>
      <c r="E186" s="36" t="n"/>
      <c r="F186" s="36" t="n"/>
      <c r="G186" s="36" t="n"/>
      <c r="H186" s="36" t="n"/>
      <c r="I186" s="36" t="n"/>
      <c r="J186" s="37" t="n"/>
      <c r="K186" s="32" t="n"/>
      <c r="L186" s="36" t="n"/>
      <c r="M186" s="41" t="n"/>
      <c r="N186" s="41" t="n"/>
      <c r="O186" s="36" t="n"/>
      <c r="P186" s="33">
        <f>IF(C186="","",Commercial_Id)</f>
        <v/>
      </c>
      <c r="Q186" s="39">
        <f>IF(F186="","",IFERROR(VALUE(MID(F186,LEN(F186)-3,3)),""))</f>
        <v/>
      </c>
      <c r="R186" s="33">
        <f>IF(Q186="","",P186&amp;"|"&amp;Q186)</f>
        <v/>
      </c>
      <c r="S186" s="33">
        <f>IF(Q186="","",IF(P186="À RENSEIGNER","GIC",P186)&amp;"-"&amp;TEXT(Q186,"000"))</f>
        <v/>
      </c>
      <c r="T186" s="33">
        <f>IF(R186="","",IFERROR(INDEX(Cl_nom,MATCH(R186,Cl_cle,0)),"(client introuvable)"))</f>
        <v/>
      </c>
      <c r="U186" s="33">
        <f>IF(R186="","",IFERROR(INDEX(Cl_quartier,MATCH(R186,Cl_cle,0))&amp;"",""))</f>
        <v/>
      </c>
      <c r="V186" s="34">
        <f>IF(C186="","",YEAR(C186-WEEKDAY(C186,2)+4)&amp;"-S"&amp;TEXT(INT((C186-DATE(YEAR(C186-WEEKDAY(C186,2)+4),1,3)+WEEKDAY(DATE(YEAR(C186-WEEKDAY(C186,2)+4),1,3),2)+5)/7),"00"))</f>
        <v/>
      </c>
    </row>
    <row r="187" ht="18" customHeight="1">
      <c r="A187" s="39" t="n">
        <v>182</v>
      </c>
      <c r="B187" s="33">
        <f>IF(C187="","",IF(P187="À RENSEIGNER","GIC",P187)&amp;"-V"&amp;TEXT(A187,"00000"))</f>
        <v/>
      </c>
      <c r="C187" s="32" t="n"/>
      <c r="D187" s="35" t="n"/>
      <c r="E187" s="36" t="n"/>
      <c r="F187" s="36" t="n"/>
      <c r="G187" s="36" t="n"/>
      <c r="H187" s="36" t="n"/>
      <c r="I187" s="36" t="n"/>
      <c r="J187" s="37" t="n"/>
      <c r="K187" s="32" t="n"/>
      <c r="L187" s="36" t="n"/>
      <c r="M187" s="41" t="n"/>
      <c r="N187" s="41" t="n"/>
      <c r="O187" s="36" t="n"/>
      <c r="P187" s="33">
        <f>IF(C187="","",Commercial_Id)</f>
        <v/>
      </c>
      <c r="Q187" s="39">
        <f>IF(F187="","",IFERROR(VALUE(MID(F187,LEN(F187)-3,3)),""))</f>
        <v/>
      </c>
      <c r="R187" s="33">
        <f>IF(Q187="","",P187&amp;"|"&amp;Q187)</f>
        <v/>
      </c>
      <c r="S187" s="33">
        <f>IF(Q187="","",IF(P187="À RENSEIGNER","GIC",P187)&amp;"-"&amp;TEXT(Q187,"000"))</f>
        <v/>
      </c>
      <c r="T187" s="33">
        <f>IF(R187="","",IFERROR(INDEX(Cl_nom,MATCH(R187,Cl_cle,0)),"(client introuvable)"))</f>
        <v/>
      </c>
      <c r="U187" s="33">
        <f>IF(R187="","",IFERROR(INDEX(Cl_quartier,MATCH(R187,Cl_cle,0))&amp;"",""))</f>
        <v/>
      </c>
      <c r="V187" s="34">
        <f>IF(C187="","",YEAR(C187-WEEKDAY(C187,2)+4)&amp;"-S"&amp;TEXT(INT((C187-DATE(YEAR(C187-WEEKDAY(C187,2)+4),1,3)+WEEKDAY(DATE(YEAR(C187-WEEKDAY(C187,2)+4),1,3),2)+5)/7),"00"))</f>
        <v/>
      </c>
    </row>
    <row r="188" ht="18" customHeight="1">
      <c r="A188" s="39" t="n">
        <v>183</v>
      </c>
      <c r="B188" s="33">
        <f>IF(C188="","",IF(P188="À RENSEIGNER","GIC",P188)&amp;"-V"&amp;TEXT(A188,"00000"))</f>
        <v/>
      </c>
      <c r="C188" s="32" t="n"/>
      <c r="D188" s="35" t="n"/>
      <c r="E188" s="36" t="n"/>
      <c r="F188" s="36" t="n"/>
      <c r="G188" s="36" t="n"/>
      <c r="H188" s="36" t="n"/>
      <c r="I188" s="36" t="n"/>
      <c r="J188" s="37" t="n"/>
      <c r="K188" s="32" t="n"/>
      <c r="L188" s="36" t="n"/>
      <c r="M188" s="41" t="n"/>
      <c r="N188" s="41" t="n"/>
      <c r="O188" s="36" t="n"/>
      <c r="P188" s="33">
        <f>IF(C188="","",Commercial_Id)</f>
        <v/>
      </c>
      <c r="Q188" s="39">
        <f>IF(F188="","",IFERROR(VALUE(MID(F188,LEN(F188)-3,3)),""))</f>
        <v/>
      </c>
      <c r="R188" s="33">
        <f>IF(Q188="","",P188&amp;"|"&amp;Q188)</f>
        <v/>
      </c>
      <c r="S188" s="33">
        <f>IF(Q188="","",IF(P188="À RENSEIGNER","GIC",P188)&amp;"-"&amp;TEXT(Q188,"000"))</f>
        <v/>
      </c>
      <c r="T188" s="33">
        <f>IF(R188="","",IFERROR(INDEX(Cl_nom,MATCH(R188,Cl_cle,0)),"(client introuvable)"))</f>
        <v/>
      </c>
      <c r="U188" s="33">
        <f>IF(R188="","",IFERROR(INDEX(Cl_quartier,MATCH(R188,Cl_cle,0))&amp;"",""))</f>
        <v/>
      </c>
      <c r="V188" s="34">
        <f>IF(C188="","",YEAR(C188-WEEKDAY(C188,2)+4)&amp;"-S"&amp;TEXT(INT((C188-DATE(YEAR(C188-WEEKDAY(C188,2)+4),1,3)+WEEKDAY(DATE(YEAR(C188-WEEKDAY(C188,2)+4),1,3),2)+5)/7),"00"))</f>
        <v/>
      </c>
    </row>
    <row r="189" ht="18" customHeight="1">
      <c r="A189" s="39" t="n">
        <v>184</v>
      </c>
      <c r="B189" s="33">
        <f>IF(C189="","",IF(P189="À RENSEIGNER","GIC",P189)&amp;"-V"&amp;TEXT(A189,"00000"))</f>
        <v/>
      </c>
      <c r="C189" s="32" t="n"/>
      <c r="D189" s="35" t="n"/>
      <c r="E189" s="36" t="n"/>
      <c r="F189" s="36" t="n"/>
      <c r="G189" s="36" t="n"/>
      <c r="H189" s="36" t="n"/>
      <c r="I189" s="36" t="n"/>
      <c r="J189" s="37" t="n"/>
      <c r="K189" s="32" t="n"/>
      <c r="L189" s="36" t="n"/>
      <c r="M189" s="41" t="n"/>
      <c r="N189" s="41" t="n"/>
      <c r="O189" s="36" t="n"/>
      <c r="P189" s="33">
        <f>IF(C189="","",Commercial_Id)</f>
        <v/>
      </c>
      <c r="Q189" s="39">
        <f>IF(F189="","",IFERROR(VALUE(MID(F189,LEN(F189)-3,3)),""))</f>
        <v/>
      </c>
      <c r="R189" s="33">
        <f>IF(Q189="","",P189&amp;"|"&amp;Q189)</f>
        <v/>
      </c>
      <c r="S189" s="33">
        <f>IF(Q189="","",IF(P189="À RENSEIGNER","GIC",P189)&amp;"-"&amp;TEXT(Q189,"000"))</f>
        <v/>
      </c>
      <c r="T189" s="33">
        <f>IF(R189="","",IFERROR(INDEX(Cl_nom,MATCH(R189,Cl_cle,0)),"(client introuvable)"))</f>
        <v/>
      </c>
      <c r="U189" s="33">
        <f>IF(R189="","",IFERROR(INDEX(Cl_quartier,MATCH(R189,Cl_cle,0))&amp;"",""))</f>
        <v/>
      </c>
      <c r="V189" s="34">
        <f>IF(C189="","",YEAR(C189-WEEKDAY(C189,2)+4)&amp;"-S"&amp;TEXT(INT((C189-DATE(YEAR(C189-WEEKDAY(C189,2)+4),1,3)+WEEKDAY(DATE(YEAR(C189-WEEKDAY(C189,2)+4),1,3),2)+5)/7),"00"))</f>
        <v/>
      </c>
    </row>
    <row r="190" ht="18" customHeight="1">
      <c r="A190" s="39" t="n">
        <v>185</v>
      </c>
      <c r="B190" s="33">
        <f>IF(C190="","",IF(P190="À RENSEIGNER","GIC",P190)&amp;"-V"&amp;TEXT(A190,"00000"))</f>
        <v/>
      </c>
      <c r="C190" s="32" t="n"/>
      <c r="D190" s="35" t="n"/>
      <c r="E190" s="36" t="n"/>
      <c r="F190" s="36" t="n"/>
      <c r="G190" s="36" t="n"/>
      <c r="H190" s="36" t="n"/>
      <c r="I190" s="36" t="n"/>
      <c r="J190" s="37" t="n"/>
      <c r="K190" s="32" t="n"/>
      <c r="L190" s="36" t="n"/>
      <c r="M190" s="41" t="n"/>
      <c r="N190" s="41" t="n"/>
      <c r="O190" s="36" t="n"/>
      <c r="P190" s="33">
        <f>IF(C190="","",Commercial_Id)</f>
        <v/>
      </c>
      <c r="Q190" s="39">
        <f>IF(F190="","",IFERROR(VALUE(MID(F190,LEN(F190)-3,3)),""))</f>
        <v/>
      </c>
      <c r="R190" s="33">
        <f>IF(Q190="","",P190&amp;"|"&amp;Q190)</f>
        <v/>
      </c>
      <c r="S190" s="33">
        <f>IF(Q190="","",IF(P190="À RENSEIGNER","GIC",P190)&amp;"-"&amp;TEXT(Q190,"000"))</f>
        <v/>
      </c>
      <c r="T190" s="33">
        <f>IF(R190="","",IFERROR(INDEX(Cl_nom,MATCH(R190,Cl_cle,0)),"(client introuvable)"))</f>
        <v/>
      </c>
      <c r="U190" s="33">
        <f>IF(R190="","",IFERROR(INDEX(Cl_quartier,MATCH(R190,Cl_cle,0))&amp;"",""))</f>
        <v/>
      </c>
      <c r="V190" s="34">
        <f>IF(C190="","",YEAR(C190-WEEKDAY(C190,2)+4)&amp;"-S"&amp;TEXT(INT((C190-DATE(YEAR(C190-WEEKDAY(C190,2)+4),1,3)+WEEKDAY(DATE(YEAR(C190-WEEKDAY(C190,2)+4),1,3),2)+5)/7),"00"))</f>
        <v/>
      </c>
    </row>
    <row r="191" ht="18" customHeight="1">
      <c r="A191" s="39" t="n">
        <v>186</v>
      </c>
      <c r="B191" s="33">
        <f>IF(C191="","",IF(P191="À RENSEIGNER","GIC",P191)&amp;"-V"&amp;TEXT(A191,"00000"))</f>
        <v/>
      </c>
      <c r="C191" s="32" t="n"/>
      <c r="D191" s="35" t="n"/>
      <c r="E191" s="36" t="n"/>
      <c r="F191" s="36" t="n"/>
      <c r="G191" s="36" t="n"/>
      <c r="H191" s="36" t="n"/>
      <c r="I191" s="36" t="n"/>
      <c r="J191" s="37" t="n"/>
      <c r="K191" s="32" t="n"/>
      <c r="L191" s="36" t="n"/>
      <c r="M191" s="41" t="n"/>
      <c r="N191" s="41" t="n"/>
      <c r="O191" s="36" t="n"/>
      <c r="P191" s="33">
        <f>IF(C191="","",Commercial_Id)</f>
        <v/>
      </c>
      <c r="Q191" s="39">
        <f>IF(F191="","",IFERROR(VALUE(MID(F191,LEN(F191)-3,3)),""))</f>
        <v/>
      </c>
      <c r="R191" s="33">
        <f>IF(Q191="","",P191&amp;"|"&amp;Q191)</f>
        <v/>
      </c>
      <c r="S191" s="33">
        <f>IF(Q191="","",IF(P191="À RENSEIGNER","GIC",P191)&amp;"-"&amp;TEXT(Q191,"000"))</f>
        <v/>
      </c>
      <c r="T191" s="33">
        <f>IF(R191="","",IFERROR(INDEX(Cl_nom,MATCH(R191,Cl_cle,0)),"(client introuvable)"))</f>
        <v/>
      </c>
      <c r="U191" s="33">
        <f>IF(R191="","",IFERROR(INDEX(Cl_quartier,MATCH(R191,Cl_cle,0))&amp;"",""))</f>
        <v/>
      </c>
      <c r="V191" s="34">
        <f>IF(C191="","",YEAR(C191-WEEKDAY(C191,2)+4)&amp;"-S"&amp;TEXT(INT((C191-DATE(YEAR(C191-WEEKDAY(C191,2)+4),1,3)+WEEKDAY(DATE(YEAR(C191-WEEKDAY(C191,2)+4),1,3),2)+5)/7),"00"))</f>
        <v/>
      </c>
    </row>
    <row r="192" ht="18" customHeight="1">
      <c r="A192" s="39" t="n">
        <v>187</v>
      </c>
      <c r="B192" s="33">
        <f>IF(C192="","",IF(P192="À RENSEIGNER","GIC",P192)&amp;"-V"&amp;TEXT(A192,"00000"))</f>
        <v/>
      </c>
      <c r="C192" s="32" t="n"/>
      <c r="D192" s="35" t="n"/>
      <c r="E192" s="36" t="n"/>
      <c r="F192" s="36" t="n"/>
      <c r="G192" s="36" t="n"/>
      <c r="H192" s="36" t="n"/>
      <c r="I192" s="36" t="n"/>
      <c r="J192" s="37" t="n"/>
      <c r="K192" s="32" t="n"/>
      <c r="L192" s="36" t="n"/>
      <c r="M192" s="41" t="n"/>
      <c r="N192" s="41" t="n"/>
      <c r="O192" s="36" t="n"/>
      <c r="P192" s="33">
        <f>IF(C192="","",Commercial_Id)</f>
        <v/>
      </c>
      <c r="Q192" s="39">
        <f>IF(F192="","",IFERROR(VALUE(MID(F192,LEN(F192)-3,3)),""))</f>
        <v/>
      </c>
      <c r="R192" s="33">
        <f>IF(Q192="","",P192&amp;"|"&amp;Q192)</f>
        <v/>
      </c>
      <c r="S192" s="33">
        <f>IF(Q192="","",IF(P192="À RENSEIGNER","GIC",P192)&amp;"-"&amp;TEXT(Q192,"000"))</f>
        <v/>
      </c>
      <c r="T192" s="33">
        <f>IF(R192="","",IFERROR(INDEX(Cl_nom,MATCH(R192,Cl_cle,0)),"(client introuvable)"))</f>
        <v/>
      </c>
      <c r="U192" s="33">
        <f>IF(R192="","",IFERROR(INDEX(Cl_quartier,MATCH(R192,Cl_cle,0))&amp;"",""))</f>
        <v/>
      </c>
      <c r="V192" s="34">
        <f>IF(C192="","",YEAR(C192-WEEKDAY(C192,2)+4)&amp;"-S"&amp;TEXT(INT((C192-DATE(YEAR(C192-WEEKDAY(C192,2)+4),1,3)+WEEKDAY(DATE(YEAR(C192-WEEKDAY(C192,2)+4),1,3),2)+5)/7),"00"))</f>
        <v/>
      </c>
    </row>
    <row r="193" ht="18" customHeight="1">
      <c r="A193" s="39" t="n">
        <v>188</v>
      </c>
      <c r="B193" s="33">
        <f>IF(C193="","",IF(P193="À RENSEIGNER","GIC",P193)&amp;"-V"&amp;TEXT(A193,"00000"))</f>
        <v/>
      </c>
      <c r="C193" s="32" t="n"/>
      <c r="D193" s="35" t="n"/>
      <c r="E193" s="36" t="n"/>
      <c r="F193" s="36" t="n"/>
      <c r="G193" s="36" t="n"/>
      <c r="H193" s="36" t="n"/>
      <c r="I193" s="36" t="n"/>
      <c r="J193" s="37" t="n"/>
      <c r="K193" s="32" t="n"/>
      <c r="L193" s="36" t="n"/>
      <c r="M193" s="41" t="n"/>
      <c r="N193" s="41" t="n"/>
      <c r="O193" s="36" t="n"/>
      <c r="P193" s="33">
        <f>IF(C193="","",Commercial_Id)</f>
        <v/>
      </c>
      <c r="Q193" s="39">
        <f>IF(F193="","",IFERROR(VALUE(MID(F193,LEN(F193)-3,3)),""))</f>
        <v/>
      </c>
      <c r="R193" s="33">
        <f>IF(Q193="","",P193&amp;"|"&amp;Q193)</f>
        <v/>
      </c>
      <c r="S193" s="33">
        <f>IF(Q193="","",IF(P193="À RENSEIGNER","GIC",P193)&amp;"-"&amp;TEXT(Q193,"000"))</f>
        <v/>
      </c>
      <c r="T193" s="33">
        <f>IF(R193="","",IFERROR(INDEX(Cl_nom,MATCH(R193,Cl_cle,0)),"(client introuvable)"))</f>
        <v/>
      </c>
      <c r="U193" s="33">
        <f>IF(R193="","",IFERROR(INDEX(Cl_quartier,MATCH(R193,Cl_cle,0))&amp;"",""))</f>
        <v/>
      </c>
      <c r="V193" s="34">
        <f>IF(C193="","",YEAR(C193-WEEKDAY(C193,2)+4)&amp;"-S"&amp;TEXT(INT((C193-DATE(YEAR(C193-WEEKDAY(C193,2)+4),1,3)+WEEKDAY(DATE(YEAR(C193-WEEKDAY(C193,2)+4),1,3),2)+5)/7),"00"))</f>
        <v/>
      </c>
    </row>
    <row r="194" ht="18" customHeight="1">
      <c r="A194" s="39" t="n">
        <v>189</v>
      </c>
      <c r="B194" s="33">
        <f>IF(C194="","",IF(P194="À RENSEIGNER","GIC",P194)&amp;"-V"&amp;TEXT(A194,"00000"))</f>
        <v/>
      </c>
      <c r="C194" s="32" t="n"/>
      <c r="D194" s="35" t="n"/>
      <c r="E194" s="36" t="n"/>
      <c r="F194" s="36" t="n"/>
      <c r="G194" s="36" t="n"/>
      <c r="H194" s="36" t="n"/>
      <c r="I194" s="36" t="n"/>
      <c r="J194" s="37" t="n"/>
      <c r="K194" s="32" t="n"/>
      <c r="L194" s="36" t="n"/>
      <c r="M194" s="41" t="n"/>
      <c r="N194" s="41" t="n"/>
      <c r="O194" s="36" t="n"/>
      <c r="P194" s="33">
        <f>IF(C194="","",Commercial_Id)</f>
        <v/>
      </c>
      <c r="Q194" s="39">
        <f>IF(F194="","",IFERROR(VALUE(MID(F194,LEN(F194)-3,3)),""))</f>
        <v/>
      </c>
      <c r="R194" s="33">
        <f>IF(Q194="","",P194&amp;"|"&amp;Q194)</f>
        <v/>
      </c>
      <c r="S194" s="33">
        <f>IF(Q194="","",IF(P194="À RENSEIGNER","GIC",P194)&amp;"-"&amp;TEXT(Q194,"000"))</f>
        <v/>
      </c>
      <c r="T194" s="33">
        <f>IF(R194="","",IFERROR(INDEX(Cl_nom,MATCH(R194,Cl_cle,0)),"(client introuvable)"))</f>
        <v/>
      </c>
      <c r="U194" s="33">
        <f>IF(R194="","",IFERROR(INDEX(Cl_quartier,MATCH(R194,Cl_cle,0))&amp;"",""))</f>
        <v/>
      </c>
      <c r="V194" s="34">
        <f>IF(C194="","",YEAR(C194-WEEKDAY(C194,2)+4)&amp;"-S"&amp;TEXT(INT((C194-DATE(YEAR(C194-WEEKDAY(C194,2)+4),1,3)+WEEKDAY(DATE(YEAR(C194-WEEKDAY(C194,2)+4),1,3),2)+5)/7),"00"))</f>
        <v/>
      </c>
    </row>
    <row r="195" ht="18" customHeight="1">
      <c r="A195" s="39" t="n">
        <v>190</v>
      </c>
      <c r="B195" s="33">
        <f>IF(C195="","",IF(P195="À RENSEIGNER","GIC",P195)&amp;"-V"&amp;TEXT(A195,"00000"))</f>
        <v/>
      </c>
      <c r="C195" s="32" t="n"/>
      <c r="D195" s="35" t="n"/>
      <c r="E195" s="36" t="n"/>
      <c r="F195" s="36" t="n"/>
      <c r="G195" s="36" t="n"/>
      <c r="H195" s="36" t="n"/>
      <c r="I195" s="36" t="n"/>
      <c r="J195" s="37" t="n"/>
      <c r="K195" s="32" t="n"/>
      <c r="L195" s="36" t="n"/>
      <c r="M195" s="41" t="n"/>
      <c r="N195" s="41" t="n"/>
      <c r="O195" s="36" t="n"/>
      <c r="P195" s="33">
        <f>IF(C195="","",Commercial_Id)</f>
        <v/>
      </c>
      <c r="Q195" s="39">
        <f>IF(F195="","",IFERROR(VALUE(MID(F195,LEN(F195)-3,3)),""))</f>
        <v/>
      </c>
      <c r="R195" s="33">
        <f>IF(Q195="","",P195&amp;"|"&amp;Q195)</f>
        <v/>
      </c>
      <c r="S195" s="33">
        <f>IF(Q195="","",IF(P195="À RENSEIGNER","GIC",P195)&amp;"-"&amp;TEXT(Q195,"000"))</f>
        <v/>
      </c>
      <c r="T195" s="33">
        <f>IF(R195="","",IFERROR(INDEX(Cl_nom,MATCH(R195,Cl_cle,0)),"(client introuvable)"))</f>
        <v/>
      </c>
      <c r="U195" s="33">
        <f>IF(R195="","",IFERROR(INDEX(Cl_quartier,MATCH(R195,Cl_cle,0))&amp;"",""))</f>
        <v/>
      </c>
      <c r="V195" s="34">
        <f>IF(C195="","",YEAR(C195-WEEKDAY(C195,2)+4)&amp;"-S"&amp;TEXT(INT((C195-DATE(YEAR(C195-WEEKDAY(C195,2)+4),1,3)+WEEKDAY(DATE(YEAR(C195-WEEKDAY(C195,2)+4),1,3),2)+5)/7),"00"))</f>
        <v/>
      </c>
    </row>
    <row r="196" ht="18" customHeight="1">
      <c r="A196" s="39" t="n">
        <v>191</v>
      </c>
      <c r="B196" s="33">
        <f>IF(C196="","",IF(P196="À RENSEIGNER","GIC",P196)&amp;"-V"&amp;TEXT(A196,"00000"))</f>
        <v/>
      </c>
      <c r="C196" s="32" t="n"/>
      <c r="D196" s="35" t="n"/>
      <c r="E196" s="36" t="n"/>
      <c r="F196" s="36" t="n"/>
      <c r="G196" s="36" t="n"/>
      <c r="H196" s="36" t="n"/>
      <c r="I196" s="36" t="n"/>
      <c r="J196" s="37" t="n"/>
      <c r="K196" s="32" t="n"/>
      <c r="L196" s="36" t="n"/>
      <c r="M196" s="41" t="n"/>
      <c r="N196" s="41" t="n"/>
      <c r="O196" s="36" t="n"/>
      <c r="P196" s="33">
        <f>IF(C196="","",Commercial_Id)</f>
        <v/>
      </c>
      <c r="Q196" s="39">
        <f>IF(F196="","",IFERROR(VALUE(MID(F196,LEN(F196)-3,3)),""))</f>
        <v/>
      </c>
      <c r="R196" s="33">
        <f>IF(Q196="","",P196&amp;"|"&amp;Q196)</f>
        <v/>
      </c>
      <c r="S196" s="33">
        <f>IF(Q196="","",IF(P196="À RENSEIGNER","GIC",P196)&amp;"-"&amp;TEXT(Q196,"000"))</f>
        <v/>
      </c>
      <c r="T196" s="33">
        <f>IF(R196="","",IFERROR(INDEX(Cl_nom,MATCH(R196,Cl_cle,0)),"(client introuvable)"))</f>
        <v/>
      </c>
      <c r="U196" s="33">
        <f>IF(R196="","",IFERROR(INDEX(Cl_quartier,MATCH(R196,Cl_cle,0))&amp;"",""))</f>
        <v/>
      </c>
      <c r="V196" s="34">
        <f>IF(C196="","",YEAR(C196-WEEKDAY(C196,2)+4)&amp;"-S"&amp;TEXT(INT((C196-DATE(YEAR(C196-WEEKDAY(C196,2)+4),1,3)+WEEKDAY(DATE(YEAR(C196-WEEKDAY(C196,2)+4),1,3),2)+5)/7),"00"))</f>
        <v/>
      </c>
    </row>
    <row r="197" ht="18" customHeight="1">
      <c r="A197" s="39" t="n">
        <v>192</v>
      </c>
      <c r="B197" s="33">
        <f>IF(C197="","",IF(P197="À RENSEIGNER","GIC",P197)&amp;"-V"&amp;TEXT(A197,"00000"))</f>
        <v/>
      </c>
      <c r="C197" s="32" t="n"/>
      <c r="D197" s="35" t="n"/>
      <c r="E197" s="36" t="n"/>
      <c r="F197" s="36" t="n"/>
      <c r="G197" s="36" t="n"/>
      <c r="H197" s="36" t="n"/>
      <c r="I197" s="36" t="n"/>
      <c r="J197" s="37" t="n"/>
      <c r="K197" s="32" t="n"/>
      <c r="L197" s="36" t="n"/>
      <c r="M197" s="41" t="n"/>
      <c r="N197" s="41" t="n"/>
      <c r="O197" s="36" t="n"/>
      <c r="P197" s="33">
        <f>IF(C197="","",Commercial_Id)</f>
        <v/>
      </c>
      <c r="Q197" s="39">
        <f>IF(F197="","",IFERROR(VALUE(MID(F197,LEN(F197)-3,3)),""))</f>
        <v/>
      </c>
      <c r="R197" s="33">
        <f>IF(Q197="","",P197&amp;"|"&amp;Q197)</f>
        <v/>
      </c>
      <c r="S197" s="33">
        <f>IF(Q197="","",IF(P197="À RENSEIGNER","GIC",P197)&amp;"-"&amp;TEXT(Q197,"000"))</f>
        <v/>
      </c>
      <c r="T197" s="33">
        <f>IF(R197="","",IFERROR(INDEX(Cl_nom,MATCH(R197,Cl_cle,0)),"(client introuvable)"))</f>
        <v/>
      </c>
      <c r="U197" s="33">
        <f>IF(R197="","",IFERROR(INDEX(Cl_quartier,MATCH(R197,Cl_cle,0))&amp;"",""))</f>
        <v/>
      </c>
      <c r="V197" s="34">
        <f>IF(C197="","",YEAR(C197-WEEKDAY(C197,2)+4)&amp;"-S"&amp;TEXT(INT((C197-DATE(YEAR(C197-WEEKDAY(C197,2)+4),1,3)+WEEKDAY(DATE(YEAR(C197-WEEKDAY(C197,2)+4),1,3),2)+5)/7),"00"))</f>
        <v/>
      </c>
    </row>
    <row r="198" ht="18" customHeight="1">
      <c r="A198" s="39" t="n">
        <v>193</v>
      </c>
      <c r="B198" s="33">
        <f>IF(C198="","",IF(P198="À RENSEIGNER","GIC",P198)&amp;"-V"&amp;TEXT(A198,"00000"))</f>
        <v/>
      </c>
      <c r="C198" s="32" t="n"/>
      <c r="D198" s="35" t="n"/>
      <c r="E198" s="36" t="n"/>
      <c r="F198" s="36" t="n"/>
      <c r="G198" s="36" t="n"/>
      <c r="H198" s="36" t="n"/>
      <c r="I198" s="36" t="n"/>
      <c r="J198" s="37" t="n"/>
      <c r="K198" s="32" t="n"/>
      <c r="L198" s="36" t="n"/>
      <c r="M198" s="41" t="n"/>
      <c r="N198" s="41" t="n"/>
      <c r="O198" s="36" t="n"/>
      <c r="P198" s="33">
        <f>IF(C198="","",Commercial_Id)</f>
        <v/>
      </c>
      <c r="Q198" s="39">
        <f>IF(F198="","",IFERROR(VALUE(MID(F198,LEN(F198)-3,3)),""))</f>
        <v/>
      </c>
      <c r="R198" s="33">
        <f>IF(Q198="","",P198&amp;"|"&amp;Q198)</f>
        <v/>
      </c>
      <c r="S198" s="33">
        <f>IF(Q198="","",IF(P198="À RENSEIGNER","GIC",P198)&amp;"-"&amp;TEXT(Q198,"000"))</f>
        <v/>
      </c>
      <c r="T198" s="33">
        <f>IF(R198="","",IFERROR(INDEX(Cl_nom,MATCH(R198,Cl_cle,0)),"(client introuvable)"))</f>
        <v/>
      </c>
      <c r="U198" s="33">
        <f>IF(R198="","",IFERROR(INDEX(Cl_quartier,MATCH(R198,Cl_cle,0))&amp;"",""))</f>
        <v/>
      </c>
      <c r="V198" s="34">
        <f>IF(C198="","",YEAR(C198-WEEKDAY(C198,2)+4)&amp;"-S"&amp;TEXT(INT((C198-DATE(YEAR(C198-WEEKDAY(C198,2)+4),1,3)+WEEKDAY(DATE(YEAR(C198-WEEKDAY(C198,2)+4),1,3),2)+5)/7),"00"))</f>
        <v/>
      </c>
    </row>
    <row r="199" ht="18" customHeight="1">
      <c r="A199" s="39" t="n">
        <v>194</v>
      </c>
      <c r="B199" s="33">
        <f>IF(C199="","",IF(P199="À RENSEIGNER","GIC",P199)&amp;"-V"&amp;TEXT(A199,"00000"))</f>
        <v/>
      </c>
      <c r="C199" s="32" t="n"/>
      <c r="D199" s="35" t="n"/>
      <c r="E199" s="36" t="n"/>
      <c r="F199" s="36" t="n"/>
      <c r="G199" s="36" t="n"/>
      <c r="H199" s="36" t="n"/>
      <c r="I199" s="36" t="n"/>
      <c r="J199" s="37" t="n"/>
      <c r="K199" s="32" t="n"/>
      <c r="L199" s="36" t="n"/>
      <c r="M199" s="41" t="n"/>
      <c r="N199" s="41" t="n"/>
      <c r="O199" s="36" t="n"/>
      <c r="P199" s="33">
        <f>IF(C199="","",Commercial_Id)</f>
        <v/>
      </c>
      <c r="Q199" s="39">
        <f>IF(F199="","",IFERROR(VALUE(MID(F199,LEN(F199)-3,3)),""))</f>
        <v/>
      </c>
      <c r="R199" s="33">
        <f>IF(Q199="","",P199&amp;"|"&amp;Q199)</f>
        <v/>
      </c>
      <c r="S199" s="33">
        <f>IF(Q199="","",IF(P199="À RENSEIGNER","GIC",P199)&amp;"-"&amp;TEXT(Q199,"000"))</f>
        <v/>
      </c>
      <c r="T199" s="33">
        <f>IF(R199="","",IFERROR(INDEX(Cl_nom,MATCH(R199,Cl_cle,0)),"(client introuvable)"))</f>
        <v/>
      </c>
      <c r="U199" s="33">
        <f>IF(R199="","",IFERROR(INDEX(Cl_quartier,MATCH(R199,Cl_cle,0))&amp;"",""))</f>
        <v/>
      </c>
      <c r="V199" s="34">
        <f>IF(C199="","",YEAR(C199-WEEKDAY(C199,2)+4)&amp;"-S"&amp;TEXT(INT((C199-DATE(YEAR(C199-WEEKDAY(C199,2)+4),1,3)+WEEKDAY(DATE(YEAR(C199-WEEKDAY(C199,2)+4),1,3),2)+5)/7),"00"))</f>
        <v/>
      </c>
    </row>
    <row r="200" ht="18" customHeight="1">
      <c r="A200" s="39" t="n">
        <v>195</v>
      </c>
      <c r="B200" s="33">
        <f>IF(C200="","",IF(P200="À RENSEIGNER","GIC",P200)&amp;"-V"&amp;TEXT(A200,"00000"))</f>
        <v/>
      </c>
      <c r="C200" s="32" t="n"/>
      <c r="D200" s="35" t="n"/>
      <c r="E200" s="36" t="n"/>
      <c r="F200" s="36" t="n"/>
      <c r="G200" s="36" t="n"/>
      <c r="H200" s="36" t="n"/>
      <c r="I200" s="36" t="n"/>
      <c r="J200" s="37" t="n"/>
      <c r="K200" s="32" t="n"/>
      <c r="L200" s="36" t="n"/>
      <c r="M200" s="41" t="n"/>
      <c r="N200" s="41" t="n"/>
      <c r="O200" s="36" t="n"/>
      <c r="P200" s="33">
        <f>IF(C200="","",Commercial_Id)</f>
        <v/>
      </c>
      <c r="Q200" s="39">
        <f>IF(F200="","",IFERROR(VALUE(MID(F200,LEN(F200)-3,3)),""))</f>
        <v/>
      </c>
      <c r="R200" s="33">
        <f>IF(Q200="","",P200&amp;"|"&amp;Q200)</f>
        <v/>
      </c>
      <c r="S200" s="33">
        <f>IF(Q200="","",IF(P200="À RENSEIGNER","GIC",P200)&amp;"-"&amp;TEXT(Q200,"000"))</f>
        <v/>
      </c>
      <c r="T200" s="33">
        <f>IF(R200="","",IFERROR(INDEX(Cl_nom,MATCH(R200,Cl_cle,0)),"(client introuvable)"))</f>
        <v/>
      </c>
      <c r="U200" s="33">
        <f>IF(R200="","",IFERROR(INDEX(Cl_quartier,MATCH(R200,Cl_cle,0))&amp;"",""))</f>
        <v/>
      </c>
      <c r="V200" s="34">
        <f>IF(C200="","",YEAR(C200-WEEKDAY(C200,2)+4)&amp;"-S"&amp;TEXT(INT((C200-DATE(YEAR(C200-WEEKDAY(C200,2)+4),1,3)+WEEKDAY(DATE(YEAR(C200-WEEKDAY(C200,2)+4),1,3),2)+5)/7),"00"))</f>
        <v/>
      </c>
    </row>
    <row r="201" ht="18" customHeight="1">
      <c r="A201" s="39" t="n">
        <v>196</v>
      </c>
      <c r="B201" s="33">
        <f>IF(C201="","",IF(P201="À RENSEIGNER","GIC",P201)&amp;"-V"&amp;TEXT(A201,"00000"))</f>
        <v/>
      </c>
      <c r="C201" s="32" t="n"/>
      <c r="D201" s="35" t="n"/>
      <c r="E201" s="36" t="n"/>
      <c r="F201" s="36" t="n"/>
      <c r="G201" s="36" t="n"/>
      <c r="H201" s="36" t="n"/>
      <c r="I201" s="36" t="n"/>
      <c r="J201" s="37" t="n"/>
      <c r="K201" s="32" t="n"/>
      <c r="L201" s="36" t="n"/>
      <c r="M201" s="41" t="n"/>
      <c r="N201" s="41" t="n"/>
      <c r="O201" s="36" t="n"/>
      <c r="P201" s="33">
        <f>IF(C201="","",Commercial_Id)</f>
        <v/>
      </c>
      <c r="Q201" s="39">
        <f>IF(F201="","",IFERROR(VALUE(MID(F201,LEN(F201)-3,3)),""))</f>
        <v/>
      </c>
      <c r="R201" s="33">
        <f>IF(Q201="","",P201&amp;"|"&amp;Q201)</f>
        <v/>
      </c>
      <c r="S201" s="33">
        <f>IF(Q201="","",IF(P201="À RENSEIGNER","GIC",P201)&amp;"-"&amp;TEXT(Q201,"000"))</f>
        <v/>
      </c>
      <c r="T201" s="33">
        <f>IF(R201="","",IFERROR(INDEX(Cl_nom,MATCH(R201,Cl_cle,0)),"(client introuvable)"))</f>
        <v/>
      </c>
      <c r="U201" s="33">
        <f>IF(R201="","",IFERROR(INDEX(Cl_quartier,MATCH(R201,Cl_cle,0))&amp;"",""))</f>
        <v/>
      </c>
      <c r="V201" s="34">
        <f>IF(C201="","",YEAR(C201-WEEKDAY(C201,2)+4)&amp;"-S"&amp;TEXT(INT((C201-DATE(YEAR(C201-WEEKDAY(C201,2)+4),1,3)+WEEKDAY(DATE(YEAR(C201-WEEKDAY(C201,2)+4),1,3),2)+5)/7),"00"))</f>
        <v/>
      </c>
    </row>
    <row r="202" ht="18" customHeight="1">
      <c r="A202" s="39" t="n">
        <v>197</v>
      </c>
      <c r="B202" s="33">
        <f>IF(C202="","",IF(P202="À RENSEIGNER","GIC",P202)&amp;"-V"&amp;TEXT(A202,"00000"))</f>
        <v/>
      </c>
      <c r="C202" s="32" t="n"/>
      <c r="D202" s="35" t="n"/>
      <c r="E202" s="36" t="n"/>
      <c r="F202" s="36" t="n"/>
      <c r="G202" s="36" t="n"/>
      <c r="H202" s="36" t="n"/>
      <c r="I202" s="36" t="n"/>
      <c r="J202" s="37" t="n"/>
      <c r="K202" s="32" t="n"/>
      <c r="L202" s="36" t="n"/>
      <c r="M202" s="41" t="n"/>
      <c r="N202" s="41" t="n"/>
      <c r="O202" s="36" t="n"/>
      <c r="P202" s="33">
        <f>IF(C202="","",Commercial_Id)</f>
        <v/>
      </c>
      <c r="Q202" s="39">
        <f>IF(F202="","",IFERROR(VALUE(MID(F202,LEN(F202)-3,3)),""))</f>
        <v/>
      </c>
      <c r="R202" s="33">
        <f>IF(Q202="","",P202&amp;"|"&amp;Q202)</f>
        <v/>
      </c>
      <c r="S202" s="33">
        <f>IF(Q202="","",IF(P202="À RENSEIGNER","GIC",P202)&amp;"-"&amp;TEXT(Q202,"000"))</f>
        <v/>
      </c>
      <c r="T202" s="33">
        <f>IF(R202="","",IFERROR(INDEX(Cl_nom,MATCH(R202,Cl_cle,0)),"(client introuvable)"))</f>
        <v/>
      </c>
      <c r="U202" s="33">
        <f>IF(R202="","",IFERROR(INDEX(Cl_quartier,MATCH(R202,Cl_cle,0))&amp;"",""))</f>
        <v/>
      </c>
      <c r="V202" s="34">
        <f>IF(C202="","",YEAR(C202-WEEKDAY(C202,2)+4)&amp;"-S"&amp;TEXT(INT((C202-DATE(YEAR(C202-WEEKDAY(C202,2)+4),1,3)+WEEKDAY(DATE(YEAR(C202-WEEKDAY(C202,2)+4),1,3),2)+5)/7),"00"))</f>
        <v/>
      </c>
    </row>
    <row r="203" ht="18" customHeight="1">
      <c r="A203" s="39" t="n">
        <v>198</v>
      </c>
      <c r="B203" s="33">
        <f>IF(C203="","",IF(P203="À RENSEIGNER","GIC",P203)&amp;"-V"&amp;TEXT(A203,"00000"))</f>
        <v/>
      </c>
      <c r="C203" s="32" t="n"/>
      <c r="D203" s="35" t="n"/>
      <c r="E203" s="36" t="n"/>
      <c r="F203" s="36" t="n"/>
      <c r="G203" s="36" t="n"/>
      <c r="H203" s="36" t="n"/>
      <c r="I203" s="36" t="n"/>
      <c r="J203" s="37" t="n"/>
      <c r="K203" s="32" t="n"/>
      <c r="L203" s="36" t="n"/>
      <c r="M203" s="41" t="n"/>
      <c r="N203" s="41" t="n"/>
      <c r="O203" s="36" t="n"/>
      <c r="P203" s="33">
        <f>IF(C203="","",Commercial_Id)</f>
        <v/>
      </c>
      <c r="Q203" s="39">
        <f>IF(F203="","",IFERROR(VALUE(MID(F203,LEN(F203)-3,3)),""))</f>
        <v/>
      </c>
      <c r="R203" s="33">
        <f>IF(Q203="","",P203&amp;"|"&amp;Q203)</f>
        <v/>
      </c>
      <c r="S203" s="33">
        <f>IF(Q203="","",IF(P203="À RENSEIGNER","GIC",P203)&amp;"-"&amp;TEXT(Q203,"000"))</f>
        <v/>
      </c>
      <c r="T203" s="33">
        <f>IF(R203="","",IFERROR(INDEX(Cl_nom,MATCH(R203,Cl_cle,0)),"(client introuvable)"))</f>
        <v/>
      </c>
      <c r="U203" s="33">
        <f>IF(R203="","",IFERROR(INDEX(Cl_quartier,MATCH(R203,Cl_cle,0))&amp;"",""))</f>
        <v/>
      </c>
      <c r="V203" s="34">
        <f>IF(C203="","",YEAR(C203-WEEKDAY(C203,2)+4)&amp;"-S"&amp;TEXT(INT((C203-DATE(YEAR(C203-WEEKDAY(C203,2)+4),1,3)+WEEKDAY(DATE(YEAR(C203-WEEKDAY(C203,2)+4),1,3),2)+5)/7),"00"))</f>
        <v/>
      </c>
    </row>
    <row r="204" ht="18" customHeight="1">
      <c r="A204" s="39" t="n">
        <v>199</v>
      </c>
      <c r="B204" s="33">
        <f>IF(C204="","",IF(P204="À RENSEIGNER","GIC",P204)&amp;"-V"&amp;TEXT(A204,"00000"))</f>
        <v/>
      </c>
      <c r="C204" s="32" t="n"/>
      <c r="D204" s="35" t="n"/>
      <c r="E204" s="36" t="n"/>
      <c r="F204" s="36" t="n"/>
      <c r="G204" s="36" t="n"/>
      <c r="H204" s="36" t="n"/>
      <c r="I204" s="36" t="n"/>
      <c r="J204" s="37" t="n"/>
      <c r="K204" s="32" t="n"/>
      <c r="L204" s="36" t="n"/>
      <c r="M204" s="41" t="n"/>
      <c r="N204" s="41" t="n"/>
      <c r="O204" s="36" t="n"/>
      <c r="P204" s="33">
        <f>IF(C204="","",Commercial_Id)</f>
        <v/>
      </c>
      <c r="Q204" s="39">
        <f>IF(F204="","",IFERROR(VALUE(MID(F204,LEN(F204)-3,3)),""))</f>
        <v/>
      </c>
      <c r="R204" s="33">
        <f>IF(Q204="","",P204&amp;"|"&amp;Q204)</f>
        <v/>
      </c>
      <c r="S204" s="33">
        <f>IF(Q204="","",IF(P204="À RENSEIGNER","GIC",P204)&amp;"-"&amp;TEXT(Q204,"000"))</f>
        <v/>
      </c>
      <c r="T204" s="33">
        <f>IF(R204="","",IFERROR(INDEX(Cl_nom,MATCH(R204,Cl_cle,0)),"(client introuvable)"))</f>
        <v/>
      </c>
      <c r="U204" s="33">
        <f>IF(R204="","",IFERROR(INDEX(Cl_quartier,MATCH(R204,Cl_cle,0))&amp;"",""))</f>
        <v/>
      </c>
      <c r="V204" s="34">
        <f>IF(C204="","",YEAR(C204-WEEKDAY(C204,2)+4)&amp;"-S"&amp;TEXT(INT((C204-DATE(YEAR(C204-WEEKDAY(C204,2)+4),1,3)+WEEKDAY(DATE(YEAR(C204-WEEKDAY(C204,2)+4),1,3),2)+5)/7),"00"))</f>
        <v/>
      </c>
    </row>
    <row r="205" ht="18" customHeight="1">
      <c r="A205" s="39" t="n">
        <v>200</v>
      </c>
      <c r="B205" s="33">
        <f>IF(C205="","",IF(P205="À RENSEIGNER","GIC",P205)&amp;"-V"&amp;TEXT(A205,"00000"))</f>
        <v/>
      </c>
      <c r="C205" s="32" t="n"/>
      <c r="D205" s="35" t="n"/>
      <c r="E205" s="36" t="n"/>
      <c r="F205" s="36" t="n"/>
      <c r="G205" s="36" t="n"/>
      <c r="H205" s="36" t="n"/>
      <c r="I205" s="36" t="n"/>
      <c r="J205" s="37" t="n"/>
      <c r="K205" s="32" t="n"/>
      <c r="L205" s="36" t="n"/>
      <c r="M205" s="41" t="n"/>
      <c r="N205" s="41" t="n"/>
      <c r="O205" s="36" t="n"/>
      <c r="P205" s="33">
        <f>IF(C205="","",Commercial_Id)</f>
        <v/>
      </c>
      <c r="Q205" s="39">
        <f>IF(F205="","",IFERROR(VALUE(MID(F205,LEN(F205)-3,3)),""))</f>
        <v/>
      </c>
      <c r="R205" s="33">
        <f>IF(Q205="","",P205&amp;"|"&amp;Q205)</f>
        <v/>
      </c>
      <c r="S205" s="33">
        <f>IF(Q205="","",IF(P205="À RENSEIGNER","GIC",P205)&amp;"-"&amp;TEXT(Q205,"000"))</f>
        <v/>
      </c>
      <c r="T205" s="33">
        <f>IF(R205="","",IFERROR(INDEX(Cl_nom,MATCH(R205,Cl_cle,0)),"(client introuvable)"))</f>
        <v/>
      </c>
      <c r="U205" s="33">
        <f>IF(R205="","",IFERROR(INDEX(Cl_quartier,MATCH(R205,Cl_cle,0))&amp;"",""))</f>
        <v/>
      </c>
      <c r="V205" s="34">
        <f>IF(C205="","",YEAR(C205-WEEKDAY(C205,2)+4)&amp;"-S"&amp;TEXT(INT((C205-DATE(YEAR(C205-WEEKDAY(C205,2)+4),1,3)+WEEKDAY(DATE(YEAR(C205-WEEKDAY(C205,2)+4),1,3),2)+5)/7),"00"))</f>
        <v/>
      </c>
    </row>
    <row r="206" ht="18" customHeight="1">
      <c r="A206" s="39" t="n">
        <v>201</v>
      </c>
      <c r="B206" s="33">
        <f>IF(C206="","",IF(P206="À RENSEIGNER","GIC",P206)&amp;"-V"&amp;TEXT(A206,"00000"))</f>
        <v/>
      </c>
      <c r="C206" s="32" t="n"/>
      <c r="D206" s="35" t="n"/>
      <c r="E206" s="36" t="n"/>
      <c r="F206" s="36" t="n"/>
      <c r="G206" s="36" t="n"/>
      <c r="H206" s="36" t="n"/>
      <c r="I206" s="36" t="n"/>
      <c r="J206" s="37" t="n"/>
      <c r="K206" s="32" t="n"/>
      <c r="L206" s="36" t="n"/>
      <c r="M206" s="41" t="n"/>
      <c r="N206" s="41" t="n"/>
      <c r="O206" s="36" t="n"/>
      <c r="P206" s="33">
        <f>IF(C206="","",Commercial_Id)</f>
        <v/>
      </c>
      <c r="Q206" s="39">
        <f>IF(F206="","",IFERROR(VALUE(MID(F206,LEN(F206)-3,3)),""))</f>
        <v/>
      </c>
      <c r="R206" s="33">
        <f>IF(Q206="","",P206&amp;"|"&amp;Q206)</f>
        <v/>
      </c>
      <c r="S206" s="33">
        <f>IF(Q206="","",IF(P206="À RENSEIGNER","GIC",P206)&amp;"-"&amp;TEXT(Q206,"000"))</f>
        <v/>
      </c>
      <c r="T206" s="33">
        <f>IF(R206="","",IFERROR(INDEX(Cl_nom,MATCH(R206,Cl_cle,0)),"(client introuvable)"))</f>
        <v/>
      </c>
      <c r="U206" s="33">
        <f>IF(R206="","",IFERROR(INDEX(Cl_quartier,MATCH(R206,Cl_cle,0))&amp;"",""))</f>
        <v/>
      </c>
      <c r="V206" s="34">
        <f>IF(C206="","",YEAR(C206-WEEKDAY(C206,2)+4)&amp;"-S"&amp;TEXT(INT((C206-DATE(YEAR(C206-WEEKDAY(C206,2)+4),1,3)+WEEKDAY(DATE(YEAR(C206-WEEKDAY(C206,2)+4),1,3),2)+5)/7),"00"))</f>
        <v/>
      </c>
    </row>
    <row r="207" ht="18" customHeight="1">
      <c r="A207" s="39" t="n">
        <v>202</v>
      </c>
      <c r="B207" s="33">
        <f>IF(C207="","",IF(P207="À RENSEIGNER","GIC",P207)&amp;"-V"&amp;TEXT(A207,"00000"))</f>
        <v/>
      </c>
      <c r="C207" s="32" t="n"/>
      <c r="D207" s="35" t="n"/>
      <c r="E207" s="36" t="n"/>
      <c r="F207" s="36" t="n"/>
      <c r="G207" s="36" t="n"/>
      <c r="H207" s="36" t="n"/>
      <c r="I207" s="36" t="n"/>
      <c r="J207" s="37" t="n"/>
      <c r="K207" s="32" t="n"/>
      <c r="L207" s="36" t="n"/>
      <c r="M207" s="41" t="n"/>
      <c r="N207" s="41" t="n"/>
      <c r="O207" s="36" t="n"/>
      <c r="P207" s="33">
        <f>IF(C207="","",Commercial_Id)</f>
        <v/>
      </c>
      <c r="Q207" s="39">
        <f>IF(F207="","",IFERROR(VALUE(MID(F207,LEN(F207)-3,3)),""))</f>
        <v/>
      </c>
      <c r="R207" s="33">
        <f>IF(Q207="","",P207&amp;"|"&amp;Q207)</f>
        <v/>
      </c>
      <c r="S207" s="33">
        <f>IF(Q207="","",IF(P207="À RENSEIGNER","GIC",P207)&amp;"-"&amp;TEXT(Q207,"000"))</f>
        <v/>
      </c>
      <c r="T207" s="33">
        <f>IF(R207="","",IFERROR(INDEX(Cl_nom,MATCH(R207,Cl_cle,0)),"(client introuvable)"))</f>
        <v/>
      </c>
      <c r="U207" s="33">
        <f>IF(R207="","",IFERROR(INDEX(Cl_quartier,MATCH(R207,Cl_cle,0))&amp;"",""))</f>
        <v/>
      </c>
      <c r="V207" s="34">
        <f>IF(C207="","",YEAR(C207-WEEKDAY(C207,2)+4)&amp;"-S"&amp;TEXT(INT((C207-DATE(YEAR(C207-WEEKDAY(C207,2)+4),1,3)+WEEKDAY(DATE(YEAR(C207-WEEKDAY(C207,2)+4),1,3),2)+5)/7),"00"))</f>
        <v/>
      </c>
    </row>
    <row r="208" ht="18" customHeight="1">
      <c r="A208" s="39" t="n">
        <v>203</v>
      </c>
      <c r="B208" s="33">
        <f>IF(C208="","",IF(P208="À RENSEIGNER","GIC",P208)&amp;"-V"&amp;TEXT(A208,"00000"))</f>
        <v/>
      </c>
      <c r="C208" s="32" t="n"/>
      <c r="D208" s="35" t="n"/>
      <c r="E208" s="36" t="n"/>
      <c r="F208" s="36" t="n"/>
      <c r="G208" s="36" t="n"/>
      <c r="H208" s="36" t="n"/>
      <c r="I208" s="36" t="n"/>
      <c r="J208" s="37" t="n"/>
      <c r="K208" s="32" t="n"/>
      <c r="L208" s="36" t="n"/>
      <c r="M208" s="41" t="n"/>
      <c r="N208" s="41" t="n"/>
      <c r="O208" s="36" t="n"/>
      <c r="P208" s="33">
        <f>IF(C208="","",Commercial_Id)</f>
        <v/>
      </c>
      <c r="Q208" s="39">
        <f>IF(F208="","",IFERROR(VALUE(MID(F208,LEN(F208)-3,3)),""))</f>
        <v/>
      </c>
      <c r="R208" s="33">
        <f>IF(Q208="","",P208&amp;"|"&amp;Q208)</f>
        <v/>
      </c>
      <c r="S208" s="33">
        <f>IF(Q208="","",IF(P208="À RENSEIGNER","GIC",P208)&amp;"-"&amp;TEXT(Q208,"000"))</f>
        <v/>
      </c>
      <c r="T208" s="33">
        <f>IF(R208="","",IFERROR(INDEX(Cl_nom,MATCH(R208,Cl_cle,0)),"(client introuvable)"))</f>
        <v/>
      </c>
      <c r="U208" s="33">
        <f>IF(R208="","",IFERROR(INDEX(Cl_quartier,MATCH(R208,Cl_cle,0))&amp;"",""))</f>
        <v/>
      </c>
      <c r="V208" s="34">
        <f>IF(C208="","",YEAR(C208-WEEKDAY(C208,2)+4)&amp;"-S"&amp;TEXT(INT((C208-DATE(YEAR(C208-WEEKDAY(C208,2)+4),1,3)+WEEKDAY(DATE(YEAR(C208-WEEKDAY(C208,2)+4),1,3),2)+5)/7),"00"))</f>
        <v/>
      </c>
    </row>
    <row r="209" ht="18" customHeight="1">
      <c r="A209" s="39" t="n">
        <v>204</v>
      </c>
      <c r="B209" s="33">
        <f>IF(C209="","",IF(P209="À RENSEIGNER","GIC",P209)&amp;"-V"&amp;TEXT(A209,"00000"))</f>
        <v/>
      </c>
      <c r="C209" s="32" t="n"/>
      <c r="D209" s="35" t="n"/>
      <c r="E209" s="36" t="n"/>
      <c r="F209" s="36" t="n"/>
      <c r="G209" s="36" t="n"/>
      <c r="H209" s="36" t="n"/>
      <c r="I209" s="36" t="n"/>
      <c r="J209" s="37" t="n"/>
      <c r="K209" s="32" t="n"/>
      <c r="L209" s="36" t="n"/>
      <c r="M209" s="41" t="n"/>
      <c r="N209" s="41" t="n"/>
      <c r="O209" s="36" t="n"/>
      <c r="P209" s="33">
        <f>IF(C209="","",Commercial_Id)</f>
        <v/>
      </c>
      <c r="Q209" s="39">
        <f>IF(F209="","",IFERROR(VALUE(MID(F209,LEN(F209)-3,3)),""))</f>
        <v/>
      </c>
      <c r="R209" s="33">
        <f>IF(Q209="","",P209&amp;"|"&amp;Q209)</f>
        <v/>
      </c>
      <c r="S209" s="33">
        <f>IF(Q209="","",IF(P209="À RENSEIGNER","GIC",P209)&amp;"-"&amp;TEXT(Q209,"000"))</f>
        <v/>
      </c>
      <c r="T209" s="33">
        <f>IF(R209="","",IFERROR(INDEX(Cl_nom,MATCH(R209,Cl_cle,0)),"(client introuvable)"))</f>
        <v/>
      </c>
      <c r="U209" s="33">
        <f>IF(R209="","",IFERROR(INDEX(Cl_quartier,MATCH(R209,Cl_cle,0))&amp;"",""))</f>
        <v/>
      </c>
      <c r="V209" s="34">
        <f>IF(C209="","",YEAR(C209-WEEKDAY(C209,2)+4)&amp;"-S"&amp;TEXT(INT((C209-DATE(YEAR(C209-WEEKDAY(C209,2)+4),1,3)+WEEKDAY(DATE(YEAR(C209-WEEKDAY(C209,2)+4),1,3),2)+5)/7),"00"))</f>
        <v/>
      </c>
    </row>
    <row r="210" ht="18" customHeight="1">
      <c r="A210" s="39" t="n">
        <v>205</v>
      </c>
      <c r="B210" s="33">
        <f>IF(C210="","",IF(P210="À RENSEIGNER","GIC",P210)&amp;"-V"&amp;TEXT(A210,"00000"))</f>
        <v/>
      </c>
      <c r="C210" s="32" t="n"/>
      <c r="D210" s="35" t="n"/>
      <c r="E210" s="36" t="n"/>
      <c r="F210" s="36" t="n"/>
      <c r="G210" s="36" t="n"/>
      <c r="H210" s="36" t="n"/>
      <c r="I210" s="36" t="n"/>
      <c r="J210" s="37" t="n"/>
      <c r="K210" s="32" t="n"/>
      <c r="L210" s="36" t="n"/>
      <c r="M210" s="41" t="n"/>
      <c r="N210" s="41" t="n"/>
      <c r="O210" s="36" t="n"/>
      <c r="P210" s="33">
        <f>IF(C210="","",Commercial_Id)</f>
        <v/>
      </c>
      <c r="Q210" s="39">
        <f>IF(F210="","",IFERROR(VALUE(MID(F210,LEN(F210)-3,3)),""))</f>
        <v/>
      </c>
      <c r="R210" s="33">
        <f>IF(Q210="","",P210&amp;"|"&amp;Q210)</f>
        <v/>
      </c>
      <c r="S210" s="33">
        <f>IF(Q210="","",IF(P210="À RENSEIGNER","GIC",P210)&amp;"-"&amp;TEXT(Q210,"000"))</f>
        <v/>
      </c>
      <c r="T210" s="33">
        <f>IF(R210="","",IFERROR(INDEX(Cl_nom,MATCH(R210,Cl_cle,0)),"(client introuvable)"))</f>
        <v/>
      </c>
      <c r="U210" s="33">
        <f>IF(R210="","",IFERROR(INDEX(Cl_quartier,MATCH(R210,Cl_cle,0))&amp;"",""))</f>
        <v/>
      </c>
      <c r="V210" s="34">
        <f>IF(C210="","",YEAR(C210-WEEKDAY(C210,2)+4)&amp;"-S"&amp;TEXT(INT((C210-DATE(YEAR(C210-WEEKDAY(C210,2)+4),1,3)+WEEKDAY(DATE(YEAR(C210-WEEKDAY(C210,2)+4),1,3),2)+5)/7),"00"))</f>
        <v/>
      </c>
    </row>
    <row r="211" ht="18" customHeight="1">
      <c r="A211" s="39" t="n">
        <v>206</v>
      </c>
      <c r="B211" s="33">
        <f>IF(C211="","",IF(P211="À RENSEIGNER","GIC",P211)&amp;"-V"&amp;TEXT(A211,"00000"))</f>
        <v/>
      </c>
      <c r="C211" s="32" t="n"/>
      <c r="D211" s="35" t="n"/>
      <c r="E211" s="36" t="n"/>
      <c r="F211" s="36" t="n"/>
      <c r="G211" s="36" t="n"/>
      <c r="H211" s="36" t="n"/>
      <c r="I211" s="36" t="n"/>
      <c r="J211" s="37" t="n"/>
      <c r="K211" s="32" t="n"/>
      <c r="L211" s="36" t="n"/>
      <c r="M211" s="41" t="n"/>
      <c r="N211" s="41" t="n"/>
      <c r="O211" s="36" t="n"/>
      <c r="P211" s="33">
        <f>IF(C211="","",Commercial_Id)</f>
        <v/>
      </c>
      <c r="Q211" s="39">
        <f>IF(F211="","",IFERROR(VALUE(MID(F211,LEN(F211)-3,3)),""))</f>
        <v/>
      </c>
      <c r="R211" s="33">
        <f>IF(Q211="","",P211&amp;"|"&amp;Q211)</f>
        <v/>
      </c>
      <c r="S211" s="33">
        <f>IF(Q211="","",IF(P211="À RENSEIGNER","GIC",P211)&amp;"-"&amp;TEXT(Q211,"000"))</f>
        <v/>
      </c>
      <c r="T211" s="33">
        <f>IF(R211="","",IFERROR(INDEX(Cl_nom,MATCH(R211,Cl_cle,0)),"(client introuvable)"))</f>
        <v/>
      </c>
      <c r="U211" s="33">
        <f>IF(R211="","",IFERROR(INDEX(Cl_quartier,MATCH(R211,Cl_cle,0))&amp;"",""))</f>
        <v/>
      </c>
      <c r="V211" s="34">
        <f>IF(C211="","",YEAR(C211-WEEKDAY(C211,2)+4)&amp;"-S"&amp;TEXT(INT((C211-DATE(YEAR(C211-WEEKDAY(C211,2)+4),1,3)+WEEKDAY(DATE(YEAR(C211-WEEKDAY(C211,2)+4),1,3),2)+5)/7),"00"))</f>
        <v/>
      </c>
    </row>
    <row r="212" ht="18" customHeight="1">
      <c r="A212" s="39" t="n">
        <v>207</v>
      </c>
      <c r="B212" s="33">
        <f>IF(C212="","",IF(P212="À RENSEIGNER","GIC",P212)&amp;"-V"&amp;TEXT(A212,"00000"))</f>
        <v/>
      </c>
      <c r="C212" s="32" t="n"/>
      <c r="D212" s="35" t="n"/>
      <c r="E212" s="36" t="n"/>
      <c r="F212" s="36" t="n"/>
      <c r="G212" s="36" t="n"/>
      <c r="H212" s="36" t="n"/>
      <c r="I212" s="36" t="n"/>
      <c r="J212" s="37" t="n"/>
      <c r="K212" s="32" t="n"/>
      <c r="L212" s="36" t="n"/>
      <c r="M212" s="41" t="n"/>
      <c r="N212" s="41" t="n"/>
      <c r="O212" s="36" t="n"/>
      <c r="P212" s="33">
        <f>IF(C212="","",Commercial_Id)</f>
        <v/>
      </c>
      <c r="Q212" s="39">
        <f>IF(F212="","",IFERROR(VALUE(MID(F212,LEN(F212)-3,3)),""))</f>
        <v/>
      </c>
      <c r="R212" s="33">
        <f>IF(Q212="","",P212&amp;"|"&amp;Q212)</f>
        <v/>
      </c>
      <c r="S212" s="33">
        <f>IF(Q212="","",IF(P212="À RENSEIGNER","GIC",P212)&amp;"-"&amp;TEXT(Q212,"000"))</f>
        <v/>
      </c>
      <c r="T212" s="33">
        <f>IF(R212="","",IFERROR(INDEX(Cl_nom,MATCH(R212,Cl_cle,0)),"(client introuvable)"))</f>
        <v/>
      </c>
      <c r="U212" s="33">
        <f>IF(R212="","",IFERROR(INDEX(Cl_quartier,MATCH(R212,Cl_cle,0))&amp;"",""))</f>
        <v/>
      </c>
      <c r="V212" s="34">
        <f>IF(C212="","",YEAR(C212-WEEKDAY(C212,2)+4)&amp;"-S"&amp;TEXT(INT((C212-DATE(YEAR(C212-WEEKDAY(C212,2)+4),1,3)+WEEKDAY(DATE(YEAR(C212-WEEKDAY(C212,2)+4),1,3),2)+5)/7),"00"))</f>
        <v/>
      </c>
    </row>
    <row r="213" ht="18" customHeight="1">
      <c r="A213" s="39" t="n">
        <v>208</v>
      </c>
      <c r="B213" s="33">
        <f>IF(C213="","",IF(P213="À RENSEIGNER","GIC",P213)&amp;"-V"&amp;TEXT(A213,"00000"))</f>
        <v/>
      </c>
      <c r="C213" s="32" t="n"/>
      <c r="D213" s="35" t="n"/>
      <c r="E213" s="36" t="n"/>
      <c r="F213" s="36" t="n"/>
      <c r="G213" s="36" t="n"/>
      <c r="H213" s="36" t="n"/>
      <c r="I213" s="36" t="n"/>
      <c r="J213" s="37" t="n"/>
      <c r="K213" s="32" t="n"/>
      <c r="L213" s="36" t="n"/>
      <c r="M213" s="41" t="n"/>
      <c r="N213" s="41" t="n"/>
      <c r="O213" s="36" t="n"/>
      <c r="P213" s="33">
        <f>IF(C213="","",Commercial_Id)</f>
        <v/>
      </c>
      <c r="Q213" s="39">
        <f>IF(F213="","",IFERROR(VALUE(MID(F213,LEN(F213)-3,3)),""))</f>
        <v/>
      </c>
      <c r="R213" s="33">
        <f>IF(Q213="","",P213&amp;"|"&amp;Q213)</f>
        <v/>
      </c>
      <c r="S213" s="33">
        <f>IF(Q213="","",IF(P213="À RENSEIGNER","GIC",P213)&amp;"-"&amp;TEXT(Q213,"000"))</f>
        <v/>
      </c>
      <c r="T213" s="33">
        <f>IF(R213="","",IFERROR(INDEX(Cl_nom,MATCH(R213,Cl_cle,0)),"(client introuvable)"))</f>
        <v/>
      </c>
      <c r="U213" s="33">
        <f>IF(R213="","",IFERROR(INDEX(Cl_quartier,MATCH(R213,Cl_cle,0))&amp;"",""))</f>
        <v/>
      </c>
      <c r="V213" s="34">
        <f>IF(C213="","",YEAR(C213-WEEKDAY(C213,2)+4)&amp;"-S"&amp;TEXT(INT((C213-DATE(YEAR(C213-WEEKDAY(C213,2)+4),1,3)+WEEKDAY(DATE(YEAR(C213-WEEKDAY(C213,2)+4),1,3),2)+5)/7),"00"))</f>
        <v/>
      </c>
    </row>
    <row r="214" ht="18" customHeight="1">
      <c r="A214" s="39" t="n">
        <v>209</v>
      </c>
      <c r="B214" s="33">
        <f>IF(C214="","",IF(P214="À RENSEIGNER","GIC",P214)&amp;"-V"&amp;TEXT(A214,"00000"))</f>
        <v/>
      </c>
      <c r="C214" s="32" t="n"/>
      <c r="D214" s="35" t="n"/>
      <c r="E214" s="36" t="n"/>
      <c r="F214" s="36" t="n"/>
      <c r="G214" s="36" t="n"/>
      <c r="H214" s="36" t="n"/>
      <c r="I214" s="36" t="n"/>
      <c r="J214" s="37" t="n"/>
      <c r="K214" s="32" t="n"/>
      <c r="L214" s="36" t="n"/>
      <c r="M214" s="41" t="n"/>
      <c r="N214" s="41" t="n"/>
      <c r="O214" s="36" t="n"/>
      <c r="P214" s="33">
        <f>IF(C214="","",Commercial_Id)</f>
        <v/>
      </c>
      <c r="Q214" s="39">
        <f>IF(F214="","",IFERROR(VALUE(MID(F214,LEN(F214)-3,3)),""))</f>
        <v/>
      </c>
      <c r="R214" s="33">
        <f>IF(Q214="","",P214&amp;"|"&amp;Q214)</f>
        <v/>
      </c>
      <c r="S214" s="33">
        <f>IF(Q214="","",IF(P214="À RENSEIGNER","GIC",P214)&amp;"-"&amp;TEXT(Q214,"000"))</f>
        <v/>
      </c>
      <c r="T214" s="33">
        <f>IF(R214="","",IFERROR(INDEX(Cl_nom,MATCH(R214,Cl_cle,0)),"(client introuvable)"))</f>
        <v/>
      </c>
      <c r="U214" s="33">
        <f>IF(R214="","",IFERROR(INDEX(Cl_quartier,MATCH(R214,Cl_cle,0))&amp;"",""))</f>
        <v/>
      </c>
      <c r="V214" s="34">
        <f>IF(C214="","",YEAR(C214-WEEKDAY(C214,2)+4)&amp;"-S"&amp;TEXT(INT((C214-DATE(YEAR(C214-WEEKDAY(C214,2)+4),1,3)+WEEKDAY(DATE(YEAR(C214-WEEKDAY(C214,2)+4),1,3),2)+5)/7),"00"))</f>
        <v/>
      </c>
    </row>
    <row r="215" ht="18" customHeight="1">
      <c r="A215" s="39" t="n">
        <v>210</v>
      </c>
      <c r="B215" s="33">
        <f>IF(C215="","",IF(P215="À RENSEIGNER","GIC",P215)&amp;"-V"&amp;TEXT(A215,"00000"))</f>
        <v/>
      </c>
      <c r="C215" s="32" t="n"/>
      <c r="D215" s="35" t="n"/>
      <c r="E215" s="36" t="n"/>
      <c r="F215" s="36" t="n"/>
      <c r="G215" s="36" t="n"/>
      <c r="H215" s="36" t="n"/>
      <c r="I215" s="36" t="n"/>
      <c r="J215" s="37" t="n"/>
      <c r="K215" s="32" t="n"/>
      <c r="L215" s="36" t="n"/>
      <c r="M215" s="41" t="n"/>
      <c r="N215" s="41" t="n"/>
      <c r="O215" s="36" t="n"/>
      <c r="P215" s="33">
        <f>IF(C215="","",Commercial_Id)</f>
        <v/>
      </c>
      <c r="Q215" s="39">
        <f>IF(F215="","",IFERROR(VALUE(MID(F215,LEN(F215)-3,3)),""))</f>
        <v/>
      </c>
      <c r="R215" s="33">
        <f>IF(Q215="","",P215&amp;"|"&amp;Q215)</f>
        <v/>
      </c>
      <c r="S215" s="33">
        <f>IF(Q215="","",IF(P215="À RENSEIGNER","GIC",P215)&amp;"-"&amp;TEXT(Q215,"000"))</f>
        <v/>
      </c>
      <c r="T215" s="33">
        <f>IF(R215="","",IFERROR(INDEX(Cl_nom,MATCH(R215,Cl_cle,0)),"(client introuvable)"))</f>
        <v/>
      </c>
      <c r="U215" s="33">
        <f>IF(R215="","",IFERROR(INDEX(Cl_quartier,MATCH(R215,Cl_cle,0))&amp;"",""))</f>
        <v/>
      </c>
      <c r="V215" s="34">
        <f>IF(C215="","",YEAR(C215-WEEKDAY(C215,2)+4)&amp;"-S"&amp;TEXT(INT((C215-DATE(YEAR(C215-WEEKDAY(C215,2)+4),1,3)+WEEKDAY(DATE(YEAR(C215-WEEKDAY(C215,2)+4),1,3),2)+5)/7),"00"))</f>
        <v/>
      </c>
    </row>
    <row r="216" ht="18" customHeight="1">
      <c r="A216" s="39" t="n">
        <v>211</v>
      </c>
      <c r="B216" s="33">
        <f>IF(C216="","",IF(P216="À RENSEIGNER","GIC",P216)&amp;"-V"&amp;TEXT(A216,"00000"))</f>
        <v/>
      </c>
      <c r="C216" s="32" t="n"/>
      <c r="D216" s="35" t="n"/>
      <c r="E216" s="36" t="n"/>
      <c r="F216" s="36" t="n"/>
      <c r="G216" s="36" t="n"/>
      <c r="H216" s="36" t="n"/>
      <c r="I216" s="36" t="n"/>
      <c r="J216" s="37" t="n"/>
      <c r="K216" s="32" t="n"/>
      <c r="L216" s="36" t="n"/>
      <c r="M216" s="41" t="n"/>
      <c r="N216" s="41" t="n"/>
      <c r="O216" s="36" t="n"/>
      <c r="P216" s="33">
        <f>IF(C216="","",Commercial_Id)</f>
        <v/>
      </c>
      <c r="Q216" s="39">
        <f>IF(F216="","",IFERROR(VALUE(MID(F216,LEN(F216)-3,3)),""))</f>
        <v/>
      </c>
      <c r="R216" s="33">
        <f>IF(Q216="","",P216&amp;"|"&amp;Q216)</f>
        <v/>
      </c>
      <c r="S216" s="33">
        <f>IF(Q216="","",IF(P216="À RENSEIGNER","GIC",P216)&amp;"-"&amp;TEXT(Q216,"000"))</f>
        <v/>
      </c>
      <c r="T216" s="33">
        <f>IF(R216="","",IFERROR(INDEX(Cl_nom,MATCH(R216,Cl_cle,0)),"(client introuvable)"))</f>
        <v/>
      </c>
      <c r="U216" s="33">
        <f>IF(R216="","",IFERROR(INDEX(Cl_quartier,MATCH(R216,Cl_cle,0))&amp;"",""))</f>
        <v/>
      </c>
      <c r="V216" s="34">
        <f>IF(C216="","",YEAR(C216-WEEKDAY(C216,2)+4)&amp;"-S"&amp;TEXT(INT((C216-DATE(YEAR(C216-WEEKDAY(C216,2)+4),1,3)+WEEKDAY(DATE(YEAR(C216-WEEKDAY(C216,2)+4),1,3),2)+5)/7),"00"))</f>
        <v/>
      </c>
    </row>
    <row r="217" ht="18" customHeight="1">
      <c r="A217" s="39" t="n">
        <v>212</v>
      </c>
      <c r="B217" s="33">
        <f>IF(C217="","",IF(P217="À RENSEIGNER","GIC",P217)&amp;"-V"&amp;TEXT(A217,"00000"))</f>
        <v/>
      </c>
      <c r="C217" s="32" t="n"/>
      <c r="D217" s="35" t="n"/>
      <c r="E217" s="36" t="n"/>
      <c r="F217" s="36" t="n"/>
      <c r="G217" s="36" t="n"/>
      <c r="H217" s="36" t="n"/>
      <c r="I217" s="36" t="n"/>
      <c r="J217" s="37" t="n"/>
      <c r="K217" s="32" t="n"/>
      <c r="L217" s="36" t="n"/>
      <c r="M217" s="41" t="n"/>
      <c r="N217" s="41" t="n"/>
      <c r="O217" s="36" t="n"/>
      <c r="P217" s="33">
        <f>IF(C217="","",Commercial_Id)</f>
        <v/>
      </c>
      <c r="Q217" s="39">
        <f>IF(F217="","",IFERROR(VALUE(MID(F217,LEN(F217)-3,3)),""))</f>
        <v/>
      </c>
      <c r="R217" s="33">
        <f>IF(Q217="","",P217&amp;"|"&amp;Q217)</f>
        <v/>
      </c>
      <c r="S217" s="33">
        <f>IF(Q217="","",IF(P217="À RENSEIGNER","GIC",P217)&amp;"-"&amp;TEXT(Q217,"000"))</f>
        <v/>
      </c>
      <c r="T217" s="33">
        <f>IF(R217="","",IFERROR(INDEX(Cl_nom,MATCH(R217,Cl_cle,0)),"(client introuvable)"))</f>
        <v/>
      </c>
      <c r="U217" s="33">
        <f>IF(R217="","",IFERROR(INDEX(Cl_quartier,MATCH(R217,Cl_cle,0))&amp;"",""))</f>
        <v/>
      </c>
      <c r="V217" s="34">
        <f>IF(C217="","",YEAR(C217-WEEKDAY(C217,2)+4)&amp;"-S"&amp;TEXT(INT((C217-DATE(YEAR(C217-WEEKDAY(C217,2)+4),1,3)+WEEKDAY(DATE(YEAR(C217-WEEKDAY(C217,2)+4),1,3),2)+5)/7),"00"))</f>
        <v/>
      </c>
    </row>
    <row r="218" ht="18" customHeight="1">
      <c r="A218" s="39" t="n">
        <v>213</v>
      </c>
      <c r="B218" s="33">
        <f>IF(C218="","",IF(P218="À RENSEIGNER","GIC",P218)&amp;"-V"&amp;TEXT(A218,"00000"))</f>
        <v/>
      </c>
      <c r="C218" s="32" t="n"/>
      <c r="D218" s="35" t="n"/>
      <c r="E218" s="36" t="n"/>
      <c r="F218" s="36" t="n"/>
      <c r="G218" s="36" t="n"/>
      <c r="H218" s="36" t="n"/>
      <c r="I218" s="36" t="n"/>
      <c r="J218" s="37" t="n"/>
      <c r="K218" s="32" t="n"/>
      <c r="L218" s="36" t="n"/>
      <c r="M218" s="41" t="n"/>
      <c r="N218" s="41" t="n"/>
      <c r="O218" s="36" t="n"/>
      <c r="P218" s="33">
        <f>IF(C218="","",Commercial_Id)</f>
        <v/>
      </c>
      <c r="Q218" s="39">
        <f>IF(F218="","",IFERROR(VALUE(MID(F218,LEN(F218)-3,3)),""))</f>
        <v/>
      </c>
      <c r="R218" s="33">
        <f>IF(Q218="","",P218&amp;"|"&amp;Q218)</f>
        <v/>
      </c>
      <c r="S218" s="33">
        <f>IF(Q218="","",IF(P218="À RENSEIGNER","GIC",P218)&amp;"-"&amp;TEXT(Q218,"000"))</f>
        <v/>
      </c>
      <c r="T218" s="33">
        <f>IF(R218="","",IFERROR(INDEX(Cl_nom,MATCH(R218,Cl_cle,0)),"(client introuvable)"))</f>
        <v/>
      </c>
      <c r="U218" s="33">
        <f>IF(R218="","",IFERROR(INDEX(Cl_quartier,MATCH(R218,Cl_cle,0))&amp;"",""))</f>
        <v/>
      </c>
      <c r="V218" s="34">
        <f>IF(C218="","",YEAR(C218-WEEKDAY(C218,2)+4)&amp;"-S"&amp;TEXT(INT((C218-DATE(YEAR(C218-WEEKDAY(C218,2)+4),1,3)+WEEKDAY(DATE(YEAR(C218-WEEKDAY(C218,2)+4),1,3),2)+5)/7),"00"))</f>
        <v/>
      </c>
    </row>
    <row r="219" ht="18" customHeight="1">
      <c r="A219" s="39" t="n">
        <v>214</v>
      </c>
      <c r="B219" s="33">
        <f>IF(C219="","",IF(P219="À RENSEIGNER","GIC",P219)&amp;"-V"&amp;TEXT(A219,"00000"))</f>
        <v/>
      </c>
      <c r="C219" s="32" t="n"/>
      <c r="D219" s="35" t="n"/>
      <c r="E219" s="36" t="n"/>
      <c r="F219" s="36" t="n"/>
      <c r="G219" s="36" t="n"/>
      <c r="H219" s="36" t="n"/>
      <c r="I219" s="36" t="n"/>
      <c r="J219" s="37" t="n"/>
      <c r="K219" s="32" t="n"/>
      <c r="L219" s="36" t="n"/>
      <c r="M219" s="41" t="n"/>
      <c r="N219" s="41" t="n"/>
      <c r="O219" s="36" t="n"/>
      <c r="P219" s="33">
        <f>IF(C219="","",Commercial_Id)</f>
        <v/>
      </c>
      <c r="Q219" s="39">
        <f>IF(F219="","",IFERROR(VALUE(MID(F219,LEN(F219)-3,3)),""))</f>
        <v/>
      </c>
      <c r="R219" s="33">
        <f>IF(Q219="","",P219&amp;"|"&amp;Q219)</f>
        <v/>
      </c>
      <c r="S219" s="33">
        <f>IF(Q219="","",IF(P219="À RENSEIGNER","GIC",P219)&amp;"-"&amp;TEXT(Q219,"000"))</f>
        <v/>
      </c>
      <c r="T219" s="33">
        <f>IF(R219="","",IFERROR(INDEX(Cl_nom,MATCH(R219,Cl_cle,0)),"(client introuvable)"))</f>
        <v/>
      </c>
      <c r="U219" s="33">
        <f>IF(R219="","",IFERROR(INDEX(Cl_quartier,MATCH(R219,Cl_cle,0))&amp;"",""))</f>
        <v/>
      </c>
      <c r="V219" s="34">
        <f>IF(C219="","",YEAR(C219-WEEKDAY(C219,2)+4)&amp;"-S"&amp;TEXT(INT((C219-DATE(YEAR(C219-WEEKDAY(C219,2)+4),1,3)+WEEKDAY(DATE(YEAR(C219-WEEKDAY(C219,2)+4),1,3),2)+5)/7),"00"))</f>
        <v/>
      </c>
    </row>
    <row r="220" ht="18" customHeight="1">
      <c r="A220" s="39" t="n">
        <v>215</v>
      </c>
      <c r="B220" s="33">
        <f>IF(C220="","",IF(P220="À RENSEIGNER","GIC",P220)&amp;"-V"&amp;TEXT(A220,"00000"))</f>
        <v/>
      </c>
      <c r="C220" s="32" t="n"/>
      <c r="D220" s="35" t="n"/>
      <c r="E220" s="36" t="n"/>
      <c r="F220" s="36" t="n"/>
      <c r="G220" s="36" t="n"/>
      <c r="H220" s="36" t="n"/>
      <c r="I220" s="36" t="n"/>
      <c r="J220" s="37" t="n"/>
      <c r="K220" s="32" t="n"/>
      <c r="L220" s="36" t="n"/>
      <c r="M220" s="41" t="n"/>
      <c r="N220" s="41" t="n"/>
      <c r="O220" s="36" t="n"/>
      <c r="P220" s="33">
        <f>IF(C220="","",Commercial_Id)</f>
        <v/>
      </c>
      <c r="Q220" s="39">
        <f>IF(F220="","",IFERROR(VALUE(MID(F220,LEN(F220)-3,3)),""))</f>
        <v/>
      </c>
      <c r="R220" s="33">
        <f>IF(Q220="","",P220&amp;"|"&amp;Q220)</f>
        <v/>
      </c>
      <c r="S220" s="33">
        <f>IF(Q220="","",IF(P220="À RENSEIGNER","GIC",P220)&amp;"-"&amp;TEXT(Q220,"000"))</f>
        <v/>
      </c>
      <c r="T220" s="33">
        <f>IF(R220="","",IFERROR(INDEX(Cl_nom,MATCH(R220,Cl_cle,0)),"(client introuvable)"))</f>
        <v/>
      </c>
      <c r="U220" s="33">
        <f>IF(R220="","",IFERROR(INDEX(Cl_quartier,MATCH(R220,Cl_cle,0))&amp;"",""))</f>
        <v/>
      </c>
      <c r="V220" s="34">
        <f>IF(C220="","",YEAR(C220-WEEKDAY(C220,2)+4)&amp;"-S"&amp;TEXT(INT((C220-DATE(YEAR(C220-WEEKDAY(C220,2)+4),1,3)+WEEKDAY(DATE(YEAR(C220-WEEKDAY(C220,2)+4),1,3),2)+5)/7),"00"))</f>
        <v/>
      </c>
    </row>
    <row r="221" ht="18" customHeight="1">
      <c r="A221" s="39" t="n">
        <v>216</v>
      </c>
      <c r="B221" s="33">
        <f>IF(C221="","",IF(P221="À RENSEIGNER","GIC",P221)&amp;"-V"&amp;TEXT(A221,"00000"))</f>
        <v/>
      </c>
      <c r="C221" s="32" t="n"/>
      <c r="D221" s="35" t="n"/>
      <c r="E221" s="36" t="n"/>
      <c r="F221" s="36" t="n"/>
      <c r="G221" s="36" t="n"/>
      <c r="H221" s="36" t="n"/>
      <c r="I221" s="36" t="n"/>
      <c r="J221" s="37" t="n"/>
      <c r="K221" s="32" t="n"/>
      <c r="L221" s="36" t="n"/>
      <c r="M221" s="41" t="n"/>
      <c r="N221" s="41" t="n"/>
      <c r="O221" s="36" t="n"/>
      <c r="P221" s="33">
        <f>IF(C221="","",Commercial_Id)</f>
        <v/>
      </c>
      <c r="Q221" s="39">
        <f>IF(F221="","",IFERROR(VALUE(MID(F221,LEN(F221)-3,3)),""))</f>
        <v/>
      </c>
      <c r="R221" s="33">
        <f>IF(Q221="","",P221&amp;"|"&amp;Q221)</f>
        <v/>
      </c>
      <c r="S221" s="33">
        <f>IF(Q221="","",IF(P221="À RENSEIGNER","GIC",P221)&amp;"-"&amp;TEXT(Q221,"000"))</f>
        <v/>
      </c>
      <c r="T221" s="33">
        <f>IF(R221="","",IFERROR(INDEX(Cl_nom,MATCH(R221,Cl_cle,0)),"(client introuvable)"))</f>
        <v/>
      </c>
      <c r="U221" s="33">
        <f>IF(R221="","",IFERROR(INDEX(Cl_quartier,MATCH(R221,Cl_cle,0))&amp;"",""))</f>
        <v/>
      </c>
      <c r="V221" s="34">
        <f>IF(C221="","",YEAR(C221-WEEKDAY(C221,2)+4)&amp;"-S"&amp;TEXT(INT((C221-DATE(YEAR(C221-WEEKDAY(C221,2)+4),1,3)+WEEKDAY(DATE(YEAR(C221-WEEKDAY(C221,2)+4),1,3),2)+5)/7),"00"))</f>
        <v/>
      </c>
    </row>
    <row r="222" ht="18" customHeight="1">
      <c r="A222" s="39" t="n">
        <v>217</v>
      </c>
      <c r="B222" s="33">
        <f>IF(C222="","",IF(P222="À RENSEIGNER","GIC",P222)&amp;"-V"&amp;TEXT(A222,"00000"))</f>
        <v/>
      </c>
      <c r="C222" s="32" t="n"/>
      <c r="D222" s="35" t="n"/>
      <c r="E222" s="36" t="n"/>
      <c r="F222" s="36" t="n"/>
      <c r="G222" s="36" t="n"/>
      <c r="H222" s="36" t="n"/>
      <c r="I222" s="36" t="n"/>
      <c r="J222" s="37" t="n"/>
      <c r="K222" s="32" t="n"/>
      <c r="L222" s="36" t="n"/>
      <c r="M222" s="41" t="n"/>
      <c r="N222" s="41" t="n"/>
      <c r="O222" s="36" t="n"/>
      <c r="P222" s="33">
        <f>IF(C222="","",Commercial_Id)</f>
        <v/>
      </c>
      <c r="Q222" s="39">
        <f>IF(F222="","",IFERROR(VALUE(MID(F222,LEN(F222)-3,3)),""))</f>
        <v/>
      </c>
      <c r="R222" s="33">
        <f>IF(Q222="","",P222&amp;"|"&amp;Q222)</f>
        <v/>
      </c>
      <c r="S222" s="33">
        <f>IF(Q222="","",IF(P222="À RENSEIGNER","GIC",P222)&amp;"-"&amp;TEXT(Q222,"000"))</f>
        <v/>
      </c>
      <c r="T222" s="33">
        <f>IF(R222="","",IFERROR(INDEX(Cl_nom,MATCH(R222,Cl_cle,0)),"(client introuvable)"))</f>
        <v/>
      </c>
      <c r="U222" s="33">
        <f>IF(R222="","",IFERROR(INDEX(Cl_quartier,MATCH(R222,Cl_cle,0))&amp;"",""))</f>
        <v/>
      </c>
      <c r="V222" s="34">
        <f>IF(C222="","",YEAR(C222-WEEKDAY(C222,2)+4)&amp;"-S"&amp;TEXT(INT((C222-DATE(YEAR(C222-WEEKDAY(C222,2)+4),1,3)+WEEKDAY(DATE(YEAR(C222-WEEKDAY(C222,2)+4),1,3),2)+5)/7),"00"))</f>
        <v/>
      </c>
    </row>
    <row r="223" ht="18" customHeight="1">
      <c r="A223" s="39" t="n">
        <v>218</v>
      </c>
      <c r="B223" s="33">
        <f>IF(C223="","",IF(P223="À RENSEIGNER","GIC",P223)&amp;"-V"&amp;TEXT(A223,"00000"))</f>
        <v/>
      </c>
      <c r="C223" s="32" t="n"/>
      <c r="D223" s="35" t="n"/>
      <c r="E223" s="36" t="n"/>
      <c r="F223" s="36" t="n"/>
      <c r="G223" s="36" t="n"/>
      <c r="H223" s="36" t="n"/>
      <c r="I223" s="36" t="n"/>
      <c r="J223" s="37" t="n"/>
      <c r="K223" s="32" t="n"/>
      <c r="L223" s="36" t="n"/>
      <c r="M223" s="41" t="n"/>
      <c r="N223" s="41" t="n"/>
      <c r="O223" s="36" t="n"/>
      <c r="P223" s="33">
        <f>IF(C223="","",Commercial_Id)</f>
        <v/>
      </c>
      <c r="Q223" s="39">
        <f>IF(F223="","",IFERROR(VALUE(MID(F223,LEN(F223)-3,3)),""))</f>
        <v/>
      </c>
      <c r="R223" s="33">
        <f>IF(Q223="","",P223&amp;"|"&amp;Q223)</f>
        <v/>
      </c>
      <c r="S223" s="33">
        <f>IF(Q223="","",IF(P223="À RENSEIGNER","GIC",P223)&amp;"-"&amp;TEXT(Q223,"000"))</f>
        <v/>
      </c>
      <c r="T223" s="33">
        <f>IF(R223="","",IFERROR(INDEX(Cl_nom,MATCH(R223,Cl_cle,0)),"(client introuvable)"))</f>
        <v/>
      </c>
      <c r="U223" s="33">
        <f>IF(R223="","",IFERROR(INDEX(Cl_quartier,MATCH(R223,Cl_cle,0))&amp;"",""))</f>
        <v/>
      </c>
      <c r="V223" s="34">
        <f>IF(C223="","",YEAR(C223-WEEKDAY(C223,2)+4)&amp;"-S"&amp;TEXT(INT((C223-DATE(YEAR(C223-WEEKDAY(C223,2)+4),1,3)+WEEKDAY(DATE(YEAR(C223-WEEKDAY(C223,2)+4),1,3),2)+5)/7),"00"))</f>
        <v/>
      </c>
    </row>
    <row r="224" ht="18" customHeight="1">
      <c r="A224" s="39" t="n">
        <v>219</v>
      </c>
      <c r="B224" s="33">
        <f>IF(C224="","",IF(P224="À RENSEIGNER","GIC",P224)&amp;"-V"&amp;TEXT(A224,"00000"))</f>
        <v/>
      </c>
      <c r="C224" s="32" t="n"/>
      <c r="D224" s="35" t="n"/>
      <c r="E224" s="36" t="n"/>
      <c r="F224" s="36" t="n"/>
      <c r="G224" s="36" t="n"/>
      <c r="H224" s="36" t="n"/>
      <c r="I224" s="36" t="n"/>
      <c r="J224" s="37" t="n"/>
      <c r="K224" s="32" t="n"/>
      <c r="L224" s="36" t="n"/>
      <c r="M224" s="41" t="n"/>
      <c r="N224" s="41" t="n"/>
      <c r="O224" s="36" t="n"/>
      <c r="P224" s="33">
        <f>IF(C224="","",Commercial_Id)</f>
        <v/>
      </c>
      <c r="Q224" s="39">
        <f>IF(F224="","",IFERROR(VALUE(MID(F224,LEN(F224)-3,3)),""))</f>
        <v/>
      </c>
      <c r="R224" s="33">
        <f>IF(Q224="","",P224&amp;"|"&amp;Q224)</f>
        <v/>
      </c>
      <c r="S224" s="33">
        <f>IF(Q224="","",IF(P224="À RENSEIGNER","GIC",P224)&amp;"-"&amp;TEXT(Q224,"000"))</f>
        <v/>
      </c>
      <c r="T224" s="33">
        <f>IF(R224="","",IFERROR(INDEX(Cl_nom,MATCH(R224,Cl_cle,0)),"(client introuvable)"))</f>
        <v/>
      </c>
      <c r="U224" s="33">
        <f>IF(R224="","",IFERROR(INDEX(Cl_quartier,MATCH(R224,Cl_cle,0))&amp;"",""))</f>
        <v/>
      </c>
      <c r="V224" s="34">
        <f>IF(C224="","",YEAR(C224-WEEKDAY(C224,2)+4)&amp;"-S"&amp;TEXT(INT((C224-DATE(YEAR(C224-WEEKDAY(C224,2)+4),1,3)+WEEKDAY(DATE(YEAR(C224-WEEKDAY(C224,2)+4),1,3),2)+5)/7),"00"))</f>
        <v/>
      </c>
    </row>
    <row r="225" ht="18" customHeight="1">
      <c r="A225" s="39" t="n">
        <v>220</v>
      </c>
      <c r="B225" s="33">
        <f>IF(C225="","",IF(P225="À RENSEIGNER","GIC",P225)&amp;"-V"&amp;TEXT(A225,"00000"))</f>
        <v/>
      </c>
      <c r="C225" s="32" t="n"/>
      <c r="D225" s="35" t="n"/>
      <c r="E225" s="36" t="n"/>
      <c r="F225" s="36" t="n"/>
      <c r="G225" s="36" t="n"/>
      <c r="H225" s="36" t="n"/>
      <c r="I225" s="36" t="n"/>
      <c r="J225" s="37" t="n"/>
      <c r="K225" s="32" t="n"/>
      <c r="L225" s="36" t="n"/>
      <c r="M225" s="41" t="n"/>
      <c r="N225" s="41" t="n"/>
      <c r="O225" s="36" t="n"/>
      <c r="P225" s="33">
        <f>IF(C225="","",Commercial_Id)</f>
        <v/>
      </c>
      <c r="Q225" s="39">
        <f>IF(F225="","",IFERROR(VALUE(MID(F225,LEN(F225)-3,3)),""))</f>
        <v/>
      </c>
      <c r="R225" s="33">
        <f>IF(Q225="","",P225&amp;"|"&amp;Q225)</f>
        <v/>
      </c>
      <c r="S225" s="33">
        <f>IF(Q225="","",IF(P225="À RENSEIGNER","GIC",P225)&amp;"-"&amp;TEXT(Q225,"000"))</f>
        <v/>
      </c>
      <c r="T225" s="33">
        <f>IF(R225="","",IFERROR(INDEX(Cl_nom,MATCH(R225,Cl_cle,0)),"(client introuvable)"))</f>
        <v/>
      </c>
      <c r="U225" s="33">
        <f>IF(R225="","",IFERROR(INDEX(Cl_quartier,MATCH(R225,Cl_cle,0))&amp;"",""))</f>
        <v/>
      </c>
      <c r="V225" s="34">
        <f>IF(C225="","",YEAR(C225-WEEKDAY(C225,2)+4)&amp;"-S"&amp;TEXT(INT((C225-DATE(YEAR(C225-WEEKDAY(C225,2)+4),1,3)+WEEKDAY(DATE(YEAR(C225-WEEKDAY(C225,2)+4),1,3),2)+5)/7),"00"))</f>
        <v/>
      </c>
    </row>
    <row r="226" ht="18" customHeight="1">
      <c r="A226" s="39" t="n">
        <v>221</v>
      </c>
      <c r="B226" s="33">
        <f>IF(C226="","",IF(P226="À RENSEIGNER","GIC",P226)&amp;"-V"&amp;TEXT(A226,"00000"))</f>
        <v/>
      </c>
      <c r="C226" s="32" t="n"/>
      <c r="D226" s="35" t="n"/>
      <c r="E226" s="36" t="n"/>
      <c r="F226" s="36" t="n"/>
      <c r="G226" s="36" t="n"/>
      <c r="H226" s="36" t="n"/>
      <c r="I226" s="36" t="n"/>
      <c r="J226" s="37" t="n"/>
      <c r="K226" s="32" t="n"/>
      <c r="L226" s="36" t="n"/>
      <c r="M226" s="41" t="n"/>
      <c r="N226" s="41" t="n"/>
      <c r="O226" s="36" t="n"/>
      <c r="P226" s="33">
        <f>IF(C226="","",Commercial_Id)</f>
        <v/>
      </c>
      <c r="Q226" s="39">
        <f>IF(F226="","",IFERROR(VALUE(MID(F226,LEN(F226)-3,3)),""))</f>
        <v/>
      </c>
      <c r="R226" s="33">
        <f>IF(Q226="","",P226&amp;"|"&amp;Q226)</f>
        <v/>
      </c>
      <c r="S226" s="33">
        <f>IF(Q226="","",IF(P226="À RENSEIGNER","GIC",P226)&amp;"-"&amp;TEXT(Q226,"000"))</f>
        <v/>
      </c>
      <c r="T226" s="33">
        <f>IF(R226="","",IFERROR(INDEX(Cl_nom,MATCH(R226,Cl_cle,0)),"(client introuvable)"))</f>
        <v/>
      </c>
      <c r="U226" s="33">
        <f>IF(R226="","",IFERROR(INDEX(Cl_quartier,MATCH(R226,Cl_cle,0))&amp;"",""))</f>
        <v/>
      </c>
      <c r="V226" s="34">
        <f>IF(C226="","",YEAR(C226-WEEKDAY(C226,2)+4)&amp;"-S"&amp;TEXT(INT((C226-DATE(YEAR(C226-WEEKDAY(C226,2)+4),1,3)+WEEKDAY(DATE(YEAR(C226-WEEKDAY(C226,2)+4),1,3),2)+5)/7),"00"))</f>
        <v/>
      </c>
    </row>
    <row r="227" ht="18" customHeight="1">
      <c r="A227" s="39" t="n">
        <v>222</v>
      </c>
      <c r="B227" s="33">
        <f>IF(C227="","",IF(P227="À RENSEIGNER","GIC",P227)&amp;"-V"&amp;TEXT(A227,"00000"))</f>
        <v/>
      </c>
      <c r="C227" s="32" t="n"/>
      <c r="D227" s="35" t="n"/>
      <c r="E227" s="36" t="n"/>
      <c r="F227" s="36" t="n"/>
      <c r="G227" s="36" t="n"/>
      <c r="H227" s="36" t="n"/>
      <c r="I227" s="36" t="n"/>
      <c r="J227" s="37" t="n"/>
      <c r="K227" s="32" t="n"/>
      <c r="L227" s="36" t="n"/>
      <c r="M227" s="41" t="n"/>
      <c r="N227" s="41" t="n"/>
      <c r="O227" s="36" t="n"/>
      <c r="P227" s="33">
        <f>IF(C227="","",Commercial_Id)</f>
        <v/>
      </c>
      <c r="Q227" s="39">
        <f>IF(F227="","",IFERROR(VALUE(MID(F227,LEN(F227)-3,3)),""))</f>
        <v/>
      </c>
      <c r="R227" s="33">
        <f>IF(Q227="","",P227&amp;"|"&amp;Q227)</f>
        <v/>
      </c>
      <c r="S227" s="33">
        <f>IF(Q227="","",IF(P227="À RENSEIGNER","GIC",P227)&amp;"-"&amp;TEXT(Q227,"000"))</f>
        <v/>
      </c>
      <c r="T227" s="33">
        <f>IF(R227="","",IFERROR(INDEX(Cl_nom,MATCH(R227,Cl_cle,0)),"(client introuvable)"))</f>
        <v/>
      </c>
      <c r="U227" s="33">
        <f>IF(R227="","",IFERROR(INDEX(Cl_quartier,MATCH(R227,Cl_cle,0))&amp;"",""))</f>
        <v/>
      </c>
      <c r="V227" s="34">
        <f>IF(C227="","",YEAR(C227-WEEKDAY(C227,2)+4)&amp;"-S"&amp;TEXT(INT((C227-DATE(YEAR(C227-WEEKDAY(C227,2)+4),1,3)+WEEKDAY(DATE(YEAR(C227-WEEKDAY(C227,2)+4),1,3),2)+5)/7),"00"))</f>
        <v/>
      </c>
    </row>
    <row r="228" ht="18" customHeight="1">
      <c r="A228" s="39" t="n">
        <v>223</v>
      </c>
      <c r="B228" s="33">
        <f>IF(C228="","",IF(P228="À RENSEIGNER","GIC",P228)&amp;"-V"&amp;TEXT(A228,"00000"))</f>
        <v/>
      </c>
      <c r="C228" s="32" t="n"/>
      <c r="D228" s="35" t="n"/>
      <c r="E228" s="36" t="n"/>
      <c r="F228" s="36" t="n"/>
      <c r="G228" s="36" t="n"/>
      <c r="H228" s="36" t="n"/>
      <c r="I228" s="36" t="n"/>
      <c r="J228" s="37" t="n"/>
      <c r="K228" s="32" t="n"/>
      <c r="L228" s="36" t="n"/>
      <c r="M228" s="41" t="n"/>
      <c r="N228" s="41" t="n"/>
      <c r="O228" s="36" t="n"/>
      <c r="P228" s="33">
        <f>IF(C228="","",Commercial_Id)</f>
        <v/>
      </c>
      <c r="Q228" s="39">
        <f>IF(F228="","",IFERROR(VALUE(MID(F228,LEN(F228)-3,3)),""))</f>
        <v/>
      </c>
      <c r="R228" s="33">
        <f>IF(Q228="","",P228&amp;"|"&amp;Q228)</f>
        <v/>
      </c>
      <c r="S228" s="33">
        <f>IF(Q228="","",IF(P228="À RENSEIGNER","GIC",P228)&amp;"-"&amp;TEXT(Q228,"000"))</f>
        <v/>
      </c>
      <c r="T228" s="33">
        <f>IF(R228="","",IFERROR(INDEX(Cl_nom,MATCH(R228,Cl_cle,0)),"(client introuvable)"))</f>
        <v/>
      </c>
      <c r="U228" s="33">
        <f>IF(R228="","",IFERROR(INDEX(Cl_quartier,MATCH(R228,Cl_cle,0))&amp;"",""))</f>
        <v/>
      </c>
      <c r="V228" s="34">
        <f>IF(C228="","",YEAR(C228-WEEKDAY(C228,2)+4)&amp;"-S"&amp;TEXT(INT((C228-DATE(YEAR(C228-WEEKDAY(C228,2)+4),1,3)+WEEKDAY(DATE(YEAR(C228-WEEKDAY(C228,2)+4),1,3),2)+5)/7),"00"))</f>
        <v/>
      </c>
    </row>
    <row r="229" ht="18" customHeight="1">
      <c r="A229" s="39" t="n">
        <v>224</v>
      </c>
      <c r="B229" s="33">
        <f>IF(C229="","",IF(P229="À RENSEIGNER","GIC",P229)&amp;"-V"&amp;TEXT(A229,"00000"))</f>
        <v/>
      </c>
      <c r="C229" s="32" t="n"/>
      <c r="D229" s="35" t="n"/>
      <c r="E229" s="36" t="n"/>
      <c r="F229" s="36" t="n"/>
      <c r="G229" s="36" t="n"/>
      <c r="H229" s="36" t="n"/>
      <c r="I229" s="36" t="n"/>
      <c r="J229" s="37" t="n"/>
      <c r="K229" s="32" t="n"/>
      <c r="L229" s="36" t="n"/>
      <c r="M229" s="41" t="n"/>
      <c r="N229" s="41" t="n"/>
      <c r="O229" s="36" t="n"/>
      <c r="P229" s="33">
        <f>IF(C229="","",Commercial_Id)</f>
        <v/>
      </c>
      <c r="Q229" s="39">
        <f>IF(F229="","",IFERROR(VALUE(MID(F229,LEN(F229)-3,3)),""))</f>
        <v/>
      </c>
      <c r="R229" s="33">
        <f>IF(Q229="","",P229&amp;"|"&amp;Q229)</f>
        <v/>
      </c>
      <c r="S229" s="33">
        <f>IF(Q229="","",IF(P229="À RENSEIGNER","GIC",P229)&amp;"-"&amp;TEXT(Q229,"000"))</f>
        <v/>
      </c>
      <c r="T229" s="33">
        <f>IF(R229="","",IFERROR(INDEX(Cl_nom,MATCH(R229,Cl_cle,0)),"(client introuvable)"))</f>
        <v/>
      </c>
      <c r="U229" s="33">
        <f>IF(R229="","",IFERROR(INDEX(Cl_quartier,MATCH(R229,Cl_cle,0))&amp;"",""))</f>
        <v/>
      </c>
      <c r="V229" s="34">
        <f>IF(C229="","",YEAR(C229-WEEKDAY(C229,2)+4)&amp;"-S"&amp;TEXT(INT((C229-DATE(YEAR(C229-WEEKDAY(C229,2)+4),1,3)+WEEKDAY(DATE(YEAR(C229-WEEKDAY(C229,2)+4),1,3),2)+5)/7),"00"))</f>
        <v/>
      </c>
    </row>
    <row r="230" ht="18" customHeight="1">
      <c r="A230" s="39" t="n">
        <v>225</v>
      </c>
      <c r="B230" s="33">
        <f>IF(C230="","",IF(P230="À RENSEIGNER","GIC",P230)&amp;"-V"&amp;TEXT(A230,"00000"))</f>
        <v/>
      </c>
      <c r="C230" s="32" t="n"/>
      <c r="D230" s="35" t="n"/>
      <c r="E230" s="36" t="n"/>
      <c r="F230" s="36" t="n"/>
      <c r="G230" s="36" t="n"/>
      <c r="H230" s="36" t="n"/>
      <c r="I230" s="36" t="n"/>
      <c r="J230" s="37" t="n"/>
      <c r="K230" s="32" t="n"/>
      <c r="L230" s="36" t="n"/>
      <c r="M230" s="41" t="n"/>
      <c r="N230" s="41" t="n"/>
      <c r="O230" s="36" t="n"/>
      <c r="P230" s="33">
        <f>IF(C230="","",Commercial_Id)</f>
        <v/>
      </c>
      <c r="Q230" s="39">
        <f>IF(F230="","",IFERROR(VALUE(MID(F230,LEN(F230)-3,3)),""))</f>
        <v/>
      </c>
      <c r="R230" s="33">
        <f>IF(Q230="","",P230&amp;"|"&amp;Q230)</f>
        <v/>
      </c>
      <c r="S230" s="33">
        <f>IF(Q230="","",IF(P230="À RENSEIGNER","GIC",P230)&amp;"-"&amp;TEXT(Q230,"000"))</f>
        <v/>
      </c>
      <c r="T230" s="33">
        <f>IF(R230="","",IFERROR(INDEX(Cl_nom,MATCH(R230,Cl_cle,0)),"(client introuvable)"))</f>
        <v/>
      </c>
      <c r="U230" s="33">
        <f>IF(R230="","",IFERROR(INDEX(Cl_quartier,MATCH(R230,Cl_cle,0))&amp;"",""))</f>
        <v/>
      </c>
      <c r="V230" s="34">
        <f>IF(C230="","",YEAR(C230-WEEKDAY(C230,2)+4)&amp;"-S"&amp;TEXT(INT((C230-DATE(YEAR(C230-WEEKDAY(C230,2)+4),1,3)+WEEKDAY(DATE(YEAR(C230-WEEKDAY(C230,2)+4),1,3),2)+5)/7),"00"))</f>
        <v/>
      </c>
    </row>
    <row r="231" ht="18" customHeight="1">
      <c r="A231" s="39" t="n">
        <v>226</v>
      </c>
      <c r="B231" s="33">
        <f>IF(C231="","",IF(P231="À RENSEIGNER","GIC",P231)&amp;"-V"&amp;TEXT(A231,"00000"))</f>
        <v/>
      </c>
      <c r="C231" s="32" t="n"/>
      <c r="D231" s="35" t="n"/>
      <c r="E231" s="36" t="n"/>
      <c r="F231" s="36" t="n"/>
      <c r="G231" s="36" t="n"/>
      <c r="H231" s="36" t="n"/>
      <c r="I231" s="36" t="n"/>
      <c r="J231" s="37" t="n"/>
      <c r="K231" s="32" t="n"/>
      <c r="L231" s="36" t="n"/>
      <c r="M231" s="41" t="n"/>
      <c r="N231" s="41" t="n"/>
      <c r="O231" s="36" t="n"/>
      <c r="P231" s="33">
        <f>IF(C231="","",Commercial_Id)</f>
        <v/>
      </c>
      <c r="Q231" s="39">
        <f>IF(F231="","",IFERROR(VALUE(MID(F231,LEN(F231)-3,3)),""))</f>
        <v/>
      </c>
      <c r="R231" s="33">
        <f>IF(Q231="","",P231&amp;"|"&amp;Q231)</f>
        <v/>
      </c>
      <c r="S231" s="33">
        <f>IF(Q231="","",IF(P231="À RENSEIGNER","GIC",P231)&amp;"-"&amp;TEXT(Q231,"000"))</f>
        <v/>
      </c>
      <c r="T231" s="33">
        <f>IF(R231="","",IFERROR(INDEX(Cl_nom,MATCH(R231,Cl_cle,0)),"(client introuvable)"))</f>
        <v/>
      </c>
      <c r="U231" s="33">
        <f>IF(R231="","",IFERROR(INDEX(Cl_quartier,MATCH(R231,Cl_cle,0))&amp;"",""))</f>
        <v/>
      </c>
      <c r="V231" s="34">
        <f>IF(C231="","",YEAR(C231-WEEKDAY(C231,2)+4)&amp;"-S"&amp;TEXT(INT((C231-DATE(YEAR(C231-WEEKDAY(C231,2)+4),1,3)+WEEKDAY(DATE(YEAR(C231-WEEKDAY(C231,2)+4),1,3),2)+5)/7),"00"))</f>
        <v/>
      </c>
    </row>
    <row r="232" ht="18" customHeight="1">
      <c r="A232" s="39" t="n">
        <v>227</v>
      </c>
      <c r="B232" s="33">
        <f>IF(C232="","",IF(P232="À RENSEIGNER","GIC",P232)&amp;"-V"&amp;TEXT(A232,"00000"))</f>
        <v/>
      </c>
      <c r="C232" s="32" t="n"/>
      <c r="D232" s="35" t="n"/>
      <c r="E232" s="36" t="n"/>
      <c r="F232" s="36" t="n"/>
      <c r="G232" s="36" t="n"/>
      <c r="H232" s="36" t="n"/>
      <c r="I232" s="36" t="n"/>
      <c r="J232" s="37" t="n"/>
      <c r="K232" s="32" t="n"/>
      <c r="L232" s="36" t="n"/>
      <c r="M232" s="41" t="n"/>
      <c r="N232" s="41" t="n"/>
      <c r="O232" s="36" t="n"/>
      <c r="P232" s="33">
        <f>IF(C232="","",Commercial_Id)</f>
        <v/>
      </c>
      <c r="Q232" s="39">
        <f>IF(F232="","",IFERROR(VALUE(MID(F232,LEN(F232)-3,3)),""))</f>
        <v/>
      </c>
      <c r="R232" s="33">
        <f>IF(Q232="","",P232&amp;"|"&amp;Q232)</f>
        <v/>
      </c>
      <c r="S232" s="33">
        <f>IF(Q232="","",IF(P232="À RENSEIGNER","GIC",P232)&amp;"-"&amp;TEXT(Q232,"000"))</f>
        <v/>
      </c>
      <c r="T232" s="33">
        <f>IF(R232="","",IFERROR(INDEX(Cl_nom,MATCH(R232,Cl_cle,0)),"(client introuvable)"))</f>
        <v/>
      </c>
      <c r="U232" s="33">
        <f>IF(R232="","",IFERROR(INDEX(Cl_quartier,MATCH(R232,Cl_cle,0))&amp;"",""))</f>
        <v/>
      </c>
      <c r="V232" s="34">
        <f>IF(C232="","",YEAR(C232-WEEKDAY(C232,2)+4)&amp;"-S"&amp;TEXT(INT((C232-DATE(YEAR(C232-WEEKDAY(C232,2)+4),1,3)+WEEKDAY(DATE(YEAR(C232-WEEKDAY(C232,2)+4),1,3),2)+5)/7),"00"))</f>
        <v/>
      </c>
    </row>
    <row r="233" ht="18" customHeight="1">
      <c r="A233" s="39" t="n">
        <v>228</v>
      </c>
      <c r="B233" s="33">
        <f>IF(C233="","",IF(P233="À RENSEIGNER","GIC",P233)&amp;"-V"&amp;TEXT(A233,"00000"))</f>
        <v/>
      </c>
      <c r="C233" s="32" t="n"/>
      <c r="D233" s="35" t="n"/>
      <c r="E233" s="36" t="n"/>
      <c r="F233" s="36" t="n"/>
      <c r="G233" s="36" t="n"/>
      <c r="H233" s="36" t="n"/>
      <c r="I233" s="36" t="n"/>
      <c r="J233" s="37" t="n"/>
      <c r="K233" s="32" t="n"/>
      <c r="L233" s="36" t="n"/>
      <c r="M233" s="41" t="n"/>
      <c r="N233" s="41" t="n"/>
      <c r="O233" s="36" t="n"/>
      <c r="P233" s="33">
        <f>IF(C233="","",Commercial_Id)</f>
        <v/>
      </c>
      <c r="Q233" s="39">
        <f>IF(F233="","",IFERROR(VALUE(MID(F233,LEN(F233)-3,3)),""))</f>
        <v/>
      </c>
      <c r="R233" s="33">
        <f>IF(Q233="","",P233&amp;"|"&amp;Q233)</f>
        <v/>
      </c>
      <c r="S233" s="33">
        <f>IF(Q233="","",IF(P233="À RENSEIGNER","GIC",P233)&amp;"-"&amp;TEXT(Q233,"000"))</f>
        <v/>
      </c>
      <c r="T233" s="33">
        <f>IF(R233="","",IFERROR(INDEX(Cl_nom,MATCH(R233,Cl_cle,0)),"(client introuvable)"))</f>
        <v/>
      </c>
      <c r="U233" s="33">
        <f>IF(R233="","",IFERROR(INDEX(Cl_quartier,MATCH(R233,Cl_cle,0))&amp;"",""))</f>
        <v/>
      </c>
      <c r="V233" s="34">
        <f>IF(C233="","",YEAR(C233-WEEKDAY(C233,2)+4)&amp;"-S"&amp;TEXT(INT((C233-DATE(YEAR(C233-WEEKDAY(C233,2)+4),1,3)+WEEKDAY(DATE(YEAR(C233-WEEKDAY(C233,2)+4),1,3),2)+5)/7),"00"))</f>
        <v/>
      </c>
    </row>
    <row r="234" ht="18" customHeight="1">
      <c r="A234" s="39" t="n">
        <v>229</v>
      </c>
      <c r="B234" s="33">
        <f>IF(C234="","",IF(P234="À RENSEIGNER","GIC",P234)&amp;"-V"&amp;TEXT(A234,"00000"))</f>
        <v/>
      </c>
      <c r="C234" s="32" t="n"/>
      <c r="D234" s="35" t="n"/>
      <c r="E234" s="36" t="n"/>
      <c r="F234" s="36" t="n"/>
      <c r="G234" s="36" t="n"/>
      <c r="H234" s="36" t="n"/>
      <c r="I234" s="36" t="n"/>
      <c r="J234" s="37" t="n"/>
      <c r="K234" s="32" t="n"/>
      <c r="L234" s="36" t="n"/>
      <c r="M234" s="41" t="n"/>
      <c r="N234" s="41" t="n"/>
      <c r="O234" s="36" t="n"/>
      <c r="P234" s="33">
        <f>IF(C234="","",Commercial_Id)</f>
        <v/>
      </c>
      <c r="Q234" s="39">
        <f>IF(F234="","",IFERROR(VALUE(MID(F234,LEN(F234)-3,3)),""))</f>
        <v/>
      </c>
      <c r="R234" s="33">
        <f>IF(Q234="","",P234&amp;"|"&amp;Q234)</f>
        <v/>
      </c>
      <c r="S234" s="33">
        <f>IF(Q234="","",IF(P234="À RENSEIGNER","GIC",P234)&amp;"-"&amp;TEXT(Q234,"000"))</f>
        <v/>
      </c>
      <c r="T234" s="33">
        <f>IF(R234="","",IFERROR(INDEX(Cl_nom,MATCH(R234,Cl_cle,0)),"(client introuvable)"))</f>
        <v/>
      </c>
      <c r="U234" s="33">
        <f>IF(R234="","",IFERROR(INDEX(Cl_quartier,MATCH(R234,Cl_cle,0))&amp;"",""))</f>
        <v/>
      </c>
      <c r="V234" s="34">
        <f>IF(C234="","",YEAR(C234-WEEKDAY(C234,2)+4)&amp;"-S"&amp;TEXT(INT((C234-DATE(YEAR(C234-WEEKDAY(C234,2)+4),1,3)+WEEKDAY(DATE(YEAR(C234-WEEKDAY(C234,2)+4),1,3),2)+5)/7),"00"))</f>
        <v/>
      </c>
    </row>
    <row r="235" ht="18" customHeight="1">
      <c r="A235" s="39" t="n">
        <v>230</v>
      </c>
      <c r="B235" s="33">
        <f>IF(C235="","",IF(P235="À RENSEIGNER","GIC",P235)&amp;"-V"&amp;TEXT(A235,"00000"))</f>
        <v/>
      </c>
      <c r="C235" s="32" t="n"/>
      <c r="D235" s="35" t="n"/>
      <c r="E235" s="36" t="n"/>
      <c r="F235" s="36" t="n"/>
      <c r="G235" s="36" t="n"/>
      <c r="H235" s="36" t="n"/>
      <c r="I235" s="36" t="n"/>
      <c r="J235" s="37" t="n"/>
      <c r="K235" s="32" t="n"/>
      <c r="L235" s="36" t="n"/>
      <c r="M235" s="41" t="n"/>
      <c r="N235" s="41" t="n"/>
      <c r="O235" s="36" t="n"/>
      <c r="P235" s="33">
        <f>IF(C235="","",Commercial_Id)</f>
        <v/>
      </c>
      <c r="Q235" s="39">
        <f>IF(F235="","",IFERROR(VALUE(MID(F235,LEN(F235)-3,3)),""))</f>
        <v/>
      </c>
      <c r="R235" s="33">
        <f>IF(Q235="","",P235&amp;"|"&amp;Q235)</f>
        <v/>
      </c>
      <c r="S235" s="33">
        <f>IF(Q235="","",IF(P235="À RENSEIGNER","GIC",P235)&amp;"-"&amp;TEXT(Q235,"000"))</f>
        <v/>
      </c>
      <c r="T235" s="33">
        <f>IF(R235="","",IFERROR(INDEX(Cl_nom,MATCH(R235,Cl_cle,0)),"(client introuvable)"))</f>
        <v/>
      </c>
      <c r="U235" s="33">
        <f>IF(R235="","",IFERROR(INDEX(Cl_quartier,MATCH(R235,Cl_cle,0))&amp;"",""))</f>
        <v/>
      </c>
      <c r="V235" s="34">
        <f>IF(C235="","",YEAR(C235-WEEKDAY(C235,2)+4)&amp;"-S"&amp;TEXT(INT((C235-DATE(YEAR(C235-WEEKDAY(C235,2)+4),1,3)+WEEKDAY(DATE(YEAR(C235-WEEKDAY(C235,2)+4),1,3),2)+5)/7),"00"))</f>
        <v/>
      </c>
    </row>
    <row r="236" ht="18" customHeight="1">
      <c r="A236" s="39" t="n">
        <v>231</v>
      </c>
      <c r="B236" s="33">
        <f>IF(C236="","",IF(P236="À RENSEIGNER","GIC",P236)&amp;"-V"&amp;TEXT(A236,"00000"))</f>
        <v/>
      </c>
      <c r="C236" s="32" t="n"/>
      <c r="D236" s="35" t="n"/>
      <c r="E236" s="36" t="n"/>
      <c r="F236" s="36" t="n"/>
      <c r="G236" s="36" t="n"/>
      <c r="H236" s="36" t="n"/>
      <c r="I236" s="36" t="n"/>
      <c r="J236" s="37" t="n"/>
      <c r="K236" s="32" t="n"/>
      <c r="L236" s="36" t="n"/>
      <c r="M236" s="41" t="n"/>
      <c r="N236" s="41" t="n"/>
      <c r="O236" s="36" t="n"/>
      <c r="P236" s="33">
        <f>IF(C236="","",Commercial_Id)</f>
        <v/>
      </c>
      <c r="Q236" s="39">
        <f>IF(F236="","",IFERROR(VALUE(MID(F236,LEN(F236)-3,3)),""))</f>
        <v/>
      </c>
      <c r="R236" s="33">
        <f>IF(Q236="","",P236&amp;"|"&amp;Q236)</f>
        <v/>
      </c>
      <c r="S236" s="33">
        <f>IF(Q236="","",IF(P236="À RENSEIGNER","GIC",P236)&amp;"-"&amp;TEXT(Q236,"000"))</f>
        <v/>
      </c>
      <c r="T236" s="33">
        <f>IF(R236="","",IFERROR(INDEX(Cl_nom,MATCH(R236,Cl_cle,0)),"(client introuvable)"))</f>
        <v/>
      </c>
      <c r="U236" s="33">
        <f>IF(R236="","",IFERROR(INDEX(Cl_quartier,MATCH(R236,Cl_cle,0))&amp;"",""))</f>
        <v/>
      </c>
      <c r="V236" s="34">
        <f>IF(C236="","",YEAR(C236-WEEKDAY(C236,2)+4)&amp;"-S"&amp;TEXT(INT((C236-DATE(YEAR(C236-WEEKDAY(C236,2)+4),1,3)+WEEKDAY(DATE(YEAR(C236-WEEKDAY(C236,2)+4),1,3),2)+5)/7),"00"))</f>
        <v/>
      </c>
    </row>
    <row r="237" ht="18" customHeight="1">
      <c r="A237" s="39" t="n">
        <v>232</v>
      </c>
      <c r="B237" s="33">
        <f>IF(C237="","",IF(P237="À RENSEIGNER","GIC",P237)&amp;"-V"&amp;TEXT(A237,"00000"))</f>
        <v/>
      </c>
      <c r="C237" s="32" t="n"/>
      <c r="D237" s="35" t="n"/>
      <c r="E237" s="36" t="n"/>
      <c r="F237" s="36" t="n"/>
      <c r="G237" s="36" t="n"/>
      <c r="H237" s="36" t="n"/>
      <c r="I237" s="36" t="n"/>
      <c r="J237" s="37" t="n"/>
      <c r="K237" s="32" t="n"/>
      <c r="L237" s="36" t="n"/>
      <c r="M237" s="41" t="n"/>
      <c r="N237" s="41" t="n"/>
      <c r="O237" s="36" t="n"/>
      <c r="P237" s="33">
        <f>IF(C237="","",Commercial_Id)</f>
        <v/>
      </c>
      <c r="Q237" s="39">
        <f>IF(F237="","",IFERROR(VALUE(MID(F237,LEN(F237)-3,3)),""))</f>
        <v/>
      </c>
      <c r="R237" s="33">
        <f>IF(Q237="","",P237&amp;"|"&amp;Q237)</f>
        <v/>
      </c>
      <c r="S237" s="33">
        <f>IF(Q237="","",IF(P237="À RENSEIGNER","GIC",P237)&amp;"-"&amp;TEXT(Q237,"000"))</f>
        <v/>
      </c>
      <c r="T237" s="33">
        <f>IF(R237="","",IFERROR(INDEX(Cl_nom,MATCH(R237,Cl_cle,0)),"(client introuvable)"))</f>
        <v/>
      </c>
      <c r="U237" s="33">
        <f>IF(R237="","",IFERROR(INDEX(Cl_quartier,MATCH(R237,Cl_cle,0))&amp;"",""))</f>
        <v/>
      </c>
      <c r="V237" s="34">
        <f>IF(C237="","",YEAR(C237-WEEKDAY(C237,2)+4)&amp;"-S"&amp;TEXT(INT((C237-DATE(YEAR(C237-WEEKDAY(C237,2)+4),1,3)+WEEKDAY(DATE(YEAR(C237-WEEKDAY(C237,2)+4),1,3),2)+5)/7),"00"))</f>
        <v/>
      </c>
    </row>
    <row r="238" ht="18" customHeight="1">
      <c r="A238" s="39" t="n">
        <v>233</v>
      </c>
      <c r="B238" s="33">
        <f>IF(C238="","",IF(P238="À RENSEIGNER","GIC",P238)&amp;"-V"&amp;TEXT(A238,"00000"))</f>
        <v/>
      </c>
      <c r="C238" s="32" t="n"/>
      <c r="D238" s="35" t="n"/>
      <c r="E238" s="36" t="n"/>
      <c r="F238" s="36" t="n"/>
      <c r="G238" s="36" t="n"/>
      <c r="H238" s="36" t="n"/>
      <c r="I238" s="36" t="n"/>
      <c r="J238" s="37" t="n"/>
      <c r="K238" s="32" t="n"/>
      <c r="L238" s="36" t="n"/>
      <c r="M238" s="41" t="n"/>
      <c r="N238" s="41" t="n"/>
      <c r="O238" s="36" t="n"/>
      <c r="P238" s="33">
        <f>IF(C238="","",Commercial_Id)</f>
        <v/>
      </c>
      <c r="Q238" s="39">
        <f>IF(F238="","",IFERROR(VALUE(MID(F238,LEN(F238)-3,3)),""))</f>
        <v/>
      </c>
      <c r="R238" s="33">
        <f>IF(Q238="","",P238&amp;"|"&amp;Q238)</f>
        <v/>
      </c>
      <c r="S238" s="33">
        <f>IF(Q238="","",IF(P238="À RENSEIGNER","GIC",P238)&amp;"-"&amp;TEXT(Q238,"000"))</f>
        <v/>
      </c>
      <c r="T238" s="33">
        <f>IF(R238="","",IFERROR(INDEX(Cl_nom,MATCH(R238,Cl_cle,0)),"(client introuvable)"))</f>
        <v/>
      </c>
      <c r="U238" s="33">
        <f>IF(R238="","",IFERROR(INDEX(Cl_quartier,MATCH(R238,Cl_cle,0))&amp;"",""))</f>
        <v/>
      </c>
      <c r="V238" s="34">
        <f>IF(C238="","",YEAR(C238-WEEKDAY(C238,2)+4)&amp;"-S"&amp;TEXT(INT((C238-DATE(YEAR(C238-WEEKDAY(C238,2)+4),1,3)+WEEKDAY(DATE(YEAR(C238-WEEKDAY(C238,2)+4),1,3),2)+5)/7),"00"))</f>
        <v/>
      </c>
    </row>
    <row r="239" ht="18" customHeight="1">
      <c r="A239" s="39" t="n">
        <v>234</v>
      </c>
      <c r="B239" s="33">
        <f>IF(C239="","",IF(P239="À RENSEIGNER","GIC",P239)&amp;"-V"&amp;TEXT(A239,"00000"))</f>
        <v/>
      </c>
      <c r="C239" s="32" t="n"/>
      <c r="D239" s="35" t="n"/>
      <c r="E239" s="36" t="n"/>
      <c r="F239" s="36" t="n"/>
      <c r="G239" s="36" t="n"/>
      <c r="H239" s="36" t="n"/>
      <c r="I239" s="36" t="n"/>
      <c r="J239" s="37" t="n"/>
      <c r="K239" s="32" t="n"/>
      <c r="L239" s="36" t="n"/>
      <c r="M239" s="41" t="n"/>
      <c r="N239" s="41" t="n"/>
      <c r="O239" s="36" t="n"/>
      <c r="P239" s="33">
        <f>IF(C239="","",Commercial_Id)</f>
        <v/>
      </c>
      <c r="Q239" s="39">
        <f>IF(F239="","",IFERROR(VALUE(MID(F239,LEN(F239)-3,3)),""))</f>
        <v/>
      </c>
      <c r="R239" s="33">
        <f>IF(Q239="","",P239&amp;"|"&amp;Q239)</f>
        <v/>
      </c>
      <c r="S239" s="33">
        <f>IF(Q239="","",IF(P239="À RENSEIGNER","GIC",P239)&amp;"-"&amp;TEXT(Q239,"000"))</f>
        <v/>
      </c>
      <c r="T239" s="33">
        <f>IF(R239="","",IFERROR(INDEX(Cl_nom,MATCH(R239,Cl_cle,0)),"(client introuvable)"))</f>
        <v/>
      </c>
      <c r="U239" s="33">
        <f>IF(R239="","",IFERROR(INDEX(Cl_quartier,MATCH(R239,Cl_cle,0))&amp;"",""))</f>
        <v/>
      </c>
      <c r="V239" s="34">
        <f>IF(C239="","",YEAR(C239-WEEKDAY(C239,2)+4)&amp;"-S"&amp;TEXT(INT((C239-DATE(YEAR(C239-WEEKDAY(C239,2)+4),1,3)+WEEKDAY(DATE(YEAR(C239-WEEKDAY(C239,2)+4),1,3),2)+5)/7),"00"))</f>
        <v/>
      </c>
    </row>
    <row r="240" ht="18" customHeight="1">
      <c r="A240" s="39" t="n">
        <v>235</v>
      </c>
      <c r="B240" s="33">
        <f>IF(C240="","",IF(P240="À RENSEIGNER","GIC",P240)&amp;"-V"&amp;TEXT(A240,"00000"))</f>
        <v/>
      </c>
      <c r="C240" s="32" t="n"/>
      <c r="D240" s="35" t="n"/>
      <c r="E240" s="36" t="n"/>
      <c r="F240" s="36" t="n"/>
      <c r="G240" s="36" t="n"/>
      <c r="H240" s="36" t="n"/>
      <c r="I240" s="36" t="n"/>
      <c r="J240" s="37" t="n"/>
      <c r="K240" s="32" t="n"/>
      <c r="L240" s="36" t="n"/>
      <c r="M240" s="41" t="n"/>
      <c r="N240" s="41" t="n"/>
      <c r="O240" s="36" t="n"/>
      <c r="P240" s="33">
        <f>IF(C240="","",Commercial_Id)</f>
        <v/>
      </c>
      <c r="Q240" s="39">
        <f>IF(F240="","",IFERROR(VALUE(MID(F240,LEN(F240)-3,3)),""))</f>
        <v/>
      </c>
      <c r="R240" s="33">
        <f>IF(Q240="","",P240&amp;"|"&amp;Q240)</f>
        <v/>
      </c>
      <c r="S240" s="33">
        <f>IF(Q240="","",IF(P240="À RENSEIGNER","GIC",P240)&amp;"-"&amp;TEXT(Q240,"000"))</f>
        <v/>
      </c>
      <c r="T240" s="33">
        <f>IF(R240="","",IFERROR(INDEX(Cl_nom,MATCH(R240,Cl_cle,0)),"(client introuvable)"))</f>
        <v/>
      </c>
      <c r="U240" s="33">
        <f>IF(R240="","",IFERROR(INDEX(Cl_quartier,MATCH(R240,Cl_cle,0))&amp;"",""))</f>
        <v/>
      </c>
      <c r="V240" s="34">
        <f>IF(C240="","",YEAR(C240-WEEKDAY(C240,2)+4)&amp;"-S"&amp;TEXT(INT((C240-DATE(YEAR(C240-WEEKDAY(C240,2)+4),1,3)+WEEKDAY(DATE(YEAR(C240-WEEKDAY(C240,2)+4),1,3),2)+5)/7),"00"))</f>
        <v/>
      </c>
    </row>
    <row r="241" ht="18" customHeight="1">
      <c r="A241" s="39" t="n">
        <v>236</v>
      </c>
      <c r="B241" s="33">
        <f>IF(C241="","",IF(P241="À RENSEIGNER","GIC",P241)&amp;"-V"&amp;TEXT(A241,"00000"))</f>
        <v/>
      </c>
      <c r="C241" s="32" t="n"/>
      <c r="D241" s="35" t="n"/>
      <c r="E241" s="36" t="n"/>
      <c r="F241" s="36" t="n"/>
      <c r="G241" s="36" t="n"/>
      <c r="H241" s="36" t="n"/>
      <c r="I241" s="36" t="n"/>
      <c r="J241" s="37" t="n"/>
      <c r="K241" s="32" t="n"/>
      <c r="L241" s="36" t="n"/>
      <c r="M241" s="41" t="n"/>
      <c r="N241" s="41" t="n"/>
      <c r="O241" s="36" t="n"/>
      <c r="P241" s="33">
        <f>IF(C241="","",Commercial_Id)</f>
        <v/>
      </c>
      <c r="Q241" s="39">
        <f>IF(F241="","",IFERROR(VALUE(MID(F241,LEN(F241)-3,3)),""))</f>
        <v/>
      </c>
      <c r="R241" s="33">
        <f>IF(Q241="","",P241&amp;"|"&amp;Q241)</f>
        <v/>
      </c>
      <c r="S241" s="33">
        <f>IF(Q241="","",IF(P241="À RENSEIGNER","GIC",P241)&amp;"-"&amp;TEXT(Q241,"000"))</f>
        <v/>
      </c>
      <c r="T241" s="33">
        <f>IF(R241="","",IFERROR(INDEX(Cl_nom,MATCH(R241,Cl_cle,0)),"(client introuvable)"))</f>
        <v/>
      </c>
      <c r="U241" s="33">
        <f>IF(R241="","",IFERROR(INDEX(Cl_quartier,MATCH(R241,Cl_cle,0))&amp;"",""))</f>
        <v/>
      </c>
      <c r="V241" s="34">
        <f>IF(C241="","",YEAR(C241-WEEKDAY(C241,2)+4)&amp;"-S"&amp;TEXT(INT((C241-DATE(YEAR(C241-WEEKDAY(C241,2)+4),1,3)+WEEKDAY(DATE(YEAR(C241-WEEKDAY(C241,2)+4),1,3),2)+5)/7),"00"))</f>
        <v/>
      </c>
    </row>
    <row r="242" ht="18" customHeight="1">
      <c r="A242" s="39" t="n">
        <v>237</v>
      </c>
      <c r="B242" s="33">
        <f>IF(C242="","",IF(P242="À RENSEIGNER","GIC",P242)&amp;"-V"&amp;TEXT(A242,"00000"))</f>
        <v/>
      </c>
      <c r="C242" s="32" t="n"/>
      <c r="D242" s="35" t="n"/>
      <c r="E242" s="36" t="n"/>
      <c r="F242" s="36" t="n"/>
      <c r="G242" s="36" t="n"/>
      <c r="H242" s="36" t="n"/>
      <c r="I242" s="36" t="n"/>
      <c r="J242" s="37" t="n"/>
      <c r="K242" s="32" t="n"/>
      <c r="L242" s="36" t="n"/>
      <c r="M242" s="41" t="n"/>
      <c r="N242" s="41" t="n"/>
      <c r="O242" s="36" t="n"/>
      <c r="P242" s="33">
        <f>IF(C242="","",Commercial_Id)</f>
        <v/>
      </c>
      <c r="Q242" s="39">
        <f>IF(F242="","",IFERROR(VALUE(MID(F242,LEN(F242)-3,3)),""))</f>
        <v/>
      </c>
      <c r="R242" s="33">
        <f>IF(Q242="","",P242&amp;"|"&amp;Q242)</f>
        <v/>
      </c>
      <c r="S242" s="33">
        <f>IF(Q242="","",IF(P242="À RENSEIGNER","GIC",P242)&amp;"-"&amp;TEXT(Q242,"000"))</f>
        <v/>
      </c>
      <c r="T242" s="33">
        <f>IF(R242="","",IFERROR(INDEX(Cl_nom,MATCH(R242,Cl_cle,0)),"(client introuvable)"))</f>
        <v/>
      </c>
      <c r="U242" s="33">
        <f>IF(R242="","",IFERROR(INDEX(Cl_quartier,MATCH(R242,Cl_cle,0))&amp;"",""))</f>
        <v/>
      </c>
      <c r="V242" s="34">
        <f>IF(C242="","",YEAR(C242-WEEKDAY(C242,2)+4)&amp;"-S"&amp;TEXT(INT((C242-DATE(YEAR(C242-WEEKDAY(C242,2)+4),1,3)+WEEKDAY(DATE(YEAR(C242-WEEKDAY(C242,2)+4),1,3),2)+5)/7),"00"))</f>
        <v/>
      </c>
    </row>
    <row r="243" ht="18" customHeight="1">
      <c r="A243" s="39" t="n">
        <v>238</v>
      </c>
      <c r="B243" s="33">
        <f>IF(C243="","",IF(P243="À RENSEIGNER","GIC",P243)&amp;"-V"&amp;TEXT(A243,"00000"))</f>
        <v/>
      </c>
      <c r="C243" s="32" t="n"/>
      <c r="D243" s="35" t="n"/>
      <c r="E243" s="36" t="n"/>
      <c r="F243" s="36" t="n"/>
      <c r="G243" s="36" t="n"/>
      <c r="H243" s="36" t="n"/>
      <c r="I243" s="36" t="n"/>
      <c r="J243" s="37" t="n"/>
      <c r="K243" s="32" t="n"/>
      <c r="L243" s="36" t="n"/>
      <c r="M243" s="41" t="n"/>
      <c r="N243" s="41" t="n"/>
      <c r="O243" s="36" t="n"/>
      <c r="P243" s="33">
        <f>IF(C243="","",Commercial_Id)</f>
        <v/>
      </c>
      <c r="Q243" s="39">
        <f>IF(F243="","",IFERROR(VALUE(MID(F243,LEN(F243)-3,3)),""))</f>
        <v/>
      </c>
      <c r="R243" s="33">
        <f>IF(Q243="","",P243&amp;"|"&amp;Q243)</f>
        <v/>
      </c>
      <c r="S243" s="33">
        <f>IF(Q243="","",IF(P243="À RENSEIGNER","GIC",P243)&amp;"-"&amp;TEXT(Q243,"000"))</f>
        <v/>
      </c>
      <c r="T243" s="33">
        <f>IF(R243="","",IFERROR(INDEX(Cl_nom,MATCH(R243,Cl_cle,0)),"(client introuvable)"))</f>
        <v/>
      </c>
      <c r="U243" s="33">
        <f>IF(R243="","",IFERROR(INDEX(Cl_quartier,MATCH(R243,Cl_cle,0))&amp;"",""))</f>
        <v/>
      </c>
      <c r="V243" s="34">
        <f>IF(C243="","",YEAR(C243-WEEKDAY(C243,2)+4)&amp;"-S"&amp;TEXT(INT((C243-DATE(YEAR(C243-WEEKDAY(C243,2)+4),1,3)+WEEKDAY(DATE(YEAR(C243-WEEKDAY(C243,2)+4),1,3),2)+5)/7),"00"))</f>
        <v/>
      </c>
    </row>
    <row r="244" ht="18" customHeight="1">
      <c r="A244" s="39" t="n">
        <v>239</v>
      </c>
      <c r="B244" s="33">
        <f>IF(C244="","",IF(P244="À RENSEIGNER","GIC",P244)&amp;"-V"&amp;TEXT(A244,"00000"))</f>
        <v/>
      </c>
      <c r="C244" s="32" t="n"/>
      <c r="D244" s="35" t="n"/>
      <c r="E244" s="36" t="n"/>
      <c r="F244" s="36" t="n"/>
      <c r="G244" s="36" t="n"/>
      <c r="H244" s="36" t="n"/>
      <c r="I244" s="36" t="n"/>
      <c r="J244" s="37" t="n"/>
      <c r="K244" s="32" t="n"/>
      <c r="L244" s="36" t="n"/>
      <c r="M244" s="41" t="n"/>
      <c r="N244" s="41" t="n"/>
      <c r="O244" s="36" t="n"/>
      <c r="P244" s="33">
        <f>IF(C244="","",Commercial_Id)</f>
        <v/>
      </c>
      <c r="Q244" s="39">
        <f>IF(F244="","",IFERROR(VALUE(MID(F244,LEN(F244)-3,3)),""))</f>
        <v/>
      </c>
      <c r="R244" s="33">
        <f>IF(Q244="","",P244&amp;"|"&amp;Q244)</f>
        <v/>
      </c>
      <c r="S244" s="33">
        <f>IF(Q244="","",IF(P244="À RENSEIGNER","GIC",P244)&amp;"-"&amp;TEXT(Q244,"000"))</f>
        <v/>
      </c>
      <c r="T244" s="33">
        <f>IF(R244="","",IFERROR(INDEX(Cl_nom,MATCH(R244,Cl_cle,0)),"(client introuvable)"))</f>
        <v/>
      </c>
      <c r="U244" s="33">
        <f>IF(R244="","",IFERROR(INDEX(Cl_quartier,MATCH(R244,Cl_cle,0))&amp;"",""))</f>
        <v/>
      </c>
      <c r="V244" s="34">
        <f>IF(C244="","",YEAR(C244-WEEKDAY(C244,2)+4)&amp;"-S"&amp;TEXT(INT((C244-DATE(YEAR(C244-WEEKDAY(C244,2)+4),1,3)+WEEKDAY(DATE(YEAR(C244-WEEKDAY(C244,2)+4),1,3),2)+5)/7),"00"))</f>
        <v/>
      </c>
    </row>
    <row r="245" ht="18" customHeight="1">
      <c r="A245" s="39" t="n">
        <v>240</v>
      </c>
      <c r="B245" s="33">
        <f>IF(C245="","",IF(P245="À RENSEIGNER","GIC",P245)&amp;"-V"&amp;TEXT(A245,"00000"))</f>
        <v/>
      </c>
      <c r="C245" s="32" t="n"/>
      <c r="D245" s="35" t="n"/>
      <c r="E245" s="36" t="n"/>
      <c r="F245" s="36" t="n"/>
      <c r="G245" s="36" t="n"/>
      <c r="H245" s="36" t="n"/>
      <c r="I245" s="36" t="n"/>
      <c r="J245" s="37" t="n"/>
      <c r="K245" s="32" t="n"/>
      <c r="L245" s="36" t="n"/>
      <c r="M245" s="41" t="n"/>
      <c r="N245" s="41" t="n"/>
      <c r="O245" s="36" t="n"/>
      <c r="P245" s="33">
        <f>IF(C245="","",Commercial_Id)</f>
        <v/>
      </c>
      <c r="Q245" s="39">
        <f>IF(F245="","",IFERROR(VALUE(MID(F245,LEN(F245)-3,3)),""))</f>
        <v/>
      </c>
      <c r="R245" s="33">
        <f>IF(Q245="","",P245&amp;"|"&amp;Q245)</f>
        <v/>
      </c>
      <c r="S245" s="33">
        <f>IF(Q245="","",IF(P245="À RENSEIGNER","GIC",P245)&amp;"-"&amp;TEXT(Q245,"000"))</f>
        <v/>
      </c>
      <c r="T245" s="33">
        <f>IF(R245="","",IFERROR(INDEX(Cl_nom,MATCH(R245,Cl_cle,0)),"(client introuvable)"))</f>
        <v/>
      </c>
      <c r="U245" s="33">
        <f>IF(R245="","",IFERROR(INDEX(Cl_quartier,MATCH(R245,Cl_cle,0))&amp;"",""))</f>
        <v/>
      </c>
      <c r="V245" s="34">
        <f>IF(C245="","",YEAR(C245-WEEKDAY(C245,2)+4)&amp;"-S"&amp;TEXT(INT((C245-DATE(YEAR(C245-WEEKDAY(C245,2)+4),1,3)+WEEKDAY(DATE(YEAR(C245-WEEKDAY(C245,2)+4),1,3),2)+5)/7),"00"))</f>
        <v/>
      </c>
    </row>
    <row r="246" ht="18" customHeight="1">
      <c r="A246" s="39" t="n">
        <v>241</v>
      </c>
      <c r="B246" s="33">
        <f>IF(C246="","",IF(P246="À RENSEIGNER","GIC",P246)&amp;"-V"&amp;TEXT(A246,"00000"))</f>
        <v/>
      </c>
      <c r="C246" s="32" t="n"/>
      <c r="D246" s="35" t="n"/>
      <c r="E246" s="36" t="n"/>
      <c r="F246" s="36" t="n"/>
      <c r="G246" s="36" t="n"/>
      <c r="H246" s="36" t="n"/>
      <c r="I246" s="36" t="n"/>
      <c r="J246" s="37" t="n"/>
      <c r="K246" s="32" t="n"/>
      <c r="L246" s="36" t="n"/>
      <c r="M246" s="41" t="n"/>
      <c r="N246" s="41" t="n"/>
      <c r="O246" s="36" t="n"/>
      <c r="P246" s="33">
        <f>IF(C246="","",Commercial_Id)</f>
        <v/>
      </c>
      <c r="Q246" s="39">
        <f>IF(F246="","",IFERROR(VALUE(MID(F246,LEN(F246)-3,3)),""))</f>
        <v/>
      </c>
      <c r="R246" s="33">
        <f>IF(Q246="","",P246&amp;"|"&amp;Q246)</f>
        <v/>
      </c>
      <c r="S246" s="33">
        <f>IF(Q246="","",IF(P246="À RENSEIGNER","GIC",P246)&amp;"-"&amp;TEXT(Q246,"000"))</f>
        <v/>
      </c>
      <c r="T246" s="33">
        <f>IF(R246="","",IFERROR(INDEX(Cl_nom,MATCH(R246,Cl_cle,0)),"(client introuvable)"))</f>
        <v/>
      </c>
      <c r="U246" s="33">
        <f>IF(R246="","",IFERROR(INDEX(Cl_quartier,MATCH(R246,Cl_cle,0))&amp;"",""))</f>
        <v/>
      </c>
      <c r="V246" s="34">
        <f>IF(C246="","",YEAR(C246-WEEKDAY(C246,2)+4)&amp;"-S"&amp;TEXT(INT((C246-DATE(YEAR(C246-WEEKDAY(C246,2)+4),1,3)+WEEKDAY(DATE(YEAR(C246-WEEKDAY(C246,2)+4),1,3),2)+5)/7),"00"))</f>
        <v/>
      </c>
    </row>
    <row r="247" ht="18" customHeight="1">
      <c r="A247" s="39" t="n">
        <v>242</v>
      </c>
      <c r="B247" s="33">
        <f>IF(C247="","",IF(P247="À RENSEIGNER","GIC",P247)&amp;"-V"&amp;TEXT(A247,"00000"))</f>
        <v/>
      </c>
      <c r="C247" s="32" t="n"/>
      <c r="D247" s="35" t="n"/>
      <c r="E247" s="36" t="n"/>
      <c r="F247" s="36" t="n"/>
      <c r="G247" s="36" t="n"/>
      <c r="H247" s="36" t="n"/>
      <c r="I247" s="36" t="n"/>
      <c r="J247" s="37" t="n"/>
      <c r="K247" s="32" t="n"/>
      <c r="L247" s="36" t="n"/>
      <c r="M247" s="41" t="n"/>
      <c r="N247" s="41" t="n"/>
      <c r="O247" s="36" t="n"/>
      <c r="P247" s="33">
        <f>IF(C247="","",Commercial_Id)</f>
        <v/>
      </c>
      <c r="Q247" s="39">
        <f>IF(F247="","",IFERROR(VALUE(MID(F247,LEN(F247)-3,3)),""))</f>
        <v/>
      </c>
      <c r="R247" s="33">
        <f>IF(Q247="","",P247&amp;"|"&amp;Q247)</f>
        <v/>
      </c>
      <c r="S247" s="33">
        <f>IF(Q247="","",IF(P247="À RENSEIGNER","GIC",P247)&amp;"-"&amp;TEXT(Q247,"000"))</f>
        <v/>
      </c>
      <c r="T247" s="33">
        <f>IF(R247="","",IFERROR(INDEX(Cl_nom,MATCH(R247,Cl_cle,0)),"(client introuvable)"))</f>
        <v/>
      </c>
      <c r="U247" s="33">
        <f>IF(R247="","",IFERROR(INDEX(Cl_quartier,MATCH(R247,Cl_cle,0))&amp;"",""))</f>
        <v/>
      </c>
      <c r="V247" s="34">
        <f>IF(C247="","",YEAR(C247-WEEKDAY(C247,2)+4)&amp;"-S"&amp;TEXT(INT((C247-DATE(YEAR(C247-WEEKDAY(C247,2)+4),1,3)+WEEKDAY(DATE(YEAR(C247-WEEKDAY(C247,2)+4),1,3),2)+5)/7),"00"))</f>
        <v/>
      </c>
    </row>
    <row r="248" ht="18" customHeight="1">
      <c r="A248" s="39" t="n">
        <v>243</v>
      </c>
      <c r="B248" s="33">
        <f>IF(C248="","",IF(P248="À RENSEIGNER","GIC",P248)&amp;"-V"&amp;TEXT(A248,"00000"))</f>
        <v/>
      </c>
      <c r="C248" s="32" t="n"/>
      <c r="D248" s="35" t="n"/>
      <c r="E248" s="36" t="n"/>
      <c r="F248" s="36" t="n"/>
      <c r="G248" s="36" t="n"/>
      <c r="H248" s="36" t="n"/>
      <c r="I248" s="36" t="n"/>
      <c r="J248" s="37" t="n"/>
      <c r="K248" s="32" t="n"/>
      <c r="L248" s="36" t="n"/>
      <c r="M248" s="41" t="n"/>
      <c r="N248" s="41" t="n"/>
      <c r="O248" s="36" t="n"/>
      <c r="P248" s="33">
        <f>IF(C248="","",Commercial_Id)</f>
        <v/>
      </c>
      <c r="Q248" s="39">
        <f>IF(F248="","",IFERROR(VALUE(MID(F248,LEN(F248)-3,3)),""))</f>
        <v/>
      </c>
      <c r="R248" s="33">
        <f>IF(Q248="","",P248&amp;"|"&amp;Q248)</f>
        <v/>
      </c>
      <c r="S248" s="33">
        <f>IF(Q248="","",IF(P248="À RENSEIGNER","GIC",P248)&amp;"-"&amp;TEXT(Q248,"000"))</f>
        <v/>
      </c>
      <c r="T248" s="33">
        <f>IF(R248="","",IFERROR(INDEX(Cl_nom,MATCH(R248,Cl_cle,0)),"(client introuvable)"))</f>
        <v/>
      </c>
      <c r="U248" s="33">
        <f>IF(R248="","",IFERROR(INDEX(Cl_quartier,MATCH(R248,Cl_cle,0))&amp;"",""))</f>
        <v/>
      </c>
      <c r="V248" s="34">
        <f>IF(C248="","",YEAR(C248-WEEKDAY(C248,2)+4)&amp;"-S"&amp;TEXT(INT((C248-DATE(YEAR(C248-WEEKDAY(C248,2)+4),1,3)+WEEKDAY(DATE(YEAR(C248-WEEKDAY(C248,2)+4),1,3),2)+5)/7),"00"))</f>
        <v/>
      </c>
    </row>
    <row r="249" ht="18" customHeight="1">
      <c r="A249" s="39" t="n">
        <v>244</v>
      </c>
      <c r="B249" s="33">
        <f>IF(C249="","",IF(P249="À RENSEIGNER","GIC",P249)&amp;"-V"&amp;TEXT(A249,"00000"))</f>
        <v/>
      </c>
      <c r="C249" s="32" t="n"/>
      <c r="D249" s="35" t="n"/>
      <c r="E249" s="36" t="n"/>
      <c r="F249" s="36" t="n"/>
      <c r="G249" s="36" t="n"/>
      <c r="H249" s="36" t="n"/>
      <c r="I249" s="36" t="n"/>
      <c r="J249" s="37" t="n"/>
      <c r="K249" s="32" t="n"/>
      <c r="L249" s="36" t="n"/>
      <c r="M249" s="41" t="n"/>
      <c r="N249" s="41" t="n"/>
      <c r="O249" s="36" t="n"/>
      <c r="P249" s="33">
        <f>IF(C249="","",Commercial_Id)</f>
        <v/>
      </c>
      <c r="Q249" s="39">
        <f>IF(F249="","",IFERROR(VALUE(MID(F249,LEN(F249)-3,3)),""))</f>
        <v/>
      </c>
      <c r="R249" s="33">
        <f>IF(Q249="","",P249&amp;"|"&amp;Q249)</f>
        <v/>
      </c>
      <c r="S249" s="33">
        <f>IF(Q249="","",IF(P249="À RENSEIGNER","GIC",P249)&amp;"-"&amp;TEXT(Q249,"000"))</f>
        <v/>
      </c>
      <c r="T249" s="33">
        <f>IF(R249="","",IFERROR(INDEX(Cl_nom,MATCH(R249,Cl_cle,0)),"(client introuvable)"))</f>
        <v/>
      </c>
      <c r="U249" s="33">
        <f>IF(R249="","",IFERROR(INDEX(Cl_quartier,MATCH(R249,Cl_cle,0))&amp;"",""))</f>
        <v/>
      </c>
      <c r="V249" s="34">
        <f>IF(C249="","",YEAR(C249-WEEKDAY(C249,2)+4)&amp;"-S"&amp;TEXT(INT((C249-DATE(YEAR(C249-WEEKDAY(C249,2)+4),1,3)+WEEKDAY(DATE(YEAR(C249-WEEKDAY(C249,2)+4),1,3),2)+5)/7),"00"))</f>
        <v/>
      </c>
    </row>
    <row r="250" ht="18" customHeight="1">
      <c r="A250" s="39" t="n">
        <v>245</v>
      </c>
      <c r="B250" s="33">
        <f>IF(C250="","",IF(P250="À RENSEIGNER","GIC",P250)&amp;"-V"&amp;TEXT(A250,"00000"))</f>
        <v/>
      </c>
      <c r="C250" s="32" t="n"/>
      <c r="D250" s="35" t="n"/>
      <c r="E250" s="36" t="n"/>
      <c r="F250" s="36" t="n"/>
      <c r="G250" s="36" t="n"/>
      <c r="H250" s="36" t="n"/>
      <c r="I250" s="36" t="n"/>
      <c r="J250" s="37" t="n"/>
      <c r="K250" s="32" t="n"/>
      <c r="L250" s="36" t="n"/>
      <c r="M250" s="41" t="n"/>
      <c r="N250" s="41" t="n"/>
      <c r="O250" s="36" t="n"/>
      <c r="P250" s="33">
        <f>IF(C250="","",Commercial_Id)</f>
        <v/>
      </c>
      <c r="Q250" s="39">
        <f>IF(F250="","",IFERROR(VALUE(MID(F250,LEN(F250)-3,3)),""))</f>
        <v/>
      </c>
      <c r="R250" s="33">
        <f>IF(Q250="","",P250&amp;"|"&amp;Q250)</f>
        <v/>
      </c>
      <c r="S250" s="33">
        <f>IF(Q250="","",IF(P250="À RENSEIGNER","GIC",P250)&amp;"-"&amp;TEXT(Q250,"000"))</f>
        <v/>
      </c>
      <c r="T250" s="33">
        <f>IF(R250="","",IFERROR(INDEX(Cl_nom,MATCH(R250,Cl_cle,0)),"(client introuvable)"))</f>
        <v/>
      </c>
      <c r="U250" s="33">
        <f>IF(R250="","",IFERROR(INDEX(Cl_quartier,MATCH(R250,Cl_cle,0))&amp;"",""))</f>
        <v/>
      </c>
      <c r="V250" s="34">
        <f>IF(C250="","",YEAR(C250-WEEKDAY(C250,2)+4)&amp;"-S"&amp;TEXT(INT((C250-DATE(YEAR(C250-WEEKDAY(C250,2)+4),1,3)+WEEKDAY(DATE(YEAR(C250-WEEKDAY(C250,2)+4),1,3),2)+5)/7),"00"))</f>
        <v/>
      </c>
    </row>
    <row r="251" ht="18" customHeight="1">
      <c r="A251" s="39" t="n">
        <v>246</v>
      </c>
      <c r="B251" s="33">
        <f>IF(C251="","",IF(P251="À RENSEIGNER","GIC",P251)&amp;"-V"&amp;TEXT(A251,"00000"))</f>
        <v/>
      </c>
      <c r="C251" s="32" t="n"/>
      <c r="D251" s="35" t="n"/>
      <c r="E251" s="36" t="n"/>
      <c r="F251" s="36" t="n"/>
      <c r="G251" s="36" t="n"/>
      <c r="H251" s="36" t="n"/>
      <c r="I251" s="36" t="n"/>
      <c r="J251" s="37" t="n"/>
      <c r="K251" s="32" t="n"/>
      <c r="L251" s="36" t="n"/>
      <c r="M251" s="41" t="n"/>
      <c r="N251" s="41" t="n"/>
      <c r="O251" s="36" t="n"/>
      <c r="P251" s="33">
        <f>IF(C251="","",Commercial_Id)</f>
        <v/>
      </c>
      <c r="Q251" s="39">
        <f>IF(F251="","",IFERROR(VALUE(MID(F251,LEN(F251)-3,3)),""))</f>
        <v/>
      </c>
      <c r="R251" s="33">
        <f>IF(Q251="","",P251&amp;"|"&amp;Q251)</f>
        <v/>
      </c>
      <c r="S251" s="33">
        <f>IF(Q251="","",IF(P251="À RENSEIGNER","GIC",P251)&amp;"-"&amp;TEXT(Q251,"000"))</f>
        <v/>
      </c>
      <c r="T251" s="33">
        <f>IF(R251="","",IFERROR(INDEX(Cl_nom,MATCH(R251,Cl_cle,0)),"(client introuvable)"))</f>
        <v/>
      </c>
      <c r="U251" s="33">
        <f>IF(R251="","",IFERROR(INDEX(Cl_quartier,MATCH(R251,Cl_cle,0))&amp;"",""))</f>
        <v/>
      </c>
      <c r="V251" s="34">
        <f>IF(C251="","",YEAR(C251-WEEKDAY(C251,2)+4)&amp;"-S"&amp;TEXT(INT((C251-DATE(YEAR(C251-WEEKDAY(C251,2)+4),1,3)+WEEKDAY(DATE(YEAR(C251-WEEKDAY(C251,2)+4),1,3),2)+5)/7),"00"))</f>
        <v/>
      </c>
    </row>
    <row r="252" ht="18" customHeight="1">
      <c r="A252" s="39" t="n">
        <v>247</v>
      </c>
      <c r="B252" s="33">
        <f>IF(C252="","",IF(P252="À RENSEIGNER","GIC",P252)&amp;"-V"&amp;TEXT(A252,"00000"))</f>
        <v/>
      </c>
      <c r="C252" s="32" t="n"/>
      <c r="D252" s="35" t="n"/>
      <c r="E252" s="36" t="n"/>
      <c r="F252" s="36" t="n"/>
      <c r="G252" s="36" t="n"/>
      <c r="H252" s="36" t="n"/>
      <c r="I252" s="36" t="n"/>
      <c r="J252" s="37" t="n"/>
      <c r="K252" s="32" t="n"/>
      <c r="L252" s="36" t="n"/>
      <c r="M252" s="41" t="n"/>
      <c r="N252" s="41" t="n"/>
      <c r="O252" s="36" t="n"/>
      <c r="P252" s="33">
        <f>IF(C252="","",Commercial_Id)</f>
        <v/>
      </c>
      <c r="Q252" s="39">
        <f>IF(F252="","",IFERROR(VALUE(MID(F252,LEN(F252)-3,3)),""))</f>
        <v/>
      </c>
      <c r="R252" s="33">
        <f>IF(Q252="","",P252&amp;"|"&amp;Q252)</f>
        <v/>
      </c>
      <c r="S252" s="33">
        <f>IF(Q252="","",IF(P252="À RENSEIGNER","GIC",P252)&amp;"-"&amp;TEXT(Q252,"000"))</f>
        <v/>
      </c>
      <c r="T252" s="33">
        <f>IF(R252="","",IFERROR(INDEX(Cl_nom,MATCH(R252,Cl_cle,0)),"(client introuvable)"))</f>
        <v/>
      </c>
      <c r="U252" s="33">
        <f>IF(R252="","",IFERROR(INDEX(Cl_quartier,MATCH(R252,Cl_cle,0))&amp;"",""))</f>
        <v/>
      </c>
      <c r="V252" s="34">
        <f>IF(C252="","",YEAR(C252-WEEKDAY(C252,2)+4)&amp;"-S"&amp;TEXT(INT((C252-DATE(YEAR(C252-WEEKDAY(C252,2)+4),1,3)+WEEKDAY(DATE(YEAR(C252-WEEKDAY(C252,2)+4),1,3),2)+5)/7),"00"))</f>
        <v/>
      </c>
    </row>
    <row r="253" ht="18" customHeight="1">
      <c r="A253" s="39" t="n">
        <v>248</v>
      </c>
      <c r="B253" s="33">
        <f>IF(C253="","",IF(P253="À RENSEIGNER","GIC",P253)&amp;"-V"&amp;TEXT(A253,"00000"))</f>
        <v/>
      </c>
      <c r="C253" s="32" t="n"/>
      <c r="D253" s="35" t="n"/>
      <c r="E253" s="36" t="n"/>
      <c r="F253" s="36" t="n"/>
      <c r="G253" s="36" t="n"/>
      <c r="H253" s="36" t="n"/>
      <c r="I253" s="36" t="n"/>
      <c r="J253" s="37" t="n"/>
      <c r="K253" s="32" t="n"/>
      <c r="L253" s="36" t="n"/>
      <c r="M253" s="41" t="n"/>
      <c r="N253" s="41" t="n"/>
      <c r="O253" s="36" t="n"/>
      <c r="P253" s="33">
        <f>IF(C253="","",Commercial_Id)</f>
        <v/>
      </c>
      <c r="Q253" s="39">
        <f>IF(F253="","",IFERROR(VALUE(MID(F253,LEN(F253)-3,3)),""))</f>
        <v/>
      </c>
      <c r="R253" s="33">
        <f>IF(Q253="","",P253&amp;"|"&amp;Q253)</f>
        <v/>
      </c>
      <c r="S253" s="33">
        <f>IF(Q253="","",IF(P253="À RENSEIGNER","GIC",P253)&amp;"-"&amp;TEXT(Q253,"000"))</f>
        <v/>
      </c>
      <c r="T253" s="33">
        <f>IF(R253="","",IFERROR(INDEX(Cl_nom,MATCH(R253,Cl_cle,0)),"(client introuvable)"))</f>
        <v/>
      </c>
      <c r="U253" s="33">
        <f>IF(R253="","",IFERROR(INDEX(Cl_quartier,MATCH(R253,Cl_cle,0))&amp;"",""))</f>
        <v/>
      </c>
      <c r="V253" s="34">
        <f>IF(C253="","",YEAR(C253-WEEKDAY(C253,2)+4)&amp;"-S"&amp;TEXT(INT((C253-DATE(YEAR(C253-WEEKDAY(C253,2)+4),1,3)+WEEKDAY(DATE(YEAR(C253-WEEKDAY(C253,2)+4),1,3),2)+5)/7),"00"))</f>
        <v/>
      </c>
    </row>
    <row r="254" ht="18" customHeight="1">
      <c r="A254" s="39" t="n">
        <v>249</v>
      </c>
      <c r="B254" s="33">
        <f>IF(C254="","",IF(P254="À RENSEIGNER","GIC",P254)&amp;"-V"&amp;TEXT(A254,"00000"))</f>
        <v/>
      </c>
      <c r="C254" s="32" t="n"/>
      <c r="D254" s="35" t="n"/>
      <c r="E254" s="36" t="n"/>
      <c r="F254" s="36" t="n"/>
      <c r="G254" s="36" t="n"/>
      <c r="H254" s="36" t="n"/>
      <c r="I254" s="36" t="n"/>
      <c r="J254" s="37" t="n"/>
      <c r="K254" s="32" t="n"/>
      <c r="L254" s="36" t="n"/>
      <c r="M254" s="41" t="n"/>
      <c r="N254" s="41" t="n"/>
      <c r="O254" s="36" t="n"/>
      <c r="P254" s="33">
        <f>IF(C254="","",Commercial_Id)</f>
        <v/>
      </c>
      <c r="Q254" s="39">
        <f>IF(F254="","",IFERROR(VALUE(MID(F254,LEN(F254)-3,3)),""))</f>
        <v/>
      </c>
      <c r="R254" s="33">
        <f>IF(Q254="","",P254&amp;"|"&amp;Q254)</f>
        <v/>
      </c>
      <c r="S254" s="33">
        <f>IF(Q254="","",IF(P254="À RENSEIGNER","GIC",P254)&amp;"-"&amp;TEXT(Q254,"000"))</f>
        <v/>
      </c>
      <c r="T254" s="33">
        <f>IF(R254="","",IFERROR(INDEX(Cl_nom,MATCH(R254,Cl_cle,0)),"(client introuvable)"))</f>
        <v/>
      </c>
      <c r="U254" s="33">
        <f>IF(R254="","",IFERROR(INDEX(Cl_quartier,MATCH(R254,Cl_cle,0))&amp;"",""))</f>
        <v/>
      </c>
      <c r="V254" s="34">
        <f>IF(C254="","",YEAR(C254-WEEKDAY(C254,2)+4)&amp;"-S"&amp;TEXT(INT((C254-DATE(YEAR(C254-WEEKDAY(C254,2)+4),1,3)+WEEKDAY(DATE(YEAR(C254-WEEKDAY(C254,2)+4),1,3),2)+5)/7),"00"))</f>
        <v/>
      </c>
    </row>
    <row r="255" ht="18" customHeight="1">
      <c r="A255" s="39" t="n">
        <v>250</v>
      </c>
      <c r="B255" s="33">
        <f>IF(C255="","",IF(P255="À RENSEIGNER","GIC",P255)&amp;"-V"&amp;TEXT(A255,"00000"))</f>
        <v/>
      </c>
      <c r="C255" s="32" t="n"/>
      <c r="D255" s="35" t="n"/>
      <c r="E255" s="36" t="n"/>
      <c r="F255" s="36" t="n"/>
      <c r="G255" s="36" t="n"/>
      <c r="H255" s="36" t="n"/>
      <c r="I255" s="36" t="n"/>
      <c r="J255" s="37" t="n"/>
      <c r="K255" s="32" t="n"/>
      <c r="L255" s="36" t="n"/>
      <c r="M255" s="41" t="n"/>
      <c r="N255" s="41" t="n"/>
      <c r="O255" s="36" t="n"/>
      <c r="P255" s="33">
        <f>IF(C255="","",Commercial_Id)</f>
        <v/>
      </c>
      <c r="Q255" s="39">
        <f>IF(F255="","",IFERROR(VALUE(MID(F255,LEN(F255)-3,3)),""))</f>
        <v/>
      </c>
      <c r="R255" s="33">
        <f>IF(Q255="","",P255&amp;"|"&amp;Q255)</f>
        <v/>
      </c>
      <c r="S255" s="33">
        <f>IF(Q255="","",IF(P255="À RENSEIGNER","GIC",P255)&amp;"-"&amp;TEXT(Q255,"000"))</f>
        <v/>
      </c>
      <c r="T255" s="33">
        <f>IF(R255="","",IFERROR(INDEX(Cl_nom,MATCH(R255,Cl_cle,0)),"(client introuvable)"))</f>
        <v/>
      </c>
      <c r="U255" s="33">
        <f>IF(R255="","",IFERROR(INDEX(Cl_quartier,MATCH(R255,Cl_cle,0))&amp;"",""))</f>
        <v/>
      </c>
      <c r="V255" s="34">
        <f>IF(C255="","",YEAR(C255-WEEKDAY(C255,2)+4)&amp;"-S"&amp;TEXT(INT((C255-DATE(YEAR(C255-WEEKDAY(C255,2)+4),1,3)+WEEKDAY(DATE(YEAR(C255-WEEKDAY(C255,2)+4),1,3),2)+5)/7),"00"))</f>
        <v/>
      </c>
    </row>
    <row r="256" ht="18" customHeight="1">
      <c r="A256" s="39" t="n">
        <v>251</v>
      </c>
      <c r="B256" s="33">
        <f>IF(C256="","",IF(P256="À RENSEIGNER","GIC",P256)&amp;"-V"&amp;TEXT(A256,"00000"))</f>
        <v/>
      </c>
      <c r="C256" s="32" t="n"/>
      <c r="D256" s="35" t="n"/>
      <c r="E256" s="36" t="n"/>
      <c r="F256" s="36" t="n"/>
      <c r="G256" s="36" t="n"/>
      <c r="H256" s="36" t="n"/>
      <c r="I256" s="36" t="n"/>
      <c r="J256" s="37" t="n"/>
      <c r="K256" s="32" t="n"/>
      <c r="L256" s="36" t="n"/>
      <c r="M256" s="41" t="n"/>
      <c r="N256" s="41" t="n"/>
      <c r="O256" s="36" t="n"/>
      <c r="P256" s="33">
        <f>IF(C256="","",Commercial_Id)</f>
        <v/>
      </c>
      <c r="Q256" s="39">
        <f>IF(F256="","",IFERROR(VALUE(MID(F256,LEN(F256)-3,3)),""))</f>
        <v/>
      </c>
      <c r="R256" s="33">
        <f>IF(Q256="","",P256&amp;"|"&amp;Q256)</f>
        <v/>
      </c>
      <c r="S256" s="33">
        <f>IF(Q256="","",IF(P256="À RENSEIGNER","GIC",P256)&amp;"-"&amp;TEXT(Q256,"000"))</f>
        <v/>
      </c>
      <c r="T256" s="33">
        <f>IF(R256="","",IFERROR(INDEX(Cl_nom,MATCH(R256,Cl_cle,0)),"(client introuvable)"))</f>
        <v/>
      </c>
      <c r="U256" s="33">
        <f>IF(R256="","",IFERROR(INDEX(Cl_quartier,MATCH(R256,Cl_cle,0))&amp;"",""))</f>
        <v/>
      </c>
      <c r="V256" s="34">
        <f>IF(C256="","",YEAR(C256-WEEKDAY(C256,2)+4)&amp;"-S"&amp;TEXT(INT((C256-DATE(YEAR(C256-WEEKDAY(C256,2)+4),1,3)+WEEKDAY(DATE(YEAR(C256-WEEKDAY(C256,2)+4),1,3),2)+5)/7),"00"))</f>
        <v/>
      </c>
    </row>
    <row r="257" ht="18" customHeight="1">
      <c r="A257" s="39" t="n">
        <v>252</v>
      </c>
      <c r="B257" s="33">
        <f>IF(C257="","",IF(P257="À RENSEIGNER","GIC",P257)&amp;"-V"&amp;TEXT(A257,"00000"))</f>
        <v/>
      </c>
      <c r="C257" s="32" t="n"/>
      <c r="D257" s="35" t="n"/>
      <c r="E257" s="36" t="n"/>
      <c r="F257" s="36" t="n"/>
      <c r="G257" s="36" t="n"/>
      <c r="H257" s="36" t="n"/>
      <c r="I257" s="36" t="n"/>
      <c r="J257" s="37" t="n"/>
      <c r="K257" s="32" t="n"/>
      <c r="L257" s="36" t="n"/>
      <c r="M257" s="41" t="n"/>
      <c r="N257" s="41" t="n"/>
      <c r="O257" s="36" t="n"/>
      <c r="P257" s="33">
        <f>IF(C257="","",Commercial_Id)</f>
        <v/>
      </c>
      <c r="Q257" s="39">
        <f>IF(F257="","",IFERROR(VALUE(MID(F257,LEN(F257)-3,3)),""))</f>
        <v/>
      </c>
      <c r="R257" s="33">
        <f>IF(Q257="","",P257&amp;"|"&amp;Q257)</f>
        <v/>
      </c>
      <c r="S257" s="33">
        <f>IF(Q257="","",IF(P257="À RENSEIGNER","GIC",P257)&amp;"-"&amp;TEXT(Q257,"000"))</f>
        <v/>
      </c>
      <c r="T257" s="33">
        <f>IF(R257="","",IFERROR(INDEX(Cl_nom,MATCH(R257,Cl_cle,0)),"(client introuvable)"))</f>
        <v/>
      </c>
      <c r="U257" s="33">
        <f>IF(R257="","",IFERROR(INDEX(Cl_quartier,MATCH(R257,Cl_cle,0))&amp;"",""))</f>
        <v/>
      </c>
      <c r="V257" s="34">
        <f>IF(C257="","",YEAR(C257-WEEKDAY(C257,2)+4)&amp;"-S"&amp;TEXT(INT((C257-DATE(YEAR(C257-WEEKDAY(C257,2)+4),1,3)+WEEKDAY(DATE(YEAR(C257-WEEKDAY(C257,2)+4),1,3),2)+5)/7),"00"))</f>
        <v/>
      </c>
    </row>
    <row r="258" ht="18" customHeight="1">
      <c r="A258" s="39" t="n">
        <v>253</v>
      </c>
      <c r="B258" s="33">
        <f>IF(C258="","",IF(P258="À RENSEIGNER","GIC",P258)&amp;"-V"&amp;TEXT(A258,"00000"))</f>
        <v/>
      </c>
      <c r="C258" s="32" t="n"/>
      <c r="D258" s="35" t="n"/>
      <c r="E258" s="36" t="n"/>
      <c r="F258" s="36" t="n"/>
      <c r="G258" s="36" t="n"/>
      <c r="H258" s="36" t="n"/>
      <c r="I258" s="36" t="n"/>
      <c r="J258" s="37" t="n"/>
      <c r="K258" s="32" t="n"/>
      <c r="L258" s="36" t="n"/>
      <c r="M258" s="41" t="n"/>
      <c r="N258" s="41" t="n"/>
      <c r="O258" s="36" t="n"/>
      <c r="P258" s="33">
        <f>IF(C258="","",Commercial_Id)</f>
        <v/>
      </c>
      <c r="Q258" s="39">
        <f>IF(F258="","",IFERROR(VALUE(MID(F258,LEN(F258)-3,3)),""))</f>
        <v/>
      </c>
      <c r="R258" s="33">
        <f>IF(Q258="","",P258&amp;"|"&amp;Q258)</f>
        <v/>
      </c>
      <c r="S258" s="33">
        <f>IF(Q258="","",IF(P258="À RENSEIGNER","GIC",P258)&amp;"-"&amp;TEXT(Q258,"000"))</f>
        <v/>
      </c>
      <c r="T258" s="33">
        <f>IF(R258="","",IFERROR(INDEX(Cl_nom,MATCH(R258,Cl_cle,0)),"(client introuvable)"))</f>
        <v/>
      </c>
      <c r="U258" s="33">
        <f>IF(R258="","",IFERROR(INDEX(Cl_quartier,MATCH(R258,Cl_cle,0))&amp;"",""))</f>
        <v/>
      </c>
      <c r="V258" s="34">
        <f>IF(C258="","",YEAR(C258-WEEKDAY(C258,2)+4)&amp;"-S"&amp;TEXT(INT((C258-DATE(YEAR(C258-WEEKDAY(C258,2)+4),1,3)+WEEKDAY(DATE(YEAR(C258-WEEKDAY(C258,2)+4),1,3),2)+5)/7),"00"))</f>
        <v/>
      </c>
    </row>
    <row r="259" ht="18" customHeight="1">
      <c r="A259" s="39" t="n">
        <v>254</v>
      </c>
      <c r="B259" s="33">
        <f>IF(C259="","",IF(P259="À RENSEIGNER","GIC",P259)&amp;"-V"&amp;TEXT(A259,"00000"))</f>
        <v/>
      </c>
      <c r="C259" s="32" t="n"/>
      <c r="D259" s="35" t="n"/>
      <c r="E259" s="36" t="n"/>
      <c r="F259" s="36" t="n"/>
      <c r="G259" s="36" t="n"/>
      <c r="H259" s="36" t="n"/>
      <c r="I259" s="36" t="n"/>
      <c r="J259" s="37" t="n"/>
      <c r="K259" s="32" t="n"/>
      <c r="L259" s="36" t="n"/>
      <c r="M259" s="41" t="n"/>
      <c r="N259" s="41" t="n"/>
      <c r="O259" s="36" t="n"/>
      <c r="P259" s="33">
        <f>IF(C259="","",Commercial_Id)</f>
        <v/>
      </c>
      <c r="Q259" s="39">
        <f>IF(F259="","",IFERROR(VALUE(MID(F259,LEN(F259)-3,3)),""))</f>
        <v/>
      </c>
      <c r="R259" s="33">
        <f>IF(Q259="","",P259&amp;"|"&amp;Q259)</f>
        <v/>
      </c>
      <c r="S259" s="33">
        <f>IF(Q259="","",IF(P259="À RENSEIGNER","GIC",P259)&amp;"-"&amp;TEXT(Q259,"000"))</f>
        <v/>
      </c>
      <c r="T259" s="33">
        <f>IF(R259="","",IFERROR(INDEX(Cl_nom,MATCH(R259,Cl_cle,0)),"(client introuvable)"))</f>
        <v/>
      </c>
      <c r="U259" s="33">
        <f>IF(R259="","",IFERROR(INDEX(Cl_quartier,MATCH(R259,Cl_cle,0))&amp;"",""))</f>
        <v/>
      </c>
      <c r="V259" s="34">
        <f>IF(C259="","",YEAR(C259-WEEKDAY(C259,2)+4)&amp;"-S"&amp;TEXT(INT((C259-DATE(YEAR(C259-WEEKDAY(C259,2)+4),1,3)+WEEKDAY(DATE(YEAR(C259-WEEKDAY(C259,2)+4),1,3),2)+5)/7),"00"))</f>
        <v/>
      </c>
    </row>
    <row r="260" ht="18" customHeight="1">
      <c r="A260" s="39" t="n">
        <v>255</v>
      </c>
      <c r="B260" s="33">
        <f>IF(C260="","",IF(P260="À RENSEIGNER","GIC",P260)&amp;"-V"&amp;TEXT(A260,"00000"))</f>
        <v/>
      </c>
      <c r="C260" s="32" t="n"/>
      <c r="D260" s="35" t="n"/>
      <c r="E260" s="36" t="n"/>
      <c r="F260" s="36" t="n"/>
      <c r="G260" s="36" t="n"/>
      <c r="H260" s="36" t="n"/>
      <c r="I260" s="36" t="n"/>
      <c r="J260" s="37" t="n"/>
      <c r="K260" s="32" t="n"/>
      <c r="L260" s="36" t="n"/>
      <c r="M260" s="41" t="n"/>
      <c r="N260" s="41" t="n"/>
      <c r="O260" s="36" t="n"/>
      <c r="P260" s="33">
        <f>IF(C260="","",Commercial_Id)</f>
        <v/>
      </c>
      <c r="Q260" s="39">
        <f>IF(F260="","",IFERROR(VALUE(MID(F260,LEN(F260)-3,3)),""))</f>
        <v/>
      </c>
      <c r="R260" s="33">
        <f>IF(Q260="","",P260&amp;"|"&amp;Q260)</f>
        <v/>
      </c>
      <c r="S260" s="33">
        <f>IF(Q260="","",IF(P260="À RENSEIGNER","GIC",P260)&amp;"-"&amp;TEXT(Q260,"000"))</f>
        <v/>
      </c>
      <c r="T260" s="33">
        <f>IF(R260="","",IFERROR(INDEX(Cl_nom,MATCH(R260,Cl_cle,0)),"(client introuvable)"))</f>
        <v/>
      </c>
      <c r="U260" s="33">
        <f>IF(R260="","",IFERROR(INDEX(Cl_quartier,MATCH(R260,Cl_cle,0))&amp;"",""))</f>
        <v/>
      </c>
      <c r="V260" s="34">
        <f>IF(C260="","",YEAR(C260-WEEKDAY(C260,2)+4)&amp;"-S"&amp;TEXT(INT((C260-DATE(YEAR(C260-WEEKDAY(C260,2)+4),1,3)+WEEKDAY(DATE(YEAR(C260-WEEKDAY(C260,2)+4),1,3),2)+5)/7),"00"))</f>
        <v/>
      </c>
    </row>
    <row r="261" ht="18" customHeight="1">
      <c r="A261" s="39" t="n">
        <v>256</v>
      </c>
      <c r="B261" s="33">
        <f>IF(C261="","",IF(P261="À RENSEIGNER","GIC",P261)&amp;"-V"&amp;TEXT(A261,"00000"))</f>
        <v/>
      </c>
      <c r="C261" s="32" t="n"/>
      <c r="D261" s="35" t="n"/>
      <c r="E261" s="36" t="n"/>
      <c r="F261" s="36" t="n"/>
      <c r="G261" s="36" t="n"/>
      <c r="H261" s="36" t="n"/>
      <c r="I261" s="36" t="n"/>
      <c r="J261" s="37" t="n"/>
      <c r="K261" s="32" t="n"/>
      <c r="L261" s="36" t="n"/>
      <c r="M261" s="41" t="n"/>
      <c r="N261" s="41" t="n"/>
      <c r="O261" s="36" t="n"/>
      <c r="P261" s="33">
        <f>IF(C261="","",Commercial_Id)</f>
        <v/>
      </c>
      <c r="Q261" s="39">
        <f>IF(F261="","",IFERROR(VALUE(MID(F261,LEN(F261)-3,3)),""))</f>
        <v/>
      </c>
      <c r="R261" s="33">
        <f>IF(Q261="","",P261&amp;"|"&amp;Q261)</f>
        <v/>
      </c>
      <c r="S261" s="33">
        <f>IF(Q261="","",IF(P261="À RENSEIGNER","GIC",P261)&amp;"-"&amp;TEXT(Q261,"000"))</f>
        <v/>
      </c>
      <c r="T261" s="33">
        <f>IF(R261="","",IFERROR(INDEX(Cl_nom,MATCH(R261,Cl_cle,0)),"(client introuvable)"))</f>
        <v/>
      </c>
      <c r="U261" s="33">
        <f>IF(R261="","",IFERROR(INDEX(Cl_quartier,MATCH(R261,Cl_cle,0))&amp;"",""))</f>
        <v/>
      </c>
      <c r="V261" s="34">
        <f>IF(C261="","",YEAR(C261-WEEKDAY(C261,2)+4)&amp;"-S"&amp;TEXT(INT((C261-DATE(YEAR(C261-WEEKDAY(C261,2)+4),1,3)+WEEKDAY(DATE(YEAR(C261-WEEKDAY(C261,2)+4),1,3),2)+5)/7),"00"))</f>
        <v/>
      </c>
    </row>
    <row r="262" ht="18" customHeight="1">
      <c r="A262" s="39" t="n">
        <v>257</v>
      </c>
      <c r="B262" s="33">
        <f>IF(C262="","",IF(P262="À RENSEIGNER","GIC",P262)&amp;"-V"&amp;TEXT(A262,"00000"))</f>
        <v/>
      </c>
      <c r="C262" s="32" t="n"/>
      <c r="D262" s="35" t="n"/>
      <c r="E262" s="36" t="n"/>
      <c r="F262" s="36" t="n"/>
      <c r="G262" s="36" t="n"/>
      <c r="H262" s="36" t="n"/>
      <c r="I262" s="36" t="n"/>
      <c r="J262" s="37" t="n"/>
      <c r="K262" s="32" t="n"/>
      <c r="L262" s="36" t="n"/>
      <c r="M262" s="41" t="n"/>
      <c r="N262" s="41" t="n"/>
      <c r="O262" s="36" t="n"/>
      <c r="P262" s="33">
        <f>IF(C262="","",Commercial_Id)</f>
        <v/>
      </c>
      <c r="Q262" s="39">
        <f>IF(F262="","",IFERROR(VALUE(MID(F262,LEN(F262)-3,3)),""))</f>
        <v/>
      </c>
      <c r="R262" s="33">
        <f>IF(Q262="","",P262&amp;"|"&amp;Q262)</f>
        <v/>
      </c>
      <c r="S262" s="33">
        <f>IF(Q262="","",IF(P262="À RENSEIGNER","GIC",P262)&amp;"-"&amp;TEXT(Q262,"000"))</f>
        <v/>
      </c>
      <c r="T262" s="33">
        <f>IF(R262="","",IFERROR(INDEX(Cl_nom,MATCH(R262,Cl_cle,0)),"(client introuvable)"))</f>
        <v/>
      </c>
      <c r="U262" s="33">
        <f>IF(R262="","",IFERROR(INDEX(Cl_quartier,MATCH(R262,Cl_cle,0))&amp;"",""))</f>
        <v/>
      </c>
      <c r="V262" s="34">
        <f>IF(C262="","",YEAR(C262-WEEKDAY(C262,2)+4)&amp;"-S"&amp;TEXT(INT((C262-DATE(YEAR(C262-WEEKDAY(C262,2)+4),1,3)+WEEKDAY(DATE(YEAR(C262-WEEKDAY(C262,2)+4),1,3),2)+5)/7),"00"))</f>
        <v/>
      </c>
    </row>
    <row r="263" ht="18" customHeight="1">
      <c r="A263" s="39" t="n">
        <v>258</v>
      </c>
      <c r="B263" s="33">
        <f>IF(C263="","",IF(P263="À RENSEIGNER","GIC",P263)&amp;"-V"&amp;TEXT(A263,"00000"))</f>
        <v/>
      </c>
      <c r="C263" s="32" t="n"/>
      <c r="D263" s="35" t="n"/>
      <c r="E263" s="36" t="n"/>
      <c r="F263" s="36" t="n"/>
      <c r="G263" s="36" t="n"/>
      <c r="H263" s="36" t="n"/>
      <c r="I263" s="36" t="n"/>
      <c r="J263" s="37" t="n"/>
      <c r="K263" s="32" t="n"/>
      <c r="L263" s="36" t="n"/>
      <c r="M263" s="41" t="n"/>
      <c r="N263" s="41" t="n"/>
      <c r="O263" s="36" t="n"/>
      <c r="P263" s="33">
        <f>IF(C263="","",Commercial_Id)</f>
        <v/>
      </c>
      <c r="Q263" s="39">
        <f>IF(F263="","",IFERROR(VALUE(MID(F263,LEN(F263)-3,3)),""))</f>
        <v/>
      </c>
      <c r="R263" s="33">
        <f>IF(Q263="","",P263&amp;"|"&amp;Q263)</f>
        <v/>
      </c>
      <c r="S263" s="33">
        <f>IF(Q263="","",IF(P263="À RENSEIGNER","GIC",P263)&amp;"-"&amp;TEXT(Q263,"000"))</f>
        <v/>
      </c>
      <c r="T263" s="33">
        <f>IF(R263="","",IFERROR(INDEX(Cl_nom,MATCH(R263,Cl_cle,0)),"(client introuvable)"))</f>
        <v/>
      </c>
      <c r="U263" s="33">
        <f>IF(R263="","",IFERROR(INDEX(Cl_quartier,MATCH(R263,Cl_cle,0))&amp;"",""))</f>
        <v/>
      </c>
      <c r="V263" s="34">
        <f>IF(C263="","",YEAR(C263-WEEKDAY(C263,2)+4)&amp;"-S"&amp;TEXT(INT((C263-DATE(YEAR(C263-WEEKDAY(C263,2)+4),1,3)+WEEKDAY(DATE(YEAR(C263-WEEKDAY(C263,2)+4),1,3),2)+5)/7),"00"))</f>
        <v/>
      </c>
    </row>
    <row r="264" ht="18" customHeight="1">
      <c r="A264" s="39" t="n">
        <v>259</v>
      </c>
      <c r="B264" s="33">
        <f>IF(C264="","",IF(P264="À RENSEIGNER","GIC",P264)&amp;"-V"&amp;TEXT(A264,"00000"))</f>
        <v/>
      </c>
      <c r="C264" s="32" t="n"/>
      <c r="D264" s="35" t="n"/>
      <c r="E264" s="36" t="n"/>
      <c r="F264" s="36" t="n"/>
      <c r="G264" s="36" t="n"/>
      <c r="H264" s="36" t="n"/>
      <c r="I264" s="36" t="n"/>
      <c r="J264" s="37" t="n"/>
      <c r="K264" s="32" t="n"/>
      <c r="L264" s="36" t="n"/>
      <c r="M264" s="41" t="n"/>
      <c r="N264" s="41" t="n"/>
      <c r="O264" s="36" t="n"/>
      <c r="P264" s="33">
        <f>IF(C264="","",Commercial_Id)</f>
        <v/>
      </c>
      <c r="Q264" s="39">
        <f>IF(F264="","",IFERROR(VALUE(MID(F264,LEN(F264)-3,3)),""))</f>
        <v/>
      </c>
      <c r="R264" s="33">
        <f>IF(Q264="","",P264&amp;"|"&amp;Q264)</f>
        <v/>
      </c>
      <c r="S264" s="33">
        <f>IF(Q264="","",IF(P264="À RENSEIGNER","GIC",P264)&amp;"-"&amp;TEXT(Q264,"000"))</f>
        <v/>
      </c>
      <c r="T264" s="33">
        <f>IF(R264="","",IFERROR(INDEX(Cl_nom,MATCH(R264,Cl_cle,0)),"(client introuvable)"))</f>
        <v/>
      </c>
      <c r="U264" s="33">
        <f>IF(R264="","",IFERROR(INDEX(Cl_quartier,MATCH(R264,Cl_cle,0))&amp;"",""))</f>
        <v/>
      </c>
      <c r="V264" s="34">
        <f>IF(C264="","",YEAR(C264-WEEKDAY(C264,2)+4)&amp;"-S"&amp;TEXT(INT((C264-DATE(YEAR(C264-WEEKDAY(C264,2)+4),1,3)+WEEKDAY(DATE(YEAR(C264-WEEKDAY(C264,2)+4),1,3),2)+5)/7),"00"))</f>
        <v/>
      </c>
    </row>
    <row r="265" ht="18" customHeight="1">
      <c r="A265" s="39" t="n">
        <v>260</v>
      </c>
      <c r="B265" s="33">
        <f>IF(C265="","",IF(P265="À RENSEIGNER","GIC",P265)&amp;"-V"&amp;TEXT(A265,"00000"))</f>
        <v/>
      </c>
      <c r="C265" s="32" t="n"/>
      <c r="D265" s="35" t="n"/>
      <c r="E265" s="36" t="n"/>
      <c r="F265" s="36" t="n"/>
      <c r="G265" s="36" t="n"/>
      <c r="H265" s="36" t="n"/>
      <c r="I265" s="36" t="n"/>
      <c r="J265" s="37" t="n"/>
      <c r="K265" s="32" t="n"/>
      <c r="L265" s="36" t="n"/>
      <c r="M265" s="41" t="n"/>
      <c r="N265" s="41" t="n"/>
      <c r="O265" s="36" t="n"/>
      <c r="P265" s="33">
        <f>IF(C265="","",Commercial_Id)</f>
        <v/>
      </c>
      <c r="Q265" s="39">
        <f>IF(F265="","",IFERROR(VALUE(MID(F265,LEN(F265)-3,3)),""))</f>
        <v/>
      </c>
      <c r="R265" s="33">
        <f>IF(Q265="","",P265&amp;"|"&amp;Q265)</f>
        <v/>
      </c>
      <c r="S265" s="33">
        <f>IF(Q265="","",IF(P265="À RENSEIGNER","GIC",P265)&amp;"-"&amp;TEXT(Q265,"000"))</f>
        <v/>
      </c>
      <c r="T265" s="33">
        <f>IF(R265="","",IFERROR(INDEX(Cl_nom,MATCH(R265,Cl_cle,0)),"(client introuvable)"))</f>
        <v/>
      </c>
      <c r="U265" s="33">
        <f>IF(R265="","",IFERROR(INDEX(Cl_quartier,MATCH(R265,Cl_cle,0))&amp;"",""))</f>
        <v/>
      </c>
      <c r="V265" s="34">
        <f>IF(C265="","",YEAR(C265-WEEKDAY(C265,2)+4)&amp;"-S"&amp;TEXT(INT((C265-DATE(YEAR(C265-WEEKDAY(C265,2)+4),1,3)+WEEKDAY(DATE(YEAR(C265-WEEKDAY(C265,2)+4),1,3),2)+5)/7),"00"))</f>
        <v/>
      </c>
    </row>
    <row r="266" ht="18" customHeight="1">
      <c r="A266" s="39" t="n">
        <v>261</v>
      </c>
      <c r="B266" s="33">
        <f>IF(C266="","",IF(P266="À RENSEIGNER","GIC",P266)&amp;"-V"&amp;TEXT(A266,"00000"))</f>
        <v/>
      </c>
      <c r="C266" s="32" t="n"/>
      <c r="D266" s="35" t="n"/>
      <c r="E266" s="36" t="n"/>
      <c r="F266" s="36" t="n"/>
      <c r="G266" s="36" t="n"/>
      <c r="H266" s="36" t="n"/>
      <c r="I266" s="36" t="n"/>
      <c r="J266" s="37" t="n"/>
      <c r="K266" s="32" t="n"/>
      <c r="L266" s="36" t="n"/>
      <c r="M266" s="41" t="n"/>
      <c r="N266" s="41" t="n"/>
      <c r="O266" s="36" t="n"/>
      <c r="P266" s="33">
        <f>IF(C266="","",Commercial_Id)</f>
        <v/>
      </c>
      <c r="Q266" s="39">
        <f>IF(F266="","",IFERROR(VALUE(MID(F266,LEN(F266)-3,3)),""))</f>
        <v/>
      </c>
      <c r="R266" s="33">
        <f>IF(Q266="","",P266&amp;"|"&amp;Q266)</f>
        <v/>
      </c>
      <c r="S266" s="33">
        <f>IF(Q266="","",IF(P266="À RENSEIGNER","GIC",P266)&amp;"-"&amp;TEXT(Q266,"000"))</f>
        <v/>
      </c>
      <c r="T266" s="33">
        <f>IF(R266="","",IFERROR(INDEX(Cl_nom,MATCH(R266,Cl_cle,0)),"(client introuvable)"))</f>
        <v/>
      </c>
      <c r="U266" s="33">
        <f>IF(R266="","",IFERROR(INDEX(Cl_quartier,MATCH(R266,Cl_cle,0))&amp;"",""))</f>
        <v/>
      </c>
      <c r="V266" s="34">
        <f>IF(C266="","",YEAR(C266-WEEKDAY(C266,2)+4)&amp;"-S"&amp;TEXT(INT((C266-DATE(YEAR(C266-WEEKDAY(C266,2)+4),1,3)+WEEKDAY(DATE(YEAR(C266-WEEKDAY(C266,2)+4),1,3),2)+5)/7),"00"))</f>
        <v/>
      </c>
    </row>
    <row r="267" ht="18" customHeight="1">
      <c r="A267" s="39" t="n">
        <v>262</v>
      </c>
      <c r="B267" s="33">
        <f>IF(C267="","",IF(P267="À RENSEIGNER","GIC",P267)&amp;"-V"&amp;TEXT(A267,"00000"))</f>
        <v/>
      </c>
      <c r="C267" s="32" t="n"/>
      <c r="D267" s="35" t="n"/>
      <c r="E267" s="36" t="n"/>
      <c r="F267" s="36" t="n"/>
      <c r="G267" s="36" t="n"/>
      <c r="H267" s="36" t="n"/>
      <c r="I267" s="36" t="n"/>
      <c r="J267" s="37" t="n"/>
      <c r="K267" s="32" t="n"/>
      <c r="L267" s="36" t="n"/>
      <c r="M267" s="41" t="n"/>
      <c r="N267" s="41" t="n"/>
      <c r="O267" s="36" t="n"/>
      <c r="P267" s="33">
        <f>IF(C267="","",Commercial_Id)</f>
        <v/>
      </c>
      <c r="Q267" s="39">
        <f>IF(F267="","",IFERROR(VALUE(MID(F267,LEN(F267)-3,3)),""))</f>
        <v/>
      </c>
      <c r="R267" s="33">
        <f>IF(Q267="","",P267&amp;"|"&amp;Q267)</f>
        <v/>
      </c>
      <c r="S267" s="33">
        <f>IF(Q267="","",IF(P267="À RENSEIGNER","GIC",P267)&amp;"-"&amp;TEXT(Q267,"000"))</f>
        <v/>
      </c>
      <c r="T267" s="33">
        <f>IF(R267="","",IFERROR(INDEX(Cl_nom,MATCH(R267,Cl_cle,0)),"(client introuvable)"))</f>
        <v/>
      </c>
      <c r="U267" s="33">
        <f>IF(R267="","",IFERROR(INDEX(Cl_quartier,MATCH(R267,Cl_cle,0))&amp;"",""))</f>
        <v/>
      </c>
      <c r="V267" s="34">
        <f>IF(C267="","",YEAR(C267-WEEKDAY(C267,2)+4)&amp;"-S"&amp;TEXT(INT((C267-DATE(YEAR(C267-WEEKDAY(C267,2)+4),1,3)+WEEKDAY(DATE(YEAR(C267-WEEKDAY(C267,2)+4),1,3),2)+5)/7),"00"))</f>
        <v/>
      </c>
    </row>
    <row r="268" ht="18" customHeight="1">
      <c r="A268" s="39" t="n">
        <v>263</v>
      </c>
      <c r="B268" s="33">
        <f>IF(C268="","",IF(P268="À RENSEIGNER","GIC",P268)&amp;"-V"&amp;TEXT(A268,"00000"))</f>
        <v/>
      </c>
      <c r="C268" s="32" t="n"/>
      <c r="D268" s="35" t="n"/>
      <c r="E268" s="36" t="n"/>
      <c r="F268" s="36" t="n"/>
      <c r="G268" s="36" t="n"/>
      <c r="H268" s="36" t="n"/>
      <c r="I268" s="36" t="n"/>
      <c r="J268" s="37" t="n"/>
      <c r="K268" s="32" t="n"/>
      <c r="L268" s="36" t="n"/>
      <c r="M268" s="41" t="n"/>
      <c r="N268" s="41" t="n"/>
      <c r="O268" s="36" t="n"/>
      <c r="P268" s="33">
        <f>IF(C268="","",Commercial_Id)</f>
        <v/>
      </c>
      <c r="Q268" s="39">
        <f>IF(F268="","",IFERROR(VALUE(MID(F268,LEN(F268)-3,3)),""))</f>
        <v/>
      </c>
      <c r="R268" s="33">
        <f>IF(Q268="","",P268&amp;"|"&amp;Q268)</f>
        <v/>
      </c>
      <c r="S268" s="33">
        <f>IF(Q268="","",IF(P268="À RENSEIGNER","GIC",P268)&amp;"-"&amp;TEXT(Q268,"000"))</f>
        <v/>
      </c>
      <c r="T268" s="33">
        <f>IF(R268="","",IFERROR(INDEX(Cl_nom,MATCH(R268,Cl_cle,0)),"(client introuvable)"))</f>
        <v/>
      </c>
      <c r="U268" s="33">
        <f>IF(R268="","",IFERROR(INDEX(Cl_quartier,MATCH(R268,Cl_cle,0))&amp;"",""))</f>
        <v/>
      </c>
      <c r="V268" s="34">
        <f>IF(C268="","",YEAR(C268-WEEKDAY(C268,2)+4)&amp;"-S"&amp;TEXT(INT((C268-DATE(YEAR(C268-WEEKDAY(C268,2)+4),1,3)+WEEKDAY(DATE(YEAR(C268-WEEKDAY(C268,2)+4),1,3),2)+5)/7),"00"))</f>
        <v/>
      </c>
    </row>
    <row r="269" ht="18" customHeight="1">
      <c r="A269" s="39" t="n">
        <v>264</v>
      </c>
      <c r="B269" s="33">
        <f>IF(C269="","",IF(P269="À RENSEIGNER","GIC",P269)&amp;"-V"&amp;TEXT(A269,"00000"))</f>
        <v/>
      </c>
      <c r="C269" s="32" t="n"/>
      <c r="D269" s="35" t="n"/>
      <c r="E269" s="36" t="n"/>
      <c r="F269" s="36" t="n"/>
      <c r="G269" s="36" t="n"/>
      <c r="H269" s="36" t="n"/>
      <c r="I269" s="36" t="n"/>
      <c r="J269" s="37" t="n"/>
      <c r="K269" s="32" t="n"/>
      <c r="L269" s="36" t="n"/>
      <c r="M269" s="41" t="n"/>
      <c r="N269" s="41" t="n"/>
      <c r="O269" s="36" t="n"/>
      <c r="P269" s="33">
        <f>IF(C269="","",Commercial_Id)</f>
        <v/>
      </c>
      <c r="Q269" s="39">
        <f>IF(F269="","",IFERROR(VALUE(MID(F269,LEN(F269)-3,3)),""))</f>
        <v/>
      </c>
      <c r="R269" s="33">
        <f>IF(Q269="","",P269&amp;"|"&amp;Q269)</f>
        <v/>
      </c>
      <c r="S269" s="33">
        <f>IF(Q269="","",IF(P269="À RENSEIGNER","GIC",P269)&amp;"-"&amp;TEXT(Q269,"000"))</f>
        <v/>
      </c>
      <c r="T269" s="33">
        <f>IF(R269="","",IFERROR(INDEX(Cl_nom,MATCH(R269,Cl_cle,0)),"(client introuvable)"))</f>
        <v/>
      </c>
      <c r="U269" s="33">
        <f>IF(R269="","",IFERROR(INDEX(Cl_quartier,MATCH(R269,Cl_cle,0))&amp;"",""))</f>
        <v/>
      </c>
      <c r="V269" s="34">
        <f>IF(C269="","",YEAR(C269-WEEKDAY(C269,2)+4)&amp;"-S"&amp;TEXT(INT((C269-DATE(YEAR(C269-WEEKDAY(C269,2)+4),1,3)+WEEKDAY(DATE(YEAR(C269-WEEKDAY(C269,2)+4),1,3),2)+5)/7),"00"))</f>
        <v/>
      </c>
    </row>
    <row r="270" ht="18" customHeight="1">
      <c r="A270" s="39" t="n">
        <v>265</v>
      </c>
      <c r="B270" s="33">
        <f>IF(C270="","",IF(P270="À RENSEIGNER","GIC",P270)&amp;"-V"&amp;TEXT(A270,"00000"))</f>
        <v/>
      </c>
      <c r="C270" s="32" t="n"/>
      <c r="D270" s="35" t="n"/>
      <c r="E270" s="36" t="n"/>
      <c r="F270" s="36" t="n"/>
      <c r="G270" s="36" t="n"/>
      <c r="H270" s="36" t="n"/>
      <c r="I270" s="36" t="n"/>
      <c r="J270" s="37" t="n"/>
      <c r="K270" s="32" t="n"/>
      <c r="L270" s="36" t="n"/>
      <c r="M270" s="41" t="n"/>
      <c r="N270" s="41" t="n"/>
      <c r="O270" s="36" t="n"/>
      <c r="P270" s="33">
        <f>IF(C270="","",Commercial_Id)</f>
        <v/>
      </c>
      <c r="Q270" s="39">
        <f>IF(F270="","",IFERROR(VALUE(MID(F270,LEN(F270)-3,3)),""))</f>
        <v/>
      </c>
      <c r="R270" s="33">
        <f>IF(Q270="","",P270&amp;"|"&amp;Q270)</f>
        <v/>
      </c>
      <c r="S270" s="33">
        <f>IF(Q270="","",IF(P270="À RENSEIGNER","GIC",P270)&amp;"-"&amp;TEXT(Q270,"000"))</f>
        <v/>
      </c>
      <c r="T270" s="33">
        <f>IF(R270="","",IFERROR(INDEX(Cl_nom,MATCH(R270,Cl_cle,0)),"(client introuvable)"))</f>
        <v/>
      </c>
      <c r="U270" s="33">
        <f>IF(R270="","",IFERROR(INDEX(Cl_quartier,MATCH(R270,Cl_cle,0))&amp;"",""))</f>
        <v/>
      </c>
      <c r="V270" s="34">
        <f>IF(C270="","",YEAR(C270-WEEKDAY(C270,2)+4)&amp;"-S"&amp;TEXT(INT((C270-DATE(YEAR(C270-WEEKDAY(C270,2)+4),1,3)+WEEKDAY(DATE(YEAR(C270-WEEKDAY(C270,2)+4),1,3),2)+5)/7),"00"))</f>
        <v/>
      </c>
    </row>
    <row r="271" ht="18" customHeight="1">
      <c r="A271" s="39" t="n">
        <v>266</v>
      </c>
      <c r="B271" s="33">
        <f>IF(C271="","",IF(P271="À RENSEIGNER","GIC",P271)&amp;"-V"&amp;TEXT(A271,"00000"))</f>
        <v/>
      </c>
      <c r="C271" s="32" t="n"/>
      <c r="D271" s="35" t="n"/>
      <c r="E271" s="36" t="n"/>
      <c r="F271" s="36" t="n"/>
      <c r="G271" s="36" t="n"/>
      <c r="H271" s="36" t="n"/>
      <c r="I271" s="36" t="n"/>
      <c r="J271" s="37" t="n"/>
      <c r="K271" s="32" t="n"/>
      <c r="L271" s="36" t="n"/>
      <c r="M271" s="41" t="n"/>
      <c r="N271" s="41" t="n"/>
      <c r="O271" s="36" t="n"/>
      <c r="P271" s="33">
        <f>IF(C271="","",Commercial_Id)</f>
        <v/>
      </c>
      <c r="Q271" s="39">
        <f>IF(F271="","",IFERROR(VALUE(MID(F271,LEN(F271)-3,3)),""))</f>
        <v/>
      </c>
      <c r="R271" s="33">
        <f>IF(Q271="","",P271&amp;"|"&amp;Q271)</f>
        <v/>
      </c>
      <c r="S271" s="33">
        <f>IF(Q271="","",IF(P271="À RENSEIGNER","GIC",P271)&amp;"-"&amp;TEXT(Q271,"000"))</f>
        <v/>
      </c>
      <c r="T271" s="33">
        <f>IF(R271="","",IFERROR(INDEX(Cl_nom,MATCH(R271,Cl_cle,0)),"(client introuvable)"))</f>
        <v/>
      </c>
      <c r="U271" s="33">
        <f>IF(R271="","",IFERROR(INDEX(Cl_quartier,MATCH(R271,Cl_cle,0))&amp;"",""))</f>
        <v/>
      </c>
      <c r="V271" s="34">
        <f>IF(C271="","",YEAR(C271-WEEKDAY(C271,2)+4)&amp;"-S"&amp;TEXT(INT((C271-DATE(YEAR(C271-WEEKDAY(C271,2)+4),1,3)+WEEKDAY(DATE(YEAR(C271-WEEKDAY(C271,2)+4),1,3),2)+5)/7),"00"))</f>
        <v/>
      </c>
    </row>
    <row r="272" ht="18" customHeight="1">
      <c r="A272" s="39" t="n">
        <v>267</v>
      </c>
      <c r="B272" s="33">
        <f>IF(C272="","",IF(P272="À RENSEIGNER","GIC",P272)&amp;"-V"&amp;TEXT(A272,"00000"))</f>
        <v/>
      </c>
      <c r="C272" s="32" t="n"/>
      <c r="D272" s="35" t="n"/>
      <c r="E272" s="36" t="n"/>
      <c r="F272" s="36" t="n"/>
      <c r="G272" s="36" t="n"/>
      <c r="H272" s="36" t="n"/>
      <c r="I272" s="36" t="n"/>
      <c r="J272" s="37" t="n"/>
      <c r="K272" s="32" t="n"/>
      <c r="L272" s="36" t="n"/>
      <c r="M272" s="41" t="n"/>
      <c r="N272" s="41" t="n"/>
      <c r="O272" s="36" t="n"/>
      <c r="P272" s="33">
        <f>IF(C272="","",Commercial_Id)</f>
        <v/>
      </c>
      <c r="Q272" s="39">
        <f>IF(F272="","",IFERROR(VALUE(MID(F272,LEN(F272)-3,3)),""))</f>
        <v/>
      </c>
      <c r="R272" s="33">
        <f>IF(Q272="","",P272&amp;"|"&amp;Q272)</f>
        <v/>
      </c>
      <c r="S272" s="33">
        <f>IF(Q272="","",IF(P272="À RENSEIGNER","GIC",P272)&amp;"-"&amp;TEXT(Q272,"000"))</f>
        <v/>
      </c>
      <c r="T272" s="33">
        <f>IF(R272="","",IFERROR(INDEX(Cl_nom,MATCH(R272,Cl_cle,0)),"(client introuvable)"))</f>
        <v/>
      </c>
      <c r="U272" s="33">
        <f>IF(R272="","",IFERROR(INDEX(Cl_quartier,MATCH(R272,Cl_cle,0))&amp;"",""))</f>
        <v/>
      </c>
      <c r="V272" s="34">
        <f>IF(C272="","",YEAR(C272-WEEKDAY(C272,2)+4)&amp;"-S"&amp;TEXT(INT((C272-DATE(YEAR(C272-WEEKDAY(C272,2)+4),1,3)+WEEKDAY(DATE(YEAR(C272-WEEKDAY(C272,2)+4),1,3),2)+5)/7),"00"))</f>
        <v/>
      </c>
    </row>
    <row r="273" ht="18" customHeight="1">
      <c r="A273" s="39" t="n">
        <v>268</v>
      </c>
      <c r="B273" s="33">
        <f>IF(C273="","",IF(P273="À RENSEIGNER","GIC",P273)&amp;"-V"&amp;TEXT(A273,"00000"))</f>
        <v/>
      </c>
      <c r="C273" s="32" t="n"/>
      <c r="D273" s="35" t="n"/>
      <c r="E273" s="36" t="n"/>
      <c r="F273" s="36" t="n"/>
      <c r="G273" s="36" t="n"/>
      <c r="H273" s="36" t="n"/>
      <c r="I273" s="36" t="n"/>
      <c r="J273" s="37" t="n"/>
      <c r="K273" s="32" t="n"/>
      <c r="L273" s="36" t="n"/>
      <c r="M273" s="41" t="n"/>
      <c r="N273" s="41" t="n"/>
      <c r="O273" s="36" t="n"/>
      <c r="P273" s="33">
        <f>IF(C273="","",Commercial_Id)</f>
        <v/>
      </c>
      <c r="Q273" s="39">
        <f>IF(F273="","",IFERROR(VALUE(MID(F273,LEN(F273)-3,3)),""))</f>
        <v/>
      </c>
      <c r="R273" s="33">
        <f>IF(Q273="","",P273&amp;"|"&amp;Q273)</f>
        <v/>
      </c>
      <c r="S273" s="33">
        <f>IF(Q273="","",IF(P273="À RENSEIGNER","GIC",P273)&amp;"-"&amp;TEXT(Q273,"000"))</f>
        <v/>
      </c>
      <c r="T273" s="33">
        <f>IF(R273="","",IFERROR(INDEX(Cl_nom,MATCH(R273,Cl_cle,0)),"(client introuvable)"))</f>
        <v/>
      </c>
      <c r="U273" s="33">
        <f>IF(R273="","",IFERROR(INDEX(Cl_quartier,MATCH(R273,Cl_cle,0))&amp;"",""))</f>
        <v/>
      </c>
      <c r="V273" s="34">
        <f>IF(C273="","",YEAR(C273-WEEKDAY(C273,2)+4)&amp;"-S"&amp;TEXT(INT((C273-DATE(YEAR(C273-WEEKDAY(C273,2)+4),1,3)+WEEKDAY(DATE(YEAR(C273-WEEKDAY(C273,2)+4),1,3),2)+5)/7),"00"))</f>
        <v/>
      </c>
    </row>
    <row r="274" ht="18" customHeight="1">
      <c r="A274" s="39" t="n">
        <v>269</v>
      </c>
      <c r="B274" s="33">
        <f>IF(C274="","",IF(P274="À RENSEIGNER","GIC",P274)&amp;"-V"&amp;TEXT(A274,"00000"))</f>
        <v/>
      </c>
      <c r="C274" s="32" t="n"/>
      <c r="D274" s="35" t="n"/>
      <c r="E274" s="36" t="n"/>
      <c r="F274" s="36" t="n"/>
      <c r="G274" s="36" t="n"/>
      <c r="H274" s="36" t="n"/>
      <c r="I274" s="36" t="n"/>
      <c r="J274" s="37" t="n"/>
      <c r="K274" s="32" t="n"/>
      <c r="L274" s="36" t="n"/>
      <c r="M274" s="41" t="n"/>
      <c r="N274" s="41" t="n"/>
      <c r="O274" s="36" t="n"/>
      <c r="P274" s="33">
        <f>IF(C274="","",Commercial_Id)</f>
        <v/>
      </c>
      <c r="Q274" s="39">
        <f>IF(F274="","",IFERROR(VALUE(MID(F274,LEN(F274)-3,3)),""))</f>
        <v/>
      </c>
      <c r="R274" s="33">
        <f>IF(Q274="","",P274&amp;"|"&amp;Q274)</f>
        <v/>
      </c>
      <c r="S274" s="33">
        <f>IF(Q274="","",IF(P274="À RENSEIGNER","GIC",P274)&amp;"-"&amp;TEXT(Q274,"000"))</f>
        <v/>
      </c>
      <c r="T274" s="33">
        <f>IF(R274="","",IFERROR(INDEX(Cl_nom,MATCH(R274,Cl_cle,0)),"(client introuvable)"))</f>
        <v/>
      </c>
      <c r="U274" s="33">
        <f>IF(R274="","",IFERROR(INDEX(Cl_quartier,MATCH(R274,Cl_cle,0))&amp;"",""))</f>
        <v/>
      </c>
      <c r="V274" s="34">
        <f>IF(C274="","",YEAR(C274-WEEKDAY(C274,2)+4)&amp;"-S"&amp;TEXT(INT((C274-DATE(YEAR(C274-WEEKDAY(C274,2)+4),1,3)+WEEKDAY(DATE(YEAR(C274-WEEKDAY(C274,2)+4),1,3),2)+5)/7),"00"))</f>
        <v/>
      </c>
    </row>
    <row r="275" ht="18" customHeight="1">
      <c r="A275" s="39" t="n">
        <v>270</v>
      </c>
      <c r="B275" s="33">
        <f>IF(C275="","",IF(P275="À RENSEIGNER","GIC",P275)&amp;"-V"&amp;TEXT(A275,"00000"))</f>
        <v/>
      </c>
      <c r="C275" s="32" t="n"/>
      <c r="D275" s="35" t="n"/>
      <c r="E275" s="36" t="n"/>
      <c r="F275" s="36" t="n"/>
      <c r="G275" s="36" t="n"/>
      <c r="H275" s="36" t="n"/>
      <c r="I275" s="36" t="n"/>
      <c r="J275" s="37" t="n"/>
      <c r="K275" s="32" t="n"/>
      <c r="L275" s="36" t="n"/>
      <c r="M275" s="41" t="n"/>
      <c r="N275" s="41" t="n"/>
      <c r="O275" s="36" t="n"/>
      <c r="P275" s="33">
        <f>IF(C275="","",Commercial_Id)</f>
        <v/>
      </c>
      <c r="Q275" s="39">
        <f>IF(F275="","",IFERROR(VALUE(MID(F275,LEN(F275)-3,3)),""))</f>
        <v/>
      </c>
      <c r="R275" s="33">
        <f>IF(Q275="","",P275&amp;"|"&amp;Q275)</f>
        <v/>
      </c>
      <c r="S275" s="33">
        <f>IF(Q275="","",IF(P275="À RENSEIGNER","GIC",P275)&amp;"-"&amp;TEXT(Q275,"000"))</f>
        <v/>
      </c>
      <c r="T275" s="33">
        <f>IF(R275="","",IFERROR(INDEX(Cl_nom,MATCH(R275,Cl_cle,0)),"(client introuvable)"))</f>
        <v/>
      </c>
      <c r="U275" s="33">
        <f>IF(R275="","",IFERROR(INDEX(Cl_quartier,MATCH(R275,Cl_cle,0))&amp;"",""))</f>
        <v/>
      </c>
      <c r="V275" s="34">
        <f>IF(C275="","",YEAR(C275-WEEKDAY(C275,2)+4)&amp;"-S"&amp;TEXT(INT((C275-DATE(YEAR(C275-WEEKDAY(C275,2)+4),1,3)+WEEKDAY(DATE(YEAR(C275-WEEKDAY(C275,2)+4),1,3),2)+5)/7),"00"))</f>
        <v/>
      </c>
    </row>
    <row r="276" ht="18" customHeight="1">
      <c r="A276" s="39" t="n">
        <v>271</v>
      </c>
      <c r="B276" s="33">
        <f>IF(C276="","",IF(P276="À RENSEIGNER","GIC",P276)&amp;"-V"&amp;TEXT(A276,"00000"))</f>
        <v/>
      </c>
      <c r="C276" s="32" t="n"/>
      <c r="D276" s="35" t="n"/>
      <c r="E276" s="36" t="n"/>
      <c r="F276" s="36" t="n"/>
      <c r="G276" s="36" t="n"/>
      <c r="H276" s="36" t="n"/>
      <c r="I276" s="36" t="n"/>
      <c r="J276" s="37" t="n"/>
      <c r="K276" s="32" t="n"/>
      <c r="L276" s="36" t="n"/>
      <c r="M276" s="41" t="n"/>
      <c r="N276" s="41" t="n"/>
      <c r="O276" s="36" t="n"/>
      <c r="P276" s="33">
        <f>IF(C276="","",Commercial_Id)</f>
        <v/>
      </c>
      <c r="Q276" s="39">
        <f>IF(F276="","",IFERROR(VALUE(MID(F276,LEN(F276)-3,3)),""))</f>
        <v/>
      </c>
      <c r="R276" s="33">
        <f>IF(Q276="","",P276&amp;"|"&amp;Q276)</f>
        <v/>
      </c>
      <c r="S276" s="33">
        <f>IF(Q276="","",IF(P276="À RENSEIGNER","GIC",P276)&amp;"-"&amp;TEXT(Q276,"000"))</f>
        <v/>
      </c>
      <c r="T276" s="33">
        <f>IF(R276="","",IFERROR(INDEX(Cl_nom,MATCH(R276,Cl_cle,0)),"(client introuvable)"))</f>
        <v/>
      </c>
      <c r="U276" s="33">
        <f>IF(R276="","",IFERROR(INDEX(Cl_quartier,MATCH(R276,Cl_cle,0))&amp;"",""))</f>
        <v/>
      </c>
      <c r="V276" s="34">
        <f>IF(C276="","",YEAR(C276-WEEKDAY(C276,2)+4)&amp;"-S"&amp;TEXT(INT((C276-DATE(YEAR(C276-WEEKDAY(C276,2)+4),1,3)+WEEKDAY(DATE(YEAR(C276-WEEKDAY(C276,2)+4),1,3),2)+5)/7),"00"))</f>
        <v/>
      </c>
    </row>
    <row r="277" ht="18" customHeight="1">
      <c r="A277" s="39" t="n">
        <v>272</v>
      </c>
      <c r="B277" s="33">
        <f>IF(C277="","",IF(P277="À RENSEIGNER","GIC",P277)&amp;"-V"&amp;TEXT(A277,"00000"))</f>
        <v/>
      </c>
      <c r="C277" s="32" t="n"/>
      <c r="D277" s="35" t="n"/>
      <c r="E277" s="36" t="n"/>
      <c r="F277" s="36" t="n"/>
      <c r="G277" s="36" t="n"/>
      <c r="H277" s="36" t="n"/>
      <c r="I277" s="36" t="n"/>
      <c r="J277" s="37" t="n"/>
      <c r="K277" s="32" t="n"/>
      <c r="L277" s="36" t="n"/>
      <c r="M277" s="41" t="n"/>
      <c r="N277" s="41" t="n"/>
      <c r="O277" s="36" t="n"/>
      <c r="P277" s="33">
        <f>IF(C277="","",Commercial_Id)</f>
        <v/>
      </c>
      <c r="Q277" s="39">
        <f>IF(F277="","",IFERROR(VALUE(MID(F277,LEN(F277)-3,3)),""))</f>
        <v/>
      </c>
      <c r="R277" s="33">
        <f>IF(Q277="","",P277&amp;"|"&amp;Q277)</f>
        <v/>
      </c>
      <c r="S277" s="33">
        <f>IF(Q277="","",IF(P277="À RENSEIGNER","GIC",P277)&amp;"-"&amp;TEXT(Q277,"000"))</f>
        <v/>
      </c>
      <c r="T277" s="33">
        <f>IF(R277="","",IFERROR(INDEX(Cl_nom,MATCH(R277,Cl_cle,0)),"(client introuvable)"))</f>
        <v/>
      </c>
      <c r="U277" s="33">
        <f>IF(R277="","",IFERROR(INDEX(Cl_quartier,MATCH(R277,Cl_cle,0))&amp;"",""))</f>
        <v/>
      </c>
      <c r="V277" s="34">
        <f>IF(C277="","",YEAR(C277-WEEKDAY(C277,2)+4)&amp;"-S"&amp;TEXT(INT((C277-DATE(YEAR(C277-WEEKDAY(C277,2)+4),1,3)+WEEKDAY(DATE(YEAR(C277-WEEKDAY(C277,2)+4),1,3),2)+5)/7),"00"))</f>
        <v/>
      </c>
    </row>
    <row r="278" ht="18" customHeight="1">
      <c r="A278" s="39" t="n">
        <v>273</v>
      </c>
      <c r="B278" s="33">
        <f>IF(C278="","",IF(P278="À RENSEIGNER","GIC",P278)&amp;"-V"&amp;TEXT(A278,"00000"))</f>
        <v/>
      </c>
      <c r="C278" s="32" t="n"/>
      <c r="D278" s="35" t="n"/>
      <c r="E278" s="36" t="n"/>
      <c r="F278" s="36" t="n"/>
      <c r="G278" s="36" t="n"/>
      <c r="H278" s="36" t="n"/>
      <c r="I278" s="36" t="n"/>
      <c r="J278" s="37" t="n"/>
      <c r="K278" s="32" t="n"/>
      <c r="L278" s="36" t="n"/>
      <c r="M278" s="41" t="n"/>
      <c r="N278" s="41" t="n"/>
      <c r="O278" s="36" t="n"/>
      <c r="P278" s="33">
        <f>IF(C278="","",Commercial_Id)</f>
        <v/>
      </c>
      <c r="Q278" s="39">
        <f>IF(F278="","",IFERROR(VALUE(MID(F278,LEN(F278)-3,3)),""))</f>
        <v/>
      </c>
      <c r="R278" s="33">
        <f>IF(Q278="","",P278&amp;"|"&amp;Q278)</f>
        <v/>
      </c>
      <c r="S278" s="33">
        <f>IF(Q278="","",IF(P278="À RENSEIGNER","GIC",P278)&amp;"-"&amp;TEXT(Q278,"000"))</f>
        <v/>
      </c>
      <c r="T278" s="33">
        <f>IF(R278="","",IFERROR(INDEX(Cl_nom,MATCH(R278,Cl_cle,0)),"(client introuvable)"))</f>
        <v/>
      </c>
      <c r="U278" s="33">
        <f>IF(R278="","",IFERROR(INDEX(Cl_quartier,MATCH(R278,Cl_cle,0))&amp;"",""))</f>
        <v/>
      </c>
      <c r="V278" s="34">
        <f>IF(C278="","",YEAR(C278-WEEKDAY(C278,2)+4)&amp;"-S"&amp;TEXT(INT((C278-DATE(YEAR(C278-WEEKDAY(C278,2)+4),1,3)+WEEKDAY(DATE(YEAR(C278-WEEKDAY(C278,2)+4),1,3),2)+5)/7),"00"))</f>
        <v/>
      </c>
    </row>
    <row r="279" ht="18" customHeight="1">
      <c r="A279" s="39" t="n">
        <v>274</v>
      </c>
      <c r="B279" s="33">
        <f>IF(C279="","",IF(P279="À RENSEIGNER","GIC",P279)&amp;"-V"&amp;TEXT(A279,"00000"))</f>
        <v/>
      </c>
      <c r="C279" s="32" t="n"/>
      <c r="D279" s="35" t="n"/>
      <c r="E279" s="36" t="n"/>
      <c r="F279" s="36" t="n"/>
      <c r="G279" s="36" t="n"/>
      <c r="H279" s="36" t="n"/>
      <c r="I279" s="36" t="n"/>
      <c r="J279" s="37" t="n"/>
      <c r="K279" s="32" t="n"/>
      <c r="L279" s="36" t="n"/>
      <c r="M279" s="41" t="n"/>
      <c r="N279" s="41" t="n"/>
      <c r="O279" s="36" t="n"/>
      <c r="P279" s="33">
        <f>IF(C279="","",Commercial_Id)</f>
        <v/>
      </c>
      <c r="Q279" s="39">
        <f>IF(F279="","",IFERROR(VALUE(MID(F279,LEN(F279)-3,3)),""))</f>
        <v/>
      </c>
      <c r="R279" s="33">
        <f>IF(Q279="","",P279&amp;"|"&amp;Q279)</f>
        <v/>
      </c>
      <c r="S279" s="33">
        <f>IF(Q279="","",IF(P279="À RENSEIGNER","GIC",P279)&amp;"-"&amp;TEXT(Q279,"000"))</f>
        <v/>
      </c>
      <c r="T279" s="33">
        <f>IF(R279="","",IFERROR(INDEX(Cl_nom,MATCH(R279,Cl_cle,0)),"(client introuvable)"))</f>
        <v/>
      </c>
      <c r="U279" s="33">
        <f>IF(R279="","",IFERROR(INDEX(Cl_quartier,MATCH(R279,Cl_cle,0))&amp;"",""))</f>
        <v/>
      </c>
      <c r="V279" s="34">
        <f>IF(C279="","",YEAR(C279-WEEKDAY(C279,2)+4)&amp;"-S"&amp;TEXT(INT((C279-DATE(YEAR(C279-WEEKDAY(C279,2)+4),1,3)+WEEKDAY(DATE(YEAR(C279-WEEKDAY(C279,2)+4),1,3),2)+5)/7),"00"))</f>
        <v/>
      </c>
    </row>
    <row r="280" ht="18" customHeight="1">
      <c r="A280" s="39" t="n">
        <v>275</v>
      </c>
      <c r="B280" s="33">
        <f>IF(C280="","",IF(P280="À RENSEIGNER","GIC",P280)&amp;"-V"&amp;TEXT(A280,"00000"))</f>
        <v/>
      </c>
      <c r="C280" s="32" t="n"/>
      <c r="D280" s="35" t="n"/>
      <c r="E280" s="36" t="n"/>
      <c r="F280" s="36" t="n"/>
      <c r="G280" s="36" t="n"/>
      <c r="H280" s="36" t="n"/>
      <c r="I280" s="36" t="n"/>
      <c r="J280" s="37" t="n"/>
      <c r="K280" s="32" t="n"/>
      <c r="L280" s="36" t="n"/>
      <c r="M280" s="41" t="n"/>
      <c r="N280" s="41" t="n"/>
      <c r="O280" s="36" t="n"/>
      <c r="P280" s="33">
        <f>IF(C280="","",Commercial_Id)</f>
        <v/>
      </c>
      <c r="Q280" s="39">
        <f>IF(F280="","",IFERROR(VALUE(MID(F280,LEN(F280)-3,3)),""))</f>
        <v/>
      </c>
      <c r="R280" s="33">
        <f>IF(Q280="","",P280&amp;"|"&amp;Q280)</f>
        <v/>
      </c>
      <c r="S280" s="33">
        <f>IF(Q280="","",IF(P280="À RENSEIGNER","GIC",P280)&amp;"-"&amp;TEXT(Q280,"000"))</f>
        <v/>
      </c>
      <c r="T280" s="33">
        <f>IF(R280="","",IFERROR(INDEX(Cl_nom,MATCH(R280,Cl_cle,0)),"(client introuvable)"))</f>
        <v/>
      </c>
      <c r="U280" s="33">
        <f>IF(R280="","",IFERROR(INDEX(Cl_quartier,MATCH(R280,Cl_cle,0))&amp;"",""))</f>
        <v/>
      </c>
      <c r="V280" s="34">
        <f>IF(C280="","",YEAR(C280-WEEKDAY(C280,2)+4)&amp;"-S"&amp;TEXT(INT((C280-DATE(YEAR(C280-WEEKDAY(C280,2)+4),1,3)+WEEKDAY(DATE(YEAR(C280-WEEKDAY(C280,2)+4),1,3),2)+5)/7),"00"))</f>
        <v/>
      </c>
    </row>
    <row r="281" ht="18" customHeight="1">
      <c r="A281" s="39" t="n">
        <v>276</v>
      </c>
      <c r="B281" s="33">
        <f>IF(C281="","",IF(P281="À RENSEIGNER","GIC",P281)&amp;"-V"&amp;TEXT(A281,"00000"))</f>
        <v/>
      </c>
      <c r="C281" s="32" t="n"/>
      <c r="D281" s="35" t="n"/>
      <c r="E281" s="36" t="n"/>
      <c r="F281" s="36" t="n"/>
      <c r="G281" s="36" t="n"/>
      <c r="H281" s="36" t="n"/>
      <c r="I281" s="36" t="n"/>
      <c r="J281" s="37" t="n"/>
      <c r="K281" s="32" t="n"/>
      <c r="L281" s="36" t="n"/>
      <c r="M281" s="41" t="n"/>
      <c r="N281" s="41" t="n"/>
      <c r="O281" s="36" t="n"/>
      <c r="P281" s="33">
        <f>IF(C281="","",Commercial_Id)</f>
        <v/>
      </c>
      <c r="Q281" s="39">
        <f>IF(F281="","",IFERROR(VALUE(MID(F281,LEN(F281)-3,3)),""))</f>
        <v/>
      </c>
      <c r="R281" s="33">
        <f>IF(Q281="","",P281&amp;"|"&amp;Q281)</f>
        <v/>
      </c>
      <c r="S281" s="33">
        <f>IF(Q281="","",IF(P281="À RENSEIGNER","GIC",P281)&amp;"-"&amp;TEXT(Q281,"000"))</f>
        <v/>
      </c>
      <c r="T281" s="33">
        <f>IF(R281="","",IFERROR(INDEX(Cl_nom,MATCH(R281,Cl_cle,0)),"(client introuvable)"))</f>
        <v/>
      </c>
      <c r="U281" s="33">
        <f>IF(R281="","",IFERROR(INDEX(Cl_quartier,MATCH(R281,Cl_cle,0))&amp;"",""))</f>
        <v/>
      </c>
      <c r="V281" s="34">
        <f>IF(C281="","",YEAR(C281-WEEKDAY(C281,2)+4)&amp;"-S"&amp;TEXT(INT((C281-DATE(YEAR(C281-WEEKDAY(C281,2)+4),1,3)+WEEKDAY(DATE(YEAR(C281-WEEKDAY(C281,2)+4),1,3),2)+5)/7),"00"))</f>
        <v/>
      </c>
    </row>
    <row r="282" ht="18" customHeight="1">
      <c r="A282" s="39" t="n">
        <v>277</v>
      </c>
      <c r="B282" s="33">
        <f>IF(C282="","",IF(P282="À RENSEIGNER","GIC",P282)&amp;"-V"&amp;TEXT(A282,"00000"))</f>
        <v/>
      </c>
      <c r="C282" s="32" t="n"/>
      <c r="D282" s="35" t="n"/>
      <c r="E282" s="36" t="n"/>
      <c r="F282" s="36" t="n"/>
      <c r="G282" s="36" t="n"/>
      <c r="H282" s="36" t="n"/>
      <c r="I282" s="36" t="n"/>
      <c r="J282" s="37" t="n"/>
      <c r="K282" s="32" t="n"/>
      <c r="L282" s="36" t="n"/>
      <c r="M282" s="41" t="n"/>
      <c r="N282" s="41" t="n"/>
      <c r="O282" s="36" t="n"/>
      <c r="P282" s="33">
        <f>IF(C282="","",Commercial_Id)</f>
        <v/>
      </c>
      <c r="Q282" s="39">
        <f>IF(F282="","",IFERROR(VALUE(MID(F282,LEN(F282)-3,3)),""))</f>
        <v/>
      </c>
      <c r="R282" s="33">
        <f>IF(Q282="","",P282&amp;"|"&amp;Q282)</f>
        <v/>
      </c>
      <c r="S282" s="33">
        <f>IF(Q282="","",IF(P282="À RENSEIGNER","GIC",P282)&amp;"-"&amp;TEXT(Q282,"000"))</f>
        <v/>
      </c>
      <c r="T282" s="33">
        <f>IF(R282="","",IFERROR(INDEX(Cl_nom,MATCH(R282,Cl_cle,0)),"(client introuvable)"))</f>
        <v/>
      </c>
      <c r="U282" s="33">
        <f>IF(R282="","",IFERROR(INDEX(Cl_quartier,MATCH(R282,Cl_cle,0))&amp;"",""))</f>
        <v/>
      </c>
      <c r="V282" s="34">
        <f>IF(C282="","",YEAR(C282-WEEKDAY(C282,2)+4)&amp;"-S"&amp;TEXT(INT((C282-DATE(YEAR(C282-WEEKDAY(C282,2)+4),1,3)+WEEKDAY(DATE(YEAR(C282-WEEKDAY(C282,2)+4),1,3),2)+5)/7),"00"))</f>
        <v/>
      </c>
    </row>
    <row r="283" ht="18" customHeight="1">
      <c r="A283" s="39" t="n">
        <v>278</v>
      </c>
      <c r="B283" s="33">
        <f>IF(C283="","",IF(P283="À RENSEIGNER","GIC",P283)&amp;"-V"&amp;TEXT(A283,"00000"))</f>
        <v/>
      </c>
      <c r="C283" s="32" t="n"/>
      <c r="D283" s="35" t="n"/>
      <c r="E283" s="36" t="n"/>
      <c r="F283" s="36" t="n"/>
      <c r="G283" s="36" t="n"/>
      <c r="H283" s="36" t="n"/>
      <c r="I283" s="36" t="n"/>
      <c r="J283" s="37" t="n"/>
      <c r="K283" s="32" t="n"/>
      <c r="L283" s="36" t="n"/>
      <c r="M283" s="41" t="n"/>
      <c r="N283" s="41" t="n"/>
      <c r="O283" s="36" t="n"/>
      <c r="P283" s="33">
        <f>IF(C283="","",Commercial_Id)</f>
        <v/>
      </c>
      <c r="Q283" s="39">
        <f>IF(F283="","",IFERROR(VALUE(MID(F283,LEN(F283)-3,3)),""))</f>
        <v/>
      </c>
      <c r="R283" s="33">
        <f>IF(Q283="","",P283&amp;"|"&amp;Q283)</f>
        <v/>
      </c>
      <c r="S283" s="33">
        <f>IF(Q283="","",IF(P283="À RENSEIGNER","GIC",P283)&amp;"-"&amp;TEXT(Q283,"000"))</f>
        <v/>
      </c>
      <c r="T283" s="33">
        <f>IF(R283="","",IFERROR(INDEX(Cl_nom,MATCH(R283,Cl_cle,0)),"(client introuvable)"))</f>
        <v/>
      </c>
      <c r="U283" s="33">
        <f>IF(R283="","",IFERROR(INDEX(Cl_quartier,MATCH(R283,Cl_cle,0))&amp;"",""))</f>
        <v/>
      </c>
      <c r="V283" s="34">
        <f>IF(C283="","",YEAR(C283-WEEKDAY(C283,2)+4)&amp;"-S"&amp;TEXT(INT((C283-DATE(YEAR(C283-WEEKDAY(C283,2)+4),1,3)+WEEKDAY(DATE(YEAR(C283-WEEKDAY(C283,2)+4),1,3),2)+5)/7),"00"))</f>
        <v/>
      </c>
    </row>
    <row r="284" ht="18" customHeight="1">
      <c r="A284" s="39" t="n">
        <v>279</v>
      </c>
      <c r="B284" s="33">
        <f>IF(C284="","",IF(P284="À RENSEIGNER","GIC",P284)&amp;"-V"&amp;TEXT(A284,"00000"))</f>
        <v/>
      </c>
      <c r="C284" s="32" t="n"/>
      <c r="D284" s="35" t="n"/>
      <c r="E284" s="36" t="n"/>
      <c r="F284" s="36" t="n"/>
      <c r="G284" s="36" t="n"/>
      <c r="H284" s="36" t="n"/>
      <c r="I284" s="36" t="n"/>
      <c r="J284" s="37" t="n"/>
      <c r="K284" s="32" t="n"/>
      <c r="L284" s="36" t="n"/>
      <c r="M284" s="41" t="n"/>
      <c r="N284" s="41" t="n"/>
      <c r="O284" s="36" t="n"/>
      <c r="P284" s="33">
        <f>IF(C284="","",Commercial_Id)</f>
        <v/>
      </c>
      <c r="Q284" s="39">
        <f>IF(F284="","",IFERROR(VALUE(MID(F284,LEN(F284)-3,3)),""))</f>
        <v/>
      </c>
      <c r="R284" s="33">
        <f>IF(Q284="","",P284&amp;"|"&amp;Q284)</f>
        <v/>
      </c>
      <c r="S284" s="33">
        <f>IF(Q284="","",IF(P284="À RENSEIGNER","GIC",P284)&amp;"-"&amp;TEXT(Q284,"000"))</f>
        <v/>
      </c>
      <c r="T284" s="33">
        <f>IF(R284="","",IFERROR(INDEX(Cl_nom,MATCH(R284,Cl_cle,0)),"(client introuvable)"))</f>
        <v/>
      </c>
      <c r="U284" s="33">
        <f>IF(R284="","",IFERROR(INDEX(Cl_quartier,MATCH(R284,Cl_cle,0))&amp;"",""))</f>
        <v/>
      </c>
      <c r="V284" s="34">
        <f>IF(C284="","",YEAR(C284-WEEKDAY(C284,2)+4)&amp;"-S"&amp;TEXT(INT((C284-DATE(YEAR(C284-WEEKDAY(C284,2)+4),1,3)+WEEKDAY(DATE(YEAR(C284-WEEKDAY(C284,2)+4),1,3),2)+5)/7),"00"))</f>
        <v/>
      </c>
    </row>
    <row r="285" ht="18" customHeight="1">
      <c r="A285" s="39" t="n">
        <v>280</v>
      </c>
      <c r="B285" s="33">
        <f>IF(C285="","",IF(P285="À RENSEIGNER","GIC",P285)&amp;"-V"&amp;TEXT(A285,"00000"))</f>
        <v/>
      </c>
      <c r="C285" s="32" t="n"/>
      <c r="D285" s="35" t="n"/>
      <c r="E285" s="36" t="n"/>
      <c r="F285" s="36" t="n"/>
      <c r="G285" s="36" t="n"/>
      <c r="H285" s="36" t="n"/>
      <c r="I285" s="36" t="n"/>
      <c r="J285" s="37" t="n"/>
      <c r="K285" s="32" t="n"/>
      <c r="L285" s="36" t="n"/>
      <c r="M285" s="41" t="n"/>
      <c r="N285" s="41" t="n"/>
      <c r="O285" s="36" t="n"/>
      <c r="P285" s="33">
        <f>IF(C285="","",Commercial_Id)</f>
        <v/>
      </c>
      <c r="Q285" s="39">
        <f>IF(F285="","",IFERROR(VALUE(MID(F285,LEN(F285)-3,3)),""))</f>
        <v/>
      </c>
      <c r="R285" s="33">
        <f>IF(Q285="","",P285&amp;"|"&amp;Q285)</f>
        <v/>
      </c>
      <c r="S285" s="33">
        <f>IF(Q285="","",IF(P285="À RENSEIGNER","GIC",P285)&amp;"-"&amp;TEXT(Q285,"000"))</f>
        <v/>
      </c>
      <c r="T285" s="33">
        <f>IF(R285="","",IFERROR(INDEX(Cl_nom,MATCH(R285,Cl_cle,0)),"(client introuvable)"))</f>
        <v/>
      </c>
      <c r="U285" s="33">
        <f>IF(R285="","",IFERROR(INDEX(Cl_quartier,MATCH(R285,Cl_cle,0))&amp;"",""))</f>
        <v/>
      </c>
      <c r="V285" s="34">
        <f>IF(C285="","",YEAR(C285-WEEKDAY(C285,2)+4)&amp;"-S"&amp;TEXT(INT((C285-DATE(YEAR(C285-WEEKDAY(C285,2)+4),1,3)+WEEKDAY(DATE(YEAR(C285-WEEKDAY(C285,2)+4),1,3),2)+5)/7),"00"))</f>
        <v/>
      </c>
    </row>
    <row r="286" ht="18" customHeight="1">
      <c r="A286" s="39" t="n">
        <v>281</v>
      </c>
      <c r="B286" s="33">
        <f>IF(C286="","",IF(P286="À RENSEIGNER","GIC",P286)&amp;"-V"&amp;TEXT(A286,"00000"))</f>
        <v/>
      </c>
      <c r="C286" s="32" t="n"/>
      <c r="D286" s="35" t="n"/>
      <c r="E286" s="36" t="n"/>
      <c r="F286" s="36" t="n"/>
      <c r="G286" s="36" t="n"/>
      <c r="H286" s="36" t="n"/>
      <c r="I286" s="36" t="n"/>
      <c r="J286" s="37" t="n"/>
      <c r="K286" s="32" t="n"/>
      <c r="L286" s="36" t="n"/>
      <c r="M286" s="41" t="n"/>
      <c r="N286" s="41" t="n"/>
      <c r="O286" s="36" t="n"/>
      <c r="P286" s="33">
        <f>IF(C286="","",Commercial_Id)</f>
        <v/>
      </c>
      <c r="Q286" s="39">
        <f>IF(F286="","",IFERROR(VALUE(MID(F286,LEN(F286)-3,3)),""))</f>
        <v/>
      </c>
      <c r="R286" s="33">
        <f>IF(Q286="","",P286&amp;"|"&amp;Q286)</f>
        <v/>
      </c>
      <c r="S286" s="33">
        <f>IF(Q286="","",IF(P286="À RENSEIGNER","GIC",P286)&amp;"-"&amp;TEXT(Q286,"000"))</f>
        <v/>
      </c>
      <c r="T286" s="33">
        <f>IF(R286="","",IFERROR(INDEX(Cl_nom,MATCH(R286,Cl_cle,0)),"(client introuvable)"))</f>
        <v/>
      </c>
      <c r="U286" s="33">
        <f>IF(R286="","",IFERROR(INDEX(Cl_quartier,MATCH(R286,Cl_cle,0))&amp;"",""))</f>
        <v/>
      </c>
      <c r="V286" s="34">
        <f>IF(C286="","",YEAR(C286-WEEKDAY(C286,2)+4)&amp;"-S"&amp;TEXT(INT((C286-DATE(YEAR(C286-WEEKDAY(C286,2)+4),1,3)+WEEKDAY(DATE(YEAR(C286-WEEKDAY(C286,2)+4),1,3),2)+5)/7),"00"))</f>
        <v/>
      </c>
    </row>
    <row r="287" ht="18" customHeight="1">
      <c r="A287" s="39" t="n">
        <v>282</v>
      </c>
      <c r="B287" s="33">
        <f>IF(C287="","",IF(P287="À RENSEIGNER","GIC",P287)&amp;"-V"&amp;TEXT(A287,"00000"))</f>
        <v/>
      </c>
      <c r="C287" s="32" t="n"/>
      <c r="D287" s="35" t="n"/>
      <c r="E287" s="36" t="n"/>
      <c r="F287" s="36" t="n"/>
      <c r="G287" s="36" t="n"/>
      <c r="H287" s="36" t="n"/>
      <c r="I287" s="36" t="n"/>
      <c r="J287" s="37" t="n"/>
      <c r="K287" s="32" t="n"/>
      <c r="L287" s="36" t="n"/>
      <c r="M287" s="41" t="n"/>
      <c r="N287" s="41" t="n"/>
      <c r="O287" s="36" t="n"/>
      <c r="P287" s="33">
        <f>IF(C287="","",Commercial_Id)</f>
        <v/>
      </c>
      <c r="Q287" s="39">
        <f>IF(F287="","",IFERROR(VALUE(MID(F287,LEN(F287)-3,3)),""))</f>
        <v/>
      </c>
      <c r="R287" s="33">
        <f>IF(Q287="","",P287&amp;"|"&amp;Q287)</f>
        <v/>
      </c>
      <c r="S287" s="33">
        <f>IF(Q287="","",IF(P287="À RENSEIGNER","GIC",P287)&amp;"-"&amp;TEXT(Q287,"000"))</f>
        <v/>
      </c>
      <c r="T287" s="33">
        <f>IF(R287="","",IFERROR(INDEX(Cl_nom,MATCH(R287,Cl_cle,0)),"(client introuvable)"))</f>
        <v/>
      </c>
      <c r="U287" s="33">
        <f>IF(R287="","",IFERROR(INDEX(Cl_quartier,MATCH(R287,Cl_cle,0))&amp;"",""))</f>
        <v/>
      </c>
      <c r="V287" s="34">
        <f>IF(C287="","",YEAR(C287-WEEKDAY(C287,2)+4)&amp;"-S"&amp;TEXT(INT((C287-DATE(YEAR(C287-WEEKDAY(C287,2)+4),1,3)+WEEKDAY(DATE(YEAR(C287-WEEKDAY(C287,2)+4),1,3),2)+5)/7),"00"))</f>
        <v/>
      </c>
    </row>
    <row r="288" ht="18" customHeight="1">
      <c r="A288" s="39" t="n">
        <v>283</v>
      </c>
      <c r="B288" s="33">
        <f>IF(C288="","",IF(P288="À RENSEIGNER","GIC",P288)&amp;"-V"&amp;TEXT(A288,"00000"))</f>
        <v/>
      </c>
      <c r="C288" s="32" t="n"/>
      <c r="D288" s="35" t="n"/>
      <c r="E288" s="36" t="n"/>
      <c r="F288" s="36" t="n"/>
      <c r="G288" s="36" t="n"/>
      <c r="H288" s="36" t="n"/>
      <c r="I288" s="36" t="n"/>
      <c r="J288" s="37" t="n"/>
      <c r="K288" s="32" t="n"/>
      <c r="L288" s="36" t="n"/>
      <c r="M288" s="41" t="n"/>
      <c r="N288" s="41" t="n"/>
      <c r="O288" s="36" t="n"/>
      <c r="P288" s="33">
        <f>IF(C288="","",Commercial_Id)</f>
        <v/>
      </c>
      <c r="Q288" s="39">
        <f>IF(F288="","",IFERROR(VALUE(MID(F288,LEN(F288)-3,3)),""))</f>
        <v/>
      </c>
      <c r="R288" s="33">
        <f>IF(Q288="","",P288&amp;"|"&amp;Q288)</f>
        <v/>
      </c>
      <c r="S288" s="33">
        <f>IF(Q288="","",IF(P288="À RENSEIGNER","GIC",P288)&amp;"-"&amp;TEXT(Q288,"000"))</f>
        <v/>
      </c>
      <c r="T288" s="33">
        <f>IF(R288="","",IFERROR(INDEX(Cl_nom,MATCH(R288,Cl_cle,0)),"(client introuvable)"))</f>
        <v/>
      </c>
      <c r="U288" s="33">
        <f>IF(R288="","",IFERROR(INDEX(Cl_quartier,MATCH(R288,Cl_cle,0))&amp;"",""))</f>
        <v/>
      </c>
      <c r="V288" s="34">
        <f>IF(C288="","",YEAR(C288-WEEKDAY(C288,2)+4)&amp;"-S"&amp;TEXT(INT((C288-DATE(YEAR(C288-WEEKDAY(C288,2)+4),1,3)+WEEKDAY(DATE(YEAR(C288-WEEKDAY(C288,2)+4),1,3),2)+5)/7),"00"))</f>
        <v/>
      </c>
    </row>
    <row r="289" ht="18" customHeight="1">
      <c r="A289" s="39" t="n">
        <v>284</v>
      </c>
      <c r="B289" s="33">
        <f>IF(C289="","",IF(P289="À RENSEIGNER","GIC",P289)&amp;"-V"&amp;TEXT(A289,"00000"))</f>
        <v/>
      </c>
      <c r="C289" s="32" t="n"/>
      <c r="D289" s="35" t="n"/>
      <c r="E289" s="36" t="n"/>
      <c r="F289" s="36" t="n"/>
      <c r="G289" s="36" t="n"/>
      <c r="H289" s="36" t="n"/>
      <c r="I289" s="36" t="n"/>
      <c r="J289" s="37" t="n"/>
      <c r="K289" s="32" t="n"/>
      <c r="L289" s="36" t="n"/>
      <c r="M289" s="41" t="n"/>
      <c r="N289" s="41" t="n"/>
      <c r="O289" s="36" t="n"/>
      <c r="P289" s="33">
        <f>IF(C289="","",Commercial_Id)</f>
        <v/>
      </c>
      <c r="Q289" s="39">
        <f>IF(F289="","",IFERROR(VALUE(MID(F289,LEN(F289)-3,3)),""))</f>
        <v/>
      </c>
      <c r="R289" s="33">
        <f>IF(Q289="","",P289&amp;"|"&amp;Q289)</f>
        <v/>
      </c>
      <c r="S289" s="33">
        <f>IF(Q289="","",IF(P289="À RENSEIGNER","GIC",P289)&amp;"-"&amp;TEXT(Q289,"000"))</f>
        <v/>
      </c>
      <c r="T289" s="33">
        <f>IF(R289="","",IFERROR(INDEX(Cl_nom,MATCH(R289,Cl_cle,0)),"(client introuvable)"))</f>
        <v/>
      </c>
      <c r="U289" s="33">
        <f>IF(R289="","",IFERROR(INDEX(Cl_quartier,MATCH(R289,Cl_cle,0))&amp;"",""))</f>
        <v/>
      </c>
      <c r="V289" s="34">
        <f>IF(C289="","",YEAR(C289-WEEKDAY(C289,2)+4)&amp;"-S"&amp;TEXT(INT((C289-DATE(YEAR(C289-WEEKDAY(C289,2)+4),1,3)+WEEKDAY(DATE(YEAR(C289-WEEKDAY(C289,2)+4),1,3),2)+5)/7),"00"))</f>
        <v/>
      </c>
    </row>
    <row r="290" ht="18" customHeight="1">
      <c r="A290" s="39" t="n">
        <v>285</v>
      </c>
      <c r="B290" s="33">
        <f>IF(C290="","",IF(P290="À RENSEIGNER","GIC",P290)&amp;"-V"&amp;TEXT(A290,"00000"))</f>
        <v/>
      </c>
      <c r="C290" s="32" t="n"/>
      <c r="D290" s="35" t="n"/>
      <c r="E290" s="36" t="n"/>
      <c r="F290" s="36" t="n"/>
      <c r="G290" s="36" t="n"/>
      <c r="H290" s="36" t="n"/>
      <c r="I290" s="36" t="n"/>
      <c r="J290" s="37" t="n"/>
      <c r="K290" s="32" t="n"/>
      <c r="L290" s="36" t="n"/>
      <c r="M290" s="41" t="n"/>
      <c r="N290" s="41" t="n"/>
      <c r="O290" s="36" t="n"/>
      <c r="P290" s="33">
        <f>IF(C290="","",Commercial_Id)</f>
        <v/>
      </c>
      <c r="Q290" s="39">
        <f>IF(F290="","",IFERROR(VALUE(MID(F290,LEN(F290)-3,3)),""))</f>
        <v/>
      </c>
      <c r="R290" s="33">
        <f>IF(Q290="","",P290&amp;"|"&amp;Q290)</f>
        <v/>
      </c>
      <c r="S290" s="33">
        <f>IF(Q290="","",IF(P290="À RENSEIGNER","GIC",P290)&amp;"-"&amp;TEXT(Q290,"000"))</f>
        <v/>
      </c>
      <c r="T290" s="33">
        <f>IF(R290="","",IFERROR(INDEX(Cl_nom,MATCH(R290,Cl_cle,0)),"(client introuvable)"))</f>
        <v/>
      </c>
      <c r="U290" s="33">
        <f>IF(R290="","",IFERROR(INDEX(Cl_quartier,MATCH(R290,Cl_cle,0))&amp;"",""))</f>
        <v/>
      </c>
      <c r="V290" s="34">
        <f>IF(C290="","",YEAR(C290-WEEKDAY(C290,2)+4)&amp;"-S"&amp;TEXT(INT((C290-DATE(YEAR(C290-WEEKDAY(C290,2)+4),1,3)+WEEKDAY(DATE(YEAR(C290-WEEKDAY(C290,2)+4),1,3),2)+5)/7),"00"))</f>
        <v/>
      </c>
    </row>
    <row r="291" ht="18" customHeight="1">
      <c r="A291" s="39" t="n">
        <v>286</v>
      </c>
      <c r="B291" s="33">
        <f>IF(C291="","",IF(P291="À RENSEIGNER","GIC",P291)&amp;"-V"&amp;TEXT(A291,"00000"))</f>
        <v/>
      </c>
      <c r="C291" s="32" t="n"/>
      <c r="D291" s="35" t="n"/>
      <c r="E291" s="36" t="n"/>
      <c r="F291" s="36" t="n"/>
      <c r="G291" s="36" t="n"/>
      <c r="H291" s="36" t="n"/>
      <c r="I291" s="36" t="n"/>
      <c r="J291" s="37" t="n"/>
      <c r="K291" s="32" t="n"/>
      <c r="L291" s="36" t="n"/>
      <c r="M291" s="41" t="n"/>
      <c r="N291" s="41" t="n"/>
      <c r="O291" s="36" t="n"/>
      <c r="P291" s="33">
        <f>IF(C291="","",Commercial_Id)</f>
        <v/>
      </c>
      <c r="Q291" s="39">
        <f>IF(F291="","",IFERROR(VALUE(MID(F291,LEN(F291)-3,3)),""))</f>
        <v/>
      </c>
      <c r="R291" s="33">
        <f>IF(Q291="","",P291&amp;"|"&amp;Q291)</f>
        <v/>
      </c>
      <c r="S291" s="33">
        <f>IF(Q291="","",IF(P291="À RENSEIGNER","GIC",P291)&amp;"-"&amp;TEXT(Q291,"000"))</f>
        <v/>
      </c>
      <c r="T291" s="33">
        <f>IF(R291="","",IFERROR(INDEX(Cl_nom,MATCH(R291,Cl_cle,0)),"(client introuvable)"))</f>
        <v/>
      </c>
      <c r="U291" s="33">
        <f>IF(R291="","",IFERROR(INDEX(Cl_quartier,MATCH(R291,Cl_cle,0))&amp;"",""))</f>
        <v/>
      </c>
      <c r="V291" s="34">
        <f>IF(C291="","",YEAR(C291-WEEKDAY(C291,2)+4)&amp;"-S"&amp;TEXT(INT((C291-DATE(YEAR(C291-WEEKDAY(C291,2)+4),1,3)+WEEKDAY(DATE(YEAR(C291-WEEKDAY(C291,2)+4),1,3),2)+5)/7),"00"))</f>
        <v/>
      </c>
    </row>
    <row r="292" ht="18" customHeight="1">
      <c r="A292" s="39" t="n">
        <v>287</v>
      </c>
      <c r="B292" s="33">
        <f>IF(C292="","",IF(P292="À RENSEIGNER","GIC",P292)&amp;"-V"&amp;TEXT(A292,"00000"))</f>
        <v/>
      </c>
      <c r="C292" s="32" t="n"/>
      <c r="D292" s="35" t="n"/>
      <c r="E292" s="36" t="n"/>
      <c r="F292" s="36" t="n"/>
      <c r="G292" s="36" t="n"/>
      <c r="H292" s="36" t="n"/>
      <c r="I292" s="36" t="n"/>
      <c r="J292" s="37" t="n"/>
      <c r="K292" s="32" t="n"/>
      <c r="L292" s="36" t="n"/>
      <c r="M292" s="41" t="n"/>
      <c r="N292" s="41" t="n"/>
      <c r="O292" s="36" t="n"/>
      <c r="P292" s="33">
        <f>IF(C292="","",Commercial_Id)</f>
        <v/>
      </c>
      <c r="Q292" s="39">
        <f>IF(F292="","",IFERROR(VALUE(MID(F292,LEN(F292)-3,3)),""))</f>
        <v/>
      </c>
      <c r="R292" s="33">
        <f>IF(Q292="","",P292&amp;"|"&amp;Q292)</f>
        <v/>
      </c>
      <c r="S292" s="33">
        <f>IF(Q292="","",IF(P292="À RENSEIGNER","GIC",P292)&amp;"-"&amp;TEXT(Q292,"000"))</f>
        <v/>
      </c>
      <c r="T292" s="33">
        <f>IF(R292="","",IFERROR(INDEX(Cl_nom,MATCH(R292,Cl_cle,0)),"(client introuvable)"))</f>
        <v/>
      </c>
      <c r="U292" s="33">
        <f>IF(R292="","",IFERROR(INDEX(Cl_quartier,MATCH(R292,Cl_cle,0))&amp;"",""))</f>
        <v/>
      </c>
      <c r="V292" s="34">
        <f>IF(C292="","",YEAR(C292-WEEKDAY(C292,2)+4)&amp;"-S"&amp;TEXT(INT((C292-DATE(YEAR(C292-WEEKDAY(C292,2)+4),1,3)+WEEKDAY(DATE(YEAR(C292-WEEKDAY(C292,2)+4),1,3),2)+5)/7),"00"))</f>
        <v/>
      </c>
    </row>
    <row r="293" ht="18" customHeight="1">
      <c r="A293" s="39" t="n">
        <v>288</v>
      </c>
      <c r="B293" s="33">
        <f>IF(C293="","",IF(P293="À RENSEIGNER","GIC",P293)&amp;"-V"&amp;TEXT(A293,"00000"))</f>
        <v/>
      </c>
      <c r="C293" s="32" t="n"/>
      <c r="D293" s="35" t="n"/>
      <c r="E293" s="36" t="n"/>
      <c r="F293" s="36" t="n"/>
      <c r="G293" s="36" t="n"/>
      <c r="H293" s="36" t="n"/>
      <c r="I293" s="36" t="n"/>
      <c r="J293" s="37" t="n"/>
      <c r="K293" s="32" t="n"/>
      <c r="L293" s="36" t="n"/>
      <c r="M293" s="41" t="n"/>
      <c r="N293" s="41" t="n"/>
      <c r="O293" s="36" t="n"/>
      <c r="P293" s="33">
        <f>IF(C293="","",Commercial_Id)</f>
        <v/>
      </c>
      <c r="Q293" s="39">
        <f>IF(F293="","",IFERROR(VALUE(MID(F293,LEN(F293)-3,3)),""))</f>
        <v/>
      </c>
      <c r="R293" s="33">
        <f>IF(Q293="","",P293&amp;"|"&amp;Q293)</f>
        <v/>
      </c>
      <c r="S293" s="33">
        <f>IF(Q293="","",IF(P293="À RENSEIGNER","GIC",P293)&amp;"-"&amp;TEXT(Q293,"000"))</f>
        <v/>
      </c>
      <c r="T293" s="33">
        <f>IF(R293="","",IFERROR(INDEX(Cl_nom,MATCH(R293,Cl_cle,0)),"(client introuvable)"))</f>
        <v/>
      </c>
      <c r="U293" s="33">
        <f>IF(R293="","",IFERROR(INDEX(Cl_quartier,MATCH(R293,Cl_cle,0))&amp;"",""))</f>
        <v/>
      </c>
      <c r="V293" s="34">
        <f>IF(C293="","",YEAR(C293-WEEKDAY(C293,2)+4)&amp;"-S"&amp;TEXT(INT((C293-DATE(YEAR(C293-WEEKDAY(C293,2)+4),1,3)+WEEKDAY(DATE(YEAR(C293-WEEKDAY(C293,2)+4),1,3),2)+5)/7),"00"))</f>
        <v/>
      </c>
    </row>
    <row r="294" ht="18" customHeight="1">
      <c r="A294" s="39" t="n">
        <v>289</v>
      </c>
      <c r="B294" s="33">
        <f>IF(C294="","",IF(P294="À RENSEIGNER","GIC",P294)&amp;"-V"&amp;TEXT(A294,"00000"))</f>
        <v/>
      </c>
      <c r="C294" s="32" t="n"/>
      <c r="D294" s="35" t="n"/>
      <c r="E294" s="36" t="n"/>
      <c r="F294" s="36" t="n"/>
      <c r="G294" s="36" t="n"/>
      <c r="H294" s="36" t="n"/>
      <c r="I294" s="36" t="n"/>
      <c r="J294" s="37" t="n"/>
      <c r="K294" s="32" t="n"/>
      <c r="L294" s="36" t="n"/>
      <c r="M294" s="41" t="n"/>
      <c r="N294" s="41" t="n"/>
      <c r="O294" s="36" t="n"/>
      <c r="P294" s="33">
        <f>IF(C294="","",Commercial_Id)</f>
        <v/>
      </c>
      <c r="Q294" s="39">
        <f>IF(F294="","",IFERROR(VALUE(MID(F294,LEN(F294)-3,3)),""))</f>
        <v/>
      </c>
      <c r="R294" s="33">
        <f>IF(Q294="","",P294&amp;"|"&amp;Q294)</f>
        <v/>
      </c>
      <c r="S294" s="33">
        <f>IF(Q294="","",IF(P294="À RENSEIGNER","GIC",P294)&amp;"-"&amp;TEXT(Q294,"000"))</f>
        <v/>
      </c>
      <c r="T294" s="33">
        <f>IF(R294="","",IFERROR(INDEX(Cl_nom,MATCH(R294,Cl_cle,0)),"(client introuvable)"))</f>
        <v/>
      </c>
      <c r="U294" s="33">
        <f>IF(R294="","",IFERROR(INDEX(Cl_quartier,MATCH(R294,Cl_cle,0))&amp;"",""))</f>
        <v/>
      </c>
      <c r="V294" s="34">
        <f>IF(C294="","",YEAR(C294-WEEKDAY(C294,2)+4)&amp;"-S"&amp;TEXT(INT((C294-DATE(YEAR(C294-WEEKDAY(C294,2)+4),1,3)+WEEKDAY(DATE(YEAR(C294-WEEKDAY(C294,2)+4),1,3),2)+5)/7),"00"))</f>
        <v/>
      </c>
    </row>
    <row r="295" ht="18" customHeight="1">
      <c r="A295" s="39" t="n">
        <v>290</v>
      </c>
      <c r="B295" s="33">
        <f>IF(C295="","",IF(P295="À RENSEIGNER","GIC",P295)&amp;"-V"&amp;TEXT(A295,"00000"))</f>
        <v/>
      </c>
      <c r="C295" s="32" t="n"/>
      <c r="D295" s="35" t="n"/>
      <c r="E295" s="36" t="n"/>
      <c r="F295" s="36" t="n"/>
      <c r="G295" s="36" t="n"/>
      <c r="H295" s="36" t="n"/>
      <c r="I295" s="36" t="n"/>
      <c r="J295" s="37" t="n"/>
      <c r="K295" s="32" t="n"/>
      <c r="L295" s="36" t="n"/>
      <c r="M295" s="41" t="n"/>
      <c r="N295" s="41" t="n"/>
      <c r="O295" s="36" t="n"/>
      <c r="P295" s="33">
        <f>IF(C295="","",Commercial_Id)</f>
        <v/>
      </c>
      <c r="Q295" s="39">
        <f>IF(F295="","",IFERROR(VALUE(MID(F295,LEN(F295)-3,3)),""))</f>
        <v/>
      </c>
      <c r="R295" s="33">
        <f>IF(Q295="","",P295&amp;"|"&amp;Q295)</f>
        <v/>
      </c>
      <c r="S295" s="33">
        <f>IF(Q295="","",IF(P295="À RENSEIGNER","GIC",P295)&amp;"-"&amp;TEXT(Q295,"000"))</f>
        <v/>
      </c>
      <c r="T295" s="33">
        <f>IF(R295="","",IFERROR(INDEX(Cl_nom,MATCH(R295,Cl_cle,0)),"(client introuvable)"))</f>
        <v/>
      </c>
      <c r="U295" s="33">
        <f>IF(R295="","",IFERROR(INDEX(Cl_quartier,MATCH(R295,Cl_cle,0))&amp;"",""))</f>
        <v/>
      </c>
      <c r="V295" s="34">
        <f>IF(C295="","",YEAR(C295-WEEKDAY(C295,2)+4)&amp;"-S"&amp;TEXT(INT((C295-DATE(YEAR(C295-WEEKDAY(C295,2)+4),1,3)+WEEKDAY(DATE(YEAR(C295-WEEKDAY(C295,2)+4),1,3),2)+5)/7),"00"))</f>
        <v/>
      </c>
    </row>
    <row r="296" ht="18" customHeight="1">
      <c r="A296" s="39" t="n">
        <v>291</v>
      </c>
      <c r="B296" s="33">
        <f>IF(C296="","",IF(P296="À RENSEIGNER","GIC",P296)&amp;"-V"&amp;TEXT(A296,"00000"))</f>
        <v/>
      </c>
      <c r="C296" s="32" t="n"/>
      <c r="D296" s="35" t="n"/>
      <c r="E296" s="36" t="n"/>
      <c r="F296" s="36" t="n"/>
      <c r="G296" s="36" t="n"/>
      <c r="H296" s="36" t="n"/>
      <c r="I296" s="36" t="n"/>
      <c r="J296" s="37" t="n"/>
      <c r="K296" s="32" t="n"/>
      <c r="L296" s="36" t="n"/>
      <c r="M296" s="41" t="n"/>
      <c r="N296" s="41" t="n"/>
      <c r="O296" s="36" t="n"/>
      <c r="P296" s="33">
        <f>IF(C296="","",Commercial_Id)</f>
        <v/>
      </c>
      <c r="Q296" s="39">
        <f>IF(F296="","",IFERROR(VALUE(MID(F296,LEN(F296)-3,3)),""))</f>
        <v/>
      </c>
      <c r="R296" s="33">
        <f>IF(Q296="","",P296&amp;"|"&amp;Q296)</f>
        <v/>
      </c>
      <c r="S296" s="33">
        <f>IF(Q296="","",IF(P296="À RENSEIGNER","GIC",P296)&amp;"-"&amp;TEXT(Q296,"000"))</f>
        <v/>
      </c>
      <c r="T296" s="33">
        <f>IF(R296="","",IFERROR(INDEX(Cl_nom,MATCH(R296,Cl_cle,0)),"(client introuvable)"))</f>
        <v/>
      </c>
      <c r="U296" s="33">
        <f>IF(R296="","",IFERROR(INDEX(Cl_quartier,MATCH(R296,Cl_cle,0))&amp;"",""))</f>
        <v/>
      </c>
      <c r="V296" s="34">
        <f>IF(C296="","",YEAR(C296-WEEKDAY(C296,2)+4)&amp;"-S"&amp;TEXT(INT((C296-DATE(YEAR(C296-WEEKDAY(C296,2)+4),1,3)+WEEKDAY(DATE(YEAR(C296-WEEKDAY(C296,2)+4),1,3),2)+5)/7),"00"))</f>
        <v/>
      </c>
    </row>
    <row r="297" ht="18" customHeight="1">
      <c r="A297" s="39" t="n">
        <v>292</v>
      </c>
      <c r="B297" s="33">
        <f>IF(C297="","",IF(P297="À RENSEIGNER","GIC",P297)&amp;"-V"&amp;TEXT(A297,"00000"))</f>
        <v/>
      </c>
      <c r="C297" s="32" t="n"/>
      <c r="D297" s="35" t="n"/>
      <c r="E297" s="36" t="n"/>
      <c r="F297" s="36" t="n"/>
      <c r="G297" s="36" t="n"/>
      <c r="H297" s="36" t="n"/>
      <c r="I297" s="36" t="n"/>
      <c r="J297" s="37" t="n"/>
      <c r="K297" s="32" t="n"/>
      <c r="L297" s="36" t="n"/>
      <c r="M297" s="41" t="n"/>
      <c r="N297" s="41" t="n"/>
      <c r="O297" s="36" t="n"/>
      <c r="P297" s="33">
        <f>IF(C297="","",Commercial_Id)</f>
        <v/>
      </c>
      <c r="Q297" s="39">
        <f>IF(F297="","",IFERROR(VALUE(MID(F297,LEN(F297)-3,3)),""))</f>
        <v/>
      </c>
      <c r="R297" s="33">
        <f>IF(Q297="","",P297&amp;"|"&amp;Q297)</f>
        <v/>
      </c>
      <c r="S297" s="33">
        <f>IF(Q297="","",IF(P297="À RENSEIGNER","GIC",P297)&amp;"-"&amp;TEXT(Q297,"000"))</f>
        <v/>
      </c>
      <c r="T297" s="33">
        <f>IF(R297="","",IFERROR(INDEX(Cl_nom,MATCH(R297,Cl_cle,0)),"(client introuvable)"))</f>
        <v/>
      </c>
      <c r="U297" s="33">
        <f>IF(R297="","",IFERROR(INDEX(Cl_quartier,MATCH(R297,Cl_cle,0))&amp;"",""))</f>
        <v/>
      </c>
      <c r="V297" s="34">
        <f>IF(C297="","",YEAR(C297-WEEKDAY(C297,2)+4)&amp;"-S"&amp;TEXT(INT((C297-DATE(YEAR(C297-WEEKDAY(C297,2)+4),1,3)+WEEKDAY(DATE(YEAR(C297-WEEKDAY(C297,2)+4),1,3),2)+5)/7),"00"))</f>
        <v/>
      </c>
    </row>
    <row r="298" ht="18" customHeight="1">
      <c r="A298" s="39" t="n">
        <v>293</v>
      </c>
      <c r="B298" s="33">
        <f>IF(C298="","",IF(P298="À RENSEIGNER","GIC",P298)&amp;"-V"&amp;TEXT(A298,"00000"))</f>
        <v/>
      </c>
      <c r="C298" s="32" t="n"/>
      <c r="D298" s="35" t="n"/>
      <c r="E298" s="36" t="n"/>
      <c r="F298" s="36" t="n"/>
      <c r="G298" s="36" t="n"/>
      <c r="H298" s="36" t="n"/>
      <c r="I298" s="36" t="n"/>
      <c r="J298" s="37" t="n"/>
      <c r="K298" s="32" t="n"/>
      <c r="L298" s="36" t="n"/>
      <c r="M298" s="41" t="n"/>
      <c r="N298" s="41" t="n"/>
      <c r="O298" s="36" t="n"/>
      <c r="P298" s="33">
        <f>IF(C298="","",Commercial_Id)</f>
        <v/>
      </c>
      <c r="Q298" s="39">
        <f>IF(F298="","",IFERROR(VALUE(MID(F298,LEN(F298)-3,3)),""))</f>
        <v/>
      </c>
      <c r="R298" s="33">
        <f>IF(Q298="","",P298&amp;"|"&amp;Q298)</f>
        <v/>
      </c>
      <c r="S298" s="33">
        <f>IF(Q298="","",IF(P298="À RENSEIGNER","GIC",P298)&amp;"-"&amp;TEXT(Q298,"000"))</f>
        <v/>
      </c>
      <c r="T298" s="33">
        <f>IF(R298="","",IFERROR(INDEX(Cl_nom,MATCH(R298,Cl_cle,0)),"(client introuvable)"))</f>
        <v/>
      </c>
      <c r="U298" s="33">
        <f>IF(R298="","",IFERROR(INDEX(Cl_quartier,MATCH(R298,Cl_cle,0))&amp;"",""))</f>
        <v/>
      </c>
      <c r="V298" s="34">
        <f>IF(C298="","",YEAR(C298-WEEKDAY(C298,2)+4)&amp;"-S"&amp;TEXT(INT((C298-DATE(YEAR(C298-WEEKDAY(C298,2)+4),1,3)+WEEKDAY(DATE(YEAR(C298-WEEKDAY(C298,2)+4),1,3),2)+5)/7),"00"))</f>
        <v/>
      </c>
    </row>
    <row r="299" ht="18" customHeight="1">
      <c r="A299" s="39" t="n">
        <v>294</v>
      </c>
      <c r="B299" s="33">
        <f>IF(C299="","",IF(P299="À RENSEIGNER","GIC",P299)&amp;"-V"&amp;TEXT(A299,"00000"))</f>
        <v/>
      </c>
      <c r="C299" s="32" t="n"/>
      <c r="D299" s="35" t="n"/>
      <c r="E299" s="36" t="n"/>
      <c r="F299" s="36" t="n"/>
      <c r="G299" s="36" t="n"/>
      <c r="H299" s="36" t="n"/>
      <c r="I299" s="36" t="n"/>
      <c r="J299" s="37" t="n"/>
      <c r="K299" s="32" t="n"/>
      <c r="L299" s="36" t="n"/>
      <c r="M299" s="41" t="n"/>
      <c r="N299" s="41" t="n"/>
      <c r="O299" s="36" t="n"/>
      <c r="P299" s="33">
        <f>IF(C299="","",Commercial_Id)</f>
        <v/>
      </c>
      <c r="Q299" s="39">
        <f>IF(F299="","",IFERROR(VALUE(MID(F299,LEN(F299)-3,3)),""))</f>
        <v/>
      </c>
      <c r="R299" s="33">
        <f>IF(Q299="","",P299&amp;"|"&amp;Q299)</f>
        <v/>
      </c>
      <c r="S299" s="33">
        <f>IF(Q299="","",IF(P299="À RENSEIGNER","GIC",P299)&amp;"-"&amp;TEXT(Q299,"000"))</f>
        <v/>
      </c>
      <c r="T299" s="33">
        <f>IF(R299="","",IFERROR(INDEX(Cl_nom,MATCH(R299,Cl_cle,0)),"(client introuvable)"))</f>
        <v/>
      </c>
      <c r="U299" s="33">
        <f>IF(R299="","",IFERROR(INDEX(Cl_quartier,MATCH(R299,Cl_cle,0))&amp;"",""))</f>
        <v/>
      </c>
      <c r="V299" s="34">
        <f>IF(C299="","",YEAR(C299-WEEKDAY(C299,2)+4)&amp;"-S"&amp;TEXT(INT((C299-DATE(YEAR(C299-WEEKDAY(C299,2)+4),1,3)+WEEKDAY(DATE(YEAR(C299-WEEKDAY(C299,2)+4),1,3),2)+5)/7),"00"))</f>
        <v/>
      </c>
    </row>
    <row r="300" ht="18" customHeight="1">
      <c r="A300" s="39" t="n">
        <v>295</v>
      </c>
      <c r="B300" s="33">
        <f>IF(C300="","",IF(P300="À RENSEIGNER","GIC",P300)&amp;"-V"&amp;TEXT(A300,"00000"))</f>
        <v/>
      </c>
      <c r="C300" s="32" t="n"/>
      <c r="D300" s="35" t="n"/>
      <c r="E300" s="36" t="n"/>
      <c r="F300" s="36" t="n"/>
      <c r="G300" s="36" t="n"/>
      <c r="H300" s="36" t="n"/>
      <c r="I300" s="36" t="n"/>
      <c r="J300" s="37" t="n"/>
      <c r="K300" s="32" t="n"/>
      <c r="L300" s="36" t="n"/>
      <c r="M300" s="41" t="n"/>
      <c r="N300" s="41" t="n"/>
      <c r="O300" s="36" t="n"/>
      <c r="P300" s="33">
        <f>IF(C300="","",Commercial_Id)</f>
        <v/>
      </c>
      <c r="Q300" s="39">
        <f>IF(F300="","",IFERROR(VALUE(MID(F300,LEN(F300)-3,3)),""))</f>
        <v/>
      </c>
      <c r="R300" s="33">
        <f>IF(Q300="","",P300&amp;"|"&amp;Q300)</f>
        <v/>
      </c>
      <c r="S300" s="33">
        <f>IF(Q300="","",IF(P300="À RENSEIGNER","GIC",P300)&amp;"-"&amp;TEXT(Q300,"000"))</f>
        <v/>
      </c>
      <c r="T300" s="33">
        <f>IF(R300="","",IFERROR(INDEX(Cl_nom,MATCH(R300,Cl_cle,0)),"(client introuvable)"))</f>
        <v/>
      </c>
      <c r="U300" s="33">
        <f>IF(R300="","",IFERROR(INDEX(Cl_quartier,MATCH(R300,Cl_cle,0))&amp;"",""))</f>
        <v/>
      </c>
      <c r="V300" s="34">
        <f>IF(C300="","",YEAR(C300-WEEKDAY(C300,2)+4)&amp;"-S"&amp;TEXT(INT((C300-DATE(YEAR(C300-WEEKDAY(C300,2)+4),1,3)+WEEKDAY(DATE(YEAR(C300-WEEKDAY(C300,2)+4),1,3),2)+5)/7),"00"))</f>
        <v/>
      </c>
    </row>
    <row r="301" ht="18" customHeight="1">
      <c r="A301" s="39" t="n">
        <v>296</v>
      </c>
      <c r="B301" s="33">
        <f>IF(C301="","",IF(P301="À RENSEIGNER","GIC",P301)&amp;"-V"&amp;TEXT(A301,"00000"))</f>
        <v/>
      </c>
      <c r="C301" s="32" t="n"/>
      <c r="D301" s="35" t="n"/>
      <c r="E301" s="36" t="n"/>
      <c r="F301" s="36" t="n"/>
      <c r="G301" s="36" t="n"/>
      <c r="H301" s="36" t="n"/>
      <c r="I301" s="36" t="n"/>
      <c r="J301" s="37" t="n"/>
      <c r="K301" s="32" t="n"/>
      <c r="L301" s="36" t="n"/>
      <c r="M301" s="41" t="n"/>
      <c r="N301" s="41" t="n"/>
      <c r="O301" s="36" t="n"/>
      <c r="P301" s="33">
        <f>IF(C301="","",Commercial_Id)</f>
        <v/>
      </c>
      <c r="Q301" s="39">
        <f>IF(F301="","",IFERROR(VALUE(MID(F301,LEN(F301)-3,3)),""))</f>
        <v/>
      </c>
      <c r="R301" s="33">
        <f>IF(Q301="","",P301&amp;"|"&amp;Q301)</f>
        <v/>
      </c>
      <c r="S301" s="33">
        <f>IF(Q301="","",IF(P301="À RENSEIGNER","GIC",P301)&amp;"-"&amp;TEXT(Q301,"000"))</f>
        <v/>
      </c>
      <c r="T301" s="33">
        <f>IF(R301="","",IFERROR(INDEX(Cl_nom,MATCH(R301,Cl_cle,0)),"(client introuvable)"))</f>
        <v/>
      </c>
      <c r="U301" s="33">
        <f>IF(R301="","",IFERROR(INDEX(Cl_quartier,MATCH(R301,Cl_cle,0))&amp;"",""))</f>
        <v/>
      </c>
      <c r="V301" s="34">
        <f>IF(C301="","",YEAR(C301-WEEKDAY(C301,2)+4)&amp;"-S"&amp;TEXT(INT((C301-DATE(YEAR(C301-WEEKDAY(C301,2)+4),1,3)+WEEKDAY(DATE(YEAR(C301-WEEKDAY(C301,2)+4),1,3),2)+5)/7),"00"))</f>
        <v/>
      </c>
    </row>
    <row r="302" ht="18" customHeight="1">
      <c r="A302" s="39" t="n">
        <v>297</v>
      </c>
      <c r="B302" s="33">
        <f>IF(C302="","",IF(P302="À RENSEIGNER","GIC",P302)&amp;"-V"&amp;TEXT(A302,"00000"))</f>
        <v/>
      </c>
      <c r="C302" s="32" t="n"/>
      <c r="D302" s="35" t="n"/>
      <c r="E302" s="36" t="n"/>
      <c r="F302" s="36" t="n"/>
      <c r="G302" s="36" t="n"/>
      <c r="H302" s="36" t="n"/>
      <c r="I302" s="36" t="n"/>
      <c r="J302" s="37" t="n"/>
      <c r="K302" s="32" t="n"/>
      <c r="L302" s="36" t="n"/>
      <c r="M302" s="41" t="n"/>
      <c r="N302" s="41" t="n"/>
      <c r="O302" s="36" t="n"/>
      <c r="P302" s="33">
        <f>IF(C302="","",Commercial_Id)</f>
        <v/>
      </c>
      <c r="Q302" s="39">
        <f>IF(F302="","",IFERROR(VALUE(MID(F302,LEN(F302)-3,3)),""))</f>
        <v/>
      </c>
      <c r="R302" s="33">
        <f>IF(Q302="","",P302&amp;"|"&amp;Q302)</f>
        <v/>
      </c>
      <c r="S302" s="33">
        <f>IF(Q302="","",IF(P302="À RENSEIGNER","GIC",P302)&amp;"-"&amp;TEXT(Q302,"000"))</f>
        <v/>
      </c>
      <c r="T302" s="33">
        <f>IF(R302="","",IFERROR(INDEX(Cl_nom,MATCH(R302,Cl_cle,0)),"(client introuvable)"))</f>
        <v/>
      </c>
      <c r="U302" s="33">
        <f>IF(R302="","",IFERROR(INDEX(Cl_quartier,MATCH(R302,Cl_cle,0))&amp;"",""))</f>
        <v/>
      </c>
      <c r="V302" s="34">
        <f>IF(C302="","",YEAR(C302-WEEKDAY(C302,2)+4)&amp;"-S"&amp;TEXT(INT((C302-DATE(YEAR(C302-WEEKDAY(C302,2)+4),1,3)+WEEKDAY(DATE(YEAR(C302-WEEKDAY(C302,2)+4),1,3),2)+5)/7),"00"))</f>
        <v/>
      </c>
    </row>
    <row r="303" ht="18" customHeight="1">
      <c r="A303" s="39" t="n">
        <v>298</v>
      </c>
      <c r="B303" s="33">
        <f>IF(C303="","",IF(P303="À RENSEIGNER","GIC",P303)&amp;"-V"&amp;TEXT(A303,"00000"))</f>
        <v/>
      </c>
      <c r="C303" s="32" t="n"/>
      <c r="D303" s="35" t="n"/>
      <c r="E303" s="36" t="n"/>
      <c r="F303" s="36" t="n"/>
      <c r="G303" s="36" t="n"/>
      <c r="H303" s="36" t="n"/>
      <c r="I303" s="36" t="n"/>
      <c r="J303" s="37" t="n"/>
      <c r="K303" s="32" t="n"/>
      <c r="L303" s="36" t="n"/>
      <c r="M303" s="41" t="n"/>
      <c r="N303" s="41" t="n"/>
      <c r="O303" s="36" t="n"/>
      <c r="P303" s="33">
        <f>IF(C303="","",Commercial_Id)</f>
        <v/>
      </c>
      <c r="Q303" s="39">
        <f>IF(F303="","",IFERROR(VALUE(MID(F303,LEN(F303)-3,3)),""))</f>
        <v/>
      </c>
      <c r="R303" s="33">
        <f>IF(Q303="","",P303&amp;"|"&amp;Q303)</f>
        <v/>
      </c>
      <c r="S303" s="33">
        <f>IF(Q303="","",IF(P303="À RENSEIGNER","GIC",P303)&amp;"-"&amp;TEXT(Q303,"000"))</f>
        <v/>
      </c>
      <c r="T303" s="33">
        <f>IF(R303="","",IFERROR(INDEX(Cl_nom,MATCH(R303,Cl_cle,0)),"(client introuvable)"))</f>
        <v/>
      </c>
      <c r="U303" s="33">
        <f>IF(R303="","",IFERROR(INDEX(Cl_quartier,MATCH(R303,Cl_cle,0))&amp;"",""))</f>
        <v/>
      </c>
      <c r="V303" s="34">
        <f>IF(C303="","",YEAR(C303-WEEKDAY(C303,2)+4)&amp;"-S"&amp;TEXT(INT((C303-DATE(YEAR(C303-WEEKDAY(C303,2)+4),1,3)+WEEKDAY(DATE(YEAR(C303-WEEKDAY(C303,2)+4),1,3),2)+5)/7),"00"))</f>
        <v/>
      </c>
    </row>
    <row r="304" ht="18" customHeight="1">
      <c r="A304" s="39" t="n">
        <v>299</v>
      </c>
      <c r="B304" s="33">
        <f>IF(C304="","",IF(P304="À RENSEIGNER","GIC",P304)&amp;"-V"&amp;TEXT(A304,"00000"))</f>
        <v/>
      </c>
      <c r="C304" s="32" t="n"/>
      <c r="D304" s="35" t="n"/>
      <c r="E304" s="36" t="n"/>
      <c r="F304" s="36" t="n"/>
      <c r="G304" s="36" t="n"/>
      <c r="H304" s="36" t="n"/>
      <c r="I304" s="36" t="n"/>
      <c r="J304" s="37" t="n"/>
      <c r="K304" s="32" t="n"/>
      <c r="L304" s="36" t="n"/>
      <c r="M304" s="41" t="n"/>
      <c r="N304" s="41" t="n"/>
      <c r="O304" s="36" t="n"/>
      <c r="P304" s="33">
        <f>IF(C304="","",Commercial_Id)</f>
        <v/>
      </c>
      <c r="Q304" s="39">
        <f>IF(F304="","",IFERROR(VALUE(MID(F304,LEN(F304)-3,3)),""))</f>
        <v/>
      </c>
      <c r="R304" s="33">
        <f>IF(Q304="","",P304&amp;"|"&amp;Q304)</f>
        <v/>
      </c>
      <c r="S304" s="33">
        <f>IF(Q304="","",IF(P304="À RENSEIGNER","GIC",P304)&amp;"-"&amp;TEXT(Q304,"000"))</f>
        <v/>
      </c>
      <c r="T304" s="33">
        <f>IF(R304="","",IFERROR(INDEX(Cl_nom,MATCH(R304,Cl_cle,0)),"(client introuvable)"))</f>
        <v/>
      </c>
      <c r="U304" s="33">
        <f>IF(R304="","",IFERROR(INDEX(Cl_quartier,MATCH(R304,Cl_cle,0))&amp;"",""))</f>
        <v/>
      </c>
      <c r="V304" s="34">
        <f>IF(C304="","",YEAR(C304-WEEKDAY(C304,2)+4)&amp;"-S"&amp;TEXT(INT((C304-DATE(YEAR(C304-WEEKDAY(C304,2)+4),1,3)+WEEKDAY(DATE(YEAR(C304-WEEKDAY(C304,2)+4),1,3),2)+5)/7),"00"))</f>
        <v/>
      </c>
    </row>
    <row r="305" ht="18" customHeight="1">
      <c r="A305" s="39" t="n">
        <v>300</v>
      </c>
      <c r="B305" s="33">
        <f>IF(C305="","",IF(P305="À RENSEIGNER","GIC",P305)&amp;"-V"&amp;TEXT(A305,"00000"))</f>
        <v/>
      </c>
      <c r="C305" s="32" t="n"/>
      <c r="D305" s="35" t="n"/>
      <c r="E305" s="36" t="n"/>
      <c r="F305" s="36" t="n"/>
      <c r="G305" s="36" t="n"/>
      <c r="H305" s="36" t="n"/>
      <c r="I305" s="36" t="n"/>
      <c r="J305" s="37" t="n"/>
      <c r="K305" s="32" t="n"/>
      <c r="L305" s="36" t="n"/>
      <c r="M305" s="41" t="n"/>
      <c r="N305" s="41" t="n"/>
      <c r="O305" s="36" t="n"/>
      <c r="P305" s="33">
        <f>IF(C305="","",Commercial_Id)</f>
        <v/>
      </c>
      <c r="Q305" s="39">
        <f>IF(F305="","",IFERROR(VALUE(MID(F305,LEN(F305)-3,3)),""))</f>
        <v/>
      </c>
      <c r="R305" s="33">
        <f>IF(Q305="","",P305&amp;"|"&amp;Q305)</f>
        <v/>
      </c>
      <c r="S305" s="33">
        <f>IF(Q305="","",IF(P305="À RENSEIGNER","GIC",P305)&amp;"-"&amp;TEXT(Q305,"000"))</f>
        <v/>
      </c>
      <c r="T305" s="33">
        <f>IF(R305="","",IFERROR(INDEX(Cl_nom,MATCH(R305,Cl_cle,0)),"(client introuvable)"))</f>
        <v/>
      </c>
      <c r="U305" s="33">
        <f>IF(R305="","",IFERROR(INDEX(Cl_quartier,MATCH(R305,Cl_cle,0))&amp;"",""))</f>
        <v/>
      </c>
      <c r="V305" s="34">
        <f>IF(C305="","",YEAR(C305-WEEKDAY(C305,2)+4)&amp;"-S"&amp;TEXT(INT((C305-DATE(YEAR(C305-WEEKDAY(C305,2)+4),1,3)+WEEKDAY(DATE(YEAR(C305-WEEKDAY(C305,2)+4),1,3),2)+5)/7),"00"))</f>
        <v/>
      </c>
    </row>
    <row r="306" ht="18" customHeight="1">
      <c r="A306" s="39" t="n">
        <v>301</v>
      </c>
      <c r="B306" s="33">
        <f>IF(C306="","",IF(P306="À RENSEIGNER","GIC",P306)&amp;"-V"&amp;TEXT(A306,"00000"))</f>
        <v/>
      </c>
      <c r="C306" s="32" t="n"/>
      <c r="D306" s="35" t="n"/>
      <c r="E306" s="36" t="n"/>
      <c r="F306" s="36" t="n"/>
      <c r="G306" s="36" t="n"/>
      <c r="H306" s="36" t="n"/>
      <c r="I306" s="36" t="n"/>
      <c r="J306" s="37" t="n"/>
      <c r="K306" s="32" t="n"/>
      <c r="L306" s="36" t="n"/>
      <c r="M306" s="41" t="n"/>
      <c r="N306" s="41" t="n"/>
      <c r="O306" s="36" t="n"/>
      <c r="P306" s="33">
        <f>IF(C306="","",Commercial_Id)</f>
        <v/>
      </c>
      <c r="Q306" s="39">
        <f>IF(F306="","",IFERROR(VALUE(MID(F306,LEN(F306)-3,3)),""))</f>
        <v/>
      </c>
      <c r="R306" s="33">
        <f>IF(Q306="","",P306&amp;"|"&amp;Q306)</f>
        <v/>
      </c>
      <c r="S306" s="33">
        <f>IF(Q306="","",IF(P306="À RENSEIGNER","GIC",P306)&amp;"-"&amp;TEXT(Q306,"000"))</f>
        <v/>
      </c>
      <c r="T306" s="33">
        <f>IF(R306="","",IFERROR(INDEX(Cl_nom,MATCH(R306,Cl_cle,0)),"(client introuvable)"))</f>
        <v/>
      </c>
      <c r="U306" s="33">
        <f>IF(R306="","",IFERROR(INDEX(Cl_quartier,MATCH(R306,Cl_cle,0))&amp;"",""))</f>
        <v/>
      </c>
      <c r="V306" s="34">
        <f>IF(C306="","",YEAR(C306-WEEKDAY(C306,2)+4)&amp;"-S"&amp;TEXT(INT((C306-DATE(YEAR(C306-WEEKDAY(C306,2)+4),1,3)+WEEKDAY(DATE(YEAR(C306-WEEKDAY(C306,2)+4),1,3),2)+5)/7),"00"))</f>
        <v/>
      </c>
    </row>
    <row r="307" ht="18" customHeight="1">
      <c r="A307" s="39" t="n">
        <v>302</v>
      </c>
      <c r="B307" s="33">
        <f>IF(C307="","",IF(P307="À RENSEIGNER","GIC",P307)&amp;"-V"&amp;TEXT(A307,"00000"))</f>
        <v/>
      </c>
      <c r="C307" s="32" t="n"/>
      <c r="D307" s="35" t="n"/>
      <c r="E307" s="36" t="n"/>
      <c r="F307" s="36" t="n"/>
      <c r="G307" s="36" t="n"/>
      <c r="H307" s="36" t="n"/>
      <c r="I307" s="36" t="n"/>
      <c r="J307" s="37" t="n"/>
      <c r="K307" s="32" t="n"/>
      <c r="L307" s="36" t="n"/>
      <c r="M307" s="41" t="n"/>
      <c r="N307" s="41" t="n"/>
      <c r="O307" s="36" t="n"/>
      <c r="P307" s="33">
        <f>IF(C307="","",Commercial_Id)</f>
        <v/>
      </c>
      <c r="Q307" s="39">
        <f>IF(F307="","",IFERROR(VALUE(MID(F307,LEN(F307)-3,3)),""))</f>
        <v/>
      </c>
      <c r="R307" s="33">
        <f>IF(Q307="","",P307&amp;"|"&amp;Q307)</f>
        <v/>
      </c>
      <c r="S307" s="33">
        <f>IF(Q307="","",IF(P307="À RENSEIGNER","GIC",P307)&amp;"-"&amp;TEXT(Q307,"000"))</f>
        <v/>
      </c>
      <c r="T307" s="33">
        <f>IF(R307="","",IFERROR(INDEX(Cl_nom,MATCH(R307,Cl_cle,0)),"(client introuvable)"))</f>
        <v/>
      </c>
      <c r="U307" s="33">
        <f>IF(R307="","",IFERROR(INDEX(Cl_quartier,MATCH(R307,Cl_cle,0))&amp;"",""))</f>
        <v/>
      </c>
      <c r="V307" s="34">
        <f>IF(C307="","",YEAR(C307-WEEKDAY(C307,2)+4)&amp;"-S"&amp;TEXT(INT((C307-DATE(YEAR(C307-WEEKDAY(C307,2)+4),1,3)+WEEKDAY(DATE(YEAR(C307-WEEKDAY(C307,2)+4),1,3),2)+5)/7),"00"))</f>
        <v/>
      </c>
    </row>
    <row r="308" ht="18" customHeight="1">
      <c r="A308" s="39" t="n">
        <v>303</v>
      </c>
      <c r="B308" s="33">
        <f>IF(C308="","",IF(P308="À RENSEIGNER","GIC",P308)&amp;"-V"&amp;TEXT(A308,"00000"))</f>
        <v/>
      </c>
      <c r="C308" s="32" t="n"/>
      <c r="D308" s="35" t="n"/>
      <c r="E308" s="36" t="n"/>
      <c r="F308" s="36" t="n"/>
      <c r="G308" s="36" t="n"/>
      <c r="H308" s="36" t="n"/>
      <c r="I308" s="36" t="n"/>
      <c r="J308" s="37" t="n"/>
      <c r="K308" s="32" t="n"/>
      <c r="L308" s="36" t="n"/>
      <c r="M308" s="41" t="n"/>
      <c r="N308" s="41" t="n"/>
      <c r="O308" s="36" t="n"/>
      <c r="P308" s="33">
        <f>IF(C308="","",Commercial_Id)</f>
        <v/>
      </c>
      <c r="Q308" s="39">
        <f>IF(F308="","",IFERROR(VALUE(MID(F308,LEN(F308)-3,3)),""))</f>
        <v/>
      </c>
      <c r="R308" s="33">
        <f>IF(Q308="","",P308&amp;"|"&amp;Q308)</f>
        <v/>
      </c>
      <c r="S308" s="33">
        <f>IF(Q308="","",IF(P308="À RENSEIGNER","GIC",P308)&amp;"-"&amp;TEXT(Q308,"000"))</f>
        <v/>
      </c>
      <c r="T308" s="33">
        <f>IF(R308="","",IFERROR(INDEX(Cl_nom,MATCH(R308,Cl_cle,0)),"(client introuvable)"))</f>
        <v/>
      </c>
      <c r="U308" s="33">
        <f>IF(R308="","",IFERROR(INDEX(Cl_quartier,MATCH(R308,Cl_cle,0))&amp;"",""))</f>
        <v/>
      </c>
      <c r="V308" s="34">
        <f>IF(C308="","",YEAR(C308-WEEKDAY(C308,2)+4)&amp;"-S"&amp;TEXT(INT((C308-DATE(YEAR(C308-WEEKDAY(C308,2)+4),1,3)+WEEKDAY(DATE(YEAR(C308-WEEKDAY(C308,2)+4),1,3),2)+5)/7),"00"))</f>
        <v/>
      </c>
    </row>
    <row r="309" ht="18" customHeight="1">
      <c r="A309" s="39" t="n">
        <v>304</v>
      </c>
      <c r="B309" s="33">
        <f>IF(C309="","",IF(P309="À RENSEIGNER","GIC",P309)&amp;"-V"&amp;TEXT(A309,"00000"))</f>
        <v/>
      </c>
      <c r="C309" s="32" t="n"/>
      <c r="D309" s="35" t="n"/>
      <c r="E309" s="36" t="n"/>
      <c r="F309" s="36" t="n"/>
      <c r="G309" s="36" t="n"/>
      <c r="H309" s="36" t="n"/>
      <c r="I309" s="36" t="n"/>
      <c r="J309" s="37" t="n"/>
      <c r="K309" s="32" t="n"/>
      <c r="L309" s="36" t="n"/>
      <c r="M309" s="41" t="n"/>
      <c r="N309" s="41" t="n"/>
      <c r="O309" s="36" t="n"/>
      <c r="P309" s="33">
        <f>IF(C309="","",Commercial_Id)</f>
        <v/>
      </c>
      <c r="Q309" s="39">
        <f>IF(F309="","",IFERROR(VALUE(MID(F309,LEN(F309)-3,3)),""))</f>
        <v/>
      </c>
      <c r="R309" s="33">
        <f>IF(Q309="","",P309&amp;"|"&amp;Q309)</f>
        <v/>
      </c>
      <c r="S309" s="33">
        <f>IF(Q309="","",IF(P309="À RENSEIGNER","GIC",P309)&amp;"-"&amp;TEXT(Q309,"000"))</f>
        <v/>
      </c>
      <c r="T309" s="33">
        <f>IF(R309="","",IFERROR(INDEX(Cl_nom,MATCH(R309,Cl_cle,0)),"(client introuvable)"))</f>
        <v/>
      </c>
      <c r="U309" s="33">
        <f>IF(R309="","",IFERROR(INDEX(Cl_quartier,MATCH(R309,Cl_cle,0))&amp;"",""))</f>
        <v/>
      </c>
      <c r="V309" s="34">
        <f>IF(C309="","",YEAR(C309-WEEKDAY(C309,2)+4)&amp;"-S"&amp;TEXT(INT((C309-DATE(YEAR(C309-WEEKDAY(C309,2)+4),1,3)+WEEKDAY(DATE(YEAR(C309-WEEKDAY(C309,2)+4),1,3),2)+5)/7),"00"))</f>
        <v/>
      </c>
    </row>
    <row r="310" ht="18" customHeight="1">
      <c r="A310" s="39" t="n">
        <v>305</v>
      </c>
      <c r="B310" s="33">
        <f>IF(C310="","",IF(P310="À RENSEIGNER","GIC",P310)&amp;"-V"&amp;TEXT(A310,"00000"))</f>
        <v/>
      </c>
      <c r="C310" s="32" t="n"/>
      <c r="D310" s="35" t="n"/>
      <c r="E310" s="36" t="n"/>
      <c r="F310" s="36" t="n"/>
      <c r="G310" s="36" t="n"/>
      <c r="H310" s="36" t="n"/>
      <c r="I310" s="36" t="n"/>
      <c r="J310" s="37" t="n"/>
      <c r="K310" s="32" t="n"/>
      <c r="L310" s="36" t="n"/>
      <c r="M310" s="41" t="n"/>
      <c r="N310" s="41" t="n"/>
      <c r="O310" s="36" t="n"/>
      <c r="P310" s="33">
        <f>IF(C310="","",Commercial_Id)</f>
        <v/>
      </c>
      <c r="Q310" s="39">
        <f>IF(F310="","",IFERROR(VALUE(MID(F310,LEN(F310)-3,3)),""))</f>
        <v/>
      </c>
      <c r="R310" s="33">
        <f>IF(Q310="","",P310&amp;"|"&amp;Q310)</f>
        <v/>
      </c>
      <c r="S310" s="33">
        <f>IF(Q310="","",IF(P310="À RENSEIGNER","GIC",P310)&amp;"-"&amp;TEXT(Q310,"000"))</f>
        <v/>
      </c>
      <c r="T310" s="33">
        <f>IF(R310="","",IFERROR(INDEX(Cl_nom,MATCH(R310,Cl_cle,0)),"(client introuvable)"))</f>
        <v/>
      </c>
      <c r="U310" s="33">
        <f>IF(R310="","",IFERROR(INDEX(Cl_quartier,MATCH(R310,Cl_cle,0))&amp;"",""))</f>
        <v/>
      </c>
      <c r="V310" s="34">
        <f>IF(C310="","",YEAR(C310-WEEKDAY(C310,2)+4)&amp;"-S"&amp;TEXT(INT((C310-DATE(YEAR(C310-WEEKDAY(C310,2)+4),1,3)+WEEKDAY(DATE(YEAR(C310-WEEKDAY(C310,2)+4),1,3),2)+5)/7),"00"))</f>
        <v/>
      </c>
    </row>
    <row r="311" ht="18" customHeight="1">
      <c r="A311" s="39" t="n">
        <v>306</v>
      </c>
      <c r="B311" s="33">
        <f>IF(C311="","",IF(P311="À RENSEIGNER","GIC",P311)&amp;"-V"&amp;TEXT(A311,"00000"))</f>
        <v/>
      </c>
      <c r="C311" s="32" t="n"/>
      <c r="D311" s="35" t="n"/>
      <c r="E311" s="36" t="n"/>
      <c r="F311" s="36" t="n"/>
      <c r="G311" s="36" t="n"/>
      <c r="H311" s="36" t="n"/>
      <c r="I311" s="36" t="n"/>
      <c r="J311" s="37" t="n"/>
      <c r="K311" s="32" t="n"/>
      <c r="L311" s="36" t="n"/>
      <c r="M311" s="41" t="n"/>
      <c r="N311" s="41" t="n"/>
      <c r="O311" s="36" t="n"/>
      <c r="P311" s="33">
        <f>IF(C311="","",Commercial_Id)</f>
        <v/>
      </c>
      <c r="Q311" s="39">
        <f>IF(F311="","",IFERROR(VALUE(MID(F311,LEN(F311)-3,3)),""))</f>
        <v/>
      </c>
      <c r="R311" s="33">
        <f>IF(Q311="","",P311&amp;"|"&amp;Q311)</f>
        <v/>
      </c>
      <c r="S311" s="33">
        <f>IF(Q311="","",IF(P311="À RENSEIGNER","GIC",P311)&amp;"-"&amp;TEXT(Q311,"000"))</f>
        <v/>
      </c>
      <c r="T311" s="33">
        <f>IF(R311="","",IFERROR(INDEX(Cl_nom,MATCH(R311,Cl_cle,0)),"(client introuvable)"))</f>
        <v/>
      </c>
      <c r="U311" s="33">
        <f>IF(R311="","",IFERROR(INDEX(Cl_quartier,MATCH(R311,Cl_cle,0))&amp;"",""))</f>
        <v/>
      </c>
      <c r="V311" s="34">
        <f>IF(C311="","",YEAR(C311-WEEKDAY(C311,2)+4)&amp;"-S"&amp;TEXT(INT((C311-DATE(YEAR(C311-WEEKDAY(C311,2)+4),1,3)+WEEKDAY(DATE(YEAR(C311-WEEKDAY(C311,2)+4),1,3),2)+5)/7),"00"))</f>
        <v/>
      </c>
    </row>
    <row r="312" ht="18" customHeight="1">
      <c r="A312" s="39" t="n">
        <v>307</v>
      </c>
      <c r="B312" s="33">
        <f>IF(C312="","",IF(P312="À RENSEIGNER","GIC",P312)&amp;"-V"&amp;TEXT(A312,"00000"))</f>
        <v/>
      </c>
      <c r="C312" s="32" t="n"/>
      <c r="D312" s="35" t="n"/>
      <c r="E312" s="36" t="n"/>
      <c r="F312" s="36" t="n"/>
      <c r="G312" s="36" t="n"/>
      <c r="H312" s="36" t="n"/>
      <c r="I312" s="36" t="n"/>
      <c r="J312" s="37" t="n"/>
      <c r="K312" s="32" t="n"/>
      <c r="L312" s="36" t="n"/>
      <c r="M312" s="41" t="n"/>
      <c r="N312" s="41" t="n"/>
      <c r="O312" s="36" t="n"/>
      <c r="P312" s="33">
        <f>IF(C312="","",Commercial_Id)</f>
        <v/>
      </c>
      <c r="Q312" s="39">
        <f>IF(F312="","",IFERROR(VALUE(MID(F312,LEN(F312)-3,3)),""))</f>
        <v/>
      </c>
      <c r="R312" s="33">
        <f>IF(Q312="","",P312&amp;"|"&amp;Q312)</f>
        <v/>
      </c>
      <c r="S312" s="33">
        <f>IF(Q312="","",IF(P312="À RENSEIGNER","GIC",P312)&amp;"-"&amp;TEXT(Q312,"000"))</f>
        <v/>
      </c>
      <c r="T312" s="33">
        <f>IF(R312="","",IFERROR(INDEX(Cl_nom,MATCH(R312,Cl_cle,0)),"(client introuvable)"))</f>
        <v/>
      </c>
      <c r="U312" s="33">
        <f>IF(R312="","",IFERROR(INDEX(Cl_quartier,MATCH(R312,Cl_cle,0))&amp;"",""))</f>
        <v/>
      </c>
      <c r="V312" s="34">
        <f>IF(C312="","",YEAR(C312-WEEKDAY(C312,2)+4)&amp;"-S"&amp;TEXT(INT((C312-DATE(YEAR(C312-WEEKDAY(C312,2)+4),1,3)+WEEKDAY(DATE(YEAR(C312-WEEKDAY(C312,2)+4),1,3),2)+5)/7),"00"))</f>
        <v/>
      </c>
    </row>
    <row r="313" ht="18" customHeight="1">
      <c r="A313" s="39" t="n">
        <v>308</v>
      </c>
      <c r="B313" s="33">
        <f>IF(C313="","",IF(P313="À RENSEIGNER","GIC",P313)&amp;"-V"&amp;TEXT(A313,"00000"))</f>
        <v/>
      </c>
      <c r="C313" s="32" t="n"/>
      <c r="D313" s="35" t="n"/>
      <c r="E313" s="36" t="n"/>
      <c r="F313" s="36" t="n"/>
      <c r="G313" s="36" t="n"/>
      <c r="H313" s="36" t="n"/>
      <c r="I313" s="36" t="n"/>
      <c r="J313" s="37" t="n"/>
      <c r="K313" s="32" t="n"/>
      <c r="L313" s="36" t="n"/>
      <c r="M313" s="41" t="n"/>
      <c r="N313" s="41" t="n"/>
      <c r="O313" s="36" t="n"/>
      <c r="P313" s="33">
        <f>IF(C313="","",Commercial_Id)</f>
        <v/>
      </c>
      <c r="Q313" s="39">
        <f>IF(F313="","",IFERROR(VALUE(MID(F313,LEN(F313)-3,3)),""))</f>
        <v/>
      </c>
      <c r="R313" s="33">
        <f>IF(Q313="","",P313&amp;"|"&amp;Q313)</f>
        <v/>
      </c>
      <c r="S313" s="33">
        <f>IF(Q313="","",IF(P313="À RENSEIGNER","GIC",P313)&amp;"-"&amp;TEXT(Q313,"000"))</f>
        <v/>
      </c>
      <c r="T313" s="33">
        <f>IF(R313="","",IFERROR(INDEX(Cl_nom,MATCH(R313,Cl_cle,0)),"(client introuvable)"))</f>
        <v/>
      </c>
      <c r="U313" s="33">
        <f>IF(R313="","",IFERROR(INDEX(Cl_quartier,MATCH(R313,Cl_cle,0))&amp;"",""))</f>
        <v/>
      </c>
      <c r="V313" s="34">
        <f>IF(C313="","",YEAR(C313-WEEKDAY(C313,2)+4)&amp;"-S"&amp;TEXT(INT((C313-DATE(YEAR(C313-WEEKDAY(C313,2)+4),1,3)+WEEKDAY(DATE(YEAR(C313-WEEKDAY(C313,2)+4),1,3),2)+5)/7),"00"))</f>
        <v/>
      </c>
    </row>
    <row r="314" ht="18" customHeight="1">
      <c r="A314" s="39" t="n">
        <v>309</v>
      </c>
      <c r="B314" s="33">
        <f>IF(C314="","",IF(P314="À RENSEIGNER","GIC",P314)&amp;"-V"&amp;TEXT(A314,"00000"))</f>
        <v/>
      </c>
      <c r="C314" s="32" t="n"/>
      <c r="D314" s="35" t="n"/>
      <c r="E314" s="36" t="n"/>
      <c r="F314" s="36" t="n"/>
      <c r="G314" s="36" t="n"/>
      <c r="H314" s="36" t="n"/>
      <c r="I314" s="36" t="n"/>
      <c r="J314" s="37" t="n"/>
      <c r="K314" s="32" t="n"/>
      <c r="L314" s="36" t="n"/>
      <c r="M314" s="41" t="n"/>
      <c r="N314" s="41" t="n"/>
      <c r="O314" s="36" t="n"/>
      <c r="P314" s="33">
        <f>IF(C314="","",Commercial_Id)</f>
        <v/>
      </c>
      <c r="Q314" s="39">
        <f>IF(F314="","",IFERROR(VALUE(MID(F314,LEN(F314)-3,3)),""))</f>
        <v/>
      </c>
      <c r="R314" s="33">
        <f>IF(Q314="","",P314&amp;"|"&amp;Q314)</f>
        <v/>
      </c>
      <c r="S314" s="33">
        <f>IF(Q314="","",IF(P314="À RENSEIGNER","GIC",P314)&amp;"-"&amp;TEXT(Q314,"000"))</f>
        <v/>
      </c>
      <c r="T314" s="33">
        <f>IF(R314="","",IFERROR(INDEX(Cl_nom,MATCH(R314,Cl_cle,0)),"(client introuvable)"))</f>
        <v/>
      </c>
      <c r="U314" s="33">
        <f>IF(R314="","",IFERROR(INDEX(Cl_quartier,MATCH(R314,Cl_cle,0))&amp;"",""))</f>
        <v/>
      </c>
      <c r="V314" s="34">
        <f>IF(C314="","",YEAR(C314-WEEKDAY(C314,2)+4)&amp;"-S"&amp;TEXT(INT((C314-DATE(YEAR(C314-WEEKDAY(C314,2)+4),1,3)+WEEKDAY(DATE(YEAR(C314-WEEKDAY(C314,2)+4),1,3),2)+5)/7),"00"))</f>
        <v/>
      </c>
    </row>
    <row r="315" ht="18" customHeight="1">
      <c r="A315" s="39" t="n">
        <v>310</v>
      </c>
      <c r="B315" s="33">
        <f>IF(C315="","",IF(P315="À RENSEIGNER","GIC",P315)&amp;"-V"&amp;TEXT(A315,"00000"))</f>
        <v/>
      </c>
      <c r="C315" s="32" t="n"/>
      <c r="D315" s="35" t="n"/>
      <c r="E315" s="36" t="n"/>
      <c r="F315" s="36" t="n"/>
      <c r="G315" s="36" t="n"/>
      <c r="H315" s="36" t="n"/>
      <c r="I315" s="36" t="n"/>
      <c r="J315" s="37" t="n"/>
      <c r="K315" s="32" t="n"/>
      <c r="L315" s="36" t="n"/>
      <c r="M315" s="41" t="n"/>
      <c r="N315" s="41" t="n"/>
      <c r="O315" s="36" t="n"/>
      <c r="P315" s="33">
        <f>IF(C315="","",Commercial_Id)</f>
        <v/>
      </c>
      <c r="Q315" s="39">
        <f>IF(F315="","",IFERROR(VALUE(MID(F315,LEN(F315)-3,3)),""))</f>
        <v/>
      </c>
      <c r="R315" s="33">
        <f>IF(Q315="","",P315&amp;"|"&amp;Q315)</f>
        <v/>
      </c>
      <c r="S315" s="33">
        <f>IF(Q315="","",IF(P315="À RENSEIGNER","GIC",P315)&amp;"-"&amp;TEXT(Q315,"000"))</f>
        <v/>
      </c>
      <c r="T315" s="33">
        <f>IF(R315="","",IFERROR(INDEX(Cl_nom,MATCH(R315,Cl_cle,0)),"(client introuvable)"))</f>
        <v/>
      </c>
      <c r="U315" s="33">
        <f>IF(R315="","",IFERROR(INDEX(Cl_quartier,MATCH(R315,Cl_cle,0))&amp;"",""))</f>
        <v/>
      </c>
      <c r="V315" s="34">
        <f>IF(C315="","",YEAR(C315-WEEKDAY(C315,2)+4)&amp;"-S"&amp;TEXT(INT((C315-DATE(YEAR(C315-WEEKDAY(C315,2)+4),1,3)+WEEKDAY(DATE(YEAR(C315-WEEKDAY(C315,2)+4),1,3),2)+5)/7),"00"))</f>
        <v/>
      </c>
    </row>
    <row r="316" ht="18" customHeight="1">
      <c r="A316" s="39" t="n">
        <v>311</v>
      </c>
      <c r="B316" s="33">
        <f>IF(C316="","",IF(P316="À RENSEIGNER","GIC",P316)&amp;"-V"&amp;TEXT(A316,"00000"))</f>
        <v/>
      </c>
      <c r="C316" s="32" t="n"/>
      <c r="D316" s="35" t="n"/>
      <c r="E316" s="36" t="n"/>
      <c r="F316" s="36" t="n"/>
      <c r="G316" s="36" t="n"/>
      <c r="H316" s="36" t="n"/>
      <c r="I316" s="36" t="n"/>
      <c r="J316" s="37" t="n"/>
      <c r="K316" s="32" t="n"/>
      <c r="L316" s="36" t="n"/>
      <c r="M316" s="41" t="n"/>
      <c r="N316" s="41" t="n"/>
      <c r="O316" s="36" t="n"/>
      <c r="P316" s="33">
        <f>IF(C316="","",Commercial_Id)</f>
        <v/>
      </c>
      <c r="Q316" s="39">
        <f>IF(F316="","",IFERROR(VALUE(MID(F316,LEN(F316)-3,3)),""))</f>
        <v/>
      </c>
      <c r="R316" s="33">
        <f>IF(Q316="","",P316&amp;"|"&amp;Q316)</f>
        <v/>
      </c>
      <c r="S316" s="33">
        <f>IF(Q316="","",IF(P316="À RENSEIGNER","GIC",P316)&amp;"-"&amp;TEXT(Q316,"000"))</f>
        <v/>
      </c>
      <c r="T316" s="33">
        <f>IF(R316="","",IFERROR(INDEX(Cl_nom,MATCH(R316,Cl_cle,0)),"(client introuvable)"))</f>
        <v/>
      </c>
      <c r="U316" s="33">
        <f>IF(R316="","",IFERROR(INDEX(Cl_quartier,MATCH(R316,Cl_cle,0))&amp;"",""))</f>
        <v/>
      </c>
      <c r="V316" s="34">
        <f>IF(C316="","",YEAR(C316-WEEKDAY(C316,2)+4)&amp;"-S"&amp;TEXT(INT((C316-DATE(YEAR(C316-WEEKDAY(C316,2)+4),1,3)+WEEKDAY(DATE(YEAR(C316-WEEKDAY(C316,2)+4),1,3),2)+5)/7),"00"))</f>
        <v/>
      </c>
    </row>
    <row r="317" ht="18" customHeight="1">
      <c r="A317" s="39" t="n">
        <v>312</v>
      </c>
      <c r="B317" s="33">
        <f>IF(C317="","",IF(P317="À RENSEIGNER","GIC",P317)&amp;"-V"&amp;TEXT(A317,"00000"))</f>
        <v/>
      </c>
      <c r="C317" s="32" t="n"/>
      <c r="D317" s="35" t="n"/>
      <c r="E317" s="36" t="n"/>
      <c r="F317" s="36" t="n"/>
      <c r="G317" s="36" t="n"/>
      <c r="H317" s="36" t="n"/>
      <c r="I317" s="36" t="n"/>
      <c r="J317" s="37" t="n"/>
      <c r="K317" s="32" t="n"/>
      <c r="L317" s="36" t="n"/>
      <c r="M317" s="41" t="n"/>
      <c r="N317" s="41" t="n"/>
      <c r="O317" s="36" t="n"/>
      <c r="P317" s="33">
        <f>IF(C317="","",Commercial_Id)</f>
        <v/>
      </c>
      <c r="Q317" s="39">
        <f>IF(F317="","",IFERROR(VALUE(MID(F317,LEN(F317)-3,3)),""))</f>
        <v/>
      </c>
      <c r="R317" s="33">
        <f>IF(Q317="","",P317&amp;"|"&amp;Q317)</f>
        <v/>
      </c>
      <c r="S317" s="33">
        <f>IF(Q317="","",IF(P317="À RENSEIGNER","GIC",P317)&amp;"-"&amp;TEXT(Q317,"000"))</f>
        <v/>
      </c>
      <c r="T317" s="33">
        <f>IF(R317="","",IFERROR(INDEX(Cl_nom,MATCH(R317,Cl_cle,0)),"(client introuvable)"))</f>
        <v/>
      </c>
      <c r="U317" s="33">
        <f>IF(R317="","",IFERROR(INDEX(Cl_quartier,MATCH(R317,Cl_cle,0))&amp;"",""))</f>
        <v/>
      </c>
      <c r="V317" s="34">
        <f>IF(C317="","",YEAR(C317-WEEKDAY(C317,2)+4)&amp;"-S"&amp;TEXT(INT((C317-DATE(YEAR(C317-WEEKDAY(C317,2)+4),1,3)+WEEKDAY(DATE(YEAR(C317-WEEKDAY(C317,2)+4),1,3),2)+5)/7),"00"))</f>
        <v/>
      </c>
    </row>
    <row r="318" ht="18" customHeight="1">
      <c r="A318" s="39" t="n">
        <v>313</v>
      </c>
      <c r="B318" s="33">
        <f>IF(C318="","",IF(P318="À RENSEIGNER","GIC",P318)&amp;"-V"&amp;TEXT(A318,"00000"))</f>
        <v/>
      </c>
      <c r="C318" s="32" t="n"/>
      <c r="D318" s="35" t="n"/>
      <c r="E318" s="36" t="n"/>
      <c r="F318" s="36" t="n"/>
      <c r="G318" s="36" t="n"/>
      <c r="H318" s="36" t="n"/>
      <c r="I318" s="36" t="n"/>
      <c r="J318" s="37" t="n"/>
      <c r="K318" s="32" t="n"/>
      <c r="L318" s="36" t="n"/>
      <c r="M318" s="41" t="n"/>
      <c r="N318" s="41" t="n"/>
      <c r="O318" s="36" t="n"/>
      <c r="P318" s="33">
        <f>IF(C318="","",Commercial_Id)</f>
        <v/>
      </c>
      <c r="Q318" s="39">
        <f>IF(F318="","",IFERROR(VALUE(MID(F318,LEN(F318)-3,3)),""))</f>
        <v/>
      </c>
      <c r="R318" s="33">
        <f>IF(Q318="","",P318&amp;"|"&amp;Q318)</f>
        <v/>
      </c>
      <c r="S318" s="33">
        <f>IF(Q318="","",IF(P318="À RENSEIGNER","GIC",P318)&amp;"-"&amp;TEXT(Q318,"000"))</f>
        <v/>
      </c>
      <c r="T318" s="33">
        <f>IF(R318="","",IFERROR(INDEX(Cl_nom,MATCH(R318,Cl_cle,0)),"(client introuvable)"))</f>
        <v/>
      </c>
      <c r="U318" s="33">
        <f>IF(R318="","",IFERROR(INDEX(Cl_quartier,MATCH(R318,Cl_cle,0))&amp;"",""))</f>
        <v/>
      </c>
      <c r="V318" s="34">
        <f>IF(C318="","",YEAR(C318-WEEKDAY(C318,2)+4)&amp;"-S"&amp;TEXT(INT((C318-DATE(YEAR(C318-WEEKDAY(C318,2)+4),1,3)+WEEKDAY(DATE(YEAR(C318-WEEKDAY(C318,2)+4),1,3),2)+5)/7),"00"))</f>
        <v/>
      </c>
    </row>
    <row r="319" ht="18" customHeight="1">
      <c r="A319" s="39" t="n">
        <v>314</v>
      </c>
      <c r="B319" s="33">
        <f>IF(C319="","",IF(P319="À RENSEIGNER","GIC",P319)&amp;"-V"&amp;TEXT(A319,"00000"))</f>
        <v/>
      </c>
      <c r="C319" s="32" t="n"/>
      <c r="D319" s="35" t="n"/>
      <c r="E319" s="36" t="n"/>
      <c r="F319" s="36" t="n"/>
      <c r="G319" s="36" t="n"/>
      <c r="H319" s="36" t="n"/>
      <c r="I319" s="36" t="n"/>
      <c r="J319" s="37" t="n"/>
      <c r="K319" s="32" t="n"/>
      <c r="L319" s="36" t="n"/>
      <c r="M319" s="41" t="n"/>
      <c r="N319" s="41" t="n"/>
      <c r="O319" s="36" t="n"/>
      <c r="P319" s="33">
        <f>IF(C319="","",Commercial_Id)</f>
        <v/>
      </c>
      <c r="Q319" s="39">
        <f>IF(F319="","",IFERROR(VALUE(MID(F319,LEN(F319)-3,3)),""))</f>
        <v/>
      </c>
      <c r="R319" s="33">
        <f>IF(Q319="","",P319&amp;"|"&amp;Q319)</f>
        <v/>
      </c>
      <c r="S319" s="33">
        <f>IF(Q319="","",IF(P319="À RENSEIGNER","GIC",P319)&amp;"-"&amp;TEXT(Q319,"000"))</f>
        <v/>
      </c>
      <c r="T319" s="33">
        <f>IF(R319="","",IFERROR(INDEX(Cl_nom,MATCH(R319,Cl_cle,0)),"(client introuvable)"))</f>
        <v/>
      </c>
      <c r="U319" s="33">
        <f>IF(R319="","",IFERROR(INDEX(Cl_quartier,MATCH(R319,Cl_cle,0))&amp;"",""))</f>
        <v/>
      </c>
      <c r="V319" s="34">
        <f>IF(C319="","",YEAR(C319-WEEKDAY(C319,2)+4)&amp;"-S"&amp;TEXT(INT((C319-DATE(YEAR(C319-WEEKDAY(C319,2)+4),1,3)+WEEKDAY(DATE(YEAR(C319-WEEKDAY(C319,2)+4),1,3),2)+5)/7),"00"))</f>
        <v/>
      </c>
    </row>
    <row r="320" ht="18" customHeight="1">
      <c r="A320" s="39" t="n">
        <v>315</v>
      </c>
      <c r="B320" s="33">
        <f>IF(C320="","",IF(P320="À RENSEIGNER","GIC",P320)&amp;"-V"&amp;TEXT(A320,"00000"))</f>
        <v/>
      </c>
      <c r="C320" s="32" t="n"/>
      <c r="D320" s="35" t="n"/>
      <c r="E320" s="36" t="n"/>
      <c r="F320" s="36" t="n"/>
      <c r="G320" s="36" t="n"/>
      <c r="H320" s="36" t="n"/>
      <c r="I320" s="36" t="n"/>
      <c r="J320" s="37" t="n"/>
      <c r="K320" s="32" t="n"/>
      <c r="L320" s="36" t="n"/>
      <c r="M320" s="41" t="n"/>
      <c r="N320" s="41" t="n"/>
      <c r="O320" s="36" t="n"/>
      <c r="P320" s="33">
        <f>IF(C320="","",Commercial_Id)</f>
        <v/>
      </c>
      <c r="Q320" s="39">
        <f>IF(F320="","",IFERROR(VALUE(MID(F320,LEN(F320)-3,3)),""))</f>
        <v/>
      </c>
      <c r="R320" s="33">
        <f>IF(Q320="","",P320&amp;"|"&amp;Q320)</f>
        <v/>
      </c>
      <c r="S320" s="33">
        <f>IF(Q320="","",IF(P320="À RENSEIGNER","GIC",P320)&amp;"-"&amp;TEXT(Q320,"000"))</f>
        <v/>
      </c>
      <c r="T320" s="33">
        <f>IF(R320="","",IFERROR(INDEX(Cl_nom,MATCH(R320,Cl_cle,0)),"(client introuvable)"))</f>
        <v/>
      </c>
      <c r="U320" s="33">
        <f>IF(R320="","",IFERROR(INDEX(Cl_quartier,MATCH(R320,Cl_cle,0))&amp;"",""))</f>
        <v/>
      </c>
      <c r="V320" s="34">
        <f>IF(C320="","",YEAR(C320-WEEKDAY(C320,2)+4)&amp;"-S"&amp;TEXT(INT((C320-DATE(YEAR(C320-WEEKDAY(C320,2)+4),1,3)+WEEKDAY(DATE(YEAR(C320-WEEKDAY(C320,2)+4),1,3),2)+5)/7),"00"))</f>
        <v/>
      </c>
    </row>
    <row r="321" ht="18" customHeight="1">
      <c r="A321" s="39" t="n">
        <v>316</v>
      </c>
      <c r="B321" s="33">
        <f>IF(C321="","",IF(P321="À RENSEIGNER","GIC",P321)&amp;"-V"&amp;TEXT(A321,"00000"))</f>
        <v/>
      </c>
      <c r="C321" s="32" t="n"/>
      <c r="D321" s="35" t="n"/>
      <c r="E321" s="36" t="n"/>
      <c r="F321" s="36" t="n"/>
      <c r="G321" s="36" t="n"/>
      <c r="H321" s="36" t="n"/>
      <c r="I321" s="36" t="n"/>
      <c r="J321" s="37" t="n"/>
      <c r="K321" s="32" t="n"/>
      <c r="L321" s="36" t="n"/>
      <c r="M321" s="41" t="n"/>
      <c r="N321" s="41" t="n"/>
      <c r="O321" s="36" t="n"/>
      <c r="P321" s="33">
        <f>IF(C321="","",Commercial_Id)</f>
        <v/>
      </c>
      <c r="Q321" s="39">
        <f>IF(F321="","",IFERROR(VALUE(MID(F321,LEN(F321)-3,3)),""))</f>
        <v/>
      </c>
      <c r="R321" s="33">
        <f>IF(Q321="","",P321&amp;"|"&amp;Q321)</f>
        <v/>
      </c>
      <c r="S321" s="33">
        <f>IF(Q321="","",IF(P321="À RENSEIGNER","GIC",P321)&amp;"-"&amp;TEXT(Q321,"000"))</f>
        <v/>
      </c>
      <c r="T321" s="33">
        <f>IF(R321="","",IFERROR(INDEX(Cl_nom,MATCH(R321,Cl_cle,0)),"(client introuvable)"))</f>
        <v/>
      </c>
      <c r="U321" s="33">
        <f>IF(R321="","",IFERROR(INDEX(Cl_quartier,MATCH(R321,Cl_cle,0))&amp;"",""))</f>
        <v/>
      </c>
      <c r="V321" s="34">
        <f>IF(C321="","",YEAR(C321-WEEKDAY(C321,2)+4)&amp;"-S"&amp;TEXT(INT((C321-DATE(YEAR(C321-WEEKDAY(C321,2)+4),1,3)+WEEKDAY(DATE(YEAR(C321-WEEKDAY(C321,2)+4),1,3),2)+5)/7),"00"))</f>
        <v/>
      </c>
    </row>
    <row r="322" ht="18" customHeight="1">
      <c r="A322" s="39" t="n">
        <v>317</v>
      </c>
      <c r="B322" s="33">
        <f>IF(C322="","",IF(P322="À RENSEIGNER","GIC",P322)&amp;"-V"&amp;TEXT(A322,"00000"))</f>
        <v/>
      </c>
      <c r="C322" s="32" t="n"/>
      <c r="D322" s="35" t="n"/>
      <c r="E322" s="36" t="n"/>
      <c r="F322" s="36" t="n"/>
      <c r="G322" s="36" t="n"/>
      <c r="H322" s="36" t="n"/>
      <c r="I322" s="36" t="n"/>
      <c r="J322" s="37" t="n"/>
      <c r="K322" s="32" t="n"/>
      <c r="L322" s="36" t="n"/>
      <c r="M322" s="41" t="n"/>
      <c r="N322" s="41" t="n"/>
      <c r="O322" s="36" t="n"/>
      <c r="P322" s="33">
        <f>IF(C322="","",Commercial_Id)</f>
        <v/>
      </c>
      <c r="Q322" s="39">
        <f>IF(F322="","",IFERROR(VALUE(MID(F322,LEN(F322)-3,3)),""))</f>
        <v/>
      </c>
      <c r="R322" s="33">
        <f>IF(Q322="","",P322&amp;"|"&amp;Q322)</f>
        <v/>
      </c>
      <c r="S322" s="33">
        <f>IF(Q322="","",IF(P322="À RENSEIGNER","GIC",P322)&amp;"-"&amp;TEXT(Q322,"000"))</f>
        <v/>
      </c>
      <c r="T322" s="33">
        <f>IF(R322="","",IFERROR(INDEX(Cl_nom,MATCH(R322,Cl_cle,0)),"(client introuvable)"))</f>
        <v/>
      </c>
      <c r="U322" s="33">
        <f>IF(R322="","",IFERROR(INDEX(Cl_quartier,MATCH(R322,Cl_cle,0))&amp;"",""))</f>
        <v/>
      </c>
      <c r="V322" s="34">
        <f>IF(C322="","",YEAR(C322-WEEKDAY(C322,2)+4)&amp;"-S"&amp;TEXT(INT((C322-DATE(YEAR(C322-WEEKDAY(C322,2)+4),1,3)+WEEKDAY(DATE(YEAR(C322-WEEKDAY(C322,2)+4),1,3),2)+5)/7),"00"))</f>
        <v/>
      </c>
    </row>
    <row r="323" ht="18" customHeight="1">
      <c r="A323" s="39" t="n">
        <v>318</v>
      </c>
      <c r="B323" s="33">
        <f>IF(C323="","",IF(P323="À RENSEIGNER","GIC",P323)&amp;"-V"&amp;TEXT(A323,"00000"))</f>
        <v/>
      </c>
      <c r="C323" s="32" t="n"/>
      <c r="D323" s="35" t="n"/>
      <c r="E323" s="36" t="n"/>
      <c r="F323" s="36" t="n"/>
      <c r="G323" s="36" t="n"/>
      <c r="H323" s="36" t="n"/>
      <c r="I323" s="36" t="n"/>
      <c r="J323" s="37" t="n"/>
      <c r="K323" s="32" t="n"/>
      <c r="L323" s="36" t="n"/>
      <c r="M323" s="41" t="n"/>
      <c r="N323" s="41" t="n"/>
      <c r="O323" s="36" t="n"/>
      <c r="P323" s="33">
        <f>IF(C323="","",Commercial_Id)</f>
        <v/>
      </c>
      <c r="Q323" s="39">
        <f>IF(F323="","",IFERROR(VALUE(MID(F323,LEN(F323)-3,3)),""))</f>
        <v/>
      </c>
      <c r="R323" s="33">
        <f>IF(Q323="","",P323&amp;"|"&amp;Q323)</f>
        <v/>
      </c>
      <c r="S323" s="33">
        <f>IF(Q323="","",IF(P323="À RENSEIGNER","GIC",P323)&amp;"-"&amp;TEXT(Q323,"000"))</f>
        <v/>
      </c>
      <c r="T323" s="33">
        <f>IF(R323="","",IFERROR(INDEX(Cl_nom,MATCH(R323,Cl_cle,0)),"(client introuvable)"))</f>
        <v/>
      </c>
      <c r="U323" s="33">
        <f>IF(R323="","",IFERROR(INDEX(Cl_quartier,MATCH(R323,Cl_cle,0))&amp;"",""))</f>
        <v/>
      </c>
      <c r="V323" s="34">
        <f>IF(C323="","",YEAR(C323-WEEKDAY(C323,2)+4)&amp;"-S"&amp;TEXT(INT((C323-DATE(YEAR(C323-WEEKDAY(C323,2)+4),1,3)+WEEKDAY(DATE(YEAR(C323-WEEKDAY(C323,2)+4),1,3),2)+5)/7),"00"))</f>
        <v/>
      </c>
    </row>
    <row r="324" ht="18" customHeight="1">
      <c r="A324" s="39" t="n">
        <v>319</v>
      </c>
      <c r="B324" s="33">
        <f>IF(C324="","",IF(P324="À RENSEIGNER","GIC",P324)&amp;"-V"&amp;TEXT(A324,"00000"))</f>
        <v/>
      </c>
      <c r="C324" s="32" t="n"/>
      <c r="D324" s="35" t="n"/>
      <c r="E324" s="36" t="n"/>
      <c r="F324" s="36" t="n"/>
      <c r="G324" s="36" t="n"/>
      <c r="H324" s="36" t="n"/>
      <c r="I324" s="36" t="n"/>
      <c r="J324" s="37" t="n"/>
      <c r="K324" s="32" t="n"/>
      <c r="L324" s="36" t="n"/>
      <c r="M324" s="41" t="n"/>
      <c r="N324" s="41" t="n"/>
      <c r="O324" s="36" t="n"/>
      <c r="P324" s="33">
        <f>IF(C324="","",Commercial_Id)</f>
        <v/>
      </c>
      <c r="Q324" s="39">
        <f>IF(F324="","",IFERROR(VALUE(MID(F324,LEN(F324)-3,3)),""))</f>
        <v/>
      </c>
      <c r="R324" s="33">
        <f>IF(Q324="","",P324&amp;"|"&amp;Q324)</f>
        <v/>
      </c>
      <c r="S324" s="33">
        <f>IF(Q324="","",IF(P324="À RENSEIGNER","GIC",P324)&amp;"-"&amp;TEXT(Q324,"000"))</f>
        <v/>
      </c>
      <c r="T324" s="33">
        <f>IF(R324="","",IFERROR(INDEX(Cl_nom,MATCH(R324,Cl_cle,0)),"(client introuvable)"))</f>
        <v/>
      </c>
      <c r="U324" s="33">
        <f>IF(R324="","",IFERROR(INDEX(Cl_quartier,MATCH(R324,Cl_cle,0))&amp;"",""))</f>
        <v/>
      </c>
      <c r="V324" s="34">
        <f>IF(C324="","",YEAR(C324-WEEKDAY(C324,2)+4)&amp;"-S"&amp;TEXT(INT((C324-DATE(YEAR(C324-WEEKDAY(C324,2)+4),1,3)+WEEKDAY(DATE(YEAR(C324-WEEKDAY(C324,2)+4),1,3),2)+5)/7),"00"))</f>
        <v/>
      </c>
    </row>
    <row r="325" ht="18" customHeight="1">
      <c r="A325" s="39" t="n">
        <v>320</v>
      </c>
      <c r="B325" s="33">
        <f>IF(C325="","",IF(P325="À RENSEIGNER","GIC",P325)&amp;"-V"&amp;TEXT(A325,"00000"))</f>
        <v/>
      </c>
      <c r="C325" s="32" t="n"/>
      <c r="D325" s="35" t="n"/>
      <c r="E325" s="36" t="n"/>
      <c r="F325" s="36" t="n"/>
      <c r="G325" s="36" t="n"/>
      <c r="H325" s="36" t="n"/>
      <c r="I325" s="36" t="n"/>
      <c r="J325" s="37" t="n"/>
      <c r="K325" s="32" t="n"/>
      <c r="L325" s="36" t="n"/>
      <c r="M325" s="41" t="n"/>
      <c r="N325" s="41" t="n"/>
      <c r="O325" s="36" t="n"/>
      <c r="P325" s="33">
        <f>IF(C325="","",Commercial_Id)</f>
        <v/>
      </c>
      <c r="Q325" s="39">
        <f>IF(F325="","",IFERROR(VALUE(MID(F325,LEN(F325)-3,3)),""))</f>
        <v/>
      </c>
      <c r="R325" s="33">
        <f>IF(Q325="","",P325&amp;"|"&amp;Q325)</f>
        <v/>
      </c>
      <c r="S325" s="33">
        <f>IF(Q325="","",IF(P325="À RENSEIGNER","GIC",P325)&amp;"-"&amp;TEXT(Q325,"000"))</f>
        <v/>
      </c>
      <c r="T325" s="33">
        <f>IF(R325="","",IFERROR(INDEX(Cl_nom,MATCH(R325,Cl_cle,0)),"(client introuvable)"))</f>
        <v/>
      </c>
      <c r="U325" s="33">
        <f>IF(R325="","",IFERROR(INDEX(Cl_quartier,MATCH(R325,Cl_cle,0))&amp;"",""))</f>
        <v/>
      </c>
      <c r="V325" s="34">
        <f>IF(C325="","",YEAR(C325-WEEKDAY(C325,2)+4)&amp;"-S"&amp;TEXT(INT((C325-DATE(YEAR(C325-WEEKDAY(C325,2)+4),1,3)+WEEKDAY(DATE(YEAR(C325-WEEKDAY(C325,2)+4),1,3),2)+5)/7),"00"))</f>
        <v/>
      </c>
    </row>
    <row r="326" ht="18" customHeight="1">
      <c r="A326" s="39" t="n">
        <v>321</v>
      </c>
      <c r="B326" s="33">
        <f>IF(C326="","",IF(P326="À RENSEIGNER","GIC",P326)&amp;"-V"&amp;TEXT(A326,"00000"))</f>
        <v/>
      </c>
      <c r="C326" s="32" t="n"/>
      <c r="D326" s="35" t="n"/>
      <c r="E326" s="36" t="n"/>
      <c r="F326" s="36" t="n"/>
      <c r="G326" s="36" t="n"/>
      <c r="H326" s="36" t="n"/>
      <c r="I326" s="36" t="n"/>
      <c r="J326" s="37" t="n"/>
      <c r="K326" s="32" t="n"/>
      <c r="L326" s="36" t="n"/>
      <c r="M326" s="41" t="n"/>
      <c r="N326" s="41" t="n"/>
      <c r="O326" s="36" t="n"/>
      <c r="P326" s="33">
        <f>IF(C326="","",Commercial_Id)</f>
        <v/>
      </c>
      <c r="Q326" s="39">
        <f>IF(F326="","",IFERROR(VALUE(MID(F326,LEN(F326)-3,3)),""))</f>
        <v/>
      </c>
      <c r="R326" s="33">
        <f>IF(Q326="","",P326&amp;"|"&amp;Q326)</f>
        <v/>
      </c>
      <c r="S326" s="33">
        <f>IF(Q326="","",IF(P326="À RENSEIGNER","GIC",P326)&amp;"-"&amp;TEXT(Q326,"000"))</f>
        <v/>
      </c>
      <c r="T326" s="33">
        <f>IF(R326="","",IFERROR(INDEX(Cl_nom,MATCH(R326,Cl_cle,0)),"(client introuvable)"))</f>
        <v/>
      </c>
      <c r="U326" s="33">
        <f>IF(R326="","",IFERROR(INDEX(Cl_quartier,MATCH(R326,Cl_cle,0))&amp;"",""))</f>
        <v/>
      </c>
      <c r="V326" s="34">
        <f>IF(C326="","",YEAR(C326-WEEKDAY(C326,2)+4)&amp;"-S"&amp;TEXT(INT((C326-DATE(YEAR(C326-WEEKDAY(C326,2)+4),1,3)+WEEKDAY(DATE(YEAR(C326-WEEKDAY(C326,2)+4),1,3),2)+5)/7),"00"))</f>
        <v/>
      </c>
    </row>
    <row r="327" ht="18" customHeight="1">
      <c r="A327" s="39" t="n">
        <v>322</v>
      </c>
      <c r="B327" s="33">
        <f>IF(C327="","",IF(P327="À RENSEIGNER","GIC",P327)&amp;"-V"&amp;TEXT(A327,"00000"))</f>
        <v/>
      </c>
      <c r="C327" s="32" t="n"/>
      <c r="D327" s="35" t="n"/>
      <c r="E327" s="36" t="n"/>
      <c r="F327" s="36" t="n"/>
      <c r="G327" s="36" t="n"/>
      <c r="H327" s="36" t="n"/>
      <c r="I327" s="36" t="n"/>
      <c r="J327" s="37" t="n"/>
      <c r="K327" s="32" t="n"/>
      <c r="L327" s="36" t="n"/>
      <c r="M327" s="41" t="n"/>
      <c r="N327" s="41" t="n"/>
      <c r="O327" s="36" t="n"/>
      <c r="P327" s="33">
        <f>IF(C327="","",Commercial_Id)</f>
        <v/>
      </c>
      <c r="Q327" s="39">
        <f>IF(F327="","",IFERROR(VALUE(MID(F327,LEN(F327)-3,3)),""))</f>
        <v/>
      </c>
      <c r="R327" s="33">
        <f>IF(Q327="","",P327&amp;"|"&amp;Q327)</f>
        <v/>
      </c>
      <c r="S327" s="33">
        <f>IF(Q327="","",IF(P327="À RENSEIGNER","GIC",P327)&amp;"-"&amp;TEXT(Q327,"000"))</f>
        <v/>
      </c>
      <c r="T327" s="33">
        <f>IF(R327="","",IFERROR(INDEX(Cl_nom,MATCH(R327,Cl_cle,0)),"(client introuvable)"))</f>
        <v/>
      </c>
      <c r="U327" s="33">
        <f>IF(R327="","",IFERROR(INDEX(Cl_quartier,MATCH(R327,Cl_cle,0))&amp;"",""))</f>
        <v/>
      </c>
      <c r="V327" s="34">
        <f>IF(C327="","",YEAR(C327-WEEKDAY(C327,2)+4)&amp;"-S"&amp;TEXT(INT((C327-DATE(YEAR(C327-WEEKDAY(C327,2)+4),1,3)+WEEKDAY(DATE(YEAR(C327-WEEKDAY(C327,2)+4),1,3),2)+5)/7),"00"))</f>
        <v/>
      </c>
    </row>
    <row r="328" ht="18" customHeight="1">
      <c r="A328" s="39" t="n">
        <v>323</v>
      </c>
      <c r="B328" s="33">
        <f>IF(C328="","",IF(P328="À RENSEIGNER","GIC",P328)&amp;"-V"&amp;TEXT(A328,"00000"))</f>
        <v/>
      </c>
      <c r="C328" s="32" t="n"/>
      <c r="D328" s="35" t="n"/>
      <c r="E328" s="36" t="n"/>
      <c r="F328" s="36" t="n"/>
      <c r="G328" s="36" t="n"/>
      <c r="H328" s="36" t="n"/>
      <c r="I328" s="36" t="n"/>
      <c r="J328" s="37" t="n"/>
      <c r="K328" s="32" t="n"/>
      <c r="L328" s="36" t="n"/>
      <c r="M328" s="41" t="n"/>
      <c r="N328" s="41" t="n"/>
      <c r="O328" s="36" t="n"/>
      <c r="P328" s="33">
        <f>IF(C328="","",Commercial_Id)</f>
        <v/>
      </c>
      <c r="Q328" s="39">
        <f>IF(F328="","",IFERROR(VALUE(MID(F328,LEN(F328)-3,3)),""))</f>
        <v/>
      </c>
      <c r="R328" s="33">
        <f>IF(Q328="","",P328&amp;"|"&amp;Q328)</f>
        <v/>
      </c>
      <c r="S328" s="33">
        <f>IF(Q328="","",IF(P328="À RENSEIGNER","GIC",P328)&amp;"-"&amp;TEXT(Q328,"000"))</f>
        <v/>
      </c>
      <c r="T328" s="33">
        <f>IF(R328="","",IFERROR(INDEX(Cl_nom,MATCH(R328,Cl_cle,0)),"(client introuvable)"))</f>
        <v/>
      </c>
      <c r="U328" s="33">
        <f>IF(R328="","",IFERROR(INDEX(Cl_quartier,MATCH(R328,Cl_cle,0))&amp;"",""))</f>
        <v/>
      </c>
      <c r="V328" s="34">
        <f>IF(C328="","",YEAR(C328-WEEKDAY(C328,2)+4)&amp;"-S"&amp;TEXT(INT((C328-DATE(YEAR(C328-WEEKDAY(C328,2)+4),1,3)+WEEKDAY(DATE(YEAR(C328-WEEKDAY(C328,2)+4),1,3),2)+5)/7),"00"))</f>
        <v/>
      </c>
    </row>
    <row r="329" ht="18" customHeight="1">
      <c r="A329" s="39" t="n">
        <v>324</v>
      </c>
      <c r="B329" s="33">
        <f>IF(C329="","",IF(P329="À RENSEIGNER","GIC",P329)&amp;"-V"&amp;TEXT(A329,"00000"))</f>
        <v/>
      </c>
      <c r="C329" s="32" t="n"/>
      <c r="D329" s="35" t="n"/>
      <c r="E329" s="36" t="n"/>
      <c r="F329" s="36" t="n"/>
      <c r="G329" s="36" t="n"/>
      <c r="H329" s="36" t="n"/>
      <c r="I329" s="36" t="n"/>
      <c r="J329" s="37" t="n"/>
      <c r="K329" s="32" t="n"/>
      <c r="L329" s="36" t="n"/>
      <c r="M329" s="41" t="n"/>
      <c r="N329" s="41" t="n"/>
      <c r="O329" s="36" t="n"/>
      <c r="P329" s="33">
        <f>IF(C329="","",Commercial_Id)</f>
        <v/>
      </c>
      <c r="Q329" s="39">
        <f>IF(F329="","",IFERROR(VALUE(MID(F329,LEN(F329)-3,3)),""))</f>
        <v/>
      </c>
      <c r="R329" s="33">
        <f>IF(Q329="","",P329&amp;"|"&amp;Q329)</f>
        <v/>
      </c>
      <c r="S329" s="33">
        <f>IF(Q329="","",IF(P329="À RENSEIGNER","GIC",P329)&amp;"-"&amp;TEXT(Q329,"000"))</f>
        <v/>
      </c>
      <c r="T329" s="33">
        <f>IF(R329="","",IFERROR(INDEX(Cl_nom,MATCH(R329,Cl_cle,0)),"(client introuvable)"))</f>
        <v/>
      </c>
      <c r="U329" s="33">
        <f>IF(R329="","",IFERROR(INDEX(Cl_quartier,MATCH(R329,Cl_cle,0))&amp;"",""))</f>
        <v/>
      </c>
      <c r="V329" s="34">
        <f>IF(C329="","",YEAR(C329-WEEKDAY(C329,2)+4)&amp;"-S"&amp;TEXT(INT((C329-DATE(YEAR(C329-WEEKDAY(C329,2)+4),1,3)+WEEKDAY(DATE(YEAR(C329-WEEKDAY(C329,2)+4),1,3),2)+5)/7),"00"))</f>
        <v/>
      </c>
    </row>
    <row r="330" ht="18" customHeight="1">
      <c r="A330" s="39" t="n">
        <v>325</v>
      </c>
      <c r="B330" s="33">
        <f>IF(C330="","",IF(P330="À RENSEIGNER","GIC",P330)&amp;"-V"&amp;TEXT(A330,"00000"))</f>
        <v/>
      </c>
      <c r="C330" s="32" t="n"/>
      <c r="D330" s="35" t="n"/>
      <c r="E330" s="36" t="n"/>
      <c r="F330" s="36" t="n"/>
      <c r="G330" s="36" t="n"/>
      <c r="H330" s="36" t="n"/>
      <c r="I330" s="36" t="n"/>
      <c r="J330" s="37" t="n"/>
      <c r="K330" s="32" t="n"/>
      <c r="L330" s="36" t="n"/>
      <c r="M330" s="41" t="n"/>
      <c r="N330" s="41" t="n"/>
      <c r="O330" s="36" t="n"/>
      <c r="P330" s="33">
        <f>IF(C330="","",Commercial_Id)</f>
        <v/>
      </c>
      <c r="Q330" s="39">
        <f>IF(F330="","",IFERROR(VALUE(MID(F330,LEN(F330)-3,3)),""))</f>
        <v/>
      </c>
      <c r="R330" s="33">
        <f>IF(Q330="","",P330&amp;"|"&amp;Q330)</f>
        <v/>
      </c>
      <c r="S330" s="33">
        <f>IF(Q330="","",IF(P330="À RENSEIGNER","GIC",P330)&amp;"-"&amp;TEXT(Q330,"000"))</f>
        <v/>
      </c>
      <c r="T330" s="33">
        <f>IF(R330="","",IFERROR(INDEX(Cl_nom,MATCH(R330,Cl_cle,0)),"(client introuvable)"))</f>
        <v/>
      </c>
      <c r="U330" s="33">
        <f>IF(R330="","",IFERROR(INDEX(Cl_quartier,MATCH(R330,Cl_cle,0))&amp;"",""))</f>
        <v/>
      </c>
      <c r="V330" s="34">
        <f>IF(C330="","",YEAR(C330-WEEKDAY(C330,2)+4)&amp;"-S"&amp;TEXT(INT((C330-DATE(YEAR(C330-WEEKDAY(C330,2)+4),1,3)+WEEKDAY(DATE(YEAR(C330-WEEKDAY(C330,2)+4),1,3),2)+5)/7),"00"))</f>
        <v/>
      </c>
    </row>
    <row r="331" ht="18" customHeight="1">
      <c r="A331" s="39" t="n">
        <v>326</v>
      </c>
      <c r="B331" s="33">
        <f>IF(C331="","",IF(P331="À RENSEIGNER","GIC",P331)&amp;"-V"&amp;TEXT(A331,"00000"))</f>
        <v/>
      </c>
      <c r="C331" s="32" t="n"/>
      <c r="D331" s="35" t="n"/>
      <c r="E331" s="36" t="n"/>
      <c r="F331" s="36" t="n"/>
      <c r="G331" s="36" t="n"/>
      <c r="H331" s="36" t="n"/>
      <c r="I331" s="36" t="n"/>
      <c r="J331" s="37" t="n"/>
      <c r="K331" s="32" t="n"/>
      <c r="L331" s="36" t="n"/>
      <c r="M331" s="41" t="n"/>
      <c r="N331" s="41" t="n"/>
      <c r="O331" s="36" t="n"/>
      <c r="P331" s="33">
        <f>IF(C331="","",Commercial_Id)</f>
        <v/>
      </c>
      <c r="Q331" s="39">
        <f>IF(F331="","",IFERROR(VALUE(MID(F331,LEN(F331)-3,3)),""))</f>
        <v/>
      </c>
      <c r="R331" s="33">
        <f>IF(Q331="","",P331&amp;"|"&amp;Q331)</f>
        <v/>
      </c>
      <c r="S331" s="33">
        <f>IF(Q331="","",IF(P331="À RENSEIGNER","GIC",P331)&amp;"-"&amp;TEXT(Q331,"000"))</f>
        <v/>
      </c>
      <c r="T331" s="33">
        <f>IF(R331="","",IFERROR(INDEX(Cl_nom,MATCH(R331,Cl_cle,0)),"(client introuvable)"))</f>
        <v/>
      </c>
      <c r="U331" s="33">
        <f>IF(R331="","",IFERROR(INDEX(Cl_quartier,MATCH(R331,Cl_cle,0))&amp;"",""))</f>
        <v/>
      </c>
      <c r="V331" s="34">
        <f>IF(C331="","",YEAR(C331-WEEKDAY(C331,2)+4)&amp;"-S"&amp;TEXT(INT((C331-DATE(YEAR(C331-WEEKDAY(C331,2)+4),1,3)+WEEKDAY(DATE(YEAR(C331-WEEKDAY(C331,2)+4),1,3),2)+5)/7),"00"))</f>
        <v/>
      </c>
    </row>
    <row r="332" ht="18" customHeight="1">
      <c r="A332" s="39" t="n">
        <v>327</v>
      </c>
      <c r="B332" s="33">
        <f>IF(C332="","",IF(P332="À RENSEIGNER","GIC",P332)&amp;"-V"&amp;TEXT(A332,"00000"))</f>
        <v/>
      </c>
      <c r="C332" s="32" t="n"/>
      <c r="D332" s="35" t="n"/>
      <c r="E332" s="36" t="n"/>
      <c r="F332" s="36" t="n"/>
      <c r="G332" s="36" t="n"/>
      <c r="H332" s="36" t="n"/>
      <c r="I332" s="36" t="n"/>
      <c r="J332" s="37" t="n"/>
      <c r="K332" s="32" t="n"/>
      <c r="L332" s="36" t="n"/>
      <c r="M332" s="41" t="n"/>
      <c r="N332" s="41" t="n"/>
      <c r="O332" s="36" t="n"/>
      <c r="P332" s="33">
        <f>IF(C332="","",Commercial_Id)</f>
        <v/>
      </c>
      <c r="Q332" s="39">
        <f>IF(F332="","",IFERROR(VALUE(MID(F332,LEN(F332)-3,3)),""))</f>
        <v/>
      </c>
      <c r="R332" s="33">
        <f>IF(Q332="","",P332&amp;"|"&amp;Q332)</f>
        <v/>
      </c>
      <c r="S332" s="33">
        <f>IF(Q332="","",IF(P332="À RENSEIGNER","GIC",P332)&amp;"-"&amp;TEXT(Q332,"000"))</f>
        <v/>
      </c>
      <c r="T332" s="33">
        <f>IF(R332="","",IFERROR(INDEX(Cl_nom,MATCH(R332,Cl_cle,0)),"(client introuvable)"))</f>
        <v/>
      </c>
      <c r="U332" s="33">
        <f>IF(R332="","",IFERROR(INDEX(Cl_quartier,MATCH(R332,Cl_cle,0))&amp;"",""))</f>
        <v/>
      </c>
      <c r="V332" s="34">
        <f>IF(C332="","",YEAR(C332-WEEKDAY(C332,2)+4)&amp;"-S"&amp;TEXT(INT((C332-DATE(YEAR(C332-WEEKDAY(C332,2)+4),1,3)+WEEKDAY(DATE(YEAR(C332-WEEKDAY(C332,2)+4),1,3),2)+5)/7),"00"))</f>
        <v/>
      </c>
    </row>
    <row r="333" ht="18" customHeight="1">
      <c r="A333" s="39" t="n">
        <v>328</v>
      </c>
      <c r="B333" s="33">
        <f>IF(C333="","",IF(P333="À RENSEIGNER","GIC",P333)&amp;"-V"&amp;TEXT(A333,"00000"))</f>
        <v/>
      </c>
      <c r="C333" s="32" t="n"/>
      <c r="D333" s="35" t="n"/>
      <c r="E333" s="36" t="n"/>
      <c r="F333" s="36" t="n"/>
      <c r="G333" s="36" t="n"/>
      <c r="H333" s="36" t="n"/>
      <c r="I333" s="36" t="n"/>
      <c r="J333" s="37" t="n"/>
      <c r="K333" s="32" t="n"/>
      <c r="L333" s="36" t="n"/>
      <c r="M333" s="41" t="n"/>
      <c r="N333" s="41" t="n"/>
      <c r="O333" s="36" t="n"/>
      <c r="P333" s="33">
        <f>IF(C333="","",Commercial_Id)</f>
        <v/>
      </c>
      <c r="Q333" s="39">
        <f>IF(F333="","",IFERROR(VALUE(MID(F333,LEN(F333)-3,3)),""))</f>
        <v/>
      </c>
      <c r="R333" s="33">
        <f>IF(Q333="","",P333&amp;"|"&amp;Q333)</f>
        <v/>
      </c>
      <c r="S333" s="33">
        <f>IF(Q333="","",IF(P333="À RENSEIGNER","GIC",P333)&amp;"-"&amp;TEXT(Q333,"000"))</f>
        <v/>
      </c>
      <c r="T333" s="33">
        <f>IF(R333="","",IFERROR(INDEX(Cl_nom,MATCH(R333,Cl_cle,0)),"(client introuvable)"))</f>
        <v/>
      </c>
      <c r="U333" s="33">
        <f>IF(R333="","",IFERROR(INDEX(Cl_quartier,MATCH(R333,Cl_cle,0))&amp;"",""))</f>
        <v/>
      </c>
      <c r="V333" s="34">
        <f>IF(C333="","",YEAR(C333-WEEKDAY(C333,2)+4)&amp;"-S"&amp;TEXT(INT((C333-DATE(YEAR(C333-WEEKDAY(C333,2)+4),1,3)+WEEKDAY(DATE(YEAR(C333-WEEKDAY(C333,2)+4),1,3),2)+5)/7),"00"))</f>
        <v/>
      </c>
    </row>
    <row r="334" ht="18" customHeight="1">
      <c r="A334" s="39" t="n">
        <v>329</v>
      </c>
      <c r="B334" s="33">
        <f>IF(C334="","",IF(P334="À RENSEIGNER","GIC",P334)&amp;"-V"&amp;TEXT(A334,"00000"))</f>
        <v/>
      </c>
      <c r="C334" s="32" t="n"/>
      <c r="D334" s="35" t="n"/>
      <c r="E334" s="36" t="n"/>
      <c r="F334" s="36" t="n"/>
      <c r="G334" s="36" t="n"/>
      <c r="H334" s="36" t="n"/>
      <c r="I334" s="36" t="n"/>
      <c r="J334" s="37" t="n"/>
      <c r="K334" s="32" t="n"/>
      <c r="L334" s="36" t="n"/>
      <c r="M334" s="41" t="n"/>
      <c r="N334" s="41" t="n"/>
      <c r="O334" s="36" t="n"/>
      <c r="P334" s="33">
        <f>IF(C334="","",Commercial_Id)</f>
        <v/>
      </c>
      <c r="Q334" s="39">
        <f>IF(F334="","",IFERROR(VALUE(MID(F334,LEN(F334)-3,3)),""))</f>
        <v/>
      </c>
      <c r="R334" s="33">
        <f>IF(Q334="","",P334&amp;"|"&amp;Q334)</f>
        <v/>
      </c>
      <c r="S334" s="33">
        <f>IF(Q334="","",IF(P334="À RENSEIGNER","GIC",P334)&amp;"-"&amp;TEXT(Q334,"000"))</f>
        <v/>
      </c>
      <c r="T334" s="33">
        <f>IF(R334="","",IFERROR(INDEX(Cl_nom,MATCH(R334,Cl_cle,0)),"(client introuvable)"))</f>
        <v/>
      </c>
      <c r="U334" s="33">
        <f>IF(R334="","",IFERROR(INDEX(Cl_quartier,MATCH(R334,Cl_cle,0))&amp;"",""))</f>
        <v/>
      </c>
      <c r="V334" s="34">
        <f>IF(C334="","",YEAR(C334-WEEKDAY(C334,2)+4)&amp;"-S"&amp;TEXT(INT((C334-DATE(YEAR(C334-WEEKDAY(C334,2)+4),1,3)+WEEKDAY(DATE(YEAR(C334-WEEKDAY(C334,2)+4),1,3),2)+5)/7),"00"))</f>
        <v/>
      </c>
    </row>
    <row r="335" ht="18" customHeight="1">
      <c r="A335" s="39" t="n">
        <v>330</v>
      </c>
      <c r="B335" s="33">
        <f>IF(C335="","",IF(P335="À RENSEIGNER","GIC",P335)&amp;"-V"&amp;TEXT(A335,"00000"))</f>
        <v/>
      </c>
      <c r="C335" s="32" t="n"/>
      <c r="D335" s="35" t="n"/>
      <c r="E335" s="36" t="n"/>
      <c r="F335" s="36" t="n"/>
      <c r="G335" s="36" t="n"/>
      <c r="H335" s="36" t="n"/>
      <c r="I335" s="36" t="n"/>
      <c r="J335" s="37" t="n"/>
      <c r="K335" s="32" t="n"/>
      <c r="L335" s="36" t="n"/>
      <c r="M335" s="41" t="n"/>
      <c r="N335" s="41" t="n"/>
      <c r="O335" s="36" t="n"/>
      <c r="P335" s="33">
        <f>IF(C335="","",Commercial_Id)</f>
        <v/>
      </c>
      <c r="Q335" s="39">
        <f>IF(F335="","",IFERROR(VALUE(MID(F335,LEN(F335)-3,3)),""))</f>
        <v/>
      </c>
      <c r="R335" s="33">
        <f>IF(Q335="","",P335&amp;"|"&amp;Q335)</f>
        <v/>
      </c>
      <c r="S335" s="33">
        <f>IF(Q335="","",IF(P335="À RENSEIGNER","GIC",P335)&amp;"-"&amp;TEXT(Q335,"000"))</f>
        <v/>
      </c>
      <c r="T335" s="33">
        <f>IF(R335="","",IFERROR(INDEX(Cl_nom,MATCH(R335,Cl_cle,0)),"(client introuvable)"))</f>
        <v/>
      </c>
      <c r="U335" s="33">
        <f>IF(R335="","",IFERROR(INDEX(Cl_quartier,MATCH(R335,Cl_cle,0))&amp;"",""))</f>
        <v/>
      </c>
      <c r="V335" s="34">
        <f>IF(C335="","",YEAR(C335-WEEKDAY(C335,2)+4)&amp;"-S"&amp;TEXT(INT((C335-DATE(YEAR(C335-WEEKDAY(C335,2)+4),1,3)+WEEKDAY(DATE(YEAR(C335-WEEKDAY(C335,2)+4),1,3),2)+5)/7),"00"))</f>
        <v/>
      </c>
    </row>
    <row r="336" ht="18" customHeight="1">
      <c r="A336" s="39" t="n">
        <v>331</v>
      </c>
      <c r="B336" s="33">
        <f>IF(C336="","",IF(P336="À RENSEIGNER","GIC",P336)&amp;"-V"&amp;TEXT(A336,"00000"))</f>
        <v/>
      </c>
      <c r="C336" s="32" t="n"/>
      <c r="D336" s="35" t="n"/>
      <c r="E336" s="36" t="n"/>
      <c r="F336" s="36" t="n"/>
      <c r="G336" s="36" t="n"/>
      <c r="H336" s="36" t="n"/>
      <c r="I336" s="36" t="n"/>
      <c r="J336" s="37" t="n"/>
      <c r="K336" s="32" t="n"/>
      <c r="L336" s="36" t="n"/>
      <c r="M336" s="41" t="n"/>
      <c r="N336" s="41" t="n"/>
      <c r="O336" s="36" t="n"/>
      <c r="P336" s="33">
        <f>IF(C336="","",Commercial_Id)</f>
        <v/>
      </c>
      <c r="Q336" s="39">
        <f>IF(F336="","",IFERROR(VALUE(MID(F336,LEN(F336)-3,3)),""))</f>
        <v/>
      </c>
      <c r="R336" s="33">
        <f>IF(Q336="","",P336&amp;"|"&amp;Q336)</f>
        <v/>
      </c>
      <c r="S336" s="33">
        <f>IF(Q336="","",IF(P336="À RENSEIGNER","GIC",P336)&amp;"-"&amp;TEXT(Q336,"000"))</f>
        <v/>
      </c>
      <c r="T336" s="33">
        <f>IF(R336="","",IFERROR(INDEX(Cl_nom,MATCH(R336,Cl_cle,0)),"(client introuvable)"))</f>
        <v/>
      </c>
      <c r="U336" s="33">
        <f>IF(R336="","",IFERROR(INDEX(Cl_quartier,MATCH(R336,Cl_cle,0))&amp;"",""))</f>
        <v/>
      </c>
      <c r="V336" s="34">
        <f>IF(C336="","",YEAR(C336-WEEKDAY(C336,2)+4)&amp;"-S"&amp;TEXT(INT((C336-DATE(YEAR(C336-WEEKDAY(C336,2)+4),1,3)+WEEKDAY(DATE(YEAR(C336-WEEKDAY(C336,2)+4),1,3),2)+5)/7),"00"))</f>
        <v/>
      </c>
    </row>
    <row r="337" ht="18" customHeight="1">
      <c r="A337" s="39" t="n">
        <v>332</v>
      </c>
      <c r="B337" s="33">
        <f>IF(C337="","",IF(P337="À RENSEIGNER","GIC",P337)&amp;"-V"&amp;TEXT(A337,"00000"))</f>
        <v/>
      </c>
      <c r="C337" s="32" t="n"/>
      <c r="D337" s="35" t="n"/>
      <c r="E337" s="36" t="n"/>
      <c r="F337" s="36" t="n"/>
      <c r="G337" s="36" t="n"/>
      <c r="H337" s="36" t="n"/>
      <c r="I337" s="36" t="n"/>
      <c r="J337" s="37" t="n"/>
      <c r="K337" s="32" t="n"/>
      <c r="L337" s="36" t="n"/>
      <c r="M337" s="41" t="n"/>
      <c r="N337" s="41" t="n"/>
      <c r="O337" s="36" t="n"/>
      <c r="P337" s="33">
        <f>IF(C337="","",Commercial_Id)</f>
        <v/>
      </c>
      <c r="Q337" s="39">
        <f>IF(F337="","",IFERROR(VALUE(MID(F337,LEN(F337)-3,3)),""))</f>
        <v/>
      </c>
      <c r="R337" s="33">
        <f>IF(Q337="","",P337&amp;"|"&amp;Q337)</f>
        <v/>
      </c>
      <c r="S337" s="33">
        <f>IF(Q337="","",IF(P337="À RENSEIGNER","GIC",P337)&amp;"-"&amp;TEXT(Q337,"000"))</f>
        <v/>
      </c>
      <c r="T337" s="33">
        <f>IF(R337="","",IFERROR(INDEX(Cl_nom,MATCH(R337,Cl_cle,0)),"(client introuvable)"))</f>
        <v/>
      </c>
      <c r="U337" s="33">
        <f>IF(R337="","",IFERROR(INDEX(Cl_quartier,MATCH(R337,Cl_cle,0))&amp;"",""))</f>
        <v/>
      </c>
      <c r="V337" s="34">
        <f>IF(C337="","",YEAR(C337-WEEKDAY(C337,2)+4)&amp;"-S"&amp;TEXT(INT((C337-DATE(YEAR(C337-WEEKDAY(C337,2)+4),1,3)+WEEKDAY(DATE(YEAR(C337-WEEKDAY(C337,2)+4),1,3),2)+5)/7),"00"))</f>
        <v/>
      </c>
    </row>
    <row r="338" ht="18" customHeight="1">
      <c r="A338" s="39" t="n">
        <v>333</v>
      </c>
      <c r="B338" s="33">
        <f>IF(C338="","",IF(P338="À RENSEIGNER","GIC",P338)&amp;"-V"&amp;TEXT(A338,"00000"))</f>
        <v/>
      </c>
      <c r="C338" s="32" t="n"/>
      <c r="D338" s="35" t="n"/>
      <c r="E338" s="36" t="n"/>
      <c r="F338" s="36" t="n"/>
      <c r="G338" s="36" t="n"/>
      <c r="H338" s="36" t="n"/>
      <c r="I338" s="36" t="n"/>
      <c r="J338" s="37" t="n"/>
      <c r="K338" s="32" t="n"/>
      <c r="L338" s="36" t="n"/>
      <c r="M338" s="41" t="n"/>
      <c r="N338" s="41" t="n"/>
      <c r="O338" s="36" t="n"/>
      <c r="P338" s="33">
        <f>IF(C338="","",Commercial_Id)</f>
        <v/>
      </c>
      <c r="Q338" s="39">
        <f>IF(F338="","",IFERROR(VALUE(MID(F338,LEN(F338)-3,3)),""))</f>
        <v/>
      </c>
      <c r="R338" s="33">
        <f>IF(Q338="","",P338&amp;"|"&amp;Q338)</f>
        <v/>
      </c>
      <c r="S338" s="33">
        <f>IF(Q338="","",IF(P338="À RENSEIGNER","GIC",P338)&amp;"-"&amp;TEXT(Q338,"000"))</f>
        <v/>
      </c>
      <c r="T338" s="33">
        <f>IF(R338="","",IFERROR(INDEX(Cl_nom,MATCH(R338,Cl_cle,0)),"(client introuvable)"))</f>
        <v/>
      </c>
      <c r="U338" s="33">
        <f>IF(R338="","",IFERROR(INDEX(Cl_quartier,MATCH(R338,Cl_cle,0))&amp;"",""))</f>
        <v/>
      </c>
      <c r="V338" s="34">
        <f>IF(C338="","",YEAR(C338-WEEKDAY(C338,2)+4)&amp;"-S"&amp;TEXT(INT((C338-DATE(YEAR(C338-WEEKDAY(C338,2)+4),1,3)+WEEKDAY(DATE(YEAR(C338-WEEKDAY(C338,2)+4),1,3),2)+5)/7),"00"))</f>
        <v/>
      </c>
    </row>
    <row r="339" ht="18" customHeight="1">
      <c r="A339" s="39" t="n">
        <v>334</v>
      </c>
      <c r="B339" s="33">
        <f>IF(C339="","",IF(P339="À RENSEIGNER","GIC",P339)&amp;"-V"&amp;TEXT(A339,"00000"))</f>
        <v/>
      </c>
      <c r="C339" s="32" t="n"/>
      <c r="D339" s="35" t="n"/>
      <c r="E339" s="36" t="n"/>
      <c r="F339" s="36" t="n"/>
      <c r="G339" s="36" t="n"/>
      <c r="H339" s="36" t="n"/>
      <c r="I339" s="36" t="n"/>
      <c r="J339" s="37" t="n"/>
      <c r="K339" s="32" t="n"/>
      <c r="L339" s="36" t="n"/>
      <c r="M339" s="41" t="n"/>
      <c r="N339" s="41" t="n"/>
      <c r="O339" s="36" t="n"/>
      <c r="P339" s="33">
        <f>IF(C339="","",Commercial_Id)</f>
        <v/>
      </c>
      <c r="Q339" s="39">
        <f>IF(F339="","",IFERROR(VALUE(MID(F339,LEN(F339)-3,3)),""))</f>
        <v/>
      </c>
      <c r="R339" s="33">
        <f>IF(Q339="","",P339&amp;"|"&amp;Q339)</f>
        <v/>
      </c>
      <c r="S339" s="33">
        <f>IF(Q339="","",IF(P339="À RENSEIGNER","GIC",P339)&amp;"-"&amp;TEXT(Q339,"000"))</f>
        <v/>
      </c>
      <c r="T339" s="33">
        <f>IF(R339="","",IFERROR(INDEX(Cl_nom,MATCH(R339,Cl_cle,0)),"(client introuvable)"))</f>
        <v/>
      </c>
      <c r="U339" s="33">
        <f>IF(R339="","",IFERROR(INDEX(Cl_quartier,MATCH(R339,Cl_cle,0))&amp;"",""))</f>
        <v/>
      </c>
      <c r="V339" s="34">
        <f>IF(C339="","",YEAR(C339-WEEKDAY(C339,2)+4)&amp;"-S"&amp;TEXT(INT((C339-DATE(YEAR(C339-WEEKDAY(C339,2)+4),1,3)+WEEKDAY(DATE(YEAR(C339-WEEKDAY(C339,2)+4),1,3),2)+5)/7),"00"))</f>
        <v/>
      </c>
    </row>
    <row r="340" ht="18" customHeight="1">
      <c r="A340" s="39" t="n">
        <v>335</v>
      </c>
      <c r="B340" s="33">
        <f>IF(C340="","",IF(P340="À RENSEIGNER","GIC",P340)&amp;"-V"&amp;TEXT(A340,"00000"))</f>
        <v/>
      </c>
      <c r="C340" s="32" t="n"/>
      <c r="D340" s="35" t="n"/>
      <c r="E340" s="36" t="n"/>
      <c r="F340" s="36" t="n"/>
      <c r="G340" s="36" t="n"/>
      <c r="H340" s="36" t="n"/>
      <c r="I340" s="36" t="n"/>
      <c r="J340" s="37" t="n"/>
      <c r="K340" s="32" t="n"/>
      <c r="L340" s="36" t="n"/>
      <c r="M340" s="41" t="n"/>
      <c r="N340" s="41" t="n"/>
      <c r="O340" s="36" t="n"/>
      <c r="P340" s="33">
        <f>IF(C340="","",Commercial_Id)</f>
        <v/>
      </c>
      <c r="Q340" s="39">
        <f>IF(F340="","",IFERROR(VALUE(MID(F340,LEN(F340)-3,3)),""))</f>
        <v/>
      </c>
      <c r="R340" s="33">
        <f>IF(Q340="","",P340&amp;"|"&amp;Q340)</f>
        <v/>
      </c>
      <c r="S340" s="33">
        <f>IF(Q340="","",IF(P340="À RENSEIGNER","GIC",P340)&amp;"-"&amp;TEXT(Q340,"000"))</f>
        <v/>
      </c>
      <c r="T340" s="33">
        <f>IF(R340="","",IFERROR(INDEX(Cl_nom,MATCH(R340,Cl_cle,0)),"(client introuvable)"))</f>
        <v/>
      </c>
      <c r="U340" s="33">
        <f>IF(R340="","",IFERROR(INDEX(Cl_quartier,MATCH(R340,Cl_cle,0))&amp;"",""))</f>
        <v/>
      </c>
      <c r="V340" s="34">
        <f>IF(C340="","",YEAR(C340-WEEKDAY(C340,2)+4)&amp;"-S"&amp;TEXT(INT((C340-DATE(YEAR(C340-WEEKDAY(C340,2)+4),1,3)+WEEKDAY(DATE(YEAR(C340-WEEKDAY(C340,2)+4),1,3),2)+5)/7),"00"))</f>
        <v/>
      </c>
    </row>
    <row r="341" ht="18" customHeight="1">
      <c r="A341" s="39" t="n">
        <v>336</v>
      </c>
      <c r="B341" s="33">
        <f>IF(C341="","",IF(P341="À RENSEIGNER","GIC",P341)&amp;"-V"&amp;TEXT(A341,"00000"))</f>
        <v/>
      </c>
      <c r="C341" s="32" t="n"/>
      <c r="D341" s="35" t="n"/>
      <c r="E341" s="36" t="n"/>
      <c r="F341" s="36" t="n"/>
      <c r="G341" s="36" t="n"/>
      <c r="H341" s="36" t="n"/>
      <c r="I341" s="36" t="n"/>
      <c r="J341" s="37" t="n"/>
      <c r="K341" s="32" t="n"/>
      <c r="L341" s="36" t="n"/>
      <c r="M341" s="41" t="n"/>
      <c r="N341" s="41" t="n"/>
      <c r="O341" s="36" t="n"/>
      <c r="P341" s="33">
        <f>IF(C341="","",Commercial_Id)</f>
        <v/>
      </c>
      <c r="Q341" s="39">
        <f>IF(F341="","",IFERROR(VALUE(MID(F341,LEN(F341)-3,3)),""))</f>
        <v/>
      </c>
      <c r="R341" s="33">
        <f>IF(Q341="","",P341&amp;"|"&amp;Q341)</f>
        <v/>
      </c>
      <c r="S341" s="33">
        <f>IF(Q341="","",IF(P341="À RENSEIGNER","GIC",P341)&amp;"-"&amp;TEXT(Q341,"000"))</f>
        <v/>
      </c>
      <c r="T341" s="33">
        <f>IF(R341="","",IFERROR(INDEX(Cl_nom,MATCH(R341,Cl_cle,0)),"(client introuvable)"))</f>
        <v/>
      </c>
      <c r="U341" s="33">
        <f>IF(R341="","",IFERROR(INDEX(Cl_quartier,MATCH(R341,Cl_cle,0))&amp;"",""))</f>
        <v/>
      </c>
      <c r="V341" s="34">
        <f>IF(C341="","",YEAR(C341-WEEKDAY(C341,2)+4)&amp;"-S"&amp;TEXT(INT((C341-DATE(YEAR(C341-WEEKDAY(C341,2)+4),1,3)+WEEKDAY(DATE(YEAR(C341-WEEKDAY(C341,2)+4),1,3),2)+5)/7),"00"))</f>
        <v/>
      </c>
    </row>
    <row r="342" ht="18" customHeight="1">
      <c r="A342" s="39" t="n">
        <v>337</v>
      </c>
      <c r="B342" s="33">
        <f>IF(C342="","",IF(P342="À RENSEIGNER","GIC",P342)&amp;"-V"&amp;TEXT(A342,"00000"))</f>
        <v/>
      </c>
      <c r="C342" s="32" t="n"/>
      <c r="D342" s="35" t="n"/>
      <c r="E342" s="36" t="n"/>
      <c r="F342" s="36" t="n"/>
      <c r="G342" s="36" t="n"/>
      <c r="H342" s="36" t="n"/>
      <c r="I342" s="36" t="n"/>
      <c r="J342" s="37" t="n"/>
      <c r="K342" s="32" t="n"/>
      <c r="L342" s="36" t="n"/>
      <c r="M342" s="41" t="n"/>
      <c r="N342" s="41" t="n"/>
      <c r="O342" s="36" t="n"/>
      <c r="P342" s="33">
        <f>IF(C342="","",Commercial_Id)</f>
        <v/>
      </c>
      <c r="Q342" s="39">
        <f>IF(F342="","",IFERROR(VALUE(MID(F342,LEN(F342)-3,3)),""))</f>
        <v/>
      </c>
      <c r="R342" s="33">
        <f>IF(Q342="","",P342&amp;"|"&amp;Q342)</f>
        <v/>
      </c>
      <c r="S342" s="33">
        <f>IF(Q342="","",IF(P342="À RENSEIGNER","GIC",P342)&amp;"-"&amp;TEXT(Q342,"000"))</f>
        <v/>
      </c>
      <c r="T342" s="33">
        <f>IF(R342="","",IFERROR(INDEX(Cl_nom,MATCH(R342,Cl_cle,0)),"(client introuvable)"))</f>
        <v/>
      </c>
      <c r="U342" s="33">
        <f>IF(R342="","",IFERROR(INDEX(Cl_quartier,MATCH(R342,Cl_cle,0))&amp;"",""))</f>
        <v/>
      </c>
      <c r="V342" s="34">
        <f>IF(C342="","",YEAR(C342-WEEKDAY(C342,2)+4)&amp;"-S"&amp;TEXT(INT((C342-DATE(YEAR(C342-WEEKDAY(C342,2)+4),1,3)+WEEKDAY(DATE(YEAR(C342-WEEKDAY(C342,2)+4),1,3),2)+5)/7),"00"))</f>
        <v/>
      </c>
    </row>
    <row r="343" ht="18" customHeight="1">
      <c r="A343" s="39" t="n">
        <v>338</v>
      </c>
      <c r="B343" s="33">
        <f>IF(C343="","",IF(P343="À RENSEIGNER","GIC",P343)&amp;"-V"&amp;TEXT(A343,"00000"))</f>
        <v/>
      </c>
      <c r="C343" s="32" t="n"/>
      <c r="D343" s="35" t="n"/>
      <c r="E343" s="36" t="n"/>
      <c r="F343" s="36" t="n"/>
      <c r="G343" s="36" t="n"/>
      <c r="H343" s="36" t="n"/>
      <c r="I343" s="36" t="n"/>
      <c r="J343" s="37" t="n"/>
      <c r="K343" s="32" t="n"/>
      <c r="L343" s="36" t="n"/>
      <c r="M343" s="41" t="n"/>
      <c r="N343" s="41" t="n"/>
      <c r="O343" s="36" t="n"/>
      <c r="P343" s="33">
        <f>IF(C343="","",Commercial_Id)</f>
        <v/>
      </c>
      <c r="Q343" s="39">
        <f>IF(F343="","",IFERROR(VALUE(MID(F343,LEN(F343)-3,3)),""))</f>
        <v/>
      </c>
      <c r="R343" s="33">
        <f>IF(Q343="","",P343&amp;"|"&amp;Q343)</f>
        <v/>
      </c>
      <c r="S343" s="33">
        <f>IF(Q343="","",IF(P343="À RENSEIGNER","GIC",P343)&amp;"-"&amp;TEXT(Q343,"000"))</f>
        <v/>
      </c>
      <c r="T343" s="33">
        <f>IF(R343="","",IFERROR(INDEX(Cl_nom,MATCH(R343,Cl_cle,0)),"(client introuvable)"))</f>
        <v/>
      </c>
      <c r="U343" s="33">
        <f>IF(R343="","",IFERROR(INDEX(Cl_quartier,MATCH(R343,Cl_cle,0))&amp;"",""))</f>
        <v/>
      </c>
      <c r="V343" s="34">
        <f>IF(C343="","",YEAR(C343-WEEKDAY(C343,2)+4)&amp;"-S"&amp;TEXT(INT((C343-DATE(YEAR(C343-WEEKDAY(C343,2)+4),1,3)+WEEKDAY(DATE(YEAR(C343-WEEKDAY(C343,2)+4),1,3),2)+5)/7),"00"))</f>
        <v/>
      </c>
    </row>
    <row r="344" ht="18" customHeight="1">
      <c r="A344" s="39" t="n">
        <v>339</v>
      </c>
      <c r="B344" s="33">
        <f>IF(C344="","",IF(P344="À RENSEIGNER","GIC",P344)&amp;"-V"&amp;TEXT(A344,"00000"))</f>
        <v/>
      </c>
      <c r="C344" s="32" t="n"/>
      <c r="D344" s="35" t="n"/>
      <c r="E344" s="36" t="n"/>
      <c r="F344" s="36" t="n"/>
      <c r="G344" s="36" t="n"/>
      <c r="H344" s="36" t="n"/>
      <c r="I344" s="36" t="n"/>
      <c r="J344" s="37" t="n"/>
      <c r="K344" s="32" t="n"/>
      <c r="L344" s="36" t="n"/>
      <c r="M344" s="41" t="n"/>
      <c r="N344" s="41" t="n"/>
      <c r="O344" s="36" t="n"/>
      <c r="P344" s="33">
        <f>IF(C344="","",Commercial_Id)</f>
        <v/>
      </c>
      <c r="Q344" s="39">
        <f>IF(F344="","",IFERROR(VALUE(MID(F344,LEN(F344)-3,3)),""))</f>
        <v/>
      </c>
      <c r="R344" s="33">
        <f>IF(Q344="","",P344&amp;"|"&amp;Q344)</f>
        <v/>
      </c>
      <c r="S344" s="33">
        <f>IF(Q344="","",IF(P344="À RENSEIGNER","GIC",P344)&amp;"-"&amp;TEXT(Q344,"000"))</f>
        <v/>
      </c>
      <c r="T344" s="33">
        <f>IF(R344="","",IFERROR(INDEX(Cl_nom,MATCH(R344,Cl_cle,0)),"(client introuvable)"))</f>
        <v/>
      </c>
      <c r="U344" s="33">
        <f>IF(R344="","",IFERROR(INDEX(Cl_quartier,MATCH(R344,Cl_cle,0))&amp;"",""))</f>
        <v/>
      </c>
      <c r="V344" s="34">
        <f>IF(C344="","",YEAR(C344-WEEKDAY(C344,2)+4)&amp;"-S"&amp;TEXT(INT((C344-DATE(YEAR(C344-WEEKDAY(C344,2)+4),1,3)+WEEKDAY(DATE(YEAR(C344-WEEKDAY(C344,2)+4),1,3),2)+5)/7),"00"))</f>
        <v/>
      </c>
    </row>
    <row r="345" ht="18" customHeight="1">
      <c r="A345" s="39" t="n">
        <v>340</v>
      </c>
      <c r="B345" s="33">
        <f>IF(C345="","",IF(P345="À RENSEIGNER","GIC",P345)&amp;"-V"&amp;TEXT(A345,"00000"))</f>
        <v/>
      </c>
      <c r="C345" s="32" t="n"/>
      <c r="D345" s="35" t="n"/>
      <c r="E345" s="36" t="n"/>
      <c r="F345" s="36" t="n"/>
      <c r="G345" s="36" t="n"/>
      <c r="H345" s="36" t="n"/>
      <c r="I345" s="36" t="n"/>
      <c r="J345" s="37" t="n"/>
      <c r="K345" s="32" t="n"/>
      <c r="L345" s="36" t="n"/>
      <c r="M345" s="41" t="n"/>
      <c r="N345" s="41" t="n"/>
      <c r="O345" s="36" t="n"/>
      <c r="P345" s="33">
        <f>IF(C345="","",Commercial_Id)</f>
        <v/>
      </c>
      <c r="Q345" s="39">
        <f>IF(F345="","",IFERROR(VALUE(MID(F345,LEN(F345)-3,3)),""))</f>
        <v/>
      </c>
      <c r="R345" s="33">
        <f>IF(Q345="","",P345&amp;"|"&amp;Q345)</f>
        <v/>
      </c>
      <c r="S345" s="33">
        <f>IF(Q345="","",IF(P345="À RENSEIGNER","GIC",P345)&amp;"-"&amp;TEXT(Q345,"000"))</f>
        <v/>
      </c>
      <c r="T345" s="33">
        <f>IF(R345="","",IFERROR(INDEX(Cl_nom,MATCH(R345,Cl_cle,0)),"(client introuvable)"))</f>
        <v/>
      </c>
      <c r="U345" s="33">
        <f>IF(R345="","",IFERROR(INDEX(Cl_quartier,MATCH(R345,Cl_cle,0))&amp;"",""))</f>
        <v/>
      </c>
      <c r="V345" s="34">
        <f>IF(C345="","",YEAR(C345-WEEKDAY(C345,2)+4)&amp;"-S"&amp;TEXT(INT((C345-DATE(YEAR(C345-WEEKDAY(C345,2)+4),1,3)+WEEKDAY(DATE(YEAR(C345-WEEKDAY(C345,2)+4),1,3),2)+5)/7),"00"))</f>
        <v/>
      </c>
    </row>
    <row r="346" ht="18" customHeight="1">
      <c r="A346" s="39" t="n">
        <v>341</v>
      </c>
      <c r="B346" s="33">
        <f>IF(C346="","",IF(P346="À RENSEIGNER","GIC",P346)&amp;"-V"&amp;TEXT(A346,"00000"))</f>
        <v/>
      </c>
      <c r="C346" s="32" t="n"/>
      <c r="D346" s="35" t="n"/>
      <c r="E346" s="36" t="n"/>
      <c r="F346" s="36" t="n"/>
      <c r="G346" s="36" t="n"/>
      <c r="H346" s="36" t="n"/>
      <c r="I346" s="36" t="n"/>
      <c r="J346" s="37" t="n"/>
      <c r="K346" s="32" t="n"/>
      <c r="L346" s="36" t="n"/>
      <c r="M346" s="41" t="n"/>
      <c r="N346" s="41" t="n"/>
      <c r="O346" s="36" t="n"/>
      <c r="P346" s="33">
        <f>IF(C346="","",Commercial_Id)</f>
        <v/>
      </c>
      <c r="Q346" s="39">
        <f>IF(F346="","",IFERROR(VALUE(MID(F346,LEN(F346)-3,3)),""))</f>
        <v/>
      </c>
      <c r="R346" s="33">
        <f>IF(Q346="","",P346&amp;"|"&amp;Q346)</f>
        <v/>
      </c>
      <c r="S346" s="33">
        <f>IF(Q346="","",IF(P346="À RENSEIGNER","GIC",P346)&amp;"-"&amp;TEXT(Q346,"000"))</f>
        <v/>
      </c>
      <c r="T346" s="33">
        <f>IF(R346="","",IFERROR(INDEX(Cl_nom,MATCH(R346,Cl_cle,0)),"(client introuvable)"))</f>
        <v/>
      </c>
      <c r="U346" s="33">
        <f>IF(R346="","",IFERROR(INDEX(Cl_quartier,MATCH(R346,Cl_cle,0))&amp;"",""))</f>
        <v/>
      </c>
      <c r="V346" s="34">
        <f>IF(C346="","",YEAR(C346-WEEKDAY(C346,2)+4)&amp;"-S"&amp;TEXT(INT((C346-DATE(YEAR(C346-WEEKDAY(C346,2)+4),1,3)+WEEKDAY(DATE(YEAR(C346-WEEKDAY(C346,2)+4),1,3),2)+5)/7),"00"))</f>
        <v/>
      </c>
    </row>
    <row r="347" ht="18" customHeight="1">
      <c r="A347" s="39" t="n">
        <v>342</v>
      </c>
      <c r="B347" s="33">
        <f>IF(C347="","",IF(P347="À RENSEIGNER","GIC",P347)&amp;"-V"&amp;TEXT(A347,"00000"))</f>
        <v/>
      </c>
      <c r="C347" s="32" t="n"/>
      <c r="D347" s="35" t="n"/>
      <c r="E347" s="36" t="n"/>
      <c r="F347" s="36" t="n"/>
      <c r="G347" s="36" t="n"/>
      <c r="H347" s="36" t="n"/>
      <c r="I347" s="36" t="n"/>
      <c r="J347" s="37" t="n"/>
      <c r="K347" s="32" t="n"/>
      <c r="L347" s="36" t="n"/>
      <c r="M347" s="41" t="n"/>
      <c r="N347" s="41" t="n"/>
      <c r="O347" s="36" t="n"/>
      <c r="P347" s="33">
        <f>IF(C347="","",Commercial_Id)</f>
        <v/>
      </c>
      <c r="Q347" s="39">
        <f>IF(F347="","",IFERROR(VALUE(MID(F347,LEN(F347)-3,3)),""))</f>
        <v/>
      </c>
      <c r="R347" s="33">
        <f>IF(Q347="","",P347&amp;"|"&amp;Q347)</f>
        <v/>
      </c>
      <c r="S347" s="33">
        <f>IF(Q347="","",IF(P347="À RENSEIGNER","GIC",P347)&amp;"-"&amp;TEXT(Q347,"000"))</f>
        <v/>
      </c>
      <c r="T347" s="33">
        <f>IF(R347="","",IFERROR(INDEX(Cl_nom,MATCH(R347,Cl_cle,0)),"(client introuvable)"))</f>
        <v/>
      </c>
      <c r="U347" s="33">
        <f>IF(R347="","",IFERROR(INDEX(Cl_quartier,MATCH(R347,Cl_cle,0))&amp;"",""))</f>
        <v/>
      </c>
      <c r="V347" s="34">
        <f>IF(C347="","",YEAR(C347-WEEKDAY(C347,2)+4)&amp;"-S"&amp;TEXT(INT((C347-DATE(YEAR(C347-WEEKDAY(C347,2)+4),1,3)+WEEKDAY(DATE(YEAR(C347-WEEKDAY(C347,2)+4),1,3),2)+5)/7),"00"))</f>
        <v/>
      </c>
    </row>
    <row r="348" ht="18" customHeight="1">
      <c r="A348" s="39" t="n">
        <v>343</v>
      </c>
      <c r="B348" s="33">
        <f>IF(C348="","",IF(P348="À RENSEIGNER","GIC",P348)&amp;"-V"&amp;TEXT(A348,"00000"))</f>
        <v/>
      </c>
      <c r="C348" s="32" t="n"/>
      <c r="D348" s="35" t="n"/>
      <c r="E348" s="36" t="n"/>
      <c r="F348" s="36" t="n"/>
      <c r="G348" s="36" t="n"/>
      <c r="H348" s="36" t="n"/>
      <c r="I348" s="36" t="n"/>
      <c r="J348" s="37" t="n"/>
      <c r="K348" s="32" t="n"/>
      <c r="L348" s="36" t="n"/>
      <c r="M348" s="41" t="n"/>
      <c r="N348" s="41" t="n"/>
      <c r="O348" s="36" t="n"/>
      <c r="P348" s="33">
        <f>IF(C348="","",Commercial_Id)</f>
        <v/>
      </c>
      <c r="Q348" s="39">
        <f>IF(F348="","",IFERROR(VALUE(MID(F348,LEN(F348)-3,3)),""))</f>
        <v/>
      </c>
      <c r="R348" s="33">
        <f>IF(Q348="","",P348&amp;"|"&amp;Q348)</f>
        <v/>
      </c>
      <c r="S348" s="33">
        <f>IF(Q348="","",IF(P348="À RENSEIGNER","GIC",P348)&amp;"-"&amp;TEXT(Q348,"000"))</f>
        <v/>
      </c>
      <c r="T348" s="33">
        <f>IF(R348="","",IFERROR(INDEX(Cl_nom,MATCH(R348,Cl_cle,0)),"(client introuvable)"))</f>
        <v/>
      </c>
      <c r="U348" s="33">
        <f>IF(R348="","",IFERROR(INDEX(Cl_quartier,MATCH(R348,Cl_cle,0))&amp;"",""))</f>
        <v/>
      </c>
      <c r="V348" s="34">
        <f>IF(C348="","",YEAR(C348-WEEKDAY(C348,2)+4)&amp;"-S"&amp;TEXT(INT((C348-DATE(YEAR(C348-WEEKDAY(C348,2)+4),1,3)+WEEKDAY(DATE(YEAR(C348-WEEKDAY(C348,2)+4),1,3),2)+5)/7),"00"))</f>
        <v/>
      </c>
    </row>
    <row r="349" ht="18" customHeight="1">
      <c r="A349" s="39" t="n">
        <v>344</v>
      </c>
      <c r="B349" s="33">
        <f>IF(C349="","",IF(P349="À RENSEIGNER","GIC",P349)&amp;"-V"&amp;TEXT(A349,"00000"))</f>
        <v/>
      </c>
      <c r="C349" s="32" t="n"/>
      <c r="D349" s="35" t="n"/>
      <c r="E349" s="36" t="n"/>
      <c r="F349" s="36" t="n"/>
      <c r="G349" s="36" t="n"/>
      <c r="H349" s="36" t="n"/>
      <c r="I349" s="36" t="n"/>
      <c r="J349" s="37" t="n"/>
      <c r="K349" s="32" t="n"/>
      <c r="L349" s="36" t="n"/>
      <c r="M349" s="41" t="n"/>
      <c r="N349" s="41" t="n"/>
      <c r="O349" s="36" t="n"/>
      <c r="P349" s="33">
        <f>IF(C349="","",Commercial_Id)</f>
        <v/>
      </c>
      <c r="Q349" s="39">
        <f>IF(F349="","",IFERROR(VALUE(MID(F349,LEN(F349)-3,3)),""))</f>
        <v/>
      </c>
      <c r="R349" s="33">
        <f>IF(Q349="","",P349&amp;"|"&amp;Q349)</f>
        <v/>
      </c>
      <c r="S349" s="33">
        <f>IF(Q349="","",IF(P349="À RENSEIGNER","GIC",P349)&amp;"-"&amp;TEXT(Q349,"000"))</f>
        <v/>
      </c>
      <c r="T349" s="33">
        <f>IF(R349="","",IFERROR(INDEX(Cl_nom,MATCH(R349,Cl_cle,0)),"(client introuvable)"))</f>
        <v/>
      </c>
      <c r="U349" s="33">
        <f>IF(R349="","",IFERROR(INDEX(Cl_quartier,MATCH(R349,Cl_cle,0))&amp;"",""))</f>
        <v/>
      </c>
      <c r="V349" s="34">
        <f>IF(C349="","",YEAR(C349-WEEKDAY(C349,2)+4)&amp;"-S"&amp;TEXT(INT((C349-DATE(YEAR(C349-WEEKDAY(C349,2)+4),1,3)+WEEKDAY(DATE(YEAR(C349-WEEKDAY(C349,2)+4),1,3),2)+5)/7),"00"))</f>
        <v/>
      </c>
    </row>
    <row r="350" ht="18" customHeight="1">
      <c r="A350" s="39" t="n">
        <v>345</v>
      </c>
      <c r="B350" s="33">
        <f>IF(C350="","",IF(P350="À RENSEIGNER","GIC",P350)&amp;"-V"&amp;TEXT(A350,"00000"))</f>
        <v/>
      </c>
      <c r="C350" s="32" t="n"/>
      <c r="D350" s="35" t="n"/>
      <c r="E350" s="36" t="n"/>
      <c r="F350" s="36" t="n"/>
      <c r="G350" s="36" t="n"/>
      <c r="H350" s="36" t="n"/>
      <c r="I350" s="36" t="n"/>
      <c r="J350" s="37" t="n"/>
      <c r="K350" s="32" t="n"/>
      <c r="L350" s="36" t="n"/>
      <c r="M350" s="41" t="n"/>
      <c r="N350" s="41" t="n"/>
      <c r="O350" s="36" t="n"/>
      <c r="P350" s="33">
        <f>IF(C350="","",Commercial_Id)</f>
        <v/>
      </c>
      <c r="Q350" s="39">
        <f>IF(F350="","",IFERROR(VALUE(MID(F350,LEN(F350)-3,3)),""))</f>
        <v/>
      </c>
      <c r="R350" s="33">
        <f>IF(Q350="","",P350&amp;"|"&amp;Q350)</f>
        <v/>
      </c>
      <c r="S350" s="33">
        <f>IF(Q350="","",IF(P350="À RENSEIGNER","GIC",P350)&amp;"-"&amp;TEXT(Q350,"000"))</f>
        <v/>
      </c>
      <c r="T350" s="33">
        <f>IF(R350="","",IFERROR(INDEX(Cl_nom,MATCH(R350,Cl_cle,0)),"(client introuvable)"))</f>
        <v/>
      </c>
      <c r="U350" s="33">
        <f>IF(R350="","",IFERROR(INDEX(Cl_quartier,MATCH(R350,Cl_cle,0))&amp;"",""))</f>
        <v/>
      </c>
      <c r="V350" s="34">
        <f>IF(C350="","",YEAR(C350-WEEKDAY(C350,2)+4)&amp;"-S"&amp;TEXT(INT((C350-DATE(YEAR(C350-WEEKDAY(C350,2)+4),1,3)+WEEKDAY(DATE(YEAR(C350-WEEKDAY(C350,2)+4),1,3),2)+5)/7),"00"))</f>
        <v/>
      </c>
    </row>
    <row r="351" ht="18" customHeight="1">
      <c r="A351" s="39" t="n">
        <v>346</v>
      </c>
      <c r="B351" s="33">
        <f>IF(C351="","",IF(P351="À RENSEIGNER","GIC",P351)&amp;"-V"&amp;TEXT(A351,"00000"))</f>
        <v/>
      </c>
      <c r="C351" s="32" t="n"/>
      <c r="D351" s="35" t="n"/>
      <c r="E351" s="36" t="n"/>
      <c r="F351" s="36" t="n"/>
      <c r="G351" s="36" t="n"/>
      <c r="H351" s="36" t="n"/>
      <c r="I351" s="36" t="n"/>
      <c r="J351" s="37" t="n"/>
      <c r="K351" s="32" t="n"/>
      <c r="L351" s="36" t="n"/>
      <c r="M351" s="41" t="n"/>
      <c r="N351" s="41" t="n"/>
      <c r="O351" s="36" t="n"/>
      <c r="P351" s="33">
        <f>IF(C351="","",Commercial_Id)</f>
        <v/>
      </c>
      <c r="Q351" s="39">
        <f>IF(F351="","",IFERROR(VALUE(MID(F351,LEN(F351)-3,3)),""))</f>
        <v/>
      </c>
      <c r="R351" s="33">
        <f>IF(Q351="","",P351&amp;"|"&amp;Q351)</f>
        <v/>
      </c>
      <c r="S351" s="33">
        <f>IF(Q351="","",IF(P351="À RENSEIGNER","GIC",P351)&amp;"-"&amp;TEXT(Q351,"000"))</f>
        <v/>
      </c>
      <c r="T351" s="33">
        <f>IF(R351="","",IFERROR(INDEX(Cl_nom,MATCH(R351,Cl_cle,0)),"(client introuvable)"))</f>
        <v/>
      </c>
      <c r="U351" s="33">
        <f>IF(R351="","",IFERROR(INDEX(Cl_quartier,MATCH(R351,Cl_cle,0))&amp;"",""))</f>
        <v/>
      </c>
      <c r="V351" s="34">
        <f>IF(C351="","",YEAR(C351-WEEKDAY(C351,2)+4)&amp;"-S"&amp;TEXT(INT((C351-DATE(YEAR(C351-WEEKDAY(C351,2)+4),1,3)+WEEKDAY(DATE(YEAR(C351-WEEKDAY(C351,2)+4),1,3),2)+5)/7),"00"))</f>
        <v/>
      </c>
    </row>
    <row r="352" ht="18" customHeight="1">
      <c r="A352" s="39" t="n">
        <v>347</v>
      </c>
      <c r="B352" s="33">
        <f>IF(C352="","",IF(P352="À RENSEIGNER","GIC",P352)&amp;"-V"&amp;TEXT(A352,"00000"))</f>
        <v/>
      </c>
      <c r="C352" s="32" t="n"/>
      <c r="D352" s="35" t="n"/>
      <c r="E352" s="36" t="n"/>
      <c r="F352" s="36" t="n"/>
      <c r="G352" s="36" t="n"/>
      <c r="H352" s="36" t="n"/>
      <c r="I352" s="36" t="n"/>
      <c r="J352" s="37" t="n"/>
      <c r="K352" s="32" t="n"/>
      <c r="L352" s="36" t="n"/>
      <c r="M352" s="41" t="n"/>
      <c r="N352" s="41" t="n"/>
      <c r="O352" s="36" t="n"/>
      <c r="P352" s="33">
        <f>IF(C352="","",Commercial_Id)</f>
        <v/>
      </c>
      <c r="Q352" s="39">
        <f>IF(F352="","",IFERROR(VALUE(MID(F352,LEN(F352)-3,3)),""))</f>
        <v/>
      </c>
      <c r="R352" s="33">
        <f>IF(Q352="","",P352&amp;"|"&amp;Q352)</f>
        <v/>
      </c>
      <c r="S352" s="33">
        <f>IF(Q352="","",IF(P352="À RENSEIGNER","GIC",P352)&amp;"-"&amp;TEXT(Q352,"000"))</f>
        <v/>
      </c>
      <c r="T352" s="33">
        <f>IF(R352="","",IFERROR(INDEX(Cl_nom,MATCH(R352,Cl_cle,0)),"(client introuvable)"))</f>
        <v/>
      </c>
      <c r="U352" s="33">
        <f>IF(R352="","",IFERROR(INDEX(Cl_quartier,MATCH(R352,Cl_cle,0))&amp;"",""))</f>
        <v/>
      </c>
      <c r="V352" s="34">
        <f>IF(C352="","",YEAR(C352-WEEKDAY(C352,2)+4)&amp;"-S"&amp;TEXT(INT((C352-DATE(YEAR(C352-WEEKDAY(C352,2)+4),1,3)+WEEKDAY(DATE(YEAR(C352-WEEKDAY(C352,2)+4),1,3),2)+5)/7),"00"))</f>
        <v/>
      </c>
    </row>
    <row r="353" ht="18" customHeight="1">
      <c r="A353" s="39" t="n">
        <v>348</v>
      </c>
      <c r="B353" s="33">
        <f>IF(C353="","",IF(P353="À RENSEIGNER","GIC",P353)&amp;"-V"&amp;TEXT(A353,"00000"))</f>
        <v/>
      </c>
      <c r="C353" s="32" t="n"/>
      <c r="D353" s="35" t="n"/>
      <c r="E353" s="36" t="n"/>
      <c r="F353" s="36" t="n"/>
      <c r="G353" s="36" t="n"/>
      <c r="H353" s="36" t="n"/>
      <c r="I353" s="36" t="n"/>
      <c r="J353" s="37" t="n"/>
      <c r="K353" s="32" t="n"/>
      <c r="L353" s="36" t="n"/>
      <c r="M353" s="41" t="n"/>
      <c r="N353" s="41" t="n"/>
      <c r="O353" s="36" t="n"/>
      <c r="P353" s="33">
        <f>IF(C353="","",Commercial_Id)</f>
        <v/>
      </c>
      <c r="Q353" s="39">
        <f>IF(F353="","",IFERROR(VALUE(MID(F353,LEN(F353)-3,3)),""))</f>
        <v/>
      </c>
      <c r="R353" s="33">
        <f>IF(Q353="","",P353&amp;"|"&amp;Q353)</f>
        <v/>
      </c>
      <c r="S353" s="33">
        <f>IF(Q353="","",IF(P353="À RENSEIGNER","GIC",P353)&amp;"-"&amp;TEXT(Q353,"000"))</f>
        <v/>
      </c>
      <c r="T353" s="33">
        <f>IF(R353="","",IFERROR(INDEX(Cl_nom,MATCH(R353,Cl_cle,0)),"(client introuvable)"))</f>
        <v/>
      </c>
      <c r="U353" s="33">
        <f>IF(R353="","",IFERROR(INDEX(Cl_quartier,MATCH(R353,Cl_cle,0))&amp;"",""))</f>
        <v/>
      </c>
      <c r="V353" s="34">
        <f>IF(C353="","",YEAR(C353-WEEKDAY(C353,2)+4)&amp;"-S"&amp;TEXT(INT((C353-DATE(YEAR(C353-WEEKDAY(C353,2)+4),1,3)+WEEKDAY(DATE(YEAR(C353-WEEKDAY(C353,2)+4),1,3),2)+5)/7),"00"))</f>
        <v/>
      </c>
    </row>
    <row r="354" ht="18" customHeight="1">
      <c r="A354" s="39" t="n">
        <v>349</v>
      </c>
      <c r="B354" s="33">
        <f>IF(C354="","",IF(P354="À RENSEIGNER","GIC",P354)&amp;"-V"&amp;TEXT(A354,"00000"))</f>
        <v/>
      </c>
      <c r="C354" s="32" t="n"/>
      <c r="D354" s="35" t="n"/>
      <c r="E354" s="36" t="n"/>
      <c r="F354" s="36" t="n"/>
      <c r="G354" s="36" t="n"/>
      <c r="H354" s="36" t="n"/>
      <c r="I354" s="36" t="n"/>
      <c r="J354" s="37" t="n"/>
      <c r="K354" s="32" t="n"/>
      <c r="L354" s="36" t="n"/>
      <c r="M354" s="41" t="n"/>
      <c r="N354" s="41" t="n"/>
      <c r="O354" s="36" t="n"/>
      <c r="P354" s="33">
        <f>IF(C354="","",Commercial_Id)</f>
        <v/>
      </c>
      <c r="Q354" s="39">
        <f>IF(F354="","",IFERROR(VALUE(MID(F354,LEN(F354)-3,3)),""))</f>
        <v/>
      </c>
      <c r="R354" s="33">
        <f>IF(Q354="","",P354&amp;"|"&amp;Q354)</f>
        <v/>
      </c>
      <c r="S354" s="33">
        <f>IF(Q354="","",IF(P354="À RENSEIGNER","GIC",P354)&amp;"-"&amp;TEXT(Q354,"000"))</f>
        <v/>
      </c>
      <c r="T354" s="33">
        <f>IF(R354="","",IFERROR(INDEX(Cl_nom,MATCH(R354,Cl_cle,0)),"(client introuvable)"))</f>
        <v/>
      </c>
      <c r="U354" s="33">
        <f>IF(R354="","",IFERROR(INDEX(Cl_quartier,MATCH(R354,Cl_cle,0))&amp;"",""))</f>
        <v/>
      </c>
      <c r="V354" s="34">
        <f>IF(C354="","",YEAR(C354-WEEKDAY(C354,2)+4)&amp;"-S"&amp;TEXT(INT((C354-DATE(YEAR(C354-WEEKDAY(C354,2)+4),1,3)+WEEKDAY(DATE(YEAR(C354-WEEKDAY(C354,2)+4),1,3),2)+5)/7),"00"))</f>
        <v/>
      </c>
    </row>
    <row r="355" ht="18" customHeight="1">
      <c r="A355" s="39" t="n">
        <v>350</v>
      </c>
      <c r="B355" s="33">
        <f>IF(C355="","",IF(P355="À RENSEIGNER","GIC",P355)&amp;"-V"&amp;TEXT(A355,"00000"))</f>
        <v/>
      </c>
      <c r="C355" s="32" t="n"/>
      <c r="D355" s="35" t="n"/>
      <c r="E355" s="36" t="n"/>
      <c r="F355" s="36" t="n"/>
      <c r="G355" s="36" t="n"/>
      <c r="H355" s="36" t="n"/>
      <c r="I355" s="36" t="n"/>
      <c r="J355" s="37" t="n"/>
      <c r="K355" s="32" t="n"/>
      <c r="L355" s="36" t="n"/>
      <c r="M355" s="41" t="n"/>
      <c r="N355" s="41" t="n"/>
      <c r="O355" s="36" t="n"/>
      <c r="P355" s="33">
        <f>IF(C355="","",Commercial_Id)</f>
        <v/>
      </c>
      <c r="Q355" s="39">
        <f>IF(F355="","",IFERROR(VALUE(MID(F355,LEN(F355)-3,3)),""))</f>
        <v/>
      </c>
      <c r="R355" s="33">
        <f>IF(Q355="","",P355&amp;"|"&amp;Q355)</f>
        <v/>
      </c>
      <c r="S355" s="33">
        <f>IF(Q355="","",IF(P355="À RENSEIGNER","GIC",P355)&amp;"-"&amp;TEXT(Q355,"000"))</f>
        <v/>
      </c>
      <c r="T355" s="33">
        <f>IF(R355="","",IFERROR(INDEX(Cl_nom,MATCH(R355,Cl_cle,0)),"(client introuvable)"))</f>
        <v/>
      </c>
      <c r="U355" s="33">
        <f>IF(R355="","",IFERROR(INDEX(Cl_quartier,MATCH(R355,Cl_cle,0))&amp;"",""))</f>
        <v/>
      </c>
      <c r="V355" s="34">
        <f>IF(C355="","",YEAR(C355-WEEKDAY(C355,2)+4)&amp;"-S"&amp;TEXT(INT((C355-DATE(YEAR(C355-WEEKDAY(C355,2)+4),1,3)+WEEKDAY(DATE(YEAR(C355-WEEKDAY(C355,2)+4),1,3),2)+5)/7),"00"))</f>
        <v/>
      </c>
    </row>
    <row r="356" ht="18" customHeight="1">
      <c r="A356" s="39" t="n">
        <v>351</v>
      </c>
      <c r="B356" s="33">
        <f>IF(C356="","",IF(P356="À RENSEIGNER","GIC",P356)&amp;"-V"&amp;TEXT(A356,"00000"))</f>
        <v/>
      </c>
      <c r="C356" s="32" t="n"/>
      <c r="D356" s="35" t="n"/>
      <c r="E356" s="36" t="n"/>
      <c r="F356" s="36" t="n"/>
      <c r="G356" s="36" t="n"/>
      <c r="H356" s="36" t="n"/>
      <c r="I356" s="36" t="n"/>
      <c r="J356" s="37" t="n"/>
      <c r="K356" s="32" t="n"/>
      <c r="L356" s="36" t="n"/>
      <c r="M356" s="41" t="n"/>
      <c r="N356" s="41" t="n"/>
      <c r="O356" s="36" t="n"/>
      <c r="P356" s="33">
        <f>IF(C356="","",Commercial_Id)</f>
        <v/>
      </c>
      <c r="Q356" s="39">
        <f>IF(F356="","",IFERROR(VALUE(MID(F356,LEN(F356)-3,3)),""))</f>
        <v/>
      </c>
      <c r="R356" s="33">
        <f>IF(Q356="","",P356&amp;"|"&amp;Q356)</f>
        <v/>
      </c>
      <c r="S356" s="33">
        <f>IF(Q356="","",IF(P356="À RENSEIGNER","GIC",P356)&amp;"-"&amp;TEXT(Q356,"000"))</f>
        <v/>
      </c>
      <c r="T356" s="33">
        <f>IF(R356="","",IFERROR(INDEX(Cl_nom,MATCH(R356,Cl_cle,0)),"(client introuvable)"))</f>
        <v/>
      </c>
      <c r="U356" s="33">
        <f>IF(R356="","",IFERROR(INDEX(Cl_quartier,MATCH(R356,Cl_cle,0))&amp;"",""))</f>
        <v/>
      </c>
      <c r="V356" s="34">
        <f>IF(C356="","",YEAR(C356-WEEKDAY(C356,2)+4)&amp;"-S"&amp;TEXT(INT((C356-DATE(YEAR(C356-WEEKDAY(C356,2)+4),1,3)+WEEKDAY(DATE(YEAR(C356-WEEKDAY(C356,2)+4),1,3),2)+5)/7),"00"))</f>
        <v/>
      </c>
    </row>
    <row r="357" ht="18" customHeight="1">
      <c r="A357" s="39" t="n">
        <v>352</v>
      </c>
      <c r="B357" s="33">
        <f>IF(C357="","",IF(P357="À RENSEIGNER","GIC",P357)&amp;"-V"&amp;TEXT(A357,"00000"))</f>
        <v/>
      </c>
      <c r="C357" s="32" t="n"/>
      <c r="D357" s="35" t="n"/>
      <c r="E357" s="36" t="n"/>
      <c r="F357" s="36" t="n"/>
      <c r="G357" s="36" t="n"/>
      <c r="H357" s="36" t="n"/>
      <c r="I357" s="36" t="n"/>
      <c r="J357" s="37" t="n"/>
      <c r="K357" s="32" t="n"/>
      <c r="L357" s="36" t="n"/>
      <c r="M357" s="41" t="n"/>
      <c r="N357" s="41" t="n"/>
      <c r="O357" s="36" t="n"/>
      <c r="P357" s="33">
        <f>IF(C357="","",Commercial_Id)</f>
        <v/>
      </c>
      <c r="Q357" s="39">
        <f>IF(F357="","",IFERROR(VALUE(MID(F357,LEN(F357)-3,3)),""))</f>
        <v/>
      </c>
      <c r="R357" s="33">
        <f>IF(Q357="","",P357&amp;"|"&amp;Q357)</f>
        <v/>
      </c>
      <c r="S357" s="33">
        <f>IF(Q357="","",IF(P357="À RENSEIGNER","GIC",P357)&amp;"-"&amp;TEXT(Q357,"000"))</f>
        <v/>
      </c>
      <c r="T357" s="33">
        <f>IF(R357="","",IFERROR(INDEX(Cl_nom,MATCH(R357,Cl_cle,0)),"(client introuvable)"))</f>
        <v/>
      </c>
      <c r="U357" s="33">
        <f>IF(R357="","",IFERROR(INDEX(Cl_quartier,MATCH(R357,Cl_cle,0))&amp;"",""))</f>
        <v/>
      </c>
      <c r="V357" s="34">
        <f>IF(C357="","",YEAR(C357-WEEKDAY(C357,2)+4)&amp;"-S"&amp;TEXT(INT((C357-DATE(YEAR(C357-WEEKDAY(C357,2)+4),1,3)+WEEKDAY(DATE(YEAR(C357-WEEKDAY(C357,2)+4),1,3),2)+5)/7),"00"))</f>
        <v/>
      </c>
    </row>
    <row r="358" ht="18" customHeight="1">
      <c r="A358" s="39" t="n">
        <v>353</v>
      </c>
      <c r="B358" s="33">
        <f>IF(C358="","",IF(P358="À RENSEIGNER","GIC",P358)&amp;"-V"&amp;TEXT(A358,"00000"))</f>
        <v/>
      </c>
      <c r="C358" s="32" t="n"/>
      <c r="D358" s="35" t="n"/>
      <c r="E358" s="36" t="n"/>
      <c r="F358" s="36" t="n"/>
      <c r="G358" s="36" t="n"/>
      <c r="H358" s="36" t="n"/>
      <c r="I358" s="36" t="n"/>
      <c r="J358" s="37" t="n"/>
      <c r="K358" s="32" t="n"/>
      <c r="L358" s="36" t="n"/>
      <c r="M358" s="41" t="n"/>
      <c r="N358" s="41" t="n"/>
      <c r="O358" s="36" t="n"/>
      <c r="P358" s="33">
        <f>IF(C358="","",Commercial_Id)</f>
        <v/>
      </c>
      <c r="Q358" s="39">
        <f>IF(F358="","",IFERROR(VALUE(MID(F358,LEN(F358)-3,3)),""))</f>
        <v/>
      </c>
      <c r="R358" s="33">
        <f>IF(Q358="","",P358&amp;"|"&amp;Q358)</f>
        <v/>
      </c>
      <c r="S358" s="33">
        <f>IF(Q358="","",IF(P358="À RENSEIGNER","GIC",P358)&amp;"-"&amp;TEXT(Q358,"000"))</f>
        <v/>
      </c>
      <c r="T358" s="33">
        <f>IF(R358="","",IFERROR(INDEX(Cl_nom,MATCH(R358,Cl_cle,0)),"(client introuvable)"))</f>
        <v/>
      </c>
      <c r="U358" s="33">
        <f>IF(R358="","",IFERROR(INDEX(Cl_quartier,MATCH(R358,Cl_cle,0))&amp;"",""))</f>
        <v/>
      </c>
      <c r="V358" s="34">
        <f>IF(C358="","",YEAR(C358-WEEKDAY(C358,2)+4)&amp;"-S"&amp;TEXT(INT((C358-DATE(YEAR(C358-WEEKDAY(C358,2)+4),1,3)+WEEKDAY(DATE(YEAR(C358-WEEKDAY(C358,2)+4),1,3),2)+5)/7),"00"))</f>
        <v/>
      </c>
    </row>
    <row r="359" ht="18" customHeight="1">
      <c r="A359" s="39" t="n">
        <v>354</v>
      </c>
      <c r="B359" s="33">
        <f>IF(C359="","",IF(P359="À RENSEIGNER","GIC",P359)&amp;"-V"&amp;TEXT(A359,"00000"))</f>
        <v/>
      </c>
      <c r="C359" s="32" t="n"/>
      <c r="D359" s="35" t="n"/>
      <c r="E359" s="36" t="n"/>
      <c r="F359" s="36" t="n"/>
      <c r="G359" s="36" t="n"/>
      <c r="H359" s="36" t="n"/>
      <c r="I359" s="36" t="n"/>
      <c r="J359" s="37" t="n"/>
      <c r="K359" s="32" t="n"/>
      <c r="L359" s="36" t="n"/>
      <c r="M359" s="41" t="n"/>
      <c r="N359" s="41" t="n"/>
      <c r="O359" s="36" t="n"/>
      <c r="P359" s="33">
        <f>IF(C359="","",Commercial_Id)</f>
        <v/>
      </c>
      <c r="Q359" s="39">
        <f>IF(F359="","",IFERROR(VALUE(MID(F359,LEN(F359)-3,3)),""))</f>
        <v/>
      </c>
      <c r="R359" s="33">
        <f>IF(Q359="","",P359&amp;"|"&amp;Q359)</f>
        <v/>
      </c>
      <c r="S359" s="33">
        <f>IF(Q359="","",IF(P359="À RENSEIGNER","GIC",P359)&amp;"-"&amp;TEXT(Q359,"000"))</f>
        <v/>
      </c>
      <c r="T359" s="33">
        <f>IF(R359="","",IFERROR(INDEX(Cl_nom,MATCH(R359,Cl_cle,0)),"(client introuvable)"))</f>
        <v/>
      </c>
      <c r="U359" s="33">
        <f>IF(R359="","",IFERROR(INDEX(Cl_quartier,MATCH(R359,Cl_cle,0))&amp;"",""))</f>
        <v/>
      </c>
      <c r="V359" s="34">
        <f>IF(C359="","",YEAR(C359-WEEKDAY(C359,2)+4)&amp;"-S"&amp;TEXT(INT((C359-DATE(YEAR(C359-WEEKDAY(C359,2)+4),1,3)+WEEKDAY(DATE(YEAR(C359-WEEKDAY(C359,2)+4),1,3),2)+5)/7),"00"))</f>
        <v/>
      </c>
    </row>
    <row r="360" ht="18" customHeight="1">
      <c r="A360" s="39" t="n">
        <v>355</v>
      </c>
      <c r="B360" s="33">
        <f>IF(C360="","",IF(P360="À RENSEIGNER","GIC",P360)&amp;"-V"&amp;TEXT(A360,"00000"))</f>
        <v/>
      </c>
      <c r="C360" s="32" t="n"/>
      <c r="D360" s="35" t="n"/>
      <c r="E360" s="36" t="n"/>
      <c r="F360" s="36" t="n"/>
      <c r="G360" s="36" t="n"/>
      <c r="H360" s="36" t="n"/>
      <c r="I360" s="36" t="n"/>
      <c r="J360" s="37" t="n"/>
      <c r="K360" s="32" t="n"/>
      <c r="L360" s="36" t="n"/>
      <c r="M360" s="41" t="n"/>
      <c r="N360" s="41" t="n"/>
      <c r="O360" s="36" t="n"/>
      <c r="P360" s="33">
        <f>IF(C360="","",Commercial_Id)</f>
        <v/>
      </c>
      <c r="Q360" s="39">
        <f>IF(F360="","",IFERROR(VALUE(MID(F360,LEN(F360)-3,3)),""))</f>
        <v/>
      </c>
      <c r="R360" s="33">
        <f>IF(Q360="","",P360&amp;"|"&amp;Q360)</f>
        <v/>
      </c>
      <c r="S360" s="33">
        <f>IF(Q360="","",IF(P360="À RENSEIGNER","GIC",P360)&amp;"-"&amp;TEXT(Q360,"000"))</f>
        <v/>
      </c>
      <c r="T360" s="33">
        <f>IF(R360="","",IFERROR(INDEX(Cl_nom,MATCH(R360,Cl_cle,0)),"(client introuvable)"))</f>
        <v/>
      </c>
      <c r="U360" s="33">
        <f>IF(R360="","",IFERROR(INDEX(Cl_quartier,MATCH(R360,Cl_cle,0))&amp;"",""))</f>
        <v/>
      </c>
      <c r="V360" s="34">
        <f>IF(C360="","",YEAR(C360-WEEKDAY(C360,2)+4)&amp;"-S"&amp;TEXT(INT((C360-DATE(YEAR(C360-WEEKDAY(C360,2)+4),1,3)+WEEKDAY(DATE(YEAR(C360-WEEKDAY(C360,2)+4),1,3),2)+5)/7),"00"))</f>
        <v/>
      </c>
    </row>
    <row r="361" ht="18" customHeight="1">
      <c r="A361" s="39" t="n">
        <v>356</v>
      </c>
      <c r="B361" s="33">
        <f>IF(C361="","",IF(P361="À RENSEIGNER","GIC",P361)&amp;"-V"&amp;TEXT(A361,"00000"))</f>
        <v/>
      </c>
      <c r="C361" s="32" t="n"/>
      <c r="D361" s="35" t="n"/>
      <c r="E361" s="36" t="n"/>
      <c r="F361" s="36" t="n"/>
      <c r="G361" s="36" t="n"/>
      <c r="H361" s="36" t="n"/>
      <c r="I361" s="36" t="n"/>
      <c r="J361" s="37" t="n"/>
      <c r="K361" s="32" t="n"/>
      <c r="L361" s="36" t="n"/>
      <c r="M361" s="41" t="n"/>
      <c r="N361" s="41" t="n"/>
      <c r="O361" s="36" t="n"/>
      <c r="P361" s="33">
        <f>IF(C361="","",Commercial_Id)</f>
        <v/>
      </c>
      <c r="Q361" s="39">
        <f>IF(F361="","",IFERROR(VALUE(MID(F361,LEN(F361)-3,3)),""))</f>
        <v/>
      </c>
      <c r="R361" s="33">
        <f>IF(Q361="","",P361&amp;"|"&amp;Q361)</f>
        <v/>
      </c>
      <c r="S361" s="33">
        <f>IF(Q361="","",IF(P361="À RENSEIGNER","GIC",P361)&amp;"-"&amp;TEXT(Q361,"000"))</f>
        <v/>
      </c>
      <c r="T361" s="33">
        <f>IF(R361="","",IFERROR(INDEX(Cl_nom,MATCH(R361,Cl_cle,0)),"(client introuvable)"))</f>
        <v/>
      </c>
      <c r="U361" s="33">
        <f>IF(R361="","",IFERROR(INDEX(Cl_quartier,MATCH(R361,Cl_cle,0))&amp;"",""))</f>
        <v/>
      </c>
      <c r="V361" s="34">
        <f>IF(C361="","",YEAR(C361-WEEKDAY(C361,2)+4)&amp;"-S"&amp;TEXT(INT((C361-DATE(YEAR(C361-WEEKDAY(C361,2)+4),1,3)+WEEKDAY(DATE(YEAR(C361-WEEKDAY(C361,2)+4),1,3),2)+5)/7),"00"))</f>
        <v/>
      </c>
    </row>
    <row r="362" ht="18" customHeight="1">
      <c r="A362" s="39" t="n">
        <v>357</v>
      </c>
      <c r="B362" s="33">
        <f>IF(C362="","",IF(P362="À RENSEIGNER","GIC",P362)&amp;"-V"&amp;TEXT(A362,"00000"))</f>
        <v/>
      </c>
      <c r="C362" s="32" t="n"/>
      <c r="D362" s="35" t="n"/>
      <c r="E362" s="36" t="n"/>
      <c r="F362" s="36" t="n"/>
      <c r="G362" s="36" t="n"/>
      <c r="H362" s="36" t="n"/>
      <c r="I362" s="36" t="n"/>
      <c r="J362" s="37" t="n"/>
      <c r="K362" s="32" t="n"/>
      <c r="L362" s="36" t="n"/>
      <c r="M362" s="41" t="n"/>
      <c r="N362" s="41" t="n"/>
      <c r="O362" s="36" t="n"/>
      <c r="P362" s="33">
        <f>IF(C362="","",Commercial_Id)</f>
        <v/>
      </c>
      <c r="Q362" s="39">
        <f>IF(F362="","",IFERROR(VALUE(MID(F362,LEN(F362)-3,3)),""))</f>
        <v/>
      </c>
      <c r="R362" s="33">
        <f>IF(Q362="","",P362&amp;"|"&amp;Q362)</f>
        <v/>
      </c>
      <c r="S362" s="33">
        <f>IF(Q362="","",IF(P362="À RENSEIGNER","GIC",P362)&amp;"-"&amp;TEXT(Q362,"000"))</f>
        <v/>
      </c>
      <c r="T362" s="33">
        <f>IF(R362="","",IFERROR(INDEX(Cl_nom,MATCH(R362,Cl_cle,0)),"(client introuvable)"))</f>
        <v/>
      </c>
      <c r="U362" s="33">
        <f>IF(R362="","",IFERROR(INDEX(Cl_quartier,MATCH(R362,Cl_cle,0))&amp;"",""))</f>
        <v/>
      </c>
      <c r="V362" s="34">
        <f>IF(C362="","",YEAR(C362-WEEKDAY(C362,2)+4)&amp;"-S"&amp;TEXT(INT((C362-DATE(YEAR(C362-WEEKDAY(C362,2)+4),1,3)+WEEKDAY(DATE(YEAR(C362-WEEKDAY(C362,2)+4),1,3),2)+5)/7),"00"))</f>
        <v/>
      </c>
    </row>
    <row r="363" ht="18" customHeight="1">
      <c r="A363" s="39" t="n">
        <v>358</v>
      </c>
      <c r="B363" s="33">
        <f>IF(C363="","",IF(P363="À RENSEIGNER","GIC",P363)&amp;"-V"&amp;TEXT(A363,"00000"))</f>
        <v/>
      </c>
      <c r="C363" s="32" t="n"/>
      <c r="D363" s="35" t="n"/>
      <c r="E363" s="36" t="n"/>
      <c r="F363" s="36" t="n"/>
      <c r="G363" s="36" t="n"/>
      <c r="H363" s="36" t="n"/>
      <c r="I363" s="36" t="n"/>
      <c r="J363" s="37" t="n"/>
      <c r="K363" s="32" t="n"/>
      <c r="L363" s="36" t="n"/>
      <c r="M363" s="41" t="n"/>
      <c r="N363" s="41" t="n"/>
      <c r="O363" s="36" t="n"/>
      <c r="P363" s="33">
        <f>IF(C363="","",Commercial_Id)</f>
        <v/>
      </c>
      <c r="Q363" s="39">
        <f>IF(F363="","",IFERROR(VALUE(MID(F363,LEN(F363)-3,3)),""))</f>
        <v/>
      </c>
      <c r="R363" s="33">
        <f>IF(Q363="","",P363&amp;"|"&amp;Q363)</f>
        <v/>
      </c>
      <c r="S363" s="33">
        <f>IF(Q363="","",IF(P363="À RENSEIGNER","GIC",P363)&amp;"-"&amp;TEXT(Q363,"000"))</f>
        <v/>
      </c>
      <c r="T363" s="33">
        <f>IF(R363="","",IFERROR(INDEX(Cl_nom,MATCH(R363,Cl_cle,0)),"(client introuvable)"))</f>
        <v/>
      </c>
      <c r="U363" s="33">
        <f>IF(R363="","",IFERROR(INDEX(Cl_quartier,MATCH(R363,Cl_cle,0))&amp;"",""))</f>
        <v/>
      </c>
      <c r="V363" s="34">
        <f>IF(C363="","",YEAR(C363-WEEKDAY(C363,2)+4)&amp;"-S"&amp;TEXT(INT((C363-DATE(YEAR(C363-WEEKDAY(C363,2)+4),1,3)+WEEKDAY(DATE(YEAR(C363-WEEKDAY(C363,2)+4),1,3),2)+5)/7),"00"))</f>
        <v/>
      </c>
    </row>
    <row r="364" ht="18" customHeight="1">
      <c r="A364" s="39" t="n">
        <v>359</v>
      </c>
      <c r="B364" s="33">
        <f>IF(C364="","",IF(P364="À RENSEIGNER","GIC",P364)&amp;"-V"&amp;TEXT(A364,"00000"))</f>
        <v/>
      </c>
      <c r="C364" s="32" t="n"/>
      <c r="D364" s="35" t="n"/>
      <c r="E364" s="36" t="n"/>
      <c r="F364" s="36" t="n"/>
      <c r="G364" s="36" t="n"/>
      <c r="H364" s="36" t="n"/>
      <c r="I364" s="36" t="n"/>
      <c r="J364" s="37" t="n"/>
      <c r="K364" s="32" t="n"/>
      <c r="L364" s="36" t="n"/>
      <c r="M364" s="41" t="n"/>
      <c r="N364" s="41" t="n"/>
      <c r="O364" s="36" t="n"/>
      <c r="P364" s="33">
        <f>IF(C364="","",Commercial_Id)</f>
        <v/>
      </c>
      <c r="Q364" s="39">
        <f>IF(F364="","",IFERROR(VALUE(MID(F364,LEN(F364)-3,3)),""))</f>
        <v/>
      </c>
      <c r="R364" s="33">
        <f>IF(Q364="","",P364&amp;"|"&amp;Q364)</f>
        <v/>
      </c>
      <c r="S364" s="33">
        <f>IF(Q364="","",IF(P364="À RENSEIGNER","GIC",P364)&amp;"-"&amp;TEXT(Q364,"000"))</f>
        <v/>
      </c>
      <c r="T364" s="33">
        <f>IF(R364="","",IFERROR(INDEX(Cl_nom,MATCH(R364,Cl_cle,0)),"(client introuvable)"))</f>
        <v/>
      </c>
      <c r="U364" s="33">
        <f>IF(R364="","",IFERROR(INDEX(Cl_quartier,MATCH(R364,Cl_cle,0))&amp;"",""))</f>
        <v/>
      </c>
      <c r="V364" s="34">
        <f>IF(C364="","",YEAR(C364-WEEKDAY(C364,2)+4)&amp;"-S"&amp;TEXT(INT((C364-DATE(YEAR(C364-WEEKDAY(C364,2)+4),1,3)+WEEKDAY(DATE(YEAR(C364-WEEKDAY(C364,2)+4),1,3),2)+5)/7),"00"))</f>
        <v/>
      </c>
    </row>
    <row r="365" ht="18" customHeight="1">
      <c r="A365" s="39" t="n">
        <v>360</v>
      </c>
      <c r="B365" s="33">
        <f>IF(C365="","",IF(P365="À RENSEIGNER","GIC",P365)&amp;"-V"&amp;TEXT(A365,"00000"))</f>
        <v/>
      </c>
      <c r="C365" s="32" t="n"/>
      <c r="D365" s="35" t="n"/>
      <c r="E365" s="36" t="n"/>
      <c r="F365" s="36" t="n"/>
      <c r="G365" s="36" t="n"/>
      <c r="H365" s="36" t="n"/>
      <c r="I365" s="36" t="n"/>
      <c r="J365" s="37" t="n"/>
      <c r="K365" s="32" t="n"/>
      <c r="L365" s="36" t="n"/>
      <c r="M365" s="41" t="n"/>
      <c r="N365" s="41" t="n"/>
      <c r="O365" s="36" t="n"/>
      <c r="P365" s="33">
        <f>IF(C365="","",Commercial_Id)</f>
        <v/>
      </c>
      <c r="Q365" s="39">
        <f>IF(F365="","",IFERROR(VALUE(MID(F365,LEN(F365)-3,3)),""))</f>
        <v/>
      </c>
      <c r="R365" s="33">
        <f>IF(Q365="","",P365&amp;"|"&amp;Q365)</f>
        <v/>
      </c>
      <c r="S365" s="33">
        <f>IF(Q365="","",IF(P365="À RENSEIGNER","GIC",P365)&amp;"-"&amp;TEXT(Q365,"000"))</f>
        <v/>
      </c>
      <c r="T365" s="33">
        <f>IF(R365="","",IFERROR(INDEX(Cl_nom,MATCH(R365,Cl_cle,0)),"(client introuvable)"))</f>
        <v/>
      </c>
      <c r="U365" s="33">
        <f>IF(R365="","",IFERROR(INDEX(Cl_quartier,MATCH(R365,Cl_cle,0))&amp;"",""))</f>
        <v/>
      </c>
      <c r="V365" s="34">
        <f>IF(C365="","",YEAR(C365-WEEKDAY(C365,2)+4)&amp;"-S"&amp;TEXT(INT((C365-DATE(YEAR(C365-WEEKDAY(C365,2)+4),1,3)+WEEKDAY(DATE(YEAR(C365-WEEKDAY(C365,2)+4),1,3),2)+5)/7),"00"))</f>
        <v/>
      </c>
    </row>
    <row r="366" ht="18" customHeight="1">
      <c r="A366" s="39" t="n">
        <v>361</v>
      </c>
      <c r="B366" s="33">
        <f>IF(C366="","",IF(P366="À RENSEIGNER","GIC",P366)&amp;"-V"&amp;TEXT(A366,"00000"))</f>
        <v/>
      </c>
      <c r="C366" s="32" t="n"/>
      <c r="D366" s="35" t="n"/>
      <c r="E366" s="36" t="n"/>
      <c r="F366" s="36" t="n"/>
      <c r="G366" s="36" t="n"/>
      <c r="H366" s="36" t="n"/>
      <c r="I366" s="36" t="n"/>
      <c r="J366" s="37" t="n"/>
      <c r="K366" s="32" t="n"/>
      <c r="L366" s="36" t="n"/>
      <c r="M366" s="41" t="n"/>
      <c r="N366" s="41" t="n"/>
      <c r="O366" s="36" t="n"/>
      <c r="P366" s="33">
        <f>IF(C366="","",Commercial_Id)</f>
        <v/>
      </c>
      <c r="Q366" s="39">
        <f>IF(F366="","",IFERROR(VALUE(MID(F366,LEN(F366)-3,3)),""))</f>
        <v/>
      </c>
      <c r="R366" s="33">
        <f>IF(Q366="","",P366&amp;"|"&amp;Q366)</f>
        <v/>
      </c>
      <c r="S366" s="33">
        <f>IF(Q366="","",IF(P366="À RENSEIGNER","GIC",P366)&amp;"-"&amp;TEXT(Q366,"000"))</f>
        <v/>
      </c>
      <c r="T366" s="33">
        <f>IF(R366="","",IFERROR(INDEX(Cl_nom,MATCH(R366,Cl_cle,0)),"(client introuvable)"))</f>
        <v/>
      </c>
      <c r="U366" s="33">
        <f>IF(R366="","",IFERROR(INDEX(Cl_quartier,MATCH(R366,Cl_cle,0))&amp;"",""))</f>
        <v/>
      </c>
      <c r="V366" s="34">
        <f>IF(C366="","",YEAR(C366-WEEKDAY(C366,2)+4)&amp;"-S"&amp;TEXT(INT((C366-DATE(YEAR(C366-WEEKDAY(C366,2)+4),1,3)+WEEKDAY(DATE(YEAR(C366-WEEKDAY(C366,2)+4),1,3),2)+5)/7),"00"))</f>
        <v/>
      </c>
    </row>
    <row r="367" ht="18" customHeight="1">
      <c r="A367" s="39" t="n">
        <v>362</v>
      </c>
      <c r="B367" s="33">
        <f>IF(C367="","",IF(P367="À RENSEIGNER","GIC",P367)&amp;"-V"&amp;TEXT(A367,"00000"))</f>
        <v/>
      </c>
      <c r="C367" s="32" t="n"/>
      <c r="D367" s="35" t="n"/>
      <c r="E367" s="36" t="n"/>
      <c r="F367" s="36" t="n"/>
      <c r="G367" s="36" t="n"/>
      <c r="H367" s="36" t="n"/>
      <c r="I367" s="36" t="n"/>
      <c r="J367" s="37" t="n"/>
      <c r="K367" s="32" t="n"/>
      <c r="L367" s="36" t="n"/>
      <c r="M367" s="41" t="n"/>
      <c r="N367" s="41" t="n"/>
      <c r="O367" s="36" t="n"/>
      <c r="P367" s="33">
        <f>IF(C367="","",Commercial_Id)</f>
        <v/>
      </c>
      <c r="Q367" s="39">
        <f>IF(F367="","",IFERROR(VALUE(MID(F367,LEN(F367)-3,3)),""))</f>
        <v/>
      </c>
      <c r="R367" s="33">
        <f>IF(Q367="","",P367&amp;"|"&amp;Q367)</f>
        <v/>
      </c>
      <c r="S367" s="33">
        <f>IF(Q367="","",IF(P367="À RENSEIGNER","GIC",P367)&amp;"-"&amp;TEXT(Q367,"000"))</f>
        <v/>
      </c>
      <c r="T367" s="33">
        <f>IF(R367="","",IFERROR(INDEX(Cl_nom,MATCH(R367,Cl_cle,0)),"(client introuvable)"))</f>
        <v/>
      </c>
      <c r="U367" s="33">
        <f>IF(R367="","",IFERROR(INDEX(Cl_quartier,MATCH(R367,Cl_cle,0))&amp;"",""))</f>
        <v/>
      </c>
      <c r="V367" s="34">
        <f>IF(C367="","",YEAR(C367-WEEKDAY(C367,2)+4)&amp;"-S"&amp;TEXT(INT((C367-DATE(YEAR(C367-WEEKDAY(C367,2)+4),1,3)+WEEKDAY(DATE(YEAR(C367-WEEKDAY(C367,2)+4),1,3),2)+5)/7),"00"))</f>
        <v/>
      </c>
    </row>
    <row r="368" ht="18" customHeight="1">
      <c r="A368" s="39" t="n">
        <v>363</v>
      </c>
      <c r="B368" s="33">
        <f>IF(C368="","",IF(P368="À RENSEIGNER","GIC",P368)&amp;"-V"&amp;TEXT(A368,"00000"))</f>
        <v/>
      </c>
      <c r="C368" s="32" t="n"/>
      <c r="D368" s="35" t="n"/>
      <c r="E368" s="36" t="n"/>
      <c r="F368" s="36" t="n"/>
      <c r="G368" s="36" t="n"/>
      <c r="H368" s="36" t="n"/>
      <c r="I368" s="36" t="n"/>
      <c r="J368" s="37" t="n"/>
      <c r="K368" s="32" t="n"/>
      <c r="L368" s="36" t="n"/>
      <c r="M368" s="41" t="n"/>
      <c r="N368" s="41" t="n"/>
      <c r="O368" s="36" t="n"/>
      <c r="P368" s="33">
        <f>IF(C368="","",Commercial_Id)</f>
        <v/>
      </c>
      <c r="Q368" s="39">
        <f>IF(F368="","",IFERROR(VALUE(MID(F368,LEN(F368)-3,3)),""))</f>
        <v/>
      </c>
      <c r="R368" s="33">
        <f>IF(Q368="","",P368&amp;"|"&amp;Q368)</f>
        <v/>
      </c>
      <c r="S368" s="33">
        <f>IF(Q368="","",IF(P368="À RENSEIGNER","GIC",P368)&amp;"-"&amp;TEXT(Q368,"000"))</f>
        <v/>
      </c>
      <c r="T368" s="33">
        <f>IF(R368="","",IFERROR(INDEX(Cl_nom,MATCH(R368,Cl_cle,0)),"(client introuvable)"))</f>
        <v/>
      </c>
      <c r="U368" s="33">
        <f>IF(R368="","",IFERROR(INDEX(Cl_quartier,MATCH(R368,Cl_cle,0))&amp;"",""))</f>
        <v/>
      </c>
      <c r="V368" s="34">
        <f>IF(C368="","",YEAR(C368-WEEKDAY(C368,2)+4)&amp;"-S"&amp;TEXT(INT((C368-DATE(YEAR(C368-WEEKDAY(C368,2)+4),1,3)+WEEKDAY(DATE(YEAR(C368-WEEKDAY(C368,2)+4),1,3),2)+5)/7),"00"))</f>
        <v/>
      </c>
    </row>
    <row r="369" ht="18" customHeight="1">
      <c r="A369" s="39" t="n">
        <v>364</v>
      </c>
      <c r="B369" s="33">
        <f>IF(C369="","",IF(P369="À RENSEIGNER","GIC",P369)&amp;"-V"&amp;TEXT(A369,"00000"))</f>
        <v/>
      </c>
      <c r="C369" s="32" t="n"/>
      <c r="D369" s="35" t="n"/>
      <c r="E369" s="36" t="n"/>
      <c r="F369" s="36" t="n"/>
      <c r="G369" s="36" t="n"/>
      <c r="H369" s="36" t="n"/>
      <c r="I369" s="36" t="n"/>
      <c r="J369" s="37" t="n"/>
      <c r="K369" s="32" t="n"/>
      <c r="L369" s="36" t="n"/>
      <c r="M369" s="41" t="n"/>
      <c r="N369" s="41" t="n"/>
      <c r="O369" s="36" t="n"/>
      <c r="P369" s="33">
        <f>IF(C369="","",Commercial_Id)</f>
        <v/>
      </c>
      <c r="Q369" s="39">
        <f>IF(F369="","",IFERROR(VALUE(MID(F369,LEN(F369)-3,3)),""))</f>
        <v/>
      </c>
      <c r="R369" s="33">
        <f>IF(Q369="","",P369&amp;"|"&amp;Q369)</f>
        <v/>
      </c>
      <c r="S369" s="33">
        <f>IF(Q369="","",IF(P369="À RENSEIGNER","GIC",P369)&amp;"-"&amp;TEXT(Q369,"000"))</f>
        <v/>
      </c>
      <c r="T369" s="33">
        <f>IF(R369="","",IFERROR(INDEX(Cl_nom,MATCH(R369,Cl_cle,0)),"(client introuvable)"))</f>
        <v/>
      </c>
      <c r="U369" s="33">
        <f>IF(R369="","",IFERROR(INDEX(Cl_quartier,MATCH(R369,Cl_cle,0))&amp;"",""))</f>
        <v/>
      </c>
      <c r="V369" s="34">
        <f>IF(C369="","",YEAR(C369-WEEKDAY(C369,2)+4)&amp;"-S"&amp;TEXT(INT((C369-DATE(YEAR(C369-WEEKDAY(C369,2)+4),1,3)+WEEKDAY(DATE(YEAR(C369-WEEKDAY(C369,2)+4),1,3),2)+5)/7),"00"))</f>
        <v/>
      </c>
    </row>
    <row r="370" ht="18" customHeight="1">
      <c r="A370" s="39" t="n">
        <v>365</v>
      </c>
      <c r="B370" s="33">
        <f>IF(C370="","",IF(P370="À RENSEIGNER","GIC",P370)&amp;"-V"&amp;TEXT(A370,"00000"))</f>
        <v/>
      </c>
      <c r="C370" s="32" t="n"/>
      <c r="D370" s="35" t="n"/>
      <c r="E370" s="36" t="n"/>
      <c r="F370" s="36" t="n"/>
      <c r="G370" s="36" t="n"/>
      <c r="H370" s="36" t="n"/>
      <c r="I370" s="36" t="n"/>
      <c r="J370" s="37" t="n"/>
      <c r="K370" s="32" t="n"/>
      <c r="L370" s="36" t="n"/>
      <c r="M370" s="41" t="n"/>
      <c r="N370" s="41" t="n"/>
      <c r="O370" s="36" t="n"/>
      <c r="P370" s="33">
        <f>IF(C370="","",Commercial_Id)</f>
        <v/>
      </c>
      <c r="Q370" s="39">
        <f>IF(F370="","",IFERROR(VALUE(MID(F370,LEN(F370)-3,3)),""))</f>
        <v/>
      </c>
      <c r="R370" s="33">
        <f>IF(Q370="","",P370&amp;"|"&amp;Q370)</f>
        <v/>
      </c>
      <c r="S370" s="33">
        <f>IF(Q370="","",IF(P370="À RENSEIGNER","GIC",P370)&amp;"-"&amp;TEXT(Q370,"000"))</f>
        <v/>
      </c>
      <c r="T370" s="33">
        <f>IF(R370="","",IFERROR(INDEX(Cl_nom,MATCH(R370,Cl_cle,0)),"(client introuvable)"))</f>
        <v/>
      </c>
      <c r="U370" s="33">
        <f>IF(R370="","",IFERROR(INDEX(Cl_quartier,MATCH(R370,Cl_cle,0))&amp;"",""))</f>
        <v/>
      </c>
      <c r="V370" s="34">
        <f>IF(C370="","",YEAR(C370-WEEKDAY(C370,2)+4)&amp;"-S"&amp;TEXT(INT((C370-DATE(YEAR(C370-WEEKDAY(C370,2)+4),1,3)+WEEKDAY(DATE(YEAR(C370-WEEKDAY(C370,2)+4),1,3),2)+5)/7),"00"))</f>
        <v/>
      </c>
    </row>
    <row r="371" ht="18" customHeight="1">
      <c r="A371" s="39" t="n">
        <v>366</v>
      </c>
      <c r="B371" s="33">
        <f>IF(C371="","",IF(P371="À RENSEIGNER","GIC",P371)&amp;"-V"&amp;TEXT(A371,"00000"))</f>
        <v/>
      </c>
      <c r="C371" s="32" t="n"/>
      <c r="D371" s="35" t="n"/>
      <c r="E371" s="36" t="n"/>
      <c r="F371" s="36" t="n"/>
      <c r="G371" s="36" t="n"/>
      <c r="H371" s="36" t="n"/>
      <c r="I371" s="36" t="n"/>
      <c r="J371" s="37" t="n"/>
      <c r="K371" s="32" t="n"/>
      <c r="L371" s="36" t="n"/>
      <c r="M371" s="41" t="n"/>
      <c r="N371" s="41" t="n"/>
      <c r="O371" s="36" t="n"/>
      <c r="P371" s="33">
        <f>IF(C371="","",Commercial_Id)</f>
        <v/>
      </c>
      <c r="Q371" s="39">
        <f>IF(F371="","",IFERROR(VALUE(MID(F371,LEN(F371)-3,3)),""))</f>
        <v/>
      </c>
      <c r="R371" s="33">
        <f>IF(Q371="","",P371&amp;"|"&amp;Q371)</f>
        <v/>
      </c>
      <c r="S371" s="33">
        <f>IF(Q371="","",IF(P371="À RENSEIGNER","GIC",P371)&amp;"-"&amp;TEXT(Q371,"000"))</f>
        <v/>
      </c>
      <c r="T371" s="33">
        <f>IF(R371="","",IFERROR(INDEX(Cl_nom,MATCH(R371,Cl_cle,0)),"(client introuvable)"))</f>
        <v/>
      </c>
      <c r="U371" s="33">
        <f>IF(R371="","",IFERROR(INDEX(Cl_quartier,MATCH(R371,Cl_cle,0))&amp;"",""))</f>
        <v/>
      </c>
      <c r="V371" s="34">
        <f>IF(C371="","",YEAR(C371-WEEKDAY(C371,2)+4)&amp;"-S"&amp;TEXT(INT((C371-DATE(YEAR(C371-WEEKDAY(C371,2)+4),1,3)+WEEKDAY(DATE(YEAR(C371-WEEKDAY(C371,2)+4),1,3),2)+5)/7),"00"))</f>
        <v/>
      </c>
    </row>
    <row r="372" ht="18" customHeight="1">
      <c r="A372" s="39" t="n">
        <v>367</v>
      </c>
      <c r="B372" s="33">
        <f>IF(C372="","",IF(P372="À RENSEIGNER","GIC",P372)&amp;"-V"&amp;TEXT(A372,"00000"))</f>
        <v/>
      </c>
      <c r="C372" s="32" t="n"/>
      <c r="D372" s="35" t="n"/>
      <c r="E372" s="36" t="n"/>
      <c r="F372" s="36" t="n"/>
      <c r="G372" s="36" t="n"/>
      <c r="H372" s="36" t="n"/>
      <c r="I372" s="36" t="n"/>
      <c r="J372" s="37" t="n"/>
      <c r="K372" s="32" t="n"/>
      <c r="L372" s="36" t="n"/>
      <c r="M372" s="41" t="n"/>
      <c r="N372" s="41" t="n"/>
      <c r="O372" s="36" t="n"/>
      <c r="P372" s="33">
        <f>IF(C372="","",Commercial_Id)</f>
        <v/>
      </c>
      <c r="Q372" s="39">
        <f>IF(F372="","",IFERROR(VALUE(MID(F372,LEN(F372)-3,3)),""))</f>
        <v/>
      </c>
      <c r="R372" s="33">
        <f>IF(Q372="","",P372&amp;"|"&amp;Q372)</f>
        <v/>
      </c>
      <c r="S372" s="33">
        <f>IF(Q372="","",IF(P372="À RENSEIGNER","GIC",P372)&amp;"-"&amp;TEXT(Q372,"000"))</f>
        <v/>
      </c>
      <c r="T372" s="33">
        <f>IF(R372="","",IFERROR(INDEX(Cl_nom,MATCH(R372,Cl_cle,0)),"(client introuvable)"))</f>
        <v/>
      </c>
      <c r="U372" s="33">
        <f>IF(R372="","",IFERROR(INDEX(Cl_quartier,MATCH(R372,Cl_cle,0))&amp;"",""))</f>
        <v/>
      </c>
      <c r="V372" s="34">
        <f>IF(C372="","",YEAR(C372-WEEKDAY(C372,2)+4)&amp;"-S"&amp;TEXT(INT((C372-DATE(YEAR(C372-WEEKDAY(C372,2)+4),1,3)+WEEKDAY(DATE(YEAR(C372-WEEKDAY(C372,2)+4),1,3),2)+5)/7),"00"))</f>
        <v/>
      </c>
    </row>
    <row r="373" ht="18" customHeight="1">
      <c r="A373" s="39" t="n">
        <v>368</v>
      </c>
      <c r="B373" s="33">
        <f>IF(C373="","",IF(P373="À RENSEIGNER","GIC",P373)&amp;"-V"&amp;TEXT(A373,"00000"))</f>
        <v/>
      </c>
      <c r="C373" s="32" t="n"/>
      <c r="D373" s="35" t="n"/>
      <c r="E373" s="36" t="n"/>
      <c r="F373" s="36" t="n"/>
      <c r="G373" s="36" t="n"/>
      <c r="H373" s="36" t="n"/>
      <c r="I373" s="36" t="n"/>
      <c r="J373" s="37" t="n"/>
      <c r="K373" s="32" t="n"/>
      <c r="L373" s="36" t="n"/>
      <c r="M373" s="41" t="n"/>
      <c r="N373" s="41" t="n"/>
      <c r="O373" s="36" t="n"/>
      <c r="P373" s="33">
        <f>IF(C373="","",Commercial_Id)</f>
        <v/>
      </c>
      <c r="Q373" s="39">
        <f>IF(F373="","",IFERROR(VALUE(MID(F373,LEN(F373)-3,3)),""))</f>
        <v/>
      </c>
      <c r="R373" s="33">
        <f>IF(Q373="","",P373&amp;"|"&amp;Q373)</f>
        <v/>
      </c>
      <c r="S373" s="33">
        <f>IF(Q373="","",IF(P373="À RENSEIGNER","GIC",P373)&amp;"-"&amp;TEXT(Q373,"000"))</f>
        <v/>
      </c>
      <c r="T373" s="33">
        <f>IF(R373="","",IFERROR(INDEX(Cl_nom,MATCH(R373,Cl_cle,0)),"(client introuvable)"))</f>
        <v/>
      </c>
      <c r="U373" s="33">
        <f>IF(R373="","",IFERROR(INDEX(Cl_quartier,MATCH(R373,Cl_cle,0))&amp;"",""))</f>
        <v/>
      </c>
      <c r="V373" s="34">
        <f>IF(C373="","",YEAR(C373-WEEKDAY(C373,2)+4)&amp;"-S"&amp;TEXT(INT((C373-DATE(YEAR(C373-WEEKDAY(C373,2)+4),1,3)+WEEKDAY(DATE(YEAR(C373-WEEKDAY(C373,2)+4),1,3),2)+5)/7),"00"))</f>
        <v/>
      </c>
    </row>
    <row r="374" ht="18" customHeight="1">
      <c r="A374" s="39" t="n">
        <v>369</v>
      </c>
      <c r="B374" s="33">
        <f>IF(C374="","",IF(P374="À RENSEIGNER","GIC",P374)&amp;"-V"&amp;TEXT(A374,"00000"))</f>
        <v/>
      </c>
      <c r="C374" s="32" t="n"/>
      <c r="D374" s="35" t="n"/>
      <c r="E374" s="36" t="n"/>
      <c r="F374" s="36" t="n"/>
      <c r="G374" s="36" t="n"/>
      <c r="H374" s="36" t="n"/>
      <c r="I374" s="36" t="n"/>
      <c r="J374" s="37" t="n"/>
      <c r="K374" s="32" t="n"/>
      <c r="L374" s="36" t="n"/>
      <c r="M374" s="41" t="n"/>
      <c r="N374" s="41" t="n"/>
      <c r="O374" s="36" t="n"/>
      <c r="P374" s="33">
        <f>IF(C374="","",Commercial_Id)</f>
        <v/>
      </c>
      <c r="Q374" s="39">
        <f>IF(F374="","",IFERROR(VALUE(MID(F374,LEN(F374)-3,3)),""))</f>
        <v/>
      </c>
      <c r="R374" s="33">
        <f>IF(Q374="","",P374&amp;"|"&amp;Q374)</f>
        <v/>
      </c>
      <c r="S374" s="33">
        <f>IF(Q374="","",IF(P374="À RENSEIGNER","GIC",P374)&amp;"-"&amp;TEXT(Q374,"000"))</f>
        <v/>
      </c>
      <c r="T374" s="33">
        <f>IF(R374="","",IFERROR(INDEX(Cl_nom,MATCH(R374,Cl_cle,0)),"(client introuvable)"))</f>
        <v/>
      </c>
      <c r="U374" s="33">
        <f>IF(R374="","",IFERROR(INDEX(Cl_quartier,MATCH(R374,Cl_cle,0))&amp;"",""))</f>
        <v/>
      </c>
      <c r="V374" s="34">
        <f>IF(C374="","",YEAR(C374-WEEKDAY(C374,2)+4)&amp;"-S"&amp;TEXT(INT((C374-DATE(YEAR(C374-WEEKDAY(C374,2)+4),1,3)+WEEKDAY(DATE(YEAR(C374-WEEKDAY(C374,2)+4),1,3),2)+5)/7),"00"))</f>
        <v/>
      </c>
    </row>
    <row r="375" ht="18" customHeight="1">
      <c r="A375" s="39" t="n">
        <v>370</v>
      </c>
      <c r="B375" s="33">
        <f>IF(C375="","",IF(P375="À RENSEIGNER","GIC",P375)&amp;"-V"&amp;TEXT(A375,"00000"))</f>
        <v/>
      </c>
      <c r="C375" s="32" t="n"/>
      <c r="D375" s="35" t="n"/>
      <c r="E375" s="36" t="n"/>
      <c r="F375" s="36" t="n"/>
      <c r="G375" s="36" t="n"/>
      <c r="H375" s="36" t="n"/>
      <c r="I375" s="36" t="n"/>
      <c r="J375" s="37" t="n"/>
      <c r="K375" s="32" t="n"/>
      <c r="L375" s="36" t="n"/>
      <c r="M375" s="41" t="n"/>
      <c r="N375" s="41" t="n"/>
      <c r="O375" s="36" t="n"/>
      <c r="P375" s="33">
        <f>IF(C375="","",Commercial_Id)</f>
        <v/>
      </c>
      <c r="Q375" s="39">
        <f>IF(F375="","",IFERROR(VALUE(MID(F375,LEN(F375)-3,3)),""))</f>
        <v/>
      </c>
      <c r="R375" s="33">
        <f>IF(Q375="","",P375&amp;"|"&amp;Q375)</f>
        <v/>
      </c>
      <c r="S375" s="33">
        <f>IF(Q375="","",IF(P375="À RENSEIGNER","GIC",P375)&amp;"-"&amp;TEXT(Q375,"000"))</f>
        <v/>
      </c>
      <c r="T375" s="33">
        <f>IF(R375="","",IFERROR(INDEX(Cl_nom,MATCH(R375,Cl_cle,0)),"(client introuvable)"))</f>
        <v/>
      </c>
      <c r="U375" s="33">
        <f>IF(R375="","",IFERROR(INDEX(Cl_quartier,MATCH(R375,Cl_cle,0))&amp;"",""))</f>
        <v/>
      </c>
      <c r="V375" s="34">
        <f>IF(C375="","",YEAR(C375-WEEKDAY(C375,2)+4)&amp;"-S"&amp;TEXT(INT((C375-DATE(YEAR(C375-WEEKDAY(C375,2)+4),1,3)+WEEKDAY(DATE(YEAR(C375-WEEKDAY(C375,2)+4),1,3),2)+5)/7),"00"))</f>
        <v/>
      </c>
    </row>
    <row r="376" ht="18" customHeight="1">
      <c r="A376" s="39" t="n">
        <v>371</v>
      </c>
      <c r="B376" s="33">
        <f>IF(C376="","",IF(P376="À RENSEIGNER","GIC",P376)&amp;"-V"&amp;TEXT(A376,"00000"))</f>
        <v/>
      </c>
      <c r="C376" s="32" t="n"/>
      <c r="D376" s="35" t="n"/>
      <c r="E376" s="36" t="n"/>
      <c r="F376" s="36" t="n"/>
      <c r="G376" s="36" t="n"/>
      <c r="H376" s="36" t="n"/>
      <c r="I376" s="36" t="n"/>
      <c r="J376" s="37" t="n"/>
      <c r="K376" s="32" t="n"/>
      <c r="L376" s="36" t="n"/>
      <c r="M376" s="41" t="n"/>
      <c r="N376" s="41" t="n"/>
      <c r="O376" s="36" t="n"/>
      <c r="P376" s="33">
        <f>IF(C376="","",Commercial_Id)</f>
        <v/>
      </c>
      <c r="Q376" s="39">
        <f>IF(F376="","",IFERROR(VALUE(MID(F376,LEN(F376)-3,3)),""))</f>
        <v/>
      </c>
      <c r="R376" s="33">
        <f>IF(Q376="","",P376&amp;"|"&amp;Q376)</f>
        <v/>
      </c>
      <c r="S376" s="33">
        <f>IF(Q376="","",IF(P376="À RENSEIGNER","GIC",P376)&amp;"-"&amp;TEXT(Q376,"000"))</f>
        <v/>
      </c>
      <c r="T376" s="33">
        <f>IF(R376="","",IFERROR(INDEX(Cl_nom,MATCH(R376,Cl_cle,0)),"(client introuvable)"))</f>
        <v/>
      </c>
      <c r="U376" s="33">
        <f>IF(R376="","",IFERROR(INDEX(Cl_quartier,MATCH(R376,Cl_cle,0))&amp;"",""))</f>
        <v/>
      </c>
      <c r="V376" s="34">
        <f>IF(C376="","",YEAR(C376-WEEKDAY(C376,2)+4)&amp;"-S"&amp;TEXT(INT((C376-DATE(YEAR(C376-WEEKDAY(C376,2)+4),1,3)+WEEKDAY(DATE(YEAR(C376-WEEKDAY(C376,2)+4),1,3),2)+5)/7),"00"))</f>
        <v/>
      </c>
    </row>
    <row r="377" ht="18" customHeight="1">
      <c r="A377" s="39" t="n">
        <v>372</v>
      </c>
      <c r="B377" s="33">
        <f>IF(C377="","",IF(P377="À RENSEIGNER","GIC",P377)&amp;"-V"&amp;TEXT(A377,"00000"))</f>
        <v/>
      </c>
      <c r="C377" s="32" t="n"/>
      <c r="D377" s="35" t="n"/>
      <c r="E377" s="36" t="n"/>
      <c r="F377" s="36" t="n"/>
      <c r="G377" s="36" t="n"/>
      <c r="H377" s="36" t="n"/>
      <c r="I377" s="36" t="n"/>
      <c r="J377" s="37" t="n"/>
      <c r="K377" s="32" t="n"/>
      <c r="L377" s="36" t="n"/>
      <c r="M377" s="41" t="n"/>
      <c r="N377" s="41" t="n"/>
      <c r="O377" s="36" t="n"/>
      <c r="P377" s="33">
        <f>IF(C377="","",Commercial_Id)</f>
        <v/>
      </c>
      <c r="Q377" s="39">
        <f>IF(F377="","",IFERROR(VALUE(MID(F377,LEN(F377)-3,3)),""))</f>
        <v/>
      </c>
      <c r="R377" s="33">
        <f>IF(Q377="","",P377&amp;"|"&amp;Q377)</f>
        <v/>
      </c>
      <c r="S377" s="33">
        <f>IF(Q377="","",IF(P377="À RENSEIGNER","GIC",P377)&amp;"-"&amp;TEXT(Q377,"000"))</f>
        <v/>
      </c>
      <c r="T377" s="33">
        <f>IF(R377="","",IFERROR(INDEX(Cl_nom,MATCH(R377,Cl_cle,0)),"(client introuvable)"))</f>
        <v/>
      </c>
      <c r="U377" s="33">
        <f>IF(R377="","",IFERROR(INDEX(Cl_quartier,MATCH(R377,Cl_cle,0))&amp;"",""))</f>
        <v/>
      </c>
      <c r="V377" s="34">
        <f>IF(C377="","",YEAR(C377-WEEKDAY(C377,2)+4)&amp;"-S"&amp;TEXT(INT((C377-DATE(YEAR(C377-WEEKDAY(C377,2)+4),1,3)+WEEKDAY(DATE(YEAR(C377-WEEKDAY(C377,2)+4),1,3),2)+5)/7),"00"))</f>
        <v/>
      </c>
    </row>
    <row r="378" ht="18" customHeight="1">
      <c r="A378" s="39" t="n">
        <v>373</v>
      </c>
      <c r="B378" s="33">
        <f>IF(C378="","",IF(P378="À RENSEIGNER","GIC",P378)&amp;"-V"&amp;TEXT(A378,"00000"))</f>
        <v/>
      </c>
      <c r="C378" s="32" t="n"/>
      <c r="D378" s="35" t="n"/>
      <c r="E378" s="36" t="n"/>
      <c r="F378" s="36" t="n"/>
      <c r="G378" s="36" t="n"/>
      <c r="H378" s="36" t="n"/>
      <c r="I378" s="36" t="n"/>
      <c r="J378" s="37" t="n"/>
      <c r="K378" s="32" t="n"/>
      <c r="L378" s="36" t="n"/>
      <c r="M378" s="41" t="n"/>
      <c r="N378" s="41" t="n"/>
      <c r="O378" s="36" t="n"/>
      <c r="P378" s="33">
        <f>IF(C378="","",Commercial_Id)</f>
        <v/>
      </c>
      <c r="Q378" s="39">
        <f>IF(F378="","",IFERROR(VALUE(MID(F378,LEN(F378)-3,3)),""))</f>
        <v/>
      </c>
      <c r="R378" s="33">
        <f>IF(Q378="","",P378&amp;"|"&amp;Q378)</f>
        <v/>
      </c>
      <c r="S378" s="33">
        <f>IF(Q378="","",IF(P378="À RENSEIGNER","GIC",P378)&amp;"-"&amp;TEXT(Q378,"000"))</f>
        <v/>
      </c>
      <c r="T378" s="33">
        <f>IF(R378="","",IFERROR(INDEX(Cl_nom,MATCH(R378,Cl_cle,0)),"(client introuvable)"))</f>
        <v/>
      </c>
      <c r="U378" s="33">
        <f>IF(R378="","",IFERROR(INDEX(Cl_quartier,MATCH(R378,Cl_cle,0))&amp;"",""))</f>
        <v/>
      </c>
      <c r="V378" s="34">
        <f>IF(C378="","",YEAR(C378-WEEKDAY(C378,2)+4)&amp;"-S"&amp;TEXT(INT((C378-DATE(YEAR(C378-WEEKDAY(C378,2)+4),1,3)+WEEKDAY(DATE(YEAR(C378-WEEKDAY(C378,2)+4),1,3),2)+5)/7),"00"))</f>
        <v/>
      </c>
    </row>
    <row r="379" ht="18" customHeight="1">
      <c r="A379" s="39" t="n">
        <v>374</v>
      </c>
      <c r="B379" s="33">
        <f>IF(C379="","",IF(P379="À RENSEIGNER","GIC",P379)&amp;"-V"&amp;TEXT(A379,"00000"))</f>
        <v/>
      </c>
      <c r="C379" s="32" t="n"/>
      <c r="D379" s="35" t="n"/>
      <c r="E379" s="36" t="n"/>
      <c r="F379" s="36" t="n"/>
      <c r="G379" s="36" t="n"/>
      <c r="H379" s="36" t="n"/>
      <c r="I379" s="36" t="n"/>
      <c r="J379" s="37" t="n"/>
      <c r="K379" s="32" t="n"/>
      <c r="L379" s="36" t="n"/>
      <c r="M379" s="41" t="n"/>
      <c r="N379" s="41" t="n"/>
      <c r="O379" s="36" t="n"/>
      <c r="P379" s="33">
        <f>IF(C379="","",Commercial_Id)</f>
        <v/>
      </c>
      <c r="Q379" s="39">
        <f>IF(F379="","",IFERROR(VALUE(MID(F379,LEN(F379)-3,3)),""))</f>
        <v/>
      </c>
      <c r="R379" s="33">
        <f>IF(Q379="","",P379&amp;"|"&amp;Q379)</f>
        <v/>
      </c>
      <c r="S379" s="33">
        <f>IF(Q379="","",IF(P379="À RENSEIGNER","GIC",P379)&amp;"-"&amp;TEXT(Q379,"000"))</f>
        <v/>
      </c>
      <c r="T379" s="33">
        <f>IF(R379="","",IFERROR(INDEX(Cl_nom,MATCH(R379,Cl_cle,0)),"(client introuvable)"))</f>
        <v/>
      </c>
      <c r="U379" s="33">
        <f>IF(R379="","",IFERROR(INDEX(Cl_quartier,MATCH(R379,Cl_cle,0))&amp;"",""))</f>
        <v/>
      </c>
      <c r="V379" s="34">
        <f>IF(C379="","",YEAR(C379-WEEKDAY(C379,2)+4)&amp;"-S"&amp;TEXT(INT((C379-DATE(YEAR(C379-WEEKDAY(C379,2)+4),1,3)+WEEKDAY(DATE(YEAR(C379-WEEKDAY(C379,2)+4),1,3),2)+5)/7),"00"))</f>
        <v/>
      </c>
    </row>
    <row r="380" ht="18" customHeight="1">
      <c r="A380" s="39" t="n">
        <v>375</v>
      </c>
      <c r="B380" s="33">
        <f>IF(C380="","",IF(P380="À RENSEIGNER","GIC",P380)&amp;"-V"&amp;TEXT(A380,"00000"))</f>
        <v/>
      </c>
      <c r="C380" s="32" t="n"/>
      <c r="D380" s="35" t="n"/>
      <c r="E380" s="36" t="n"/>
      <c r="F380" s="36" t="n"/>
      <c r="G380" s="36" t="n"/>
      <c r="H380" s="36" t="n"/>
      <c r="I380" s="36" t="n"/>
      <c r="J380" s="37" t="n"/>
      <c r="K380" s="32" t="n"/>
      <c r="L380" s="36" t="n"/>
      <c r="M380" s="41" t="n"/>
      <c r="N380" s="41" t="n"/>
      <c r="O380" s="36" t="n"/>
      <c r="P380" s="33">
        <f>IF(C380="","",Commercial_Id)</f>
        <v/>
      </c>
      <c r="Q380" s="39">
        <f>IF(F380="","",IFERROR(VALUE(MID(F380,LEN(F380)-3,3)),""))</f>
        <v/>
      </c>
      <c r="R380" s="33">
        <f>IF(Q380="","",P380&amp;"|"&amp;Q380)</f>
        <v/>
      </c>
      <c r="S380" s="33">
        <f>IF(Q380="","",IF(P380="À RENSEIGNER","GIC",P380)&amp;"-"&amp;TEXT(Q380,"000"))</f>
        <v/>
      </c>
      <c r="T380" s="33">
        <f>IF(R380="","",IFERROR(INDEX(Cl_nom,MATCH(R380,Cl_cle,0)),"(client introuvable)"))</f>
        <v/>
      </c>
      <c r="U380" s="33">
        <f>IF(R380="","",IFERROR(INDEX(Cl_quartier,MATCH(R380,Cl_cle,0))&amp;"",""))</f>
        <v/>
      </c>
      <c r="V380" s="34">
        <f>IF(C380="","",YEAR(C380-WEEKDAY(C380,2)+4)&amp;"-S"&amp;TEXT(INT((C380-DATE(YEAR(C380-WEEKDAY(C380,2)+4),1,3)+WEEKDAY(DATE(YEAR(C380-WEEKDAY(C380,2)+4),1,3),2)+5)/7),"00"))</f>
        <v/>
      </c>
    </row>
    <row r="381" ht="18" customHeight="1">
      <c r="A381" s="39" t="n">
        <v>376</v>
      </c>
      <c r="B381" s="33">
        <f>IF(C381="","",IF(P381="À RENSEIGNER","GIC",P381)&amp;"-V"&amp;TEXT(A381,"00000"))</f>
        <v/>
      </c>
      <c r="C381" s="32" t="n"/>
      <c r="D381" s="35" t="n"/>
      <c r="E381" s="36" t="n"/>
      <c r="F381" s="36" t="n"/>
      <c r="G381" s="36" t="n"/>
      <c r="H381" s="36" t="n"/>
      <c r="I381" s="36" t="n"/>
      <c r="J381" s="37" t="n"/>
      <c r="K381" s="32" t="n"/>
      <c r="L381" s="36" t="n"/>
      <c r="M381" s="41" t="n"/>
      <c r="N381" s="41" t="n"/>
      <c r="O381" s="36" t="n"/>
      <c r="P381" s="33">
        <f>IF(C381="","",Commercial_Id)</f>
        <v/>
      </c>
      <c r="Q381" s="39">
        <f>IF(F381="","",IFERROR(VALUE(MID(F381,LEN(F381)-3,3)),""))</f>
        <v/>
      </c>
      <c r="R381" s="33">
        <f>IF(Q381="","",P381&amp;"|"&amp;Q381)</f>
        <v/>
      </c>
      <c r="S381" s="33">
        <f>IF(Q381="","",IF(P381="À RENSEIGNER","GIC",P381)&amp;"-"&amp;TEXT(Q381,"000"))</f>
        <v/>
      </c>
      <c r="T381" s="33">
        <f>IF(R381="","",IFERROR(INDEX(Cl_nom,MATCH(R381,Cl_cle,0)),"(client introuvable)"))</f>
        <v/>
      </c>
      <c r="U381" s="33">
        <f>IF(R381="","",IFERROR(INDEX(Cl_quartier,MATCH(R381,Cl_cle,0))&amp;"",""))</f>
        <v/>
      </c>
      <c r="V381" s="34">
        <f>IF(C381="","",YEAR(C381-WEEKDAY(C381,2)+4)&amp;"-S"&amp;TEXT(INT((C381-DATE(YEAR(C381-WEEKDAY(C381,2)+4),1,3)+WEEKDAY(DATE(YEAR(C381-WEEKDAY(C381,2)+4),1,3),2)+5)/7),"00"))</f>
        <v/>
      </c>
    </row>
    <row r="382" ht="18" customHeight="1">
      <c r="A382" s="39" t="n">
        <v>377</v>
      </c>
      <c r="B382" s="33">
        <f>IF(C382="","",IF(P382="À RENSEIGNER","GIC",P382)&amp;"-V"&amp;TEXT(A382,"00000"))</f>
        <v/>
      </c>
      <c r="C382" s="32" t="n"/>
      <c r="D382" s="35" t="n"/>
      <c r="E382" s="36" t="n"/>
      <c r="F382" s="36" t="n"/>
      <c r="G382" s="36" t="n"/>
      <c r="H382" s="36" t="n"/>
      <c r="I382" s="36" t="n"/>
      <c r="J382" s="37" t="n"/>
      <c r="K382" s="32" t="n"/>
      <c r="L382" s="36" t="n"/>
      <c r="M382" s="41" t="n"/>
      <c r="N382" s="41" t="n"/>
      <c r="O382" s="36" t="n"/>
      <c r="P382" s="33">
        <f>IF(C382="","",Commercial_Id)</f>
        <v/>
      </c>
      <c r="Q382" s="39">
        <f>IF(F382="","",IFERROR(VALUE(MID(F382,LEN(F382)-3,3)),""))</f>
        <v/>
      </c>
      <c r="R382" s="33">
        <f>IF(Q382="","",P382&amp;"|"&amp;Q382)</f>
        <v/>
      </c>
      <c r="S382" s="33">
        <f>IF(Q382="","",IF(P382="À RENSEIGNER","GIC",P382)&amp;"-"&amp;TEXT(Q382,"000"))</f>
        <v/>
      </c>
      <c r="T382" s="33">
        <f>IF(R382="","",IFERROR(INDEX(Cl_nom,MATCH(R382,Cl_cle,0)),"(client introuvable)"))</f>
        <v/>
      </c>
      <c r="U382" s="33">
        <f>IF(R382="","",IFERROR(INDEX(Cl_quartier,MATCH(R382,Cl_cle,0))&amp;"",""))</f>
        <v/>
      </c>
      <c r="V382" s="34">
        <f>IF(C382="","",YEAR(C382-WEEKDAY(C382,2)+4)&amp;"-S"&amp;TEXT(INT((C382-DATE(YEAR(C382-WEEKDAY(C382,2)+4),1,3)+WEEKDAY(DATE(YEAR(C382-WEEKDAY(C382,2)+4),1,3),2)+5)/7),"00"))</f>
        <v/>
      </c>
    </row>
    <row r="383" ht="18" customHeight="1">
      <c r="A383" s="39" t="n">
        <v>378</v>
      </c>
      <c r="B383" s="33">
        <f>IF(C383="","",IF(P383="À RENSEIGNER","GIC",P383)&amp;"-V"&amp;TEXT(A383,"00000"))</f>
        <v/>
      </c>
      <c r="C383" s="32" t="n"/>
      <c r="D383" s="35" t="n"/>
      <c r="E383" s="36" t="n"/>
      <c r="F383" s="36" t="n"/>
      <c r="G383" s="36" t="n"/>
      <c r="H383" s="36" t="n"/>
      <c r="I383" s="36" t="n"/>
      <c r="J383" s="37" t="n"/>
      <c r="K383" s="32" t="n"/>
      <c r="L383" s="36" t="n"/>
      <c r="M383" s="41" t="n"/>
      <c r="N383" s="41" t="n"/>
      <c r="O383" s="36" t="n"/>
      <c r="P383" s="33">
        <f>IF(C383="","",Commercial_Id)</f>
        <v/>
      </c>
      <c r="Q383" s="39">
        <f>IF(F383="","",IFERROR(VALUE(MID(F383,LEN(F383)-3,3)),""))</f>
        <v/>
      </c>
      <c r="R383" s="33">
        <f>IF(Q383="","",P383&amp;"|"&amp;Q383)</f>
        <v/>
      </c>
      <c r="S383" s="33">
        <f>IF(Q383="","",IF(P383="À RENSEIGNER","GIC",P383)&amp;"-"&amp;TEXT(Q383,"000"))</f>
        <v/>
      </c>
      <c r="T383" s="33">
        <f>IF(R383="","",IFERROR(INDEX(Cl_nom,MATCH(R383,Cl_cle,0)),"(client introuvable)"))</f>
        <v/>
      </c>
      <c r="U383" s="33">
        <f>IF(R383="","",IFERROR(INDEX(Cl_quartier,MATCH(R383,Cl_cle,0))&amp;"",""))</f>
        <v/>
      </c>
      <c r="V383" s="34">
        <f>IF(C383="","",YEAR(C383-WEEKDAY(C383,2)+4)&amp;"-S"&amp;TEXT(INT((C383-DATE(YEAR(C383-WEEKDAY(C383,2)+4),1,3)+WEEKDAY(DATE(YEAR(C383-WEEKDAY(C383,2)+4),1,3),2)+5)/7),"00"))</f>
        <v/>
      </c>
    </row>
    <row r="384" ht="18" customHeight="1">
      <c r="A384" s="39" t="n">
        <v>379</v>
      </c>
      <c r="B384" s="33">
        <f>IF(C384="","",IF(P384="À RENSEIGNER","GIC",P384)&amp;"-V"&amp;TEXT(A384,"00000"))</f>
        <v/>
      </c>
      <c r="C384" s="32" t="n"/>
      <c r="D384" s="35" t="n"/>
      <c r="E384" s="36" t="n"/>
      <c r="F384" s="36" t="n"/>
      <c r="G384" s="36" t="n"/>
      <c r="H384" s="36" t="n"/>
      <c r="I384" s="36" t="n"/>
      <c r="J384" s="37" t="n"/>
      <c r="K384" s="32" t="n"/>
      <c r="L384" s="36" t="n"/>
      <c r="M384" s="41" t="n"/>
      <c r="N384" s="41" t="n"/>
      <c r="O384" s="36" t="n"/>
      <c r="P384" s="33">
        <f>IF(C384="","",Commercial_Id)</f>
        <v/>
      </c>
      <c r="Q384" s="39">
        <f>IF(F384="","",IFERROR(VALUE(MID(F384,LEN(F384)-3,3)),""))</f>
        <v/>
      </c>
      <c r="R384" s="33">
        <f>IF(Q384="","",P384&amp;"|"&amp;Q384)</f>
        <v/>
      </c>
      <c r="S384" s="33">
        <f>IF(Q384="","",IF(P384="À RENSEIGNER","GIC",P384)&amp;"-"&amp;TEXT(Q384,"000"))</f>
        <v/>
      </c>
      <c r="T384" s="33">
        <f>IF(R384="","",IFERROR(INDEX(Cl_nom,MATCH(R384,Cl_cle,0)),"(client introuvable)"))</f>
        <v/>
      </c>
      <c r="U384" s="33">
        <f>IF(R384="","",IFERROR(INDEX(Cl_quartier,MATCH(R384,Cl_cle,0))&amp;"",""))</f>
        <v/>
      </c>
      <c r="V384" s="34">
        <f>IF(C384="","",YEAR(C384-WEEKDAY(C384,2)+4)&amp;"-S"&amp;TEXT(INT((C384-DATE(YEAR(C384-WEEKDAY(C384,2)+4),1,3)+WEEKDAY(DATE(YEAR(C384-WEEKDAY(C384,2)+4),1,3),2)+5)/7),"00"))</f>
        <v/>
      </c>
    </row>
    <row r="385" ht="18" customHeight="1">
      <c r="A385" s="39" t="n">
        <v>380</v>
      </c>
      <c r="B385" s="33">
        <f>IF(C385="","",IF(P385="À RENSEIGNER","GIC",P385)&amp;"-V"&amp;TEXT(A385,"00000"))</f>
        <v/>
      </c>
      <c r="C385" s="32" t="n"/>
      <c r="D385" s="35" t="n"/>
      <c r="E385" s="36" t="n"/>
      <c r="F385" s="36" t="n"/>
      <c r="G385" s="36" t="n"/>
      <c r="H385" s="36" t="n"/>
      <c r="I385" s="36" t="n"/>
      <c r="J385" s="37" t="n"/>
      <c r="K385" s="32" t="n"/>
      <c r="L385" s="36" t="n"/>
      <c r="M385" s="41" t="n"/>
      <c r="N385" s="41" t="n"/>
      <c r="O385" s="36" t="n"/>
      <c r="P385" s="33">
        <f>IF(C385="","",Commercial_Id)</f>
        <v/>
      </c>
      <c r="Q385" s="39">
        <f>IF(F385="","",IFERROR(VALUE(MID(F385,LEN(F385)-3,3)),""))</f>
        <v/>
      </c>
      <c r="R385" s="33">
        <f>IF(Q385="","",P385&amp;"|"&amp;Q385)</f>
        <v/>
      </c>
      <c r="S385" s="33">
        <f>IF(Q385="","",IF(P385="À RENSEIGNER","GIC",P385)&amp;"-"&amp;TEXT(Q385,"000"))</f>
        <v/>
      </c>
      <c r="T385" s="33">
        <f>IF(R385="","",IFERROR(INDEX(Cl_nom,MATCH(R385,Cl_cle,0)),"(client introuvable)"))</f>
        <v/>
      </c>
      <c r="U385" s="33">
        <f>IF(R385="","",IFERROR(INDEX(Cl_quartier,MATCH(R385,Cl_cle,0))&amp;"",""))</f>
        <v/>
      </c>
      <c r="V385" s="34">
        <f>IF(C385="","",YEAR(C385-WEEKDAY(C385,2)+4)&amp;"-S"&amp;TEXT(INT((C385-DATE(YEAR(C385-WEEKDAY(C385,2)+4),1,3)+WEEKDAY(DATE(YEAR(C385-WEEKDAY(C385,2)+4),1,3),2)+5)/7),"00"))</f>
        <v/>
      </c>
    </row>
    <row r="386" ht="18" customHeight="1">
      <c r="A386" s="39" t="n">
        <v>381</v>
      </c>
      <c r="B386" s="33">
        <f>IF(C386="","",IF(P386="À RENSEIGNER","GIC",P386)&amp;"-V"&amp;TEXT(A386,"00000"))</f>
        <v/>
      </c>
      <c r="C386" s="32" t="n"/>
      <c r="D386" s="35" t="n"/>
      <c r="E386" s="36" t="n"/>
      <c r="F386" s="36" t="n"/>
      <c r="G386" s="36" t="n"/>
      <c r="H386" s="36" t="n"/>
      <c r="I386" s="36" t="n"/>
      <c r="J386" s="37" t="n"/>
      <c r="K386" s="32" t="n"/>
      <c r="L386" s="36" t="n"/>
      <c r="M386" s="41" t="n"/>
      <c r="N386" s="41" t="n"/>
      <c r="O386" s="36" t="n"/>
      <c r="P386" s="33">
        <f>IF(C386="","",Commercial_Id)</f>
        <v/>
      </c>
      <c r="Q386" s="39">
        <f>IF(F386="","",IFERROR(VALUE(MID(F386,LEN(F386)-3,3)),""))</f>
        <v/>
      </c>
      <c r="R386" s="33">
        <f>IF(Q386="","",P386&amp;"|"&amp;Q386)</f>
        <v/>
      </c>
      <c r="S386" s="33">
        <f>IF(Q386="","",IF(P386="À RENSEIGNER","GIC",P386)&amp;"-"&amp;TEXT(Q386,"000"))</f>
        <v/>
      </c>
      <c r="T386" s="33">
        <f>IF(R386="","",IFERROR(INDEX(Cl_nom,MATCH(R386,Cl_cle,0)),"(client introuvable)"))</f>
        <v/>
      </c>
      <c r="U386" s="33">
        <f>IF(R386="","",IFERROR(INDEX(Cl_quartier,MATCH(R386,Cl_cle,0))&amp;"",""))</f>
        <v/>
      </c>
      <c r="V386" s="34">
        <f>IF(C386="","",YEAR(C386-WEEKDAY(C386,2)+4)&amp;"-S"&amp;TEXT(INT((C386-DATE(YEAR(C386-WEEKDAY(C386,2)+4),1,3)+WEEKDAY(DATE(YEAR(C386-WEEKDAY(C386,2)+4),1,3),2)+5)/7),"00"))</f>
        <v/>
      </c>
    </row>
    <row r="387" ht="18" customHeight="1">
      <c r="A387" s="39" t="n">
        <v>382</v>
      </c>
      <c r="B387" s="33">
        <f>IF(C387="","",IF(P387="À RENSEIGNER","GIC",P387)&amp;"-V"&amp;TEXT(A387,"00000"))</f>
        <v/>
      </c>
      <c r="C387" s="32" t="n"/>
      <c r="D387" s="35" t="n"/>
      <c r="E387" s="36" t="n"/>
      <c r="F387" s="36" t="n"/>
      <c r="G387" s="36" t="n"/>
      <c r="H387" s="36" t="n"/>
      <c r="I387" s="36" t="n"/>
      <c r="J387" s="37" t="n"/>
      <c r="K387" s="32" t="n"/>
      <c r="L387" s="36" t="n"/>
      <c r="M387" s="41" t="n"/>
      <c r="N387" s="41" t="n"/>
      <c r="O387" s="36" t="n"/>
      <c r="P387" s="33">
        <f>IF(C387="","",Commercial_Id)</f>
        <v/>
      </c>
      <c r="Q387" s="39">
        <f>IF(F387="","",IFERROR(VALUE(MID(F387,LEN(F387)-3,3)),""))</f>
        <v/>
      </c>
      <c r="R387" s="33">
        <f>IF(Q387="","",P387&amp;"|"&amp;Q387)</f>
        <v/>
      </c>
      <c r="S387" s="33">
        <f>IF(Q387="","",IF(P387="À RENSEIGNER","GIC",P387)&amp;"-"&amp;TEXT(Q387,"000"))</f>
        <v/>
      </c>
      <c r="T387" s="33">
        <f>IF(R387="","",IFERROR(INDEX(Cl_nom,MATCH(R387,Cl_cle,0)),"(client introuvable)"))</f>
        <v/>
      </c>
      <c r="U387" s="33">
        <f>IF(R387="","",IFERROR(INDEX(Cl_quartier,MATCH(R387,Cl_cle,0))&amp;"",""))</f>
        <v/>
      </c>
      <c r="V387" s="34">
        <f>IF(C387="","",YEAR(C387-WEEKDAY(C387,2)+4)&amp;"-S"&amp;TEXT(INT((C387-DATE(YEAR(C387-WEEKDAY(C387,2)+4),1,3)+WEEKDAY(DATE(YEAR(C387-WEEKDAY(C387,2)+4),1,3),2)+5)/7),"00"))</f>
        <v/>
      </c>
    </row>
    <row r="388" ht="18" customHeight="1">
      <c r="A388" s="39" t="n">
        <v>383</v>
      </c>
      <c r="B388" s="33">
        <f>IF(C388="","",IF(P388="À RENSEIGNER","GIC",P388)&amp;"-V"&amp;TEXT(A388,"00000"))</f>
        <v/>
      </c>
      <c r="C388" s="32" t="n"/>
      <c r="D388" s="35" t="n"/>
      <c r="E388" s="36" t="n"/>
      <c r="F388" s="36" t="n"/>
      <c r="G388" s="36" t="n"/>
      <c r="H388" s="36" t="n"/>
      <c r="I388" s="36" t="n"/>
      <c r="J388" s="37" t="n"/>
      <c r="K388" s="32" t="n"/>
      <c r="L388" s="36" t="n"/>
      <c r="M388" s="41" t="n"/>
      <c r="N388" s="41" t="n"/>
      <c r="O388" s="36" t="n"/>
      <c r="P388" s="33">
        <f>IF(C388="","",Commercial_Id)</f>
        <v/>
      </c>
      <c r="Q388" s="39">
        <f>IF(F388="","",IFERROR(VALUE(MID(F388,LEN(F388)-3,3)),""))</f>
        <v/>
      </c>
      <c r="R388" s="33">
        <f>IF(Q388="","",P388&amp;"|"&amp;Q388)</f>
        <v/>
      </c>
      <c r="S388" s="33">
        <f>IF(Q388="","",IF(P388="À RENSEIGNER","GIC",P388)&amp;"-"&amp;TEXT(Q388,"000"))</f>
        <v/>
      </c>
      <c r="T388" s="33">
        <f>IF(R388="","",IFERROR(INDEX(Cl_nom,MATCH(R388,Cl_cle,0)),"(client introuvable)"))</f>
        <v/>
      </c>
      <c r="U388" s="33">
        <f>IF(R388="","",IFERROR(INDEX(Cl_quartier,MATCH(R388,Cl_cle,0))&amp;"",""))</f>
        <v/>
      </c>
      <c r="V388" s="34">
        <f>IF(C388="","",YEAR(C388-WEEKDAY(C388,2)+4)&amp;"-S"&amp;TEXT(INT((C388-DATE(YEAR(C388-WEEKDAY(C388,2)+4),1,3)+WEEKDAY(DATE(YEAR(C388-WEEKDAY(C388,2)+4),1,3),2)+5)/7),"00"))</f>
        <v/>
      </c>
    </row>
    <row r="389" ht="18" customHeight="1">
      <c r="A389" s="39" t="n">
        <v>384</v>
      </c>
      <c r="B389" s="33">
        <f>IF(C389="","",IF(P389="À RENSEIGNER","GIC",P389)&amp;"-V"&amp;TEXT(A389,"00000"))</f>
        <v/>
      </c>
      <c r="C389" s="32" t="n"/>
      <c r="D389" s="35" t="n"/>
      <c r="E389" s="36" t="n"/>
      <c r="F389" s="36" t="n"/>
      <c r="G389" s="36" t="n"/>
      <c r="H389" s="36" t="n"/>
      <c r="I389" s="36" t="n"/>
      <c r="J389" s="37" t="n"/>
      <c r="K389" s="32" t="n"/>
      <c r="L389" s="36" t="n"/>
      <c r="M389" s="41" t="n"/>
      <c r="N389" s="41" t="n"/>
      <c r="O389" s="36" t="n"/>
      <c r="P389" s="33">
        <f>IF(C389="","",Commercial_Id)</f>
        <v/>
      </c>
      <c r="Q389" s="39">
        <f>IF(F389="","",IFERROR(VALUE(MID(F389,LEN(F389)-3,3)),""))</f>
        <v/>
      </c>
      <c r="R389" s="33">
        <f>IF(Q389="","",P389&amp;"|"&amp;Q389)</f>
        <v/>
      </c>
      <c r="S389" s="33">
        <f>IF(Q389="","",IF(P389="À RENSEIGNER","GIC",P389)&amp;"-"&amp;TEXT(Q389,"000"))</f>
        <v/>
      </c>
      <c r="T389" s="33">
        <f>IF(R389="","",IFERROR(INDEX(Cl_nom,MATCH(R389,Cl_cle,0)),"(client introuvable)"))</f>
        <v/>
      </c>
      <c r="U389" s="33">
        <f>IF(R389="","",IFERROR(INDEX(Cl_quartier,MATCH(R389,Cl_cle,0))&amp;"",""))</f>
        <v/>
      </c>
      <c r="V389" s="34">
        <f>IF(C389="","",YEAR(C389-WEEKDAY(C389,2)+4)&amp;"-S"&amp;TEXT(INT((C389-DATE(YEAR(C389-WEEKDAY(C389,2)+4),1,3)+WEEKDAY(DATE(YEAR(C389-WEEKDAY(C389,2)+4),1,3),2)+5)/7),"00"))</f>
        <v/>
      </c>
    </row>
    <row r="390" ht="18" customHeight="1">
      <c r="A390" s="39" t="n">
        <v>385</v>
      </c>
      <c r="B390" s="33">
        <f>IF(C390="","",IF(P390="À RENSEIGNER","GIC",P390)&amp;"-V"&amp;TEXT(A390,"00000"))</f>
        <v/>
      </c>
      <c r="C390" s="32" t="n"/>
      <c r="D390" s="35" t="n"/>
      <c r="E390" s="36" t="n"/>
      <c r="F390" s="36" t="n"/>
      <c r="G390" s="36" t="n"/>
      <c r="H390" s="36" t="n"/>
      <c r="I390" s="36" t="n"/>
      <c r="J390" s="37" t="n"/>
      <c r="K390" s="32" t="n"/>
      <c r="L390" s="36" t="n"/>
      <c r="M390" s="41" t="n"/>
      <c r="N390" s="41" t="n"/>
      <c r="O390" s="36" t="n"/>
      <c r="P390" s="33">
        <f>IF(C390="","",Commercial_Id)</f>
        <v/>
      </c>
      <c r="Q390" s="39">
        <f>IF(F390="","",IFERROR(VALUE(MID(F390,LEN(F390)-3,3)),""))</f>
        <v/>
      </c>
      <c r="R390" s="33">
        <f>IF(Q390="","",P390&amp;"|"&amp;Q390)</f>
        <v/>
      </c>
      <c r="S390" s="33">
        <f>IF(Q390="","",IF(P390="À RENSEIGNER","GIC",P390)&amp;"-"&amp;TEXT(Q390,"000"))</f>
        <v/>
      </c>
      <c r="T390" s="33">
        <f>IF(R390="","",IFERROR(INDEX(Cl_nom,MATCH(R390,Cl_cle,0)),"(client introuvable)"))</f>
        <v/>
      </c>
      <c r="U390" s="33">
        <f>IF(R390="","",IFERROR(INDEX(Cl_quartier,MATCH(R390,Cl_cle,0))&amp;"",""))</f>
        <v/>
      </c>
      <c r="V390" s="34">
        <f>IF(C390="","",YEAR(C390-WEEKDAY(C390,2)+4)&amp;"-S"&amp;TEXT(INT((C390-DATE(YEAR(C390-WEEKDAY(C390,2)+4),1,3)+WEEKDAY(DATE(YEAR(C390-WEEKDAY(C390,2)+4),1,3),2)+5)/7),"00"))</f>
        <v/>
      </c>
    </row>
    <row r="391" ht="18" customHeight="1">
      <c r="A391" s="39" t="n">
        <v>386</v>
      </c>
      <c r="B391" s="33">
        <f>IF(C391="","",IF(P391="À RENSEIGNER","GIC",P391)&amp;"-V"&amp;TEXT(A391,"00000"))</f>
        <v/>
      </c>
      <c r="C391" s="32" t="n"/>
      <c r="D391" s="35" t="n"/>
      <c r="E391" s="36" t="n"/>
      <c r="F391" s="36" t="n"/>
      <c r="G391" s="36" t="n"/>
      <c r="H391" s="36" t="n"/>
      <c r="I391" s="36" t="n"/>
      <c r="J391" s="37" t="n"/>
      <c r="K391" s="32" t="n"/>
      <c r="L391" s="36" t="n"/>
      <c r="M391" s="41" t="n"/>
      <c r="N391" s="41" t="n"/>
      <c r="O391" s="36" t="n"/>
      <c r="P391" s="33">
        <f>IF(C391="","",Commercial_Id)</f>
        <v/>
      </c>
      <c r="Q391" s="39">
        <f>IF(F391="","",IFERROR(VALUE(MID(F391,LEN(F391)-3,3)),""))</f>
        <v/>
      </c>
      <c r="R391" s="33">
        <f>IF(Q391="","",P391&amp;"|"&amp;Q391)</f>
        <v/>
      </c>
      <c r="S391" s="33">
        <f>IF(Q391="","",IF(P391="À RENSEIGNER","GIC",P391)&amp;"-"&amp;TEXT(Q391,"000"))</f>
        <v/>
      </c>
      <c r="T391" s="33">
        <f>IF(R391="","",IFERROR(INDEX(Cl_nom,MATCH(R391,Cl_cle,0)),"(client introuvable)"))</f>
        <v/>
      </c>
      <c r="U391" s="33">
        <f>IF(R391="","",IFERROR(INDEX(Cl_quartier,MATCH(R391,Cl_cle,0))&amp;"",""))</f>
        <v/>
      </c>
      <c r="V391" s="34">
        <f>IF(C391="","",YEAR(C391-WEEKDAY(C391,2)+4)&amp;"-S"&amp;TEXT(INT((C391-DATE(YEAR(C391-WEEKDAY(C391,2)+4),1,3)+WEEKDAY(DATE(YEAR(C391-WEEKDAY(C391,2)+4),1,3),2)+5)/7),"00"))</f>
        <v/>
      </c>
    </row>
    <row r="392" ht="18" customHeight="1">
      <c r="A392" s="39" t="n">
        <v>387</v>
      </c>
      <c r="B392" s="33">
        <f>IF(C392="","",IF(P392="À RENSEIGNER","GIC",P392)&amp;"-V"&amp;TEXT(A392,"00000"))</f>
        <v/>
      </c>
      <c r="C392" s="32" t="n"/>
      <c r="D392" s="35" t="n"/>
      <c r="E392" s="36" t="n"/>
      <c r="F392" s="36" t="n"/>
      <c r="G392" s="36" t="n"/>
      <c r="H392" s="36" t="n"/>
      <c r="I392" s="36" t="n"/>
      <c r="J392" s="37" t="n"/>
      <c r="K392" s="32" t="n"/>
      <c r="L392" s="36" t="n"/>
      <c r="M392" s="41" t="n"/>
      <c r="N392" s="41" t="n"/>
      <c r="O392" s="36" t="n"/>
      <c r="P392" s="33">
        <f>IF(C392="","",Commercial_Id)</f>
        <v/>
      </c>
      <c r="Q392" s="39">
        <f>IF(F392="","",IFERROR(VALUE(MID(F392,LEN(F392)-3,3)),""))</f>
        <v/>
      </c>
      <c r="R392" s="33">
        <f>IF(Q392="","",P392&amp;"|"&amp;Q392)</f>
        <v/>
      </c>
      <c r="S392" s="33">
        <f>IF(Q392="","",IF(P392="À RENSEIGNER","GIC",P392)&amp;"-"&amp;TEXT(Q392,"000"))</f>
        <v/>
      </c>
      <c r="T392" s="33">
        <f>IF(R392="","",IFERROR(INDEX(Cl_nom,MATCH(R392,Cl_cle,0)),"(client introuvable)"))</f>
        <v/>
      </c>
      <c r="U392" s="33">
        <f>IF(R392="","",IFERROR(INDEX(Cl_quartier,MATCH(R392,Cl_cle,0))&amp;"",""))</f>
        <v/>
      </c>
      <c r="V392" s="34">
        <f>IF(C392="","",YEAR(C392-WEEKDAY(C392,2)+4)&amp;"-S"&amp;TEXT(INT((C392-DATE(YEAR(C392-WEEKDAY(C392,2)+4),1,3)+WEEKDAY(DATE(YEAR(C392-WEEKDAY(C392,2)+4),1,3),2)+5)/7),"00"))</f>
        <v/>
      </c>
    </row>
    <row r="393" ht="18" customHeight="1">
      <c r="A393" s="39" t="n">
        <v>388</v>
      </c>
      <c r="B393" s="33">
        <f>IF(C393="","",IF(P393="À RENSEIGNER","GIC",P393)&amp;"-V"&amp;TEXT(A393,"00000"))</f>
        <v/>
      </c>
      <c r="C393" s="32" t="n"/>
      <c r="D393" s="35" t="n"/>
      <c r="E393" s="36" t="n"/>
      <c r="F393" s="36" t="n"/>
      <c r="G393" s="36" t="n"/>
      <c r="H393" s="36" t="n"/>
      <c r="I393" s="36" t="n"/>
      <c r="J393" s="37" t="n"/>
      <c r="K393" s="32" t="n"/>
      <c r="L393" s="36" t="n"/>
      <c r="M393" s="41" t="n"/>
      <c r="N393" s="41" t="n"/>
      <c r="O393" s="36" t="n"/>
      <c r="P393" s="33">
        <f>IF(C393="","",Commercial_Id)</f>
        <v/>
      </c>
      <c r="Q393" s="39">
        <f>IF(F393="","",IFERROR(VALUE(MID(F393,LEN(F393)-3,3)),""))</f>
        <v/>
      </c>
      <c r="R393" s="33">
        <f>IF(Q393="","",P393&amp;"|"&amp;Q393)</f>
        <v/>
      </c>
      <c r="S393" s="33">
        <f>IF(Q393="","",IF(P393="À RENSEIGNER","GIC",P393)&amp;"-"&amp;TEXT(Q393,"000"))</f>
        <v/>
      </c>
      <c r="T393" s="33">
        <f>IF(R393="","",IFERROR(INDEX(Cl_nom,MATCH(R393,Cl_cle,0)),"(client introuvable)"))</f>
        <v/>
      </c>
      <c r="U393" s="33">
        <f>IF(R393="","",IFERROR(INDEX(Cl_quartier,MATCH(R393,Cl_cle,0))&amp;"",""))</f>
        <v/>
      </c>
      <c r="V393" s="34">
        <f>IF(C393="","",YEAR(C393-WEEKDAY(C393,2)+4)&amp;"-S"&amp;TEXT(INT((C393-DATE(YEAR(C393-WEEKDAY(C393,2)+4),1,3)+WEEKDAY(DATE(YEAR(C393-WEEKDAY(C393,2)+4),1,3),2)+5)/7),"00"))</f>
        <v/>
      </c>
    </row>
    <row r="394" ht="18" customHeight="1">
      <c r="A394" s="39" t="n">
        <v>389</v>
      </c>
      <c r="B394" s="33">
        <f>IF(C394="","",IF(P394="À RENSEIGNER","GIC",P394)&amp;"-V"&amp;TEXT(A394,"00000"))</f>
        <v/>
      </c>
      <c r="C394" s="32" t="n"/>
      <c r="D394" s="35" t="n"/>
      <c r="E394" s="36" t="n"/>
      <c r="F394" s="36" t="n"/>
      <c r="G394" s="36" t="n"/>
      <c r="H394" s="36" t="n"/>
      <c r="I394" s="36" t="n"/>
      <c r="J394" s="37" t="n"/>
      <c r="K394" s="32" t="n"/>
      <c r="L394" s="36" t="n"/>
      <c r="M394" s="41" t="n"/>
      <c r="N394" s="41" t="n"/>
      <c r="O394" s="36" t="n"/>
      <c r="P394" s="33">
        <f>IF(C394="","",Commercial_Id)</f>
        <v/>
      </c>
      <c r="Q394" s="39">
        <f>IF(F394="","",IFERROR(VALUE(MID(F394,LEN(F394)-3,3)),""))</f>
        <v/>
      </c>
      <c r="R394" s="33">
        <f>IF(Q394="","",P394&amp;"|"&amp;Q394)</f>
        <v/>
      </c>
      <c r="S394" s="33">
        <f>IF(Q394="","",IF(P394="À RENSEIGNER","GIC",P394)&amp;"-"&amp;TEXT(Q394,"000"))</f>
        <v/>
      </c>
      <c r="T394" s="33">
        <f>IF(R394="","",IFERROR(INDEX(Cl_nom,MATCH(R394,Cl_cle,0)),"(client introuvable)"))</f>
        <v/>
      </c>
      <c r="U394" s="33">
        <f>IF(R394="","",IFERROR(INDEX(Cl_quartier,MATCH(R394,Cl_cle,0))&amp;"",""))</f>
        <v/>
      </c>
      <c r="V394" s="34">
        <f>IF(C394="","",YEAR(C394-WEEKDAY(C394,2)+4)&amp;"-S"&amp;TEXT(INT((C394-DATE(YEAR(C394-WEEKDAY(C394,2)+4),1,3)+WEEKDAY(DATE(YEAR(C394-WEEKDAY(C394,2)+4),1,3),2)+5)/7),"00"))</f>
        <v/>
      </c>
    </row>
    <row r="395" ht="18" customHeight="1">
      <c r="A395" s="39" t="n">
        <v>390</v>
      </c>
      <c r="B395" s="33">
        <f>IF(C395="","",IF(P395="À RENSEIGNER","GIC",P395)&amp;"-V"&amp;TEXT(A395,"00000"))</f>
        <v/>
      </c>
      <c r="C395" s="32" t="n"/>
      <c r="D395" s="35" t="n"/>
      <c r="E395" s="36" t="n"/>
      <c r="F395" s="36" t="n"/>
      <c r="G395" s="36" t="n"/>
      <c r="H395" s="36" t="n"/>
      <c r="I395" s="36" t="n"/>
      <c r="J395" s="37" t="n"/>
      <c r="K395" s="32" t="n"/>
      <c r="L395" s="36" t="n"/>
      <c r="M395" s="41" t="n"/>
      <c r="N395" s="41" t="n"/>
      <c r="O395" s="36" t="n"/>
      <c r="P395" s="33">
        <f>IF(C395="","",Commercial_Id)</f>
        <v/>
      </c>
      <c r="Q395" s="39">
        <f>IF(F395="","",IFERROR(VALUE(MID(F395,LEN(F395)-3,3)),""))</f>
        <v/>
      </c>
      <c r="R395" s="33">
        <f>IF(Q395="","",P395&amp;"|"&amp;Q395)</f>
        <v/>
      </c>
      <c r="S395" s="33">
        <f>IF(Q395="","",IF(P395="À RENSEIGNER","GIC",P395)&amp;"-"&amp;TEXT(Q395,"000"))</f>
        <v/>
      </c>
      <c r="T395" s="33">
        <f>IF(R395="","",IFERROR(INDEX(Cl_nom,MATCH(R395,Cl_cle,0)),"(client introuvable)"))</f>
        <v/>
      </c>
      <c r="U395" s="33">
        <f>IF(R395="","",IFERROR(INDEX(Cl_quartier,MATCH(R395,Cl_cle,0))&amp;"",""))</f>
        <v/>
      </c>
      <c r="V395" s="34">
        <f>IF(C395="","",YEAR(C395-WEEKDAY(C395,2)+4)&amp;"-S"&amp;TEXT(INT((C395-DATE(YEAR(C395-WEEKDAY(C395,2)+4),1,3)+WEEKDAY(DATE(YEAR(C395-WEEKDAY(C395,2)+4),1,3),2)+5)/7),"00"))</f>
        <v/>
      </c>
    </row>
    <row r="396" ht="18" customHeight="1">
      <c r="A396" s="39" t="n">
        <v>391</v>
      </c>
      <c r="B396" s="33">
        <f>IF(C396="","",IF(P396="À RENSEIGNER","GIC",P396)&amp;"-V"&amp;TEXT(A396,"00000"))</f>
        <v/>
      </c>
      <c r="C396" s="32" t="n"/>
      <c r="D396" s="35" t="n"/>
      <c r="E396" s="36" t="n"/>
      <c r="F396" s="36" t="n"/>
      <c r="G396" s="36" t="n"/>
      <c r="H396" s="36" t="n"/>
      <c r="I396" s="36" t="n"/>
      <c r="J396" s="37" t="n"/>
      <c r="K396" s="32" t="n"/>
      <c r="L396" s="36" t="n"/>
      <c r="M396" s="41" t="n"/>
      <c r="N396" s="41" t="n"/>
      <c r="O396" s="36" t="n"/>
      <c r="P396" s="33">
        <f>IF(C396="","",Commercial_Id)</f>
        <v/>
      </c>
      <c r="Q396" s="39">
        <f>IF(F396="","",IFERROR(VALUE(MID(F396,LEN(F396)-3,3)),""))</f>
        <v/>
      </c>
      <c r="R396" s="33">
        <f>IF(Q396="","",P396&amp;"|"&amp;Q396)</f>
        <v/>
      </c>
      <c r="S396" s="33">
        <f>IF(Q396="","",IF(P396="À RENSEIGNER","GIC",P396)&amp;"-"&amp;TEXT(Q396,"000"))</f>
        <v/>
      </c>
      <c r="T396" s="33">
        <f>IF(R396="","",IFERROR(INDEX(Cl_nom,MATCH(R396,Cl_cle,0)),"(client introuvable)"))</f>
        <v/>
      </c>
      <c r="U396" s="33">
        <f>IF(R396="","",IFERROR(INDEX(Cl_quartier,MATCH(R396,Cl_cle,0))&amp;"",""))</f>
        <v/>
      </c>
      <c r="V396" s="34">
        <f>IF(C396="","",YEAR(C396-WEEKDAY(C396,2)+4)&amp;"-S"&amp;TEXT(INT((C396-DATE(YEAR(C396-WEEKDAY(C396,2)+4),1,3)+WEEKDAY(DATE(YEAR(C396-WEEKDAY(C396,2)+4),1,3),2)+5)/7),"00"))</f>
        <v/>
      </c>
    </row>
    <row r="397" ht="18" customHeight="1">
      <c r="A397" s="39" t="n">
        <v>392</v>
      </c>
      <c r="B397" s="33">
        <f>IF(C397="","",IF(P397="À RENSEIGNER","GIC",P397)&amp;"-V"&amp;TEXT(A397,"00000"))</f>
        <v/>
      </c>
      <c r="C397" s="32" t="n"/>
      <c r="D397" s="35" t="n"/>
      <c r="E397" s="36" t="n"/>
      <c r="F397" s="36" t="n"/>
      <c r="G397" s="36" t="n"/>
      <c r="H397" s="36" t="n"/>
      <c r="I397" s="36" t="n"/>
      <c r="J397" s="37" t="n"/>
      <c r="K397" s="32" t="n"/>
      <c r="L397" s="36" t="n"/>
      <c r="M397" s="41" t="n"/>
      <c r="N397" s="41" t="n"/>
      <c r="O397" s="36" t="n"/>
      <c r="P397" s="33">
        <f>IF(C397="","",Commercial_Id)</f>
        <v/>
      </c>
      <c r="Q397" s="39">
        <f>IF(F397="","",IFERROR(VALUE(MID(F397,LEN(F397)-3,3)),""))</f>
        <v/>
      </c>
      <c r="R397" s="33">
        <f>IF(Q397="","",P397&amp;"|"&amp;Q397)</f>
        <v/>
      </c>
      <c r="S397" s="33">
        <f>IF(Q397="","",IF(P397="À RENSEIGNER","GIC",P397)&amp;"-"&amp;TEXT(Q397,"000"))</f>
        <v/>
      </c>
      <c r="T397" s="33">
        <f>IF(R397="","",IFERROR(INDEX(Cl_nom,MATCH(R397,Cl_cle,0)),"(client introuvable)"))</f>
        <v/>
      </c>
      <c r="U397" s="33">
        <f>IF(R397="","",IFERROR(INDEX(Cl_quartier,MATCH(R397,Cl_cle,0))&amp;"",""))</f>
        <v/>
      </c>
      <c r="V397" s="34">
        <f>IF(C397="","",YEAR(C397-WEEKDAY(C397,2)+4)&amp;"-S"&amp;TEXT(INT((C397-DATE(YEAR(C397-WEEKDAY(C397,2)+4),1,3)+WEEKDAY(DATE(YEAR(C397-WEEKDAY(C397,2)+4),1,3),2)+5)/7),"00"))</f>
        <v/>
      </c>
    </row>
    <row r="398" ht="18" customHeight="1">
      <c r="A398" s="39" t="n">
        <v>393</v>
      </c>
      <c r="B398" s="33">
        <f>IF(C398="","",IF(P398="À RENSEIGNER","GIC",P398)&amp;"-V"&amp;TEXT(A398,"00000"))</f>
        <v/>
      </c>
      <c r="C398" s="32" t="n"/>
      <c r="D398" s="35" t="n"/>
      <c r="E398" s="36" t="n"/>
      <c r="F398" s="36" t="n"/>
      <c r="G398" s="36" t="n"/>
      <c r="H398" s="36" t="n"/>
      <c r="I398" s="36" t="n"/>
      <c r="J398" s="37" t="n"/>
      <c r="K398" s="32" t="n"/>
      <c r="L398" s="36" t="n"/>
      <c r="M398" s="41" t="n"/>
      <c r="N398" s="41" t="n"/>
      <c r="O398" s="36" t="n"/>
      <c r="P398" s="33">
        <f>IF(C398="","",Commercial_Id)</f>
        <v/>
      </c>
      <c r="Q398" s="39">
        <f>IF(F398="","",IFERROR(VALUE(MID(F398,LEN(F398)-3,3)),""))</f>
        <v/>
      </c>
      <c r="R398" s="33">
        <f>IF(Q398="","",P398&amp;"|"&amp;Q398)</f>
        <v/>
      </c>
      <c r="S398" s="33">
        <f>IF(Q398="","",IF(P398="À RENSEIGNER","GIC",P398)&amp;"-"&amp;TEXT(Q398,"000"))</f>
        <v/>
      </c>
      <c r="T398" s="33">
        <f>IF(R398="","",IFERROR(INDEX(Cl_nom,MATCH(R398,Cl_cle,0)),"(client introuvable)"))</f>
        <v/>
      </c>
      <c r="U398" s="33">
        <f>IF(R398="","",IFERROR(INDEX(Cl_quartier,MATCH(R398,Cl_cle,0))&amp;"",""))</f>
        <v/>
      </c>
      <c r="V398" s="34">
        <f>IF(C398="","",YEAR(C398-WEEKDAY(C398,2)+4)&amp;"-S"&amp;TEXT(INT((C398-DATE(YEAR(C398-WEEKDAY(C398,2)+4),1,3)+WEEKDAY(DATE(YEAR(C398-WEEKDAY(C398,2)+4),1,3),2)+5)/7),"00"))</f>
        <v/>
      </c>
    </row>
    <row r="399" ht="18" customHeight="1">
      <c r="A399" s="39" t="n">
        <v>394</v>
      </c>
      <c r="B399" s="33">
        <f>IF(C399="","",IF(P399="À RENSEIGNER","GIC",P399)&amp;"-V"&amp;TEXT(A399,"00000"))</f>
        <v/>
      </c>
      <c r="C399" s="32" t="n"/>
      <c r="D399" s="35" t="n"/>
      <c r="E399" s="36" t="n"/>
      <c r="F399" s="36" t="n"/>
      <c r="G399" s="36" t="n"/>
      <c r="H399" s="36" t="n"/>
      <c r="I399" s="36" t="n"/>
      <c r="J399" s="37" t="n"/>
      <c r="K399" s="32" t="n"/>
      <c r="L399" s="36" t="n"/>
      <c r="M399" s="41" t="n"/>
      <c r="N399" s="41" t="n"/>
      <c r="O399" s="36" t="n"/>
      <c r="P399" s="33">
        <f>IF(C399="","",Commercial_Id)</f>
        <v/>
      </c>
      <c r="Q399" s="39">
        <f>IF(F399="","",IFERROR(VALUE(MID(F399,LEN(F399)-3,3)),""))</f>
        <v/>
      </c>
      <c r="R399" s="33">
        <f>IF(Q399="","",P399&amp;"|"&amp;Q399)</f>
        <v/>
      </c>
      <c r="S399" s="33">
        <f>IF(Q399="","",IF(P399="À RENSEIGNER","GIC",P399)&amp;"-"&amp;TEXT(Q399,"000"))</f>
        <v/>
      </c>
      <c r="T399" s="33">
        <f>IF(R399="","",IFERROR(INDEX(Cl_nom,MATCH(R399,Cl_cle,0)),"(client introuvable)"))</f>
        <v/>
      </c>
      <c r="U399" s="33">
        <f>IF(R399="","",IFERROR(INDEX(Cl_quartier,MATCH(R399,Cl_cle,0))&amp;"",""))</f>
        <v/>
      </c>
      <c r="V399" s="34">
        <f>IF(C399="","",YEAR(C399-WEEKDAY(C399,2)+4)&amp;"-S"&amp;TEXT(INT((C399-DATE(YEAR(C399-WEEKDAY(C399,2)+4),1,3)+WEEKDAY(DATE(YEAR(C399-WEEKDAY(C399,2)+4),1,3),2)+5)/7),"00"))</f>
        <v/>
      </c>
    </row>
    <row r="400" ht="18" customHeight="1">
      <c r="A400" s="39" t="n">
        <v>395</v>
      </c>
      <c r="B400" s="33">
        <f>IF(C400="","",IF(P400="À RENSEIGNER","GIC",P400)&amp;"-V"&amp;TEXT(A400,"00000"))</f>
        <v/>
      </c>
      <c r="C400" s="32" t="n"/>
      <c r="D400" s="35" t="n"/>
      <c r="E400" s="36" t="n"/>
      <c r="F400" s="36" t="n"/>
      <c r="G400" s="36" t="n"/>
      <c r="H400" s="36" t="n"/>
      <c r="I400" s="36" t="n"/>
      <c r="J400" s="37" t="n"/>
      <c r="K400" s="32" t="n"/>
      <c r="L400" s="36" t="n"/>
      <c r="M400" s="41" t="n"/>
      <c r="N400" s="41" t="n"/>
      <c r="O400" s="36" t="n"/>
      <c r="P400" s="33">
        <f>IF(C400="","",Commercial_Id)</f>
        <v/>
      </c>
      <c r="Q400" s="39">
        <f>IF(F400="","",IFERROR(VALUE(MID(F400,LEN(F400)-3,3)),""))</f>
        <v/>
      </c>
      <c r="R400" s="33">
        <f>IF(Q400="","",P400&amp;"|"&amp;Q400)</f>
        <v/>
      </c>
      <c r="S400" s="33">
        <f>IF(Q400="","",IF(P400="À RENSEIGNER","GIC",P400)&amp;"-"&amp;TEXT(Q400,"000"))</f>
        <v/>
      </c>
      <c r="T400" s="33">
        <f>IF(R400="","",IFERROR(INDEX(Cl_nom,MATCH(R400,Cl_cle,0)),"(client introuvable)"))</f>
        <v/>
      </c>
      <c r="U400" s="33">
        <f>IF(R400="","",IFERROR(INDEX(Cl_quartier,MATCH(R400,Cl_cle,0))&amp;"",""))</f>
        <v/>
      </c>
      <c r="V400" s="34">
        <f>IF(C400="","",YEAR(C400-WEEKDAY(C400,2)+4)&amp;"-S"&amp;TEXT(INT((C400-DATE(YEAR(C400-WEEKDAY(C400,2)+4),1,3)+WEEKDAY(DATE(YEAR(C400-WEEKDAY(C400,2)+4),1,3),2)+5)/7),"00"))</f>
        <v/>
      </c>
    </row>
    <row r="401" ht="18" customHeight="1">
      <c r="A401" s="39" t="n">
        <v>396</v>
      </c>
      <c r="B401" s="33">
        <f>IF(C401="","",IF(P401="À RENSEIGNER","GIC",P401)&amp;"-V"&amp;TEXT(A401,"00000"))</f>
        <v/>
      </c>
      <c r="C401" s="32" t="n"/>
      <c r="D401" s="35" t="n"/>
      <c r="E401" s="36" t="n"/>
      <c r="F401" s="36" t="n"/>
      <c r="G401" s="36" t="n"/>
      <c r="H401" s="36" t="n"/>
      <c r="I401" s="36" t="n"/>
      <c r="J401" s="37" t="n"/>
      <c r="K401" s="32" t="n"/>
      <c r="L401" s="36" t="n"/>
      <c r="M401" s="41" t="n"/>
      <c r="N401" s="41" t="n"/>
      <c r="O401" s="36" t="n"/>
      <c r="P401" s="33">
        <f>IF(C401="","",Commercial_Id)</f>
        <v/>
      </c>
      <c r="Q401" s="39">
        <f>IF(F401="","",IFERROR(VALUE(MID(F401,LEN(F401)-3,3)),""))</f>
        <v/>
      </c>
      <c r="R401" s="33">
        <f>IF(Q401="","",P401&amp;"|"&amp;Q401)</f>
        <v/>
      </c>
      <c r="S401" s="33">
        <f>IF(Q401="","",IF(P401="À RENSEIGNER","GIC",P401)&amp;"-"&amp;TEXT(Q401,"000"))</f>
        <v/>
      </c>
      <c r="T401" s="33">
        <f>IF(R401="","",IFERROR(INDEX(Cl_nom,MATCH(R401,Cl_cle,0)),"(client introuvable)"))</f>
        <v/>
      </c>
      <c r="U401" s="33">
        <f>IF(R401="","",IFERROR(INDEX(Cl_quartier,MATCH(R401,Cl_cle,0))&amp;"",""))</f>
        <v/>
      </c>
      <c r="V401" s="34">
        <f>IF(C401="","",YEAR(C401-WEEKDAY(C401,2)+4)&amp;"-S"&amp;TEXT(INT((C401-DATE(YEAR(C401-WEEKDAY(C401,2)+4),1,3)+WEEKDAY(DATE(YEAR(C401-WEEKDAY(C401,2)+4),1,3),2)+5)/7),"00"))</f>
        <v/>
      </c>
    </row>
    <row r="402" ht="18" customHeight="1">
      <c r="A402" s="39" t="n">
        <v>397</v>
      </c>
      <c r="B402" s="33">
        <f>IF(C402="","",IF(P402="À RENSEIGNER","GIC",P402)&amp;"-V"&amp;TEXT(A402,"00000"))</f>
        <v/>
      </c>
      <c r="C402" s="32" t="n"/>
      <c r="D402" s="35" t="n"/>
      <c r="E402" s="36" t="n"/>
      <c r="F402" s="36" t="n"/>
      <c r="G402" s="36" t="n"/>
      <c r="H402" s="36" t="n"/>
      <c r="I402" s="36" t="n"/>
      <c r="J402" s="37" t="n"/>
      <c r="K402" s="32" t="n"/>
      <c r="L402" s="36" t="n"/>
      <c r="M402" s="41" t="n"/>
      <c r="N402" s="41" t="n"/>
      <c r="O402" s="36" t="n"/>
      <c r="P402" s="33">
        <f>IF(C402="","",Commercial_Id)</f>
        <v/>
      </c>
      <c r="Q402" s="39">
        <f>IF(F402="","",IFERROR(VALUE(MID(F402,LEN(F402)-3,3)),""))</f>
        <v/>
      </c>
      <c r="R402" s="33">
        <f>IF(Q402="","",P402&amp;"|"&amp;Q402)</f>
        <v/>
      </c>
      <c r="S402" s="33">
        <f>IF(Q402="","",IF(P402="À RENSEIGNER","GIC",P402)&amp;"-"&amp;TEXT(Q402,"000"))</f>
        <v/>
      </c>
      <c r="T402" s="33">
        <f>IF(R402="","",IFERROR(INDEX(Cl_nom,MATCH(R402,Cl_cle,0)),"(client introuvable)"))</f>
        <v/>
      </c>
      <c r="U402" s="33">
        <f>IF(R402="","",IFERROR(INDEX(Cl_quartier,MATCH(R402,Cl_cle,0))&amp;"",""))</f>
        <v/>
      </c>
      <c r="V402" s="34">
        <f>IF(C402="","",YEAR(C402-WEEKDAY(C402,2)+4)&amp;"-S"&amp;TEXT(INT((C402-DATE(YEAR(C402-WEEKDAY(C402,2)+4),1,3)+WEEKDAY(DATE(YEAR(C402-WEEKDAY(C402,2)+4),1,3),2)+5)/7),"00"))</f>
        <v/>
      </c>
    </row>
    <row r="403" ht="18" customHeight="1">
      <c r="A403" s="39" t="n">
        <v>398</v>
      </c>
      <c r="B403" s="33">
        <f>IF(C403="","",IF(P403="À RENSEIGNER","GIC",P403)&amp;"-V"&amp;TEXT(A403,"00000"))</f>
        <v/>
      </c>
      <c r="C403" s="32" t="n"/>
      <c r="D403" s="35" t="n"/>
      <c r="E403" s="36" t="n"/>
      <c r="F403" s="36" t="n"/>
      <c r="G403" s="36" t="n"/>
      <c r="H403" s="36" t="n"/>
      <c r="I403" s="36" t="n"/>
      <c r="J403" s="37" t="n"/>
      <c r="K403" s="32" t="n"/>
      <c r="L403" s="36" t="n"/>
      <c r="M403" s="41" t="n"/>
      <c r="N403" s="41" t="n"/>
      <c r="O403" s="36" t="n"/>
      <c r="P403" s="33">
        <f>IF(C403="","",Commercial_Id)</f>
        <v/>
      </c>
      <c r="Q403" s="39">
        <f>IF(F403="","",IFERROR(VALUE(MID(F403,LEN(F403)-3,3)),""))</f>
        <v/>
      </c>
      <c r="R403" s="33">
        <f>IF(Q403="","",P403&amp;"|"&amp;Q403)</f>
        <v/>
      </c>
      <c r="S403" s="33">
        <f>IF(Q403="","",IF(P403="À RENSEIGNER","GIC",P403)&amp;"-"&amp;TEXT(Q403,"000"))</f>
        <v/>
      </c>
      <c r="T403" s="33">
        <f>IF(R403="","",IFERROR(INDEX(Cl_nom,MATCH(R403,Cl_cle,0)),"(client introuvable)"))</f>
        <v/>
      </c>
      <c r="U403" s="33">
        <f>IF(R403="","",IFERROR(INDEX(Cl_quartier,MATCH(R403,Cl_cle,0))&amp;"",""))</f>
        <v/>
      </c>
      <c r="V403" s="34">
        <f>IF(C403="","",YEAR(C403-WEEKDAY(C403,2)+4)&amp;"-S"&amp;TEXT(INT((C403-DATE(YEAR(C403-WEEKDAY(C403,2)+4),1,3)+WEEKDAY(DATE(YEAR(C403-WEEKDAY(C403,2)+4),1,3),2)+5)/7),"00"))</f>
        <v/>
      </c>
    </row>
    <row r="404" ht="18" customHeight="1">
      <c r="A404" s="39" t="n">
        <v>399</v>
      </c>
      <c r="B404" s="33">
        <f>IF(C404="","",IF(P404="À RENSEIGNER","GIC",P404)&amp;"-V"&amp;TEXT(A404,"00000"))</f>
        <v/>
      </c>
      <c r="C404" s="32" t="n"/>
      <c r="D404" s="35" t="n"/>
      <c r="E404" s="36" t="n"/>
      <c r="F404" s="36" t="n"/>
      <c r="G404" s="36" t="n"/>
      <c r="H404" s="36" t="n"/>
      <c r="I404" s="36" t="n"/>
      <c r="J404" s="37" t="n"/>
      <c r="K404" s="32" t="n"/>
      <c r="L404" s="36" t="n"/>
      <c r="M404" s="41" t="n"/>
      <c r="N404" s="41" t="n"/>
      <c r="O404" s="36" t="n"/>
      <c r="P404" s="33">
        <f>IF(C404="","",Commercial_Id)</f>
        <v/>
      </c>
      <c r="Q404" s="39">
        <f>IF(F404="","",IFERROR(VALUE(MID(F404,LEN(F404)-3,3)),""))</f>
        <v/>
      </c>
      <c r="R404" s="33">
        <f>IF(Q404="","",P404&amp;"|"&amp;Q404)</f>
        <v/>
      </c>
      <c r="S404" s="33">
        <f>IF(Q404="","",IF(P404="À RENSEIGNER","GIC",P404)&amp;"-"&amp;TEXT(Q404,"000"))</f>
        <v/>
      </c>
      <c r="T404" s="33">
        <f>IF(R404="","",IFERROR(INDEX(Cl_nom,MATCH(R404,Cl_cle,0)),"(client introuvable)"))</f>
        <v/>
      </c>
      <c r="U404" s="33">
        <f>IF(R404="","",IFERROR(INDEX(Cl_quartier,MATCH(R404,Cl_cle,0))&amp;"",""))</f>
        <v/>
      </c>
      <c r="V404" s="34">
        <f>IF(C404="","",YEAR(C404-WEEKDAY(C404,2)+4)&amp;"-S"&amp;TEXT(INT((C404-DATE(YEAR(C404-WEEKDAY(C404,2)+4),1,3)+WEEKDAY(DATE(YEAR(C404-WEEKDAY(C404,2)+4),1,3),2)+5)/7),"00"))</f>
        <v/>
      </c>
    </row>
    <row r="405" ht="18" customHeight="1">
      <c r="A405" s="39" t="n">
        <v>400</v>
      </c>
      <c r="B405" s="33">
        <f>IF(C405="","",IF(P405="À RENSEIGNER","GIC",P405)&amp;"-V"&amp;TEXT(A405,"00000"))</f>
        <v/>
      </c>
      <c r="C405" s="32" t="n"/>
      <c r="D405" s="35" t="n"/>
      <c r="E405" s="36" t="n"/>
      <c r="F405" s="36" t="n"/>
      <c r="G405" s="36" t="n"/>
      <c r="H405" s="36" t="n"/>
      <c r="I405" s="36" t="n"/>
      <c r="J405" s="37" t="n"/>
      <c r="K405" s="32" t="n"/>
      <c r="L405" s="36" t="n"/>
      <c r="M405" s="41" t="n"/>
      <c r="N405" s="41" t="n"/>
      <c r="O405" s="36" t="n"/>
      <c r="P405" s="33">
        <f>IF(C405="","",Commercial_Id)</f>
        <v/>
      </c>
      <c r="Q405" s="39">
        <f>IF(F405="","",IFERROR(VALUE(MID(F405,LEN(F405)-3,3)),""))</f>
        <v/>
      </c>
      <c r="R405" s="33">
        <f>IF(Q405="","",P405&amp;"|"&amp;Q405)</f>
        <v/>
      </c>
      <c r="S405" s="33">
        <f>IF(Q405="","",IF(P405="À RENSEIGNER","GIC",P405)&amp;"-"&amp;TEXT(Q405,"000"))</f>
        <v/>
      </c>
      <c r="T405" s="33">
        <f>IF(R405="","",IFERROR(INDEX(Cl_nom,MATCH(R405,Cl_cle,0)),"(client introuvable)"))</f>
        <v/>
      </c>
      <c r="U405" s="33">
        <f>IF(R405="","",IFERROR(INDEX(Cl_quartier,MATCH(R405,Cl_cle,0))&amp;"",""))</f>
        <v/>
      </c>
      <c r="V405" s="34">
        <f>IF(C405="","",YEAR(C405-WEEKDAY(C405,2)+4)&amp;"-S"&amp;TEXT(INT((C405-DATE(YEAR(C405-WEEKDAY(C405,2)+4),1,3)+WEEKDAY(DATE(YEAR(C405-WEEKDAY(C405,2)+4),1,3),2)+5)/7),"00"))</f>
        <v/>
      </c>
    </row>
    <row r="406" ht="18" customHeight="1">
      <c r="A406" s="39" t="n">
        <v>401</v>
      </c>
      <c r="B406" s="33">
        <f>IF(C406="","",IF(P406="À RENSEIGNER","GIC",P406)&amp;"-V"&amp;TEXT(A406,"00000"))</f>
        <v/>
      </c>
      <c r="C406" s="32" t="n"/>
      <c r="D406" s="35" t="n"/>
      <c r="E406" s="36" t="n"/>
      <c r="F406" s="36" t="n"/>
      <c r="G406" s="36" t="n"/>
      <c r="H406" s="36" t="n"/>
      <c r="I406" s="36" t="n"/>
      <c r="J406" s="37" t="n"/>
      <c r="K406" s="32" t="n"/>
      <c r="L406" s="36" t="n"/>
      <c r="M406" s="41" t="n"/>
      <c r="N406" s="41" t="n"/>
      <c r="O406" s="36" t="n"/>
      <c r="P406" s="33">
        <f>IF(C406="","",Commercial_Id)</f>
        <v/>
      </c>
      <c r="Q406" s="39">
        <f>IF(F406="","",IFERROR(VALUE(MID(F406,LEN(F406)-3,3)),""))</f>
        <v/>
      </c>
      <c r="R406" s="33">
        <f>IF(Q406="","",P406&amp;"|"&amp;Q406)</f>
        <v/>
      </c>
      <c r="S406" s="33">
        <f>IF(Q406="","",IF(P406="À RENSEIGNER","GIC",P406)&amp;"-"&amp;TEXT(Q406,"000"))</f>
        <v/>
      </c>
      <c r="T406" s="33">
        <f>IF(R406="","",IFERROR(INDEX(Cl_nom,MATCH(R406,Cl_cle,0)),"(client introuvable)"))</f>
        <v/>
      </c>
      <c r="U406" s="33">
        <f>IF(R406="","",IFERROR(INDEX(Cl_quartier,MATCH(R406,Cl_cle,0))&amp;"",""))</f>
        <v/>
      </c>
      <c r="V406" s="34">
        <f>IF(C406="","",YEAR(C406-WEEKDAY(C406,2)+4)&amp;"-S"&amp;TEXT(INT((C406-DATE(YEAR(C406-WEEKDAY(C406,2)+4),1,3)+WEEKDAY(DATE(YEAR(C406-WEEKDAY(C406,2)+4),1,3),2)+5)/7),"00"))</f>
        <v/>
      </c>
    </row>
    <row r="407" ht="18" customHeight="1">
      <c r="A407" s="39" t="n">
        <v>402</v>
      </c>
      <c r="B407" s="33">
        <f>IF(C407="","",IF(P407="À RENSEIGNER","GIC",P407)&amp;"-V"&amp;TEXT(A407,"00000"))</f>
        <v/>
      </c>
      <c r="C407" s="32" t="n"/>
      <c r="D407" s="35" t="n"/>
      <c r="E407" s="36" t="n"/>
      <c r="F407" s="36" t="n"/>
      <c r="G407" s="36" t="n"/>
      <c r="H407" s="36" t="n"/>
      <c r="I407" s="36" t="n"/>
      <c r="J407" s="37" t="n"/>
      <c r="K407" s="32" t="n"/>
      <c r="L407" s="36" t="n"/>
      <c r="M407" s="41" t="n"/>
      <c r="N407" s="41" t="n"/>
      <c r="O407" s="36" t="n"/>
      <c r="P407" s="33">
        <f>IF(C407="","",Commercial_Id)</f>
        <v/>
      </c>
      <c r="Q407" s="39">
        <f>IF(F407="","",IFERROR(VALUE(MID(F407,LEN(F407)-3,3)),""))</f>
        <v/>
      </c>
      <c r="R407" s="33">
        <f>IF(Q407="","",P407&amp;"|"&amp;Q407)</f>
        <v/>
      </c>
      <c r="S407" s="33">
        <f>IF(Q407="","",IF(P407="À RENSEIGNER","GIC",P407)&amp;"-"&amp;TEXT(Q407,"000"))</f>
        <v/>
      </c>
      <c r="T407" s="33">
        <f>IF(R407="","",IFERROR(INDEX(Cl_nom,MATCH(R407,Cl_cle,0)),"(client introuvable)"))</f>
        <v/>
      </c>
      <c r="U407" s="33">
        <f>IF(R407="","",IFERROR(INDEX(Cl_quartier,MATCH(R407,Cl_cle,0))&amp;"",""))</f>
        <v/>
      </c>
      <c r="V407" s="34">
        <f>IF(C407="","",YEAR(C407-WEEKDAY(C407,2)+4)&amp;"-S"&amp;TEXT(INT((C407-DATE(YEAR(C407-WEEKDAY(C407,2)+4),1,3)+WEEKDAY(DATE(YEAR(C407-WEEKDAY(C407,2)+4),1,3),2)+5)/7),"00"))</f>
        <v/>
      </c>
    </row>
    <row r="408" ht="18" customHeight="1">
      <c r="A408" s="39" t="n">
        <v>403</v>
      </c>
      <c r="B408" s="33">
        <f>IF(C408="","",IF(P408="À RENSEIGNER","GIC",P408)&amp;"-V"&amp;TEXT(A408,"00000"))</f>
        <v/>
      </c>
      <c r="C408" s="32" t="n"/>
      <c r="D408" s="35" t="n"/>
      <c r="E408" s="36" t="n"/>
      <c r="F408" s="36" t="n"/>
      <c r="G408" s="36" t="n"/>
      <c r="H408" s="36" t="n"/>
      <c r="I408" s="36" t="n"/>
      <c r="J408" s="37" t="n"/>
      <c r="K408" s="32" t="n"/>
      <c r="L408" s="36" t="n"/>
      <c r="M408" s="41" t="n"/>
      <c r="N408" s="41" t="n"/>
      <c r="O408" s="36" t="n"/>
      <c r="P408" s="33">
        <f>IF(C408="","",Commercial_Id)</f>
        <v/>
      </c>
      <c r="Q408" s="39">
        <f>IF(F408="","",IFERROR(VALUE(MID(F408,LEN(F408)-3,3)),""))</f>
        <v/>
      </c>
      <c r="R408" s="33">
        <f>IF(Q408="","",P408&amp;"|"&amp;Q408)</f>
        <v/>
      </c>
      <c r="S408" s="33">
        <f>IF(Q408="","",IF(P408="À RENSEIGNER","GIC",P408)&amp;"-"&amp;TEXT(Q408,"000"))</f>
        <v/>
      </c>
      <c r="T408" s="33">
        <f>IF(R408="","",IFERROR(INDEX(Cl_nom,MATCH(R408,Cl_cle,0)),"(client introuvable)"))</f>
        <v/>
      </c>
      <c r="U408" s="33">
        <f>IF(R408="","",IFERROR(INDEX(Cl_quartier,MATCH(R408,Cl_cle,0))&amp;"",""))</f>
        <v/>
      </c>
      <c r="V408" s="34">
        <f>IF(C408="","",YEAR(C408-WEEKDAY(C408,2)+4)&amp;"-S"&amp;TEXT(INT((C408-DATE(YEAR(C408-WEEKDAY(C408,2)+4),1,3)+WEEKDAY(DATE(YEAR(C408-WEEKDAY(C408,2)+4),1,3),2)+5)/7),"00"))</f>
        <v/>
      </c>
    </row>
    <row r="409" ht="18" customHeight="1">
      <c r="A409" s="39" t="n">
        <v>404</v>
      </c>
      <c r="B409" s="33">
        <f>IF(C409="","",IF(P409="À RENSEIGNER","GIC",P409)&amp;"-V"&amp;TEXT(A409,"00000"))</f>
        <v/>
      </c>
      <c r="C409" s="32" t="n"/>
      <c r="D409" s="35" t="n"/>
      <c r="E409" s="36" t="n"/>
      <c r="F409" s="36" t="n"/>
      <c r="G409" s="36" t="n"/>
      <c r="H409" s="36" t="n"/>
      <c r="I409" s="36" t="n"/>
      <c r="J409" s="37" t="n"/>
      <c r="K409" s="32" t="n"/>
      <c r="L409" s="36" t="n"/>
      <c r="M409" s="41" t="n"/>
      <c r="N409" s="41" t="n"/>
      <c r="O409" s="36" t="n"/>
      <c r="P409" s="33">
        <f>IF(C409="","",Commercial_Id)</f>
        <v/>
      </c>
      <c r="Q409" s="39">
        <f>IF(F409="","",IFERROR(VALUE(MID(F409,LEN(F409)-3,3)),""))</f>
        <v/>
      </c>
      <c r="R409" s="33">
        <f>IF(Q409="","",P409&amp;"|"&amp;Q409)</f>
        <v/>
      </c>
      <c r="S409" s="33">
        <f>IF(Q409="","",IF(P409="À RENSEIGNER","GIC",P409)&amp;"-"&amp;TEXT(Q409,"000"))</f>
        <v/>
      </c>
      <c r="T409" s="33">
        <f>IF(R409="","",IFERROR(INDEX(Cl_nom,MATCH(R409,Cl_cle,0)),"(client introuvable)"))</f>
        <v/>
      </c>
      <c r="U409" s="33">
        <f>IF(R409="","",IFERROR(INDEX(Cl_quartier,MATCH(R409,Cl_cle,0))&amp;"",""))</f>
        <v/>
      </c>
      <c r="V409" s="34">
        <f>IF(C409="","",YEAR(C409-WEEKDAY(C409,2)+4)&amp;"-S"&amp;TEXT(INT((C409-DATE(YEAR(C409-WEEKDAY(C409,2)+4),1,3)+WEEKDAY(DATE(YEAR(C409-WEEKDAY(C409,2)+4),1,3),2)+5)/7),"00"))</f>
        <v/>
      </c>
    </row>
    <row r="410" ht="18" customHeight="1">
      <c r="A410" s="39" t="n">
        <v>405</v>
      </c>
      <c r="B410" s="33">
        <f>IF(C410="","",IF(P410="À RENSEIGNER","GIC",P410)&amp;"-V"&amp;TEXT(A410,"00000"))</f>
        <v/>
      </c>
      <c r="C410" s="32" t="n"/>
      <c r="D410" s="35" t="n"/>
      <c r="E410" s="36" t="n"/>
      <c r="F410" s="36" t="n"/>
      <c r="G410" s="36" t="n"/>
      <c r="H410" s="36" t="n"/>
      <c r="I410" s="36" t="n"/>
      <c r="J410" s="37" t="n"/>
      <c r="K410" s="32" t="n"/>
      <c r="L410" s="36" t="n"/>
      <c r="M410" s="41" t="n"/>
      <c r="N410" s="41" t="n"/>
      <c r="O410" s="36" t="n"/>
      <c r="P410" s="33">
        <f>IF(C410="","",Commercial_Id)</f>
        <v/>
      </c>
      <c r="Q410" s="39">
        <f>IF(F410="","",IFERROR(VALUE(MID(F410,LEN(F410)-3,3)),""))</f>
        <v/>
      </c>
      <c r="R410" s="33">
        <f>IF(Q410="","",P410&amp;"|"&amp;Q410)</f>
        <v/>
      </c>
      <c r="S410" s="33">
        <f>IF(Q410="","",IF(P410="À RENSEIGNER","GIC",P410)&amp;"-"&amp;TEXT(Q410,"000"))</f>
        <v/>
      </c>
      <c r="T410" s="33">
        <f>IF(R410="","",IFERROR(INDEX(Cl_nom,MATCH(R410,Cl_cle,0)),"(client introuvable)"))</f>
        <v/>
      </c>
      <c r="U410" s="33">
        <f>IF(R410="","",IFERROR(INDEX(Cl_quartier,MATCH(R410,Cl_cle,0))&amp;"",""))</f>
        <v/>
      </c>
      <c r="V410" s="34">
        <f>IF(C410="","",YEAR(C410-WEEKDAY(C410,2)+4)&amp;"-S"&amp;TEXT(INT((C410-DATE(YEAR(C410-WEEKDAY(C410,2)+4),1,3)+WEEKDAY(DATE(YEAR(C410-WEEKDAY(C410,2)+4),1,3),2)+5)/7),"00"))</f>
        <v/>
      </c>
    </row>
    <row r="411" ht="18" customHeight="1">
      <c r="A411" s="39" t="n">
        <v>406</v>
      </c>
      <c r="B411" s="33">
        <f>IF(C411="","",IF(P411="À RENSEIGNER","GIC",P411)&amp;"-V"&amp;TEXT(A411,"00000"))</f>
        <v/>
      </c>
      <c r="C411" s="32" t="n"/>
      <c r="D411" s="35" t="n"/>
      <c r="E411" s="36" t="n"/>
      <c r="F411" s="36" t="n"/>
      <c r="G411" s="36" t="n"/>
      <c r="H411" s="36" t="n"/>
      <c r="I411" s="36" t="n"/>
      <c r="J411" s="37" t="n"/>
      <c r="K411" s="32" t="n"/>
      <c r="L411" s="36" t="n"/>
      <c r="M411" s="41" t="n"/>
      <c r="N411" s="41" t="n"/>
      <c r="O411" s="36" t="n"/>
      <c r="P411" s="33">
        <f>IF(C411="","",Commercial_Id)</f>
        <v/>
      </c>
      <c r="Q411" s="39">
        <f>IF(F411="","",IFERROR(VALUE(MID(F411,LEN(F411)-3,3)),""))</f>
        <v/>
      </c>
      <c r="R411" s="33">
        <f>IF(Q411="","",P411&amp;"|"&amp;Q411)</f>
        <v/>
      </c>
      <c r="S411" s="33">
        <f>IF(Q411="","",IF(P411="À RENSEIGNER","GIC",P411)&amp;"-"&amp;TEXT(Q411,"000"))</f>
        <v/>
      </c>
      <c r="T411" s="33">
        <f>IF(R411="","",IFERROR(INDEX(Cl_nom,MATCH(R411,Cl_cle,0)),"(client introuvable)"))</f>
        <v/>
      </c>
      <c r="U411" s="33">
        <f>IF(R411="","",IFERROR(INDEX(Cl_quartier,MATCH(R411,Cl_cle,0))&amp;"",""))</f>
        <v/>
      </c>
      <c r="V411" s="34">
        <f>IF(C411="","",YEAR(C411-WEEKDAY(C411,2)+4)&amp;"-S"&amp;TEXT(INT((C411-DATE(YEAR(C411-WEEKDAY(C411,2)+4),1,3)+WEEKDAY(DATE(YEAR(C411-WEEKDAY(C411,2)+4),1,3),2)+5)/7),"00"))</f>
        <v/>
      </c>
    </row>
    <row r="412" ht="18" customHeight="1">
      <c r="A412" s="39" t="n">
        <v>407</v>
      </c>
      <c r="B412" s="33">
        <f>IF(C412="","",IF(P412="À RENSEIGNER","GIC",P412)&amp;"-V"&amp;TEXT(A412,"00000"))</f>
        <v/>
      </c>
      <c r="C412" s="32" t="n"/>
      <c r="D412" s="35" t="n"/>
      <c r="E412" s="36" t="n"/>
      <c r="F412" s="36" t="n"/>
      <c r="G412" s="36" t="n"/>
      <c r="H412" s="36" t="n"/>
      <c r="I412" s="36" t="n"/>
      <c r="J412" s="37" t="n"/>
      <c r="K412" s="32" t="n"/>
      <c r="L412" s="36" t="n"/>
      <c r="M412" s="41" t="n"/>
      <c r="N412" s="41" t="n"/>
      <c r="O412" s="36" t="n"/>
      <c r="P412" s="33">
        <f>IF(C412="","",Commercial_Id)</f>
        <v/>
      </c>
      <c r="Q412" s="39">
        <f>IF(F412="","",IFERROR(VALUE(MID(F412,LEN(F412)-3,3)),""))</f>
        <v/>
      </c>
      <c r="R412" s="33">
        <f>IF(Q412="","",P412&amp;"|"&amp;Q412)</f>
        <v/>
      </c>
      <c r="S412" s="33">
        <f>IF(Q412="","",IF(P412="À RENSEIGNER","GIC",P412)&amp;"-"&amp;TEXT(Q412,"000"))</f>
        <v/>
      </c>
      <c r="T412" s="33">
        <f>IF(R412="","",IFERROR(INDEX(Cl_nom,MATCH(R412,Cl_cle,0)),"(client introuvable)"))</f>
        <v/>
      </c>
      <c r="U412" s="33">
        <f>IF(R412="","",IFERROR(INDEX(Cl_quartier,MATCH(R412,Cl_cle,0))&amp;"",""))</f>
        <v/>
      </c>
      <c r="V412" s="34">
        <f>IF(C412="","",YEAR(C412-WEEKDAY(C412,2)+4)&amp;"-S"&amp;TEXT(INT((C412-DATE(YEAR(C412-WEEKDAY(C412,2)+4),1,3)+WEEKDAY(DATE(YEAR(C412-WEEKDAY(C412,2)+4),1,3),2)+5)/7),"00"))</f>
        <v/>
      </c>
    </row>
    <row r="413" ht="18" customHeight="1">
      <c r="A413" s="39" t="n">
        <v>408</v>
      </c>
      <c r="B413" s="33">
        <f>IF(C413="","",IF(P413="À RENSEIGNER","GIC",P413)&amp;"-V"&amp;TEXT(A413,"00000"))</f>
        <v/>
      </c>
      <c r="C413" s="32" t="n"/>
      <c r="D413" s="35" t="n"/>
      <c r="E413" s="36" t="n"/>
      <c r="F413" s="36" t="n"/>
      <c r="G413" s="36" t="n"/>
      <c r="H413" s="36" t="n"/>
      <c r="I413" s="36" t="n"/>
      <c r="J413" s="37" t="n"/>
      <c r="K413" s="32" t="n"/>
      <c r="L413" s="36" t="n"/>
      <c r="M413" s="41" t="n"/>
      <c r="N413" s="41" t="n"/>
      <c r="O413" s="36" t="n"/>
      <c r="P413" s="33">
        <f>IF(C413="","",Commercial_Id)</f>
        <v/>
      </c>
      <c r="Q413" s="39">
        <f>IF(F413="","",IFERROR(VALUE(MID(F413,LEN(F413)-3,3)),""))</f>
        <v/>
      </c>
      <c r="R413" s="33">
        <f>IF(Q413="","",P413&amp;"|"&amp;Q413)</f>
        <v/>
      </c>
      <c r="S413" s="33">
        <f>IF(Q413="","",IF(P413="À RENSEIGNER","GIC",P413)&amp;"-"&amp;TEXT(Q413,"000"))</f>
        <v/>
      </c>
      <c r="T413" s="33">
        <f>IF(R413="","",IFERROR(INDEX(Cl_nom,MATCH(R413,Cl_cle,0)),"(client introuvable)"))</f>
        <v/>
      </c>
      <c r="U413" s="33">
        <f>IF(R413="","",IFERROR(INDEX(Cl_quartier,MATCH(R413,Cl_cle,0))&amp;"",""))</f>
        <v/>
      </c>
      <c r="V413" s="34">
        <f>IF(C413="","",YEAR(C413-WEEKDAY(C413,2)+4)&amp;"-S"&amp;TEXT(INT((C413-DATE(YEAR(C413-WEEKDAY(C413,2)+4),1,3)+WEEKDAY(DATE(YEAR(C413-WEEKDAY(C413,2)+4),1,3),2)+5)/7),"00"))</f>
        <v/>
      </c>
    </row>
    <row r="414" ht="18" customHeight="1">
      <c r="A414" s="39" t="n">
        <v>409</v>
      </c>
      <c r="B414" s="33">
        <f>IF(C414="","",IF(P414="À RENSEIGNER","GIC",P414)&amp;"-V"&amp;TEXT(A414,"00000"))</f>
        <v/>
      </c>
      <c r="C414" s="32" t="n"/>
      <c r="D414" s="35" t="n"/>
      <c r="E414" s="36" t="n"/>
      <c r="F414" s="36" t="n"/>
      <c r="G414" s="36" t="n"/>
      <c r="H414" s="36" t="n"/>
      <c r="I414" s="36" t="n"/>
      <c r="J414" s="37" t="n"/>
      <c r="K414" s="32" t="n"/>
      <c r="L414" s="36" t="n"/>
      <c r="M414" s="41" t="n"/>
      <c r="N414" s="41" t="n"/>
      <c r="O414" s="36" t="n"/>
      <c r="P414" s="33">
        <f>IF(C414="","",Commercial_Id)</f>
        <v/>
      </c>
      <c r="Q414" s="39">
        <f>IF(F414="","",IFERROR(VALUE(MID(F414,LEN(F414)-3,3)),""))</f>
        <v/>
      </c>
      <c r="R414" s="33">
        <f>IF(Q414="","",P414&amp;"|"&amp;Q414)</f>
        <v/>
      </c>
      <c r="S414" s="33">
        <f>IF(Q414="","",IF(P414="À RENSEIGNER","GIC",P414)&amp;"-"&amp;TEXT(Q414,"000"))</f>
        <v/>
      </c>
      <c r="T414" s="33">
        <f>IF(R414="","",IFERROR(INDEX(Cl_nom,MATCH(R414,Cl_cle,0)),"(client introuvable)"))</f>
        <v/>
      </c>
      <c r="U414" s="33">
        <f>IF(R414="","",IFERROR(INDEX(Cl_quartier,MATCH(R414,Cl_cle,0))&amp;"",""))</f>
        <v/>
      </c>
      <c r="V414" s="34">
        <f>IF(C414="","",YEAR(C414-WEEKDAY(C414,2)+4)&amp;"-S"&amp;TEXT(INT((C414-DATE(YEAR(C414-WEEKDAY(C414,2)+4),1,3)+WEEKDAY(DATE(YEAR(C414-WEEKDAY(C414,2)+4),1,3),2)+5)/7),"00"))</f>
        <v/>
      </c>
    </row>
    <row r="415" ht="18" customHeight="1">
      <c r="A415" s="39" t="n">
        <v>410</v>
      </c>
      <c r="B415" s="33">
        <f>IF(C415="","",IF(P415="À RENSEIGNER","GIC",P415)&amp;"-V"&amp;TEXT(A415,"00000"))</f>
        <v/>
      </c>
      <c r="C415" s="32" t="n"/>
      <c r="D415" s="35" t="n"/>
      <c r="E415" s="36" t="n"/>
      <c r="F415" s="36" t="n"/>
      <c r="G415" s="36" t="n"/>
      <c r="H415" s="36" t="n"/>
      <c r="I415" s="36" t="n"/>
      <c r="J415" s="37" t="n"/>
      <c r="K415" s="32" t="n"/>
      <c r="L415" s="36" t="n"/>
      <c r="M415" s="41" t="n"/>
      <c r="N415" s="41" t="n"/>
      <c r="O415" s="36" t="n"/>
      <c r="P415" s="33">
        <f>IF(C415="","",Commercial_Id)</f>
        <v/>
      </c>
      <c r="Q415" s="39">
        <f>IF(F415="","",IFERROR(VALUE(MID(F415,LEN(F415)-3,3)),""))</f>
        <v/>
      </c>
      <c r="R415" s="33">
        <f>IF(Q415="","",P415&amp;"|"&amp;Q415)</f>
        <v/>
      </c>
      <c r="S415" s="33">
        <f>IF(Q415="","",IF(P415="À RENSEIGNER","GIC",P415)&amp;"-"&amp;TEXT(Q415,"000"))</f>
        <v/>
      </c>
      <c r="T415" s="33">
        <f>IF(R415="","",IFERROR(INDEX(Cl_nom,MATCH(R415,Cl_cle,0)),"(client introuvable)"))</f>
        <v/>
      </c>
      <c r="U415" s="33">
        <f>IF(R415="","",IFERROR(INDEX(Cl_quartier,MATCH(R415,Cl_cle,0))&amp;"",""))</f>
        <v/>
      </c>
      <c r="V415" s="34">
        <f>IF(C415="","",YEAR(C415-WEEKDAY(C415,2)+4)&amp;"-S"&amp;TEXT(INT((C415-DATE(YEAR(C415-WEEKDAY(C415,2)+4),1,3)+WEEKDAY(DATE(YEAR(C415-WEEKDAY(C415,2)+4),1,3),2)+5)/7),"00"))</f>
        <v/>
      </c>
    </row>
    <row r="416" ht="18" customHeight="1">
      <c r="A416" s="39" t="n">
        <v>411</v>
      </c>
      <c r="B416" s="33">
        <f>IF(C416="","",IF(P416="À RENSEIGNER","GIC",P416)&amp;"-V"&amp;TEXT(A416,"00000"))</f>
        <v/>
      </c>
      <c r="C416" s="32" t="n"/>
      <c r="D416" s="35" t="n"/>
      <c r="E416" s="36" t="n"/>
      <c r="F416" s="36" t="n"/>
      <c r="G416" s="36" t="n"/>
      <c r="H416" s="36" t="n"/>
      <c r="I416" s="36" t="n"/>
      <c r="J416" s="37" t="n"/>
      <c r="K416" s="32" t="n"/>
      <c r="L416" s="36" t="n"/>
      <c r="M416" s="41" t="n"/>
      <c r="N416" s="41" t="n"/>
      <c r="O416" s="36" t="n"/>
      <c r="P416" s="33">
        <f>IF(C416="","",Commercial_Id)</f>
        <v/>
      </c>
      <c r="Q416" s="39">
        <f>IF(F416="","",IFERROR(VALUE(MID(F416,LEN(F416)-3,3)),""))</f>
        <v/>
      </c>
      <c r="R416" s="33">
        <f>IF(Q416="","",P416&amp;"|"&amp;Q416)</f>
        <v/>
      </c>
      <c r="S416" s="33">
        <f>IF(Q416="","",IF(P416="À RENSEIGNER","GIC",P416)&amp;"-"&amp;TEXT(Q416,"000"))</f>
        <v/>
      </c>
      <c r="T416" s="33">
        <f>IF(R416="","",IFERROR(INDEX(Cl_nom,MATCH(R416,Cl_cle,0)),"(client introuvable)"))</f>
        <v/>
      </c>
      <c r="U416" s="33">
        <f>IF(R416="","",IFERROR(INDEX(Cl_quartier,MATCH(R416,Cl_cle,0))&amp;"",""))</f>
        <v/>
      </c>
      <c r="V416" s="34">
        <f>IF(C416="","",YEAR(C416-WEEKDAY(C416,2)+4)&amp;"-S"&amp;TEXT(INT((C416-DATE(YEAR(C416-WEEKDAY(C416,2)+4),1,3)+WEEKDAY(DATE(YEAR(C416-WEEKDAY(C416,2)+4),1,3),2)+5)/7),"00"))</f>
        <v/>
      </c>
    </row>
    <row r="417" ht="18" customHeight="1">
      <c r="A417" s="39" t="n">
        <v>412</v>
      </c>
      <c r="B417" s="33">
        <f>IF(C417="","",IF(P417="À RENSEIGNER","GIC",P417)&amp;"-V"&amp;TEXT(A417,"00000"))</f>
        <v/>
      </c>
      <c r="C417" s="32" t="n"/>
      <c r="D417" s="35" t="n"/>
      <c r="E417" s="36" t="n"/>
      <c r="F417" s="36" t="n"/>
      <c r="G417" s="36" t="n"/>
      <c r="H417" s="36" t="n"/>
      <c r="I417" s="36" t="n"/>
      <c r="J417" s="37" t="n"/>
      <c r="K417" s="32" t="n"/>
      <c r="L417" s="36" t="n"/>
      <c r="M417" s="41" t="n"/>
      <c r="N417" s="41" t="n"/>
      <c r="O417" s="36" t="n"/>
      <c r="P417" s="33">
        <f>IF(C417="","",Commercial_Id)</f>
        <v/>
      </c>
      <c r="Q417" s="39">
        <f>IF(F417="","",IFERROR(VALUE(MID(F417,LEN(F417)-3,3)),""))</f>
        <v/>
      </c>
      <c r="R417" s="33">
        <f>IF(Q417="","",P417&amp;"|"&amp;Q417)</f>
        <v/>
      </c>
      <c r="S417" s="33">
        <f>IF(Q417="","",IF(P417="À RENSEIGNER","GIC",P417)&amp;"-"&amp;TEXT(Q417,"000"))</f>
        <v/>
      </c>
      <c r="T417" s="33">
        <f>IF(R417="","",IFERROR(INDEX(Cl_nom,MATCH(R417,Cl_cle,0)),"(client introuvable)"))</f>
        <v/>
      </c>
      <c r="U417" s="33">
        <f>IF(R417="","",IFERROR(INDEX(Cl_quartier,MATCH(R417,Cl_cle,0))&amp;"",""))</f>
        <v/>
      </c>
      <c r="V417" s="34">
        <f>IF(C417="","",YEAR(C417-WEEKDAY(C417,2)+4)&amp;"-S"&amp;TEXT(INT((C417-DATE(YEAR(C417-WEEKDAY(C417,2)+4),1,3)+WEEKDAY(DATE(YEAR(C417-WEEKDAY(C417,2)+4),1,3),2)+5)/7),"00"))</f>
        <v/>
      </c>
    </row>
    <row r="418" ht="18" customHeight="1">
      <c r="A418" s="39" t="n">
        <v>413</v>
      </c>
      <c r="B418" s="33">
        <f>IF(C418="","",IF(P418="À RENSEIGNER","GIC",P418)&amp;"-V"&amp;TEXT(A418,"00000"))</f>
        <v/>
      </c>
      <c r="C418" s="32" t="n"/>
      <c r="D418" s="35" t="n"/>
      <c r="E418" s="36" t="n"/>
      <c r="F418" s="36" t="n"/>
      <c r="G418" s="36" t="n"/>
      <c r="H418" s="36" t="n"/>
      <c r="I418" s="36" t="n"/>
      <c r="J418" s="37" t="n"/>
      <c r="K418" s="32" t="n"/>
      <c r="L418" s="36" t="n"/>
      <c r="M418" s="41" t="n"/>
      <c r="N418" s="41" t="n"/>
      <c r="O418" s="36" t="n"/>
      <c r="P418" s="33">
        <f>IF(C418="","",Commercial_Id)</f>
        <v/>
      </c>
      <c r="Q418" s="39">
        <f>IF(F418="","",IFERROR(VALUE(MID(F418,LEN(F418)-3,3)),""))</f>
        <v/>
      </c>
      <c r="R418" s="33">
        <f>IF(Q418="","",P418&amp;"|"&amp;Q418)</f>
        <v/>
      </c>
      <c r="S418" s="33">
        <f>IF(Q418="","",IF(P418="À RENSEIGNER","GIC",P418)&amp;"-"&amp;TEXT(Q418,"000"))</f>
        <v/>
      </c>
      <c r="T418" s="33">
        <f>IF(R418="","",IFERROR(INDEX(Cl_nom,MATCH(R418,Cl_cle,0)),"(client introuvable)"))</f>
        <v/>
      </c>
      <c r="U418" s="33">
        <f>IF(R418="","",IFERROR(INDEX(Cl_quartier,MATCH(R418,Cl_cle,0))&amp;"",""))</f>
        <v/>
      </c>
      <c r="V418" s="34">
        <f>IF(C418="","",YEAR(C418-WEEKDAY(C418,2)+4)&amp;"-S"&amp;TEXT(INT((C418-DATE(YEAR(C418-WEEKDAY(C418,2)+4),1,3)+WEEKDAY(DATE(YEAR(C418-WEEKDAY(C418,2)+4),1,3),2)+5)/7),"00"))</f>
        <v/>
      </c>
    </row>
    <row r="419" ht="18" customHeight="1">
      <c r="A419" s="39" t="n">
        <v>414</v>
      </c>
      <c r="B419" s="33">
        <f>IF(C419="","",IF(P419="À RENSEIGNER","GIC",P419)&amp;"-V"&amp;TEXT(A419,"00000"))</f>
        <v/>
      </c>
      <c r="C419" s="32" t="n"/>
      <c r="D419" s="35" t="n"/>
      <c r="E419" s="36" t="n"/>
      <c r="F419" s="36" t="n"/>
      <c r="G419" s="36" t="n"/>
      <c r="H419" s="36" t="n"/>
      <c r="I419" s="36" t="n"/>
      <c r="J419" s="37" t="n"/>
      <c r="K419" s="32" t="n"/>
      <c r="L419" s="36" t="n"/>
      <c r="M419" s="41" t="n"/>
      <c r="N419" s="41" t="n"/>
      <c r="O419" s="36" t="n"/>
      <c r="P419" s="33">
        <f>IF(C419="","",Commercial_Id)</f>
        <v/>
      </c>
      <c r="Q419" s="39">
        <f>IF(F419="","",IFERROR(VALUE(MID(F419,LEN(F419)-3,3)),""))</f>
        <v/>
      </c>
      <c r="R419" s="33">
        <f>IF(Q419="","",P419&amp;"|"&amp;Q419)</f>
        <v/>
      </c>
      <c r="S419" s="33">
        <f>IF(Q419="","",IF(P419="À RENSEIGNER","GIC",P419)&amp;"-"&amp;TEXT(Q419,"000"))</f>
        <v/>
      </c>
      <c r="T419" s="33">
        <f>IF(R419="","",IFERROR(INDEX(Cl_nom,MATCH(R419,Cl_cle,0)),"(client introuvable)"))</f>
        <v/>
      </c>
      <c r="U419" s="33">
        <f>IF(R419="","",IFERROR(INDEX(Cl_quartier,MATCH(R419,Cl_cle,0))&amp;"",""))</f>
        <v/>
      </c>
      <c r="V419" s="34">
        <f>IF(C419="","",YEAR(C419-WEEKDAY(C419,2)+4)&amp;"-S"&amp;TEXT(INT((C419-DATE(YEAR(C419-WEEKDAY(C419,2)+4),1,3)+WEEKDAY(DATE(YEAR(C419-WEEKDAY(C419,2)+4),1,3),2)+5)/7),"00"))</f>
        <v/>
      </c>
    </row>
    <row r="420" ht="18" customHeight="1">
      <c r="A420" s="39" t="n">
        <v>415</v>
      </c>
      <c r="B420" s="33">
        <f>IF(C420="","",IF(P420="À RENSEIGNER","GIC",P420)&amp;"-V"&amp;TEXT(A420,"00000"))</f>
        <v/>
      </c>
      <c r="C420" s="32" t="n"/>
      <c r="D420" s="35" t="n"/>
      <c r="E420" s="36" t="n"/>
      <c r="F420" s="36" t="n"/>
      <c r="G420" s="36" t="n"/>
      <c r="H420" s="36" t="n"/>
      <c r="I420" s="36" t="n"/>
      <c r="J420" s="37" t="n"/>
      <c r="K420" s="32" t="n"/>
      <c r="L420" s="36" t="n"/>
      <c r="M420" s="41" t="n"/>
      <c r="N420" s="41" t="n"/>
      <c r="O420" s="36" t="n"/>
      <c r="P420" s="33">
        <f>IF(C420="","",Commercial_Id)</f>
        <v/>
      </c>
      <c r="Q420" s="39">
        <f>IF(F420="","",IFERROR(VALUE(MID(F420,LEN(F420)-3,3)),""))</f>
        <v/>
      </c>
      <c r="R420" s="33">
        <f>IF(Q420="","",P420&amp;"|"&amp;Q420)</f>
        <v/>
      </c>
      <c r="S420" s="33">
        <f>IF(Q420="","",IF(P420="À RENSEIGNER","GIC",P420)&amp;"-"&amp;TEXT(Q420,"000"))</f>
        <v/>
      </c>
      <c r="T420" s="33">
        <f>IF(R420="","",IFERROR(INDEX(Cl_nom,MATCH(R420,Cl_cle,0)),"(client introuvable)"))</f>
        <v/>
      </c>
      <c r="U420" s="33">
        <f>IF(R420="","",IFERROR(INDEX(Cl_quartier,MATCH(R420,Cl_cle,0))&amp;"",""))</f>
        <v/>
      </c>
      <c r="V420" s="34">
        <f>IF(C420="","",YEAR(C420-WEEKDAY(C420,2)+4)&amp;"-S"&amp;TEXT(INT((C420-DATE(YEAR(C420-WEEKDAY(C420,2)+4),1,3)+WEEKDAY(DATE(YEAR(C420-WEEKDAY(C420,2)+4),1,3),2)+5)/7),"00"))</f>
        <v/>
      </c>
    </row>
    <row r="421" ht="18" customHeight="1">
      <c r="A421" s="39" t="n">
        <v>416</v>
      </c>
      <c r="B421" s="33">
        <f>IF(C421="","",IF(P421="À RENSEIGNER","GIC",P421)&amp;"-V"&amp;TEXT(A421,"00000"))</f>
        <v/>
      </c>
      <c r="C421" s="32" t="n"/>
      <c r="D421" s="35" t="n"/>
      <c r="E421" s="36" t="n"/>
      <c r="F421" s="36" t="n"/>
      <c r="G421" s="36" t="n"/>
      <c r="H421" s="36" t="n"/>
      <c r="I421" s="36" t="n"/>
      <c r="J421" s="37" t="n"/>
      <c r="K421" s="32" t="n"/>
      <c r="L421" s="36" t="n"/>
      <c r="M421" s="41" t="n"/>
      <c r="N421" s="41" t="n"/>
      <c r="O421" s="36" t="n"/>
      <c r="P421" s="33">
        <f>IF(C421="","",Commercial_Id)</f>
        <v/>
      </c>
      <c r="Q421" s="39">
        <f>IF(F421="","",IFERROR(VALUE(MID(F421,LEN(F421)-3,3)),""))</f>
        <v/>
      </c>
      <c r="R421" s="33">
        <f>IF(Q421="","",P421&amp;"|"&amp;Q421)</f>
        <v/>
      </c>
      <c r="S421" s="33">
        <f>IF(Q421="","",IF(P421="À RENSEIGNER","GIC",P421)&amp;"-"&amp;TEXT(Q421,"000"))</f>
        <v/>
      </c>
      <c r="T421" s="33">
        <f>IF(R421="","",IFERROR(INDEX(Cl_nom,MATCH(R421,Cl_cle,0)),"(client introuvable)"))</f>
        <v/>
      </c>
      <c r="U421" s="33">
        <f>IF(R421="","",IFERROR(INDEX(Cl_quartier,MATCH(R421,Cl_cle,0))&amp;"",""))</f>
        <v/>
      </c>
      <c r="V421" s="34">
        <f>IF(C421="","",YEAR(C421-WEEKDAY(C421,2)+4)&amp;"-S"&amp;TEXT(INT((C421-DATE(YEAR(C421-WEEKDAY(C421,2)+4),1,3)+WEEKDAY(DATE(YEAR(C421-WEEKDAY(C421,2)+4),1,3),2)+5)/7),"00"))</f>
        <v/>
      </c>
    </row>
    <row r="422" ht="18" customHeight="1">
      <c r="A422" s="39" t="n">
        <v>417</v>
      </c>
      <c r="B422" s="33">
        <f>IF(C422="","",IF(P422="À RENSEIGNER","GIC",P422)&amp;"-V"&amp;TEXT(A422,"00000"))</f>
        <v/>
      </c>
      <c r="C422" s="32" t="n"/>
      <c r="D422" s="35" t="n"/>
      <c r="E422" s="36" t="n"/>
      <c r="F422" s="36" t="n"/>
      <c r="G422" s="36" t="n"/>
      <c r="H422" s="36" t="n"/>
      <c r="I422" s="36" t="n"/>
      <c r="J422" s="37" t="n"/>
      <c r="K422" s="32" t="n"/>
      <c r="L422" s="36" t="n"/>
      <c r="M422" s="41" t="n"/>
      <c r="N422" s="41" t="n"/>
      <c r="O422" s="36" t="n"/>
      <c r="P422" s="33">
        <f>IF(C422="","",Commercial_Id)</f>
        <v/>
      </c>
      <c r="Q422" s="39">
        <f>IF(F422="","",IFERROR(VALUE(MID(F422,LEN(F422)-3,3)),""))</f>
        <v/>
      </c>
      <c r="R422" s="33">
        <f>IF(Q422="","",P422&amp;"|"&amp;Q422)</f>
        <v/>
      </c>
      <c r="S422" s="33">
        <f>IF(Q422="","",IF(P422="À RENSEIGNER","GIC",P422)&amp;"-"&amp;TEXT(Q422,"000"))</f>
        <v/>
      </c>
      <c r="T422" s="33">
        <f>IF(R422="","",IFERROR(INDEX(Cl_nom,MATCH(R422,Cl_cle,0)),"(client introuvable)"))</f>
        <v/>
      </c>
      <c r="U422" s="33">
        <f>IF(R422="","",IFERROR(INDEX(Cl_quartier,MATCH(R422,Cl_cle,0))&amp;"",""))</f>
        <v/>
      </c>
      <c r="V422" s="34">
        <f>IF(C422="","",YEAR(C422-WEEKDAY(C422,2)+4)&amp;"-S"&amp;TEXT(INT((C422-DATE(YEAR(C422-WEEKDAY(C422,2)+4),1,3)+WEEKDAY(DATE(YEAR(C422-WEEKDAY(C422,2)+4),1,3),2)+5)/7),"00"))</f>
        <v/>
      </c>
    </row>
    <row r="423" ht="18" customHeight="1">
      <c r="A423" s="39" t="n">
        <v>418</v>
      </c>
      <c r="B423" s="33">
        <f>IF(C423="","",IF(P423="À RENSEIGNER","GIC",P423)&amp;"-V"&amp;TEXT(A423,"00000"))</f>
        <v/>
      </c>
      <c r="C423" s="32" t="n"/>
      <c r="D423" s="35" t="n"/>
      <c r="E423" s="36" t="n"/>
      <c r="F423" s="36" t="n"/>
      <c r="G423" s="36" t="n"/>
      <c r="H423" s="36" t="n"/>
      <c r="I423" s="36" t="n"/>
      <c r="J423" s="37" t="n"/>
      <c r="K423" s="32" t="n"/>
      <c r="L423" s="36" t="n"/>
      <c r="M423" s="41" t="n"/>
      <c r="N423" s="41" t="n"/>
      <c r="O423" s="36" t="n"/>
      <c r="P423" s="33">
        <f>IF(C423="","",Commercial_Id)</f>
        <v/>
      </c>
      <c r="Q423" s="39">
        <f>IF(F423="","",IFERROR(VALUE(MID(F423,LEN(F423)-3,3)),""))</f>
        <v/>
      </c>
      <c r="R423" s="33">
        <f>IF(Q423="","",P423&amp;"|"&amp;Q423)</f>
        <v/>
      </c>
      <c r="S423" s="33">
        <f>IF(Q423="","",IF(P423="À RENSEIGNER","GIC",P423)&amp;"-"&amp;TEXT(Q423,"000"))</f>
        <v/>
      </c>
      <c r="T423" s="33">
        <f>IF(R423="","",IFERROR(INDEX(Cl_nom,MATCH(R423,Cl_cle,0)),"(client introuvable)"))</f>
        <v/>
      </c>
      <c r="U423" s="33">
        <f>IF(R423="","",IFERROR(INDEX(Cl_quartier,MATCH(R423,Cl_cle,0))&amp;"",""))</f>
        <v/>
      </c>
      <c r="V423" s="34">
        <f>IF(C423="","",YEAR(C423-WEEKDAY(C423,2)+4)&amp;"-S"&amp;TEXT(INT((C423-DATE(YEAR(C423-WEEKDAY(C423,2)+4),1,3)+WEEKDAY(DATE(YEAR(C423-WEEKDAY(C423,2)+4),1,3),2)+5)/7),"00"))</f>
        <v/>
      </c>
    </row>
    <row r="424" ht="18" customHeight="1">
      <c r="A424" s="39" t="n">
        <v>419</v>
      </c>
      <c r="B424" s="33">
        <f>IF(C424="","",IF(P424="À RENSEIGNER","GIC",P424)&amp;"-V"&amp;TEXT(A424,"00000"))</f>
        <v/>
      </c>
      <c r="C424" s="32" t="n"/>
      <c r="D424" s="35" t="n"/>
      <c r="E424" s="36" t="n"/>
      <c r="F424" s="36" t="n"/>
      <c r="G424" s="36" t="n"/>
      <c r="H424" s="36" t="n"/>
      <c r="I424" s="36" t="n"/>
      <c r="J424" s="37" t="n"/>
      <c r="K424" s="32" t="n"/>
      <c r="L424" s="36" t="n"/>
      <c r="M424" s="41" t="n"/>
      <c r="N424" s="41" t="n"/>
      <c r="O424" s="36" t="n"/>
      <c r="P424" s="33">
        <f>IF(C424="","",Commercial_Id)</f>
        <v/>
      </c>
      <c r="Q424" s="39">
        <f>IF(F424="","",IFERROR(VALUE(MID(F424,LEN(F424)-3,3)),""))</f>
        <v/>
      </c>
      <c r="R424" s="33">
        <f>IF(Q424="","",P424&amp;"|"&amp;Q424)</f>
        <v/>
      </c>
      <c r="S424" s="33">
        <f>IF(Q424="","",IF(P424="À RENSEIGNER","GIC",P424)&amp;"-"&amp;TEXT(Q424,"000"))</f>
        <v/>
      </c>
      <c r="T424" s="33">
        <f>IF(R424="","",IFERROR(INDEX(Cl_nom,MATCH(R424,Cl_cle,0)),"(client introuvable)"))</f>
        <v/>
      </c>
      <c r="U424" s="33">
        <f>IF(R424="","",IFERROR(INDEX(Cl_quartier,MATCH(R424,Cl_cle,0))&amp;"",""))</f>
        <v/>
      </c>
      <c r="V424" s="34">
        <f>IF(C424="","",YEAR(C424-WEEKDAY(C424,2)+4)&amp;"-S"&amp;TEXT(INT((C424-DATE(YEAR(C424-WEEKDAY(C424,2)+4),1,3)+WEEKDAY(DATE(YEAR(C424-WEEKDAY(C424,2)+4),1,3),2)+5)/7),"00"))</f>
        <v/>
      </c>
    </row>
    <row r="425" ht="18" customHeight="1">
      <c r="A425" s="39" t="n">
        <v>420</v>
      </c>
      <c r="B425" s="33">
        <f>IF(C425="","",IF(P425="À RENSEIGNER","GIC",P425)&amp;"-V"&amp;TEXT(A425,"00000"))</f>
        <v/>
      </c>
      <c r="C425" s="32" t="n"/>
      <c r="D425" s="35" t="n"/>
      <c r="E425" s="36" t="n"/>
      <c r="F425" s="36" t="n"/>
      <c r="G425" s="36" t="n"/>
      <c r="H425" s="36" t="n"/>
      <c r="I425" s="36" t="n"/>
      <c r="J425" s="37" t="n"/>
      <c r="K425" s="32" t="n"/>
      <c r="L425" s="36" t="n"/>
      <c r="M425" s="41" t="n"/>
      <c r="N425" s="41" t="n"/>
      <c r="O425" s="36" t="n"/>
      <c r="P425" s="33">
        <f>IF(C425="","",Commercial_Id)</f>
        <v/>
      </c>
      <c r="Q425" s="39">
        <f>IF(F425="","",IFERROR(VALUE(MID(F425,LEN(F425)-3,3)),""))</f>
        <v/>
      </c>
      <c r="R425" s="33">
        <f>IF(Q425="","",P425&amp;"|"&amp;Q425)</f>
        <v/>
      </c>
      <c r="S425" s="33">
        <f>IF(Q425="","",IF(P425="À RENSEIGNER","GIC",P425)&amp;"-"&amp;TEXT(Q425,"000"))</f>
        <v/>
      </c>
      <c r="T425" s="33">
        <f>IF(R425="","",IFERROR(INDEX(Cl_nom,MATCH(R425,Cl_cle,0)),"(client introuvable)"))</f>
        <v/>
      </c>
      <c r="U425" s="33">
        <f>IF(R425="","",IFERROR(INDEX(Cl_quartier,MATCH(R425,Cl_cle,0))&amp;"",""))</f>
        <v/>
      </c>
      <c r="V425" s="34">
        <f>IF(C425="","",YEAR(C425-WEEKDAY(C425,2)+4)&amp;"-S"&amp;TEXT(INT((C425-DATE(YEAR(C425-WEEKDAY(C425,2)+4),1,3)+WEEKDAY(DATE(YEAR(C425-WEEKDAY(C425,2)+4),1,3),2)+5)/7),"00"))</f>
        <v/>
      </c>
    </row>
    <row r="426" ht="18" customHeight="1">
      <c r="A426" s="39" t="n">
        <v>421</v>
      </c>
      <c r="B426" s="33">
        <f>IF(C426="","",IF(P426="À RENSEIGNER","GIC",P426)&amp;"-V"&amp;TEXT(A426,"00000"))</f>
        <v/>
      </c>
      <c r="C426" s="32" t="n"/>
      <c r="D426" s="35" t="n"/>
      <c r="E426" s="36" t="n"/>
      <c r="F426" s="36" t="n"/>
      <c r="G426" s="36" t="n"/>
      <c r="H426" s="36" t="n"/>
      <c r="I426" s="36" t="n"/>
      <c r="J426" s="37" t="n"/>
      <c r="K426" s="32" t="n"/>
      <c r="L426" s="36" t="n"/>
      <c r="M426" s="41" t="n"/>
      <c r="N426" s="41" t="n"/>
      <c r="O426" s="36" t="n"/>
      <c r="P426" s="33">
        <f>IF(C426="","",Commercial_Id)</f>
        <v/>
      </c>
      <c r="Q426" s="39">
        <f>IF(F426="","",IFERROR(VALUE(MID(F426,LEN(F426)-3,3)),""))</f>
        <v/>
      </c>
      <c r="R426" s="33">
        <f>IF(Q426="","",P426&amp;"|"&amp;Q426)</f>
        <v/>
      </c>
      <c r="S426" s="33">
        <f>IF(Q426="","",IF(P426="À RENSEIGNER","GIC",P426)&amp;"-"&amp;TEXT(Q426,"000"))</f>
        <v/>
      </c>
      <c r="T426" s="33">
        <f>IF(R426="","",IFERROR(INDEX(Cl_nom,MATCH(R426,Cl_cle,0)),"(client introuvable)"))</f>
        <v/>
      </c>
      <c r="U426" s="33">
        <f>IF(R426="","",IFERROR(INDEX(Cl_quartier,MATCH(R426,Cl_cle,0))&amp;"",""))</f>
        <v/>
      </c>
      <c r="V426" s="34">
        <f>IF(C426="","",YEAR(C426-WEEKDAY(C426,2)+4)&amp;"-S"&amp;TEXT(INT((C426-DATE(YEAR(C426-WEEKDAY(C426,2)+4),1,3)+WEEKDAY(DATE(YEAR(C426-WEEKDAY(C426,2)+4),1,3),2)+5)/7),"00"))</f>
        <v/>
      </c>
    </row>
    <row r="427" ht="18" customHeight="1">
      <c r="A427" s="39" t="n">
        <v>422</v>
      </c>
      <c r="B427" s="33">
        <f>IF(C427="","",IF(P427="À RENSEIGNER","GIC",P427)&amp;"-V"&amp;TEXT(A427,"00000"))</f>
        <v/>
      </c>
      <c r="C427" s="32" t="n"/>
      <c r="D427" s="35" t="n"/>
      <c r="E427" s="36" t="n"/>
      <c r="F427" s="36" t="n"/>
      <c r="G427" s="36" t="n"/>
      <c r="H427" s="36" t="n"/>
      <c r="I427" s="36" t="n"/>
      <c r="J427" s="37" t="n"/>
      <c r="K427" s="32" t="n"/>
      <c r="L427" s="36" t="n"/>
      <c r="M427" s="41" t="n"/>
      <c r="N427" s="41" t="n"/>
      <c r="O427" s="36" t="n"/>
      <c r="P427" s="33">
        <f>IF(C427="","",Commercial_Id)</f>
        <v/>
      </c>
      <c r="Q427" s="39">
        <f>IF(F427="","",IFERROR(VALUE(MID(F427,LEN(F427)-3,3)),""))</f>
        <v/>
      </c>
      <c r="R427" s="33">
        <f>IF(Q427="","",P427&amp;"|"&amp;Q427)</f>
        <v/>
      </c>
      <c r="S427" s="33">
        <f>IF(Q427="","",IF(P427="À RENSEIGNER","GIC",P427)&amp;"-"&amp;TEXT(Q427,"000"))</f>
        <v/>
      </c>
      <c r="T427" s="33">
        <f>IF(R427="","",IFERROR(INDEX(Cl_nom,MATCH(R427,Cl_cle,0)),"(client introuvable)"))</f>
        <v/>
      </c>
      <c r="U427" s="33">
        <f>IF(R427="","",IFERROR(INDEX(Cl_quartier,MATCH(R427,Cl_cle,0))&amp;"",""))</f>
        <v/>
      </c>
      <c r="V427" s="34">
        <f>IF(C427="","",YEAR(C427-WEEKDAY(C427,2)+4)&amp;"-S"&amp;TEXT(INT((C427-DATE(YEAR(C427-WEEKDAY(C427,2)+4),1,3)+WEEKDAY(DATE(YEAR(C427-WEEKDAY(C427,2)+4),1,3),2)+5)/7),"00"))</f>
        <v/>
      </c>
    </row>
    <row r="428" ht="18" customHeight="1">
      <c r="A428" s="39" t="n">
        <v>423</v>
      </c>
      <c r="B428" s="33">
        <f>IF(C428="","",IF(P428="À RENSEIGNER","GIC",P428)&amp;"-V"&amp;TEXT(A428,"00000"))</f>
        <v/>
      </c>
      <c r="C428" s="32" t="n"/>
      <c r="D428" s="35" t="n"/>
      <c r="E428" s="36" t="n"/>
      <c r="F428" s="36" t="n"/>
      <c r="G428" s="36" t="n"/>
      <c r="H428" s="36" t="n"/>
      <c r="I428" s="36" t="n"/>
      <c r="J428" s="37" t="n"/>
      <c r="K428" s="32" t="n"/>
      <c r="L428" s="36" t="n"/>
      <c r="M428" s="41" t="n"/>
      <c r="N428" s="41" t="n"/>
      <c r="O428" s="36" t="n"/>
      <c r="P428" s="33">
        <f>IF(C428="","",Commercial_Id)</f>
        <v/>
      </c>
      <c r="Q428" s="39">
        <f>IF(F428="","",IFERROR(VALUE(MID(F428,LEN(F428)-3,3)),""))</f>
        <v/>
      </c>
      <c r="R428" s="33">
        <f>IF(Q428="","",P428&amp;"|"&amp;Q428)</f>
        <v/>
      </c>
      <c r="S428" s="33">
        <f>IF(Q428="","",IF(P428="À RENSEIGNER","GIC",P428)&amp;"-"&amp;TEXT(Q428,"000"))</f>
        <v/>
      </c>
      <c r="T428" s="33">
        <f>IF(R428="","",IFERROR(INDEX(Cl_nom,MATCH(R428,Cl_cle,0)),"(client introuvable)"))</f>
        <v/>
      </c>
      <c r="U428" s="33">
        <f>IF(R428="","",IFERROR(INDEX(Cl_quartier,MATCH(R428,Cl_cle,0))&amp;"",""))</f>
        <v/>
      </c>
      <c r="V428" s="34">
        <f>IF(C428="","",YEAR(C428-WEEKDAY(C428,2)+4)&amp;"-S"&amp;TEXT(INT((C428-DATE(YEAR(C428-WEEKDAY(C428,2)+4),1,3)+WEEKDAY(DATE(YEAR(C428-WEEKDAY(C428,2)+4),1,3),2)+5)/7),"00"))</f>
        <v/>
      </c>
    </row>
    <row r="429" ht="18" customHeight="1">
      <c r="A429" s="39" t="n">
        <v>424</v>
      </c>
      <c r="B429" s="33">
        <f>IF(C429="","",IF(P429="À RENSEIGNER","GIC",P429)&amp;"-V"&amp;TEXT(A429,"00000"))</f>
        <v/>
      </c>
      <c r="C429" s="32" t="n"/>
      <c r="D429" s="35" t="n"/>
      <c r="E429" s="36" t="n"/>
      <c r="F429" s="36" t="n"/>
      <c r="G429" s="36" t="n"/>
      <c r="H429" s="36" t="n"/>
      <c r="I429" s="36" t="n"/>
      <c r="J429" s="37" t="n"/>
      <c r="K429" s="32" t="n"/>
      <c r="L429" s="36" t="n"/>
      <c r="M429" s="41" t="n"/>
      <c r="N429" s="41" t="n"/>
      <c r="O429" s="36" t="n"/>
      <c r="P429" s="33">
        <f>IF(C429="","",Commercial_Id)</f>
        <v/>
      </c>
      <c r="Q429" s="39">
        <f>IF(F429="","",IFERROR(VALUE(MID(F429,LEN(F429)-3,3)),""))</f>
        <v/>
      </c>
      <c r="R429" s="33">
        <f>IF(Q429="","",P429&amp;"|"&amp;Q429)</f>
        <v/>
      </c>
      <c r="S429" s="33">
        <f>IF(Q429="","",IF(P429="À RENSEIGNER","GIC",P429)&amp;"-"&amp;TEXT(Q429,"000"))</f>
        <v/>
      </c>
      <c r="T429" s="33">
        <f>IF(R429="","",IFERROR(INDEX(Cl_nom,MATCH(R429,Cl_cle,0)),"(client introuvable)"))</f>
        <v/>
      </c>
      <c r="U429" s="33">
        <f>IF(R429="","",IFERROR(INDEX(Cl_quartier,MATCH(R429,Cl_cle,0))&amp;"",""))</f>
        <v/>
      </c>
      <c r="V429" s="34">
        <f>IF(C429="","",YEAR(C429-WEEKDAY(C429,2)+4)&amp;"-S"&amp;TEXT(INT((C429-DATE(YEAR(C429-WEEKDAY(C429,2)+4),1,3)+WEEKDAY(DATE(YEAR(C429-WEEKDAY(C429,2)+4),1,3),2)+5)/7),"00"))</f>
        <v/>
      </c>
    </row>
    <row r="430" ht="18" customHeight="1">
      <c r="A430" s="39" t="n">
        <v>425</v>
      </c>
      <c r="B430" s="33">
        <f>IF(C430="","",IF(P430="À RENSEIGNER","GIC",P430)&amp;"-V"&amp;TEXT(A430,"00000"))</f>
        <v/>
      </c>
      <c r="C430" s="32" t="n"/>
      <c r="D430" s="35" t="n"/>
      <c r="E430" s="36" t="n"/>
      <c r="F430" s="36" t="n"/>
      <c r="G430" s="36" t="n"/>
      <c r="H430" s="36" t="n"/>
      <c r="I430" s="36" t="n"/>
      <c r="J430" s="37" t="n"/>
      <c r="K430" s="32" t="n"/>
      <c r="L430" s="36" t="n"/>
      <c r="M430" s="41" t="n"/>
      <c r="N430" s="41" t="n"/>
      <c r="O430" s="36" t="n"/>
      <c r="P430" s="33">
        <f>IF(C430="","",Commercial_Id)</f>
        <v/>
      </c>
      <c r="Q430" s="39">
        <f>IF(F430="","",IFERROR(VALUE(MID(F430,LEN(F430)-3,3)),""))</f>
        <v/>
      </c>
      <c r="R430" s="33">
        <f>IF(Q430="","",P430&amp;"|"&amp;Q430)</f>
        <v/>
      </c>
      <c r="S430" s="33">
        <f>IF(Q430="","",IF(P430="À RENSEIGNER","GIC",P430)&amp;"-"&amp;TEXT(Q430,"000"))</f>
        <v/>
      </c>
      <c r="T430" s="33">
        <f>IF(R430="","",IFERROR(INDEX(Cl_nom,MATCH(R430,Cl_cle,0)),"(client introuvable)"))</f>
        <v/>
      </c>
      <c r="U430" s="33">
        <f>IF(R430="","",IFERROR(INDEX(Cl_quartier,MATCH(R430,Cl_cle,0))&amp;"",""))</f>
        <v/>
      </c>
      <c r="V430" s="34">
        <f>IF(C430="","",YEAR(C430-WEEKDAY(C430,2)+4)&amp;"-S"&amp;TEXT(INT((C430-DATE(YEAR(C430-WEEKDAY(C430,2)+4),1,3)+WEEKDAY(DATE(YEAR(C430-WEEKDAY(C430,2)+4),1,3),2)+5)/7),"00"))</f>
        <v/>
      </c>
    </row>
    <row r="431" ht="18" customHeight="1">
      <c r="A431" s="39" t="n">
        <v>426</v>
      </c>
      <c r="B431" s="33">
        <f>IF(C431="","",IF(P431="À RENSEIGNER","GIC",P431)&amp;"-V"&amp;TEXT(A431,"00000"))</f>
        <v/>
      </c>
      <c r="C431" s="32" t="n"/>
      <c r="D431" s="35" t="n"/>
      <c r="E431" s="36" t="n"/>
      <c r="F431" s="36" t="n"/>
      <c r="G431" s="36" t="n"/>
      <c r="H431" s="36" t="n"/>
      <c r="I431" s="36" t="n"/>
      <c r="J431" s="37" t="n"/>
      <c r="K431" s="32" t="n"/>
      <c r="L431" s="36" t="n"/>
      <c r="M431" s="41" t="n"/>
      <c r="N431" s="41" t="n"/>
      <c r="O431" s="36" t="n"/>
      <c r="P431" s="33">
        <f>IF(C431="","",Commercial_Id)</f>
        <v/>
      </c>
      <c r="Q431" s="39">
        <f>IF(F431="","",IFERROR(VALUE(MID(F431,LEN(F431)-3,3)),""))</f>
        <v/>
      </c>
      <c r="R431" s="33">
        <f>IF(Q431="","",P431&amp;"|"&amp;Q431)</f>
        <v/>
      </c>
      <c r="S431" s="33">
        <f>IF(Q431="","",IF(P431="À RENSEIGNER","GIC",P431)&amp;"-"&amp;TEXT(Q431,"000"))</f>
        <v/>
      </c>
      <c r="T431" s="33">
        <f>IF(R431="","",IFERROR(INDEX(Cl_nom,MATCH(R431,Cl_cle,0)),"(client introuvable)"))</f>
        <v/>
      </c>
      <c r="U431" s="33">
        <f>IF(R431="","",IFERROR(INDEX(Cl_quartier,MATCH(R431,Cl_cle,0))&amp;"",""))</f>
        <v/>
      </c>
      <c r="V431" s="34">
        <f>IF(C431="","",YEAR(C431-WEEKDAY(C431,2)+4)&amp;"-S"&amp;TEXT(INT((C431-DATE(YEAR(C431-WEEKDAY(C431,2)+4),1,3)+WEEKDAY(DATE(YEAR(C431-WEEKDAY(C431,2)+4),1,3),2)+5)/7),"00"))</f>
        <v/>
      </c>
    </row>
    <row r="432" ht="18" customHeight="1">
      <c r="A432" s="39" t="n">
        <v>427</v>
      </c>
      <c r="B432" s="33">
        <f>IF(C432="","",IF(P432="À RENSEIGNER","GIC",P432)&amp;"-V"&amp;TEXT(A432,"00000"))</f>
        <v/>
      </c>
      <c r="C432" s="32" t="n"/>
      <c r="D432" s="35" t="n"/>
      <c r="E432" s="36" t="n"/>
      <c r="F432" s="36" t="n"/>
      <c r="G432" s="36" t="n"/>
      <c r="H432" s="36" t="n"/>
      <c r="I432" s="36" t="n"/>
      <c r="J432" s="37" t="n"/>
      <c r="K432" s="32" t="n"/>
      <c r="L432" s="36" t="n"/>
      <c r="M432" s="41" t="n"/>
      <c r="N432" s="41" t="n"/>
      <c r="O432" s="36" t="n"/>
      <c r="P432" s="33">
        <f>IF(C432="","",Commercial_Id)</f>
        <v/>
      </c>
      <c r="Q432" s="39">
        <f>IF(F432="","",IFERROR(VALUE(MID(F432,LEN(F432)-3,3)),""))</f>
        <v/>
      </c>
      <c r="R432" s="33">
        <f>IF(Q432="","",P432&amp;"|"&amp;Q432)</f>
        <v/>
      </c>
      <c r="S432" s="33">
        <f>IF(Q432="","",IF(P432="À RENSEIGNER","GIC",P432)&amp;"-"&amp;TEXT(Q432,"000"))</f>
        <v/>
      </c>
      <c r="T432" s="33">
        <f>IF(R432="","",IFERROR(INDEX(Cl_nom,MATCH(R432,Cl_cle,0)),"(client introuvable)"))</f>
        <v/>
      </c>
      <c r="U432" s="33">
        <f>IF(R432="","",IFERROR(INDEX(Cl_quartier,MATCH(R432,Cl_cle,0))&amp;"",""))</f>
        <v/>
      </c>
      <c r="V432" s="34">
        <f>IF(C432="","",YEAR(C432-WEEKDAY(C432,2)+4)&amp;"-S"&amp;TEXT(INT((C432-DATE(YEAR(C432-WEEKDAY(C432,2)+4),1,3)+WEEKDAY(DATE(YEAR(C432-WEEKDAY(C432,2)+4),1,3),2)+5)/7),"00"))</f>
        <v/>
      </c>
    </row>
    <row r="433" ht="18" customHeight="1">
      <c r="A433" s="39" t="n">
        <v>428</v>
      </c>
      <c r="B433" s="33">
        <f>IF(C433="","",IF(P433="À RENSEIGNER","GIC",P433)&amp;"-V"&amp;TEXT(A433,"00000"))</f>
        <v/>
      </c>
      <c r="C433" s="32" t="n"/>
      <c r="D433" s="35" t="n"/>
      <c r="E433" s="36" t="n"/>
      <c r="F433" s="36" t="n"/>
      <c r="G433" s="36" t="n"/>
      <c r="H433" s="36" t="n"/>
      <c r="I433" s="36" t="n"/>
      <c r="J433" s="37" t="n"/>
      <c r="K433" s="32" t="n"/>
      <c r="L433" s="36" t="n"/>
      <c r="M433" s="41" t="n"/>
      <c r="N433" s="41" t="n"/>
      <c r="O433" s="36" t="n"/>
      <c r="P433" s="33">
        <f>IF(C433="","",Commercial_Id)</f>
        <v/>
      </c>
      <c r="Q433" s="39">
        <f>IF(F433="","",IFERROR(VALUE(MID(F433,LEN(F433)-3,3)),""))</f>
        <v/>
      </c>
      <c r="R433" s="33">
        <f>IF(Q433="","",P433&amp;"|"&amp;Q433)</f>
        <v/>
      </c>
      <c r="S433" s="33">
        <f>IF(Q433="","",IF(P433="À RENSEIGNER","GIC",P433)&amp;"-"&amp;TEXT(Q433,"000"))</f>
        <v/>
      </c>
      <c r="T433" s="33">
        <f>IF(R433="","",IFERROR(INDEX(Cl_nom,MATCH(R433,Cl_cle,0)),"(client introuvable)"))</f>
        <v/>
      </c>
      <c r="U433" s="33">
        <f>IF(R433="","",IFERROR(INDEX(Cl_quartier,MATCH(R433,Cl_cle,0))&amp;"",""))</f>
        <v/>
      </c>
      <c r="V433" s="34">
        <f>IF(C433="","",YEAR(C433-WEEKDAY(C433,2)+4)&amp;"-S"&amp;TEXT(INT((C433-DATE(YEAR(C433-WEEKDAY(C433,2)+4),1,3)+WEEKDAY(DATE(YEAR(C433-WEEKDAY(C433,2)+4),1,3),2)+5)/7),"00"))</f>
        <v/>
      </c>
    </row>
    <row r="434" ht="18" customHeight="1">
      <c r="A434" s="39" t="n">
        <v>429</v>
      </c>
      <c r="B434" s="33">
        <f>IF(C434="","",IF(P434="À RENSEIGNER","GIC",P434)&amp;"-V"&amp;TEXT(A434,"00000"))</f>
        <v/>
      </c>
      <c r="C434" s="32" t="n"/>
      <c r="D434" s="35" t="n"/>
      <c r="E434" s="36" t="n"/>
      <c r="F434" s="36" t="n"/>
      <c r="G434" s="36" t="n"/>
      <c r="H434" s="36" t="n"/>
      <c r="I434" s="36" t="n"/>
      <c r="J434" s="37" t="n"/>
      <c r="K434" s="32" t="n"/>
      <c r="L434" s="36" t="n"/>
      <c r="M434" s="41" t="n"/>
      <c r="N434" s="41" t="n"/>
      <c r="O434" s="36" t="n"/>
      <c r="P434" s="33">
        <f>IF(C434="","",Commercial_Id)</f>
        <v/>
      </c>
      <c r="Q434" s="39">
        <f>IF(F434="","",IFERROR(VALUE(MID(F434,LEN(F434)-3,3)),""))</f>
        <v/>
      </c>
      <c r="R434" s="33">
        <f>IF(Q434="","",P434&amp;"|"&amp;Q434)</f>
        <v/>
      </c>
      <c r="S434" s="33">
        <f>IF(Q434="","",IF(P434="À RENSEIGNER","GIC",P434)&amp;"-"&amp;TEXT(Q434,"000"))</f>
        <v/>
      </c>
      <c r="T434" s="33">
        <f>IF(R434="","",IFERROR(INDEX(Cl_nom,MATCH(R434,Cl_cle,0)),"(client introuvable)"))</f>
        <v/>
      </c>
      <c r="U434" s="33">
        <f>IF(R434="","",IFERROR(INDEX(Cl_quartier,MATCH(R434,Cl_cle,0))&amp;"",""))</f>
        <v/>
      </c>
      <c r="V434" s="34">
        <f>IF(C434="","",YEAR(C434-WEEKDAY(C434,2)+4)&amp;"-S"&amp;TEXT(INT((C434-DATE(YEAR(C434-WEEKDAY(C434,2)+4),1,3)+WEEKDAY(DATE(YEAR(C434-WEEKDAY(C434,2)+4),1,3),2)+5)/7),"00"))</f>
        <v/>
      </c>
    </row>
    <row r="435" ht="18" customHeight="1">
      <c r="A435" s="39" t="n">
        <v>430</v>
      </c>
      <c r="B435" s="33">
        <f>IF(C435="","",IF(P435="À RENSEIGNER","GIC",P435)&amp;"-V"&amp;TEXT(A435,"00000"))</f>
        <v/>
      </c>
      <c r="C435" s="32" t="n"/>
      <c r="D435" s="35" t="n"/>
      <c r="E435" s="36" t="n"/>
      <c r="F435" s="36" t="n"/>
      <c r="G435" s="36" t="n"/>
      <c r="H435" s="36" t="n"/>
      <c r="I435" s="36" t="n"/>
      <c r="J435" s="37" t="n"/>
      <c r="K435" s="32" t="n"/>
      <c r="L435" s="36" t="n"/>
      <c r="M435" s="41" t="n"/>
      <c r="N435" s="41" t="n"/>
      <c r="O435" s="36" t="n"/>
      <c r="P435" s="33">
        <f>IF(C435="","",Commercial_Id)</f>
        <v/>
      </c>
      <c r="Q435" s="39">
        <f>IF(F435="","",IFERROR(VALUE(MID(F435,LEN(F435)-3,3)),""))</f>
        <v/>
      </c>
      <c r="R435" s="33">
        <f>IF(Q435="","",P435&amp;"|"&amp;Q435)</f>
        <v/>
      </c>
      <c r="S435" s="33">
        <f>IF(Q435="","",IF(P435="À RENSEIGNER","GIC",P435)&amp;"-"&amp;TEXT(Q435,"000"))</f>
        <v/>
      </c>
      <c r="T435" s="33">
        <f>IF(R435="","",IFERROR(INDEX(Cl_nom,MATCH(R435,Cl_cle,0)),"(client introuvable)"))</f>
        <v/>
      </c>
      <c r="U435" s="33">
        <f>IF(R435="","",IFERROR(INDEX(Cl_quartier,MATCH(R435,Cl_cle,0))&amp;"",""))</f>
        <v/>
      </c>
      <c r="V435" s="34">
        <f>IF(C435="","",YEAR(C435-WEEKDAY(C435,2)+4)&amp;"-S"&amp;TEXT(INT((C435-DATE(YEAR(C435-WEEKDAY(C435,2)+4),1,3)+WEEKDAY(DATE(YEAR(C435-WEEKDAY(C435,2)+4),1,3),2)+5)/7),"00"))</f>
        <v/>
      </c>
    </row>
    <row r="436" ht="18" customHeight="1">
      <c r="A436" s="39" t="n">
        <v>431</v>
      </c>
      <c r="B436" s="33">
        <f>IF(C436="","",IF(P436="À RENSEIGNER","GIC",P436)&amp;"-V"&amp;TEXT(A436,"00000"))</f>
        <v/>
      </c>
      <c r="C436" s="32" t="n"/>
      <c r="D436" s="35" t="n"/>
      <c r="E436" s="36" t="n"/>
      <c r="F436" s="36" t="n"/>
      <c r="G436" s="36" t="n"/>
      <c r="H436" s="36" t="n"/>
      <c r="I436" s="36" t="n"/>
      <c r="J436" s="37" t="n"/>
      <c r="K436" s="32" t="n"/>
      <c r="L436" s="36" t="n"/>
      <c r="M436" s="41" t="n"/>
      <c r="N436" s="41" t="n"/>
      <c r="O436" s="36" t="n"/>
      <c r="P436" s="33">
        <f>IF(C436="","",Commercial_Id)</f>
        <v/>
      </c>
      <c r="Q436" s="39">
        <f>IF(F436="","",IFERROR(VALUE(MID(F436,LEN(F436)-3,3)),""))</f>
        <v/>
      </c>
      <c r="R436" s="33">
        <f>IF(Q436="","",P436&amp;"|"&amp;Q436)</f>
        <v/>
      </c>
      <c r="S436" s="33">
        <f>IF(Q436="","",IF(P436="À RENSEIGNER","GIC",P436)&amp;"-"&amp;TEXT(Q436,"000"))</f>
        <v/>
      </c>
      <c r="T436" s="33">
        <f>IF(R436="","",IFERROR(INDEX(Cl_nom,MATCH(R436,Cl_cle,0)),"(client introuvable)"))</f>
        <v/>
      </c>
      <c r="U436" s="33">
        <f>IF(R436="","",IFERROR(INDEX(Cl_quartier,MATCH(R436,Cl_cle,0))&amp;"",""))</f>
        <v/>
      </c>
      <c r="V436" s="34">
        <f>IF(C436="","",YEAR(C436-WEEKDAY(C436,2)+4)&amp;"-S"&amp;TEXT(INT((C436-DATE(YEAR(C436-WEEKDAY(C436,2)+4),1,3)+WEEKDAY(DATE(YEAR(C436-WEEKDAY(C436,2)+4),1,3),2)+5)/7),"00"))</f>
        <v/>
      </c>
    </row>
    <row r="437" ht="18" customHeight="1">
      <c r="A437" s="39" t="n">
        <v>432</v>
      </c>
      <c r="B437" s="33">
        <f>IF(C437="","",IF(P437="À RENSEIGNER","GIC",P437)&amp;"-V"&amp;TEXT(A437,"00000"))</f>
        <v/>
      </c>
      <c r="C437" s="32" t="n"/>
      <c r="D437" s="35" t="n"/>
      <c r="E437" s="36" t="n"/>
      <c r="F437" s="36" t="n"/>
      <c r="G437" s="36" t="n"/>
      <c r="H437" s="36" t="n"/>
      <c r="I437" s="36" t="n"/>
      <c r="J437" s="37" t="n"/>
      <c r="K437" s="32" t="n"/>
      <c r="L437" s="36" t="n"/>
      <c r="M437" s="41" t="n"/>
      <c r="N437" s="41" t="n"/>
      <c r="O437" s="36" t="n"/>
      <c r="P437" s="33">
        <f>IF(C437="","",Commercial_Id)</f>
        <v/>
      </c>
      <c r="Q437" s="39">
        <f>IF(F437="","",IFERROR(VALUE(MID(F437,LEN(F437)-3,3)),""))</f>
        <v/>
      </c>
      <c r="R437" s="33">
        <f>IF(Q437="","",P437&amp;"|"&amp;Q437)</f>
        <v/>
      </c>
      <c r="S437" s="33">
        <f>IF(Q437="","",IF(P437="À RENSEIGNER","GIC",P437)&amp;"-"&amp;TEXT(Q437,"000"))</f>
        <v/>
      </c>
      <c r="T437" s="33">
        <f>IF(R437="","",IFERROR(INDEX(Cl_nom,MATCH(R437,Cl_cle,0)),"(client introuvable)"))</f>
        <v/>
      </c>
      <c r="U437" s="33">
        <f>IF(R437="","",IFERROR(INDEX(Cl_quartier,MATCH(R437,Cl_cle,0))&amp;"",""))</f>
        <v/>
      </c>
      <c r="V437" s="34">
        <f>IF(C437="","",YEAR(C437-WEEKDAY(C437,2)+4)&amp;"-S"&amp;TEXT(INT((C437-DATE(YEAR(C437-WEEKDAY(C437,2)+4),1,3)+WEEKDAY(DATE(YEAR(C437-WEEKDAY(C437,2)+4),1,3),2)+5)/7),"00"))</f>
        <v/>
      </c>
    </row>
    <row r="438" ht="18" customHeight="1">
      <c r="A438" s="39" t="n">
        <v>433</v>
      </c>
      <c r="B438" s="33">
        <f>IF(C438="","",IF(P438="À RENSEIGNER","GIC",P438)&amp;"-V"&amp;TEXT(A438,"00000"))</f>
        <v/>
      </c>
      <c r="C438" s="32" t="n"/>
      <c r="D438" s="35" t="n"/>
      <c r="E438" s="36" t="n"/>
      <c r="F438" s="36" t="n"/>
      <c r="G438" s="36" t="n"/>
      <c r="H438" s="36" t="n"/>
      <c r="I438" s="36" t="n"/>
      <c r="J438" s="37" t="n"/>
      <c r="K438" s="32" t="n"/>
      <c r="L438" s="36" t="n"/>
      <c r="M438" s="41" t="n"/>
      <c r="N438" s="41" t="n"/>
      <c r="O438" s="36" t="n"/>
      <c r="P438" s="33">
        <f>IF(C438="","",Commercial_Id)</f>
        <v/>
      </c>
      <c r="Q438" s="39">
        <f>IF(F438="","",IFERROR(VALUE(MID(F438,LEN(F438)-3,3)),""))</f>
        <v/>
      </c>
      <c r="R438" s="33">
        <f>IF(Q438="","",P438&amp;"|"&amp;Q438)</f>
        <v/>
      </c>
      <c r="S438" s="33">
        <f>IF(Q438="","",IF(P438="À RENSEIGNER","GIC",P438)&amp;"-"&amp;TEXT(Q438,"000"))</f>
        <v/>
      </c>
      <c r="T438" s="33">
        <f>IF(R438="","",IFERROR(INDEX(Cl_nom,MATCH(R438,Cl_cle,0)),"(client introuvable)"))</f>
        <v/>
      </c>
      <c r="U438" s="33">
        <f>IF(R438="","",IFERROR(INDEX(Cl_quartier,MATCH(R438,Cl_cle,0))&amp;"",""))</f>
        <v/>
      </c>
      <c r="V438" s="34">
        <f>IF(C438="","",YEAR(C438-WEEKDAY(C438,2)+4)&amp;"-S"&amp;TEXT(INT((C438-DATE(YEAR(C438-WEEKDAY(C438,2)+4),1,3)+WEEKDAY(DATE(YEAR(C438-WEEKDAY(C438,2)+4),1,3),2)+5)/7),"00"))</f>
        <v/>
      </c>
    </row>
    <row r="439" ht="18" customHeight="1">
      <c r="A439" s="39" t="n">
        <v>434</v>
      </c>
      <c r="B439" s="33">
        <f>IF(C439="","",IF(P439="À RENSEIGNER","GIC",P439)&amp;"-V"&amp;TEXT(A439,"00000"))</f>
        <v/>
      </c>
      <c r="C439" s="32" t="n"/>
      <c r="D439" s="35" t="n"/>
      <c r="E439" s="36" t="n"/>
      <c r="F439" s="36" t="n"/>
      <c r="G439" s="36" t="n"/>
      <c r="H439" s="36" t="n"/>
      <c r="I439" s="36" t="n"/>
      <c r="J439" s="37" t="n"/>
      <c r="K439" s="32" t="n"/>
      <c r="L439" s="36" t="n"/>
      <c r="M439" s="41" t="n"/>
      <c r="N439" s="41" t="n"/>
      <c r="O439" s="36" t="n"/>
      <c r="P439" s="33">
        <f>IF(C439="","",Commercial_Id)</f>
        <v/>
      </c>
      <c r="Q439" s="39">
        <f>IF(F439="","",IFERROR(VALUE(MID(F439,LEN(F439)-3,3)),""))</f>
        <v/>
      </c>
      <c r="R439" s="33">
        <f>IF(Q439="","",P439&amp;"|"&amp;Q439)</f>
        <v/>
      </c>
      <c r="S439" s="33">
        <f>IF(Q439="","",IF(P439="À RENSEIGNER","GIC",P439)&amp;"-"&amp;TEXT(Q439,"000"))</f>
        <v/>
      </c>
      <c r="T439" s="33">
        <f>IF(R439="","",IFERROR(INDEX(Cl_nom,MATCH(R439,Cl_cle,0)),"(client introuvable)"))</f>
        <v/>
      </c>
      <c r="U439" s="33">
        <f>IF(R439="","",IFERROR(INDEX(Cl_quartier,MATCH(R439,Cl_cle,0))&amp;"",""))</f>
        <v/>
      </c>
      <c r="V439" s="34">
        <f>IF(C439="","",YEAR(C439-WEEKDAY(C439,2)+4)&amp;"-S"&amp;TEXT(INT((C439-DATE(YEAR(C439-WEEKDAY(C439,2)+4),1,3)+WEEKDAY(DATE(YEAR(C439-WEEKDAY(C439,2)+4),1,3),2)+5)/7),"00"))</f>
        <v/>
      </c>
    </row>
    <row r="440" ht="18" customHeight="1">
      <c r="A440" s="39" t="n">
        <v>435</v>
      </c>
      <c r="B440" s="33">
        <f>IF(C440="","",IF(P440="À RENSEIGNER","GIC",P440)&amp;"-V"&amp;TEXT(A440,"00000"))</f>
        <v/>
      </c>
      <c r="C440" s="32" t="n"/>
      <c r="D440" s="35" t="n"/>
      <c r="E440" s="36" t="n"/>
      <c r="F440" s="36" t="n"/>
      <c r="G440" s="36" t="n"/>
      <c r="H440" s="36" t="n"/>
      <c r="I440" s="36" t="n"/>
      <c r="J440" s="37" t="n"/>
      <c r="K440" s="32" t="n"/>
      <c r="L440" s="36" t="n"/>
      <c r="M440" s="41" t="n"/>
      <c r="N440" s="41" t="n"/>
      <c r="O440" s="36" t="n"/>
      <c r="P440" s="33">
        <f>IF(C440="","",Commercial_Id)</f>
        <v/>
      </c>
      <c r="Q440" s="39">
        <f>IF(F440="","",IFERROR(VALUE(MID(F440,LEN(F440)-3,3)),""))</f>
        <v/>
      </c>
      <c r="R440" s="33">
        <f>IF(Q440="","",P440&amp;"|"&amp;Q440)</f>
        <v/>
      </c>
      <c r="S440" s="33">
        <f>IF(Q440="","",IF(P440="À RENSEIGNER","GIC",P440)&amp;"-"&amp;TEXT(Q440,"000"))</f>
        <v/>
      </c>
      <c r="T440" s="33">
        <f>IF(R440="","",IFERROR(INDEX(Cl_nom,MATCH(R440,Cl_cle,0)),"(client introuvable)"))</f>
        <v/>
      </c>
      <c r="U440" s="33">
        <f>IF(R440="","",IFERROR(INDEX(Cl_quartier,MATCH(R440,Cl_cle,0))&amp;"",""))</f>
        <v/>
      </c>
      <c r="V440" s="34">
        <f>IF(C440="","",YEAR(C440-WEEKDAY(C440,2)+4)&amp;"-S"&amp;TEXT(INT((C440-DATE(YEAR(C440-WEEKDAY(C440,2)+4),1,3)+WEEKDAY(DATE(YEAR(C440-WEEKDAY(C440,2)+4),1,3),2)+5)/7),"00"))</f>
        <v/>
      </c>
    </row>
    <row r="441" ht="18" customHeight="1">
      <c r="A441" s="39" t="n">
        <v>436</v>
      </c>
      <c r="B441" s="33">
        <f>IF(C441="","",IF(P441="À RENSEIGNER","GIC",P441)&amp;"-V"&amp;TEXT(A441,"00000"))</f>
        <v/>
      </c>
      <c r="C441" s="32" t="n"/>
      <c r="D441" s="35" t="n"/>
      <c r="E441" s="36" t="n"/>
      <c r="F441" s="36" t="n"/>
      <c r="G441" s="36" t="n"/>
      <c r="H441" s="36" t="n"/>
      <c r="I441" s="36" t="n"/>
      <c r="J441" s="37" t="n"/>
      <c r="K441" s="32" t="n"/>
      <c r="L441" s="36" t="n"/>
      <c r="M441" s="41" t="n"/>
      <c r="N441" s="41" t="n"/>
      <c r="O441" s="36" t="n"/>
      <c r="P441" s="33">
        <f>IF(C441="","",Commercial_Id)</f>
        <v/>
      </c>
      <c r="Q441" s="39">
        <f>IF(F441="","",IFERROR(VALUE(MID(F441,LEN(F441)-3,3)),""))</f>
        <v/>
      </c>
      <c r="R441" s="33">
        <f>IF(Q441="","",P441&amp;"|"&amp;Q441)</f>
        <v/>
      </c>
      <c r="S441" s="33">
        <f>IF(Q441="","",IF(P441="À RENSEIGNER","GIC",P441)&amp;"-"&amp;TEXT(Q441,"000"))</f>
        <v/>
      </c>
      <c r="T441" s="33">
        <f>IF(R441="","",IFERROR(INDEX(Cl_nom,MATCH(R441,Cl_cle,0)),"(client introuvable)"))</f>
        <v/>
      </c>
      <c r="U441" s="33">
        <f>IF(R441="","",IFERROR(INDEX(Cl_quartier,MATCH(R441,Cl_cle,0))&amp;"",""))</f>
        <v/>
      </c>
      <c r="V441" s="34">
        <f>IF(C441="","",YEAR(C441-WEEKDAY(C441,2)+4)&amp;"-S"&amp;TEXT(INT((C441-DATE(YEAR(C441-WEEKDAY(C441,2)+4),1,3)+WEEKDAY(DATE(YEAR(C441-WEEKDAY(C441,2)+4),1,3),2)+5)/7),"00"))</f>
        <v/>
      </c>
    </row>
    <row r="442" ht="18" customHeight="1">
      <c r="A442" s="39" t="n">
        <v>437</v>
      </c>
      <c r="B442" s="33">
        <f>IF(C442="","",IF(P442="À RENSEIGNER","GIC",P442)&amp;"-V"&amp;TEXT(A442,"00000"))</f>
        <v/>
      </c>
      <c r="C442" s="32" t="n"/>
      <c r="D442" s="35" t="n"/>
      <c r="E442" s="36" t="n"/>
      <c r="F442" s="36" t="n"/>
      <c r="G442" s="36" t="n"/>
      <c r="H442" s="36" t="n"/>
      <c r="I442" s="36" t="n"/>
      <c r="J442" s="37" t="n"/>
      <c r="K442" s="32" t="n"/>
      <c r="L442" s="36" t="n"/>
      <c r="M442" s="41" t="n"/>
      <c r="N442" s="41" t="n"/>
      <c r="O442" s="36" t="n"/>
      <c r="P442" s="33">
        <f>IF(C442="","",Commercial_Id)</f>
        <v/>
      </c>
      <c r="Q442" s="39">
        <f>IF(F442="","",IFERROR(VALUE(MID(F442,LEN(F442)-3,3)),""))</f>
        <v/>
      </c>
      <c r="R442" s="33">
        <f>IF(Q442="","",P442&amp;"|"&amp;Q442)</f>
        <v/>
      </c>
      <c r="S442" s="33">
        <f>IF(Q442="","",IF(P442="À RENSEIGNER","GIC",P442)&amp;"-"&amp;TEXT(Q442,"000"))</f>
        <v/>
      </c>
      <c r="T442" s="33">
        <f>IF(R442="","",IFERROR(INDEX(Cl_nom,MATCH(R442,Cl_cle,0)),"(client introuvable)"))</f>
        <v/>
      </c>
      <c r="U442" s="33">
        <f>IF(R442="","",IFERROR(INDEX(Cl_quartier,MATCH(R442,Cl_cle,0))&amp;"",""))</f>
        <v/>
      </c>
      <c r="V442" s="34">
        <f>IF(C442="","",YEAR(C442-WEEKDAY(C442,2)+4)&amp;"-S"&amp;TEXT(INT((C442-DATE(YEAR(C442-WEEKDAY(C442,2)+4),1,3)+WEEKDAY(DATE(YEAR(C442-WEEKDAY(C442,2)+4),1,3),2)+5)/7),"00"))</f>
        <v/>
      </c>
    </row>
    <row r="443" ht="18" customHeight="1">
      <c r="A443" s="39" t="n">
        <v>438</v>
      </c>
      <c r="B443" s="33">
        <f>IF(C443="","",IF(P443="À RENSEIGNER","GIC",P443)&amp;"-V"&amp;TEXT(A443,"00000"))</f>
        <v/>
      </c>
      <c r="C443" s="32" t="n"/>
      <c r="D443" s="35" t="n"/>
      <c r="E443" s="36" t="n"/>
      <c r="F443" s="36" t="n"/>
      <c r="G443" s="36" t="n"/>
      <c r="H443" s="36" t="n"/>
      <c r="I443" s="36" t="n"/>
      <c r="J443" s="37" t="n"/>
      <c r="K443" s="32" t="n"/>
      <c r="L443" s="36" t="n"/>
      <c r="M443" s="41" t="n"/>
      <c r="N443" s="41" t="n"/>
      <c r="O443" s="36" t="n"/>
      <c r="P443" s="33">
        <f>IF(C443="","",Commercial_Id)</f>
        <v/>
      </c>
      <c r="Q443" s="39">
        <f>IF(F443="","",IFERROR(VALUE(MID(F443,LEN(F443)-3,3)),""))</f>
        <v/>
      </c>
      <c r="R443" s="33">
        <f>IF(Q443="","",P443&amp;"|"&amp;Q443)</f>
        <v/>
      </c>
      <c r="S443" s="33">
        <f>IF(Q443="","",IF(P443="À RENSEIGNER","GIC",P443)&amp;"-"&amp;TEXT(Q443,"000"))</f>
        <v/>
      </c>
      <c r="T443" s="33">
        <f>IF(R443="","",IFERROR(INDEX(Cl_nom,MATCH(R443,Cl_cle,0)),"(client introuvable)"))</f>
        <v/>
      </c>
      <c r="U443" s="33">
        <f>IF(R443="","",IFERROR(INDEX(Cl_quartier,MATCH(R443,Cl_cle,0))&amp;"",""))</f>
        <v/>
      </c>
      <c r="V443" s="34">
        <f>IF(C443="","",YEAR(C443-WEEKDAY(C443,2)+4)&amp;"-S"&amp;TEXT(INT((C443-DATE(YEAR(C443-WEEKDAY(C443,2)+4),1,3)+WEEKDAY(DATE(YEAR(C443-WEEKDAY(C443,2)+4),1,3),2)+5)/7),"00"))</f>
        <v/>
      </c>
    </row>
    <row r="444" ht="18" customHeight="1">
      <c r="A444" s="39" t="n">
        <v>439</v>
      </c>
      <c r="B444" s="33">
        <f>IF(C444="","",IF(P444="À RENSEIGNER","GIC",P444)&amp;"-V"&amp;TEXT(A444,"00000"))</f>
        <v/>
      </c>
      <c r="C444" s="32" t="n"/>
      <c r="D444" s="35" t="n"/>
      <c r="E444" s="36" t="n"/>
      <c r="F444" s="36" t="n"/>
      <c r="G444" s="36" t="n"/>
      <c r="H444" s="36" t="n"/>
      <c r="I444" s="36" t="n"/>
      <c r="J444" s="37" t="n"/>
      <c r="K444" s="32" t="n"/>
      <c r="L444" s="36" t="n"/>
      <c r="M444" s="41" t="n"/>
      <c r="N444" s="41" t="n"/>
      <c r="O444" s="36" t="n"/>
      <c r="P444" s="33">
        <f>IF(C444="","",Commercial_Id)</f>
        <v/>
      </c>
      <c r="Q444" s="39">
        <f>IF(F444="","",IFERROR(VALUE(MID(F444,LEN(F444)-3,3)),""))</f>
        <v/>
      </c>
      <c r="R444" s="33">
        <f>IF(Q444="","",P444&amp;"|"&amp;Q444)</f>
        <v/>
      </c>
      <c r="S444" s="33">
        <f>IF(Q444="","",IF(P444="À RENSEIGNER","GIC",P444)&amp;"-"&amp;TEXT(Q444,"000"))</f>
        <v/>
      </c>
      <c r="T444" s="33">
        <f>IF(R444="","",IFERROR(INDEX(Cl_nom,MATCH(R444,Cl_cle,0)),"(client introuvable)"))</f>
        <v/>
      </c>
      <c r="U444" s="33">
        <f>IF(R444="","",IFERROR(INDEX(Cl_quartier,MATCH(R444,Cl_cle,0))&amp;"",""))</f>
        <v/>
      </c>
      <c r="V444" s="34">
        <f>IF(C444="","",YEAR(C444-WEEKDAY(C444,2)+4)&amp;"-S"&amp;TEXT(INT((C444-DATE(YEAR(C444-WEEKDAY(C444,2)+4),1,3)+WEEKDAY(DATE(YEAR(C444-WEEKDAY(C444,2)+4),1,3),2)+5)/7),"00"))</f>
        <v/>
      </c>
    </row>
    <row r="445" ht="18" customHeight="1">
      <c r="A445" s="39" t="n">
        <v>440</v>
      </c>
      <c r="B445" s="33">
        <f>IF(C445="","",IF(P445="À RENSEIGNER","GIC",P445)&amp;"-V"&amp;TEXT(A445,"00000"))</f>
        <v/>
      </c>
      <c r="C445" s="32" t="n"/>
      <c r="D445" s="35" t="n"/>
      <c r="E445" s="36" t="n"/>
      <c r="F445" s="36" t="n"/>
      <c r="G445" s="36" t="n"/>
      <c r="H445" s="36" t="n"/>
      <c r="I445" s="36" t="n"/>
      <c r="J445" s="37" t="n"/>
      <c r="K445" s="32" t="n"/>
      <c r="L445" s="36" t="n"/>
      <c r="M445" s="41" t="n"/>
      <c r="N445" s="41" t="n"/>
      <c r="O445" s="36" t="n"/>
      <c r="P445" s="33">
        <f>IF(C445="","",Commercial_Id)</f>
        <v/>
      </c>
      <c r="Q445" s="39">
        <f>IF(F445="","",IFERROR(VALUE(MID(F445,LEN(F445)-3,3)),""))</f>
        <v/>
      </c>
      <c r="R445" s="33">
        <f>IF(Q445="","",P445&amp;"|"&amp;Q445)</f>
        <v/>
      </c>
      <c r="S445" s="33">
        <f>IF(Q445="","",IF(P445="À RENSEIGNER","GIC",P445)&amp;"-"&amp;TEXT(Q445,"000"))</f>
        <v/>
      </c>
      <c r="T445" s="33">
        <f>IF(R445="","",IFERROR(INDEX(Cl_nom,MATCH(R445,Cl_cle,0)),"(client introuvable)"))</f>
        <v/>
      </c>
      <c r="U445" s="33">
        <f>IF(R445="","",IFERROR(INDEX(Cl_quartier,MATCH(R445,Cl_cle,0))&amp;"",""))</f>
        <v/>
      </c>
      <c r="V445" s="34">
        <f>IF(C445="","",YEAR(C445-WEEKDAY(C445,2)+4)&amp;"-S"&amp;TEXT(INT((C445-DATE(YEAR(C445-WEEKDAY(C445,2)+4),1,3)+WEEKDAY(DATE(YEAR(C445-WEEKDAY(C445,2)+4),1,3),2)+5)/7),"00"))</f>
        <v/>
      </c>
    </row>
    <row r="446" ht="18" customHeight="1">
      <c r="A446" s="39" t="n">
        <v>441</v>
      </c>
      <c r="B446" s="33">
        <f>IF(C446="","",IF(P446="À RENSEIGNER","GIC",P446)&amp;"-V"&amp;TEXT(A446,"00000"))</f>
        <v/>
      </c>
      <c r="C446" s="32" t="n"/>
      <c r="D446" s="35" t="n"/>
      <c r="E446" s="36" t="n"/>
      <c r="F446" s="36" t="n"/>
      <c r="G446" s="36" t="n"/>
      <c r="H446" s="36" t="n"/>
      <c r="I446" s="36" t="n"/>
      <c r="J446" s="37" t="n"/>
      <c r="K446" s="32" t="n"/>
      <c r="L446" s="36" t="n"/>
      <c r="M446" s="41" t="n"/>
      <c r="N446" s="41" t="n"/>
      <c r="O446" s="36" t="n"/>
      <c r="P446" s="33">
        <f>IF(C446="","",Commercial_Id)</f>
        <v/>
      </c>
      <c r="Q446" s="39">
        <f>IF(F446="","",IFERROR(VALUE(MID(F446,LEN(F446)-3,3)),""))</f>
        <v/>
      </c>
      <c r="R446" s="33">
        <f>IF(Q446="","",P446&amp;"|"&amp;Q446)</f>
        <v/>
      </c>
      <c r="S446" s="33">
        <f>IF(Q446="","",IF(P446="À RENSEIGNER","GIC",P446)&amp;"-"&amp;TEXT(Q446,"000"))</f>
        <v/>
      </c>
      <c r="T446" s="33">
        <f>IF(R446="","",IFERROR(INDEX(Cl_nom,MATCH(R446,Cl_cle,0)),"(client introuvable)"))</f>
        <v/>
      </c>
      <c r="U446" s="33">
        <f>IF(R446="","",IFERROR(INDEX(Cl_quartier,MATCH(R446,Cl_cle,0))&amp;"",""))</f>
        <v/>
      </c>
      <c r="V446" s="34">
        <f>IF(C446="","",YEAR(C446-WEEKDAY(C446,2)+4)&amp;"-S"&amp;TEXT(INT((C446-DATE(YEAR(C446-WEEKDAY(C446,2)+4),1,3)+WEEKDAY(DATE(YEAR(C446-WEEKDAY(C446,2)+4),1,3),2)+5)/7),"00"))</f>
        <v/>
      </c>
    </row>
    <row r="447" ht="18" customHeight="1">
      <c r="A447" s="39" t="n">
        <v>442</v>
      </c>
      <c r="B447" s="33">
        <f>IF(C447="","",IF(P447="À RENSEIGNER","GIC",P447)&amp;"-V"&amp;TEXT(A447,"00000"))</f>
        <v/>
      </c>
      <c r="C447" s="32" t="n"/>
      <c r="D447" s="35" t="n"/>
      <c r="E447" s="36" t="n"/>
      <c r="F447" s="36" t="n"/>
      <c r="G447" s="36" t="n"/>
      <c r="H447" s="36" t="n"/>
      <c r="I447" s="36" t="n"/>
      <c r="J447" s="37" t="n"/>
      <c r="K447" s="32" t="n"/>
      <c r="L447" s="36" t="n"/>
      <c r="M447" s="41" t="n"/>
      <c r="N447" s="41" t="n"/>
      <c r="O447" s="36" t="n"/>
      <c r="P447" s="33">
        <f>IF(C447="","",Commercial_Id)</f>
        <v/>
      </c>
      <c r="Q447" s="39">
        <f>IF(F447="","",IFERROR(VALUE(MID(F447,LEN(F447)-3,3)),""))</f>
        <v/>
      </c>
      <c r="R447" s="33">
        <f>IF(Q447="","",P447&amp;"|"&amp;Q447)</f>
        <v/>
      </c>
      <c r="S447" s="33">
        <f>IF(Q447="","",IF(P447="À RENSEIGNER","GIC",P447)&amp;"-"&amp;TEXT(Q447,"000"))</f>
        <v/>
      </c>
      <c r="T447" s="33">
        <f>IF(R447="","",IFERROR(INDEX(Cl_nom,MATCH(R447,Cl_cle,0)),"(client introuvable)"))</f>
        <v/>
      </c>
      <c r="U447" s="33">
        <f>IF(R447="","",IFERROR(INDEX(Cl_quartier,MATCH(R447,Cl_cle,0))&amp;"",""))</f>
        <v/>
      </c>
      <c r="V447" s="34">
        <f>IF(C447="","",YEAR(C447-WEEKDAY(C447,2)+4)&amp;"-S"&amp;TEXT(INT((C447-DATE(YEAR(C447-WEEKDAY(C447,2)+4),1,3)+WEEKDAY(DATE(YEAR(C447-WEEKDAY(C447,2)+4),1,3),2)+5)/7),"00"))</f>
        <v/>
      </c>
    </row>
    <row r="448" ht="18" customHeight="1">
      <c r="A448" s="39" t="n">
        <v>443</v>
      </c>
      <c r="B448" s="33">
        <f>IF(C448="","",IF(P448="À RENSEIGNER","GIC",P448)&amp;"-V"&amp;TEXT(A448,"00000"))</f>
        <v/>
      </c>
      <c r="C448" s="32" t="n"/>
      <c r="D448" s="35" t="n"/>
      <c r="E448" s="36" t="n"/>
      <c r="F448" s="36" t="n"/>
      <c r="G448" s="36" t="n"/>
      <c r="H448" s="36" t="n"/>
      <c r="I448" s="36" t="n"/>
      <c r="J448" s="37" t="n"/>
      <c r="K448" s="32" t="n"/>
      <c r="L448" s="36" t="n"/>
      <c r="M448" s="41" t="n"/>
      <c r="N448" s="41" t="n"/>
      <c r="O448" s="36" t="n"/>
      <c r="P448" s="33">
        <f>IF(C448="","",Commercial_Id)</f>
        <v/>
      </c>
      <c r="Q448" s="39">
        <f>IF(F448="","",IFERROR(VALUE(MID(F448,LEN(F448)-3,3)),""))</f>
        <v/>
      </c>
      <c r="R448" s="33">
        <f>IF(Q448="","",P448&amp;"|"&amp;Q448)</f>
        <v/>
      </c>
      <c r="S448" s="33">
        <f>IF(Q448="","",IF(P448="À RENSEIGNER","GIC",P448)&amp;"-"&amp;TEXT(Q448,"000"))</f>
        <v/>
      </c>
      <c r="T448" s="33">
        <f>IF(R448="","",IFERROR(INDEX(Cl_nom,MATCH(R448,Cl_cle,0)),"(client introuvable)"))</f>
        <v/>
      </c>
      <c r="U448" s="33">
        <f>IF(R448="","",IFERROR(INDEX(Cl_quartier,MATCH(R448,Cl_cle,0))&amp;"",""))</f>
        <v/>
      </c>
      <c r="V448" s="34">
        <f>IF(C448="","",YEAR(C448-WEEKDAY(C448,2)+4)&amp;"-S"&amp;TEXT(INT((C448-DATE(YEAR(C448-WEEKDAY(C448,2)+4),1,3)+WEEKDAY(DATE(YEAR(C448-WEEKDAY(C448,2)+4),1,3),2)+5)/7),"00"))</f>
        <v/>
      </c>
    </row>
    <row r="449" ht="18" customHeight="1">
      <c r="A449" s="39" t="n">
        <v>444</v>
      </c>
      <c r="B449" s="33">
        <f>IF(C449="","",IF(P449="À RENSEIGNER","GIC",P449)&amp;"-V"&amp;TEXT(A449,"00000"))</f>
        <v/>
      </c>
      <c r="C449" s="32" t="n"/>
      <c r="D449" s="35" t="n"/>
      <c r="E449" s="36" t="n"/>
      <c r="F449" s="36" t="n"/>
      <c r="G449" s="36" t="n"/>
      <c r="H449" s="36" t="n"/>
      <c r="I449" s="36" t="n"/>
      <c r="J449" s="37" t="n"/>
      <c r="K449" s="32" t="n"/>
      <c r="L449" s="36" t="n"/>
      <c r="M449" s="41" t="n"/>
      <c r="N449" s="41" t="n"/>
      <c r="O449" s="36" t="n"/>
      <c r="P449" s="33">
        <f>IF(C449="","",Commercial_Id)</f>
        <v/>
      </c>
      <c r="Q449" s="39">
        <f>IF(F449="","",IFERROR(VALUE(MID(F449,LEN(F449)-3,3)),""))</f>
        <v/>
      </c>
      <c r="R449" s="33">
        <f>IF(Q449="","",P449&amp;"|"&amp;Q449)</f>
        <v/>
      </c>
      <c r="S449" s="33">
        <f>IF(Q449="","",IF(P449="À RENSEIGNER","GIC",P449)&amp;"-"&amp;TEXT(Q449,"000"))</f>
        <v/>
      </c>
      <c r="T449" s="33">
        <f>IF(R449="","",IFERROR(INDEX(Cl_nom,MATCH(R449,Cl_cle,0)),"(client introuvable)"))</f>
        <v/>
      </c>
      <c r="U449" s="33">
        <f>IF(R449="","",IFERROR(INDEX(Cl_quartier,MATCH(R449,Cl_cle,0))&amp;"",""))</f>
        <v/>
      </c>
      <c r="V449" s="34">
        <f>IF(C449="","",YEAR(C449-WEEKDAY(C449,2)+4)&amp;"-S"&amp;TEXT(INT((C449-DATE(YEAR(C449-WEEKDAY(C449,2)+4),1,3)+WEEKDAY(DATE(YEAR(C449-WEEKDAY(C449,2)+4),1,3),2)+5)/7),"00"))</f>
        <v/>
      </c>
    </row>
    <row r="450" ht="18" customHeight="1">
      <c r="A450" s="39" t="n">
        <v>445</v>
      </c>
      <c r="B450" s="33">
        <f>IF(C450="","",IF(P450="À RENSEIGNER","GIC",P450)&amp;"-V"&amp;TEXT(A450,"00000"))</f>
        <v/>
      </c>
      <c r="C450" s="32" t="n"/>
      <c r="D450" s="35" t="n"/>
      <c r="E450" s="36" t="n"/>
      <c r="F450" s="36" t="n"/>
      <c r="G450" s="36" t="n"/>
      <c r="H450" s="36" t="n"/>
      <c r="I450" s="36" t="n"/>
      <c r="J450" s="37" t="n"/>
      <c r="K450" s="32" t="n"/>
      <c r="L450" s="36" t="n"/>
      <c r="M450" s="41" t="n"/>
      <c r="N450" s="41" t="n"/>
      <c r="O450" s="36" t="n"/>
      <c r="P450" s="33">
        <f>IF(C450="","",Commercial_Id)</f>
        <v/>
      </c>
      <c r="Q450" s="39">
        <f>IF(F450="","",IFERROR(VALUE(MID(F450,LEN(F450)-3,3)),""))</f>
        <v/>
      </c>
      <c r="R450" s="33">
        <f>IF(Q450="","",P450&amp;"|"&amp;Q450)</f>
        <v/>
      </c>
      <c r="S450" s="33">
        <f>IF(Q450="","",IF(P450="À RENSEIGNER","GIC",P450)&amp;"-"&amp;TEXT(Q450,"000"))</f>
        <v/>
      </c>
      <c r="T450" s="33">
        <f>IF(R450="","",IFERROR(INDEX(Cl_nom,MATCH(R450,Cl_cle,0)),"(client introuvable)"))</f>
        <v/>
      </c>
      <c r="U450" s="33">
        <f>IF(R450="","",IFERROR(INDEX(Cl_quartier,MATCH(R450,Cl_cle,0))&amp;"",""))</f>
        <v/>
      </c>
      <c r="V450" s="34">
        <f>IF(C450="","",YEAR(C450-WEEKDAY(C450,2)+4)&amp;"-S"&amp;TEXT(INT((C450-DATE(YEAR(C450-WEEKDAY(C450,2)+4),1,3)+WEEKDAY(DATE(YEAR(C450-WEEKDAY(C450,2)+4),1,3),2)+5)/7),"00"))</f>
        <v/>
      </c>
    </row>
    <row r="451" ht="18" customHeight="1">
      <c r="A451" s="39" t="n">
        <v>446</v>
      </c>
      <c r="B451" s="33">
        <f>IF(C451="","",IF(P451="À RENSEIGNER","GIC",P451)&amp;"-V"&amp;TEXT(A451,"00000"))</f>
        <v/>
      </c>
      <c r="C451" s="32" t="n"/>
      <c r="D451" s="35" t="n"/>
      <c r="E451" s="36" t="n"/>
      <c r="F451" s="36" t="n"/>
      <c r="G451" s="36" t="n"/>
      <c r="H451" s="36" t="n"/>
      <c r="I451" s="36" t="n"/>
      <c r="J451" s="37" t="n"/>
      <c r="K451" s="32" t="n"/>
      <c r="L451" s="36" t="n"/>
      <c r="M451" s="41" t="n"/>
      <c r="N451" s="41" t="n"/>
      <c r="O451" s="36" t="n"/>
      <c r="P451" s="33">
        <f>IF(C451="","",Commercial_Id)</f>
        <v/>
      </c>
      <c r="Q451" s="39">
        <f>IF(F451="","",IFERROR(VALUE(MID(F451,LEN(F451)-3,3)),""))</f>
        <v/>
      </c>
      <c r="R451" s="33">
        <f>IF(Q451="","",P451&amp;"|"&amp;Q451)</f>
        <v/>
      </c>
      <c r="S451" s="33">
        <f>IF(Q451="","",IF(P451="À RENSEIGNER","GIC",P451)&amp;"-"&amp;TEXT(Q451,"000"))</f>
        <v/>
      </c>
      <c r="T451" s="33">
        <f>IF(R451="","",IFERROR(INDEX(Cl_nom,MATCH(R451,Cl_cle,0)),"(client introuvable)"))</f>
        <v/>
      </c>
      <c r="U451" s="33">
        <f>IF(R451="","",IFERROR(INDEX(Cl_quartier,MATCH(R451,Cl_cle,0))&amp;"",""))</f>
        <v/>
      </c>
      <c r="V451" s="34">
        <f>IF(C451="","",YEAR(C451-WEEKDAY(C451,2)+4)&amp;"-S"&amp;TEXT(INT((C451-DATE(YEAR(C451-WEEKDAY(C451,2)+4),1,3)+WEEKDAY(DATE(YEAR(C451-WEEKDAY(C451,2)+4),1,3),2)+5)/7),"00"))</f>
        <v/>
      </c>
    </row>
    <row r="452" ht="18" customHeight="1">
      <c r="A452" s="39" t="n">
        <v>447</v>
      </c>
      <c r="B452" s="33">
        <f>IF(C452="","",IF(P452="À RENSEIGNER","GIC",P452)&amp;"-V"&amp;TEXT(A452,"00000"))</f>
        <v/>
      </c>
      <c r="C452" s="32" t="n"/>
      <c r="D452" s="35" t="n"/>
      <c r="E452" s="36" t="n"/>
      <c r="F452" s="36" t="n"/>
      <c r="G452" s="36" t="n"/>
      <c r="H452" s="36" t="n"/>
      <c r="I452" s="36" t="n"/>
      <c r="J452" s="37" t="n"/>
      <c r="K452" s="32" t="n"/>
      <c r="L452" s="36" t="n"/>
      <c r="M452" s="41" t="n"/>
      <c r="N452" s="41" t="n"/>
      <c r="O452" s="36" t="n"/>
      <c r="P452" s="33">
        <f>IF(C452="","",Commercial_Id)</f>
        <v/>
      </c>
      <c r="Q452" s="39">
        <f>IF(F452="","",IFERROR(VALUE(MID(F452,LEN(F452)-3,3)),""))</f>
        <v/>
      </c>
      <c r="R452" s="33">
        <f>IF(Q452="","",P452&amp;"|"&amp;Q452)</f>
        <v/>
      </c>
      <c r="S452" s="33">
        <f>IF(Q452="","",IF(P452="À RENSEIGNER","GIC",P452)&amp;"-"&amp;TEXT(Q452,"000"))</f>
        <v/>
      </c>
      <c r="T452" s="33">
        <f>IF(R452="","",IFERROR(INDEX(Cl_nom,MATCH(R452,Cl_cle,0)),"(client introuvable)"))</f>
        <v/>
      </c>
      <c r="U452" s="33">
        <f>IF(R452="","",IFERROR(INDEX(Cl_quartier,MATCH(R452,Cl_cle,0))&amp;"",""))</f>
        <v/>
      </c>
      <c r="V452" s="34">
        <f>IF(C452="","",YEAR(C452-WEEKDAY(C452,2)+4)&amp;"-S"&amp;TEXT(INT((C452-DATE(YEAR(C452-WEEKDAY(C452,2)+4),1,3)+WEEKDAY(DATE(YEAR(C452-WEEKDAY(C452,2)+4),1,3),2)+5)/7),"00"))</f>
        <v/>
      </c>
    </row>
    <row r="453" ht="18" customHeight="1">
      <c r="A453" s="39" t="n">
        <v>448</v>
      </c>
      <c r="B453" s="33">
        <f>IF(C453="","",IF(P453="À RENSEIGNER","GIC",P453)&amp;"-V"&amp;TEXT(A453,"00000"))</f>
        <v/>
      </c>
      <c r="C453" s="32" t="n"/>
      <c r="D453" s="35" t="n"/>
      <c r="E453" s="36" t="n"/>
      <c r="F453" s="36" t="n"/>
      <c r="G453" s="36" t="n"/>
      <c r="H453" s="36" t="n"/>
      <c r="I453" s="36" t="n"/>
      <c r="J453" s="37" t="n"/>
      <c r="K453" s="32" t="n"/>
      <c r="L453" s="36" t="n"/>
      <c r="M453" s="41" t="n"/>
      <c r="N453" s="41" t="n"/>
      <c r="O453" s="36" t="n"/>
      <c r="P453" s="33">
        <f>IF(C453="","",Commercial_Id)</f>
        <v/>
      </c>
      <c r="Q453" s="39">
        <f>IF(F453="","",IFERROR(VALUE(MID(F453,LEN(F453)-3,3)),""))</f>
        <v/>
      </c>
      <c r="R453" s="33">
        <f>IF(Q453="","",P453&amp;"|"&amp;Q453)</f>
        <v/>
      </c>
      <c r="S453" s="33">
        <f>IF(Q453="","",IF(P453="À RENSEIGNER","GIC",P453)&amp;"-"&amp;TEXT(Q453,"000"))</f>
        <v/>
      </c>
      <c r="T453" s="33">
        <f>IF(R453="","",IFERROR(INDEX(Cl_nom,MATCH(R453,Cl_cle,0)),"(client introuvable)"))</f>
        <v/>
      </c>
      <c r="U453" s="33">
        <f>IF(R453="","",IFERROR(INDEX(Cl_quartier,MATCH(R453,Cl_cle,0))&amp;"",""))</f>
        <v/>
      </c>
      <c r="V453" s="34">
        <f>IF(C453="","",YEAR(C453-WEEKDAY(C453,2)+4)&amp;"-S"&amp;TEXT(INT((C453-DATE(YEAR(C453-WEEKDAY(C453,2)+4),1,3)+WEEKDAY(DATE(YEAR(C453-WEEKDAY(C453,2)+4),1,3),2)+5)/7),"00"))</f>
        <v/>
      </c>
    </row>
    <row r="454" ht="18" customHeight="1">
      <c r="A454" s="39" t="n">
        <v>449</v>
      </c>
      <c r="B454" s="33">
        <f>IF(C454="","",IF(P454="À RENSEIGNER","GIC",P454)&amp;"-V"&amp;TEXT(A454,"00000"))</f>
        <v/>
      </c>
      <c r="C454" s="32" t="n"/>
      <c r="D454" s="35" t="n"/>
      <c r="E454" s="36" t="n"/>
      <c r="F454" s="36" t="n"/>
      <c r="G454" s="36" t="n"/>
      <c r="H454" s="36" t="n"/>
      <c r="I454" s="36" t="n"/>
      <c r="J454" s="37" t="n"/>
      <c r="K454" s="32" t="n"/>
      <c r="L454" s="36" t="n"/>
      <c r="M454" s="41" t="n"/>
      <c r="N454" s="41" t="n"/>
      <c r="O454" s="36" t="n"/>
      <c r="P454" s="33">
        <f>IF(C454="","",Commercial_Id)</f>
        <v/>
      </c>
      <c r="Q454" s="39">
        <f>IF(F454="","",IFERROR(VALUE(MID(F454,LEN(F454)-3,3)),""))</f>
        <v/>
      </c>
      <c r="R454" s="33">
        <f>IF(Q454="","",P454&amp;"|"&amp;Q454)</f>
        <v/>
      </c>
      <c r="S454" s="33">
        <f>IF(Q454="","",IF(P454="À RENSEIGNER","GIC",P454)&amp;"-"&amp;TEXT(Q454,"000"))</f>
        <v/>
      </c>
      <c r="T454" s="33">
        <f>IF(R454="","",IFERROR(INDEX(Cl_nom,MATCH(R454,Cl_cle,0)),"(client introuvable)"))</f>
        <v/>
      </c>
      <c r="U454" s="33">
        <f>IF(R454="","",IFERROR(INDEX(Cl_quartier,MATCH(R454,Cl_cle,0))&amp;"",""))</f>
        <v/>
      </c>
      <c r="V454" s="34">
        <f>IF(C454="","",YEAR(C454-WEEKDAY(C454,2)+4)&amp;"-S"&amp;TEXT(INT((C454-DATE(YEAR(C454-WEEKDAY(C454,2)+4),1,3)+WEEKDAY(DATE(YEAR(C454-WEEKDAY(C454,2)+4),1,3),2)+5)/7),"00"))</f>
        <v/>
      </c>
    </row>
    <row r="455" ht="18" customHeight="1">
      <c r="A455" s="39" t="n">
        <v>450</v>
      </c>
      <c r="B455" s="33">
        <f>IF(C455="","",IF(P455="À RENSEIGNER","GIC",P455)&amp;"-V"&amp;TEXT(A455,"00000"))</f>
        <v/>
      </c>
      <c r="C455" s="32" t="n"/>
      <c r="D455" s="35" t="n"/>
      <c r="E455" s="36" t="n"/>
      <c r="F455" s="36" t="n"/>
      <c r="G455" s="36" t="n"/>
      <c r="H455" s="36" t="n"/>
      <c r="I455" s="36" t="n"/>
      <c r="J455" s="37" t="n"/>
      <c r="K455" s="32" t="n"/>
      <c r="L455" s="36" t="n"/>
      <c r="M455" s="41" t="n"/>
      <c r="N455" s="41" t="n"/>
      <c r="O455" s="36" t="n"/>
      <c r="P455" s="33">
        <f>IF(C455="","",Commercial_Id)</f>
        <v/>
      </c>
      <c r="Q455" s="39">
        <f>IF(F455="","",IFERROR(VALUE(MID(F455,LEN(F455)-3,3)),""))</f>
        <v/>
      </c>
      <c r="R455" s="33">
        <f>IF(Q455="","",P455&amp;"|"&amp;Q455)</f>
        <v/>
      </c>
      <c r="S455" s="33">
        <f>IF(Q455="","",IF(P455="À RENSEIGNER","GIC",P455)&amp;"-"&amp;TEXT(Q455,"000"))</f>
        <v/>
      </c>
      <c r="T455" s="33">
        <f>IF(R455="","",IFERROR(INDEX(Cl_nom,MATCH(R455,Cl_cle,0)),"(client introuvable)"))</f>
        <v/>
      </c>
      <c r="U455" s="33">
        <f>IF(R455="","",IFERROR(INDEX(Cl_quartier,MATCH(R455,Cl_cle,0))&amp;"",""))</f>
        <v/>
      </c>
      <c r="V455" s="34">
        <f>IF(C455="","",YEAR(C455-WEEKDAY(C455,2)+4)&amp;"-S"&amp;TEXT(INT((C455-DATE(YEAR(C455-WEEKDAY(C455,2)+4),1,3)+WEEKDAY(DATE(YEAR(C455-WEEKDAY(C455,2)+4),1,3),2)+5)/7),"00"))</f>
        <v/>
      </c>
    </row>
    <row r="456" ht="18" customHeight="1">
      <c r="A456" s="39" t="n">
        <v>451</v>
      </c>
      <c r="B456" s="33">
        <f>IF(C456="","",IF(P456="À RENSEIGNER","GIC",P456)&amp;"-V"&amp;TEXT(A456,"00000"))</f>
        <v/>
      </c>
      <c r="C456" s="32" t="n"/>
      <c r="D456" s="35" t="n"/>
      <c r="E456" s="36" t="n"/>
      <c r="F456" s="36" t="n"/>
      <c r="G456" s="36" t="n"/>
      <c r="H456" s="36" t="n"/>
      <c r="I456" s="36" t="n"/>
      <c r="J456" s="37" t="n"/>
      <c r="K456" s="32" t="n"/>
      <c r="L456" s="36" t="n"/>
      <c r="M456" s="41" t="n"/>
      <c r="N456" s="41" t="n"/>
      <c r="O456" s="36" t="n"/>
      <c r="P456" s="33">
        <f>IF(C456="","",Commercial_Id)</f>
        <v/>
      </c>
      <c r="Q456" s="39">
        <f>IF(F456="","",IFERROR(VALUE(MID(F456,LEN(F456)-3,3)),""))</f>
        <v/>
      </c>
      <c r="R456" s="33">
        <f>IF(Q456="","",P456&amp;"|"&amp;Q456)</f>
        <v/>
      </c>
      <c r="S456" s="33">
        <f>IF(Q456="","",IF(P456="À RENSEIGNER","GIC",P456)&amp;"-"&amp;TEXT(Q456,"000"))</f>
        <v/>
      </c>
      <c r="T456" s="33">
        <f>IF(R456="","",IFERROR(INDEX(Cl_nom,MATCH(R456,Cl_cle,0)),"(client introuvable)"))</f>
        <v/>
      </c>
      <c r="U456" s="33">
        <f>IF(R456="","",IFERROR(INDEX(Cl_quartier,MATCH(R456,Cl_cle,0))&amp;"",""))</f>
        <v/>
      </c>
      <c r="V456" s="34">
        <f>IF(C456="","",YEAR(C456-WEEKDAY(C456,2)+4)&amp;"-S"&amp;TEXT(INT((C456-DATE(YEAR(C456-WEEKDAY(C456,2)+4),1,3)+WEEKDAY(DATE(YEAR(C456-WEEKDAY(C456,2)+4),1,3),2)+5)/7),"00"))</f>
        <v/>
      </c>
    </row>
    <row r="457" ht="18" customHeight="1">
      <c r="A457" s="39" t="n">
        <v>452</v>
      </c>
      <c r="B457" s="33">
        <f>IF(C457="","",IF(P457="À RENSEIGNER","GIC",P457)&amp;"-V"&amp;TEXT(A457,"00000"))</f>
        <v/>
      </c>
      <c r="C457" s="32" t="n"/>
      <c r="D457" s="35" t="n"/>
      <c r="E457" s="36" t="n"/>
      <c r="F457" s="36" t="n"/>
      <c r="G457" s="36" t="n"/>
      <c r="H457" s="36" t="n"/>
      <c r="I457" s="36" t="n"/>
      <c r="J457" s="37" t="n"/>
      <c r="K457" s="32" t="n"/>
      <c r="L457" s="36" t="n"/>
      <c r="M457" s="41" t="n"/>
      <c r="N457" s="41" t="n"/>
      <c r="O457" s="36" t="n"/>
      <c r="P457" s="33">
        <f>IF(C457="","",Commercial_Id)</f>
        <v/>
      </c>
      <c r="Q457" s="39">
        <f>IF(F457="","",IFERROR(VALUE(MID(F457,LEN(F457)-3,3)),""))</f>
        <v/>
      </c>
      <c r="R457" s="33">
        <f>IF(Q457="","",P457&amp;"|"&amp;Q457)</f>
        <v/>
      </c>
      <c r="S457" s="33">
        <f>IF(Q457="","",IF(P457="À RENSEIGNER","GIC",P457)&amp;"-"&amp;TEXT(Q457,"000"))</f>
        <v/>
      </c>
      <c r="T457" s="33">
        <f>IF(R457="","",IFERROR(INDEX(Cl_nom,MATCH(R457,Cl_cle,0)),"(client introuvable)"))</f>
        <v/>
      </c>
      <c r="U457" s="33">
        <f>IF(R457="","",IFERROR(INDEX(Cl_quartier,MATCH(R457,Cl_cle,0))&amp;"",""))</f>
        <v/>
      </c>
      <c r="V457" s="34">
        <f>IF(C457="","",YEAR(C457-WEEKDAY(C457,2)+4)&amp;"-S"&amp;TEXT(INT((C457-DATE(YEAR(C457-WEEKDAY(C457,2)+4),1,3)+WEEKDAY(DATE(YEAR(C457-WEEKDAY(C457,2)+4),1,3),2)+5)/7),"00"))</f>
        <v/>
      </c>
    </row>
    <row r="458" ht="18" customHeight="1">
      <c r="A458" s="39" t="n">
        <v>453</v>
      </c>
      <c r="B458" s="33">
        <f>IF(C458="","",IF(P458="À RENSEIGNER","GIC",P458)&amp;"-V"&amp;TEXT(A458,"00000"))</f>
        <v/>
      </c>
      <c r="C458" s="32" t="n"/>
      <c r="D458" s="35" t="n"/>
      <c r="E458" s="36" t="n"/>
      <c r="F458" s="36" t="n"/>
      <c r="G458" s="36" t="n"/>
      <c r="H458" s="36" t="n"/>
      <c r="I458" s="36" t="n"/>
      <c r="J458" s="37" t="n"/>
      <c r="K458" s="32" t="n"/>
      <c r="L458" s="36" t="n"/>
      <c r="M458" s="41" t="n"/>
      <c r="N458" s="41" t="n"/>
      <c r="O458" s="36" t="n"/>
      <c r="P458" s="33">
        <f>IF(C458="","",Commercial_Id)</f>
        <v/>
      </c>
      <c r="Q458" s="39">
        <f>IF(F458="","",IFERROR(VALUE(MID(F458,LEN(F458)-3,3)),""))</f>
        <v/>
      </c>
      <c r="R458" s="33">
        <f>IF(Q458="","",P458&amp;"|"&amp;Q458)</f>
        <v/>
      </c>
      <c r="S458" s="33">
        <f>IF(Q458="","",IF(P458="À RENSEIGNER","GIC",P458)&amp;"-"&amp;TEXT(Q458,"000"))</f>
        <v/>
      </c>
      <c r="T458" s="33">
        <f>IF(R458="","",IFERROR(INDEX(Cl_nom,MATCH(R458,Cl_cle,0)),"(client introuvable)"))</f>
        <v/>
      </c>
      <c r="U458" s="33">
        <f>IF(R458="","",IFERROR(INDEX(Cl_quartier,MATCH(R458,Cl_cle,0))&amp;"",""))</f>
        <v/>
      </c>
      <c r="V458" s="34">
        <f>IF(C458="","",YEAR(C458-WEEKDAY(C458,2)+4)&amp;"-S"&amp;TEXT(INT((C458-DATE(YEAR(C458-WEEKDAY(C458,2)+4),1,3)+WEEKDAY(DATE(YEAR(C458-WEEKDAY(C458,2)+4),1,3),2)+5)/7),"00"))</f>
        <v/>
      </c>
    </row>
    <row r="459" ht="18" customHeight="1">
      <c r="A459" s="39" t="n">
        <v>454</v>
      </c>
      <c r="B459" s="33">
        <f>IF(C459="","",IF(P459="À RENSEIGNER","GIC",P459)&amp;"-V"&amp;TEXT(A459,"00000"))</f>
        <v/>
      </c>
      <c r="C459" s="32" t="n"/>
      <c r="D459" s="35" t="n"/>
      <c r="E459" s="36" t="n"/>
      <c r="F459" s="36" t="n"/>
      <c r="G459" s="36" t="n"/>
      <c r="H459" s="36" t="n"/>
      <c r="I459" s="36" t="n"/>
      <c r="J459" s="37" t="n"/>
      <c r="K459" s="32" t="n"/>
      <c r="L459" s="36" t="n"/>
      <c r="M459" s="41" t="n"/>
      <c r="N459" s="41" t="n"/>
      <c r="O459" s="36" t="n"/>
      <c r="P459" s="33">
        <f>IF(C459="","",Commercial_Id)</f>
        <v/>
      </c>
      <c r="Q459" s="39">
        <f>IF(F459="","",IFERROR(VALUE(MID(F459,LEN(F459)-3,3)),""))</f>
        <v/>
      </c>
      <c r="R459" s="33">
        <f>IF(Q459="","",P459&amp;"|"&amp;Q459)</f>
        <v/>
      </c>
      <c r="S459" s="33">
        <f>IF(Q459="","",IF(P459="À RENSEIGNER","GIC",P459)&amp;"-"&amp;TEXT(Q459,"000"))</f>
        <v/>
      </c>
      <c r="T459" s="33">
        <f>IF(R459="","",IFERROR(INDEX(Cl_nom,MATCH(R459,Cl_cle,0)),"(client introuvable)"))</f>
        <v/>
      </c>
      <c r="U459" s="33">
        <f>IF(R459="","",IFERROR(INDEX(Cl_quartier,MATCH(R459,Cl_cle,0))&amp;"",""))</f>
        <v/>
      </c>
      <c r="V459" s="34">
        <f>IF(C459="","",YEAR(C459-WEEKDAY(C459,2)+4)&amp;"-S"&amp;TEXT(INT((C459-DATE(YEAR(C459-WEEKDAY(C459,2)+4),1,3)+WEEKDAY(DATE(YEAR(C459-WEEKDAY(C459,2)+4),1,3),2)+5)/7),"00"))</f>
        <v/>
      </c>
    </row>
    <row r="460" ht="18" customHeight="1">
      <c r="A460" s="39" t="n">
        <v>455</v>
      </c>
      <c r="B460" s="33">
        <f>IF(C460="","",IF(P460="À RENSEIGNER","GIC",P460)&amp;"-V"&amp;TEXT(A460,"00000"))</f>
        <v/>
      </c>
      <c r="C460" s="32" t="n"/>
      <c r="D460" s="35" t="n"/>
      <c r="E460" s="36" t="n"/>
      <c r="F460" s="36" t="n"/>
      <c r="G460" s="36" t="n"/>
      <c r="H460" s="36" t="n"/>
      <c r="I460" s="36" t="n"/>
      <c r="J460" s="37" t="n"/>
      <c r="K460" s="32" t="n"/>
      <c r="L460" s="36" t="n"/>
      <c r="M460" s="41" t="n"/>
      <c r="N460" s="41" t="n"/>
      <c r="O460" s="36" t="n"/>
      <c r="P460" s="33">
        <f>IF(C460="","",Commercial_Id)</f>
        <v/>
      </c>
      <c r="Q460" s="39">
        <f>IF(F460="","",IFERROR(VALUE(MID(F460,LEN(F460)-3,3)),""))</f>
        <v/>
      </c>
      <c r="R460" s="33">
        <f>IF(Q460="","",P460&amp;"|"&amp;Q460)</f>
        <v/>
      </c>
      <c r="S460" s="33">
        <f>IF(Q460="","",IF(P460="À RENSEIGNER","GIC",P460)&amp;"-"&amp;TEXT(Q460,"000"))</f>
        <v/>
      </c>
      <c r="T460" s="33">
        <f>IF(R460="","",IFERROR(INDEX(Cl_nom,MATCH(R460,Cl_cle,0)),"(client introuvable)"))</f>
        <v/>
      </c>
      <c r="U460" s="33">
        <f>IF(R460="","",IFERROR(INDEX(Cl_quartier,MATCH(R460,Cl_cle,0))&amp;"",""))</f>
        <v/>
      </c>
      <c r="V460" s="34">
        <f>IF(C460="","",YEAR(C460-WEEKDAY(C460,2)+4)&amp;"-S"&amp;TEXT(INT((C460-DATE(YEAR(C460-WEEKDAY(C460,2)+4),1,3)+WEEKDAY(DATE(YEAR(C460-WEEKDAY(C460,2)+4),1,3),2)+5)/7),"00"))</f>
        <v/>
      </c>
    </row>
    <row r="461" ht="18" customHeight="1">
      <c r="A461" s="39" t="n">
        <v>456</v>
      </c>
      <c r="B461" s="33">
        <f>IF(C461="","",IF(P461="À RENSEIGNER","GIC",P461)&amp;"-V"&amp;TEXT(A461,"00000"))</f>
        <v/>
      </c>
      <c r="C461" s="32" t="n"/>
      <c r="D461" s="35" t="n"/>
      <c r="E461" s="36" t="n"/>
      <c r="F461" s="36" t="n"/>
      <c r="G461" s="36" t="n"/>
      <c r="H461" s="36" t="n"/>
      <c r="I461" s="36" t="n"/>
      <c r="J461" s="37" t="n"/>
      <c r="K461" s="32" t="n"/>
      <c r="L461" s="36" t="n"/>
      <c r="M461" s="41" t="n"/>
      <c r="N461" s="41" t="n"/>
      <c r="O461" s="36" t="n"/>
      <c r="P461" s="33">
        <f>IF(C461="","",Commercial_Id)</f>
        <v/>
      </c>
      <c r="Q461" s="39">
        <f>IF(F461="","",IFERROR(VALUE(MID(F461,LEN(F461)-3,3)),""))</f>
        <v/>
      </c>
      <c r="R461" s="33">
        <f>IF(Q461="","",P461&amp;"|"&amp;Q461)</f>
        <v/>
      </c>
      <c r="S461" s="33">
        <f>IF(Q461="","",IF(P461="À RENSEIGNER","GIC",P461)&amp;"-"&amp;TEXT(Q461,"000"))</f>
        <v/>
      </c>
      <c r="T461" s="33">
        <f>IF(R461="","",IFERROR(INDEX(Cl_nom,MATCH(R461,Cl_cle,0)),"(client introuvable)"))</f>
        <v/>
      </c>
      <c r="U461" s="33">
        <f>IF(R461="","",IFERROR(INDEX(Cl_quartier,MATCH(R461,Cl_cle,0))&amp;"",""))</f>
        <v/>
      </c>
      <c r="V461" s="34">
        <f>IF(C461="","",YEAR(C461-WEEKDAY(C461,2)+4)&amp;"-S"&amp;TEXT(INT((C461-DATE(YEAR(C461-WEEKDAY(C461,2)+4),1,3)+WEEKDAY(DATE(YEAR(C461-WEEKDAY(C461,2)+4),1,3),2)+5)/7),"00"))</f>
        <v/>
      </c>
    </row>
    <row r="462" ht="18" customHeight="1">
      <c r="A462" s="39" t="n">
        <v>457</v>
      </c>
      <c r="B462" s="33">
        <f>IF(C462="","",IF(P462="À RENSEIGNER","GIC",P462)&amp;"-V"&amp;TEXT(A462,"00000"))</f>
        <v/>
      </c>
      <c r="C462" s="32" t="n"/>
      <c r="D462" s="35" t="n"/>
      <c r="E462" s="36" t="n"/>
      <c r="F462" s="36" t="n"/>
      <c r="G462" s="36" t="n"/>
      <c r="H462" s="36" t="n"/>
      <c r="I462" s="36" t="n"/>
      <c r="J462" s="37" t="n"/>
      <c r="K462" s="32" t="n"/>
      <c r="L462" s="36" t="n"/>
      <c r="M462" s="41" t="n"/>
      <c r="N462" s="41" t="n"/>
      <c r="O462" s="36" t="n"/>
      <c r="P462" s="33">
        <f>IF(C462="","",Commercial_Id)</f>
        <v/>
      </c>
      <c r="Q462" s="39">
        <f>IF(F462="","",IFERROR(VALUE(MID(F462,LEN(F462)-3,3)),""))</f>
        <v/>
      </c>
      <c r="R462" s="33">
        <f>IF(Q462="","",P462&amp;"|"&amp;Q462)</f>
        <v/>
      </c>
      <c r="S462" s="33">
        <f>IF(Q462="","",IF(P462="À RENSEIGNER","GIC",P462)&amp;"-"&amp;TEXT(Q462,"000"))</f>
        <v/>
      </c>
      <c r="T462" s="33">
        <f>IF(R462="","",IFERROR(INDEX(Cl_nom,MATCH(R462,Cl_cle,0)),"(client introuvable)"))</f>
        <v/>
      </c>
      <c r="U462" s="33">
        <f>IF(R462="","",IFERROR(INDEX(Cl_quartier,MATCH(R462,Cl_cle,0))&amp;"",""))</f>
        <v/>
      </c>
      <c r="V462" s="34">
        <f>IF(C462="","",YEAR(C462-WEEKDAY(C462,2)+4)&amp;"-S"&amp;TEXT(INT((C462-DATE(YEAR(C462-WEEKDAY(C462,2)+4),1,3)+WEEKDAY(DATE(YEAR(C462-WEEKDAY(C462,2)+4),1,3),2)+5)/7),"00"))</f>
        <v/>
      </c>
    </row>
    <row r="463" ht="18" customHeight="1">
      <c r="A463" s="39" t="n">
        <v>458</v>
      </c>
      <c r="B463" s="33">
        <f>IF(C463="","",IF(P463="À RENSEIGNER","GIC",P463)&amp;"-V"&amp;TEXT(A463,"00000"))</f>
        <v/>
      </c>
      <c r="C463" s="32" t="n"/>
      <c r="D463" s="35" t="n"/>
      <c r="E463" s="36" t="n"/>
      <c r="F463" s="36" t="n"/>
      <c r="G463" s="36" t="n"/>
      <c r="H463" s="36" t="n"/>
      <c r="I463" s="36" t="n"/>
      <c r="J463" s="37" t="n"/>
      <c r="K463" s="32" t="n"/>
      <c r="L463" s="36" t="n"/>
      <c r="M463" s="41" t="n"/>
      <c r="N463" s="41" t="n"/>
      <c r="O463" s="36" t="n"/>
      <c r="P463" s="33">
        <f>IF(C463="","",Commercial_Id)</f>
        <v/>
      </c>
      <c r="Q463" s="39">
        <f>IF(F463="","",IFERROR(VALUE(MID(F463,LEN(F463)-3,3)),""))</f>
        <v/>
      </c>
      <c r="R463" s="33">
        <f>IF(Q463="","",P463&amp;"|"&amp;Q463)</f>
        <v/>
      </c>
      <c r="S463" s="33">
        <f>IF(Q463="","",IF(P463="À RENSEIGNER","GIC",P463)&amp;"-"&amp;TEXT(Q463,"000"))</f>
        <v/>
      </c>
      <c r="T463" s="33">
        <f>IF(R463="","",IFERROR(INDEX(Cl_nom,MATCH(R463,Cl_cle,0)),"(client introuvable)"))</f>
        <v/>
      </c>
      <c r="U463" s="33">
        <f>IF(R463="","",IFERROR(INDEX(Cl_quartier,MATCH(R463,Cl_cle,0))&amp;"",""))</f>
        <v/>
      </c>
      <c r="V463" s="34">
        <f>IF(C463="","",YEAR(C463-WEEKDAY(C463,2)+4)&amp;"-S"&amp;TEXT(INT((C463-DATE(YEAR(C463-WEEKDAY(C463,2)+4),1,3)+WEEKDAY(DATE(YEAR(C463-WEEKDAY(C463,2)+4),1,3),2)+5)/7),"00"))</f>
        <v/>
      </c>
    </row>
    <row r="464" ht="18" customHeight="1">
      <c r="A464" s="39" t="n">
        <v>459</v>
      </c>
      <c r="B464" s="33">
        <f>IF(C464="","",IF(P464="À RENSEIGNER","GIC",P464)&amp;"-V"&amp;TEXT(A464,"00000"))</f>
        <v/>
      </c>
      <c r="C464" s="32" t="n"/>
      <c r="D464" s="35" t="n"/>
      <c r="E464" s="36" t="n"/>
      <c r="F464" s="36" t="n"/>
      <c r="G464" s="36" t="n"/>
      <c r="H464" s="36" t="n"/>
      <c r="I464" s="36" t="n"/>
      <c r="J464" s="37" t="n"/>
      <c r="K464" s="32" t="n"/>
      <c r="L464" s="36" t="n"/>
      <c r="M464" s="41" t="n"/>
      <c r="N464" s="41" t="n"/>
      <c r="O464" s="36" t="n"/>
      <c r="P464" s="33">
        <f>IF(C464="","",Commercial_Id)</f>
        <v/>
      </c>
      <c r="Q464" s="39">
        <f>IF(F464="","",IFERROR(VALUE(MID(F464,LEN(F464)-3,3)),""))</f>
        <v/>
      </c>
      <c r="R464" s="33">
        <f>IF(Q464="","",P464&amp;"|"&amp;Q464)</f>
        <v/>
      </c>
      <c r="S464" s="33">
        <f>IF(Q464="","",IF(P464="À RENSEIGNER","GIC",P464)&amp;"-"&amp;TEXT(Q464,"000"))</f>
        <v/>
      </c>
      <c r="T464" s="33">
        <f>IF(R464="","",IFERROR(INDEX(Cl_nom,MATCH(R464,Cl_cle,0)),"(client introuvable)"))</f>
        <v/>
      </c>
      <c r="U464" s="33">
        <f>IF(R464="","",IFERROR(INDEX(Cl_quartier,MATCH(R464,Cl_cle,0))&amp;"",""))</f>
        <v/>
      </c>
      <c r="V464" s="34">
        <f>IF(C464="","",YEAR(C464-WEEKDAY(C464,2)+4)&amp;"-S"&amp;TEXT(INT((C464-DATE(YEAR(C464-WEEKDAY(C464,2)+4),1,3)+WEEKDAY(DATE(YEAR(C464-WEEKDAY(C464,2)+4),1,3),2)+5)/7),"00"))</f>
        <v/>
      </c>
    </row>
    <row r="465" ht="18" customHeight="1">
      <c r="A465" s="39" t="n">
        <v>460</v>
      </c>
      <c r="B465" s="33">
        <f>IF(C465="","",IF(P465="À RENSEIGNER","GIC",P465)&amp;"-V"&amp;TEXT(A465,"00000"))</f>
        <v/>
      </c>
      <c r="C465" s="32" t="n"/>
      <c r="D465" s="35" t="n"/>
      <c r="E465" s="36" t="n"/>
      <c r="F465" s="36" t="n"/>
      <c r="G465" s="36" t="n"/>
      <c r="H465" s="36" t="n"/>
      <c r="I465" s="36" t="n"/>
      <c r="J465" s="37" t="n"/>
      <c r="K465" s="32" t="n"/>
      <c r="L465" s="36" t="n"/>
      <c r="M465" s="41" t="n"/>
      <c r="N465" s="41" t="n"/>
      <c r="O465" s="36" t="n"/>
      <c r="P465" s="33">
        <f>IF(C465="","",Commercial_Id)</f>
        <v/>
      </c>
      <c r="Q465" s="39">
        <f>IF(F465="","",IFERROR(VALUE(MID(F465,LEN(F465)-3,3)),""))</f>
        <v/>
      </c>
      <c r="R465" s="33">
        <f>IF(Q465="","",P465&amp;"|"&amp;Q465)</f>
        <v/>
      </c>
      <c r="S465" s="33">
        <f>IF(Q465="","",IF(P465="À RENSEIGNER","GIC",P465)&amp;"-"&amp;TEXT(Q465,"000"))</f>
        <v/>
      </c>
      <c r="T465" s="33">
        <f>IF(R465="","",IFERROR(INDEX(Cl_nom,MATCH(R465,Cl_cle,0)),"(client introuvable)"))</f>
        <v/>
      </c>
      <c r="U465" s="33">
        <f>IF(R465="","",IFERROR(INDEX(Cl_quartier,MATCH(R465,Cl_cle,0))&amp;"",""))</f>
        <v/>
      </c>
      <c r="V465" s="34">
        <f>IF(C465="","",YEAR(C465-WEEKDAY(C465,2)+4)&amp;"-S"&amp;TEXT(INT((C465-DATE(YEAR(C465-WEEKDAY(C465,2)+4),1,3)+WEEKDAY(DATE(YEAR(C465-WEEKDAY(C465,2)+4),1,3),2)+5)/7),"00"))</f>
        <v/>
      </c>
    </row>
    <row r="466" ht="18" customHeight="1">
      <c r="A466" s="39" t="n">
        <v>461</v>
      </c>
      <c r="B466" s="33">
        <f>IF(C466="","",IF(P466="À RENSEIGNER","GIC",P466)&amp;"-V"&amp;TEXT(A466,"00000"))</f>
        <v/>
      </c>
      <c r="C466" s="32" t="n"/>
      <c r="D466" s="35" t="n"/>
      <c r="E466" s="36" t="n"/>
      <c r="F466" s="36" t="n"/>
      <c r="G466" s="36" t="n"/>
      <c r="H466" s="36" t="n"/>
      <c r="I466" s="36" t="n"/>
      <c r="J466" s="37" t="n"/>
      <c r="K466" s="32" t="n"/>
      <c r="L466" s="36" t="n"/>
      <c r="M466" s="41" t="n"/>
      <c r="N466" s="41" t="n"/>
      <c r="O466" s="36" t="n"/>
      <c r="P466" s="33">
        <f>IF(C466="","",Commercial_Id)</f>
        <v/>
      </c>
      <c r="Q466" s="39">
        <f>IF(F466="","",IFERROR(VALUE(MID(F466,LEN(F466)-3,3)),""))</f>
        <v/>
      </c>
      <c r="R466" s="33">
        <f>IF(Q466="","",P466&amp;"|"&amp;Q466)</f>
        <v/>
      </c>
      <c r="S466" s="33">
        <f>IF(Q466="","",IF(P466="À RENSEIGNER","GIC",P466)&amp;"-"&amp;TEXT(Q466,"000"))</f>
        <v/>
      </c>
      <c r="T466" s="33">
        <f>IF(R466="","",IFERROR(INDEX(Cl_nom,MATCH(R466,Cl_cle,0)),"(client introuvable)"))</f>
        <v/>
      </c>
      <c r="U466" s="33">
        <f>IF(R466="","",IFERROR(INDEX(Cl_quartier,MATCH(R466,Cl_cle,0))&amp;"",""))</f>
        <v/>
      </c>
      <c r="V466" s="34">
        <f>IF(C466="","",YEAR(C466-WEEKDAY(C466,2)+4)&amp;"-S"&amp;TEXT(INT((C466-DATE(YEAR(C466-WEEKDAY(C466,2)+4),1,3)+WEEKDAY(DATE(YEAR(C466-WEEKDAY(C466,2)+4),1,3),2)+5)/7),"00"))</f>
        <v/>
      </c>
    </row>
    <row r="467" ht="18" customHeight="1">
      <c r="A467" s="39" t="n">
        <v>462</v>
      </c>
      <c r="B467" s="33">
        <f>IF(C467="","",IF(P467="À RENSEIGNER","GIC",P467)&amp;"-V"&amp;TEXT(A467,"00000"))</f>
        <v/>
      </c>
      <c r="C467" s="32" t="n"/>
      <c r="D467" s="35" t="n"/>
      <c r="E467" s="36" t="n"/>
      <c r="F467" s="36" t="n"/>
      <c r="G467" s="36" t="n"/>
      <c r="H467" s="36" t="n"/>
      <c r="I467" s="36" t="n"/>
      <c r="J467" s="37" t="n"/>
      <c r="K467" s="32" t="n"/>
      <c r="L467" s="36" t="n"/>
      <c r="M467" s="41" t="n"/>
      <c r="N467" s="41" t="n"/>
      <c r="O467" s="36" t="n"/>
      <c r="P467" s="33">
        <f>IF(C467="","",Commercial_Id)</f>
        <v/>
      </c>
      <c r="Q467" s="39">
        <f>IF(F467="","",IFERROR(VALUE(MID(F467,LEN(F467)-3,3)),""))</f>
        <v/>
      </c>
      <c r="R467" s="33">
        <f>IF(Q467="","",P467&amp;"|"&amp;Q467)</f>
        <v/>
      </c>
      <c r="S467" s="33">
        <f>IF(Q467="","",IF(P467="À RENSEIGNER","GIC",P467)&amp;"-"&amp;TEXT(Q467,"000"))</f>
        <v/>
      </c>
      <c r="T467" s="33">
        <f>IF(R467="","",IFERROR(INDEX(Cl_nom,MATCH(R467,Cl_cle,0)),"(client introuvable)"))</f>
        <v/>
      </c>
      <c r="U467" s="33">
        <f>IF(R467="","",IFERROR(INDEX(Cl_quartier,MATCH(R467,Cl_cle,0))&amp;"",""))</f>
        <v/>
      </c>
      <c r="V467" s="34">
        <f>IF(C467="","",YEAR(C467-WEEKDAY(C467,2)+4)&amp;"-S"&amp;TEXT(INT((C467-DATE(YEAR(C467-WEEKDAY(C467,2)+4),1,3)+WEEKDAY(DATE(YEAR(C467-WEEKDAY(C467,2)+4),1,3),2)+5)/7),"00"))</f>
        <v/>
      </c>
    </row>
    <row r="468" ht="18" customHeight="1">
      <c r="A468" s="39" t="n">
        <v>463</v>
      </c>
      <c r="B468" s="33">
        <f>IF(C468="","",IF(P468="À RENSEIGNER","GIC",P468)&amp;"-V"&amp;TEXT(A468,"00000"))</f>
        <v/>
      </c>
      <c r="C468" s="32" t="n"/>
      <c r="D468" s="35" t="n"/>
      <c r="E468" s="36" t="n"/>
      <c r="F468" s="36" t="n"/>
      <c r="G468" s="36" t="n"/>
      <c r="H468" s="36" t="n"/>
      <c r="I468" s="36" t="n"/>
      <c r="J468" s="37" t="n"/>
      <c r="K468" s="32" t="n"/>
      <c r="L468" s="36" t="n"/>
      <c r="M468" s="41" t="n"/>
      <c r="N468" s="41" t="n"/>
      <c r="O468" s="36" t="n"/>
      <c r="P468" s="33">
        <f>IF(C468="","",Commercial_Id)</f>
        <v/>
      </c>
      <c r="Q468" s="39">
        <f>IF(F468="","",IFERROR(VALUE(MID(F468,LEN(F468)-3,3)),""))</f>
        <v/>
      </c>
      <c r="R468" s="33">
        <f>IF(Q468="","",P468&amp;"|"&amp;Q468)</f>
        <v/>
      </c>
      <c r="S468" s="33">
        <f>IF(Q468="","",IF(P468="À RENSEIGNER","GIC",P468)&amp;"-"&amp;TEXT(Q468,"000"))</f>
        <v/>
      </c>
      <c r="T468" s="33">
        <f>IF(R468="","",IFERROR(INDEX(Cl_nom,MATCH(R468,Cl_cle,0)),"(client introuvable)"))</f>
        <v/>
      </c>
      <c r="U468" s="33">
        <f>IF(R468="","",IFERROR(INDEX(Cl_quartier,MATCH(R468,Cl_cle,0))&amp;"",""))</f>
        <v/>
      </c>
      <c r="V468" s="34">
        <f>IF(C468="","",YEAR(C468-WEEKDAY(C468,2)+4)&amp;"-S"&amp;TEXT(INT((C468-DATE(YEAR(C468-WEEKDAY(C468,2)+4),1,3)+WEEKDAY(DATE(YEAR(C468-WEEKDAY(C468,2)+4),1,3),2)+5)/7),"00"))</f>
        <v/>
      </c>
    </row>
    <row r="469" ht="18" customHeight="1">
      <c r="A469" s="39" t="n">
        <v>464</v>
      </c>
      <c r="B469" s="33">
        <f>IF(C469="","",IF(P469="À RENSEIGNER","GIC",P469)&amp;"-V"&amp;TEXT(A469,"00000"))</f>
        <v/>
      </c>
      <c r="C469" s="32" t="n"/>
      <c r="D469" s="35" t="n"/>
      <c r="E469" s="36" t="n"/>
      <c r="F469" s="36" t="n"/>
      <c r="G469" s="36" t="n"/>
      <c r="H469" s="36" t="n"/>
      <c r="I469" s="36" t="n"/>
      <c r="J469" s="37" t="n"/>
      <c r="K469" s="32" t="n"/>
      <c r="L469" s="36" t="n"/>
      <c r="M469" s="41" t="n"/>
      <c r="N469" s="41" t="n"/>
      <c r="O469" s="36" t="n"/>
      <c r="P469" s="33">
        <f>IF(C469="","",Commercial_Id)</f>
        <v/>
      </c>
      <c r="Q469" s="39">
        <f>IF(F469="","",IFERROR(VALUE(MID(F469,LEN(F469)-3,3)),""))</f>
        <v/>
      </c>
      <c r="R469" s="33">
        <f>IF(Q469="","",P469&amp;"|"&amp;Q469)</f>
        <v/>
      </c>
      <c r="S469" s="33">
        <f>IF(Q469="","",IF(P469="À RENSEIGNER","GIC",P469)&amp;"-"&amp;TEXT(Q469,"000"))</f>
        <v/>
      </c>
      <c r="T469" s="33">
        <f>IF(R469="","",IFERROR(INDEX(Cl_nom,MATCH(R469,Cl_cle,0)),"(client introuvable)"))</f>
        <v/>
      </c>
      <c r="U469" s="33">
        <f>IF(R469="","",IFERROR(INDEX(Cl_quartier,MATCH(R469,Cl_cle,0))&amp;"",""))</f>
        <v/>
      </c>
      <c r="V469" s="34">
        <f>IF(C469="","",YEAR(C469-WEEKDAY(C469,2)+4)&amp;"-S"&amp;TEXT(INT((C469-DATE(YEAR(C469-WEEKDAY(C469,2)+4),1,3)+WEEKDAY(DATE(YEAR(C469-WEEKDAY(C469,2)+4),1,3),2)+5)/7),"00"))</f>
        <v/>
      </c>
    </row>
    <row r="470" ht="18" customHeight="1">
      <c r="A470" s="39" t="n">
        <v>465</v>
      </c>
      <c r="B470" s="33">
        <f>IF(C470="","",IF(P470="À RENSEIGNER","GIC",P470)&amp;"-V"&amp;TEXT(A470,"00000"))</f>
        <v/>
      </c>
      <c r="C470" s="32" t="n"/>
      <c r="D470" s="35" t="n"/>
      <c r="E470" s="36" t="n"/>
      <c r="F470" s="36" t="n"/>
      <c r="G470" s="36" t="n"/>
      <c r="H470" s="36" t="n"/>
      <c r="I470" s="36" t="n"/>
      <c r="J470" s="37" t="n"/>
      <c r="K470" s="32" t="n"/>
      <c r="L470" s="36" t="n"/>
      <c r="M470" s="41" t="n"/>
      <c r="N470" s="41" t="n"/>
      <c r="O470" s="36" t="n"/>
      <c r="P470" s="33">
        <f>IF(C470="","",Commercial_Id)</f>
        <v/>
      </c>
      <c r="Q470" s="39">
        <f>IF(F470="","",IFERROR(VALUE(MID(F470,LEN(F470)-3,3)),""))</f>
        <v/>
      </c>
      <c r="R470" s="33">
        <f>IF(Q470="","",P470&amp;"|"&amp;Q470)</f>
        <v/>
      </c>
      <c r="S470" s="33">
        <f>IF(Q470="","",IF(P470="À RENSEIGNER","GIC",P470)&amp;"-"&amp;TEXT(Q470,"000"))</f>
        <v/>
      </c>
      <c r="T470" s="33">
        <f>IF(R470="","",IFERROR(INDEX(Cl_nom,MATCH(R470,Cl_cle,0)),"(client introuvable)"))</f>
        <v/>
      </c>
      <c r="U470" s="33">
        <f>IF(R470="","",IFERROR(INDEX(Cl_quartier,MATCH(R470,Cl_cle,0))&amp;"",""))</f>
        <v/>
      </c>
      <c r="V470" s="34">
        <f>IF(C470="","",YEAR(C470-WEEKDAY(C470,2)+4)&amp;"-S"&amp;TEXT(INT((C470-DATE(YEAR(C470-WEEKDAY(C470,2)+4),1,3)+WEEKDAY(DATE(YEAR(C470-WEEKDAY(C470,2)+4),1,3),2)+5)/7),"00"))</f>
        <v/>
      </c>
    </row>
    <row r="471" ht="18" customHeight="1">
      <c r="A471" s="39" t="n">
        <v>466</v>
      </c>
      <c r="B471" s="33">
        <f>IF(C471="","",IF(P471="À RENSEIGNER","GIC",P471)&amp;"-V"&amp;TEXT(A471,"00000"))</f>
        <v/>
      </c>
      <c r="C471" s="32" t="n"/>
      <c r="D471" s="35" t="n"/>
      <c r="E471" s="36" t="n"/>
      <c r="F471" s="36" t="n"/>
      <c r="G471" s="36" t="n"/>
      <c r="H471" s="36" t="n"/>
      <c r="I471" s="36" t="n"/>
      <c r="J471" s="37" t="n"/>
      <c r="K471" s="32" t="n"/>
      <c r="L471" s="36" t="n"/>
      <c r="M471" s="41" t="n"/>
      <c r="N471" s="41" t="n"/>
      <c r="O471" s="36" t="n"/>
      <c r="P471" s="33">
        <f>IF(C471="","",Commercial_Id)</f>
        <v/>
      </c>
      <c r="Q471" s="39">
        <f>IF(F471="","",IFERROR(VALUE(MID(F471,LEN(F471)-3,3)),""))</f>
        <v/>
      </c>
      <c r="R471" s="33">
        <f>IF(Q471="","",P471&amp;"|"&amp;Q471)</f>
        <v/>
      </c>
      <c r="S471" s="33">
        <f>IF(Q471="","",IF(P471="À RENSEIGNER","GIC",P471)&amp;"-"&amp;TEXT(Q471,"000"))</f>
        <v/>
      </c>
      <c r="T471" s="33">
        <f>IF(R471="","",IFERROR(INDEX(Cl_nom,MATCH(R471,Cl_cle,0)),"(client introuvable)"))</f>
        <v/>
      </c>
      <c r="U471" s="33">
        <f>IF(R471="","",IFERROR(INDEX(Cl_quartier,MATCH(R471,Cl_cle,0))&amp;"",""))</f>
        <v/>
      </c>
      <c r="V471" s="34">
        <f>IF(C471="","",YEAR(C471-WEEKDAY(C471,2)+4)&amp;"-S"&amp;TEXT(INT((C471-DATE(YEAR(C471-WEEKDAY(C471,2)+4),1,3)+WEEKDAY(DATE(YEAR(C471-WEEKDAY(C471,2)+4),1,3),2)+5)/7),"00"))</f>
        <v/>
      </c>
    </row>
    <row r="472" ht="18" customHeight="1">
      <c r="A472" s="39" t="n">
        <v>467</v>
      </c>
      <c r="B472" s="33">
        <f>IF(C472="","",IF(P472="À RENSEIGNER","GIC",P472)&amp;"-V"&amp;TEXT(A472,"00000"))</f>
        <v/>
      </c>
      <c r="C472" s="32" t="n"/>
      <c r="D472" s="35" t="n"/>
      <c r="E472" s="36" t="n"/>
      <c r="F472" s="36" t="n"/>
      <c r="G472" s="36" t="n"/>
      <c r="H472" s="36" t="n"/>
      <c r="I472" s="36" t="n"/>
      <c r="J472" s="37" t="n"/>
      <c r="K472" s="32" t="n"/>
      <c r="L472" s="36" t="n"/>
      <c r="M472" s="41" t="n"/>
      <c r="N472" s="41" t="n"/>
      <c r="O472" s="36" t="n"/>
      <c r="P472" s="33">
        <f>IF(C472="","",Commercial_Id)</f>
        <v/>
      </c>
      <c r="Q472" s="39">
        <f>IF(F472="","",IFERROR(VALUE(MID(F472,LEN(F472)-3,3)),""))</f>
        <v/>
      </c>
      <c r="R472" s="33">
        <f>IF(Q472="","",P472&amp;"|"&amp;Q472)</f>
        <v/>
      </c>
      <c r="S472" s="33">
        <f>IF(Q472="","",IF(P472="À RENSEIGNER","GIC",P472)&amp;"-"&amp;TEXT(Q472,"000"))</f>
        <v/>
      </c>
      <c r="T472" s="33">
        <f>IF(R472="","",IFERROR(INDEX(Cl_nom,MATCH(R472,Cl_cle,0)),"(client introuvable)"))</f>
        <v/>
      </c>
      <c r="U472" s="33">
        <f>IF(R472="","",IFERROR(INDEX(Cl_quartier,MATCH(R472,Cl_cle,0))&amp;"",""))</f>
        <v/>
      </c>
      <c r="V472" s="34">
        <f>IF(C472="","",YEAR(C472-WEEKDAY(C472,2)+4)&amp;"-S"&amp;TEXT(INT((C472-DATE(YEAR(C472-WEEKDAY(C472,2)+4),1,3)+WEEKDAY(DATE(YEAR(C472-WEEKDAY(C472,2)+4),1,3),2)+5)/7),"00"))</f>
        <v/>
      </c>
    </row>
    <row r="473" ht="18" customHeight="1">
      <c r="A473" s="39" t="n">
        <v>468</v>
      </c>
      <c r="B473" s="33">
        <f>IF(C473="","",IF(P473="À RENSEIGNER","GIC",P473)&amp;"-V"&amp;TEXT(A473,"00000"))</f>
        <v/>
      </c>
      <c r="C473" s="32" t="n"/>
      <c r="D473" s="35" t="n"/>
      <c r="E473" s="36" t="n"/>
      <c r="F473" s="36" t="n"/>
      <c r="G473" s="36" t="n"/>
      <c r="H473" s="36" t="n"/>
      <c r="I473" s="36" t="n"/>
      <c r="J473" s="37" t="n"/>
      <c r="K473" s="32" t="n"/>
      <c r="L473" s="36" t="n"/>
      <c r="M473" s="41" t="n"/>
      <c r="N473" s="41" t="n"/>
      <c r="O473" s="36" t="n"/>
      <c r="P473" s="33">
        <f>IF(C473="","",Commercial_Id)</f>
        <v/>
      </c>
      <c r="Q473" s="39">
        <f>IF(F473="","",IFERROR(VALUE(MID(F473,LEN(F473)-3,3)),""))</f>
        <v/>
      </c>
      <c r="R473" s="33">
        <f>IF(Q473="","",P473&amp;"|"&amp;Q473)</f>
        <v/>
      </c>
      <c r="S473" s="33">
        <f>IF(Q473="","",IF(P473="À RENSEIGNER","GIC",P473)&amp;"-"&amp;TEXT(Q473,"000"))</f>
        <v/>
      </c>
      <c r="T473" s="33">
        <f>IF(R473="","",IFERROR(INDEX(Cl_nom,MATCH(R473,Cl_cle,0)),"(client introuvable)"))</f>
        <v/>
      </c>
      <c r="U473" s="33">
        <f>IF(R473="","",IFERROR(INDEX(Cl_quartier,MATCH(R473,Cl_cle,0))&amp;"",""))</f>
        <v/>
      </c>
      <c r="V473" s="34">
        <f>IF(C473="","",YEAR(C473-WEEKDAY(C473,2)+4)&amp;"-S"&amp;TEXT(INT((C473-DATE(YEAR(C473-WEEKDAY(C473,2)+4),1,3)+WEEKDAY(DATE(YEAR(C473-WEEKDAY(C473,2)+4),1,3),2)+5)/7),"00"))</f>
        <v/>
      </c>
    </row>
    <row r="474" ht="18" customHeight="1">
      <c r="A474" s="39" t="n">
        <v>469</v>
      </c>
      <c r="B474" s="33">
        <f>IF(C474="","",IF(P474="À RENSEIGNER","GIC",P474)&amp;"-V"&amp;TEXT(A474,"00000"))</f>
        <v/>
      </c>
      <c r="C474" s="32" t="n"/>
      <c r="D474" s="35" t="n"/>
      <c r="E474" s="36" t="n"/>
      <c r="F474" s="36" t="n"/>
      <c r="G474" s="36" t="n"/>
      <c r="H474" s="36" t="n"/>
      <c r="I474" s="36" t="n"/>
      <c r="J474" s="37" t="n"/>
      <c r="K474" s="32" t="n"/>
      <c r="L474" s="36" t="n"/>
      <c r="M474" s="41" t="n"/>
      <c r="N474" s="41" t="n"/>
      <c r="O474" s="36" t="n"/>
      <c r="P474" s="33">
        <f>IF(C474="","",Commercial_Id)</f>
        <v/>
      </c>
      <c r="Q474" s="39">
        <f>IF(F474="","",IFERROR(VALUE(MID(F474,LEN(F474)-3,3)),""))</f>
        <v/>
      </c>
      <c r="R474" s="33">
        <f>IF(Q474="","",P474&amp;"|"&amp;Q474)</f>
        <v/>
      </c>
      <c r="S474" s="33">
        <f>IF(Q474="","",IF(P474="À RENSEIGNER","GIC",P474)&amp;"-"&amp;TEXT(Q474,"000"))</f>
        <v/>
      </c>
      <c r="T474" s="33">
        <f>IF(R474="","",IFERROR(INDEX(Cl_nom,MATCH(R474,Cl_cle,0)),"(client introuvable)"))</f>
        <v/>
      </c>
      <c r="U474" s="33">
        <f>IF(R474="","",IFERROR(INDEX(Cl_quartier,MATCH(R474,Cl_cle,0))&amp;"",""))</f>
        <v/>
      </c>
      <c r="V474" s="34">
        <f>IF(C474="","",YEAR(C474-WEEKDAY(C474,2)+4)&amp;"-S"&amp;TEXT(INT((C474-DATE(YEAR(C474-WEEKDAY(C474,2)+4),1,3)+WEEKDAY(DATE(YEAR(C474-WEEKDAY(C474,2)+4),1,3),2)+5)/7),"00"))</f>
        <v/>
      </c>
    </row>
    <row r="475" ht="18" customHeight="1">
      <c r="A475" s="39" t="n">
        <v>470</v>
      </c>
      <c r="B475" s="33">
        <f>IF(C475="","",IF(P475="À RENSEIGNER","GIC",P475)&amp;"-V"&amp;TEXT(A475,"00000"))</f>
        <v/>
      </c>
      <c r="C475" s="32" t="n"/>
      <c r="D475" s="35" t="n"/>
      <c r="E475" s="36" t="n"/>
      <c r="F475" s="36" t="n"/>
      <c r="G475" s="36" t="n"/>
      <c r="H475" s="36" t="n"/>
      <c r="I475" s="36" t="n"/>
      <c r="J475" s="37" t="n"/>
      <c r="K475" s="32" t="n"/>
      <c r="L475" s="36" t="n"/>
      <c r="M475" s="41" t="n"/>
      <c r="N475" s="41" t="n"/>
      <c r="O475" s="36" t="n"/>
      <c r="P475" s="33">
        <f>IF(C475="","",Commercial_Id)</f>
        <v/>
      </c>
      <c r="Q475" s="39">
        <f>IF(F475="","",IFERROR(VALUE(MID(F475,LEN(F475)-3,3)),""))</f>
        <v/>
      </c>
      <c r="R475" s="33">
        <f>IF(Q475="","",P475&amp;"|"&amp;Q475)</f>
        <v/>
      </c>
      <c r="S475" s="33">
        <f>IF(Q475="","",IF(P475="À RENSEIGNER","GIC",P475)&amp;"-"&amp;TEXT(Q475,"000"))</f>
        <v/>
      </c>
      <c r="T475" s="33">
        <f>IF(R475="","",IFERROR(INDEX(Cl_nom,MATCH(R475,Cl_cle,0)),"(client introuvable)"))</f>
        <v/>
      </c>
      <c r="U475" s="33">
        <f>IF(R475="","",IFERROR(INDEX(Cl_quartier,MATCH(R475,Cl_cle,0))&amp;"",""))</f>
        <v/>
      </c>
      <c r="V475" s="34">
        <f>IF(C475="","",YEAR(C475-WEEKDAY(C475,2)+4)&amp;"-S"&amp;TEXT(INT((C475-DATE(YEAR(C475-WEEKDAY(C475,2)+4),1,3)+WEEKDAY(DATE(YEAR(C475-WEEKDAY(C475,2)+4),1,3),2)+5)/7),"00"))</f>
        <v/>
      </c>
    </row>
    <row r="476" ht="18" customHeight="1">
      <c r="A476" s="39" t="n">
        <v>471</v>
      </c>
      <c r="B476" s="33">
        <f>IF(C476="","",IF(P476="À RENSEIGNER","GIC",P476)&amp;"-V"&amp;TEXT(A476,"00000"))</f>
        <v/>
      </c>
      <c r="C476" s="32" t="n"/>
      <c r="D476" s="35" t="n"/>
      <c r="E476" s="36" t="n"/>
      <c r="F476" s="36" t="n"/>
      <c r="G476" s="36" t="n"/>
      <c r="H476" s="36" t="n"/>
      <c r="I476" s="36" t="n"/>
      <c r="J476" s="37" t="n"/>
      <c r="K476" s="32" t="n"/>
      <c r="L476" s="36" t="n"/>
      <c r="M476" s="41" t="n"/>
      <c r="N476" s="41" t="n"/>
      <c r="O476" s="36" t="n"/>
      <c r="P476" s="33">
        <f>IF(C476="","",Commercial_Id)</f>
        <v/>
      </c>
      <c r="Q476" s="39">
        <f>IF(F476="","",IFERROR(VALUE(MID(F476,LEN(F476)-3,3)),""))</f>
        <v/>
      </c>
      <c r="R476" s="33">
        <f>IF(Q476="","",P476&amp;"|"&amp;Q476)</f>
        <v/>
      </c>
      <c r="S476" s="33">
        <f>IF(Q476="","",IF(P476="À RENSEIGNER","GIC",P476)&amp;"-"&amp;TEXT(Q476,"000"))</f>
        <v/>
      </c>
      <c r="T476" s="33">
        <f>IF(R476="","",IFERROR(INDEX(Cl_nom,MATCH(R476,Cl_cle,0)),"(client introuvable)"))</f>
        <v/>
      </c>
      <c r="U476" s="33">
        <f>IF(R476="","",IFERROR(INDEX(Cl_quartier,MATCH(R476,Cl_cle,0))&amp;"",""))</f>
        <v/>
      </c>
      <c r="V476" s="34">
        <f>IF(C476="","",YEAR(C476-WEEKDAY(C476,2)+4)&amp;"-S"&amp;TEXT(INT((C476-DATE(YEAR(C476-WEEKDAY(C476,2)+4),1,3)+WEEKDAY(DATE(YEAR(C476-WEEKDAY(C476,2)+4),1,3),2)+5)/7),"00"))</f>
        <v/>
      </c>
    </row>
    <row r="477" ht="18" customHeight="1">
      <c r="A477" s="39" t="n">
        <v>472</v>
      </c>
      <c r="B477" s="33">
        <f>IF(C477="","",IF(P477="À RENSEIGNER","GIC",P477)&amp;"-V"&amp;TEXT(A477,"00000"))</f>
        <v/>
      </c>
      <c r="C477" s="32" t="n"/>
      <c r="D477" s="35" t="n"/>
      <c r="E477" s="36" t="n"/>
      <c r="F477" s="36" t="n"/>
      <c r="G477" s="36" t="n"/>
      <c r="H477" s="36" t="n"/>
      <c r="I477" s="36" t="n"/>
      <c r="J477" s="37" t="n"/>
      <c r="K477" s="32" t="n"/>
      <c r="L477" s="36" t="n"/>
      <c r="M477" s="41" t="n"/>
      <c r="N477" s="41" t="n"/>
      <c r="O477" s="36" t="n"/>
      <c r="P477" s="33">
        <f>IF(C477="","",Commercial_Id)</f>
        <v/>
      </c>
      <c r="Q477" s="39">
        <f>IF(F477="","",IFERROR(VALUE(MID(F477,LEN(F477)-3,3)),""))</f>
        <v/>
      </c>
      <c r="R477" s="33">
        <f>IF(Q477="","",P477&amp;"|"&amp;Q477)</f>
        <v/>
      </c>
      <c r="S477" s="33">
        <f>IF(Q477="","",IF(P477="À RENSEIGNER","GIC",P477)&amp;"-"&amp;TEXT(Q477,"000"))</f>
        <v/>
      </c>
      <c r="T477" s="33">
        <f>IF(R477="","",IFERROR(INDEX(Cl_nom,MATCH(R477,Cl_cle,0)),"(client introuvable)"))</f>
        <v/>
      </c>
      <c r="U477" s="33">
        <f>IF(R477="","",IFERROR(INDEX(Cl_quartier,MATCH(R477,Cl_cle,0))&amp;"",""))</f>
        <v/>
      </c>
      <c r="V477" s="34">
        <f>IF(C477="","",YEAR(C477-WEEKDAY(C477,2)+4)&amp;"-S"&amp;TEXT(INT((C477-DATE(YEAR(C477-WEEKDAY(C477,2)+4),1,3)+WEEKDAY(DATE(YEAR(C477-WEEKDAY(C477,2)+4),1,3),2)+5)/7),"00"))</f>
        <v/>
      </c>
    </row>
    <row r="478" ht="18" customHeight="1">
      <c r="A478" s="39" t="n">
        <v>473</v>
      </c>
      <c r="B478" s="33">
        <f>IF(C478="","",IF(P478="À RENSEIGNER","GIC",P478)&amp;"-V"&amp;TEXT(A478,"00000"))</f>
        <v/>
      </c>
      <c r="C478" s="32" t="n"/>
      <c r="D478" s="35" t="n"/>
      <c r="E478" s="36" t="n"/>
      <c r="F478" s="36" t="n"/>
      <c r="G478" s="36" t="n"/>
      <c r="H478" s="36" t="n"/>
      <c r="I478" s="36" t="n"/>
      <c r="J478" s="37" t="n"/>
      <c r="K478" s="32" t="n"/>
      <c r="L478" s="36" t="n"/>
      <c r="M478" s="41" t="n"/>
      <c r="N478" s="41" t="n"/>
      <c r="O478" s="36" t="n"/>
      <c r="P478" s="33">
        <f>IF(C478="","",Commercial_Id)</f>
        <v/>
      </c>
      <c r="Q478" s="39">
        <f>IF(F478="","",IFERROR(VALUE(MID(F478,LEN(F478)-3,3)),""))</f>
        <v/>
      </c>
      <c r="R478" s="33">
        <f>IF(Q478="","",P478&amp;"|"&amp;Q478)</f>
        <v/>
      </c>
      <c r="S478" s="33">
        <f>IF(Q478="","",IF(P478="À RENSEIGNER","GIC",P478)&amp;"-"&amp;TEXT(Q478,"000"))</f>
        <v/>
      </c>
      <c r="T478" s="33">
        <f>IF(R478="","",IFERROR(INDEX(Cl_nom,MATCH(R478,Cl_cle,0)),"(client introuvable)"))</f>
        <v/>
      </c>
      <c r="U478" s="33">
        <f>IF(R478="","",IFERROR(INDEX(Cl_quartier,MATCH(R478,Cl_cle,0))&amp;"",""))</f>
        <v/>
      </c>
      <c r="V478" s="34">
        <f>IF(C478="","",YEAR(C478-WEEKDAY(C478,2)+4)&amp;"-S"&amp;TEXT(INT((C478-DATE(YEAR(C478-WEEKDAY(C478,2)+4),1,3)+WEEKDAY(DATE(YEAR(C478-WEEKDAY(C478,2)+4),1,3),2)+5)/7),"00"))</f>
        <v/>
      </c>
    </row>
    <row r="479" ht="18" customHeight="1">
      <c r="A479" s="39" t="n">
        <v>474</v>
      </c>
      <c r="B479" s="33">
        <f>IF(C479="","",IF(P479="À RENSEIGNER","GIC",P479)&amp;"-V"&amp;TEXT(A479,"00000"))</f>
        <v/>
      </c>
      <c r="C479" s="32" t="n"/>
      <c r="D479" s="35" t="n"/>
      <c r="E479" s="36" t="n"/>
      <c r="F479" s="36" t="n"/>
      <c r="G479" s="36" t="n"/>
      <c r="H479" s="36" t="n"/>
      <c r="I479" s="36" t="n"/>
      <c r="J479" s="37" t="n"/>
      <c r="K479" s="32" t="n"/>
      <c r="L479" s="36" t="n"/>
      <c r="M479" s="41" t="n"/>
      <c r="N479" s="41" t="n"/>
      <c r="O479" s="36" t="n"/>
      <c r="P479" s="33">
        <f>IF(C479="","",Commercial_Id)</f>
        <v/>
      </c>
      <c r="Q479" s="39">
        <f>IF(F479="","",IFERROR(VALUE(MID(F479,LEN(F479)-3,3)),""))</f>
        <v/>
      </c>
      <c r="R479" s="33">
        <f>IF(Q479="","",P479&amp;"|"&amp;Q479)</f>
        <v/>
      </c>
      <c r="S479" s="33">
        <f>IF(Q479="","",IF(P479="À RENSEIGNER","GIC",P479)&amp;"-"&amp;TEXT(Q479,"000"))</f>
        <v/>
      </c>
      <c r="T479" s="33">
        <f>IF(R479="","",IFERROR(INDEX(Cl_nom,MATCH(R479,Cl_cle,0)),"(client introuvable)"))</f>
        <v/>
      </c>
      <c r="U479" s="33">
        <f>IF(R479="","",IFERROR(INDEX(Cl_quartier,MATCH(R479,Cl_cle,0))&amp;"",""))</f>
        <v/>
      </c>
      <c r="V479" s="34">
        <f>IF(C479="","",YEAR(C479-WEEKDAY(C479,2)+4)&amp;"-S"&amp;TEXT(INT((C479-DATE(YEAR(C479-WEEKDAY(C479,2)+4),1,3)+WEEKDAY(DATE(YEAR(C479-WEEKDAY(C479,2)+4),1,3),2)+5)/7),"00"))</f>
        <v/>
      </c>
    </row>
    <row r="480" ht="18" customHeight="1">
      <c r="A480" s="39" t="n">
        <v>475</v>
      </c>
      <c r="B480" s="33">
        <f>IF(C480="","",IF(P480="À RENSEIGNER","GIC",P480)&amp;"-V"&amp;TEXT(A480,"00000"))</f>
        <v/>
      </c>
      <c r="C480" s="32" t="n"/>
      <c r="D480" s="35" t="n"/>
      <c r="E480" s="36" t="n"/>
      <c r="F480" s="36" t="n"/>
      <c r="G480" s="36" t="n"/>
      <c r="H480" s="36" t="n"/>
      <c r="I480" s="36" t="n"/>
      <c r="J480" s="37" t="n"/>
      <c r="K480" s="32" t="n"/>
      <c r="L480" s="36" t="n"/>
      <c r="M480" s="41" t="n"/>
      <c r="N480" s="41" t="n"/>
      <c r="O480" s="36" t="n"/>
      <c r="P480" s="33">
        <f>IF(C480="","",Commercial_Id)</f>
        <v/>
      </c>
      <c r="Q480" s="39">
        <f>IF(F480="","",IFERROR(VALUE(MID(F480,LEN(F480)-3,3)),""))</f>
        <v/>
      </c>
      <c r="R480" s="33">
        <f>IF(Q480="","",P480&amp;"|"&amp;Q480)</f>
        <v/>
      </c>
      <c r="S480" s="33">
        <f>IF(Q480="","",IF(P480="À RENSEIGNER","GIC",P480)&amp;"-"&amp;TEXT(Q480,"000"))</f>
        <v/>
      </c>
      <c r="T480" s="33">
        <f>IF(R480="","",IFERROR(INDEX(Cl_nom,MATCH(R480,Cl_cle,0)),"(client introuvable)"))</f>
        <v/>
      </c>
      <c r="U480" s="33">
        <f>IF(R480="","",IFERROR(INDEX(Cl_quartier,MATCH(R480,Cl_cle,0))&amp;"",""))</f>
        <v/>
      </c>
      <c r="V480" s="34">
        <f>IF(C480="","",YEAR(C480-WEEKDAY(C480,2)+4)&amp;"-S"&amp;TEXT(INT((C480-DATE(YEAR(C480-WEEKDAY(C480,2)+4),1,3)+WEEKDAY(DATE(YEAR(C480-WEEKDAY(C480,2)+4),1,3),2)+5)/7),"00"))</f>
        <v/>
      </c>
    </row>
    <row r="481" ht="18" customHeight="1">
      <c r="A481" s="39" t="n">
        <v>476</v>
      </c>
      <c r="B481" s="33">
        <f>IF(C481="","",IF(P481="À RENSEIGNER","GIC",P481)&amp;"-V"&amp;TEXT(A481,"00000"))</f>
        <v/>
      </c>
      <c r="C481" s="32" t="n"/>
      <c r="D481" s="35" t="n"/>
      <c r="E481" s="36" t="n"/>
      <c r="F481" s="36" t="n"/>
      <c r="G481" s="36" t="n"/>
      <c r="H481" s="36" t="n"/>
      <c r="I481" s="36" t="n"/>
      <c r="J481" s="37" t="n"/>
      <c r="K481" s="32" t="n"/>
      <c r="L481" s="36" t="n"/>
      <c r="M481" s="41" t="n"/>
      <c r="N481" s="41" t="n"/>
      <c r="O481" s="36" t="n"/>
      <c r="P481" s="33">
        <f>IF(C481="","",Commercial_Id)</f>
        <v/>
      </c>
      <c r="Q481" s="39">
        <f>IF(F481="","",IFERROR(VALUE(MID(F481,LEN(F481)-3,3)),""))</f>
        <v/>
      </c>
      <c r="R481" s="33">
        <f>IF(Q481="","",P481&amp;"|"&amp;Q481)</f>
        <v/>
      </c>
      <c r="S481" s="33">
        <f>IF(Q481="","",IF(P481="À RENSEIGNER","GIC",P481)&amp;"-"&amp;TEXT(Q481,"000"))</f>
        <v/>
      </c>
      <c r="T481" s="33">
        <f>IF(R481="","",IFERROR(INDEX(Cl_nom,MATCH(R481,Cl_cle,0)),"(client introuvable)"))</f>
        <v/>
      </c>
      <c r="U481" s="33">
        <f>IF(R481="","",IFERROR(INDEX(Cl_quartier,MATCH(R481,Cl_cle,0))&amp;"",""))</f>
        <v/>
      </c>
      <c r="V481" s="34">
        <f>IF(C481="","",YEAR(C481-WEEKDAY(C481,2)+4)&amp;"-S"&amp;TEXT(INT((C481-DATE(YEAR(C481-WEEKDAY(C481,2)+4),1,3)+WEEKDAY(DATE(YEAR(C481-WEEKDAY(C481,2)+4),1,3),2)+5)/7),"00"))</f>
        <v/>
      </c>
    </row>
    <row r="482" ht="18" customHeight="1">
      <c r="A482" s="39" t="n">
        <v>477</v>
      </c>
      <c r="B482" s="33">
        <f>IF(C482="","",IF(P482="À RENSEIGNER","GIC",P482)&amp;"-V"&amp;TEXT(A482,"00000"))</f>
        <v/>
      </c>
      <c r="C482" s="32" t="n"/>
      <c r="D482" s="35" t="n"/>
      <c r="E482" s="36" t="n"/>
      <c r="F482" s="36" t="n"/>
      <c r="G482" s="36" t="n"/>
      <c r="H482" s="36" t="n"/>
      <c r="I482" s="36" t="n"/>
      <c r="J482" s="37" t="n"/>
      <c r="K482" s="32" t="n"/>
      <c r="L482" s="36" t="n"/>
      <c r="M482" s="41" t="n"/>
      <c r="N482" s="41" t="n"/>
      <c r="O482" s="36" t="n"/>
      <c r="P482" s="33">
        <f>IF(C482="","",Commercial_Id)</f>
        <v/>
      </c>
      <c r="Q482" s="39">
        <f>IF(F482="","",IFERROR(VALUE(MID(F482,LEN(F482)-3,3)),""))</f>
        <v/>
      </c>
      <c r="R482" s="33">
        <f>IF(Q482="","",P482&amp;"|"&amp;Q482)</f>
        <v/>
      </c>
      <c r="S482" s="33">
        <f>IF(Q482="","",IF(P482="À RENSEIGNER","GIC",P482)&amp;"-"&amp;TEXT(Q482,"000"))</f>
        <v/>
      </c>
      <c r="T482" s="33">
        <f>IF(R482="","",IFERROR(INDEX(Cl_nom,MATCH(R482,Cl_cle,0)),"(client introuvable)"))</f>
        <v/>
      </c>
      <c r="U482" s="33">
        <f>IF(R482="","",IFERROR(INDEX(Cl_quartier,MATCH(R482,Cl_cle,0))&amp;"",""))</f>
        <v/>
      </c>
      <c r="V482" s="34">
        <f>IF(C482="","",YEAR(C482-WEEKDAY(C482,2)+4)&amp;"-S"&amp;TEXT(INT((C482-DATE(YEAR(C482-WEEKDAY(C482,2)+4),1,3)+WEEKDAY(DATE(YEAR(C482-WEEKDAY(C482,2)+4),1,3),2)+5)/7),"00"))</f>
        <v/>
      </c>
    </row>
    <row r="483" ht="18" customHeight="1">
      <c r="A483" s="39" t="n">
        <v>478</v>
      </c>
      <c r="B483" s="33">
        <f>IF(C483="","",IF(P483="À RENSEIGNER","GIC",P483)&amp;"-V"&amp;TEXT(A483,"00000"))</f>
        <v/>
      </c>
      <c r="C483" s="32" t="n"/>
      <c r="D483" s="35" t="n"/>
      <c r="E483" s="36" t="n"/>
      <c r="F483" s="36" t="n"/>
      <c r="G483" s="36" t="n"/>
      <c r="H483" s="36" t="n"/>
      <c r="I483" s="36" t="n"/>
      <c r="J483" s="37" t="n"/>
      <c r="K483" s="32" t="n"/>
      <c r="L483" s="36" t="n"/>
      <c r="M483" s="41" t="n"/>
      <c r="N483" s="41" t="n"/>
      <c r="O483" s="36" t="n"/>
      <c r="P483" s="33">
        <f>IF(C483="","",Commercial_Id)</f>
        <v/>
      </c>
      <c r="Q483" s="39">
        <f>IF(F483="","",IFERROR(VALUE(MID(F483,LEN(F483)-3,3)),""))</f>
        <v/>
      </c>
      <c r="R483" s="33">
        <f>IF(Q483="","",P483&amp;"|"&amp;Q483)</f>
        <v/>
      </c>
      <c r="S483" s="33">
        <f>IF(Q483="","",IF(P483="À RENSEIGNER","GIC",P483)&amp;"-"&amp;TEXT(Q483,"000"))</f>
        <v/>
      </c>
      <c r="T483" s="33">
        <f>IF(R483="","",IFERROR(INDEX(Cl_nom,MATCH(R483,Cl_cle,0)),"(client introuvable)"))</f>
        <v/>
      </c>
      <c r="U483" s="33">
        <f>IF(R483="","",IFERROR(INDEX(Cl_quartier,MATCH(R483,Cl_cle,0))&amp;"",""))</f>
        <v/>
      </c>
      <c r="V483" s="34">
        <f>IF(C483="","",YEAR(C483-WEEKDAY(C483,2)+4)&amp;"-S"&amp;TEXT(INT((C483-DATE(YEAR(C483-WEEKDAY(C483,2)+4),1,3)+WEEKDAY(DATE(YEAR(C483-WEEKDAY(C483,2)+4),1,3),2)+5)/7),"00"))</f>
        <v/>
      </c>
    </row>
    <row r="484" ht="18" customHeight="1">
      <c r="A484" s="39" t="n">
        <v>479</v>
      </c>
      <c r="B484" s="33">
        <f>IF(C484="","",IF(P484="À RENSEIGNER","GIC",P484)&amp;"-V"&amp;TEXT(A484,"00000"))</f>
        <v/>
      </c>
      <c r="C484" s="32" t="n"/>
      <c r="D484" s="35" t="n"/>
      <c r="E484" s="36" t="n"/>
      <c r="F484" s="36" t="n"/>
      <c r="G484" s="36" t="n"/>
      <c r="H484" s="36" t="n"/>
      <c r="I484" s="36" t="n"/>
      <c r="J484" s="37" t="n"/>
      <c r="K484" s="32" t="n"/>
      <c r="L484" s="36" t="n"/>
      <c r="M484" s="41" t="n"/>
      <c r="N484" s="41" t="n"/>
      <c r="O484" s="36" t="n"/>
      <c r="P484" s="33">
        <f>IF(C484="","",Commercial_Id)</f>
        <v/>
      </c>
      <c r="Q484" s="39">
        <f>IF(F484="","",IFERROR(VALUE(MID(F484,LEN(F484)-3,3)),""))</f>
        <v/>
      </c>
      <c r="R484" s="33">
        <f>IF(Q484="","",P484&amp;"|"&amp;Q484)</f>
        <v/>
      </c>
      <c r="S484" s="33">
        <f>IF(Q484="","",IF(P484="À RENSEIGNER","GIC",P484)&amp;"-"&amp;TEXT(Q484,"000"))</f>
        <v/>
      </c>
      <c r="T484" s="33">
        <f>IF(R484="","",IFERROR(INDEX(Cl_nom,MATCH(R484,Cl_cle,0)),"(client introuvable)"))</f>
        <v/>
      </c>
      <c r="U484" s="33">
        <f>IF(R484="","",IFERROR(INDEX(Cl_quartier,MATCH(R484,Cl_cle,0))&amp;"",""))</f>
        <v/>
      </c>
      <c r="V484" s="34">
        <f>IF(C484="","",YEAR(C484-WEEKDAY(C484,2)+4)&amp;"-S"&amp;TEXT(INT((C484-DATE(YEAR(C484-WEEKDAY(C484,2)+4),1,3)+WEEKDAY(DATE(YEAR(C484-WEEKDAY(C484,2)+4),1,3),2)+5)/7),"00"))</f>
        <v/>
      </c>
    </row>
    <row r="485" ht="18" customHeight="1">
      <c r="A485" s="39" t="n">
        <v>480</v>
      </c>
      <c r="B485" s="33">
        <f>IF(C485="","",IF(P485="À RENSEIGNER","GIC",P485)&amp;"-V"&amp;TEXT(A485,"00000"))</f>
        <v/>
      </c>
      <c r="C485" s="32" t="n"/>
      <c r="D485" s="35" t="n"/>
      <c r="E485" s="36" t="n"/>
      <c r="F485" s="36" t="n"/>
      <c r="G485" s="36" t="n"/>
      <c r="H485" s="36" t="n"/>
      <c r="I485" s="36" t="n"/>
      <c r="J485" s="37" t="n"/>
      <c r="K485" s="32" t="n"/>
      <c r="L485" s="36" t="n"/>
      <c r="M485" s="41" t="n"/>
      <c r="N485" s="41" t="n"/>
      <c r="O485" s="36" t="n"/>
      <c r="P485" s="33">
        <f>IF(C485="","",Commercial_Id)</f>
        <v/>
      </c>
      <c r="Q485" s="39">
        <f>IF(F485="","",IFERROR(VALUE(MID(F485,LEN(F485)-3,3)),""))</f>
        <v/>
      </c>
      <c r="R485" s="33">
        <f>IF(Q485="","",P485&amp;"|"&amp;Q485)</f>
        <v/>
      </c>
      <c r="S485" s="33">
        <f>IF(Q485="","",IF(P485="À RENSEIGNER","GIC",P485)&amp;"-"&amp;TEXT(Q485,"000"))</f>
        <v/>
      </c>
      <c r="T485" s="33">
        <f>IF(R485="","",IFERROR(INDEX(Cl_nom,MATCH(R485,Cl_cle,0)),"(client introuvable)"))</f>
        <v/>
      </c>
      <c r="U485" s="33">
        <f>IF(R485="","",IFERROR(INDEX(Cl_quartier,MATCH(R485,Cl_cle,0))&amp;"",""))</f>
        <v/>
      </c>
      <c r="V485" s="34">
        <f>IF(C485="","",YEAR(C485-WEEKDAY(C485,2)+4)&amp;"-S"&amp;TEXT(INT((C485-DATE(YEAR(C485-WEEKDAY(C485,2)+4),1,3)+WEEKDAY(DATE(YEAR(C485-WEEKDAY(C485,2)+4),1,3),2)+5)/7),"00"))</f>
        <v/>
      </c>
    </row>
    <row r="486" ht="18" customHeight="1">
      <c r="A486" s="39" t="n">
        <v>481</v>
      </c>
      <c r="B486" s="33">
        <f>IF(C486="","",IF(P486="À RENSEIGNER","GIC",P486)&amp;"-V"&amp;TEXT(A486,"00000"))</f>
        <v/>
      </c>
      <c r="C486" s="32" t="n"/>
      <c r="D486" s="35" t="n"/>
      <c r="E486" s="36" t="n"/>
      <c r="F486" s="36" t="n"/>
      <c r="G486" s="36" t="n"/>
      <c r="H486" s="36" t="n"/>
      <c r="I486" s="36" t="n"/>
      <c r="J486" s="37" t="n"/>
      <c r="K486" s="32" t="n"/>
      <c r="L486" s="36" t="n"/>
      <c r="M486" s="41" t="n"/>
      <c r="N486" s="41" t="n"/>
      <c r="O486" s="36" t="n"/>
      <c r="P486" s="33">
        <f>IF(C486="","",Commercial_Id)</f>
        <v/>
      </c>
      <c r="Q486" s="39">
        <f>IF(F486="","",IFERROR(VALUE(MID(F486,LEN(F486)-3,3)),""))</f>
        <v/>
      </c>
      <c r="R486" s="33">
        <f>IF(Q486="","",P486&amp;"|"&amp;Q486)</f>
        <v/>
      </c>
      <c r="S486" s="33">
        <f>IF(Q486="","",IF(P486="À RENSEIGNER","GIC",P486)&amp;"-"&amp;TEXT(Q486,"000"))</f>
        <v/>
      </c>
      <c r="T486" s="33">
        <f>IF(R486="","",IFERROR(INDEX(Cl_nom,MATCH(R486,Cl_cle,0)),"(client introuvable)"))</f>
        <v/>
      </c>
      <c r="U486" s="33">
        <f>IF(R486="","",IFERROR(INDEX(Cl_quartier,MATCH(R486,Cl_cle,0))&amp;"",""))</f>
        <v/>
      </c>
      <c r="V486" s="34">
        <f>IF(C486="","",YEAR(C486-WEEKDAY(C486,2)+4)&amp;"-S"&amp;TEXT(INT((C486-DATE(YEAR(C486-WEEKDAY(C486,2)+4),1,3)+WEEKDAY(DATE(YEAR(C486-WEEKDAY(C486,2)+4),1,3),2)+5)/7),"00"))</f>
        <v/>
      </c>
    </row>
    <row r="487" ht="18" customHeight="1">
      <c r="A487" s="39" t="n">
        <v>482</v>
      </c>
      <c r="B487" s="33">
        <f>IF(C487="","",IF(P487="À RENSEIGNER","GIC",P487)&amp;"-V"&amp;TEXT(A487,"00000"))</f>
        <v/>
      </c>
      <c r="C487" s="32" t="n"/>
      <c r="D487" s="35" t="n"/>
      <c r="E487" s="36" t="n"/>
      <c r="F487" s="36" t="n"/>
      <c r="G487" s="36" t="n"/>
      <c r="H487" s="36" t="n"/>
      <c r="I487" s="36" t="n"/>
      <c r="J487" s="37" t="n"/>
      <c r="K487" s="32" t="n"/>
      <c r="L487" s="36" t="n"/>
      <c r="M487" s="41" t="n"/>
      <c r="N487" s="41" t="n"/>
      <c r="O487" s="36" t="n"/>
      <c r="P487" s="33">
        <f>IF(C487="","",Commercial_Id)</f>
        <v/>
      </c>
      <c r="Q487" s="39">
        <f>IF(F487="","",IFERROR(VALUE(MID(F487,LEN(F487)-3,3)),""))</f>
        <v/>
      </c>
      <c r="R487" s="33">
        <f>IF(Q487="","",P487&amp;"|"&amp;Q487)</f>
        <v/>
      </c>
      <c r="S487" s="33">
        <f>IF(Q487="","",IF(P487="À RENSEIGNER","GIC",P487)&amp;"-"&amp;TEXT(Q487,"000"))</f>
        <v/>
      </c>
      <c r="T487" s="33">
        <f>IF(R487="","",IFERROR(INDEX(Cl_nom,MATCH(R487,Cl_cle,0)),"(client introuvable)"))</f>
        <v/>
      </c>
      <c r="U487" s="33">
        <f>IF(R487="","",IFERROR(INDEX(Cl_quartier,MATCH(R487,Cl_cle,0))&amp;"",""))</f>
        <v/>
      </c>
      <c r="V487" s="34">
        <f>IF(C487="","",YEAR(C487-WEEKDAY(C487,2)+4)&amp;"-S"&amp;TEXT(INT((C487-DATE(YEAR(C487-WEEKDAY(C487,2)+4),1,3)+WEEKDAY(DATE(YEAR(C487-WEEKDAY(C487,2)+4),1,3),2)+5)/7),"00"))</f>
        <v/>
      </c>
    </row>
    <row r="488" ht="18" customHeight="1">
      <c r="A488" s="39" t="n">
        <v>483</v>
      </c>
      <c r="B488" s="33">
        <f>IF(C488="","",IF(P488="À RENSEIGNER","GIC",P488)&amp;"-V"&amp;TEXT(A488,"00000"))</f>
        <v/>
      </c>
      <c r="C488" s="32" t="n"/>
      <c r="D488" s="35" t="n"/>
      <c r="E488" s="36" t="n"/>
      <c r="F488" s="36" t="n"/>
      <c r="G488" s="36" t="n"/>
      <c r="H488" s="36" t="n"/>
      <c r="I488" s="36" t="n"/>
      <c r="J488" s="37" t="n"/>
      <c r="K488" s="32" t="n"/>
      <c r="L488" s="36" t="n"/>
      <c r="M488" s="41" t="n"/>
      <c r="N488" s="41" t="n"/>
      <c r="O488" s="36" t="n"/>
      <c r="P488" s="33">
        <f>IF(C488="","",Commercial_Id)</f>
        <v/>
      </c>
      <c r="Q488" s="39">
        <f>IF(F488="","",IFERROR(VALUE(MID(F488,LEN(F488)-3,3)),""))</f>
        <v/>
      </c>
      <c r="R488" s="33">
        <f>IF(Q488="","",P488&amp;"|"&amp;Q488)</f>
        <v/>
      </c>
      <c r="S488" s="33">
        <f>IF(Q488="","",IF(P488="À RENSEIGNER","GIC",P488)&amp;"-"&amp;TEXT(Q488,"000"))</f>
        <v/>
      </c>
      <c r="T488" s="33">
        <f>IF(R488="","",IFERROR(INDEX(Cl_nom,MATCH(R488,Cl_cle,0)),"(client introuvable)"))</f>
        <v/>
      </c>
      <c r="U488" s="33">
        <f>IF(R488="","",IFERROR(INDEX(Cl_quartier,MATCH(R488,Cl_cle,0))&amp;"",""))</f>
        <v/>
      </c>
      <c r="V488" s="34">
        <f>IF(C488="","",YEAR(C488-WEEKDAY(C488,2)+4)&amp;"-S"&amp;TEXT(INT((C488-DATE(YEAR(C488-WEEKDAY(C488,2)+4),1,3)+WEEKDAY(DATE(YEAR(C488-WEEKDAY(C488,2)+4),1,3),2)+5)/7),"00"))</f>
        <v/>
      </c>
    </row>
    <row r="489" ht="18" customHeight="1">
      <c r="A489" s="39" t="n">
        <v>484</v>
      </c>
      <c r="B489" s="33">
        <f>IF(C489="","",IF(P489="À RENSEIGNER","GIC",P489)&amp;"-V"&amp;TEXT(A489,"00000"))</f>
        <v/>
      </c>
      <c r="C489" s="32" t="n"/>
      <c r="D489" s="35" t="n"/>
      <c r="E489" s="36" t="n"/>
      <c r="F489" s="36" t="n"/>
      <c r="G489" s="36" t="n"/>
      <c r="H489" s="36" t="n"/>
      <c r="I489" s="36" t="n"/>
      <c r="J489" s="37" t="n"/>
      <c r="K489" s="32" t="n"/>
      <c r="L489" s="36" t="n"/>
      <c r="M489" s="41" t="n"/>
      <c r="N489" s="41" t="n"/>
      <c r="O489" s="36" t="n"/>
      <c r="P489" s="33">
        <f>IF(C489="","",Commercial_Id)</f>
        <v/>
      </c>
      <c r="Q489" s="39">
        <f>IF(F489="","",IFERROR(VALUE(MID(F489,LEN(F489)-3,3)),""))</f>
        <v/>
      </c>
      <c r="R489" s="33">
        <f>IF(Q489="","",P489&amp;"|"&amp;Q489)</f>
        <v/>
      </c>
      <c r="S489" s="33">
        <f>IF(Q489="","",IF(P489="À RENSEIGNER","GIC",P489)&amp;"-"&amp;TEXT(Q489,"000"))</f>
        <v/>
      </c>
      <c r="T489" s="33">
        <f>IF(R489="","",IFERROR(INDEX(Cl_nom,MATCH(R489,Cl_cle,0)),"(client introuvable)"))</f>
        <v/>
      </c>
      <c r="U489" s="33">
        <f>IF(R489="","",IFERROR(INDEX(Cl_quartier,MATCH(R489,Cl_cle,0))&amp;"",""))</f>
        <v/>
      </c>
      <c r="V489" s="34">
        <f>IF(C489="","",YEAR(C489-WEEKDAY(C489,2)+4)&amp;"-S"&amp;TEXT(INT((C489-DATE(YEAR(C489-WEEKDAY(C489,2)+4),1,3)+WEEKDAY(DATE(YEAR(C489-WEEKDAY(C489,2)+4),1,3),2)+5)/7),"00"))</f>
        <v/>
      </c>
    </row>
    <row r="490" ht="18" customHeight="1">
      <c r="A490" s="39" t="n">
        <v>485</v>
      </c>
      <c r="B490" s="33">
        <f>IF(C490="","",IF(P490="À RENSEIGNER","GIC",P490)&amp;"-V"&amp;TEXT(A490,"00000"))</f>
        <v/>
      </c>
      <c r="C490" s="32" t="n"/>
      <c r="D490" s="35" t="n"/>
      <c r="E490" s="36" t="n"/>
      <c r="F490" s="36" t="n"/>
      <c r="G490" s="36" t="n"/>
      <c r="H490" s="36" t="n"/>
      <c r="I490" s="36" t="n"/>
      <c r="J490" s="37" t="n"/>
      <c r="K490" s="32" t="n"/>
      <c r="L490" s="36" t="n"/>
      <c r="M490" s="41" t="n"/>
      <c r="N490" s="41" t="n"/>
      <c r="O490" s="36" t="n"/>
      <c r="P490" s="33">
        <f>IF(C490="","",Commercial_Id)</f>
        <v/>
      </c>
      <c r="Q490" s="39">
        <f>IF(F490="","",IFERROR(VALUE(MID(F490,LEN(F490)-3,3)),""))</f>
        <v/>
      </c>
      <c r="R490" s="33">
        <f>IF(Q490="","",P490&amp;"|"&amp;Q490)</f>
        <v/>
      </c>
      <c r="S490" s="33">
        <f>IF(Q490="","",IF(P490="À RENSEIGNER","GIC",P490)&amp;"-"&amp;TEXT(Q490,"000"))</f>
        <v/>
      </c>
      <c r="T490" s="33">
        <f>IF(R490="","",IFERROR(INDEX(Cl_nom,MATCH(R490,Cl_cle,0)),"(client introuvable)"))</f>
        <v/>
      </c>
      <c r="U490" s="33">
        <f>IF(R490="","",IFERROR(INDEX(Cl_quartier,MATCH(R490,Cl_cle,0))&amp;"",""))</f>
        <v/>
      </c>
      <c r="V490" s="34">
        <f>IF(C490="","",YEAR(C490-WEEKDAY(C490,2)+4)&amp;"-S"&amp;TEXT(INT((C490-DATE(YEAR(C490-WEEKDAY(C490,2)+4),1,3)+WEEKDAY(DATE(YEAR(C490-WEEKDAY(C490,2)+4),1,3),2)+5)/7),"00"))</f>
        <v/>
      </c>
    </row>
    <row r="491" ht="18" customHeight="1">
      <c r="A491" s="39" t="n">
        <v>486</v>
      </c>
      <c r="B491" s="33">
        <f>IF(C491="","",IF(P491="À RENSEIGNER","GIC",P491)&amp;"-V"&amp;TEXT(A491,"00000"))</f>
        <v/>
      </c>
      <c r="C491" s="32" t="n"/>
      <c r="D491" s="35" t="n"/>
      <c r="E491" s="36" t="n"/>
      <c r="F491" s="36" t="n"/>
      <c r="G491" s="36" t="n"/>
      <c r="H491" s="36" t="n"/>
      <c r="I491" s="36" t="n"/>
      <c r="J491" s="37" t="n"/>
      <c r="K491" s="32" t="n"/>
      <c r="L491" s="36" t="n"/>
      <c r="M491" s="41" t="n"/>
      <c r="N491" s="41" t="n"/>
      <c r="O491" s="36" t="n"/>
      <c r="P491" s="33">
        <f>IF(C491="","",Commercial_Id)</f>
        <v/>
      </c>
      <c r="Q491" s="39">
        <f>IF(F491="","",IFERROR(VALUE(MID(F491,LEN(F491)-3,3)),""))</f>
        <v/>
      </c>
      <c r="R491" s="33">
        <f>IF(Q491="","",P491&amp;"|"&amp;Q491)</f>
        <v/>
      </c>
      <c r="S491" s="33">
        <f>IF(Q491="","",IF(P491="À RENSEIGNER","GIC",P491)&amp;"-"&amp;TEXT(Q491,"000"))</f>
        <v/>
      </c>
      <c r="T491" s="33">
        <f>IF(R491="","",IFERROR(INDEX(Cl_nom,MATCH(R491,Cl_cle,0)),"(client introuvable)"))</f>
        <v/>
      </c>
      <c r="U491" s="33">
        <f>IF(R491="","",IFERROR(INDEX(Cl_quartier,MATCH(R491,Cl_cle,0))&amp;"",""))</f>
        <v/>
      </c>
      <c r="V491" s="34">
        <f>IF(C491="","",YEAR(C491-WEEKDAY(C491,2)+4)&amp;"-S"&amp;TEXT(INT((C491-DATE(YEAR(C491-WEEKDAY(C491,2)+4),1,3)+WEEKDAY(DATE(YEAR(C491-WEEKDAY(C491,2)+4),1,3),2)+5)/7),"00"))</f>
        <v/>
      </c>
    </row>
    <row r="492" ht="18" customHeight="1">
      <c r="A492" s="39" t="n">
        <v>487</v>
      </c>
      <c r="B492" s="33">
        <f>IF(C492="","",IF(P492="À RENSEIGNER","GIC",P492)&amp;"-V"&amp;TEXT(A492,"00000"))</f>
        <v/>
      </c>
      <c r="C492" s="32" t="n"/>
      <c r="D492" s="35" t="n"/>
      <c r="E492" s="36" t="n"/>
      <c r="F492" s="36" t="n"/>
      <c r="G492" s="36" t="n"/>
      <c r="H492" s="36" t="n"/>
      <c r="I492" s="36" t="n"/>
      <c r="J492" s="37" t="n"/>
      <c r="K492" s="32" t="n"/>
      <c r="L492" s="36" t="n"/>
      <c r="M492" s="41" t="n"/>
      <c r="N492" s="41" t="n"/>
      <c r="O492" s="36" t="n"/>
      <c r="P492" s="33">
        <f>IF(C492="","",Commercial_Id)</f>
        <v/>
      </c>
      <c r="Q492" s="39">
        <f>IF(F492="","",IFERROR(VALUE(MID(F492,LEN(F492)-3,3)),""))</f>
        <v/>
      </c>
      <c r="R492" s="33">
        <f>IF(Q492="","",P492&amp;"|"&amp;Q492)</f>
        <v/>
      </c>
      <c r="S492" s="33">
        <f>IF(Q492="","",IF(P492="À RENSEIGNER","GIC",P492)&amp;"-"&amp;TEXT(Q492,"000"))</f>
        <v/>
      </c>
      <c r="T492" s="33">
        <f>IF(R492="","",IFERROR(INDEX(Cl_nom,MATCH(R492,Cl_cle,0)),"(client introuvable)"))</f>
        <v/>
      </c>
      <c r="U492" s="33">
        <f>IF(R492="","",IFERROR(INDEX(Cl_quartier,MATCH(R492,Cl_cle,0))&amp;"",""))</f>
        <v/>
      </c>
      <c r="V492" s="34">
        <f>IF(C492="","",YEAR(C492-WEEKDAY(C492,2)+4)&amp;"-S"&amp;TEXT(INT((C492-DATE(YEAR(C492-WEEKDAY(C492,2)+4),1,3)+WEEKDAY(DATE(YEAR(C492-WEEKDAY(C492,2)+4),1,3),2)+5)/7),"00"))</f>
        <v/>
      </c>
    </row>
    <row r="493" ht="18" customHeight="1">
      <c r="A493" s="39" t="n">
        <v>488</v>
      </c>
      <c r="B493" s="33">
        <f>IF(C493="","",IF(P493="À RENSEIGNER","GIC",P493)&amp;"-V"&amp;TEXT(A493,"00000"))</f>
        <v/>
      </c>
      <c r="C493" s="32" t="n"/>
      <c r="D493" s="35" t="n"/>
      <c r="E493" s="36" t="n"/>
      <c r="F493" s="36" t="n"/>
      <c r="G493" s="36" t="n"/>
      <c r="H493" s="36" t="n"/>
      <c r="I493" s="36" t="n"/>
      <c r="J493" s="37" t="n"/>
      <c r="K493" s="32" t="n"/>
      <c r="L493" s="36" t="n"/>
      <c r="M493" s="41" t="n"/>
      <c r="N493" s="41" t="n"/>
      <c r="O493" s="36" t="n"/>
      <c r="P493" s="33">
        <f>IF(C493="","",Commercial_Id)</f>
        <v/>
      </c>
      <c r="Q493" s="39">
        <f>IF(F493="","",IFERROR(VALUE(MID(F493,LEN(F493)-3,3)),""))</f>
        <v/>
      </c>
      <c r="R493" s="33">
        <f>IF(Q493="","",P493&amp;"|"&amp;Q493)</f>
        <v/>
      </c>
      <c r="S493" s="33">
        <f>IF(Q493="","",IF(P493="À RENSEIGNER","GIC",P493)&amp;"-"&amp;TEXT(Q493,"000"))</f>
        <v/>
      </c>
      <c r="T493" s="33">
        <f>IF(R493="","",IFERROR(INDEX(Cl_nom,MATCH(R493,Cl_cle,0)),"(client introuvable)"))</f>
        <v/>
      </c>
      <c r="U493" s="33">
        <f>IF(R493="","",IFERROR(INDEX(Cl_quartier,MATCH(R493,Cl_cle,0))&amp;"",""))</f>
        <v/>
      </c>
      <c r="V493" s="34">
        <f>IF(C493="","",YEAR(C493-WEEKDAY(C493,2)+4)&amp;"-S"&amp;TEXT(INT((C493-DATE(YEAR(C493-WEEKDAY(C493,2)+4),1,3)+WEEKDAY(DATE(YEAR(C493-WEEKDAY(C493,2)+4),1,3),2)+5)/7),"00"))</f>
        <v/>
      </c>
    </row>
    <row r="494" ht="18" customHeight="1">
      <c r="A494" s="39" t="n">
        <v>489</v>
      </c>
      <c r="B494" s="33">
        <f>IF(C494="","",IF(P494="À RENSEIGNER","GIC",P494)&amp;"-V"&amp;TEXT(A494,"00000"))</f>
        <v/>
      </c>
      <c r="C494" s="32" t="n"/>
      <c r="D494" s="35" t="n"/>
      <c r="E494" s="36" t="n"/>
      <c r="F494" s="36" t="n"/>
      <c r="G494" s="36" t="n"/>
      <c r="H494" s="36" t="n"/>
      <c r="I494" s="36" t="n"/>
      <c r="J494" s="37" t="n"/>
      <c r="K494" s="32" t="n"/>
      <c r="L494" s="36" t="n"/>
      <c r="M494" s="41" t="n"/>
      <c r="N494" s="41" t="n"/>
      <c r="O494" s="36" t="n"/>
      <c r="P494" s="33">
        <f>IF(C494="","",Commercial_Id)</f>
        <v/>
      </c>
      <c r="Q494" s="39">
        <f>IF(F494="","",IFERROR(VALUE(MID(F494,LEN(F494)-3,3)),""))</f>
        <v/>
      </c>
      <c r="R494" s="33">
        <f>IF(Q494="","",P494&amp;"|"&amp;Q494)</f>
        <v/>
      </c>
      <c r="S494" s="33">
        <f>IF(Q494="","",IF(P494="À RENSEIGNER","GIC",P494)&amp;"-"&amp;TEXT(Q494,"000"))</f>
        <v/>
      </c>
      <c r="T494" s="33">
        <f>IF(R494="","",IFERROR(INDEX(Cl_nom,MATCH(R494,Cl_cle,0)),"(client introuvable)"))</f>
        <v/>
      </c>
      <c r="U494" s="33">
        <f>IF(R494="","",IFERROR(INDEX(Cl_quartier,MATCH(R494,Cl_cle,0))&amp;"",""))</f>
        <v/>
      </c>
      <c r="V494" s="34">
        <f>IF(C494="","",YEAR(C494-WEEKDAY(C494,2)+4)&amp;"-S"&amp;TEXT(INT((C494-DATE(YEAR(C494-WEEKDAY(C494,2)+4),1,3)+WEEKDAY(DATE(YEAR(C494-WEEKDAY(C494,2)+4),1,3),2)+5)/7),"00"))</f>
        <v/>
      </c>
    </row>
    <row r="495" ht="18" customHeight="1">
      <c r="A495" s="39" t="n">
        <v>490</v>
      </c>
      <c r="B495" s="33">
        <f>IF(C495="","",IF(P495="À RENSEIGNER","GIC",P495)&amp;"-V"&amp;TEXT(A495,"00000"))</f>
        <v/>
      </c>
      <c r="C495" s="32" t="n"/>
      <c r="D495" s="35" t="n"/>
      <c r="E495" s="36" t="n"/>
      <c r="F495" s="36" t="n"/>
      <c r="G495" s="36" t="n"/>
      <c r="H495" s="36" t="n"/>
      <c r="I495" s="36" t="n"/>
      <c r="J495" s="37" t="n"/>
      <c r="K495" s="32" t="n"/>
      <c r="L495" s="36" t="n"/>
      <c r="M495" s="41" t="n"/>
      <c r="N495" s="41" t="n"/>
      <c r="O495" s="36" t="n"/>
      <c r="P495" s="33">
        <f>IF(C495="","",Commercial_Id)</f>
        <v/>
      </c>
      <c r="Q495" s="39">
        <f>IF(F495="","",IFERROR(VALUE(MID(F495,LEN(F495)-3,3)),""))</f>
        <v/>
      </c>
      <c r="R495" s="33">
        <f>IF(Q495="","",P495&amp;"|"&amp;Q495)</f>
        <v/>
      </c>
      <c r="S495" s="33">
        <f>IF(Q495="","",IF(P495="À RENSEIGNER","GIC",P495)&amp;"-"&amp;TEXT(Q495,"000"))</f>
        <v/>
      </c>
      <c r="T495" s="33">
        <f>IF(R495="","",IFERROR(INDEX(Cl_nom,MATCH(R495,Cl_cle,0)),"(client introuvable)"))</f>
        <v/>
      </c>
      <c r="U495" s="33">
        <f>IF(R495="","",IFERROR(INDEX(Cl_quartier,MATCH(R495,Cl_cle,0))&amp;"",""))</f>
        <v/>
      </c>
      <c r="V495" s="34">
        <f>IF(C495="","",YEAR(C495-WEEKDAY(C495,2)+4)&amp;"-S"&amp;TEXT(INT((C495-DATE(YEAR(C495-WEEKDAY(C495,2)+4),1,3)+WEEKDAY(DATE(YEAR(C495-WEEKDAY(C495,2)+4),1,3),2)+5)/7),"00"))</f>
        <v/>
      </c>
    </row>
    <row r="496" ht="18" customHeight="1">
      <c r="A496" s="39" t="n">
        <v>491</v>
      </c>
      <c r="B496" s="33">
        <f>IF(C496="","",IF(P496="À RENSEIGNER","GIC",P496)&amp;"-V"&amp;TEXT(A496,"00000"))</f>
        <v/>
      </c>
      <c r="C496" s="32" t="n"/>
      <c r="D496" s="35" t="n"/>
      <c r="E496" s="36" t="n"/>
      <c r="F496" s="36" t="n"/>
      <c r="G496" s="36" t="n"/>
      <c r="H496" s="36" t="n"/>
      <c r="I496" s="36" t="n"/>
      <c r="J496" s="37" t="n"/>
      <c r="K496" s="32" t="n"/>
      <c r="L496" s="36" t="n"/>
      <c r="M496" s="41" t="n"/>
      <c r="N496" s="41" t="n"/>
      <c r="O496" s="36" t="n"/>
      <c r="P496" s="33">
        <f>IF(C496="","",Commercial_Id)</f>
        <v/>
      </c>
      <c r="Q496" s="39">
        <f>IF(F496="","",IFERROR(VALUE(MID(F496,LEN(F496)-3,3)),""))</f>
        <v/>
      </c>
      <c r="R496" s="33">
        <f>IF(Q496="","",P496&amp;"|"&amp;Q496)</f>
        <v/>
      </c>
      <c r="S496" s="33">
        <f>IF(Q496="","",IF(P496="À RENSEIGNER","GIC",P496)&amp;"-"&amp;TEXT(Q496,"000"))</f>
        <v/>
      </c>
      <c r="T496" s="33">
        <f>IF(R496="","",IFERROR(INDEX(Cl_nom,MATCH(R496,Cl_cle,0)),"(client introuvable)"))</f>
        <v/>
      </c>
      <c r="U496" s="33">
        <f>IF(R496="","",IFERROR(INDEX(Cl_quartier,MATCH(R496,Cl_cle,0))&amp;"",""))</f>
        <v/>
      </c>
      <c r="V496" s="34">
        <f>IF(C496="","",YEAR(C496-WEEKDAY(C496,2)+4)&amp;"-S"&amp;TEXT(INT((C496-DATE(YEAR(C496-WEEKDAY(C496,2)+4),1,3)+WEEKDAY(DATE(YEAR(C496-WEEKDAY(C496,2)+4),1,3),2)+5)/7),"00"))</f>
        <v/>
      </c>
    </row>
    <row r="497" ht="18" customHeight="1">
      <c r="A497" s="39" t="n">
        <v>492</v>
      </c>
      <c r="B497" s="33">
        <f>IF(C497="","",IF(P497="À RENSEIGNER","GIC",P497)&amp;"-V"&amp;TEXT(A497,"00000"))</f>
        <v/>
      </c>
      <c r="C497" s="32" t="n"/>
      <c r="D497" s="35" t="n"/>
      <c r="E497" s="36" t="n"/>
      <c r="F497" s="36" t="n"/>
      <c r="G497" s="36" t="n"/>
      <c r="H497" s="36" t="n"/>
      <c r="I497" s="36" t="n"/>
      <c r="J497" s="37" t="n"/>
      <c r="K497" s="32" t="n"/>
      <c r="L497" s="36" t="n"/>
      <c r="M497" s="41" t="n"/>
      <c r="N497" s="41" t="n"/>
      <c r="O497" s="36" t="n"/>
      <c r="P497" s="33">
        <f>IF(C497="","",Commercial_Id)</f>
        <v/>
      </c>
      <c r="Q497" s="39">
        <f>IF(F497="","",IFERROR(VALUE(MID(F497,LEN(F497)-3,3)),""))</f>
        <v/>
      </c>
      <c r="R497" s="33">
        <f>IF(Q497="","",P497&amp;"|"&amp;Q497)</f>
        <v/>
      </c>
      <c r="S497" s="33">
        <f>IF(Q497="","",IF(P497="À RENSEIGNER","GIC",P497)&amp;"-"&amp;TEXT(Q497,"000"))</f>
        <v/>
      </c>
      <c r="T497" s="33">
        <f>IF(R497="","",IFERROR(INDEX(Cl_nom,MATCH(R497,Cl_cle,0)),"(client introuvable)"))</f>
        <v/>
      </c>
      <c r="U497" s="33">
        <f>IF(R497="","",IFERROR(INDEX(Cl_quartier,MATCH(R497,Cl_cle,0))&amp;"",""))</f>
        <v/>
      </c>
      <c r="V497" s="34">
        <f>IF(C497="","",YEAR(C497-WEEKDAY(C497,2)+4)&amp;"-S"&amp;TEXT(INT((C497-DATE(YEAR(C497-WEEKDAY(C497,2)+4),1,3)+WEEKDAY(DATE(YEAR(C497-WEEKDAY(C497,2)+4),1,3),2)+5)/7),"00"))</f>
        <v/>
      </c>
    </row>
    <row r="498" ht="18" customHeight="1">
      <c r="A498" s="39" t="n">
        <v>493</v>
      </c>
      <c r="B498" s="33">
        <f>IF(C498="","",IF(P498="À RENSEIGNER","GIC",P498)&amp;"-V"&amp;TEXT(A498,"00000"))</f>
        <v/>
      </c>
      <c r="C498" s="32" t="n"/>
      <c r="D498" s="35" t="n"/>
      <c r="E498" s="36" t="n"/>
      <c r="F498" s="36" t="n"/>
      <c r="G498" s="36" t="n"/>
      <c r="H498" s="36" t="n"/>
      <c r="I498" s="36" t="n"/>
      <c r="J498" s="37" t="n"/>
      <c r="K498" s="32" t="n"/>
      <c r="L498" s="36" t="n"/>
      <c r="M498" s="41" t="n"/>
      <c r="N498" s="41" t="n"/>
      <c r="O498" s="36" t="n"/>
      <c r="P498" s="33">
        <f>IF(C498="","",Commercial_Id)</f>
        <v/>
      </c>
      <c r="Q498" s="39">
        <f>IF(F498="","",IFERROR(VALUE(MID(F498,LEN(F498)-3,3)),""))</f>
        <v/>
      </c>
      <c r="R498" s="33">
        <f>IF(Q498="","",P498&amp;"|"&amp;Q498)</f>
        <v/>
      </c>
      <c r="S498" s="33">
        <f>IF(Q498="","",IF(P498="À RENSEIGNER","GIC",P498)&amp;"-"&amp;TEXT(Q498,"000"))</f>
        <v/>
      </c>
      <c r="T498" s="33">
        <f>IF(R498="","",IFERROR(INDEX(Cl_nom,MATCH(R498,Cl_cle,0)),"(client introuvable)"))</f>
        <v/>
      </c>
      <c r="U498" s="33">
        <f>IF(R498="","",IFERROR(INDEX(Cl_quartier,MATCH(R498,Cl_cle,0))&amp;"",""))</f>
        <v/>
      </c>
      <c r="V498" s="34">
        <f>IF(C498="","",YEAR(C498-WEEKDAY(C498,2)+4)&amp;"-S"&amp;TEXT(INT((C498-DATE(YEAR(C498-WEEKDAY(C498,2)+4),1,3)+WEEKDAY(DATE(YEAR(C498-WEEKDAY(C498,2)+4),1,3),2)+5)/7),"00"))</f>
        <v/>
      </c>
    </row>
    <row r="499" ht="18" customHeight="1">
      <c r="A499" s="39" t="n">
        <v>494</v>
      </c>
      <c r="B499" s="33">
        <f>IF(C499="","",IF(P499="À RENSEIGNER","GIC",P499)&amp;"-V"&amp;TEXT(A499,"00000"))</f>
        <v/>
      </c>
      <c r="C499" s="32" t="n"/>
      <c r="D499" s="35" t="n"/>
      <c r="E499" s="36" t="n"/>
      <c r="F499" s="36" t="n"/>
      <c r="G499" s="36" t="n"/>
      <c r="H499" s="36" t="n"/>
      <c r="I499" s="36" t="n"/>
      <c r="J499" s="37" t="n"/>
      <c r="K499" s="32" t="n"/>
      <c r="L499" s="36" t="n"/>
      <c r="M499" s="41" t="n"/>
      <c r="N499" s="41" t="n"/>
      <c r="O499" s="36" t="n"/>
      <c r="P499" s="33">
        <f>IF(C499="","",Commercial_Id)</f>
        <v/>
      </c>
      <c r="Q499" s="39">
        <f>IF(F499="","",IFERROR(VALUE(MID(F499,LEN(F499)-3,3)),""))</f>
        <v/>
      </c>
      <c r="R499" s="33">
        <f>IF(Q499="","",P499&amp;"|"&amp;Q499)</f>
        <v/>
      </c>
      <c r="S499" s="33">
        <f>IF(Q499="","",IF(P499="À RENSEIGNER","GIC",P499)&amp;"-"&amp;TEXT(Q499,"000"))</f>
        <v/>
      </c>
      <c r="T499" s="33">
        <f>IF(R499="","",IFERROR(INDEX(Cl_nom,MATCH(R499,Cl_cle,0)),"(client introuvable)"))</f>
        <v/>
      </c>
      <c r="U499" s="33">
        <f>IF(R499="","",IFERROR(INDEX(Cl_quartier,MATCH(R499,Cl_cle,0))&amp;"",""))</f>
        <v/>
      </c>
      <c r="V499" s="34">
        <f>IF(C499="","",YEAR(C499-WEEKDAY(C499,2)+4)&amp;"-S"&amp;TEXT(INT((C499-DATE(YEAR(C499-WEEKDAY(C499,2)+4),1,3)+WEEKDAY(DATE(YEAR(C499-WEEKDAY(C499,2)+4),1,3),2)+5)/7),"00"))</f>
        <v/>
      </c>
    </row>
    <row r="500" ht="18" customHeight="1">
      <c r="A500" s="39" t="n">
        <v>495</v>
      </c>
      <c r="B500" s="33">
        <f>IF(C500="","",IF(P500="À RENSEIGNER","GIC",P500)&amp;"-V"&amp;TEXT(A500,"00000"))</f>
        <v/>
      </c>
      <c r="C500" s="32" t="n"/>
      <c r="D500" s="35" t="n"/>
      <c r="E500" s="36" t="n"/>
      <c r="F500" s="36" t="n"/>
      <c r="G500" s="36" t="n"/>
      <c r="H500" s="36" t="n"/>
      <c r="I500" s="36" t="n"/>
      <c r="J500" s="37" t="n"/>
      <c r="K500" s="32" t="n"/>
      <c r="L500" s="36" t="n"/>
      <c r="M500" s="41" t="n"/>
      <c r="N500" s="41" t="n"/>
      <c r="O500" s="36" t="n"/>
      <c r="P500" s="33">
        <f>IF(C500="","",Commercial_Id)</f>
        <v/>
      </c>
      <c r="Q500" s="39">
        <f>IF(F500="","",IFERROR(VALUE(MID(F500,LEN(F500)-3,3)),""))</f>
        <v/>
      </c>
      <c r="R500" s="33">
        <f>IF(Q500="","",P500&amp;"|"&amp;Q500)</f>
        <v/>
      </c>
      <c r="S500" s="33">
        <f>IF(Q500="","",IF(P500="À RENSEIGNER","GIC",P500)&amp;"-"&amp;TEXT(Q500,"000"))</f>
        <v/>
      </c>
      <c r="T500" s="33">
        <f>IF(R500="","",IFERROR(INDEX(Cl_nom,MATCH(R500,Cl_cle,0)),"(client introuvable)"))</f>
        <v/>
      </c>
      <c r="U500" s="33">
        <f>IF(R500="","",IFERROR(INDEX(Cl_quartier,MATCH(R500,Cl_cle,0))&amp;"",""))</f>
        <v/>
      </c>
      <c r="V500" s="34">
        <f>IF(C500="","",YEAR(C500-WEEKDAY(C500,2)+4)&amp;"-S"&amp;TEXT(INT((C500-DATE(YEAR(C500-WEEKDAY(C500,2)+4),1,3)+WEEKDAY(DATE(YEAR(C500-WEEKDAY(C500,2)+4),1,3),2)+5)/7),"00"))</f>
        <v/>
      </c>
    </row>
    <row r="501" ht="18" customHeight="1">
      <c r="A501" s="39" t="n">
        <v>496</v>
      </c>
      <c r="B501" s="33">
        <f>IF(C501="","",IF(P501="À RENSEIGNER","GIC",P501)&amp;"-V"&amp;TEXT(A501,"00000"))</f>
        <v/>
      </c>
      <c r="C501" s="32" t="n"/>
      <c r="D501" s="35" t="n"/>
      <c r="E501" s="36" t="n"/>
      <c r="F501" s="36" t="n"/>
      <c r="G501" s="36" t="n"/>
      <c r="H501" s="36" t="n"/>
      <c r="I501" s="36" t="n"/>
      <c r="J501" s="37" t="n"/>
      <c r="K501" s="32" t="n"/>
      <c r="L501" s="36" t="n"/>
      <c r="M501" s="41" t="n"/>
      <c r="N501" s="41" t="n"/>
      <c r="O501" s="36" t="n"/>
      <c r="P501" s="33">
        <f>IF(C501="","",Commercial_Id)</f>
        <v/>
      </c>
      <c r="Q501" s="39">
        <f>IF(F501="","",IFERROR(VALUE(MID(F501,LEN(F501)-3,3)),""))</f>
        <v/>
      </c>
      <c r="R501" s="33">
        <f>IF(Q501="","",P501&amp;"|"&amp;Q501)</f>
        <v/>
      </c>
      <c r="S501" s="33">
        <f>IF(Q501="","",IF(P501="À RENSEIGNER","GIC",P501)&amp;"-"&amp;TEXT(Q501,"000"))</f>
        <v/>
      </c>
      <c r="T501" s="33">
        <f>IF(R501="","",IFERROR(INDEX(Cl_nom,MATCH(R501,Cl_cle,0)),"(client introuvable)"))</f>
        <v/>
      </c>
      <c r="U501" s="33">
        <f>IF(R501="","",IFERROR(INDEX(Cl_quartier,MATCH(R501,Cl_cle,0))&amp;"",""))</f>
        <v/>
      </c>
      <c r="V501" s="34">
        <f>IF(C501="","",YEAR(C501-WEEKDAY(C501,2)+4)&amp;"-S"&amp;TEXT(INT((C501-DATE(YEAR(C501-WEEKDAY(C501,2)+4),1,3)+WEEKDAY(DATE(YEAR(C501-WEEKDAY(C501,2)+4),1,3),2)+5)/7),"00"))</f>
        <v/>
      </c>
    </row>
    <row r="502" ht="18" customHeight="1">
      <c r="A502" s="39" t="n">
        <v>497</v>
      </c>
      <c r="B502" s="33">
        <f>IF(C502="","",IF(P502="À RENSEIGNER","GIC",P502)&amp;"-V"&amp;TEXT(A502,"00000"))</f>
        <v/>
      </c>
      <c r="C502" s="32" t="n"/>
      <c r="D502" s="35" t="n"/>
      <c r="E502" s="36" t="n"/>
      <c r="F502" s="36" t="n"/>
      <c r="G502" s="36" t="n"/>
      <c r="H502" s="36" t="n"/>
      <c r="I502" s="36" t="n"/>
      <c r="J502" s="37" t="n"/>
      <c r="K502" s="32" t="n"/>
      <c r="L502" s="36" t="n"/>
      <c r="M502" s="41" t="n"/>
      <c r="N502" s="41" t="n"/>
      <c r="O502" s="36" t="n"/>
      <c r="P502" s="33">
        <f>IF(C502="","",Commercial_Id)</f>
        <v/>
      </c>
      <c r="Q502" s="39">
        <f>IF(F502="","",IFERROR(VALUE(MID(F502,LEN(F502)-3,3)),""))</f>
        <v/>
      </c>
      <c r="R502" s="33">
        <f>IF(Q502="","",P502&amp;"|"&amp;Q502)</f>
        <v/>
      </c>
      <c r="S502" s="33">
        <f>IF(Q502="","",IF(P502="À RENSEIGNER","GIC",P502)&amp;"-"&amp;TEXT(Q502,"000"))</f>
        <v/>
      </c>
      <c r="T502" s="33">
        <f>IF(R502="","",IFERROR(INDEX(Cl_nom,MATCH(R502,Cl_cle,0)),"(client introuvable)"))</f>
        <v/>
      </c>
      <c r="U502" s="33">
        <f>IF(R502="","",IFERROR(INDEX(Cl_quartier,MATCH(R502,Cl_cle,0))&amp;"",""))</f>
        <v/>
      </c>
      <c r="V502" s="34">
        <f>IF(C502="","",YEAR(C502-WEEKDAY(C502,2)+4)&amp;"-S"&amp;TEXT(INT((C502-DATE(YEAR(C502-WEEKDAY(C502,2)+4),1,3)+WEEKDAY(DATE(YEAR(C502-WEEKDAY(C502,2)+4),1,3),2)+5)/7),"00"))</f>
        <v/>
      </c>
    </row>
    <row r="503" ht="18" customHeight="1">
      <c r="A503" s="39" t="n">
        <v>498</v>
      </c>
      <c r="B503" s="33">
        <f>IF(C503="","",IF(P503="À RENSEIGNER","GIC",P503)&amp;"-V"&amp;TEXT(A503,"00000"))</f>
        <v/>
      </c>
      <c r="C503" s="32" t="n"/>
      <c r="D503" s="35" t="n"/>
      <c r="E503" s="36" t="n"/>
      <c r="F503" s="36" t="n"/>
      <c r="G503" s="36" t="n"/>
      <c r="H503" s="36" t="n"/>
      <c r="I503" s="36" t="n"/>
      <c r="J503" s="37" t="n"/>
      <c r="K503" s="32" t="n"/>
      <c r="L503" s="36" t="n"/>
      <c r="M503" s="41" t="n"/>
      <c r="N503" s="41" t="n"/>
      <c r="O503" s="36" t="n"/>
      <c r="P503" s="33">
        <f>IF(C503="","",Commercial_Id)</f>
        <v/>
      </c>
      <c r="Q503" s="39">
        <f>IF(F503="","",IFERROR(VALUE(MID(F503,LEN(F503)-3,3)),""))</f>
        <v/>
      </c>
      <c r="R503" s="33">
        <f>IF(Q503="","",P503&amp;"|"&amp;Q503)</f>
        <v/>
      </c>
      <c r="S503" s="33">
        <f>IF(Q503="","",IF(P503="À RENSEIGNER","GIC",P503)&amp;"-"&amp;TEXT(Q503,"000"))</f>
        <v/>
      </c>
      <c r="T503" s="33">
        <f>IF(R503="","",IFERROR(INDEX(Cl_nom,MATCH(R503,Cl_cle,0)),"(client introuvable)"))</f>
        <v/>
      </c>
      <c r="U503" s="33">
        <f>IF(R503="","",IFERROR(INDEX(Cl_quartier,MATCH(R503,Cl_cle,0))&amp;"",""))</f>
        <v/>
      </c>
      <c r="V503" s="34">
        <f>IF(C503="","",YEAR(C503-WEEKDAY(C503,2)+4)&amp;"-S"&amp;TEXT(INT((C503-DATE(YEAR(C503-WEEKDAY(C503,2)+4),1,3)+WEEKDAY(DATE(YEAR(C503-WEEKDAY(C503,2)+4),1,3),2)+5)/7),"00"))</f>
        <v/>
      </c>
    </row>
    <row r="504" ht="18" customHeight="1">
      <c r="A504" s="39" t="n">
        <v>499</v>
      </c>
      <c r="B504" s="33">
        <f>IF(C504="","",IF(P504="À RENSEIGNER","GIC",P504)&amp;"-V"&amp;TEXT(A504,"00000"))</f>
        <v/>
      </c>
      <c r="C504" s="32" t="n"/>
      <c r="D504" s="35" t="n"/>
      <c r="E504" s="36" t="n"/>
      <c r="F504" s="36" t="n"/>
      <c r="G504" s="36" t="n"/>
      <c r="H504" s="36" t="n"/>
      <c r="I504" s="36" t="n"/>
      <c r="J504" s="37" t="n"/>
      <c r="K504" s="32" t="n"/>
      <c r="L504" s="36" t="n"/>
      <c r="M504" s="41" t="n"/>
      <c r="N504" s="41" t="n"/>
      <c r="O504" s="36" t="n"/>
      <c r="P504" s="33">
        <f>IF(C504="","",Commercial_Id)</f>
        <v/>
      </c>
      <c r="Q504" s="39">
        <f>IF(F504="","",IFERROR(VALUE(MID(F504,LEN(F504)-3,3)),""))</f>
        <v/>
      </c>
      <c r="R504" s="33">
        <f>IF(Q504="","",P504&amp;"|"&amp;Q504)</f>
        <v/>
      </c>
      <c r="S504" s="33">
        <f>IF(Q504="","",IF(P504="À RENSEIGNER","GIC",P504)&amp;"-"&amp;TEXT(Q504,"000"))</f>
        <v/>
      </c>
      <c r="T504" s="33">
        <f>IF(R504="","",IFERROR(INDEX(Cl_nom,MATCH(R504,Cl_cle,0)),"(client introuvable)"))</f>
        <v/>
      </c>
      <c r="U504" s="33">
        <f>IF(R504="","",IFERROR(INDEX(Cl_quartier,MATCH(R504,Cl_cle,0))&amp;"",""))</f>
        <v/>
      </c>
      <c r="V504" s="34">
        <f>IF(C504="","",YEAR(C504-WEEKDAY(C504,2)+4)&amp;"-S"&amp;TEXT(INT((C504-DATE(YEAR(C504-WEEKDAY(C504,2)+4),1,3)+WEEKDAY(DATE(YEAR(C504-WEEKDAY(C504,2)+4),1,3),2)+5)/7),"00"))</f>
        <v/>
      </c>
    </row>
    <row r="505" ht="18" customHeight="1">
      <c r="A505" s="39" t="n">
        <v>500</v>
      </c>
      <c r="B505" s="33">
        <f>IF(C505="","",IF(P505="À RENSEIGNER","GIC",P505)&amp;"-V"&amp;TEXT(A505,"00000"))</f>
        <v/>
      </c>
      <c r="C505" s="32" t="n"/>
      <c r="D505" s="35" t="n"/>
      <c r="E505" s="36" t="n"/>
      <c r="F505" s="36" t="n"/>
      <c r="G505" s="36" t="n"/>
      <c r="H505" s="36" t="n"/>
      <c r="I505" s="36" t="n"/>
      <c r="J505" s="37" t="n"/>
      <c r="K505" s="32" t="n"/>
      <c r="L505" s="36" t="n"/>
      <c r="M505" s="41" t="n"/>
      <c r="N505" s="41" t="n"/>
      <c r="O505" s="36" t="n"/>
      <c r="P505" s="33">
        <f>IF(C505="","",Commercial_Id)</f>
        <v/>
      </c>
      <c r="Q505" s="39">
        <f>IF(F505="","",IFERROR(VALUE(MID(F505,LEN(F505)-3,3)),""))</f>
        <v/>
      </c>
      <c r="R505" s="33">
        <f>IF(Q505="","",P505&amp;"|"&amp;Q505)</f>
        <v/>
      </c>
      <c r="S505" s="33">
        <f>IF(Q505="","",IF(P505="À RENSEIGNER","GIC",P505)&amp;"-"&amp;TEXT(Q505,"000"))</f>
        <v/>
      </c>
      <c r="T505" s="33">
        <f>IF(R505="","",IFERROR(INDEX(Cl_nom,MATCH(R505,Cl_cle,0)),"(client introuvable)"))</f>
        <v/>
      </c>
      <c r="U505" s="33">
        <f>IF(R505="","",IFERROR(INDEX(Cl_quartier,MATCH(R505,Cl_cle,0))&amp;"",""))</f>
        <v/>
      </c>
      <c r="V505" s="34">
        <f>IF(C505="","",YEAR(C505-WEEKDAY(C505,2)+4)&amp;"-S"&amp;TEXT(INT((C505-DATE(YEAR(C505-WEEKDAY(C505,2)+4),1,3)+WEEKDAY(DATE(YEAR(C505-WEEKDAY(C505,2)+4),1,3),2)+5)/7),"00"))</f>
        <v/>
      </c>
    </row>
    <row r="506" ht="18" customHeight="1">
      <c r="A506" s="39" t="n">
        <v>501</v>
      </c>
      <c r="B506" s="33">
        <f>IF(C506="","",IF(P506="À RENSEIGNER","GIC",P506)&amp;"-V"&amp;TEXT(A506,"00000"))</f>
        <v/>
      </c>
      <c r="C506" s="32" t="n"/>
      <c r="D506" s="35" t="n"/>
      <c r="E506" s="36" t="n"/>
      <c r="F506" s="36" t="n"/>
      <c r="G506" s="36" t="n"/>
      <c r="H506" s="36" t="n"/>
      <c r="I506" s="36" t="n"/>
      <c r="J506" s="37" t="n"/>
      <c r="K506" s="32" t="n"/>
      <c r="L506" s="36" t="n"/>
      <c r="M506" s="41" t="n"/>
      <c r="N506" s="41" t="n"/>
      <c r="O506" s="36" t="n"/>
      <c r="P506" s="33">
        <f>IF(C506="","",Commercial_Id)</f>
        <v/>
      </c>
      <c r="Q506" s="39">
        <f>IF(F506="","",IFERROR(VALUE(MID(F506,LEN(F506)-3,3)),""))</f>
        <v/>
      </c>
      <c r="R506" s="33">
        <f>IF(Q506="","",P506&amp;"|"&amp;Q506)</f>
        <v/>
      </c>
      <c r="S506" s="33">
        <f>IF(Q506="","",IF(P506="À RENSEIGNER","GIC",P506)&amp;"-"&amp;TEXT(Q506,"000"))</f>
        <v/>
      </c>
      <c r="T506" s="33">
        <f>IF(R506="","",IFERROR(INDEX(Cl_nom,MATCH(R506,Cl_cle,0)),"(client introuvable)"))</f>
        <v/>
      </c>
      <c r="U506" s="33">
        <f>IF(R506="","",IFERROR(INDEX(Cl_quartier,MATCH(R506,Cl_cle,0))&amp;"",""))</f>
        <v/>
      </c>
      <c r="V506" s="34">
        <f>IF(C506="","",YEAR(C506-WEEKDAY(C506,2)+4)&amp;"-S"&amp;TEXT(INT((C506-DATE(YEAR(C506-WEEKDAY(C506,2)+4),1,3)+WEEKDAY(DATE(YEAR(C506-WEEKDAY(C506,2)+4),1,3),2)+5)/7),"00"))</f>
        <v/>
      </c>
    </row>
    <row r="507" ht="18" customHeight="1">
      <c r="A507" s="39" t="n">
        <v>502</v>
      </c>
      <c r="B507" s="33">
        <f>IF(C507="","",IF(P507="À RENSEIGNER","GIC",P507)&amp;"-V"&amp;TEXT(A507,"00000"))</f>
        <v/>
      </c>
      <c r="C507" s="32" t="n"/>
      <c r="D507" s="35" t="n"/>
      <c r="E507" s="36" t="n"/>
      <c r="F507" s="36" t="n"/>
      <c r="G507" s="36" t="n"/>
      <c r="H507" s="36" t="n"/>
      <c r="I507" s="36" t="n"/>
      <c r="J507" s="37" t="n"/>
      <c r="K507" s="32" t="n"/>
      <c r="L507" s="36" t="n"/>
      <c r="M507" s="41" t="n"/>
      <c r="N507" s="41" t="n"/>
      <c r="O507" s="36" t="n"/>
      <c r="P507" s="33">
        <f>IF(C507="","",Commercial_Id)</f>
        <v/>
      </c>
      <c r="Q507" s="39">
        <f>IF(F507="","",IFERROR(VALUE(MID(F507,LEN(F507)-3,3)),""))</f>
        <v/>
      </c>
      <c r="R507" s="33">
        <f>IF(Q507="","",P507&amp;"|"&amp;Q507)</f>
        <v/>
      </c>
      <c r="S507" s="33">
        <f>IF(Q507="","",IF(P507="À RENSEIGNER","GIC",P507)&amp;"-"&amp;TEXT(Q507,"000"))</f>
        <v/>
      </c>
      <c r="T507" s="33">
        <f>IF(R507="","",IFERROR(INDEX(Cl_nom,MATCH(R507,Cl_cle,0)),"(client introuvable)"))</f>
        <v/>
      </c>
      <c r="U507" s="33">
        <f>IF(R507="","",IFERROR(INDEX(Cl_quartier,MATCH(R507,Cl_cle,0))&amp;"",""))</f>
        <v/>
      </c>
      <c r="V507" s="34">
        <f>IF(C507="","",YEAR(C507-WEEKDAY(C507,2)+4)&amp;"-S"&amp;TEXT(INT((C507-DATE(YEAR(C507-WEEKDAY(C507,2)+4),1,3)+WEEKDAY(DATE(YEAR(C507-WEEKDAY(C507,2)+4),1,3),2)+5)/7),"00"))</f>
        <v/>
      </c>
    </row>
    <row r="508" ht="18" customHeight="1">
      <c r="A508" s="39" t="n">
        <v>503</v>
      </c>
      <c r="B508" s="33">
        <f>IF(C508="","",IF(P508="À RENSEIGNER","GIC",P508)&amp;"-V"&amp;TEXT(A508,"00000"))</f>
        <v/>
      </c>
      <c r="C508" s="32" t="n"/>
      <c r="D508" s="35" t="n"/>
      <c r="E508" s="36" t="n"/>
      <c r="F508" s="36" t="n"/>
      <c r="G508" s="36" t="n"/>
      <c r="H508" s="36" t="n"/>
      <c r="I508" s="36" t="n"/>
      <c r="J508" s="37" t="n"/>
      <c r="K508" s="32" t="n"/>
      <c r="L508" s="36" t="n"/>
      <c r="M508" s="41" t="n"/>
      <c r="N508" s="41" t="n"/>
      <c r="O508" s="36" t="n"/>
      <c r="P508" s="33">
        <f>IF(C508="","",Commercial_Id)</f>
        <v/>
      </c>
      <c r="Q508" s="39">
        <f>IF(F508="","",IFERROR(VALUE(MID(F508,LEN(F508)-3,3)),""))</f>
        <v/>
      </c>
      <c r="R508" s="33">
        <f>IF(Q508="","",P508&amp;"|"&amp;Q508)</f>
        <v/>
      </c>
      <c r="S508" s="33">
        <f>IF(Q508="","",IF(P508="À RENSEIGNER","GIC",P508)&amp;"-"&amp;TEXT(Q508,"000"))</f>
        <v/>
      </c>
      <c r="T508" s="33">
        <f>IF(R508="","",IFERROR(INDEX(Cl_nom,MATCH(R508,Cl_cle,0)),"(client introuvable)"))</f>
        <v/>
      </c>
      <c r="U508" s="33">
        <f>IF(R508="","",IFERROR(INDEX(Cl_quartier,MATCH(R508,Cl_cle,0))&amp;"",""))</f>
        <v/>
      </c>
      <c r="V508" s="34">
        <f>IF(C508="","",YEAR(C508-WEEKDAY(C508,2)+4)&amp;"-S"&amp;TEXT(INT((C508-DATE(YEAR(C508-WEEKDAY(C508,2)+4),1,3)+WEEKDAY(DATE(YEAR(C508-WEEKDAY(C508,2)+4),1,3),2)+5)/7),"00"))</f>
        <v/>
      </c>
    </row>
    <row r="509" ht="18" customHeight="1">
      <c r="A509" s="39" t="n">
        <v>504</v>
      </c>
      <c r="B509" s="33">
        <f>IF(C509="","",IF(P509="À RENSEIGNER","GIC",P509)&amp;"-V"&amp;TEXT(A509,"00000"))</f>
        <v/>
      </c>
      <c r="C509" s="32" t="n"/>
      <c r="D509" s="35" t="n"/>
      <c r="E509" s="36" t="n"/>
      <c r="F509" s="36" t="n"/>
      <c r="G509" s="36" t="n"/>
      <c r="H509" s="36" t="n"/>
      <c r="I509" s="36" t="n"/>
      <c r="J509" s="37" t="n"/>
      <c r="K509" s="32" t="n"/>
      <c r="L509" s="36" t="n"/>
      <c r="M509" s="41" t="n"/>
      <c r="N509" s="41" t="n"/>
      <c r="O509" s="36" t="n"/>
      <c r="P509" s="33">
        <f>IF(C509="","",Commercial_Id)</f>
        <v/>
      </c>
      <c r="Q509" s="39">
        <f>IF(F509="","",IFERROR(VALUE(MID(F509,LEN(F509)-3,3)),""))</f>
        <v/>
      </c>
      <c r="R509" s="33">
        <f>IF(Q509="","",P509&amp;"|"&amp;Q509)</f>
        <v/>
      </c>
      <c r="S509" s="33">
        <f>IF(Q509="","",IF(P509="À RENSEIGNER","GIC",P509)&amp;"-"&amp;TEXT(Q509,"000"))</f>
        <v/>
      </c>
      <c r="T509" s="33">
        <f>IF(R509="","",IFERROR(INDEX(Cl_nom,MATCH(R509,Cl_cle,0)),"(client introuvable)"))</f>
        <v/>
      </c>
      <c r="U509" s="33">
        <f>IF(R509="","",IFERROR(INDEX(Cl_quartier,MATCH(R509,Cl_cle,0))&amp;"",""))</f>
        <v/>
      </c>
      <c r="V509" s="34">
        <f>IF(C509="","",YEAR(C509-WEEKDAY(C509,2)+4)&amp;"-S"&amp;TEXT(INT((C509-DATE(YEAR(C509-WEEKDAY(C509,2)+4),1,3)+WEEKDAY(DATE(YEAR(C509-WEEKDAY(C509,2)+4),1,3),2)+5)/7),"00"))</f>
        <v/>
      </c>
    </row>
    <row r="510" ht="18" customHeight="1">
      <c r="A510" s="39" t="n">
        <v>505</v>
      </c>
      <c r="B510" s="33">
        <f>IF(C510="","",IF(P510="À RENSEIGNER","GIC",P510)&amp;"-V"&amp;TEXT(A510,"00000"))</f>
        <v/>
      </c>
      <c r="C510" s="32" t="n"/>
      <c r="D510" s="35" t="n"/>
      <c r="E510" s="36" t="n"/>
      <c r="F510" s="36" t="n"/>
      <c r="G510" s="36" t="n"/>
      <c r="H510" s="36" t="n"/>
      <c r="I510" s="36" t="n"/>
      <c r="J510" s="37" t="n"/>
      <c r="K510" s="32" t="n"/>
      <c r="L510" s="36" t="n"/>
      <c r="M510" s="41" t="n"/>
      <c r="N510" s="41" t="n"/>
      <c r="O510" s="36" t="n"/>
      <c r="P510" s="33">
        <f>IF(C510="","",Commercial_Id)</f>
        <v/>
      </c>
      <c r="Q510" s="39">
        <f>IF(F510="","",IFERROR(VALUE(MID(F510,LEN(F510)-3,3)),""))</f>
        <v/>
      </c>
      <c r="R510" s="33">
        <f>IF(Q510="","",P510&amp;"|"&amp;Q510)</f>
        <v/>
      </c>
      <c r="S510" s="33">
        <f>IF(Q510="","",IF(P510="À RENSEIGNER","GIC",P510)&amp;"-"&amp;TEXT(Q510,"000"))</f>
        <v/>
      </c>
      <c r="T510" s="33">
        <f>IF(R510="","",IFERROR(INDEX(Cl_nom,MATCH(R510,Cl_cle,0)),"(client introuvable)"))</f>
        <v/>
      </c>
      <c r="U510" s="33">
        <f>IF(R510="","",IFERROR(INDEX(Cl_quartier,MATCH(R510,Cl_cle,0))&amp;"",""))</f>
        <v/>
      </c>
      <c r="V510" s="34">
        <f>IF(C510="","",YEAR(C510-WEEKDAY(C510,2)+4)&amp;"-S"&amp;TEXT(INT((C510-DATE(YEAR(C510-WEEKDAY(C510,2)+4),1,3)+WEEKDAY(DATE(YEAR(C510-WEEKDAY(C510,2)+4),1,3),2)+5)/7),"00"))</f>
        <v/>
      </c>
    </row>
    <row r="511" ht="18" customHeight="1">
      <c r="A511" s="39" t="n">
        <v>506</v>
      </c>
      <c r="B511" s="33">
        <f>IF(C511="","",IF(P511="À RENSEIGNER","GIC",P511)&amp;"-V"&amp;TEXT(A511,"00000"))</f>
        <v/>
      </c>
      <c r="C511" s="32" t="n"/>
      <c r="D511" s="35" t="n"/>
      <c r="E511" s="36" t="n"/>
      <c r="F511" s="36" t="n"/>
      <c r="G511" s="36" t="n"/>
      <c r="H511" s="36" t="n"/>
      <c r="I511" s="36" t="n"/>
      <c r="J511" s="37" t="n"/>
      <c r="K511" s="32" t="n"/>
      <c r="L511" s="36" t="n"/>
      <c r="M511" s="41" t="n"/>
      <c r="N511" s="41" t="n"/>
      <c r="O511" s="36" t="n"/>
      <c r="P511" s="33">
        <f>IF(C511="","",Commercial_Id)</f>
        <v/>
      </c>
      <c r="Q511" s="39">
        <f>IF(F511="","",IFERROR(VALUE(MID(F511,LEN(F511)-3,3)),""))</f>
        <v/>
      </c>
      <c r="R511" s="33">
        <f>IF(Q511="","",P511&amp;"|"&amp;Q511)</f>
        <v/>
      </c>
      <c r="S511" s="33">
        <f>IF(Q511="","",IF(P511="À RENSEIGNER","GIC",P511)&amp;"-"&amp;TEXT(Q511,"000"))</f>
        <v/>
      </c>
      <c r="T511" s="33">
        <f>IF(R511="","",IFERROR(INDEX(Cl_nom,MATCH(R511,Cl_cle,0)),"(client introuvable)"))</f>
        <v/>
      </c>
      <c r="U511" s="33">
        <f>IF(R511="","",IFERROR(INDEX(Cl_quartier,MATCH(R511,Cl_cle,0))&amp;"",""))</f>
        <v/>
      </c>
      <c r="V511" s="34">
        <f>IF(C511="","",YEAR(C511-WEEKDAY(C511,2)+4)&amp;"-S"&amp;TEXT(INT((C511-DATE(YEAR(C511-WEEKDAY(C511,2)+4),1,3)+WEEKDAY(DATE(YEAR(C511-WEEKDAY(C511,2)+4),1,3),2)+5)/7),"00"))</f>
        <v/>
      </c>
    </row>
    <row r="512" ht="18" customHeight="1">
      <c r="A512" s="39" t="n">
        <v>507</v>
      </c>
      <c r="B512" s="33">
        <f>IF(C512="","",IF(P512="À RENSEIGNER","GIC",P512)&amp;"-V"&amp;TEXT(A512,"00000"))</f>
        <v/>
      </c>
      <c r="C512" s="32" t="n"/>
      <c r="D512" s="35" t="n"/>
      <c r="E512" s="36" t="n"/>
      <c r="F512" s="36" t="n"/>
      <c r="G512" s="36" t="n"/>
      <c r="H512" s="36" t="n"/>
      <c r="I512" s="36" t="n"/>
      <c r="J512" s="37" t="n"/>
      <c r="K512" s="32" t="n"/>
      <c r="L512" s="36" t="n"/>
      <c r="M512" s="41" t="n"/>
      <c r="N512" s="41" t="n"/>
      <c r="O512" s="36" t="n"/>
      <c r="P512" s="33">
        <f>IF(C512="","",Commercial_Id)</f>
        <v/>
      </c>
      <c r="Q512" s="39">
        <f>IF(F512="","",IFERROR(VALUE(MID(F512,LEN(F512)-3,3)),""))</f>
        <v/>
      </c>
      <c r="R512" s="33">
        <f>IF(Q512="","",P512&amp;"|"&amp;Q512)</f>
        <v/>
      </c>
      <c r="S512" s="33">
        <f>IF(Q512="","",IF(P512="À RENSEIGNER","GIC",P512)&amp;"-"&amp;TEXT(Q512,"000"))</f>
        <v/>
      </c>
      <c r="T512" s="33">
        <f>IF(R512="","",IFERROR(INDEX(Cl_nom,MATCH(R512,Cl_cle,0)),"(client introuvable)"))</f>
        <v/>
      </c>
      <c r="U512" s="33">
        <f>IF(R512="","",IFERROR(INDEX(Cl_quartier,MATCH(R512,Cl_cle,0))&amp;"",""))</f>
        <v/>
      </c>
      <c r="V512" s="34">
        <f>IF(C512="","",YEAR(C512-WEEKDAY(C512,2)+4)&amp;"-S"&amp;TEXT(INT((C512-DATE(YEAR(C512-WEEKDAY(C512,2)+4),1,3)+WEEKDAY(DATE(YEAR(C512-WEEKDAY(C512,2)+4),1,3),2)+5)/7),"00"))</f>
        <v/>
      </c>
    </row>
    <row r="513" ht="18" customHeight="1">
      <c r="A513" s="39" t="n">
        <v>508</v>
      </c>
      <c r="B513" s="33">
        <f>IF(C513="","",IF(P513="À RENSEIGNER","GIC",P513)&amp;"-V"&amp;TEXT(A513,"00000"))</f>
        <v/>
      </c>
      <c r="C513" s="32" t="n"/>
      <c r="D513" s="35" t="n"/>
      <c r="E513" s="36" t="n"/>
      <c r="F513" s="36" t="n"/>
      <c r="G513" s="36" t="n"/>
      <c r="H513" s="36" t="n"/>
      <c r="I513" s="36" t="n"/>
      <c r="J513" s="37" t="n"/>
      <c r="K513" s="32" t="n"/>
      <c r="L513" s="36" t="n"/>
      <c r="M513" s="41" t="n"/>
      <c r="N513" s="41" t="n"/>
      <c r="O513" s="36" t="n"/>
      <c r="P513" s="33">
        <f>IF(C513="","",Commercial_Id)</f>
        <v/>
      </c>
      <c r="Q513" s="39">
        <f>IF(F513="","",IFERROR(VALUE(MID(F513,LEN(F513)-3,3)),""))</f>
        <v/>
      </c>
      <c r="R513" s="33">
        <f>IF(Q513="","",P513&amp;"|"&amp;Q513)</f>
        <v/>
      </c>
      <c r="S513" s="33">
        <f>IF(Q513="","",IF(P513="À RENSEIGNER","GIC",P513)&amp;"-"&amp;TEXT(Q513,"000"))</f>
        <v/>
      </c>
      <c r="T513" s="33">
        <f>IF(R513="","",IFERROR(INDEX(Cl_nom,MATCH(R513,Cl_cle,0)),"(client introuvable)"))</f>
        <v/>
      </c>
      <c r="U513" s="33">
        <f>IF(R513="","",IFERROR(INDEX(Cl_quartier,MATCH(R513,Cl_cle,0))&amp;"",""))</f>
        <v/>
      </c>
      <c r="V513" s="34">
        <f>IF(C513="","",YEAR(C513-WEEKDAY(C513,2)+4)&amp;"-S"&amp;TEXT(INT((C513-DATE(YEAR(C513-WEEKDAY(C513,2)+4),1,3)+WEEKDAY(DATE(YEAR(C513-WEEKDAY(C513,2)+4),1,3),2)+5)/7),"00"))</f>
        <v/>
      </c>
    </row>
    <row r="514" ht="18" customHeight="1">
      <c r="A514" s="39" t="n">
        <v>509</v>
      </c>
      <c r="B514" s="33">
        <f>IF(C514="","",IF(P514="À RENSEIGNER","GIC",P514)&amp;"-V"&amp;TEXT(A514,"00000"))</f>
        <v/>
      </c>
      <c r="C514" s="32" t="n"/>
      <c r="D514" s="35" t="n"/>
      <c r="E514" s="36" t="n"/>
      <c r="F514" s="36" t="n"/>
      <c r="G514" s="36" t="n"/>
      <c r="H514" s="36" t="n"/>
      <c r="I514" s="36" t="n"/>
      <c r="J514" s="37" t="n"/>
      <c r="K514" s="32" t="n"/>
      <c r="L514" s="36" t="n"/>
      <c r="M514" s="41" t="n"/>
      <c r="N514" s="41" t="n"/>
      <c r="O514" s="36" t="n"/>
      <c r="P514" s="33">
        <f>IF(C514="","",Commercial_Id)</f>
        <v/>
      </c>
      <c r="Q514" s="39">
        <f>IF(F514="","",IFERROR(VALUE(MID(F514,LEN(F514)-3,3)),""))</f>
        <v/>
      </c>
      <c r="R514" s="33">
        <f>IF(Q514="","",P514&amp;"|"&amp;Q514)</f>
        <v/>
      </c>
      <c r="S514" s="33">
        <f>IF(Q514="","",IF(P514="À RENSEIGNER","GIC",P514)&amp;"-"&amp;TEXT(Q514,"000"))</f>
        <v/>
      </c>
      <c r="T514" s="33">
        <f>IF(R514="","",IFERROR(INDEX(Cl_nom,MATCH(R514,Cl_cle,0)),"(client introuvable)"))</f>
        <v/>
      </c>
      <c r="U514" s="33">
        <f>IF(R514="","",IFERROR(INDEX(Cl_quartier,MATCH(R514,Cl_cle,0))&amp;"",""))</f>
        <v/>
      </c>
      <c r="V514" s="34">
        <f>IF(C514="","",YEAR(C514-WEEKDAY(C514,2)+4)&amp;"-S"&amp;TEXT(INT((C514-DATE(YEAR(C514-WEEKDAY(C514,2)+4),1,3)+WEEKDAY(DATE(YEAR(C514-WEEKDAY(C514,2)+4),1,3),2)+5)/7),"00"))</f>
        <v/>
      </c>
    </row>
    <row r="515" ht="18" customHeight="1">
      <c r="A515" s="39" t="n">
        <v>510</v>
      </c>
      <c r="B515" s="33">
        <f>IF(C515="","",IF(P515="À RENSEIGNER","GIC",P515)&amp;"-V"&amp;TEXT(A515,"00000"))</f>
        <v/>
      </c>
      <c r="C515" s="32" t="n"/>
      <c r="D515" s="35" t="n"/>
      <c r="E515" s="36" t="n"/>
      <c r="F515" s="36" t="n"/>
      <c r="G515" s="36" t="n"/>
      <c r="H515" s="36" t="n"/>
      <c r="I515" s="36" t="n"/>
      <c r="J515" s="37" t="n"/>
      <c r="K515" s="32" t="n"/>
      <c r="L515" s="36" t="n"/>
      <c r="M515" s="41" t="n"/>
      <c r="N515" s="41" t="n"/>
      <c r="O515" s="36" t="n"/>
      <c r="P515" s="33">
        <f>IF(C515="","",Commercial_Id)</f>
        <v/>
      </c>
      <c r="Q515" s="39">
        <f>IF(F515="","",IFERROR(VALUE(MID(F515,LEN(F515)-3,3)),""))</f>
        <v/>
      </c>
      <c r="R515" s="33">
        <f>IF(Q515="","",P515&amp;"|"&amp;Q515)</f>
        <v/>
      </c>
      <c r="S515" s="33">
        <f>IF(Q515="","",IF(P515="À RENSEIGNER","GIC",P515)&amp;"-"&amp;TEXT(Q515,"000"))</f>
        <v/>
      </c>
      <c r="T515" s="33">
        <f>IF(R515="","",IFERROR(INDEX(Cl_nom,MATCH(R515,Cl_cle,0)),"(client introuvable)"))</f>
        <v/>
      </c>
      <c r="U515" s="33">
        <f>IF(R515="","",IFERROR(INDEX(Cl_quartier,MATCH(R515,Cl_cle,0))&amp;"",""))</f>
        <v/>
      </c>
      <c r="V515" s="34">
        <f>IF(C515="","",YEAR(C515-WEEKDAY(C515,2)+4)&amp;"-S"&amp;TEXT(INT((C515-DATE(YEAR(C515-WEEKDAY(C515,2)+4),1,3)+WEEKDAY(DATE(YEAR(C515-WEEKDAY(C515,2)+4),1,3),2)+5)/7),"00"))</f>
        <v/>
      </c>
    </row>
    <row r="516" ht="18" customHeight="1">
      <c r="A516" s="39" t="n">
        <v>511</v>
      </c>
      <c r="B516" s="33">
        <f>IF(C516="","",IF(P516="À RENSEIGNER","GIC",P516)&amp;"-V"&amp;TEXT(A516,"00000"))</f>
        <v/>
      </c>
      <c r="C516" s="32" t="n"/>
      <c r="D516" s="35" t="n"/>
      <c r="E516" s="36" t="n"/>
      <c r="F516" s="36" t="n"/>
      <c r="G516" s="36" t="n"/>
      <c r="H516" s="36" t="n"/>
      <c r="I516" s="36" t="n"/>
      <c r="J516" s="37" t="n"/>
      <c r="K516" s="32" t="n"/>
      <c r="L516" s="36" t="n"/>
      <c r="M516" s="41" t="n"/>
      <c r="N516" s="41" t="n"/>
      <c r="O516" s="36" t="n"/>
      <c r="P516" s="33">
        <f>IF(C516="","",Commercial_Id)</f>
        <v/>
      </c>
      <c r="Q516" s="39">
        <f>IF(F516="","",IFERROR(VALUE(MID(F516,LEN(F516)-3,3)),""))</f>
        <v/>
      </c>
      <c r="R516" s="33">
        <f>IF(Q516="","",P516&amp;"|"&amp;Q516)</f>
        <v/>
      </c>
      <c r="S516" s="33">
        <f>IF(Q516="","",IF(P516="À RENSEIGNER","GIC",P516)&amp;"-"&amp;TEXT(Q516,"000"))</f>
        <v/>
      </c>
      <c r="T516" s="33">
        <f>IF(R516="","",IFERROR(INDEX(Cl_nom,MATCH(R516,Cl_cle,0)),"(client introuvable)"))</f>
        <v/>
      </c>
      <c r="U516" s="33">
        <f>IF(R516="","",IFERROR(INDEX(Cl_quartier,MATCH(R516,Cl_cle,0))&amp;"",""))</f>
        <v/>
      </c>
      <c r="V516" s="34">
        <f>IF(C516="","",YEAR(C516-WEEKDAY(C516,2)+4)&amp;"-S"&amp;TEXT(INT((C516-DATE(YEAR(C516-WEEKDAY(C516,2)+4),1,3)+WEEKDAY(DATE(YEAR(C516-WEEKDAY(C516,2)+4),1,3),2)+5)/7),"00"))</f>
        <v/>
      </c>
    </row>
    <row r="517" ht="18" customHeight="1">
      <c r="A517" s="39" t="n">
        <v>512</v>
      </c>
      <c r="B517" s="33">
        <f>IF(C517="","",IF(P517="À RENSEIGNER","GIC",P517)&amp;"-V"&amp;TEXT(A517,"00000"))</f>
        <v/>
      </c>
      <c r="C517" s="32" t="n"/>
      <c r="D517" s="35" t="n"/>
      <c r="E517" s="36" t="n"/>
      <c r="F517" s="36" t="n"/>
      <c r="G517" s="36" t="n"/>
      <c r="H517" s="36" t="n"/>
      <c r="I517" s="36" t="n"/>
      <c r="J517" s="37" t="n"/>
      <c r="K517" s="32" t="n"/>
      <c r="L517" s="36" t="n"/>
      <c r="M517" s="41" t="n"/>
      <c r="N517" s="41" t="n"/>
      <c r="O517" s="36" t="n"/>
      <c r="P517" s="33">
        <f>IF(C517="","",Commercial_Id)</f>
        <v/>
      </c>
      <c r="Q517" s="39">
        <f>IF(F517="","",IFERROR(VALUE(MID(F517,LEN(F517)-3,3)),""))</f>
        <v/>
      </c>
      <c r="R517" s="33">
        <f>IF(Q517="","",P517&amp;"|"&amp;Q517)</f>
        <v/>
      </c>
      <c r="S517" s="33">
        <f>IF(Q517="","",IF(P517="À RENSEIGNER","GIC",P517)&amp;"-"&amp;TEXT(Q517,"000"))</f>
        <v/>
      </c>
      <c r="T517" s="33">
        <f>IF(R517="","",IFERROR(INDEX(Cl_nom,MATCH(R517,Cl_cle,0)),"(client introuvable)"))</f>
        <v/>
      </c>
      <c r="U517" s="33">
        <f>IF(R517="","",IFERROR(INDEX(Cl_quartier,MATCH(R517,Cl_cle,0))&amp;"",""))</f>
        <v/>
      </c>
      <c r="V517" s="34">
        <f>IF(C517="","",YEAR(C517-WEEKDAY(C517,2)+4)&amp;"-S"&amp;TEXT(INT((C517-DATE(YEAR(C517-WEEKDAY(C517,2)+4),1,3)+WEEKDAY(DATE(YEAR(C517-WEEKDAY(C517,2)+4),1,3),2)+5)/7),"00"))</f>
        <v/>
      </c>
    </row>
    <row r="518" ht="18" customHeight="1">
      <c r="A518" s="39" t="n">
        <v>513</v>
      </c>
      <c r="B518" s="33">
        <f>IF(C518="","",IF(P518="À RENSEIGNER","GIC",P518)&amp;"-V"&amp;TEXT(A518,"00000"))</f>
        <v/>
      </c>
      <c r="C518" s="32" t="n"/>
      <c r="D518" s="35" t="n"/>
      <c r="E518" s="36" t="n"/>
      <c r="F518" s="36" t="n"/>
      <c r="G518" s="36" t="n"/>
      <c r="H518" s="36" t="n"/>
      <c r="I518" s="36" t="n"/>
      <c r="J518" s="37" t="n"/>
      <c r="K518" s="32" t="n"/>
      <c r="L518" s="36" t="n"/>
      <c r="M518" s="41" t="n"/>
      <c r="N518" s="41" t="n"/>
      <c r="O518" s="36" t="n"/>
      <c r="P518" s="33">
        <f>IF(C518="","",Commercial_Id)</f>
        <v/>
      </c>
      <c r="Q518" s="39">
        <f>IF(F518="","",IFERROR(VALUE(MID(F518,LEN(F518)-3,3)),""))</f>
        <v/>
      </c>
      <c r="R518" s="33">
        <f>IF(Q518="","",P518&amp;"|"&amp;Q518)</f>
        <v/>
      </c>
      <c r="S518" s="33">
        <f>IF(Q518="","",IF(P518="À RENSEIGNER","GIC",P518)&amp;"-"&amp;TEXT(Q518,"000"))</f>
        <v/>
      </c>
      <c r="T518" s="33">
        <f>IF(R518="","",IFERROR(INDEX(Cl_nom,MATCH(R518,Cl_cle,0)),"(client introuvable)"))</f>
        <v/>
      </c>
      <c r="U518" s="33">
        <f>IF(R518="","",IFERROR(INDEX(Cl_quartier,MATCH(R518,Cl_cle,0))&amp;"",""))</f>
        <v/>
      </c>
      <c r="V518" s="34">
        <f>IF(C518="","",YEAR(C518-WEEKDAY(C518,2)+4)&amp;"-S"&amp;TEXT(INT((C518-DATE(YEAR(C518-WEEKDAY(C518,2)+4),1,3)+WEEKDAY(DATE(YEAR(C518-WEEKDAY(C518,2)+4),1,3),2)+5)/7),"00"))</f>
        <v/>
      </c>
    </row>
    <row r="519" ht="18" customHeight="1">
      <c r="A519" s="39" t="n">
        <v>514</v>
      </c>
      <c r="B519" s="33">
        <f>IF(C519="","",IF(P519="À RENSEIGNER","GIC",P519)&amp;"-V"&amp;TEXT(A519,"00000"))</f>
        <v/>
      </c>
      <c r="C519" s="32" t="n"/>
      <c r="D519" s="35" t="n"/>
      <c r="E519" s="36" t="n"/>
      <c r="F519" s="36" t="n"/>
      <c r="G519" s="36" t="n"/>
      <c r="H519" s="36" t="n"/>
      <c r="I519" s="36" t="n"/>
      <c r="J519" s="37" t="n"/>
      <c r="K519" s="32" t="n"/>
      <c r="L519" s="36" t="n"/>
      <c r="M519" s="41" t="n"/>
      <c r="N519" s="41" t="n"/>
      <c r="O519" s="36" t="n"/>
      <c r="P519" s="33">
        <f>IF(C519="","",Commercial_Id)</f>
        <v/>
      </c>
      <c r="Q519" s="39">
        <f>IF(F519="","",IFERROR(VALUE(MID(F519,LEN(F519)-3,3)),""))</f>
        <v/>
      </c>
      <c r="R519" s="33">
        <f>IF(Q519="","",P519&amp;"|"&amp;Q519)</f>
        <v/>
      </c>
      <c r="S519" s="33">
        <f>IF(Q519="","",IF(P519="À RENSEIGNER","GIC",P519)&amp;"-"&amp;TEXT(Q519,"000"))</f>
        <v/>
      </c>
      <c r="T519" s="33">
        <f>IF(R519="","",IFERROR(INDEX(Cl_nom,MATCH(R519,Cl_cle,0)),"(client introuvable)"))</f>
        <v/>
      </c>
      <c r="U519" s="33">
        <f>IF(R519="","",IFERROR(INDEX(Cl_quartier,MATCH(R519,Cl_cle,0))&amp;"",""))</f>
        <v/>
      </c>
      <c r="V519" s="34">
        <f>IF(C519="","",YEAR(C519-WEEKDAY(C519,2)+4)&amp;"-S"&amp;TEXT(INT((C519-DATE(YEAR(C519-WEEKDAY(C519,2)+4),1,3)+WEEKDAY(DATE(YEAR(C519-WEEKDAY(C519,2)+4),1,3),2)+5)/7),"00"))</f>
        <v/>
      </c>
    </row>
    <row r="520" ht="18" customHeight="1">
      <c r="A520" s="39" t="n">
        <v>515</v>
      </c>
      <c r="B520" s="33">
        <f>IF(C520="","",IF(P520="À RENSEIGNER","GIC",P520)&amp;"-V"&amp;TEXT(A520,"00000"))</f>
        <v/>
      </c>
      <c r="C520" s="32" t="n"/>
      <c r="D520" s="35" t="n"/>
      <c r="E520" s="36" t="n"/>
      <c r="F520" s="36" t="n"/>
      <c r="G520" s="36" t="n"/>
      <c r="H520" s="36" t="n"/>
      <c r="I520" s="36" t="n"/>
      <c r="J520" s="37" t="n"/>
      <c r="K520" s="32" t="n"/>
      <c r="L520" s="36" t="n"/>
      <c r="M520" s="41" t="n"/>
      <c r="N520" s="41" t="n"/>
      <c r="O520" s="36" t="n"/>
      <c r="P520" s="33">
        <f>IF(C520="","",Commercial_Id)</f>
        <v/>
      </c>
      <c r="Q520" s="39">
        <f>IF(F520="","",IFERROR(VALUE(MID(F520,LEN(F520)-3,3)),""))</f>
        <v/>
      </c>
      <c r="R520" s="33">
        <f>IF(Q520="","",P520&amp;"|"&amp;Q520)</f>
        <v/>
      </c>
      <c r="S520" s="33">
        <f>IF(Q520="","",IF(P520="À RENSEIGNER","GIC",P520)&amp;"-"&amp;TEXT(Q520,"000"))</f>
        <v/>
      </c>
      <c r="T520" s="33">
        <f>IF(R520="","",IFERROR(INDEX(Cl_nom,MATCH(R520,Cl_cle,0)),"(client introuvable)"))</f>
        <v/>
      </c>
      <c r="U520" s="33">
        <f>IF(R520="","",IFERROR(INDEX(Cl_quartier,MATCH(R520,Cl_cle,0))&amp;"",""))</f>
        <v/>
      </c>
      <c r="V520" s="34">
        <f>IF(C520="","",YEAR(C520-WEEKDAY(C520,2)+4)&amp;"-S"&amp;TEXT(INT((C520-DATE(YEAR(C520-WEEKDAY(C520,2)+4),1,3)+WEEKDAY(DATE(YEAR(C520-WEEKDAY(C520,2)+4),1,3),2)+5)/7),"00"))</f>
        <v/>
      </c>
    </row>
    <row r="521" ht="18" customHeight="1">
      <c r="A521" s="39" t="n">
        <v>516</v>
      </c>
      <c r="B521" s="33">
        <f>IF(C521="","",IF(P521="À RENSEIGNER","GIC",P521)&amp;"-V"&amp;TEXT(A521,"00000"))</f>
        <v/>
      </c>
      <c r="C521" s="32" t="n"/>
      <c r="D521" s="35" t="n"/>
      <c r="E521" s="36" t="n"/>
      <c r="F521" s="36" t="n"/>
      <c r="G521" s="36" t="n"/>
      <c r="H521" s="36" t="n"/>
      <c r="I521" s="36" t="n"/>
      <c r="J521" s="37" t="n"/>
      <c r="K521" s="32" t="n"/>
      <c r="L521" s="36" t="n"/>
      <c r="M521" s="41" t="n"/>
      <c r="N521" s="41" t="n"/>
      <c r="O521" s="36" t="n"/>
      <c r="P521" s="33">
        <f>IF(C521="","",Commercial_Id)</f>
        <v/>
      </c>
      <c r="Q521" s="39">
        <f>IF(F521="","",IFERROR(VALUE(MID(F521,LEN(F521)-3,3)),""))</f>
        <v/>
      </c>
      <c r="R521" s="33">
        <f>IF(Q521="","",P521&amp;"|"&amp;Q521)</f>
        <v/>
      </c>
      <c r="S521" s="33">
        <f>IF(Q521="","",IF(P521="À RENSEIGNER","GIC",P521)&amp;"-"&amp;TEXT(Q521,"000"))</f>
        <v/>
      </c>
      <c r="T521" s="33">
        <f>IF(R521="","",IFERROR(INDEX(Cl_nom,MATCH(R521,Cl_cle,0)),"(client introuvable)"))</f>
        <v/>
      </c>
      <c r="U521" s="33">
        <f>IF(R521="","",IFERROR(INDEX(Cl_quartier,MATCH(R521,Cl_cle,0))&amp;"",""))</f>
        <v/>
      </c>
      <c r="V521" s="34">
        <f>IF(C521="","",YEAR(C521-WEEKDAY(C521,2)+4)&amp;"-S"&amp;TEXT(INT((C521-DATE(YEAR(C521-WEEKDAY(C521,2)+4),1,3)+WEEKDAY(DATE(YEAR(C521-WEEKDAY(C521,2)+4),1,3),2)+5)/7),"00"))</f>
        <v/>
      </c>
    </row>
    <row r="522" ht="18" customHeight="1">
      <c r="A522" s="39" t="n">
        <v>517</v>
      </c>
      <c r="B522" s="33">
        <f>IF(C522="","",IF(P522="À RENSEIGNER","GIC",P522)&amp;"-V"&amp;TEXT(A522,"00000"))</f>
        <v/>
      </c>
      <c r="C522" s="32" t="n"/>
      <c r="D522" s="35" t="n"/>
      <c r="E522" s="36" t="n"/>
      <c r="F522" s="36" t="n"/>
      <c r="G522" s="36" t="n"/>
      <c r="H522" s="36" t="n"/>
      <c r="I522" s="36" t="n"/>
      <c r="J522" s="37" t="n"/>
      <c r="K522" s="32" t="n"/>
      <c r="L522" s="36" t="n"/>
      <c r="M522" s="41" t="n"/>
      <c r="N522" s="41" t="n"/>
      <c r="O522" s="36" t="n"/>
      <c r="P522" s="33">
        <f>IF(C522="","",Commercial_Id)</f>
        <v/>
      </c>
      <c r="Q522" s="39">
        <f>IF(F522="","",IFERROR(VALUE(MID(F522,LEN(F522)-3,3)),""))</f>
        <v/>
      </c>
      <c r="R522" s="33">
        <f>IF(Q522="","",P522&amp;"|"&amp;Q522)</f>
        <v/>
      </c>
      <c r="S522" s="33">
        <f>IF(Q522="","",IF(P522="À RENSEIGNER","GIC",P522)&amp;"-"&amp;TEXT(Q522,"000"))</f>
        <v/>
      </c>
      <c r="T522" s="33">
        <f>IF(R522="","",IFERROR(INDEX(Cl_nom,MATCH(R522,Cl_cle,0)),"(client introuvable)"))</f>
        <v/>
      </c>
      <c r="U522" s="33">
        <f>IF(R522="","",IFERROR(INDEX(Cl_quartier,MATCH(R522,Cl_cle,0))&amp;"",""))</f>
        <v/>
      </c>
      <c r="V522" s="34">
        <f>IF(C522="","",YEAR(C522-WEEKDAY(C522,2)+4)&amp;"-S"&amp;TEXT(INT((C522-DATE(YEAR(C522-WEEKDAY(C522,2)+4),1,3)+WEEKDAY(DATE(YEAR(C522-WEEKDAY(C522,2)+4),1,3),2)+5)/7),"00"))</f>
        <v/>
      </c>
    </row>
    <row r="523" ht="18" customHeight="1">
      <c r="A523" s="39" t="n">
        <v>518</v>
      </c>
      <c r="B523" s="33">
        <f>IF(C523="","",IF(P523="À RENSEIGNER","GIC",P523)&amp;"-V"&amp;TEXT(A523,"00000"))</f>
        <v/>
      </c>
      <c r="C523" s="32" t="n"/>
      <c r="D523" s="35" t="n"/>
      <c r="E523" s="36" t="n"/>
      <c r="F523" s="36" t="n"/>
      <c r="G523" s="36" t="n"/>
      <c r="H523" s="36" t="n"/>
      <c r="I523" s="36" t="n"/>
      <c r="J523" s="37" t="n"/>
      <c r="K523" s="32" t="n"/>
      <c r="L523" s="36" t="n"/>
      <c r="M523" s="41" t="n"/>
      <c r="N523" s="41" t="n"/>
      <c r="O523" s="36" t="n"/>
      <c r="P523" s="33">
        <f>IF(C523="","",Commercial_Id)</f>
        <v/>
      </c>
      <c r="Q523" s="39">
        <f>IF(F523="","",IFERROR(VALUE(MID(F523,LEN(F523)-3,3)),""))</f>
        <v/>
      </c>
      <c r="R523" s="33">
        <f>IF(Q523="","",P523&amp;"|"&amp;Q523)</f>
        <v/>
      </c>
      <c r="S523" s="33">
        <f>IF(Q523="","",IF(P523="À RENSEIGNER","GIC",P523)&amp;"-"&amp;TEXT(Q523,"000"))</f>
        <v/>
      </c>
      <c r="T523" s="33">
        <f>IF(R523="","",IFERROR(INDEX(Cl_nom,MATCH(R523,Cl_cle,0)),"(client introuvable)"))</f>
        <v/>
      </c>
      <c r="U523" s="33">
        <f>IF(R523="","",IFERROR(INDEX(Cl_quartier,MATCH(R523,Cl_cle,0))&amp;"",""))</f>
        <v/>
      </c>
      <c r="V523" s="34">
        <f>IF(C523="","",YEAR(C523-WEEKDAY(C523,2)+4)&amp;"-S"&amp;TEXT(INT((C523-DATE(YEAR(C523-WEEKDAY(C523,2)+4),1,3)+WEEKDAY(DATE(YEAR(C523-WEEKDAY(C523,2)+4),1,3),2)+5)/7),"00"))</f>
        <v/>
      </c>
    </row>
    <row r="524" ht="18" customHeight="1">
      <c r="A524" s="39" t="n">
        <v>519</v>
      </c>
      <c r="B524" s="33">
        <f>IF(C524="","",IF(P524="À RENSEIGNER","GIC",P524)&amp;"-V"&amp;TEXT(A524,"00000"))</f>
        <v/>
      </c>
      <c r="C524" s="32" t="n"/>
      <c r="D524" s="35" t="n"/>
      <c r="E524" s="36" t="n"/>
      <c r="F524" s="36" t="n"/>
      <c r="G524" s="36" t="n"/>
      <c r="H524" s="36" t="n"/>
      <c r="I524" s="36" t="n"/>
      <c r="J524" s="37" t="n"/>
      <c r="K524" s="32" t="n"/>
      <c r="L524" s="36" t="n"/>
      <c r="M524" s="41" t="n"/>
      <c r="N524" s="41" t="n"/>
      <c r="O524" s="36" t="n"/>
      <c r="P524" s="33">
        <f>IF(C524="","",Commercial_Id)</f>
        <v/>
      </c>
      <c r="Q524" s="39">
        <f>IF(F524="","",IFERROR(VALUE(MID(F524,LEN(F524)-3,3)),""))</f>
        <v/>
      </c>
      <c r="R524" s="33">
        <f>IF(Q524="","",P524&amp;"|"&amp;Q524)</f>
        <v/>
      </c>
      <c r="S524" s="33">
        <f>IF(Q524="","",IF(P524="À RENSEIGNER","GIC",P524)&amp;"-"&amp;TEXT(Q524,"000"))</f>
        <v/>
      </c>
      <c r="T524" s="33">
        <f>IF(R524="","",IFERROR(INDEX(Cl_nom,MATCH(R524,Cl_cle,0)),"(client introuvable)"))</f>
        <v/>
      </c>
      <c r="U524" s="33">
        <f>IF(R524="","",IFERROR(INDEX(Cl_quartier,MATCH(R524,Cl_cle,0))&amp;"",""))</f>
        <v/>
      </c>
      <c r="V524" s="34">
        <f>IF(C524="","",YEAR(C524-WEEKDAY(C524,2)+4)&amp;"-S"&amp;TEXT(INT((C524-DATE(YEAR(C524-WEEKDAY(C524,2)+4),1,3)+WEEKDAY(DATE(YEAR(C524-WEEKDAY(C524,2)+4),1,3),2)+5)/7),"00"))</f>
        <v/>
      </c>
    </row>
    <row r="525" ht="18" customHeight="1">
      <c r="A525" s="39" t="n">
        <v>520</v>
      </c>
      <c r="B525" s="33">
        <f>IF(C525="","",IF(P525="À RENSEIGNER","GIC",P525)&amp;"-V"&amp;TEXT(A525,"00000"))</f>
        <v/>
      </c>
      <c r="C525" s="32" t="n"/>
      <c r="D525" s="35" t="n"/>
      <c r="E525" s="36" t="n"/>
      <c r="F525" s="36" t="n"/>
      <c r="G525" s="36" t="n"/>
      <c r="H525" s="36" t="n"/>
      <c r="I525" s="36" t="n"/>
      <c r="J525" s="37" t="n"/>
      <c r="K525" s="32" t="n"/>
      <c r="L525" s="36" t="n"/>
      <c r="M525" s="41" t="n"/>
      <c r="N525" s="41" t="n"/>
      <c r="O525" s="36" t="n"/>
      <c r="P525" s="33">
        <f>IF(C525="","",Commercial_Id)</f>
        <v/>
      </c>
      <c r="Q525" s="39">
        <f>IF(F525="","",IFERROR(VALUE(MID(F525,LEN(F525)-3,3)),""))</f>
        <v/>
      </c>
      <c r="R525" s="33">
        <f>IF(Q525="","",P525&amp;"|"&amp;Q525)</f>
        <v/>
      </c>
      <c r="S525" s="33">
        <f>IF(Q525="","",IF(P525="À RENSEIGNER","GIC",P525)&amp;"-"&amp;TEXT(Q525,"000"))</f>
        <v/>
      </c>
      <c r="T525" s="33">
        <f>IF(R525="","",IFERROR(INDEX(Cl_nom,MATCH(R525,Cl_cle,0)),"(client introuvable)"))</f>
        <v/>
      </c>
      <c r="U525" s="33">
        <f>IF(R525="","",IFERROR(INDEX(Cl_quartier,MATCH(R525,Cl_cle,0))&amp;"",""))</f>
        <v/>
      </c>
      <c r="V525" s="34">
        <f>IF(C525="","",YEAR(C525-WEEKDAY(C525,2)+4)&amp;"-S"&amp;TEXT(INT((C525-DATE(YEAR(C525-WEEKDAY(C525,2)+4),1,3)+WEEKDAY(DATE(YEAR(C525-WEEKDAY(C525,2)+4),1,3),2)+5)/7),"00"))</f>
        <v/>
      </c>
    </row>
    <row r="526" ht="18" customHeight="1">
      <c r="A526" s="39" t="n">
        <v>521</v>
      </c>
      <c r="B526" s="33">
        <f>IF(C526="","",IF(P526="À RENSEIGNER","GIC",P526)&amp;"-V"&amp;TEXT(A526,"00000"))</f>
        <v/>
      </c>
      <c r="C526" s="32" t="n"/>
      <c r="D526" s="35" t="n"/>
      <c r="E526" s="36" t="n"/>
      <c r="F526" s="36" t="n"/>
      <c r="G526" s="36" t="n"/>
      <c r="H526" s="36" t="n"/>
      <c r="I526" s="36" t="n"/>
      <c r="J526" s="37" t="n"/>
      <c r="K526" s="32" t="n"/>
      <c r="L526" s="36" t="n"/>
      <c r="M526" s="41" t="n"/>
      <c r="N526" s="41" t="n"/>
      <c r="O526" s="36" t="n"/>
      <c r="P526" s="33">
        <f>IF(C526="","",Commercial_Id)</f>
        <v/>
      </c>
      <c r="Q526" s="39">
        <f>IF(F526="","",IFERROR(VALUE(MID(F526,LEN(F526)-3,3)),""))</f>
        <v/>
      </c>
      <c r="R526" s="33">
        <f>IF(Q526="","",P526&amp;"|"&amp;Q526)</f>
        <v/>
      </c>
      <c r="S526" s="33">
        <f>IF(Q526="","",IF(P526="À RENSEIGNER","GIC",P526)&amp;"-"&amp;TEXT(Q526,"000"))</f>
        <v/>
      </c>
      <c r="T526" s="33">
        <f>IF(R526="","",IFERROR(INDEX(Cl_nom,MATCH(R526,Cl_cle,0)),"(client introuvable)"))</f>
        <v/>
      </c>
      <c r="U526" s="33">
        <f>IF(R526="","",IFERROR(INDEX(Cl_quartier,MATCH(R526,Cl_cle,0))&amp;"",""))</f>
        <v/>
      </c>
      <c r="V526" s="34">
        <f>IF(C526="","",YEAR(C526-WEEKDAY(C526,2)+4)&amp;"-S"&amp;TEXT(INT((C526-DATE(YEAR(C526-WEEKDAY(C526,2)+4),1,3)+WEEKDAY(DATE(YEAR(C526-WEEKDAY(C526,2)+4),1,3),2)+5)/7),"00"))</f>
        <v/>
      </c>
    </row>
    <row r="527" ht="18" customHeight="1">
      <c r="A527" s="39" t="n">
        <v>522</v>
      </c>
      <c r="B527" s="33">
        <f>IF(C527="","",IF(P527="À RENSEIGNER","GIC",P527)&amp;"-V"&amp;TEXT(A527,"00000"))</f>
        <v/>
      </c>
      <c r="C527" s="32" t="n"/>
      <c r="D527" s="35" t="n"/>
      <c r="E527" s="36" t="n"/>
      <c r="F527" s="36" t="n"/>
      <c r="G527" s="36" t="n"/>
      <c r="H527" s="36" t="n"/>
      <c r="I527" s="36" t="n"/>
      <c r="J527" s="37" t="n"/>
      <c r="K527" s="32" t="n"/>
      <c r="L527" s="36" t="n"/>
      <c r="M527" s="41" t="n"/>
      <c r="N527" s="41" t="n"/>
      <c r="O527" s="36" t="n"/>
      <c r="P527" s="33">
        <f>IF(C527="","",Commercial_Id)</f>
        <v/>
      </c>
      <c r="Q527" s="39">
        <f>IF(F527="","",IFERROR(VALUE(MID(F527,LEN(F527)-3,3)),""))</f>
        <v/>
      </c>
      <c r="R527" s="33">
        <f>IF(Q527="","",P527&amp;"|"&amp;Q527)</f>
        <v/>
      </c>
      <c r="S527" s="33">
        <f>IF(Q527="","",IF(P527="À RENSEIGNER","GIC",P527)&amp;"-"&amp;TEXT(Q527,"000"))</f>
        <v/>
      </c>
      <c r="T527" s="33">
        <f>IF(R527="","",IFERROR(INDEX(Cl_nom,MATCH(R527,Cl_cle,0)),"(client introuvable)"))</f>
        <v/>
      </c>
      <c r="U527" s="33">
        <f>IF(R527="","",IFERROR(INDEX(Cl_quartier,MATCH(R527,Cl_cle,0))&amp;"",""))</f>
        <v/>
      </c>
      <c r="V527" s="34">
        <f>IF(C527="","",YEAR(C527-WEEKDAY(C527,2)+4)&amp;"-S"&amp;TEXT(INT((C527-DATE(YEAR(C527-WEEKDAY(C527,2)+4),1,3)+WEEKDAY(DATE(YEAR(C527-WEEKDAY(C527,2)+4),1,3),2)+5)/7),"00"))</f>
        <v/>
      </c>
    </row>
    <row r="528" ht="18" customHeight="1">
      <c r="A528" s="39" t="n">
        <v>523</v>
      </c>
      <c r="B528" s="33">
        <f>IF(C528="","",IF(P528="À RENSEIGNER","GIC",P528)&amp;"-V"&amp;TEXT(A528,"00000"))</f>
        <v/>
      </c>
      <c r="C528" s="32" t="n"/>
      <c r="D528" s="35" t="n"/>
      <c r="E528" s="36" t="n"/>
      <c r="F528" s="36" t="n"/>
      <c r="G528" s="36" t="n"/>
      <c r="H528" s="36" t="n"/>
      <c r="I528" s="36" t="n"/>
      <c r="J528" s="37" t="n"/>
      <c r="K528" s="32" t="n"/>
      <c r="L528" s="36" t="n"/>
      <c r="M528" s="41" t="n"/>
      <c r="N528" s="41" t="n"/>
      <c r="O528" s="36" t="n"/>
      <c r="P528" s="33">
        <f>IF(C528="","",Commercial_Id)</f>
        <v/>
      </c>
      <c r="Q528" s="39">
        <f>IF(F528="","",IFERROR(VALUE(MID(F528,LEN(F528)-3,3)),""))</f>
        <v/>
      </c>
      <c r="R528" s="33">
        <f>IF(Q528="","",P528&amp;"|"&amp;Q528)</f>
        <v/>
      </c>
      <c r="S528" s="33">
        <f>IF(Q528="","",IF(P528="À RENSEIGNER","GIC",P528)&amp;"-"&amp;TEXT(Q528,"000"))</f>
        <v/>
      </c>
      <c r="T528" s="33">
        <f>IF(R528="","",IFERROR(INDEX(Cl_nom,MATCH(R528,Cl_cle,0)),"(client introuvable)"))</f>
        <v/>
      </c>
      <c r="U528" s="33">
        <f>IF(R528="","",IFERROR(INDEX(Cl_quartier,MATCH(R528,Cl_cle,0))&amp;"",""))</f>
        <v/>
      </c>
      <c r="V528" s="34">
        <f>IF(C528="","",YEAR(C528-WEEKDAY(C528,2)+4)&amp;"-S"&amp;TEXT(INT((C528-DATE(YEAR(C528-WEEKDAY(C528,2)+4),1,3)+WEEKDAY(DATE(YEAR(C528-WEEKDAY(C528,2)+4),1,3),2)+5)/7),"00"))</f>
        <v/>
      </c>
    </row>
    <row r="529" ht="18" customHeight="1">
      <c r="A529" s="39" t="n">
        <v>524</v>
      </c>
      <c r="B529" s="33">
        <f>IF(C529="","",IF(P529="À RENSEIGNER","GIC",P529)&amp;"-V"&amp;TEXT(A529,"00000"))</f>
        <v/>
      </c>
      <c r="C529" s="32" t="n"/>
      <c r="D529" s="35" t="n"/>
      <c r="E529" s="36" t="n"/>
      <c r="F529" s="36" t="n"/>
      <c r="G529" s="36" t="n"/>
      <c r="H529" s="36" t="n"/>
      <c r="I529" s="36" t="n"/>
      <c r="J529" s="37" t="n"/>
      <c r="K529" s="32" t="n"/>
      <c r="L529" s="36" t="n"/>
      <c r="M529" s="41" t="n"/>
      <c r="N529" s="41" t="n"/>
      <c r="O529" s="36" t="n"/>
      <c r="P529" s="33">
        <f>IF(C529="","",Commercial_Id)</f>
        <v/>
      </c>
      <c r="Q529" s="39">
        <f>IF(F529="","",IFERROR(VALUE(MID(F529,LEN(F529)-3,3)),""))</f>
        <v/>
      </c>
      <c r="R529" s="33">
        <f>IF(Q529="","",P529&amp;"|"&amp;Q529)</f>
        <v/>
      </c>
      <c r="S529" s="33">
        <f>IF(Q529="","",IF(P529="À RENSEIGNER","GIC",P529)&amp;"-"&amp;TEXT(Q529,"000"))</f>
        <v/>
      </c>
      <c r="T529" s="33">
        <f>IF(R529="","",IFERROR(INDEX(Cl_nom,MATCH(R529,Cl_cle,0)),"(client introuvable)"))</f>
        <v/>
      </c>
      <c r="U529" s="33">
        <f>IF(R529="","",IFERROR(INDEX(Cl_quartier,MATCH(R529,Cl_cle,0))&amp;"",""))</f>
        <v/>
      </c>
      <c r="V529" s="34">
        <f>IF(C529="","",YEAR(C529-WEEKDAY(C529,2)+4)&amp;"-S"&amp;TEXT(INT((C529-DATE(YEAR(C529-WEEKDAY(C529,2)+4),1,3)+WEEKDAY(DATE(YEAR(C529-WEEKDAY(C529,2)+4),1,3),2)+5)/7),"00"))</f>
        <v/>
      </c>
    </row>
    <row r="530" ht="18" customHeight="1">
      <c r="A530" s="39" t="n">
        <v>525</v>
      </c>
      <c r="B530" s="33">
        <f>IF(C530="","",IF(P530="À RENSEIGNER","GIC",P530)&amp;"-V"&amp;TEXT(A530,"00000"))</f>
        <v/>
      </c>
      <c r="C530" s="32" t="n"/>
      <c r="D530" s="35" t="n"/>
      <c r="E530" s="36" t="n"/>
      <c r="F530" s="36" t="n"/>
      <c r="G530" s="36" t="n"/>
      <c r="H530" s="36" t="n"/>
      <c r="I530" s="36" t="n"/>
      <c r="J530" s="37" t="n"/>
      <c r="K530" s="32" t="n"/>
      <c r="L530" s="36" t="n"/>
      <c r="M530" s="41" t="n"/>
      <c r="N530" s="41" t="n"/>
      <c r="O530" s="36" t="n"/>
      <c r="P530" s="33">
        <f>IF(C530="","",Commercial_Id)</f>
        <v/>
      </c>
      <c r="Q530" s="39">
        <f>IF(F530="","",IFERROR(VALUE(MID(F530,LEN(F530)-3,3)),""))</f>
        <v/>
      </c>
      <c r="R530" s="33">
        <f>IF(Q530="","",P530&amp;"|"&amp;Q530)</f>
        <v/>
      </c>
      <c r="S530" s="33">
        <f>IF(Q530="","",IF(P530="À RENSEIGNER","GIC",P530)&amp;"-"&amp;TEXT(Q530,"000"))</f>
        <v/>
      </c>
      <c r="T530" s="33">
        <f>IF(R530="","",IFERROR(INDEX(Cl_nom,MATCH(R530,Cl_cle,0)),"(client introuvable)"))</f>
        <v/>
      </c>
      <c r="U530" s="33">
        <f>IF(R530="","",IFERROR(INDEX(Cl_quartier,MATCH(R530,Cl_cle,0))&amp;"",""))</f>
        <v/>
      </c>
      <c r="V530" s="34">
        <f>IF(C530="","",YEAR(C530-WEEKDAY(C530,2)+4)&amp;"-S"&amp;TEXT(INT((C530-DATE(YEAR(C530-WEEKDAY(C530,2)+4),1,3)+WEEKDAY(DATE(YEAR(C530-WEEKDAY(C530,2)+4),1,3),2)+5)/7),"00"))</f>
        <v/>
      </c>
    </row>
    <row r="531" ht="18" customHeight="1">
      <c r="A531" s="39" t="n">
        <v>526</v>
      </c>
      <c r="B531" s="33">
        <f>IF(C531="","",IF(P531="À RENSEIGNER","GIC",P531)&amp;"-V"&amp;TEXT(A531,"00000"))</f>
        <v/>
      </c>
      <c r="C531" s="32" t="n"/>
      <c r="D531" s="35" t="n"/>
      <c r="E531" s="36" t="n"/>
      <c r="F531" s="36" t="n"/>
      <c r="G531" s="36" t="n"/>
      <c r="H531" s="36" t="n"/>
      <c r="I531" s="36" t="n"/>
      <c r="J531" s="37" t="n"/>
      <c r="K531" s="32" t="n"/>
      <c r="L531" s="36" t="n"/>
      <c r="M531" s="41" t="n"/>
      <c r="N531" s="41" t="n"/>
      <c r="O531" s="36" t="n"/>
      <c r="P531" s="33">
        <f>IF(C531="","",Commercial_Id)</f>
        <v/>
      </c>
      <c r="Q531" s="39">
        <f>IF(F531="","",IFERROR(VALUE(MID(F531,LEN(F531)-3,3)),""))</f>
        <v/>
      </c>
      <c r="R531" s="33">
        <f>IF(Q531="","",P531&amp;"|"&amp;Q531)</f>
        <v/>
      </c>
      <c r="S531" s="33">
        <f>IF(Q531="","",IF(P531="À RENSEIGNER","GIC",P531)&amp;"-"&amp;TEXT(Q531,"000"))</f>
        <v/>
      </c>
      <c r="T531" s="33">
        <f>IF(R531="","",IFERROR(INDEX(Cl_nom,MATCH(R531,Cl_cle,0)),"(client introuvable)"))</f>
        <v/>
      </c>
      <c r="U531" s="33">
        <f>IF(R531="","",IFERROR(INDEX(Cl_quartier,MATCH(R531,Cl_cle,0))&amp;"",""))</f>
        <v/>
      </c>
      <c r="V531" s="34">
        <f>IF(C531="","",YEAR(C531-WEEKDAY(C531,2)+4)&amp;"-S"&amp;TEXT(INT((C531-DATE(YEAR(C531-WEEKDAY(C531,2)+4),1,3)+WEEKDAY(DATE(YEAR(C531-WEEKDAY(C531,2)+4),1,3),2)+5)/7),"00"))</f>
        <v/>
      </c>
    </row>
    <row r="532" ht="18" customHeight="1">
      <c r="A532" s="39" t="n">
        <v>527</v>
      </c>
      <c r="B532" s="33">
        <f>IF(C532="","",IF(P532="À RENSEIGNER","GIC",P532)&amp;"-V"&amp;TEXT(A532,"00000"))</f>
        <v/>
      </c>
      <c r="C532" s="32" t="n"/>
      <c r="D532" s="35" t="n"/>
      <c r="E532" s="36" t="n"/>
      <c r="F532" s="36" t="n"/>
      <c r="G532" s="36" t="n"/>
      <c r="H532" s="36" t="n"/>
      <c r="I532" s="36" t="n"/>
      <c r="J532" s="37" t="n"/>
      <c r="K532" s="32" t="n"/>
      <c r="L532" s="36" t="n"/>
      <c r="M532" s="41" t="n"/>
      <c r="N532" s="41" t="n"/>
      <c r="O532" s="36" t="n"/>
      <c r="P532" s="33">
        <f>IF(C532="","",Commercial_Id)</f>
        <v/>
      </c>
      <c r="Q532" s="39">
        <f>IF(F532="","",IFERROR(VALUE(MID(F532,LEN(F532)-3,3)),""))</f>
        <v/>
      </c>
      <c r="R532" s="33">
        <f>IF(Q532="","",P532&amp;"|"&amp;Q532)</f>
        <v/>
      </c>
      <c r="S532" s="33">
        <f>IF(Q532="","",IF(P532="À RENSEIGNER","GIC",P532)&amp;"-"&amp;TEXT(Q532,"000"))</f>
        <v/>
      </c>
      <c r="T532" s="33">
        <f>IF(R532="","",IFERROR(INDEX(Cl_nom,MATCH(R532,Cl_cle,0)),"(client introuvable)"))</f>
        <v/>
      </c>
      <c r="U532" s="33">
        <f>IF(R532="","",IFERROR(INDEX(Cl_quartier,MATCH(R532,Cl_cle,0))&amp;"",""))</f>
        <v/>
      </c>
      <c r="V532" s="34">
        <f>IF(C532="","",YEAR(C532-WEEKDAY(C532,2)+4)&amp;"-S"&amp;TEXT(INT((C532-DATE(YEAR(C532-WEEKDAY(C532,2)+4),1,3)+WEEKDAY(DATE(YEAR(C532-WEEKDAY(C532,2)+4),1,3),2)+5)/7),"00"))</f>
        <v/>
      </c>
    </row>
    <row r="533" ht="18" customHeight="1">
      <c r="A533" s="39" t="n">
        <v>528</v>
      </c>
      <c r="B533" s="33">
        <f>IF(C533="","",IF(P533="À RENSEIGNER","GIC",P533)&amp;"-V"&amp;TEXT(A533,"00000"))</f>
        <v/>
      </c>
      <c r="C533" s="32" t="n"/>
      <c r="D533" s="35" t="n"/>
      <c r="E533" s="36" t="n"/>
      <c r="F533" s="36" t="n"/>
      <c r="G533" s="36" t="n"/>
      <c r="H533" s="36" t="n"/>
      <c r="I533" s="36" t="n"/>
      <c r="J533" s="37" t="n"/>
      <c r="K533" s="32" t="n"/>
      <c r="L533" s="36" t="n"/>
      <c r="M533" s="41" t="n"/>
      <c r="N533" s="41" t="n"/>
      <c r="O533" s="36" t="n"/>
      <c r="P533" s="33">
        <f>IF(C533="","",Commercial_Id)</f>
        <v/>
      </c>
      <c r="Q533" s="39">
        <f>IF(F533="","",IFERROR(VALUE(MID(F533,LEN(F533)-3,3)),""))</f>
        <v/>
      </c>
      <c r="R533" s="33">
        <f>IF(Q533="","",P533&amp;"|"&amp;Q533)</f>
        <v/>
      </c>
      <c r="S533" s="33">
        <f>IF(Q533="","",IF(P533="À RENSEIGNER","GIC",P533)&amp;"-"&amp;TEXT(Q533,"000"))</f>
        <v/>
      </c>
      <c r="T533" s="33">
        <f>IF(R533="","",IFERROR(INDEX(Cl_nom,MATCH(R533,Cl_cle,0)),"(client introuvable)"))</f>
        <v/>
      </c>
      <c r="U533" s="33">
        <f>IF(R533="","",IFERROR(INDEX(Cl_quartier,MATCH(R533,Cl_cle,0))&amp;"",""))</f>
        <v/>
      </c>
      <c r="V533" s="34">
        <f>IF(C533="","",YEAR(C533-WEEKDAY(C533,2)+4)&amp;"-S"&amp;TEXT(INT((C533-DATE(YEAR(C533-WEEKDAY(C533,2)+4),1,3)+WEEKDAY(DATE(YEAR(C533-WEEKDAY(C533,2)+4),1,3),2)+5)/7),"00"))</f>
        <v/>
      </c>
    </row>
    <row r="534" ht="18" customHeight="1">
      <c r="A534" s="39" t="n">
        <v>529</v>
      </c>
      <c r="B534" s="33">
        <f>IF(C534="","",IF(P534="À RENSEIGNER","GIC",P534)&amp;"-V"&amp;TEXT(A534,"00000"))</f>
        <v/>
      </c>
      <c r="C534" s="32" t="n"/>
      <c r="D534" s="35" t="n"/>
      <c r="E534" s="36" t="n"/>
      <c r="F534" s="36" t="n"/>
      <c r="G534" s="36" t="n"/>
      <c r="H534" s="36" t="n"/>
      <c r="I534" s="36" t="n"/>
      <c r="J534" s="37" t="n"/>
      <c r="K534" s="32" t="n"/>
      <c r="L534" s="36" t="n"/>
      <c r="M534" s="41" t="n"/>
      <c r="N534" s="41" t="n"/>
      <c r="O534" s="36" t="n"/>
      <c r="P534" s="33">
        <f>IF(C534="","",Commercial_Id)</f>
        <v/>
      </c>
      <c r="Q534" s="39">
        <f>IF(F534="","",IFERROR(VALUE(MID(F534,LEN(F534)-3,3)),""))</f>
        <v/>
      </c>
      <c r="R534" s="33">
        <f>IF(Q534="","",P534&amp;"|"&amp;Q534)</f>
        <v/>
      </c>
      <c r="S534" s="33">
        <f>IF(Q534="","",IF(P534="À RENSEIGNER","GIC",P534)&amp;"-"&amp;TEXT(Q534,"000"))</f>
        <v/>
      </c>
      <c r="T534" s="33">
        <f>IF(R534="","",IFERROR(INDEX(Cl_nom,MATCH(R534,Cl_cle,0)),"(client introuvable)"))</f>
        <v/>
      </c>
      <c r="U534" s="33">
        <f>IF(R534="","",IFERROR(INDEX(Cl_quartier,MATCH(R534,Cl_cle,0))&amp;"",""))</f>
        <v/>
      </c>
      <c r="V534" s="34">
        <f>IF(C534="","",YEAR(C534-WEEKDAY(C534,2)+4)&amp;"-S"&amp;TEXT(INT((C534-DATE(YEAR(C534-WEEKDAY(C534,2)+4),1,3)+WEEKDAY(DATE(YEAR(C534-WEEKDAY(C534,2)+4),1,3),2)+5)/7),"00"))</f>
        <v/>
      </c>
    </row>
    <row r="535" ht="18" customHeight="1">
      <c r="A535" s="39" t="n">
        <v>530</v>
      </c>
      <c r="B535" s="33">
        <f>IF(C535="","",IF(P535="À RENSEIGNER","GIC",P535)&amp;"-V"&amp;TEXT(A535,"00000"))</f>
        <v/>
      </c>
      <c r="C535" s="32" t="n"/>
      <c r="D535" s="35" t="n"/>
      <c r="E535" s="36" t="n"/>
      <c r="F535" s="36" t="n"/>
      <c r="G535" s="36" t="n"/>
      <c r="H535" s="36" t="n"/>
      <c r="I535" s="36" t="n"/>
      <c r="J535" s="37" t="n"/>
      <c r="K535" s="32" t="n"/>
      <c r="L535" s="36" t="n"/>
      <c r="M535" s="41" t="n"/>
      <c r="N535" s="41" t="n"/>
      <c r="O535" s="36" t="n"/>
      <c r="P535" s="33">
        <f>IF(C535="","",Commercial_Id)</f>
        <v/>
      </c>
      <c r="Q535" s="39">
        <f>IF(F535="","",IFERROR(VALUE(MID(F535,LEN(F535)-3,3)),""))</f>
        <v/>
      </c>
      <c r="R535" s="33">
        <f>IF(Q535="","",P535&amp;"|"&amp;Q535)</f>
        <v/>
      </c>
      <c r="S535" s="33">
        <f>IF(Q535="","",IF(P535="À RENSEIGNER","GIC",P535)&amp;"-"&amp;TEXT(Q535,"000"))</f>
        <v/>
      </c>
      <c r="T535" s="33">
        <f>IF(R535="","",IFERROR(INDEX(Cl_nom,MATCH(R535,Cl_cle,0)),"(client introuvable)"))</f>
        <v/>
      </c>
      <c r="U535" s="33">
        <f>IF(R535="","",IFERROR(INDEX(Cl_quartier,MATCH(R535,Cl_cle,0))&amp;"",""))</f>
        <v/>
      </c>
      <c r="V535" s="34">
        <f>IF(C535="","",YEAR(C535-WEEKDAY(C535,2)+4)&amp;"-S"&amp;TEXT(INT((C535-DATE(YEAR(C535-WEEKDAY(C535,2)+4),1,3)+WEEKDAY(DATE(YEAR(C535-WEEKDAY(C535,2)+4),1,3),2)+5)/7),"00"))</f>
        <v/>
      </c>
    </row>
    <row r="536" ht="18" customHeight="1">
      <c r="A536" s="39" t="n">
        <v>531</v>
      </c>
      <c r="B536" s="33">
        <f>IF(C536="","",IF(P536="À RENSEIGNER","GIC",P536)&amp;"-V"&amp;TEXT(A536,"00000"))</f>
        <v/>
      </c>
      <c r="C536" s="32" t="n"/>
      <c r="D536" s="35" t="n"/>
      <c r="E536" s="36" t="n"/>
      <c r="F536" s="36" t="n"/>
      <c r="G536" s="36" t="n"/>
      <c r="H536" s="36" t="n"/>
      <c r="I536" s="36" t="n"/>
      <c r="J536" s="37" t="n"/>
      <c r="K536" s="32" t="n"/>
      <c r="L536" s="36" t="n"/>
      <c r="M536" s="41" t="n"/>
      <c r="N536" s="41" t="n"/>
      <c r="O536" s="36" t="n"/>
      <c r="P536" s="33">
        <f>IF(C536="","",Commercial_Id)</f>
        <v/>
      </c>
      <c r="Q536" s="39">
        <f>IF(F536="","",IFERROR(VALUE(MID(F536,LEN(F536)-3,3)),""))</f>
        <v/>
      </c>
      <c r="R536" s="33">
        <f>IF(Q536="","",P536&amp;"|"&amp;Q536)</f>
        <v/>
      </c>
      <c r="S536" s="33">
        <f>IF(Q536="","",IF(P536="À RENSEIGNER","GIC",P536)&amp;"-"&amp;TEXT(Q536,"000"))</f>
        <v/>
      </c>
      <c r="T536" s="33">
        <f>IF(R536="","",IFERROR(INDEX(Cl_nom,MATCH(R536,Cl_cle,0)),"(client introuvable)"))</f>
        <v/>
      </c>
      <c r="U536" s="33">
        <f>IF(R536="","",IFERROR(INDEX(Cl_quartier,MATCH(R536,Cl_cle,0))&amp;"",""))</f>
        <v/>
      </c>
      <c r="V536" s="34">
        <f>IF(C536="","",YEAR(C536-WEEKDAY(C536,2)+4)&amp;"-S"&amp;TEXT(INT((C536-DATE(YEAR(C536-WEEKDAY(C536,2)+4),1,3)+WEEKDAY(DATE(YEAR(C536-WEEKDAY(C536,2)+4),1,3),2)+5)/7),"00"))</f>
        <v/>
      </c>
    </row>
    <row r="537" ht="18" customHeight="1">
      <c r="A537" s="39" t="n">
        <v>532</v>
      </c>
      <c r="B537" s="33">
        <f>IF(C537="","",IF(P537="À RENSEIGNER","GIC",P537)&amp;"-V"&amp;TEXT(A537,"00000"))</f>
        <v/>
      </c>
      <c r="C537" s="32" t="n"/>
      <c r="D537" s="35" t="n"/>
      <c r="E537" s="36" t="n"/>
      <c r="F537" s="36" t="n"/>
      <c r="G537" s="36" t="n"/>
      <c r="H537" s="36" t="n"/>
      <c r="I537" s="36" t="n"/>
      <c r="J537" s="37" t="n"/>
      <c r="K537" s="32" t="n"/>
      <c r="L537" s="36" t="n"/>
      <c r="M537" s="41" t="n"/>
      <c r="N537" s="41" t="n"/>
      <c r="O537" s="36" t="n"/>
      <c r="P537" s="33">
        <f>IF(C537="","",Commercial_Id)</f>
        <v/>
      </c>
      <c r="Q537" s="39">
        <f>IF(F537="","",IFERROR(VALUE(MID(F537,LEN(F537)-3,3)),""))</f>
        <v/>
      </c>
      <c r="R537" s="33">
        <f>IF(Q537="","",P537&amp;"|"&amp;Q537)</f>
        <v/>
      </c>
      <c r="S537" s="33">
        <f>IF(Q537="","",IF(P537="À RENSEIGNER","GIC",P537)&amp;"-"&amp;TEXT(Q537,"000"))</f>
        <v/>
      </c>
      <c r="T537" s="33">
        <f>IF(R537="","",IFERROR(INDEX(Cl_nom,MATCH(R537,Cl_cle,0)),"(client introuvable)"))</f>
        <v/>
      </c>
      <c r="U537" s="33">
        <f>IF(R537="","",IFERROR(INDEX(Cl_quartier,MATCH(R537,Cl_cle,0))&amp;"",""))</f>
        <v/>
      </c>
      <c r="V537" s="34">
        <f>IF(C537="","",YEAR(C537-WEEKDAY(C537,2)+4)&amp;"-S"&amp;TEXT(INT((C537-DATE(YEAR(C537-WEEKDAY(C537,2)+4),1,3)+WEEKDAY(DATE(YEAR(C537-WEEKDAY(C537,2)+4),1,3),2)+5)/7),"00"))</f>
        <v/>
      </c>
    </row>
    <row r="538" ht="18" customHeight="1">
      <c r="A538" s="39" t="n">
        <v>533</v>
      </c>
      <c r="B538" s="33">
        <f>IF(C538="","",IF(P538="À RENSEIGNER","GIC",P538)&amp;"-V"&amp;TEXT(A538,"00000"))</f>
        <v/>
      </c>
      <c r="C538" s="32" t="n"/>
      <c r="D538" s="35" t="n"/>
      <c r="E538" s="36" t="n"/>
      <c r="F538" s="36" t="n"/>
      <c r="G538" s="36" t="n"/>
      <c r="H538" s="36" t="n"/>
      <c r="I538" s="36" t="n"/>
      <c r="J538" s="37" t="n"/>
      <c r="K538" s="32" t="n"/>
      <c r="L538" s="36" t="n"/>
      <c r="M538" s="41" t="n"/>
      <c r="N538" s="41" t="n"/>
      <c r="O538" s="36" t="n"/>
      <c r="P538" s="33">
        <f>IF(C538="","",Commercial_Id)</f>
        <v/>
      </c>
      <c r="Q538" s="39">
        <f>IF(F538="","",IFERROR(VALUE(MID(F538,LEN(F538)-3,3)),""))</f>
        <v/>
      </c>
      <c r="R538" s="33">
        <f>IF(Q538="","",P538&amp;"|"&amp;Q538)</f>
        <v/>
      </c>
      <c r="S538" s="33">
        <f>IF(Q538="","",IF(P538="À RENSEIGNER","GIC",P538)&amp;"-"&amp;TEXT(Q538,"000"))</f>
        <v/>
      </c>
      <c r="T538" s="33">
        <f>IF(R538="","",IFERROR(INDEX(Cl_nom,MATCH(R538,Cl_cle,0)),"(client introuvable)"))</f>
        <v/>
      </c>
      <c r="U538" s="33">
        <f>IF(R538="","",IFERROR(INDEX(Cl_quartier,MATCH(R538,Cl_cle,0))&amp;"",""))</f>
        <v/>
      </c>
      <c r="V538" s="34">
        <f>IF(C538="","",YEAR(C538-WEEKDAY(C538,2)+4)&amp;"-S"&amp;TEXT(INT((C538-DATE(YEAR(C538-WEEKDAY(C538,2)+4),1,3)+WEEKDAY(DATE(YEAR(C538-WEEKDAY(C538,2)+4),1,3),2)+5)/7),"00"))</f>
        <v/>
      </c>
    </row>
    <row r="539" ht="18" customHeight="1">
      <c r="A539" s="39" t="n">
        <v>534</v>
      </c>
      <c r="B539" s="33">
        <f>IF(C539="","",IF(P539="À RENSEIGNER","GIC",P539)&amp;"-V"&amp;TEXT(A539,"00000"))</f>
        <v/>
      </c>
      <c r="C539" s="32" t="n"/>
      <c r="D539" s="35" t="n"/>
      <c r="E539" s="36" t="n"/>
      <c r="F539" s="36" t="n"/>
      <c r="G539" s="36" t="n"/>
      <c r="H539" s="36" t="n"/>
      <c r="I539" s="36" t="n"/>
      <c r="J539" s="37" t="n"/>
      <c r="K539" s="32" t="n"/>
      <c r="L539" s="36" t="n"/>
      <c r="M539" s="41" t="n"/>
      <c r="N539" s="41" t="n"/>
      <c r="O539" s="36" t="n"/>
      <c r="P539" s="33">
        <f>IF(C539="","",Commercial_Id)</f>
        <v/>
      </c>
      <c r="Q539" s="39">
        <f>IF(F539="","",IFERROR(VALUE(MID(F539,LEN(F539)-3,3)),""))</f>
        <v/>
      </c>
      <c r="R539" s="33">
        <f>IF(Q539="","",P539&amp;"|"&amp;Q539)</f>
        <v/>
      </c>
      <c r="S539" s="33">
        <f>IF(Q539="","",IF(P539="À RENSEIGNER","GIC",P539)&amp;"-"&amp;TEXT(Q539,"000"))</f>
        <v/>
      </c>
      <c r="T539" s="33">
        <f>IF(R539="","",IFERROR(INDEX(Cl_nom,MATCH(R539,Cl_cle,0)),"(client introuvable)"))</f>
        <v/>
      </c>
      <c r="U539" s="33">
        <f>IF(R539="","",IFERROR(INDEX(Cl_quartier,MATCH(R539,Cl_cle,0))&amp;"",""))</f>
        <v/>
      </c>
      <c r="V539" s="34">
        <f>IF(C539="","",YEAR(C539-WEEKDAY(C539,2)+4)&amp;"-S"&amp;TEXT(INT((C539-DATE(YEAR(C539-WEEKDAY(C539,2)+4),1,3)+WEEKDAY(DATE(YEAR(C539-WEEKDAY(C539,2)+4),1,3),2)+5)/7),"00"))</f>
        <v/>
      </c>
    </row>
    <row r="540" ht="18" customHeight="1">
      <c r="A540" s="39" t="n">
        <v>535</v>
      </c>
      <c r="B540" s="33">
        <f>IF(C540="","",IF(P540="À RENSEIGNER","GIC",P540)&amp;"-V"&amp;TEXT(A540,"00000"))</f>
        <v/>
      </c>
      <c r="C540" s="32" t="n"/>
      <c r="D540" s="35" t="n"/>
      <c r="E540" s="36" t="n"/>
      <c r="F540" s="36" t="n"/>
      <c r="G540" s="36" t="n"/>
      <c r="H540" s="36" t="n"/>
      <c r="I540" s="36" t="n"/>
      <c r="J540" s="37" t="n"/>
      <c r="K540" s="32" t="n"/>
      <c r="L540" s="36" t="n"/>
      <c r="M540" s="41" t="n"/>
      <c r="N540" s="41" t="n"/>
      <c r="O540" s="36" t="n"/>
      <c r="P540" s="33">
        <f>IF(C540="","",Commercial_Id)</f>
        <v/>
      </c>
      <c r="Q540" s="39">
        <f>IF(F540="","",IFERROR(VALUE(MID(F540,LEN(F540)-3,3)),""))</f>
        <v/>
      </c>
      <c r="R540" s="33">
        <f>IF(Q540="","",P540&amp;"|"&amp;Q540)</f>
        <v/>
      </c>
      <c r="S540" s="33">
        <f>IF(Q540="","",IF(P540="À RENSEIGNER","GIC",P540)&amp;"-"&amp;TEXT(Q540,"000"))</f>
        <v/>
      </c>
      <c r="T540" s="33">
        <f>IF(R540="","",IFERROR(INDEX(Cl_nom,MATCH(R540,Cl_cle,0)),"(client introuvable)"))</f>
        <v/>
      </c>
      <c r="U540" s="33">
        <f>IF(R540="","",IFERROR(INDEX(Cl_quartier,MATCH(R540,Cl_cle,0))&amp;"",""))</f>
        <v/>
      </c>
      <c r="V540" s="34">
        <f>IF(C540="","",YEAR(C540-WEEKDAY(C540,2)+4)&amp;"-S"&amp;TEXT(INT((C540-DATE(YEAR(C540-WEEKDAY(C540,2)+4),1,3)+WEEKDAY(DATE(YEAR(C540-WEEKDAY(C540,2)+4),1,3),2)+5)/7),"00"))</f>
        <v/>
      </c>
    </row>
    <row r="541" ht="18" customHeight="1">
      <c r="A541" s="39" t="n">
        <v>536</v>
      </c>
      <c r="B541" s="33">
        <f>IF(C541="","",IF(P541="À RENSEIGNER","GIC",P541)&amp;"-V"&amp;TEXT(A541,"00000"))</f>
        <v/>
      </c>
      <c r="C541" s="32" t="n"/>
      <c r="D541" s="35" t="n"/>
      <c r="E541" s="36" t="n"/>
      <c r="F541" s="36" t="n"/>
      <c r="G541" s="36" t="n"/>
      <c r="H541" s="36" t="n"/>
      <c r="I541" s="36" t="n"/>
      <c r="J541" s="37" t="n"/>
      <c r="K541" s="32" t="n"/>
      <c r="L541" s="36" t="n"/>
      <c r="M541" s="41" t="n"/>
      <c r="N541" s="41" t="n"/>
      <c r="O541" s="36" t="n"/>
      <c r="P541" s="33">
        <f>IF(C541="","",Commercial_Id)</f>
        <v/>
      </c>
      <c r="Q541" s="39">
        <f>IF(F541="","",IFERROR(VALUE(MID(F541,LEN(F541)-3,3)),""))</f>
        <v/>
      </c>
      <c r="R541" s="33">
        <f>IF(Q541="","",P541&amp;"|"&amp;Q541)</f>
        <v/>
      </c>
      <c r="S541" s="33">
        <f>IF(Q541="","",IF(P541="À RENSEIGNER","GIC",P541)&amp;"-"&amp;TEXT(Q541,"000"))</f>
        <v/>
      </c>
      <c r="T541" s="33">
        <f>IF(R541="","",IFERROR(INDEX(Cl_nom,MATCH(R541,Cl_cle,0)),"(client introuvable)"))</f>
        <v/>
      </c>
      <c r="U541" s="33">
        <f>IF(R541="","",IFERROR(INDEX(Cl_quartier,MATCH(R541,Cl_cle,0))&amp;"",""))</f>
        <v/>
      </c>
      <c r="V541" s="34">
        <f>IF(C541="","",YEAR(C541-WEEKDAY(C541,2)+4)&amp;"-S"&amp;TEXT(INT((C541-DATE(YEAR(C541-WEEKDAY(C541,2)+4),1,3)+WEEKDAY(DATE(YEAR(C541-WEEKDAY(C541,2)+4),1,3),2)+5)/7),"00"))</f>
        <v/>
      </c>
    </row>
    <row r="542" ht="18" customHeight="1">
      <c r="A542" s="39" t="n">
        <v>537</v>
      </c>
      <c r="B542" s="33">
        <f>IF(C542="","",IF(P542="À RENSEIGNER","GIC",P542)&amp;"-V"&amp;TEXT(A542,"00000"))</f>
        <v/>
      </c>
      <c r="C542" s="32" t="n"/>
      <c r="D542" s="35" t="n"/>
      <c r="E542" s="36" t="n"/>
      <c r="F542" s="36" t="n"/>
      <c r="G542" s="36" t="n"/>
      <c r="H542" s="36" t="n"/>
      <c r="I542" s="36" t="n"/>
      <c r="J542" s="37" t="n"/>
      <c r="K542" s="32" t="n"/>
      <c r="L542" s="36" t="n"/>
      <c r="M542" s="41" t="n"/>
      <c r="N542" s="41" t="n"/>
      <c r="O542" s="36" t="n"/>
      <c r="P542" s="33">
        <f>IF(C542="","",Commercial_Id)</f>
        <v/>
      </c>
      <c r="Q542" s="39">
        <f>IF(F542="","",IFERROR(VALUE(MID(F542,LEN(F542)-3,3)),""))</f>
        <v/>
      </c>
      <c r="R542" s="33">
        <f>IF(Q542="","",P542&amp;"|"&amp;Q542)</f>
        <v/>
      </c>
      <c r="S542" s="33">
        <f>IF(Q542="","",IF(P542="À RENSEIGNER","GIC",P542)&amp;"-"&amp;TEXT(Q542,"000"))</f>
        <v/>
      </c>
      <c r="T542" s="33">
        <f>IF(R542="","",IFERROR(INDEX(Cl_nom,MATCH(R542,Cl_cle,0)),"(client introuvable)"))</f>
        <v/>
      </c>
      <c r="U542" s="33">
        <f>IF(R542="","",IFERROR(INDEX(Cl_quartier,MATCH(R542,Cl_cle,0))&amp;"",""))</f>
        <v/>
      </c>
      <c r="V542" s="34">
        <f>IF(C542="","",YEAR(C542-WEEKDAY(C542,2)+4)&amp;"-S"&amp;TEXT(INT((C542-DATE(YEAR(C542-WEEKDAY(C542,2)+4),1,3)+WEEKDAY(DATE(YEAR(C542-WEEKDAY(C542,2)+4),1,3),2)+5)/7),"00"))</f>
        <v/>
      </c>
    </row>
    <row r="543" ht="18" customHeight="1">
      <c r="A543" s="39" t="n">
        <v>538</v>
      </c>
      <c r="B543" s="33">
        <f>IF(C543="","",IF(P543="À RENSEIGNER","GIC",P543)&amp;"-V"&amp;TEXT(A543,"00000"))</f>
        <v/>
      </c>
      <c r="C543" s="32" t="n"/>
      <c r="D543" s="35" t="n"/>
      <c r="E543" s="36" t="n"/>
      <c r="F543" s="36" t="n"/>
      <c r="G543" s="36" t="n"/>
      <c r="H543" s="36" t="n"/>
      <c r="I543" s="36" t="n"/>
      <c r="J543" s="37" t="n"/>
      <c r="K543" s="32" t="n"/>
      <c r="L543" s="36" t="n"/>
      <c r="M543" s="41" t="n"/>
      <c r="N543" s="41" t="n"/>
      <c r="O543" s="36" t="n"/>
      <c r="P543" s="33">
        <f>IF(C543="","",Commercial_Id)</f>
        <v/>
      </c>
      <c r="Q543" s="39">
        <f>IF(F543="","",IFERROR(VALUE(MID(F543,LEN(F543)-3,3)),""))</f>
        <v/>
      </c>
      <c r="R543" s="33">
        <f>IF(Q543="","",P543&amp;"|"&amp;Q543)</f>
        <v/>
      </c>
      <c r="S543" s="33">
        <f>IF(Q543="","",IF(P543="À RENSEIGNER","GIC",P543)&amp;"-"&amp;TEXT(Q543,"000"))</f>
        <v/>
      </c>
      <c r="T543" s="33">
        <f>IF(R543="","",IFERROR(INDEX(Cl_nom,MATCH(R543,Cl_cle,0)),"(client introuvable)"))</f>
        <v/>
      </c>
      <c r="U543" s="33">
        <f>IF(R543="","",IFERROR(INDEX(Cl_quartier,MATCH(R543,Cl_cle,0))&amp;"",""))</f>
        <v/>
      </c>
      <c r="V543" s="34">
        <f>IF(C543="","",YEAR(C543-WEEKDAY(C543,2)+4)&amp;"-S"&amp;TEXT(INT((C543-DATE(YEAR(C543-WEEKDAY(C543,2)+4),1,3)+WEEKDAY(DATE(YEAR(C543-WEEKDAY(C543,2)+4),1,3),2)+5)/7),"00"))</f>
        <v/>
      </c>
    </row>
    <row r="544" ht="18" customHeight="1">
      <c r="A544" s="39" t="n">
        <v>539</v>
      </c>
      <c r="B544" s="33">
        <f>IF(C544="","",IF(P544="À RENSEIGNER","GIC",P544)&amp;"-V"&amp;TEXT(A544,"00000"))</f>
        <v/>
      </c>
      <c r="C544" s="32" t="n"/>
      <c r="D544" s="35" t="n"/>
      <c r="E544" s="36" t="n"/>
      <c r="F544" s="36" t="n"/>
      <c r="G544" s="36" t="n"/>
      <c r="H544" s="36" t="n"/>
      <c r="I544" s="36" t="n"/>
      <c r="J544" s="37" t="n"/>
      <c r="K544" s="32" t="n"/>
      <c r="L544" s="36" t="n"/>
      <c r="M544" s="41" t="n"/>
      <c r="N544" s="41" t="n"/>
      <c r="O544" s="36" t="n"/>
      <c r="P544" s="33">
        <f>IF(C544="","",Commercial_Id)</f>
        <v/>
      </c>
      <c r="Q544" s="39">
        <f>IF(F544="","",IFERROR(VALUE(MID(F544,LEN(F544)-3,3)),""))</f>
        <v/>
      </c>
      <c r="R544" s="33">
        <f>IF(Q544="","",P544&amp;"|"&amp;Q544)</f>
        <v/>
      </c>
      <c r="S544" s="33">
        <f>IF(Q544="","",IF(P544="À RENSEIGNER","GIC",P544)&amp;"-"&amp;TEXT(Q544,"000"))</f>
        <v/>
      </c>
      <c r="T544" s="33">
        <f>IF(R544="","",IFERROR(INDEX(Cl_nom,MATCH(R544,Cl_cle,0)),"(client introuvable)"))</f>
        <v/>
      </c>
      <c r="U544" s="33">
        <f>IF(R544="","",IFERROR(INDEX(Cl_quartier,MATCH(R544,Cl_cle,0))&amp;"",""))</f>
        <v/>
      </c>
      <c r="V544" s="34">
        <f>IF(C544="","",YEAR(C544-WEEKDAY(C544,2)+4)&amp;"-S"&amp;TEXT(INT((C544-DATE(YEAR(C544-WEEKDAY(C544,2)+4),1,3)+WEEKDAY(DATE(YEAR(C544-WEEKDAY(C544,2)+4),1,3),2)+5)/7),"00"))</f>
        <v/>
      </c>
    </row>
    <row r="545" ht="18" customHeight="1">
      <c r="A545" s="39" t="n">
        <v>540</v>
      </c>
      <c r="B545" s="33">
        <f>IF(C545="","",IF(P545="À RENSEIGNER","GIC",P545)&amp;"-V"&amp;TEXT(A545,"00000"))</f>
        <v/>
      </c>
      <c r="C545" s="32" t="n"/>
      <c r="D545" s="35" t="n"/>
      <c r="E545" s="36" t="n"/>
      <c r="F545" s="36" t="n"/>
      <c r="G545" s="36" t="n"/>
      <c r="H545" s="36" t="n"/>
      <c r="I545" s="36" t="n"/>
      <c r="J545" s="37" t="n"/>
      <c r="K545" s="32" t="n"/>
      <c r="L545" s="36" t="n"/>
      <c r="M545" s="41" t="n"/>
      <c r="N545" s="41" t="n"/>
      <c r="O545" s="36" t="n"/>
      <c r="P545" s="33">
        <f>IF(C545="","",Commercial_Id)</f>
        <v/>
      </c>
      <c r="Q545" s="39">
        <f>IF(F545="","",IFERROR(VALUE(MID(F545,LEN(F545)-3,3)),""))</f>
        <v/>
      </c>
      <c r="R545" s="33">
        <f>IF(Q545="","",P545&amp;"|"&amp;Q545)</f>
        <v/>
      </c>
      <c r="S545" s="33">
        <f>IF(Q545="","",IF(P545="À RENSEIGNER","GIC",P545)&amp;"-"&amp;TEXT(Q545,"000"))</f>
        <v/>
      </c>
      <c r="T545" s="33">
        <f>IF(R545="","",IFERROR(INDEX(Cl_nom,MATCH(R545,Cl_cle,0)),"(client introuvable)"))</f>
        <v/>
      </c>
      <c r="U545" s="33">
        <f>IF(R545="","",IFERROR(INDEX(Cl_quartier,MATCH(R545,Cl_cle,0))&amp;"",""))</f>
        <v/>
      </c>
      <c r="V545" s="34">
        <f>IF(C545="","",YEAR(C545-WEEKDAY(C545,2)+4)&amp;"-S"&amp;TEXT(INT((C545-DATE(YEAR(C545-WEEKDAY(C545,2)+4),1,3)+WEEKDAY(DATE(YEAR(C545-WEEKDAY(C545,2)+4),1,3),2)+5)/7),"00"))</f>
        <v/>
      </c>
    </row>
    <row r="546" ht="18" customHeight="1">
      <c r="A546" s="39" t="n">
        <v>541</v>
      </c>
      <c r="B546" s="33">
        <f>IF(C546="","",IF(P546="À RENSEIGNER","GIC",P546)&amp;"-V"&amp;TEXT(A546,"00000"))</f>
        <v/>
      </c>
      <c r="C546" s="32" t="n"/>
      <c r="D546" s="35" t="n"/>
      <c r="E546" s="36" t="n"/>
      <c r="F546" s="36" t="n"/>
      <c r="G546" s="36" t="n"/>
      <c r="H546" s="36" t="n"/>
      <c r="I546" s="36" t="n"/>
      <c r="J546" s="37" t="n"/>
      <c r="K546" s="32" t="n"/>
      <c r="L546" s="36" t="n"/>
      <c r="M546" s="41" t="n"/>
      <c r="N546" s="41" t="n"/>
      <c r="O546" s="36" t="n"/>
      <c r="P546" s="33">
        <f>IF(C546="","",Commercial_Id)</f>
        <v/>
      </c>
      <c r="Q546" s="39">
        <f>IF(F546="","",IFERROR(VALUE(MID(F546,LEN(F546)-3,3)),""))</f>
        <v/>
      </c>
      <c r="R546" s="33">
        <f>IF(Q546="","",P546&amp;"|"&amp;Q546)</f>
        <v/>
      </c>
      <c r="S546" s="33">
        <f>IF(Q546="","",IF(P546="À RENSEIGNER","GIC",P546)&amp;"-"&amp;TEXT(Q546,"000"))</f>
        <v/>
      </c>
      <c r="T546" s="33">
        <f>IF(R546="","",IFERROR(INDEX(Cl_nom,MATCH(R546,Cl_cle,0)),"(client introuvable)"))</f>
        <v/>
      </c>
      <c r="U546" s="33">
        <f>IF(R546="","",IFERROR(INDEX(Cl_quartier,MATCH(R546,Cl_cle,0))&amp;"",""))</f>
        <v/>
      </c>
      <c r="V546" s="34">
        <f>IF(C546="","",YEAR(C546-WEEKDAY(C546,2)+4)&amp;"-S"&amp;TEXT(INT((C546-DATE(YEAR(C546-WEEKDAY(C546,2)+4),1,3)+WEEKDAY(DATE(YEAR(C546-WEEKDAY(C546,2)+4),1,3),2)+5)/7),"00"))</f>
        <v/>
      </c>
    </row>
    <row r="547" ht="18" customHeight="1">
      <c r="A547" s="39" t="n">
        <v>542</v>
      </c>
      <c r="B547" s="33">
        <f>IF(C547="","",IF(P547="À RENSEIGNER","GIC",P547)&amp;"-V"&amp;TEXT(A547,"00000"))</f>
        <v/>
      </c>
      <c r="C547" s="32" t="n"/>
      <c r="D547" s="35" t="n"/>
      <c r="E547" s="36" t="n"/>
      <c r="F547" s="36" t="n"/>
      <c r="G547" s="36" t="n"/>
      <c r="H547" s="36" t="n"/>
      <c r="I547" s="36" t="n"/>
      <c r="J547" s="37" t="n"/>
      <c r="K547" s="32" t="n"/>
      <c r="L547" s="36" t="n"/>
      <c r="M547" s="41" t="n"/>
      <c r="N547" s="41" t="n"/>
      <c r="O547" s="36" t="n"/>
      <c r="P547" s="33">
        <f>IF(C547="","",Commercial_Id)</f>
        <v/>
      </c>
      <c r="Q547" s="39">
        <f>IF(F547="","",IFERROR(VALUE(MID(F547,LEN(F547)-3,3)),""))</f>
        <v/>
      </c>
      <c r="R547" s="33">
        <f>IF(Q547="","",P547&amp;"|"&amp;Q547)</f>
        <v/>
      </c>
      <c r="S547" s="33">
        <f>IF(Q547="","",IF(P547="À RENSEIGNER","GIC",P547)&amp;"-"&amp;TEXT(Q547,"000"))</f>
        <v/>
      </c>
      <c r="T547" s="33">
        <f>IF(R547="","",IFERROR(INDEX(Cl_nom,MATCH(R547,Cl_cle,0)),"(client introuvable)"))</f>
        <v/>
      </c>
      <c r="U547" s="33">
        <f>IF(R547="","",IFERROR(INDEX(Cl_quartier,MATCH(R547,Cl_cle,0))&amp;"",""))</f>
        <v/>
      </c>
      <c r="V547" s="34">
        <f>IF(C547="","",YEAR(C547-WEEKDAY(C547,2)+4)&amp;"-S"&amp;TEXT(INT((C547-DATE(YEAR(C547-WEEKDAY(C547,2)+4),1,3)+WEEKDAY(DATE(YEAR(C547-WEEKDAY(C547,2)+4),1,3),2)+5)/7),"00"))</f>
        <v/>
      </c>
    </row>
    <row r="548" ht="18" customHeight="1">
      <c r="A548" s="39" t="n">
        <v>543</v>
      </c>
      <c r="B548" s="33">
        <f>IF(C548="","",IF(P548="À RENSEIGNER","GIC",P548)&amp;"-V"&amp;TEXT(A548,"00000"))</f>
        <v/>
      </c>
      <c r="C548" s="32" t="n"/>
      <c r="D548" s="35" t="n"/>
      <c r="E548" s="36" t="n"/>
      <c r="F548" s="36" t="n"/>
      <c r="G548" s="36" t="n"/>
      <c r="H548" s="36" t="n"/>
      <c r="I548" s="36" t="n"/>
      <c r="J548" s="37" t="n"/>
      <c r="K548" s="32" t="n"/>
      <c r="L548" s="36" t="n"/>
      <c r="M548" s="41" t="n"/>
      <c r="N548" s="41" t="n"/>
      <c r="O548" s="36" t="n"/>
      <c r="P548" s="33">
        <f>IF(C548="","",Commercial_Id)</f>
        <v/>
      </c>
      <c r="Q548" s="39">
        <f>IF(F548="","",IFERROR(VALUE(MID(F548,LEN(F548)-3,3)),""))</f>
        <v/>
      </c>
      <c r="R548" s="33">
        <f>IF(Q548="","",P548&amp;"|"&amp;Q548)</f>
        <v/>
      </c>
      <c r="S548" s="33">
        <f>IF(Q548="","",IF(P548="À RENSEIGNER","GIC",P548)&amp;"-"&amp;TEXT(Q548,"000"))</f>
        <v/>
      </c>
      <c r="T548" s="33">
        <f>IF(R548="","",IFERROR(INDEX(Cl_nom,MATCH(R548,Cl_cle,0)),"(client introuvable)"))</f>
        <v/>
      </c>
      <c r="U548" s="33">
        <f>IF(R548="","",IFERROR(INDEX(Cl_quartier,MATCH(R548,Cl_cle,0))&amp;"",""))</f>
        <v/>
      </c>
      <c r="V548" s="34">
        <f>IF(C548="","",YEAR(C548-WEEKDAY(C548,2)+4)&amp;"-S"&amp;TEXT(INT((C548-DATE(YEAR(C548-WEEKDAY(C548,2)+4),1,3)+WEEKDAY(DATE(YEAR(C548-WEEKDAY(C548,2)+4),1,3),2)+5)/7),"00"))</f>
        <v/>
      </c>
    </row>
    <row r="549" ht="18" customHeight="1">
      <c r="A549" s="39" t="n">
        <v>544</v>
      </c>
      <c r="B549" s="33">
        <f>IF(C549="","",IF(P549="À RENSEIGNER","GIC",P549)&amp;"-V"&amp;TEXT(A549,"00000"))</f>
        <v/>
      </c>
      <c r="C549" s="32" t="n"/>
      <c r="D549" s="35" t="n"/>
      <c r="E549" s="36" t="n"/>
      <c r="F549" s="36" t="n"/>
      <c r="G549" s="36" t="n"/>
      <c r="H549" s="36" t="n"/>
      <c r="I549" s="36" t="n"/>
      <c r="J549" s="37" t="n"/>
      <c r="K549" s="32" t="n"/>
      <c r="L549" s="36" t="n"/>
      <c r="M549" s="41" t="n"/>
      <c r="N549" s="41" t="n"/>
      <c r="O549" s="36" t="n"/>
      <c r="P549" s="33">
        <f>IF(C549="","",Commercial_Id)</f>
        <v/>
      </c>
      <c r="Q549" s="39">
        <f>IF(F549="","",IFERROR(VALUE(MID(F549,LEN(F549)-3,3)),""))</f>
        <v/>
      </c>
      <c r="R549" s="33">
        <f>IF(Q549="","",P549&amp;"|"&amp;Q549)</f>
        <v/>
      </c>
      <c r="S549" s="33">
        <f>IF(Q549="","",IF(P549="À RENSEIGNER","GIC",P549)&amp;"-"&amp;TEXT(Q549,"000"))</f>
        <v/>
      </c>
      <c r="T549" s="33">
        <f>IF(R549="","",IFERROR(INDEX(Cl_nom,MATCH(R549,Cl_cle,0)),"(client introuvable)"))</f>
        <v/>
      </c>
      <c r="U549" s="33">
        <f>IF(R549="","",IFERROR(INDEX(Cl_quartier,MATCH(R549,Cl_cle,0))&amp;"",""))</f>
        <v/>
      </c>
      <c r="V549" s="34">
        <f>IF(C549="","",YEAR(C549-WEEKDAY(C549,2)+4)&amp;"-S"&amp;TEXT(INT((C549-DATE(YEAR(C549-WEEKDAY(C549,2)+4),1,3)+WEEKDAY(DATE(YEAR(C549-WEEKDAY(C549,2)+4),1,3),2)+5)/7),"00"))</f>
        <v/>
      </c>
    </row>
    <row r="550" ht="18" customHeight="1">
      <c r="A550" s="39" t="n">
        <v>545</v>
      </c>
      <c r="B550" s="33">
        <f>IF(C550="","",IF(P550="À RENSEIGNER","GIC",P550)&amp;"-V"&amp;TEXT(A550,"00000"))</f>
        <v/>
      </c>
      <c r="C550" s="32" t="n"/>
      <c r="D550" s="35" t="n"/>
      <c r="E550" s="36" t="n"/>
      <c r="F550" s="36" t="n"/>
      <c r="G550" s="36" t="n"/>
      <c r="H550" s="36" t="n"/>
      <c r="I550" s="36" t="n"/>
      <c r="J550" s="37" t="n"/>
      <c r="K550" s="32" t="n"/>
      <c r="L550" s="36" t="n"/>
      <c r="M550" s="41" t="n"/>
      <c r="N550" s="41" t="n"/>
      <c r="O550" s="36" t="n"/>
      <c r="P550" s="33">
        <f>IF(C550="","",Commercial_Id)</f>
        <v/>
      </c>
      <c r="Q550" s="39">
        <f>IF(F550="","",IFERROR(VALUE(MID(F550,LEN(F550)-3,3)),""))</f>
        <v/>
      </c>
      <c r="R550" s="33">
        <f>IF(Q550="","",P550&amp;"|"&amp;Q550)</f>
        <v/>
      </c>
      <c r="S550" s="33">
        <f>IF(Q550="","",IF(P550="À RENSEIGNER","GIC",P550)&amp;"-"&amp;TEXT(Q550,"000"))</f>
        <v/>
      </c>
      <c r="T550" s="33">
        <f>IF(R550="","",IFERROR(INDEX(Cl_nom,MATCH(R550,Cl_cle,0)),"(client introuvable)"))</f>
        <v/>
      </c>
      <c r="U550" s="33">
        <f>IF(R550="","",IFERROR(INDEX(Cl_quartier,MATCH(R550,Cl_cle,0))&amp;"",""))</f>
        <v/>
      </c>
      <c r="V550" s="34">
        <f>IF(C550="","",YEAR(C550-WEEKDAY(C550,2)+4)&amp;"-S"&amp;TEXT(INT((C550-DATE(YEAR(C550-WEEKDAY(C550,2)+4),1,3)+WEEKDAY(DATE(YEAR(C550-WEEKDAY(C550,2)+4),1,3),2)+5)/7),"00"))</f>
        <v/>
      </c>
    </row>
    <row r="551" ht="18" customHeight="1">
      <c r="A551" s="39" t="n">
        <v>546</v>
      </c>
      <c r="B551" s="33">
        <f>IF(C551="","",IF(P551="À RENSEIGNER","GIC",P551)&amp;"-V"&amp;TEXT(A551,"00000"))</f>
        <v/>
      </c>
      <c r="C551" s="32" t="n"/>
      <c r="D551" s="35" t="n"/>
      <c r="E551" s="36" t="n"/>
      <c r="F551" s="36" t="n"/>
      <c r="G551" s="36" t="n"/>
      <c r="H551" s="36" t="n"/>
      <c r="I551" s="36" t="n"/>
      <c r="J551" s="37" t="n"/>
      <c r="K551" s="32" t="n"/>
      <c r="L551" s="36" t="n"/>
      <c r="M551" s="41" t="n"/>
      <c r="N551" s="41" t="n"/>
      <c r="O551" s="36" t="n"/>
      <c r="P551" s="33">
        <f>IF(C551="","",Commercial_Id)</f>
        <v/>
      </c>
      <c r="Q551" s="39">
        <f>IF(F551="","",IFERROR(VALUE(MID(F551,LEN(F551)-3,3)),""))</f>
        <v/>
      </c>
      <c r="R551" s="33">
        <f>IF(Q551="","",P551&amp;"|"&amp;Q551)</f>
        <v/>
      </c>
      <c r="S551" s="33">
        <f>IF(Q551="","",IF(P551="À RENSEIGNER","GIC",P551)&amp;"-"&amp;TEXT(Q551,"000"))</f>
        <v/>
      </c>
      <c r="T551" s="33">
        <f>IF(R551="","",IFERROR(INDEX(Cl_nom,MATCH(R551,Cl_cle,0)),"(client introuvable)"))</f>
        <v/>
      </c>
      <c r="U551" s="33">
        <f>IF(R551="","",IFERROR(INDEX(Cl_quartier,MATCH(R551,Cl_cle,0))&amp;"",""))</f>
        <v/>
      </c>
      <c r="V551" s="34">
        <f>IF(C551="","",YEAR(C551-WEEKDAY(C551,2)+4)&amp;"-S"&amp;TEXT(INT((C551-DATE(YEAR(C551-WEEKDAY(C551,2)+4),1,3)+WEEKDAY(DATE(YEAR(C551-WEEKDAY(C551,2)+4),1,3),2)+5)/7),"00"))</f>
        <v/>
      </c>
    </row>
    <row r="552" ht="18" customHeight="1">
      <c r="A552" s="39" t="n">
        <v>547</v>
      </c>
      <c r="B552" s="33">
        <f>IF(C552="","",IF(P552="À RENSEIGNER","GIC",P552)&amp;"-V"&amp;TEXT(A552,"00000"))</f>
        <v/>
      </c>
      <c r="C552" s="32" t="n"/>
      <c r="D552" s="35" t="n"/>
      <c r="E552" s="36" t="n"/>
      <c r="F552" s="36" t="n"/>
      <c r="G552" s="36" t="n"/>
      <c r="H552" s="36" t="n"/>
      <c r="I552" s="36" t="n"/>
      <c r="J552" s="37" t="n"/>
      <c r="K552" s="32" t="n"/>
      <c r="L552" s="36" t="n"/>
      <c r="M552" s="41" t="n"/>
      <c r="N552" s="41" t="n"/>
      <c r="O552" s="36" t="n"/>
      <c r="P552" s="33">
        <f>IF(C552="","",Commercial_Id)</f>
        <v/>
      </c>
      <c r="Q552" s="39">
        <f>IF(F552="","",IFERROR(VALUE(MID(F552,LEN(F552)-3,3)),""))</f>
        <v/>
      </c>
      <c r="R552" s="33">
        <f>IF(Q552="","",P552&amp;"|"&amp;Q552)</f>
        <v/>
      </c>
      <c r="S552" s="33">
        <f>IF(Q552="","",IF(P552="À RENSEIGNER","GIC",P552)&amp;"-"&amp;TEXT(Q552,"000"))</f>
        <v/>
      </c>
      <c r="T552" s="33">
        <f>IF(R552="","",IFERROR(INDEX(Cl_nom,MATCH(R552,Cl_cle,0)),"(client introuvable)"))</f>
        <v/>
      </c>
      <c r="U552" s="33">
        <f>IF(R552="","",IFERROR(INDEX(Cl_quartier,MATCH(R552,Cl_cle,0))&amp;"",""))</f>
        <v/>
      </c>
      <c r="V552" s="34">
        <f>IF(C552="","",YEAR(C552-WEEKDAY(C552,2)+4)&amp;"-S"&amp;TEXT(INT((C552-DATE(YEAR(C552-WEEKDAY(C552,2)+4),1,3)+WEEKDAY(DATE(YEAR(C552-WEEKDAY(C552,2)+4),1,3),2)+5)/7),"00"))</f>
        <v/>
      </c>
    </row>
    <row r="553" ht="18" customHeight="1">
      <c r="A553" s="39" t="n">
        <v>548</v>
      </c>
      <c r="B553" s="33">
        <f>IF(C553="","",IF(P553="À RENSEIGNER","GIC",P553)&amp;"-V"&amp;TEXT(A553,"00000"))</f>
        <v/>
      </c>
      <c r="C553" s="32" t="n"/>
      <c r="D553" s="35" t="n"/>
      <c r="E553" s="36" t="n"/>
      <c r="F553" s="36" t="n"/>
      <c r="G553" s="36" t="n"/>
      <c r="H553" s="36" t="n"/>
      <c r="I553" s="36" t="n"/>
      <c r="J553" s="37" t="n"/>
      <c r="K553" s="32" t="n"/>
      <c r="L553" s="36" t="n"/>
      <c r="M553" s="41" t="n"/>
      <c r="N553" s="41" t="n"/>
      <c r="O553" s="36" t="n"/>
      <c r="P553" s="33">
        <f>IF(C553="","",Commercial_Id)</f>
        <v/>
      </c>
      <c r="Q553" s="39">
        <f>IF(F553="","",IFERROR(VALUE(MID(F553,LEN(F553)-3,3)),""))</f>
        <v/>
      </c>
      <c r="R553" s="33">
        <f>IF(Q553="","",P553&amp;"|"&amp;Q553)</f>
        <v/>
      </c>
      <c r="S553" s="33">
        <f>IF(Q553="","",IF(P553="À RENSEIGNER","GIC",P553)&amp;"-"&amp;TEXT(Q553,"000"))</f>
        <v/>
      </c>
      <c r="T553" s="33">
        <f>IF(R553="","",IFERROR(INDEX(Cl_nom,MATCH(R553,Cl_cle,0)),"(client introuvable)"))</f>
        <v/>
      </c>
      <c r="U553" s="33">
        <f>IF(R553="","",IFERROR(INDEX(Cl_quartier,MATCH(R553,Cl_cle,0))&amp;"",""))</f>
        <v/>
      </c>
      <c r="V553" s="34">
        <f>IF(C553="","",YEAR(C553-WEEKDAY(C553,2)+4)&amp;"-S"&amp;TEXT(INT((C553-DATE(YEAR(C553-WEEKDAY(C553,2)+4),1,3)+WEEKDAY(DATE(YEAR(C553-WEEKDAY(C553,2)+4),1,3),2)+5)/7),"00"))</f>
        <v/>
      </c>
    </row>
    <row r="554" ht="18" customHeight="1">
      <c r="A554" s="39" t="n">
        <v>549</v>
      </c>
      <c r="B554" s="33">
        <f>IF(C554="","",IF(P554="À RENSEIGNER","GIC",P554)&amp;"-V"&amp;TEXT(A554,"00000"))</f>
        <v/>
      </c>
      <c r="C554" s="32" t="n"/>
      <c r="D554" s="35" t="n"/>
      <c r="E554" s="36" t="n"/>
      <c r="F554" s="36" t="n"/>
      <c r="G554" s="36" t="n"/>
      <c r="H554" s="36" t="n"/>
      <c r="I554" s="36" t="n"/>
      <c r="J554" s="37" t="n"/>
      <c r="K554" s="32" t="n"/>
      <c r="L554" s="36" t="n"/>
      <c r="M554" s="41" t="n"/>
      <c r="N554" s="41" t="n"/>
      <c r="O554" s="36" t="n"/>
      <c r="P554" s="33">
        <f>IF(C554="","",Commercial_Id)</f>
        <v/>
      </c>
      <c r="Q554" s="39">
        <f>IF(F554="","",IFERROR(VALUE(MID(F554,LEN(F554)-3,3)),""))</f>
        <v/>
      </c>
      <c r="R554" s="33">
        <f>IF(Q554="","",P554&amp;"|"&amp;Q554)</f>
        <v/>
      </c>
      <c r="S554" s="33">
        <f>IF(Q554="","",IF(P554="À RENSEIGNER","GIC",P554)&amp;"-"&amp;TEXT(Q554,"000"))</f>
        <v/>
      </c>
      <c r="T554" s="33">
        <f>IF(R554="","",IFERROR(INDEX(Cl_nom,MATCH(R554,Cl_cle,0)),"(client introuvable)"))</f>
        <v/>
      </c>
      <c r="U554" s="33">
        <f>IF(R554="","",IFERROR(INDEX(Cl_quartier,MATCH(R554,Cl_cle,0))&amp;"",""))</f>
        <v/>
      </c>
      <c r="V554" s="34">
        <f>IF(C554="","",YEAR(C554-WEEKDAY(C554,2)+4)&amp;"-S"&amp;TEXT(INT((C554-DATE(YEAR(C554-WEEKDAY(C554,2)+4),1,3)+WEEKDAY(DATE(YEAR(C554-WEEKDAY(C554,2)+4),1,3),2)+5)/7),"00"))</f>
        <v/>
      </c>
    </row>
    <row r="555" ht="18" customHeight="1">
      <c r="A555" s="39" t="n">
        <v>550</v>
      </c>
      <c r="B555" s="33">
        <f>IF(C555="","",IF(P555="À RENSEIGNER","GIC",P555)&amp;"-V"&amp;TEXT(A555,"00000"))</f>
        <v/>
      </c>
      <c r="C555" s="32" t="n"/>
      <c r="D555" s="35" t="n"/>
      <c r="E555" s="36" t="n"/>
      <c r="F555" s="36" t="n"/>
      <c r="G555" s="36" t="n"/>
      <c r="H555" s="36" t="n"/>
      <c r="I555" s="36" t="n"/>
      <c r="J555" s="37" t="n"/>
      <c r="K555" s="32" t="n"/>
      <c r="L555" s="36" t="n"/>
      <c r="M555" s="41" t="n"/>
      <c r="N555" s="41" t="n"/>
      <c r="O555" s="36" t="n"/>
      <c r="P555" s="33">
        <f>IF(C555="","",Commercial_Id)</f>
        <v/>
      </c>
      <c r="Q555" s="39">
        <f>IF(F555="","",IFERROR(VALUE(MID(F555,LEN(F555)-3,3)),""))</f>
        <v/>
      </c>
      <c r="R555" s="33">
        <f>IF(Q555="","",P555&amp;"|"&amp;Q555)</f>
        <v/>
      </c>
      <c r="S555" s="33">
        <f>IF(Q555="","",IF(P555="À RENSEIGNER","GIC",P555)&amp;"-"&amp;TEXT(Q555,"000"))</f>
        <v/>
      </c>
      <c r="T555" s="33">
        <f>IF(R555="","",IFERROR(INDEX(Cl_nom,MATCH(R555,Cl_cle,0)),"(client introuvable)"))</f>
        <v/>
      </c>
      <c r="U555" s="33">
        <f>IF(R555="","",IFERROR(INDEX(Cl_quartier,MATCH(R555,Cl_cle,0))&amp;"",""))</f>
        <v/>
      </c>
      <c r="V555" s="34">
        <f>IF(C555="","",YEAR(C555-WEEKDAY(C555,2)+4)&amp;"-S"&amp;TEXT(INT((C555-DATE(YEAR(C555-WEEKDAY(C555,2)+4),1,3)+WEEKDAY(DATE(YEAR(C555-WEEKDAY(C555,2)+4),1,3),2)+5)/7),"00"))</f>
        <v/>
      </c>
    </row>
    <row r="556" ht="18" customHeight="1">
      <c r="A556" s="39" t="n">
        <v>551</v>
      </c>
      <c r="B556" s="33">
        <f>IF(C556="","",IF(P556="À RENSEIGNER","GIC",P556)&amp;"-V"&amp;TEXT(A556,"00000"))</f>
        <v/>
      </c>
      <c r="C556" s="32" t="n"/>
      <c r="D556" s="35" t="n"/>
      <c r="E556" s="36" t="n"/>
      <c r="F556" s="36" t="n"/>
      <c r="G556" s="36" t="n"/>
      <c r="H556" s="36" t="n"/>
      <c r="I556" s="36" t="n"/>
      <c r="J556" s="37" t="n"/>
      <c r="K556" s="32" t="n"/>
      <c r="L556" s="36" t="n"/>
      <c r="M556" s="41" t="n"/>
      <c r="N556" s="41" t="n"/>
      <c r="O556" s="36" t="n"/>
      <c r="P556" s="33">
        <f>IF(C556="","",Commercial_Id)</f>
        <v/>
      </c>
      <c r="Q556" s="39">
        <f>IF(F556="","",IFERROR(VALUE(MID(F556,LEN(F556)-3,3)),""))</f>
        <v/>
      </c>
      <c r="R556" s="33">
        <f>IF(Q556="","",P556&amp;"|"&amp;Q556)</f>
        <v/>
      </c>
      <c r="S556" s="33">
        <f>IF(Q556="","",IF(P556="À RENSEIGNER","GIC",P556)&amp;"-"&amp;TEXT(Q556,"000"))</f>
        <v/>
      </c>
      <c r="T556" s="33">
        <f>IF(R556="","",IFERROR(INDEX(Cl_nom,MATCH(R556,Cl_cle,0)),"(client introuvable)"))</f>
        <v/>
      </c>
      <c r="U556" s="33">
        <f>IF(R556="","",IFERROR(INDEX(Cl_quartier,MATCH(R556,Cl_cle,0))&amp;"",""))</f>
        <v/>
      </c>
      <c r="V556" s="34">
        <f>IF(C556="","",YEAR(C556-WEEKDAY(C556,2)+4)&amp;"-S"&amp;TEXT(INT((C556-DATE(YEAR(C556-WEEKDAY(C556,2)+4),1,3)+WEEKDAY(DATE(YEAR(C556-WEEKDAY(C556,2)+4),1,3),2)+5)/7),"00"))</f>
        <v/>
      </c>
    </row>
    <row r="557" ht="18" customHeight="1">
      <c r="A557" s="39" t="n">
        <v>552</v>
      </c>
      <c r="B557" s="33">
        <f>IF(C557="","",IF(P557="À RENSEIGNER","GIC",P557)&amp;"-V"&amp;TEXT(A557,"00000"))</f>
        <v/>
      </c>
      <c r="C557" s="32" t="n"/>
      <c r="D557" s="35" t="n"/>
      <c r="E557" s="36" t="n"/>
      <c r="F557" s="36" t="n"/>
      <c r="G557" s="36" t="n"/>
      <c r="H557" s="36" t="n"/>
      <c r="I557" s="36" t="n"/>
      <c r="J557" s="37" t="n"/>
      <c r="K557" s="32" t="n"/>
      <c r="L557" s="36" t="n"/>
      <c r="M557" s="41" t="n"/>
      <c r="N557" s="41" t="n"/>
      <c r="O557" s="36" t="n"/>
      <c r="P557" s="33">
        <f>IF(C557="","",Commercial_Id)</f>
        <v/>
      </c>
      <c r="Q557" s="39">
        <f>IF(F557="","",IFERROR(VALUE(MID(F557,LEN(F557)-3,3)),""))</f>
        <v/>
      </c>
      <c r="R557" s="33">
        <f>IF(Q557="","",P557&amp;"|"&amp;Q557)</f>
        <v/>
      </c>
      <c r="S557" s="33">
        <f>IF(Q557="","",IF(P557="À RENSEIGNER","GIC",P557)&amp;"-"&amp;TEXT(Q557,"000"))</f>
        <v/>
      </c>
      <c r="T557" s="33">
        <f>IF(R557="","",IFERROR(INDEX(Cl_nom,MATCH(R557,Cl_cle,0)),"(client introuvable)"))</f>
        <v/>
      </c>
      <c r="U557" s="33">
        <f>IF(R557="","",IFERROR(INDEX(Cl_quartier,MATCH(R557,Cl_cle,0))&amp;"",""))</f>
        <v/>
      </c>
      <c r="V557" s="34">
        <f>IF(C557="","",YEAR(C557-WEEKDAY(C557,2)+4)&amp;"-S"&amp;TEXT(INT((C557-DATE(YEAR(C557-WEEKDAY(C557,2)+4),1,3)+WEEKDAY(DATE(YEAR(C557-WEEKDAY(C557,2)+4),1,3),2)+5)/7),"00"))</f>
        <v/>
      </c>
    </row>
    <row r="558" ht="18" customHeight="1">
      <c r="A558" s="39" t="n">
        <v>553</v>
      </c>
      <c r="B558" s="33">
        <f>IF(C558="","",IF(P558="À RENSEIGNER","GIC",P558)&amp;"-V"&amp;TEXT(A558,"00000"))</f>
        <v/>
      </c>
      <c r="C558" s="32" t="n"/>
      <c r="D558" s="35" t="n"/>
      <c r="E558" s="36" t="n"/>
      <c r="F558" s="36" t="n"/>
      <c r="G558" s="36" t="n"/>
      <c r="H558" s="36" t="n"/>
      <c r="I558" s="36" t="n"/>
      <c r="J558" s="37" t="n"/>
      <c r="K558" s="32" t="n"/>
      <c r="L558" s="36" t="n"/>
      <c r="M558" s="41" t="n"/>
      <c r="N558" s="41" t="n"/>
      <c r="O558" s="36" t="n"/>
      <c r="P558" s="33">
        <f>IF(C558="","",Commercial_Id)</f>
        <v/>
      </c>
      <c r="Q558" s="39">
        <f>IF(F558="","",IFERROR(VALUE(MID(F558,LEN(F558)-3,3)),""))</f>
        <v/>
      </c>
      <c r="R558" s="33">
        <f>IF(Q558="","",P558&amp;"|"&amp;Q558)</f>
        <v/>
      </c>
      <c r="S558" s="33">
        <f>IF(Q558="","",IF(P558="À RENSEIGNER","GIC",P558)&amp;"-"&amp;TEXT(Q558,"000"))</f>
        <v/>
      </c>
      <c r="T558" s="33">
        <f>IF(R558="","",IFERROR(INDEX(Cl_nom,MATCH(R558,Cl_cle,0)),"(client introuvable)"))</f>
        <v/>
      </c>
      <c r="U558" s="33">
        <f>IF(R558="","",IFERROR(INDEX(Cl_quartier,MATCH(R558,Cl_cle,0))&amp;"",""))</f>
        <v/>
      </c>
      <c r="V558" s="34">
        <f>IF(C558="","",YEAR(C558-WEEKDAY(C558,2)+4)&amp;"-S"&amp;TEXT(INT((C558-DATE(YEAR(C558-WEEKDAY(C558,2)+4),1,3)+WEEKDAY(DATE(YEAR(C558-WEEKDAY(C558,2)+4),1,3),2)+5)/7),"00"))</f>
        <v/>
      </c>
    </row>
    <row r="559" ht="18" customHeight="1">
      <c r="A559" s="39" t="n">
        <v>554</v>
      </c>
      <c r="B559" s="33">
        <f>IF(C559="","",IF(P559="À RENSEIGNER","GIC",P559)&amp;"-V"&amp;TEXT(A559,"00000"))</f>
        <v/>
      </c>
      <c r="C559" s="32" t="n"/>
      <c r="D559" s="35" t="n"/>
      <c r="E559" s="36" t="n"/>
      <c r="F559" s="36" t="n"/>
      <c r="G559" s="36" t="n"/>
      <c r="H559" s="36" t="n"/>
      <c r="I559" s="36" t="n"/>
      <c r="J559" s="37" t="n"/>
      <c r="K559" s="32" t="n"/>
      <c r="L559" s="36" t="n"/>
      <c r="M559" s="41" t="n"/>
      <c r="N559" s="41" t="n"/>
      <c r="O559" s="36" t="n"/>
      <c r="P559" s="33">
        <f>IF(C559="","",Commercial_Id)</f>
        <v/>
      </c>
      <c r="Q559" s="39">
        <f>IF(F559="","",IFERROR(VALUE(MID(F559,LEN(F559)-3,3)),""))</f>
        <v/>
      </c>
      <c r="R559" s="33">
        <f>IF(Q559="","",P559&amp;"|"&amp;Q559)</f>
        <v/>
      </c>
      <c r="S559" s="33">
        <f>IF(Q559="","",IF(P559="À RENSEIGNER","GIC",P559)&amp;"-"&amp;TEXT(Q559,"000"))</f>
        <v/>
      </c>
      <c r="T559" s="33">
        <f>IF(R559="","",IFERROR(INDEX(Cl_nom,MATCH(R559,Cl_cle,0)),"(client introuvable)"))</f>
        <v/>
      </c>
      <c r="U559" s="33">
        <f>IF(R559="","",IFERROR(INDEX(Cl_quartier,MATCH(R559,Cl_cle,0))&amp;"",""))</f>
        <v/>
      </c>
      <c r="V559" s="34">
        <f>IF(C559="","",YEAR(C559-WEEKDAY(C559,2)+4)&amp;"-S"&amp;TEXT(INT((C559-DATE(YEAR(C559-WEEKDAY(C559,2)+4),1,3)+WEEKDAY(DATE(YEAR(C559-WEEKDAY(C559,2)+4),1,3),2)+5)/7),"00"))</f>
        <v/>
      </c>
    </row>
    <row r="560" ht="18" customHeight="1">
      <c r="A560" s="39" t="n">
        <v>555</v>
      </c>
      <c r="B560" s="33">
        <f>IF(C560="","",IF(P560="À RENSEIGNER","GIC",P560)&amp;"-V"&amp;TEXT(A560,"00000"))</f>
        <v/>
      </c>
      <c r="C560" s="32" t="n"/>
      <c r="D560" s="35" t="n"/>
      <c r="E560" s="36" t="n"/>
      <c r="F560" s="36" t="n"/>
      <c r="G560" s="36" t="n"/>
      <c r="H560" s="36" t="n"/>
      <c r="I560" s="36" t="n"/>
      <c r="J560" s="37" t="n"/>
      <c r="K560" s="32" t="n"/>
      <c r="L560" s="36" t="n"/>
      <c r="M560" s="41" t="n"/>
      <c r="N560" s="41" t="n"/>
      <c r="O560" s="36" t="n"/>
      <c r="P560" s="33">
        <f>IF(C560="","",Commercial_Id)</f>
        <v/>
      </c>
      <c r="Q560" s="39">
        <f>IF(F560="","",IFERROR(VALUE(MID(F560,LEN(F560)-3,3)),""))</f>
        <v/>
      </c>
      <c r="R560" s="33">
        <f>IF(Q560="","",P560&amp;"|"&amp;Q560)</f>
        <v/>
      </c>
      <c r="S560" s="33">
        <f>IF(Q560="","",IF(P560="À RENSEIGNER","GIC",P560)&amp;"-"&amp;TEXT(Q560,"000"))</f>
        <v/>
      </c>
      <c r="T560" s="33">
        <f>IF(R560="","",IFERROR(INDEX(Cl_nom,MATCH(R560,Cl_cle,0)),"(client introuvable)"))</f>
        <v/>
      </c>
      <c r="U560" s="33">
        <f>IF(R560="","",IFERROR(INDEX(Cl_quartier,MATCH(R560,Cl_cle,0))&amp;"",""))</f>
        <v/>
      </c>
      <c r="V560" s="34">
        <f>IF(C560="","",YEAR(C560-WEEKDAY(C560,2)+4)&amp;"-S"&amp;TEXT(INT((C560-DATE(YEAR(C560-WEEKDAY(C560,2)+4),1,3)+WEEKDAY(DATE(YEAR(C560-WEEKDAY(C560,2)+4),1,3),2)+5)/7),"00"))</f>
        <v/>
      </c>
    </row>
    <row r="561" ht="18" customHeight="1">
      <c r="A561" s="39" t="n">
        <v>556</v>
      </c>
      <c r="B561" s="33">
        <f>IF(C561="","",IF(P561="À RENSEIGNER","GIC",P561)&amp;"-V"&amp;TEXT(A561,"00000"))</f>
        <v/>
      </c>
      <c r="C561" s="32" t="n"/>
      <c r="D561" s="35" t="n"/>
      <c r="E561" s="36" t="n"/>
      <c r="F561" s="36" t="n"/>
      <c r="G561" s="36" t="n"/>
      <c r="H561" s="36" t="n"/>
      <c r="I561" s="36" t="n"/>
      <c r="J561" s="37" t="n"/>
      <c r="K561" s="32" t="n"/>
      <c r="L561" s="36" t="n"/>
      <c r="M561" s="41" t="n"/>
      <c r="N561" s="41" t="n"/>
      <c r="O561" s="36" t="n"/>
      <c r="P561" s="33">
        <f>IF(C561="","",Commercial_Id)</f>
        <v/>
      </c>
      <c r="Q561" s="39">
        <f>IF(F561="","",IFERROR(VALUE(MID(F561,LEN(F561)-3,3)),""))</f>
        <v/>
      </c>
      <c r="R561" s="33">
        <f>IF(Q561="","",P561&amp;"|"&amp;Q561)</f>
        <v/>
      </c>
      <c r="S561" s="33">
        <f>IF(Q561="","",IF(P561="À RENSEIGNER","GIC",P561)&amp;"-"&amp;TEXT(Q561,"000"))</f>
        <v/>
      </c>
      <c r="T561" s="33">
        <f>IF(R561="","",IFERROR(INDEX(Cl_nom,MATCH(R561,Cl_cle,0)),"(client introuvable)"))</f>
        <v/>
      </c>
      <c r="U561" s="33">
        <f>IF(R561="","",IFERROR(INDEX(Cl_quartier,MATCH(R561,Cl_cle,0))&amp;"",""))</f>
        <v/>
      </c>
      <c r="V561" s="34">
        <f>IF(C561="","",YEAR(C561-WEEKDAY(C561,2)+4)&amp;"-S"&amp;TEXT(INT((C561-DATE(YEAR(C561-WEEKDAY(C561,2)+4),1,3)+WEEKDAY(DATE(YEAR(C561-WEEKDAY(C561,2)+4),1,3),2)+5)/7),"00"))</f>
        <v/>
      </c>
    </row>
    <row r="562" ht="18" customHeight="1">
      <c r="A562" s="39" t="n">
        <v>557</v>
      </c>
      <c r="B562" s="33">
        <f>IF(C562="","",IF(P562="À RENSEIGNER","GIC",P562)&amp;"-V"&amp;TEXT(A562,"00000"))</f>
        <v/>
      </c>
      <c r="C562" s="32" t="n"/>
      <c r="D562" s="35" t="n"/>
      <c r="E562" s="36" t="n"/>
      <c r="F562" s="36" t="n"/>
      <c r="G562" s="36" t="n"/>
      <c r="H562" s="36" t="n"/>
      <c r="I562" s="36" t="n"/>
      <c r="J562" s="37" t="n"/>
      <c r="K562" s="32" t="n"/>
      <c r="L562" s="36" t="n"/>
      <c r="M562" s="41" t="n"/>
      <c r="N562" s="41" t="n"/>
      <c r="O562" s="36" t="n"/>
      <c r="P562" s="33">
        <f>IF(C562="","",Commercial_Id)</f>
        <v/>
      </c>
      <c r="Q562" s="39">
        <f>IF(F562="","",IFERROR(VALUE(MID(F562,LEN(F562)-3,3)),""))</f>
        <v/>
      </c>
      <c r="R562" s="33">
        <f>IF(Q562="","",P562&amp;"|"&amp;Q562)</f>
        <v/>
      </c>
      <c r="S562" s="33">
        <f>IF(Q562="","",IF(P562="À RENSEIGNER","GIC",P562)&amp;"-"&amp;TEXT(Q562,"000"))</f>
        <v/>
      </c>
      <c r="T562" s="33">
        <f>IF(R562="","",IFERROR(INDEX(Cl_nom,MATCH(R562,Cl_cle,0)),"(client introuvable)"))</f>
        <v/>
      </c>
      <c r="U562" s="33">
        <f>IF(R562="","",IFERROR(INDEX(Cl_quartier,MATCH(R562,Cl_cle,0))&amp;"",""))</f>
        <v/>
      </c>
      <c r="V562" s="34">
        <f>IF(C562="","",YEAR(C562-WEEKDAY(C562,2)+4)&amp;"-S"&amp;TEXT(INT((C562-DATE(YEAR(C562-WEEKDAY(C562,2)+4),1,3)+WEEKDAY(DATE(YEAR(C562-WEEKDAY(C562,2)+4),1,3),2)+5)/7),"00"))</f>
        <v/>
      </c>
    </row>
    <row r="563" ht="18" customHeight="1">
      <c r="A563" s="39" t="n">
        <v>558</v>
      </c>
      <c r="B563" s="33">
        <f>IF(C563="","",IF(P563="À RENSEIGNER","GIC",P563)&amp;"-V"&amp;TEXT(A563,"00000"))</f>
        <v/>
      </c>
      <c r="C563" s="32" t="n"/>
      <c r="D563" s="35" t="n"/>
      <c r="E563" s="36" t="n"/>
      <c r="F563" s="36" t="n"/>
      <c r="G563" s="36" t="n"/>
      <c r="H563" s="36" t="n"/>
      <c r="I563" s="36" t="n"/>
      <c r="J563" s="37" t="n"/>
      <c r="K563" s="32" t="n"/>
      <c r="L563" s="36" t="n"/>
      <c r="M563" s="41" t="n"/>
      <c r="N563" s="41" t="n"/>
      <c r="O563" s="36" t="n"/>
      <c r="P563" s="33">
        <f>IF(C563="","",Commercial_Id)</f>
        <v/>
      </c>
      <c r="Q563" s="39">
        <f>IF(F563="","",IFERROR(VALUE(MID(F563,LEN(F563)-3,3)),""))</f>
        <v/>
      </c>
      <c r="R563" s="33">
        <f>IF(Q563="","",P563&amp;"|"&amp;Q563)</f>
        <v/>
      </c>
      <c r="S563" s="33">
        <f>IF(Q563="","",IF(P563="À RENSEIGNER","GIC",P563)&amp;"-"&amp;TEXT(Q563,"000"))</f>
        <v/>
      </c>
      <c r="T563" s="33">
        <f>IF(R563="","",IFERROR(INDEX(Cl_nom,MATCH(R563,Cl_cle,0)),"(client introuvable)"))</f>
        <v/>
      </c>
      <c r="U563" s="33">
        <f>IF(R563="","",IFERROR(INDEX(Cl_quartier,MATCH(R563,Cl_cle,0))&amp;"",""))</f>
        <v/>
      </c>
      <c r="V563" s="34">
        <f>IF(C563="","",YEAR(C563-WEEKDAY(C563,2)+4)&amp;"-S"&amp;TEXT(INT((C563-DATE(YEAR(C563-WEEKDAY(C563,2)+4),1,3)+WEEKDAY(DATE(YEAR(C563-WEEKDAY(C563,2)+4),1,3),2)+5)/7),"00"))</f>
        <v/>
      </c>
    </row>
    <row r="564" ht="18" customHeight="1">
      <c r="A564" s="39" t="n">
        <v>559</v>
      </c>
      <c r="B564" s="33">
        <f>IF(C564="","",IF(P564="À RENSEIGNER","GIC",P564)&amp;"-V"&amp;TEXT(A564,"00000"))</f>
        <v/>
      </c>
      <c r="C564" s="32" t="n"/>
      <c r="D564" s="35" t="n"/>
      <c r="E564" s="36" t="n"/>
      <c r="F564" s="36" t="n"/>
      <c r="G564" s="36" t="n"/>
      <c r="H564" s="36" t="n"/>
      <c r="I564" s="36" t="n"/>
      <c r="J564" s="37" t="n"/>
      <c r="K564" s="32" t="n"/>
      <c r="L564" s="36" t="n"/>
      <c r="M564" s="41" t="n"/>
      <c r="N564" s="41" t="n"/>
      <c r="O564" s="36" t="n"/>
      <c r="P564" s="33">
        <f>IF(C564="","",Commercial_Id)</f>
        <v/>
      </c>
      <c r="Q564" s="39">
        <f>IF(F564="","",IFERROR(VALUE(MID(F564,LEN(F564)-3,3)),""))</f>
        <v/>
      </c>
      <c r="R564" s="33">
        <f>IF(Q564="","",P564&amp;"|"&amp;Q564)</f>
        <v/>
      </c>
      <c r="S564" s="33">
        <f>IF(Q564="","",IF(P564="À RENSEIGNER","GIC",P564)&amp;"-"&amp;TEXT(Q564,"000"))</f>
        <v/>
      </c>
      <c r="T564" s="33">
        <f>IF(R564="","",IFERROR(INDEX(Cl_nom,MATCH(R564,Cl_cle,0)),"(client introuvable)"))</f>
        <v/>
      </c>
      <c r="U564" s="33">
        <f>IF(R564="","",IFERROR(INDEX(Cl_quartier,MATCH(R564,Cl_cle,0))&amp;"",""))</f>
        <v/>
      </c>
      <c r="V564" s="34">
        <f>IF(C564="","",YEAR(C564-WEEKDAY(C564,2)+4)&amp;"-S"&amp;TEXT(INT((C564-DATE(YEAR(C564-WEEKDAY(C564,2)+4),1,3)+WEEKDAY(DATE(YEAR(C564-WEEKDAY(C564,2)+4),1,3),2)+5)/7),"00"))</f>
        <v/>
      </c>
    </row>
    <row r="565" ht="18" customHeight="1">
      <c r="A565" s="39" t="n">
        <v>560</v>
      </c>
      <c r="B565" s="33">
        <f>IF(C565="","",IF(P565="À RENSEIGNER","GIC",P565)&amp;"-V"&amp;TEXT(A565,"00000"))</f>
        <v/>
      </c>
      <c r="C565" s="32" t="n"/>
      <c r="D565" s="35" t="n"/>
      <c r="E565" s="36" t="n"/>
      <c r="F565" s="36" t="n"/>
      <c r="G565" s="36" t="n"/>
      <c r="H565" s="36" t="n"/>
      <c r="I565" s="36" t="n"/>
      <c r="J565" s="37" t="n"/>
      <c r="K565" s="32" t="n"/>
      <c r="L565" s="36" t="n"/>
      <c r="M565" s="41" t="n"/>
      <c r="N565" s="41" t="n"/>
      <c r="O565" s="36" t="n"/>
      <c r="P565" s="33">
        <f>IF(C565="","",Commercial_Id)</f>
        <v/>
      </c>
      <c r="Q565" s="39">
        <f>IF(F565="","",IFERROR(VALUE(MID(F565,LEN(F565)-3,3)),""))</f>
        <v/>
      </c>
      <c r="R565" s="33">
        <f>IF(Q565="","",P565&amp;"|"&amp;Q565)</f>
        <v/>
      </c>
      <c r="S565" s="33">
        <f>IF(Q565="","",IF(P565="À RENSEIGNER","GIC",P565)&amp;"-"&amp;TEXT(Q565,"000"))</f>
        <v/>
      </c>
      <c r="T565" s="33">
        <f>IF(R565="","",IFERROR(INDEX(Cl_nom,MATCH(R565,Cl_cle,0)),"(client introuvable)"))</f>
        <v/>
      </c>
      <c r="U565" s="33">
        <f>IF(R565="","",IFERROR(INDEX(Cl_quartier,MATCH(R565,Cl_cle,0))&amp;"",""))</f>
        <v/>
      </c>
      <c r="V565" s="34">
        <f>IF(C565="","",YEAR(C565-WEEKDAY(C565,2)+4)&amp;"-S"&amp;TEXT(INT((C565-DATE(YEAR(C565-WEEKDAY(C565,2)+4),1,3)+WEEKDAY(DATE(YEAR(C565-WEEKDAY(C565,2)+4),1,3),2)+5)/7),"00"))</f>
        <v/>
      </c>
    </row>
    <row r="566" ht="18" customHeight="1">
      <c r="A566" s="39" t="n">
        <v>561</v>
      </c>
      <c r="B566" s="33">
        <f>IF(C566="","",IF(P566="À RENSEIGNER","GIC",P566)&amp;"-V"&amp;TEXT(A566,"00000"))</f>
        <v/>
      </c>
      <c r="C566" s="32" t="n"/>
      <c r="D566" s="35" t="n"/>
      <c r="E566" s="36" t="n"/>
      <c r="F566" s="36" t="n"/>
      <c r="G566" s="36" t="n"/>
      <c r="H566" s="36" t="n"/>
      <c r="I566" s="36" t="n"/>
      <c r="J566" s="37" t="n"/>
      <c r="K566" s="32" t="n"/>
      <c r="L566" s="36" t="n"/>
      <c r="M566" s="41" t="n"/>
      <c r="N566" s="41" t="n"/>
      <c r="O566" s="36" t="n"/>
      <c r="P566" s="33">
        <f>IF(C566="","",Commercial_Id)</f>
        <v/>
      </c>
      <c r="Q566" s="39">
        <f>IF(F566="","",IFERROR(VALUE(MID(F566,LEN(F566)-3,3)),""))</f>
        <v/>
      </c>
      <c r="R566" s="33">
        <f>IF(Q566="","",P566&amp;"|"&amp;Q566)</f>
        <v/>
      </c>
      <c r="S566" s="33">
        <f>IF(Q566="","",IF(P566="À RENSEIGNER","GIC",P566)&amp;"-"&amp;TEXT(Q566,"000"))</f>
        <v/>
      </c>
      <c r="T566" s="33">
        <f>IF(R566="","",IFERROR(INDEX(Cl_nom,MATCH(R566,Cl_cle,0)),"(client introuvable)"))</f>
        <v/>
      </c>
      <c r="U566" s="33">
        <f>IF(R566="","",IFERROR(INDEX(Cl_quartier,MATCH(R566,Cl_cle,0))&amp;"",""))</f>
        <v/>
      </c>
      <c r="V566" s="34">
        <f>IF(C566="","",YEAR(C566-WEEKDAY(C566,2)+4)&amp;"-S"&amp;TEXT(INT((C566-DATE(YEAR(C566-WEEKDAY(C566,2)+4),1,3)+WEEKDAY(DATE(YEAR(C566-WEEKDAY(C566,2)+4),1,3),2)+5)/7),"00"))</f>
        <v/>
      </c>
    </row>
    <row r="567" ht="18" customHeight="1">
      <c r="A567" s="39" t="n">
        <v>562</v>
      </c>
      <c r="B567" s="33">
        <f>IF(C567="","",IF(P567="À RENSEIGNER","GIC",P567)&amp;"-V"&amp;TEXT(A567,"00000"))</f>
        <v/>
      </c>
      <c r="C567" s="32" t="n"/>
      <c r="D567" s="35" t="n"/>
      <c r="E567" s="36" t="n"/>
      <c r="F567" s="36" t="n"/>
      <c r="G567" s="36" t="n"/>
      <c r="H567" s="36" t="n"/>
      <c r="I567" s="36" t="n"/>
      <c r="J567" s="37" t="n"/>
      <c r="K567" s="32" t="n"/>
      <c r="L567" s="36" t="n"/>
      <c r="M567" s="41" t="n"/>
      <c r="N567" s="41" t="n"/>
      <c r="O567" s="36" t="n"/>
      <c r="P567" s="33">
        <f>IF(C567="","",Commercial_Id)</f>
        <v/>
      </c>
      <c r="Q567" s="39">
        <f>IF(F567="","",IFERROR(VALUE(MID(F567,LEN(F567)-3,3)),""))</f>
        <v/>
      </c>
      <c r="R567" s="33">
        <f>IF(Q567="","",P567&amp;"|"&amp;Q567)</f>
        <v/>
      </c>
      <c r="S567" s="33">
        <f>IF(Q567="","",IF(P567="À RENSEIGNER","GIC",P567)&amp;"-"&amp;TEXT(Q567,"000"))</f>
        <v/>
      </c>
      <c r="T567" s="33">
        <f>IF(R567="","",IFERROR(INDEX(Cl_nom,MATCH(R567,Cl_cle,0)),"(client introuvable)"))</f>
        <v/>
      </c>
      <c r="U567" s="33">
        <f>IF(R567="","",IFERROR(INDEX(Cl_quartier,MATCH(R567,Cl_cle,0))&amp;"",""))</f>
        <v/>
      </c>
      <c r="V567" s="34">
        <f>IF(C567="","",YEAR(C567-WEEKDAY(C567,2)+4)&amp;"-S"&amp;TEXT(INT((C567-DATE(YEAR(C567-WEEKDAY(C567,2)+4),1,3)+WEEKDAY(DATE(YEAR(C567-WEEKDAY(C567,2)+4),1,3),2)+5)/7),"00"))</f>
        <v/>
      </c>
    </row>
    <row r="568" ht="18" customHeight="1">
      <c r="A568" s="39" t="n">
        <v>563</v>
      </c>
      <c r="B568" s="33">
        <f>IF(C568="","",IF(P568="À RENSEIGNER","GIC",P568)&amp;"-V"&amp;TEXT(A568,"00000"))</f>
        <v/>
      </c>
      <c r="C568" s="32" t="n"/>
      <c r="D568" s="35" t="n"/>
      <c r="E568" s="36" t="n"/>
      <c r="F568" s="36" t="n"/>
      <c r="G568" s="36" t="n"/>
      <c r="H568" s="36" t="n"/>
      <c r="I568" s="36" t="n"/>
      <c r="J568" s="37" t="n"/>
      <c r="K568" s="32" t="n"/>
      <c r="L568" s="36" t="n"/>
      <c r="M568" s="41" t="n"/>
      <c r="N568" s="41" t="n"/>
      <c r="O568" s="36" t="n"/>
      <c r="P568" s="33">
        <f>IF(C568="","",Commercial_Id)</f>
        <v/>
      </c>
      <c r="Q568" s="39">
        <f>IF(F568="","",IFERROR(VALUE(MID(F568,LEN(F568)-3,3)),""))</f>
        <v/>
      </c>
      <c r="R568" s="33">
        <f>IF(Q568="","",P568&amp;"|"&amp;Q568)</f>
        <v/>
      </c>
      <c r="S568" s="33">
        <f>IF(Q568="","",IF(P568="À RENSEIGNER","GIC",P568)&amp;"-"&amp;TEXT(Q568,"000"))</f>
        <v/>
      </c>
      <c r="T568" s="33">
        <f>IF(R568="","",IFERROR(INDEX(Cl_nom,MATCH(R568,Cl_cle,0)),"(client introuvable)"))</f>
        <v/>
      </c>
      <c r="U568" s="33">
        <f>IF(R568="","",IFERROR(INDEX(Cl_quartier,MATCH(R568,Cl_cle,0))&amp;"",""))</f>
        <v/>
      </c>
      <c r="V568" s="34">
        <f>IF(C568="","",YEAR(C568-WEEKDAY(C568,2)+4)&amp;"-S"&amp;TEXT(INT((C568-DATE(YEAR(C568-WEEKDAY(C568,2)+4),1,3)+WEEKDAY(DATE(YEAR(C568-WEEKDAY(C568,2)+4),1,3),2)+5)/7),"00"))</f>
        <v/>
      </c>
    </row>
    <row r="569" ht="18" customHeight="1">
      <c r="A569" s="39" t="n">
        <v>564</v>
      </c>
      <c r="B569" s="33">
        <f>IF(C569="","",IF(P569="À RENSEIGNER","GIC",P569)&amp;"-V"&amp;TEXT(A569,"00000"))</f>
        <v/>
      </c>
      <c r="C569" s="32" t="n"/>
      <c r="D569" s="35" t="n"/>
      <c r="E569" s="36" t="n"/>
      <c r="F569" s="36" t="n"/>
      <c r="G569" s="36" t="n"/>
      <c r="H569" s="36" t="n"/>
      <c r="I569" s="36" t="n"/>
      <c r="J569" s="37" t="n"/>
      <c r="K569" s="32" t="n"/>
      <c r="L569" s="36" t="n"/>
      <c r="M569" s="41" t="n"/>
      <c r="N569" s="41" t="n"/>
      <c r="O569" s="36" t="n"/>
      <c r="P569" s="33">
        <f>IF(C569="","",Commercial_Id)</f>
        <v/>
      </c>
      <c r="Q569" s="39">
        <f>IF(F569="","",IFERROR(VALUE(MID(F569,LEN(F569)-3,3)),""))</f>
        <v/>
      </c>
      <c r="R569" s="33">
        <f>IF(Q569="","",P569&amp;"|"&amp;Q569)</f>
        <v/>
      </c>
      <c r="S569" s="33">
        <f>IF(Q569="","",IF(P569="À RENSEIGNER","GIC",P569)&amp;"-"&amp;TEXT(Q569,"000"))</f>
        <v/>
      </c>
      <c r="T569" s="33">
        <f>IF(R569="","",IFERROR(INDEX(Cl_nom,MATCH(R569,Cl_cle,0)),"(client introuvable)"))</f>
        <v/>
      </c>
      <c r="U569" s="33">
        <f>IF(R569="","",IFERROR(INDEX(Cl_quartier,MATCH(R569,Cl_cle,0))&amp;"",""))</f>
        <v/>
      </c>
      <c r="V569" s="34">
        <f>IF(C569="","",YEAR(C569-WEEKDAY(C569,2)+4)&amp;"-S"&amp;TEXT(INT((C569-DATE(YEAR(C569-WEEKDAY(C569,2)+4),1,3)+WEEKDAY(DATE(YEAR(C569-WEEKDAY(C569,2)+4),1,3),2)+5)/7),"00"))</f>
        <v/>
      </c>
    </row>
    <row r="570" ht="18" customHeight="1">
      <c r="A570" s="39" t="n">
        <v>565</v>
      </c>
      <c r="B570" s="33">
        <f>IF(C570="","",IF(P570="À RENSEIGNER","GIC",P570)&amp;"-V"&amp;TEXT(A570,"00000"))</f>
        <v/>
      </c>
      <c r="C570" s="32" t="n"/>
      <c r="D570" s="35" t="n"/>
      <c r="E570" s="36" t="n"/>
      <c r="F570" s="36" t="n"/>
      <c r="G570" s="36" t="n"/>
      <c r="H570" s="36" t="n"/>
      <c r="I570" s="36" t="n"/>
      <c r="J570" s="37" t="n"/>
      <c r="K570" s="32" t="n"/>
      <c r="L570" s="36" t="n"/>
      <c r="M570" s="41" t="n"/>
      <c r="N570" s="41" t="n"/>
      <c r="O570" s="36" t="n"/>
      <c r="P570" s="33">
        <f>IF(C570="","",Commercial_Id)</f>
        <v/>
      </c>
      <c r="Q570" s="39">
        <f>IF(F570="","",IFERROR(VALUE(MID(F570,LEN(F570)-3,3)),""))</f>
        <v/>
      </c>
      <c r="R570" s="33">
        <f>IF(Q570="","",P570&amp;"|"&amp;Q570)</f>
        <v/>
      </c>
      <c r="S570" s="33">
        <f>IF(Q570="","",IF(P570="À RENSEIGNER","GIC",P570)&amp;"-"&amp;TEXT(Q570,"000"))</f>
        <v/>
      </c>
      <c r="T570" s="33">
        <f>IF(R570="","",IFERROR(INDEX(Cl_nom,MATCH(R570,Cl_cle,0)),"(client introuvable)"))</f>
        <v/>
      </c>
      <c r="U570" s="33">
        <f>IF(R570="","",IFERROR(INDEX(Cl_quartier,MATCH(R570,Cl_cle,0))&amp;"",""))</f>
        <v/>
      </c>
      <c r="V570" s="34">
        <f>IF(C570="","",YEAR(C570-WEEKDAY(C570,2)+4)&amp;"-S"&amp;TEXT(INT((C570-DATE(YEAR(C570-WEEKDAY(C570,2)+4),1,3)+WEEKDAY(DATE(YEAR(C570-WEEKDAY(C570,2)+4),1,3),2)+5)/7),"00"))</f>
        <v/>
      </c>
    </row>
    <row r="571" ht="18" customHeight="1">
      <c r="A571" s="39" t="n">
        <v>566</v>
      </c>
      <c r="B571" s="33">
        <f>IF(C571="","",IF(P571="À RENSEIGNER","GIC",P571)&amp;"-V"&amp;TEXT(A571,"00000"))</f>
        <v/>
      </c>
      <c r="C571" s="32" t="n"/>
      <c r="D571" s="35" t="n"/>
      <c r="E571" s="36" t="n"/>
      <c r="F571" s="36" t="n"/>
      <c r="G571" s="36" t="n"/>
      <c r="H571" s="36" t="n"/>
      <c r="I571" s="36" t="n"/>
      <c r="J571" s="37" t="n"/>
      <c r="K571" s="32" t="n"/>
      <c r="L571" s="36" t="n"/>
      <c r="M571" s="41" t="n"/>
      <c r="N571" s="41" t="n"/>
      <c r="O571" s="36" t="n"/>
      <c r="P571" s="33">
        <f>IF(C571="","",Commercial_Id)</f>
        <v/>
      </c>
      <c r="Q571" s="39">
        <f>IF(F571="","",IFERROR(VALUE(MID(F571,LEN(F571)-3,3)),""))</f>
        <v/>
      </c>
      <c r="R571" s="33">
        <f>IF(Q571="","",P571&amp;"|"&amp;Q571)</f>
        <v/>
      </c>
      <c r="S571" s="33">
        <f>IF(Q571="","",IF(P571="À RENSEIGNER","GIC",P571)&amp;"-"&amp;TEXT(Q571,"000"))</f>
        <v/>
      </c>
      <c r="T571" s="33">
        <f>IF(R571="","",IFERROR(INDEX(Cl_nom,MATCH(R571,Cl_cle,0)),"(client introuvable)"))</f>
        <v/>
      </c>
      <c r="U571" s="33">
        <f>IF(R571="","",IFERROR(INDEX(Cl_quartier,MATCH(R571,Cl_cle,0))&amp;"",""))</f>
        <v/>
      </c>
      <c r="V571" s="34">
        <f>IF(C571="","",YEAR(C571-WEEKDAY(C571,2)+4)&amp;"-S"&amp;TEXT(INT((C571-DATE(YEAR(C571-WEEKDAY(C571,2)+4),1,3)+WEEKDAY(DATE(YEAR(C571-WEEKDAY(C571,2)+4),1,3),2)+5)/7),"00"))</f>
        <v/>
      </c>
    </row>
    <row r="572" ht="18" customHeight="1">
      <c r="A572" s="39" t="n">
        <v>567</v>
      </c>
      <c r="B572" s="33">
        <f>IF(C572="","",IF(P572="À RENSEIGNER","GIC",P572)&amp;"-V"&amp;TEXT(A572,"00000"))</f>
        <v/>
      </c>
      <c r="C572" s="32" t="n"/>
      <c r="D572" s="35" t="n"/>
      <c r="E572" s="36" t="n"/>
      <c r="F572" s="36" t="n"/>
      <c r="G572" s="36" t="n"/>
      <c r="H572" s="36" t="n"/>
      <c r="I572" s="36" t="n"/>
      <c r="J572" s="37" t="n"/>
      <c r="K572" s="32" t="n"/>
      <c r="L572" s="36" t="n"/>
      <c r="M572" s="41" t="n"/>
      <c r="N572" s="41" t="n"/>
      <c r="O572" s="36" t="n"/>
      <c r="P572" s="33">
        <f>IF(C572="","",Commercial_Id)</f>
        <v/>
      </c>
      <c r="Q572" s="39">
        <f>IF(F572="","",IFERROR(VALUE(MID(F572,LEN(F572)-3,3)),""))</f>
        <v/>
      </c>
      <c r="R572" s="33">
        <f>IF(Q572="","",P572&amp;"|"&amp;Q572)</f>
        <v/>
      </c>
      <c r="S572" s="33">
        <f>IF(Q572="","",IF(P572="À RENSEIGNER","GIC",P572)&amp;"-"&amp;TEXT(Q572,"000"))</f>
        <v/>
      </c>
      <c r="T572" s="33">
        <f>IF(R572="","",IFERROR(INDEX(Cl_nom,MATCH(R572,Cl_cle,0)),"(client introuvable)"))</f>
        <v/>
      </c>
      <c r="U572" s="33">
        <f>IF(R572="","",IFERROR(INDEX(Cl_quartier,MATCH(R572,Cl_cle,0))&amp;"",""))</f>
        <v/>
      </c>
      <c r="V572" s="34">
        <f>IF(C572="","",YEAR(C572-WEEKDAY(C572,2)+4)&amp;"-S"&amp;TEXT(INT((C572-DATE(YEAR(C572-WEEKDAY(C572,2)+4),1,3)+WEEKDAY(DATE(YEAR(C572-WEEKDAY(C572,2)+4),1,3),2)+5)/7),"00"))</f>
        <v/>
      </c>
    </row>
    <row r="573" ht="18" customHeight="1">
      <c r="A573" s="39" t="n">
        <v>568</v>
      </c>
      <c r="B573" s="33">
        <f>IF(C573="","",IF(P573="À RENSEIGNER","GIC",P573)&amp;"-V"&amp;TEXT(A573,"00000"))</f>
        <v/>
      </c>
      <c r="C573" s="32" t="n"/>
      <c r="D573" s="35" t="n"/>
      <c r="E573" s="36" t="n"/>
      <c r="F573" s="36" t="n"/>
      <c r="G573" s="36" t="n"/>
      <c r="H573" s="36" t="n"/>
      <c r="I573" s="36" t="n"/>
      <c r="J573" s="37" t="n"/>
      <c r="K573" s="32" t="n"/>
      <c r="L573" s="36" t="n"/>
      <c r="M573" s="41" t="n"/>
      <c r="N573" s="41" t="n"/>
      <c r="O573" s="36" t="n"/>
      <c r="P573" s="33">
        <f>IF(C573="","",Commercial_Id)</f>
        <v/>
      </c>
      <c r="Q573" s="39">
        <f>IF(F573="","",IFERROR(VALUE(MID(F573,LEN(F573)-3,3)),""))</f>
        <v/>
      </c>
      <c r="R573" s="33">
        <f>IF(Q573="","",P573&amp;"|"&amp;Q573)</f>
        <v/>
      </c>
      <c r="S573" s="33">
        <f>IF(Q573="","",IF(P573="À RENSEIGNER","GIC",P573)&amp;"-"&amp;TEXT(Q573,"000"))</f>
        <v/>
      </c>
      <c r="T573" s="33">
        <f>IF(R573="","",IFERROR(INDEX(Cl_nom,MATCH(R573,Cl_cle,0)),"(client introuvable)"))</f>
        <v/>
      </c>
      <c r="U573" s="33">
        <f>IF(R573="","",IFERROR(INDEX(Cl_quartier,MATCH(R573,Cl_cle,0))&amp;"",""))</f>
        <v/>
      </c>
      <c r="V573" s="34">
        <f>IF(C573="","",YEAR(C573-WEEKDAY(C573,2)+4)&amp;"-S"&amp;TEXT(INT((C573-DATE(YEAR(C573-WEEKDAY(C573,2)+4),1,3)+WEEKDAY(DATE(YEAR(C573-WEEKDAY(C573,2)+4),1,3),2)+5)/7),"00"))</f>
        <v/>
      </c>
    </row>
    <row r="574" ht="18" customHeight="1">
      <c r="A574" s="39" t="n">
        <v>569</v>
      </c>
      <c r="B574" s="33">
        <f>IF(C574="","",IF(P574="À RENSEIGNER","GIC",P574)&amp;"-V"&amp;TEXT(A574,"00000"))</f>
        <v/>
      </c>
      <c r="C574" s="32" t="n"/>
      <c r="D574" s="35" t="n"/>
      <c r="E574" s="36" t="n"/>
      <c r="F574" s="36" t="n"/>
      <c r="G574" s="36" t="n"/>
      <c r="H574" s="36" t="n"/>
      <c r="I574" s="36" t="n"/>
      <c r="J574" s="37" t="n"/>
      <c r="K574" s="32" t="n"/>
      <c r="L574" s="36" t="n"/>
      <c r="M574" s="41" t="n"/>
      <c r="N574" s="41" t="n"/>
      <c r="O574" s="36" t="n"/>
      <c r="P574" s="33">
        <f>IF(C574="","",Commercial_Id)</f>
        <v/>
      </c>
      <c r="Q574" s="39">
        <f>IF(F574="","",IFERROR(VALUE(MID(F574,LEN(F574)-3,3)),""))</f>
        <v/>
      </c>
      <c r="R574" s="33">
        <f>IF(Q574="","",P574&amp;"|"&amp;Q574)</f>
        <v/>
      </c>
      <c r="S574" s="33">
        <f>IF(Q574="","",IF(P574="À RENSEIGNER","GIC",P574)&amp;"-"&amp;TEXT(Q574,"000"))</f>
        <v/>
      </c>
      <c r="T574" s="33">
        <f>IF(R574="","",IFERROR(INDEX(Cl_nom,MATCH(R574,Cl_cle,0)),"(client introuvable)"))</f>
        <v/>
      </c>
      <c r="U574" s="33">
        <f>IF(R574="","",IFERROR(INDEX(Cl_quartier,MATCH(R574,Cl_cle,0))&amp;"",""))</f>
        <v/>
      </c>
      <c r="V574" s="34">
        <f>IF(C574="","",YEAR(C574-WEEKDAY(C574,2)+4)&amp;"-S"&amp;TEXT(INT((C574-DATE(YEAR(C574-WEEKDAY(C574,2)+4),1,3)+WEEKDAY(DATE(YEAR(C574-WEEKDAY(C574,2)+4),1,3),2)+5)/7),"00"))</f>
        <v/>
      </c>
    </row>
    <row r="575" ht="18" customHeight="1">
      <c r="A575" s="39" t="n">
        <v>570</v>
      </c>
      <c r="B575" s="33">
        <f>IF(C575="","",IF(P575="À RENSEIGNER","GIC",P575)&amp;"-V"&amp;TEXT(A575,"00000"))</f>
        <v/>
      </c>
      <c r="C575" s="32" t="n"/>
      <c r="D575" s="35" t="n"/>
      <c r="E575" s="36" t="n"/>
      <c r="F575" s="36" t="n"/>
      <c r="G575" s="36" t="n"/>
      <c r="H575" s="36" t="n"/>
      <c r="I575" s="36" t="n"/>
      <c r="J575" s="37" t="n"/>
      <c r="K575" s="32" t="n"/>
      <c r="L575" s="36" t="n"/>
      <c r="M575" s="41" t="n"/>
      <c r="N575" s="41" t="n"/>
      <c r="O575" s="36" t="n"/>
      <c r="P575" s="33">
        <f>IF(C575="","",Commercial_Id)</f>
        <v/>
      </c>
      <c r="Q575" s="39">
        <f>IF(F575="","",IFERROR(VALUE(MID(F575,LEN(F575)-3,3)),""))</f>
        <v/>
      </c>
      <c r="R575" s="33">
        <f>IF(Q575="","",P575&amp;"|"&amp;Q575)</f>
        <v/>
      </c>
      <c r="S575" s="33">
        <f>IF(Q575="","",IF(P575="À RENSEIGNER","GIC",P575)&amp;"-"&amp;TEXT(Q575,"000"))</f>
        <v/>
      </c>
      <c r="T575" s="33">
        <f>IF(R575="","",IFERROR(INDEX(Cl_nom,MATCH(R575,Cl_cle,0)),"(client introuvable)"))</f>
        <v/>
      </c>
      <c r="U575" s="33">
        <f>IF(R575="","",IFERROR(INDEX(Cl_quartier,MATCH(R575,Cl_cle,0))&amp;"",""))</f>
        <v/>
      </c>
      <c r="V575" s="34">
        <f>IF(C575="","",YEAR(C575-WEEKDAY(C575,2)+4)&amp;"-S"&amp;TEXT(INT((C575-DATE(YEAR(C575-WEEKDAY(C575,2)+4),1,3)+WEEKDAY(DATE(YEAR(C575-WEEKDAY(C575,2)+4),1,3),2)+5)/7),"00"))</f>
        <v/>
      </c>
    </row>
    <row r="576" ht="18" customHeight="1">
      <c r="A576" s="39" t="n">
        <v>571</v>
      </c>
      <c r="B576" s="33">
        <f>IF(C576="","",IF(P576="À RENSEIGNER","GIC",P576)&amp;"-V"&amp;TEXT(A576,"00000"))</f>
        <v/>
      </c>
      <c r="C576" s="32" t="n"/>
      <c r="D576" s="35" t="n"/>
      <c r="E576" s="36" t="n"/>
      <c r="F576" s="36" t="n"/>
      <c r="G576" s="36" t="n"/>
      <c r="H576" s="36" t="n"/>
      <c r="I576" s="36" t="n"/>
      <c r="J576" s="37" t="n"/>
      <c r="K576" s="32" t="n"/>
      <c r="L576" s="36" t="n"/>
      <c r="M576" s="41" t="n"/>
      <c r="N576" s="41" t="n"/>
      <c r="O576" s="36" t="n"/>
      <c r="P576" s="33">
        <f>IF(C576="","",Commercial_Id)</f>
        <v/>
      </c>
      <c r="Q576" s="39">
        <f>IF(F576="","",IFERROR(VALUE(MID(F576,LEN(F576)-3,3)),""))</f>
        <v/>
      </c>
      <c r="R576" s="33">
        <f>IF(Q576="","",P576&amp;"|"&amp;Q576)</f>
        <v/>
      </c>
      <c r="S576" s="33">
        <f>IF(Q576="","",IF(P576="À RENSEIGNER","GIC",P576)&amp;"-"&amp;TEXT(Q576,"000"))</f>
        <v/>
      </c>
      <c r="T576" s="33">
        <f>IF(R576="","",IFERROR(INDEX(Cl_nom,MATCH(R576,Cl_cle,0)),"(client introuvable)"))</f>
        <v/>
      </c>
      <c r="U576" s="33">
        <f>IF(R576="","",IFERROR(INDEX(Cl_quartier,MATCH(R576,Cl_cle,0))&amp;"",""))</f>
        <v/>
      </c>
      <c r="V576" s="34">
        <f>IF(C576="","",YEAR(C576-WEEKDAY(C576,2)+4)&amp;"-S"&amp;TEXT(INT((C576-DATE(YEAR(C576-WEEKDAY(C576,2)+4),1,3)+WEEKDAY(DATE(YEAR(C576-WEEKDAY(C576,2)+4),1,3),2)+5)/7),"00"))</f>
        <v/>
      </c>
    </row>
    <row r="577" ht="18" customHeight="1">
      <c r="A577" s="39" t="n">
        <v>572</v>
      </c>
      <c r="B577" s="33">
        <f>IF(C577="","",IF(P577="À RENSEIGNER","GIC",P577)&amp;"-V"&amp;TEXT(A577,"00000"))</f>
        <v/>
      </c>
      <c r="C577" s="32" t="n"/>
      <c r="D577" s="35" t="n"/>
      <c r="E577" s="36" t="n"/>
      <c r="F577" s="36" t="n"/>
      <c r="G577" s="36" t="n"/>
      <c r="H577" s="36" t="n"/>
      <c r="I577" s="36" t="n"/>
      <c r="J577" s="37" t="n"/>
      <c r="K577" s="32" t="n"/>
      <c r="L577" s="36" t="n"/>
      <c r="M577" s="41" t="n"/>
      <c r="N577" s="41" t="n"/>
      <c r="O577" s="36" t="n"/>
      <c r="P577" s="33">
        <f>IF(C577="","",Commercial_Id)</f>
        <v/>
      </c>
      <c r="Q577" s="39">
        <f>IF(F577="","",IFERROR(VALUE(MID(F577,LEN(F577)-3,3)),""))</f>
        <v/>
      </c>
      <c r="R577" s="33">
        <f>IF(Q577="","",P577&amp;"|"&amp;Q577)</f>
        <v/>
      </c>
      <c r="S577" s="33">
        <f>IF(Q577="","",IF(P577="À RENSEIGNER","GIC",P577)&amp;"-"&amp;TEXT(Q577,"000"))</f>
        <v/>
      </c>
      <c r="T577" s="33">
        <f>IF(R577="","",IFERROR(INDEX(Cl_nom,MATCH(R577,Cl_cle,0)),"(client introuvable)"))</f>
        <v/>
      </c>
      <c r="U577" s="33">
        <f>IF(R577="","",IFERROR(INDEX(Cl_quartier,MATCH(R577,Cl_cle,0))&amp;"",""))</f>
        <v/>
      </c>
      <c r="V577" s="34">
        <f>IF(C577="","",YEAR(C577-WEEKDAY(C577,2)+4)&amp;"-S"&amp;TEXT(INT((C577-DATE(YEAR(C577-WEEKDAY(C577,2)+4),1,3)+WEEKDAY(DATE(YEAR(C577-WEEKDAY(C577,2)+4),1,3),2)+5)/7),"00"))</f>
        <v/>
      </c>
    </row>
    <row r="578" ht="18" customHeight="1">
      <c r="A578" s="39" t="n">
        <v>573</v>
      </c>
      <c r="B578" s="33">
        <f>IF(C578="","",IF(P578="À RENSEIGNER","GIC",P578)&amp;"-V"&amp;TEXT(A578,"00000"))</f>
        <v/>
      </c>
      <c r="C578" s="32" t="n"/>
      <c r="D578" s="35" t="n"/>
      <c r="E578" s="36" t="n"/>
      <c r="F578" s="36" t="n"/>
      <c r="G578" s="36" t="n"/>
      <c r="H578" s="36" t="n"/>
      <c r="I578" s="36" t="n"/>
      <c r="J578" s="37" t="n"/>
      <c r="K578" s="32" t="n"/>
      <c r="L578" s="36" t="n"/>
      <c r="M578" s="41" t="n"/>
      <c r="N578" s="41" t="n"/>
      <c r="O578" s="36" t="n"/>
      <c r="P578" s="33">
        <f>IF(C578="","",Commercial_Id)</f>
        <v/>
      </c>
      <c r="Q578" s="39">
        <f>IF(F578="","",IFERROR(VALUE(MID(F578,LEN(F578)-3,3)),""))</f>
        <v/>
      </c>
      <c r="R578" s="33">
        <f>IF(Q578="","",P578&amp;"|"&amp;Q578)</f>
        <v/>
      </c>
      <c r="S578" s="33">
        <f>IF(Q578="","",IF(P578="À RENSEIGNER","GIC",P578)&amp;"-"&amp;TEXT(Q578,"000"))</f>
        <v/>
      </c>
      <c r="T578" s="33">
        <f>IF(R578="","",IFERROR(INDEX(Cl_nom,MATCH(R578,Cl_cle,0)),"(client introuvable)"))</f>
        <v/>
      </c>
      <c r="U578" s="33">
        <f>IF(R578="","",IFERROR(INDEX(Cl_quartier,MATCH(R578,Cl_cle,0))&amp;"",""))</f>
        <v/>
      </c>
      <c r="V578" s="34">
        <f>IF(C578="","",YEAR(C578-WEEKDAY(C578,2)+4)&amp;"-S"&amp;TEXT(INT((C578-DATE(YEAR(C578-WEEKDAY(C578,2)+4),1,3)+WEEKDAY(DATE(YEAR(C578-WEEKDAY(C578,2)+4),1,3),2)+5)/7),"00"))</f>
        <v/>
      </c>
    </row>
    <row r="579" ht="18" customHeight="1">
      <c r="A579" s="39" t="n">
        <v>574</v>
      </c>
      <c r="B579" s="33">
        <f>IF(C579="","",IF(P579="À RENSEIGNER","GIC",P579)&amp;"-V"&amp;TEXT(A579,"00000"))</f>
        <v/>
      </c>
      <c r="C579" s="32" t="n"/>
      <c r="D579" s="35" t="n"/>
      <c r="E579" s="36" t="n"/>
      <c r="F579" s="36" t="n"/>
      <c r="G579" s="36" t="n"/>
      <c r="H579" s="36" t="n"/>
      <c r="I579" s="36" t="n"/>
      <c r="J579" s="37" t="n"/>
      <c r="K579" s="32" t="n"/>
      <c r="L579" s="36" t="n"/>
      <c r="M579" s="41" t="n"/>
      <c r="N579" s="41" t="n"/>
      <c r="O579" s="36" t="n"/>
      <c r="P579" s="33">
        <f>IF(C579="","",Commercial_Id)</f>
        <v/>
      </c>
      <c r="Q579" s="39">
        <f>IF(F579="","",IFERROR(VALUE(MID(F579,LEN(F579)-3,3)),""))</f>
        <v/>
      </c>
      <c r="R579" s="33">
        <f>IF(Q579="","",P579&amp;"|"&amp;Q579)</f>
        <v/>
      </c>
      <c r="S579" s="33">
        <f>IF(Q579="","",IF(P579="À RENSEIGNER","GIC",P579)&amp;"-"&amp;TEXT(Q579,"000"))</f>
        <v/>
      </c>
      <c r="T579" s="33">
        <f>IF(R579="","",IFERROR(INDEX(Cl_nom,MATCH(R579,Cl_cle,0)),"(client introuvable)"))</f>
        <v/>
      </c>
      <c r="U579" s="33">
        <f>IF(R579="","",IFERROR(INDEX(Cl_quartier,MATCH(R579,Cl_cle,0))&amp;"",""))</f>
        <v/>
      </c>
      <c r="V579" s="34">
        <f>IF(C579="","",YEAR(C579-WEEKDAY(C579,2)+4)&amp;"-S"&amp;TEXT(INT((C579-DATE(YEAR(C579-WEEKDAY(C579,2)+4),1,3)+WEEKDAY(DATE(YEAR(C579-WEEKDAY(C579,2)+4),1,3),2)+5)/7),"00"))</f>
        <v/>
      </c>
    </row>
    <row r="580" ht="18" customHeight="1">
      <c r="A580" s="39" t="n">
        <v>575</v>
      </c>
      <c r="B580" s="33">
        <f>IF(C580="","",IF(P580="À RENSEIGNER","GIC",P580)&amp;"-V"&amp;TEXT(A580,"00000"))</f>
        <v/>
      </c>
      <c r="C580" s="32" t="n"/>
      <c r="D580" s="35" t="n"/>
      <c r="E580" s="36" t="n"/>
      <c r="F580" s="36" t="n"/>
      <c r="G580" s="36" t="n"/>
      <c r="H580" s="36" t="n"/>
      <c r="I580" s="36" t="n"/>
      <c r="J580" s="37" t="n"/>
      <c r="K580" s="32" t="n"/>
      <c r="L580" s="36" t="n"/>
      <c r="M580" s="41" t="n"/>
      <c r="N580" s="41" t="n"/>
      <c r="O580" s="36" t="n"/>
      <c r="P580" s="33">
        <f>IF(C580="","",Commercial_Id)</f>
        <v/>
      </c>
      <c r="Q580" s="39">
        <f>IF(F580="","",IFERROR(VALUE(MID(F580,LEN(F580)-3,3)),""))</f>
        <v/>
      </c>
      <c r="R580" s="33">
        <f>IF(Q580="","",P580&amp;"|"&amp;Q580)</f>
        <v/>
      </c>
      <c r="S580" s="33">
        <f>IF(Q580="","",IF(P580="À RENSEIGNER","GIC",P580)&amp;"-"&amp;TEXT(Q580,"000"))</f>
        <v/>
      </c>
      <c r="T580" s="33">
        <f>IF(R580="","",IFERROR(INDEX(Cl_nom,MATCH(R580,Cl_cle,0)),"(client introuvable)"))</f>
        <v/>
      </c>
      <c r="U580" s="33">
        <f>IF(R580="","",IFERROR(INDEX(Cl_quartier,MATCH(R580,Cl_cle,0))&amp;"",""))</f>
        <v/>
      </c>
      <c r="V580" s="34">
        <f>IF(C580="","",YEAR(C580-WEEKDAY(C580,2)+4)&amp;"-S"&amp;TEXT(INT((C580-DATE(YEAR(C580-WEEKDAY(C580,2)+4),1,3)+WEEKDAY(DATE(YEAR(C580-WEEKDAY(C580,2)+4),1,3),2)+5)/7),"00"))</f>
        <v/>
      </c>
    </row>
    <row r="581" ht="18" customHeight="1">
      <c r="A581" s="39" t="n">
        <v>576</v>
      </c>
      <c r="B581" s="33">
        <f>IF(C581="","",IF(P581="À RENSEIGNER","GIC",P581)&amp;"-V"&amp;TEXT(A581,"00000"))</f>
        <v/>
      </c>
      <c r="C581" s="32" t="n"/>
      <c r="D581" s="35" t="n"/>
      <c r="E581" s="36" t="n"/>
      <c r="F581" s="36" t="n"/>
      <c r="G581" s="36" t="n"/>
      <c r="H581" s="36" t="n"/>
      <c r="I581" s="36" t="n"/>
      <c r="J581" s="37" t="n"/>
      <c r="K581" s="32" t="n"/>
      <c r="L581" s="36" t="n"/>
      <c r="M581" s="41" t="n"/>
      <c r="N581" s="41" t="n"/>
      <c r="O581" s="36" t="n"/>
      <c r="P581" s="33">
        <f>IF(C581="","",Commercial_Id)</f>
        <v/>
      </c>
      <c r="Q581" s="39">
        <f>IF(F581="","",IFERROR(VALUE(MID(F581,LEN(F581)-3,3)),""))</f>
        <v/>
      </c>
      <c r="R581" s="33">
        <f>IF(Q581="","",P581&amp;"|"&amp;Q581)</f>
        <v/>
      </c>
      <c r="S581" s="33">
        <f>IF(Q581="","",IF(P581="À RENSEIGNER","GIC",P581)&amp;"-"&amp;TEXT(Q581,"000"))</f>
        <v/>
      </c>
      <c r="T581" s="33">
        <f>IF(R581="","",IFERROR(INDEX(Cl_nom,MATCH(R581,Cl_cle,0)),"(client introuvable)"))</f>
        <v/>
      </c>
      <c r="U581" s="33">
        <f>IF(R581="","",IFERROR(INDEX(Cl_quartier,MATCH(R581,Cl_cle,0))&amp;"",""))</f>
        <v/>
      </c>
      <c r="V581" s="34">
        <f>IF(C581="","",YEAR(C581-WEEKDAY(C581,2)+4)&amp;"-S"&amp;TEXT(INT((C581-DATE(YEAR(C581-WEEKDAY(C581,2)+4),1,3)+WEEKDAY(DATE(YEAR(C581-WEEKDAY(C581,2)+4),1,3),2)+5)/7),"00"))</f>
        <v/>
      </c>
    </row>
    <row r="582" ht="18" customHeight="1">
      <c r="A582" s="39" t="n">
        <v>577</v>
      </c>
      <c r="B582" s="33">
        <f>IF(C582="","",IF(P582="À RENSEIGNER","GIC",P582)&amp;"-V"&amp;TEXT(A582,"00000"))</f>
        <v/>
      </c>
      <c r="C582" s="32" t="n"/>
      <c r="D582" s="35" t="n"/>
      <c r="E582" s="36" t="n"/>
      <c r="F582" s="36" t="n"/>
      <c r="G582" s="36" t="n"/>
      <c r="H582" s="36" t="n"/>
      <c r="I582" s="36" t="n"/>
      <c r="J582" s="37" t="n"/>
      <c r="K582" s="32" t="n"/>
      <c r="L582" s="36" t="n"/>
      <c r="M582" s="41" t="n"/>
      <c r="N582" s="41" t="n"/>
      <c r="O582" s="36" t="n"/>
      <c r="P582" s="33">
        <f>IF(C582="","",Commercial_Id)</f>
        <v/>
      </c>
      <c r="Q582" s="39">
        <f>IF(F582="","",IFERROR(VALUE(MID(F582,LEN(F582)-3,3)),""))</f>
        <v/>
      </c>
      <c r="R582" s="33">
        <f>IF(Q582="","",P582&amp;"|"&amp;Q582)</f>
        <v/>
      </c>
      <c r="S582" s="33">
        <f>IF(Q582="","",IF(P582="À RENSEIGNER","GIC",P582)&amp;"-"&amp;TEXT(Q582,"000"))</f>
        <v/>
      </c>
      <c r="T582" s="33">
        <f>IF(R582="","",IFERROR(INDEX(Cl_nom,MATCH(R582,Cl_cle,0)),"(client introuvable)"))</f>
        <v/>
      </c>
      <c r="U582" s="33">
        <f>IF(R582="","",IFERROR(INDEX(Cl_quartier,MATCH(R582,Cl_cle,0))&amp;"",""))</f>
        <v/>
      </c>
      <c r="V582" s="34">
        <f>IF(C582="","",YEAR(C582-WEEKDAY(C582,2)+4)&amp;"-S"&amp;TEXT(INT((C582-DATE(YEAR(C582-WEEKDAY(C582,2)+4),1,3)+WEEKDAY(DATE(YEAR(C582-WEEKDAY(C582,2)+4),1,3),2)+5)/7),"00"))</f>
        <v/>
      </c>
    </row>
    <row r="583" ht="18" customHeight="1">
      <c r="A583" s="39" t="n">
        <v>578</v>
      </c>
      <c r="B583" s="33">
        <f>IF(C583="","",IF(P583="À RENSEIGNER","GIC",P583)&amp;"-V"&amp;TEXT(A583,"00000"))</f>
        <v/>
      </c>
      <c r="C583" s="32" t="n"/>
      <c r="D583" s="35" t="n"/>
      <c r="E583" s="36" t="n"/>
      <c r="F583" s="36" t="n"/>
      <c r="G583" s="36" t="n"/>
      <c r="H583" s="36" t="n"/>
      <c r="I583" s="36" t="n"/>
      <c r="J583" s="37" t="n"/>
      <c r="K583" s="32" t="n"/>
      <c r="L583" s="36" t="n"/>
      <c r="M583" s="41" t="n"/>
      <c r="N583" s="41" t="n"/>
      <c r="O583" s="36" t="n"/>
      <c r="P583" s="33">
        <f>IF(C583="","",Commercial_Id)</f>
        <v/>
      </c>
      <c r="Q583" s="39">
        <f>IF(F583="","",IFERROR(VALUE(MID(F583,LEN(F583)-3,3)),""))</f>
        <v/>
      </c>
      <c r="R583" s="33">
        <f>IF(Q583="","",P583&amp;"|"&amp;Q583)</f>
        <v/>
      </c>
      <c r="S583" s="33">
        <f>IF(Q583="","",IF(P583="À RENSEIGNER","GIC",P583)&amp;"-"&amp;TEXT(Q583,"000"))</f>
        <v/>
      </c>
      <c r="T583" s="33">
        <f>IF(R583="","",IFERROR(INDEX(Cl_nom,MATCH(R583,Cl_cle,0)),"(client introuvable)"))</f>
        <v/>
      </c>
      <c r="U583" s="33">
        <f>IF(R583="","",IFERROR(INDEX(Cl_quartier,MATCH(R583,Cl_cle,0))&amp;"",""))</f>
        <v/>
      </c>
      <c r="V583" s="34">
        <f>IF(C583="","",YEAR(C583-WEEKDAY(C583,2)+4)&amp;"-S"&amp;TEXT(INT((C583-DATE(YEAR(C583-WEEKDAY(C583,2)+4),1,3)+WEEKDAY(DATE(YEAR(C583-WEEKDAY(C583,2)+4),1,3),2)+5)/7),"00"))</f>
        <v/>
      </c>
    </row>
    <row r="584" ht="18" customHeight="1">
      <c r="A584" s="39" t="n">
        <v>579</v>
      </c>
      <c r="B584" s="33">
        <f>IF(C584="","",IF(P584="À RENSEIGNER","GIC",P584)&amp;"-V"&amp;TEXT(A584,"00000"))</f>
        <v/>
      </c>
      <c r="C584" s="32" t="n"/>
      <c r="D584" s="35" t="n"/>
      <c r="E584" s="36" t="n"/>
      <c r="F584" s="36" t="n"/>
      <c r="G584" s="36" t="n"/>
      <c r="H584" s="36" t="n"/>
      <c r="I584" s="36" t="n"/>
      <c r="J584" s="37" t="n"/>
      <c r="K584" s="32" t="n"/>
      <c r="L584" s="36" t="n"/>
      <c r="M584" s="41" t="n"/>
      <c r="N584" s="41" t="n"/>
      <c r="O584" s="36" t="n"/>
      <c r="P584" s="33">
        <f>IF(C584="","",Commercial_Id)</f>
        <v/>
      </c>
      <c r="Q584" s="39">
        <f>IF(F584="","",IFERROR(VALUE(MID(F584,LEN(F584)-3,3)),""))</f>
        <v/>
      </c>
      <c r="R584" s="33">
        <f>IF(Q584="","",P584&amp;"|"&amp;Q584)</f>
        <v/>
      </c>
      <c r="S584" s="33">
        <f>IF(Q584="","",IF(P584="À RENSEIGNER","GIC",P584)&amp;"-"&amp;TEXT(Q584,"000"))</f>
        <v/>
      </c>
      <c r="T584" s="33">
        <f>IF(R584="","",IFERROR(INDEX(Cl_nom,MATCH(R584,Cl_cle,0)),"(client introuvable)"))</f>
        <v/>
      </c>
      <c r="U584" s="33">
        <f>IF(R584="","",IFERROR(INDEX(Cl_quartier,MATCH(R584,Cl_cle,0))&amp;"",""))</f>
        <v/>
      </c>
      <c r="V584" s="34">
        <f>IF(C584="","",YEAR(C584-WEEKDAY(C584,2)+4)&amp;"-S"&amp;TEXT(INT((C584-DATE(YEAR(C584-WEEKDAY(C584,2)+4),1,3)+WEEKDAY(DATE(YEAR(C584-WEEKDAY(C584,2)+4),1,3),2)+5)/7),"00"))</f>
        <v/>
      </c>
    </row>
    <row r="585" ht="18" customHeight="1">
      <c r="A585" s="39" t="n">
        <v>580</v>
      </c>
      <c r="B585" s="33">
        <f>IF(C585="","",IF(P585="À RENSEIGNER","GIC",P585)&amp;"-V"&amp;TEXT(A585,"00000"))</f>
        <v/>
      </c>
      <c r="C585" s="32" t="n"/>
      <c r="D585" s="35" t="n"/>
      <c r="E585" s="36" t="n"/>
      <c r="F585" s="36" t="n"/>
      <c r="G585" s="36" t="n"/>
      <c r="H585" s="36" t="n"/>
      <c r="I585" s="36" t="n"/>
      <c r="J585" s="37" t="n"/>
      <c r="K585" s="32" t="n"/>
      <c r="L585" s="36" t="n"/>
      <c r="M585" s="41" t="n"/>
      <c r="N585" s="41" t="n"/>
      <c r="O585" s="36" t="n"/>
      <c r="P585" s="33">
        <f>IF(C585="","",Commercial_Id)</f>
        <v/>
      </c>
      <c r="Q585" s="39">
        <f>IF(F585="","",IFERROR(VALUE(MID(F585,LEN(F585)-3,3)),""))</f>
        <v/>
      </c>
      <c r="R585" s="33">
        <f>IF(Q585="","",P585&amp;"|"&amp;Q585)</f>
        <v/>
      </c>
      <c r="S585" s="33">
        <f>IF(Q585="","",IF(P585="À RENSEIGNER","GIC",P585)&amp;"-"&amp;TEXT(Q585,"000"))</f>
        <v/>
      </c>
      <c r="T585" s="33">
        <f>IF(R585="","",IFERROR(INDEX(Cl_nom,MATCH(R585,Cl_cle,0)),"(client introuvable)"))</f>
        <v/>
      </c>
      <c r="U585" s="33">
        <f>IF(R585="","",IFERROR(INDEX(Cl_quartier,MATCH(R585,Cl_cle,0))&amp;"",""))</f>
        <v/>
      </c>
      <c r="V585" s="34">
        <f>IF(C585="","",YEAR(C585-WEEKDAY(C585,2)+4)&amp;"-S"&amp;TEXT(INT((C585-DATE(YEAR(C585-WEEKDAY(C585,2)+4),1,3)+WEEKDAY(DATE(YEAR(C585-WEEKDAY(C585,2)+4),1,3),2)+5)/7),"00"))</f>
        <v/>
      </c>
    </row>
    <row r="586" ht="18" customHeight="1">
      <c r="A586" s="39" t="n">
        <v>581</v>
      </c>
      <c r="B586" s="33">
        <f>IF(C586="","",IF(P586="À RENSEIGNER","GIC",P586)&amp;"-V"&amp;TEXT(A586,"00000"))</f>
        <v/>
      </c>
      <c r="C586" s="32" t="n"/>
      <c r="D586" s="35" t="n"/>
      <c r="E586" s="36" t="n"/>
      <c r="F586" s="36" t="n"/>
      <c r="G586" s="36" t="n"/>
      <c r="H586" s="36" t="n"/>
      <c r="I586" s="36" t="n"/>
      <c r="J586" s="37" t="n"/>
      <c r="K586" s="32" t="n"/>
      <c r="L586" s="36" t="n"/>
      <c r="M586" s="41" t="n"/>
      <c r="N586" s="41" t="n"/>
      <c r="O586" s="36" t="n"/>
      <c r="P586" s="33">
        <f>IF(C586="","",Commercial_Id)</f>
        <v/>
      </c>
      <c r="Q586" s="39">
        <f>IF(F586="","",IFERROR(VALUE(MID(F586,LEN(F586)-3,3)),""))</f>
        <v/>
      </c>
      <c r="R586" s="33">
        <f>IF(Q586="","",P586&amp;"|"&amp;Q586)</f>
        <v/>
      </c>
      <c r="S586" s="33">
        <f>IF(Q586="","",IF(P586="À RENSEIGNER","GIC",P586)&amp;"-"&amp;TEXT(Q586,"000"))</f>
        <v/>
      </c>
      <c r="T586" s="33">
        <f>IF(R586="","",IFERROR(INDEX(Cl_nom,MATCH(R586,Cl_cle,0)),"(client introuvable)"))</f>
        <v/>
      </c>
      <c r="U586" s="33">
        <f>IF(R586="","",IFERROR(INDEX(Cl_quartier,MATCH(R586,Cl_cle,0))&amp;"",""))</f>
        <v/>
      </c>
      <c r="V586" s="34">
        <f>IF(C586="","",YEAR(C586-WEEKDAY(C586,2)+4)&amp;"-S"&amp;TEXT(INT((C586-DATE(YEAR(C586-WEEKDAY(C586,2)+4),1,3)+WEEKDAY(DATE(YEAR(C586-WEEKDAY(C586,2)+4),1,3),2)+5)/7),"00"))</f>
        <v/>
      </c>
    </row>
    <row r="587" ht="18" customHeight="1">
      <c r="A587" s="39" t="n">
        <v>582</v>
      </c>
      <c r="B587" s="33">
        <f>IF(C587="","",IF(P587="À RENSEIGNER","GIC",P587)&amp;"-V"&amp;TEXT(A587,"00000"))</f>
        <v/>
      </c>
      <c r="C587" s="32" t="n"/>
      <c r="D587" s="35" t="n"/>
      <c r="E587" s="36" t="n"/>
      <c r="F587" s="36" t="n"/>
      <c r="G587" s="36" t="n"/>
      <c r="H587" s="36" t="n"/>
      <c r="I587" s="36" t="n"/>
      <c r="J587" s="37" t="n"/>
      <c r="K587" s="32" t="n"/>
      <c r="L587" s="36" t="n"/>
      <c r="M587" s="41" t="n"/>
      <c r="N587" s="41" t="n"/>
      <c r="O587" s="36" t="n"/>
      <c r="P587" s="33">
        <f>IF(C587="","",Commercial_Id)</f>
        <v/>
      </c>
      <c r="Q587" s="39">
        <f>IF(F587="","",IFERROR(VALUE(MID(F587,LEN(F587)-3,3)),""))</f>
        <v/>
      </c>
      <c r="R587" s="33">
        <f>IF(Q587="","",P587&amp;"|"&amp;Q587)</f>
        <v/>
      </c>
      <c r="S587" s="33">
        <f>IF(Q587="","",IF(P587="À RENSEIGNER","GIC",P587)&amp;"-"&amp;TEXT(Q587,"000"))</f>
        <v/>
      </c>
      <c r="T587" s="33">
        <f>IF(R587="","",IFERROR(INDEX(Cl_nom,MATCH(R587,Cl_cle,0)),"(client introuvable)"))</f>
        <v/>
      </c>
      <c r="U587" s="33">
        <f>IF(R587="","",IFERROR(INDEX(Cl_quartier,MATCH(R587,Cl_cle,0))&amp;"",""))</f>
        <v/>
      </c>
      <c r="V587" s="34">
        <f>IF(C587="","",YEAR(C587-WEEKDAY(C587,2)+4)&amp;"-S"&amp;TEXT(INT((C587-DATE(YEAR(C587-WEEKDAY(C587,2)+4),1,3)+WEEKDAY(DATE(YEAR(C587-WEEKDAY(C587,2)+4),1,3),2)+5)/7),"00"))</f>
        <v/>
      </c>
    </row>
    <row r="588" ht="18" customHeight="1">
      <c r="A588" s="39" t="n">
        <v>583</v>
      </c>
      <c r="B588" s="33">
        <f>IF(C588="","",IF(P588="À RENSEIGNER","GIC",P588)&amp;"-V"&amp;TEXT(A588,"00000"))</f>
        <v/>
      </c>
      <c r="C588" s="32" t="n"/>
      <c r="D588" s="35" t="n"/>
      <c r="E588" s="36" t="n"/>
      <c r="F588" s="36" t="n"/>
      <c r="G588" s="36" t="n"/>
      <c r="H588" s="36" t="n"/>
      <c r="I588" s="36" t="n"/>
      <c r="J588" s="37" t="n"/>
      <c r="K588" s="32" t="n"/>
      <c r="L588" s="36" t="n"/>
      <c r="M588" s="41" t="n"/>
      <c r="N588" s="41" t="n"/>
      <c r="O588" s="36" t="n"/>
      <c r="P588" s="33">
        <f>IF(C588="","",Commercial_Id)</f>
        <v/>
      </c>
      <c r="Q588" s="39">
        <f>IF(F588="","",IFERROR(VALUE(MID(F588,LEN(F588)-3,3)),""))</f>
        <v/>
      </c>
      <c r="R588" s="33">
        <f>IF(Q588="","",P588&amp;"|"&amp;Q588)</f>
        <v/>
      </c>
      <c r="S588" s="33">
        <f>IF(Q588="","",IF(P588="À RENSEIGNER","GIC",P588)&amp;"-"&amp;TEXT(Q588,"000"))</f>
        <v/>
      </c>
      <c r="T588" s="33">
        <f>IF(R588="","",IFERROR(INDEX(Cl_nom,MATCH(R588,Cl_cle,0)),"(client introuvable)"))</f>
        <v/>
      </c>
      <c r="U588" s="33">
        <f>IF(R588="","",IFERROR(INDEX(Cl_quartier,MATCH(R588,Cl_cle,0))&amp;"",""))</f>
        <v/>
      </c>
      <c r="V588" s="34">
        <f>IF(C588="","",YEAR(C588-WEEKDAY(C588,2)+4)&amp;"-S"&amp;TEXT(INT((C588-DATE(YEAR(C588-WEEKDAY(C588,2)+4),1,3)+WEEKDAY(DATE(YEAR(C588-WEEKDAY(C588,2)+4),1,3),2)+5)/7),"00"))</f>
        <v/>
      </c>
    </row>
    <row r="589" ht="18" customHeight="1">
      <c r="A589" s="39" t="n">
        <v>584</v>
      </c>
      <c r="B589" s="33">
        <f>IF(C589="","",IF(P589="À RENSEIGNER","GIC",P589)&amp;"-V"&amp;TEXT(A589,"00000"))</f>
        <v/>
      </c>
      <c r="C589" s="32" t="n"/>
      <c r="D589" s="35" t="n"/>
      <c r="E589" s="36" t="n"/>
      <c r="F589" s="36" t="n"/>
      <c r="G589" s="36" t="n"/>
      <c r="H589" s="36" t="n"/>
      <c r="I589" s="36" t="n"/>
      <c r="J589" s="37" t="n"/>
      <c r="K589" s="32" t="n"/>
      <c r="L589" s="36" t="n"/>
      <c r="M589" s="41" t="n"/>
      <c r="N589" s="41" t="n"/>
      <c r="O589" s="36" t="n"/>
      <c r="P589" s="33">
        <f>IF(C589="","",Commercial_Id)</f>
        <v/>
      </c>
      <c r="Q589" s="39">
        <f>IF(F589="","",IFERROR(VALUE(MID(F589,LEN(F589)-3,3)),""))</f>
        <v/>
      </c>
      <c r="R589" s="33">
        <f>IF(Q589="","",P589&amp;"|"&amp;Q589)</f>
        <v/>
      </c>
      <c r="S589" s="33">
        <f>IF(Q589="","",IF(P589="À RENSEIGNER","GIC",P589)&amp;"-"&amp;TEXT(Q589,"000"))</f>
        <v/>
      </c>
      <c r="T589" s="33">
        <f>IF(R589="","",IFERROR(INDEX(Cl_nom,MATCH(R589,Cl_cle,0)),"(client introuvable)"))</f>
        <v/>
      </c>
      <c r="U589" s="33">
        <f>IF(R589="","",IFERROR(INDEX(Cl_quartier,MATCH(R589,Cl_cle,0))&amp;"",""))</f>
        <v/>
      </c>
      <c r="V589" s="34">
        <f>IF(C589="","",YEAR(C589-WEEKDAY(C589,2)+4)&amp;"-S"&amp;TEXT(INT((C589-DATE(YEAR(C589-WEEKDAY(C589,2)+4),1,3)+WEEKDAY(DATE(YEAR(C589-WEEKDAY(C589,2)+4),1,3),2)+5)/7),"00"))</f>
        <v/>
      </c>
    </row>
    <row r="590" ht="18" customHeight="1">
      <c r="A590" s="39" t="n">
        <v>585</v>
      </c>
      <c r="B590" s="33">
        <f>IF(C590="","",IF(P590="À RENSEIGNER","GIC",P590)&amp;"-V"&amp;TEXT(A590,"00000"))</f>
        <v/>
      </c>
      <c r="C590" s="32" t="n"/>
      <c r="D590" s="35" t="n"/>
      <c r="E590" s="36" t="n"/>
      <c r="F590" s="36" t="n"/>
      <c r="G590" s="36" t="n"/>
      <c r="H590" s="36" t="n"/>
      <c r="I590" s="36" t="n"/>
      <c r="J590" s="37" t="n"/>
      <c r="K590" s="32" t="n"/>
      <c r="L590" s="36" t="n"/>
      <c r="M590" s="41" t="n"/>
      <c r="N590" s="41" t="n"/>
      <c r="O590" s="36" t="n"/>
      <c r="P590" s="33">
        <f>IF(C590="","",Commercial_Id)</f>
        <v/>
      </c>
      <c r="Q590" s="39">
        <f>IF(F590="","",IFERROR(VALUE(MID(F590,LEN(F590)-3,3)),""))</f>
        <v/>
      </c>
      <c r="R590" s="33">
        <f>IF(Q590="","",P590&amp;"|"&amp;Q590)</f>
        <v/>
      </c>
      <c r="S590" s="33">
        <f>IF(Q590="","",IF(P590="À RENSEIGNER","GIC",P590)&amp;"-"&amp;TEXT(Q590,"000"))</f>
        <v/>
      </c>
      <c r="T590" s="33">
        <f>IF(R590="","",IFERROR(INDEX(Cl_nom,MATCH(R590,Cl_cle,0)),"(client introuvable)"))</f>
        <v/>
      </c>
      <c r="U590" s="33">
        <f>IF(R590="","",IFERROR(INDEX(Cl_quartier,MATCH(R590,Cl_cle,0))&amp;"",""))</f>
        <v/>
      </c>
      <c r="V590" s="34">
        <f>IF(C590="","",YEAR(C590-WEEKDAY(C590,2)+4)&amp;"-S"&amp;TEXT(INT((C590-DATE(YEAR(C590-WEEKDAY(C590,2)+4),1,3)+WEEKDAY(DATE(YEAR(C590-WEEKDAY(C590,2)+4),1,3),2)+5)/7),"00"))</f>
        <v/>
      </c>
    </row>
    <row r="591" ht="18" customHeight="1">
      <c r="A591" s="39" t="n">
        <v>586</v>
      </c>
      <c r="B591" s="33">
        <f>IF(C591="","",IF(P591="À RENSEIGNER","GIC",P591)&amp;"-V"&amp;TEXT(A591,"00000"))</f>
        <v/>
      </c>
      <c r="C591" s="32" t="n"/>
      <c r="D591" s="35" t="n"/>
      <c r="E591" s="36" t="n"/>
      <c r="F591" s="36" t="n"/>
      <c r="G591" s="36" t="n"/>
      <c r="H591" s="36" t="n"/>
      <c r="I591" s="36" t="n"/>
      <c r="J591" s="37" t="n"/>
      <c r="K591" s="32" t="n"/>
      <c r="L591" s="36" t="n"/>
      <c r="M591" s="41" t="n"/>
      <c r="N591" s="41" t="n"/>
      <c r="O591" s="36" t="n"/>
      <c r="P591" s="33">
        <f>IF(C591="","",Commercial_Id)</f>
        <v/>
      </c>
      <c r="Q591" s="39">
        <f>IF(F591="","",IFERROR(VALUE(MID(F591,LEN(F591)-3,3)),""))</f>
        <v/>
      </c>
      <c r="R591" s="33">
        <f>IF(Q591="","",P591&amp;"|"&amp;Q591)</f>
        <v/>
      </c>
      <c r="S591" s="33">
        <f>IF(Q591="","",IF(P591="À RENSEIGNER","GIC",P591)&amp;"-"&amp;TEXT(Q591,"000"))</f>
        <v/>
      </c>
      <c r="T591" s="33">
        <f>IF(R591="","",IFERROR(INDEX(Cl_nom,MATCH(R591,Cl_cle,0)),"(client introuvable)"))</f>
        <v/>
      </c>
      <c r="U591" s="33">
        <f>IF(R591="","",IFERROR(INDEX(Cl_quartier,MATCH(R591,Cl_cle,0))&amp;"",""))</f>
        <v/>
      </c>
      <c r="V591" s="34">
        <f>IF(C591="","",YEAR(C591-WEEKDAY(C591,2)+4)&amp;"-S"&amp;TEXT(INT((C591-DATE(YEAR(C591-WEEKDAY(C591,2)+4),1,3)+WEEKDAY(DATE(YEAR(C591-WEEKDAY(C591,2)+4),1,3),2)+5)/7),"00"))</f>
        <v/>
      </c>
    </row>
    <row r="592" ht="18" customHeight="1">
      <c r="A592" s="39" t="n">
        <v>587</v>
      </c>
      <c r="B592" s="33">
        <f>IF(C592="","",IF(P592="À RENSEIGNER","GIC",P592)&amp;"-V"&amp;TEXT(A592,"00000"))</f>
        <v/>
      </c>
      <c r="C592" s="32" t="n"/>
      <c r="D592" s="35" t="n"/>
      <c r="E592" s="36" t="n"/>
      <c r="F592" s="36" t="n"/>
      <c r="G592" s="36" t="n"/>
      <c r="H592" s="36" t="n"/>
      <c r="I592" s="36" t="n"/>
      <c r="J592" s="37" t="n"/>
      <c r="K592" s="32" t="n"/>
      <c r="L592" s="36" t="n"/>
      <c r="M592" s="41" t="n"/>
      <c r="N592" s="41" t="n"/>
      <c r="O592" s="36" t="n"/>
      <c r="P592" s="33">
        <f>IF(C592="","",Commercial_Id)</f>
        <v/>
      </c>
      <c r="Q592" s="39">
        <f>IF(F592="","",IFERROR(VALUE(MID(F592,LEN(F592)-3,3)),""))</f>
        <v/>
      </c>
      <c r="R592" s="33">
        <f>IF(Q592="","",P592&amp;"|"&amp;Q592)</f>
        <v/>
      </c>
      <c r="S592" s="33">
        <f>IF(Q592="","",IF(P592="À RENSEIGNER","GIC",P592)&amp;"-"&amp;TEXT(Q592,"000"))</f>
        <v/>
      </c>
      <c r="T592" s="33">
        <f>IF(R592="","",IFERROR(INDEX(Cl_nom,MATCH(R592,Cl_cle,0)),"(client introuvable)"))</f>
        <v/>
      </c>
      <c r="U592" s="33">
        <f>IF(R592="","",IFERROR(INDEX(Cl_quartier,MATCH(R592,Cl_cle,0))&amp;"",""))</f>
        <v/>
      </c>
      <c r="V592" s="34">
        <f>IF(C592="","",YEAR(C592-WEEKDAY(C592,2)+4)&amp;"-S"&amp;TEXT(INT((C592-DATE(YEAR(C592-WEEKDAY(C592,2)+4),1,3)+WEEKDAY(DATE(YEAR(C592-WEEKDAY(C592,2)+4),1,3),2)+5)/7),"00"))</f>
        <v/>
      </c>
    </row>
    <row r="593" ht="18" customHeight="1">
      <c r="A593" s="39" t="n">
        <v>588</v>
      </c>
      <c r="B593" s="33">
        <f>IF(C593="","",IF(P593="À RENSEIGNER","GIC",P593)&amp;"-V"&amp;TEXT(A593,"00000"))</f>
        <v/>
      </c>
      <c r="C593" s="32" t="n"/>
      <c r="D593" s="35" t="n"/>
      <c r="E593" s="36" t="n"/>
      <c r="F593" s="36" t="n"/>
      <c r="G593" s="36" t="n"/>
      <c r="H593" s="36" t="n"/>
      <c r="I593" s="36" t="n"/>
      <c r="J593" s="37" t="n"/>
      <c r="K593" s="32" t="n"/>
      <c r="L593" s="36" t="n"/>
      <c r="M593" s="41" t="n"/>
      <c r="N593" s="41" t="n"/>
      <c r="O593" s="36" t="n"/>
      <c r="P593" s="33">
        <f>IF(C593="","",Commercial_Id)</f>
        <v/>
      </c>
      <c r="Q593" s="39">
        <f>IF(F593="","",IFERROR(VALUE(MID(F593,LEN(F593)-3,3)),""))</f>
        <v/>
      </c>
      <c r="R593" s="33">
        <f>IF(Q593="","",P593&amp;"|"&amp;Q593)</f>
        <v/>
      </c>
      <c r="S593" s="33">
        <f>IF(Q593="","",IF(P593="À RENSEIGNER","GIC",P593)&amp;"-"&amp;TEXT(Q593,"000"))</f>
        <v/>
      </c>
      <c r="T593" s="33">
        <f>IF(R593="","",IFERROR(INDEX(Cl_nom,MATCH(R593,Cl_cle,0)),"(client introuvable)"))</f>
        <v/>
      </c>
      <c r="U593" s="33">
        <f>IF(R593="","",IFERROR(INDEX(Cl_quartier,MATCH(R593,Cl_cle,0))&amp;"",""))</f>
        <v/>
      </c>
      <c r="V593" s="34">
        <f>IF(C593="","",YEAR(C593-WEEKDAY(C593,2)+4)&amp;"-S"&amp;TEXT(INT((C593-DATE(YEAR(C593-WEEKDAY(C593,2)+4),1,3)+WEEKDAY(DATE(YEAR(C593-WEEKDAY(C593,2)+4),1,3),2)+5)/7),"00"))</f>
        <v/>
      </c>
    </row>
    <row r="594" ht="18" customHeight="1">
      <c r="A594" s="39" t="n">
        <v>589</v>
      </c>
      <c r="B594" s="33">
        <f>IF(C594="","",IF(P594="À RENSEIGNER","GIC",P594)&amp;"-V"&amp;TEXT(A594,"00000"))</f>
        <v/>
      </c>
      <c r="C594" s="32" t="n"/>
      <c r="D594" s="35" t="n"/>
      <c r="E594" s="36" t="n"/>
      <c r="F594" s="36" t="n"/>
      <c r="G594" s="36" t="n"/>
      <c r="H594" s="36" t="n"/>
      <c r="I594" s="36" t="n"/>
      <c r="J594" s="37" t="n"/>
      <c r="K594" s="32" t="n"/>
      <c r="L594" s="36" t="n"/>
      <c r="M594" s="41" t="n"/>
      <c r="N594" s="41" t="n"/>
      <c r="O594" s="36" t="n"/>
      <c r="P594" s="33">
        <f>IF(C594="","",Commercial_Id)</f>
        <v/>
      </c>
      <c r="Q594" s="39">
        <f>IF(F594="","",IFERROR(VALUE(MID(F594,LEN(F594)-3,3)),""))</f>
        <v/>
      </c>
      <c r="R594" s="33">
        <f>IF(Q594="","",P594&amp;"|"&amp;Q594)</f>
        <v/>
      </c>
      <c r="S594" s="33">
        <f>IF(Q594="","",IF(P594="À RENSEIGNER","GIC",P594)&amp;"-"&amp;TEXT(Q594,"000"))</f>
        <v/>
      </c>
      <c r="T594" s="33">
        <f>IF(R594="","",IFERROR(INDEX(Cl_nom,MATCH(R594,Cl_cle,0)),"(client introuvable)"))</f>
        <v/>
      </c>
      <c r="U594" s="33">
        <f>IF(R594="","",IFERROR(INDEX(Cl_quartier,MATCH(R594,Cl_cle,0))&amp;"",""))</f>
        <v/>
      </c>
      <c r="V594" s="34">
        <f>IF(C594="","",YEAR(C594-WEEKDAY(C594,2)+4)&amp;"-S"&amp;TEXT(INT((C594-DATE(YEAR(C594-WEEKDAY(C594,2)+4),1,3)+WEEKDAY(DATE(YEAR(C594-WEEKDAY(C594,2)+4),1,3),2)+5)/7),"00"))</f>
        <v/>
      </c>
    </row>
    <row r="595" ht="18" customHeight="1">
      <c r="A595" s="39" t="n">
        <v>590</v>
      </c>
      <c r="B595" s="33">
        <f>IF(C595="","",IF(P595="À RENSEIGNER","GIC",P595)&amp;"-V"&amp;TEXT(A595,"00000"))</f>
        <v/>
      </c>
      <c r="C595" s="32" t="n"/>
      <c r="D595" s="35" t="n"/>
      <c r="E595" s="36" t="n"/>
      <c r="F595" s="36" t="n"/>
      <c r="G595" s="36" t="n"/>
      <c r="H595" s="36" t="n"/>
      <c r="I595" s="36" t="n"/>
      <c r="J595" s="37" t="n"/>
      <c r="K595" s="32" t="n"/>
      <c r="L595" s="36" t="n"/>
      <c r="M595" s="41" t="n"/>
      <c r="N595" s="41" t="n"/>
      <c r="O595" s="36" t="n"/>
      <c r="P595" s="33">
        <f>IF(C595="","",Commercial_Id)</f>
        <v/>
      </c>
      <c r="Q595" s="39">
        <f>IF(F595="","",IFERROR(VALUE(MID(F595,LEN(F595)-3,3)),""))</f>
        <v/>
      </c>
      <c r="R595" s="33">
        <f>IF(Q595="","",P595&amp;"|"&amp;Q595)</f>
        <v/>
      </c>
      <c r="S595" s="33">
        <f>IF(Q595="","",IF(P595="À RENSEIGNER","GIC",P595)&amp;"-"&amp;TEXT(Q595,"000"))</f>
        <v/>
      </c>
      <c r="T595" s="33">
        <f>IF(R595="","",IFERROR(INDEX(Cl_nom,MATCH(R595,Cl_cle,0)),"(client introuvable)"))</f>
        <v/>
      </c>
      <c r="U595" s="33">
        <f>IF(R595="","",IFERROR(INDEX(Cl_quartier,MATCH(R595,Cl_cle,0))&amp;"",""))</f>
        <v/>
      </c>
      <c r="V595" s="34">
        <f>IF(C595="","",YEAR(C595-WEEKDAY(C595,2)+4)&amp;"-S"&amp;TEXT(INT((C595-DATE(YEAR(C595-WEEKDAY(C595,2)+4),1,3)+WEEKDAY(DATE(YEAR(C595-WEEKDAY(C595,2)+4),1,3),2)+5)/7),"00"))</f>
        <v/>
      </c>
    </row>
    <row r="596" ht="18" customHeight="1">
      <c r="A596" s="39" t="n">
        <v>591</v>
      </c>
      <c r="B596" s="33">
        <f>IF(C596="","",IF(P596="À RENSEIGNER","GIC",P596)&amp;"-V"&amp;TEXT(A596,"00000"))</f>
        <v/>
      </c>
      <c r="C596" s="32" t="n"/>
      <c r="D596" s="35" t="n"/>
      <c r="E596" s="36" t="n"/>
      <c r="F596" s="36" t="n"/>
      <c r="G596" s="36" t="n"/>
      <c r="H596" s="36" t="n"/>
      <c r="I596" s="36" t="n"/>
      <c r="J596" s="37" t="n"/>
      <c r="K596" s="32" t="n"/>
      <c r="L596" s="36" t="n"/>
      <c r="M596" s="41" t="n"/>
      <c r="N596" s="41" t="n"/>
      <c r="O596" s="36" t="n"/>
      <c r="P596" s="33">
        <f>IF(C596="","",Commercial_Id)</f>
        <v/>
      </c>
      <c r="Q596" s="39">
        <f>IF(F596="","",IFERROR(VALUE(MID(F596,LEN(F596)-3,3)),""))</f>
        <v/>
      </c>
      <c r="R596" s="33">
        <f>IF(Q596="","",P596&amp;"|"&amp;Q596)</f>
        <v/>
      </c>
      <c r="S596" s="33">
        <f>IF(Q596="","",IF(P596="À RENSEIGNER","GIC",P596)&amp;"-"&amp;TEXT(Q596,"000"))</f>
        <v/>
      </c>
      <c r="T596" s="33">
        <f>IF(R596="","",IFERROR(INDEX(Cl_nom,MATCH(R596,Cl_cle,0)),"(client introuvable)"))</f>
        <v/>
      </c>
      <c r="U596" s="33">
        <f>IF(R596="","",IFERROR(INDEX(Cl_quartier,MATCH(R596,Cl_cle,0))&amp;"",""))</f>
        <v/>
      </c>
      <c r="V596" s="34">
        <f>IF(C596="","",YEAR(C596-WEEKDAY(C596,2)+4)&amp;"-S"&amp;TEXT(INT((C596-DATE(YEAR(C596-WEEKDAY(C596,2)+4),1,3)+WEEKDAY(DATE(YEAR(C596-WEEKDAY(C596,2)+4),1,3),2)+5)/7),"00"))</f>
        <v/>
      </c>
    </row>
    <row r="597" ht="18" customHeight="1">
      <c r="A597" s="39" t="n">
        <v>592</v>
      </c>
      <c r="B597" s="33">
        <f>IF(C597="","",IF(P597="À RENSEIGNER","GIC",P597)&amp;"-V"&amp;TEXT(A597,"00000"))</f>
        <v/>
      </c>
      <c r="C597" s="32" t="n"/>
      <c r="D597" s="35" t="n"/>
      <c r="E597" s="36" t="n"/>
      <c r="F597" s="36" t="n"/>
      <c r="G597" s="36" t="n"/>
      <c r="H597" s="36" t="n"/>
      <c r="I597" s="36" t="n"/>
      <c r="J597" s="37" t="n"/>
      <c r="K597" s="32" t="n"/>
      <c r="L597" s="36" t="n"/>
      <c r="M597" s="41" t="n"/>
      <c r="N597" s="41" t="n"/>
      <c r="O597" s="36" t="n"/>
      <c r="P597" s="33">
        <f>IF(C597="","",Commercial_Id)</f>
        <v/>
      </c>
      <c r="Q597" s="39">
        <f>IF(F597="","",IFERROR(VALUE(MID(F597,LEN(F597)-3,3)),""))</f>
        <v/>
      </c>
      <c r="R597" s="33">
        <f>IF(Q597="","",P597&amp;"|"&amp;Q597)</f>
        <v/>
      </c>
      <c r="S597" s="33">
        <f>IF(Q597="","",IF(P597="À RENSEIGNER","GIC",P597)&amp;"-"&amp;TEXT(Q597,"000"))</f>
        <v/>
      </c>
      <c r="T597" s="33">
        <f>IF(R597="","",IFERROR(INDEX(Cl_nom,MATCH(R597,Cl_cle,0)),"(client introuvable)"))</f>
        <v/>
      </c>
      <c r="U597" s="33">
        <f>IF(R597="","",IFERROR(INDEX(Cl_quartier,MATCH(R597,Cl_cle,0))&amp;"",""))</f>
        <v/>
      </c>
      <c r="V597" s="34">
        <f>IF(C597="","",YEAR(C597-WEEKDAY(C597,2)+4)&amp;"-S"&amp;TEXT(INT((C597-DATE(YEAR(C597-WEEKDAY(C597,2)+4),1,3)+WEEKDAY(DATE(YEAR(C597-WEEKDAY(C597,2)+4),1,3),2)+5)/7),"00"))</f>
        <v/>
      </c>
    </row>
    <row r="598" ht="18" customHeight="1">
      <c r="A598" s="39" t="n">
        <v>593</v>
      </c>
      <c r="B598" s="33">
        <f>IF(C598="","",IF(P598="À RENSEIGNER","GIC",P598)&amp;"-V"&amp;TEXT(A598,"00000"))</f>
        <v/>
      </c>
      <c r="C598" s="32" t="n"/>
      <c r="D598" s="35" t="n"/>
      <c r="E598" s="36" t="n"/>
      <c r="F598" s="36" t="n"/>
      <c r="G598" s="36" t="n"/>
      <c r="H598" s="36" t="n"/>
      <c r="I598" s="36" t="n"/>
      <c r="J598" s="37" t="n"/>
      <c r="K598" s="32" t="n"/>
      <c r="L598" s="36" t="n"/>
      <c r="M598" s="41" t="n"/>
      <c r="N598" s="41" t="n"/>
      <c r="O598" s="36" t="n"/>
      <c r="P598" s="33">
        <f>IF(C598="","",Commercial_Id)</f>
        <v/>
      </c>
      <c r="Q598" s="39">
        <f>IF(F598="","",IFERROR(VALUE(MID(F598,LEN(F598)-3,3)),""))</f>
        <v/>
      </c>
      <c r="R598" s="33">
        <f>IF(Q598="","",P598&amp;"|"&amp;Q598)</f>
        <v/>
      </c>
      <c r="S598" s="33">
        <f>IF(Q598="","",IF(P598="À RENSEIGNER","GIC",P598)&amp;"-"&amp;TEXT(Q598,"000"))</f>
        <v/>
      </c>
      <c r="T598" s="33">
        <f>IF(R598="","",IFERROR(INDEX(Cl_nom,MATCH(R598,Cl_cle,0)),"(client introuvable)"))</f>
        <v/>
      </c>
      <c r="U598" s="33">
        <f>IF(R598="","",IFERROR(INDEX(Cl_quartier,MATCH(R598,Cl_cle,0))&amp;"",""))</f>
        <v/>
      </c>
      <c r="V598" s="34">
        <f>IF(C598="","",YEAR(C598-WEEKDAY(C598,2)+4)&amp;"-S"&amp;TEXT(INT((C598-DATE(YEAR(C598-WEEKDAY(C598,2)+4),1,3)+WEEKDAY(DATE(YEAR(C598-WEEKDAY(C598,2)+4),1,3),2)+5)/7),"00"))</f>
        <v/>
      </c>
    </row>
    <row r="599" ht="18" customHeight="1">
      <c r="A599" s="39" t="n">
        <v>594</v>
      </c>
      <c r="B599" s="33">
        <f>IF(C599="","",IF(P599="À RENSEIGNER","GIC",P599)&amp;"-V"&amp;TEXT(A599,"00000"))</f>
        <v/>
      </c>
      <c r="C599" s="32" t="n"/>
      <c r="D599" s="35" t="n"/>
      <c r="E599" s="36" t="n"/>
      <c r="F599" s="36" t="n"/>
      <c r="G599" s="36" t="n"/>
      <c r="H599" s="36" t="n"/>
      <c r="I599" s="36" t="n"/>
      <c r="J599" s="37" t="n"/>
      <c r="K599" s="32" t="n"/>
      <c r="L599" s="36" t="n"/>
      <c r="M599" s="41" t="n"/>
      <c r="N599" s="41" t="n"/>
      <c r="O599" s="36" t="n"/>
      <c r="P599" s="33">
        <f>IF(C599="","",Commercial_Id)</f>
        <v/>
      </c>
      <c r="Q599" s="39">
        <f>IF(F599="","",IFERROR(VALUE(MID(F599,LEN(F599)-3,3)),""))</f>
        <v/>
      </c>
      <c r="R599" s="33">
        <f>IF(Q599="","",P599&amp;"|"&amp;Q599)</f>
        <v/>
      </c>
      <c r="S599" s="33">
        <f>IF(Q599="","",IF(P599="À RENSEIGNER","GIC",P599)&amp;"-"&amp;TEXT(Q599,"000"))</f>
        <v/>
      </c>
      <c r="T599" s="33">
        <f>IF(R599="","",IFERROR(INDEX(Cl_nom,MATCH(R599,Cl_cle,0)),"(client introuvable)"))</f>
        <v/>
      </c>
      <c r="U599" s="33">
        <f>IF(R599="","",IFERROR(INDEX(Cl_quartier,MATCH(R599,Cl_cle,0))&amp;"",""))</f>
        <v/>
      </c>
      <c r="V599" s="34">
        <f>IF(C599="","",YEAR(C599-WEEKDAY(C599,2)+4)&amp;"-S"&amp;TEXT(INT((C599-DATE(YEAR(C599-WEEKDAY(C599,2)+4),1,3)+WEEKDAY(DATE(YEAR(C599-WEEKDAY(C599,2)+4),1,3),2)+5)/7),"00"))</f>
        <v/>
      </c>
    </row>
    <row r="600" ht="18" customHeight="1">
      <c r="A600" s="39" t="n">
        <v>595</v>
      </c>
      <c r="B600" s="33">
        <f>IF(C600="","",IF(P600="À RENSEIGNER","GIC",P600)&amp;"-V"&amp;TEXT(A600,"00000"))</f>
        <v/>
      </c>
      <c r="C600" s="32" t="n"/>
      <c r="D600" s="35" t="n"/>
      <c r="E600" s="36" t="n"/>
      <c r="F600" s="36" t="n"/>
      <c r="G600" s="36" t="n"/>
      <c r="H600" s="36" t="n"/>
      <c r="I600" s="36" t="n"/>
      <c r="J600" s="37" t="n"/>
      <c r="K600" s="32" t="n"/>
      <c r="L600" s="36" t="n"/>
      <c r="M600" s="41" t="n"/>
      <c r="N600" s="41" t="n"/>
      <c r="O600" s="36" t="n"/>
      <c r="P600" s="33">
        <f>IF(C600="","",Commercial_Id)</f>
        <v/>
      </c>
      <c r="Q600" s="39">
        <f>IF(F600="","",IFERROR(VALUE(MID(F600,LEN(F600)-3,3)),""))</f>
        <v/>
      </c>
      <c r="R600" s="33">
        <f>IF(Q600="","",P600&amp;"|"&amp;Q600)</f>
        <v/>
      </c>
      <c r="S600" s="33">
        <f>IF(Q600="","",IF(P600="À RENSEIGNER","GIC",P600)&amp;"-"&amp;TEXT(Q600,"000"))</f>
        <v/>
      </c>
      <c r="T600" s="33">
        <f>IF(R600="","",IFERROR(INDEX(Cl_nom,MATCH(R600,Cl_cle,0)),"(client introuvable)"))</f>
        <v/>
      </c>
      <c r="U600" s="33">
        <f>IF(R600="","",IFERROR(INDEX(Cl_quartier,MATCH(R600,Cl_cle,0))&amp;"",""))</f>
        <v/>
      </c>
      <c r="V600" s="34">
        <f>IF(C600="","",YEAR(C600-WEEKDAY(C600,2)+4)&amp;"-S"&amp;TEXT(INT((C600-DATE(YEAR(C600-WEEKDAY(C600,2)+4),1,3)+WEEKDAY(DATE(YEAR(C600-WEEKDAY(C600,2)+4),1,3),2)+5)/7),"00"))</f>
        <v/>
      </c>
    </row>
    <row r="601" ht="18" customHeight="1">
      <c r="A601" s="39" t="n">
        <v>596</v>
      </c>
      <c r="B601" s="33">
        <f>IF(C601="","",IF(P601="À RENSEIGNER","GIC",P601)&amp;"-V"&amp;TEXT(A601,"00000"))</f>
        <v/>
      </c>
      <c r="C601" s="32" t="n"/>
      <c r="D601" s="35" t="n"/>
      <c r="E601" s="36" t="n"/>
      <c r="F601" s="36" t="n"/>
      <c r="G601" s="36" t="n"/>
      <c r="H601" s="36" t="n"/>
      <c r="I601" s="36" t="n"/>
      <c r="J601" s="37" t="n"/>
      <c r="K601" s="32" t="n"/>
      <c r="L601" s="36" t="n"/>
      <c r="M601" s="41" t="n"/>
      <c r="N601" s="41" t="n"/>
      <c r="O601" s="36" t="n"/>
      <c r="P601" s="33">
        <f>IF(C601="","",Commercial_Id)</f>
        <v/>
      </c>
      <c r="Q601" s="39">
        <f>IF(F601="","",IFERROR(VALUE(MID(F601,LEN(F601)-3,3)),""))</f>
        <v/>
      </c>
      <c r="R601" s="33">
        <f>IF(Q601="","",P601&amp;"|"&amp;Q601)</f>
        <v/>
      </c>
      <c r="S601" s="33">
        <f>IF(Q601="","",IF(P601="À RENSEIGNER","GIC",P601)&amp;"-"&amp;TEXT(Q601,"000"))</f>
        <v/>
      </c>
      <c r="T601" s="33">
        <f>IF(R601="","",IFERROR(INDEX(Cl_nom,MATCH(R601,Cl_cle,0)),"(client introuvable)"))</f>
        <v/>
      </c>
      <c r="U601" s="33">
        <f>IF(R601="","",IFERROR(INDEX(Cl_quartier,MATCH(R601,Cl_cle,0))&amp;"",""))</f>
        <v/>
      </c>
      <c r="V601" s="34">
        <f>IF(C601="","",YEAR(C601-WEEKDAY(C601,2)+4)&amp;"-S"&amp;TEXT(INT((C601-DATE(YEAR(C601-WEEKDAY(C601,2)+4),1,3)+WEEKDAY(DATE(YEAR(C601-WEEKDAY(C601,2)+4),1,3),2)+5)/7),"00"))</f>
        <v/>
      </c>
    </row>
    <row r="602" ht="18" customHeight="1">
      <c r="A602" s="39" t="n">
        <v>597</v>
      </c>
      <c r="B602" s="33">
        <f>IF(C602="","",IF(P602="À RENSEIGNER","GIC",P602)&amp;"-V"&amp;TEXT(A602,"00000"))</f>
        <v/>
      </c>
      <c r="C602" s="32" t="n"/>
      <c r="D602" s="35" t="n"/>
      <c r="E602" s="36" t="n"/>
      <c r="F602" s="36" t="n"/>
      <c r="G602" s="36" t="n"/>
      <c r="H602" s="36" t="n"/>
      <c r="I602" s="36" t="n"/>
      <c r="J602" s="37" t="n"/>
      <c r="K602" s="32" t="n"/>
      <c r="L602" s="36" t="n"/>
      <c r="M602" s="41" t="n"/>
      <c r="N602" s="41" t="n"/>
      <c r="O602" s="36" t="n"/>
      <c r="P602" s="33">
        <f>IF(C602="","",Commercial_Id)</f>
        <v/>
      </c>
      <c r="Q602" s="39">
        <f>IF(F602="","",IFERROR(VALUE(MID(F602,LEN(F602)-3,3)),""))</f>
        <v/>
      </c>
      <c r="R602" s="33">
        <f>IF(Q602="","",P602&amp;"|"&amp;Q602)</f>
        <v/>
      </c>
      <c r="S602" s="33">
        <f>IF(Q602="","",IF(P602="À RENSEIGNER","GIC",P602)&amp;"-"&amp;TEXT(Q602,"000"))</f>
        <v/>
      </c>
      <c r="T602" s="33">
        <f>IF(R602="","",IFERROR(INDEX(Cl_nom,MATCH(R602,Cl_cle,0)),"(client introuvable)"))</f>
        <v/>
      </c>
      <c r="U602" s="33">
        <f>IF(R602="","",IFERROR(INDEX(Cl_quartier,MATCH(R602,Cl_cle,0))&amp;"",""))</f>
        <v/>
      </c>
      <c r="V602" s="34">
        <f>IF(C602="","",YEAR(C602-WEEKDAY(C602,2)+4)&amp;"-S"&amp;TEXT(INT((C602-DATE(YEAR(C602-WEEKDAY(C602,2)+4),1,3)+WEEKDAY(DATE(YEAR(C602-WEEKDAY(C602,2)+4),1,3),2)+5)/7),"00"))</f>
        <v/>
      </c>
    </row>
    <row r="603" ht="18" customHeight="1">
      <c r="A603" s="39" t="n">
        <v>598</v>
      </c>
      <c r="B603" s="33">
        <f>IF(C603="","",IF(P603="À RENSEIGNER","GIC",P603)&amp;"-V"&amp;TEXT(A603,"00000"))</f>
        <v/>
      </c>
      <c r="C603" s="32" t="n"/>
      <c r="D603" s="35" t="n"/>
      <c r="E603" s="36" t="n"/>
      <c r="F603" s="36" t="n"/>
      <c r="G603" s="36" t="n"/>
      <c r="H603" s="36" t="n"/>
      <c r="I603" s="36" t="n"/>
      <c r="J603" s="37" t="n"/>
      <c r="K603" s="32" t="n"/>
      <c r="L603" s="36" t="n"/>
      <c r="M603" s="41" t="n"/>
      <c r="N603" s="41" t="n"/>
      <c r="O603" s="36" t="n"/>
      <c r="P603" s="33">
        <f>IF(C603="","",Commercial_Id)</f>
        <v/>
      </c>
      <c r="Q603" s="39">
        <f>IF(F603="","",IFERROR(VALUE(MID(F603,LEN(F603)-3,3)),""))</f>
        <v/>
      </c>
      <c r="R603" s="33">
        <f>IF(Q603="","",P603&amp;"|"&amp;Q603)</f>
        <v/>
      </c>
      <c r="S603" s="33">
        <f>IF(Q603="","",IF(P603="À RENSEIGNER","GIC",P603)&amp;"-"&amp;TEXT(Q603,"000"))</f>
        <v/>
      </c>
      <c r="T603" s="33">
        <f>IF(R603="","",IFERROR(INDEX(Cl_nom,MATCH(R603,Cl_cle,0)),"(client introuvable)"))</f>
        <v/>
      </c>
      <c r="U603" s="33">
        <f>IF(R603="","",IFERROR(INDEX(Cl_quartier,MATCH(R603,Cl_cle,0))&amp;"",""))</f>
        <v/>
      </c>
      <c r="V603" s="34">
        <f>IF(C603="","",YEAR(C603-WEEKDAY(C603,2)+4)&amp;"-S"&amp;TEXT(INT((C603-DATE(YEAR(C603-WEEKDAY(C603,2)+4),1,3)+WEEKDAY(DATE(YEAR(C603-WEEKDAY(C603,2)+4),1,3),2)+5)/7),"00"))</f>
        <v/>
      </c>
    </row>
    <row r="604" ht="18" customHeight="1">
      <c r="A604" s="39" t="n">
        <v>599</v>
      </c>
      <c r="B604" s="33">
        <f>IF(C604="","",IF(P604="À RENSEIGNER","GIC",P604)&amp;"-V"&amp;TEXT(A604,"00000"))</f>
        <v/>
      </c>
      <c r="C604" s="32" t="n"/>
      <c r="D604" s="35" t="n"/>
      <c r="E604" s="36" t="n"/>
      <c r="F604" s="36" t="n"/>
      <c r="G604" s="36" t="n"/>
      <c r="H604" s="36" t="n"/>
      <c r="I604" s="36" t="n"/>
      <c r="J604" s="37" t="n"/>
      <c r="K604" s="32" t="n"/>
      <c r="L604" s="36" t="n"/>
      <c r="M604" s="41" t="n"/>
      <c r="N604" s="41" t="n"/>
      <c r="O604" s="36" t="n"/>
      <c r="P604" s="33">
        <f>IF(C604="","",Commercial_Id)</f>
        <v/>
      </c>
      <c r="Q604" s="39">
        <f>IF(F604="","",IFERROR(VALUE(MID(F604,LEN(F604)-3,3)),""))</f>
        <v/>
      </c>
      <c r="R604" s="33">
        <f>IF(Q604="","",P604&amp;"|"&amp;Q604)</f>
        <v/>
      </c>
      <c r="S604" s="33">
        <f>IF(Q604="","",IF(P604="À RENSEIGNER","GIC",P604)&amp;"-"&amp;TEXT(Q604,"000"))</f>
        <v/>
      </c>
      <c r="T604" s="33">
        <f>IF(R604="","",IFERROR(INDEX(Cl_nom,MATCH(R604,Cl_cle,0)),"(client introuvable)"))</f>
        <v/>
      </c>
      <c r="U604" s="33">
        <f>IF(R604="","",IFERROR(INDEX(Cl_quartier,MATCH(R604,Cl_cle,0))&amp;"",""))</f>
        <v/>
      </c>
      <c r="V604" s="34">
        <f>IF(C604="","",YEAR(C604-WEEKDAY(C604,2)+4)&amp;"-S"&amp;TEXT(INT((C604-DATE(YEAR(C604-WEEKDAY(C604,2)+4),1,3)+WEEKDAY(DATE(YEAR(C604-WEEKDAY(C604,2)+4),1,3),2)+5)/7),"00"))</f>
        <v/>
      </c>
    </row>
    <row r="605" ht="18" customHeight="1">
      <c r="A605" s="39" t="n">
        <v>600</v>
      </c>
      <c r="B605" s="33">
        <f>IF(C605="","",IF(P605="À RENSEIGNER","GIC",P605)&amp;"-V"&amp;TEXT(A605,"00000"))</f>
        <v/>
      </c>
      <c r="C605" s="32" t="n"/>
      <c r="D605" s="35" t="n"/>
      <c r="E605" s="36" t="n"/>
      <c r="F605" s="36" t="n"/>
      <c r="G605" s="36" t="n"/>
      <c r="H605" s="36" t="n"/>
      <c r="I605" s="36" t="n"/>
      <c r="J605" s="37" t="n"/>
      <c r="K605" s="32" t="n"/>
      <c r="L605" s="36" t="n"/>
      <c r="M605" s="41" t="n"/>
      <c r="N605" s="41" t="n"/>
      <c r="O605" s="36" t="n"/>
      <c r="P605" s="33">
        <f>IF(C605="","",Commercial_Id)</f>
        <v/>
      </c>
      <c r="Q605" s="39">
        <f>IF(F605="","",IFERROR(VALUE(MID(F605,LEN(F605)-3,3)),""))</f>
        <v/>
      </c>
      <c r="R605" s="33">
        <f>IF(Q605="","",P605&amp;"|"&amp;Q605)</f>
        <v/>
      </c>
      <c r="S605" s="33">
        <f>IF(Q605="","",IF(P605="À RENSEIGNER","GIC",P605)&amp;"-"&amp;TEXT(Q605,"000"))</f>
        <v/>
      </c>
      <c r="T605" s="33">
        <f>IF(R605="","",IFERROR(INDEX(Cl_nom,MATCH(R605,Cl_cle,0)),"(client introuvable)"))</f>
        <v/>
      </c>
      <c r="U605" s="33">
        <f>IF(R605="","",IFERROR(INDEX(Cl_quartier,MATCH(R605,Cl_cle,0))&amp;"",""))</f>
        <v/>
      </c>
      <c r="V605" s="34">
        <f>IF(C605="","",YEAR(C605-WEEKDAY(C605,2)+4)&amp;"-S"&amp;TEXT(INT((C605-DATE(YEAR(C605-WEEKDAY(C605,2)+4),1,3)+WEEKDAY(DATE(YEAR(C605-WEEKDAY(C605,2)+4),1,3),2)+5)/7),"00"))</f>
        <v/>
      </c>
    </row>
    <row r="606" ht="18" customHeight="1">
      <c r="A606" s="39" t="n">
        <v>601</v>
      </c>
      <c r="B606" s="33">
        <f>IF(C606="","",IF(P606="À RENSEIGNER","GIC",P606)&amp;"-V"&amp;TEXT(A606,"00000"))</f>
        <v/>
      </c>
      <c r="C606" s="32" t="n"/>
      <c r="D606" s="35" t="n"/>
      <c r="E606" s="36" t="n"/>
      <c r="F606" s="36" t="n"/>
      <c r="G606" s="36" t="n"/>
      <c r="H606" s="36" t="n"/>
      <c r="I606" s="36" t="n"/>
      <c r="J606" s="37" t="n"/>
      <c r="K606" s="32" t="n"/>
      <c r="L606" s="36" t="n"/>
      <c r="M606" s="41" t="n"/>
      <c r="N606" s="41" t="n"/>
      <c r="O606" s="36" t="n"/>
      <c r="P606" s="33">
        <f>IF(C606="","",Commercial_Id)</f>
        <v/>
      </c>
      <c r="Q606" s="39">
        <f>IF(F606="","",IFERROR(VALUE(MID(F606,LEN(F606)-3,3)),""))</f>
        <v/>
      </c>
      <c r="R606" s="33">
        <f>IF(Q606="","",P606&amp;"|"&amp;Q606)</f>
        <v/>
      </c>
      <c r="S606" s="33">
        <f>IF(Q606="","",IF(P606="À RENSEIGNER","GIC",P606)&amp;"-"&amp;TEXT(Q606,"000"))</f>
        <v/>
      </c>
      <c r="T606" s="33">
        <f>IF(R606="","",IFERROR(INDEX(Cl_nom,MATCH(R606,Cl_cle,0)),"(client introuvable)"))</f>
        <v/>
      </c>
      <c r="U606" s="33">
        <f>IF(R606="","",IFERROR(INDEX(Cl_quartier,MATCH(R606,Cl_cle,0))&amp;"",""))</f>
        <v/>
      </c>
      <c r="V606" s="34">
        <f>IF(C606="","",YEAR(C606-WEEKDAY(C606,2)+4)&amp;"-S"&amp;TEXT(INT((C606-DATE(YEAR(C606-WEEKDAY(C606,2)+4),1,3)+WEEKDAY(DATE(YEAR(C606-WEEKDAY(C606,2)+4),1,3),2)+5)/7),"00"))</f>
        <v/>
      </c>
    </row>
    <row r="607" ht="18" customHeight="1">
      <c r="A607" s="39" t="n">
        <v>602</v>
      </c>
      <c r="B607" s="33">
        <f>IF(C607="","",IF(P607="À RENSEIGNER","GIC",P607)&amp;"-V"&amp;TEXT(A607,"00000"))</f>
        <v/>
      </c>
      <c r="C607" s="32" t="n"/>
      <c r="D607" s="35" t="n"/>
      <c r="E607" s="36" t="n"/>
      <c r="F607" s="36" t="n"/>
      <c r="G607" s="36" t="n"/>
      <c r="H607" s="36" t="n"/>
      <c r="I607" s="36" t="n"/>
      <c r="J607" s="37" t="n"/>
      <c r="K607" s="32" t="n"/>
      <c r="L607" s="36" t="n"/>
      <c r="M607" s="41" t="n"/>
      <c r="N607" s="41" t="n"/>
      <c r="O607" s="36" t="n"/>
      <c r="P607" s="33">
        <f>IF(C607="","",Commercial_Id)</f>
        <v/>
      </c>
      <c r="Q607" s="39">
        <f>IF(F607="","",IFERROR(VALUE(MID(F607,LEN(F607)-3,3)),""))</f>
        <v/>
      </c>
      <c r="R607" s="33">
        <f>IF(Q607="","",P607&amp;"|"&amp;Q607)</f>
        <v/>
      </c>
      <c r="S607" s="33">
        <f>IF(Q607="","",IF(P607="À RENSEIGNER","GIC",P607)&amp;"-"&amp;TEXT(Q607,"000"))</f>
        <v/>
      </c>
      <c r="T607" s="33">
        <f>IF(R607="","",IFERROR(INDEX(Cl_nom,MATCH(R607,Cl_cle,0)),"(client introuvable)"))</f>
        <v/>
      </c>
      <c r="U607" s="33">
        <f>IF(R607="","",IFERROR(INDEX(Cl_quartier,MATCH(R607,Cl_cle,0))&amp;"",""))</f>
        <v/>
      </c>
      <c r="V607" s="34">
        <f>IF(C607="","",YEAR(C607-WEEKDAY(C607,2)+4)&amp;"-S"&amp;TEXT(INT((C607-DATE(YEAR(C607-WEEKDAY(C607,2)+4),1,3)+WEEKDAY(DATE(YEAR(C607-WEEKDAY(C607,2)+4),1,3),2)+5)/7),"00"))</f>
        <v/>
      </c>
    </row>
    <row r="608" ht="18" customHeight="1">
      <c r="A608" s="39" t="n">
        <v>603</v>
      </c>
      <c r="B608" s="33">
        <f>IF(C608="","",IF(P608="À RENSEIGNER","GIC",P608)&amp;"-V"&amp;TEXT(A608,"00000"))</f>
        <v/>
      </c>
      <c r="C608" s="32" t="n"/>
      <c r="D608" s="35" t="n"/>
      <c r="E608" s="36" t="n"/>
      <c r="F608" s="36" t="n"/>
      <c r="G608" s="36" t="n"/>
      <c r="H608" s="36" t="n"/>
      <c r="I608" s="36" t="n"/>
      <c r="J608" s="37" t="n"/>
      <c r="K608" s="32" t="n"/>
      <c r="L608" s="36" t="n"/>
      <c r="M608" s="41" t="n"/>
      <c r="N608" s="41" t="n"/>
      <c r="O608" s="36" t="n"/>
      <c r="P608" s="33">
        <f>IF(C608="","",Commercial_Id)</f>
        <v/>
      </c>
      <c r="Q608" s="39">
        <f>IF(F608="","",IFERROR(VALUE(MID(F608,LEN(F608)-3,3)),""))</f>
        <v/>
      </c>
      <c r="R608" s="33">
        <f>IF(Q608="","",P608&amp;"|"&amp;Q608)</f>
        <v/>
      </c>
      <c r="S608" s="33">
        <f>IF(Q608="","",IF(P608="À RENSEIGNER","GIC",P608)&amp;"-"&amp;TEXT(Q608,"000"))</f>
        <v/>
      </c>
      <c r="T608" s="33">
        <f>IF(R608="","",IFERROR(INDEX(Cl_nom,MATCH(R608,Cl_cle,0)),"(client introuvable)"))</f>
        <v/>
      </c>
      <c r="U608" s="33">
        <f>IF(R608="","",IFERROR(INDEX(Cl_quartier,MATCH(R608,Cl_cle,0))&amp;"",""))</f>
        <v/>
      </c>
      <c r="V608" s="34">
        <f>IF(C608="","",YEAR(C608-WEEKDAY(C608,2)+4)&amp;"-S"&amp;TEXT(INT((C608-DATE(YEAR(C608-WEEKDAY(C608,2)+4),1,3)+WEEKDAY(DATE(YEAR(C608-WEEKDAY(C608,2)+4),1,3),2)+5)/7),"00"))</f>
        <v/>
      </c>
    </row>
    <row r="609" ht="18" customHeight="1">
      <c r="A609" s="39" t="n">
        <v>604</v>
      </c>
      <c r="B609" s="33">
        <f>IF(C609="","",IF(P609="À RENSEIGNER","GIC",P609)&amp;"-V"&amp;TEXT(A609,"00000"))</f>
        <v/>
      </c>
      <c r="C609" s="32" t="n"/>
      <c r="D609" s="35" t="n"/>
      <c r="E609" s="36" t="n"/>
      <c r="F609" s="36" t="n"/>
      <c r="G609" s="36" t="n"/>
      <c r="H609" s="36" t="n"/>
      <c r="I609" s="36" t="n"/>
      <c r="J609" s="37" t="n"/>
      <c r="K609" s="32" t="n"/>
      <c r="L609" s="36" t="n"/>
      <c r="M609" s="41" t="n"/>
      <c r="N609" s="41" t="n"/>
      <c r="O609" s="36" t="n"/>
      <c r="P609" s="33">
        <f>IF(C609="","",Commercial_Id)</f>
        <v/>
      </c>
      <c r="Q609" s="39">
        <f>IF(F609="","",IFERROR(VALUE(MID(F609,LEN(F609)-3,3)),""))</f>
        <v/>
      </c>
      <c r="R609" s="33">
        <f>IF(Q609="","",P609&amp;"|"&amp;Q609)</f>
        <v/>
      </c>
      <c r="S609" s="33">
        <f>IF(Q609="","",IF(P609="À RENSEIGNER","GIC",P609)&amp;"-"&amp;TEXT(Q609,"000"))</f>
        <v/>
      </c>
      <c r="T609" s="33">
        <f>IF(R609="","",IFERROR(INDEX(Cl_nom,MATCH(R609,Cl_cle,0)),"(client introuvable)"))</f>
        <v/>
      </c>
      <c r="U609" s="33">
        <f>IF(R609="","",IFERROR(INDEX(Cl_quartier,MATCH(R609,Cl_cle,0))&amp;"",""))</f>
        <v/>
      </c>
      <c r="V609" s="34">
        <f>IF(C609="","",YEAR(C609-WEEKDAY(C609,2)+4)&amp;"-S"&amp;TEXT(INT((C609-DATE(YEAR(C609-WEEKDAY(C609,2)+4),1,3)+WEEKDAY(DATE(YEAR(C609-WEEKDAY(C609,2)+4),1,3),2)+5)/7),"00"))</f>
        <v/>
      </c>
    </row>
    <row r="610" ht="18" customHeight="1">
      <c r="A610" s="39" t="n">
        <v>605</v>
      </c>
      <c r="B610" s="33">
        <f>IF(C610="","",IF(P610="À RENSEIGNER","GIC",P610)&amp;"-V"&amp;TEXT(A610,"00000"))</f>
        <v/>
      </c>
      <c r="C610" s="32" t="n"/>
      <c r="D610" s="35" t="n"/>
      <c r="E610" s="36" t="n"/>
      <c r="F610" s="36" t="n"/>
      <c r="G610" s="36" t="n"/>
      <c r="H610" s="36" t="n"/>
      <c r="I610" s="36" t="n"/>
      <c r="J610" s="37" t="n"/>
      <c r="K610" s="32" t="n"/>
      <c r="L610" s="36" t="n"/>
      <c r="M610" s="41" t="n"/>
      <c r="N610" s="41" t="n"/>
      <c r="O610" s="36" t="n"/>
      <c r="P610" s="33">
        <f>IF(C610="","",Commercial_Id)</f>
        <v/>
      </c>
      <c r="Q610" s="39">
        <f>IF(F610="","",IFERROR(VALUE(MID(F610,LEN(F610)-3,3)),""))</f>
        <v/>
      </c>
      <c r="R610" s="33">
        <f>IF(Q610="","",P610&amp;"|"&amp;Q610)</f>
        <v/>
      </c>
      <c r="S610" s="33">
        <f>IF(Q610="","",IF(P610="À RENSEIGNER","GIC",P610)&amp;"-"&amp;TEXT(Q610,"000"))</f>
        <v/>
      </c>
      <c r="T610" s="33">
        <f>IF(R610="","",IFERROR(INDEX(Cl_nom,MATCH(R610,Cl_cle,0)),"(client introuvable)"))</f>
        <v/>
      </c>
      <c r="U610" s="33">
        <f>IF(R610="","",IFERROR(INDEX(Cl_quartier,MATCH(R610,Cl_cle,0))&amp;"",""))</f>
        <v/>
      </c>
      <c r="V610" s="34">
        <f>IF(C610="","",YEAR(C610-WEEKDAY(C610,2)+4)&amp;"-S"&amp;TEXT(INT((C610-DATE(YEAR(C610-WEEKDAY(C610,2)+4),1,3)+WEEKDAY(DATE(YEAR(C610-WEEKDAY(C610,2)+4),1,3),2)+5)/7),"00"))</f>
        <v/>
      </c>
    </row>
    <row r="611" ht="18" customHeight="1">
      <c r="A611" s="39" t="n">
        <v>606</v>
      </c>
      <c r="B611" s="33">
        <f>IF(C611="","",IF(P611="À RENSEIGNER","GIC",P611)&amp;"-V"&amp;TEXT(A611,"00000"))</f>
        <v/>
      </c>
      <c r="C611" s="32" t="n"/>
      <c r="D611" s="35" t="n"/>
      <c r="E611" s="36" t="n"/>
      <c r="F611" s="36" t="n"/>
      <c r="G611" s="36" t="n"/>
      <c r="H611" s="36" t="n"/>
      <c r="I611" s="36" t="n"/>
      <c r="J611" s="37" t="n"/>
      <c r="K611" s="32" t="n"/>
      <c r="L611" s="36" t="n"/>
      <c r="M611" s="41" t="n"/>
      <c r="N611" s="41" t="n"/>
      <c r="O611" s="36" t="n"/>
      <c r="P611" s="33">
        <f>IF(C611="","",Commercial_Id)</f>
        <v/>
      </c>
      <c r="Q611" s="39">
        <f>IF(F611="","",IFERROR(VALUE(MID(F611,LEN(F611)-3,3)),""))</f>
        <v/>
      </c>
      <c r="R611" s="33">
        <f>IF(Q611="","",P611&amp;"|"&amp;Q611)</f>
        <v/>
      </c>
      <c r="S611" s="33">
        <f>IF(Q611="","",IF(P611="À RENSEIGNER","GIC",P611)&amp;"-"&amp;TEXT(Q611,"000"))</f>
        <v/>
      </c>
      <c r="T611" s="33">
        <f>IF(R611="","",IFERROR(INDEX(Cl_nom,MATCH(R611,Cl_cle,0)),"(client introuvable)"))</f>
        <v/>
      </c>
      <c r="U611" s="33">
        <f>IF(R611="","",IFERROR(INDEX(Cl_quartier,MATCH(R611,Cl_cle,0))&amp;"",""))</f>
        <v/>
      </c>
      <c r="V611" s="34">
        <f>IF(C611="","",YEAR(C611-WEEKDAY(C611,2)+4)&amp;"-S"&amp;TEXT(INT((C611-DATE(YEAR(C611-WEEKDAY(C611,2)+4),1,3)+WEEKDAY(DATE(YEAR(C611-WEEKDAY(C611,2)+4),1,3),2)+5)/7),"00"))</f>
        <v/>
      </c>
    </row>
    <row r="612" ht="18" customHeight="1">
      <c r="A612" s="39" t="n">
        <v>607</v>
      </c>
      <c r="B612" s="33">
        <f>IF(C612="","",IF(P612="À RENSEIGNER","GIC",P612)&amp;"-V"&amp;TEXT(A612,"00000"))</f>
        <v/>
      </c>
      <c r="C612" s="32" t="n"/>
      <c r="D612" s="35" t="n"/>
      <c r="E612" s="36" t="n"/>
      <c r="F612" s="36" t="n"/>
      <c r="G612" s="36" t="n"/>
      <c r="H612" s="36" t="n"/>
      <c r="I612" s="36" t="n"/>
      <c r="J612" s="37" t="n"/>
      <c r="K612" s="32" t="n"/>
      <c r="L612" s="36" t="n"/>
      <c r="M612" s="41" t="n"/>
      <c r="N612" s="41" t="n"/>
      <c r="O612" s="36" t="n"/>
      <c r="P612" s="33">
        <f>IF(C612="","",Commercial_Id)</f>
        <v/>
      </c>
      <c r="Q612" s="39">
        <f>IF(F612="","",IFERROR(VALUE(MID(F612,LEN(F612)-3,3)),""))</f>
        <v/>
      </c>
      <c r="R612" s="33">
        <f>IF(Q612="","",P612&amp;"|"&amp;Q612)</f>
        <v/>
      </c>
      <c r="S612" s="33">
        <f>IF(Q612="","",IF(P612="À RENSEIGNER","GIC",P612)&amp;"-"&amp;TEXT(Q612,"000"))</f>
        <v/>
      </c>
      <c r="T612" s="33">
        <f>IF(R612="","",IFERROR(INDEX(Cl_nom,MATCH(R612,Cl_cle,0)),"(client introuvable)"))</f>
        <v/>
      </c>
      <c r="U612" s="33">
        <f>IF(R612="","",IFERROR(INDEX(Cl_quartier,MATCH(R612,Cl_cle,0))&amp;"",""))</f>
        <v/>
      </c>
      <c r="V612" s="34">
        <f>IF(C612="","",YEAR(C612-WEEKDAY(C612,2)+4)&amp;"-S"&amp;TEXT(INT((C612-DATE(YEAR(C612-WEEKDAY(C612,2)+4),1,3)+WEEKDAY(DATE(YEAR(C612-WEEKDAY(C612,2)+4),1,3),2)+5)/7),"00"))</f>
        <v/>
      </c>
    </row>
    <row r="613" ht="18" customHeight="1">
      <c r="A613" s="39" t="n">
        <v>608</v>
      </c>
      <c r="B613" s="33">
        <f>IF(C613="","",IF(P613="À RENSEIGNER","GIC",P613)&amp;"-V"&amp;TEXT(A613,"00000"))</f>
        <v/>
      </c>
      <c r="C613" s="32" t="n"/>
      <c r="D613" s="35" t="n"/>
      <c r="E613" s="36" t="n"/>
      <c r="F613" s="36" t="n"/>
      <c r="G613" s="36" t="n"/>
      <c r="H613" s="36" t="n"/>
      <c r="I613" s="36" t="n"/>
      <c r="J613" s="37" t="n"/>
      <c r="K613" s="32" t="n"/>
      <c r="L613" s="36" t="n"/>
      <c r="M613" s="41" t="n"/>
      <c r="N613" s="41" t="n"/>
      <c r="O613" s="36" t="n"/>
      <c r="P613" s="33">
        <f>IF(C613="","",Commercial_Id)</f>
        <v/>
      </c>
      <c r="Q613" s="39">
        <f>IF(F613="","",IFERROR(VALUE(MID(F613,LEN(F613)-3,3)),""))</f>
        <v/>
      </c>
      <c r="R613" s="33">
        <f>IF(Q613="","",P613&amp;"|"&amp;Q613)</f>
        <v/>
      </c>
      <c r="S613" s="33">
        <f>IF(Q613="","",IF(P613="À RENSEIGNER","GIC",P613)&amp;"-"&amp;TEXT(Q613,"000"))</f>
        <v/>
      </c>
      <c r="T613" s="33">
        <f>IF(R613="","",IFERROR(INDEX(Cl_nom,MATCH(R613,Cl_cle,0)),"(client introuvable)"))</f>
        <v/>
      </c>
      <c r="U613" s="33">
        <f>IF(R613="","",IFERROR(INDEX(Cl_quartier,MATCH(R613,Cl_cle,0))&amp;"",""))</f>
        <v/>
      </c>
      <c r="V613" s="34">
        <f>IF(C613="","",YEAR(C613-WEEKDAY(C613,2)+4)&amp;"-S"&amp;TEXT(INT((C613-DATE(YEAR(C613-WEEKDAY(C613,2)+4),1,3)+WEEKDAY(DATE(YEAR(C613-WEEKDAY(C613,2)+4),1,3),2)+5)/7),"00"))</f>
        <v/>
      </c>
    </row>
    <row r="614" ht="18" customHeight="1">
      <c r="A614" s="39" t="n">
        <v>609</v>
      </c>
      <c r="B614" s="33">
        <f>IF(C614="","",IF(P614="À RENSEIGNER","GIC",P614)&amp;"-V"&amp;TEXT(A614,"00000"))</f>
        <v/>
      </c>
      <c r="C614" s="32" t="n"/>
      <c r="D614" s="35" t="n"/>
      <c r="E614" s="36" t="n"/>
      <c r="F614" s="36" t="n"/>
      <c r="G614" s="36" t="n"/>
      <c r="H614" s="36" t="n"/>
      <c r="I614" s="36" t="n"/>
      <c r="J614" s="37" t="n"/>
      <c r="K614" s="32" t="n"/>
      <c r="L614" s="36" t="n"/>
      <c r="M614" s="41" t="n"/>
      <c r="N614" s="41" t="n"/>
      <c r="O614" s="36" t="n"/>
      <c r="P614" s="33">
        <f>IF(C614="","",Commercial_Id)</f>
        <v/>
      </c>
      <c r="Q614" s="39">
        <f>IF(F614="","",IFERROR(VALUE(MID(F614,LEN(F614)-3,3)),""))</f>
        <v/>
      </c>
      <c r="R614" s="33">
        <f>IF(Q614="","",P614&amp;"|"&amp;Q614)</f>
        <v/>
      </c>
      <c r="S614" s="33">
        <f>IF(Q614="","",IF(P614="À RENSEIGNER","GIC",P614)&amp;"-"&amp;TEXT(Q614,"000"))</f>
        <v/>
      </c>
      <c r="T614" s="33">
        <f>IF(R614="","",IFERROR(INDEX(Cl_nom,MATCH(R614,Cl_cle,0)),"(client introuvable)"))</f>
        <v/>
      </c>
      <c r="U614" s="33">
        <f>IF(R614="","",IFERROR(INDEX(Cl_quartier,MATCH(R614,Cl_cle,0))&amp;"",""))</f>
        <v/>
      </c>
      <c r="V614" s="34">
        <f>IF(C614="","",YEAR(C614-WEEKDAY(C614,2)+4)&amp;"-S"&amp;TEXT(INT((C614-DATE(YEAR(C614-WEEKDAY(C614,2)+4),1,3)+WEEKDAY(DATE(YEAR(C614-WEEKDAY(C614,2)+4),1,3),2)+5)/7),"00"))</f>
        <v/>
      </c>
    </row>
    <row r="615" ht="18" customHeight="1">
      <c r="A615" s="39" t="n">
        <v>610</v>
      </c>
      <c r="B615" s="33">
        <f>IF(C615="","",IF(P615="À RENSEIGNER","GIC",P615)&amp;"-V"&amp;TEXT(A615,"00000"))</f>
        <v/>
      </c>
      <c r="C615" s="32" t="n"/>
      <c r="D615" s="35" t="n"/>
      <c r="E615" s="36" t="n"/>
      <c r="F615" s="36" t="n"/>
      <c r="G615" s="36" t="n"/>
      <c r="H615" s="36" t="n"/>
      <c r="I615" s="36" t="n"/>
      <c r="J615" s="37" t="n"/>
      <c r="K615" s="32" t="n"/>
      <c r="L615" s="36" t="n"/>
      <c r="M615" s="41" t="n"/>
      <c r="N615" s="41" t="n"/>
      <c r="O615" s="36" t="n"/>
      <c r="P615" s="33">
        <f>IF(C615="","",Commercial_Id)</f>
        <v/>
      </c>
      <c r="Q615" s="39">
        <f>IF(F615="","",IFERROR(VALUE(MID(F615,LEN(F615)-3,3)),""))</f>
        <v/>
      </c>
      <c r="R615" s="33">
        <f>IF(Q615="","",P615&amp;"|"&amp;Q615)</f>
        <v/>
      </c>
      <c r="S615" s="33">
        <f>IF(Q615="","",IF(P615="À RENSEIGNER","GIC",P615)&amp;"-"&amp;TEXT(Q615,"000"))</f>
        <v/>
      </c>
      <c r="T615" s="33">
        <f>IF(R615="","",IFERROR(INDEX(Cl_nom,MATCH(R615,Cl_cle,0)),"(client introuvable)"))</f>
        <v/>
      </c>
      <c r="U615" s="33">
        <f>IF(R615="","",IFERROR(INDEX(Cl_quartier,MATCH(R615,Cl_cle,0))&amp;"",""))</f>
        <v/>
      </c>
      <c r="V615" s="34">
        <f>IF(C615="","",YEAR(C615-WEEKDAY(C615,2)+4)&amp;"-S"&amp;TEXT(INT((C615-DATE(YEAR(C615-WEEKDAY(C615,2)+4),1,3)+WEEKDAY(DATE(YEAR(C615-WEEKDAY(C615,2)+4),1,3),2)+5)/7),"00"))</f>
        <v/>
      </c>
    </row>
    <row r="616" ht="18" customHeight="1">
      <c r="A616" s="39" t="n">
        <v>611</v>
      </c>
      <c r="B616" s="33">
        <f>IF(C616="","",IF(P616="À RENSEIGNER","GIC",P616)&amp;"-V"&amp;TEXT(A616,"00000"))</f>
        <v/>
      </c>
      <c r="C616" s="32" t="n"/>
      <c r="D616" s="35" t="n"/>
      <c r="E616" s="36" t="n"/>
      <c r="F616" s="36" t="n"/>
      <c r="G616" s="36" t="n"/>
      <c r="H616" s="36" t="n"/>
      <c r="I616" s="36" t="n"/>
      <c r="J616" s="37" t="n"/>
      <c r="K616" s="32" t="n"/>
      <c r="L616" s="36" t="n"/>
      <c r="M616" s="41" t="n"/>
      <c r="N616" s="41" t="n"/>
      <c r="O616" s="36" t="n"/>
      <c r="P616" s="33">
        <f>IF(C616="","",Commercial_Id)</f>
        <v/>
      </c>
      <c r="Q616" s="39">
        <f>IF(F616="","",IFERROR(VALUE(MID(F616,LEN(F616)-3,3)),""))</f>
        <v/>
      </c>
      <c r="R616" s="33">
        <f>IF(Q616="","",P616&amp;"|"&amp;Q616)</f>
        <v/>
      </c>
      <c r="S616" s="33">
        <f>IF(Q616="","",IF(P616="À RENSEIGNER","GIC",P616)&amp;"-"&amp;TEXT(Q616,"000"))</f>
        <v/>
      </c>
      <c r="T616" s="33">
        <f>IF(R616="","",IFERROR(INDEX(Cl_nom,MATCH(R616,Cl_cle,0)),"(client introuvable)"))</f>
        <v/>
      </c>
      <c r="U616" s="33">
        <f>IF(R616="","",IFERROR(INDEX(Cl_quartier,MATCH(R616,Cl_cle,0))&amp;"",""))</f>
        <v/>
      </c>
      <c r="V616" s="34">
        <f>IF(C616="","",YEAR(C616-WEEKDAY(C616,2)+4)&amp;"-S"&amp;TEXT(INT((C616-DATE(YEAR(C616-WEEKDAY(C616,2)+4),1,3)+WEEKDAY(DATE(YEAR(C616-WEEKDAY(C616,2)+4),1,3),2)+5)/7),"00"))</f>
        <v/>
      </c>
    </row>
    <row r="617" ht="18" customHeight="1">
      <c r="A617" s="39" t="n">
        <v>612</v>
      </c>
      <c r="B617" s="33">
        <f>IF(C617="","",IF(P617="À RENSEIGNER","GIC",P617)&amp;"-V"&amp;TEXT(A617,"00000"))</f>
        <v/>
      </c>
      <c r="C617" s="32" t="n"/>
      <c r="D617" s="35" t="n"/>
      <c r="E617" s="36" t="n"/>
      <c r="F617" s="36" t="n"/>
      <c r="G617" s="36" t="n"/>
      <c r="H617" s="36" t="n"/>
      <c r="I617" s="36" t="n"/>
      <c r="J617" s="37" t="n"/>
      <c r="K617" s="32" t="n"/>
      <c r="L617" s="36" t="n"/>
      <c r="M617" s="41" t="n"/>
      <c r="N617" s="41" t="n"/>
      <c r="O617" s="36" t="n"/>
      <c r="P617" s="33">
        <f>IF(C617="","",Commercial_Id)</f>
        <v/>
      </c>
      <c r="Q617" s="39">
        <f>IF(F617="","",IFERROR(VALUE(MID(F617,LEN(F617)-3,3)),""))</f>
        <v/>
      </c>
      <c r="R617" s="33">
        <f>IF(Q617="","",P617&amp;"|"&amp;Q617)</f>
        <v/>
      </c>
      <c r="S617" s="33">
        <f>IF(Q617="","",IF(P617="À RENSEIGNER","GIC",P617)&amp;"-"&amp;TEXT(Q617,"000"))</f>
        <v/>
      </c>
      <c r="T617" s="33">
        <f>IF(R617="","",IFERROR(INDEX(Cl_nom,MATCH(R617,Cl_cle,0)),"(client introuvable)"))</f>
        <v/>
      </c>
      <c r="U617" s="33">
        <f>IF(R617="","",IFERROR(INDEX(Cl_quartier,MATCH(R617,Cl_cle,0))&amp;"",""))</f>
        <v/>
      </c>
      <c r="V617" s="34">
        <f>IF(C617="","",YEAR(C617-WEEKDAY(C617,2)+4)&amp;"-S"&amp;TEXT(INT((C617-DATE(YEAR(C617-WEEKDAY(C617,2)+4),1,3)+WEEKDAY(DATE(YEAR(C617-WEEKDAY(C617,2)+4),1,3),2)+5)/7),"00"))</f>
        <v/>
      </c>
    </row>
    <row r="618" ht="18" customHeight="1">
      <c r="A618" s="39" t="n">
        <v>613</v>
      </c>
      <c r="B618" s="33">
        <f>IF(C618="","",IF(P618="À RENSEIGNER","GIC",P618)&amp;"-V"&amp;TEXT(A618,"00000"))</f>
        <v/>
      </c>
      <c r="C618" s="32" t="n"/>
      <c r="D618" s="35" t="n"/>
      <c r="E618" s="36" t="n"/>
      <c r="F618" s="36" t="n"/>
      <c r="G618" s="36" t="n"/>
      <c r="H618" s="36" t="n"/>
      <c r="I618" s="36" t="n"/>
      <c r="J618" s="37" t="n"/>
      <c r="K618" s="32" t="n"/>
      <c r="L618" s="36" t="n"/>
      <c r="M618" s="41" t="n"/>
      <c r="N618" s="41" t="n"/>
      <c r="O618" s="36" t="n"/>
      <c r="P618" s="33">
        <f>IF(C618="","",Commercial_Id)</f>
        <v/>
      </c>
      <c r="Q618" s="39">
        <f>IF(F618="","",IFERROR(VALUE(MID(F618,LEN(F618)-3,3)),""))</f>
        <v/>
      </c>
      <c r="R618" s="33">
        <f>IF(Q618="","",P618&amp;"|"&amp;Q618)</f>
        <v/>
      </c>
      <c r="S618" s="33">
        <f>IF(Q618="","",IF(P618="À RENSEIGNER","GIC",P618)&amp;"-"&amp;TEXT(Q618,"000"))</f>
        <v/>
      </c>
      <c r="T618" s="33">
        <f>IF(R618="","",IFERROR(INDEX(Cl_nom,MATCH(R618,Cl_cle,0)),"(client introuvable)"))</f>
        <v/>
      </c>
      <c r="U618" s="33">
        <f>IF(R618="","",IFERROR(INDEX(Cl_quartier,MATCH(R618,Cl_cle,0))&amp;"",""))</f>
        <v/>
      </c>
      <c r="V618" s="34">
        <f>IF(C618="","",YEAR(C618-WEEKDAY(C618,2)+4)&amp;"-S"&amp;TEXT(INT((C618-DATE(YEAR(C618-WEEKDAY(C618,2)+4),1,3)+WEEKDAY(DATE(YEAR(C618-WEEKDAY(C618,2)+4),1,3),2)+5)/7),"00"))</f>
        <v/>
      </c>
    </row>
    <row r="619" ht="18" customHeight="1">
      <c r="A619" s="39" t="n">
        <v>614</v>
      </c>
      <c r="B619" s="33">
        <f>IF(C619="","",IF(P619="À RENSEIGNER","GIC",P619)&amp;"-V"&amp;TEXT(A619,"00000"))</f>
        <v/>
      </c>
      <c r="C619" s="32" t="n"/>
      <c r="D619" s="35" t="n"/>
      <c r="E619" s="36" t="n"/>
      <c r="F619" s="36" t="n"/>
      <c r="G619" s="36" t="n"/>
      <c r="H619" s="36" t="n"/>
      <c r="I619" s="36" t="n"/>
      <c r="J619" s="37" t="n"/>
      <c r="K619" s="32" t="n"/>
      <c r="L619" s="36" t="n"/>
      <c r="M619" s="41" t="n"/>
      <c r="N619" s="41" t="n"/>
      <c r="O619" s="36" t="n"/>
      <c r="P619" s="33">
        <f>IF(C619="","",Commercial_Id)</f>
        <v/>
      </c>
      <c r="Q619" s="39">
        <f>IF(F619="","",IFERROR(VALUE(MID(F619,LEN(F619)-3,3)),""))</f>
        <v/>
      </c>
      <c r="R619" s="33">
        <f>IF(Q619="","",P619&amp;"|"&amp;Q619)</f>
        <v/>
      </c>
      <c r="S619" s="33">
        <f>IF(Q619="","",IF(P619="À RENSEIGNER","GIC",P619)&amp;"-"&amp;TEXT(Q619,"000"))</f>
        <v/>
      </c>
      <c r="T619" s="33">
        <f>IF(R619="","",IFERROR(INDEX(Cl_nom,MATCH(R619,Cl_cle,0)),"(client introuvable)"))</f>
        <v/>
      </c>
      <c r="U619" s="33">
        <f>IF(R619="","",IFERROR(INDEX(Cl_quartier,MATCH(R619,Cl_cle,0))&amp;"",""))</f>
        <v/>
      </c>
      <c r="V619" s="34">
        <f>IF(C619="","",YEAR(C619-WEEKDAY(C619,2)+4)&amp;"-S"&amp;TEXT(INT((C619-DATE(YEAR(C619-WEEKDAY(C619,2)+4),1,3)+WEEKDAY(DATE(YEAR(C619-WEEKDAY(C619,2)+4),1,3),2)+5)/7),"00"))</f>
        <v/>
      </c>
    </row>
    <row r="620" ht="18" customHeight="1">
      <c r="A620" s="39" t="n">
        <v>615</v>
      </c>
      <c r="B620" s="33">
        <f>IF(C620="","",IF(P620="À RENSEIGNER","GIC",P620)&amp;"-V"&amp;TEXT(A620,"00000"))</f>
        <v/>
      </c>
      <c r="C620" s="32" t="n"/>
      <c r="D620" s="35" t="n"/>
      <c r="E620" s="36" t="n"/>
      <c r="F620" s="36" t="n"/>
      <c r="G620" s="36" t="n"/>
      <c r="H620" s="36" t="n"/>
      <c r="I620" s="36" t="n"/>
      <c r="J620" s="37" t="n"/>
      <c r="K620" s="32" t="n"/>
      <c r="L620" s="36" t="n"/>
      <c r="M620" s="41" t="n"/>
      <c r="N620" s="41" t="n"/>
      <c r="O620" s="36" t="n"/>
      <c r="P620" s="33">
        <f>IF(C620="","",Commercial_Id)</f>
        <v/>
      </c>
      <c r="Q620" s="39">
        <f>IF(F620="","",IFERROR(VALUE(MID(F620,LEN(F620)-3,3)),""))</f>
        <v/>
      </c>
      <c r="R620" s="33">
        <f>IF(Q620="","",P620&amp;"|"&amp;Q620)</f>
        <v/>
      </c>
      <c r="S620" s="33">
        <f>IF(Q620="","",IF(P620="À RENSEIGNER","GIC",P620)&amp;"-"&amp;TEXT(Q620,"000"))</f>
        <v/>
      </c>
      <c r="T620" s="33">
        <f>IF(R620="","",IFERROR(INDEX(Cl_nom,MATCH(R620,Cl_cle,0)),"(client introuvable)"))</f>
        <v/>
      </c>
      <c r="U620" s="33">
        <f>IF(R620="","",IFERROR(INDEX(Cl_quartier,MATCH(R620,Cl_cle,0))&amp;"",""))</f>
        <v/>
      </c>
      <c r="V620" s="34">
        <f>IF(C620="","",YEAR(C620-WEEKDAY(C620,2)+4)&amp;"-S"&amp;TEXT(INT((C620-DATE(YEAR(C620-WEEKDAY(C620,2)+4),1,3)+WEEKDAY(DATE(YEAR(C620-WEEKDAY(C620,2)+4),1,3),2)+5)/7),"00"))</f>
        <v/>
      </c>
    </row>
    <row r="621" ht="18" customHeight="1">
      <c r="A621" s="39" t="n">
        <v>616</v>
      </c>
      <c r="B621" s="33">
        <f>IF(C621="","",IF(P621="À RENSEIGNER","GIC",P621)&amp;"-V"&amp;TEXT(A621,"00000"))</f>
        <v/>
      </c>
      <c r="C621" s="32" t="n"/>
      <c r="D621" s="35" t="n"/>
      <c r="E621" s="36" t="n"/>
      <c r="F621" s="36" t="n"/>
      <c r="G621" s="36" t="n"/>
      <c r="H621" s="36" t="n"/>
      <c r="I621" s="36" t="n"/>
      <c r="J621" s="37" t="n"/>
      <c r="K621" s="32" t="n"/>
      <c r="L621" s="36" t="n"/>
      <c r="M621" s="41" t="n"/>
      <c r="N621" s="41" t="n"/>
      <c r="O621" s="36" t="n"/>
      <c r="P621" s="33">
        <f>IF(C621="","",Commercial_Id)</f>
        <v/>
      </c>
      <c r="Q621" s="39">
        <f>IF(F621="","",IFERROR(VALUE(MID(F621,LEN(F621)-3,3)),""))</f>
        <v/>
      </c>
      <c r="R621" s="33">
        <f>IF(Q621="","",P621&amp;"|"&amp;Q621)</f>
        <v/>
      </c>
      <c r="S621" s="33">
        <f>IF(Q621="","",IF(P621="À RENSEIGNER","GIC",P621)&amp;"-"&amp;TEXT(Q621,"000"))</f>
        <v/>
      </c>
      <c r="T621" s="33">
        <f>IF(R621="","",IFERROR(INDEX(Cl_nom,MATCH(R621,Cl_cle,0)),"(client introuvable)"))</f>
        <v/>
      </c>
      <c r="U621" s="33">
        <f>IF(R621="","",IFERROR(INDEX(Cl_quartier,MATCH(R621,Cl_cle,0))&amp;"",""))</f>
        <v/>
      </c>
      <c r="V621" s="34">
        <f>IF(C621="","",YEAR(C621-WEEKDAY(C621,2)+4)&amp;"-S"&amp;TEXT(INT((C621-DATE(YEAR(C621-WEEKDAY(C621,2)+4),1,3)+WEEKDAY(DATE(YEAR(C621-WEEKDAY(C621,2)+4),1,3),2)+5)/7),"00"))</f>
        <v/>
      </c>
    </row>
    <row r="622" ht="18" customHeight="1">
      <c r="A622" s="39" t="n">
        <v>617</v>
      </c>
      <c r="B622" s="33">
        <f>IF(C622="","",IF(P622="À RENSEIGNER","GIC",P622)&amp;"-V"&amp;TEXT(A622,"00000"))</f>
        <v/>
      </c>
      <c r="C622" s="32" t="n"/>
      <c r="D622" s="35" t="n"/>
      <c r="E622" s="36" t="n"/>
      <c r="F622" s="36" t="n"/>
      <c r="G622" s="36" t="n"/>
      <c r="H622" s="36" t="n"/>
      <c r="I622" s="36" t="n"/>
      <c r="J622" s="37" t="n"/>
      <c r="K622" s="32" t="n"/>
      <c r="L622" s="36" t="n"/>
      <c r="M622" s="41" t="n"/>
      <c r="N622" s="41" t="n"/>
      <c r="O622" s="36" t="n"/>
      <c r="P622" s="33">
        <f>IF(C622="","",Commercial_Id)</f>
        <v/>
      </c>
      <c r="Q622" s="39">
        <f>IF(F622="","",IFERROR(VALUE(MID(F622,LEN(F622)-3,3)),""))</f>
        <v/>
      </c>
      <c r="R622" s="33">
        <f>IF(Q622="","",P622&amp;"|"&amp;Q622)</f>
        <v/>
      </c>
      <c r="S622" s="33">
        <f>IF(Q622="","",IF(P622="À RENSEIGNER","GIC",P622)&amp;"-"&amp;TEXT(Q622,"000"))</f>
        <v/>
      </c>
      <c r="T622" s="33">
        <f>IF(R622="","",IFERROR(INDEX(Cl_nom,MATCH(R622,Cl_cle,0)),"(client introuvable)"))</f>
        <v/>
      </c>
      <c r="U622" s="33">
        <f>IF(R622="","",IFERROR(INDEX(Cl_quartier,MATCH(R622,Cl_cle,0))&amp;"",""))</f>
        <v/>
      </c>
      <c r="V622" s="34">
        <f>IF(C622="","",YEAR(C622-WEEKDAY(C622,2)+4)&amp;"-S"&amp;TEXT(INT((C622-DATE(YEAR(C622-WEEKDAY(C622,2)+4),1,3)+WEEKDAY(DATE(YEAR(C622-WEEKDAY(C622,2)+4),1,3),2)+5)/7),"00"))</f>
        <v/>
      </c>
    </row>
    <row r="623" ht="18" customHeight="1">
      <c r="A623" s="39" t="n">
        <v>618</v>
      </c>
      <c r="B623" s="33">
        <f>IF(C623="","",IF(P623="À RENSEIGNER","GIC",P623)&amp;"-V"&amp;TEXT(A623,"00000"))</f>
        <v/>
      </c>
      <c r="C623" s="32" t="n"/>
      <c r="D623" s="35" t="n"/>
      <c r="E623" s="36" t="n"/>
      <c r="F623" s="36" t="n"/>
      <c r="G623" s="36" t="n"/>
      <c r="H623" s="36" t="n"/>
      <c r="I623" s="36" t="n"/>
      <c r="J623" s="37" t="n"/>
      <c r="K623" s="32" t="n"/>
      <c r="L623" s="36" t="n"/>
      <c r="M623" s="41" t="n"/>
      <c r="N623" s="41" t="n"/>
      <c r="O623" s="36" t="n"/>
      <c r="P623" s="33">
        <f>IF(C623="","",Commercial_Id)</f>
        <v/>
      </c>
      <c r="Q623" s="39">
        <f>IF(F623="","",IFERROR(VALUE(MID(F623,LEN(F623)-3,3)),""))</f>
        <v/>
      </c>
      <c r="R623" s="33">
        <f>IF(Q623="","",P623&amp;"|"&amp;Q623)</f>
        <v/>
      </c>
      <c r="S623" s="33">
        <f>IF(Q623="","",IF(P623="À RENSEIGNER","GIC",P623)&amp;"-"&amp;TEXT(Q623,"000"))</f>
        <v/>
      </c>
      <c r="T623" s="33">
        <f>IF(R623="","",IFERROR(INDEX(Cl_nom,MATCH(R623,Cl_cle,0)),"(client introuvable)"))</f>
        <v/>
      </c>
      <c r="U623" s="33">
        <f>IF(R623="","",IFERROR(INDEX(Cl_quartier,MATCH(R623,Cl_cle,0))&amp;"",""))</f>
        <v/>
      </c>
      <c r="V623" s="34">
        <f>IF(C623="","",YEAR(C623-WEEKDAY(C623,2)+4)&amp;"-S"&amp;TEXT(INT((C623-DATE(YEAR(C623-WEEKDAY(C623,2)+4),1,3)+WEEKDAY(DATE(YEAR(C623-WEEKDAY(C623,2)+4),1,3),2)+5)/7),"00"))</f>
        <v/>
      </c>
    </row>
    <row r="624" ht="18" customHeight="1">
      <c r="A624" s="39" t="n">
        <v>619</v>
      </c>
      <c r="B624" s="33">
        <f>IF(C624="","",IF(P624="À RENSEIGNER","GIC",P624)&amp;"-V"&amp;TEXT(A624,"00000"))</f>
        <v/>
      </c>
      <c r="C624" s="32" t="n"/>
      <c r="D624" s="35" t="n"/>
      <c r="E624" s="36" t="n"/>
      <c r="F624" s="36" t="n"/>
      <c r="G624" s="36" t="n"/>
      <c r="H624" s="36" t="n"/>
      <c r="I624" s="36" t="n"/>
      <c r="J624" s="37" t="n"/>
      <c r="K624" s="32" t="n"/>
      <c r="L624" s="36" t="n"/>
      <c r="M624" s="41" t="n"/>
      <c r="N624" s="41" t="n"/>
      <c r="O624" s="36" t="n"/>
      <c r="P624" s="33">
        <f>IF(C624="","",Commercial_Id)</f>
        <v/>
      </c>
      <c r="Q624" s="39">
        <f>IF(F624="","",IFERROR(VALUE(MID(F624,LEN(F624)-3,3)),""))</f>
        <v/>
      </c>
      <c r="R624" s="33">
        <f>IF(Q624="","",P624&amp;"|"&amp;Q624)</f>
        <v/>
      </c>
      <c r="S624" s="33">
        <f>IF(Q624="","",IF(P624="À RENSEIGNER","GIC",P624)&amp;"-"&amp;TEXT(Q624,"000"))</f>
        <v/>
      </c>
      <c r="T624" s="33">
        <f>IF(R624="","",IFERROR(INDEX(Cl_nom,MATCH(R624,Cl_cle,0)),"(client introuvable)"))</f>
        <v/>
      </c>
      <c r="U624" s="33">
        <f>IF(R624="","",IFERROR(INDEX(Cl_quartier,MATCH(R624,Cl_cle,0))&amp;"",""))</f>
        <v/>
      </c>
      <c r="V624" s="34">
        <f>IF(C624="","",YEAR(C624-WEEKDAY(C624,2)+4)&amp;"-S"&amp;TEXT(INT((C624-DATE(YEAR(C624-WEEKDAY(C624,2)+4),1,3)+WEEKDAY(DATE(YEAR(C624-WEEKDAY(C624,2)+4),1,3),2)+5)/7),"00"))</f>
        <v/>
      </c>
    </row>
    <row r="625" ht="18" customHeight="1">
      <c r="A625" s="39" t="n">
        <v>620</v>
      </c>
      <c r="B625" s="33">
        <f>IF(C625="","",IF(P625="À RENSEIGNER","GIC",P625)&amp;"-V"&amp;TEXT(A625,"00000"))</f>
        <v/>
      </c>
      <c r="C625" s="32" t="n"/>
      <c r="D625" s="35" t="n"/>
      <c r="E625" s="36" t="n"/>
      <c r="F625" s="36" t="n"/>
      <c r="G625" s="36" t="n"/>
      <c r="H625" s="36" t="n"/>
      <c r="I625" s="36" t="n"/>
      <c r="J625" s="37" t="n"/>
      <c r="K625" s="32" t="n"/>
      <c r="L625" s="36" t="n"/>
      <c r="M625" s="41" t="n"/>
      <c r="N625" s="41" t="n"/>
      <c r="O625" s="36" t="n"/>
      <c r="P625" s="33">
        <f>IF(C625="","",Commercial_Id)</f>
        <v/>
      </c>
      <c r="Q625" s="39">
        <f>IF(F625="","",IFERROR(VALUE(MID(F625,LEN(F625)-3,3)),""))</f>
        <v/>
      </c>
      <c r="R625" s="33">
        <f>IF(Q625="","",P625&amp;"|"&amp;Q625)</f>
        <v/>
      </c>
      <c r="S625" s="33">
        <f>IF(Q625="","",IF(P625="À RENSEIGNER","GIC",P625)&amp;"-"&amp;TEXT(Q625,"000"))</f>
        <v/>
      </c>
      <c r="T625" s="33">
        <f>IF(R625="","",IFERROR(INDEX(Cl_nom,MATCH(R625,Cl_cle,0)),"(client introuvable)"))</f>
        <v/>
      </c>
      <c r="U625" s="33">
        <f>IF(R625="","",IFERROR(INDEX(Cl_quartier,MATCH(R625,Cl_cle,0))&amp;"",""))</f>
        <v/>
      </c>
      <c r="V625" s="34">
        <f>IF(C625="","",YEAR(C625-WEEKDAY(C625,2)+4)&amp;"-S"&amp;TEXT(INT((C625-DATE(YEAR(C625-WEEKDAY(C625,2)+4),1,3)+WEEKDAY(DATE(YEAR(C625-WEEKDAY(C625,2)+4),1,3),2)+5)/7),"00"))</f>
        <v/>
      </c>
    </row>
    <row r="626" ht="18" customHeight="1">
      <c r="A626" s="39" t="n">
        <v>621</v>
      </c>
      <c r="B626" s="33">
        <f>IF(C626="","",IF(P626="À RENSEIGNER","GIC",P626)&amp;"-V"&amp;TEXT(A626,"00000"))</f>
        <v/>
      </c>
      <c r="C626" s="32" t="n"/>
      <c r="D626" s="35" t="n"/>
      <c r="E626" s="36" t="n"/>
      <c r="F626" s="36" t="n"/>
      <c r="G626" s="36" t="n"/>
      <c r="H626" s="36" t="n"/>
      <c r="I626" s="36" t="n"/>
      <c r="J626" s="37" t="n"/>
      <c r="K626" s="32" t="n"/>
      <c r="L626" s="36" t="n"/>
      <c r="M626" s="41" t="n"/>
      <c r="N626" s="41" t="n"/>
      <c r="O626" s="36" t="n"/>
      <c r="P626" s="33">
        <f>IF(C626="","",Commercial_Id)</f>
        <v/>
      </c>
      <c r="Q626" s="39">
        <f>IF(F626="","",IFERROR(VALUE(MID(F626,LEN(F626)-3,3)),""))</f>
        <v/>
      </c>
      <c r="R626" s="33">
        <f>IF(Q626="","",P626&amp;"|"&amp;Q626)</f>
        <v/>
      </c>
      <c r="S626" s="33">
        <f>IF(Q626="","",IF(P626="À RENSEIGNER","GIC",P626)&amp;"-"&amp;TEXT(Q626,"000"))</f>
        <v/>
      </c>
      <c r="T626" s="33">
        <f>IF(R626="","",IFERROR(INDEX(Cl_nom,MATCH(R626,Cl_cle,0)),"(client introuvable)"))</f>
        <v/>
      </c>
      <c r="U626" s="33">
        <f>IF(R626="","",IFERROR(INDEX(Cl_quartier,MATCH(R626,Cl_cle,0))&amp;"",""))</f>
        <v/>
      </c>
      <c r="V626" s="34">
        <f>IF(C626="","",YEAR(C626-WEEKDAY(C626,2)+4)&amp;"-S"&amp;TEXT(INT((C626-DATE(YEAR(C626-WEEKDAY(C626,2)+4),1,3)+WEEKDAY(DATE(YEAR(C626-WEEKDAY(C626,2)+4),1,3),2)+5)/7),"00"))</f>
        <v/>
      </c>
    </row>
    <row r="627" ht="18" customHeight="1">
      <c r="A627" s="39" t="n">
        <v>622</v>
      </c>
      <c r="B627" s="33">
        <f>IF(C627="","",IF(P627="À RENSEIGNER","GIC",P627)&amp;"-V"&amp;TEXT(A627,"00000"))</f>
        <v/>
      </c>
      <c r="C627" s="32" t="n"/>
      <c r="D627" s="35" t="n"/>
      <c r="E627" s="36" t="n"/>
      <c r="F627" s="36" t="n"/>
      <c r="G627" s="36" t="n"/>
      <c r="H627" s="36" t="n"/>
      <c r="I627" s="36" t="n"/>
      <c r="J627" s="37" t="n"/>
      <c r="K627" s="32" t="n"/>
      <c r="L627" s="36" t="n"/>
      <c r="M627" s="41" t="n"/>
      <c r="N627" s="41" t="n"/>
      <c r="O627" s="36" t="n"/>
      <c r="P627" s="33">
        <f>IF(C627="","",Commercial_Id)</f>
        <v/>
      </c>
      <c r="Q627" s="39">
        <f>IF(F627="","",IFERROR(VALUE(MID(F627,LEN(F627)-3,3)),""))</f>
        <v/>
      </c>
      <c r="R627" s="33">
        <f>IF(Q627="","",P627&amp;"|"&amp;Q627)</f>
        <v/>
      </c>
      <c r="S627" s="33">
        <f>IF(Q627="","",IF(P627="À RENSEIGNER","GIC",P627)&amp;"-"&amp;TEXT(Q627,"000"))</f>
        <v/>
      </c>
      <c r="T627" s="33">
        <f>IF(R627="","",IFERROR(INDEX(Cl_nom,MATCH(R627,Cl_cle,0)),"(client introuvable)"))</f>
        <v/>
      </c>
      <c r="U627" s="33">
        <f>IF(R627="","",IFERROR(INDEX(Cl_quartier,MATCH(R627,Cl_cle,0))&amp;"",""))</f>
        <v/>
      </c>
      <c r="V627" s="34">
        <f>IF(C627="","",YEAR(C627-WEEKDAY(C627,2)+4)&amp;"-S"&amp;TEXT(INT((C627-DATE(YEAR(C627-WEEKDAY(C627,2)+4),1,3)+WEEKDAY(DATE(YEAR(C627-WEEKDAY(C627,2)+4),1,3),2)+5)/7),"00"))</f>
        <v/>
      </c>
    </row>
    <row r="628" ht="18" customHeight="1">
      <c r="A628" s="39" t="n">
        <v>623</v>
      </c>
      <c r="B628" s="33">
        <f>IF(C628="","",IF(P628="À RENSEIGNER","GIC",P628)&amp;"-V"&amp;TEXT(A628,"00000"))</f>
        <v/>
      </c>
      <c r="C628" s="32" t="n"/>
      <c r="D628" s="35" t="n"/>
      <c r="E628" s="36" t="n"/>
      <c r="F628" s="36" t="n"/>
      <c r="G628" s="36" t="n"/>
      <c r="H628" s="36" t="n"/>
      <c r="I628" s="36" t="n"/>
      <c r="J628" s="37" t="n"/>
      <c r="K628" s="32" t="n"/>
      <c r="L628" s="36" t="n"/>
      <c r="M628" s="41" t="n"/>
      <c r="N628" s="41" t="n"/>
      <c r="O628" s="36" t="n"/>
      <c r="P628" s="33">
        <f>IF(C628="","",Commercial_Id)</f>
        <v/>
      </c>
      <c r="Q628" s="39">
        <f>IF(F628="","",IFERROR(VALUE(MID(F628,LEN(F628)-3,3)),""))</f>
        <v/>
      </c>
      <c r="R628" s="33">
        <f>IF(Q628="","",P628&amp;"|"&amp;Q628)</f>
        <v/>
      </c>
      <c r="S628" s="33">
        <f>IF(Q628="","",IF(P628="À RENSEIGNER","GIC",P628)&amp;"-"&amp;TEXT(Q628,"000"))</f>
        <v/>
      </c>
      <c r="T628" s="33">
        <f>IF(R628="","",IFERROR(INDEX(Cl_nom,MATCH(R628,Cl_cle,0)),"(client introuvable)"))</f>
        <v/>
      </c>
      <c r="U628" s="33">
        <f>IF(R628="","",IFERROR(INDEX(Cl_quartier,MATCH(R628,Cl_cle,0))&amp;"",""))</f>
        <v/>
      </c>
      <c r="V628" s="34">
        <f>IF(C628="","",YEAR(C628-WEEKDAY(C628,2)+4)&amp;"-S"&amp;TEXT(INT((C628-DATE(YEAR(C628-WEEKDAY(C628,2)+4),1,3)+WEEKDAY(DATE(YEAR(C628-WEEKDAY(C628,2)+4),1,3),2)+5)/7),"00"))</f>
        <v/>
      </c>
    </row>
    <row r="629" ht="18" customHeight="1">
      <c r="A629" s="39" t="n">
        <v>624</v>
      </c>
      <c r="B629" s="33">
        <f>IF(C629="","",IF(P629="À RENSEIGNER","GIC",P629)&amp;"-V"&amp;TEXT(A629,"00000"))</f>
        <v/>
      </c>
      <c r="C629" s="32" t="n"/>
      <c r="D629" s="35" t="n"/>
      <c r="E629" s="36" t="n"/>
      <c r="F629" s="36" t="n"/>
      <c r="G629" s="36" t="n"/>
      <c r="H629" s="36" t="n"/>
      <c r="I629" s="36" t="n"/>
      <c r="J629" s="37" t="n"/>
      <c r="K629" s="32" t="n"/>
      <c r="L629" s="36" t="n"/>
      <c r="M629" s="41" t="n"/>
      <c r="N629" s="41" t="n"/>
      <c r="O629" s="36" t="n"/>
      <c r="P629" s="33">
        <f>IF(C629="","",Commercial_Id)</f>
        <v/>
      </c>
      <c r="Q629" s="39">
        <f>IF(F629="","",IFERROR(VALUE(MID(F629,LEN(F629)-3,3)),""))</f>
        <v/>
      </c>
      <c r="R629" s="33">
        <f>IF(Q629="","",P629&amp;"|"&amp;Q629)</f>
        <v/>
      </c>
      <c r="S629" s="33">
        <f>IF(Q629="","",IF(P629="À RENSEIGNER","GIC",P629)&amp;"-"&amp;TEXT(Q629,"000"))</f>
        <v/>
      </c>
      <c r="T629" s="33">
        <f>IF(R629="","",IFERROR(INDEX(Cl_nom,MATCH(R629,Cl_cle,0)),"(client introuvable)"))</f>
        <v/>
      </c>
      <c r="U629" s="33">
        <f>IF(R629="","",IFERROR(INDEX(Cl_quartier,MATCH(R629,Cl_cle,0))&amp;"",""))</f>
        <v/>
      </c>
      <c r="V629" s="34">
        <f>IF(C629="","",YEAR(C629-WEEKDAY(C629,2)+4)&amp;"-S"&amp;TEXT(INT((C629-DATE(YEAR(C629-WEEKDAY(C629,2)+4),1,3)+WEEKDAY(DATE(YEAR(C629-WEEKDAY(C629,2)+4),1,3),2)+5)/7),"00"))</f>
        <v/>
      </c>
    </row>
    <row r="630" ht="18" customHeight="1">
      <c r="A630" s="39" t="n">
        <v>625</v>
      </c>
      <c r="B630" s="33">
        <f>IF(C630="","",IF(P630="À RENSEIGNER","GIC",P630)&amp;"-V"&amp;TEXT(A630,"00000"))</f>
        <v/>
      </c>
      <c r="C630" s="32" t="n"/>
      <c r="D630" s="35" t="n"/>
      <c r="E630" s="36" t="n"/>
      <c r="F630" s="36" t="n"/>
      <c r="G630" s="36" t="n"/>
      <c r="H630" s="36" t="n"/>
      <c r="I630" s="36" t="n"/>
      <c r="J630" s="37" t="n"/>
      <c r="K630" s="32" t="n"/>
      <c r="L630" s="36" t="n"/>
      <c r="M630" s="41" t="n"/>
      <c r="N630" s="41" t="n"/>
      <c r="O630" s="36" t="n"/>
      <c r="P630" s="33">
        <f>IF(C630="","",Commercial_Id)</f>
        <v/>
      </c>
      <c r="Q630" s="39">
        <f>IF(F630="","",IFERROR(VALUE(MID(F630,LEN(F630)-3,3)),""))</f>
        <v/>
      </c>
      <c r="R630" s="33">
        <f>IF(Q630="","",P630&amp;"|"&amp;Q630)</f>
        <v/>
      </c>
      <c r="S630" s="33">
        <f>IF(Q630="","",IF(P630="À RENSEIGNER","GIC",P630)&amp;"-"&amp;TEXT(Q630,"000"))</f>
        <v/>
      </c>
      <c r="T630" s="33">
        <f>IF(R630="","",IFERROR(INDEX(Cl_nom,MATCH(R630,Cl_cle,0)),"(client introuvable)"))</f>
        <v/>
      </c>
      <c r="U630" s="33">
        <f>IF(R630="","",IFERROR(INDEX(Cl_quartier,MATCH(R630,Cl_cle,0))&amp;"",""))</f>
        <v/>
      </c>
      <c r="V630" s="34">
        <f>IF(C630="","",YEAR(C630-WEEKDAY(C630,2)+4)&amp;"-S"&amp;TEXT(INT((C630-DATE(YEAR(C630-WEEKDAY(C630,2)+4),1,3)+WEEKDAY(DATE(YEAR(C630-WEEKDAY(C630,2)+4),1,3),2)+5)/7),"00"))</f>
        <v/>
      </c>
    </row>
    <row r="631" ht="18" customHeight="1">
      <c r="A631" s="39" t="n">
        <v>626</v>
      </c>
      <c r="B631" s="33">
        <f>IF(C631="","",IF(P631="À RENSEIGNER","GIC",P631)&amp;"-V"&amp;TEXT(A631,"00000"))</f>
        <v/>
      </c>
      <c r="C631" s="32" t="n"/>
      <c r="D631" s="35" t="n"/>
      <c r="E631" s="36" t="n"/>
      <c r="F631" s="36" t="n"/>
      <c r="G631" s="36" t="n"/>
      <c r="H631" s="36" t="n"/>
      <c r="I631" s="36" t="n"/>
      <c r="J631" s="37" t="n"/>
      <c r="K631" s="32" t="n"/>
      <c r="L631" s="36" t="n"/>
      <c r="M631" s="41" t="n"/>
      <c r="N631" s="41" t="n"/>
      <c r="O631" s="36" t="n"/>
      <c r="P631" s="33">
        <f>IF(C631="","",Commercial_Id)</f>
        <v/>
      </c>
      <c r="Q631" s="39">
        <f>IF(F631="","",IFERROR(VALUE(MID(F631,LEN(F631)-3,3)),""))</f>
        <v/>
      </c>
      <c r="R631" s="33">
        <f>IF(Q631="","",P631&amp;"|"&amp;Q631)</f>
        <v/>
      </c>
      <c r="S631" s="33">
        <f>IF(Q631="","",IF(P631="À RENSEIGNER","GIC",P631)&amp;"-"&amp;TEXT(Q631,"000"))</f>
        <v/>
      </c>
      <c r="T631" s="33">
        <f>IF(R631="","",IFERROR(INDEX(Cl_nom,MATCH(R631,Cl_cle,0)),"(client introuvable)"))</f>
        <v/>
      </c>
      <c r="U631" s="33">
        <f>IF(R631="","",IFERROR(INDEX(Cl_quartier,MATCH(R631,Cl_cle,0))&amp;"",""))</f>
        <v/>
      </c>
      <c r="V631" s="34">
        <f>IF(C631="","",YEAR(C631-WEEKDAY(C631,2)+4)&amp;"-S"&amp;TEXT(INT((C631-DATE(YEAR(C631-WEEKDAY(C631,2)+4),1,3)+WEEKDAY(DATE(YEAR(C631-WEEKDAY(C631,2)+4),1,3),2)+5)/7),"00"))</f>
        <v/>
      </c>
    </row>
    <row r="632" ht="18" customHeight="1">
      <c r="A632" s="39" t="n">
        <v>627</v>
      </c>
      <c r="B632" s="33">
        <f>IF(C632="","",IF(P632="À RENSEIGNER","GIC",P632)&amp;"-V"&amp;TEXT(A632,"00000"))</f>
        <v/>
      </c>
      <c r="C632" s="32" t="n"/>
      <c r="D632" s="35" t="n"/>
      <c r="E632" s="36" t="n"/>
      <c r="F632" s="36" t="n"/>
      <c r="G632" s="36" t="n"/>
      <c r="H632" s="36" t="n"/>
      <c r="I632" s="36" t="n"/>
      <c r="J632" s="37" t="n"/>
      <c r="K632" s="32" t="n"/>
      <c r="L632" s="36" t="n"/>
      <c r="M632" s="41" t="n"/>
      <c r="N632" s="41" t="n"/>
      <c r="O632" s="36" t="n"/>
      <c r="P632" s="33">
        <f>IF(C632="","",Commercial_Id)</f>
        <v/>
      </c>
      <c r="Q632" s="39">
        <f>IF(F632="","",IFERROR(VALUE(MID(F632,LEN(F632)-3,3)),""))</f>
        <v/>
      </c>
      <c r="R632" s="33">
        <f>IF(Q632="","",P632&amp;"|"&amp;Q632)</f>
        <v/>
      </c>
      <c r="S632" s="33">
        <f>IF(Q632="","",IF(P632="À RENSEIGNER","GIC",P632)&amp;"-"&amp;TEXT(Q632,"000"))</f>
        <v/>
      </c>
      <c r="T632" s="33">
        <f>IF(R632="","",IFERROR(INDEX(Cl_nom,MATCH(R632,Cl_cle,0)),"(client introuvable)"))</f>
        <v/>
      </c>
      <c r="U632" s="33">
        <f>IF(R632="","",IFERROR(INDEX(Cl_quartier,MATCH(R632,Cl_cle,0))&amp;"",""))</f>
        <v/>
      </c>
      <c r="V632" s="34">
        <f>IF(C632="","",YEAR(C632-WEEKDAY(C632,2)+4)&amp;"-S"&amp;TEXT(INT((C632-DATE(YEAR(C632-WEEKDAY(C632,2)+4),1,3)+WEEKDAY(DATE(YEAR(C632-WEEKDAY(C632,2)+4),1,3),2)+5)/7),"00"))</f>
        <v/>
      </c>
    </row>
    <row r="633" ht="18" customHeight="1">
      <c r="A633" s="39" t="n">
        <v>628</v>
      </c>
      <c r="B633" s="33">
        <f>IF(C633="","",IF(P633="À RENSEIGNER","GIC",P633)&amp;"-V"&amp;TEXT(A633,"00000"))</f>
        <v/>
      </c>
      <c r="C633" s="32" t="n"/>
      <c r="D633" s="35" t="n"/>
      <c r="E633" s="36" t="n"/>
      <c r="F633" s="36" t="n"/>
      <c r="G633" s="36" t="n"/>
      <c r="H633" s="36" t="n"/>
      <c r="I633" s="36" t="n"/>
      <c r="J633" s="37" t="n"/>
      <c r="K633" s="32" t="n"/>
      <c r="L633" s="36" t="n"/>
      <c r="M633" s="41" t="n"/>
      <c r="N633" s="41" t="n"/>
      <c r="O633" s="36" t="n"/>
      <c r="P633" s="33">
        <f>IF(C633="","",Commercial_Id)</f>
        <v/>
      </c>
      <c r="Q633" s="39">
        <f>IF(F633="","",IFERROR(VALUE(MID(F633,LEN(F633)-3,3)),""))</f>
        <v/>
      </c>
      <c r="R633" s="33">
        <f>IF(Q633="","",P633&amp;"|"&amp;Q633)</f>
        <v/>
      </c>
      <c r="S633" s="33">
        <f>IF(Q633="","",IF(P633="À RENSEIGNER","GIC",P633)&amp;"-"&amp;TEXT(Q633,"000"))</f>
        <v/>
      </c>
      <c r="T633" s="33">
        <f>IF(R633="","",IFERROR(INDEX(Cl_nom,MATCH(R633,Cl_cle,0)),"(client introuvable)"))</f>
        <v/>
      </c>
      <c r="U633" s="33">
        <f>IF(R633="","",IFERROR(INDEX(Cl_quartier,MATCH(R633,Cl_cle,0))&amp;"",""))</f>
        <v/>
      </c>
      <c r="V633" s="34">
        <f>IF(C633="","",YEAR(C633-WEEKDAY(C633,2)+4)&amp;"-S"&amp;TEXT(INT((C633-DATE(YEAR(C633-WEEKDAY(C633,2)+4),1,3)+WEEKDAY(DATE(YEAR(C633-WEEKDAY(C633,2)+4),1,3),2)+5)/7),"00"))</f>
        <v/>
      </c>
    </row>
    <row r="634" ht="18" customHeight="1">
      <c r="A634" s="39" t="n">
        <v>629</v>
      </c>
      <c r="B634" s="33">
        <f>IF(C634="","",IF(P634="À RENSEIGNER","GIC",P634)&amp;"-V"&amp;TEXT(A634,"00000"))</f>
        <v/>
      </c>
      <c r="C634" s="32" t="n"/>
      <c r="D634" s="35" t="n"/>
      <c r="E634" s="36" t="n"/>
      <c r="F634" s="36" t="n"/>
      <c r="G634" s="36" t="n"/>
      <c r="H634" s="36" t="n"/>
      <c r="I634" s="36" t="n"/>
      <c r="J634" s="37" t="n"/>
      <c r="K634" s="32" t="n"/>
      <c r="L634" s="36" t="n"/>
      <c r="M634" s="41" t="n"/>
      <c r="N634" s="41" t="n"/>
      <c r="O634" s="36" t="n"/>
      <c r="P634" s="33">
        <f>IF(C634="","",Commercial_Id)</f>
        <v/>
      </c>
      <c r="Q634" s="39">
        <f>IF(F634="","",IFERROR(VALUE(MID(F634,LEN(F634)-3,3)),""))</f>
        <v/>
      </c>
      <c r="R634" s="33">
        <f>IF(Q634="","",P634&amp;"|"&amp;Q634)</f>
        <v/>
      </c>
      <c r="S634" s="33">
        <f>IF(Q634="","",IF(P634="À RENSEIGNER","GIC",P634)&amp;"-"&amp;TEXT(Q634,"000"))</f>
        <v/>
      </c>
      <c r="T634" s="33">
        <f>IF(R634="","",IFERROR(INDEX(Cl_nom,MATCH(R634,Cl_cle,0)),"(client introuvable)"))</f>
        <v/>
      </c>
      <c r="U634" s="33">
        <f>IF(R634="","",IFERROR(INDEX(Cl_quartier,MATCH(R634,Cl_cle,0))&amp;"",""))</f>
        <v/>
      </c>
      <c r="V634" s="34">
        <f>IF(C634="","",YEAR(C634-WEEKDAY(C634,2)+4)&amp;"-S"&amp;TEXT(INT((C634-DATE(YEAR(C634-WEEKDAY(C634,2)+4),1,3)+WEEKDAY(DATE(YEAR(C634-WEEKDAY(C634,2)+4),1,3),2)+5)/7),"00"))</f>
        <v/>
      </c>
    </row>
    <row r="635" ht="18" customHeight="1">
      <c r="A635" s="39" t="n">
        <v>630</v>
      </c>
      <c r="B635" s="33">
        <f>IF(C635="","",IF(P635="À RENSEIGNER","GIC",P635)&amp;"-V"&amp;TEXT(A635,"00000"))</f>
        <v/>
      </c>
      <c r="C635" s="32" t="n"/>
      <c r="D635" s="35" t="n"/>
      <c r="E635" s="36" t="n"/>
      <c r="F635" s="36" t="n"/>
      <c r="G635" s="36" t="n"/>
      <c r="H635" s="36" t="n"/>
      <c r="I635" s="36" t="n"/>
      <c r="J635" s="37" t="n"/>
      <c r="K635" s="32" t="n"/>
      <c r="L635" s="36" t="n"/>
      <c r="M635" s="41" t="n"/>
      <c r="N635" s="41" t="n"/>
      <c r="O635" s="36" t="n"/>
      <c r="P635" s="33">
        <f>IF(C635="","",Commercial_Id)</f>
        <v/>
      </c>
      <c r="Q635" s="39">
        <f>IF(F635="","",IFERROR(VALUE(MID(F635,LEN(F635)-3,3)),""))</f>
        <v/>
      </c>
      <c r="R635" s="33">
        <f>IF(Q635="","",P635&amp;"|"&amp;Q635)</f>
        <v/>
      </c>
      <c r="S635" s="33">
        <f>IF(Q635="","",IF(P635="À RENSEIGNER","GIC",P635)&amp;"-"&amp;TEXT(Q635,"000"))</f>
        <v/>
      </c>
      <c r="T635" s="33">
        <f>IF(R635="","",IFERROR(INDEX(Cl_nom,MATCH(R635,Cl_cle,0)),"(client introuvable)"))</f>
        <v/>
      </c>
      <c r="U635" s="33">
        <f>IF(R635="","",IFERROR(INDEX(Cl_quartier,MATCH(R635,Cl_cle,0))&amp;"",""))</f>
        <v/>
      </c>
      <c r="V635" s="34">
        <f>IF(C635="","",YEAR(C635-WEEKDAY(C635,2)+4)&amp;"-S"&amp;TEXT(INT((C635-DATE(YEAR(C635-WEEKDAY(C635,2)+4),1,3)+WEEKDAY(DATE(YEAR(C635-WEEKDAY(C635,2)+4),1,3),2)+5)/7),"00"))</f>
        <v/>
      </c>
    </row>
    <row r="636" ht="18" customHeight="1">
      <c r="A636" s="39" t="n">
        <v>631</v>
      </c>
      <c r="B636" s="33">
        <f>IF(C636="","",IF(P636="À RENSEIGNER","GIC",P636)&amp;"-V"&amp;TEXT(A636,"00000"))</f>
        <v/>
      </c>
      <c r="C636" s="32" t="n"/>
      <c r="D636" s="35" t="n"/>
      <c r="E636" s="36" t="n"/>
      <c r="F636" s="36" t="n"/>
      <c r="G636" s="36" t="n"/>
      <c r="H636" s="36" t="n"/>
      <c r="I636" s="36" t="n"/>
      <c r="J636" s="37" t="n"/>
      <c r="K636" s="32" t="n"/>
      <c r="L636" s="36" t="n"/>
      <c r="M636" s="41" t="n"/>
      <c r="N636" s="41" t="n"/>
      <c r="O636" s="36" t="n"/>
      <c r="P636" s="33">
        <f>IF(C636="","",Commercial_Id)</f>
        <v/>
      </c>
      <c r="Q636" s="39">
        <f>IF(F636="","",IFERROR(VALUE(MID(F636,LEN(F636)-3,3)),""))</f>
        <v/>
      </c>
      <c r="R636" s="33">
        <f>IF(Q636="","",P636&amp;"|"&amp;Q636)</f>
        <v/>
      </c>
      <c r="S636" s="33">
        <f>IF(Q636="","",IF(P636="À RENSEIGNER","GIC",P636)&amp;"-"&amp;TEXT(Q636,"000"))</f>
        <v/>
      </c>
      <c r="T636" s="33">
        <f>IF(R636="","",IFERROR(INDEX(Cl_nom,MATCH(R636,Cl_cle,0)),"(client introuvable)"))</f>
        <v/>
      </c>
      <c r="U636" s="33">
        <f>IF(R636="","",IFERROR(INDEX(Cl_quartier,MATCH(R636,Cl_cle,0))&amp;"",""))</f>
        <v/>
      </c>
      <c r="V636" s="34">
        <f>IF(C636="","",YEAR(C636-WEEKDAY(C636,2)+4)&amp;"-S"&amp;TEXT(INT((C636-DATE(YEAR(C636-WEEKDAY(C636,2)+4),1,3)+WEEKDAY(DATE(YEAR(C636-WEEKDAY(C636,2)+4),1,3),2)+5)/7),"00"))</f>
        <v/>
      </c>
    </row>
    <row r="637" ht="18" customHeight="1">
      <c r="A637" s="39" t="n">
        <v>632</v>
      </c>
      <c r="B637" s="33">
        <f>IF(C637="","",IF(P637="À RENSEIGNER","GIC",P637)&amp;"-V"&amp;TEXT(A637,"00000"))</f>
        <v/>
      </c>
      <c r="C637" s="32" t="n"/>
      <c r="D637" s="35" t="n"/>
      <c r="E637" s="36" t="n"/>
      <c r="F637" s="36" t="n"/>
      <c r="G637" s="36" t="n"/>
      <c r="H637" s="36" t="n"/>
      <c r="I637" s="36" t="n"/>
      <c r="J637" s="37" t="n"/>
      <c r="K637" s="32" t="n"/>
      <c r="L637" s="36" t="n"/>
      <c r="M637" s="41" t="n"/>
      <c r="N637" s="41" t="n"/>
      <c r="O637" s="36" t="n"/>
      <c r="P637" s="33">
        <f>IF(C637="","",Commercial_Id)</f>
        <v/>
      </c>
      <c r="Q637" s="39">
        <f>IF(F637="","",IFERROR(VALUE(MID(F637,LEN(F637)-3,3)),""))</f>
        <v/>
      </c>
      <c r="R637" s="33">
        <f>IF(Q637="","",P637&amp;"|"&amp;Q637)</f>
        <v/>
      </c>
      <c r="S637" s="33">
        <f>IF(Q637="","",IF(P637="À RENSEIGNER","GIC",P637)&amp;"-"&amp;TEXT(Q637,"000"))</f>
        <v/>
      </c>
      <c r="T637" s="33">
        <f>IF(R637="","",IFERROR(INDEX(Cl_nom,MATCH(R637,Cl_cle,0)),"(client introuvable)"))</f>
        <v/>
      </c>
      <c r="U637" s="33">
        <f>IF(R637="","",IFERROR(INDEX(Cl_quartier,MATCH(R637,Cl_cle,0))&amp;"",""))</f>
        <v/>
      </c>
      <c r="V637" s="34">
        <f>IF(C637="","",YEAR(C637-WEEKDAY(C637,2)+4)&amp;"-S"&amp;TEXT(INT((C637-DATE(YEAR(C637-WEEKDAY(C637,2)+4),1,3)+WEEKDAY(DATE(YEAR(C637-WEEKDAY(C637,2)+4),1,3),2)+5)/7),"00"))</f>
        <v/>
      </c>
    </row>
    <row r="638" ht="18" customHeight="1">
      <c r="A638" s="39" t="n">
        <v>633</v>
      </c>
      <c r="B638" s="33">
        <f>IF(C638="","",IF(P638="À RENSEIGNER","GIC",P638)&amp;"-V"&amp;TEXT(A638,"00000"))</f>
        <v/>
      </c>
      <c r="C638" s="32" t="n"/>
      <c r="D638" s="35" t="n"/>
      <c r="E638" s="36" t="n"/>
      <c r="F638" s="36" t="n"/>
      <c r="G638" s="36" t="n"/>
      <c r="H638" s="36" t="n"/>
      <c r="I638" s="36" t="n"/>
      <c r="J638" s="37" t="n"/>
      <c r="K638" s="32" t="n"/>
      <c r="L638" s="36" t="n"/>
      <c r="M638" s="41" t="n"/>
      <c r="N638" s="41" t="n"/>
      <c r="O638" s="36" t="n"/>
      <c r="P638" s="33">
        <f>IF(C638="","",Commercial_Id)</f>
        <v/>
      </c>
      <c r="Q638" s="39">
        <f>IF(F638="","",IFERROR(VALUE(MID(F638,LEN(F638)-3,3)),""))</f>
        <v/>
      </c>
      <c r="R638" s="33">
        <f>IF(Q638="","",P638&amp;"|"&amp;Q638)</f>
        <v/>
      </c>
      <c r="S638" s="33">
        <f>IF(Q638="","",IF(P638="À RENSEIGNER","GIC",P638)&amp;"-"&amp;TEXT(Q638,"000"))</f>
        <v/>
      </c>
      <c r="T638" s="33">
        <f>IF(R638="","",IFERROR(INDEX(Cl_nom,MATCH(R638,Cl_cle,0)),"(client introuvable)"))</f>
        <v/>
      </c>
      <c r="U638" s="33">
        <f>IF(R638="","",IFERROR(INDEX(Cl_quartier,MATCH(R638,Cl_cle,0))&amp;"",""))</f>
        <v/>
      </c>
      <c r="V638" s="34">
        <f>IF(C638="","",YEAR(C638-WEEKDAY(C638,2)+4)&amp;"-S"&amp;TEXT(INT((C638-DATE(YEAR(C638-WEEKDAY(C638,2)+4),1,3)+WEEKDAY(DATE(YEAR(C638-WEEKDAY(C638,2)+4),1,3),2)+5)/7),"00"))</f>
        <v/>
      </c>
    </row>
    <row r="639" ht="18" customHeight="1">
      <c r="A639" s="39" t="n">
        <v>634</v>
      </c>
      <c r="B639" s="33">
        <f>IF(C639="","",IF(P639="À RENSEIGNER","GIC",P639)&amp;"-V"&amp;TEXT(A639,"00000"))</f>
        <v/>
      </c>
      <c r="C639" s="32" t="n"/>
      <c r="D639" s="35" t="n"/>
      <c r="E639" s="36" t="n"/>
      <c r="F639" s="36" t="n"/>
      <c r="G639" s="36" t="n"/>
      <c r="H639" s="36" t="n"/>
      <c r="I639" s="36" t="n"/>
      <c r="J639" s="37" t="n"/>
      <c r="K639" s="32" t="n"/>
      <c r="L639" s="36" t="n"/>
      <c r="M639" s="41" t="n"/>
      <c r="N639" s="41" t="n"/>
      <c r="O639" s="36" t="n"/>
      <c r="P639" s="33">
        <f>IF(C639="","",Commercial_Id)</f>
        <v/>
      </c>
      <c r="Q639" s="39">
        <f>IF(F639="","",IFERROR(VALUE(MID(F639,LEN(F639)-3,3)),""))</f>
        <v/>
      </c>
      <c r="R639" s="33">
        <f>IF(Q639="","",P639&amp;"|"&amp;Q639)</f>
        <v/>
      </c>
      <c r="S639" s="33">
        <f>IF(Q639="","",IF(P639="À RENSEIGNER","GIC",P639)&amp;"-"&amp;TEXT(Q639,"000"))</f>
        <v/>
      </c>
      <c r="T639" s="33">
        <f>IF(R639="","",IFERROR(INDEX(Cl_nom,MATCH(R639,Cl_cle,0)),"(client introuvable)"))</f>
        <v/>
      </c>
      <c r="U639" s="33">
        <f>IF(R639="","",IFERROR(INDEX(Cl_quartier,MATCH(R639,Cl_cle,0))&amp;"",""))</f>
        <v/>
      </c>
      <c r="V639" s="34">
        <f>IF(C639="","",YEAR(C639-WEEKDAY(C639,2)+4)&amp;"-S"&amp;TEXT(INT((C639-DATE(YEAR(C639-WEEKDAY(C639,2)+4),1,3)+WEEKDAY(DATE(YEAR(C639-WEEKDAY(C639,2)+4),1,3),2)+5)/7),"00"))</f>
        <v/>
      </c>
    </row>
    <row r="640" ht="18" customHeight="1">
      <c r="A640" s="39" t="n">
        <v>635</v>
      </c>
      <c r="B640" s="33">
        <f>IF(C640="","",IF(P640="À RENSEIGNER","GIC",P640)&amp;"-V"&amp;TEXT(A640,"00000"))</f>
        <v/>
      </c>
      <c r="C640" s="32" t="n"/>
      <c r="D640" s="35" t="n"/>
      <c r="E640" s="36" t="n"/>
      <c r="F640" s="36" t="n"/>
      <c r="G640" s="36" t="n"/>
      <c r="H640" s="36" t="n"/>
      <c r="I640" s="36" t="n"/>
      <c r="J640" s="37" t="n"/>
      <c r="K640" s="32" t="n"/>
      <c r="L640" s="36" t="n"/>
      <c r="M640" s="41" t="n"/>
      <c r="N640" s="41" t="n"/>
      <c r="O640" s="36" t="n"/>
      <c r="P640" s="33">
        <f>IF(C640="","",Commercial_Id)</f>
        <v/>
      </c>
      <c r="Q640" s="39">
        <f>IF(F640="","",IFERROR(VALUE(MID(F640,LEN(F640)-3,3)),""))</f>
        <v/>
      </c>
      <c r="R640" s="33">
        <f>IF(Q640="","",P640&amp;"|"&amp;Q640)</f>
        <v/>
      </c>
      <c r="S640" s="33">
        <f>IF(Q640="","",IF(P640="À RENSEIGNER","GIC",P640)&amp;"-"&amp;TEXT(Q640,"000"))</f>
        <v/>
      </c>
      <c r="T640" s="33">
        <f>IF(R640="","",IFERROR(INDEX(Cl_nom,MATCH(R640,Cl_cle,0)),"(client introuvable)"))</f>
        <v/>
      </c>
      <c r="U640" s="33">
        <f>IF(R640="","",IFERROR(INDEX(Cl_quartier,MATCH(R640,Cl_cle,0))&amp;"",""))</f>
        <v/>
      </c>
      <c r="V640" s="34">
        <f>IF(C640="","",YEAR(C640-WEEKDAY(C640,2)+4)&amp;"-S"&amp;TEXT(INT((C640-DATE(YEAR(C640-WEEKDAY(C640,2)+4),1,3)+WEEKDAY(DATE(YEAR(C640-WEEKDAY(C640,2)+4),1,3),2)+5)/7),"00"))</f>
        <v/>
      </c>
    </row>
    <row r="641" ht="18" customHeight="1">
      <c r="A641" s="39" t="n">
        <v>636</v>
      </c>
      <c r="B641" s="33">
        <f>IF(C641="","",IF(P641="À RENSEIGNER","GIC",P641)&amp;"-V"&amp;TEXT(A641,"00000"))</f>
        <v/>
      </c>
      <c r="C641" s="32" t="n"/>
      <c r="D641" s="35" t="n"/>
      <c r="E641" s="36" t="n"/>
      <c r="F641" s="36" t="n"/>
      <c r="G641" s="36" t="n"/>
      <c r="H641" s="36" t="n"/>
      <c r="I641" s="36" t="n"/>
      <c r="J641" s="37" t="n"/>
      <c r="K641" s="32" t="n"/>
      <c r="L641" s="36" t="n"/>
      <c r="M641" s="41" t="n"/>
      <c r="N641" s="41" t="n"/>
      <c r="O641" s="36" t="n"/>
      <c r="P641" s="33">
        <f>IF(C641="","",Commercial_Id)</f>
        <v/>
      </c>
      <c r="Q641" s="39">
        <f>IF(F641="","",IFERROR(VALUE(MID(F641,LEN(F641)-3,3)),""))</f>
        <v/>
      </c>
      <c r="R641" s="33">
        <f>IF(Q641="","",P641&amp;"|"&amp;Q641)</f>
        <v/>
      </c>
      <c r="S641" s="33">
        <f>IF(Q641="","",IF(P641="À RENSEIGNER","GIC",P641)&amp;"-"&amp;TEXT(Q641,"000"))</f>
        <v/>
      </c>
      <c r="T641" s="33">
        <f>IF(R641="","",IFERROR(INDEX(Cl_nom,MATCH(R641,Cl_cle,0)),"(client introuvable)"))</f>
        <v/>
      </c>
      <c r="U641" s="33">
        <f>IF(R641="","",IFERROR(INDEX(Cl_quartier,MATCH(R641,Cl_cle,0))&amp;"",""))</f>
        <v/>
      </c>
      <c r="V641" s="34">
        <f>IF(C641="","",YEAR(C641-WEEKDAY(C641,2)+4)&amp;"-S"&amp;TEXT(INT((C641-DATE(YEAR(C641-WEEKDAY(C641,2)+4),1,3)+WEEKDAY(DATE(YEAR(C641-WEEKDAY(C641,2)+4),1,3),2)+5)/7),"00"))</f>
        <v/>
      </c>
    </row>
    <row r="642" ht="18" customHeight="1">
      <c r="A642" s="39" t="n">
        <v>637</v>
      </c>
      <c r="B642" s="33">
        <f>IF(C642="","",IF(P642="À RENSEIGNER","GIC",P642)&amp;"-V"&amp;TEXT(A642,"00000"))</f>
        <v/>
      </c>
      <c r="C642" s="32" t="n"/>
      <c r="D642" s="35" t="n"/>
      <c r="E642" s="36" t="n"/>
      <c r="F642" s="36" t="n"/>
      <c r="G642" s="36" t="n"/>
      <c r="H642" s="36" t="n"/>
      <c r="I642" s="36" t="n"/>
      <c r="J642" s="37" t="n"/>
      <c r="K642" s="32" t="n"/>
      <c r="L642" s="36" t="n"/>
      <c r="M642" s="41" t="n"/>
      <c r="N642" s="41" t="n"/>
      <c r="O642" s="36" t="n"/>
      <c r="P642" s="33">
        <f>IF(C642="","",Commercial_Id)</f>
        <v/>
      </c>
      <c r="Q642" s="39">
        <f>IF(F642="","",IFERROR(VALUE(MID(F642,LEN(F642)-3,3)),""))</f>
        <v/>
      </c>
      <c r="R642" s="33">
        <f>IF(Q642="","",P642&amp;"|"&amp;Q642)</f>
        <v/>
      </c>
      <c r="S642" s="33">
        <f>IF(Q642="","",IF(P642="À RENSEIGNER","GIC",P642)&amp;"-"&amp;TEXT(Q642,"000"))</f>
        <v/>
      </c>
      <c r="T642" s="33">
        <f>IF(R642="","",IFERROR(INDEX(Cl_nom,MATCH(R642,Cl_cle,0)),"(client introuvable)"))</f>
        <v/>
      </c>
      <c r="U642" s="33">
        <f>IF(R642="","",IFERROR(INDEX(Cl_quartier,MATCH(R642,Cl_cle,0))&amp;"",""))</f>
        <v/>
      </c>
      <c r="V642" s="34">
        <f>IF(C642="","",YEAR(C642-WEEKDAY(C642,2)+4)&amp;"-S"&amp;TEXT(INT((C642-DATE(YEAR(C642-WEEKDAY(C642,2)+4),1,3)+WEEKDAY(DATE(YEAR(C642-WEEKDAY(C642,2)+4),1,3),2)+5)/7),"00"))</f>
        <v/>
      </c>
    </row>
    <row r="643" ht="18" customHeight="1">
      <c r="A643" s="39" t="n">
        <v>638</v>
      </c>
      <c r="B643" s="33">
        <f>IF(C643="","",IF(P643="À RENSEIGNER","GIC",P643)&amp;"-V"&amp;TEXT(A643,"00000"))</f>
        <v/>
      </c>
      <c r="C643" s="32" t="n"/>
      <c r="D643" s="35" t="n"/>
      <c r="E643" s="36" t="n"/>
      <c r="F643" s="36" t="n"/>
      <c r="G643" s="36" t="n"/>
      <c r="H643" s="36" t="n"/>
      <c r="I643" s="36" t="n"/>
      <c r="J643" s="37" t="n"/>
      <c r="K643" s="32" t="n"/>
      <c r="L643" s="36" t="n"/>
      <c r="M643" s="41" t="n"/>
      <c r="N643" s="41" t="n"/>
      <c r="O643" s="36" t="n"/>
      <c r="P643" s="33">
        <f>IF(C643="","",Commercial_Id)</f>
        <v/>
      </c>
      <c r="Q643" s="39">
        <f>IF(F643="","",IFERROR(VALUE(MID(F643,LEN(F643)-3,3)),""))</f>
        <v/>
      </c>
      <c r="R643" s="33">
        <f>IF(Q643="","",P643&amp;"|"&amp;Q643)</f>
        <v/>
      </c>
      <c r="S643" s="33">
        <f>IF(Q643="","",IF(P643="À RENSEIGNER","GIC",P643)&amp;"-"&amp;TEXT(Q643,"000"))</f>
        <v/>
      </c>
      <c r="T643" s="33">
        <f>IF(R643="","",IFERROR(INDEX(Cl_nom,MATCH(R643,Cl_cle,0)),"(client introuvable)"))</f>
        <v/>
      </c>
      <c r="U643" s="33">
        <f>IF(R643="","",IFERROR(INDEX(Cl_quartier,MATCH(R643,Cl_cle,0))&amp;"",""))</f>
        <v/>
      </c>
      <c r="V643" s="34">
        <f>IF(C643="","",YEAR(C643-WEEKDAY(C643,2)+4)&amp;"-S"&amp;TEXT(INT((C643-DATE(YEAR(C643-WEEKDAY(C643,2)+4),1,3)+WEEKDAY(DATE(YEAR(C643-WEEKDAY(C643,2)+4),1,3),2)+5)/7),"00"))</f>
        <v/>
      </c>
    </row>
    <row r="644" ht="18" customHeight="1">
      <c r="A644" s="39" t="n">
        <v>639</v>
      </c>
      <c r="B644" s="33">
        <f>IF(C644="","",IF(P644="À RENSEIGNER","GIC",P644)&amp;"-V"&amp;TEXT(A644,"00000"))</f>
        <v/>
      </c>
      <c r="C644" s="32" t="n"/>
      <c r="D644" s="35" t="n"/>
      <c r="E644" s="36" t="n"/>
      <c r="F644" s="36" t="n"/>
      <c r="G644" s="36" t="n"/>
      <c r="H644" s="36" t="n"/>
      <c r="I644" s="36" t="n"/>
      <c r="J644" s="37" t="n"/>
      <c r="K644" s="32" t="n"/>
      <c r="L644" s="36" t="n"/>
      <c r="M644" s="41" t="n"/>
      <c r="N644" s="41" t="n"/>
      <c r="O644" s="36" t="n"/>
      <c r="P644" s="33">
        <f>IF(C644="","",Commercial_Id)</f>
        <v/>
      </c>
      <c r="Q644" s="39">
        <f>IF(F644="","",IFERROR(VALUE(MID(F644,LEN(F644)-3,3)),""))</f>
        <v/>
      </c>
      <c r="R644" s="33">
        <f>IF(Q644="","",P644&amp;"|"&amp;Q644)</f>
        <v/>
      </c>
      <c r="S644" s="33">
        <f>IF(Q644="","",IF(P644="À RENSEIGNER","GIC",P644)&amp;"-"&amp;TEXT(Q644,"000"))</f>
        <v/>
      </c>
      <c r="T644" s="33">
        <f>IF(R644="","",IFERROR(INDEX(Cl_nom,MATCH(R644,Cl_cle,0)),"(client introuvable)"))</f>
        <v/>
      </c>
      <c r="U644" s="33">
        <f>IF(R644="","",IFERROR(INDEX(Cl_quartier,MATCH(R644,Cl_cle,0))&amp;"",""))</f>
        <v/>
      </c>
      <c r="V644" s="34">
        <f>IF(C644="","",YEAR(C644-WEEKDAY(C644,2)+4)&amp;"-S"&amp;TEXT(INT((C644-DATE(YEAR(C644-WEEKDAY(C644,2)+4),1,3)+WEEKDAY(DATE(YEAR(C644-WEEKDAY(C644,2)+4),1,3),2)+5)/7),"00"))</f>
        <v/>
      </c>
    </row>
    <row r="645" ht="18" customHeight="1">
      <c r="A645" s="39" t="n">
        <v>640</v>
      </c>
      <c r="B645" s="33">
        <f>IF(C645="","",IF(P645="À RENSEIGNER","GIC",P645)&amp;"-V"&amp;TEXT(A645,"00000"))</f>
        <v/>
      </c>
      <c r="C645" s="32" t="n"/>
      <c r="D645" s="35" t="n"/>
      <c r="E645" s="36" t="n"/>
      <c r="F645" s="36" t="n"/>
      <c r="G645" s="36" t="n"/>
      <c r="H645" s="36" t="n"/>
      <c r="I645" s="36" t="n"/>
      <c r="J645" s="37" t="n"/>
      <c r="K645" s="32" t="n"/>
      <c r="L645" s="36" t="n"/>
      <c r="M645" s="41" t="n"/>
      <c r="N645" s="41" t="n"/>
      <c r="O645" s="36" t="n"/>
      <c r="P645" s="33">
        <f>IF(C645="","",Commercial_Id)</f>
        <v/>
      </c>
      <c r="Q645" s="39">
        <f>IF(F645="","",IFERROR(VALUE(MID(F645,LEN(F645)-3,3)),""))</f>
        <v/>
      </c>
      <c r="R645" s="33">
        <f>IF(Q645="","",P645&amp;"|"&amp;Q645)</f>
        <v/>
      </c>
      <c r="S645" s="33">
        <f>IF(Q645="","",IF(P645="À RENSEIGNER","GIC",P645)&amp;"-"&amp;TEXT(Q645,"000"))</f>
        <v/>
      </c>
      <c r="T645" s="33">
        <f>IF(R645="","",IFERROR(INDEX(Cl_nom,MATCH(R645,Cl_cle,0)),"(client introuvable)"))</f>
        <v/>
      </c>
      <c r="U645" s="33">
        <f>IF(R645="","",IFERROR(INDEX(Cl_quartier,MATCH(R645,Cl_cle,0))&amp;"",""))</f>
        <v/>
      </c>
      <c r="V645" s="34">
        <f>IF(C645="","",YEAR(C645-WEEKDAY(C645,2)+4)&amp;"-S"&amp;TEXT(INT((C645-DATE(YEAR(C645-WEEKDAY(C645,2)+4),1,3)+WEEKDAY(DATE(YEAR(C645-WEEKDAY(C645,2)+4),1,3),2)+5)/7),"00"))</f>
        <v/>
      </c>
    </row>
    <row r="646" ht="18" customHeight="1">
      <c r="A646" s="39" t="n">
        <v>641</v>
      </c>
      <c r="B646" s="33">
        <f>IF(C646="","",IF(P646="À RENSEIGNER","GIC",P646)&amp;"-V"&amp;TEXT(A646,"00000"))</f>
        <v/>
      </c>
      <c r="C646" s="32" t="n"/>
      <c r="D646" s="35" t="n"/>
      <c r="E646" s="36" t="n"/>
      <c r="F646" s="36" t="n"/>
      <c r="G646" s="36" t="n"/>
      <c r="H646" s="36" t="n"/>
      <c r="I646" s="36" t="n"/>
      <c r="J646" s="37" t="n"/>
      <c r="K646" s="32" t="n"/>
      <c r="L646" s="36" t="n"/>
      <c r="M646" s="41" t="n"/>
      <c r="N646" s="41" t="n"/>
      <c r="O646" s="36" t="n"/>
      <c r="P646" s="33">
        <f>IF(C646="","",Commercial_Id)</f>
        <v/>
      </c>
      <c r="Q646" s="39">
        <f>IF(F646="","",IFERROR(VALUE(MID(F646,LEN(F646)-3,3)),""))</f>
        <v/>
      </c>
      <c r="R646" s="33">
        <f>IF(Q646="","",P646&amp;"|"&amp;Q646)</f>
        <v/>
      </c>
      <c r="S646" s="33">
        <f>IF(Q646="","",IF(P646="À RENSEIGNER","GIC",P646)&amp;"-"&amp;TEXT(Q646,"000"))</f>
        <v/>
      </c>
      <c r="T646" s="33">
        <f>IF(R646="","",IFERROR(INDEX(Cl_nom,MATCH(R646,Cl_cle,0)),"(client introuvable)"))</f>
        <v/>
      </c>
      <c r="U646" s="33">
        <f>IF(R646="","",IFERROR(INDEX(Cl_quartier,MATCH(R646,Cl_cle,0))&amp;"",""))</f>
        <v/>
      </c>
      <c r="V646" s="34">
        <f>IF(C646="","",YEAR(C646-WEEKDAY(C646,2)+4)&amp;"-S"&amp;TEXT(INT((C646-DATE(YEAR(C646-WEEKDAY(C646,2)+4),1,3)+WEEKDAY(DATE(YEAR(C646-WEEKDAY(C646,2)+4),1,3),2)+5)/7),"00"))</f>
        <v/>
      </c>
    </row>
    <row r="647" ht="18" customHeight="1">
      <c r="A647" s="39" t="n">
        <v>642</v>
      </c>
      <c r="B647" s="33">
        <f>IF(C647="","",IF(P647="À RENSEIGNER","GIC",P647)&amp;"-V"&amp;TEXT(A647,"00000"))</f>
        <v/>
      </c>
      <c r="C647" s="32" t="n"/>
      <c r="D647" s="35" t="n"/>
      <c r="E647" s="36" t="n"/>
      <c r="F647" s="36" t="n"/>
      <c r="G647" s="36" t="n"/>
      <c r="H647" s="36" t="n"/>
      <c r="I647" s="36" t="n"/>
      <c r="J647" s="37" t="n"/>
      <c r="K647" s="32" t="n"/>
      <c r="L647" s="36" t="n"/>
      <c r="M647" s="41" t="n"/>
      <c r="N647" s="41" t="n"/>
      <c r="O647" s="36" t="n"/>
      <c r="P647" s="33">
        <f>IF(C647="","",Commercial_Id)</f>
        <v/>
      </c>
      <c r="Q647" s="39">
        <f>IF(F647="","",IFERROR(VALUE(MID(F647,LEN(F647)-3,3)),""))</f>
        <v/>
      </c>
      <c r="R647" s="33">
        <f>IF(Q647="","",P647&amp;"|"&amp;Q647)</f>
        <v/>
      </c>
      <c r="S647" s="33">
        <f>IF(Q647="","",IF(P647="À RENSEIGNER","GIC",P647)&amp;"-"&amp;TEXT(Q647,"000"))</f>
        <v/>
      </c>
      <c r="T647" s="33">
        <f>IF(R647="","",IFERROR(INDEX(Cl_nom,MATCH(R647,Cl_cle,0)),"(client introuvable)"))</f>
        <v/>
      </c>
      <c r="U647" s="33">
        <f>IF(R647="","",IFERROR(INDEX(Cl_quartier,MATCH(R647,Cl_cle,0))&amp;"",""))</f>
        <v/>
      </c>
      <c r="V647" s="34">
        <f>IF(C647="","",YEAR(C647-WEEKDAY(C647,2)+4)&amp;"-S"&amp;TEXT(INT((C647-DATE(YEAR(C647-WEEKDAY(C647,2)+4),1,3)+WEEKDAY(DATE(YEAR(C647-WEEKDAY(C647,2)+4),1,3),2)+5)/7),"00"))</f>
        <v/>
      </c>
    </row>
    <row r="648" ht="18" customHeight="1">
      <c r="A648" s="39" t="n">
        <v>643</v>
      </c>
      <c r="B648" s="33">
        <f>IF(C648="","",IF(P648="À RENSEIGNER","GIC",P648)&amp;"-V"&amp;TEXT(A648,"00000"))</f>
        <v/>
      </c>
      <c r="C648" s="32" t="n"/>
      <c r="D648" s="35" t="n"/>
      <c r="E648" s="36" t="n"/>
      <c r="F648" s="36" t="n"/>
      <c r="G648" s="36" t="n"/>
      <c r="H648" s="36" t="n"/>
      <c r="I648" s="36" t="n"/>
      <c r="J648" s="37" t="n"/>
      <c r="K648" s="32" t="n"/>
      <c r="L648" s="36" t="n"/>
      <c r="M648" s="41" t="n"/>
      <c r="N648" s="41" t="n"/>
      <c r="O648" s="36" t="n"/>
      <c r="P648" s="33">
        <f>IF(C648="","",Commercial_Id)</f>
        <v/>
      </c>
      <c r="Q648" s="39">
        <f>IF(F648="","",IFERROR(VALUE(MID(F648,LEN(F648)-3,3)),""))</f>
        <v/>
      </c>
      <c r="R648" s="33">
        <f>IF(Q648="","",P648&amp;"|"&amp;Q648)</f>
        <v/>
      </c>
      <c r="S648" s="33">
        <f>IF(Q648="","",IF(P648="À RENSEIGNER","GIC",P648)&amp;"-"&amp;TEXT(Q648,"000"))</f>
        <v/>
      </c>
      <c r="T648" s="33">
        <f>IF(R648="","",IFERROR(INDEX(Cl_nom,MATCH(R648,Cl_cle,0)),"(client introuvable)"))</f>
        <v/>
      </c>
      <c r="U648" s="33">
        <f>IF(R648="","",IFERROR(INDEX(Cl_quartier,MATCH(R648,Cl_cle,0))&amp;"",""))</f>
        <v/>
      </c>
      <c r="V648" s="34">
        <f>IF(C648="","",YEAR(C648-WEEKDAY(C648,2)+4)&amp;"-S"&amp;TEXT(INT((C648-DATE(YEAR(C648-WEEKDAY(C648,2)+4),1,3)+WEEKDAY(DATE(YEAR(C648-WEEKDAY(C648,2)+4),1,3),2)+5)/7),"00"))</f>
        <v/>
      </c>
    </row>
    <row r="649" ht="18" customHeight="1">
      <c r="A649" s="39" t="n">
        <v>644</v>
      </c>
      <c r="B649" s="33">
        <f>IF(C649="","",IF(P649="À RENSEIGNER","GIC",P649)&amp;"-V"&amp;TEXT(A649,"00000"))</f>
        <v/>
      </c>
      <c r="C649" s="32" t="n"/>
      <c r="D649" s="35" t="n"/>
      <c r="E649" s="36" t="n"/>
      <c r="F649" s="36" t="n"/>
      <c r="G649" s="36" t="n"/>
      <c r="H649" s="36" t="n"/>
      <c r="I649" s="36" t="n"/>
      <c r="J649" s="37" t="n"/>
      <c r="K649" s="32" t="n"/>
      <c r="L649" s="36" t="n"/>
      <c r="M649" s="41" t="n"/>
      <c r="N649" s="41" t="n"/>
      <c r="O649" s="36" t="n"/>
      <c r="P649" s="33">
        <f>IF(C649="","",Commercial_Id)</f>
        <v/>
      </c>
      <c r="Q649" s="39">
        <f>IF(F649="","",IFERROR(VALUE(MID(F649,LEN(F649)-3,3)),""))</f>
        <v/>
      </c>
      <c r="R649" s="33">
        <f>IF(Q649="","",P649&amp;"|"&amp;Q649)</f>
        <v/>
      </c>
      <c r="S649" s="33">
        <f>IF(Q649="","",IF(P649="À RENSEIGNER","GIC",P649)&amp;"-"&amp;TEXT(Q649,"000"))</f>
        <v/>
      </c>
      <c r="T649" s="33">
        <f>IF(R649="","",IFERROR(INDEX(Cl_nom,MATCH(R649,Cl_cle,0)),"(client introuvable)"))</f>
        <v/>
      </c>
      <c r="U649" s="33">
        <f>IF(R649="","",IFERROR(INDEX(Cl_quartier,MATCH(R649,Cl_cle,0))&amp;"",""))</f>
        <v/>
      </c>
      <c r="V649" s="34">
        <f>IF(C649="","",YEAR(C649-WEEKDAY(C649,2)+4)&amp;"-S"&amp;TEXT(INT((C649-DATE(YEAR(C649-WEEKDAY(C649,2)+4),1,3)+WEEKDAY(DATE(YEAR(C649-WEEKDAY(C649,2)+4),1,3),2)+5)/7),"00"))</f>
        <v/>
      </c>
    </row>
    <row r="650" ht="18" customHeight="1">
      <c r="A650" s="39" t="n">
        <v>645</v>
      </c>
      <c r="B650" s="33">
        <f>IF(C650="","",IF(P650="À RENSEIGNER","GIC",P650)&amp;"-V"&amp;TEXT(A650,"00000"))</f>
        <v/>
      </c>
      <c r="C650" s="32" t="n"/>
      <c r="D650" s="35" t="n"/>
      <c r="E650" s="36" t="n"/>
      <c r="F650" s="36" t="n"/>
      <c r="G650" s="36" t="n"/>
      <c r="H650" s="36" t="n"/>
      <c r="I650" s="36" t="n"/>
      <c r="J650" s="37" t="n"/>
      <c r="K650" s="32" t="n"/>
      <c r="L650" s="36" t="n"/>
      <c r="M650" s="41" t="n"/>
      <c r="N650" s="41" t="n"/>
      <c r="O650" s="36" t="n"/>
      <c r="P650" s="33">
        <f>IF(C650="","",Commercial_Id)</f>
        <v/>
      </c>
      <c r="Q650" s="39">
        <f>IF(F650="","",IFERROR(VALUE(MID(F650,LEN(F650)-3,3)),""))</f>
        <v/>
      </c>
      <c r="R650" s="33">
        <f>IF(Q650="","",P650&amp;"|"&amp;Q650)</f>
        <v/>
      </c>
      <c r="S650" s="33">
        <f>IF(Q650="","",IF(P650="À RENSEIGNER","GIC",P650)&amp;"-"&amp;TEXT(Q650,"000"))</f>
        <v/>
      </c>
      <c r="T650" s="33">
        <f>IF(R650="","",IFERROR(INDEX(Cl_nom,MATCH(R650,Cl_cle,0)),"(client introuvable)"))</f>
        <v/>
      </c>
      <c r="U650" s="33">
        <f>IF(R650="","",IFERROR(INDEX(Cl_quartier,MATCH(R650,Cl_cle,0))&amp;"",""))</f>
        <v/>
      </c>
      <c r="V650" s="34">
        <f>IF(C650="","",YEAR(C650-WEEKDAY(C650,2)+4)&amp;"-S"&amp;TEXT(INT((C650-DATE(YEAR(C650-WEEKDAY(C650,2)+4),1,3)+WEEKDAY(DATE(YEAR(C650-WEEKDAY(C650,2)+4),1,3),2)+5)/7),"00"))</f>
        <v/>
      </c>
    </row>
    <row r="651" ht="18" customHeight="1">
      <c r="A651" s="39" t="n">
        <v>646</v>
      </c>
      <c r="B651" s="33">
        <f>IF(C651="","",IF(P651="À RENSEIGNER","GIC",P651)&amp;"-V"&amp;TEXT(A651,"00000"))</f>
        <v/>
      </c>
      <c r="C651" s="32" t="n"/>
      <c r="D651" s="35" t="n"/>
      <c r="E651" s="36" t="n"/>
      <c r="F651" s="36" t="n"/>
      <c r="G651" s="36" t="n"/>
      <c r="H651" s="36" t="n"/>
      <c r="I651" s="36" t="n"/>
      <c r="J651" s="37" t="n"/>
      <c r="K651" s="32" t="n"/>
      <c r="L651" s="36" t="n"/>
      <c r="M651" s="41" t="n"/>
      <c r="N651" s="41" t="n"/>
      <c r="O651" s="36" t="n"/>
      <c r="P651" s="33">
        <f>IF(C651="","",Commercial_Id)</f>
        <v/>
      </c>
      <c r="Q651" s="39">
        <f>IF(F651="","",IFERROR(VALUE(MID(F651,LEN(F651)-3,3)),""))</f>
        <v/>
      </c>
      <c r="R651" s="33">
        <f>IF(Q651="","",P651&amp;"|"&amp;Q651)</f>
        <v/>
      </c>
      <c r="S651" s="33">
        <f>IF(Q651="","",IF(P651="À RENSEIGNER","GIC",P651)&amp;"-"&amp;TEXT(Q651,"000"))</f>
        <v/>
      </c>
      <c r="T651" s="33">
        <f>IF(R651="","",IFERROR(INDEX(Cl_nom,MATCH(R651,Cl_cle,0)),"(client introuvable)"))</f>
        <v/>
      </c>
      <c r="U651" s="33">
        <f>IF(R651="","",IFERROR(INDEX(Cl_quartier,MATCH(R651,Cl_cle,0))&amp;"",""))</f>
        <v/>
      </c>
      <c r="V651" s="34">
        <f>IF(C651="","",YEAR(C651-WEEKDAY(C651,2)+4)&amp;"-S"&amp;TEXT(INT((C651-DATE(YEAR(C651-WEEKDAY(C651,2)+4),1,3)+WEEKDAY(DATE(YEAR(C651-WEEKDAY(C651,2)+4),1,3),2)+5)/7),"00"))</f>
        <v/>
      </c>
    </row>
    <row r="652" ht="18" customHeight="1">
      <c r="A652" s="39" t="n">
        <v>647</v>
      </c>
      <c r="B652" s="33">
        <f>IF(C652="","",IF(P652="À RENSEIGNER","GIC",P652)&amp;"-V"&amp;TEXT(A652,"00000"))</f>
        <v/>
      </c>
      <c r="C652" s="32" t="n"/>
      <c r="D652" s="35" t="n"/>
      <c r="E652" s="36" t="n"/>
      <c r="F652" s="36" t="n"/>
      <c r="G652" s="36" t="n"/>
      <c r="H652" s="36" t="n"/>
      <c r="I652" s="36" t="n"/>
      <c r="J652" s="37" t="n"/>
      <c r="K652" s="32" t="n"/>
      <c r="L652" s="36" t="n"/>
      <c r="M652" s="41" t="n"/>
      <c r="N652" s="41" t="n"/>
      <c r="O652" s="36" t="n"/>
      <c r="P652" s="33">
        <f>IF(C652="","",Commercial_Id)</f>
        <v/>
      </c>
      <c r="Q652" s="39">
        <f>IF(F652="","",IFERROR(VALUE(MID(F652,LEN(F652)-3,3)),""))</f>
        <v/>
      </c>
      <c r="R652" s="33">
        <f>IF(Q652="","",P652&amp;"|"&amp;Q652)</f>
        <v/>
      </c>
      <c r="S652" s="33">
        <f>IF(Q652="","",IF(P652="À RENSEIGNER","GIC",P652)&amp;"-"&amp;TEXT(Q652,"000"))</f>
        <v/>
      </c>
      <c r="T652" s="33">
        <f>IF(R652="","",IFERROR(INDEX(Cl_nom,MATCH(R652,Cl_cle,0)),"(client introuvable)"))</f>
        <v/>
      </c>
      <c r="U652" s="33">
        <f>IF(R652="","",IFERROR(INDEX(Cl_quartier,MATCH(R652,Cl_cle,0))&amp;"",""))</f>
        <v/>
      </c>
      <c r="V652" s="34">
        <f>IF(C652="","",YEAR(C652-WEEKDAY(C652,2)+4)&amp;"-S"&amp;TEXT(INT((C652-DATE(YEAR(C652-WEEKDAY(C652,2)+4),1,3)+WEEKDAY(DATE(YEAR(C652-WEEKDAY(C652,2)+4),1,3),2)+5)/7),"00"))</f>
        <v/>
      </c>
    </row>
    <row r="653" ht="18" customHeight="1">
      <c r="A653" s="39" t="n">
        <v>648</v>
      </c>
      <c r="B653" s="33">
        <f>IF(C653="","",IF(P653="À RENSEIGNER","GIC",P653)&amp;"-V"&amp;TEXT(A653,"00000"))</f>
        <v/>
      </c>
      <c r="C653" s="32" t="n"/>
      <c r="D653" s="35" t="n"/>
      <c r="E653" s="36" t="n"/>
      <c r="F653" s="36" t="n"/>
      <c r="G653" s="36" t="n"/>
      <c r="H653" s="36" t="n"/>
      <c r="I653" s="36" t="n"/>
      <c r="J653" s="37" t="n"/>
      <c r="K653" s="32" t="n"/>
      <c r="L653" s="36" t="n"/>
      <c r="M653" s="41" t="n"/>
      <c r="N653" s="41" t="n"/>
      <c r="O653" s="36" t="n"/>
      <c r="P653" s="33">
        <f>IF(C653="","",Commercial_Id)</f>
        <v/>
      </c>
      <c r="Q653" s="39">
        <f>IF(F653="","",IFERROR(VALUE(MID(F653,LEN(F653)-3,3)),""))</f>
        <v/>
      </c>
      <c r="R653" s="33">
        <f>IF(Q653="","",P653&amp;"|"&amp;Q653)</f>
        <v/>
      </c>
      <c r="S653" s="33">
        <f>IF(Q653="","",IF(P653="À RENSEIGNER","GIC",P653)&amp;"-"&amp;TEXT(Q653,"000"))</f>
        <v/>
      </c>
      <c r="T653" s="33">
        <f>IF(R653="","",IFERROR(INDEX(Cl_nom,MATCH(R653,Cl_cle,0)),"(client introuvable)"))</f>
        <v/>
      </c>
      <c r="U653" s="33">
        <f>IF(R653="","",IFERROR(INDEX(Cl_quartier,MATCH(R653,Cl_cle,0))&amp;"",""))</f>
        <v/>
      </c>
      <c r="V653" s="34">
        <f>IF(C653="","",YEAR(C653-WEEKDAY(C653,2)+4)&amp;"-S"&amp;TEXT(INT((C653-DATE(YEAR(C653-WEEKDAY(C653,2)+4),1,3)+WEEKDAY(DATE(YEAR(C653-WEEKDAY(C653,2)+4),1,3),2)+5)/7),"00"))</f>
        <v/>
      </c>
    </row>
    <row r="654" ht="18" customHeight="1">
      <c r="A654" s="39" t="n">
        <v>649</v>
      </c>
      <c r="B654" s="33">
        <f>IF(C654="","",IF(P654="À RENSEIGNER","GIC",P654)&amp;"-V"&amp;TEXT(A654,"00000"))</f>
        <v/>
      </c>
      <c r="C654" s="32" t="n"/>
      <c r="D654" s="35" t="n"/>
      <c r="E654" s="36" t="n"/>
      <c r="F654" s="36" t="n"/>
      <c r="G654" s="36" t="n"/>
      <c r="H654" s="36" t="n"/>
      <c r="I654" s="36" t="n"/>
      <c r="J654" s="37" t="n"/>
      <c r="K654" s="32" t="n"/>
      <c r="L654" s="36" t="n"/>
      <c r="M654" s="41" t="n"/>
      <c r="N654" s="41" t="n"/>
      <c r="O654" s="36" t="n"/>
      <c r="P654" s="33">
        <f>IF(C654="","",Commercial_Id)</f>
        <v/>
      </c>
      <c r="Q654" s="39">
        <f>IF(F654="","",IFERROR(VALUE(MID(F654,LEN(F654)-3,3)),""))</f>
        <v/>
      </c>
      <c r="R654" s="33">
        <f>IF(Q654="","",P654&amp;"|"&amp;Q654)</f>
        <v/>
      </c>
      <c r="S654" s="33">
        <f>IF(Q654="","",IF(P654="À RENSEIGNER","GIC",P654)&amp;"-"&amp;TEXT(Q654,"000"))</f>
        <v/>
      </c>
      <c r="T654" s="33">
        <f>IF(R654="","",IFERROR(INDEX(Cl_nom,MATCH(R654,Cl_cle,0)),"(client introuvable)"))</f>
        <v/>
      </c>
      <c r="U654" s="33">
        <f>IF(R654="","",IFERROR(INDEX(Cl_quartier,MATCH(R654,Cl_cle,0))&amp;"",""))</f>
        <v/>
      </c>
      <c r="V654" s="34">
        <f>IF(C654="","",YEAR(C654-WEEKDAY(C654,2)+4)&amp;"-S"&amp;TEXT(INT((C654-DATE(YEAR(C654-WEEKDAY(C654,2)+4),1,3)+WEEKDAY(DATE(YEAR(C654-WEEKDAY(C654,2)+4),1,3),2)+5)/7),"00"))</f>
        <v/>
      </c>
    </row>
    <row r="655" ht="18" customHeight="1">
      <c r="A655" s="39" t="n">
        <v>650</v>
      </c>
      <c r="B655" s="33">
        <f>IF(C655="","",IF(P655="À RENSEIGNER","GIC",P655)&amp;"-V"&amp;TEXT(A655,"00000"))</f>
        <v/>
      </c>
      <c r="C655" s="32" t="n"/>
      <c r="D655" s="35" t="n"/>
      <c r="E655" s="36" t="n"/>
      <c r="F655" s="36" t="n"/>
      <c r="G655" s="36" t="n"/>
      <c r="H655" s="36" t="n"/>
      <c r="I655" s="36" t="n"/>
      <c r="J655" s="37" t="n"/>
      <c r="K655" s="32" t="n"/>
      <c r="L655" s="36" t="n"/>
      <c r="M655" s="41" t="n"/>
      <c r="N655" s="41" t="n"/>
      <c r="O655" s="36" t="n"/>
      <c r="P655" s="33">
        <f>IF(C655="","",Commercial_Id)</f>
        <v/>
      </c>
      <c r="Q655" s="39">
        <f>IF(F655="","",IFERROR(VALUE(MID(F655,LEN(F655)-3,3)),""))</f>
        <v/>
      </c>
      <c r="R655" s="33">
        <f>IF(Q655="","",P655&amp;"|"&amp;Q655)</f>
        <v/>
      </c>
      <c r="S655" s="33">
        <f>IF(Q655="","",IF(P655="À RENSEIGNER","GIC",P655)&amp;"-"&amp;TEXT(Q655,"000"))</f>
        <v/>
      </c>
      <c r="T655" s="33">
        <f>IF(R655="","",IFERROR(INDEX(Cl_nom,MATCH(R655,Cl_cle,0)),"(client introuvable)"))</f>
        <v/>
      </c>
      <c r="U655" s="33">
        <f>IF(R655="","",IFERROR(INDEX(Cl_quartier,MATCH(R655,Cl_cle,0))&amp;"",""))</f>
        <v/>
      </c>
      <c r="V655" s="34">
        <f>IF(C655="","",YEAR(C655-WEEKDAY(C655,2)+4)&amp;"-S"&amp;TEXT(INT((C655-DATE(YEAR(C655-WEEKDAY(C655,2)+4),1,3)+WEEKDAY(DATE(YEAR(C655-WEEKDAY(C655,2)+4),1,3),2)+5)/7),"00"))</f>
        <v/>
      </c>
    </row>
    <row r="656" ht="18" customHeight="1">
      <c r="A656" s="39" t="n">
        <v>651</v>
      </c>
      <c r="B656" s="33">
        <f>IF(C656="","",IF(P656="À RENSEIGNER","GIC",P656)&amp;"-V"&amp;TEXT(A656,"00000"))</f>
        <v/>
      </c>
      <c r="C656" s="32" t="n"/>
      <c r="D656" s="35" t="n"/>
      <c r="E656" s="36" t="n"/>
      <c r="F656" s="36" t="n"/>
      <c r="G656" s="36" t="n"/>
      <c r="H656" s="36" t="n"/>
      <c r="I656" s="36" t="n"/>
      <c r="J656" s="37" t="n"/>
      <c r="K656" s="32" t="n"/>
      <c r="L656" s="36" t="n"/>
      <c r="M656" s="41" t="n"/>
      <c r="N656" s="41" t="n"/>
      <c r="O656" s="36" t="n"/>
      <c r="P656" s="33">
        <f>IF(C656="","",Commercial_Id)</f>
        <v/>
      </c>
      <c r="Q656" s="39">
        <f>IF(F656="","",IFERROR(VALUE(MID(F656,LEN(F656)-3,3)),""))</f>
        <v/>
      </c>
      <c r="R656" s="33">
        <f>IF(Q656="","",P656&amp;"|"&amp;Q656)</f>
        <v/>
      </c>
      <c r="S656" s="33">
        <f>IF(Q656="","",IF(P656="À RENSEIGNER","GIC",P656)&amp;"-"&amp;TEXT(Q656,"000"))</f>
        <v/>
      </c>
      <c r="T656" s="33">
        <f>IF(R656="","",IFERROR(INDEX(Cl_nom,MATCH(R656,Cl_cle,0)),"(client introuvable)"))</f>
        <v/>
      </c>
      <c r="U656" s="33">
        <f>IF(R656="","",IFERROR(INDEX(Cl_quartier,MATCH(R656,Cl_cle,0))&amp;"",""))</f>
        <v/>
      </c>
      <c r="V656" s="34">
        <f>IF(C656="","",YEAR(C656-WEEKDAY(C656,2)+4)&amp;"-S"&amp;TEXT(INT((C656-DATE(YEAR(C656-WEEKDAY(C656,2)+4),1,3)+WEEKDAY(DATE(YEAR(C656-WEEKDAY(C656,2)+4),1,3),2)+5)/7),"00"))</f>
        <v/>
      </c>
    </row>
    <row r="657" ht="18" customHeight="1">
      <c r="A657" s="39" t="n">
        <v>652</v>
      </c>
      <c r="B657" s="33">
        <f>IF(C657="","",IF(P657="À RENSEIGNER","GIC",P657)&amp;"-V"&amp;TEXT(A657,"00000"))</f>
        <v/>
      </c>
      <c r="C657" s="32" t="n"/>
      <c r="D657" s="35" t="n"/>
      <c r="E657" s="36" t="n"/>
      <c r="F657" s="36" t="n"/>
      <c r="G657" s="36" t="n"/>
      <c r="H657" s="36" t="n"/>
      <c r="I657" s="36" t="n"/>
      <c r="J657" s="37" t="n"/>
      <c r="K657" s="32" t="n"/>
      <c r="L657" s="36" t="n"/>
      <c r="M657" s="41" t="n"/>
      <c r="N657" s="41" t="n"/>
      <c r="O657" s="36" t="n"/>
      <c r="P657" s="33">
        <f>IF(C657="","",Commercial_Id)</f>
        <v/>
      </c>
      <c r="Q657" s="39">
        <f>IF(F657="","",IFERROR(VALUE(MID(F657,LEN(F657)-3,3)),""))</f>
        <v/>
      </c>
      <c r="R657" s="33">
        <f>IF(Q657="","",P657&amp;"|"&amp;Q657)</f>
        <v/>
      </c>
      <c r="S657" s="33">
        <f>IF(Q657="","",IF(P657="À RENSEIGNER","GIC",P657)&amp;"-"&amp;TEXT(Q657,"000"))</f>
        <v/>
      </c>
      <c r="T657" s="33">
        <f>IF(R657="","",IFERROR(INDEX(Cl_nom,MATCH(R657,Cl_cle,0)),"(client introuvable)"))</f>
        <v/>
      </c>
      <c r="U657" s="33">
        <f>IF(R657="","",IFERROR(INDEX(Cl_quartier,MATCH(R657,Cl_cle,0))&amp;"",""))</f>
        <v/>
      </c>
      <c r="V657" s="34">
        <f>IF(C657="","",YEAR(C657-WEEKDAY(C657,2)+4)&amp;"-S"&amp;TEXT(INT((C657-DATE(YEAR(C657-WEEKDAY(C657,2)+4),1,3)+WEEKDAY(DATE(YEAR(C657-WEEKDAY(C657,2)+4),1,3),2)+5)/7),"00"))</f>
        <v/>
      </c>
    </row>
    <row r="658" ht="18" customHeight="1">
      <c r="A658" s="39" t="n">
        <v>653</v>
      </c>
      <c r="B658" s="33">
        <f>IF(C658="","",IF(P658="À RENSEIGNER","GIC",P658)&amp;"-V"&amp;TEXT(A658,"00000"))</f>
        <v/>
      </c>
      <c r="C658" s="32" t="n"/>
      <c r="D658" s="35" t="n"/>
      <c r="E658" s="36" t="n"/>
      <c r="F658" s="36" t="n"/>
      <c r="G658" s="36" t="n"/>
      <c r="H658" s="36" t="n"/>
      <c r="I658" s="36" t="n"/>
      <c r="J658" s="37" t="n"/>
      <c r="K658" s="32" t="n"/>
      <c r="L658" s="36" t="n"/>
      <c r="M658" s="41" t="n"/>
      <c r="N658" s="41" t="n"/>
      <c r="O658" s="36" t="n"/>
      <c r="P658" s="33">
        <f>IF(C658="","",Commercial_Id)</f>
        <v/>
      </c>
      <c r="Q658" s="39">
        <f>IF(F658="","",IFERROR(VALUE(MID(F658,LEN(F658)-3,3)),""))</f>
        <v/>
      </c>
      <c r="R658" s="33">
        <f>IF(Q658="","",P658&amp;"|"&amp;Q658)</f>
        <v/>
      </c>
      <c r="S658" s="33">
        <f>IF(Q658="","",IF(P658="À RENSEIGNER","GIC",P658)&amp;"-"&amp;TEXT(Q658,"000"))</f>
        <v/>
      </c>
      <c r="T658" s="33">
        <f>IF(R658="","",IFERROR(INDEX(Cl_nom,MATCH(R658,Cl_cle,0)),"(client introuvable)"))</f>
        <v/>
      </c>
      <c r="U658" s="33">
        <f>IF(R658="","",IFERROR(INDEX(Cl_quartier,MATCH(R658,Cl_cle,0))&amp;"",""))</f>
        <v/>
      </c>
      <c r="V658" s="34">
        <f>IF(C658="","",YEAR(C658-WEEKDAY(C658,2)+4)&amp;"-S"&amp;TEXT(INT((C658-DATE(YEAR(C658-WEEKDAY(C658,2)+4),1,3)+WEEKDAY(DATE(YEAR(C658-WEEKDAY(C658,2)+4),1,3),2)+5)/7),"00"))</f>
        <v/>
      </c>
    </row>
    <row r="659" ht="18" customHeight="1">
      <c r="A659" s="39" t="n">
        <v>654</v>
      </c>
      <c r="B659" s="33">
        <f>IF(C659="","",IF(P659="À RENSEIGNER","GIC",P659)&amp;"-V"&amp;TEXT(A659,"00000"))</f>
        <v/>
      </c>
      <c r="C659" s="32" t="n"/>
      <c r="D659" s="35" t="n"/>
      <c r="E659" s="36" t="n"/>
      <c r="F659" s="36" t="n"/>
      <c r="G659" s="36" t="n"/>
      <c r="H659" s="36" t="n"/>
      <c r="I659" s="36" t="n"/>
      <c r="J659" s="37" t="n"/>
      <c r="K659" s="32" t="n"/>
      <c r="L659" s="36" t="n"/>
      <c r="M659" s="41" t="n"/>
      <c r="N659" s="41" t="n"/>
      <c r="O659" s="36" t="n"/>
      <c r="P659" s="33">
        <f>IF(C659="","",Commercial_Id)</f>
        <v/>
      </c>
      <c r="Q659" s="39">
        <f>IF(F659="","",IFERROR(VALUE(MID(F659,LEN(F659)-3,3)),""))</f>
        <v/>
      </c>
      <c r="R659" s="33">
        <f>IF(Q659="","",P659&amp;"|"&amp;Q659)</f>
        <v/>
      </c>
      <c r="S659" s="33">
        <f>IF(Q659="","",IF(P659="À RENSEIGNER","GIC",P659)&amp;"-"&amp;TEXT(Q659,"000"))</f>
        <v/>
      </c>
      <c r="T659" s="33">
        <f>IF(R659="","",IFERROR(INDEX(Cl_nom,MATCH(R659,Cl_cle,0)),"(client introuvable)"))</f>
        <v/>
      </c>
      <c r="U659" s="33">
        <f>IF(R659="","",IFERROR(INDEX(Cl_quartier,MATCH(R659,Cl_cle,0))&amp;"",""))</f>
        <v/>
      </c>
      <c r="V659" s="34">
        <f>IF(C659="","",YEAR(C659-WEEKDAY(C659,2)+4)&amp;"-S"&amp;TEXT(INT((C659-DATE(YEAR(C659-WEEKDAY(C659,2)+4),1,3)+WEEKDAY(DATE(YEAR(C659-WEEKDAY(C659,2)+4),1,3),2)+5)/7),"00"))</f>
        <v/>
      </c>
    </row>
    <row r="660" ht="18" customHeight="1">
      <c r="A660" s="39" t="n">
        <v>655</v>
      </c>
      <c r="B660" s="33">
        <f>IF(C660="","",IF(P660="À RENSEIGNER","GIC",P660)&amp;"-V"&amp;TEXT(A660,"00000"))</f>
        <v/>
      </c>
      <c r="C660" s="32" t="n"/>
      <c r="D660" s="35" t="n"/>
      <c r="E660" s="36" t="n"/>
      <c r="F660" s="36" t="n"/>
      <c r="G660" s="36" t="n"/>
      <c r="H660" s="36" t="n"/>
      <c r="I660" s="36" t="n"/>
      <c r="J660" s="37" t="n"/>
      <c r="K660" s="32" t="n"/>
      <c r="L660" s="36" t="n"/>
      <c r="M660" s="41" t="n"/>
      <c r="N660" s="41" t="n"/>
      <c r="O660" s="36" t="n"/>
      <c r="P660" s="33">
        <f>IF(C660="","",Commercial_Id)</f>
        <v/>
      </c>
      <c r="Q660" s="39">
        <f>IF(F660="","",IFERROR(VALUE(MID(F660,LEN(F660)-3,3)),""))</f>
        <v/>
      </c>
      <c r="R660" s="33">
        <f>IF(Q660="","",P660&amp;"|"&amp;Q660)</f>
        <v/>
      </c>
      <c r="S660" s="33">
        <f>IF(Q660="","",IF(P660="À RENSEIGNER","GIC",P660)&amp;"-"&amp;TEXT(Q660,"000"))</f>
        <v/>
      </c>
      <c r="T660" s="33">
        <f>IF(R660="","",IFERROR(INDEX(Cl_nom,MATCH(R660,Cl_cle,0)),"(client introuvable)"))</f>
        <v/>
      </c>
      <c r="U660" s="33">
        <f>IF(R660="","",IFERROR(INDEX(Cl_quartier,MATCH(R660,Cl_cle,0))&amp;"",""))</f>
        <v/>
      </c>
      <c r="V660" s="34">
        <f>IF(C660="","",YEAR(C660-WEEKDAY(C660,2)+4)&amp;"-S"&amp;TEXT(INT((C660-DATE(YEAR(C660-WEEKDAY(C660,2)+4),1,3)+WEEKDAY(DATE(YEAR(C660-WEEKDAY(C660,2)+4),1,3),2)+5)/7),"00"))</f>
        <v/>
      </c>
    </row>
    <row r="661" ht="18" customHeight="1">
      <c r="A661" s="39" t="n">
        <v>656</v>
      </c>
      <c r="B661" s="33">
        <f>IF(C661="","",IF(P661="À RENSEIGNER","GIC",P661)&amp;"-V"&amp;TEXT(A661,"00000"))</f>
        <v/>
      </c>
      <c r="C661" s="32" t="n"/>
      <c r="D661" s="35" t="n"/>
      <c r="E661" s="36" t="n"/>
      <c r="F661" s="36" t="n"/>
      <c r="G661" s="36" t="n"/>
      <c r="H661" s="36" t="n"/>
      <c r="I661" s="36" t="n"/>
      <c r="J661" s="37" t="n"/>
      <c r="K661" s="32" t="n"/>
      <c r="L661" s="36" t="n"/>
      <c r="M661" s="41" t="n"/>
      <c r="N661" s="41" t="n"/>
      <c r="O661" s="36" t="n"/>
      <c r="P661" s="33">
        <f>IF(C661="","",Commercial_Id)</f>
        <v/>
      </c>
      <c r="Q661" s="39">
        <f>IF(F661="","",IFERROR(VALUE(MID(F661,LEN(F661)-3,3)),""))</f>
        <v/>
      </c>
      <c r="R661" s="33">
        <f>IF(Q661="","",P661&amp;"|"&amp;Q661)</f>
        <v/>
      </c>
      <c r="S661" s="33">
        <f>IF(Q661="","",IF(P661="À RENSEIGNER","GIC",P661)&amp;"-"&amp;TEXT(Q661,"000"))</f>
        <v/>
      </c>
      <c r="T661" s="33">
        <f>IF(R661="","",IFERROR(INDEX(Cl_nom,MATCH(R661,Cl_cle,0)),"(client introuvable)"))</f>
        <v/>
      </c>
      <c r="U661" s="33">
        <f>IF(R661="","",IFERROR(INDEX(Cl_quartier,MATCH(R661,Cl_cle,0))&amp;"",""))</f>
        <v/>
      </c>
      <c r="V661" s="34">
        <f>IF(C661="","",YEAR(C661-WEEKDAY(C661,2)+4)&amp;"-S"&amp;TEXT(INT((C661-DATE(YEAR(C661-WEEKDAY(C661,2)+4),1,3)+WEEKDAY(DATE(YEAR(C661-WEEKDAY(C661,2)+4),1,3),2)+5)/7),"00"))</f>
        <v/>
      </c>
    </row>
    <row r="662" ht="18" customHeight="1">
      <c r="A662" s="39" t="n">
        <v>657</v>
      </c>
      <c r="B662" s="33">
        <f>IF(C662="","",IF(P662="À RENSEIGNER","GIC",P662)&amp;"-V"&amp;TEXT(A662,"00000"))</f>
        <v/>
      </c>
      <c r="C662" s="32" t="n"/>
      <c r="D662" s="35" t="n"/>
      <c r="E662" s="36" t="n"/>
      <c r="F662" s="36" t="n"/>
      <c r="G662" s="36" t="n"/>
      <c r="H662" s="36" t="n"/>
      <c r="I662" s="36" t="n"/>
      <c r="J662" s="37" t="n"/>
      <c r="K662" s="32" t="n"/>
      <c r="L662" s="36" t="n"/>
      <c r="M662" s="41" t="n"/>
      <c r="N662" s="41" t="n"/>
      <c r="O662" s="36" t="n"/>
      <c r="P662" s="33">
        <f>IF(C662="","",Commercial_Id)</f>
        <v/>
      </c>
      <c r="Q662" s="39">
        <f>IF(F662="","",IFERROR(VALUE(MID(F662,LEN(F662)-3,3)),""))</f>
        <v/>
      </c>
      <c r="R662" s="33">
        <f>IF(Q662="","",P662&amp;"|"&amp;Q662)</f>
        <v/>
      </c>
      <c r="S662" s="33">
        <f>IF(Q662="","",IF(P662="À RENSEIGNER","GIC",P662)&amp;"-"&amp;TEXT(Q662,"000"))</f>
        <v/>
      </c>
      <c r="T662" s="33">
        <f>IF(R662="","",IFERROR(INDEX(Cl_nom,MATCH(R662,Cl_cle,0)),"(client introuvable)"))</f>
        <v/>
      </c>
      <c r="U662" s="33">
        <f>IF(R662="","",IFERROR(INDEX(Cl_quartier,MATCH(R662,Cl_cle,0))&amp;"",""))</f>
        <v/>
      </c>
      <c r="V662" s="34">
        <f>IF(C662="","",YEAR(C662-WEEKDAY(C662,2)+4)&amp;"-S"&amp;TEXT(INT((C662-DATE(YEAR(C662-WEEKDAY(C662,2)+4),1,3)+WEEKDAY(DATE(YEAR(C662-WEEKDAY(C662,2)+4),1,3),2)+5)/7),"00"))</f>
        <v/>
      </c>
    </row>
    <row r="663" ht="18" customHeight="1">
      <c r="A663" s="39" t="n">
        <v>658</v>
      </c>
      <c r="B663" s="33">
        <f>IF(C663="","",IF(P663="À RENSEIGNER","GIC",P663)&amp;"-V"&amp;TEXT(A663,"00000"))</f>
        <v/>
      </c>
      <c r="C663" s="32" t="n"/>
      <c r="D663" s="35" t="n"/>
      <c r="E663" s="36" t="n"/>
      <c r="F663" s="36" t="n"/>
      <c r="G663" s="36" t="n"/>
      <c r="H663" s="36" t="n"/>
      <c r="I663" s="36" t="n"/>
      <c r="J663" s="37" t="n"/>
      <c r="K663" s="32" t="n"/>
      <c r="L663" s="36" t="n"/>
      <c r="M663" s="41" t="n"/>
      <c r="N663" s="41" t="n"/>
      <c r="O663" s="36" t="n"/>
      <c r="P663" s="33">
        <f>IF(C663="","",Commercial_Id)</f>
        <v/>
      </c>
      <c r="Q663" s="39">
        <f>IF(F663="","",IFERROR(VALUE(MID(F663,LEN(F663)-3,3)),""))</f>
        <v/>
      </c>
      <c r="R663" s="33">
        <f>IF(Q663="","",P663&amp;"|"&amp;Q663)</f>
        <v/>
      </c>
      <c r="S663" s="33">
        <f>IF(Q663="","",IF(P663="À RENSEIGNER","GIC",P663)&amp;"-"&amp;TEXT(Q663,"000"))</f>
        <v/>
      </c>
      <c r="T663" s="33">
        <f>IF(R663="","",IFERROR(INDEX(Cl_nom,MATCH(R663,Cl_cle,0)),"(client introuvable)"))</f>
        <v/>
      </c>
      <c r="U663" s="33">
        <f>IF(R663="","",IFERROR(INDEX(Cl_quartier,MATCH(R663,Cl_cle,0))&amp;"",""))</f>
        <v/>
      </c>
      <c r="V663" s="34">
        <f>IF(C663="","",YEAR(C663-WEEKDAY(C663,2)+4)&amp;"-S"&amp;TEXT(INT((C663-DATE(YEAR(C663-WEEKDAY(C663,2)+4),1,3)+WEEKDAY(DATE(YEAR(C663-WEEKDAY(C663,2)+4),1,3),2)+5)/7),"00"))</f>
        <v/>
      </c>
    </row>
    <row r="664" ht="18" customHeight="1">
      <c r="A664" s="39" t="n">
        <v>659</v>
      </c>
      <c r="B664" s="33">
        <f>IF(C664="","",IF(P664="À RENSEIGNER","GIC",P664)&amp;"-V"&amp;TEXT(A664,"00000"))</f>
        <v/>
      </c>
      <c r="C664" s="32" t="n"/>
      <c r="D664" s="35" t="n"/>
      <c r="E664" s="36" t="n"/>
      <c r="F664" s="36" t="n"/>
      <c r="G664" s="36" t="n"/>
      <c r="H664" s="36" t="n"/>
      <c r="I664" s="36" t="n"/>
      <c r="J664" s="37" t="n"/>
      <c r="K664" s="32" t="n"/>
      <c r="L664" s="36" t="n"/>
      <c r="M664" s="41" t="n"/>
      <c r="N664" s="41" t="n"/>
      <c r="O664" s="36" t="n"/>
      <c r="P664" s="33">
        <f>IF(C664="","",Commercial_Id)</f>
        <v/>
      </c>
      <c r="Q664" s="39">
        <f>IF(F664="","",IFERROR(VALUE(MID(F664,LEN(F664)-3,3)),""))</f>
        <v/>
      </c>
      <c r="R664" s="33">
        <f>IF(Q664="","",P664&amp;"|"&amp;Q664)</f>
        <v/>
      </c>
      <c r="S664" s="33">
        <f>IF(Q664="","",IF(P664="À RENSEIGNER","GIC",P664)&amp;"-"&amp;TEXT(Q664,"000"))</f>
        <v/>
      </c>
      <c r="T664" s="33">
        <f>IF(R664="","",IFERROR(INDEX(Cl_nom,MATCH(R664,Cl_cle,0)),"(client introuvable)"))</f>
        <v/>
      </c>
      <c r="U664" s="33">
        <f>IF(R664="","",IFERROR(INDEX(Cl_quartier,MATCH(R664,Cl_cle,0))&amp;"",""))</f>
        <v/>
      </c>
      <c r="V664" s="34">
        <f>IF(C664="","",YEAR(C664-WEEKDAY(C664,2)+4)&amp;"-S"&amp;TEXT(INT((C664-DATE(YEAR(C664-WEEKDAY(C664,2)+4),1,3)+WEEKDAY(DATE(YEAR(C664-WEEKDAY(C664,2)+4),1,3),2)+5)/7),"00"))</f>
        <v/>
      </c>
    </row>
    <row r="665" ht="18" customHeight="1">
      <c r="A665" s="39" t="n">
        <v>660</v>
      </c>
      <c r="B665" s="33">
        <f>IF(C665="","",IF(P665="À RENSEIGNER","GIC",P665)&amp;"-V"&amp;TEXT(A665,"00000"))</f>
        <v/>
      </c>
      <c r="C665" s="32" t="n"/>
      <c r="D665" s="35" t="n"/>
      <c r="E665" s="36" t="n"/>
      <c r="F665" s="36" t="n"/>
      <c r="G665" s="36" t="n"/>
      <c r="H665" s="36" t="n"/>
      <c r="I665" s="36" t="n"/>
      <c r="J665" s="37" t="n"/>
      <c r="K665" s="32" t="n"/>
      <c r="L665" s="36" t="n"/>
      <c r="M665" s="41" t="n"/>
      <c r="N665" s="41" t="n"/>
      <c r="O665" s="36" t="n"/>
      <c r="P665" s="33">
        <f>IF(C665="","",Commercial_Id)</f>
        <v/>
      </c>
      <c r="Q665" s="39">
        <f>IF(F665="","",IFERROR(VALUE(MID(F665,LEN(F665)-3,3)),""))</f>
        <v/>
      </c>
      <c r="R665" s="33">
        <f>IF(Q665="","",P665&amp;"|"&amp;Q665)</f>
        <v/>
      </c>
      <c r="S665" s="33">
        <f>IF(Q665="","",IF(P665="À RENSEIGNER","GIC",P665)&amp;"-"&amp;TEXT(Q665,"000"))</f>
        <v/>
      </c>
      <c r="T665" s="33">
        <f>IF(R665="","",IFERROR(INDEX(Cl_nom,MATCH(R665,Cl_cle,0)),"(client introuvable)"))</f>
        <v/>
      </c>
      <c r="U665" s="33">
        <f>IF(R665="","",IFERROR(INDEX(Cl_quartier,MATCH(R665,Cl_cle,0))&amp;"",""))</f>
        <v/>
      </c>
      <c r="V665" s="34">
        <f>IF(C665="","",YEAR(C665-WEEKDAY(C665,2)+4)&amp;"-S"&amp;TEXT(INT((C665-DATE(YEAR(C665-WEEKDAY(C665,2)+4),1,3)+WEEKDAY(DATE(YEAR(C665-WEEKDAY(C665,2)+4),1,3),2)+5)/7),"00"))</f>
        <v/>
      </c>
    </row>
    <row r="666" ht="18" customHeight="1">
      <c r="A666" s="39" t="n">
        <v>661</v>
      </c>
      <c r="B666" s="33">
        <f>IF(C666="","",IF(P666="À RENSEIGNER","GIC",P666)&amp;"-V"&amp;TEXT(A666,"00000"))</f>
        <v/>
      </c>
      <c r="C666" s="32" t="n"/>
      <c r="D666" s="35" t="n"/>
      <c r="E666" s="36" t="n"/>
      <c r="F666" s="36" t="n"/>
      <c r="G666" s="36" t="n"/>
      <c r="H666" s="36" t="n"/>
      <c r="I666" s="36" t="n"/>
      <c r="J666" s="37" t="n"/>
      <c r="K666" s="32" t="n"/>
      <c r="L666" s="36" t="n"/>
      <c r="M666" s="41" t="n"/>
      <c r="N666" s="41" t="n"/>
      <c r="O666" s="36" t="n"/>
      <c r="P666" s="33">
        <f>IF(C666="","",Commercial_Id)</f>
        <v/>
      </c>
      <c r="Q666" s="39">
        <f>IF(F666="","",IFERROR(VALUE(MID(F666,LEN(F666)-3,3)),""))</f>
        <v/>
      </c>
      <c r="R666" s="33">
        <f>IF(Q666="","",P666&amp;"|"&amp;Q666)</f>
        <v/>
      </c>
      <c r="S666" s="33">
        <f>IF(Q666="","",IF(P666="À RENSEIGNER","GIC",P666)&amp;"-"&amp;TEXT(Q666,"000"))</f>
        <v/>
      </c>
      <c r="T666" s="33">
        <f>IF(R666="","",IFERROR(INDEX(Cl_nom,MATCH(R666,Cl_cle,0)),"(client introuvable)"))</f>
        <v/>
      </c>
      <c r="U666" s="33">
        <f>IF(R666="","",IFERROR(INDEX(Cl_quartier,MATCH(R666,Cl_cle,0))&amp;"",""))</f>
        <v/>
      </c>
      <c r="V666" s="34">
        <f>IF(C666="","",YEAR(C666-WEEKDAY(C666,2)+4)&amp;"-S"&amp;TEXT(INT((C666-DATE(YEAR(C666-WEEKDAY(C666,2)+4),1,3)+WEEKDAY(DATE(YEAR(C666-WEEKDAY(C666,2)+4),1,3),2)+5)/7),"00"))</f>
        <v/>
      </c>
    </row>
    <row r="667" ht="18" customHeight="1">
      <c r="A667" s="39" t="n">
        <v>662</v>
      </c>
      <c r="B667" s="33">
        <f>IF(C667="","",IF(P667="À RENSEIGNER","GIC",P667)&amp;"-V"&amp;TEXT(A667,"00000"))</f>
        <v/>
      </c>
      <c r="C667" s="32" t="n"/>
      <c r="D667" s="35" t="n"/>
      <c r="E667" s="36" t="n"/>
      <c r="F667" s="36" t="n"/>
      <c r="G667" s="36" t="n"/>
      <c r="H667" s="36" t="n"/>
      <c r="I667" s="36" t="n"/>
      <c r="J667" s="37" t="n"/>
      <c r="K667" s="32" t="n"/>
      <c r="L667" s="36" t="n"/>
      <c r="M667" s="41" t="n"/>
      <c r="N667" s="41" t="n"/>
      <c r="O667" s="36" t="n"/>
      <c r="P667" s="33">
        <f>IF(C667="","",Commercial_Id)</f>
        <v/>
      </c>
      <c r="Q667" s="39">
        <f>IF(F667="","",IFERROR(VALUE(MID(F667,LEN(F667)-3,3)),""))</f>
        <v/>
      </c>
      <c r="R667" s="33">
        <f>IF(Q667="","",P667&amp;"|"&amp;Q667)</f>
        <v/>
      </c>
      <c r="S667" s="33">
        <f>IF(Q667="","",IF(P667="À RENSEIGNER","GIC",P667)&amp;"-"&amp;TEXT(Q667,"000"))</f>
        <v/>
      </c>
      <c r="T667" s="33">
        <f>IF(R667="","",IFERROR(INDEX(Cl_nom,MATCH(R667,Cl_cle,0)),"(client introuvable)"))</f>
        <v/>
      </c>
      <c r="U667" s="33">
        <f>IF(R667="","",IFERROR(INDEX(Cl_quartier,MATCH(R667,Cl_cle,0))&amp;"",""))</f>
        <v/>
      </c>
      <c r="V667" s="34">
        <f>IF(C667="","",YEAR(C667-WEEKDAY(C667,2)+4)&amp;"-S"&amp;TEXT(INT((C667-DATE(YEAR(C667-WEEKDAY(C667,2)+4),1,3)+WEEKDAY(DATE(YEAR(C667-WEEKDAY(C667,2)+4),1,3),2)+5)/7),"00"))</f>
        <v/>
      </c>
    </row>
    <row r="668" ht="18" customHeight="1">
      <c r="A668" s="39" t="n">
        <v>663</v>
      </c>
      <c r="B668" s="33">
        <f>IF(C668="","",IF(P668="À RENSEIGNER","GIC",P668)&amp;"-V"&amp;TEXT(A668,"00000"))</f>
        <v/>
      </c>
      <c r="C668" s="32" t="n"/>
      <c r="D668" s="35" t="n"/>
      <c r="E668" s="36" t="n"/>
      <c r="F668" s="36" t="n"/>
      <c r="G668" s="36" t="n"/>
      <c r="H668" s="36" t="n"/>
      <c r="I668" s="36" t="n"/>
      <c r="J668" s="37" t="n"/>
      <c r="K668" s="32" t="n"/>
      <c r="L668" s="36" t="n"/>
      <c r="M668" s="41" t="n"/>
      <c r="N668" s="41" t="n"/>
      <c r="O668" s="36" t="n"/>
      <c r="P668" s="33">
        <f>IF(C668="","",Commercial_Id)</f>
        <v/>
      </c>
      <c r="Q668" s="39">
        <f>IF(F668="","",IFERROR(VALUE(MID(F668,LEN(F668)-3,3)),""))</f>
        <v/>
      </c>
      <c r="R668" s="33">
        <f>IF(Q668="","",P668&amp;"|"&amp;Q668)</f>
        <v/>
      </c>
      <c r="S668" s="33">
        <f>IF(Q668="","",IF(P668="À RENSEIGNER","GIC",P668)&amp;"-"&amp;TEXT(Q668,"000"))</f>
        <v/>
      </c>
      <c r="T668" s="33">
        <f>IF(R668="","",IFERROR(INDEX(Cl_nom,MATCH(R668,Cl_cle,0)),"(client introuvable)"))</f>
        <v/>
      </c>
      <c r="U668" s="33">
        <f>IF(R668="","",IFERROR(INDEX(Cl_quartier,MATCH(R668,Cl_cle,0))&amp;"",""))</f>
        <v/>
      </c>
      <c r="V668" s="34">
        <f>IF(C668="","",YEAR(C668-WEEKDAY(C668,2)+4)&amp;"-S"&amp;TEXT(INT((C668-DATE(YEAR(C668-WEEKDAY(C668,2)+4),1,3)+WEEKDAY(DATE(YEAR(C668-WEEKDAY(C668,2)+4),1,3),2)+5)/7),"00"))</f>
        <v/>
      </c>
    </row>
    <row r="669" ht="18" customHeight="1">
      <c r="A669" s="39" t="n">
        <v>664</v>
      </c>
      <c r="B669" s="33">
        <f>IF(C669="","",IF(P669="À RENSEIGNER","GIC",P669)&amp;"-V"&amp;TEXT(A669,"00000"))</f>
        <v/>
      </c>
      <c r="C669" s="32" t="n"/>
      <c r="D669" s="35" t="n"/>
      <c r="E669" s="36" t="n"/>
      <c r="F669" s="36" t="n"/>
      <c r="G669" s="36" t="n"/>
      <c r="H669" s="36" t="n"/>
      <c r="I669" s="36" t="n"/>
      <c r="J669" s="37" t="n"/>
      <c r="K669" s="32" t="n"/>
      <c r="L669" s="36" t="n"/>
      <c r="M669" s="41" t="n"/>
      <c r="N669" s="41" t="n"/>
      <c r="O669" s="36" t="n"/>
      <c r="P669" s="33">
        <f>IF(C669="","",Commercial_Id)</f>
        <v/>
      </c>
      <c r="Q669" s="39">
        <f>IF(F669="","",IFERROR(VALUE(MID(F669,LEN(F669)-3,3)),""))</f>
        <v/>
      </c>
      <c r="R669" s="33">
        <f>IF(Q669="","",P669&amp;"|"&amp;Q669)</f>
        <v/>
      </c>
      <c r="S669" s="33">
        <f>IF(Q669="","",IF(P669="À RENSEIGNER","GIC",P669)&amp;"-"&amp;TEXT(Q669,"000"))</f>
        <v/>
      </c>
      <c r="T669" s="33">
        <f>IF(R669="","",IFERROR(INDEX(Cl_nom,MATCH(R669,Cl_cle,0)),"(client introuvable)"))</f>
        <v/>
      </c>
      <c r="U669" s="33">
        <f>IF(R669="","",IFERROR(INDEX(Cl_quartier,MATCH(R669,Cl_cle,0))&amp;"",""))</f>
        <v/>
      </c>
      <c r="V669" s="34">
        <f>IF(C669="","",YEAR(C669-WEEKDAY(C669,2)+4)&amp;"-S"&amp;TEXT(INT((C669-DATE(YEAR(C669-WEEKDAY(C669,2)+4),1,3)+WEEKDAY(DATE(YEAR(C669-WEEKDAY(C669,2)+4),1,3),2)+5)/7),"00"))</f>
        <v/>
      </c>
    </row>
    <row r="670" ht="18" customHeight="1">
      <c r="A670" s="39" t="n">
        <v>665</v>
      </c>
      <c r="B670" s="33">
        <f>IF(C670="","",IF(P670="À RENSEIGNER","GIC",P670)&amp;"-V"&amp;TEXT(A670,"00000"))</f>
        <v/>
      </c>
      <c r="C670" s="32" t="n"/>
      <c r="D670" s="35" t="n"/>
      <c r="E670" s="36" t="n"/>
      <c r="F670" s="36" t="n"/>
      <c r="G670" s="36" t="n"/>
      <c r="H670" s="36" t="n"/>
      <c r="I670" s="36" t="n"/>
      <c r="J670" s="37" t="n"/>
      <c r="K670" s="32" t="n"/>
      <c r="L670" s="36" t="n"/>
      <c r="M670" s="41" t="n"/>
      <c r="N670" s="41" t="n"/>
      <c r="O670" s="36" t="n"/>
      <c r="P670" s="33">
        <f>IF(C670="","",Commercial_Id)</f>
        <v/>
      </c>
      <c r="Q670" s="39">
        <f>IF(F670="","",IFERROR(VALUE(MID(F670,LEN(F670)-3,3)),""))</f>
        <v/>
      </c>
      <c r="R670" s="33">
        <f>IF(Q670="","",P670&amp;"|"&amp;Q670)</f>
        <v/>
      </c>
      <c r="S670" s="33">
        <f>IF(Q670="","",IF(P670="À RENSEIGNER","GIC",P670)&amp;"-"&amp;TEXT(Q670,"000"))</f>
        <v/>
      </c>
      <c r="T670" s="33">
        <f>IF(R670="","",IFERROR(INDEX(Cl_nom,MATCH(R670,Cl_cle,0)),"(client introuvable)"))</f>
        <v/>
      </c>
      <c r="U670" s="33">
        <f>IF(R670="","",IFERROR(INDEX(Cl_quartier,MATCH(R670,Cl_cle,0))&amp;"",""))</f>
        <v/>
      </c>
      <c r="V670" s="34">
        <f>IF(C670="","",YEAR(C670-WEEKDAY(C670,2)+4)&amp;"-S"&amp;TEXT(INT((C670-DATE(YEAR(C670-WEEKDAY(C670,2)+4),1,3)+WEEKDAY(DATE(YEAR(C670-WEEKDAY(C670,2)+4),1,3),2)+5)/7),"00"))</f>
        <v/>
      </c>
    </row>
    <row r="671" ht="18" customHeight="1">
      <c r="A671" s="39" t="n">
        <v>666</v>
      </c>
      <c r="B671" s="33">
        <f>IF(C671="","",IF(P671="À RENSEIGNER","GIC",P671)&amp;"-V"&amp;TEXT(A671,"00000"))</f>
        <v/>
      </c>
      <c r="C671" s="32" t="n"/>
      <c r="D671" s="35" t="n"/>
      <c r="E671" s="36" t="n"/>
      <c r="F671" s="36" t="n"/>
      <c r="G671" s="36" t="n"/>
      <c r="H671" s="36" t="n"/>
      <c r="I671" s="36" t="n"/>
      <c r="J671" s="37" t="n"/>
      <c r="K671" s="32" t="n"/>
      <c r="L671" s="36" t="n"/>
      <c r="M671" s="41" t="n"/>
      <c r="N671" s="41" t="n"/>
      <c r="O671" s="36" t="n"/>
      <c r="P671" s="33">
        <f>IF(C671="","",Commercial_Id)</f>
        <v/>
      </c>
      <c r="Q671" s="39">
        <f>IF(F671="","",IFERROR(VALUE(MID(F671,LEN(F671)-3,3)),""))</f>
        <v/>
      </c>
      <c r="R671" s="33">
        <f>IF(Q671="","",P671&amp;"|"&amp;Q671)</f>
        <v/>
      </c>
      <c r="S671" s="33">
        <f>IF(Q671="","",IF(P671="À RENSEIGNER","GIC",P671)&amp;"-"&amp;TEXT(Q671,"000"))</f>
        <v/>
      </c>
      <c r="T671" s="33">
        <f>IF(R671="","",IFERROR(INDEX(Cl_nom,MATCH(R671,Cl_cle,0)),"(client introuvable)"))</f>
        <v/>
      </c>
      <c r="U671" s="33">
        <f>IF(R671="","",IFERROR(INDEX(Cl_quartier,MATCH(R671,Cl_cle,0))&amp;"",""))</f>
        <v/>
      </c>
      <c r="V671" s="34">
        <f>IF(C671="","",YEAR(C671-WEEKDAY(C671,2)+4)&amp;"-S"&amp;TEXT(INT((C671-DATE(YEAR(C671-WEEKDAY(C671,2)+4),1,3)+WEEKDAY(DATE(YEAR(C671-WEEKDAY(C671,2)+4),1,3),2)+5)/7),"00"))</f>
        <v/>
      </c>
    </row>
    <row r="672" ht="18" customHeight="1">
      <c r="A672" s="39" t="n">
        <v>667</v>
      </c>
      <c r="B672" s="33">
        <f>IF(C672="","",IF(P672="À RENSEIGNER","GIC",P672)&amp;"-V"&amp;TEXT(A672,"00000"))</f>
        <v/>
      </c>
      <c r="C672" s="32" t="n"/>
      <c r="D672" s="35" t="n"/>
      <c r="E672" s="36" t="n"/>
      <c r="F672" s="36" t="n"/>
      <c r="G672" s="36" t="n"/>
      <c r="H672" s="36" t="n"/>
      <c r="I672" s="36" t="n"/>
      <c r="J672" s="37" t="n"/>
      <c r="K672" s="32" t="n"/>
      <c r="L672" s="36" t="n"/>
      <c r="M672" s="41" t="n"/>
      <c r="N672" s="41" t="n"/>
      <c r="O672" s="36" t="n"/>
      <c r="P672" s="33">
        <f>IF(C672="","",Commercial_Id)</f>
        <v/>
      </c>
      <c r="Q672" s="39">
        <f>IF(F672="","",IFERROR(VALUE(MID(F672,LEN(F672)-3,3)),""))</f>
        <v/>
      </c>
      <c r="R672" s="33">
        <f>IF(Q672="","",P672&amp;"|"&amp;Q672)</f>
        <v/>
      </c>
      <c r="S672" s="33">
        <f>IF(Q672="","",IF(P672="À RENSEIGNER","GIC",P672)&amp;"-"&amp;TEXT(Q672,"000"))</f>
        <v/>
      </c>
      <c r="T672" s="33">
        <f>IF(R672="","",IFERROR(INDEX(Cl_nom,MATCH(R672,Cl_cle,0)),"(client introuvable)"))</f>
        <v/>
      </c>
      <c r="U672" s="33">
        <f>IF(R672="","",IFERROR(INDEX(Cl_quartier,MATCH(R672,Cl_cle,0))&amp;"",""))</f>
        <v/>
      </c>
      <c r="V672" s="34">
        <f>IF(C672="","",YEAR(C672-WEEKDAY(C672,2)+4)&amp;"-S"&amp;TEXT(INT((C672-DATE(YEAR(C672-WEEKDAY(C672,2)+4),1,3)+WEEKDAY(DATE(YEAR(C672-WEEKDAY(C672,2)+4),1,3),2)+5)/7),"00"))</f>
        <v/>
      </c>
    </row>
    <row r="673" ht="18" customHeight="1">
      <c r="A673" s="39" t="n">
        <v>668</v>
      </c>
      <c r="B673" s="33">
        <f>IF(C673="","",IF(P673="À RENSEIGNER","GIC",P673)&amp;"-V"&amp;TEXT(A673,"00000"))</f>
        <v/>
      </c>
      <c r="C673" s="32" t="n"/>
      <c r="D673" s="35" t="n"/>
      <c r="E673" s="36" t="n"/>
      <c r="F673" s="36" t="n"/>
      <c r="G673" s="36" t="n"/>
      <c r="H673" s="36" t="n"/>
      <c r="I673" s="36" t="n"/>
      <c r="J673" s="37" t="n"/>
      <c r="K673" s="32" t="n"/>
      <c r="L673" s="36" t="n"/>
      <c r="M673" s="41" t="n"/>
      <c r="N673" s="41" t="n"/>
      <c r="O673" s="36" t="n"/>
      <c r="P673" s="33">
        <f>IF(C673="","",Commercial_Id)</f>
        <v/>
      </c>
      <c r="Q673" s="39">
        <f>IF(F673="","",IFERROR(VALUE(MID(F673,LEN(F673)-3,3)),""))</f>
        <v/>
      </c>
      <c r="R673" s="33">
        <f>IF(Q673="","",P673&amp;"|"&amp;Q673)</f>
        <v/>
      </c>
      <c r="S673" s="33">
        <f>IF(Q673="","",IF(P673="À RENSEIGNER","GIC",P673)&amp;"-"&amp;TEXT(Q673,"000"))</f>
        <v/>
      </c>
      <c r="T673" s="33">
        <f>IF(R673="","",IFERROR(INDEX(Cl_nom,MATCH(R673,Cl_cle,0)),"(client introuvable)"))</f>
        <v/>
      </c>
      <c r="U673" s="33">
        <f>IF(R673="","",IFERROR(INDEX(Cl_quartier,MATCH(R673,Cl_cle,0))&amp;"",""))</f>
        <v/>
      </c>
      <c r="V673" s="34">
        <f>IF(C673="","",YEAR(C673-WEEKDAY(C673,2)+4)&amp;"-S"&amp;TEXT(INT((C673-DATE(YEAR(C673-WEEKDAY(C673,2)+4),1,3)+WEEKDAY(DATE(YEAR(C673-WEEKDAY(C673,2)+4),1,3),2)+5)/7),"00"))</f>
        <v/>
      </c>
    </row>
    <row r="674" ht="18" customHeight="1">
      <c r="A674" s="39" t="n">
        <v>669</v>
      </c>
      <c r="B674" s="33">
        <f>IF(C674="","",IF(P674="À RENSEIGNER","GIC",P674)&amp;"-V"&amp;TEXT(A674,"00000"))</f>
        <v/>
      </c>
      <c r="C674" s="32" t="n"/>
      <c r="D674" s="35" t="n"/>
      <c r="E674" s="36" t="n"/>
      <c r="F674" s="36" t="n"/>
      <c r="G674" s="36" t="n"/>
      <c r="H674" s="36" t="n"/>
      <c r="I674" s="36" t="n"/>
      <c r="J674" s="37" t="n"/>
      <c r="K674" s="32" t="n"/>
      <c r="L674" s="36" t="n"/>
      <c r="M674" s="41" t="n"/>
      <c r="N674" s="41" t="n"/>
      <c r="O674" s="36" t="n"/>
      <c r="P674" s="33">
        <f>IF(C674="","",Commercial_Id)</f>
        <v/>
      </c>
      <c r="Q674" s="39">
        <f>IF(F674="","",IFERROR(VALUE(MID(F674,LEN(F674)-3,3)),""))</f>
        <v/>
      </c>
      <c r="R674" s="33">
        <f>IF(Q674="","",P674&amp;"|"&amp;Q674)</f>
        <v/>
      </c>
      <c r="S674" s="33">
        <f>IF(Q674="","",IF(P674="À RENSEIGNER","GIC",P674)&amp;"-"&amp;TEXT(Q674,"000"))</f>
        <v/>
      </c>
      <c r="T674" s="33">
        <f>IF(R674="","",IFERROR(INDEX(Cl_nom,MATCH(R674,Cl_cle,0)),"(client introuvable)"))</f>
        <v/>
      </c>
      <c r="U674" s="33">
        <f>IF(R674="","",IFERROR(INDEX(Cl_quartier,MATCH(R674,Cl_cle,0))&amp;"",""))</f>
        <v/>
      </c>
      <c r="V674" s="34">
        <f>IF(C674="","",YEAR(C674-WEEKDAY(C674,2)+4)&amp;"-S"&amp;TEXT(INT((C674-DATE(YEAR(C674-WEEKDAY(C674,2)+4),1,3)+WEEKDAY(DATE(YEAR(C674-WEEKDAY(C674,2)+4),1,3),2)+5)/7),"00"))</f>
        <v/>
      </c>
    </row>
    <row r="675" ht="18" customHeight="1">
      <c r="A675" s="39" t="n">
        <v>670</v>
      </c>
      <c r="B675" s="33">
        <f>IF(C675="","",IF(P675="À RENSEIGNER","GIC",P675)&amp;"-V"&amp;TEXT(A675,"00000"))</f>
        <v/>
      </c>
      <c r="C675" s="32" t="n"/>
      <c r="D675" s="35" t="n"/>
      <c r="E675" s="36" t="n"/>
      <c r="F675" s="36" t="n"/>
      <c r="G675" s="36" t="n"/>
      <c r="H675" s="36" t="n"/>
      <c r="I675" s="36" t="n"/>
      <c r="J675" s="37" t="n"/>
      <c r="K675" s="32" t="n"/>
      <c r="L675" s="36" t="n"/>
      <c r="M675" s="41" t="n"/>
      <c r="N675" s="41" t="n"/>
      <c r="O675" s="36" t="n"/>
      <c r="P675" s="33">
        <f>IF(C675="","",Commercial_Id)</f>
        <v/>
      </c>
      <c r="Q675" s="39">
        <f>IF(F675="","",IFERROR(VALUE(MID(F675,LEN(F675)-3,3)),""))</f>
        <v/>
      </c>
      <c r="R675" s="33">
        <f>IF(Q675="","",P675&amp;"|"&amp;Q675)</f>
        <v/>
      </c>
      <c r="S675" s="33">
        <f>IF(Q675="","",IF(P675="À RENSEIGNER","GIC",P675)&amp;"-"&amp;TEXT(Q675,"000"))</f>
        <v/>
      </c>
      <c r="T675" s="33">
        <f>IF(R675="","",IFERROR(INDEX(Cl_nom,MATCH(R675,Cl_cle,0)),"(client introuvable)"))</f>
        <v/>
      </c>
      <c r="U675" s="33">
        <f>IF(R675="","",IFERROR(INDEX(Cl_quartier,MATCH(R675,Cl_cle,0))&amp;"",""))</f>
        <v/>
      </c>
      <c r="V675" s="34">
        <f>IF(C675="","",YEAR(C675-WEEKDAY(C675,2)+4)&amp;"-S"&amp;TEXT(INT((C675-DATE(YEAR(C675-WEEKDAY(C675,2)+4),1,3)+WEEKDAY(DATE(YEAR(C675-WEEKDAY(C675,2)+4),1,3),2)+5)/7),"00"))</f>
        <v/>
      </c>
    </row>
    <row r="676" ht="18" customHeight="1">
      <c r="A676" s="39" t="n">
        <v>671</v>
      </c>
      <c r="B676" s="33">
        <f>IF(C676="","",IF(P676="À RENSEIGNER","GIC",P676)&amp;"-V"&amp;TEXT(A676,"00000"))</f>
        <v/>
      </c>
      <c r="C676" s="32" t="n"/>
      <c r="D676" s="35" t="n"/>
      <c r="E676" s="36" t="n"/>
      <c r="F676" s="36" t="n"/>
      <c r="G676" s="36" t="n"/>
      <c r="H676" s="36" t="n"/>
      <c r="I676" s="36" t="n"/>
      <c r="J676" s="37" t="n"/>
      <c r="K676" s="32" t="n"/>
      <c r="L676" s="36" t="n"/>
      <c r="M676" s="41" t="n"/>
      <c r="N676" s="41" t="n"/>
      <c r="O676" s="36" t="n"/>
      <c r="P676" s="33">
        <f>IF(C676="","",Commercial_Id)</f>
        <v/>
      </c>
      <c r="Q676" s="39">
        <f>IF(F676="","",IFERROR(VALUE(MID(F676,LEN(F676)-3,3)),""))</f>
        <v/>
      </c>
      <c r="R676" s="33">
        <f>IF(Q676="","",P676&amp;"|"&amp;Q676)</f>
        <v/>
      </c>
      <c r="S676" s="33">
        <f>IF(Q676="","",IF(P676="À RENSEIGNER","GIC",P676)&amp;"-"&amp;TEXT(Q676,"000"))</f>
        <v/>
      </c>
      <c r="T676" s="33">
        <f>IF(R676="","",IFERROR(INDEX(Cl_nom,MATCH(R676,Cl_cle,0)),"(client introuvable)"))</f>
        <v/>
      </c>
      <c r="U676" s="33">
        <f>IF(R676="","",IFERROR(INDEX(Cl_quartier,MATCH(R676,Cl_cle,0))&amp;"",""))</f>
        <v/>
      </c>
      <c r="V676" s="34">
        <f>IF(C676="","",YEAR(C676-WEEKDAY(C676,2)+4)&amp;"-S"&amp;TEXT(INT((C676-DATE(YEAR(C676-WEEKDAY(C676,2)+4),1,3)+WEEKDAY(DATE(YEAR(C676-WEEKDAY(C676,2)+4),1,3),2)+5)/7),"00"))</f>
        <v/>
      </c>
    </row>
    <row r="677" ht="18" customHeight="1">
      <c r="A677" s="39" t="n">
        <v>672</v>
      </c>
      <c r="B677" s="33">
        <f>IF(C677="","",IF(P677="À RENSEIGNER","GIC",P677)&amp;"-V"&amp;TEXT(A677,"00000"))</f>
        <v/>
      </c>
      <c r="C677" s="32" t="n"/>
      <c r="D677" s="35" t="n"/>
      <c r="E677" s="36" t="n"/>
      <c r="F677" s="36" t="n"/>
      <c r="G677" s="36" t="n"/>
      <c r="H677" s="36" t="n"/>
      <c r="I677" s="36" t="n"/>
      <c r="J677" s="37" t="n"/>
      <c r="K677" s="32" t="n"/>
      <c r="L677" s="36" t="n"/>
      <c r="M677" s="41" t="n"/>
      <c r="N677" s="41" t="n"/>
      <c r="O677" s="36" t="n"/>
      <c r="P677" s="33">
        <f>IF(C677="","",Commercial_Id)</f>
        <v/>
      </c>
      <c r="Q677" s="39">
        <f>IF(F677="","",IFERROR(VALUE(MID(F677,LEN(F677)-3,3)),""))</f>
        <v/>
      </c>
      <c r="R677" s="33">
        <f>IF(Q677="","",P677&amp;"|"&amp;Q677)</f>
        <v/>
      </c>
      <c r="S677" s="33">
        <f>IF(Q677="","",IF(P677="À RENSEIGNER","GIC",P677)&amp;"-"&amp;TEXT(Q677,"000"))</f>
        <v/>
      </c>
      <c r="T677" s="33">
        <f>IF(R677="","",IFERROR(INDEX(Cl_nom,MATCH(R677,Cl_cle,0)),"(client introuvable)"))</f>
        <v/>
      </c>
      <c r="U677" s="33">
        <f>IF(R677="","",IFERROR(INDEX(Cl_quartier,MATCH(R677,Cl_cle,0))&amp;"",""))</f>
        <v/>
      </c>
      <c r="V677" s="34">
        <f>IF(C677="","",YEAR(C677-WEEKDAY(C677,2)+4)&amp;"-S"&amp;TEXT(INT((C677-DATE(YEAR(C677-WEEKDAY(C677,2)+4),1,3)+WEEKDAY(DATE(YEAR(C677-WEEKDAY(C677,2)+4),1,3),2)+5)/7),"00"))</f>
        <v/>
      </c>
    </row>
    <row r="678" ht="18" customHeight="1">
      <c r="A678" s="39" t="n">
        <v>673</v>
      </c>
      <c r="B678" s="33">
        <f>IF(C678="","",IF(P678="À RENSEIGNER","GIC",P678)&amp;"-V"&amp;TEXT(A678,"00000"))</f>
        <v/>
      </c>
      <c r="C678" s="32" t="n"/>
      <c r="D678" s="35" t="n"/>
      <c r="E678" s="36" t="n"/>
      <c r="F678" s="36" t="n"/>
      <c r="G678" s="36" t="n"/>
      <c r="H678" s="36" t="n"/>
      <c r="I678" s="36" t="n"/>
      <c r="J678" s="37" t="n"/>
      <c r="K678" s="32" t="n"/>
      <c r="L678" s="36" t="n"/>
      <c r="M678" s="41" t="n"/>
      <c r="N678" s="41" t="n"/>
      <c r="O678" s="36" t="n"/>
      <c r="P678" s="33">
        <f>IF(C678="","",Commercial_Id)</f>
        <v/>
      </c>
      <c r="Q678" s="39">
        <f>IF(F678="","",IFERROR(VALUE(MID(F678,LEN(F678)-3,3)),""))</f>
        <v/>
      </c>
      <c r="R678" s="33">
        <f>IF(Q678="","",P678&amp;"|"&amp;Q678)</f>
        <v/>
      </c>
      <c r="S678" s="33">
        <f>IF(Q678="","",IF(P678="À RENSEIGNER","GIC",P678)&amp;"-"&amp;TEXT(Q678,"000"))</f>
        <v/>
      </c>
      <c r="T678" s="33">
        <f>IF(R678="","",IFERROR(INDEX(Cl_nom,MATCH(R678,Cl_cle,0)),"(client introuvable)"))</f>
        <v/>
      </c>
      <c r="U678" s="33">
        <f>IF(R678="","",IFERROR(INDEX(Cl_quartier,MATCH(R678,Cl_cle,0))&amp;"",""))</f>
        <v/>
      </c>
      <c r="V678" s="34">
        <f>IF(C678="","",YEAR(C678-WEEKDAY(C678,2)+4)&amp;"-S"&amp;TEXT(INT((C678-DATE(YEAR(C678-WEEKDAY(C678,2)+4),1,3)+WEEKDAY(DATE(YEAR(C678-WEEKDAY(C678,2)+4),1,3),2)+5)/7),"00"))</f>
        <v/>
      </c>
    </row>
    <row r="679" ht="18" customHeight="1">
      <c r="A679" s="39" t="n">
        <v>674</v>
      </c>
      <c r="B679" s="33">
        <f>IF(C679="","",IF(P679="À RENSEIGNER","GIC",P679)&amp;"-V"&amp;TEXT(A679,"00000"))</f>
        <v/>
      </c>
      <c r="C679" s="32" t="n"/>
      <c r="D679" s="35" t="n"/>
      <c r="E679" s="36" t="n"/>
      <c r="F679" s="36" t="n"/>
      <c r="G679" s="36" t="n"/>
      <c r="H679" s="36" t="n"/>
      <c r="I679" s="36" t="n"/>
      <c r="J679" s="37" t="n"/>
      <c r="K679" s="32" t="n"/>
      <c r="L679" s="36" t="n"/>
      <c r="M679" s="41" t="n"/>
      <c r="N679" s="41" t="n"/>
      <c r="O679" s="36" t="n"/>
      <c r="P679" s="33">
        <f>IF(C679="","",Commercial_Id)</f>
        <v/>
      </c>
      <c r="Q679" s="39">
        <f>IF(F679="","",IFERROR(VALUE(MID(F679,LEN(F679)-3,3)),""))</f>
        <v/>
      </c>
      <c r="R679" s="33">
        <f>IF(Q679="","",P679&amp;"|"&amp;Q679)</f>
        <v/>
      </c>
      <c r="S679" s="33">
        <f>IF(Q679="","",IF(P679="À RENSEIGNER","GIC",P679)&amp;"-"&amp;TEXT(Q679,"000"))</f>
        <v/>
      </c>
      <c r="T679" s="33">
        <f>IF(R679="","",IFERROR(INDEX(Cl_nom,MATCH(R679,Cl_cle,0)),"(client introuvable)"))</f>
        <v/>
      </c>
      <c r="U679" s="33">
        <f>IF(R679="","",IFERROR(INDEX(Cl_quartier,MATCH(R679,Cl_cle,0))&amp;"",""))</f>
        <v/>
      </c>
      <c r="V679" s="34">
        <f>IF(C679="","",YEAR(C679-WEEKDAY(C679,2)+4)&amp;"-S"&amp;TEXT(INT((C679-DATE(YEAR(C679-WEEKDAY(C679,2)+4),1,3)+WEEKDAY(DATE(YEAR(C679-WEEKDAY(C679,2)+4),1,3),2)+5)/7),"00"))</f>
        <v/>
      </c>
    </row>
    <row r="680" ht="18" customHeight="1">
      <c r="A680" s="39" t="n">
        <v>675</v>
      </c>
      <c r="B680" s="33">
        <f>IF(C680="","",IF(P680="À RENSEIGNER","GIC",P680)&amp;"-V"&amp;TEXT(A680,"00000"))</f>
        <v/>
      </c>
      <c r="C680" s="32" t="n"/>
      <c r="D680" s="35" t="n"/>
      <c r="E680" s="36" t="n"/>
      <c r="F680" s="36" t="n"/>
      <c r="G680" s="36" t="n"/>
      <c r="H680" s="36" t="n"/>
      <c r="I680" s="36" t="n"/>
      <c r="J680" s="37" t="n"/>
      <c r="K680" s="32" t="n"/>
      <c r="L680" s="36" t="n"/>
      <c r="M680" s="41" t="n"/>
      <c r="N680" s="41" t="n"/>
      <c r="O680" s="36" t="n"/>
      <c r="P680" s="33">
        <f>IF(C680="","",Commercial_Id)</f>
        <v/>
      </c>
      <c r="Q680" s="39">
        <f>IF(F680="","",IFERROR(VALUE(MID(F680,LEN(F680)-3,3)),""))</f>
        <v/>
      </c>
      <c r="R680" s="33">
        <f>IF(Q680="","",P680&amp;"|"&amp;Q680)</f>
        <v/>
      </c>
      <c r="S680" s="33">
        <f>IF(Q680="","",IF(P680="À RENSEIGNER","GIC",P680)&amp;"-"&amp;TEXT(Q680,"000"))</f>
        <v/>
      </c>
      <c r="T680" s="33">
        <f>IF(R680="","",IFERROR(INDEX(Cl_nom,MATCH(R680,Cl_cle,0)),"(client introuvable)"))</f>
        <v/>
      </c>
      <c r="U680" s="33">
        <f>IF(R680="","",IFERROR(INDEX(Cl_quartier,MATCH(R680,Cl_cle,0))&amp;"",""))</f>
        <v/>
      </c>
      <c r="V680" s="34">
        <f>IF(C680="","",YEAR(C680-WEEKDAY(C680,2)+4)&amp;"-S"&amp;TEXT(INT((C680-DATE(YEAR(C680-WEEKDAY(C680,2)+4),1,3)+WEEKDAY(DATE(YEAR(C680-WEEKDAY(C680,2)+4),1,3),2)+5)/7),"00"))</f>
        <v/>
      </c>
    </row>
    <row r="681" ht="18" customHeight="1">
      <c r="A681" s="39" t="n">
        <v>676</v>
      </c>
      <c r="B681" s="33">
        <f>IF(C681="","",IF(P681="À RENSEIGNER","GIC",P681)&amp;"-V"&amp;TEXT(A681,"00000"))</f>
        <v/>
      </c>
      <c r="C681" s="32" t="n"/>
      <c r="D681" s="35" t="n"/>
      <c r="E681" s="36" t="n"/>
      <c r="F681" s="36" t="n"/>
      <c r="G681" s="36" t="n"/>
      <c r="H681" s="36" t="n"/>
      <c r="I681" s="36" t="n"/>
      <c r="J681" s="37" t="n"/>
      <c r="K681" s="32" t="n"/>
      <c r="L681" s="36" t="n"/>
      <c r="M681" s="41" t="n"/>
      <c r="N681" s="41" t="n"/>
      <c r="O681" s="36" t="n"/>
      <c r="P681" s="33">
        <f>IF(C681="","",Commercial_Id)</f>
        <v/>
      </c>
      <c r="Q681" s="39">
        <f>IF(F681="","",IFERROR(VALUE(MID(F681,LEN(F681)-3,3)),""))</f>
        <v/>
      </c>
      <c r="R681" s="33">
        <f>IF(Q681="","",P681&amp;"|"&amp;Q681)</f>
        <v/>
      </c>
      <c r="S681" s="33">
        <f>IF(Q681="","",IF(P681="À RENSEIGNER","GIC",P681)&amp;"-"&amp;TEXT(Q681,"000"))</f>
        <v/>
      </c>
      <c r="T681" s="33">
        <f>IF(R681="","",IFERROR(INDEX(Cl_nom,MATCH(R681,Cl_cle,0)),"(client introuvable)"))</f>
        <v/>
      </c>
      <c r="U681" s="33">
        <f>IF(R681="","",IFERROR(INDEX(Cl_quartier,MATCH(R681,Cl_cle,0))&amp;"",""))</f>
        <v/>
      </c>
      <c r="V681" s="34">
        <f>IF(C681="","",YEAR(C681-WEEKDAY(C681,2)+4)&amp;"-S"&amp;TEXT(INT((C681-DATE(YEAR(C681-WEEKDAY(C681,2)+4),1,3)+WEEKDAY(DATE(YEAR(C681-WEEKDAY(C681,2)+4),1,3),2)+5)/7),"00"))</f>
        <v/>
      </c>
    </row>
    <row r="682" ht="18" customHeight="1">
      <c r="A682" s="39" t="n">
        <v>677</v>
      </c>
      <c r="B682" s="33">
        <f>IF(C682="","",IF(P682="À RENSEIGNER","GIC",P682)&amp;"-V"&amp;TEXT(A682,"00000"))</f>
        <v/>
      </c>
      <c r="C682" s="32" t="n"/>
      <c r="D682" s="35" t="n"/>
      <c r="E682" s="36" t="n"/>
      <c r="F682" s="36" t="n"/>
      <c r="G682" s="36" t="n"/>
      <c r="H682" s="36" t="n"/>
      <c r="I682" s="36" t="n"/>
      <c r="J682" s="37" t="n"/>
      <c r="K682" s="32" t="n"/>
      <c r="L682" s="36" t="n"/>
      <c r="M682" s="41" t="n"/>
      <c r="N682" s="41" t="n"/>
      <c r="O682" s="36" t="n"/>
      <c r="P682" s="33">
        <f>IF(C682="","",Commercial_Id)</f>
        <v/>
      </c>
      <c r="Q682" s="39">
        <f>IF(F682="","",IFERROR(VALUE(MID(F682,LEN(F682)-3,3)),""))</f>
        <v/>
      </c>
      <c r="R682" s="33">
        <f>IF(Q682="","",P682&amp;"|"&amp;Q682)</f>
        <v/>
      </c>
      <c r="S682" s="33">
        <f>IF(Q682="","",IF(P682="À RENSEIGNER","GIC",P682)&amp;"-"&amp;TEXT(Q682,"000"))</f>
        <v/>
      </c>
      <c r="T682" s="33">
        <f>IF(R682="","",IFERROR(INDEX(Cl_nom,MATCH(R682,Cl_cle,0)),"(client introuvable)"))</f>
        <v/>
      </c>
      <c r="U682" s="33">
        <f>IF(R682="","",IFERROR(INDEX(Cl_quartier,MATCH(R682,Cl_cle,0))&amp;"",""))</f>
        <v/>
      </c>
      <c r="V682" s="34">
        <f>IF(C682="","",YEAR(C682-WEEKDAY(C682,2)+4)&amp;"-S"&amp;TEXT(INT((C682-DATE(YEAR(C682-WEEKDAY(C682,2)+4),1,3)+WEEKDAY(DATE(YEAR(C682-WEEKDAY(C682,2)+4),1,3),2)+5)/7),"00"))</f>
        <v/>
      </c>
    </row>
    <row r="683" ht="18" customHeight="1">
      <c r="A683" s="39" t="n">
        <v>678</v>
      </c>
      <c r="B683" s="33">
        <f>IF(C683="","",IF(P683="À RENSEIGNER","GIC",P683)&amp;"-V"&amp;TEXT(A683,"00000"))</f>
        <v/>
      </c>
      <c r="C683" s="32" t="n"/>
      <c r="D683" s="35" t="n"/>
      <c r="E683" s="36" t="n"/>
      <c r="F683" s="36" t="n"/>
      <c r="G683" s="36" t="n"/>
      <c r="H683" s="36" t="n"/>
      <c r="I683" s="36" t="n"/>
      <c r="J683" s="37" t="n"/>
      <c r="K683" s="32" t="n"/>
      <c r="L683" s="36" t="n"/>
      <c r="M683" s="41" t="n"/>
      <c r="N683" s="41" t="n"/>
      <c r="O683" s="36" t="n"/>
      <c r="P683" s="33">
        <f>IF(C683="","",Commercial_Id)</f>
        <v/>
      </c>
      <c r="Q683" s="39">
        <f>IF(F683="","",IFERROR(VALUE(MID(F683,LEN(F683)-3,3)),""))</f>
        <v/>
      </c>
      <c r="R683" s="33">
        <f>IF(Q683="","",P683&amp;"|"&amp;Q683)</f>
        <v/>
      </c>
      <c r="S683" s="33">
        <f>IF(Q683="","",IF(P683="À RENSEIGNER","GIC",P683)&amp;"-"&amp;TEXT(Q683,"000"))</f>
        <v/>
      </c>
      <c r="T683" s="33">
        <f>IF(R683="","",IFERROR(INDEX(Cl_nom,MATCH(R683,Cl_cle,0)),"(client introuvable)"))</f>
        <v/>
      </c>
      <c r="U683" s="33">
        <f>IF(R683="","",IFERROR(INDEX(Cl_quartier,MATCH(R683,Cl_cle,0))&amp;"",""))</f>
        <v/>
      </c>
      <c r="V683" s="34">
        <f>IF(C683="","",YEAR(C683-WEEKDAY(C683,2)+4)&amp;"-S"&amp;TEXT(INT((C683-DATE(YEAR(C683-WEEKDAY(C683,2)+4),1,3)+WEEKDAY(DATE(YEAR(C683-WEEKDAY(C683,2)+4),1,3),2)+5)/7),"00"))</f>
        <v/>
      </c>
    </row>
    <row r="684" ht="18" customHeight="1">
      <c r="A684" s="39" t="n">
        <v>679</v>
      </c>
      <c r="B684" s="33">
        <f>IF(C684="","",IF(P684="À RENSEIGNER","GIC",P684)&amp;"-V"&amp;TEXT(A684,"00000"))</f>
        <v/>
      </c>
      <c r="C684" s="32" t="n"/>
      <c r="D684" s="35" t="n"/>
      <c r="E684" s="36" t="n"/>
      <c r="F684" s="36" t="n"/>
      <c r="G684" s="36" t="n"/>
      <c r="H684" s="36" t="n"/>
      <c r="I684" s="36" t="n"/>
      <c r="J684" s="37" t="n"/>
      <c r="K684" s="32" t="n"/>
      <c r="L684" s="36" t="n"/>
      <c r="M684" s="41" t="n"/>
      <c r="N684" s="41" t="n"/>
      <c r="O684" s="36" t="n"/>
      <c r="P684" s="33">
        <f>IF(C684="","",Commercial_Id)</f>
        <v/>
      </c>
      <c r="Q684" s="39">
        <f>IF(F684="","",IFERROR(VALUE(MID(F684,LEN(F684)-3,3)),""))</f>
        <v/>
      </c>
      <c r="R684" s="33">
        <f>IF(Q684="","",P684&amp;"|"&amp;Q684)</f>
        <v/>
      </c>
      <c r="S684" s="33">
        <f>IF(Q684="","",IF(P684="À RENSEIGNER","GIC",P684)&amp;"-"&amp;TEXT(Q684,"000"))</f>
        <v/>
      </c>
      <c r="T684" s="33">
        <f>IF(R684="","",IFERROR(INDEX(Cl_nom,MATCH(R684,Cl_cle,0)),"(client introuvable)"))</f>
        <v/>
      </c>
      <c r="U684" s="33">
        <f>IF(R684="","",IFERROR(INDEX(Cl_quartier,MATCH(R684,Cl_cle,0))&amp;"",""))</f>
        <v/>
      </c>
      <c r="V684" s="34">
        <f>IF(C684="","",YEAR(C684-WEEKDAY(C684,2)+4)&amp;"-S"&amp;TEXT(INT((C684-DATE(YEAR(C684-WEEKDAY(C684,2)+4),1,3)+WEEKDAY(DATE(YEAR(C684-WEEKDAY(C684,2)+4),1,3),2)+5)/7),"00"))</f>
        <v/>
      </c>
    </row>
    <row r="685" ht="18" customHeight="1">
      <c r="A685" s="39" t="n">
        <v>680</v>
      </c>
      <c r="B685" s="33">
        <f>IF(C685="","",IF(P685="À RENSEIGNER","GIC",P685)&amp;"-V"&amp;TEXT(A685,"00000"))</f>
        <v/>
      </c>
      <c r="C685" s="32" t="n"/>
      <c r="D685" s="35" t="n"/>
      <c r="E685" s="36" t="n"/>
      <c r="F685" s="36" t="n"/>
      <c r="G685" s="36" t="n"/>
      <c r="H685" s="36" t="n"/>
      <c r="I685" s="36" t="n"/>
      <c r="J685" s="37" t="n"/>
      <c r="K685" s="32" t="n"/>
      <c r="L685" s="36" t="n"/>
      <c r="M685" s="41" t="n"/>
      <c r="N685" s="41" t="n"/>
      <c r="O685" s="36" t="n"/>
      <c r="P685" s="33">
        <f>IF(C685="","",Commercial_Id)</f>
        <v/>
      </c>
      <c r="Q685" s="39">
        <f>IF(F685="","",IFERROR(VALUE(MID(F685,LEN(F685)-3,3)),""))</f>
        <v/>
      </c>
      <c r="R685" s="33">
        <f>IF(Q685="","",P685&amp;"|"&amp;Q685)</f>
        <v/>
      </c>
      <c r="S685" s="33">
        <f>IF(Q685="","",IF(P685="À RENSEIGNER","GIC",P685)&amp;"-"&amp;TEXT(Q685,"000"))</f>
        <v/>
      </c>
      <c r="T685" s="33">
        <f>IF(R685="","",IFERROR(INDEX(Cl_nom,MATCH(R685,Cl_cle,0)),"(client introuvable)"))</f>
        <v/>
      </c>
      <c r="U685" s="33">
        <f>IF(R685="","",IFERROR(INDEX(Cl_quartier,MATCH(R685,Cl_cle,0))&amp;"",""))</f>
        <v/>
      </c>
      <c r="V685" s="34">
        <f>IF(C685="","",YEAR(C685-WEEKDAY(C685,2)+4)&amp;"-S"&amp;TEXT(INT((C685-DATE(YEAR(C685-WEEKDAY(C685,2)+4),1,3)+WEEKDAY(DATE(YEAR(C685-WEEKDAY(C685,2)+4),1,3),2)+5)/7),"00"))</f>
        <v/>
      </c>
    </row>
    <row r="686" ht="18" customHeight="1">
      <c r="A686" s="39" t="n">
        <v>681</v>
      </c>
      <c r="B686" s="33">
        <f>IF(C686="","",IF(P686="À RENSEIGNER","GIC",P686)&amp;"-V"&amp;TEXT(A686,"00000"))</f>
        <v/>
      </c>
      <c r="C686" s="32" t="n"/>
      <c r="D686" s="35" t="n"/>
      <c r="E686" s="36" t="n"/>
      <c r="F686" s="36" t="n"/>
      <c r="G686" s="36" t="n"/>
      <c r="H686" s="36" t="n"/>
      <c r="I686" s="36" t="n"/>
      <c r="J686" s="37" t="n"/>
      <c r="K686" s="32" t="n"/>
      <c r="L686" s="36" t="n"/>
      <c r="M686" s="41" t="n"/>
      <c r="N686" s="41" t="n"/>
      <c r="O686" s="36" t="n"/>
      <c r="P686" s="33">
        <f>IF(C686="","",Commercial_Id)</f>
        <v/>
      </c>
      <c r="Q686" s="39">
        <f>IF(F686="","",IFERROR(VALUE(MID(F686,LEN(F686)-3,3)),""))</f>
        <v/>
      </c>
      <c r="R686" s="33">
        <f>IF(Q686="","",P686&amp;"|"&amp;Q686)</f>
        <v/>
      </c>
      <c r="S686" s="33">
        <f>IF(Q686="","",IF(P686="À RENSEIGNER","GIC",P686)&amp;"-"&amp;TEXT(Q686,"000"))</f>
        <v/>
      </c>
      <c r="T686" s="33">
        <f>IF(R686="","",IFERROR(INDEX(Cl_nom,MATCH(R686,Cl_cle,0)),"(client introuvable)"))</f>
        <v/>
      </c>
      <c r="U686" s="33">
        <f>IF(R686="","",IFERROR(INDEX(Cl_quartier,MATCH(R686,Cl_cle,0))&amp;"",""))</f>
        <v/>
      </c>
      <c r="V686" s="34">
        <f>IF(C686="","",YEAR(C686-WEEKDAY(C686,2)+4)&amp;"-S"&amp;TEXT(INT((C686-DATE(YEAR(C686-WEEKDAY(C686,2)+4),1,3)+WEEKDAY(DATE(YEAR(C686-WEEKDAY(C686,2)+4),1,3),2)+5)/7),"00"))</f>
        <v/>
      </c>
    </row>
    <row r="687" ht="18" customHeight="1">
      <c r="A687" s="39" t="n">
        <v>682</v>
      </c>
      <c r="B687" s="33">
        <f>IF(C687="","",IF(P687="À RENSEIGNER","GIC",P687)&amp;"-V"&amp;TEXT(A687,"00000"))</f>
        <v/>
      </c>
      <c r="C687" s="32" t="n"/>
      <c r="D687" s="35" t="n"/>
      <c r="E687" s="36" t="n"/>
      <c r="F687" s="36" t="n"/>
      <c r="G687" s="36" t="n"/>
      <c r="H687" s="36" t="n"/>
      <c r="I687" s="36" t="n"/>
      <c r="J687" s="37" t="n"/>
      <c r="K687" s="32" t="n"/>
      <c r="L687" s="36" t="n"/>
      <c r="M687" s="41" t="n"/>
      <c r="N687" s="41" t="n"/>
      <c r="O687" s="36" t="n"/>
      <c r="P687" s="33">
        <f>IF(C687="","",Commercial_Id)</f>
        <v/>
      </c>
      <c r="Q687" s="39">
        <f>IF(F687="","",IFERROR(VALUE(MID(F687,LEN(F687)-3,3)),""))</f>
        <v/>
      </c>
      <c r="R687" s="33">
        <f>IF(Q687="","",P687&amp;"|"&amp;Q687)</f>
        <v/>
      </c>
      <c r="S687" s="33">
        <f>IF(Q687="","",IF(P687="À RENSEIGNER","GIC",P687)&amp;"-"&amp;TEXT(Q687,"000"))</f>
        <v/>
      </c>
      <c r="T687" s="33">
        <f>IF(R687="","",IFERROR(INDEX(Cl_nom,MATCH(R687,Cl_cle,0)),"(client introuvable)"))</f>
        <v/>
      </c>
      <c r="U687" s="33">
        <f>IF(R687="","",IFERROR(INDEX(Cl_quartier,MATCH(R687,Cl_cle,0))&amp;"",""))</f>
        <v/>
      </c>
      <c r="V687" s="34">
        <f>IF(C687="","",YEAR(C687-WEEKDAY(C687,2)+4)&amp;"-S"&amp;TEXT(INT((C687-DATE(YEAR(C687-WEEKDAY(C687,2)+4),1,3)+WEEKDAY(DATE(YEAR(C687-WEEKDAY(C687,2)+4),1,3),2)+5)/7),"00"))</f>
        <v/>
      </c>
    </row>
    <row r="688" ht="18" customHeight="1">
      <c r="A688" s="39" t="n">
        <v>683</v>
      </c>
      <c r="B688" s="33">
        <f>IF(C688="","",IF(P688="À RENSEIGNER","GIC",P688)&amp;"-V"&amp;TEXT(A688,"00000"))</f>
        <v/>
      </c>
      <c r="C688" s="32" t="n"/>
      <c r="D688" s="35" t="n"/>
      <c r="E688" s="36" t="n"/>
      <c r="F688" s="36" t="n"/>
      <c r="G688" s="36" t="n"/>
      <c r="H688" s="36" t="n"/>
      <c r="I688" s="36" t="n"/>
      <c r="J688" s="37" t="n"/>
      <c r="K688" s="32" t="n"/>
      <c r="L688" s="36" t="n"/>
      <c r="M688" s="41" t="n"/>
      <c r="N688" s="41" t="n"/>
      <c r="O688" s="36" t="n"/>
      <c r="P688" s="33">
        <f>IF(C688="","",Commercial_Id)</f>
        <v/>
      </c>
      <c r="Q688" s="39">
        <f>IF(F688="","",IFERROR(VALUE(MID(F688,LEN(F688)-3,3)),""))</f>
        <v/>
      </c>
      <c r="R688" s="33">
        <f>IF(Q688="","",P688&amp;"|"&amp;Q688)</f>
        <v/>
      </c>
      <c r="S688" s="33">
        <f>IF(Q688="","",IF(P688="À RENSEIGNER","GIC",P688)&amp;"-"&amp;TEXT(Q688,"000"))</f>
        <v/>
      </c>
      <c r="T688" s="33">
        <f>IF(R688="","",IFERROR(INDEX(Cl_nom,MATCH(R688,Cl_cle,0)),"(client introuvable)"))</f>
        <v/>
      </c>
      <c r="U688" s="33">
        <f>IF(R688="","",IFERROR(INDEX(Cl_quartier,MATCH(R688,Cl_cle,0))&amp;"",""))</f>
        <v/>
      </c>
      <c r="V688" s="34">
        <f>IF(C688="","",YEAR(C688-WEEKDAY(C688,2)+4)&amp;"-S"&amp;TEXT(INT((C688-DATE(YEAR(C688-WEEKDAY(C688,2)+4),1,3)+WEEKDAY(DATE(YEAR(C688-WEEKDAY(C688,2)+4),1,3),2)+5)/7),"00"))</f>
        <v/>
      </c>
    </row>
    <row r="689" ht="18" customHeight="1">
      <c r="A689" s="39" t="n">
        <v>684</v>
      </c>
      <c r="B689" s="33">
        <f>IF(C689="","",IF(P689="À RENSEIGNER","GIC",P689)&amp;"-V"&amp;TEXT(A689,"00000"))</f>
        <v/>
      </c>
      <c r="C689" s="32" t="n"/>
      <c r="D689" s="35" t="n"/>
      <c r="E689" s="36" t="n"/>
      <c r="F689" s="36" t="n"/>
      <c r="G689" s="36" t="n"/>
      <c r="H689" s="36" t="n"/>
      <c r="I689" s="36" t="n"/>
      <c r="J689" s="37" t="n"/>
      <c r="K689" s="32" t="n"/>
      <c r="L689" s="36" t="n"/>
      <c r="M689" s="41" t="n"/>
      <c r="N689" s="41" t="n"/>
      <c r="O689" s="36" t="n"/>
      <c r="P689" s="33">
        <f>IF(C689="","",Commercial_Id)</f>
        <v/>
      </c>
      <c r="Q689" s="39">
        <f>IF(F689="","",IFERROR(VALUE(MID(F689,LEN(F689)-3,3)),""))</f>
        <v/>
      </c>
      <c r="R689" s="33">
        <f>IF(Q689="","",P689&amp;"|"&amp;Q689)</f>
        <v/>
      </c>
      <c r="S689" s="33">
        <f>IF(Q689="","",IF(P689="À RENSEIGNER","GIC",P689)&amp;"-"&amp;TEXT(Q689,"000"))</f>
        <v/>
      </c>
      <c r="T689" s="33">
        <f>IF(R689="","",IFERROR(INDEX(Cl_nom,MATCH(R689,Cl_cle,0)),"(client introuvable)"))</f>
        <v/>
      </c>
      <c r="U689" s="33">
        <f>IF(R689="","",IFERROR(INDEX(Cl_quartier,MATCH(R689,Cl_cle,0))&amp;"",""))</f>
        <v/>
      </c>
      <c r="V689" s="34">
        <f>IF(C689="","",YEAR(C689-WEEKDAY(C689,2)+4)&amp;"-S"&amp;TEXT(INT((C689-DATE(YEAR(C689-WEEKDAY(C689,2)+4),1,3)+WEEKDAY(DATE(YEAR(C689-WEEKDAY(C689,2)+4),1,3),2)+5)/7),"00"))</f>
        <v/>
      </c>
    </row>
    <row r="690" ht="18" customHeight="1">
      <c r="A690" s="39" t="n">
        <v>685</v>
      </c>
      <c r="B690" s="33">
        <f>IF(C690="","",IF(P690="À RENSEIGNER","GIC",P690)&amp;"-V"&amp;TEXT(A690,"00000"))</f>
        <v/>
      </c>
      <c r="C690" s="32" t="n"/>
      <c r="D690" s="35" t="n"/>
      <c r="E690" s="36" t="n"/>
      <c r="F690" s="36" t="n"/>
      <c r="G690" s="36" t="n"/>
      <c r="H690" s="36" t="n"/>
      <c r="I690" s="36" t="n"/>
      <c r="J690" s="37" t="n"/>
      <c r="K690" s="32" t="n"/>
      <c r="L690" s="36" t="n"/>
      <c r="M690" s="41" t="n"/>
      <c r="N690" s="41" t="n"/>
      <c r="O690" s="36" t="n"/>
      <c r="P690" s="33">
        <f>IF(C690="","",Commercial_Id)</f>
        <v/>
      </c>
      <c r="Q690" s="39">
        <f>IF(F690="","",IFERROR(VALUE(MID(F690,LEN(F690)-3,3)),""))</f>
        <v/>
      </c>
      <c r="R690" s="33">
        <f>IF(Q690="","",P690&amp;"|"&amp;Q690)</f>
        <v/>
      </c>
      <c r="S690" s="33">
        <f>IF(Q690="","",IF(P690="À RENSEIGNER","GIC",P690)&amp;"-"&amp;TEXT(Q690,"000"))</f>
        <v/>
      </c>
      <c r="T690" s="33">
        <f>IF(R690="","",IFERROR(INDEX(Cl_nom,MATCH(R690,Cl_cle,0)),"(client introuvable)"))</f>
        <v/>
      </c>
      <c r="U690" s="33">
        <f>IF(R690="","",IFERROR(INDEX(Cl_quartier,MATCH(R690,Cl_cle,0))&amp;"",""))</f>
        <v/>
      </c>
      <c r="V690" s="34">
        <f>IF(C690="","",YEAR(C690-WEEKDAY(C690,2)+4)&amp;"-S"&amp;TEXT(INT((C690-DATE(YEAR(C690-WEEKDAY(C690,2)+4),1,3)+WEEKDAY(DATE(YEAR(C690-WEEKDAY(C690,2)+4),1,3),2)+5)/7),"00"))</f>
        <v/>
      </c>
    </row>
    <row r="691" ht="18" customHeight="1">
      <c r="A691" s="39" t="n">
        <v>686</v>
      </c>
      <c r="B691" s="33">
        <f>IF(C691="","",IF(P691="À RENSEIGNER","GIC",P691)&amp;"-V"&amp;TEXT(A691,"00000"))</f>
        <v/>
      </c>
      <c r="C691" s="32" t="n"/>
      <c r="D691" s="35" t="n"/>
      <c r="E691" s="36" t="n"/>
      <c r="F691" s="36" t="n"/>
      <c r="G691" s="36" t="n"/>
      <c r="H691" s="36" t="n"/>
      <c r="I691" s="36" t="n"/>
      <c r="J691" s="37" t="n"/>
      <c r="K691" s="32" t="n"/>
      <c r="L691" s="36" t="n"/>
      <c r="M691" s="41" t="n"/>
      <c r="N691" s="41" t="n"/>
      <c r="O691" s="36" t="n"/>
      <c r="P691" s="33">
        <f>IF(C691="","",Commercial_Id)</f>
        <v/>
      </c>
      <c r="Q691" s="39">
        <f>IF(F691="","",IFERROR(VALUE(MID(F691,LEN(F691)-3,3)),""))</f>
        <v/>
      </c>
      <c r="R691" s="33">
        <f>IF(Q691="","",P691&amp;"|"&amp;Q691)</f>
        <v/>
      </c>
      <c r="S691" s="33">
        <f>IF(Q691="","",IF(P691="À RENSEIGNER","GIC",P691)&amp;"-"&amp;TEXT(Q691,"000"))</f>
        <v/>
      </c>
      <c r="T691" s="33">
        <f>IF(R691="","",IFERROR(INDEX(Cl_nom,MATCH(R691,Cl_cle,0)),"(client introuvable)"))</f>
        <v/>
      </c>
      <c r="U691" s="33">
        <f>IF(R691="","",IFERROR(INDEX(Cl_quartier,MATCH(R691,Cl_cle,0))&amp;"",""))</f>
        <v/>
      </c>
      <c r="V691" s="34">
        <f>IF(C691="","",YEAR(C691-WEEKDAY(C691,2)+4)&amp;"-S"&amp;TEXT(INT((C691-DATE(YEAR(C691-WEEKDAY(C691,2)+4),1,3)+WEEKDAY(DATE(YEAR(C691-WEEKDAY(C691,2)+4),1,3),2)+5)/7),"00"))</f>
        <v/>
      </c>
    </row>
    <row r="692" ht="18" customHeight="1">
      <c r="A692" s="39" t="n">
        <v>687</v>
      </c>
      <c r="B692" s="33">
        <f>IF(C692="","",IF(P692="À RENSEIGNER","GIC",P692)&amp;"-V"&amp;TEXT(A692,"00000"))</f>
        <v/>
      </c>
      <c r="C692" s="32" t="n"/>
      <c r="D692" s="35" t="n"/>
      <c r="E692" s="36" t="n"/>
      <c r="F692" s="36" t="n"/>
      <c r="G692" s="36" t="n"/>
      <c r="H692" s="36" t="n"/>
      <c r="I692" s="36" t="n"/>
      <c r="J692" s="37" t="n"/>
      <c r="K692" s="32" t="n"/>
      <c r="L692" s="36" t="n"/>
      <c r="M692" s="41" t="n"/>
      <c r="N692" s="41" t="n"/>
      <c r="O692" s="36" t="n"/>
      <c r="P692" s="33">
        <f>IF(C692="","",Commercial_Id)</f>
        <v/>
      </c>
      <c r="Q692" s="39">
        <f>IF(F692="","",IFERROR(VALUE(MID(F692,LEN(F692)-3,3)),""))</f>
        <v/>
      </c>
      <c r="R692" s="33">
        <f>IF(Q692="","",P692&amp;"|"&amp;Q692)</f>
        <v/>
      </c>
      <c r="S692" s="33">
        <f>IF(Q692="","",IF(P692="À RENSEIGNER","GIC",P692)&amp;"-"&amp;TEXT(Q692,"000"))</f>
        <v/>
      </c>
      <c r="T692" s="33">
        <f>IF(R692="","",IFERROR(INDEX(Cl_nom,MATCH(R692,Cl_cle,0)),"(client introuvable)"))</f>
        <v/>
      </c>
      <c r="U692" s="33">
        <f>IF(R692="","",IFERROR(INDEX(Cl_quartier,MATCH(R692,Cl_cle,0))&amp;"",""))</f>
        <v/>
      </c>
      <c r="V692" s="34">
        <f>IF(C692="","",YEAR(C692-WEEKDAY(C692,2)+4)&amp;"-S"&amp;TEXT(INT((C692-DATE(YEAR(C692-WEEKDAY(C692,2)+4),1,3)+WEEKDAY(DATE(YEAR(C692-WEEKDAY(C692,2)+4),1,3),2)+5)/7),"00"))</f>
        <v/>
      </c>
    </row>
    <row r="693" ht="18" customHeight="1">
      <c r="A693" s="39" t="n">
        <v>688</v>
      </c>
      <c r="B693" s="33">
        <f>IF(C693="","",IF(P693="À RENSEIGNER","GIC",P693)&amp;"-V"&amp;TEXT(A693,"00000"))</f>
        <v/>
      </c>
      <c r="C693" s="32" t="n"/>
      <c r="D693" s="35" t="n"/>
      <c r="E693" s="36" t="n"/>
      <c r="F693" s="36" t="n"/>
      <c r="G693" s="36" t="n"/>
      <c r="H693" s="36" t="n"/>
      <c r="I693" s="36" t="n"/>
      <c r="J693" s="37" t="n"/>
      <c r="K693" s="32" t="n"/>
      <c r="L693" s="36" t="n"/>
      <c r="M693" s="41" t="n"/>
      <c r="N693" s="41" t="n"/>
      <c r="O693" s="36" t="n"/>
      <c r="P693" s="33">
        <f>IF(C693="","",Commercial_Id)</f>
        <v/>
      </c>
      <c r="Q693" s="39">
        <f>IF(F693="","",IFERROR(VALUE(MID(F693,LEN(F693)-3,3)),""))</f>
        <v/>
      </c>
      <c r="R693" s="33">
        <f>IF(Q693="","",P693&amp;"|"&amp;Q693)</f>
        <v/>
      </c>
      <c r="S693" s="33">
        <f>IF(Q693="","",IF(P693="À RENSEIGNER","GIC",P693)&amp;"-"&amp;TEXT(Q693,"000"))</f>
        <v/>
      </c>
      <c r="T693" s="33">
        <f>IF(R693="","",IFERROR(INDEX(Cl_nom,MATCH(R693,Cl_cle,0)),"(client introuvable)"))</f>
        <v/>
      </c>
      <c r="U693" s="33">
        <f>IF(R693="","",IFERROR(INDEX(Cl_quartier,MATCH(R693,Cl_cle,0))&amp;"",""))</f>
        <v/>
      </c>
      <c r="V693" s="34">
        <f>IF(C693="","",YEAR(C693-WEEKDAY(C693,2)+4)&amp;"-S"&amp;TEXT(INT((C693-DATE(YEAR(C693-WEEKDAY(C693,2)+4),1,3)+WEEKDAY(DATE(YEAR(C693-WEEKDAY(C693,2)+4),1,3),2)+5)/7),"00"))</f>
        <v/>
      </c>
    </row>
    <row r="694" ht="18" customHeight="1">
      <c r="A694" s="39" t="n">
        <v>689</v>
      </c>
      <c r="B694" s="33">
        <f>IF(C694="","",IF(P694="À RENSEIGNER","GIC",P694)&amp;"-V"&amp;TEXT(A694,"00000"))</f>
        <v/>
      </c>
      <c r="C694" s="32" t="n"/>
      <c r="D694" s="35" t="n"/>
      <c r="E694" s="36" t="n"/>
      <c r="F694" s="36" t="n"/>
      <c r="G694" s="36" t="n"/>
      <c r="H694" s="36" t="n"/>
      <c r="I694" s="36" t="n"/>
      <c r="J694" s="37" t="n"/>
      <c r="K694" s="32" t="n"/>
      <c r="L694" s="36" t="n"/>
      <c r="M694" s="41" t="n"/>
      <c r="N694" s="41" t="n"/>
      <c r="O694" s="36" t="n"/>
      <c r="P694" s="33">
        <f>IF(C694="","",Commercial_Id)</f>
        <v/>
      </c>
      <c r="Q694" s="39">
        <f>IF(F694="","",IFERROR(VALUE(MID(F694,LEN(F694)-3,3)),""))</f>
        <v/>
      </c>
      <c r="R694" s="33">
        <f>IF(Q694="","",P694&amp;"|"&amp;Q694)</f>
        <v/>
      </c>
      <c r="S694" s="33">
        <f>IF(Q694="","",IF(P694="À RENSEIGNER","GIC",P694)&amp;"-"&amp;TEXT(Q694,"000"))</f>
        <v/>
      </c>
      <c r="T694" s="33">
        <f>IF(R694="","",IFERROR(INDEX(Cl_nom,MATCH(R694,Cl_cle,0)),"(client introuvable)"))</f>
        <v/>
      </c>
      <c r="U694" s="33">
        <f>IF(R694="","",IFERROR(INDEX(Cl_quartier,MATCH(R694,Cl_cle,0))&amp;"",""))</f>
        <v/>
      </c>
      <c r="V694" s="34">
        <f>IF(C694="","",YEAR(C694-WEEKDAY(C694,2)+4)&amp;"-S"&amp;TEXT(INT((C694-DATE(YEAR(C694-WEEKDAY(C694,2)+4),1,3)+WEEKDAY(DATE(YEAR(C694-WEEKDAY(C694,2)+4),1,3),2)+5)/7),"00"))</f>
        <v/>
      </c>
    </row>
    <row r="695" ht="18" customHeight="1">
      <c r="A695" s="39" t="n">
        <v>690</v>
      </c>
      <c r="B695" s="33">
        <f>IF(C695="","",IF(P695="À RENSEIGNER","GIC",P695)&amp;"-V"&amp;TEXT(A695,"00000"))</f>
        <v/>
      </c>
      <c r="C695" s="32" t="n"/>
      <c r="D695" s="35" t="n"/>
      <c r="E695" s="36" t="n"/>
      <c r="F695" s="36" t="n"/>
      <c r="G695" s="36" t="n"/>
      <c r="H695" s="36" t="n"/>
      <c r="I695" s="36" t="n"/>
      <c r="J695" s="37" t="n"/>
      <c r="K695" s="32" t="n"/>
      <c r="L695" s="36" t="n"/>
      <c r="M695" s="41" t="n"/>
      <c r="N695" s="41" t="n"/>
      <c r="O695" s="36" t="n"/>
      <c r="P695" s="33">
        <f>IF(C695="","",Commercial_Id)</f>
        <v/>
      </c>
      <c r="Q695" s="39">
        <f>IF(F695="","",IFERROR(VALUE(MID(F695,LEN(F695)-3,3)),""))</f>
        <v/>
      </c>
      <c r="R695" s="33">
        <f>IF(Q695="","",P695&amp;"|"&amp;Q695)</f>
        <v/>
      </c>
      <c r="S695" s="33">
        <f>IF(Q695="","",IF(P695="À RENSEIGNER","GIC",P695)&amp;"-"&amp;TEXT(Q695,"000"))</f>
        <v/>
      </c>
      <c r="T695" s="33">
        <f>IF(R695="","",IFERROR(INDEX(Cl_nom,MATCH(R695,Cl_cle,0)),"(client introuvable)"))</f>
        <v/>
      </c>
      <c r="U695" s="33">
        <f>IF(R695="","",IFERROR(INDEX(Cl_quartier,MATCH(R695,Cl_cle,0))&amp;"",""))</f>
        <v/>
      </c>
      <c r="V695" s="34">
        <f>IF(C695="","",YEAR(C695-WEEKDAY(C695,2)+4)&amp;"-S"&amp;TEXT(INT((C695-DATE(YEAR(C695-WEEKDAY(C695,2)+4),1,3)+WEEKDAY(DATE(YEAR(C695-WEEKDAY(C695,2)+4),1,3),2)+5)/7),"00"))</f>
        <v/>
      </c>
    </row>
    <row r="696" ht="18" customHeight="1">
      <c r="A696" s="39" t="n">
        <v>691</v>
      </c>
      <c r="B696" s="33">
        <f>IF(C696="","",IF(P696="À RENSEIGNER","GIC",P696)&amp;"-V"&amp;TEXT(A696,"00000"))</f>
        <v/>
      </c>
      <c r="C696" s="32" t="n"/>
      <c r="D696" s="35" t="n"/>
      <c r="E696" s="36" t="n"/>
      <c r="F696" s="36" t="n"/>
      <c r="G696" s="36" t="n"/>
      <c r="H696" s="36" t="n"/>
      <c r="I696" s="36" t="n"/>
      <c r="J696" s="37" t="n"/>
      <c r="K696" s="32" t="n"/>
      <c r="L696" s="36" t="n"/>
      <c r="M696" s="41" t="n"/>
      <c r="N696" s="41" t="n"/>
      <c r="O696" s="36" t="n"/>
      <c r="P696" s="33">
        <f>IF(C696="","",Commercial_Id)</f>
        <v/>
      </c>
      <c r="Q696" s="39">
        <f>IF(F696="","",IFERROR(VALUE(MID(F696,LEN(F696)-3,3)),""))</f>
        <v/>
      </c>
      <c r="R696" s="33">
        <f>IF(Q696="","",P696&amp;"|"&amp;Q696)</f>
        <v/>
      </c>
      <c r="S696" s="33">
        <f>IF(Q696="","",IF(P696="À RENSEIGNER","GIC",P696)&amp;"-"&amp;TEXT(Q696,"000"))</f>
        <v/>
      </c>
      <c r="T696" s="33">
        <f>IF(R696="","",IFERROR(INDEX(Cl_nom,MATCH(R696,Cl_cle,0)),"(client introuvable)"))</f>
        <v/>
      </c>
      <c r="U696" s="33">
        <f>IF(R696="","",IFERROR(INDEX(Cl_quartier,MATCH(R696,Cl_cle,0))&amp;"",""))</f>
        <v/>
      </c>
      <c r="V696" s="34">
        <f>IF(C696="","",YEAR(C696-WEEKDAY(C696,2)+4)&amp;"-S"&amp;TEXT(INT((C696-DATE(YEAR(C696-WEEKDAY(C696,2)+4),1,3)+WEEKDAY(DATE(YEAR(C696-WEEKDAY(C696,2)+4),1,3),2)+5)/7),"00"))</f>
        <v/>
      </c>
    </row>
    <row r="697" ht="18" customHeight="1">
      <c r="A697" s="39" t="n">
        <v>692</v>
      </c>
      <c r="B697" s="33">
        <f>IF(C697="","",IF(P697="À RENSEIGNER","GIC",P697)&amp;"-V"&amp;TEXT(A697,"00000"))</f>
        <v/>
      </c>
      <c r="C697" s="32" t="n"/>
      <c r="D697" s="35" t="n"/>
      <c r="E697" s="36" t="n"/>
      <c r="F697" s="36" t="n"/>
      <c r="G697" s="36" t="n"/>
      <c r="H697" s="36" t="n"/>
      <c r="I697" s="36" t="n"/>
      <c r="J697" s="37" t="n"/>
      <c r="K697" s="32" t="n"/>
      <c r="L697" s="36" t="n"/>
      <c r="M697" s="41" t="n"/>
      <c r="N697" s="41" t="n"/>
      <c r="O697" s="36" t="n"/>
      <c r="P697" s="33">
        <f>IF(C697="","",Commercial_Id)</f>
        <v/>
      </c>
      <c r="Q697" s="39">
        <f>IF(F697="","",IFERROR(VALUE(MID(F697,LEN(F697)-3,3)),""))</f>
        <v/>
      </c>
      <c r="R697" s="33">
        <f>IF(Q697="","",P697&amp;"|"&amp;Q697)</f>
        <v/>
      </c>
      <c r="S697" s="33">
        <f>IF(Q697="","",IF(P697="À RENSEIGNER","GIC",P697)&amp;"-"&amp;TEXT(Q697,"000"))</f>
        <v/>
      </c>
      <c r="T697" s="33">
        <f>IF(R697="","",IFERROR(INDEX(Cl_nom,MATCH(R697,Cl_cle,0)),"(client introuvable)"))</f>
        <v/>
      </c>
      <c r="U697" s="33">
        <f>IF(R697="","",IFERROR(INDEX(Cl_quartier,MATCH(R697,Cl_cle,0))&amp;"",""))</f>
        <v/>
      </c>
      <c r="V697" s="34">
        <f>IF(C697="","",YEAR(C697-WEEKDAY(C697,2)+4)&amp;"-S"&amp;TEXT(INT((C697-DATE(YEAR(C697-WEEKDAY(C697,2)+4),1,3)+WEEKDAY(DATE(YEAR(C697-WEEKDAY(C697,2)+4),1,3),2)+5)/7),"00"))</f>
        <v/>
      </c>
    </row>
    <row r="698" ht="18" customHeight="1">
      <c r="A698" s="39" t="n">
        <v>693</v>
      </c>
      <c r="B698" s="33">
        <f>IF(C698="","",IF(P698="À RENSEIGNER","GIC",P698)&amp;"-V"&amp;TEXT(A698,"00000"))</f>
        <v/>
      </c>
      <c r="C698" s="32" t="n"/>
      <c r="D698" s="35" t="n"/>
      <c r="E698" s="36" t="n"/>
      <c r="F698" s="36" t="n"/>
      <c r="G698" s="36" t="n"/>
      <c r="H698" s="36" t="n"/>
      <c r="I698" s="36" t="n"/>
      <c r="J698" s="37" t="n"/>
      <c r="K698" s="32" t="n"/>
      <c r="L698" s="36" t="n"/>
      <c r="M698" s="41" t="n"/>
      <c r="N698" s="41" t="n"/>
      <c r="O698" s="36" t="n"/>
      <c r="P698" s="33">
        <f>IF(C698="","",Commercial_Id)</f>
        <v/>
      </c>
      <c r="Q698" s="39">
        <f>IF(F698="","",IFERROR(VALUE(MID(F698,LEN(F698)-3,3)),""))</f>
        <v/>
      </c>
      <c r="R698" s="33">
        <f>IF(Q698="","",P698&amp;"|"&amp;Q698)</f>
        <v/>
      </c>
      <c r="S698" s="33">
        <f>IF(Q698="","",IF(P698="À RENSEIGNER","GIC",P698)&amp;"-"&amp;TEXT(Q698,"000"))</f>
        <v/>
      </c>
      <c r="T698" s="33">
        <f>IF(R698="","",IFERROR(INDEX(Cl_nom,MATCH(R698,Cl_cle,0)),"(client introuvable)"))</f>
        <v/>
      </c>
      <c r="U698" s="33">
        <f>IF(R698="","",IFERROR(INDEX(Cl_quartier,MATCH(R698,Cl_cle,0))&amp;"",""))</f>
        <v/>
      </c>
      <c r="V698" s="34">
        <f>IF(C698="","",YEAR(C698-WEEKDAY(C698,2)+4)&amp;"-S"&amp;TEXT(INT((C698-DATE(YEAR(C698-WEEKDAY(C698,2)+4),1,3)+WEEKDAY(DATE(YEAR(C698-WEEKDAY(C698,2)+4),1,3),2)+5)/7),"00"))</f>
        <v/>
      </c>
    </row>
    <row r="699" ht="18" customHeight="1">
      <c r="A699" s="39" t="n">
        <v>694</v>
      </c>
      <c r="B699" s="33">
        <f>IF(C699="","",IF(P699="À RENSEIGNER","GIC",P699)&amp;"-V"&amp;TEXT(A699,"00000"))</f>
        <v/>
      </c>
      <c r="C699" s="32" t="n"/>
      <c r="D699" s="35" t="n"/>
      <c r="E699" s="36" t="n"/>
      <c r="F699" s="36" t="n"/>
      <c r="G699" s="36" t="n"/>
      <c r="H699" s="36" t="n"/>
      <c r="I699" s="36" t="n"/>
      <c r="J699" s="37" t="n"/>
      <c r="K699" s="32" t="n"/>
      <c r="L699" s="36" t="n"/>
      <c r="M699" s="41" t="n"/>
      <c r="N699" s="41" t="n"/>
      <c r="O699" s="36" t="n"/>
      <c r="P699" s="33">
        <f>IF(C699="","",Commercial_Id)</f>
        <v/>
      </c>
      <c r="Q699" s="39">
        <f>IF(F699="","",IFERROR(VALUE(MID(F699,LEN(F699)-3,3)),""))</f>
        <v/>
      </c>
      <c r="R699" s="33">
        <f>IF(Q699="","",P699&amp;"|"&amp;Q699)</f>
        <v/>
      </c>
      <c r="S699" s="33">
        <f>IF(Q699="","",IF(P699="À RENSEIGNER","GIC",P699)&amp;"-"&amp;TEXT(Q699,"000"))</f>
        <v/>
      </c>
      <c r="T699" s="33">
        <f>IF(R699="","",IFERROR(INDEX(Cl_nom,MATCH(R699,Cl_cle,0)),"(client introuvable)"))</f>
        <v/>
      </c>
      <c r="U699" s="33">
        <f>IF(R699="","",IFERROR(INDEX(Cl_quartier,MATCH(R699,Cl_cle,0))&amp;"",""))</f>
        <v/>
      </c>
      <c r="V699" s="34">
        <f>IF(C699="","",YEAR(C699-WEEKDAY(C699,2)+4)&amp;"-S"&amp;TEXT(INT((C699-DATE(YEAR(C699-WEEKDAY(C699,2)+4),1,3)+WEEKDAY(DATE(YEAR(C699-WEEKDAY(C699,2)+4),1,3),2)+5)/7),"00"))</f>
        <v/>
      </c>
    </row>
    <row r="700" ht="18" customHeight="1">
      <c r="A700" s="39" t="n">
        <v>695</v>
      </c>
      <c r="B700" s="33">
        <f>IF(C700="","",IF(P700="À RENSEIGNER","GIC",P700)&amp;"-V"&amp;TEXT(A700,"00000"))</f>
        <v/>
      </c>
      <c r="C700" s="32" t="n"/>
      <c r="D700" s="35" t="n"/>
      <c r="E700" s="36" t="n"/>
      <c r="F700" s="36" t="n"/>
      <c r="G700" s="36" t="n"/>
      <c r="H700" s="36" t="n"/>
      <c r="I700" s="36" t="n"/>
      <c r="J700" s="37" t="n"/>
      <c r="K700" s="32" t="n"/>
      <c r="L700" s="36" t="n"/>
      <c r="M700" s="41" t="n"/>
      <c r="N700" s="41" t="n"/>
      <c r="O700" s="36" t="n"/>
      <c r="P700" s="33">
        <f>IF(C700="","",Commercial_Id)</f>
        <v/>
      </c>
      <c r="Q700" s="39">
        <f>IF(F700="","",IFERROR(VALUE(MID(F700,LEN(F700)-3,3)),""))</f>
        <v/>
      </c>
      <c r="R700" s="33">
        <f>IF(Q700="","",P700&amp;"|"&amp;Q700)</f>
        <v/>
      </c>
      <c r="S700" s="33">
        <f>IF(Q700="","",IF(P700="À RENSEIGNER","GIC",P700)&amp;"-"&amp;TEXT(Q700,"000"))</f>
        <v/>
      </c>
      <c r="T700" s="33">
        <f>IF(R700="","",IFERROR(INDEX(Cl_nom,MATCH(R700,Cl_cle,0)),"(client introuvable)"))</f>
        <v/>
      </c>
      <c r="U700" s="33">
        <f>IF(R700="","",IFERROR(INDEX(Cl_quartier,MATCH(R700,Cl_cle,0))&amp;"",""))</f>
        <v/>
      </c>
      <c r="V700" s="34">
        <f>IF(C700="","",YEAR(C700-WEEKDAY(C700,2)+4)&amp;"-S"&amp;TEXT(INT((C700-DATE(YEAR(C700-WEEKDAY(C700,2)+4),1,3)+WEEKDAY(DATE(YEAR(C700-WEEKDAY(C700,2)+4),1,3),2)+5)/7),"00"))</f>
        <v/>
      </c>
    </row>
    <row r="701" ht="18" customHeight="1">
      <c r="A701" s="39" t="n">
        <v>696</v>
      </c>
      <c r="B701" s="33">
        <f>IF(C701="","",IF(P701="À RENSEIGNER","GIC",P701)&amp;"-V"&amp;TEXT(A701,"00000"))</f>
        <v/>
      </c>
      <c r="C701" s="32" t="n"/>
      <c r="D701" s="35" t="n"/>
      <c r="E701" s="36" t="n"/>
      <c r="F701" s="36" t="n"/>
      <c r="G701" s="36" t="n"/>
      <c r="H701" s="36" t="n"/>
      <c r="I701" s="36" t="n"/>
      <c r="J701" s="37" t="n"/>
      <c r="K701" s="32" t="n"/>
      <c r="L701" s="36" t="n"/>
      <c r="M701" s="41" t="n"/>
      <c r="N701" s="41" t="n"/>
      <c r="O701" s="36" t="n"/>
      <c r="P701" s="33">
        <f>IF(C701="","",Commercial_Id)</f>
        <v/>
      </c>
      <c r="Q701" s="39">
        <f>IF(F701="","",IFERROR(VALUE(MID(F701,LEN(F701)-3,3)),""))</f>
        <v/>
      </c>
      <c r="R701" s="33">
        <f>IF(Q701="","",P701&amp;"|"&amp;Q701)</f>
        <v/>
      </c>
      <c r="S701" s="33">
        <f>IF(Q701="","",IF(P701="À RENSEIGNER","GIC",P701)&amp;"-"&amp;TEXT(Q701,"000"))</f>
        <v/>
      </c>
      <c r="T701" s="33">
        <f>IF(R701="","",IFERROR(INDEX(Cl_nom,MATCH(R701,Cl_cle,0)),"(client introuvable)"))</f>
        <v/>
      </c>
      <c r="U701" s="33">
        <f>IF(R701="","",IFERROR(INDEX(Cl_quartier,MATCH(R701,Cl_cle,0))&amp;"",""))</f>
        <v/>
      </c>
      <c r="V701" s="34">
        <f>IF(C701="","",YEAR(C701-WEEKDAY(C701,2)+4)&amp;"-S"&amp;TEXT(INT((C701-DATE(YEAR(C701-WEEKDAY(C701,2)+4),1,3)+WEEKDAY(DATE(YEAR(C701-WEEKDAY(C701,2)+4),1,3),2)+5)/7),"00"))</f>
        <v/>
      </c>
    </row>
    <row r="702" ht="18" customHeight="1">
      <c r="A702" s="39" t="n">
        <v>697</v>
      </c>
      <c r="B702" s="33">
        <f>IF(C702="","",IF(P702="À RENSEIGNER","GIC",P702)&amp;"-V"&amp;TEXT(A702,"00000"))</f>
        <v/>
      </c>
      <c r="C702" s="32" t="n"/>
      <c r="D702" s="35" t="n"/>
      <c r="E702" s="36" t="n"/>
      <c r="F702" s="36" t="n"/>
      <c r="G702" s="36" t="n"/>
      <c r="H702" s="36" t="n"/>
      <c r="I702" s="36" t="n"/>
      <c r="J702" s="37" t="n"/>
      <c r="K702" s="32" t="n"/>
      <c r="L702" s="36" t="n"/>
      <c r="M702" s="41" t="n"/>
      <c r="N702" s="41" t="n"/>
      <c r="O702" s="36" t="n"/>
      <c r="P702" s="33">
        <f>IF(C702="","",Commercial_Id)</f>
        <v/>
      </c>
      <c r="Q702" s="39">
        <f>IF(F702="","",IFERROR(VALUE(MID(F702,LEN(F702)-3,3)),""))</f>
        <v/>
      </c>
      <c r="R702" s="33">
        <f>IF(Q702="","",P702&amp;"|"&amp;Q702)</f>
        <v/>
      </c>
      <c r="S702" s="33">
        <f>IF(Q702="","",IF(P702="À RENSEIGNER","GIC",P702)&amp;"-"&amp;TEXT(Q702,"000"))</f>
        <v/>
      </c>
      <c r="T702" s="33">
        <f>IF(R702="","",IFERROR(INDEX(Cl_nom,MATCH(R702,Cl_cle,0)),"(client introuvable)"))</f>
        <v/>
      </c>
      <c r="U702" s="33">
        <f>IF(R702="","",IFERROR(INDEX(Cl_quartier,MATCH(R702,Cl_cle,0))&amp;"",""))</f>
        <v/>
      </c>
      <c r="V702" s="34">
        <f>IF(C702="","",YEAR(C702-WEEKDAY(C702,2)+4)&amp;"-S"&amp;TEXT(INT((C702-DATE(YEAR(C702-WEEKDAY(C702,2)+4),1,3)+WEEKDAY(DATE(YEAR(C702-WEEKDAY(C702,2)+4),1,3),2)+5)/7),"00"))</f>
        <v/>
      </c>
    </row>
    <row r="703" ht="18" customHeight="1">
      <c r="A703" s="39" t="n">
        <v>698</v>
      </c>
      <c r="B703" s="33">
        <f>IF(C703="","",IF(P703="À RENSEIGNER","GIC",P703)&amp;"-V"&amp;TEXT(A703,"00000"))</f>
        <v/>
      </c>
      <c r="C703" s="32" t="n"/>
      <c r="D703" s="35" t="n"/>
      <c r="E703" s="36" t="n"/>
      <c r="F703" s="36" t="n"/>
      <c r="G703" s="36" t="n"/>
      <c r="H703" s="36" t="n"/>
      <c r="I703" s="36" t="n"/>
      <c r="J703" s="37" t="n"/>
      <c r="K703" s="32" t="n"/>
      <c r="L703" s="36" t="n"/>
      <c r="M703" s="41" t="n"/>
      <c r="N703" s="41" t="n"/>
      <c r="O703" s="36" t="n"/>
      <c r="P703" s="33">
        <f>IF(C703="","",Commercial_Id)</f>
        <v/>
      </c>
      <c r="Q703" s="39">
        <f>IF(F703="","",IFERROR(VALUE(MID(F703,LEN(F703)-3,3)),""))</f>
        <v/>
      </c>
      <c r="R703" s="33">
        <f>IF(Q703="","",P703&amp;"|"&amp;Q703)</f>
        <v/>
      </c>
      <c r="S703" s="33">
        <f>IF(Q703="","",IF(P703="À RENSEIGNER","GIC",P703)&amp;"-"&amp;TEXT(Q703,"000"))</f>
        <v/>
      </c>
      <c r="T703" s="33">
        <f>IF(R703="","",IFERROR(INDEX(Cl_nom,MATCH(R703,Cl_cle,0)),"(client introuvable)"))</f>
        <v/>
      </c>
      <c r="U703" s="33">
        <f>IF(R703="","",IFERROR(INDEX(Cl_quartier,MATCH(R703,Cl_cle,0))&amp;"",""))</f>
        <v/>
      </c>
      <c r="V703" s="34">
        <f>IF(C703="","",YEAR(C703-WEEKDAY(C703,2)+4)&amp;"-S"&amp;TEXT(INT((C703-DATE(YEAR(C703-WEEKDAY(C703,2)+4),1,3)+WEEKDAY(DATE(YEAR(C703-WEEKDAY(C703,2)+4),1,3),2)+5)/7),"00"))</f>
        <v/>
      </c>
    </row>
    <row r="704" ht="18" customHeight="1">
      <c r="A704" s="39" t="n">
        <v>699</v>
      </c>
      <c r="B704" s="33">
        <f>IF(C704="","",IF(P704="À RENSEIGNER","GIC",P704)&amp;"-V"&amp;TEXT(A704,"00000"))</f>
        <v/>
      </c>
      <c r="C704" s="32" t="n"/>
      <c r="D704" s="35" t="n"/>
      <c r="E704" s="36" t="n"/>
      <c r="F704" s="36" t="n"/>
      <c r="G704" s="36" t="n"/>
      <c r="H704" s="36" t="n"/>
      <c r="I704" s="36" t="n"/>
      <c r="J704" s="37" t="n"/>
      <c r="K704" s="32" t="n"/>
      <c r="L704" s="36" t="n"/>
      <c r="M704" s="41" t="n"/>
      <c r="N704" s="41" t="n"/>
      <c r="O704" s="36" t="n"/>
      <c r="P704" s="33">
        <f>IF(C704="","",Commercial_Id)</f>
        <v/>
      </c>
      <c r="Q704" s="39">
        <f>IF(F704="","",IFERROR(VALUE(MID(F704,LEN(F704)-3,3)),""))</f>
        <v/>
      </c>
      <c r="R704" s="33">
        <f>IF(Q704="","",P704&amp;"|"&amp;Q704)</f>
        <v/>
      </c>
      <c r="S704" s="33">
        <f>IF(Q704="","",IF(P704="À RENSEIGNER","GIC",P704)&amp;"-"&amp;TEXT(Q704,"000"))</f>
        <v/>
      </c>
      <c r="T704" s="33">
        <f>IF(R704="","",IFERROR(INDEX(Cl_nom,MATCH(R704,Cl_cle,0)),"(client introuvable)"))</f>
        <v/>
      </c>
      <c r="U704" s="33">
        <f>IF(R704="","",IFERROR(INDEX(Cl_quartier,MATCH(R704,Cl_cle,0))&amp;"",""))</f>
        <v/>
      </c>
      <c r="V704" s="34">
        <f>IF(C704="","",YEAR(C704-WEEKDAY(C704,2)+4)&amp;"-S"&amp;TEXT(INT((C704-DATE(YEAR(C704-WEEKDAY(C704,2)+4),1,3)+WEEKDAY(DATE(YEAR(C704-WEEKDAY(C704,2)+4),1,3),2)+5)/7),"00"))</f>
        <v/>
      </c>
    </row>
    <row r="705" ht="18" customHeight="1">
      <c r="A705" s="39" t="n">
        <v>700</v>
      </c>
      <c r="B705" s="33">
        <f>IF(C705="","",IF(P705="À RENSEIGNER","GIC",P705)&amp;"-V"&amp;TEXT(A705,"00000"))</f>
        <v/>
      </c>
      <c r="C705" s="32" t="n"/>
      <c r="D705" s="35" t="n"/>
      <c r="E705" s="36" t="n"/>
      <c r="F705" s="36" t="n"/>
      <c r="G705" s="36" t="n"/>
      <c r="H705" s="36" t="n"/>
      <c r="I705" s="36" t="n"/>
      <c r="J705" s="37" t="n"/>
      <c r="K705" s="32" t="n"/>
      <c r="L705" s="36" t="n"/>
      <c r="M705" s="41" t="n"/>
      <c r="N705" s="41" t="n"/>
      <c r="O705" s="36" t="n"/>
      <c r="P705" s="33">
        <f>IF(C705="","",Commercial_Id)</f>
        <v/>
      </c>
      <c r="Q705" s="39">
        <f>IF(F705="","",IFERROR(VALUE(MID(F705,LEN(F705)-3,3)),""))</f>
        <v/>
      </c>
      <c r="R705" s="33">
        <f>IF(Q705="","",P705&amp;"|"&amp;Q705)</f>
        <v/>
      </c>
      <c r="S705" s="33">
        <f>IF(Q705="","",IF(P705="À RENSEIGNER","GIC",P705)&amp;"-"&amp;TEXT(Q705,"000"))</f>
        <v/>
      </c>
      <c r="T705" s="33">
        <f>IF(R705="","",IFERROR(INDEX(Cl_nom,MATCH(R705,Cl_cle,0)),"(client introuvable)"))</f>
        <v/>
      </c>
      <c r="U705" s="33">
        <f>IF(R705="","",IFERROR(INDEX(Cl_quartier,MATCH(R705,Cl_cle,0))&amp;"",""))</f>
        <v/>
      </c>
      <c r="V705" s="34">
        <f>IF(C705="","",YEAR(C705-WEEKDAY(C705,2)+4)&amp;"-S"&amp;TEXT(INT((C705-DATE(YEAR(C705-WEEKDAY(C705,2)+4),1,3)+WEEKDAY(DATE(YEAR(C705-WEEKDAY(C705,2)+4),1,3),2)+5)/7),"00"))</f>
        <v/>
      </c>
    </row>
    <row r="706" ht="18" customHeight="1">
      <c r="A706" s="39" t="n">
        <v>701</v>
      </c>
      <c r="B706" s="33">
        <f>IF(C706="","",IF(P706="À RENSEIGNER","GIC",P706)&amp;"-V"&amp;TEXT(A706,"00000"))</f>
        <v/>
      </c>
      <c r="C706" s="32" t="n"/>
      <c r="D706" s="35" t="n"/>
      <c r="E706" s="36" t="n"/>
      <c r="F706" s="36" t="n"/>
      <c r="G706" s="36" t="n"/>
      <c r="H706" s="36" t="n"/>
      <c r="I706" s="36" t="n"/>
      <c r="J706" s="37" t="n"/>
      <c r="K706" s="32" t="n"/>
      <c r="L706" s="36" t="n"/>
      <c r="M706" s="41" t="n"/>
      <c r="N706" s="41" t="n"/>
      <c r="O706" s="36" t="n"/>
      <c r="P706" s="33">
        <f>IF(C706="","",Commercial_Id)</f>
        <v/>
      </c>
      <c r="Q706" s="39">
        <f>IF(F706="","",IFERROR(VALUE(MID(F706,LEN(F706)-3,3)),""))</f>
        <v/>
      </c>
      <c r="R706" s="33">
        <f>IF(Q706="","",P706&amp;"|"&amp;Q706)</f>
        <v/>
      </c>
      <c r="S706" s="33">
        <f>IF(Q706="","",IF(P706="À RENSEIGNER","GIC",P706)&amp;"-"&amp;TEXT(Q706,"000"))</f>
        <v/>
      </c>
      <c r="T706" s="33">
        <f>IF(R706="","",IFERROR(INDEX(Cl_nom,MATCH(R706,Cl_cle,0)),"(client introuvable)"))</f>
        <v/>
      </c>
      <c r="U706" s="33">
        <f>IF(R706="","",IFERROR(INDEX(Cl_quartier,MATCH(R706,Cl_cle,0))&amp;"",""))</f>
        <v/>
      </c>
      <c r="V706" s="34">
        <f>IF(C706="","",YEAR(C706-WEEKDAY(C706,2)+4)&amp;"-S"&amp;TEXT(INT((C706-DATE(YEAR(C706-WEEKDAY(C706,2)+4),1,3)+WEEKDAY(DATE(YEAR(C706-WEEKDAY(C706,2)+4),1,3),2)+5)/7),"00"))</f>
        <v/>
      </c>
    </row>
    <row r="707" ht="18" customHeight="1">
      <c r="A707" s="39" t="n">
        <v>702</v>
      </c>
      <c r="B707" s="33">
        <f>IF(C707="","",IF(P707="À RENSEIGNER","GIC",P707)&amp;"-V"&amp;TEXT(A707,"00000"))</f>
        <v/>
      </c>
      <c r="C707" s="32" t="n"/>
      <c r="D707" s="35" t="n"/>
      <c r="E707" s="36" t="n"/>
      <c r="F707" s="36" t="n"/>
      <c r="G707" s="36" t="n"/>
      <c r="H707" s="36" t="n"/>
      <c r="I707" s="36" t="n"/>
      <c r="J707" s="37" t="n"/>
      <c r="K707" s="32" t="n"/>
      <c r="L707" s="36" t="n"/>
      <c r="M707" s="41" t="n"/>
      <c r="N707" s="41" t="n"/>
      <c r="O707" s="36" t="n"/>
      <c r="P707" s="33">
        <f>IF(C707="","",Commercial_Id)</f>
        <v/>
      </c>
      <c r="Q707" s="39">
        <f>IF(F707="","",IFERROR(VALUE(MID(F707,LEN(F707)-3,3)),""))</f>
        <v/>
      </c>
      <c r="R707" s="33">
        <f>IF(Q707="","",P707&amp;"|"&amp;Q707)</f>
        <v/>
      </c>
      <c r="S707" s="33">
        <f>IF(Q707="","",IF(P707="À RENSEIGNER","GIC",P707)&amp;"-"&amp;TEXT(Q707,"000"))</f>
        <v/>
      </c>
      <c r="T707" s="33">
        <f>IF(R707="","",IFERROR(INDEX(Cl_nom,MATCH(R707,Cl_cle,0)),"(client introuvable)"))</f>
        <v/>
      </c>
      <c r="U707" s="33">
        <f>IF(R707="","",IFERROR(INDEX(Cl_quartier,MATCH(R707,Cl_cle,0))&amp;"",""))</f>
        <v/>
      </c>
      <c r="V707" s="34">
        <f>IF(C707="","",YEAR(C707-WEEKDAY(C707,2)+4)&amp;"-S"&amp;TEXT(INT((C707-DATE(YEAR(C707-WEEKDAY(C707,2)+4),1,3)+WEEKDAY(DATE(YEAR(C707-WEEKDAY(C707,2)+4),1,3),2)+5)/7),"00"))</f>
        <v/>
      </c>
    </row>
    <row r="708" ht="18" customHeight="1">
      <c r="A708" s="39" t="n">
        <v>703</v>
      </c>
      <c r="B708" s="33">
        <f>IF(C708="","",IF(P708="À RENSEIGNER","GIC",P708)&amp;"-V"&amp;TEXT(A708,"00000"))</f>
        <v/>
      </c>
      <c r="C708" s="32" t="n"/>
      <c r="D708" s="35" t="n"/>
      <c r="E708" s="36" t="n"/>
      <c r="F708" s="36" t="n"/>
      <c r="G708" s="36" t="n"/>
      <c r="H708" s="36" t="n"/>
      <c r="I708" s="36" t="n"/>
      <c r="J708" s="37" t="n"/>
      <c r="K708" s="32" t="n"/>
      <c r="L708" s="36" t="n"/>
      <c r="M708" s="41" t="n"/>
      <c r="N708" s="41" t="n"/>
      <c r="O708" s="36" t="n"/>
      <c r="P708" s="33">
        <f>IF(C708="","",Commercial_Id)</f>
        <v/>
      </c>
      <c r="Q708" s="39">
        <f>IF(F708="","",IFERROR(VALUE(MID(F708,LEN(F708)-3,3)),""))</f>
        <v/>
      </c>
      <c r="R708" s="33">
        <f>IF(Q708="","",P708&amp;"|"&amp;Q708)</f>
        <v/>
      </c>
      <c r="S708" s="33">
        <f>IF(Q708="","",IF(P708="À RENSEIGNER","GIC",P708)&amp;"-"&amp;TEXT(Q708,"000"))</f>
        <v/>
      </c>
      <c r="T708" s="33">
        <f>IF(R708="","",IFERROR(INDEX(Cl_nom,MATCH(R708,Cl_cle,0)),"(client introuvable)"))</f>
        <v/>
      </c>
      <c r="U708" s="33">
        <f>IF(R708="","",IFERROR(INDEX(Cl_quartier,MATCH(R708,Cl_cle,0))&amp;"",""))</f>
        <v/>
      </c>
      <c r="V708" s="34">
        <f>IF(C708="","",YEAR(C708-WEEKDAY(C708,2)+4)&amp;"-S"&amp;TEXT(INT((C708-DATE(YEAR(C708-WEEKDAY(C708,2)+4),1,3)+WEEKDAY(DATE(YEAR(C708-WEEKDAY(C708,2)+4),1,3),2)+5)/7),"00"))</f>
        <v/>
      </c>
    </row>
    <row r="709" ht="18" customHeight="1">
      <c r="A709" s="39" t="n">
        <v>704</v>
      </c>
      <c r="B709" s="33">
        <f>IF(C709="","",IF(P709="À RENSEIGNER","GIC",P709)&amp;"-V"&amp;TEXT(A709,"00000"))</f>
        <v/>
      </c>
      <c r="C709" s="32" t="n"/>
      <c r="D709" s="35" t="n"/>
      <c r="E709" s="36" t="n"/>
      <c r="F709" s="36" t="n"/>
      <c r="G709" s="36" t="n"/>
      <c r="H709" s="36" t="n"/>
      <c r="I709" s="36" t="n"/>
      <c r="J709" s="37" t="n"/>
      <c r="K709" s="32" t="n"/>
      <c r="L709" s="36" t="n"/>
      <c r="M709" s="41" t="n"/>
      <c r="N709" s="41" t="n"/>
      <c r="O709" s="36" t="n"/>
      <c r="P709" s="33">
        <f>IF(C709="","",Commercial_Id)</f>
        <v/>
      </c>
      <c r="Q709" s="39">
        <f>IF(F709="","",IFERROR(VALUE(MID(F709,LEN(F709)-3,3)),""))</f>
        <v/>
      </c>
      <c r="R709" s="33">
        <f>IF(Q709="","",P709&amp;"|"&amp;Q709)</f>
        <v/>
      </c>
      <c r="S709" s="33">
        <f>IF(Q709="","",IF(P709="À RENSEIGNER","GIC",P709)&amp;"-"&amp;TEXT(Q709,"000"))</f>
        <v/>
      </c>
      <c r="T709" s="33">
        <f>IF(R709="","",IFERROR(INDEX(Cl_nom,MATCH(R709,Cl_cle,0)),"(client introuvable)"))</f>
        <v/>
      </c>
      <c r="U709" s="33">
        <f>IF(R709="","",IFERROR(INDEX(Cl_quartier,MATCH(R709,Cl_cle,0))&amp;"",""))</f>
        <v/>
      </c>
      <c r="V709" s="34">
        <f>IF(C709="","",YEAR(C709-WEEKDAY(C709,2)+4)&amp;"-S"&amp;TEXT(INT((C709-DATE(YEAR(C709-WEEKDAY(C709,2)+4),1,3)+WEEKDAY(DATE(YEAR(C709-WEEKDAY(C709,2)+4),1,3),2)+5)/7),"00"))</f>
        <v/>
      </c>
    </row>
    <row r="710" ht="18" customHeight="1">
      <c r="A710" s="39" t="n">
        <v>705</v>
      </c>
      <c r="B710" s="33">
        <f>IF(C710="","",IF(P710="À RENSEIGNER","GIC",P710)&amp;"-V"&amp;TEXT(A710,"00000"))</f>
        <v/>
      </c>
      <c r="C710" s="32" t="n"/>
      <c r="D710" s="35" t="n"/>
      <c r="E710" s="36" t="n"/>
      <c r="F710" s="36" t="n"/>
      <c r="G710" s="36" t="n"/>
      <c r="H710" s="36" t="n"/>
      <c r="I710" s="36" t="n"/>
      <c r="J710" s="37" t="n"/>
      <c r="K710" s="32" t="n"/>
      <c r="L710" s="36" t="n"/>
      <c r="M710" s="41" t="n"/>
      <c r="N710" s="41" t="n"/>
      <c r="O710" s="36" t="n"/>
      <c r="P710" s="33">
        <f>IF(C710="","",Commercial_Id)</f>
        <v/>
      </c>
      <c r="Q710" s="39">
        <f>IF(F710="","",IFERROR(VALUE(MID(F710,LEN(F710)-3,3)),""))</f>
        <v/>
      </c>
      <c r="R710" s="33">
        <f>IF(Q710="","",P710&amp;"|"&amp;Q710)</f>
        <v/>
      </c>
      <c r="S710" s="33">
        <f>IF(Q710="","",IF(P710="À RENSEIGNER","GIC",P710)&amp;"-"&amp;TEXT(Q710,"000"))</f>
        <v/>
      </c>
      <c r="T710" s="33">
        <f>IF(R710="","",IFERROR(INDEX(Cl_nom,MATCH(R710,Cl_cle,0)),"(client introuvable)"))</f>
        <v/>
      </c>
      <c r="U710" s="33">
        <f>IF(R710="","",IFERROR(INDEX(Cl_quartier,MATCH(R710,Cl_cle,0))&amp;"",""))</f>
        <v/>
      </c>
      <c r="V710" s="34">
        <f>IF(C710="","",YEAR(C710-WEEKDAY(C710,2)+4)&amp;"-S"&amp;TEXT(INT((C710-DATE(YEAR(C710-WEEKDAY(C710,2)+4),1,3)+WEEKDAY(DATE(YEAR(C710-WEEKDAY(C710,2)+4),1,3),2)+5)/7),"00"))</f>
        <v/>
      </c>
    </row>
    <row r="711" ht="18" customHeight="1">
      <c r="A711" s="39" t="n">
        <v>706</v>
      </c>
      <c r="B711" s="33">
        <f>IF(C711="","",IF(P711="À RENSEIGNER","GIC",P711)&amp;"-V"&amp;TEXT(A711,"00000"))</f>
        <v/>
      </c>
      <c r="C711" s="32" t="n"/>
      <c r="D711" s="35" t="n"/>
      <c r="E711" s="36" t="n"/>
      <c r="F711" s="36" t="n"/>
      <c r="G711" s="36" t="n"/>
      <c r="H711" s="36" t="n"/>
      <c r="I711" s="36" t="n"/>
      <c r="J711" s="37" t="n"/>
      <c r="K711" s="32" t="n"/>
      <c r="L711" s="36" t="n"/>
      <c r="M711" s="41" t="n"/>
      <c r="N711" s="41" t="n"/>
      <c r="O711" s="36" t="n"/>
      <c r="P711" s="33">
        <f>IF(C711="","",Commercial_Id)</f>
        <v/>
      </c>
      <c r="Q711" s="39">
        <f>IF(F711="","",IFERROR(VALUE(MID(F711,LEN(F711)-3,3)),""))</f>
        <v/>
      </c>
      <c r="R711" s="33">
        <f>IF(Q711="","",P711&amp;"|"&amp;Q711)</f>
        <v/>
      </c>
      <c r="S711" s="33">
        <f>IF(Q711="","",IF(P711="À RENSEIGNER","GIC",P711)&amp;"-"&amp;TEXT(Q711,"000"))</f>
        <v/>
      </c>
      <c r="T711" s="33">
        <f>IF(R711="","",IFERROR(INDEX(Cl_nom,MATCH(R711,Cl_cle,0)),"(client introuvable)"))</f>
        <v/>
      </c>
      <c r="U711" s="33">
        <f>IF(R711="","",IFERROR(INDEX(Cl_quartier,MATCH(R711,Cl_cle,0))&amp;"",""))</f>
        <v/>
      </c>
      <c r="V711" s="34">
        <f>IF(C711="","",YEAR(C711-WEEKDAY(C711,2)+4)&amp;"-S"&amp;TEXT(INT((C711-DATE(YEAR(C711-WEEKDAY(C711,2)+4),1,3)+WEEKDAY(DATE(YEAR(C711-WEEKDAY(C711,2)+4),1,3),2)+5)/7),"00"))</f>
        <v/>
      </c>
    </row>
    <row r="712" ht="18" customHeight="1">
      <c r="A712" s="39" t="n">
        <v>707</v>
      </c>
      <c r="B712" s="33">
        <f>IF(C712="","",IF(P712="À RENSEIGNER","GIC",P712)&amp;"-V"&amp;TEXT(A712,"00000"))</f>
        <v/>
      </c>
      <c r="C712" s="32" t="n"/>
      <c r="D712" s="35" t="n"/>
      <c r="E712" s="36" t="n"/>
      <c r="F712" s="36" t="n"/>
      <c r="G712" s="36" t="n"/>
      <c r="H712" s="36" t="n"/>
      <c r="I712" s="36" t="n"/>
      <c r="J712" s="37" t="n"/>
      <c r="K712" s="32" t="n"/>
      <c r="L712" s="36" t="n"/>
      <c r="M712" s="41" t="n"/>
      <c r="N712" s="41" t="n"/>
      <c r="O712" s="36" t="n"/>
      <c r="P712" s="33">
        <f>IF(C712="","",Commercial_Id)</f>
        <v/>
      </c>
      <c r="Q712" s="39">
        <f>IF(F712="","",IFERROR(VALUE(MID(F712,LEN(F712)-3,3)),""))</f>
        <v/>
      </c>
      <c r="R712" s="33">
        <f>IF(Q712="","",P712&amp;"|"&amp;Q712)</f>
        <v/>
      </c>
      <c r="S712" s="33">
        <f>IF(Q712="","",IF(P712="À RENSEIGNER","GIC",P712)&amp;"-"&amp;TEXT(Q712,"000"))</f>
        <v/>
      </c>
      <c r="T712" s="33">
        <f>IF(R712="","",IFERROR(INDEX(Cl_nom,MATCH(R712,Cl_cle,0)),"(client introuvable)"))</f>
        <v/>
      </c>
      <c r="U712" s="33">
        <f>IF(R712="","",IFERROR(INDEX(Cl_quartier,MATCH(R712,Cl_cle,0))&amp;"",""))</f>
        <v/>
      </c>
      <c r="V712" s="34">
        <f>IF(C712="","",YEAR(C712-WEEKDAY(C712,2)+4)&amp;"-S"&amp;TEXT(INT((C712-DATE(YEAR(C712-WEEKDAY(C712,2)+4),1,3)+WEEKDAY(DATE(YEAR(C712-WEEKDAY(C712,2)+4),1,3),2)+5)/7),"00"))</f>
        <v/>
      </c>
    </row>
    <row r="713" ht="18" customHeight="1">
      <c r="A713" s="39" t="n">
        <v>708</v>
      </c>
      <c r="B713" s="33">
        <f>IF(C713="","",IF(P713="À RENSEIGNER","GIC",P713)&amp;"-V"&amp;TEXT(A713,"00000"))</f>
        <v/>
      </c>
      <c r="C713" s="32" t="n"/>
      <c r="D713" s="35" t="n"/>
      <c r="E713" s="36" t="n"/>
      <c r="F713" s="36" t="n"/>
      <c r="G713" s="36" t="n"/>
      <c r="H713" s="36" t="n"/>
      <c r="I713" s="36" t="n"/>
      <c r="J713" s="37" t="n"/>
      <c r="K713" s="32" t="n"/>
      <c r="L713" s="36" t="n"/>
      <c r="M713" s="41" t="n"/>
      <c r="N713" s="41" t="n"/>
      <c r="O713" s="36" t="n"/>
      <c r="P713" s="33">
        <f>IF(C713="","",Commercial_Id)</f>
        <v/>
      </c>
      <c r="Q713" s="39">
        <f>IF(F713="","",IFERROR(VALUE(MID(F713,LEN(F713)-3,3)),""))</f>
        <v/>
      </c>
      <c r="R713" s="33">
        <f>IF(Q713="","",P713&amp;"|"&amp;Q713)</f>
        <v/>
      </c>
      <c r="S713" s="33">
        <f>IF(Q713="","",IF(P713="À RENSEIGNER","GIC",P713)&amp;"-"&amp;TEXT(Q713,"000"))</f>
        <v/>
      </c>
      <c r="T713" s="33">
        <f>IF(R713="","",IFERROR(INDEX(Cl_nom,MATCH(R713,Cl_cle,0)),"(client introuvable)"))</f>
        <v/>
      </c>
      <c r="U713" s="33">
        <f>IF(R713="","",IFERROR(INDEX(Cl_quartier,MATCH(R713,Cl_cle,0))&amp;"",""))</f>
        <v/>
      </c>
      <c r="V713" s="34">
        <f>IF(C713="","",YEAR(C713-WEEKDAY(C713,2)+4)&amp;"-S"&amp;TEXT(INT((C713-DATE(YEAR(C713-WEEKDAY(C713,2)+4),1,3)+WEEKDAY(DATE(YEAR(C713-WEEKDAY(C713,2)+4),1,3),2)+5)/7),"00"))</f>
        <v/>
      </c>
    </row>
    <row r="714" ht="18" customHeight="1">
      <c r="A714" s="39" t="n">
        <v>709</v>
      </c>
      <c r="B714" s="33">
        <f>IF(C714="","",IF(P714="À RENSEIGNER","GIC",P714)&amp;"-V"&amp;TEXT(A714,"00000"))</f>
        <v/>
      </c>
      <c r="C714" s="32" t="n"/>
      <c r="D714" s="35" t="n"/>
      <c r="E714" s="36" t="n"/>
      <c r="F714" s="36" t="n"/>
      <c r="G714" s="36" t="n"/>
      <c r="H714" s="36" t="n"/>
      <c r="I714" s="36" t="n"/>
      <c r="J714" s="37" t="n"/>
      <c r="K714" s="32" t="n"/>
      <c r="L714" s="36" t="n"/>
      <c r="M714" s="41" t="n"/>
      <c r="N714" s="41" t="n"/>
      <c r="O714" s="36" t="n"/>
      <c r="P714" s="33">
        <f>IF(C714="","",Commercial_Id)</f>
        <v/>
      </c>
      <c r="Q714" s="39">
        <f>IF(F714="","",IFERROR(VALUE(MID(F714,LEN(F714)-3,3)),""))</f>
        <v/>
      </c>
      <c r="R714" s="33">
        <f>IF(Q714="","",P714&amp;"|"&amp;Q714)</f>
        <v/>
      </c>
      <c r="S714" s="33">
        <f>IF(Q714="","",IF(P714="À RENSEIGNER","GIC",P714)&amp;"-"&amp;TEXT(Q714,"000"))</f>
        <v/>
      </c>
      <c r="T714" s="33">
        <f>IF(R714="","",IFERROR(INDEX(Cl_nom,MATCH(R714,Cl_cle,0)),"(client introuvable)"))</f>
        <v/>
      </c>
      <c r="U714" s="33">
        <f>IF(R714="","",IFERROR(INDEX(Cl_quartier,MATCH(R714,Cl_cle,0))&amp;"",""))</f>
        <v/>
      </c>
      <c r="V714" s="34">
        <f>IF(C714="","",YEAR(C714-WEEKDAY(C714,2)+4)&amp;"-S"&amp;TEXT(INT((C714-DATE(YEAR(C714-WEEKDAY(C714,2)+4),1,3)+WEEKDAY(DATE(YEAR(C714-WEEKDAY(C714,2)+4),1,3),2)+5)/7),"00"))</f>
        <v/>
      </c>
    </row>
    <row r="715" ht="18" customHeight="1">
      <c r="A715" s="39" t="n">
        <v>710</v>
      </c>
      <c r="B715" s="33">
        <f>IF(C715="","",IF(P715="À RENSEIGNER","GIC",P715)&amp;"-V"&amp;TEXT(A715,"00000"))</f>
        <v/>
      </c>
      <c r="C715" s="32" t="n"/>
      <c r="D715" s="35" t="n"/>
      <c r="E715" s="36" t="n"/>
      <c r="F715" s="36" t="n"/>
      <c r="G715" s="36" t="n"/>
      <c r="H715" s="36" t="n"/>
      <c r="I715" s="36" t="n"/>
      <c r="J715" s="37" t="n"/>
      <c r="K715" s="32" t="n"/>
      <c r="L715" s="36" t="n"/>
      <c r="M715" s="41" t="n"/>
      <c r="N715" s="41" t="n"/>
      <c r="O715" s="36" t="n"/>
      <c r="P715" s="33">
        <f>IF(C715="","",Commercial_Id)</f>
        <v/>
      </c>
      <c r="Q715" s="39">
        <f>IF(F715="","",IFERROR(VALUE(MID(F715,LEN(F715)-3,3)),""))</f>
        <v/>
      </c>
      <c r="R715" s="33">
        <f>IF(Q715="","",P715&amp;"|"&amp;Q715)</f>
        <v/>
      </c>
      <c r="S715" s="33">
        <f>IF(Q715="","",IF(P715="À RENSEIGNER","GIC",P715)&amp;"-"&amp;TEXT(Q715,"000"))</f>
        <v/>
      </c>
      <c r="T715" s="33">
        <f>IF(R715="","",IFERROR(INDEX(Cl_nom,MATCH(R715,Cl_cle,0)),"(client introuvable)"))</f>
        <v/>
      </c>
      <c r="U715" s="33">
        <f>IF(R715="","",IFERROR(INDEX(Cl_quartier,MATCH(R715,Cl_cle,0))&amp;"",""))</f>
        <v/>
      </c>
      <c r="V715" s="34">
        <f>IF(C715="","",YEAR(C715-WEEKDAY(C715,2)+4)&amp;"-S"&amp;TEXT(INT((C715-DATE(YEAR(C715-WEEKDAY(C715,2)+4),1,3)+WEEKDAY(DATE(YEAR(C715-WEEKDAY(C715,2)+4),1,3),2)+5)/7),"00"))</f>
        <v/>
      </c>
    </row>
    <row r="716" ht="18" customHeight="1">
      <c r="A716" s="39" t="n">
        <v>711</v>
      </c>
      <c r="B716" s="33">
        <f>IF(C716="","",IF(P716="À RENSEIGNER","GIC",P716)&amp;"-V"&amp;TEXT(A716,"00000"))</f>
        <v/>
      </c>
      <c r="C716" s="32" t="n"/>
      <c r="D716" s="35" t="n"/>
      <c r="E716" s="36" t="n"/>
      <c r="F716" s="36" t="n"/>
      <c r="G716" s="36" t="n"/>
      <c r="H716" s="36" t="n"/>
      <c r="I716" s="36" t="n"/>
      <c r="J716" s="37" t="n"/>
      <c r="K716" s="32" t="n"/>
      <c r="L716" s="36" t="n"/>
      <c r="M716" s="41" t="n"/>
      <c r="N716" s="41" t="n"/>
      <c r="O716" s="36" t="n"/>
      <c r="P716" s="33">
        <f>IF(C716="","",Commercial_Id)</f>
        <v/>
      </c>
      <c r="Q716" s="39">
        <f>IF(F716="","",IFERROR(VALUE(MID(F716,LEN(F716)-3,3)),""))</f>
        <v/>
      </c>
      <c r="R716" s="33">
        <f>IF(Q716="","",P716&amp;"|"&amp;Q716)</f>
        <v/>
      </c>
      <c r="S716" s="33">
        <f>IF(Q716="","",IF(P716="À RENSEIGNER","GIC",P716)&amp;"-"&amp;TEXT(Q716,"000"))</f>
        <v/>
      </c>
      <c r="T716" s="33">
        <f>IF(R716="","",IFERROR(INDEX(Cl_nom,MATCH(R716,Cl_cle,0)),"(client introuvable)"))</f>
        <v/>
      </c>
      <c r="U716" s="33">
        <f>IF(R716="","",IFERROR(INDEX(Cl_quartier,MATCH(R716,Cl_cle,0))&amp;"",""))</f>
        <v/>
      </c>
      <c r="V716" s="34">
        <f>IF(C716="","",YEAR(C716-WEEKDAY(C716,2)+4)&amp;"-S"&amp;TEXT(INT((C716-DATE(YEAR(C716-WEEKDAY(C716,2)+4),1,3)+WEEKDAY(DATE(YEAR(C716-WEEKDAY(C716,2)+4),1,3),2)+5)/7),"00"))</f>
        <v/>
      </c>
    </row>
    <row r="717" ht="18" customHeight="1">
      <c r="A717" s="39" t="n">
        <v>712</v>
      </c>
      <c r="B717" s="33">
        <f>IF(C717="","",IF(P717="À RENSEIGNER","GIC",P717)&amp;"-V"&amp;TEXT(A717,"00000"))</f>
        <v/>
      </c>
      <c r="C717" s="32" t="n"/>
      <c r="D717" s="35" t="n"/>
      <c r="E717" s="36" t="n"/>
      <c r="F717" s="36" t="n"/>
      <c r="G717" s="36" t="n"/>
      <c r="H717" s="36" t="n"/>
      <c r="I717" s="36" t="n"/>
      <c r="J717" s="37" t="n"/>
      <c r="K717" s="32" t="n"/>
      <c r="L717" s="36" t="n"/>
      <c r="M717" s="41" t="n"/>
      <c r="N717" s="41" t="n"/>
      <c r="O717" s="36" t="n"/>
      <c r="P717" s="33">
        <f>IF(C717="","",Commercial_Id)</f>
        <v/>
      </c>
      <c r="Q717" s="39">
        <f>IF(F717="","",IFERROR(VALUE(MID(F717,LEN(F717)-3,3)),""))</f>
        <v/>
      </c>
      <c r="R717" s="33">
        <f>IF(Q717="","",P717&amp;"|"&amp;Q717)</f>
        <v/>
      </c>
      <c r="S717" s="33">
        <f>IF(Q717="","",IF(P717="À RENSEIGNER","GIC",P717)&amp;"-"&amp;TEXT(Q717,"000"))</f>
        <v/>
      </c>
      <c r="T717" s="33">
        <f>IF(R717="","",IFERROR(INDEX(Cl_nom,MATCH(R717,Cl_cle,0)),"(client introuvable)"))</f>
        <v/>
      </c>
      <c r="U717" s="33">
        <f>IF(R717="","",IFERROR(INDEX(Cl_quartier,MATCH(R717,Cl_cle,0))&amp;"",""))</f>
        <v/>
      </c>
      <c r="V717" s="34">
        <f>IF(C717="","",YEAR(C717-WEEKDAY(C717,2)+4)&amp;"-S"&amp;TEXT(INT((C717-DATE(YEAR(C717-WEEKDAY(C717,2)+4),1,3)+WEEKDAY(DATE(YEAR(C717-WEEKDAY(C717,2)+4),1,3),2)+5)/7),"00"))</f>
        <v/>
      </c>
    </row>
    <row r="718" ht="18" customHeight="1">
      <c r="A718" s="39" t="n">
        <v>713</v>
      </c>
      <c r="B718" s="33">
        <f>IF(C718="","",IF(P718="À RENSEIGNER","GIC",P718)&amp;"-V"&amp;TEXT(A718,"00000"))</f>
        <v/>
      </c>
      <c r="C718" s="32" t="n"/>
      <c r="D718" s="35" t="n"/>
      <c r="E718" s="36" t="n"/>
      <c r="F718" s="36" t="n"/>
      <c r="G718" s="36" t="n"/>
      <c r="H718" s="36" t="n"/>
      <c r="I718" s="36" t="n"/>
      <c r="J718" s="37" t="n"/>
      <c r="K718" s="32" t="n"/>
      <c r="L718" s="36" t="n"/>
      <c r="M718" s="41" t="n"/>
      <c r="N718" s="41" t="n"/>
      <c r="O718" s="36" t="n"/>
      <c r="P718" s="33">
        <f>IF(C718="","",Commercial_Id)</f>
        <v/>
      </c>
      <c r="Q718" s="39">
        <f>IF(F718="","",IFERROR(VALUE(MID(F718,LEN(F718)-3,3)),""))</f>
        <v/>
      </c>
      <c r="R718" s="33">
        <f>IF(Q718="","",P718&amp;"|"&amp;Q718)</f>
        <v/>
      </c>
      <c r="S718" s="33">
        <f>IF(Q718="","",IF(P718="À RENSEIGNER","GIC",P718)&amp;"-"&amp;TEXT(Q718,"000"))</f>
        <v/>
      </c>
      <c r="T718" s="33">
        <f>IF(R718="","",IFERROR(INDEX(Cl_nom,MATCH(R718,Cl_cle,0)),"(client introuvable)"))</f>
        <v/>
      </c>
      <c r="U718" s="33">
        <f>IF(R718="","",IFERROR(INDEX(Cl_quartier,MATCH(R718,Cl_cle,0))&amp;"",""))</f>
        <v/>
      </c>
      <c r="V718" s="34">
        <f>IF(C718="","",YEAR(C718-WEEKDAY(C718,2)+4)&amp;"-S"&amp;TEXT(INT((C718-DATE(YEAR(C718-WEEKDAY(C718,2)+4),1,3)+WEEKDAY(DATE(YEAR(C718-WEEKDAY(C718,2)+4),1,3),2)+5)/7),"00"))</f>
        <v/>
      </c>
    </row>
    <row r="719" ht="18" customHeight="1">
      <c r="A719" s="39" t="n">
        <v>714</v>
      </c>
      <c r="B719" s="33">
        <f>IF(C719="","",IF(P719="À RENSEIGNER","GIC",P719)&amp;"-V"&amp;TEXT(A719,"00000"))</f>
        <v/>
      </c>
      <c r="C719" s="32" t="n"/>
      <c r="D719" s="35" t="n"/>
      <c r="E719" s="36" t="n"/>
      <c r="F719" s="36" t="n"/>
      <c r="G719" s="36" t="n"/>
      <c r="H719" s="36" t="n"/>
      <c r="I719" s="36" t="n"/>
      <c r="J719" s="37" t="n"/>
      <c r="K719" s="32" t="n"/>
      <c r="L719" s="36" t="n"/>
      <c r="M719" s="41" t="n"/>
      <c r="N719" s="41" t="n"/>
      <c r="O719" s="36" t="n"/>
      <c r="P719" s="33">
        <f>IF(C719="","",Commercial_Id)</f>
        <v/>
      </c>
      <c r="Q719" s="39">
        <f>IF(F719="","",IFERROR(VALUE(MID(F719,LEN(F719)-3,3)),""))</f>
        <v/>
      </c>
      <c r="R719" s="33">
        <f>IF(Q719="","",P719&amp;"|"&amp;Q719)</f>
        <v/>
      </c>
      <c r="S719" s="33">
        <f>IF(Q719="","",IF(P719="À RENSEIGNER","GIC",P719)&amp;"-"&amp;TEXT(Q719,"000"))</f>
        <v/>
      </c>
      <c r="T719" s="33">
        <f>IF(R719="","",IFERROR(INDEX(Cl_nom,MATCH(R719,Cl_cle,0)),"(client introuvable)"))</f>
        <v/>
      </c>
      <c r="U719" s="33">
        <f>IF(R719="","",IFERROR(INDEX(Cl_quartier,MATCH(R719,Cl_cle,0))&amp;"",""))</f>
        <v/>
      </c>
      <c r="V719" s="34">
        <f>IF(C719="","",YEAR(C719-WEEKDAY(C719,2)+4)&amp;"-S"&amp;TEXT(INT((C719-DATE(YEAR(C719-WEEKDAY(C719,2)+4),1,3)+WEEKDAY(DATE(YEAR(C719-WEEKDAY(C719,2)+4),1,3),2)+5)/7),"00"))</f>
        <v/>
      </c>
    </row>
    <row r="720" ht="18" customHeight="1">
      <c r="A720" s="39" t="n">
        <v>715</v>
      </c>
      <c r="B720" s="33">
        <f>IF(C720="","",IF(P720="À RENSEIGNER","GIC",P720)&amp;"-V"&amp;TEXT(A720,"00000"))</f>
        <v/>
      </c>
      <c r="C720" s="32" t="n"/>
      <c r="D720" s="35" t="n"/>
      <c r="E720" s="36" t="n"/>
      <c r="F720" s="36" t="n"/>
      <c r="G720" s="36" t="n"/>
      <c r="H720" s="36" t="n"/>
      <c r="I720" s="36" t="n"/>
      <c r="J720" s="37" t="n"/>
      <c r="K720" s="32" t="n"/>
      <c r="L720" s="36" t="n"/>
      <c r="M720" s="41" t="n"/>
      <c r="N720" s="41" t="n"/>
      <c r="O720" s="36" t="n"/>
      <c r="P720" s="33">
        <f>IF(C720="","",Commercial_Id)</f>
        <v/>
      </c>
      <c r="Q720" s="39">
        <f>IF(F720="","",IFERROR(VALUE(MID(F720,LEN(F720)-3,3)),""))</f>
        <v/>
      </c>
      <c r="R720" s="33">
        <f>IF(Q720="","",P720&amp;"|"&amp;Q720)</f>
        <v/>
      </c>
      <c r="S720" s="33">
        <f>IF(Q720="","",IF(P720="À RENSEIGNER","GIC",P720)&amp;"-"&amp;TEXT(Q720,"000"))</f>
        <v/>
      </c>
      <c r="T720" s="33">
        <f>IF(R720="","",IFERROR(INDEX(Cl_nom,MATCH(R720,Cl_cle,0)),"(client introuvable)"))</f>
        <v/>
      </c>
      <c r="U720" s="33">
        <f>IF(R720="","",IFERROR(INDEX(Cl_quartier,MATCH(R720,Cl_cle,0))&amp;"",""))</f>
        <v/>
      </c>
      <c r="V720" s="34">
        <f>IF(C720="","",YEAR(C720-WEEKDAY(C720,2)+4)&amp;"-S"&amp;TEXT(INT((C720-DATE(YEAR(C720-WEEKDAY(C720,2)+4),1,3)+WEEKDAY(DATE(YEAR(C720-WEEKDAY(C720,2)+4),1,3),2)+5)/7),"00"))</f>
        <v/>
      </c>
    </row>
    <row r="721" ht="18" customHeight="1">
      <c r="A721" s="39" t="n">
        <v>716</v>
      </c>
      <c r="B721" s="33">
        <f>IF(C721="","",IF(P721="À RENSEIGNER","GIC",P721)&amp;"-V"&amp;TEXT(A721,"00000"))</f>
        <v/>
      </c>
      <c r="C721" s="32" t="n"/>
      <c r="D721" s="35" t="n"/>
      <c r="E721" s="36" t="n"/>
      <c r="F721" s="36" t="n"/>
      <c r="G721" s="36" t="n"/>
      <c r="H721" s="36" t="n"/>
      <c r="I721" s="36" t="n"/>
      <c r="J721" s="37" t="n"/>
      <c r="K721" s="32" t="n"/>
      <c r="L721" s="36" t="n"/>
      <c r="M721" s="41" t="n"/>
      <c r="N721" s="41" t="n"/>
      <c r="O721" s="36" t="n"/>
      <c r="P721" s="33">
        <f>IF(C721="","",Commercial_Id)</f>
        <v/>
      </c>
      <c r="Q721" s="39">
        <f>IF(F721="","",IFERROR(VALUE(MID(F721,LEN(F721)-3,3)),""))</f>
        <v/>
      </c>
      <c r="R721" s="33">
        <f>IF(Q721="","",P721&amp;"|"&amp;Q721)</f>
        <v/>
      </c>
      <c r="S721" s="33">
        <f>IF(Q721="","",IF(P721="À RENSEIGNER","GIC",P721)&amp;"-"&amp;TEXT(Q721,"000"))</f>
        <v/>
      </c>
      <c r="T721" s="33">
        <f>IF(R721="","",IFERROR(INDEX(Cl_nom,MATCH(R721,Cl_cle,0)),"(client introuvable)"))</f>
        <v/>
      </c>
      <c r="U721" s="33">
        <f>IF(R721="","",IFERROR(INDEX(Cl_quartier,MATCH(R721,Cl_cle,0))&amp;"",""))</f>
        <v/>
      </c>
      <c r="V721" s="34">
        <f>IF(C721="","",YEAR(C721-WEEKDAY(C721,2)+4)&amp;"-S"&amp;TEXT(INT((C721-DATE(YEAR(C721-WEEKDAY(C721,2)+4),1,3)+WEEKDAY(DATE(YEAR(C721-WEEKDAY(C721,2)+4),1,3),2)+5)/7),"00"))</f>
        <v/>
      </c>
    </row>
    <row r="722" ht="18" customHeight="1">
      <c r="A722" s="39" t="n">
        <v>717</v>
      </c>
      <c r="B722" s="33">
        <f>IF(C722="","",IF(P722="À RENSEIGNER","GIC",P722)&amp;"-V"&amp;TEXT(A722,"00000"))</f>
        <v/>
      </c>
      <c r="C722" s="32" t="n"/>
      <c r="D722" s="35" t="n"/>
      <c r="E722" s="36" t="n"/>
      <c r="F722" s="36" t="n"/>
      <c r="G722" s="36" t="n"/>
      <c r="H722" s="36" t="n"/>
      <c r="I722" s="36" t="n"/>
      <c r="J722" s="37" t="n"/>
      <c r="K722" s="32" t="n"/>
      <c r="L722" s="36" t="n"/>
      <c r="M722" s="41" t="n"/>
      <c r="N722" s="41" t="n"/>
      <c r="O722" s="36" t="n"/>
      <c r="P722" s="33">
        <f>IF(C722="","",Commercial_Id)</f>
        <v/>
      </c>
      <c r="Q722" s="39">
        <f>IF(F722="","",IFERROR(VALUE(MID(F722,LEN(F722)-3,3)),""))</f>
        <v/>
      </c>
      <c r="R722" s="33">
        <f>IF(Q722="","",P722&amp;"|"&amp;Q722)</f>
        <v/>
      </c>
      <c r="S722" s="33">
        <f>IF(Q722="","",IF(P722="À RENSEIGNER","GIC",P722)&amp;"-"&amp;TEXT(Q722,"000"))</f>
        <v/>
      </c>
      <c r="T722" s="33">
        <f>IF(R722="","",IFERROR(INDEX(Cl_nom,MATCH(R722,Cl_cle,0)),"(client introuvable)"))</f>
        <v/>
      </c>
      <c r="U722" s="33">
        <f>IF(R722="","",IFERROR(INDEX(Cl_quartier,MATCH(R722,Cl_cle,0))&amp;"",""))</f>
        <v/>
      </c>
      <c r="V722" s="34">
        <f>IF(C722="","",YEAR(C722-WEEKDAY(C722,2)+4)&amp;"-S"&amp;TEXT(INT((C722-DATE(YEAR(C722-WEEKDAY(C722,2)+4),1,3)+WEEKDAY(DATE(YEAR(C722-WEEKDAY(C722,2)+4),1,3),2)+5)/7),"00"))</f>
        <v/>
      </c>
    </row>
    <row r="723" ht="18" customHeight="1">
      <c r="A723" s="39" t="n">
        <v>718</v>
      </c>
      <c r="B723" s="33">
        <f>IF(C723="","",IF(P723="À RENSEIGNER","GIC",P723)&amp;"-V"&amp;TEXT(A723,"00000"))</f>
        <v/>
      </c>
      <c r="C723" s="32" t="n"/>
      <c r="D723" s="35" t="n"/>
      <c r="E723" s="36" t="n"/>
      <c r="F723" s="36" t="n"/>
      <c r="G723" s="36" t="n"/>
      <c r="H723" s="36" t="n"/>
      <c r="I723" s="36" t="n"/>
      <c r="J723" s="37" t="n"/>
      <c r="K723" s="32" t="n"/>
      <c r="L723" s="36" t="n"/>
      <c r="M723" s="41" t="n"/>
      <c r="N723" s="41" t="n"/>
      <c r="O723" s="36" t="n"/>
      <c r="P723" s="33">
        <f>IF(C723="","",Commercial_Id)</f>
        <v/>
      </c>
      <c r="Q723" s="39">
        <f>IF(F723="","",IFERROR(VALUE(MID(F723,LEN(F723)-3,3)),""))</f>
        <v/>
      </c>
      <c r="R723" s="33">
        <f>IF(Q723="","",P723&amp;"|"&amp;Q723)</f>
        <v/>
      </c>
      <c r="S723" s="33">
        <f>IF(Q723="","",IF(P723="À RENSEIGNER","GIC",P723)&amp;"-"&amp;TEXT(Q723,"000"))</f>
        <v/>
      </c>
      <c r="T723" s="33">
        <f>IF(R723="","",IFERROR(INDEX(Cl_nom,MATCH(R723,Cl_cle,0)),"(client introuvable)"))</f>
        <v/>
      </c>
      <c r="U723" s="33">
        <f>IF(R723="","",IFERROR(INDEX(Cl_quartier,MATCH(R723,Cl_cle,0))&amp;"",""))</f>
        <v/>
      </c>
      <c r="V723" s="34">
        <f>IF(C723="","",YEAR(C723-WEEKDAY(C723,2)+4)&amp;"-S"&amp;TEXT(INT((C723-DATE(YEAR(C723-WEEKDAY(C723,2)+4),1,3)+WEEKDAY(DATE(YEAR(C723-WEEKDAY(C723,2)+4),1,3),2)+5)/7),"00"))</f>
        <v/>
      </c>
    </row>
    <row r="724" ht="18" customHeight="1">
      <c r="A724" s="39" t="n">
        <v>719</v>
      </c>
      <c r="B724" s="33">
        <f>IF(C724="","",IF(P724="À RENSEIGNER","GIC",P724)&amp;"-V"&amp;TEXT(A724,"00000"))</f>
        <v/>
      </c>
      <c r="C724" s="32" t="n"/>
      <c r="D724" s="35" t="n"/>
      <c r="E724" s="36" t="n"/>
      <c r="F724" s="36" t="n"/>
      <c r="G724" s="36" t="n"/>
      <c r="H724" s="36" t="n"/>
      <c r="I724" s="36" t="n"/>
      <c r="J724" s="37" t="n"/>
      <c r="K724" s="32" t="n"/>
      <c r="L724" s="36" t="n"/>
      <c r="M724" s="41" t="n"/>
      <c r="N724" s="41" t="n"/>
      <c r="O724" s="36" t="n"/>
      <c r="P724" s="33">
        <f>IF(C724="","",Commercial_Id)</f>
        <v/>
      </c>
      <c r="Q724" s="39">
        <f>IF(F724="","",IFERROR(VALUE(MID(F724,LEN(F724)-3,3)),""))</f>
        <v/>
      </c>
      <c r="R724" s="33">
        <f>IF(Q724="","",P724&amp;"|"&amp;Q724)</f>
        <v/>
      </c>
      <c r="S724" s="33">
        <f>IF(Q724="","",IF(P724="À RENSEIGNER","GIC",P724)&amp;"-"&amp;TEXT(Q724,"000"))</f>
        <v/>
      </c>
      <c r="T724" s="33">
        <f>IF(R724="","",IFERROR(INDEX(Cl_nom,MATCH(R724,Cl_cle,0)),"(client introuvable)"))</f>
        <v/>
      </c>
      <c r="U724" s="33">
        <f>IF(R724="","",IFERROR(INDEX(Cl_quartier,MATCH(R724,Cl_cle,0))&amp;"",""))</f>
        <v/>
      </c>
      <c r="V724" s="34">
        <f>IF(C724="","",YEAR(C724-WEEKDAY(C724,2)+4)&amp;"-S"&amp;TEXT(INT((C724-DATE(YEAR(C724-WEEKDAY(C724,2)+4),1,3)+WEEKDAY(DATE(YEAR(C724-WEEKDAY(C724,2)+4),1,3),2)+5)/7),"00"))</f>
        <v/>
      </c>
    </row>
    <row r="725" ht="18" customHeight="1">
      <c r="A725" s="39" t="n">
        <v>720</v>
      </c>
      <c r="B725" s="33">
        <f>IF(C725="","",IF(P725="À RENSEIGNER","GIC",P725)&amp;"-V"&amp;TEXT(A725,"00000"))</f>
        <v/>
      </c>
      <c r="C725" s="32" t="n"/>
      <c r="D725" s="35" t="n"/>
      <c r="E725" s="36" t="n"/>
      <c r="F725" s="36" t="n"/>
      <c r="G725" s="36" t="n"/>
      <c r="H725" s="36" t="n"/>
      <c r="I725" s="36" t="n"/>
      <c r="J725" s="37" t="n"/>
      <c r="K725" s="32" t="n"/>
      <c r="L725" s="36" t="n"/>
      <c r="M725" s="41" t="n"/>
      <c r="N725" s="41" t="n"/>
      <c r="O725" s="36" t="n"/>
      <c r="P725" s="33">
        <f>IF(C725="","",Commercial_Id)</f>
        <v/>
      </c>
      <c r="Q725" s="39">
        <f>IF(F725="","",IFERROR(VALUE(MID(F725,LEN(F725)-3,3)),""))</f>
        <v/>
      </c>
      <c r="R725" s="33">
        <f>IF(Q725="","",P725&amp;"|"&amp;Q725)</f>
        <v/>
      </c>
      <c r="S725" s="33">
        <f>IF(Q725="","",IF(P725="À RENSEIGNER","GIC",P725)&amp;"-"&amp;TEXT(Q725,"000"))</f>
        <v/>
      </c>
      <c r="T725" s="33">
        <f>IF(R725="","",IFERROR(INDEX(Cl_nom,MATCH(R725,Cl_cle,0)),"(client introuvable)"))</f>
        <v/>
      </c>
      <c r="U725" s="33">
        <f>IF(R725="","",IFERROR(INDEX(Cl_quartier,MATCH(R725,Cl_cle,0))&amp;"",""))</f>
        <v/>
      </c>
      <c r="V725" s="34">
        <f>IF(C725="","",YEAR(C725-WEEKDAY(C725,2)+4)&amp;"-S"&amp;TEXT(INT((C725-DATE(YEAR(C725-WEEKDAY(C725,2)+4),1,3)+WEEKDAY(DATE(YEAR(C725-WEEKDAY(C725,2)+4),1,3),2)+5)/7),"00"))</f>
        <v/>
      </c>
    </row>
    <row r="726" ht="18" customHeight="1">
      <c r="A726" s="39" t="n">
        <v>721</v>
      </c>
      <c r="B726" s="33">
        <f>IF(C726="","",IF(P726="À RENSEIGNER","GIC",P726)&amp;"-V"&amp;TEXT(A726,"00000"))</f>
        <v/>
      </c>
      <c r="C726" s="32" t="n"/>
      <c r="D726" s="35" t="n"/>
      <c r="E726" s="36" t="n"/>
      <c r="F726" s="36" t="n"/>
      <c r="G726" s="36" t="n"/>
      <c r="H726" s="36" t="n"/>
      <c r="I726" s="36" t="n"/>
      <c r="J726" s="37" t="n"/>
      <c r="K726" s="32" t="n"/>
      <c r="L726" s="36" t="n"/>
      <c r="M726" s="41" t="n"/>
      <c r="N726" s="41" t="n"/>
      <c r="O726" s="36" t="n"/>
      <c r="P726" s="33">
        <f>IF(C726="","",Commercial_Id)</f>
        <v/>
      </c>
      <c r="Q726" s="39">
        <f>IF(F726="","",IFERROR(VALUE(MID(F726,LEN(F726)-3,3)),""))</f>
        <v/>
      </c>
      <c r="R726" s="33">
        <f>IF(Q726="","",P726&amp;"|"&amp;Q726)</f>
        <v/>
      </c>
      <c r="S726" s="33">
        <f>IF(Q726="","",IF(P726="À RENSEIGNER","GIC",P726)&amp;"-"&amp;TEXT(Q726,"000"))</f>
        <v/>
      </c>
      <c r="T726" s="33">
        <f>IF(R726="","",IFERROR(INDEX(Cl_nom,MATCH(R726,Cl_cle,0)),"(client introuvable)"))</f>
        <v/>
      </c>
      <c r="U726" s="33">
        <f>IF(R726="","",IFERROR(INDEX(Cl_quartier,MATCH(R726,Cl_cle,0))&amp;"",""))</f>
        <v/>
      </c>
      <c r="V726" s="34">
        <f>IF(C726="","",YEAR(C726-WEEKDAY(C726,2)+4)&amp;"-S"&amp;TEXT(INT((C726-DATE(YEAR(C726-WEEKDAY(C726,2)+4),1,3)+WEEKDAY(DATE(YEAR(C726-WEEKDAY(C726,2)+4),1,3),2)+5)/7),"00"))</f>
        <v/>
      </c>
    </row>
    <row r="727" ht="18" customHeight="1">
      <c r="A727" s="39" t="n">
        <v>722</v>
      </c>
      <c r="B727" s="33">
        <f>IF(C727="","",IF(P727="À RENSEIGNER","GIC",P727)&amp;"-V"&amp;TEXT(A727,"00000"))</f>
        <v/>
      </c>
      <c r="C727" s="32" t="n"/>
      <c r="D727" s="35" t="n"/>
      <c r="E727" s="36" t="n"/>
      <c r="F727" s="36" t="n"/>
      <c r="G727" s="36" t="n"/>
      <c r="H727" s="36" t="n"/>
      <c r="I727" s="36" t="n"/>
      <c r="J727" s="37" t="n"/>
      <c r="K727" s="32" t="n"/>
      <c r="L727" s="36" t="n"/>
      <c r="M727" s="41" t="n"/>
      <c r="N727" s="41" t="n"/>
      <c r="O727" s="36" t="n"/>
      <c r="P727" s="33">
        <f>IF(C727="","",Commercial_Id)</f>
        <v/>
      </c>
      <c r="Q727" s="39">
        <f>IF(F727="","",IFERROR(VALUE(MID(F727,LEN(F727)-3,3)),""))</f>
        <v/>
      </c>
      <c r="R727" s="33">
        <f>IF(Q727="","",P727&amp;"|"&amp;Q727)</f>
        <v/>
      </c>
      <c r="S727" s="33">
        <f>IF(Q727="","",IF(P727="À RENSEIGNER","GIC",P727)&amp;"-"&amp;TEXT(Q727,"000"))</f>
        <v/>
      </c>
      <c r="T727" s="33">
        <f>IF(R727="","",IFERROR(INDEX(Cl_nom,MATCH(R727,Cl_cle,0)),"(client introuvable)"))</f>
        <v/>
      </c>
      <c r="U727" s="33">
        <f>IF(R727="","",IFERROR(INDEX(Cl_quartier,MATCH(R727,Cl_cle,0))&amp;"",""))</f>
        <v/>
      </c>
      <c r="V727" s="34">
        <f>IF(C727="","",YEAR(C727-WEEKDAY(C727,2)+4)&amp;"-S"&amp;TEXT(INT((C727-DATE(YEAR(C727-WEEKDAY(C727,2)+4),1,3)+WEEKDAY(DATE(YEAR(C727-WEEKDAY(C727,2)+4),1,3),2)+5)/7),"00"))</f>
        <v/>
      </c>
    </row>
    <row r="728" ht="18" customHeight="1">
      <c r="A728" s="39" t="n">
        <v>723</v>
      </c>
      <c r="B728" s="33">
        <f>IF(C728="","",IF(P728="À RENSEIGNER","GIC",P728)&amp;"-V"&amp;TEXT(A728,"00000"))</f>
        <v/>
      </c>
      <c r="C728" s="32" t="n"/>
      <c r="D728" s="35" t="n"/>
      <c r="E728" s="36" t="n"/>
      <c r="F728" s="36" t="n"/>
      <c r="G728" s="36" t="n"/>
      <c r="H728" s="36" t="n"/>
      <c r="I728" s="36" t="n"/>
      <c r="J728" s="37" t="n"/>
      <c r="K728" s="32" t="n"/>
      <c r="L728" s="36" t="n"/>
      <c r="M728" s="41" t="n"/>
      <c r="N728" s="41" t="n"/>
      <c r="O728" s="36" t="n"/>
      <c r="P728" s="33">
        <f>IF(C728="","",Commercial_Id)</f>
        <v/>
      </c>
      <c r="Q728" s="39">
        <f>IF(F728="","",IFERROR(VALUE(MID(F728,LEN(F728)-3,3)),""))</f>
        <v/>
      </c>
      <c r="R728" s="33">
        <f>IF(Q728="","",P728&amp;"|"&amp;Q728)</f>
        <v/>
      </c>
      <c r="S728" s="33">
        <f>IF(Q728="","",IF(P728="À RENSEIGNER","GIC",P728)&amp;"-"&amp;TEXT(Q728,"000"))</f>
        <v/>
      </c>
      <c r="T728" s="33">
        <f>IF(R728="","",IFERROR(INDEX(Cl_nom,MATCH(R728,Cl_cle,0)),"(client introuvable)"))</f>
        <v/>
      </c>
      <c r="U728" s="33">
        <f>IF(R728="","",IFERROR(INDEX(Cl_quartier,MATCH(R728,Cl_cle,0))&amp;"",""))</f>
        <v/>
      </c>
      <c r="V728" s="34">
        <f>IF(C728="","",YEAR(C728-WEEKDAY(C728,2)+4)&amp;"-S"&amp;TEXT(INT((C728-DATE(YEAR(C728-WEEKDAY(C728,2)+4),1,3)+WEEKDAY(DATE(YEAR(C728-WEEKDAY(C728,2)+4),1,3),2)+5)/7),"00"))</f>
        <v/>
      </c>
    </row>
    <row r="729" ht="18" customHeight="1">
      <c r="A729" s="39" t="n">
        <v>724</v>
      </c>
      <c r="B729" s="33">
        <f>IF(C729="","",IF(P729="À RENSEIGNER","GIC",P729)&amp;"-V"&amp;TEXT(A729,"00000"))</f>
        <v/>
      </c>
      <c r="C729" s="32" t="n"/>
      <c r="D729" s="35" t="n"/>
      <c r="E729" s="36" t="n"/>
      <c r="F729" s="36" t="n"/>
      <c r="G729" s="36" t="n"/>
      <c r="H729" s="36" t="n"/>
      <c r="I729" s="36" t="n"/>
      <c r="J729" s="37" t="n"/>
      <c r="K729" s="32" t="n"/>
      <c r="L729" s="36" t="n"/>
      <c r="M729" s="41" t="n"/>
      <c r="N729" s="41" t="n"/>
      <c r="O729" s="36" t="n"/>
      <c r="P729" s="33">
        <f>IF(C729="","",Commercial_Id)</f>
        <v/>
      </c>
      <c r="Q729" s="39">
        <f>IF(F729="","",IFERROR(VALUE(MID(F729,LEN(F729)-3,3)),""))</f>
        <v/>
      </c>
      <c r="R729" s="33">
        <f>IF(Q729="","",P729&amp;"|"&amp;Q729)</f>
        <v/>
      </c>
      <c r="S729" s="33">
        <f>IF(Q729="","",IF(P729="À RENSEIGNER","GIC",P729)&amp;"-"&amp;TEXT(Q729,"000"))</f>
        <v/>
      </c>
      <c r="T729" s="33">
        <f>IF(R729="","",IFERROR(INDEX(Cl_nom,MATCH(R729,Cl_cle,0)),"(client introuvable)"))</f>
        <v/>
      </c>
      <c r="U729" s="33">
        <f>IF(R729="","",IFERROR(INDEX(Cl_quartier,MATCH(R729,Cl_cle,0))&amp;"",""))</f>
        <v/>
      </c>
      <c r="V729" s="34">
        <f>IF(C729="","",YEAR(C729-WEEKDAY(C729,2)+4)&amp;"-S"&amp;TEXT(INT((C729-DATE(YEAR(C729-WEEKDAY(C729,2)+4),1,3)+WEEKDAY(DATE(YEAR(C729-WEEKDAY(C729,2)+4),1,3),2)+5)/7),"00"))</f>
        <v/>
      </c>
    </row>
    <row r="730" ht="18" customHeight="1">
      <c r="A730" s="39" t="n">
        <v>725</v>
      </c>
      <c r="B730" s="33">
        <f>IF(C730="","",IF(P730="À RENSEIGNER","GIC",P730)&amp;"-V"&amp;TEXT(A730,"00000"))</f>
        <v/>
      </c>
      <c r="C730" s="32" t="n"/>
      <c r="D730" s="35" t="n"/>
      <c r="E730" s="36" t="n"/>
      <c r="F730" s="36" t="n"/>
      <c r="G730" s="36" t="n"/>
      <c r="H730" s="36" t="n"/>
      <c r="I730" s="36" t="n"/>
      <c r="J730" s="37" t="n"/>
      <c r="K730" s="32" t="n"/>
      <c r="L730" s="36" t="n"/>
      <c r="M730" s="41" t="n"/>
      <c r="N730" s="41" t="n"/>
      <c r="O730" s="36" t="n"/>
      <c r="P730" s="33">
        <f>IF(C730="","",Commercial_Id)</f>
        <v/>
      </c>
      <c r="Q730" s="39">
        <f>IF(F730="","",IFERROR(VALUE(MID(F730,LEN(F730)-3,3)),""))</f>
        <v/>
      </c>
      <c r="R730" s="33">
        <f>IF(Q730="","",P730&amp;"|"&amp;Q730)</f>
        <v/>
      </c>
      <c r="S730" s="33">
        <f>IF(Q730="","",IF(P730="À RENSEIGNER","GIC",P730)&amp;"-"&amp;TEXT(Q730,"000"))</f>
        <v/>
      </c>
      <c r="T730" s="33">
        <f>IF(R730="","",IFERROR(INDEX(Cl_nom,MATCH(R730,Cl_cle,0)),"(client introuvable)"))</f>
        <v/>
      </c>
      <c r="U730" s="33">
        <f>IF(R730="","",IFERROR(INDEX(Cl_quartier,MATCH(R730,Cl_cle,0))&amp;"",""))</f>
        <v/>
      </c>
      <c r="V730" s="34">
        <f>IF(C730="","",YEAR(C730-WEEKDAY(C730,2)+4)&amp;"-S"&amp;TEXT(INT((C730-DATE(YEAR(C730-WEEKDAY(C730,2)+4),1,3)+WEEKDAY(DATE(YEAR(C730-WEEKDAY(C730,2)+4),1,3),2)+5)/7),"00"))</f>
        <v/>
      </c>
    </row>
    <row r="731" ht="18" customHeight="1">
      <c r="A731" s="39" t="n">
        <v>726</v>
      </c>
      <c r="B731" s="33">
        <f>IF(C731="","",IF(P731="À RENSEIGNER","GIC",P731)&amp;"-V"&amp;TEXT(A731,"00000"))</f>
        <v/>
      </c>
      <c r="C731" s="32" t="n"/>
      <c r="D731" s="35" t="n"/>
      <c r="E731" s="36" t="n"/>
      <c r="F731" s="36" t="n"/>
      <c r="G731" s="36" t="n"/>
      <c r="H731" s="36" t="n"/>
      <c r="I731" s="36" t="n"/>
      <c r="J731" s="37" t="n"/>
      <c r="K731" s="32" t="n"/>
      <c r="L731" s="36" t="n"/>
      <c r="M731" s="41" t="n"/>
      <c r="N731" s="41" t="n"/>
      <c r="O731" s="36" t="n"/>
      <c r="P731" s="33">
        <f>IF(C731="","",Commercial_Id)</f>
        <v/>
      </c>
      <c r="Q731" s="39">
        <f>IF(F731="","",IFERROR(VALUE(MID(F731,LEN(F731)-3,3)),""))</f>
        <v/>
      </c>
      <c r="R731" s="33">
        <f>IF(Q731="","",P731&amp;"|"&amp;Q731)</f>
        <v/>
      </c>
      <c r="S731" s="33">
        <f>IF(Q731="","",IF(P731="À RENSEIGNER","GIC",P731)&amp;"-"&amp;TEXT(Q731,"000"))</f>
        <v/>
      </c>
      <c r="T731" s="33">
        <f>IF(R731="","",IFERROR(INDEX(Cl_nom,MATCH(R731,Cl_cle,0)),"(client introuvable)"))</f>
        <v/>
      </c>
      <c r="U731" s="33">
        <f>IF(R731="","",IFERROR(INDEX(Cl_quartier,MATCH(R731,Cl_cle,0))&amp;"",""))</f>
        <v/>
      </c>
      <c r="V731" s="34">
        <f>IF(C731="","",YEAR(C731-WEEKDAY(C731,2)+4)&amp;"-S"&amp;TEXT(INT((C731-DATE(YEAR(C731-WEEKDAY(C731,2)+4),1,3)+WEEKDAY(DATE(YEAR(C731-WEEKDAY(C731,2)+4),1,3),2)+5)/7),"00"))</f>
        <v/>
      </c>
    </row>
    <row r="732" ht="18" customHeight="1">
      <c r="A732" s="39" t="n">
        <v>727</v>
      </c>
      <c r="B732" s="33">
        <f>IF(C732="","",IF(P732="À RENSEIGNER","GIC",P732)&amp;"-V"&amp;TEXT(A732,"00000"))</f>
        <v/>
      </c>
      <c r="C732" s="32" t="n"/>
      <c r="D732" s="35" t="n"/>
      <c r="E732" s="36" t="n"/>
      <c r="F732" s="36" t="n"/>
      <c r="G732" s="36" t="n"/>
      <c r="H732" s="36" t="n"/>
      <c r="I732" s="36" t="n"/>
      <c r="J732" s="37" t="n"/>
      <c r="K732" s="32" t="n"/>
      <c r="L732" s="36" t="n"/>
      <c r="M732" s="41" t="n"/>
      <c r="N732" s="41" t="n"/>
      <c r="O732" s="36" t="n"/>
      <c r="P732" s="33">
        <f>IF(C732="","",Commercial_Id)</f>
        <v/>
      </c>
      <c r="Q732" s="39">
        <f>IF(F732="","",IFERROR(VALUE(MID(F732,LEN(F732)-3,3)),""))</f>
        <v/>
      </c>
      <c r="R732" s="33">
        <f>IF(Q732="","",P732&amp;"|"&amp;Q732)</f>
        <v/>
      </c>
      <c r="S732" s="33">
        <f>IF(Q732="","",IF(P732="À RENSEIGNER","GIC",P732)&amp;"-"&amp;TEXT(Q732,"000"))</f>
        <v/>
      </c>
      <c r="T732" s="33">
        <f>IF(R732="","",IFERROR(INDEX(Cl_nom,MATCH(R732,Cl_cle,0)),"(client introuvable)"))</f>
        <v/>
      </c>
      <c r="U732" s="33">
        <f>IF(R732="","",IFERROR(INDEX(Cl_quartier,MATCH(R732,Cl_cle,0))&amp;"",""))</f>
        <v/>
      </c>
      <c r="V732" s="34">
        <f>IF(C732="","",YEAR(C732-WEEKDAY(C732,2)+4)&amp;"-S"&amp;TEXT(INT((C732-DATE(YEAR(C732-WEEKDAY(C732,2)+4),1,3)+WEEKDAY(DATE(YEAR(C732-WEEKDAY(C732,2)+4),1,3),2)+5)/7),"00"))</f>
        <v/>
      </c>
    </row>
    <row r="733" ht="18" customHeight="1">
      <c r="A733" s="39" t="n">
        <v>728</v>
      </c>
      <c r="B733" s="33">
        <f>IF(C733="","",IF(P733="À RENSEIGNER","GIC",P733)&amp;"-V"&amp;TEXT(A733,"00000"))</f>
        <v/>
      </c>
      <c r="C733" s="32" t="n"/>
      <c r="D733" s="35" t="n"/>
      <c r="E733" s="36" t="n"/>
      <c r="F733" s="36" t="n"/>
      <c r="G733" s="36" t="n"/>
      <c r="H733" s="36" t="n"/>
      <c r="I733" s="36" t="n"/>
      <c r="J733" s="37" t="n"/>
      <c r="K733" s="32" t="n"/>
      <c r="L733" s="36" t="n"/>
      <c r="M733" s="41" t="n"/>
      <c r="N733" s="41" t="n"/>
      <c r="O733" s="36" t="n"/>
      <c r="P733" s="33">
        <f>IF(C733="","",Commercial_Id)</f>
        <v/>
      </c>
      <c r="Q733" s="39">
        <f>IF(F733="","",IFERROR(VALUE(MID(F733,LEN(F733)-3,3)),""))</f>
        <v/>
      </c>
      <c r="R733" s="33">
        <f>IF(Q733="","",P733&amp;"|"&amp;Q733)</f>
        <v/>
      </c>
      <c r="S733" s="33">
        <f>IF(Q733="","",IF(P733="À RENSEIGNER","GIC",P733)&amp;"-"&amp;TEXT(Q733,"000"))</f>
        <v/>
      </c>
      <c r="T733" s="33">
        <f>IF(R733="","",IFERROR(INDEX(Cl_nom,MATCH(R733,Cl_cle,0)),"(client introuvable)"))</f>
        <v/>
      </c>
      <c r="U733" s="33">
        <f>IF(R733="","",IFERROR(INDEX(Cl_quartier,MATCH(R733,Cl_cle,0))&amp;"",""))</f>
        <v/>
      </c>
      <c r="V733" s="34">
        <f>IF(C733="","",YEAR(C733-WEEKDAY(C733,2)+4)&amp;"-S"&amp;TEXT(INT((C733-DATE(YEAR(C733-WEEKDAY(C733,2)+4),1,3)+WEEKDAY(DATE(YEAR(C733-WEEKDAY(C733,2)+4),1,3),2)+5)/7),"00"))</f>
        <v/>
      </c>
    </row>
    <row r="734" ht="18" customHeight="1">
      <c r="A734" s="39" t="n">
        <v>729</v>
      </c>
      <c r="B734" s="33">
        <f>IF(C734="","",IF(P734="À RENSEIGNER","GIC",P734)&amp;"-V"&amp;TEXT(A734,"00000"))</f>
        <v/>
      </c>
      <c r="C734" s="32" t="n"/>
      <c r="D734" s="35" t="n"/>
      <c r="E734" s="36" t="n"/>
      <c r="F734" s="36" t="n"/>
      <c r="G734" s="36" t="n"/>
      <c r="H734" s="36" t="n"/>
      <c r="I734" s="36" t="n"/>
      <c r="J734" s="37" t="n"/>
      <c r="K734" s="32" t="n"/>
      <c r="L734" s="36" t="n"/>
      <c r="M734" s="41" t="n"/>
      <c r="N734" s="41" t="n"/>
      <c r="O734" s="36" t="n"/>
      <c r="P734" s="33">
        <f>IF(C734="","",Commercial_Id)</f>
        <v/>
      </c>
      <c r="Q734" s="39">
        <f>IF(F734="","",IFERROR(VALUE(MID(F734,LEN(F734)-3,3)),""))</f>
        <v/>
      </c>
      <c r="R734" s="33">
        <f>IF(Q734="","",P734&amp;"|"&amp;Q734)</f>
        <v/>
      </c>
      <c r="S734" s="33">
        <f>IF(Q734="","",IF(P734="À RENSEIGNER","GIC",P734)&amp;"-"&amp;TEXT(Q734,"000"))</f>
        <v/>
      </c>
      <c r="T734" s="33">
        <f>IF(R734="","",IFERROR(INDEX(Cl_nom,MATCH(R734,Cl_cle,0)),"(client introuvable)"))</f>
        <v/>
      </c>
      <c r="U734" s="33">
        <f>IF(R734="","",IFERROR(INDEX(Cl_quartier,MATCH(R734,Cl_cle,0))&amp;"",""))</f>
        <v/>
      </c>
      <c r="V734" s="34">
        <f>IF(C734="","",YEAR(C734-WEEKDAY(C734,2)+4)&amp;"-S"&amp;TEXT(INT((C734-DATE(YEAR(C734-WEEKDAY(C734,2)+4),1,3)+WEEKDAY(DATE(YEAR(C734-WEEKDAY(C734,2)+4),1,3),2)+5)/7),"00"))</f>
        <v/>
      </c>
    </row>
    <row r="735" ht="18" customHeight="1">
      <c r="A735" s="39" t="n">
        <v>730</v>
      </c>
      <c r="B735" s="33">
        <f>IF(C735="","",IF(P735="À RENSEIGNER","GIC",P735)&amp;"-V"&amp;TEXT(A735,"00000"))</f>
        <v/>
      </c>
      <c r="C735" s="32" t="n"/>
      <c r="D735" s="35" t="n"/>
      <c r="E735" s="36" t="n"/>
      <c r="F735" s="36" t="n"/>
      <c r="G735" s="36" t="n"/>
      <c r="H735" s="36" t="n"/>
      <c r="I735" s="36" t="n"/>
      <c r="J735" s="37" t="n"/>
      <c r="K735" s="32" t="n"/>
      <c r="L735" s="36" t="n"/>
      <c r="M735" s="41" t="n"/>
      <c r="N735" s="41" t="n"/>
      <c r="O735" s="36" t="n"/>
      <c r="P735" s="33">
        <f>IF(C735="","",Commercial_Id)</f>
        <v/>
      </c>
      <c r="Q735" s="39">
        <f>IF(F735="","",IFERROR(VALUE(MID(F735,LEN(F735)-3,3)),""))</f>
        <v/>
      </c>
      <c r="R735" s="33">
        <f>IF(Q735="","",P735&amp;"|"&amp;Q735)</f>
        <v/>
      </c>
      <c r="S735" s="33">
        <f>IF(Q735="","",IF(P735="À RENSEIGNER","GIC",P735)&amp;"-"&amp;TEXT(Q735,"000"))</f>
        <v/>
      </c>
      <c r="T735" s="33">
        <f>IF(R735="","",IFERROR(INDEX(Cl_nom,MATCH(R735,Cl_cle,0)),"(client introuvable)"))</f>
        <v/>
      </c>
      <c r="U735" s="33">
        <f>IF(R735="","",IFERROR(INDEX(Cl_quartier,MATCH(R735,Cl_cle,0))&amp;"",""))</f>
        <v/>
      </c>
      <c r="V735" s="34">
        <f>IF(C735="","",YEAR(C735-WEEKDAY(C735,2)+4)&amp;"-S"&amp;TEXT(INT((C735-DATE(YEAR(C735-WEEKDAY(C735,2)+4),1,3)+WEEKDAY(DATE(YEAR(C735-WEEKDAY(C735,2)+4),1,3),2)+5)/7),"00"))</f>
        <v/>
      </c>
    </row>
    <row r="736" ht="18" customHeight="1">
      <c r="A736" s="39" t="n">
        <v>731</v>
      </c>
      <c r="B736" s="33">
        <f>IF(C736="","",IF(P736="À RENSEIGNER","GIC",P736)&amp;"-V"&amp;TEXT(A736,"00000"))</f>
        <v/>
      </c>
      <c r="C736" s="32" t="n"/>
      <c r="D736" s="35" t="n"/>
      <c r="E736" s="36" t="n"/>
      <c r="F736" s="36" t="n"/>
      <c r="G736" s="36" t="n"/>
      <c r="H736" s="36" t="n"/>
      <c r="I736" s="36" t="n"/>
      <c r="J736" s="37" t="n"/>
      <c r="K736" s="32" t="n"/>
      <c r="L736" s="36" t="n"/>
      <c r="M736" s="41" t="n"/>
      <c r="N736" s="41" t="n"/>
      <c r="O736" s="36" t="n"/>
      <c r="P736" s="33">
        <f>IF(C736="","",Commercial_Id)</f>
        <v/>
      </c>
      <c r="Q736" s="39">
        <f>IF(F736="","",IFERROR(VALUE(MID(F736,LEN(F736)-3,3)),""))</f>
        <v/>
      </c>
      <c r="R736" s="33">
        <f>IF(Q736="","",P736&amp;"|"&amp;Q736)</f>
        <v/>
      </c>
      <c r="S736" s="33">
        <f>IF(Q736="","",IF(P736="À RENSEIGNER","GIC",P736)&amp;"-"&amp;TEXT(Q736,"000"))</f>
        <v/>
      </c>
      <c r="T736" s="33">
        <f>IF(R736="","",IFERROR(INDEX(Cl_nom,MATCH(R736,Cl_cle,0)),"(client introuvable)"))</f>
        <v/>
      </c>
      <c r="U736" s="33">
        <f>IF(R736="","",IFERROR(INDEX(Cl_quartier,MATCH(R736,Cl_cle,0))&amp;"",""))</f>
        <v/>
      </c>
      <c r="V736" s="34">
        <f>IF(C736="","",YEAR(C736-WEEKDAY(C736,2)+4)&amp;"-S"&amp;TEXT(INT((C736-DATE(YEAR(C736-WEEKDAY(C736,2)+4),1,3)+WEEKDAY(DATE(YEAR(C736-WEEKDAY(C736,2)+4),1,3),2)+5)/7),"00"))</f>
        <v/>
      </c>
    </row>
    <row r="737" ht="18" customHeight="1">
      <c r="A737" s="39" t="n">
        <v>732</v>
      </c>
      <c r="B737" s="33">
        <f>IF(C737="","",IF(P737="À RENSEIGNER","GIC",P737)&amp;"-V"&amp;TEXT(A737,"00000"))</f>
        <v/>
      </c>
      <c r="C737" s="32" t="n"/>
      <c r="D737" s="35" t="n"/>
      <c r="E737" s="36" t="n"/>
      <c r="F737" s="36" t="n"/>
      <c r="G737" s="36" t="n"/>
      <c r="H737" s="36" t="n"/>
      <c r="I737" s="36" t="n"/>
      <c r="J737" s="37" t="n"/>
      <c r="K737" s="32" t="n"/>
      <c r="L737" s="36" t="n"/>
      <c r="M737" s="41" t="n"/>
      <c r="N737" s="41" t="n"/>
      <c r="O737" s="36" t="n"/>
      <c r="P737" s="33">
        <f>IF(C737="","",Commercial_Id)</f>
        <v/>
      </c>
      <c r="Q737" s="39">
        <f>IF(F737="","",IFERROR(VALUE(MID(F737,LEN(F737)-3,3)),""))</f>
        <v/>
      </c>
      <c r="R737" s="33">
        <f>IF(Q737="","",P737&amp;"|"&amp;Q737)</f>
        <v/>
      </c>
      <c r="S737" s="33">
        <f>IF(Q737="","",IF(P737="À RENSEIGNER","GIC",P737)&amp;"-"&amp;TEXT(Q737,"000"))</f>
        <v/>
      </c>
      <c r="T737" s="33">
        <f>IF(R737="","",IFERROR(INDEX(Cl_nom,MATCH(R737,Cl_cle,0)),"(client introuvable)"))</f>
        <v/>
      </c>
      <c r="U737" s="33">
        <f>IF(R737="","",IFERROR(INDEX(Cl_quartier,MATCH(R737,Cl_cle,0))&amp;"",""))</f>
        <v/>
      </c>
      <c r="V737" s="34">
        <f>IF(C737="","",YEAR(C737-WEEKDAY(C737,2)+4)&amp;"-S"&amp;TEXT(INT((C737-DATE(YEAR(C737-WEEKDAY(C737,2)+4),1,3)+WEEKDAY(DATE(YEAR(C737-WEEKDAY(C737,2)+4),1,3),2)+5)/7),"00"))</f>
        <v/>
      </c>
    </row>
    <row r="738" ht="18" customHeight="1">
      <c r="A738" s="39" t="n">
        <v>733</v>
      </c>
      <c r="B738" s="33">
        <f>IF(C738="","",IF(P738="À RENSEIGNER","GIC",P738)&amp;"-V"&amp;TEXT(A738,"00000"))</f>
        <v/>
      </c>
      <c r="C738" s="32" t="n"/>
      <c r="D738" s="35" t="n"/>
      <c r="E738" s="36" t="n"/>
      <c r="F738" s="36" t="n"/>
      <c r="G738" s="36" t="n"/>
      <c r="H738" s="36" t="n"/>
      <c r="I738" s="36" t="n"/>
      <c r="J738" s="37" t="n"/>
      <c r="K738" s="32" t="n"/>
      <c r="L738" s="36" t="n"/>
      <c r="M738" s="41" t="n"/>
      <c r="N738" s="41" t="n"/>
      <c r="O738" s="36" t="n"/>
      <c r="P738" s="33">
        <f>IF(C738="","",Commercial_Id)</f>
        <v/>
      </c>
      <c r="Q738" s="39">
        <f>IF(F738="","",IFERROR(VALUE(MID(F738,LEN(F738)-3,3)),""))</f>
        <v/>
      </c>
      <c r="R738" s="33">
        <f>IF(Q738="","",P738&amp;"|"&amp;Q738)</f>
        <v/>
      </c>
      <c r="S738" s="33">
        <f>IF(Q738="","",IF(P738="À RENSEIGNER","GIC",P738)&amp;"-"&amp;TEXT(Q738,"000"))</f>
        <v/>
      </c>
      <c r="T738" s="33">
        <f>IF(R738="","",IFERROR(INDEX(Cl_nom,MATCH(R738,Cl_cle,0)),"(client introuvable)"))</f>
        <v/>
      </c>
      <c r="U738" s="33">
        <f>IF(R738="","",IFERROR(INDEX(Cl_quartier,MATCH(R738,Cl_cle,0))&amp;"",""))</f>
        <v/>
      </c>
      <c r="V738" s="34">
        <f>IF(C738="","",YEAR(C738-WEEKDAY(C738,2)+4)&amp;"-S"&amp;TEXT(INT((C738-DATE(YEAR(C738-WEEKDAY(C738,2)+4),1,3)+WEEKDAY(DATE(YEAR(C738-WEEKDAY(C738,2)+4),1,3),2)+5)/7),"00"))</f>
        <v/>
      </c>
    </row>
    <row r="739" ht="18" customHeight="1">
      <c r="A739" s="39" t="n">
        <v>734</v>
      </c>
      <c r="B739" s="33">
        <f>IF(C739="","",IF(P739="À RENSEIGNER","GIC",P739)&amp;"-V"&amp;TEXT(A739,"00000"))</f>
        <v/>
      </c>
      <c r="C739" s="32" t="n"/>
      <c r="D739" s="35" t="n"/>
      <c r="E739" s="36" t="n"/>
      <c r="F739" s="36" t="n"/>
      <c r="G739" s="36" t="n"/>
      <c r="H739" s="36" t="n"/>
      <c r="I739" s="36" t="n"/>
      <c r="J739" s="37" t="n"/>
      <c r="K739" s="32" t="n"/>
      <c r="L739" s="36" t="n"/>
      <c r="M739" s="41" t="n"/>
      <c r="N739" s="41" t="n"/>
      <c r="O739" s="36" t="n"/>
      <c r="P739" s="33">
        <f>IF(C739="","",Commercial_Id)</f>
        <v/>
      </c>
      <c r="Q739" s="39">
        <f>IF(F739="","",IFERROR(VALUE(MID(F739,LEN(F739)-3,3)),""))</f>
        <v/>
      </c>
      <c r="R739" s="33">
        <f>IF(Q739="","",P739&amp;"|"&amp;Q739)</f>
        <v/>
      </c>
      <c r="S739" s="33">
        <f>IF(Q739="","",IF(P739="À RENSEIGNER","GIC",P739)&amp;"-"&amp;TEXT(Q739,"000"))</f>
        <v/>
      </c>
      <c r="T739" s="33">
        <f>IF(R739="","",IFERROR(INDEX(Cl_nom,MATCH(R739,Cl_cle,0)),"(client introuvable)"))</f>
        <v/>
      </c>
      <c r="U739" s="33">
        <f>IF(R739="","",IFERROR(INDEX(Cl_quartier,MATCH(R739,Cl_cle,0))&amp;"",""))</f>
        <v/>
      </c>
      <c r="V739" s="34">
        <f>IF(C739="","",YEAR(C739-WEEKDAY(C739,2)+4)&amp;"-S"&amp;TEXT(INT((C739-DATE(YEAR(C739-WEEKDAY(C739,2)+4),1,3)+WEEKDAY(DATE(YEAR(C739-WEEKDAY(C739,2)+4),1,3),2)+5)/7),"00"))</f>
        <v/>
      </c>
    </row>
    <row r="740" ht="18" customHeight="1">
      <c r="A740" s="39" t="n">
        <v>735</v>
      </c>
      <c r="B740" s="33">
        <f>IF(C740="","",IF(P740="À RENSEIGNER","GIC",P740)&amp;"-V"&amp;TEXT(A740,"00000"))</f>
        <v/>
      </c>
      <c r="C740" s="32" t="n"/>
      <c r="D740" s="35" t="n"/>
      <c r="E740" s="36" t="n"/>
      <c r="F740" s="36" t="n"/>
      <c r="G740" s="36" t="n"/>
      <c r="H740" s="36" t="n"/>
      <c r="I740" s="36" t="n"/>
      <c r="J740" s="37" t="n"/>
      <c r="K740" s="32" t="n"/>
      <c r="L740" s="36" t="n"/>
      <c r="M740" s="41" t="n"/>
      <c r="N740" s="41" t="n"/>
      <c r="O740" s="36" t="n"/>
      <c r="P740" s="33">
        <f>IF(C740="","",Commercial_Id)</f>
        <v/>
      </c>
      <c r="Q740" s="39">
        <f>IF(F740="","",IFERROR(VALUE(MID(F740,LEN(F740)-3,3)),""))</f>
        <v/>
      </c>
      <c r="R740" s="33">
        <f>IF(Q740="","",P740&amp;"|"&amp;Q740)</f>
        <v/>
      </c>
      <c r="S740" s="33">
        <f>IF(Q740="","",IF(P740="À RENSEIGNER","GIC",P740)&amp;"-"&amp;TEXT(Q740,"000"))</f>
        <v/>
      </c>
      <c r="T740" s="33">
        <f>IF(R740="","",IFERROR(INDEX(Cl_nom,MATCH(R740,Cl_cle,0)),"(client introuvable)"))</f>
        <v/>
      </c>
      <c r="U740" s="33">
        <f>IF(R740="","",IFERROR(INDEX(Cl_quartier,MATCH(R740,Cl_cle,0))&amp;"",""))</f>
        <v/>
      </c>
      <c r="V740" s="34">
        <f>IF(C740="","",YEAR(C740-WEEKDAY(C740,2)+4)&amp;"-S"&amp;TEXT(INT((C740-DATE(YEAR(C740-WEEKDAY(C740,2)+4),1,3)+WEEKDAY(DATE(YEAR(C740-WEEKDAY(C740,2)+4),1,3),2)+5)/7),"00"))</f>
        <v/>
      </c>
    </row>
    <row r="741" ht="18" customHeight="1">
      <c r="A741" s="39" t="n">
        <v>736</v>
      </c>
      <c r="B741" s="33">
        <f>IF(C741="","",IF(P741="À RENSEIGNER","GIC",P741)&amp;"-V"&amp;TEXT(A741,"00000"))</f>
        <v/>
      </c>
      <c r="C741" s="32" t="n"/>
      <c r="D741" s="35" t="n"/>
      <c r="E741" s="36" t="n"/>
      <c r="F741" s="36" t="n"/>
      <c r="G741" s="36" t="n"/>
      <c r="H741" s="36" t="n"/>
      <c r="I741" s="36" t="n"/>
      <c r="J741" s="37" t="n"/>
      <c r="K741" s="32" t="n"/>
      <c r="L741" s="36" t="n"/>
      <c r="M741" s="41" t="n"/>
      <c r="N741" s="41" t="n"/>
      <c r="O741" s="36" t="n"/>
      <c r="P741" s="33">
        <f>IF(C741="","",Commercial_Id)</f>
        <v/>
      </c>
      <c r="Q741" s="39">
        <f>IF(F741="","",IFERROR(VALUE(MID(F741,LEN(F741)-3,3)),""))</f>
        <v/>
      </c>
      <c r="R741" s="33">
        <f>IF(Q741="","",P741&amp;"|"&amp;Q741)</f>
        <v/>
      </c>
      <c r="S741" s="33">
        <f>IF(Q741="","",IF(P741="À RENSEIGNER","GIC",P741)&amp;"-"&amp;TEXT(Q741,"000"))</f>
        <v/>
      </c>
      <c r="T741" s="33">
        <f>IF(R741="","",IFERROR(INDEX(Cl_nom,MATCH(R741,Cl_cle,0)),"(client introuvable)"))</f>
        <v/>
      </c>
      <c r="U741" s="33">
        <f>IF(R741="","",IFERROR(INDEX(Cl_quartier,MATCH(R741,Cl_cle,0))&amp;"",""))</f>
        <v/>
      </c>
      <c r="V741" s="34">
        <f>IF(C741="","",YEAR(C741-WEEKDAY(C741,2)+4)&amp;"-S"&amp;TEXT(INT((C741-DATE(YEAR(C741-WEEKDAY(C741,2)+4),1,3)+WEEKDAY(DATE(YEAR(C741-WEEKDAY(C741,2)+4),1,3),2)+5)/7),"00"))</f>
        <v/>
      </c>
    </row>
    <row r="742" ht="18" customHeight="1">
      <c r="A742" s="39" t="n">
        <v>737</v>
      </c>
      <c r="B742" s="33">
        <f>IF(C742="","",IF(P742="À RENSEIGNER","GIC",P742)&amp;"-V"&amp;TEXT(A742,"00000"))</f>
        <v/>
      </c>
      <c r="C742" s="32" t="n"/>
      <c r="D742" s="35" t="n"/>
      <c r="E742" s="36" t="n"/>
      <c r="F742" s="36" t="n"/>
      <c r="G742" s="36" t="n"/>
      <c r="H742" s="36" t="n"/>
      <c r="I742" s="36" t="n"/>
      <c r="J742" s="37" t="n"/>
      <c r="K742" s="32" t="n"/>
      <c r="L742" s="36" t="n"/>
      <c r="M742" s="41" t="n"/>
      <c r="N742" s="41" t="n"/>
      <c r="O742" s="36" t="n"/>
      <c r="P742" s="33">
        <f>IF(C742="","",Commercial_Id)</f>
        <v/>
      </c>
      <c r="Q742" s="39">
        <f>IF(F742="","",IFERROR(VALUE(MID(F742,LEN(F742)-3,3)),""))</f>
        <v/>
      </c>
      <c r="R742" s="33">
        <f>IF(Q742="","",P742&amp;"|"&amp;Q742)</f>
        <v/>
      </c>
      <c r="S742" s="33">
        <f>IF(Q742="","",IF(P742="À RENSEIGNER","GIC",P742)&amp;"-"&amp;TEXT(Q742,"000"))</f>
        <v/>
      </c>
      <c r="T742" s="33">
        <f>IF(R742="","",IFERROR(INDEX(Cl_nom,MATCH(R742,Cl_cle,0)),"(client introuvable)"))</f>
        <v/>
      </c>
      <c r="U742" s="33">
        <f>IF(R742="","",IFERROR(INDEX(Cl_quartier,MATCH(R742,Cl_cle,0))&amp;"",""))</f>
        <v/>
      </c>
      <c r="V742" s="34">
        <f>IF(C742="","",YEAR(C742-WEEKDAY(C742,2)+4)&amp;"-S"&amp;TEXT(INT((C742-DATE(YEAR(C742-WEEKDAY(C742,2)+4),1,3)+WEEKDAY(DATE(YEAR(C742-WEEKDAY(C742,2)+4),1,3),2)+5)/7),"00"))</f>
        <v/>
      </c>
    </row>
    <row r="743" ht="18" customHeight="1">
      <c r="A743" s="39" t="n">
        <v>738</v>
      </c>
      <c r="B743" s="33">
        <f>IF(C743="","",IF(P743="À RENSEIGNER","GIC",P743)&amp;"-V"&amp;TEXT(A743,"00000"))</f>
        <v/>
      </c>
      <c r="C743" s="32" t="n"/>
      <c r="D743" s="35" t="n"/>
      <c r="E743" s="36" t="n"/>
      <c r="F743" s="36" t="n"/>
      <c r="G743" s="36" t="n"/>
      <c r="H743" s="36" t="n"/>
      <c r="I743" s="36" t="n"/>
      <c r="J743" s="37" t="n"/>
      <c r="K743" s="32" t="n"/>
      <c r="L743" s="36" t="n"/>
      <c r="M743" s="41" t="n"/>
      <c r="N743" s="41" t="n"/>
      <c r="O743" s="36" t="n"/>
      <c r="P743" s="33">
        <f>IF(C743="","",Commercial_Id)</f>
        <v/>
      </c>
      <c r="Q743" s="39">
        <f>IF(F743="","",IFERROR(VALUE(MID(F743,LEN(F743)-3,3)),""))</f>
        <v/>
      </c>
      <c r="R743" s="33">
        <f>IF(Q743="","",P743&amp;"|"&amp;Q743)</f>
        <v/>
      </c>
      <c r="S743" s="33">
        <f>IF(Q743="","",IF(P743="À RENSEIGNER","GIC",P743)&amp;"-"&amp;TEXT(Q743,"000"))</f>
        <v/>
      </c>
      <c r="T743" s="33">
        <f>IF(R743="","",IFERROR(INDEX(Cl_nom,MATCH(R743,Cl_cle,0)),"(client introuvable)"))</f>
        <v/>
      </c>
      <c r="U743" s="33">
        <f>IF(R743="","",IFERROR(INDEX(Cl_quartier,MATCH(R743,Cl_cle,0))&amp;"",""))</f>
        <v/>
      </c>
      <c r="V743" s="34">
        <f>IF(C743="","",YEAR(C743-WEEKDAY(C743,2)+4)&amp;"-S"&amp;TEXT(INT((C743-DATE(YEAR(C743-WEEKDAY(C743,2)+4),1,3)+WEEKDAY(DATE(YEAR(C743-WEEKDAY(C743,2)+4),1,3),2)+5)/7),"00"))</f>
        <v/>
      </c>
    </row>
    <row r="744" ht="18" customHeight="1">
      <c r="A744" s="39" t="n">
        <v>739</v>
      </c>
      <c r="B744" s="33">
        <f>IF(C744="","",IF(P744="À RENSEIGNER","GIC",P744)&amp;"-V"&amp;TEXT(A744,"00000"))</f>
        <v/>
      </c>
      <c r="C744" s="32" t="n"/>
      <c r="D744" s="35" t="n"/>
      <c r="E744" s="36" t="n"/>
      <c r="F744" s="36" t="n"/>
      <c r="G744" s="36" t="n"/>
      <c r="H744" s="36" t="n"/>
      <c r="I744" s="36" t="n"/>
      <c r="J744" s="37" t="n"/>
      <c r="K744" s="32" t="n"/>
      <c r="L744" s="36" t="n"/>
      <c r="M744" s="41" t="n"/>
      <c r="N744" s="41" t="n"/>
      <c r="O744" s="36" t="n"/>
      <c r="P744" s="33">
        <f>IF(C744="","",Commercial_Id)</f>
        <v/>
      </c>
      <c r="Q744" s="39">
        <f>IF(F744="","",IFERROR(VALUE(MID(F744,LEN(F744)-3,3)),""))</f>
        <v/>
      </c>
      <c r="R744" s="33">
        <f>IF(Q744="","",P744&amp;"|"&amp;Q744)</f>
        <v/>
      </c>
      <c r="S744" s="33">
        <f>IF(Q744="","",IF(P744="À RENSEIGNER","GIC",P744)&amp;"-"&amp;TEXT(Q744,"000"))</f>
        <v/>
      </c>
      <c r="T744" s="33">
        <f>IF(R744="","",IFERROR(INDEX(Cl_nom,MATCH(R744,Cl_cle,0)),"(client introuvable)"))</f>
        <v/>
      </c>
      <c r="U744" s="33">
        <f>IF(R744="","",IFERROR(INDEX(Cl_quartier,MATCH(R744,Cl_cle,0))&amp;"",""))</f>
        <v/>
      </c>
      <c r="V744" s="34">
        <f>IF(C744="","",YEAR(C744-WEEKDAY(C744,2)+4)&amp;"-S"&amp;TEXT(INT((C744-DATE(YEAR(C744-WEEKDAY(C744,2)+4),1,3)+WEEKDAY(DATE(YEAR(C744-WEEKDAY(C744,2)+4),1,3),2)+5)/7),"00"))</f>
        <v/>
      </c>
    </row>
    <row r="745" ht="18" customHeight="1">
      <c r="A745" s="39" t="n">
        <v>740</v>
      </c>
      <c r="B745" s="33">
        <f>IF(C745="","",IF(P745="À RENSEIGNER","GIC",P745)&amp;"-V"&amp;TEXT(A745,"00000"))</f>
        <v/>
      </c>
      <c r="C745" s="32" t="n"/>
      <c r="D745" s="35" t="n"/>
      <c r="E745" s="36" t="n"/>
      <c r="F745" s="36" t="n"/>
      <c r="G745" s="36" t="n"/>
      <c r="H745" s="36" t="n"/>
      <c r="I745" s="36" t="n"/>
      <c r="J745" s="37" t="n"/>
      <c r="K745" s="32" t="n"/>
      <c r="L745" s="36" t="n"/>
      <c r="M745" s="41" t="n"/>
      <c r="N745" s="41" t="n"/>
      <c r="O745" s="36" t="n"/>
      <c r="P745" s="33">
        <f>IF(C745="","",Commercial_Id)</f>
        <v/>
      </c>
      <c r="Q745" s="39">
        <f>IF(F745="","",IFERROR(VALUE(MID(F745,LEN(F745)-3,3)),""))</f>
        <v/>
      </c>
      <c r="R745" s="33">
        <f>IF(Q745="","",P745&amp;"|"&amp;Q745)</f>
        <v/>
      </c>
      <c r="S745" s="33">
        <f>IF(Q745="","",IF(P745="À RENSEIGNER","GIC",P745)&amp;"-"&amp;TEXT(Q745,"000"))</f>
        <v/>
      </c>
      <c r="T745" s="33">
        <f>IF(R745="","",IFERROR(INDEX(Cl_nom,MATCH(R745,Cl_cle,0)),"(client introuvable)"))</f>
        <v/>
      </c>
      <c r="U745" s="33">
        <f>IF(R745="","",IFERROR(INDEX(Cl_quartier,MATCH(R745,Cl_cle,0))&amp;"",""))</f>
        <v/>
      </c>
      <c r="V745" s="34">
        <f>IF(C745="","",YEAR(C745-WEEKDAY(C745,2)+4)&amp;"-S"&amp;TEXT(INT((C745-DATE(YEAR(C745-WEEKDAY(C745,2)+4),1,3)+WEEKDAY(DATE(YEAR(C745-WEEKDAY(C745,2)+4),1,3),2)+5)/7),"00"))</f>
        <v/>
      </c>
    </row>
    <row r="746" ht="18" customHeight="1">
      <c r="A746" s="39" t="n">
        <v>741</v>
      </c>
      <c r="B746" s="33">
        <f>IF(C746="","",IF(P746="À RENSEIGNER","GIC",P746)&amp;"-V"&amp;TEXT(A746,"00000"))</f>
        <v/>
      </c>
      <c r="C746" s="32" t="n"/>
      <c r="D746" s="35" t="n"/>
      <c r="E746" s="36" t="n"/>
      <c r="F746" s="36" t="n"/>
      <c r="G746" s="36" t="n"/>
      <c r="H746" s="36" t="n"/>
      <c r="I746" s="36" t="n"/>
      <c r="J746" s="37" t="n"/>
      <c r="K746" s="32" t="n"/>
      <c r="L746" s="36" t="n"/>
      <c r="M746" s="41" t="n"/>
      <c r="N746" s="41" t="n"/>
      <c r="O746" s="36" t="n"/>
      <c r="P746" s="33">
        <f>IF(C746="","",Commercial_Id)</f>
        <v/>
      </c>
      <c r="Q746" s="39">
        <f>IF(F746="","",IFERROR(VALUE(MID(F746,LEN(F746)-3,3)),""))</f>
        <v/>
      </c>
      <c r="R746" s="33">
        <f>IF(Q746="","",P746&amp;"|"&amp;Q746)</f>
        <v/>
      </c>
      <c r="S746" s="33">
        <f>IF(Q746="","",IF(P746="À RENSEIGNER","GIC",P746)&amp;"-"&amp;TEXT(Q746,"000"))</f>
        <v/>
      </c>
      <c r="T746" s="33">
        <f>IF(R746="","",IFERROR(INDEX(Cl_nom,MATCH(R746,Cl_cle,0)),"(client introuvable)"))</f>
        <v/>
      </c>
      <c r="U746" s="33">
        <f>IF(R746="","",IFERROR(INDEX(Cl_quartier,MATCH(R746,Cl_cle,0))&amp;"",""))</f>
        <v/>
      </c>
      <c r="V746" s="34">
        <f>IF(C746="","",YEAR(C746-WEEKDAY(C746,2)+4)&amp;"-S"&amp;TEXT(INT((C746-DATE(YEAR(C746-WEEKDAY(C746,2)+4),1,3)+WEEKDAY(DATE(YEAR(C746-WEEKDAY(C746,2)+4),1,3),2)+5)/7),"00"))</f>
        <v/>
      </c>
    </row>
    <row r="747" ht="18" customHeight="1">
      <c r="A747" s="39" t="n">
        <v>742</v>
      </c>
      <c r="B747" s="33">
        <f>IF(C747="","",IF(P747="À RENSEIGNER","GIC",P747)&amp;"-V"&amp;TEXT(A747,"00000"))</f>
        <v/>
      </c>
      <c r="C747" s="32" t="n"/>
      <c r="D747" s="35" t="n"/>
      <c r="E747" s="36" t="n"/>
      <c r="F747" s="36" t="n"/>
      <c r="G747" s="36" t="n"/>
      <c r="H747" s="36" t="n"/>
      <c r="I747" s="36" t="n"/>
      <c r="J747" s="37" t="n"/>
      <c r="K747" s="32" t="n"/>
      <c r="L747" s="36" t="n"/>
      <c r="M747" s="41" t="n"/>
      <c r="N747" s="41" t="n"/>
      <c r="O747" s="36" t="n"/>
      <c r="P747" s="33">
        <f>IF(C747="","",Commercial_Id)</f>
        <v/>
      </c>
      <c r="Q747" s="39">
        <f>IF(F747="","",IFERROR(VALUE(MID(F747,LEN(F747)-3,3)),""))</f>
        <v/>
      </c>
      <c r="R747" s="33">
        <f>IF(Q747="","",P747&amp;"|"&amp;Q747)</f>
        <v/>
      </c>
      <c r="S747" s="33">
        <f>IF(Q747="","",IF(P747="À RENSEIGNER","GIC",P747)&amp;"-"&amp;TEXT(Q747,"000"))</f>
        <v/>
      </c>
      <c r="T747" s="33">
        <f>IF(R747="","",IFERROR(INDEX(Cl_nom,MATCH(R747,Cl_cle,0)),"(client introuvable)"))</f>
        <v/>
      </c>
      <c r="U747" s="33">
        <f>IF(R747="","",IFERROR(INDEX(Cl_quartier,MATCH(R747,Cl_cle,0))&amp;"",""))</f>
        <v/>
      </c>
      <c r="V747" s="34">
        <f>IF(C747="","",YEAR(C747-WEEKDAY(C747,2)+4)&amp;"-S"&amp;TEXT(INT((C747-DATE(YEAR(C747-WEEKDAY(C747,2)+4),1,3)+WEEKDAY(DATE(YEAR(C747-WEEKDAY(C747,2)+4),1,3),2)+5)/7),"00"))</f>
        <v/>
      </c>
    </row>
    <row r="748" ht="18" customHeight="1">
      <c r="A748" s="39" t="n">
        <v>743</v>
      </c>
      <c r="B748" s="33">
        <f>IF(C748="","",IF(P748="À RENSEIGNER","GIC",P748)&amp;"-V"&amp;TEXT(A748,"00000"))</f>
        <v/>
      </c>
      <c r="C748" s="32" t="n"/>
      <c r="D748" s="35" t="n"/>
      <c r="E748" s="36" t="n"/>
      <c r="F748" s="36" t="n"/>
      <c r="G748" s="36" t="n"/>
      <c r="H748" s="36" t="n"/>
      <c r="I748" s="36" t="n"/>
      <c r="J748" s="37" t="n"/>
      <c r="K748" s="32" t="n"/>
      <c r="L748" s="36" t="n"/>
      <c r="M748" s="41" t="n"/>
      <c r="N748" s="41" t="n"/>
      <c r="O748" s="36" t="n"/>
      <c r="P748" s="33">
        <f>IF(C748="","",Commercial_Id)</f>
        <v/>
      </c>
      <c r="Q748" s="39">
        <f>IF(F748="","",IFERROR(VALUE(MID(F748,LEN(F748)-3,3)),""))</f>
        <v/>
      </c>
      <c r="R748" s="33">
        <f>IF(Q748="","",P748&amp;"|"&amp;Q748)</f>
        <v/>
      </c>
      <c r="S748" s="33">
        <f>IF(Q748="","",IF(P748="À RENSEIGNER","GIC",P748)&amp;"-"&amp;TEXT(Q748,"000"))</f>
        <v/>
      </c>
      <c r="T748" s="33">
        <f>IF(R748="","",IFERROR(INDEX(Cl_nom,MATCH(R748,Cl_cle,0)),"(client introuvable)"))</f>
        <v/>
      </c>
      <c r="U748" s="33">
        <f>IF(R748="","",IFERROR(INDEX(Cl_quartier,MATCH(R748,Cl_cle,0))&amp;"",""))</f>
        <v/>
      </c>
      <c r="V748" s="34">
        <f>IF(C748="","",YEAR(C748-WEEKDAY(C748,2)+4)&amp;"-S"&amp;TEXT(INT((C748-DATE(YEAR(C748-WEEKDAY(C748,2)+4),1,3)+WEEKDAY(DATE(YEAR(C748-WEEKDAY(C748,2)+4),1,3),2)+5)/7),"00"))</f>
        <v/>
      </c>
    </row>
    <row r="749" ht="18" customHeight="1">
      <c r="A749" s="39" t="n">
        <v>744</v>
      </c>
      <c r="B749" s="33">
        <f>IF(C749="","",IF(P749="À RENSEIGNER","GIC",P749)&amp;"-V"&amp;TEXT(A749,"00000"))</f>
        <v/>
      </c>
      <c r="C749" s="32" t="n"/>
      <c r="D749" s="35" t="n"/>
      <c r="E749" s="36" t="n"/>
      <c r="F749" s="36" t="n"/>
      <c r="G749" s="36" t="n"/>
      <c r="H749" s="36" t="n"/>
      <c r="I749" s="36" t="n"/>
      <c r="J749" s="37" t="n"/>
      <c r="K749" s="32" t="n"/>
      <c r="L749" s="36" t="n"/>
      <c r="M749" s="41" t="n"/>
      <c r="N749" s="41" t="n"/>
      <c r="O749" s="36" t="n"/>
      <c r="P749" s="33">
        <f>IF(C749="","",Commercial_Id)</f>
        <v/>
      </c>
      <c r="Q749" s="39">
        <f>IF(F749="","",IFERROR(VALUE(MID(F749,LEN(F749)-3,3)),""))</f>
        <v/>
      </c>
      <c r="R749" s="33">
        <f>IF(Q749="","",P749&amp;"|"&amp;Q749)</f>
        <v/>
      </c>
      <c r="S749" s="33">
        <f>IF(Q749="","",IF(P749="À RENSEIGNER","GIC",P749)&amp;"-"&amp;TEXT(Q749,"000"))</f>
        <v/>
      </c>
      <c r="T749" s="33">
        <f>IF(R749="","",IFERROR(INDEX(Cl_nom,MATCH(R749,Cl_cle,0)),"(client introuvable)"))</f>
        <v/>
      </c>
      <c r="U749" s="33">
        <f>IF(R749="","",IFERROR(INDEX(Cl_quartier,MATCH(R749,Cl_cle,0))&amp;"",""))</f>
        <v/>
      </c>
      <c r="V749" s="34">
        <f>IF(C749="","",YEAR(C749-WEEKDAY(C749,2)+4)&amp;"-S"&amp;TEXT(INT((C749-DATE(YEAR(C749-WEEKDAY(C749,2)+4),1,3)+WEEKDAY(DATE(YEAR(C749-WEEKDAY(C749,2)+4),1,3),2)+5)/7),"00"))</f>
        <v/>
      </c>
    </row>
    <row r="750" ht="18" customHeight="1">
      <c r="A750" s="39" t="n">
        <v>745</v>
      </c>
      <c r="B750" s="33">
        <f>IF(C750="","",IF(P750="À RENSEIGNER","GIC",P750)&amp;"-V"&amp;TEXT(A750,"00000"))</f>
        <v/>
      </c>
      <c r="C750" s="32" t="n"/>
      <c r="D750" s="35" t="n"/>
      <c r="E750" s="36" t="n"/>
      <c r="F750" s="36" t="n"/>
      <c r="G750" s="36" t="n"/>
      <c r="H750" s="36" t="n"/>
      <c r="I750" s="36" t="n"/>
      <c r="J750" s="37" t="n"/>
      <c r="K750" s="32" t="n"/>
      <c r="L750" s="36" t="n"/>
      <c r="M750" s="41" t="n"/>
      <c r="N750" s="41" t="n"/>
      <c r="O750" s="36" t="n"/>
      <c r="P750" s="33">
        <f>IF(C750="","",Commercial_Id)</f>
        <v/>
      </c>
      <c r="Q750" s="39">
        <f>IF(F750="","",IFERROR(VALUE(MID(F750,LEN(F750)-3,3)),""))</f>
        <v/>
      </c>
      <c r="R750" s="33">
        <f>IF(Q750="","",P750&amp;"|"&amp;Q750)</f>
        <v/>
      </c>
      <c r="S750" s="33">
        <f>IF(Q750="","",IF(P750="À RENSEIGNER","GIC",P750)&amp;"-"&amp;TEXT(Q750,"000"))</f>
        <v/>
      </c>
      <c r="T750" s="33">
        <f>IF(R750="","",IFERROR(INDEX(Cl_nom,MATCH(R750,Cl_cle,0)),"(client introuvable)"))</f>
        <v/>
      </c>
      <c r="U750" s="33">
        <f>IF(R750="","",IFERROR(INDEX(Cl_quartier,MATCH(R750,Cl_cle,0))&amp;"",""))</f>
        <v/>
      </c>
      <c r="V750" s="34">
        <f>IF(C750="","",YEAR(C750-WEEKDAY(C750,2)+4)&amp;"-S"&amp;TEXT(INT((C750-DATE(YEAR(C750-WEEKDAY(C750,2)+4),1,3)+WEEKDAY(DATE(YEAR(C750-WEEKDAY(C750,2)+4),1,3),2)+5)/7),"00"))</f>
        <v/>
      </c>
    </row>
    <row r="751" ht="18" customHeight="1">
      <c r="A751" s="39" t="n">
        <v>746</v>
      </c>
      <c r="B751" s="33">
        <f>IF(C751="","",IF(P751="À RENSEIGNER","GIC",P751)&amp;"-V"&amp;TEXT(A751,"00000"))</f>
        <v/>
      </c>
      <c r="C751" s="32" t="n"/>
      <c r="D751" s="35" t="n"/>
      <c r="E751" s="36" t="n"/>
      <c r="F751" s="36" t="n"/>
      <c r="G751" s="36" t="n"/>
      <c r="H751" s="36" t="n"/>
      <c r="I751" s="36" t="n"/>
      <c r="J751" s="37" t="n"/>
      <c r="K751" s="32" t="n"/>
      <c r="L751" s="36" t="n"/>
      <c r="M751" s="41" t="n"/>
      <c r="N751" s="41" t="n"/>
      <c r="O751" s="36" t="n"/>
      <c r="P751" s="33">
        <f>IF(C751="","",Commercial_Id)</f>
        <v/>
      </c>
      <c r="Q751" s="39">
        <f>IF(F751="","",IFERROR(VALUE(MID(F751,LEN(F751)-3,3)),""))</f>
        <v/>
      </c>
      <c r="R751" s="33">
        <f>IF(Q751="","",P751&amp;"|"&amp;Q751)</f>
        <v/>
      </c>
      <c r="S751" s="33">
        <f>IF(Q751="","",IF(P751="À RENSEIGNER","GIC",P751)&amp;"-"&amp;TEXT(Q751,"000"))</f>
        <v/>
      </c>
      <c r="T751" s="33">
        <f>IF(R751="","",IFERROR(INDEX(Cl_nom,MATCH(R751,Cl_cle,0)),"(client introuvable)"))</f>
        <v/>
      </c>
      <c r="U751" s="33">
        <f>IF(R751="","",IFERROR(INDEX(Cl_quartier,MATCH(R751,Cl_cle,0))&amp;"",""))</f>
        <v/>
      </c>
      <c r="V751" s="34">
        <f>IF(C751="","",YEAR(C751-WEEKDAY(C751,2)+4)&amp;"-S"&amp;TEXT(INT((C751-DATE(YEAR(C751-WEEKDAY(C751,2)+4),1,3)+WEEKDAY(DATE(YEAR(C751-WEEKDAY(C751,2)+4),1,3),2)+5)/7),"00"))</f>
        <v/>
      </c>
    </row>
    <row r="752" ht="18" customHeight="1">
      <c r="A752" s="39" t="n">
        <v>747</v>
      </c>
      <c r="B752" s="33">
        <f>IF(C752="","",IF(P752="À RENSEIGNER","GIC",P752)&amp;"-V"&amp;TEXT(A752,"00000"))</f>
        <v/>
      </c>
      <c r="C752" s="32" t="n"/>
      <c r="D752" s="35" t="n"/>
      <c r="E752" s="36" t="n"/>
      <c r="F752" s="36" t="n"/>
      <c r="G752" s="36" t="n"/>
      <c r="H752" s="36" t="n"/>
      <c r="I752" s="36" t="n"/>
      <c r="J752" s="37" t="n"/>
      <c r="K752" s="32" t="n"/>
      <c r="L752" s="36" t="n"/>
      <c r="M752" s="41" t="n"/>
      <c r="N752" s="41" t="n"/>
      <c r="O752" s="36" t="n"/>
      <c r="P752" s="33">
        <f>IF(C752="","",Commercial_Id)</f>
        <v/>
      </c>
      <c r="Q752" s="39">
        <f>IF(F752="","",IFERROR(VALUE(MID(F752,LEN(F752)-3,3)),""))</f>
        <v/>
      </c>
      <c r="R752" s="33">
        <f>IF(Q752="","",P752&amp;"|"&amp;Q752)</f>
        <v/>
      </c>
      <c r="S752" s="33">
        <f>IF(Q752="","",IF(P752="À RENSEIGNER","GIC",P752)&amp;"-"&amp;TEXT(Q752,"000"))</f>
        <v/>
      </c>
      <c r="T752" s="33">
        <f>IF(R752="","",IFERROR(INDEX(Cl_nom,MATCH(R752,Cl_cle,0)),"(client introuvable)"))</f>
        <v/>
      </c>
      <c r="U752" s="33">
        <f>IF(R752="","",IFERROR(INDEX(Cl_quartier,MATCH(R752,Cl_cle,0))&amp;"",""))</f>
        <v/>
      </c>
      <c r="V752" s="34">
        <f>IF(C752="","",YEAR(C752-WEEKDAY(C752,2)+4)&amp;"-S"&amp;TEXT(INT((C752-DATE(YEAR(C752-WEEKDAY(C752,2)+4),1,3)+WEEKDAY(DATE(YEAR(C752-WEEKDAY(C752,2)+4),1,3),2)+5)/7),"00"))</f>
        <v/>
      </c>
    </row>
    <row r="753" ht="18" customHeight="1">
      <c r="A753" s="39" t="n">
        <v>748</v>
      </c>
      <c r="B753" s="33">
        <f>IF(C753="","",IF(P753="À RENSEIGNER","GIC",P753)&amp;"-V"&amp;TEXT(A753,"00000"))</f>
        <v/>
      </c>
      <c r="C753" s="32" t="n"/>
      <c r="D753" s="35" t="n"/>
      <c r="E753" s="36" t="n"/>
      <c r="F753" s="36" t="n"/>
      <c r="G753" s="36" t="n"/>
      <c r="H753" s="36" t="n"/>
      <c r="I753" s="36" t="n"/>
      <c r="J753" s="37" t="n"/>
      <c r="K753" s="32" t="n"/>
      <c r="L753" s="36" t="n"/>
      <c r="M753" s="41" t="n"/>
      <c r="N753" s="41" t="n"/>
      <c r="O753" s="36" t="n"/>
      <c r="P753" s="33">
        <f>IF(C753="","",Commercial_Id)</f>
        <v/>
      </c>
      <c r="Q753" s="39">
        <f>IF(F753="","",IFERROR(VALUE(MID(F753,LEN(F753)-3,3)),""))</f>
        <v/>
      </c>
      <c r="R753" s="33">
        <f>IF(Q753="","",P753&amp;"|"&amp;Q753)</f>
        <v/>
      </c>
      <c r="S753" s="33">
        <f>IF(Q753="","",IF(P753="À RENSEIGNER","GIC",P753)&amp;"-"&amp;TEXT(Q753,"000"))</f>
        <v/>
      </c>
      <c r="T753" s="33">
        <f>IF(R753="","",IFERROR(INDEX(Cl_nom,MATCH(R753,Cl_cle,0)),"(client introuvable)"))</f>
        <v/>
      </c>
      <c r="U753" s="33">
        <f>IF(R753="","",IFERROR(INDEX(Cl_quartier,MATCH(R753,Cl_cle,0))&amp;"",""))</f>
        <v/>
      </c>
      <c r="V753" s="34">
        <f>IF(C753="","",YEAR(C753-WEEKDAY(C753,2)+4)&amp;"-S"&amp;TEXT(INT((C753-DATE(YEAR(C753-WEEKDAY(C753,2)+4),1,3)+WEEKDAY(DATE(YEAR(C753-WEEKDAY(C753,2)+4),1,3),2)+5)/7),"00"))</f>
        <v/>
      </c>
    </row>
    <row r="754" ht="18" customHeight="1">
      <c r="A754" s="39" t="n">
        <v>749</v>
      </c>
      <c r="B754" s="33">
        <f>IF(C754="","",IF(P754="À RENSEIGNER","GIC",P754)&amp;"-V"&amp;TEXT(A754,"00000"))</f>
        <v/>
      </c>
      <c r="C754" s="32" t="n"/>
      <c r="D754" s="35" t="n"/>
      <c r="E754" s="36" t="n"/>
      <c r="F754" s="36" t="n"/>
      <c r="G754" s="36" t="n"/>
      <c r="H754" s="36" t="n"/>
      <c r="I754" s="36" t="n"/>
      <c r="J754" s="37" t="n"/>
      <c r="K754" s="32" t="n"/>
      <c r="L754" s="36" t="n"/>
      <c r="M754" s="41" t="n"/>
      <c r="N754" s="41" t="n"/>
      <c r="O754" s="36" t="n"/>
      <c r="P754" s="33">
        <f>IF(C754="","",Commercial_Id)</f>
        <v/>
      </c>
      <c r="Q754" s="39">
        <f>IF(F754="","",IFERROR(VALUE(MID(F754,LEN(F754)-3,3)),""))</f>
        <v/>
      </c>
      <c r="R754" s="33">
        <f>IF(Q754="","",P754&amp;"|"&amp;Q754)</f>
        <v/>
      </c>
      <c r="S754" s="33">
        <f>IF(Q754="","",IF(P754="À RENSEIGNER","GIC",P754)&amp;"-"&amp;TEXT(Q754,"000"))</f>
        <v/>
      </c>
      <c r="T754" s="33">
        <f>IF(R754="","",IFERROR(INDEX(Cl_nom,MATCH(R754,Cl_cle,0)),"(client introuvable)"))</f>
        <v/>
      </c>
      <c r="U754" s="33">
        <f>IF(R754="","",IFERROR(INDEX(Cl_quartier,MATCH(R754,Cl_cle,0))&amp;"",""))</f>
        <v/>
      </c>
      <c r="V754" s="34">
        <f>IF(C754="","",YEAR(C754-WEEKDAY(C754,2)+4)&amp;"-S"&amp;TEXT(INT((C754-DATE(YEAR(C754-WEEKDAY(C754,2)+4),1,3)+WEEKDAY(DATE(YEAR(C754-WEEKDAY(C754,2)+4),1,3),2)+5)/7),"00"))</f>
        <v/>
      </c>
    </row>
    <row r="755" ht="18" customHeight="1">
      <c r="A755" s="39" t="n">
        <v>750</v>
      </c>
      <c r="B755" s="33">
        <f>IF(C755="","",IF(P755="À RENSEIGNER","GIC",P755)&amp;"-V"&amp;TEXT(A755,"00000"))</f>
        <v/>
      </c>
      <c r="C755" s="32" t="n"/>
      <c r="D755" s="35" t="n"/>
      <c r="E755" s="36" t="n"/>
      <c r="F755" s="36" t="n"/>
      <c r="G755" s="36" t="n"/>
      <c r="H755" s="36" t="n"/>
      <c r="I755" s="36" t="n"/>
      <c r="J755" s="37" t="n"/>
      <c r="K755" s="32" t="n"/>
      <c r="L755" s="36" t="n"/>
      <c r="M755" s="41" t="n"/>
      <c r="N755" s="41" t="n"/>
      <c r="O755" s="36" t="n"/>
      <c r="P755" s="33">
        <f>IF(C755="","",Commercial_Id)</f>
        <v/>
      </c>
      <c r="Q755" s="39">
        <f>IF(F755="","",IFERROR(VALUE(MID(F755,LEN(F755)-3,3)),""))</f>
        <v/>
      </c>
      <c r="R755" s="33">
        <f>IF(Q755="","",P755&amp;"|"&amp;Q755)</f>
        <v/>
      </c>
      <c r="S755" s="33">
        <f>IF(Q755="","",IF(P755="À RENSEIGNER","GIC",P755)&amp;"-"&amp;TEXT(Q755,"000"))</f>
        <v/>
      </c>
      <c r="T755" s="33">
        <f>IF(R755="","",IFERROR(INDEX(Cl_nom,MATCH(R755,Cl_cle,0)),"(client introuvable)"))</f>
        <v/>
      </c>
      <c r="U755" s="33">
        <f>IF(R755="","",IFERROR(INDEX(Cl_quartier,MATCH(R755,Cl_cle,0))&amp;"",""))</f>
        <v/>
      </c>
      <c r="V755" s="34">
        <f>IF(C755="","",YEAR(C755-WEEKDAY(C755,2)+4)&amp;"-S"&amp;TEXT(INT((C755-DATE(YEAR(C755-WEEKDAY(C755,2)+4),1,3)+WEEKDAY(DATE(YEAR(C755-WEEKDAY(C755,2)+4),1,3),2)+5)/7),"00"))</f>
        <v/>
      </c>
    </row>
    <row r="756" ht="18" customHeight="1">
      <c r="A756" s="39" t="n">
        <v>751</v>
      </c>
      <c r="B756" s="33">
        <f>IF(C756="","",IF(P756="À RENSEIGNER","GIC",P756)&amp;"-V"&amp;TEXT(A756,"00000"))</f>
        <v/>
      </c>
      <c r="C756" s="32" t="n"/>
      <c r="D756" s="35" t="n"/>
      <c r="E756" s="36" t="n"/>
      <c r="F756" s="36" t="n"/>
      <c r="G756" s="36" t="n"/>
      <c r="H756" s="36" t="n"/>
      <c r="I756" s="36" t="n"/>
      <c r="J756" s="37" t="n"/>
      <c r="K756" s="32" t="n"/>
      <c r="L756" s="36" t="n"/>
      <c r="M756" s="41" t="n"/>
      <c r="N756" s="41" t="n"/>
      <c r="O756" s="36" t="n"/>
      <c r="P756" s="33">
        <f>IF(C756="","",Commercial_Id)</f>
        <v/>
      </c>
      <c r="Q756" s="39">
        <f>IF(F756="","",IFERROR(VALUE(MID(F756,LEN(F756)-3,3)),""))</f>
        <v/>
      </c>
      <c r="R756" s="33">
        <f>IF(Q756="","",P756&amp;"|"&amp;Q756)</f>
        <v/>
      </c>
      <c r="S756" s="33">
        <f>IF(Q756="","",IF(P756="À RENSEIGNER","GIC",P756)&amp;"-"&amp;TEXT(Q756,"000"))</f>
        <v/>
      </c>
      <c r="T756" s="33">
        <f>IF(R756="","",IFERROR(INDEX(Cl_nom,MATCH(R756,Cl_cle,0)),"(client introuvable)"))</f>
        <v/>
      </c>
      <c r="U756" s="33">
        <f>IF(R756="","",IFERROR(INDEX(Cl_quartier,MATCH(R756,Cl_cle,0))&amp;"",""))</f>
        <v/>
      </c>
      <c r="V756" s="34">
        <f>IF(C756="","",YEAR(C756-WEEKDAY(C756,2)+4)&amp;"-S"&amp;TEXT(INT((C756-DATE(YEAR(C756-WEEKDAY(C756,2)+4),1,3)+WEEKDAY(DATE(YEAR(C756-WEEKDAY(C756,2)+4),1,3),2)+5)/7),"00"))</f>
        <v/>
      </c>
    </row>
    <row r="757" ht="18" customHeight="1">
      <c r="A757" s="39" t="n">
        <v>752</v>
      </c>
      <c r="B757" s="33">
        <f>IF(C757="","",IF(P757="À RENSEIGNER","GIC",P757)&amp;"-V"&amp;TEXT(A757,"00000"))</f>
        <v/>
      </c>
      <c r="C757" s="32" t="n"/>
      <c r="D757" s="35" t="n"/>
      <c r="E757" s="36" t="n"/>
      <c r="F757" s="36" t="n"/>
      <c r="G757" s="36" t="n"/>
      <c r="H757" s="36" t="n"/>
      <c r="I757" s="36" t="n"/>
      <c r="J757" s="37" t="n"/>
      <c r="K757" s="32" t="n"/>
      <c r="L757" s="36" t="n"/>
      <c r="M757" s="41" t="n"/>
      <c r="N757" s="41" t="n"/>
      <c r="O757" s="36" t="n"/>
      <c r="P757" s="33">
        <f>IF(C757="","",Commercial_Id)</f>
        <v/>
      </c>
      <c r="Q757" s="39">
        <f>IF(F757="","",IFERROR(VALUE(MID(F757,LEN(F757)-3,3)),""))</f>
        <v/>
      </c>
      <c r="R757" s="33">
        <f>IF(Q757="","",P757&amp;"|"&amp;Q757)</f>
        <v/>
      </c>
      <c r="S757" s="33">
        <f>IF(Q757="","",IF(P757="À RENSEIGNER","GIC",P757)&amp;"-"&amp;TEXT(Q757,"000"))</f>
        <v/>
      </c>
      <c r="T757" s="33">
        <f>IF(R757="","",IFERROR(INDEX(Cl_nom,MATCH(R757,Cl_cle,0)),"(client introuvable)"))</f>
        <v/>
      </c>
      <c r="U757" s="33">
        <f>IF(R757="","",IFERROR(INDEX(Cl_quartier,MATCH(R757,Cl_cle,0))&amp;"",""))</f>
        <v/>
      </c>
      <c r="V757" s="34">
        <f>IF(C757="","",YEAR(C757-WEEKDAY(C757,2)+4)&amp;"-S"&amp;TEXT(INT((C757-DATE(YEAR(C757-WEEKDAY(C757,2)+4),1,3)+WEEKDAY(DATE(YEAR(C757-WEEKDAY(C757,2)+4),1,3),2)+5)/7),"00"))</f>
        <v/>
      </c>
    </row>
    <row r="758" ht="18" customHeight="1">
      <c r="A758" s="39" t="n">
        <v>753</v>
      </c>
      <c r="B758" s="33">
        <f>IF(C758="","",IF(P758="À RENSEIGNER","GIC",P758)&amp;"-V"&amp;TEXT(A758,"00000"))</f>
        <v/>
      </c>
      <c r="C758" s="32" t="n"/>
      <c r="D758" s="35" t="n"/>
      <c r="E758" s="36" t="n"/>
      <c r="F758" s="36" t="n"/>
      <c r="G758" s="36" t="n"/>
      <c r="H758" s="36" t="n"/>
      <c r="I758" s="36" t="n"/>
      <c r="J758" s="37" t="n"/>
      <c r="K758" s="32" t="n"/>
      <c r="L758" s="36" t="n"/>
      <c r="M758" s="41" t="n"/>
      <c r="N758" s="41" t="n"/>
      <c r="O758" s="36" t="n"/>
      <c r="P758" s="33">
        <f>IF(C758="","",Commercial_Id)</f>
        <v/>
      </c>
      <c r="Q758" s="39">
        <f>IF(F758="","",IFERROR(VALUE(MID(F758,LEN(F758)-3,3)),""))</f>
        <v/>
      </c>
      <c r="R758" s="33">
        <f>IF(Q758="","",P758&amp;"|"&amp;Q758)</f>
        <v/>
      </c>
      <c r="S758" s="33">
        <f>IF(Q758="","",IF(P758="À RENSEIGNER","GIC",P758)&amp;"-"&amp;TEXT(Q758,"000"))</f>
        <v/>
      </c>
      <c r="T758" s="33">
        <f>IF(R758="","",IFERROR(INDEX(Cl_nom,MATCH(R758,Cl_cle,0)),"(client introuvable)"))</f>
        <v/>
      </c>
      <c r="U758" s="33">
        <f>IF(R758="","",IFERROR(INDEX(Cl_quartier,MATCH(R758,Cl_cle,0))&amp;"",""))</f>
        <v/>
      </c>
      <c r="V758" s="34">
        <f>IF(C758="","",YEAR(C758-WEEKDAY(C758,2)+4)&amp;"-S"&amp;TEXT(INT((C758-DATE(YEAR(C758-WEEKDAY(C758,2)+4),1,3)+WEEKDAY(DATE(YEAR(C758-WEEKDAY(C758,2)+4),1,3),2)+5)/7),"00"))</f>
        <v/>
      </c>
    </row>
    <row r="759" ht="18" customHeight="1">
      <c r="A759" s="39" t="n">
        <v>754</v>
      </c>
      <c r="B759" s="33">
        <f>IF(C759="","",IF(P759="À RENSEIGNER","GIC",P759)&amp;"-V"&amp;TEXT(A759,"00000"))</f>
        <v/>
      </c>
      <c r="C759" s="32" t="n"/>
      <c r="D759" s="35" t="n"/>
      <c r="E759" s="36" t="n"/>
      <c r="F759" s="36" t="n"/>
      <c r="G759" s="36" t="n"/>
      <c r="H759" s="36" t="n"/>
      <c r="I759" s="36" t="n"/>
      <c r="J759" s="37" t="n"/>
      <c r="K759" s="32" t="n"/>
      <c r="L759" s="36" t="n"/>
      <c r="M759" s="41" t="n"/>
      <c r="N759" s="41" t="n"/>
      <c r="O759" s="36" t="n"/>
      <c r="P759" s="33">
        <f>IF(C759="","",Commercial_Id)</f>
        <v/>
      </c>
      <c r="Q759" s="39">
        <f>IF(F759="","",IFERROR(VALUE(MID(F759,LEN(F759)-3,3)),""))</f>
        <v/>
      </c>
      <c r="R759" s="33">
        <f>IF(Q759="","",P759&amp;"|"&amp;Q759)</f>
        <v/>
      </c>
      <c r="S759" s="33">
        <f>IF(Q759="","",IF(P759="À RENSEIGNER","GIC",P759)&amp;"-"&amp;TEXT(Q759,"000"))</f>
        <v/>
      </c>
      <c r="T759" s="33">
        <f>IF(R759="","",IFERROR(INDEX(Cl_nom,MATCH(R759,Cl_cle,0)),"(client introuvable)"))</f>
        <v/>
      </c>
      <c r="U759" s="33">
        <f>IF(R759="","",IFERROR(INDEX(Cl_quartier,MATCH(R759,Cl_cle,0))&amp;"",""))</f>
        <v/>
      </c>
      <c r="V759" s="34">
        <f>IF(C759="","",YEAR(C759-WEEKDAY(C759,2)+4)&amp;"-S"&amp;TEXT(INT((C759-DATE(YEAR(C759-WEEKDAY(C759,2)+4),1,3)+WEEKDAY(DATE(YEAR(C759-WEEKDAY(C759,2)+4),1,3),2)+5)/7),"00"))</f>
        <v/>
      </c>
    </row>
    <row r="760" ht="18" customHeight="1">
      <c r="A760" s="39" t="n">
        <v>755</v>
      </c>
      <c r="B760" s="33">
        <f>IF(C760="","",IF(P760="À RENSEIGNER","GIC",P760)&amp;"-V"&amp;TEXT(A760,"00000"))</f>
        <v/>
      </c>
      <c r="C760" s="32" t="n"/>
      <c r="D760" s="35" t="n"/>
      <c r="E760" s="36" t="n"/>
      <c r="F760" s="36" t="n"/>
      <c r="G760" s="36" t="n"/>
      <c r="H760" s="36" t="n"/>
      <c r="I760" s="36" t="n"/>
      <c r="J760" s="37" t="n"/>
      <c r="K760" s="32" t="n"/>
      <c r="L760" s="36" t="n"/>
      <c r="M760" s="41" t="n"/>
      <c r="N760" s="41" t="n"/>
      <c r="O760" s="36" t="n"/>
      <c r="P760" s="33">
        <f>IF(C760="","",Commercial_Id)</f>
        <v/>
      </c>
      <c r="Q760" s="39">
        <f>IF(F760="","",IFERROR(VALUE(MID(F760,LEN(F760)-3,3)),""))</f>
        <v/>
      </c>
      <c r="R760" s="33">
        <f>IF(Q760="","",P760&amp;"|"&amp;Q760)</f>
        <v/>
      </c>
      <c r="S760" s="33">
        <f>IF(Q760="","",IF(P760="À RENSEIGNER","GIC",P760)&amp;"-"&amp;TEXT(Q760,"000"))</f>
        <v/>
      </c>
      <c r="T760" s="33">
        <f>IF(R760="","",IFERROR(INDEX(Cl_nom,MATCH(R760,Cl_cle,0)),"(client introuvable)"))</f>
        <v/>
      </c>
      <c r="U760" s="33">
        <f>IF(R760="","",IFERROR(INDEX(Cl_quartier,MATCH(R760,Cl_cle,0))&amp;"",""))</f>
        <v/>
      </c>
      <c r="V760" s="34">
        <f>IF(C760="","",YEAR(C760-WEEKDAY(C760,2)+4)&amp;"-S"&amp;TEXT(INT((C760-DATE(YEAR(C760-WEEKDAY(C760,2)+4),1,3)+WEEKDAY(DATE(YEAR(C760-WEEKDAY(C760,2)+4),1,3),2)+5)/7),"00"))</f>
        <v/>
      </c>
    </row>
    <row r="761" ht="18" customHeight="1">
      <c r="A761" s="39" t="n">
        <v>756</v>
      </c>
      <c r="B761" s="33">
        <f>IF(C761="","",IF(P761="À RENSEIGNER","GIC",P761)&amp;"-V"&amp;TEXT(A761,"00000"))</f>
        <v/>
      </c>
      <c r="C761" s="32" t="n"/>
      <c r="D761" s="35" t="n"/>
      <c r="E761" s="36" t="n"/>
      <c r="F761" s="36" t="n"/>
      <c r="G761" s="36" t="n"/>
      <c r="H761" s="36" t="n"/>
      <c r="I761" s="36" t="n"/>
      <c r="J761" s="37" t="n"/>
      <c r="K761" s="32" t="n"/>
      <c r="L761" s="36" t="n"/>
      <c r="M761" s="41" t="n"/>
      <c r="N761" s="41" t="n"/>
      <c r="O761" s="36" t="n"/>
      <c r="P761" s="33">
        <f>IF(C761="","",Commercial_Id)</f>
        <v/>
      </c>
      <c r="Q761" s="39">
        <f>IF(F761="","",IFERROR(VALUE(MID(F761,LEN(F761)-3,3)),""))</f>
        <v/>
      </c>
      <c r="R761" s="33">
        <f>IF(Q761="","",P761&amp;"|"&amp;Q761)</f>
        <v/>
      </c>
      <c r="S761" s="33">
        <f>IF(Q761="","",IF(P761="À RENSEIGNER","GIC",P761)&amp;"-"&amp;TEXT(Q761,"000"))</f>
        <v/>
      </c>
      <c r="T761" s="33">
        <f>IF(R761="","",IFERROR(INDEX(Cl_nom,MATCH(R761,Cl_cle,0)),"(client introuvable)"))</f>
        <v/>
      </c>
      <c r="U761" s="33">
        <f>IF(R761="","",IFERROR(INDEX(Cl_quartier,MATCH(R761,Cl_cle,0))&amp;"",""))</f>
        <v/>
      </c>
      <c r="V761" s="34">
        <f>IF(C761="","",YEAR(C761-WEEKDAY(C761,2)+4)&amp;"-S"&amp;TEXT(INT((C761-DATE(YEAR(C761-WEEKDAY(C761,2)+4),1,3)+WEEKDAY(DATE(YEAR(C761-WEEKDAY(C761,2)+4),1,3),2)+5)/7),"00"))</f>
        <v/>
      </c>
    </row>
    <row r="762" ht="18" customHeight="1">
      <c r="A762" s="39" t="n">
        <v>757</v>
      </c>
      <c r="B762" s="33">
        <f>IF(C762="","",IF(P762="À RENSEIGNER","GIC",P762)&amp;"-V"&amp;TEXT(A762,"00000"))</f>
        <v/>
      </c>
      <c r="C762" s="32" t="n"/>
      <c r="D762" s="35" t="n"/>
      <c r="E762" s="36" t="n"/>
      <c r="F762" s="36" t="n"/>
      <c r="G762" s="36" t="n"/>
      <c r="H762" s="36" t="n"/>
      <c r="I762" s="36" t="n"/>
      <c r="J762" s="37" t="n"/>
      <c r="K762" s="32" t="n"/>
      <c r="L762" s="36" t="n"/>
      <c r="M762" s="41" t="n"/>
      <c r="N762" s="41" t="n"/>
      <c r="O762" s="36" t="n"/>
      <c r="P762" s="33">
        <f>IF(C762="","",Commercial_Id)</f>
        <v/>
      </c>
      <c r="Q762" s="39">
        <f>IF(F762="","",IFERROR(VALUE(MID(F762,LEN(F762)-3,3)),""))</f>
        <v/>
      </c>
      <c r="R762" s="33">
        <f>IF(Q762="","",P762&amp;"|"&amp;Q762)</f>
        <v/>
      </c>
      <c r="S762" s="33">
        <f>IF(Q762="","",IF(P762="À RENSEIGNER","GIC",P762)&amp;"-"&amp;TEXT(Q762,"000"))</f>
        <v/>
      </c>
      <c r="T762" s="33">
        <f>IF(R762="","",IFERROR(INDEX(Cl_nom,MATCH(R762,Cl_cle,0)),"(client introuvable)"))</f>
        <v/>
      </c>
      <c r="U762" s="33">
        <f>IF(R762="","",IFERROR(INDEX(Cl_quartier,MATCH(R762,Cl_cle,0))&amp;"",""))</f>
        <v/>
      </c>
      <c r="V762" s="34">
        <f>IF(C762="","",YEAR(C762-WEEKDAY(C762,2)+4)&amp;"-S"&amp;TEXT(INT((C762-DATE(YEAR(C762-WEEKDAY(C762,2)+4),1,3)+WEEKDAY(DATE(YEAR(C762-WEEKDAY(C762,2)+4),1,3),2)+5)/7),"00"))</f>
        <v/>
      </c>
    </row>
    <row r="763" ht="18" customHeight="1">
      <c r="A763" s="39" t="n">
        <v>758</v>
      </c>
      <c r="B763" s="33">
        <f>IF(C763="","",IF(P763="À RENSEIGNER","GIC",P763)&amp;"-V"&amp;TEXT(A763,"00000"))</f>
        <v/>
      </c>
      <c r="C763" s="32" t="n"/>
      <c r="D763" s="35" t="n"/>
      <c r="E763" s="36" t="n"/>
      <c r="F763" s="36" t="n"/>
      <c r="G763" s="36" t="n"/>
      <c r="H763" s="36" t="n"/>
      <c r="I763" s="36" t="n"/>
      <c r="J763" s="37" t="n"/>
      <c r="K763" s="32" t="n"/>
      <c r="L763" s="36" t="n"/>
      <c r="M763" s="41" t="n"/>
      <c r="N763" s="41" t="n"/>
      <c r="O763" s="36" t="n"/>
      <c r="P763" s="33">
        <f>IF(C763="","",Commercial_Id)</f>
        <v/>
      </c>
      <c r="Q763" s="39">
        <f>IF(F763="","",IFERROR(VALUE(MID(F763,LEN(F763)-3,3)),""))</f>
        <v/>
      </c>
      <c r="R763" s="33">
        <f>IF(Q763="","",P763&amp;"|"&amp;Q763)</f>
        <v/>
      </c>
      <c r="S763" s="33">
        <f>IF(Q763="","",IF(P763="À RENSEIGNER","GIC",P763)&amp;"-"&amp;TEXT(Q763,"000"))</f>
        <v/>
      </c>
      <c r="T763" s="33">
        <f>IF(R763="","",IFERROR(INDEX(Cl_nom,MATCH(R763,Cl_cle,0)),"(client introuvable)"))</f>
        <v/>
      </c>
      <c r="U763" s="33">
        <f>IF(R763="","",IFERROR(INDEX(Cl_quartier,MATCH(R763,Cl_cle,0))&amp;"",""))</f>
        <v/>
      </c>
      <c r="V763" s="34">
        <f>IF(C763="","",YEAR(C763-WEEKDAY(C763,2)+4)&amp;"-S"&amp;TEXT(INT((C763-DATE(YEAR(C763-WEEKDAY(C763,2)+4),1,3)+WEEKDAY(DATE(YEAR(C763-WEEKDAY(C763,2)+4),1,3),2)+5)/7),"00"))</f>
        <v/>
      </c>
    </row>
    <row r="764" ht="18" customHeight="1">
      <c r="A764" s="39" t="n">
        <v>759</v>
      </c>
      <c r="B764" s="33">
        <f>IF(C764="","",IF(P764="À RENSEIGNER","GIC",P764)&amp;"-V"&amp;TEXT(A764,"00000"))</f>
        <v/>
      </c>
      <c r="C764" s="32" t="n"/>
      <c r="D764" s="35" t="n"/>
      <c r="E764" s="36" t="n"/>
      <c r="F764" s="36" t="n"/>
      <c r="G764" s="36" t="n"/>
      <c r="H764" s="36" t="n"/>
      <c r="I764" s="36" t="n"/>
      <c r="J764" s="37" t="n"/>
      <c r="K764" s="32" t="n"/>
      <c r="L764" s="36" t="n"/>
      <c r="M764" s="41" t="n"/>
      <c r="N764" s="41" t="n"/>
      <c r="O764" s="36" t="n"/>
      <c r="P764" s="33">
        <f>IF(C764="","",Commercial_Id)</f>
        <v/>
      </c>
      <c r="Q764" s="39">
        <f>IF(F764="","",IFERROR(VALUE(MID(F764,LEN(F764)-3,3)),""))</f>
        <v/>
      </c>
      <c r="R764" s="33">
        <f>IF(Q764="","",P764&amp;"|"&amp;Q764)</f>
        <v/>
      </c>
      <c r="S764" s="33">
        <f>IF(Q764="","",IF(P764="À RENSEIGNER","GIC",P764)&amp;"-"&amp;TEXT(Q764,"000"))</f>
        <v/>
      </c>
      <c r="T764" s="33">
        <f>IF(R764="","",IFERROR(INDEX(Cl_nom,MATCH(R764,Cl_cle,0)),"(client introuvable)"))</f>
        <v/>
      </c>
      <c r="U764" s="33">
        <f>IF(R764="","",IFERROR(INDEX(Cl_quartier,MATCH(R764,Cl_cle,0))&amp;"",""))</f>
        <v/>
      </c>
      <c r="V764" s="34">
        <f>IF(C764="","",YEAR(C764-WEEKDAY(C764,2)+4)&amp;"-S"&amp;TEXT(INT((C764-DATE(YEAR(C764-WEEKDAY(C764,2)+4),1,3)+WEEKDAY(DATE(YEAR(C764-WEEKDAY(C764,2)+4),1,3),2)+5)/7),"00"))</f>
        <v/>
      </c>
    </row>
    <row r="765" ht="18" customHeight="1">
      <c r="A765" s="39" t="n">
        <v>760</v>
      </c>
      <c r="B765" s="33">
        <f>IF(C765="","",IF(P765="À RENSEIGNER","GIC",P765)&amp;"-V"&amp;TEXT(A765,"00000"))</f>
        <v/>
      </c>
      <c r="C765" s="32" t="n"/>
      <c r="D765" s="35" t="n"/>
      <c r="E765" s="36" t="n"/>
      <c r="F765" s="36" t="n"/>
      <c r="G765" s="36" t="n"/>
      <c r="H765" s="36" t="n"/>
      <c r="I765" s="36" t="n"/>
      <c r="J765" s="37" t="n"/>
      <c r="K765" s="32" t="n"/>
      <c r="L765" s="36" t="n"/>
      <c r="M765" s="41" t="n"/>
      <c r="N765" s="41" t="n"/>
      <c r="O765" s="36" t="n"/>
      <c r="P765" s="33">
        <f>IF(C765="","",Commercial_Id)</f>
        <v/>
      </c>
      <c r="Q765" s="39">
        <f>IF(F765="","",IFERROR(VALUE(MID(F765,LEN(F765)-3,3)),""))</f>
        <v/>
      </c>
      <c r="R765" s="33">
        <f>IF(Q765="","",P765&amp;"|"&amp;Q765)</f>
        <v/>
      </c>
      <c r="S765" s="33">
        <f>IF(Q765="","",IF(P765="À RENSEIGNER","GIC",P765)&amp;"-"&amp;TEXT(Q765,"000"))</f>
        <v/>
      </c>
      <c r="T765" s="33">
        <f>IF(R765="","",IFERROR(INDEX(Cl_nom,MATCH(R765,Cl_cle,0)),"(client introuvable)"))</f>
        <v/>
      </c>
      <c r="U765" s="33">
        <f>IF(R765="","",IFERROR(INDEX(Cl_quartier,MATCH(R765,Cl_cle,0))&amp;"",""))</f>
        <v/>
      </c>
      <c r="V765" s="34">
        <f>IF(C765="","",YEAR(C765-WEEKDAY(C765,2)+4)&amp;"-S"&amp;TEXT(INT((C765-DATE(YEAR(C765-WEEKDAY(C765,2)+4),1,3)+WEEKDAY(DATE(YEAR(C765-WEEKDAY(C765,2)+4),1,3),2)+5)/7),"00"))</f>
        <v/>
      </c>
    </row>
    <row r="766" ht="18" customHeight="1">
      <c r="A766" s="39" t="n">
        <v>761</v>
      </c>
      <c r="B766" s="33">
        <f>IF(C766="","",IF(P766="À RENSEIGNER","GIC",P766)&amp;"-V"&amp;TEXT(A766,"00000"))</f>
        <v/>
      </c>
      <c r="C766" s="32" t="n"/>
      <c r="D766" s="35" t="n"/>
      <c r="E766" s="36" t="n"/>
      <c r="F766" s="36" t="n"/>
      <c r="G766" s="36" t="n"/>
      <c r="H766" s="36" t="n"/>
      <c r="I766" s="36" t="n"/>
      <c r="J766" s="37" t="n"/>
      <c r="K766" s="32" t="n"/>
      <c r="L766" s="36" t="n"/>
      <c r="M766" s="41" t="n"/>
      <c r="N766" s="41" t="n"/>
      <c r="O766" s="36" t="n"/>
      <c r="P766" s="33">
        <f>IF(C766="","",Commercial_Id)</f>
        <v/>
      </c>
      <c r="Q766" s="39">
        <f>IF(F766="","",IFERROR(VALUE(MID(F766,LEN(F766)-3,3)),""))</f>
        <v/>
      </c>
      <c r="R766" s="33">
        <f>IF(Q766="","",P766&amp;"|"&amp;Q766)</f>
        <v/>
      </c>
      <c r="S766" s="33">
        <f>IF(Q766="","",IF(P766="À RENSEIGNER","GIC",P766)&amp;"-"&amp;TEXT(Q766,"000"))</f>
        <v/>
      </c>
      <c r="T766" s="33">
        <f>IF(R766="","",IFERROR(INDEX(Cl_nom,MATCH(R766,Cl_cle,0)),"(client introuvable)"))</f>
        <v/>
      </c>
      <c r="U766" s="33">
        <f>IF(R766="","",IFERROR(INDEX(Cl_quartier,MATCH(R766,Cl_cle,0))&amp;"",""))</f>
        <v/>
      </c>
      <c r="V766" s="34">
        <f>IF(C766="","",YEAR(C766-WEEKDAY(C766,2)+4)&amp;"-S"&amp;TEXT(INT((C766-DATE(YEAR(C766-WEEKDAY(C766,2)+4),1,3)+WEEKDAY(DATE(YEAR(C766-WEEKDAY(C766,2)+4),1,3),2)+5)/7),"00"))</f>
        <v/>
      </c>
    </row>
    <row r="767" ht="18" customHeight="1">
      <c r="A767" s="39" t="n">
        <v>762</v>
      </c>
      <c r="B767" s="33">
        <f>IF(C767="","",IF(P767="À RENSEIGNER","GIC",P767)&amp;"-V"&amp;TEXT(A767,"00000"))</f>
        <v/>
      </c>
      <c r="C767" s="32" t="n"/>
      <c r="D767" s="35" t="n"/>
      <c r="E767" s="36" t="n"/>
      <c r="F767" s="36" t="n"/>
      <c r="G767" s="36" t="n"/>
      <c r="H767" s="36" t="n"/>
      <c r="I767" s="36" t="n"/>
      <c r="J767" s="37" t="n"/>
      <c r="K767" s="32" t="n"/>
      <c r="L767" s="36" t="n"/>
      <c r="M767" s="41" t="n"/>
      <c r="N767" s="41" t="n"/>
      <c r="O767" s="36" t="n"/>
      <c r="P767" s="33">
        <f>IF(C767="","",Commercial_Id)</f>
        <v/>
      </c>
      <c r="Q767" s="39">
        <f>IF(F767="","",IFERROR(VALUE(MID(F767,LEN(F767)-3,3)),""))</f>
        <v/>
      </c>
      <c r="R767" s="33">
        <f>IF(Q767="","",P767&amp;"|"&amp;Q767)</f>
        <v/>
      </c>
      <c r="S767" s="33">
        <f>IF(Q767="","",IF(P767="À RENSEIGNER","GIC",P767)&amp;"-"&amp;TEXT(Q767,"000"))</f>
        <v/>
      </c>
      <c r="T767" s="33">
        <f>IF(R767="","",IFERROR(INDEX(Cl_nom,MATCH(R767,Cl_cle,0)),"(client introuvable)"))</f>
        <v/>
      </c>
      <c r="U767" s="33">
        <f>IF(R767="","",IFERROR(INDEX(Cl_quartier,MATCH(R767,Cl_cle,0))&amp;"",""))</f>
        <v/>
      </c>
      <c r="V767" s="34">
        <f>IF(C767="","",YEAR(C767-WEEKDAY(C767,2)+4)&amp;"-S"&amp;TEXT(INT((C767-DATE(YEAR(C767-WEEKDAY(C767,2)+4),1,3)+WEEKDAY(DATE(YEAR(C767-WEEKDAY(C767,2)+4),1,3),2)+5)/7),"00"))</f>
        <v/>
      </c>
    </row>
    <row r="768" ht="18" customHeight="1">
      <c r="A768" s="39" t="n">
        <v>763</v>
      </c>
      <c r="B768" s="33">
        <f>IF(C768="","",IF(P768="À RENSEIGNER","GIC",P768)&amp;"-V"&amp;TEXT(A768,"00000"))</f>
        <v/>
      </c>
      <c r="C768" s="32" t="n"/>
      <c r="D768" s="35" t="n"/>
      <c r="E768" s="36" t="n"/>
      <c r="F768" s="36" t="n"/>
      <c r="G768" s="36" t="n"/>
      <c r="H768" s="36" t="n"/>
      <c r="I768" s="36" t="n"/>
      <c r="J768" s="37" t="n"/>
      <c r="K768" s="32" t="n"/>
      <c r="L768" s="36" t="n"/>
      <c r="M768" s="41" t="n"/>
      <c r="N768" s="41" t="n"/>
      <c r="O768" s="36" t="n"/>
      <c r="P768" s="33">
        <f>IF(C768="","",Commercial_Id)</f>
        <v/>
      </c>
      <c r="Q768" s="39">
        <f>IF(F768="","",IFERROR(VALUE(MID(F768,LEN(F768)-3,3)),""))</f>
        <v/>
      </c>
      <c r="R768" s="33">
        <f>IF(Q768="","",P768&amp;"|"&amp;Q768)</f>
        <v/>
      </c>
      <c r="S768" s="33">
        <f>IF(Q768="","",IF(P768="À RENSEIGNER","GIC",P768)&amp;"-"&amp;TEXT(Q768,"000"))</f>
        <v/>
      </c>
      <c r="T768" s="33">
        <f>IF(R768="","",IFERROR(INDEX(Cl_nom,MATCH(R768,Cl_cle,0)),"(client introuvable)"))</f>
        <v/>
      </c>
      <c r="U768" s="33">
        <f>IF(R768="","",IFERROR(INDEX(Cl_quartier,MATCH(R768,Cl_cle,0))&amp;"",""))</f>
        <v/>
      </c>
      <c r="V768" s="34">
        <f>IF(C768="","",YEAR(C768-WEEKDAY(C768,2)+4)&amp;"-S"&amp;TEXT(INT((C768-DATE(YEAR(C768-WEEKDAY(C768,2)+4),1,3)+WEEKDAY(DATE(YEAR(C768-WEEKDAY(C768,2)+4),1,3),2)+5)/7),"00"))</f>
        <v/>
      </c>
    </row>
    <row r="769" ht="18" customHeight="1">
      <c r="A769" s="39" t="n">
        <v>764</v>
      </c>
      <c r="B769" s="33">
        <f>IF(C769="","",IF(P769="À RENSEIGNER","GIC",P769)&amp;"-V"&amp;TEXT(A769,"00000"))</f>
        <v/>
      </c>
      <c r="C769" s="32" t="n"/>
      <c r="D769" s="35" t="n"/>
      <c r="E769" s="36" t="n"/>
      <c r="F769" s="36" t="n"/>
      <c r="G769" s="36" t="n"/>
      <c r="H769" s="36" t="n"/>
      <c r="I769" s="36" t="n"/>
      <c r="J769" s="37" t="n"/>
      <c r="K769" s="32" t="n"/>
      <c r="L769" s="36" t="n"/>
      <c r="M769" s="41" t="n"/>
      <c r="N769" s="41" t="n"/>
      <c r="O769" s="36" t="n"/>
      <c r="P769" s="33">
        <f>IF(C769="","",Commercial_Id)</f>
        <v/>
      </c>
      <c r="Q769" s="39">
        <f>IF(F769="","",IFERROR(VALUE(MID(F769,LEN(F769)-3,3)),""))</f>
        <v/>
      </c>
      <c r="R769" s="33">
        <f>IF(Q769="","",P769&amp;"|"&amp;Q769)</f>
        <v/>
      </c>
      <c r="S769" s="33">
        <f>IF(Q769="","",IF(P769="À RENSEIGNER","GIC",P769)&amp;"-"&amp;TEXT(Q769,"000"))</f>
        <v/>
      </c>
      <c r="T769" s="33">
        <f>IF(R769="","",IFERROR(INDEX(Cl_nom,MATCH(R769,Cl_cle,0)),"(client introuvable)"))</f>
        <v/>
      </c>
      <c r="U769" s="33">
        <f>IF(R769="","",IFERROR(INDEX(Cl_quartier,MATCH(R769,Cl_cle,0))&amp;"",""))</f>
        <v/>
      </c>
      <c r="V769" s="34">
        <f>IF(C769="","",YEAR(C769-WEEKDAY(C769,2)+4)&amp;"-S"&amp;TEXT(INT((C769-DATE(YEAR(C769-WEEKDAY(C769,2)+4),1,3)+WEEKDAY(DATE(YEAR(C769-WEEKDAY(C769,2)+4),1,3),2)+5)/7),"00"))</f>
        <v/>
      </c>
    </row>
    <row r="770" ht="18" customHeight="1">
      <c r="A770" s="39" t="n">
        <v>765</v>
      </c>
      <c r="B770" s="33">
        <f>IF(C770="","",IF(P770="À RENSEIGNER","GIC",P770)&amp;"-V"&amp;TEXT(A770,"00000"))</f>
        <v/>
      </c>
      <c r="C770" s="32" t="n"/>
      <c r="D770" s="35" t="n"/>
      <c r="E770" s="36" t="n"/>
      <c r="F770" s="36" t="n"/>
      <c r="G770" s="36" t="n"/>
      <c r="H770" s="36" t="n"/>
      <c r="I770" s="36" t="n"/>
      <c r="J770" s="37" t="n"/>
      <c r="K770" s="32" t="n"/>
      <c r="L770" s="36" t="n"/>
      <c r="M770" s="41" t="n"/>
      <c r="N770" s="41" t="n"/>
      <c r="O770" s="36" t="n"/>
      <c r="P770" s="33">
        <f>IF(C770="","",Commercial_Id)</f>
        <v/>
      </c>
      <c r="Q770" s="39">
        <f>IF(F770="","",IFERROR(VALUE(MID(F770,LEN(F770)-3,3)),""))</f>
        <v/>
      </c>
      <c r="R770" s="33">
        <f>IF(Q770="","",P770&amp;"|"&amp;Q770)</f>
        <v/>
      </c>
      <c r="S770" s="33">
        <f>IF(Q770="","",IF(P770="À RENSEIGNER","GIC",P770)&amp;"-"&amp;TEXT(Q770,"000"))</f>
        <v/>
      </c>
      <c r="T770" s="33">
        <f>IF(R770="","",IFERROR(INDEX(Cl_nom,MATCH(R770,Cl_cle,0)),"(client introuvable)"))</f>
        <v/>
      </c>
      <c r="U770" s="33">
        <f>IF(R770="","",IFERROR(INDEX(Cl_quartier,MATCH(R770,Cl_cle,0))&amp;"",""))</f>
        <v/>
      </c>
      <c r="V770" s="34">
        <f>IF(C770="","",YEAR(C770-WEEKDAY(C770,2)+4)&amp;"-S"&amp;TEXT(INT((C770-DATE(YEAR(C770-WEEKDAY(C770,2)+4),1,3)+WEEKDAY(DATE(YEAR(C770-WEEKDAY(C770,2)+4),1,3),2)+5)/7),"00"))</f>
        <v/>
      </c>
    </row>
    <row r="771" ht="18" customHeight="1">
      <c r="A771" s="39" t="n">
        <v>766</v>
      </c>
      <c r="B771" s="33">
        <f>IF(C771="","",IF(P771="À RENSEIGNER","GIC",P771)&amp;"-V"&amp;TEXT(A771,"00000"))</f>
        <v/>
      </c>
      <c r="C771" s="32" t="n"/>
      <c r="D771" s="35" t="n"/>
      <c r="E771" s="36" t="n"/>
      <c r="F771" s="36" t="n"/>
      <c r="G771" s="36" t="n"/>
      <c r="H771" s="36" t="n"/>
      <c r="I771" s="36" t="n"/>
      <c r="J771" s="37" t="n"/>
      <c r="K771" s="32" t="n"/>
      <c r="L771" s="36" t="n"/>
      <c r="M771" s="41" t="n"/>
      <c r="N771" s="41" t="n"/>
      <c r="O771" s="36" t="n"/>
      <c r="P771" s="33">
        <f>IF(C771="","",Commercial_Id)</f>
        <v/>
      </c>
      <c r="Q771" s="39">
        <f>IF(F771="","",IFERROR(VALUE(MID(F771,LEN(F771)-3,3)),""))</f>
        <v/>
      </c>
      <c r="R771" s="33">
        <f>IF(Q771="","",P771&amp;"|"&amp;Q771)</f>
        <v/>
      </c>
      <c r="S771" s="33">
        <f>IF(Q771="","",IF(P771="À RENSEIGNER","GIC",P771)&amp;"-"&amp;TEXT(Q771,"000"))</f>
        <v/>
      </c>
      <c r="T771" s="33">
        <f>IF(R771="","",IFERROR(INDEX(Cl_nom,MATCH(R771,Cl_cle,0)),"(client introuvable)"))</f>
        <v/>
      </c>
      <c r="U771" s="33">
        <f>IF(R771="","",IFERROR(INDEX(Cl_quartier,MATCH(R771,Cl_cle,0))&amp;"",""))</f>
        <v/>
      </c>
      <c r="V771" s="34">
        <f>IF(C771="","",YEAR(C771-WEEKDAY(C771,2)+4)&amp;"-S"&amp;TEXT(INT((C771-DATE(YEAR(C771-WEEKDAY(C771,2)+4),1,3)+WEEKDAY(DATE(YEAR(C771-WEEKDAY(C771,2)+4),1,3),2)+5)/7),"00"))</f>
        <v/>
      </c>
    </row>
    <row r="772" ht="18" customHeight="1">
      <c r="A772" s="39" t="n">
        <v>767</v>
      </c>
      <c r="B772" s="33">
        <f>IF(C772="","",IF(P772="À RENSEIGNER","GIC",P772)&amp;"-V"&amp;TEXT(A772,"00000"))</f>
        <v/>
      </c>
      <c r="C772" s="32" t="n"/>
      <c r="D772" s="35" t="n"/>
      <c r="E772" s="36" t="n"/>
      <c r="F772" s="36" t="n"/>
      <c r="G772" s="36" t="n"/>
      <c r="H772" s="36" t="n"/>
      <c r="I772" s="36" t="n"/>
      <c r="J772" s="37" t="n"/>
      <c r="K772" s="32" t="n"/>
      <c r="L772" s="36" t="n"/>
      <c r="M772" s="41" t="n"/>
      <c r="N772" s="41" t="n"/>
      <c r="O772" s="36" t="n"/>
      <c r="P772" s="33">
        <f>IF(C772="","",Commercial_Id)</f>
        <v/>
      </c>
      <c r="Q772" s="39">
        <f>IF(F772="","",IFERROR(VALUE(MID(F772,LEN(F772)-3,3)),""))</f>
        <v/>
      </c>
      <c r="R772" s="33">
        <f>IF(Q772="","",P772&amp;"|"&amp;Q772)</f>
        <v/>
      </c>
      <c r="S772" s="33">
        <f>IF(Q772="","",IF(P772="À RENSEIGNER","GIC",P772)&amp;"-"&amp;TEXT(Q772,"000"))</f>
        <v/>
      </c>
      <c r="T772" s="33">
        <f>IF(R772="","",IFERROR(INDEX(Cl_nom,MATCH(R772,Cl_cle,0)),"(client introuvable)"))</f>
        <v/>
      </c>
      <c r="U772" s="33">
        <f>IF(R772="","",IFERROR(INDEX(Cl_quartier,MATCH(R772,Cl_cle,0))&amp;"",""))</f>
        <v/>
      </c>
      <c r="V772" s="34">
        <f>IF(C772="","",YEAR(C772-WEEKDAY(C772,2)+4)&amp;"-S"&amp;TEXT(INT((C772-DATE(YEAR(C772-WEEKDAY(C772,2)+4),1,3)+WEEKDAY(DATE(YEAR(C772-WEEKDAY(C772,2)+4),1,3),2)+5)/7),"00"))</f>
        <v/>
      </c>
    </row>
    <row r="773" ht="18" customHeight="1">
      <c r="A773" s="39" t="n">
        <v>768</v>
      </c>
      <c r="B773" s="33">
        <f>IF(C773="","",IF(P773="À RENSEIGNER","GIC",P773)&amp;"-V"&amp;TEXT(A773,"00000"))</f>
        <v/>
      </c>
      <c r="C773" s="32" t="n"/>
      <c r="D773" s="35" t="n"/>
      <c r="E773" s="36" t="n"/>
      <c r="F773" s="36" t="n"/>
      <c r="G773" s="36" t="n"/>
      <c r="H773" s="36" t="n"/>
      <c r="I773" s="36" t="n"/>
      <c r="J773" s="37" t="n"/>
      <c r="K773" s="32" t="n"/>
      <c r="L773" s="36" t="n"/>
      <c r="M773" s="41" t="n"/>
      <c r="N773" s="41" t="n"/>
      <c r="O773" s="36" t="n"/>
      <c r="P773" s="33">
        <f>IF(C773="","",Commercial_Id)</f>
        <v/>
      </c>
      <c r="Q773" s="39">
        <f>IF(F773="","",IFERROR(VALUE(MID(F773,LEN(F773)-3,3)),""))</f>
        <v/>
      </c>
      <c r="R773" s="33">
        <f>IF(Q773="","",P773&amp;"|"&amp;Q773)</f>
        <v/>
      </c>
      <c r="S773" s="33">
        <f>IF(Q773="","",IF(P773="À RENSEIGNER","GIC",P773)&amp;"-"&amp;TEXT(Q773,"000"))</f>
        <v/>
      </c>
      <c r="T773" s="33">
        <f>IF(R773="","",IFERROR(INDEX(Cl_nom,MATCH(R773,Cl_cle,0)),"(client introuvable)"))</f>
        <v/>
      </c>
      <c r="U773" s="33">
        <f>IF(R773="","",IFERROR(INDEX(Cl_quartier,MATCH(R773,Cl_cle,0))&amp;"",""))</f>
        <v/>
      </c>
      <c r="V773" s="34">
        <f>IF(C773="","",YEAR(C773-WEEKDAY(C773,2)+4)&amp;"-S"&amp;TEXT(INT((C773-DATE(YEAR(C773-WEEKDAY(C773,2)+4),1,3)+WEEKDAY(DATE(YEAR(C773-WEEKDAY(C773,2)+4),1,3),2)+5)/7),"00"))</f>
        <v/>
      </c>
    </row>
    <row r="774" ht="18" customHeight="1">
      <c r="A774" s="39" t="n">
        <v>769</v>
      </c>
      <c r="B774" s="33">
        <f>IF(C774="","",IF(P774="À RENSEIGNER","GIC",P774)&amp;"-V"&amp;TEXT(A774,"00000"))</f>
        <v/>
      </c>
      <c r="C774" s="32" t="n"/>
      <c r="D774" s="35" t="n"/>
      <c r="E774" s="36" t="n"/>
      <c r="F774" s="36" t="n"/>
      <c r="G774" s="36" t="n"/>
      <c r="H774" s="36" t="n"/>
      <c r="I774" s="36" t="n"/>
      <c r="J774" s="37" t="n"/>
      <c r="K774" s="32" t="n"/>
      <c r="L774" s="36" t="n"/>
      <c r="M774" s="41" t="n"/>
      <c r="N774" s="41" t="n"/>
      <c r="O774" s="36" t="n"/>
      <c r="P774" s="33">
        <f>IF(C774="","",Commercial_Id)</f>
        <v/>
      </c>
      <c r="Q774" s="39">
        <f>IF(F774="","",IFERROR(VALUE(MID(F774,LEN(F774)-3,3)),""))</f>
        <v/>
      </c>
      <c r="R774" s="33">
        <f>IF(Q774="","",P774&amp;"|"&amp;Q774)</f>
        <v/>
      </c>
      <c r="S774" s="33">
        <f>IF(Q774="","",IF(P774="À RENSEIGNER","GIC",P774)&amp;"-"&amp;TEXT(Q774,"000"))</f>
        <v/>
      </c>
      <c r="T774" s="33">
        <f>IF(R774="","",IFERROR(INDEX(Cl_nom,MATCH(R774,Cl_cle,0)),"(client introuvable)"))</f>
        <v/>
      </c>
      <c r="U774" s="33">
        <f>IF(R774="","",IFERROR(INDEX(Cl_quartier,MATCH(R774,Cl_cle,0))&amp;"",""))</f>
        <v/>
      </c>
      <c r="V774" s="34">
        <f>IF(C774="","",YEAR(C774-WEEKDAY(C774,2)+4)&amp;"-S"&amp;TEXT(INT((C774-DATE(YEAR(C774-WEEKDAY(C774,2)+4),1,3)+WEEKDAY(DATE(YEAR(C774-WEEKDAY(C774,2)+4),1,3),2)+5)/7),"00"))</f>
        <v/>
      </c>
    </row>
    <row r="775" ht="18" customHeight="1">
      <c r="A775" s="39" t="n">
        <v>770</v>
      </c>
      <c r="B775" s="33">
        <f>IF(C775="","",IF(P775="À RENSEIGNER","GIC",P775)&amp;"-V"&amp;TEXT(A775,"00000"))</f>
        <v/>
      </c>
      <c r="C775" s="32" t="n"/>
      <c r="D775" s="35" t="n"/>
      <c r="E775" s="36" t="n"/>
      <c r="F775" s="36" t="n"/>
      <c r="G775" s="36" t="n"/>
      <c r="H775" s="36" t="n"/>
      <c r="I775" s="36" t="n"/>
      <c r="J775" s="37" t="n"/>
      <c r="K775" s="32" t="n"/>
      <c r="L775" s="36" t="n"/>
      <c r="M775" s="41" t="n"/>
      <c r="N775" s="41" t="n"/>
      <c r="O775" s="36" t="n"/>
      <c r="P775" s="33">
        <f>IF(C775="","",Commercial_Id)</f>
        <v/>
      </c>
      <c r="Q775" s="39">
        <f>IF(F775="","",IFERROR(VALUE(MID(F775,LEN(F775)-3,3)),""))</f>
        <v/>
      </c>
      <c r="R775" s="33">
        <f>IF(Q775="","",P775&amp;"|"&amp;Q775)</f>
        <v/>
      </c>
      <c r="S775" s="33">
        <f>IF(Q775="","",IF(P775="À RENSEIGNER","GIC",P775)&amp;"-"&amp;TEXT(Q775,"000"))</f>
        <v/>
      </c>
      <c r="T775" s="33">
        <f>IF(R775="","",IFERROR(INDEX(Cl_nom,MATCH(R775,Cl_cle,0)),"(client introuvable)"))</f>
        <v/>
      </c>
      <c r="U775" s="33">
        <f>IF(R775="","",IFERROR(INDEX(Cl_quartier,MATCH(R775,Cl_cle,0))&amp;"",""))</f>
        <v/>
      </c>
      <c r="V775" s="34">
        <f>IF(C775="","",YEAR(C775-WEEKDAY(C775,2)+4)&amp;"-S"&amp;TEXT(INT((C775-DATE(YEAR(C775-WEEKDAY(C775,2)+4),1,3)+WEEKDAY(DATE(YEAR(C775-WEEKDAY(C775,2)+4),1,3),2)+5)/7),"00"))</f>
        <v/>
      </c>
    </row>
    <row r="776" ht="18" customHeight="1">
      <c r="A776" s="39" t="n">
        <v>771</v>
      </c>
      <c r="B776" s="33">
        <f>IF(C776="","",IF(P776="À RENSEIGNER","GIC",P776)&amp;"-V"&amp;TEXT(A776,"00000"))</f>
        <v/>
      </c>
      <c r="C776" s="32" t="n"/>
      <c r="D776" s="35" t="n"/>
      <c r="E776" s="36" t="n"/>
      <c r="F776" s="36" t="n"/>
      <c r="G776" s="36" t="n"/>
      <c r="H776" s="36" t="n"/>
      <c r="I776" s="36" t="n"/>
      <c r="J776" s="37" t="n"/>
      <c r="K776" s="32" t="n"/>
      <c r="L776" s="36" t="n"/>
      <c r="M776" s="41" t="n"/>
      <c r="N776" s="41" t="n"/>
      <c r="O776" s="36" t="n"/>
      <c r="P776" s="33">
        <f>IF(C776="","",Commercial_Id)</f>
        <v/>
      </c>
      <c r="Q776" s="39">
        <f>IF(F776="","",IFERROR(VALUE(MID(F776,LEN(F776)-3,3)),""))</f>
        <v/>
      </c>
      <c r="R776" s="33">
        <f>IF(Q776="","",P776&amp;"|"&amp;Q776)</f>
        <v/>
      </c>
      <c r="S776" s="33">
        <f>IF(Q776="","",IF(P776="À RENSEIGNER","GIC",P776)&amp;"-"&amp;TEXT(Q776,"000"))</f>
        <v/>
      </c>
      <c r="T776" s="33">
        <f>IF(R776="","",IFERROR(INDEX(Cl_nom,MATCH(R776,Cl_cle,0)),"(client introuvable)"))</f>
        <v/>
      </c>
      <c r="U776" s="33">
        <f>IF(R776="","",IFERROR(INDEX(Cl_quartier,MATCH(R776,Cl_cle,0))&amp;"",""))</f>
        <v/>
      </c>
      <c r="V776" s="34">
        <f>IF(C776="","",YEAR(C776-WEEKDAY(C776,2)+4)&amp;"-S"&amp;TEXT(INT((C776-DATE(YEAR(C776-WEEKDAY(C776,2)+4),1,3)+WEEKDAY(DATE(YEAR(C776-WEEKDAY(C776,2)+4),1,3),2)+5)/7),"00"))</f>
        <v/>
      </c>
    </row>
    <row r="777" ht="18" customHeight="1">
      <c r="A777" s="39" t="n">
        <v>772</v>
      </c>
      <c r="B777" s="33">
        <f>IF(C777="","",IF(P777="À RENSEIGNER","GIC",P777)&amp;"-V"&amp;TEXT(A777,"00000"))</f>
        <v/>
      </c>
      <c r="C777" s="32" t="n"/>
      <c r="D777" s="35" t="n"/>
      <c r="E777" s="36" t="n"/>
      <c r="F777" s="36" t="n"/>
      <c r="G777" s="36" t="n"/>
      <c r="H777" s="36" t="n"/>
      <c r="I777" s="36" t="n"/>
      <c r="J777" s="37" t="n"/>
      <c r="K777" s="32" t="n"/>
      <c r="L777" s="36" t="n"/>
      <c r="M777" s="41" t="n"/>
      <c r="N777" s="41" t="n"/>
      <c r="O777" s="36" t="n"/>
      <c r="P777" s="33">
        <f>IF(C777="","",Commercial_Id)</f>
        <v/>
      </c>
      <c r="Q777" s="39">
        <f>IF(F777="","",IFERROR(VALUE(MID(F777,LEN(F777)-3,3)),""))</f>
        <v/>
      </c>
      <c r="R777" s="33">
        <f>IF(Q777="","",P777&amp;"|"&amp;Q777)</f>
        <v/>
      </c>
      <c r="S777" s="33">
        <f>IF(Q777="","",IF(P777="À RENSEIGNER","GIC",P777)&amp;"-"&amp;TEXT(Q777,"000"))</f>
        <v/>
      </c>
      <c r="T777" s="33">
        <f>IF(R777="","",IFERROR(INDEX(Cl_nom,MATCH(R777,Cl_cle,0)),"(client introuvable)"))</f>
        <v/>
      </c>
      <c r="U777" s="33">
        <f>IF(R777="","",IFERROR(INDEX(Cl_quartier,MATCH(R777,Cl_cle,0))&amp;"",""))</f>
        <v/>
      </c>
      <c r="V777" s="34">
        <f>IF(C777="","",YEAR(C777-WEEKDAY(C777,2)+4)&amp;"-S"&amp;TEXT(INT((C777-DATE(YEAR(C777-WEEKDAY(C777,2)+4),1,3)+WEEKDAY(DATE(YEAR(C777-WEEKDAY(C777,2)+4),1,3),2)+5)/7),"00"))</f>
        <v/>
      </c>
    </row>
    <row r="778" ht="18" customHeight="1">
      <c r="A778" s="39" t="n">
        <v>773</v>
      </c>
      <c r="B778" s="33">
        <f>IF(C778="","",IF(P778="À RENSEIGNER","GIC",P778)&amp;"-V"&amp;TEXT(A778,"00000"))</f>
        <v/>
      </c>
      <c r="C778" s="32" t="n"/>
      <c r="D778" s="35" t="n"/>
      <c r="E778" s="36" t="n"/>
      <c r="F778" s="36" t="n"/>
      <c r="G778" s="36" t="n"/>
      <c r="H778" s="36" t="n"/>
      <c r="I778" s="36" t="n"/>
      <c r="J778" s="37" t="n"/>
      <c r="K778" s="32" t="n"/>
      <c r="L778" s="36" t="n"/>
      <c r="M778" s="41" t="n"/>
      <c r="N778" s="41" t="n"/>
      <c r="O778" s="36" t="n"/>
      <c r="P778" s="33">
        <f>IF(C778="","",Commercial_Id)</f>
        <v/>
      </c>
      <c r="Q778" s="39">
        <f>IF(F778="","",IFERROR(VALUE(MID(F778,LEN(F778)-3,3)),""))</f>
        <v/>
      </c>
      <c r="R778" s="33">
        <f>IF(Q778="","",P778&amp;"|"&amp;Q778)</f>
        <v/>
      </c>
      <c r="S778" s="33">
        <f>IF(Q778="","",IF(P778="À RENSEIGNER","GIC",P778)&amp;"-"&amp;TEXT(Q778,"000"))</f>
        <v/>
      </c>
      <c r="T778" s="33">
        <f>IF(R778="","",IFERROR(INDEX(Cl_nom,MATCH(R778,Cl_cle,0)),"(client introuvable)"))</f>
        <v/>
      </c>
      <c r="U778" s="33">
        <f>IF(R778="","",IFERROR(INDEX(Cl_quartier,MATCH(R778,Cl_cle,0))&amp;"",""))</f>
        <v/>
      </c>
      <c r="V778" s="34">
        <f>IF(C778="","",YEAR(C778-WEEKDAY(C778,2)+4)&amp;"-S"&amp;TEXT(INT((C778-DATE(YEAR(C778-WEEKDAY(C778,2)+4),1,3)+WEEKDAY(DATE(YEAR(C778-WEEKDAY(C778,2)+4),1,3),2)+5)/7),"00"))</f>
        <v/>
      </c>
    </row>
    <row r="779" ht="18" customHeight="1">
      <c r="A779" s="39" t="n">
        <v>774</v>
      </c>
      <c r="B779" s="33">
        <f>IF(C779="","",IF(P779="À RENSEIGNER","GIC",P779)&amp;"-V"&amp;TEXT(A779,"00000"))</f>
        <v/>
      </c>
      <c r="C779" s="32" t="n"/>
      <c r="D779" s="35" t="n"/>
      <c r="E779" s="36" t="n"/>
      <c r="F779" s="36" t="n"/>
      <c r="G779" s="36" t="n"/>
      <c r="H779" s="36" t="n"/>
      <c r="I779" s="36" t="n"/>
      <c r="J779" s="37" t="n"/>
      <c r="K779" s="32" t="n"/>
      <c r="L779" s="36" t="n"/>
      <c r="M779" s="41" t="n"/>
      <c r="N779" s="41" t="n"/>
      <c r="O779" s="36" t="n"/>
      <c r="P779" s="33">
        <f>IF(C779="","",Commercial_Id)</f>
        <v/>
      </c>
      <c r="Q779" s="39">
        <f>IF(F779="","",IFERROR(VALUE(MID(F779,LEN(F779)-3,3)),""))</f>
        <v/>
      </c>
      <c r="R779" s="33">
        <f>IF(Q779="","",P779&amp;"|"&amp;Q779)</f>
        <v/>
      </c>
      <c r="S779" s="33">
        <f>IF(Q779="","",IF(P779="À RENSEIGNER","GIC",P779)&amp;"-"&amp;TEXT(Q779,"000"))</f>
        <v/>
      </c>
      <c r="T779" s="33">
        <f>IF(R779="","",IFERROR(INDEX(Cl_nom,MATCH(R779,Cl_cle,0)),"(client introuvable)"))</f>
        <v/>
      </c>
      <c r="U779" s="33">
        <f>IF(R779="","",IFERROR(INDEX(Cl_quartier,MATCH(R779,Cl_cle,0))&amp;"",""))</f>
        <v/>
      </c>
      <c r="V779" s="34">
        <f>IF(C779="","",YEAR(C779-WEEKDAY(C779,2)+4)&amp;"-S"&amp;TEXT(INT((C779-DATE(YEAR(C779-WEEKDAY(C779,2)+4),1,3)+WEEKDAY(DATE(YEAR(C779-WEEKDAY(C779,2)+4),1,3),2)+5)/7),"00"))</f>
        <v/>
      </c>
    </row>
    <row r="780" ht="18" customHeight="1">
      <c r="A780" s="39" t="n">
        <v>775</v>
      </c>
      <c r="B780" s="33">
        <f>IF(C780="","",IF(P780="À RENSEIGNER","GIC",P780)&amp;"-V"&amp;TEXT(A780,"00000"))</f>
        <v/>
      </c>
      <c r="C780" s="32" t="n"/>
      <c r="D780" s="35" t="n"/>
      <c r="E780" s="36" t="n"/>
      <c r="F780" s="36" t="n"/>
      <c r="G780" s="36" t="n"/>
      <c r="H780" s="36" t="n"/>
      <c r="I780" s="36" t="n"/>
      <c r="J780" s="37" t="n"/>
      <c r="K780" s="32" t="n"/>
      <c r="L780" s="36" t="n"/>
      <c r="M780" s="41" t="n"/>
      <c r="N780" s="41" t="n"/>
      <c r="O780" s="36" t="n"/>
      <c r="P780" s="33">
        <f>IF(C780="","",Commercial_Id)</f>
        <v/>
      </c>
      <c r="Q780" s="39">
        <f>IF(F780="","",IFERROR(VALUE(MID(F780,LEN(F780)-3,3)),""))</f>
        <v/>
      </c>
      <c r="R780" s="33">
        <f>IF(Q780="","",P780&amp;"|"&amp;Q780)</f>
        <v/>
      </c>
      <c r="S780" s="33">
        <f>IF(Q780="","",IF(P780="À RENSEIGNER","GIC",P780)&amp;"-"&amp;TEXT(Q780,"000"))</f>
        <v/>
      </c>
      <c r="T780" s="33">
        <f>IF(R780="","",IFERROR(INDEX(Cl_nom,MATCH(R780,Cl_cle,0)),"(client introuvable)"))</f>
        <v/>
      </c>
      <c r="U780" s="33">
        <f>IF(R780="","",IFERROR(INDEX(Cl_quartier,MATCH(R780,Cl_cle,0))&amp;"",""))</f>
        <v/>
      </c>
      <c r="V780" s="34">
        <f>IF(C780="","",YEAR(C780-WEEKDAY(C780,2)+4)&amp;"-S"&amp;TEXT(INT((C780-DATE(YEAR(C780-WEEKDAY(C780,2)+4),1,3)+WEEKDAY(DATE(YEAR(C780-WEEKDAY(C780,2)+4),1,3),2)+5)/7),"00"))</f>
        <v/>
      </c>
    </row>
    <row r="781" ht="18" customHeight="1">
      <c r="A781" s="39" t="n">
        <v>776</v>
      </c>
      <c r="B781" s="33">
        <f>IF(C781="","",IF(P781="À RENSEIGNER","GIC",P781)&amp;"-V"&amp;TEXT(A781,"00000"))</f>
        <v/>
      </c>
      <c r="C781" s="32" t="n"/>
      <c r="D781" s="35" t="n"/>
      <c r="E781" s="36" t="n"/>
      <c r="F781" s="36" t="n"/>
      <c r="G781" s="36" t="n"/>
      <c r="H781" s="36" t="n"/>
      <c r="I781" s="36" t="n"/>
      <c r="J781" s="37" t="n"/>
      <c r="K781" s="32" t="n"/>
      <c r="L781" s="36" t="n"/>
      <c r="M781" s="41" t="n"/>
      <c r="N781" s="41" t="n"/>
      <c r="O781" s="36" t="n"/>
      <c r="P781" s="33">
        <f>IF(C781="","",Commercial_Id)</f>
        <v/>
      </c>
      <c r="Q781" s="39">
        <f>IF(F781="","",IFERROR(VALUE(MID(F781,LEN(F781)-3,3)),""))</f>
        <v/>
      </c>
      <c r="R781" s="33">
        <f>IF(Q781="","",P781&amp;"|"&amp;Q781)</f>
        <v/>
      </c>
      <c r="S781" s="33">
        <f>IF(Q781="","",IF(P781="À RENSEIGNER","GIC",P781)&amp;"-"&amp;TEXT(Q781,"000"))</f>
        <v/>
      </c>
      <c r="T781" s="33">
        <f>IF(R781="","",IFERROR(INDEX(Cl_nom,MATCH(R781,Cl_cle,0)),"(client introuvable)"))</f>
        <v/>
      </c>
      <c r="U781" s="33">
        <f>IF(R781="","",IFERROR(INDEX(Cl_quartier,MATCH(R781,Cl_cle,0))&amp;"",""))</f>
        <v/>
      </c>
      <c r="V781" s="34">
        <f>IF(C781="","",YEAR(C781-WEEKDAY(C781,2)+4)&amp;"-S"&amp;TEXT(INT((C781-DATE(YEAR(C781-WEEKDAY(C781,2)+4),1,3)+WEEKDAY(DATE(YEAR(C781-WEEKDAY(C781,2)+4),1,3),2)+5)/7),"00"))</f>
        <v/>
      </c>
    </row>
    <row r="782" ht="18" customHeight="1">
      <c r="A782" s="39" t="n">
        <v>777</v>
      </c>
      <c r="B782" s="33">
        <f>IF(C782="","",IF(P782="À RENSEIGNER","GIC",P782)&amp;"-V"&amp;TEXT(A782,"00000"))</f>
        <v/>
      </c>
      <c r="C782" s="32" t="n"/>
      <c r="D782" s="35" t="n"/>
      <c r="E782" s="36" t="n"/>
      <c r="F782" s="36" t="n"/>
      <c r="G782" s="36" t="n"/>
      <c r="H782" s="36" t="n"/>
      <c r="I782" s="36" t="n"/>
      <c r="J782" s="37" t="n"/>
      <c r="K782" s="32" t="n"/>
      <c r="L782" s="36" t="n"/>
      <c r="M782" s="41" t="n"/>
      <c r="N782" s="41" t="n"/>
      <c r="O782" s="36" t="n"/>
      <c r="P782" s="33">
        <f>IF(C782="","",Commercial_Id)</f>
        <v/>
      </c>
      <c r="Q782" s="39">
        <f>IF(F782="","",IFERROR(VALUE(MID(F782,LEN(F782)-3,3)),""))</f>
        <v/>
      </c>
      <c r="R782" s="33">
        <f>IF(Q782="","",P782&amp;"|"&amp;Q782)</f>
        <v/>
      </c>
      <c r="S782" s="33">
        <f>IF(Q782="","",IF(P782="À RENSEIGNER","GIC",P782)&amp;"-"&amp;TEXT(Q782,"000"))</f>
        <v/>
      </c>
      <c r="T782" s="33">
        <f>IF(R782="","",IFERROR(INDEX(Cl_nom,MATCH(R782,Cl_cle,0)),"(client introuvable)"))</f>
        <v/>
      </c>
      <c r="U782" s="33">
        <f>IF(R782="","",IFERROR(INDEX(Cl_quartier,MATCH(R782,Cl_cle,0))&amp;"",""))</f>
        <v/>
      </c>
      <c r="V782" s="34">
        <f>IF(C782="","",YEAR(C782-WEEKDAY(C782,2)+4)&amp;"-S"&amp;TEXT(INT((C782-DATE(YEAR(C782-WEEKDAY(C782,2)+4),1,3)+WEEKDAY(DATE(YEAR(C782-WEEKDAY(C782,2)+4),1,3),2)+5)/7),"00"))</f>
        <v/>
      </c>
    </row>
    <row r="783" ht="18" customHeight="1">
      <c r="A783" s="39" t="n">
        <v>778</v>
      </c>
      <c r="B783" s="33">
        <f>IF(C783="","",IF(P783="À RENSEIGNER","GIC",P783)&amp;"-V"&amp;TEXT(A783,"00000"))</f>
        <v/>
      </c>
      <c r="C783" s="32" t="n"/>
      <c r="D783" s="35" t="n"/>
      <c r="E783" s="36" t="n"/>
      <c r="F783" s="36" t="n"/>
      <c r="G783" s="36" t="n"/>
      <c r="H783" s="36" t="n"/>
      <c r="I783" s="36" t="n"/>
      <c r="J783" s="37" t="n"/>
      <c r="K783" s="32" t="n"/>
      <c r="L783" s="36" t="n"/>
      <c r="M783" s="41" t="n"/>
      <c r="N783" s="41" t="n"/>
      <c r="O783" s="36" t="n"/>
      <c r="P783" s="33">
        <f>IF(C783="","",Commercial_Id)</f>
        <v/>
      </c>
      <c r="Q783" s="39">
        <f>IF(F783="","",IFERROR(VALUE(MID(F783,LEN(F783)-3,3)),""))</f>
        <v/>
      </c>
      <c r="R783" s="33">
        <f>IF(Q783="","",P783&amp;"|"&amp;Q783)</f>
        <v/>
      </c>
      <c r="S783" s="33">
        <f>IF(Q783="","",IF(P783="À RENSEIGNER","GIC",P783)&amp;"-"&amp;TEXT(Q783,"000"))</f>
        <v/>
      </c>
      <c r="T783" s="33">
        <f>IF(R783="","",IFERROR(INDEX(Cl_nom,MATCH(R783,Cl_cle,0)),"(client introuvable)"))</f>
        <v/>
      </c>
      <c r="U783" s="33">
        <f>IF(R783="","",IFERROR(INDEX(Cl_quartier,MATCH(R783,Cl_cle,0))&amp;"",""))</f>
        <v/>
      </c>
      <c r="V783" s="34">
        <f>IF(C783="","",YEAR(C783-WEEKDAY(C783,2)+4)&amp;"-S"&amp;TEXT(INT((C783-DATE(YEAR(C783-WEEKDAY(C783,2)+4),1,3)+WEEKDAY(DATE(YEAR(C783-WEEKDAY(C783,2)+4),1,3),2)+5)/7),"00"))</f>
        <v/>
      </c>
    </row>
    <row r="784" ht="18" customHeight="1">
      <c r="A784" s="39" t="n">
        <v>779</v>
      </c>
      <c r="B784" s="33">
        <f>IF(C784="","",IF(P784="À RENSEIGNER","GIC",P784)&amp;"-V"&amp;TEXT(A784,"00000"))</f>
        <v/>
      </c>
      <c r="C784" s="32" t="n"/>
      <c r="D784" s="35" t="n"/>
      <c r="E784" s="36" t="n"/>
      <c r="F784" s="36" t="n"/>
      <c r="G784" s="36" t="n"/>
      <c r="H784" s="36" t="n"/>
      <c r="I784" s="36" t="n"/>
      <c r="J784" s="37" t="n"/>
      <c r="K784" s="32" t="n"/>
      <c r="L784" s="36" t="n"/>
      <c r="M784" s="41" t="n"/>
      <c r="N784" s="41" t="n"/>
      <c r="O784" s="36" t="n"/>
      <c r="P784" s="33">
        <f>IF(C784="","",Commercial_Id)</f>
        <v/>
      </c>
      <c r="Q784" s="39">
        <f>IF(F784="","",IFERROR(VALUE(MID(F784,LEN(F784)-3,3)),""))</f>
        <v/>
      </c>
      <c r="R784" s="33">
        <f>IF(Q784="","",P784&amp;"|"&amp;Q784)</f>
        <v/>
      </c>
      <c r="S784" s="33">
        <f>IF(Q784="","",IF(P784="À RENSEIGNER","GIC",P784)&amp;"-"&amp;TEXT(Q784,"000"))</f>
        <v/>
      </c>
      <c r="T784" s="33">
        <f>IF(R784="","",IFERROR(INDEX(Cl_nom,MATCH(R784,Cl_cle,0)),"(client introuvable)"))</f>
        <v/>
      </c>
      <c r="U784" s="33">
        <f>IF(R784="","",IFERROR(INDEX(Cl_quartier,MATCH(R784,Cl_cle,0))&amp;"",""))</f>
        <v/>
      </c>
      <c r="V784" s="34">
        <f>IF(C784="","",YEAR(C784-WEEKDAY(C784,2)+4)&amp;"-S"&amp;TEXT(INT((C784-DATE(YEAR(C784-WEEKDAY(C784,2)+4),1,3)+WEEKDAY(DATE(YEAR(C784-WEEKDAY(C784,2)+4),1,3),2)+5)/7),"00"))</f>
        <v/>
      </c>
    </row>
    <row r="785" ht="18" customHeight="1">
      <c r="A785" s="39" t="n">
        <v>780</v>
      </c>
      <c r="B785" s="33">
        <f>IF(C785="","",IF(P785="À RENSEIGNER","GIC",P785)&amp;"-V"&amp;TEXT(A785,"00000"))</f>
        <v/>
      </c>
      <c r="C785" s="32" t="n"/>
      <c r="D785" s="35" t="n"/>
      <c r="E785" s="36" t="n"/>
      <c r="F785" s="36" t="n"/>
      <c r="G785" s="36" t="n"/>
      <c r="H785" s="36" t="n"/>
      <c r="I785" s="36" t="n"/>
      <c r="J785" s="37" t="n"/>
      <c r="K785" s="32" t="n"/>
      <c r="L785" s="36" t="n"/>
      <c r="M785" s="41" t="n"/>
      <c r="N785" s="41" t="n"/>
      <c r="O785" s="36" t="n"/>
      <c r="P785" s="33">
        <f>IF(C785="","",Commercial_Id)</f>
        <v/>
      </c>
      <c r="Q785" s="39">
        <f>IF(F785="","",IFERROR(VALUE(MID(F785,LEN(F785)-3,3)),""))</f>
        <v/>
      </c>
      <c r="R785" s="33">
        <f>IF(Q785="","",P785&amp;"|"&amp;Q785)</f>
        <v/>
      </c>
      <c r="S785" s="33">
        <f>IF(Q785="","",IF(P785="À RENSEIGNER","GIC",P785)&amp;"-"&amp;TEXT(Q785,"000"))</f>
        <v/>
      </c>
      <c r="T785" s="33">
        <f>IF(R785="","",IFERROR(INDEX(Cl_nom,MATCH(R785,Cl_cle,0)),"(client introuvable)"))</f>
        <v/>
      </c>
      <c r="U785" s="33">
        <f>IF(R785="","",IFERROR(INDEX(Cl_quartier,MATCH(R785,Cl_cle,0))&amp;"",""))</f>
        <v/>
      </c>
      <c r="V785" s="34">
        <f>IF(C785="","",YEAR(C785-WEEKDAY(C785,2)+4)&amp;"-S"&amp;TEXT(INT((C785-DATE(YEAR(C785-WEEKDAY(C785,2)+4),1,3)+WEEKDAY(DATE(YEAR(C785-WEEKDAY(C785,2)+4),1,3),2)+5)/7),"00"))</f>
        <v/>
      </c>
    </row>
    <row r="786" ht="18" customHeight="1">
      <c r="A786" s="39" t="n">
        <v>781</v>
      </c>
      <c r="B786" s="33">
        <f>IF(C786="","",IF(P786="À RENSEIGNER","GIC",P786)&amp;"-V"&amp;TEXT(A786,"00000"))</f>
        <v/>
      </c>
      <c r="C786" s="32" t="n"/>
      <c r="D786" s="35" t="n"/>
      <c r="E786" s="36" t="n"/>
      <c r="F786" s="36" t="n"/>
      <c r="G786" s="36" t="n"/>
      <c r="H786" s="36" t="n"/>
      <c r="I786" s="36" t="n"/>
      <c r="J786" s="37" t="n"/>
      <c r="K786" s="32" t="n"/>
      <c r="L786" s="36" t="n"/>
      <c r="M786" s="41" t="n"/>
      <c r="N786" s="41" t="n"/>
      <c r="O786" s="36" t="n"/>
      <c r="P786" s="33">
        <f>IF(C786="","",Commercial_Id)</f>
        <v/>
      </c>
      <c r="Q786" s="39">
        <f>IF(F786="","",IFERROR(VALUE(MID(F786,LEN(F786)-3,3)),""))</f>
        <v/>
      </c>
      <c r="R786" s="33">
        <f>IF(Q786="","",P786&amp;"|"&amp;Q786)</f>
        <v/>
      </c>
      <c r="S786" s="33">
        <f>IF(Q786="","",IF(P786="À RENSEIGNER","GIC",P786)&amp;"-"&amp;TEXT(Q786,"000"))</f>
        <v/>
      </c>
      <c r="T786" s="33">
        <f>IF(R786="","",IFERROR(INDEX(Cl_nom,MATCH(R786,Cl_cle,0)),"(client introuvable)"))</f>
        <v/>
      </c>
      <c r="U786" s="33">
        <f>IF(R786="","",IFERROR(INDEX(Cl_quartier,MATCH(R786,Cl_cle,0))&amp;"",""))</f>
        <v/>
      </c>
      <c r="V786" s="34">
        <f>IF(C786="","",YEAR(C786-WEEKDAY(C786,2)+4)&amp;"-S"&amp;TEXT(INT((C786-DATE(YEAR(C786-WEEKDAY(C786,2)+4),1,3)+WEEKDAY(DATE(YEAR(C786-WEEKDAY(C786,2)+4),1,3),2)+5)/7),"00"))</f>
        <v/>
      </c>
    </row>
    <row r="787" ht="18" customHeight="1">
      <c r="A787" s="39" t="n">
        <v>782</v>
      </c>
      <c r="B787" s="33">
        <f>IF(C787="","",IF(P787="À RENSEIGNER","GIC",P787)&amp;"-V"&amp;TEXT(A787,"00000"))</f>
        <v/>
      </c>
      <c r="C787" s="32" t="n"/>
      <c r="D787" s="35" t="n"/>
      <c r="E787" s="36" t="n"/>
      <c r="F787" s="36" t="n"/>
      <c r="G787" s="36" t="n"/>
      <c r="H787" s="36" t="n"/>
      <c r="I787" s="36" t="n"/>
      <c r="J787" s="37" t="n"/>
      <c r="K787" s="32" t="n"/>
      <c r="L787" s="36" t="n"/>
      <c r="M787" s="41" t="n"/>
      <c r="N787" s="41" t="n"/>
      <c r="O787" s="36" t="n"/>
      <c r="P787" s="33">
        <f>IF(C787="","",Commercial_Id)</f>
        <v/>
      </c>
      <c r="Q787" s="39">
        <f>IF(F787="","",IFERROR(VALUE(MID(F787,LEN(F787)-3,3)),""))</f>
        <v/>
      </c>
      <c r="R787" s="33">
        <f>IF(Q787="","",P787&amp;"|"&amp;Q787)</f>
        <v/>
      </c>
      <c r="S787" s="33">
        <f>IF(Q787="","",IF(P787="À RENSEIGNER","GIC",P787)&amp;"-"&amp;TEXT(Q787,"000"))</f>
        <v/>
      </c>
      <c r="T787" s="33">
        <f>IF(R787="","",IFERROR(INDEX(Cl_nom,MATCH(R787,Cl_cle,0)),"(client introuvable)"))</f>
        <v/>
      </c>
      <c r="U787" s="33">
        <f>IF(R787="","",IFERROR(INDEX(Cl_quartier,MATCH(R787,Cl_cle,0))&amp;"",""))</f>
        <v/>
      </c>
      <c r="V787" s="34">
        <f>IF(C787="","",YEAR(C787-WEEKDAY(C787,2)+4)&amp;"-S"&amp;TEXT(INT((C787-DATE(YEAR(C787-WEEKDAY(C787,2)+4),1,3)+WEEKDAY(DATE(YEAR(C787-WEEKDAY(C787,2)+4),1,3),2)+5)/7),"00"))</f>
        <v/>
      </c>
    </row>
    <row r="788" ht="18" customHeight="1">
      <c r="A788" s="39" t="n">
        <v>783</v>
      </c>
      <c r="B788" s="33">
        <f>IF(C788="","",IF(P788="À RENSEIGNER","GIC",P788)&amp;"-V"&amp;TEXT(A788,"00000"))</f>
        <v/>
      </c>
      <c r="C788" s="32" t="n"/>
      <c r="D788" s="35" t="n"/>
      <c r="E788" s="36" t="n"/>
      <c r="F788" s="36" t="n"/>
      <c r="G788" s="36" t="n"/>
      <c r="H788" s="36" t="n"/>
      <c r="I788" s="36" t="n"/>
      <c r="J788" s="37" t="n"/>
      <c r="K788" s="32" t="n"/>
      <c r="L788" s="36" t="n"/>
      <c r="M788" s="41" t="n"/>
      <c r="N788" s="41" t="n"/>
      <c r="O788" s="36" t="n"/>
      <c r="P788" s="33">
        <f>IF(C788="","",Commercial_Id)</f>
        <v/>
      </c>
      <c r="Q788" s="39">
        <f>IF(F788="","",IFERROR(VALUE(MID(F788,LEN(F788)-3,3)),""))</f>
        <v/>
      </c>
      <c r="R788" s="33">
        <f>IF(Q788="","",P788&amp;"|"&amp;Q788)</f>
        <v/>
      </c>
      <c r="S788" s="33">
        <f>IF(Q788="","",IF(P788="À RENSEIGNER","GIC",P788)&amp;"-"&amp;TEXT(Q788,"000"))</f>
        <v/>
      </c>
      <c r="T788" s="33">
        <f>IF(R788="","",IFERROR(INDEX(Cl_nom,MATCH(R788,Cl_cle,0)),"(client introuvable)"))</f>
        <v/>
      </c>
      <c r="U788" s="33">
        <f>IF(R788="","",IFERROR(INDEX(Cl_quartier,MATCH(R788,Cl_cle,0))&amp;"",""))</f>
        <v/>
      </c>
      <c r="V788" s="34">
        <f>IF(C788="","",YEAR(C788-WEEKDAY(C788,2)+4)&amp;"-S"&amp;TEXT(INT((C788-DATE(YEAR(C788-WEEKDAY(C788,2)+4),1,3)+WEEKDAY(DATE(YEAR(C788-WEEKDAY(C788,2)+4),1,3),2)+5)/7),"00"))</f>
        <v/>
      </c>
    </row>
    <row r="789" ht="18" customHeight="1">
      <c r="A789" s="39" t="n">
        <v>784</v>
      </c>
      <c r="B789" s="33">
        <f>IF(C789="","",IF(P789="À RENSEIGNER","GIC",P789)&amp;"-V"&amp;TEXT(A789,"00000"))</f>
        <v/>
      </c>
      <c r="C789" s="32" t="n"/>
      <c r="D789" s="35" t="n"/>
      <c r="E789" s="36" t="n"/>
      <c r="F789" s="36" t="n"/>
      <c r="G789" s="36" t="n"/>
      <c r="H789" s="36" t="n"/>
      <c r="I789" s="36" t="n"/>
      <c r="J789" s="37" t="n"/>
      <c r="K789" s="32" t="n"/>
      <c r="L789" s="36" t="n"/>
      <c r="M789" s="41" t="n"/>
      <c r="N789" s="41" t="n"/>
      <c r="O789" s="36" t="n"/>
      <c r="P789" s="33">
        <f>IF(C789="","",Commercial_Id)</f>
        <v/>
      </c>
      <c r="Q789" s="39">
        <f>IF(F789="","",IFERROR(VALUE(MID(F789,LEN(F789)-3,3)),""))</f>
        <v/>
      </c>
      <c r="R789" s="33">
        <f>IF(Q789="","",P789&amp;"|"&amp;Q789)</f>
        <v/>
      </c>
      <c r="S789" s="33">
        <f>IF(Q789="","",IF(P789="À RENSEIGNER","GIC",P789)&amp;"-"&amp;TEXT(Q789,"000"))</f>
        <v/>
      </c>
      <c r="T789" s="33">
        <f>IF(R789="","",IFERROR(INDEX(Cl_nom,MATCH(R789,Cl_cle,0)),"(client introuvable)"))</f>
        <v/>
      </c>
      <c r="U789" s="33">
        <f>IF(R789="","",IFERROR(INDEX(Cl_quartier,MATCH(R789,Cl_cle,0))&amp;"",""))</f>
        <v/>
      </c>
      <c r="V789" s="34">
        <f>IF(C789="","",YEAR(C789-WEEKDAY(C789,2)+4)&amp;"-S"&amp;TEXT(INT((C789-DATE(YEAR(C789-WEEKDAY(C789,2)+4),1,3)+WEEKDAY(DATE(YEAR(C789-WEEKDAY(C789,2)+4),1,3),2)+5)/7),"00"))</f>
        <v/>
      </c>
    </row>
    <row r="790" ht="18" customHeight="1">
      <c r="A790" s="39" t="n">
        <v>785</v>
      </c>
      <c r="B790" s="33">
        <f>IF(C790="","",IF(P790="À RENSEIGNER","GIC",P790)&amp;"-V"&amp;TEXT(A790,"00000"))</f>
        <v/>
      </c>
      <c r="C790" s="32" t="n"/>
      <c r="D790" s="35" t="n"/>
      <c r="E790" s="36" t="n"/>
      <c r="F790" s="36" t="n"/>
      <c r="G790" s="36" t="n"/>
      <c r="H790" s="36" t="n"/>
      <c r="I790" s="36" t="n"/>
      <c r="J790" s="37" t="n"/>
      <c r="K790" s="32" t="n"/>
      <c r="L790" s="36" t="n"/>
      <c r="M790" s="41" t="n"/>
      <c r="N790" s="41" t="n"/>
      <c r="O790" s="36" t="n"/>
      <c r="P790" s="33">
        <f>IF(C790="","",Commercial_Id)</f>
        <v/>
      </c>
      <c r="Q790" s="39">
        <f>IF(F790="","",IFERROR(VALUE(MID(F790,LEN(F790)-3,3)),""))</f>
        <v/>
      </c>
      <c r="R790" s="33">
        <f>IF(Q790="","",P790&amp;"|"&amp;Q790)</f>
        <v/>
      </c>
      <c r="S790" s="33">
        <f>IF(Q790="","",IF(P790="À RENSEIGNER","GIC",P790)&amp;"-"&amp;TEXT(Q790,"000"))</f>
        <v/>
      </c>
      <c r="T790" s="33">
        <f>IF(R790="","",IFERROR(INDEX(Cl_nom,MATCH(R790,Cl_cle,0)),"(client introuvable)"))</f>
        <v/>
      </c>
      <c r="U790" s="33">
        <f>IF(R790="","",IFERROR(INDEX(Cl_quartier,MATCH(R790,Cl_cle,0))&amp;"",""))</f>
        <v/>
      </c>
      <c r="V790" s="34">
        <f>IF(C790="","",YEAR(C790-WEEKDAY(C790,2)+4)&amp;"-S"&amp;TEXT(INT((C790-DATE(YEAR(C790-WEEKDAY(C790,2)+4),1,3)+WEEKDAY(DATE(YEAR(C790-WEEKDAY(C790,2)+4),1,3),2)+5)/7),"00"))</f>
        <v/>
      </c>
    </row>
    <row r="791" ht="18" customHeight="1">
      <c r="A791" s="39" t="n">
        <v>786</v>
      </c>
      <c r="B791" s="33">
        <f>IF(C791="","",IF(P791="À RENSEIGNER","GIC",P791)&amp;"-V"&amp;TEXT(A791,"00000"))</f>
        <v/>
      </c>
      <c r="C791" s="32" t="n"/>
      <c r="D791" s="35" t="n"/>
      <c r="E791" s="36" t="n"/>
      <c r="F791" s="36" t="n"/>
      <c r="G791" s="36" t="n"/>
      <c r="H791" s="36" t="n"/>
      <c r="I791" s="36" t="n"/>
      <c r="J791" s="37" t="n"/>
      <c r="K791" s="32" t="n"/>
      <c r="L791" s="36" t="n"/>
      <c r="M791" s="41" t="n"/>
      <c r="N791" s="41" t="n"/>
      <c r="O791" s="36" t="n"/>
      <c r="P791" s="33">
        <f>IF(C791="","",Commercial_Id)</f>
        <v/>
      </c>
      <c r="Q791" s="39">
        <f>IF(F791="","",IFERROR(VALUE(MID(F791,LEN(F791)-3,3)),""))</f>
        <v/>
      </c>
      <c r="R791" s="33">
        <f>IF(Q791="","",P791&amp;"|"&amp;Q791)</f>
        <v/>
      </c>
      <c r="S791" s="33">
        <f>IF(Q791="","",IF(P791="À RENSEIGNER","GIC",P791)&amp;"-"&amp;TEXT(Q791,"000"))</f>
        <v/>
      </c>
      <c r="T791" s="33">
        <f>IF(R791="","",IFERROR(INDEX(Cl_nom,MATCH(R791,Cl_cle,0)),"(client introuvable)"))</f>
        <v/>
      </c>
      <c r="U791" s="33">
        <f>IF(R791="","",IFERROR(INDEX(Cl_quartier,MATCH(R791,Cl_cle,0))&amp;"",""))</f>
        <v/>
      </c>
      <c r="V791" s="34">
        <f>IF(C791="","",YEAR(C791-WEEKDAY(C791,2)+4)&amp;"-S"&amp;TEXT(INT((C791-DATE(YEAR(C791-WEEKDAY(C791,2)+4),1,3)+WEEKDAY(DATE(YEAR(C791-WEEKDAY(C791,2)+4),1,3),2)+5)/7),"00"))</f>
        <v/>
      </c>
    </row>
    <row r="792" ht="18" customHeight="1">
      <c r="A792" s="39" t="n">
        <v>787</v>
      </c>
      <c r="B792" s="33">
        <f>IF(C792="","",IF(P792="À RENSEIGNER","GIC",P792)&amp;"-V"&amp;TEXT(A792,"00000"))</f>
        <v/>
      </c>
      <c r="C792" s="32" t="n"/>
      <c r="D792" s="35" t="n"/>
      <c r="E792" s="36" t="n"/>
      <c r="F792" s="36" t="n"/>
      <c r="G792" s="36" t="n"/>
      <c r="H792" s="36" t="n"/>
      <c r="I792" s="36" t="n"/>
      <c r="J792" s="37" t="n"/>
      <c r="K792" s="32" t="n"/>
      <c r="L792" s="36" t="n"/>
      <c r="M792" s="41" t="n"/>
      <c r="N792" s="41" t="n"/>
      <c r="O792" s="36" t="n"/>
      <c r="P792" s="33">
        <f>IF(C792="","",Commercial_Id)</f>
        <v/>
      </c>
      <c r="Q792" s="39">
        <f>IF(F792="","",IFERROR(VALUE(MID(F792,LEN(F792)-3,3)),""))</f>
        <v/>
      </c>
      <c r="R792" s="33">
        <f>IF(Q792="","",P792&amp;"|"&amp;Q792)</f>
        <v/>
      </c>
      <c r="S792" s="33">
        <f>IF(Q792="","",IF(P792="À RENSEIGNER","GIC",P792)&amp;"-"&amp;TEXT(Q792,"000"))</f>
        <v/>
      </c>
      <c r="T792" s="33">
        <f>IF(R792="","",IFERROR(INDEX(Cl_nom,MATCH(R792,Cl_cle,0)),"(client introuvable)"))</f>
        <v/>
      </c>
      <c r="U792" s="33">
        <f>IF(R792="","",IFERROR(INDEX(Cl_quartier,MATCH(R792,Cl_cle,0))&amp;"",""))</f>
        <v/>
      </c>
      <c r="V792" s="34">
        <f>IF(C792="","",YEAR(C792-WEEKDAY(C792,2)+4)&amp;"-S"&amp;TEXT(INT((C792-DATE(YEAR(C792-WEEKDAY(C792,2)+4),1,3)+WEEKDAY(DATE(YEAR(C792-WEEKDAY(C792,2)+4),1,3),2)+5)/7),"00"))</f>
        <v/>
      </c>
    </row>
    <row r="793" ht="18" customHeight="1">
      <c r="A793" s="39" t="n">
        <v>788</v>
      </c>
      <c r="B793" s="33">
        <f>IF(C793="","",IF(P793="À RENSEIGNER","GIC",P793)&amp;"-V"&amp;TEXT(A793,"00000"))</f>
        <v/>
      </c>
      <c r="C793" s="32" t="n"/>
      <c r="D793" s="35" t="n"/>
      <c r="E793" s="36" t="n"/>
      <c r="F793" s="36" t="n"/>
      <c r="G793" s="36" t="n"/>
      <c r="H793" s="36" t="n"/>
      <c r="I793" s="36" t="n"/>
      <c r="J793" s="37" t="n"/>
      <c r="K793" s="32" t="n"/>
      <c r="L793" s="36" t="n"/>
      <c r="M793" s="41" t="n"/>
      <c r="N793" s="41" t="n"/>
      <c r="O793" s="36" t="n"/>
      <c r="P793" s="33">
        <f>IF(C793="","",Commercial_Id)</f>
        <v/>
      </c>
      <c r="Q793" s="39">
        <f>IF(F793="","",IFERROR(VALUE(MID(F793,LEN(F793)-3,3)),""))</f>
        <v/>
      </c>
      <c r="R793" s="33">
        <f>IF(Q793="","",P793&amp;"|"&amp;Q793)</f>
        <v/>
      </c>
      <c r="S793" s="33">
        <f>IF(Q793="","",IF(P793="À RENSEIGNER","GIC",P793)&amp;"-"&amp;TEXT(Q793,"000"))</f>
        <v/>
      </c>
      <c r="T793" s="33">
        <f>IF(R793="","",IFERROR(INDEX(Cl_nom,MATCH(R793,Cl_cle,0)),"(client introuvable)"))</f>
        <v/>
      </c>
      <c r="U793" s="33">
        <f>IF(R793="","",IFERROR(INDEX(Cl_quartier,MATCH(R793,Cl_cle,0))&amp;"",""))</f>
        <v/>
      </c>
      <c r="V793" s="34">
        <f>IF(C793="","",YEAR(C793-WEEKDAY(C793,2)+4)&amp;"-S"&amp;TEXT(INT((C793-DATE(YEAR(C793-WEEKDAY(C793,2)+4),1,3)+WEEKDAY(DATE(YEAR(C793-WEEKDAY(C793,2)+4),1,3),2)+5)/7),"00"))</f>
        <v/>
      </c>
    </row>
    <row r="794" ht="18" customHeight="1">
      <c r="A794" s="39" t="n">
        <v>789</v>
      </c>
      <c r="B794" s="33">
        <f>IF(C794="","",IF(P794="À RENSEIGNER","GIC",P794)&amp;"-V"&amp;TEXT(A794,"00000"))</f>
        <v/>
      </c>
      <c r="C794" s="32" t="n"/>
      <c r="D794" s="35" t="n"/>
      <c r="E794" s="36" t="n"/>
      <c r="F794" s="36" t="n"/>
      <c r="G794" s="36" t="n"/>
      <c r="H794" s="36" t="n"/>
      <c r="I794" s="36" t="n"/>
      <c r="J794" s="37" t="n"/>
      <c r="K794" s="32" t="n"/>
      <c r="L794" s="36" t="n"/>
      <c r="M794" s="41" t="n"/>
      <c r="N794" s="41" t="n"/>
      <c r="O794" s="36" t="n"/>
      <c r="P794" s="33">
        <f>IF(C794="","",Commercial_Id)</f>
        <v/>
      </c>
      <c r="Q794" s="39">
        <f>IF(F794="","",IFERROR(VALUE(MID(F794,LEN(F794)-3,3)),""))</f>
        <v/>
      </c>
      <c r="R794" s="33">
        <f>IF(Q794="","",P794&amp;"|"&amp;Q794)</f>
        <v/>
      </c>
      <c r="S794" s="33">
        <f>IF(Q794="","",IF(P794="À RENSEIGNER","GIC",P794)&amp;"-"&amp;TEXT(Q794,"000"))</f>
        <v/>
      </c>
      <c r="T794" s="33">
        <f>IF(R794="","",IFERROR(INDEX(Cl_nom,MATCH(R794,Cl_cle,0)),"(client introuvable)"))</f>
        <v/>
      </c>
      <c r="U794" s="33">
        <f>IF(R794="","",IFERROR(INDEX(Cl_quartier,MATCH(R794,Cl_cle,0))&amp;"",""))</f>
        <v/>
      </c>
      <c r="V794" s="34">
        <f>IF(C794="","",YEAR(C794-WEEKDAY(C794,2)+4)&amp;"-S"&amp;TEXT(INT((C794-DATE(YEAR(C794-WEEKDAY(C794,2)+4),1,3)+WEEKDAY(DATE(YEAR(C794-WEEKDAY(C794,2)+4),1,3),2)+5)/7),"00"))</f>
        <v/>
      </c>
    </row>
    <row r="795" ht="18" customHeight="1">
      <c r="A795" s="39" t="n">
        <v>790</v>
      </c>
      <c r="B795" s="33">
        <f>IF(C795="","",IF(P795="À RENSEIGNER","GIC",P795)&amp;"-V"&amp;TEXT(A795,"00000"))</f>
        <v/>
      </c>
      <c r="C795" s="32" t="n"/>
      <c r="D795" s="35" t="n"/>
      <c r="E795" s="36" t="n"/>
      <c r="F795" s="36" t="n"/>
      <c r="G795" s="36" t="n"/>
      <c r="H795" s="36" t="n"/>
      <c r="I795" s="36" t="n"/>
      <c r="J795" s="37" t="n"/>
      <c r="K795" s="32" t="n"/>
      <c r="L795" s="36" t="n"/>
      <c r="M795" s="41" t="n"/>
      <c r="N795" s="41" t="n"/>
      <c r="O795" s="36" t="n"/>
      <c r="P795" s="33">
        <f>IF(C795="","",Commercial_Id)</f>
        <v/>
      </c>
      <c r="Q795" s="39">
        <f>IF(F795="","",IFERROR(VALUE(MID(F795,LEN(F795)-3,3)),""))</f>
        <v/>
      </c>
      <c r="R795" s="33">
        <f>IF(Q795="","",P795&amp;"|"&amp;Q795)</f>
        <v/>
      </c>
      <c r="S795" s="33">
        <f>IF(Q795="","",IF(P795="À RENSEIGNER","GIC",P795)&amp;"-"&amp;TEXT(Q795,"000"))</f>
        <v/>
      </c>
      <c r="T795" s="33">
        <f>IF(R795="","",IFERROR(INDEX(Cl_nom,MATCH(R795,Cl_cle,0)),"(client introuvable)"))</f>
        <v/>
      </c>
      <c r="U795" s="33">
        <f>IF(R795="","",IFERROR(INDEX(Cl_quartier,MATCH(R795,Cl_cle,0))&amp;"",""))</f>
        <v/>
      </c>
      <c r="V795" s="34">
        <f>IF(C795="","",YEAR(C795-WEEKDAY(C795,2)+4)&amp;"-S"&amp;TEXT(INT((C795-DATE(YEAR(C795-WEEKDAY(C795,2)+4),1,3)+WEEKDAY(DATE(YEAR(C795-WEEKDAY(C795,2)+4),1,3),2)+5)/7),"00"))</f>
        <v/>
      </c>
    </row>
    <row r="796" ht="18" customHeight="1">
      <c r="A796" s="39" t="n">
        <v>791</v>
      </c>
      <c r="B796" s="33">
        <f>IF(C796="","",IF(P796="À RENSEIGNER","GIC",P796)&amp;"-V"&amp;TEXT(A796,"00000"))</f>
        <v/>
      </c>
      <c r="C796" s="32" t="n"/>
      <c r="D796" s="35" t="n"/>
      <c r="E796" s="36" t="n"/>
      <c r="F796" s="36" t="n"/>
      <c r="G796" s="36" t="n"/>
      <c r="H796" s="36" t="n"/>
      <c r="I796" s="36" t="n"/>
      <c r="J796" s="37" t="n"/>
      <c r="K796" s="32" t="n"/>
      <c r="L796" s="36" t="n"/>
      <c r="M796" s="41" t="n"/>
      <c r="N796" s="41" t="n"/>
      <c r="O796" s="36" t="n"/>
      <c r="P796" s="33">
        <f>IF(C796="","",Commercial_Id)</f>
        <v/>
      </c>
      <c r="Q796" s="39">
        <f>IF(F796="","",IFERROR(VALUE(MID(F796,LEN(F796)-3,3)),""))</f>
        <v/>
      </c>
      <c r="R796" s="33">
        <f>IF(Q796="","",P796&amp;"|"&amp;Q796)</f>
        <v/>
      </c>
      <c r="S796" s="33">
        <f>IF(Q796="","",IF(P796="À RENSEIGNER","GIC",P796)&amp;"-"&amp;TEXT(Q796,"000"))</f>
        <v/>
      </c>
      <c r="T796" s="33">
        <f>IF(R796="","",IFERROR(INDEX(Cl_nom,MATCH(R796,Cl_cle,0)),"(client introuvable)"))</f>
        <v/>
      </c>
      <c r="U796" s="33">
        <f>IF(R796="","",IFERROR(INDEX(Cl_quartier,MATCH(R796,Cl_cle,0))&amp;"",""))</f>
        <v/>
      </c>
      <c r="V796" s="34">
        <f>IF(C796="","",YEAR(C796-WEEKDAY(C796,2)+4)&amp;"-S"&amp;TEXT(INT((C796-DATE(YEAR(C796-WEEKDAY(C796,2)+4),1,3)+WEEKDAY(DATE(YEAR(C796-WEEKDAY(C796,2)+4),1,3),2)+5)/7),"00"))</f>
        <v/>
      </c>
    </row>
    <row r="797" ht="18" customHeight="1">
      <c r="A797" s="39" t="n">
        <v>792</v>
      </c>
      <c r="B797" s="33">
        <f>IF(C797="","",IF(P797="À RENSEIGNER","GIC",P797)&amp;"-V"&amp;TEXT(A797,"00000"))</f>
        <v/>
      </c>
      <c r="C797" s="32" t="n"/>
      <c r="D797" s="35" t="n"/>
      <c r="E797" s="36" t="n"/>
      <c r="F797" s="36" t="n"/>
      <c r="G797" s="36" t="n"/>
      <c r="H797" s="36" t="n"/>
      <c r="I797" s="36" t="n"/>
      <c r="J797" s="37" t="n"/>
      <c r="K797" s="32" t="n"/>
      <c r="L797" s="36" t="n"/>
      <c r="M797" s="41" t="n"/>
      <c r="N797" s="41" t="n"/>
      <c r="O797" s="36" t="n"/>
      <c r="P797" s="33">
        <f>IF(C797="","",Commercial_Id)</f>
        <v/>
      </c>
      <c r="Q797" s="39">
        <f>IF(F797="","",IFERROR(VALUE(MID(F797,LEN(F797)-3,3)),""))</f>
        <v/>
      </c>
      <c r="R797" s="33">
        <f>IF(Q797="","",P797&amp;"|"&amp;Q797)</f>
        <v/>
      </c>
      <c r="S797" s="33">
        <f>IF(Q797="","",IF(P797="À RENSEIGNER","GIC",P797)&amp;"-"&amp;TEXT(Q797,"000"))</f>
        <v/>
      </c>
      <c r="T797" s="33">
        <f>IF(R797="","",IFERROR(INDEX(Cl_nom,MATCH(R797,Cl_cle,0)),"(client introuvable)"))</f>
        <v/>
      </c>
      <c r="U797" s="33">
        <f>IF(R797="","",IFERROR(INDEX(Cl_quartier,MATCH(R797,Cl_cle,0))&amp;"",""))</f>
        <v/>
      </c>
      <c r="V797" s="34">
        <f>IF(C797="","",YEAR(C797-WEEKDAY(C797,2)+4)&amp;"-S"&amp;TEXT(INT((C797-DATE(YEAR(C797-WEEKDAY(C797,2)+4),1,3)+WEEKDAY(DATE(YEAR(C797-WEEKDAY(C797,2)+4),1,3),2)+5)/7),"00"))</f>
        <v/>
      </c>
    </row>
    <row r="798" ht="18" customHeight="1">
      <c r="A798" s="39" t="n">
        <v>793</v>
      </c>
      <c r="B798" s="33">
        <f>IF(C798="","",IF(P798="À RENSEIGNER","GIC",P798)&amp;"-V"&amp;TEXT(A798,"00000"))</f>
        <v/>
      </c>
      <c r="C798" s="32" t="n"/>
      <c r="D798" s="35" t="n"/>
      <c r="E798" s="36" t="n"/>
      <c r="F798" s="36" t="n"/>
      <c r="G798" s="36" t="n"/>
      <c r="H798" s="36" t="n"/>
      <c r="I798" s="36" t="n"/>
      <c r="J798" s="37" t="n"/>
      <c r="K798" s="32" t="n"/>
      <c r="L798" s="36" t="n"/>
      <c r="M798" s="41" t="n"/>
      <c r="N798" s="41" t="n"/>
      <c r="O798" s="36" t="n"/>
      <c r="P798" s="33">
        <f>IF(C798="","",Commercial_Id)</f>
        <v/>
      </c>
      <c r="Q798" s="39">
        <f>IF(F798="","",IFERROR(VALUE(MID(F798,LEN(F798)-3,3)),""))</f>
        <v/>
      </c>
      <c r="R798" s="33">
        <f>IF(Q798="","",P798&amp;"|"&amp;Q798)</f>
        <v/>
      </c>
      <c r="S798" s="33">
        <f>IF(Q798="","",IF(P798="À RENSEIGNER","GIC",P798)&amp;"-"&amp;TEXT(Q798,"000"))</f>
        <v/>
      </c>
      <c r="T798" s="33">
        <f>IF(R798="","",IFERROR(INDEX(Cl_nom,MATCH(R798,Cl_cle,0)),"(client introuvable)"))</f>
        <v/>
      </c>
      <c r="U798" s="33">
        <f>IF(R798="","",IFERROR(INDEX(Cl_quartier,MATCH(R798,Cl_cle,0))&amp;"",""))</f>
        <v/>
      </c>
      <c r="V798" s="34">
        <f>IF(C798="","",YEAR(C798-WEEKDAY(C798,2)+4)&amp;"-S"&amp;TEXT(INT((C798-DATE(YEAR(C798-WEEKDAY(C798,2)+4),1,3)+WEEKDAY(DATE(YEAR(C798-WEEKDAY(C798,2)+4),1,3),2)+5)/7),"00"))</f>
        <v/>
      </c>
    </row>
    <row r="799" ht="18" customHeight="1">
      <c r="A799" s="39" t="n">
        <v>794</v>
      </c>
      <c r="B799" s="33">
        <f>IF(C799="","",IF(P799="À RENSEIGNER","GIC",P799)&amp;"-V"&amp;TEXT(A799,"00000"))</f>
        <v/>
      </c>
      <c r="C799" s="32" t="n"/>
      <c r="D799" s="35" t="n"/>
      <c r="E799" s="36" t="n"/>
      <c r="F799" s="36" t="n"/>
      <c r="G799" s="36" t="n"/>
      <c r="H799" s="36" t="n"/>
      <c r="I799" s="36" t="n"/>
      <c r="J799" s="37" t="n"/>
      <c r="K799" s="32" t="n"/>
      <c r="L799" s="36" t="n"/>
      <c r="M799" s="41" t="n"/>
      <c r="N799" s="41" t="n"/>
      <c r="O799" s="36" t="n"/>
      <c r="P799" s="33">
        <f>IF(C799="","",Commercial_Id)</f>
        <v/>
      </c>
      <c r="Q799" s="39">
        <f>IF(F799="","",IFERROR(VALUE(MID(F799,LEN(F799)-3,3)),""))</f>
        <v/>
      </c>
      <c r="R799" s="33">
        <f>IF(Q799="","",P799&amp;"|"&amp;Q799)</f>
        <v/>
      </c>
      <c r="S799" s="33">
        <f>IF(Q799="","",IF(P799="À RENSEIGNER","GIC",P799)&amp;"-"&amp;TEXT(Q799,"000"))</f>
        <v/>
      </c>
      <c r="T799" s="33">
        <f>IF(R799="","",IFERROR(INDEX(Cl_nom,MATCH(R799,Cl_cle,0)),"(client introuvable)"))</f>
        <v/>
      </c>
      <c r="U799" s="33">
        <f>IF(R799="","",IFERROR(INDEX(Cl_quartier,MATCH(R799,Cl_cle,0))&amp;"",""))</f>
        <v/>
      </c>
      <c r="V799" s="34">
        <f>IF(C799="","",YEAR(C799-WEEKDAY(C799,2)+4)&amp;"-S"&amp;TEXT(INT((C799-DATE(YEAR(C799-WEEKDAY(C799,2)+4),1,3)+WEEKDAY(DATE(YEAR(C799-WEEKDAY(C799,2)+4),1,3),2)+5)/7),"00"))</f>
        <v/>
      </c>
    </row>
    <row r="800" ht="18" customHeight="1">
      <c r="A800" s="39" t="n">
        <v>795</v>
      </c>
      <c r="B800" s="33">
        <f>IF(C800="","",IF(P800="À RENSEIGNER","GIC",P800)&amp;"-V"&amp;TEXT(A800,"00000"))</f>
        <v/>
      </c>
      <c r="C800" s="32" t="n"/>
      <c r="D800" s="35" t="n"/>
      <c r="E800" s="36" t="n"/>
      <c r="F800" s="36" t="n"/>
      <c r="G800" s="36" t="n"/>
      <c r="H800" s="36" t="n"/>
      <c r="I800" s="36" t="n"/>
      <c r="J800" s="37" t="n"/>
      <c r="K800" s="32" t="n"/>
      <c r="L800" s="36" t="n"/>
      <c r="M800" s="41" t="n"/>
      <c r="N800" s="41" t="n"/>
      <c r="O800" s="36" t="n"/>
      <c r="P800" s="33">
        <f>IF(C800="","",Commercial_Id)</f>
        <v/>
      </c>
      <c r="Q800" s="39">
        <f>IF(F800="","",IFERROR(VALUE(MID(F800,LEN(F800)-3,3)),""))</f>
        <v/>
      </c>
      <c r="R800" s="33">
        <f>IF(Q800="","",P800&amp;"|"&amp;Q800)</f>
        <v/>
      </c>
      <c r="S800" s="33">
        <f>IF(Q800="","",IF(P800="À RENSEIGNER","GIC",P800)&amp;"-"&amp;TEXT(Q800,"000"))</f>
        <v/>
      </c>
      <c r="T800" s="33">
        <f>IF(R800="","",IFERROR(INDEX(Cl_nom,MATCH(R800,Cl_cle,0)),"(client introuvable)"))</f>
        <v/>
      </c>
      <c r="U800" s="33">
        <f>IF(R800="","",IFERROR(INDEX(Cl_quartier,MATCH(R800,Cl_cle,0))&amp;"",""))</f>
        <v/>
      </c>
      <c r="V800" s="34">
        <f>IF(C800="","",YEAR(C800-WEEKDAY(C800,2)+4)&amp;"-S"&amp;TEXT(INT((C800-DATE(YEAR(C800-WEEKDAY(C800,2)+4),1,3)+WEEKDAY(DATE(YEAR(C800-WEEKDAY(C800,2)+4),1,3),2)+5)/7),"00"))</f>
        <v/>
      </c>
    </row>
    <row r="801" ht="18" customHeight="1">
      <c r="A801" s="39" t="n">
        <v>796</v>
      </c>
      <c r="B801" s="33">
        <f>IF(C801="","",IF(P801="À RENSEIGNER","GIC",P801)&amp;"-V"&amp;TEXT(A801,"00000"))</f>
        <v/>
      </c>
      <c r="C801" s="32" t="n"/>
      <c r="D801" s="35" t="n"/>
      <c r="E801" s="36" t="n"/>
      <c r="F801" s="36" t="n"/>
      <c r="G801" s="36" t="n"/>
      <c r="H801" s="36" t="n"/>
      <c r="I801" s="36" t="n"/>
      <c r="J801" s="37" t="n"/>
      <c r="K801" s="32" t="n"/>
      <c r="L801" s="36" t="n"/>
      <c r="M801" s="41" t="n"/>
      <c r="N801" s="41" t="n"/>
      <c r="O801" s="36" t="n"/>
      <c r="P801" s="33">
        <f>IF(C801="","",Commercial_Id)</f>
        <v/>
      </c>
      <c r="Q801" s="39">
        <f>IF(F801="","",IFERROR(VALUE(MID(F801,LEN(F801)-3,3)),""))</f>
        <v/>
      </c>
      <c r="R801" s="33">
        <f>IF(Q801="","",P801&amp;"|"&amp;Q801)</f>
        <v/>
      </c>
      <c r="S801" s="33">
        <f>IF(Q801="","",IF(P801="À RENSEIGNER","GIC",P801)&amp;"-"&amp;TEXT(Q801,"000"))</f>
        <v/>
      </c>
      <c r="T801" s="33">
        <f>IF(R801="","",IFERROR(INDEX(Cl_nom,MATCH(R801,Cl_cle,0)),"(client introuvable)"))</f>
        <v/>
      </c>
      <c r="U801" s="33">
        <f>IF(R801="","",IFERROR(INDEX(Cl_quartier,MATCH(R801,Cl_cle,0))&amp;"",""))</f>
        <v/>
      </c>
      <c r="V801" s="34">
        <f>IF(C801="","",YEAR(C801-WEEKDAY(C801,2)+4)&amp;"-S"&amp;TEXT(INT((C801-DATE(YEAR(C801-WEEKDAY(C801,2)+4),1,3)+WEEKDAY(DATE(YEAR(C801-WEEKDAY(C801,2)+4),1,3),2)+5)/7),"00"))</f>
        <v/>
      </c>
    </row>
    <row r="802" ht="18" customHeight="1">
      <c r="A802" s="39" t="n">
        <v>797</v>
      </c>
      <c r="B802" s="33">
        <f>IF(C802="","",IF(P802="À RENSEIGNER","GIC",P802)&amp;"-V"&amp;TEXT(A802,"00000"))</f>
        <v/>
      </c>
      <c r="C802" s="32" t="n"/>
      <c r="D802" s="35" t="n"/>
      <c r="E802" s="36" t="n"/>
      <c r="F802" s="36" t="n"/>
      <c r="G802" s="36" t="n"/>
      <c r="H802" s="36" t="n"/>
      <c r="I802" s="36" t="n"/>
      <c r="J802" s="37" t="n"/>
      <c r="K802" s="32" t="n"/>
      <c r="L802" s="36" t="n"/>
      <c r="M802" s="41" t="n"/>
      <c r="N802" s="41" t="n"/>
      <c r="O802" s="36" t="n"/>
      <c r="P802" s="33">
        <f>IF(C802="","",Commercial_Id)</f>
        <v/>
      </c>
      <c r="Q802" s="39">
        <f>IF(F802="","",IFERROR(VALUE(MID(F802,LEN(F802)-3,3)),""))</f>
        <v/>
      </c>
      <c r="R802" s="33">
        <f>IF(Q802="","",P802&amp;"|"&amp;Q802)</f>
        <v/>
      </c>
      <c r="S802" s="33">
        <f>IF(Q802="","",IF(P802="À RENSEIGNER","GIC",P802)&amp;"-"&amp;TEXT(Q802,"000"))</f>
        <v/>
      </c>
      <c r="T802" s="33">
        <f>IF(R802="","",IFERROR(INDEX(Cl_nom,MATCH(R802,Cl_cle,0)),"(client introuvable)"))</f>
        <v/>
      </c>
      <c r="U802" s="33">
        <f>IF(R802="","",IFERROR(INDEX(Cl_quartier,MATCH(R802,Cl_cle,0))&amp;"",""))</f>
        <v/>
      </c>
      <c r="V802" s="34">
        <f>IF(C802="","",YEAR(C802-WEEKDAY(C802,2)+4)&amp;"-S"&amp;TEXT(INT((C802-DATE(YEAR(C802-WEEKDAY(C802,2)+4),1,3)+WEEKDAY(DATE(YEAR(C802-WEEKDAY(C802,2)+4),1,3),2)+5)/7),"00"))</f>
        <v/>
      </c>
    </row>
    <row r="803" ht="18" customHeight="1">
      <c r="A803" s="39" t="n">
        <v>798</v>
      </c>
      <c r="B803" s="33">
        <f>IF(C803="","",IF(P803="À RENSEIGNER","GIC",P803)&amp;"-V"&amp;TEXT(A803,"00000"))</f>
        <v/>
      </c>
      <c r="C803" s="32" t="n"/>
      <c r="D803" s="35" t="n"/>
      <c r="E803" s="36" t="n"/>
      <c r="F803" s="36" t="n"/>
      <c r="G803" s="36" t="n"/>
      <c r="H803" s="36" t="n"/>
      <c r="I803" s="36" t="n"/>
      <c r="J803" s="37" t="n"/>
      <c r="K803" s="32" t="n"/>
      <c r="L803" s="36" t="n"/>
      <c r="M803" s="41" t="n"/>
      <c r="N803" s="41" t="n"/>
      <c r="O803" s="36" t="n"/>
      <c r="P803" s="33">
        <f>IF(C803="","",Commercial_Id)</f>
        <v/>
      </c>
      <c r="Q803" s="39">
        <f>IF(F803="","",IFERROR(VALUE(MID(F803,LEN(F803)-3,3)),""))</f>
        <v/>
      </c>
      <c r="R803" s="33">
        <f>IF(Q803="","",P803&amp;"|"&amp;Q803)</f>
        <v/>
      </c>
      <c r="S803" s="33">
        <f>IF(Q803="","",IF(P803="À RENSEIGNER","GIC",P803)&amp;"-"&amp;TEXT(Q803,"000"))</f>
        <v/>
      </c>
      <c r="T803" s="33">
        <f>IF(R803="","",IFERROR(INDEX(Cl_nom,MATCH(R803,Cl_cle,0)),"(client introuvable)"))</f>
        <v/>
      </c>
      <c r="U803" s="33">
        <f>IF(R803="","",IFERROR(INDEX(Cl_quartier,MATCH(R803,Cl_cle,0))&amp;"",""))</f>
        <v/>
      </c>
      <c r="V803" s="34">
        <f>IF(C803="","",YEAR(C803-WEEKDAY(C803,2)+4)&amp;"-S"&amp;TEXT(INT((C803-DATE(YEAR(C803-WEEKDAY(C803,2)+4),1,3)+WEEKDAY(DATE(YEAR(C803-WEEKDAY(C803,2)+4),1,3),2)+5)/7),"00"))</f>
        <v/>
      </c>
    </row>
    <row r="804" ht="18" customHeight="1">
      <c r="A804" s="39" t="n">
        <v>799</v>
      </c>
      <c r="B804" s="33">
        <f>IF(C804="","",IF(P804="À RENSEIGNER","GIC",P804)&amp;"-V"&amp;TEXT(A804,"00000"))</f>
        <v/>
      </c>
      <c r="C804" s="32" t="n"/>
      <c r="D804" s="35" t="n"/>
      <c r="E804" s="36" t="n"/>
      <c r="F804" s="36" t="n"/>
      <c r="G804" s="36" t="n"/>
      <c r="H804" s="36" t="n"/>
      <c r="I804" s="36" t="n"/>
      <c r="J804" s="37" t="n"/>
      <c r="K804" s="32" t="n"/>
      <c r="L804" s="36" t="n"/>
      <c r="M804" s="41" t="n"/>
      <c r="N804" s="41" t="n"/>
      <c r="O804" s="36" t="n"/>
      <c r="P804" s="33">
        <f>IF(C804="","",Commercial_Id)</f>
        <v/>
      </c>
      <c r="Q804" s="39">
        <f>IF(F804="","",IFERROR(VALUE(MID(F804,LEN(F804)-3,3)),""))</f>
        <v/>
      </c>
      <c r="R804" s="33">
        <f>IF(Q804="","",P804&amp;"|"&amp;Q804)</f>
        <v/>
      </c>
      <c r="S804" s="33">
        <f>IF(Q804="","",IF(P804="À RENSEIGNER","GIC",P804)&amp;"-"&amp;TEXT(Q804,"000"))</f>
        <v/>
      </c>
      <c r="T804" s="33">
        <f>IF(R804="","",IFERROR(INDEX(Cl_nom,MATCH(R804,Cl_cle,0)),"(client introuvable)"))</f>
        <v/>
      </c>
      <c r="U804" s="33">
        <f>IF(R804="","",IFERROR(INDEX(Cl_quartier,MATCH(R804,Cl_cle,0))&amp;"",""))</f>
        <v/>
      </c>
      <c r="V804" s="34">
        <f>IF(C804="","",YEAR(C804-WEEKDAY(C804,2)+4)&amp;"-S"&amp;TEXT(INT((C804-DATE(YEAR(C804-WEEKDAY(C804,2)+4),1,3)+WEEKDAY(DATE(YEAR(C804-WEEKDAY(C804,2)+4),1,3),2)+5)/7),"00"))</f>
        <v/>
      </c>
    </row>
    <row r="805" ht="18" customHeight="1">
      <c r="A805" s="39" t="n">
        <v>800</v>
      </c>
      <c r="B805" s="33">
        <f>IF(C805="","",IF(P805="À RENSEIGNER","GIC",P805)&amp;"-V"&amp;TEXT(A805,"00000"))</f>
        <v/>
      </c>
      <c r="C805" s="32" t="n"/>
      <c r="D805" s="35" t="n"/>
      <c r="E805" s="36" t="n"/>
      <c r="F805" s="36" t="n"/>
      <c r="G805" s="36" t="n"/>
      <c r="H805" s="36" t="n"/>
      <c r="I805" s="36" t="n"/>
      <c r="J805" s="37" t="n"/>
      <c r="K805" s="32" t="n"/>
      <c r="L805" s="36" t="n"/>
      <c r="M805" s="41" t="n"/>
      <c r="N805" s="41" t="n"/>
      <c r="O805" s="36" t="n"/>
      <c r="P805" s="33">
        <f>IF(C805="","",Commercial_Id)</f>
        <v/>
      </c>
      <c r="Q805" s="39">
        <f>IF(F805="","",IFERROR(VALUE(MID(F805,LEN(F805)-3,3)),""))</f>
        <v/>
      </c>
      <c r="R805" s="33">
        <f>IF(Q805="","",P805&amp;"|"&amp;Q805)</f>
        <v/>
      </c>
      <c r="S805" s="33">
        <f>IF(Q805="","",IF(P805="À RENSEIGNER","GIC",P805)&amp;"-"&amp;TEXT(Q805,"000"))</f>
        <v/>
      </c>
      <c r="T805" s="33">
        <f>IF(R805="","",IFERROR(INDEX(Cl_nom,MATCH(R805,Cl_cle,0)),"(client introuvable)"))</f>
        <v/>
      </c>
      <c r="U805" s="33">
        <f>IF(R805="","",IFERROR(INDEX(Cl_quartier,MATCH(R805,Cl_cle,0))&amp;"",""))</f>
        <v/>
      </c>
      <c r="V805" s="34">
        <f>IF(C805="","",YEAR(C805-WEEKDAY(C805,2)+4)&amp;"-S"&amp;TEXT(INT((C805-DATE(YEAR(C805-WEEKDAY(C805,2)+4),1,3)+WEEKDAY(DATE(YEAR(C805-WEEKDAY(C805,2)+4),1,3),2)+5)/7),"00"))</f>
        <v/>
      </c>
    </row>
    <row r="806" ht="18" customHeight="1">
      <c r="A806" s="39" t="n">
        <v>801</v>
      </c>
      <c r="B806" s="33">
        <f>IF(C806="","",IF(P806="À RENSEIGNER","GIC",P806)&amp;"-V"&amp;TEXT(A806,"00000"))</f>
        <v/>
      </c>
      <c r="C806" s="32" t="n"/>
      <c r="D806" s="35" t="n"/>
      <c r="E806" s="36" t="n"/>
      <c r="F806" s="36" t="n"/>
      <c r="G806" s="36" t="n"/>
      <c r="H806" s="36" t="n"/>
      <c r="I806" s="36" t="n"/>
      <c r="J806" s="37" t="n"/>
      <c r="K806" s="32" t="n"/>
      <c r="L806" s="36" t="n"/>
      <c r="M806" s="41" t="n"/>
      <c r="N806" s="41" t="n"/>
      <c r="O806" s="36" t="n"/>
      <c r="P806" s="33">
        <f>IF(C806="","",Commercial_Id)</f>
        <v/>
      </c>
      <c r="Q806" s="39">
        <f>IF(F806="","",IFERROR(VALUE(MID(F806,LEN(F806)-3,3)),""))</f>
        <v/>
      </c>
      <c r="R806" s="33">
        <f>IF(Q806="","",P806&amp;"|"&amp;Q806)</f>
        <v/>
      </c>
      <c r="S806" s="33">
        <f>IF(Q806="","",IF(P806="À RENSEIGNER","GIC",P806)&amp;"-"&amp;TEXT(Q806,"000"))</f>
        <v/>
      </c>
      <c r="T806" s="33">
        <f>IF(R806="","",IFERROR(INDEX(Cl_nom,MATCH(R806,Cl_cle,0)),"(client introuvable)"))</f>
        <v/>
      </c>
      <c r="U806" s="33">
        <f>IF(R806="","",IFERROR(INDEX(Cl_quartier,MATCH(R806,Cl_cle,0))&amp;"",""))</f>
        <v/>
      </c>
      <c r="V806" s="34">
        <f>IF(C806="","",YEAR(C806-WEEKDAY(C806,2)+4)&amp;"-S"&amp;TEXT(INT((C806-DATE(YEAR(C806-WEEKDAY(C806,2)+4),1,3)+WEEKDAY(DATE(YEAR(C806-WEEKDAY(C806,2)+4),1,3),2)+5)/7),"00"))</f>
        <v/>
      </c>
    </row>
    <row r="807" ht="18" customHeight="1">
      <c r="A807" s="39" t="n">
        <v>802</v>
      </c>
      <c r="B807" s="33">
        <f>IF(C807="","",IF(P807="À RENSEIGNER","GIC",P807)&amp;"-V"&amp;TEXT(A807,"00000"))</f>
        <v/>
      </c>
      <c r="C807" s="32" t="n"/>
      <c r="D807" s="35" t="n"/>
      <c r="E807" s="36" t="n"/>
      <c r="F807" s="36" t="n"/>
      <c r="G807" s="36" t="n"/>
      <c r="H807" s="36" t="n"/>
      <c r="I807" s="36" t="n"/>
      <c r="J807" s="37" t="n"/>
      <c r="K807" s="32" t="n"/>
      <c r="L807" s="36" t="n"/>
      <c r="M807" s="41" t="n"/>
      <c r="N807" s="41" t="n"/>
      <c r="O807" s="36" t="n"/>
      <c r="P807" s="33">
        <f>IF(C807="","",Commercial_Id)</f>
        <v/>
      </c>
      <c r="Q807" s="39">
        <f>IF(F807="","",IFERROR(VALUE(MID(F807,LEN(F807)-3,3)),""))</f>
        <v/>
      </c>
      <c r="R807" s="33">
        <f>IF(Q807="","",P807&amp;"|"&amp;Q807)</f>
        <v/>
      </c>
      <c r="S807" s="33">
        <f>IF(Q807="","",IF(P807="À RENSEIGNER","GIC",P807)&amp;"-"&amp;TEXT(Q807,"000"))</f>
        <v/>
      </c>
      <c r="T807" s="33">
        <f>IF(R807="","",IFERROR(INDEX(Cl_nom,MATCH(R807,Cl_cle,0)),"(client introuvable)"))</f>
        <v/>
      </c>
      <c r="U807" s="33">
        <f>IF(R807="","",IFERROR(INDEX(Cl_quartier,MATCH(R807,Cl_cle,0))&amp;"",""))</f>
        <v/>
      </c>
      <c r="V807" s="34">
        <f>IF(C807="","",YEAR(C807-WEEKDAY(C807,2)+4)&amp;"-S"&amp;TEXT(INT((C807-DATE(YEAR(C807-WEEKDAY(C807,2)+4),1,3)+WEEKDAY(DATE(YEAR(C807-WEEKDAY(C807,2)+4),1,3),2)+5)/7),"00"))</f>
        <v/>
      </c>
    </row>
    <row r="808" ht="18" customHeight="1">
      <c r="A808" s="39" t="n">
        <v>803</v>
      </c>
      <c r="B808" s="33">
        <f>IF(C808="","",IF(P808="À RENSEIGNER","GIC",P808)&amp;"-V"&amp;TEXT(A808,"00000"))</f>
        <v/>
      </c>
      <c r="C808" s="32" t="n"/>
      <c r="D808" s="35" t="n"/>
      <c r="E808" s="36" t="n"/>
      <c r="F808" s="36" t="n"/>
      <c r="G808" s="36" t="n"/>
      <c r="H808" s="36" t="n"/>
      <c r="I808" s="36" t="n"/>
      <c r="J808" s="37" t="n"/>
      <c r="K808" s="32" t="n"/>
      <c r="L808" s="36" t="n"/>
      <c r="M808" s="41" t="n"/>
      <c r="N808" s="41" t="n"/>
      <c r="O808" s="36" t="n"/>
      <c r="P808" s="33">
        <f>IF(C808="","",Commercial_Id)</f>
        <v/>
      </c>
      <c r="Q808" s="39">
        <f>IF(F808="","",IFERROR(VALUE(MID(F808,LEN(F808)-3,3)),""))</f>
        <v/>
      </c>
      <c r="R808" s="33">
        <f>IF(Q808="","",P808&amp;"|"&amp;Q808)</f>
        <v/>
      </c>
      <c r="S808" s="33">
        <f>IF(Q808="","",IF(P808="À RENSEIGNER","GIC",P808)&amp;"-"&amp;TEXT(Q808,"000"))</f>
        <v/>
      </c>
      <c r="T808" s="33">
        <f>IF(R808="","",IFERROR(INDEX(Cl_nom,MATCH(R808,Cl_cle,0)),"(client introuvable)"))</f>
        <v/>
      </c>
      <c r="U808" s="33">
        <f>IF(R808="","",IFERROR(INDEX(Cl_quartier,MATCH(R808,Cl_cle,0))&amp;"",""))</f>
        <v/>
      </c>
      <c r="V808" s="34">
        <f>IF(C808="","",YEAR(C808-WEEKDAY(C808,2)+4)&amp;"-S"&amp;TEXT(INT((C808-DATE(YEAR(C808-WEEKDAY(C808,2)+4),1,3)+WEEKDAY(DATE(YEAR(C808-WEEKDAY(C808,2)+4),1,3),2)+5)/7),"00"))</f>
        <v/>
      </c>
    </row>
    <row r="809" ht="18" customHeight="1">
      <c r="A809" s="39" t="n">
        <v>804</v>
      </c>
      <c r="B809" s="33">
        <f>IF(C809="","",IF(P809="À RENSEIGNER","GIC",P809)&amp;"-V"&amp;TEXT(A809,"00000"))</f>
        <v/>
      </c>
      <c r="C809" s="32" t="n"/>
      <c r="D809" s="35" t="n"/>
      <c r="E809" s="36" t="n"/>
      <c r="F809" s="36" t="n"/>
      <c r="G809" s="36" t="n"/>
      <c r="H809" s="36" t="n"/>
      <c r="I809" s="36" t="n"/>
      <c r="J809" s="37" t="n"/>
      <c r="K809" s="32" t="n"/>
      <c r="L809" s="36" t="n"/>
      <c r="M809" s="41" t="n"/>
      <c r="N809" s="41" t="n"/>
      <c r="O809" s="36" t="n"/>
      <c r="P809" s="33">
        <f>IF(C809="","",Commercial_Id)</f>
        <v/>
      </c>
      <c r="Q809" s="39">
        <f>IF(F809="","",IFERROR(VALUE(MID(F809,LEN(F809)-3,3)),""))</f>
        <v/>
      </c>
      <c r="R809" s="33">
        <f>IF(Q809="","",P809&amp;"|"&amp;Q809)</f>
        <v/>
      </c>
      <c r="S809" s="33">
        <f>IF(Q809="","",IF(P809="À RENSEIGNER","GIC",P809)&amp;"-"&amp;TEXT(Q809,"000"))</f>
        <v/>
      </c>
      <c r="T809" s="33">
        <f>IF(R809="","",IFERROR(INDEX(Cl_nom,MATCH(R809,Cl_cle,0)),"(client introuvable)"))</f>
        <v/>
      </c>
      <c r="U809" s="33">
        <f>IF(R809="","",IFERROR(INDEX(Cl_quartier,MATCH(R809,Cl_cle,0))&amp;"",""))</f>
        <v/>
      </c>
      <c r="V809" s="34">
        <f>IF(C809="","",YEAR(C809-WEEKDAY(C809,2)+4)&amp;"-S"&amp;TEXT(INT((C809-DATE(YEAR(C809-WEEKDAY(C809,2)+4),1,3)+WEEKDAY(DATE(YEAR(C809-WEEKDAY(C809,2)+4),1,3),2)+5)/7),"00"))</f>
        <v/>
      </c>
    </row>
    <row r="810" ht="18" customHeight="1">
      <c r="A810" s="39" t="n">
        <v>805</v>
      </c>
      <c r="B810" s="33">
        <f>IF(C810="","",IF(P810="À RENSEIGNER","GIC",P810)&amp;"-V"&amp;TEXT(A810,"00000"))</f>
        <v/>
      </c>
      <c r="C810" s="32" t="n"/>
      <c r="D810" s="35" t="n"/>
      <c r="E810" s="36" t="n"/>
      <c r="F810" s="36" t="n"/>
      <c r="G810" s="36" t="n"/>
      <c r="H810" s="36" t="n"/>
      <c r="I810" s="36" t="n"/>
      <c r="J810" s="37" t="n"/>
      <c r="K810" s="32" t="n"/>
      <c r="L810" s="36" t="n"/>
      <c r="M810" s="41" t="n"/>
      <c r="N810" s="41" t="n"/>
      <c r="O810" s="36" t="n"/>
      <c r="P810" s="33">
        <f>IF(C810="","",Commercial_Id)</f>
        <v/>
      </c>
      <c r="Q810" s="39">
        <f>IF(F810="","",IFERROR(VALUE(MID(F810,LEN(F810)-3,3)),""))</f>
        <v/>
      </c>
      <c r="R810" s="33">
        <f>IF(Q810="","",P810&amp;"|"&amp;Q810)</f>
        <v/>
      </c>
      <c r="S810" s="33">
        <f>IF(Q810="","",IF(P810="À RENSEIGNER","GIC",P810)&amp;"-"&amp;TEXT(Q810,"000"))</f>
        <v/>
      </c>
      <c r="T810" s="33">
        <f>IF(R810="","",IFERROR(INDEX(Cl_nom,MATCH(R810,Cl_cle,0)),"(client introuvable)"))</f>
        <v/>
      </c>
      <c r="U810" s="33">
        <f>IF(R810="","",IFERROR(INDEX(Cl_quartier,MATCH(R810,Cl_cle,0))&amp;"",""))</f>
        <v/>
      </c>
      <c r="V810" s="34">
        <f>IF(C810="","",YEAR(C810-WEEKDAY(C810,2)+4)&amp;"-S"&amp;TEXT(INT((C810-DATE(YEAR(C810-WEEKDAY(C810,2)+4),1,3)+WEEKDAY(DATE(YEAR(C810-WEEKDAY(C810,2)+4),1,3),2)+5)/7),"00"))</f>
        <v/>
      </c>
    </row>
    <row r="811" ht="18" customHeight="1">
      <c r="A811" s="39" t="n">
        <v>806</v>
      </c>
      <c r="B811" s="33">
        <f>IF(C811="","",IF(P811="À RENSEIGNER","GIC",P811)&amp;"-V"&amp;TEXT(A811,"00000"))</f>
        <v/>
      </c>
      <c r="C811" s="32" t="n"/>
      <c r="D811" s="35" t="n"/>
      <c r="E811" s="36" t="n"/>
      <c r="F811" s="36" t="n"/>
      <c r="G811" s="36" t="n"/>
      <c r="H811" s="36" t="n"/>
      <c r="I811" s="36" t="n"/>
      <c r="J811" s="37" t="n"/>
      <c r="K811" s="32" t="n"/>
      <c r="L811" s="36" t="n"/>
      <c r="M811" s="41" t="n"/>
      <c r="N811" s="41" t="n"/>
      <c r="O811" s="36" t="n"/>
      <c r="P811" s="33">
        <f>IF(C811="","",Commercial_Id)</f>
        <v/>
      </c>
      <c r="Q811" s="39">
        <f>IF(F811="","",IFERROR(VALUE(MID(F811,LEN(F811)-3,3)),""))</f>
        <v/>
      </c>
      <c r="R811" s="33">
        <f>IF(Q811="","",P811&amp;"|"&amp;Q811)</f>
        <v/>
      </c>
      <c r="S811" s="33">
        <f>IF(Q811="","",IF(P811="À RENSEIGNER","GIC",P811)&amp;"-"&amp;TEXT(Q811,"000"))</f>
        <v/>
      </c>
      <c r="T811" s="33">
        <f>IF(R811="","",IFERROR(INDEX(Cl_nom,MATCH(R811,Cl_cle,0)),"(client introuvable)"))</f>
        <v/>
      </c>
      <c r="U811" s="33">
        <f>IF(R811="","",IFERROR(INDEX(Cl_quartier,MATCH(R811,Cl_cle,0))&amp;"",""))</f>
        <v/>
      </c>
      <c r="V811" s="34">
        <f>IF(C811="","",YEAR(C811-WEEKDAY(C811,2)+4)&amp;"-S"&amp;TEXT(INT((C811-DATE(YEAR(C811-WEEKDAY(C811,2)+4),1,3)+WEEKDAY(DATE(YEAR(C811-WEEKDAY(C811,2)+4),1,3),2)+5)/7),"00"))</f>
        <v/>
      </c>
    </row>
    <row r="812" ht="18" customHeight="1">
      <c r="A812" s="39" t="n">
        <v>807</v>
      </c>
      <c r="B812" s="33">
        <f>IF(C812="","",IF(P812="À RENSEIGNER","GIC",P812)&amp;"-V"&amp;TEXT(A812,"00000"))</f>
        <v/>
      </c>
      <c r="C812" s="32" t="n"/>
      <c r="D812" s="35" t="n"/>
      <c r="E812" s="36" t="n"/>
      <c r="F812" s="36" t="n"/>
      <c r="G812" s="36" t="n"/>
      <c r="H812" s="36" t="n"/>
      <c r="I812" s="36" t="n"/>
      <c r="J812" s="37" t="n"/>
      <c r="K812" s="32" t="n"/>
      <c r="L812" s="36" t="n"/>
      <c r="M812" s="41" t="n"/>
      <c r="N812" s="41" t="n"/>
      <c r="O812" s="36" t="n"/>
      <c r="P812" s="33">
        <f>IF(C812="","",Commercial_Id)</f>
        <v/>
      </c>
      <c r="Q812" s="39">
        <f>IF(F812="","",IFERROR(VALUE(MID(F812,LEN(F812)-3,3)),""))</f>
        <v/>
      </c>
      <c r="R812" s="33">
        <f>IF(Q812="","",P812&amp;"|"&amp;Q812)</f>
        <v/>
      </c>
      <c r="S812" s="33">
        <f>IF(Q812="","",IF(P812="À RENSEIGNER","GIC",P812)&amp;"-"&amp;TEXT(Q812,"000"))</f>
        <v/>
      </c>
      <c r="T812" s="33">
        <f>IF(R812="","",IFERROR(INDEX(Cl_nom,MATCH(R812,Cl_cle,0)),"(client introuvable)"))</f>
        <v/>
      </c>
      <c r="U812" s="33">
        <f>IF(R812="","",IFERROR(INDEX(Cl_quartier,MATCH(R812,Cl_cle,0))&amp;"",""))</f>
        <v/>
      </c>
      <c r="V812" s="34">
        <f>IF(C812="","",YEAR(C812-WEEKDAY(C812,2)+4)&amp;"-S"&amp;TEXT(INT((C812-DATE(YEAR(C812-WEEKDAY(C812,2)+4),1,3)+WEEKDAY(DATE(YEAR(C812-WEEKDAY(C812,2)+4),1,3),2)+5)/7),"00"))</f>
        <v/>
      </c>
    </row>
    <row r="813" ht="18" customHeight="1">
      <c r="A813" s="39" t="n">
        <v>808</v>
      </c>
      <c r="B813" s="33">
        <f>IF(C813="","",IF(P813="À RENSEIGNER","GIC",P813)&amp;"-V"&amp;TEXT(A813,"00000"))</f>
        <v/>
      </c>
      <c r="C813" s="32" t="n"/>
      <c r="D813" s="35" t="n"/>
      <c r="E813" s="36" t="n"/>
      <c r="F813" s="36" t="n"/>
      <c r="G813" s="36" t="n"/>
      <c r="H813" s="36" t="n"/>
      <c r="I813" s="36" t="n"/>
      <c r="J813" s="37" t="n"/>
      <c r="K813" s="32" t="n"/>
      <c r="L813" s="36" t="n"/>
      <c r="M813" s="41" t="n"/>
      <c r="N813" s="41" t="n"/>
      <c r="O813" s="36" t="n"/>
      <c r="P813" s="33">
        <f>IF(C813="","",Commercial_Id)</f>
        <v/>
      </c>
      <c r="Q813" s="39">
        <f>IF(F813="","",IFERROR(VALUE(MID(F813,LEN(F813)-3,3)),""))</f>
        <v/>
      </c>
      <c r="R813" s="33">
        <f>IF(Q813="","",P813&amp;"|"&amp;Q813)</f>
        <v/>
      </c>
      <c r="S813" s="33">
        <f>IF(Q813="","",IF(P813="À RENSEIGNER","GIC",P813)&amp;"-"&amp;TEXT(Q813,"000"))</f>
        <v/>
      </c>
      <c r="T813" s="33">
        <f>IF(R813="","",IFERROR(INDEX(Cl_nom,MATCH(R813,Cl_cle,0)),"(client introuvable)"))</f>
        <v/>
      </c>
      <c r="U813" s="33">
        <f>IF(R813="","",IFERROR(INDEX(Cl_quartier,MATCH(R813,Cl_cle,0))&amp;"",""))</f>
        <v/>
      </c>
      <c r="V813" s="34">
        <f>IF(C813="","",YEAR(C813-WEEKDAY(C813,2)+4)&amp;"-S"&amp;TEXT(INT((C813-DATE(YEAR(C813-WEEKDAY(C813,2)+4),1,3)+WEEKDAY(DATE(YEAR(C813-WEEKDAY(C813,2)+4),1,3),2)+5)/7),"00"))</f>
        <v/>
      </c>
    </row>
    <row r="814" ht="18" customHeight="1">
      <c r="A814" s="39" t="n">
        <v>809</v>
      </c>
      <c r="B814" s="33">
        <f>IF(C814="","",IF(P814="À RENSEIGNER","GIC",P814)&amp;"-V"&amp;TEXT(A814,"00000"))</f>
        <v/>
      </c>
      <c r="C814" s="32" t="n"/>
      <c r="D814" s="35" t="n"/>
      <c r="E814" s="36" t="n"/>
      <c r="F814" s="36" t="n"/>
      <c r="G814" s="36" t="n"/>
      <c r="H814" s="36" t="n"/>
      <c r="I814" s="36" t="n"/>
      <c r="J814" s="37" t="n"/>
      <c r="K814" s="32" t="n"/>
      <c r="L814" s="36" t="n"/>
      <c r="M814" s="41" t="n"/>
      <c r="N814" s="41" t="n"/>
      <c r="O814" s="36" t="n"/>
      <c r="P814" s="33">
        <f>IF(C814="","",Commercial_Id)</f>
        <v/>
      </c>
      <c r="Q814" s="39">
        <f>IF(F814="","",IFERROR(VALUE(MID(F814,LEN(F814)-3,3)),""))</f>
        <v/>
      </c>
      <c r="R814" s="33">
        <f>IF(Q814="","",P814&amp;"|"&amp;Q814)</f>
        <v/>
      </c>
      <c r="S814" s="33">
        <f>IF(Q814="","",IF(P814="À RENSEIGNER","GIC",P814)&amp;"-"&amp;TEXT(Q814,"000"))</f>
        <v/>
      </c>
      <c r="T814" s="33">
        <f>IF(R814="","",IFERROR(INDEX(Cl_nom,MATCH(R814,Cl_cle,0)),"(client introuvable)"))</f>
        <v/>
      </c>
      <c r="U814" s="33">
        <f>IF(R814="","",IFERROR(INDEX(Cl_quartier,MATCH(R814,Cl_cle,0))&amp;"",""))</f>
        <v/>
      </c>
      <c r="V814" s="34">
        <f>IF(C814="","",YEAR(C814-WEEKDAY(C814,2)+4)&amp;"-S"&amp;TEXT(INT((C814-DATE(YEAR(C814-WEEKDAY(C814,2)+4),1,3)+WEEKDAY(DATE(YEAR(C814-WEEKDAY(C814,2)+4),1,3),2)+5)/7),"00"))</f>
        <v/>
      </c>
    </row>
    <row r="815" ht="18" customHeight="1">
      <c r="A815" s="39" t="n">
        <v>810</v>
      </c>
      <c r="B815" s="33">
        <f>IF(C815="","",IF(P815="À RENSEIGNER","GIC",P815)&amp;"-V"&amp;TEXT(A815,"00000"))</f>
        <v/>
      </c>
      <c r="C815" s="32" t="n"/>
      <c r="D815" s="35" t="n"/>
      <c r="E815" s="36" t="n"/>
      <c r="F815" s="36" t="n"/>
      <c r="G815" s="36" t="n"/>
      <c r="H815" s="36" t="n"/>
      <c r="I815" s="36" t="n"/>
      <c r="J815" s="37" t="n"/>
      <c r="K815" s="32" t="n"/>
      <c r="L815" s="36" t="n"/>
      <c r="M815" s="41" t="n"/>
      <c r="N815" s="41" t="n"/>
      <c r="O815" s="36" t="n"/>
      <c r="P815" s="33">
        <f>IF(C815="","",Commercial_Id)</f>
        <v/>
      </c>
      <c r="Q815" s="39">
        <f>IF(F815="","",IFERROR(VALUE(MID(F815,LEN(F815)-3,3)),""))</f>
        <v/>
      </c>
      <c r="R815" s="33">
        <f>IF(Q815="","",P815&amp;"|"&amp;Q815)</f>
        <v/>
      </c>
      <c r="S815" s="33">
        <f>IF(Q815="","",IF(P815="À RENSEIGNER","GIC",P815)&amp;"-"&amp;TEXT(Q815,"000"))</f>
        <v/>
      </c>
      <c r="T815" s="33">
        <f>IF(R815="","",IFERROR(INDEX(Cl_nom,MATCH(R815,Cl_cle,0)),"(client introuvable)"))</f>
        <v/>
      </c>
      <c r="U815" s="33">
        <f>IF(R815="","",IFERROR(INDEX(Cl_quartier,MATCH(R815,Cl_cle,0))&amp;"",""))</f>
        <v/>
      </c>
      <c r="V815" s="34">
        <f>IF(C815="","",YEAR(C815-WEEKDAY(C815,2)+4)&amp;"-S"&amp;TEXT(INT((C815-DATE(YEAR(C815-WEEKDAY(C815,2)+4),1,3)+WEEKDAY(DATE(YEAR(C815-WEEKDAY(C815,2)+4),1,3),2)+5)/7),"00"))</f>
        <v/>
      </c>
    </row>
    <row r="816" ht="18" customHeight="1">
      <c r="A816" s="39" t="n">
        <v>811</v>
      </c>
      <c r="B816" s="33">
        <f>IF(C816="","",IF(P816="À RENSEIGNER","GIC",P816)&amp;"-V"&amp;TEXT(A816,"00000"))</f>
        <v/>
      </c>
      <c r="C816" s="32" t="n"/>
      <c r="D816" s="35" t="n"/>
      <c r="E816" s="36" t="n"/>
      <c r="F816" s="36" t="n"/>
      <c r="G816" s="36" t="n"/>
      <c r="H816" s="36" t="n"/>
      <c r="I816" s="36" t="n"/>
      <c r="J816" s="37" t="n"/>
      <c r="K816" s="32" t="n"/>
      <c r="L816" s="36" t="n"/>
      <c r="M816" s="41" t="n"/>
      <c r="N816" s="41" t="n"/>
      <c r="O816" s="36" t="n"/>
      <c r="P816" s="33">
        <f>IF(C816="","",Commercial_Id)</f>
        <v/>
      </c>
      <c r="Q816" s="39">
        <f>IF(F816="","",IFERROR(VALUE(MID(F816,LEN(F816)-3,3)),""))</f>
        <v/>
      </c>
      <c r="R816" s="33">
        <f>IF(Q816="","",P816&amp;"|"&amp;Q816)</f>
        <v/>
      </c>
      <c r="S816" s="33">
        <f>IF(Q816="","",IF(P816="À RENSEIGNER","GIC",P816)&amp;"-"&amp;TEXT(Q816,"000"))</f>
        <v/>
      </c>
      <c r="T816" s="33">
        <f>IF(R816="","",IFERROR(INDEX(Cl_nom,MATCH(R816,Cl_cle,0)),"(client introuvable)"))</f>
        <v/>
      </c>
      <c r="U816" s="33">
        <f>IF(R816="","",IFERROR(INDEX(Cl_quartier,MATCH(R816,Cl_cle,0))&amp;"",""))</f>
        <v/>
      </c>
      <c r="V816" s="34">
        <f>IF(C816="","",YEAR(C816-WEEKDAY(C816,2)+4)&amp;"-S"&amp;TEXT(INT((C816-DATE(YEAR(C816-WEEKDAY(C816,2)+4),1,3)+WEEKDAY(DATE(YEAR(C816-WEEKDAY(C816,2)+4),1,3),2)+5)/7),"00"))</f>
        <v/>
      </c>
    </row>
    <row r="817" ht="18" customHeight="1">
      <c r="A817" s="39" t="n">
        <v>812</v>
      </c>
      <c r="B817" s="33">
        <f>IF(C817="","",IF(P817="À RENSEIGNER","GIC",P817)&amp;"-V"&amp;TEXT(A817,"00000"))</f>
        <v/>
      </c>
      <c r="C817" s="32" t="n"/>
      <c r="D817" s="35" t="n"/>
      <c r="E817" s="36" t="n"/>
      <c r="F817" s="36" t="n"/>
      <c r="G817" s="36" t="n"/>
      <c r="H817" s="36" t="n"/>
      <c r="I817" s="36" t="n"/>
      <c r="J817" s="37" t="n"/>
      <c r="K817" s="32" t="n"/>
      <c r="L817" s="36" t="n"/>
      <c r="M817" s="41" t="n"/>
      <c r="N817" s="41" t="n"/>
      <c r="O817" s="36" t="n"/>
      <c r="P817" s="33">
        <f>IF(C817="","",Commercial_Id)</f>
        <v/>
      </c>
      <c r="Q817" s="39">
        <f>IF(F817="","",IFERROR(VALUE(MID(F817,LEN(F817)-3,3)),""))</f>
        <v/>
      </c>
      <c r="R817" s="33">
        <f>IF(Q817="","",P817&amp;"|"&amp;Q817)</f>
        <v/>
      </c>
      <c r="S817" s="33">
        <f>IF(Q817="","",IF(P817="À RENSEIGNER","GIC",P817)&amp;"-"&amp;TEXT(Q817,"000"))</f>
        <v/>
      </c>
      <c r="T817" s="33">
        <f>IF(R817="","",IFERROR(INDEX(Cl_nom,MATCH(R817,Cl_cle,0)),"(client introuvable)"))</f>
        <v/>
      </c>
      <c r="U817" s="33">
        <f>IF(R817="","",IFERROR(INDEX(Cl_quartier,MATCH(R817,Cl_cle,0))&amp;"",""))</f>
        <v/>
      </c>
      <c r="V817" s="34">
        <f>IF(C817="","",YEAR(C817-WEEKDAY(C817,2)+4)&amp;"-S"&amp;TEXT(INT((C817-DATE(YEAR(C817-WEEKDAY(C817,2)+4),1,3)+WEEKDAY(DATE(YEAR(C817-WEEKDAY(C817,2)+4),1,3),2)+5)/7),"00"))</f>
        <v/>
      </c>
    </row>
    <row r="818" ht="18" customHeight="1">
      <c r="A818" s="39" t="n">
        <v>813</v>
      </c>
      <c r="B818" s="33">
        <f>IF(C818="","",IF(P818="À RENSEIGNER","GIC",P818)&amp;"-V"&amp;TEXT(A818,"00000"))</f>
        <v/>
      </c>
      <c r="C818" s="32" t="n"/>
      <c r="D818" s="35" t="n"/>
      <c r="E818" s="36" t="n"/>
      <c r="F818" s="36" t="n"/>
      <c r="G818" s="36" t="n"/>
      <c r="H818" s="36" t="n"/>
      <c r="I818" s="36" t="n"/>
      <c r="J818" s="37" t="n"/>
      <c r="K818" s="32" t="n"/>
      <c r="L818" s="36" t="n"/>
      <c r="M818" s="41" t="n"/>
      <c r="N818" s="41" t="n"/>
      <c r="O818" s="36" t="n"/>
      <c r="P818" s="33">
        <f>IF(C818="","",Commercial_Id)</f>
        <v/>
      </c>
      <c r="Q818" s="39">
        <f>IF(F818="","",IFERROR(VALUE(MID(F818,LEN(F818)-3,3)),""))</f>
        <v/>
      </c>
      <c r="R818" s="33">
        <f>IF(Q818="","",P818&amp;"|"&amp;Q818)</f>
        <v/>
      </c>
      <c r="S818" s="33">
        <f>IF(Q818="","",IF(P818="À RENSEIGNER","GIC",P818)&amp;"-"&amp;TEXT(Q818,"000"))</f>
        <v/>
      </c>
      <c r="T818" s="33">
        <f>IF(R818="","",IFERROR(INDEX(Cl_nom,MATCH(R818,Cl_cle,0)),"(client introuvable)"))</f>
        <v/>
      </c>
      <c r="U818" s="33">
        <f>IF(R818="","",IFERROR(INDEX(Cl_quartier,MATCH(R818,Cl_cle,0))&amp;"",""))</f>
        <v/>
      </c>
      <c r="V818" s="34">
        <f>IF(C818="","",YEAR(C818-WEEKDAY(C818,2)+4)&amp;"-S"&amp;TEXT(INT((C818-DATE(YEAR(C818-WEEKDAY(C818,2)+4),1,3)+WEEKDAY(DATE(YEAR(C818-WEEKDAY(C818,2)+4),1,3),2)+5)/7),"00"))</f>
        <v/>
      </c>
    </row>
    <row r="819" ht="18" customHeight="1">
      <c r="A819" s="39" t="n">
        <v>814</v>
      </c>
      <c r="B819" s="33">
        <f>IF(C819="","",IF(P819="À RENSEIGNER","GIC",P819)&amp;"-V"&amp;TEXT(A819,"00000"))</f>
        <v/>
      </c>
      <c r="C819" s="32" t="n"/>
      <c r="D819" s="35" t="n"/>
      <c r="E819" s="36" t="n"/>
      <c r="F819" s="36" t="n"/>
      <c r="G819" s="36" t="n"/>
      <c r="H819" s="36" t="n"/>
      <c r="I819" s="36" t="n"/>
      <c r="J819" s="37" t="n"/>
      <c r="K819" s="32" t="n"/>
      <c r="L819" s="36" t="n"/>
      <c r="M819" s="41" t="n"/>
      <c r="N819" s="41" t="n"/>
      <c r="O819" s="36" t="n"/>
      <c r="P819" s="33">
        <f>IF(C819="","",Commercial_Id)</f>
        <v/>
      </c>
      <c r="Q819" s="39">
        <f>IF(F819="","",IFERROR(VALUE(MID(F819,LEN(F819)-3,3)),""))</f>
        <v/>
      </c>
      <c r="R819" s="33">
        <f>IF(Q819="","",P819&amp;"|"&amp;Q819)</f>
        <v/>
      </c>
      <c r="S819" s="33">
        <f>IF(Q819="","",IF(P819="À RENSEIGNER","GIC",P819)&amp;"-"&amp;TEXT(Q819,"000"))</f>
        <v/>
      </c>
      <c r="T819" s="33">
        <f>IF(R819="","",IFERROR(INDEX(Cl_nom,MATCH(R819,Cl_cle,0)),"(client introuvable)"))</f>
        <v/>
      </c>
      <c r="U819" s="33">
        <f>IF(R819="","",IFERROR(INDEX(Cl_quartier,MATCH(R819,Cl_cle,0))&amp;"",""))</f>
        <v/>
      </c>
      <c r="V819" s="34">
        <f>IF(C819="","",YEAR(C819-WEEKDAY(C819,2)+4)&amp;"-S"&amp;TEXT(INT((C819-DATE(YEAR(C819-WEEKDAY(C819,2)+4),1,3)+WEEKDAY(DATE(YEAR(C819-WEEKDAY(C819,2)+4),1,3),2)+5)/7),"00"))</f>
        <v/>
      </c>
    </row>
    <row r="820" ht="18" customHeight="1">
      <c r="A820" s="39" t="n">
        <v>815</v>
      </c>
      <c r="B820" s="33">
        <f>IF(C820="","",IF(P820="À RENSEIGNER","GIC",P820)&amp;"-V"&amp;TEXT(A820,"00000"))</f>
        <v/>
      </c>
      <c r="C820" s="32" t="n"/>
      <c r="D820" s="35" t="n"/>
      <c r="E820" s="36" t="n"/>
      <c r="F820" s="36" t="n"/>
      <c r="G820" s="36" t="n"/>
      <c r="H820" s="36" t="n"/>
      <c r="I820" s="36" t="n"/>
      <c r="J820" s="37" t="n"/>
      <c r="K820" s="32" t="n"/>
      <c r="L820" s="36" t="n"/>
      <c r="M820" s="41" t="n"/>
      <c r="N820" s="41" t="n"/>
      <c r="O820" s="36" t="n"/>
      <c r="P820" s="33">
        <f>IF(C820="","",Commercial_Id)</f>
        <v/>
      </c>
      <c r="Q820" s="39">
        <f>IF(F820="","",IFERROR(VALUE(MID(F820,LEN(F820)-3,3)),""))</f>
        <v/>
      </c>
      <c r="R820" s="33">
        <f>IF(Q820="","",P820&amp;"|"&amp;Q820)</f>
        <v/>
      </c>
      <c r="S820" s="33">
        <f>IF(Q820="","",IF(P820="À RENSEIGNER","GIC",P820)&amp;"-"&amp;TEXT(Q820,"000"))</f>
        <v/>
      </c>
      <c r="T820" s="33">
        <f>IF(R820="","",IFERROR(INDEX(Cl_nom,MATCH(R820,Cl_cle,0)),"(client introuvable)"))</f>
        <v/>
      </c>
      <c r="U820" s="33">
        <f>IF(R820="","",IFERROR(INDEX(Cl_quartier,MATCH(R820,Cl_cle,0))&amp;"",""))</f>
        <v/>
      </c>
      <c r="V820" s="34">
        <f>IF(C820="","",YEAR(C820-WEEKDAY(C820,2)+4)&amp;"-S"&amp;TEXT(INT((C820-DATE(YEAR(C820-WEEKDAY(C820,2)+4),1,3)+WEEKDAY(DATE(YEAR(C820-WEEKDAY(C820,2)+4),1,3),2)+5)/7),"00"))</f>
        <v/>
      </c>
    </row>
    <row r="821" ht="18" customHeight="1">
      <c r="A821" s="39" t="n">
        <v>816</v>
      </c>
      <c r="B821" s="33">
        <f>IF(C821="","",IF(P821="À RENSEIGNER","GIC",P821)&amp;"-V"&amp;TEXT(A821,"00000"))</f>
        <v/>
      </c>
      <c r="C821" s="32" t="n"/>
      <c r="D821" s="35" t="n"/>
      <c r="E821" s="36" t="n"/>
      <c r="F821" s="36" t="n"/>
      <c r="G821" s="36" t="n"/>
      <c r="H821" s="36" t="n"/>
      <c r="I821" s="36" t="n"/>
      <c r="J821" s="37" t="n"/>
      <c r="K821" s="32" t="n"/>
      <c r="L821" s="36" t="n"/>
      <c r="M821" s="41" t="n"/>
      <c r="N821" s="41" t="n"/>
      <c r="O821" s="36" t="n"/>
      <c r="P821" s="33">
        <f>IF(C821="","",Commercial_Id)</f>
        <v/>
      </c>
      <c r="Q821" s="39">
        <f>IF(F821="","",IFERROR(VALUE(MID(F821,LEN(F821)-3,3)),""))</f>
        <v/>
      </c>
      <c r="R821" s="33">
        <f>IF(Q821="","",P821&amp;"|"&amp;Q821)</f>
        <v/>
      </c>
      <c r="S821" s="33">
        <f>IF(Q821="","",IF(P821="À RENSEIGNER","GIC",P821)&amp;"-"&amp;TEXT(Q821,"000"))</f>
        <v/>
      </c>
      <c r="T821" s="33">
        <f>IF(R821="","",IFERROR(INDEX(Cl_nom,MATCH(R821,Cl_cle,0)),"(client introuvable)"))</f>
        <v/>
      </c>
      <c r="U821" s="33">
        <f>IF(R821="","",IFERROR(INDEX(Cl_quartier,MATCH(R821,Cl_cle,0))&amp;"",""))</f>
        <v/>
      </c>
      <c r="V821" s="34">
        <f>IF(C821="","",YEAR(C821-WEEKDAY(C821,2)+4)&amp;"-S"&amp;TEXT(INT((C821-DATE(YEAR(C821-WEEKDAY(C821,2)+4),1,3)+WEEKDAY(DATE(YEAR(C821-WEEKDAY(C821,2)+4),1,3),2)+5)/7),"00"))</f>
        <v/>
      </c>
    </row>
    <row r="822" ht="18" customHeight="1">
      <c r="A822" s="39" t="n">
        <v>817</v>
      </c>
      <c r="B822" s="33">
        <f>IF(C822="","",IF(P822="À RENSEIGNER","GIC",P822)&amp;"-V"&amp;TEXT(A822,"00000"))</f>
        <v/>
      </c>
      <c r="C822" s="32" t="n"/>
      <c r="D822" s="35" t="n"/>
      <c r="E822" s="36" t="n"/>
      <c r="F822" s="36" t="n"/>
      <c r="G822" s="36" t="n"/>
      <c r="H822" s="36" t="n"/>
      <c r="I822" s="36" t="n"/>
      <c r="J822" s="37" t="n"/>
      <c r="K822" s="32" t="n"/>
      <c r="L822" s="36" t="n"/>
      <c r="M822" s="41" t="n"/>
      <c r="N822" s="41" t="n"/>
      <c r="O822" s="36" t="n"/>
      <c r="P822" s="33">
        <f>IF(C822="","",Commercial_Id)</f>
        <v/>
      </c>
      <c r="Q822" s="39">
        <f>IF(F822="","",IFERROR(VALUE(MID(F822,LEN(F822)-3,3)),""))</f>
        <v/>
      </c>
      <c r="R822" s="33">
        <f>IF(Q822="","",P822&amp;"|"&amp;Q822)</f>
        <v/>
      </c>
      <c r="S822" s="33">
        <f>IF(Q822="","",IF(P822="À RENSEIGNER","GIC",P822)&amp;"-"&amp;TEXT(Q822,"000"))</f>
        <v/>
      </c>
      <c r="T822" s="33">
        <f>IF(R822="","",IFERROR(INDEX(Cl_nom,MATCH(R822,Cl_cle,0)),"(client introuvable)"))</f>
        <v/>
      </c>
      <c r="U822" s="33">
        <f>IF(R822="","",IFERROR(INDEX(Cl_quartier,MATCH(R822,Cl_cle,0))&amp;"",""))</f>
        <v/>
      </c>
      <c r="V822" s="34">
        <f>IF(C822="","",YEAR(C822-WEEKDAY(C822,2)+4)&amp;"-S"&amp;TEXT(INT((C822-DATE(YEAR(C822-WEEKDAY(C822,2)+4),1,3)+WEEKDAY(DATE(YEAR(C822-WEEKDAY(C822,2)+4),1,3),2)+5)/7),"00"))</f>
        <v/>
      </c>
    </row>
    <row r="823" ht="18" customHeight="1">
      <c r="A823" s="39" t="n">
        <v>818</v>
      </c>
      <c r="B823" s="33">
        <f>IF(C823="","",IF(P823="À RENSEIGNER","GIC",P823)&amp;"-V"&amp;TEXT(A823,"00000"))</f>
        <v/>
      </c>
      <c r="C823" s="32" t="n"/>
      <c r="D823" s="35" t="n"/>
      <c r="E823" s="36" t="n"/>
      <c r="F823" s="36" t="n"/>
      <c r="G823" s="36" t="n"/>
      <c r="H823" s="36" t="n"/>
      <c r="I823" s="36" t="n"/>
      <c r="J823" s="37" t="n"/>
      <c r="K823" s="32" t="n"/>
      <c r="L823" s="36" t="n"/>
      <c r="M823" s="41" t="n"/>
      <c r="N823" s="41" t="n"/>
      <c r="O823" s="36" t="n"/>
      <c r="P823" s="33">
        <f>IF(C823="","",Commercial_Id)</f>
        <v/>
      </c>
      <c r="Q823" s="39">
        <f>IF(F823="","",IFERROR(VALUE(MID(F823,LEN(F823)-3,3)),""))</f>
        <v/>
      </c>
      <c r="R823" s="33">
        <f>IF(Q823="","",P823&amp;"|"&amp;Q823)</f>
        <v/>
      </c>
      <c r="S823" s="33">
        <f>IF(Q823="","",IF(P823="À RENSEIGNER","GIC",P823)&amp;"-"&amp;TEXT(Q823,"000"))</f>
        <v/>
      </c>
      <c r="T823" s="33">
        <f>IF(R823="","",IFERROR(INDEX(Cl_nom,MATCH(R823,Cl_cle,0)),"(client introuvable)"))</f>
        <v/>
      </c>
      <c r="U823" s="33">
        <f>IF(R823="","",IFERROR(INDEX(Cl_quartier,MATCH(R823,Cl_cle,0))&amp;"",""))</f>
        <v/>
      </c>
      <c r="V823" s="34">
        <f>IF(C823="","",YEAR(C823-WEEKDAY(C823,2)+4)&amp;"-S"&amp;TEXT(INT((C823-DATE(YEAR(C823-WEEKDAY(C823,2)+4),1,3)+WEEKDAY(DATE(YEAR(C823-WEEKDAY(C823,2)+4),1,3),2)+5)/7),"00"))</f>
        <v/>
      </c>
    </row>
    <row r="824" ht="18" customHeight="1">
      <c r="A824" s="39" t="n">
        <v>819</v>
      </c>
      <c r="B824" s="33">
        <f>IF(C824="","",IF(P824="À RENSEIGNER","GIC",P824)&amp;"-V"&amp;TEXT(A824,"00000"))</f>
        <v/>
      </c>
      <c r="C824" s="32" t="n"/>
      <c r="D824" s="35" t="n"/>
      <c r="E824" s="36" t="n"/>
      <c r="F824" s="36" t="n"/>
      <c r="G824" s="36" t="n"/>
      <c r="H824" s="36" t="n"/>
      <c r="I824" s="36" t="n"/>
      <c r="J824" s="37" t="n"/>
      <c r="K824" s="32" t="n"/>
      <c r="L824" s="36" t="n"/>
      <c r="M824" s="41" t="n"/>
      <c r="N824" s="41" t="n"/>
      <c r="O824" s="36" t="n"/>
      <c r="P824" s="33">
        <f>IF(C824="","",Commercial_Id)</f>
        <v/>
      </c>
      <c r="Q824" s="39">
        <f>IF(F824="","",IFERROR(VALUE(MID(F824,LEN(F824)-3,3)),""))</f>
        <v/>
      </c>
      <c r="R824" s="33">
        <f>IF(Q824="","",P824&amp;"|"&amp;Q824)</f>
        <v/>
      </c>
      <c r="S824" s="33">
        <f>IF(Q824="","",IF(P824="À RENSEIGNER","GIC",P824)&amp;"-"&amp;TEXT(Q824,"000"))</f>
        <v/>
      </c>
      <c r="T824" s="33">
        <f>IF(R824="","",IFERROR(INDEX(Cl_nom,MATCH(R824,Cl_cle,0)),"(client introuvable)"))</f>
        <v/>
      </c>
      <c r="U824" s="33">
        <f>IF(R824="","",IFERROR(INDEX(Cl_quartier,MATCH(R824,Cl_cle,0))&amp;"",""))</f>
        <v/>
      </c>
      <c r="V824" s="34">
        <f>IF(C824="","",YEAR(C824-WEEKDAY(C824,2)+4)&amp;"-S"&amp;TEXT(INT((C824-DATE(YEAR(C824-WEEKDAY(C824,2)+4),1,3)+WEEKDAY(DATE(YEAR(C824-WEEKDAY(C824,2)+4),1,3),2)+5)/7),"00"))</f>
        <v/>
      </c>
    </row>
    <row r="825" ht="18" customHeight="1">
      <c r="A825" s="39" t="n">
        <v>820</v>
      </c>
      <c r="B825" s="33">
        <f>IF(C825="","",IF(P825="À RENSEIGNER","GIC",P825)&amp;"-V"&amp;TEXT(A825,"00000"))</f>
        <v/>
      </c>
      <c r="C825" s="32" t="n"/>
      <c r="D825" s="35" t="n"/>
      <c r="E825" s="36" t="n"/>
      <c r="F825" s="36" t="n"/>
      <c r="G825" s="36" t="n"/>
      <c r="H825" s="36" t="n"/>
      <c r="I825" s="36" t="n"/>
      <c r="J825" s="37" t="n"/>
      <c r="K825" s="32" t="n"/>
      <c r="L825" s="36" t="n"/>
      <c r="M825" s="41" t="n"/>
      <c r="N825" s="41" t="n"/>
      <c r="O825" s="36" t="n"/>
      <c r="P825" s="33">
        <f>IF(C825="","",Commercial_Id)</f>
        <v/>
      </c>
      <c r="Q825" s="39">
        <f>IF(F825="","",IFERROR(VALUE(MID(F825,LEN(F825)-3,3)),""))</f>
        <v/>
      </c>
      <c r="R825" s="33">
        <f>IF(Q825="","",P825&amp;"|"&amp;Q825)</f>
        <v/>
      </c>
      <c r="S825" s="33">
        <f>IF(Q825="","",IF(P825="À RENSEIGNER","GIC",P825)&amp;"-"&amp;TEXT(Q825,"000"))</f>
        <v/>
      </c>
      <c r="T825" s="33">
        <f>IF(R825="","",IFERROR(INDEX(Cl_nom,MATCH(R825,Cl_cle,0)),"(client introuvable)"))</f>
        <v/>
      </c>
      <c r="U825" s="33">
        <f>IF(R825="","",IFERROR(INDEX(Cl_quartier,MATCH(R825,Cl_cle,0))&amp;"",""))</f>
        <v/>
      </c>
      <c r="V825" s="34">
        <f>IF(C825="","",YEAR(C825-WEEKDAY(C825,2)+4)&amp;"-S"&amp;TEXT(INT((C825-DATE(YEAR(C825-WEEKDAY(C825,2)+4),1,3)+WEEKDAY(DATE(YEAR(C825-WEEKDAY(C825,2)+4),1,3),2)+5)/7),"00"))</f>
        <v/>
      </c>
    </row>
    <row r="826" ht="18" customHeight="1">
      <c r="A826" s="39" t="n">
        <v>821</v>
      </c>
      <c r="B826" s="33">
        <f>IF(C826="","",IF(P826="À RENSEIGNER","GIC",P826)&amp;"-V"&amp;TEXT(A826,"00000"))</f>
        <v/>
      </c>
      <c r="C826" s="32" t="n"/>
      <c r="D826" s="35" t="n"/>
      <c r="E826" s="36" t="n"/>
      <c r="F826" s="36" t="n"/>
      <c r="G826" s="36" t="n"/>
      <c r="H826" s="36" t="n"/>
      <c r="I826" s="36" t="n"/>
      <c r="J826" s="37" t="n"/>
      <c r="K826" s="32" t="n"/>
      <c r="L826" s="36" t="n"/>
      <c r="M826" s="41" t="n"/>
      <c r="N826" s="41" t="n"/>
      <c r="O826" s="36" t="n"/>
      <c r="P826" s="33">
        <f>IF(C826="","",Commercial_Id)</f>
        <v/>
      </c>
      <c r="Q826" s="39">
        <f>IF(F826="","",IFERROR(VALUE(MID(F826,LEN(F826)-3,3)),""))</f>
        <v/>
      </c>
      <c r="R826" s="33">
        <f>IF(Q826="","",P826&amp;"|"&amp;Q826)</f>
        <v/>
      </c>
      <c r="S826" s="33">
        <f>IF(Q826="","",IF(P826="À RENSEIGNER","GIC",P826)&amp;"-"&amp;TEXT(Q826,"000"))</f>
        <v/>
      </c>
      <c r="T826" s="33">
        <f>IF(R826="","",IFERROR(INDEX(Cl_nom,MATCH(R826,Cl_cle,0)),"(client introuvable)"))</f>
        <v/>
      </c>
      <c r="U826" s="33">
        <f>IF(R826="","",IFERROR(INDEX(Cl_quartier,MATCH(R826,Cl_cle,0))&amp;"",""))</f>
        <v/>
      </c>
      <c r="V826" s="34">
        <f>IF(C826="","",YEAR(C826-WEEKDAY(C826,2)+4)&amp;"-S"&amp;TEXT(INT((C826-DATE(YEAR(C826-WEEKDAY(C826,2)+4),1,3)+WEEKDAY(DATE(YEAR(C826-WEEKDAY(C826,2)+4),1,3),2)+5)/7),"00"))</f>
        <v/>
      </c>
    </row>
    <row r="827" ht="18" customHeight="1">
      <c r="A827" s="39" t="n">
        <v>822</v>
      </c>
      <c r="B827" s="33">
        <f>IF(C827="","",IF(P827="À RENSEIGNER","GIC",P827)&amp;"-V"&amp;TEXT(A827,"00000"))</f>
        <v/>
      </c>
      <c r="C827" s="32" t="n"/>
      <c r="D827" s="35" t="n"/>
      <c r="E827" s="36" t="n"/>
      <c r="F827" s="36" t="n"/>
      <c r="G827" s="36" t="n"/>
      <c r="H827" s="36" t="n"/>
      <c r="I827" s="36" t="n"/>
      <c r="J827" s="37" t="n"/>
      <c r="K827" s="32" t="n"/>
      <c r="L827" s="36" t="n"/>
      <c r="M827" s="41" t="n"/>
      <c r="N827" s="41" t="n"/>
      <c r="O827" s="36" t="n"/>
      <c r="P827" s="33">
        <f>IF(C827="","",Commercial_Id)</f>
        <v/>
      </c>
      <c r="Q827" s="39">
        <f>IF(F827="","",IFERROR(VALUE(MID(F827,LEN(F827)-3,3)),""))</f>
        <v/>
      </c>
      <c r="R827" s="33">
        <f>IF(Q827="","",P827&amp;"|"&amp;Q827)</f>
        <v/>
      </c>
      <c r="S827" s="33">
        <f>IF(Q827="","",IF(P827="À RENSEIGNER","GIC",P827)&amp;"-"&amp;TEXT(Q827,"000"))</f>
        <v/>
      </c>
      <c r="T827" s="33">
        <f>IF(R827="","",IFERROR(INDEX(Cl_nom,MATCH(R827,Cl_cle,0)),"(client introuvable)"))</f>
        <v/>
      </c>
      <c r="U827" s="33">
        <f>IF(R827="","",IFERROR(INDEX(Cl_quartier,MATCH(R827,Cl_cle,0))&amp;"",""))</f>
        <v/>
      </c>
      <c r="V827" s="34">
        <f>IF(C827="","",YEAR(C827-WEEKDAY(C827,2)+4)&amp;"-S"&amp;TEXT(INT((C827-DATE(YEAR(C827-WEEKDAY(C827,2)+4),1,3)+WEEKDAY(DATE(YEAR(C827-WEEKDAY(C827,2)+4),1,3),2)+5)/7),"00"))</f>
        <v/>
      </c>
    </row>
    <row r="828" ht="18" customHeight="1">
      <c r="A828" s="39" t="n">
        <v>823</v>
      </c>
      <c r="B828" s="33">
        <f>IF(C828="","",IF(P828="À RENSEIGNER","GIC",P828)&amp;"-V"&amp;TEXT(A828,"00000"))</f>
        <v/>
      </c>
      <c r="C828" s="32" t="n"/>
      <c r="D828" s="35" t="n"/>
      <c r="E828" s="36" t="n"/>
      <c r="F828" s="36" t="n"/>
      <c r="G828" s="36" t="n"/>
      <c r="H828" s="36" t="n"/>
      <c r="I828" s="36" t="n"/>
      <c r="J828" s="37" t="n"/>
      <c r="K828" s="32" t="n"/>
      <c r="L828" s="36" t="n"/>
      <c r="M828" s="41" t="n"/>
      <c r="N828" s="41" t="n"/>
      <c r="O828" s="36" t="n"/>
      <c r="P828" s="33">
        <f>IF(C828="","",Commercial_Id)</f>
        <v/>
      </c>
      <c r="Q828" s="39">
        <f>IF(F828="","",IFERROR(VALUE(MID(F828,LEN(F828)-3,3)),""))</f>
        <v/>
      </c>
      <c r="R828" s="33">
        <f>IF(Q828="","",P828&amp;"|"&amp;Q828)</f>
        <v/>
      </c>
      <c r="S828" s="33">
        <f>IF(Q828="","",IF(P828="À RENSEIGNER","GIC",P828)&amp;"-"&amp;TEXT(Q828,"000"))</f>
        <v/>
      </c>
      <c r="T828" s="33">
        <f>IF(R828="","",IFERROR(INDEX(Cl_nom,MATCH(R828,Cl_cle,0)),"(client introuvable)"))</f>
        <v/>
      </c>
      <c r="U828" s="33">
        <f>IF(R828="","",IFERROR(INDEX(Cl_quartier,MATCH(R828,Cl_cle,0))&amp;"",""))</f>
        <v/>
      </c>
      <c r="V828" s="34">
        <f>IF(C828="","",YEAR(C828-WEEKDAY(C828,2)+4)&amp;"-S"&amp;TEXT(INT((C828-DATE(YEAR(C828-WEEKDAY(C828,2)+4),1,3)+WEEKDAY(DATE(YEAR(C828-WEEKDAY(C828,2)+4),1,3),2)+5)/7),"00"))</f>
        <v/>
      </c>
    </row>
    <row r="829" ht="18" customHeight="1">
      <c r="A829" s="39" t="n">
        <v>824</v>
      </c>
      <c r="B829" s="33">
        <f>IF(C829="","",IF(P829="À RENSEIGNER","GIC",P829)&amp;"-V"&amp;TEXT(A829,"00000"))</f>
        <v/>
      </c>
      <c r="C829" s="32" t="n"/>
      <c r="D829" s="35" t="n"/>
      <c r="E829" s="36" t="n"/>
      <c r="F829" s="36" t="n"/>
      <c r="G829" s="36" t="n"/>
      <c r="H829" s="36" t="n"/>
      <c r="I829" s="36" t="n"/>
      <c r="J829" s="37" t="n"/>
      <c r="K829" s="32" t="n"/>
      <c r="L829" s="36" t="n"/>
      <c r="M829" s="41" t="n"/>
      <c r="N829" s="41" t="n"/>
      <c r="O829" s="36" t="n"/>
      <c r="P829" s="33">
        <f>IF(C829="","",Commercial_Id)</f>
        <v/>
      </c>
      <c r="Q829" s="39">
        <f>IF(F829="","",IFERROR(VALUE(MID(F829,LEN(F829)-3,3)),""))</f>
        <v/>
      </c>
      <c r="R829" s="33">
        <f>IF(Q829="","",P829&amp;"|"&amp;Q829)</f>
        <v/>
      </c>
      <c r="S829" s="33">
        <f>IF(Q829="","",IF(P829="À RENSEIGNER","GIC",P829)&amp;"-"&amp;TEXT(Q829,"000"))</f>
        <v/>
      </c>
      <c r="T829" s="33">
        <f>IF(R829="","",IFERROR(INDEX(Cl_nom,MATCH(R829,Cl_cle,0)),"(client introuvable)"))</f>
        <v/>
      </c>
      <c r="U829" s="33">
        <f>IF(R829="","",IFERROR(INDEX(Cl_quartier,MATCH(R829,Cl_cle,0))&amp;"",""))</f>
        <v/>
      </c>
      <c r="V829" s="34">
        <f>IF(C829="","",YEAR(C829-WEEKDAY(C829,2)+4)&amp;"-S"&amp;TEXT(INT((C829-DATE(YEAR(C829-WEEKDAY(C829,2)+4),1,3)+WEEKDAY(DATE(YEAR(C829-WEEKDAY(C829,2)+4),1,3),2)+5)/7),"00"))</f>
        <v/>
      </c>
    </row>
    <row r="830" ht="18" customHeight="1">
      <c r="A830" s="39" t="n">
        <v>825</v>
      </c>
      <c r="B830" s="33">
        <f>IF(C830="","",IF(P830="À RENSEIGNER","GIC",P830)&amp;"-V"&amp;TEXT(A830,"00000"))</f>
        <v/>
      </c>
      <c r="C830" s="32" t="n"/>
      <c r="D830" s="35" t="n"/>
      <c r="E830" s="36" t="n"/>
      <c r="F830" s="36" t="n"/>
      <c r="G830" s="36" t="n"/>
      <c r="H830" s="36" t="n"/>
      <c r="I830" s="36" t="n"/>
      <c r="J830" s="37" t="n"/>
      <c r="K830" s="32" t="n"/>
      <c r="L830" s="36" t="n"/>
      <c r="M830" s="41" t="n"/>
      <c r="N830" s="41" t="n"/>
      <c r="O830" s="36" t="n"/>
      <c r="P830" s="33">
        <f>IF(C830="","",Commercial_Id)</f>
        <v/>
      </c>
      <c r="Q830" s="39">
        <f>IF(F830="","",IFERROR(VALUE(MID(F830,LEN(F830)-3,3)),""))</f>
        <v/>
      </c>
      <c r="R830" s="33">
        <f>IF(Q830="","",P830&amp;"|"&amp;Q830)</f>
        <v/>
      </c>
      <c r="S830" s="33">
        <f>IF(Q830="","",IF(P830="À RENSEIGNER","GIC",P830)&amp;"-"&amp;TEXT(Q830,"000"))</f>
        <v/>
      </c>
      <c r="T830" s="33">
        <f>IF(R830="","",IFERROR(INDEX(Cl_nom,MATCH(R830,Cl_cle,0)),"(client introuvable)"))</f>
        <v/>
      </c>
      <c r="U830" s="33">
        <f>IF(R830="","",IFERROR(INDEX(Cl_quartier,MATCH(R830,Cl_cle,0))&amp;"",""))</f>
        <v/>
      </c>
      <c r="V830" s="34">
        <f>IF(C830="","",YEAR(C830-WEEKDAY(C830,2)+4)&amp;"-S"&amp;TEXT(INT((C830-DATE(YEAR(C830-WEEKDAY(C830,2)+4),1,3)+WEEKDAY(DATE(YEAR(C830-WEEKDAY(C830,2)+4),1,3),2)+5)/7),"00"))</f>
        <v/>
      </c>
    </row>
    <row r="831" ht="18" customHeight="1">
      <c r="A831" s="39" t="n">
        <v>826</v>
      </c>
      <c r="B831" s="33">
        <f>IF(C831="","",IF(P831="À RENSEIGNER","GIC",P831)&amp;"-V"&amp;TEXT(A831,"00000"))</f>
        <v/>
      </c>
      <c r="C831" s="32" t="n"/>
      <c r="D831" s="35" t="n"/>
      <c r="E831" s="36" t="n"/>
      <c r="F831" s="36" t="n"/>
      <c r="G831" s="36" t="n"/>
      <c r="H831" s="36" t="n"/>
      <c r="I831" s="36" t="n"/>
      <c r="J831" s="37" t="n"/>
      <c r="K831" s="32" t="n"/>
      <c r="L831" s="36" t="n"/>
      <c r="M831" s="41" t="n"/>
      <c r="N831" s="41" t="n"/>
      <c r="O831" s="36" t="n"/>
      <c r="P831" s="33">
        <f>IF(C831="","",Commercial_Id)</f>
        <v/>
      </c>
      <c r="Q831" s="39">
        <f>IF(F831="","",IFERROR(VALUE(MID(F831,LEN(F831)-3,3)),""))</f>
        <v/>
      </c>
      <c r="R831" s="33">
        <f>IF(Q831="","",P831&amp;"|"&amp;Q831)</f>
        <v/>
      </c>
      <c r="S831" s="33">
        <f>IF(Q831="","",IF(P831="À RENSEIGNER","GIC",P831)&amp;"-"&amp;TEXT(Q831,"000"))</f>
        <v/>
      </c>
      <c r="T831" s="33">
        <f>IF(R831="","",IFERROR(INDEX(Cl_nom,MATCH(R831,Cl_cle,0)),"(client introuvable)"))</f>
        <v/>
      </c>
      <c r="U831" s="33">
        <f>IF(R831="","",IFERROR(INDEX(Cl_quartier,MATCH(R831,Cl_cle,0))&amp;"",""))</f>
        <v/>
      </c>
      <c r="V831" s="34">
        <f>IF(C831="","",YEAR(C831-WEEKDAY(C831,2)+4)&amp;"-S"&amp;TEXT(INT((C831-DATE(YEAR(C831-WEEKDAY(C831,2)+4),1,3)+WEEKDAY(DATE(YEAR(C831-WEEKDAY(C831,2)+4),1,3),2)+5)/7),"00"))</f>
        <v/>
      </c>
    </row>
    <row r="832" ht="18" customHeight="1">
      <c r="A832" s="39" t="n">
        <v>827</v>
      </c>
      <c r="B832" s="33">
        <f>IF(C832="","",IF(P832="À RENSEIGNER","GIC",P832)&amp;"-V"&amp;TEXT(A832,"00000"))</f>
        <v/>
      </c>
      <c r="C832" s="32" t="n"/>
      <c r="D832" s="35" t="n"/>
      <c r="E832" s="36" t="n"/>
      <c r="F832" s="36" t="n"/>
      <c r="G832" s="36" t="n"/>
      <c r="H832" s="36" t="n"/>
      <c r="I832" s="36" t="n"/>
      <c r="J832" s="37" t="n"/>
      <c r="K832" s="32" t="n"/>
      <c r="L832" s="36" t="n"/>
      <c r="M832" s="41" t="n"/>
      <c r="N832" s="41" t="n"/>
      <c r="O832" s="36" t="n"/>
      <c r="P832" s="33">
        <f>IF(C832="","",Commercial_Id)</f>
        <v/>
      </c>
      <c r="Q832" s="39">
        <f>IF(F832="","",IFERROR(VALUE(MID(F832,LEN(F832)-3,3)),""))</f>
        <v/>
      </c>
      <c r="R832" s="33">
        <f>IF(Q832="","",P832&amp;"|"&amp;Q832)</f>
        <v/>
      </c>
      <c r="S832" s="33">
        <f>IF(Q832="","",IF(P832="À RENSEIGNER","GIC",P832)&amp;"-"&amp;TEXT(Q832,"000"))</f>
        <v/>
      </c>
      <c r="T832" s="33">
        <f>IF(R832="","",IFERROR(INDEX(Cl_nom,MATCH(R832,Cl_cle,0)),"(client introuvable)"))</f>
        <v/>
      </c>
      <c r="U832" s="33">
        <f>IF(R832="","",IFERROR(INDEX(Cl_quartier,MATCH(R832,Cl_cle,0))&amp;"",""))</f>
        <v/>
      </c>
      <c r="V832" s="34">
        <f>IF(C832="","",YEAR(C832-WEEKDAY(C832,2)+4)&amp;"-S"&amp;TEXT(INT((C832-DATE(YEAR(C832-WEEKDAY(C832,2)+4),1,3)+WEEKDAY(DATE(YEAR(C832-WEEKDAY(C832,2)+4),1,3),2)+5)/7),"00"))</f>
        <v/>
      </c>
    </row>
    <row r="833" ht="18" customHeight="1">
      <c r="A833" s="39" t="n">
        <v>828</v>
      </c>
      <c r="B833" s="33">
        <f>IF(C833="","",IF(P833="À RENSEIGNER","GIC",P833)&amp;"-V"&amp;TEXT(A833,"00000"))</f>
        <v/>
      </c>
      <c r="C833" s="32" t="n"/>
      <c r="D833" s="35" t="n"/>
      <c r="E833" s="36" t="n"/>
      <c r="F833" s="36" t="n"/>
      <c r="G833" s="36" t="n"/>
      <c r="H833" s="36" t="n"/>
      <c r="I833" s="36" t="n"/>
      <c r="J833" s="37" t="n"/>
      <c r="K833" s="32" t="n"/>
      <c r="L833" s="36" t="n"/>
      <c r="M833" s="41" t="n"/>
      <c r="N833" s="41" t="n"/>
      <c r="O833" s="36" t="n"/>
      <c r="P833" s="33">
        <f>IF(C833="","",Commercial_Id)</f>
        <v/>
      </c>
      <c r="Q833" s="39">
        <f>IF(F833="","",IFERROR(VALUE(MID(F833,LEN(F833)-3,3)),""))</f>
        <v/>
      </c>
      <c r="R833" s="33">
        <f>IF(Q833="","",P833&amp;"|"&amp;Q833)</f>
        <v/>
      </c>
      <c r="S833" s="33">
        <f>IF(Q833="","",IF(P833="À RENSEIGNER","GIC",P833)&amp;"-"&amp;TEXT(Q833,"000"))</f>
        <v/>
      </c>
      <c r="T833" s="33">
        <f>IF(R833="","",IFERROR(INDEX(Cl_nom,MATCH(R833,Cl_cle,0)),"(client introuvable)"))</f>
        <v/>
      </c>
      <c r="U833" s="33">
        <f>IF(R833="","",IFERROR(INDEX(Cl_quartier,MATCH(R833,Cl_cle,0))&amp;"",""))</f>
        <v/>
      </c>
      <c r="V833" s="34">
        <f>IF(C833="","",YEAR(C833-WEEKDAY(C833,2)+4)&amp;"-S"&amp;TEXT(INT((C833-DATE(YEAR(C833-WEEKDAY(C833,2)+4),1,3)+WEEKDAY(DATE(YEAR(C833-WEEKDAY(C833,2)+4),1,3),2)+5)/7),"00"))</f>
        <v/>
      </c>
    </row>
    <row r="834" ht="18" customHeight="1">
      <c r="A834" s="39" t="n">
        <v>829</v>
      </c>
      <c r="B834" s="33">
        <f>IF(C834="","",IF(P834="À RENSEIGNER","GIC",P834)&amp;"-V"&amp;TEXT(A834,"00000"))</f>
        <v/>
      </c>
      <c r="C834" s="32" t="n"/>
      <c r="D834" s="35" t="n"/>
      <c r="E834" s="36" t="n"/>
      <c r="F834" s="36" t="n"/>
      <c r="G834" s="36" t="n"/>
      <c r="H834" s="36" t="n"/>
      <c r="I834" s="36" t="n"/>
      <c r="J834" s="37" t="n"/>
      <c r="K834" s="32" t="n"/>
      <c r="L834" s="36" t="n"/>
      <c r="M834" s="41" t="n"/>
      <c r="N834" s="41" t="n"/>
      <c r="O834" s="36" t="n"/>
      <c r="P834" s="33">
        <f>IF(C834="","",Commercial_Id)</f>
        <v/>
      </c>
      <c r="Q834" s="39">
        <f>IF(F834="","",IFERROR(VALUE(MID(F834,LEN(F834)-3,3)),""))</f>
        <v/>
      </c>
      <c r="R834" s="33">
        <f>IF(Q834="","",P834&amp;"|"&amp;Q834)</f>
        <v/>
      </c>
      <c r="S834" s="33">
        <f>IF(Q834="","",IF(P834="À RENSEIGNER","GIC",P834)&amp;"-"&amp;TEXT(Q834,"000"))</f>
        <v/>
      </c>
      <c r="T834" s="33">
        <f>IF(R834="","",IFERROR(INDEX(Cl_nom,MATCH(R834,Cl_cle,0)),"(client introuvable)"))</f>
        <v/>
      </c>
      <c r="U834" s="33">
        <f>IF(R834="","",IFERROR(INDEX(Cl_quartier,MATCH(R834,Cl_cle,0))&amp;"",""))</f>
        <v/>
      </c>
      <c r="V834" s="34">
        <f>IF(C834="","",YEAR(C834-WEEKDAY(C834,2)+4)&amp;"-S"&amp;TEXT(INT((C834-DATE(YEAR(C834-WEEKDAY(C834,2)+4),1,3)+WEEKDAY(DATE(YEAR(C834-WEEKDAY(C834,2)+4),1,3),2)+5)/7),"00"))</f>
        <v/>
      </c>
    </row>
    <row r="835" ht="18" customHeight="1">
      <c r="A835" s="39" t="n">
        <v>830</v>
      </c>
      <c r="B835" s="33">
        <f>IF(C835="","",IF(P835="À RENSEIGNER","GIC",P835)&amp;"-V"&amp;TEXT(A835,"00000"))</f>
        <v/>
      </c>
      <c r="C835" s="32" t="n"/>
      <c r="D835" s="35" t="n"/>
      <c r="E835" s="36" t="n"/>
      <c r="F835" s="36" t="n"/>
      <c r="G835" s="36" t="n"/>
      <c r="H835" s="36" t="n"/>
      <c r="I835" s="36" t="n"/>
      <c r="J835" s="37" t="n"/>
      <c r="K835" s="32" t="n"/>
      <c r="L835" s="36" t="n"/>
      <c r="M835" s="41" t="n"/>
      <c r="N835" s="41" t="n"/>
      <c r="O835" s="36" t="n"/>
      <c r="P835" s="33">
        <f>IF(C835="","",Commercial_Id)</f>
        <v/>
      </c>
      <c r="Q835" s="39">
        <f>IF(F835="","",IFERROR(VALUE(MID(F835,LEN(F835)-3,3)),""))</f>
        <v/>
      </c>
      <c r="R835" s="33">
        <f>IF(Q835="","",P835&amp;"|"&amp;Q835)</f>
        <v/>
      </c>
      <c r="S835" s="33">
        <f>IF(Q835="","",IF(P835="À RENSEIGNER","GIC",P835)&amp;"-"&amp;TEXT(Q835,"000"))</f>
        <v/>
      </c>
      <c r="T835" s="33">
        <f>IF(R835="","",IFERROR(INDEX(Cl_nom,MATCH(R835,Cl_cle,0)),"(client introuvable)"))</f>
        <v/>
      </c>
      <c r="U835" s="33">
        <f>IF(R835="","",IFERROR(INDEX(Cl_quartier,MATCH(R835,Cl_cle,0))&amp;"",""))</f>
        <v/>
      </c>
      <c r="V835" s="34">
        <f>IF(C835="","",YEAR(C835-WEEKDAY(C835,2)+4)&amp;"-S"&amp;TEXT(INT((C835-DATE(YEAR(C835-WEEKDAY(C835,2)+4),1,3)+WEEKDAY(DATE(YEAR(C835-WEEKDAY(C835,2)+4),1,3),2)+5)/7),"00"))</f>
        <v/>
      </c>
    </row>
    <row r="836" ht="18" customHeight="1">
      <c r="A836" s="39" t="n">
        <v>831</v>
      </c>
      <c r="B836" s="33">
        <f>IF(C836="","",IF(P836="À RENSEIGNER","GIC",P836)&amp;"-V"&amp;TEXT(A836,"00000"))</f>
        <v/>
      </c>
      <c r="C836" s="32" t="n"/>
      <c r="D836" s="35" t="n"/>
      <c r="E836" s="36" t="n"/>
      <c r="F836" s="36" t="n"/>
      <c r="G836" s="36" t="n"/>
      <c r="H836" s="36" t="n"/>
      <c r="I836" s="36" t="n"/>
      <c r="J836" s="37" t="n"/>
      <c r="K836" s="32" t="n"/>
      <c r="L836" s="36" t="n"/>
      <c r="M836" s="41" t="n"/>
      <c r="N836" s="41" t="n"/>
      <c r="O836" s="36" t="n"/>
      <c r="P836" s="33">
        <f>IF(C836="","",Commercial_Id)</f>
        <v/>
      </c>
      <c r="Q836" s="39">
        <f>IF(F836="","",IFERROR(VALUE(MID(F836,LEN(F836)-3,3)),""))</f>
        <v/>
      </c>
      <c r="R836" s="33">
        <f>IF(Q836="","",P836&amp;"|"&amp;Q836)</f>
        <v/>
      </c>
      <c r="S836" s="33">
        <f>IF(Q836="","",IF(P836="À RENSEIGNER","GIC",P836)&amp;"-"&amp;TEXT(Q836,"000"))</f>
        <v/>
      </c>
      <c r="T836" s="33">
        <f>IF(R836="","",IFERROR(INDEX(Cl_nom,MATCH(R836,Cl_cle,0)),"(client introuvable)"))</f>
        <v/>
      </c>
      <c r="U836" s="33">
        <f>IF(R836="","",IFERROR(INDEX(Cl_quartier,MATCH(R836,Cl_cle,0))&amp;"",""))</f>
        <v/>
      </c>
      <c r="V836" s="34">
        <f>IF(C836="","",YEAR(C836-WEEKDAY(C836,2)+4)&amp;"-S"&amp;TEXT(INT((C836-DATE(YEAR(C836-WEEKDAY(C836,2)+4),1,3)+WEEKDAY(DATE(YEAR(C836-WEEKDAY(C836,2)+4),1,3),2)+5)/7),"00"))</f>
        <v/>
      </c>
    </row>
    <row r="837" ht="18" customHeight="1">
      <c r="A837" s="39" t="n">
        <v>832</v>
      </c>
      <c r="B837" s="33">
        <f>IF(C837="","",IF(P837="À RENSEIGNER","GIC",P837)&amp;"-V"&amp;TEXT(A837,"00000"))</f>
        <v/>
      </c>
      <c r="C837" s="32" t="n"/>
      <c r="D837" s="35" t="n"/>
      <c r="E837" s="36" t="n"/>
      <c r="F837" s="36" t="n"/>
      <c r="G837" s="36" t="n"/>
      <c r="H837" s="36" t="n"/>
      <c r="I837" s="36" t="n"/>
      <c r="J837" s="37" t="n"/>
      <c r="K837" s="32" t="n"/>
      <c r="L837" s="36" t="n"/>
      <c r="M837" s="41" t="n"/>
      <c r="N837" s="41" t="n"/>
      <c r="O837" s="36" t="n"/>
      <c r="P837" s="33">
        <f>IF(C837="","",Commercial_Id)</f>
        <v/>
      </c>
      <c r="Q837" s="39">
        <f>IF(F837="","",IFERROR(VALUE(MID(F837,LEN(F837)-3,3)),""))</f>
        <v/>
      </c>
      <c r="R837" s="33">
        <f>IF(Q837="","",P837&amp;"|"&amp;Q837)</f>
        <v/>
      </c>
      <c r="S837" s="33">
        <f>IF(Q837="","",IF(P837="À RENSEIGNER","GIC",P837)&amp;"-"&amp;TEXT(Q837,"000"))</f>
        <v/>
      </c>
      <c r="T837" s="33">
        <f>IF(R837="","",IFERROR(INDEX(Cl_nom,MATCH(R837,Cl_cle,0)),"(client introuvable)"))</f>
        <v/>
      </c>
      <c r="U837" s="33">
        <f>IF(R837="","",IFERROR(INDEX(Cl_quartier,MATCH(R837,Cl_cle,0))&amp;"",""))</f>
        <v/>
      </c>
      <c r="V837" s="34">
        <f>IF(C837="","",YEAR(C837-WEEKDAY(C837,2)+4)&amp;"-S"&amp;TEXT(INT((C837-DATE(YEAR(C837-WEEKDAY(C837,2)+4),1,3)+WEEKDAY(DATE(YEAR(C837-WEEKDAY(C837,2)+4),1,3),2)+5)/7),"00"))</f>
        <v/>
      </c>
    </row>
    <row r="838" ht="18" customHeight="1">
      <c r="A838" s="39" t="n">
        <v>833</v>
      </c>
      <c r="B838" s="33">
        <f>IF(C838="","",IF(P838="À RENSEIGNER","GIC",P838)&amp;"-V"&amp;TEXT(A838,"00000"))</f>
        <v/>
      </c>
      <c r="C838" s="32" t="n"/>
      <c r="D838" s="35" t="n"/>
      <c r="E838" s="36" t="n"/>
      <c r="F838" s="36" t="n"/>
      <c r="G838" s="36" t="n"/>
      <c r="H838" s="36" t="n"/>
      <c r="I838" s="36" t="n"/>
      <c r="J838" s="37" t="n"/>
      <c r="K838" s="32" t="n"/>
      <c r="L838" s="36" t="n"/>
      <c r="M838" s="41" t="n"/>
      <c r="N838" s="41" t="n"/>
      <c r="O838" s="36" t="n"/>
      <c r="P838" s="33">
        <f>IF(C838="","",Commercial_Id)</f>
        <v/>
      </c>
      <c r="Q838" s="39">
        <f>IF(F838="","",IFERROR(VALUE(MID(F838,LEN(F838)-3,3)),""))</f>
        <v/>
      </c>
      <c r="R838" s="33">
        <f>IF(Q838="","",P838&amp;"|"&amp;Q838)</f>
        <v/>
      </c>
      <c r="S838" s="33">
        <f>IF(Q838="","",IF(P838="À RENSEIGNER","GIC",P838)&amp;"-"&amp;TEXT(Q838,"000"))</f>
        <v/>
      </c>
      <c r="T838" s="33">
        <f>IF(R838="","",IFERROR(INDEX(Cl_nom,MATCH(R838,Cl_cle,0)),"(client introuvable)"))</f>
        <v/>
      </c>
      <c r="U838" s="33">
        <f>IF(R838="","",IFERROR(INDEX(Cl_quartier,MATCH(R838,Cl_cle,0))&amp;"",""))</f>
        <v/>
      </c>
      <c r="V838" s="34">
        <f>IF(C838="","",YEAR(C838-WEEKDAY(C838,2)+4)&amp;"-S"&amp;TEXT(INT((C838-DATE(YEAR(C838-WEEKDAY(C838,2)+4),1,3)+WEEKDAY(DATE(YEAR(C838-WEEKDAY(C838,2)+4),1,3),2)+5)/7),"00"))</f>
        <v/>
      </c>
    </row>
    <row r="839" ht="18" customHeight="1">
      <c r="A839" s="39" t="n">
        <v>834</v>
      </c>
      <c r="B839" s="33">
        <f>IF(C839="","",IF(P839="À RENSEIGNER","GIC",P839)&amp;"-V"&amp;TEXT(A839,"00000"))</f>
        <v/>
      </c>
      <c r="C839" s="32" t="n"/>
      <c r="D839" s="35" t="n"/>
      <c r="E839" s="36" t="n"/>
      <c r="F839" s="36" t="n"/>
      <c r="G839" s="36" t="n"/>
      <c r="H839" s="36" t="n"/>
      <c r="I839" s="36" t="n"/>
      <c r="J839" s="37" t="n"/>
      <c r="K839" s="32" t="n"/>
      <c r="L839" s="36" t="n"/>
      <c r="M839" s="41" t="n"/>
      <c r="N839" s="41" t="n"/>
      <c r="O839" s="36" t="n"/>
      <c r="P839" s="33">
        <f>IF(C839="","",Commercial_Id)</f>
        <v/>
      </c>
      <c r="Q839" s="39">
        <f>IF(F839="","",IFERROR(VALUE(MID(F839,LEN(F839)-3,3)),""))</f>
        <v/>
      </c>
      <c r="R839" s="33">
        <f>IF(Q839="","",P839&amp;"|"&amp;Q839)</f>
        <v/>
      </c>
      <c r="S839" s="33">
        <f>IF(Q839="","",IF(P839="À RENSEIGNER","GIC",P839)&amp;"-"&amp;TEXT(Q839,"000"))</f>
        <v/>
      </c>
      <c r="T839" s="33">
        <f>IF(R839="","",IFERROR(INDEX(Cl_nom,MATCH(R839,Cl_cle,0)),"(client introuvable)"))</f>
        <v/>
      </c>
      <c r="U839" s="33">
        <f>IF(R839="","",IFERROR(INDEX(Cl_quartier,MATCH(R839,Cl_cle,0))&amp;"",""))</f>
        <v/>
      </c>
      <c r="V839" s="34">
        <f>IF(C839="","",YEAR(C839-WEEKDAY(C839,2)+4)&amp;"-S"&amp;TEXT(INT((C839-DATE(YEAR(C839-WEEKDAY(C839,2)+4),1,3)+WEEKDAY(DATE(YEAR(C839-WEEKDAY(C839,2)+4),1,3),2)+5)/7),"00"))</f>
        <v/>
      </c>
    </row>
    <row r="840" ht="18" customHeight="1">
      <c r="A840" s="39" t="n">
        <v>835</v>
      </c>
      <c r="B840" s="33">
        <f>IF(C840="","",IF(P840="À RENSEIGNER","GIC",P840)&amp;"-V"&amp;TEXT(A840,"00000"))</f>
        <v/>
      </c>
      <c r="C840" s="32" t="n"/>
      <c r="D840" s="35" t="n"/>
      <c r="E840" s="36" t="n"/>
      <c r="F840" s="36" t="n"/>
      <c r="G840" s="36" t="n"/>
      <c r="H840" s="36" t="n"/>
      <c r="I840" s="36" t="n"/>
      <c r="J840" s="37" t="n"/>
      <c r="K840" s="32" t="n"/>
      <c r="L840" s="36" t="n"/>
      <c r="M840" s="41" t="n"/>
      <c r="N840" s="41" t="n"/>
      <c r="O840" s="36" t="n"/>
      <c r="P840" s="33">
        <f>IF(C840="","",Commercial_Id)</f>
        <v/>
      </c>
      <c r="Q840" s="39">
        <f>IF(F840="","",IFERROR(VALUE(MID(F840,LEN(F840)-3,3)),""))</f>
        <v/>
      </c>
      <c r="R840" s="33">
        <f>IF(Q840="","",P840&amp;"|"&amp;Q840)</f>
        <v/>
      </c>
      <c r="S840" s="33">
        <f>IF(Q840="","",IF(P840="À RENSEIGNER","GIC",P840)&amp;"-"&amp;TEXT(Q840,"000"))</f>
        <v/>
      </c>
      <c r="T840" s="33">
        <f>IF(R840="","",IFERROR(INDEX(Cl_nom,MATCH(R840,Cl_cle,0)),"(client introuvable)"))</f>
        <v/>
      </c>
      <c r="U840" s="33">
        <f>IF(R840="","",IFERROR(INDEX(Cl_quartier,MATCH(R840,Cl_cle,0))&amp;"",""))</f>
        <v/>
      </c>
      <c r="V840" s="34">
        <f>IF(C840="","",YEAR(C840-WEEKDAY(C840,2)+4)&amp;"-S"&amp;TEXT(INT((C840-DATE(YEAR(C840-WEEKDAY(C840,2)+4),1,3)+WEEKDAY(DATE(YEAR(C840-WEEKDAY(C840,2)+4),1,3),2)+5)/7),"00"))</f>
        <v/>
      </c>
    </row>
    <row r="841" ht="18" customHeight="1">
      <c r="A841" s="39" t="n">
        <v>836</v>
      </c>
      <c r="B841" s="33">
        <f>IF(C841="","",IF(P841="À RENSEIGNER","GIC",P841)&amp;"-V"&amp;TEXT(A841,"00000"))</f>
        <v/>
      </c>
      <c r="C841" s="32" t="n"/>
      <c r="D841" s="35" t="n"/>
      <c r="E841" s="36" t="n"/>
      <c r="F841" s="36" t="n"/>
      <c r="G841" s="36" t="n"/>
      <c r="H841" s="36" t="n"/>
      <c r="I841" s="36" t="n"/>
      <c r="J841" s="37" t="n"/>
      <c r="K841" s="32" t="n"/>
      <c r="L841" s="36" t="n"/>
      <c r="M841" s="41" t="n"/>
      <c r="N841" s="41" t="n"/>
      <c r="O841" s="36" t="n"/>
      <c r="P841" s="33">
        <f>IF(C841="","",Commercial_Id)</f>
        <v/>
      </c>
      <c r="Q841" s="39">
        <f>IF(F841="","",IFERROR(VALUE(MID(F841,LEN(F841)-3,3)),""))</f>
        <v/>
      </c>
      <c r="R841" s="33">
        <f>IF(Q841="","",P841&amp;"|"&amp;Q841)</f>
        <v/>
      </c>
      <c r="S841" s="33">
        <f>IF(Q841="","",IF(P841="À RENSEIGNER","GIC",P841)&amp;"-"&amp;TEXT(Q841,"000"))</f>
        <v/>
      </c>
      <c r="T841" s="33">
        <f>IF(R841="","",IFERROR(INDEX(Cl_nom,MATCH(R841,Cl_cle,0)),"(client introuvable)"))</f>
        <v/>
      </c>
      <c r="U841" s="33">
        <f>IF(R841="","",IFERROR(INDEX(Cl_quartier,MATCH(R841,Cl_cle,0))&amp;"",""))</f>
        <v/>
      </c>
      <c r="V841" s="34">
        <f>IF(C841="","",YEAR(C841-WEEKDAY(C841,2)+4)&amp;"-S"&amp;TEXT(INT((C841-DATE(YEAR(C841-WEEKDAY(C841,2)+4),1,3)+WEEKDAY(DATE(YEAR(C841-WEEKDAY(C841,2)+4),1,3),2)+5)/7),"00"))</f>
        <v/>
      </c>
    </row>
    <row r="842" ht="18" customHeight="1">
      <c r="A842" s="39" t="n">
        <v>837</v>
      </c>
      <c r="B842" s="33">
        <f>IF(C842="","",IF(P842="À RENSEIGNER","GIC",P842)&amp;"-V"&amp;TEXT(A842,"00000"))</f>
        <v/>
      </c>
      <c r="C842" s="32" t="n"/>
      <c r="D842" s="35" t="n"/>
      <c r="E842" s="36" t="n"/>
      <c r="F842" s="36" t="n"/>
      <c r="G842" s="36" t="n"/>
      <c r="H842" s="36" t="n"/>
      <c r="I842" s="36" t="n"/>
      <c r="J842" s="37" t="n"/>
      <c r="K842" s="32" t="n"/>
      <c r="L842" s="36" t="n"/>
      <c r="M842" s="41" t="n"/>
      <c r="N842" s="41" t="n"/>
      <c r="O842" s="36" t="n"/>
      <c r="P842" s="33">
        <f>IF(C842="","",Commercial_Id)</f>
        <v/>
      </c>
      <c r="Q842" s="39">
        <f>IF(F842="","",IFERROR(VALUE(MID(F842,LEN(F842)-3,3)),""))</f>
        <v/>
      </c>
      <c r="R842" s="33">
        <f>IF(Q842="","",P842&amp;"|"&amp;Q842)</f>
        <v/>
      </c>
      <c r="S842" s="33">
        <f>IF(Q842="","",IF(P842="À RENSEIGNER","GIC",P842)&amp;"-"&amp;TEXT(Q842,"000"))</f>
        <v/>
      </c>
      <c r="T842" s="33">
        <f>IF(R842="","",IFERROR(INDEX(Cl_nom,MATCH(R842,Cl_cle,0)),"(client introuvable)"))</f>
        <v/>
      </c>
      <c r="U842" s="33">
        <f>IF(R842="","",IFERROR(INDEX(Cl_quartier,MATCH(R842,Cl_cle,0))&amp;"",""))</f>
        <v/>
      </c>
      <c r="V842" s="34">
        <f>IF(C842="","",YEAR(C842-WEEKDAY(C842,2)+4)&amp;"-S"&amp;TEXT(INT((C842-DATE(YEAR(C842-WEEKDAY(C842,2)+4),1,3)+WEEKDAY(DATE(YEAR(C842-WEEKDAY(C842,2)+4),1,3),2)+5)/7),"00"))</f>
        <v/>
      </c>
    </row>
    <row r="843" ht="18" customHeight="1">
      <c r="A843" s="39" t="n">
        <v>838</v>
      </c>
      <c r="B843" s="33">
        <f>IF(C843="","",IF(P843="À RENSEIGNER","GIC",P843)&amp;"-V"&amp;TEXT(A843,"00000"))</f>
        <v/>
      </c>
      <c r="C843" s="32" t="n"/>
      <c r="D843" s="35" t="n"/>
      <c r="E843" s="36" t="n"/>
      <c r="F843" s="36" t="n"/>
      <c r="G843" s="36" t="n"/>
      <c r="H843" s="36" t="n"/>
      <c r="I843" s="36" t="n"/>
      <c r="J843" s="37" t="n"/>
      <c r="K843" s="32" t="n"/>
      <c r="L843" s="36" t="n"/>
      <c r="M843" s="41" t="n"/>
      <c r="N843" s="41" t="n"/>
      <c r="O843" s="36" t="n"/>
      <c r="P843" s="33">
        <f>IF(C843="","",Commercial_Id)</f>
        <v/>
      </c>
      <c r="Q843" s="39">
        <f>IF(F843="","",IFERROR(VALUE(MID(F843,LEN(F843)-3,3)),""))</f>
        <v/>
      </c>
      <c r="R843" s="33">
        <f>IF(Q843="","",P843&amp;"|"&amp;Q843)</f>
        <v/>
      </c>
      <c r="S843" s="33">
        <f>IF(Q843="","",IF(P843="À RENSEIGNER","GIC",P843)&amp;"-"&amp;TEXT(Q843,"000"))</f>
        <v/>
      </c>
      <c r="T843" s="33">
        <f>IF(R843="","",IFERROR(INDEX(Cl_nom,MATCH(R843,Cl_cle,0)),"(client introuvable)"))</f>
        <v/>
      </c>
      <c r="U843" s="33">
        <f>IF(R843="","",IFERROR(INDEX(Cl_quartier,MATCH(R843,Cl_cle,0))&amp;"",""))</f>
        <v/>
      </c>
      <c r="V843" s="34">
        <f>IF(C843="","",YEAR(C843-WEEKDAY(C843,2)+4)&amp;"-S"&amp;TEXT(INT((C843-DATE(YEAR(C843-WEEKDAY(C843,2)+4),1,3)+WEEKDAY(DATE(YEAR(C843-WEEKDAY(C843,2)+4),1,3),2)+5)/7),"00"))</f>
        <v/>
      </c>
    </row>
    <row r="844" ht="18" customHeight="1">
      <c r="A844" s="39" t="n">
        <v>839</v>
      </c>
      <c r="B844" s="33">
        <f>IF(C844="","",IF(P844="À RENSEIGNER","GIC",P844)&amp;"-V"&amp;TEXT(A844,"00000"))</f>
        <v/>
      </c>
      <c r="C844" s="32" t="n"/>
      <c r="D844" s="35" t="n"/>
      <c r="E844" s="36" t="n"/>
      <c r="F844" s="36" t="n"/>
      <c r="G844" s="36" t="n"/>
      <c r="H844" s="36" t="n"/>
      <c r="I844" s="36" t="n"/>
      <c r="J844" s="37" t="n"/>
      <c r="K844" s="32" t="n"/>
      <c r="L844" s="36" t="n"/>
      <c r="M844" s="41" t="n"/>
      <c r="N844" s="41" t="n"/>
      <c r="O844" s="36" t="n"/>
      <c r="P844" s="33">
        <f>IF(C844="","",Commercial_Id)</f>
        <v/>
      </c>
      <c r="Q844" s="39">
        <f>IF(F844="","",IFERROR(VALUE(MID(F844,LEN(F844)-3,3)),""))</f>
        <v/>
      </c>
      <c r="R844" s="33">
        <f>IF(Q844="","",P844&amp;"|"&amp;Q844)</f>
        <v/>
      </c>
      <c r="S844" s="33">
        <f>IF(Q844="","",IF(P844="À RENSEIGNER","GIC",P844)&amp;"-"&amp;TEXT(Q844,"000"))</f>
        <v/>
      </c>
      <c r="T844" s="33">
        <f>IF(R844="","",IFERROR(INDEX(Cl_nom,MATCH(R844,Cl_cle,0)),"(client introuvable)"))</f>
        <v/>
      </c>
      <c r="U844" s="33">
        <f>IF(R844="","",IFERROR(INDEX(Cl_quartier,MATCH(R844,Cl_cle,0))&amp;"",""))</f>
        <v/>
      </c>
      <c r="V844" s="34">
        <f>IF(C844="","",YEAR(C844-WEEKDAY(C844,2)+4)&amp;"-S"&amp;TEXT(INT((C844-DATE(YEAR(C844-WEEKDAY(C844,2)+4),1,3)+WEEKDAY(DATE(YEAR(C844-WEEKDAY(C844,2)+4),1,3),2)+5)/7),"00"))</f>
        <v/>
      </c>
    </row>
    <row r="845" ht="18" customHeight="1">
      <c r="A845" s="39" t="n">
        <v>840</v>
      </c>
      <c r="B845" s="33">
        <f>IF(C845="","",IF(P845="À RENSEIGNER","GIC",P845)&amp;"-V"&amp;TEXT(A845,"00000"))</f>
        <v/>
      </c>
      <c r="C845" s="32" t="n"/>
      <c r="D845" s="35" t="n"/>
      <c r="E845" s="36" t="n"/>
      <c r="F845" s="36" t="n"/>
      <c r="G845" s="36" t="n"/>
      <c r="H845" s="36" t="n"/>
      <c r="I845" s="36" t="n"/>
      <c r="J845" s="37" t="n"/>
      <c r="K845" s="32" t="n"/>
      <c r="L845" s="36" t="n"/>
      <c r="M845" s="41" t="n"/>
      <c r="N845" s="41" t="n"/>
      <c r="O845" s="36" t="n"/>
      <c r="P845" s="33">
        <f>IF(C845="","",Commercial_Id)</f>
        <v/>
      </c>
      <c r="Q845" s="39">
        <f>IF(F845="","",IFERROR(VALUE(MID(F845,LEN(F845)-3,3)),""))</f>
        <v/>
      </c>
      <c r="R845" s="33">
        <f>IF(Q845="","",P845&amp;"|"&amp;Q845)</f>
        <v/>
      </c>
      <c r="S845" s="33">
        <f>IF(Q845="","",IF(P845="À RENSEIGNER","GIC",P845)&amp;"-"&amp;TEXT(Q845,"000"))</f>
        <v/>
      </c>
      <c r="T845" s="33">
        <f>IF(R845="","",IFERROR(INDEX(Cl_nom,MATCH(R845,Cl_cle,0)),"(client introuvable)"))</f>
        <v/>
      </c>
      <c r="U845" s="33">
        <f>IF(R845="","",IFERROR(INDEX(Cl_quartier,MATCH(R845,Cl_cle,0))&amp;"",""))</f>
        <v/>
      </c>
      <c r="V845" s="34">
        <f>IF(C845="","",YEAR(C845-WEEKDAY(C845,2)+4)&amp;"-S"&amp;TEXT(INT((C845-DATE(YEAR(C845-WEEKDAY(C845,2)+4),1,3)+WEEKDAY(DATE(YEAR(C845-WEEKDAY(C845,2)+4),1,3),2)+5)/7),"00"))</f>
        <v/>
      </c>
    </row>
    <row r="846" ht="18" customHeight="1">
      <c r="A846" s="39" t="n">
        <v>841</v>
      </c>
      <c r="B846" s="33">
        <f>IF(C846="","",IF(P846="À RENSEIGNER","GIC",P846)&amp;"-V"&amp;TEXT(A846,"00000"))</f>
        <v/>
      </c>
      <c r="C846" s="32" t="n"/>
      <c r="D846" s="35" t="n"/>
      <c r="E846" s="36" t="n"/>
      <c r="F846" s="36" t="n"/>
      <c r="G846" s="36" t="n"/>
      <c r="H846" s="36" t="n"/>
      <c r="I846" s="36" t="n"/>
      <c r="J846" s="37" t="n"/>
      <c r="K846" s="32" t="n"/>
      <c r="L846" s="36" t="n"/>
      <c r="M846" s="41" t="n"/>
      <c r="N846" s="41" t="n"/>
      <c r="O846" s="36" t="n"/>
      <c r="P846" s="33">
        <f>IF(C846="","",Commercial_Id)</f>
        <v/>
      </c>
      <c r="Q846" s="39">
        <f>IF(F846="","",IFERROR(VALUE(MID(F846,LEN(F846)-3,3)),""))</f>
        <v/>
      </c>
      <c r="R846" s="33">
        <f>IF(Q846="","",P846&amp;"|"&amp;Q846)</f>
        <v/>
      </c>
      <c r="S846" s="33">
        <f>IF(Q846="","",IF(P846="À RENSEIGNER","GIC",P846)&amp;"-"&amp;TEXT(Q846,"000"))</f>
        <v/>
      </c>
      <c r="T846" s="33">
        <f>IF(R846="","",IFERROR(INDEX(Cl_nom,MATCH(R846,Cl_cle,0)),"(client introuvable)"))</f>
        <v/>
      </c>
      <c r="U846" s="33">
        <f>IF(R846="","",IFERROR(INDEX(Cl_quartier,MATCH(R846,Cl_cle,0))&amp;"",""))</f>
        <v/>
      </c>
      <c r="V846" s="34">
        <f>IF(C846="","",YEAR(C846-WEEKDAY(C846,2)+4)&amp;"-S"&amp;TEXT(INT((C846-DATE(YEAR(C846-WEEKDAY(C846,2)+4),1,3)+WEEKDAY(DATE(YEAR(C846-WEEKDAY(C846,2)+4),1,3),2)+5)/7),"00"))</f>
        <v/>
      </c>
    </row>
    <row r="847" ht="18" customHeight="1">
      <c r="A847" s="39" t="n">
        <v>842</v>
      </c>
      <c r="B847" s="33">
        <f>IF(C847="","",IF(P847="À RENSEIGNER","GIC",P847)&amp;"-V"&amp;TEXT(A847,"00000"))</f>
        <v/>
      </c>
      <c r="C847" s="32" t="n"/>
      <c r="D847" s="35" t="n"/>
      <c r="E847" s="36" t="n"/>
      <c r="F847" s="36" t="n"/>
      <c r="G847" s="36" t="n"/>
      <c r="H847" s="36" t="n"/>
      <c r="I847" s="36" t="n"/>
      <c r="J847" s="37" t="n"/>
      <c r="K847" s="32" t="n"/>
      <c r="L847" s="36" t="n"/>
      <c r="M847" s="41" t="n"/>
      <c r="N847" s="41" t="n"/>
      <c r="O847" s="36" t="n"/>
      <c r="P847" s="33">
        <f>IF(C847="","",Commercial_Id)</f>
        <v/>
      </c>
      <c r="Q847" s="39">
        <f>IF(F847="","",IFERROR(VALUE(MID(F847,LEN(F847)-3,3)),""))</f>
        <v/>
      </c>
      <c r="R847" s="33">
        <f>IF(Q847="","",P847&amp;"|"&amp;Q847)</f>
        <v/>
      </c>
      <c r="S847" s="33">
        <f>IF(Q847="","",IF(P847="À RENSEIGNER","GIC",P847)&amp;"-"&amp;TEXT(Q847,"000"))</f>
        <v/>
      </c>
      <c r="T847" s="33">
        <f>IF(R847="","",IFERROR(INDEX(Cl_nom,MATCH(R847,Cl_cle,0)),"(client introuvable)"))</f>
        <v/>
      </c>
      <c r="U847" s="33">
        <f>IF(R847="","",IFERROR(INDEX(Cl_quartier,MATCH(R847,Cl_cle,0))&amp;"",""))</f>
        <v/>
      </c>
      <c r="V847" s="34">
        <f>IF(C847="","",YEAR(C847-WEEKDAY(C847,2)+4)&amp;"-S"&amp;TEXT(INT((C847-DATE(YEAR(C847-WEEKDAY(C847,2)+4),1,3)+WEEKDAY(DATE(YEAR(C847-WEEKDAY(C847,2)+4),1,3),2)+5)/7),"00"))</f>
        <v/>
      </c>
    </row>
    <row r="848" ht="18" customHeight="1">
      <c r="A848" s="39" t="n">
        <v>843</v>
      </c>
      <c r="B848" s="33">
        <f>IF(C848="","",IF(P848="À RENSEIGNER","GIC",P848)&amp;"-V"&amp;TEXT(A848,"00000"))</f>
        <v/>
      </c>
      <c r="C848" s="32" t="n"/>
      <c r="D848" s="35" t="n"/>
      <c r="E848" s="36" t="n"/>
      <c r="F848" s="36" t="n"/>
      <c r="G848" s="36" t="n"/>
      <c r="H848" s="36" t="n"/>
      <c r="I848" s="36" t="n"/>
      <c r="J848" s="37" t="n"/>
      <c r="K848" s="32" t="n"/>
      <c r="L848" s="36" t="n"/>
      <c r="M848" s="41" t="n"/>
      <c r="N848" s="41" t="n"/>
      <c r="O848" s="36" t="n"/>
      <c r="P848" s="33">
        <f>IF(C848="","",Commercial_Id)</f>
        <v/>
      </c>
      <c r="Q848" s="39">
        <f>IF(F848="","",IFERROR(VALUE(MID(F848,LEN(F848)-3,3)),""))</f>
        <v/>
      </c>
      <c r="R848" s="33">
        <f>IF(Q848="","",P848&amp;"|"&amp;Q848)</f>
        <v/>
      </c>
      <c r="S848" s="33">
        <f>IF(Q848="","",IF(P848="À RENSEIGNER","GIC",P848)&amp;"-"&amp;TEXT(Q848,"000"))</f>
        <v/>
      </c>
      <c r="T848" s="33">
        <f>IF(R848="","",IFERROR(INDEX(Cl_nom,MATCH(R848,Cl_cle,0)),"(client introuvable)"))</f>
        <v/>
      </c>
      <c r="U848" s="33">
        <f>IF(R848="","",IFERROR(INDEX(Cl_quartier,MATCH(R848,Cl_cle,0))&amp;"",""))</f>
        <v/>
      </c>
      <c r="V848" s="34">
        <f>IF(C848="","",YEAR(C848-WEEKDAY(C848,2)+4)&amp;"-S"&amp;TEXT(INT((C848-DATE(YEAR(C848-WEEKDAY(C848,2)+4),1,3)+WEEKDAY(DATE(YEAR(C848-WEEKDAY(C848,2)+4),1,3),2)+5)/7),"00"))</f>
        <v/>
      </c>
    </row>
    <row r="849" ht="18" customHeight="1">
      <c r="A849" s="39" t="n">
        <v>844</v>
      </c>
      <c r="B849" s="33">
        <f>IF(C849="","",IF(P849="À RENSEIGNER","GIC",P849)&amp;"-V"&amp;TEXT(A849,"00000"))</f>
        <v/>
      </c>
      <c r="C849" s="32" t="n"/>
      <c r="D849" s="35" t="n"/>
      <c r="E849" s="36" t="n"/>
      <c r="F849" s="36" t="n"/>
      <c r="G849" s="36" t="n"/>
      <c r="H849" s="36" t="n"/>
      <c r="I849" s="36" t="n"/>
      <c r="J849" s="37" t="n"/>
      <c r="K849" s="32" t="n"/>
      <c r="L849" s="36" t="n"/>
      <c r="M849" s="41" t="n"/>
      <c r="N849" s="41" t="n"/>
      <c r="O849" s="36" t="n"/>
      <c r="P849" s="33">
        <f>IF(C849="","",Commercial_Id)</f>
        <v/>
      </c>
      <c r="Q849" s="39">
        <f>IF(F849="","",IFERROR(VALUE(MID(F849,LEN(F849)-3,3)),""))</f>
        <v/>
      </c>
      <c r="R849" s="33">
        <f>IF(Q849="","",P849&amp;"|"&amp;Q849)</f>
        <v/>
      </c>
      <c r="S849" s="33">
        <f>IF(Q849="","",IF(P849="À RENSEIGNER","GIC",P849)&amp;"-"&amp;TEXT(Q849,"000"))</f>
        <v/>
      </c>
      <c r="T849" s="33">
        <f>IF(R849="","",IFERROR(INDEX(Cl_nom,MATCH(R849,Cl_cle,0)),"(client introuvable)"))</f>
        <v/>
      </c>
      <c r="U849" s="33">
        <f>IF(R849="","",IFERROR(INDEX(Cl_quartier,MATCH(R849,Cl_cle,0))&amp;"",""))</f>
        <v/>
      </c>
      <c r="V849" s="34">
        <f>IF(C849="","",YEAR(C849-WEEKDAY(C849,2)+4)&amp;"-S"&amp;TEXT(INT((C849-DATE(YEAR(C849-WEEKDAY(C849,2)+4),1,3)+WEEKDAY(DATE(YEAR(C849-WEEKDAY(C849,2)+4),1,3),2)+5)/7),"00"))</f>
        <v/>
      </c>
    </row>
    <row r="850" ht="18" customHeight="1">
      <c r="A850" s="39" t="n">
        <v>845</v>
      </c>
      <c r="B850" s="33">
        <f>IF(C850="","",IF(P850="À RENSEIGNER","GIC",P850)&amp;"-V"&amp;TEXT(A850,"00000"))</f>
        <v/>
      </c>
      <c r="C850" s="32" t="n"/>
      <c r="D850" s="35" t="n"/>
      <c r="E850" s="36" t="n"/>
      <c r="F850" s="36" t="n"/>
      <c r="G850" s="36" t="n"/>
      <c r="H850" s="36" t="n"/>
      <c r="I850" s="36" t="n"/>
      <c r="J850" s="37" t="n"/>
      <c r="K850" s="32" t="n"/>
      <c r="L850" s="36" t="n"/>
      <c r="M850" s="41" t="n"/>
      <c r="N850" s="41" t="n"/>
      <c r="O850" s="36" t="n"/>
      <c r="P850" s="33">
        <f>IF(C850="","",Commercial_Id)</f>
        <v/>
      </c>
      <c r="Q850" s="39">
        <f>IF(F850="","",IFERROR(VALUE(MID(F850,LEN(F850)-3,3)),""))</f>
        <v/>
      </c>
      <c r="R850" s="33">
        <f>IF(Q850="","",P850&amp;"|"&amp;Q850)</f>
        <v/>
      </c>
      <c r="S850" s="33">
        <f>IF(Q850="","",IF(P850="À RENSEIGNER","GIC",P850)&amp;"-"&amp;TEXT(Q850,"000"))</f>
        <v/>
      </c>
      <c r="T850" s="33">
        <f>IF(R850="","",IFERROR(INDEX(Cl_nom,MATCH(R850,Cl_cle,0)),"(client introuvable)"))</f>
        <v/>
      </c>
      <c r="U850" s="33">
        <f>IF(R850="","",IFERROR(INDEX(Cl_quartier,MATCH(R850,Cl_cle,0))&amp;"",""))</f>
        <v/>
      </c>
      <c r="V850" s="34">
        <f>IF(C850="","",YEAR(C850-WEEKDAY(C850,2)+4)&amp;"-S"&amp;TEXT(INT((C850-DATE(YEAR(C850-WEEKDAY(C850,2)+4),1,3)+WEEKDAY(DATE(YEAR(C850-WEEKDAY(C850,2)+4),1,3),2)+5)/7),"00"))</f>
        <v/>
      </c>
    </row>
    <row r="851" ht="18" customHeight="1">
      <c r="A851" s="39" t="n">
        <v>846</v>
      </c>
      <c r="B851" s="33">
        <f>IF(C851="","",IF(P851="À RENSEIGNER","GIC",P851)&amp;"-V"&amp;TEXT(A851,"00000"))</f>
        <v/>
      </c>
      <c r="C851" s="32" t="n"/>
      <c r="D851" s="35" t="n"/>
      <c r="E851" s="36" t="n"/>
      <c r="F851" s="36" t="n"/>
      <c r="G851" s="36" t="n"/>
      <c r="H851" s="36" t="n"/>
      <c r="I851" s="36" t="n"/>
      <c r="J851" s="37" t="n"/>
      <c r="K851" s="32" t="n"/>
      <c r="L851" s="36" t="n"/>
      <c r="M851" s="41" t="n"/>
      <c r="N851" s="41" t="n"/>
      <c r="O851" s="36" t="n"/>
      <c r="P851" s="33">
        <f>IF(C851="","",Commercial_Id)</f>
        <v/>
      </c>
      <c r="Q851" s="39">
        <f>IF(F851="","",IFERROR(VALUE(MID(F851,LEN(F851)-3,3)),""))</f>
        <v/>
      </c>
      <c r="R851" s="33">
        <f>IF(Q851="","",P851&amp;"|"&amp;Q851)</f>
        <v/>
      </c>
      <c r="S851" s="33">
        <f>IF(Q851="","",IF(P851="À RENSEIGNER","GIC",P851)&amp;"-"&amp;TEXT(Q851,"000"))</f>
        <v/>
      </c>
      <c r="T851" s="33">
        <f>IF(R851="","",IFERROR(INDEX(Cl_nom,MATCH(R851,Cl_cle,0)),"(client introuvable)"))</f>
        <v/>
      </c>
      <c r="U851" s="33">
        <f>IF(R851="","",IFERROR(INDEX(Cl_quartier,MATCH(R851,Cl_cle,0))&amp;"",""))</f>
        <v/>
      </c>
      <c r="V851" s="34">
        <f>IF(C851="","",YEAR(C851-WEEKDAY(C851,2)+4)&amp;"-S"&amp;TEXT(INT((C851-DATE(YEAR(C851-WEEKDAY(C851,2)+4),1,3)+WEEKDAY(DATE(YEAR(C851-WEEKDAY(C851,2)+4),1,3),2)+5)/7),"00"))</f>
        <v/>
      </c>
    </row>
    <row r="852" ht="18" customHeight="1">
      <c r="A852" s="39" t="n">
        <v>847</v>
      </c>
      <c r="B852" s="33">
        <f>IF(C852="","",IF(P852="À RENSEIGNER","GIC",P852)&amp;"-V"&amp;TEXT(A852,"00000"))</f>
        <v/>
      </c>
      <c r="C852" s="32" t="n"/>
      <c r="D852" s="35" t="n"/>
      <c r="E852" s="36" t="n"/>
      <c r="F852" s="36" t="n"/>
      <c r="G852" s="36" t="n"/>
      <c r="H852" s="36" t="n"/>
      <c r="I852" s="36" t="n"/>
      <c r="J852" s="37" t="n"/>
      <c r="K852" s="32" t="n"/>
      <c r="L852" s="36" t="n"/>
      <c r="M852" s="41" t="n"/>
      <c r="N852" s="41" t="n"/>
      <c r="O852" s="36" t="n"/>
      <c r="P852" s="33">
        <f>IF(C852="","",Commercial_Id)</f>
        <v/>
      </c>
      <c r="Q852" s="39">
        <f>IF(F852="","",IFERROR(VALUE(MID(F852,LEN(F852)-3,3)),""))</f>
        <v/>
      </c>
      <c r="R852" s="33">
        <f>IF(Q852="","",P852&amp;"|"&amp;Q852)</f>
        <v/>
      </c>
      <c r="S852" s="33">
        <f>IF(Q852="","",IF(P852="À RENSEIGNER","GIC",P852)&amp;"-"&amp;TEXT(Q852,"000"))</f>
        <v/>
      </c>
      <c r="T852" s="33">
        <f>IF(R852="","",IFERROR(INDEX(Cl_nom,MATCH(R852,Cl_cle,0)),"(client introuvable)"))</f>
        <v/>
      </c>
      <c r="U852" s="33">
        <f>IF(R852="","",IFERROR(INDEX(Cl_quartier,MATCH(R852,Cl_cle,0))&amp;"",""))</f>
        <v/>
      </c>
      <c r="V852" s="34">
        <f>IF(C852="","",YEAR(C852-WEEKDAY(C852,2)+4)&amp;"-S"&amp;TEXT(INT((C852-DATE(YEAR(C852-WEEKDAY(C852,2)+4),1,3)+WEEKDAY(DATE(YEAR(C852-WEEKDAY(C852,2)+4),1,3),2)+5)/7),"00"))</f>
        <v/>
      </c>
    </row>
    <row r="853" ht="18" customHeight="1">
      <c r="A853" s="39" t="n">
        <v>848</v>
      </c>
      <c r="B853" s="33">
        <f>IF(C853="","",IF(P853="À RENSEIGNER","GIC",P853)&amp;"-V"&amp;TEXT(A853,"00000"))</f>
        <v/>
      </c>
      <c r="C853" s="32" t="n"/>
      <c r="D853" s="35" t="n"/>
      <c r="E853" s="36" t="n"/>
      <c r="F853" s="36" t="n"/>
      <c r="G853" s="36" t="n"/>
      <c r="H853" s="36" t="n"/>
      <c r="I853" s="36" t="n"/>
      <c r="J853" s="37" t="n"/>
      <c r="K853" s="32" t="n"/>
      <c r="L853" s="36" t="n"/>
      <c r="M853" s="41" t="n"/>
      <c r="N853" s="41" t="n"/>
      <c r="O853" s="36" t="n"/>
      <c r="P853" s="33">
        <f>IF(C853="","",Commercial_Id)</f>
        <v/>
      </c>
      <c r="Q853" s="39">
        <f>IF(F853="","",IFERROR(VALUE(MID(F853,LEN(F853)-3,3)),""))</f>
        <v/>
      </c>
      <c r="R853" s="33">
        <f>IF(Q853="","",P853&amp;"|"&amp;Q853)</f>
        <v/>
      </c>
      <c r="S853" s="33">
        <f>IF(Q853="","",IF(P853="À RENSEIGNER","GIC",P853)&amp;"-"&amp;TEXT(Q853,"000"))</f>
        <v/>
      </c>
      <c r="T853" s="33">
        <f>IF(R853="","",IFERROR(INDEX(Cl_nom,MATCH(R853,Cl_cle,0)),"(client introuvable)"))</f>
        <v/>
      </c>
      <c r="U853" s="33">
        <f>IF(R853="","",IFERROR(INDEX(Cl_quartier,MATCH(R853,Cl_cle,0))&amp;"",""))</f>
        <v/>
      </c>
      <c r="V853" s="34">
        <f>IF(C853="","",YEAR(C853-WEEKDAY(C853,2)+4)&amp;"-S"&amp;TEXT(INT((C853-DATE(YEAR(C853-WEEKDAY(C853,2)+4),1,3)+WEEKDAY(DATE(YEAR(C853-WEEKDAY(C853,2)+4),1,3),2)+5)/7),"00"))</f>
        <v/>
      </c>
    </row>
    <row r="854" ht="18" customHeight="1">
      <c r="A854" s="39" t="n">
        <v>849</v>
      </c>
      <c r="B854" s="33">
        <f>IF(C854="","",IF(P854="À RENSEIGNER","GIC",P854)&amp;"-V"&amp;TEXT(A854,"00000"))</f>
        <v/>
      </c>
      <c r="C854" s="32" t="n"/>
      <c r="D854" s="35" t="n"/>
      <c r="E854" s="36" t="n"/>
      <c r="F854" s="36" t="n"/>
      <c r="G854" s="36" t="n"/>
      <c r="H854" s="36" t="n"/>
      <c r="I854" s="36" t="n"/>
      <c r="J854" s="37" t="n"/>
      <c r="K854" s="32" t="n"/>
      <c r="L854" s="36" t="n"/>
      <c r="M854" s="41" t="n"/>
      <c r="N854" s="41" t="n"/>
      <c r="O854" s="36" t="n"/>
      <c r="P854" s="33">
        <f>IF(C854="","",Commercial_Id)</f>
        <v/>
      </c>
      <c r="Q854" s="39">
        <f>IF(F854="","",IFERROR(VALUE(MID(F854,LEN(F854)-3,3)),""))</f>
        <v/>
      </c>
      <c r="R854" s="33">
        <f>IF(Q854="","",P854&amp;"|"&amp;Q854)</f>
        <v/>
      </c>
      <c r="S854" s="33">
        <f>IF(Q854="","",IF(P854="À RENSEIGNER","GIC",P854)&amp;"-"&amp;TEXT(Q854,"000"))</f>
        <v/>
      </c>
      <c r="T854" s="33">
        <f>IF(R854="","",IFERROR(INDEX(Cl_nom,MATCH(R854,Cl_cle,0)),"(client introuvable)"))</f>
        <v/>
      </c>
      <c r="U854" s="33">
        <f>IF(R854="","",IFERROR(INDEX(Cl_quartier,MATCH(R854,Cl_cle,0))&amp;"",""))</f>
        <v/>
      </c>
      <c r="V854" s="34">
        <f>IF(C854="","",YEAR(C854-WEEKDAY(C854,2)+4)&amp;"-S"&amp;TEXT(INT((C854-DATE(YEAR(C854-WEEKDAY(C854,2)+4),1,3)+WEEKDAY(DATE(YEAR(C854-WEEKDAY(C854,2)+4),1,3),2)+5)/7),"00"))</f>
        <v/>
      </c>
    </row>
    <row r="855" ht="18" customHeight="1">
      <c r="A855" s="39" t="n">
        <v>850</v>
      </c>
      <c r="B855" s="33">
        <f>IF(C855="","",IF(P855="À RENSEIGNER","GIC",P855)&amp;"-V"&amp;TEXT(A855,"00000"))</f>
        <v/>
      </c>
      <c r="C855" s="32" t="n"/>
      <c r="D855" s="35" t="n"/>
      <c r="E855" s="36" t="n"/>
      <c r="F855" s="36" t="n"/>
      <c r="G855" s="36" t="n"/>
      <c r="H855" s="36" t="n"/>
      <c r="I855" s="36" t="n"/>
      <c r="J855" s="37" t="n"/>
      <c r="K855" s="32" t="n"/>
      <c r="L855" s="36" t="n"/>
      <c r="M855" s="41" t="n"/>
      <c r="N855" s="41" t="n"/>
      <c r="O855" s="36" t="n"/>
      <c r="P855" s="33">
        <f>IF(C855="","",Commercial_Id)</f>
        <v/>
      </c>
      <c r="Q855" s="39">
        <f>IF(F855="","",IFERROR(VALUE(MID(F855,LEN(F855)-3,3)),""))</f>
        <v/>
      </c>
      <c r="R855" s="33">
        <f>IF(Q855="","",P855&amp;"|"&amp;Q855)</f>
        <v/>
      </c>
      <c r="S855" s="33">
        <f>IF(Q855="","",IF(P855="À RENSEIGNER","GIC",P855)&amp;"-"&amp;TEXT(Q855,"000"))</f>
        <v/>
      </c>
      <c r="T855" s="33">
        <f>IF(R855="","",IFERROR(INDEX(Cl_nom,MATCH(R855,Cl_cle,0)),"(client introuvable)"))</f>
        <v/>
      </c>
      <c r="U855" s="33">
        <f>IF(R855="","",IFERROR(INDEX(Cl_quartier,MATCH(R855,Cl_cle,0))&amp;"",""))</f>
        <v/>
      </c>
      <c r="V855" s="34">
        <f>IF(C855="","",YEAR(C855-WEEKDAY(C855,2)+4)&amp;"-S"&amp;TEXT(INT((C855-DATE(YEAR(C855-WEEKDAY(C855,2)+4),1,3)+WEEKDAY(DATE(YEAR(C855-WEEKDAY(C855,2)+4),1,3),2)+5)/7),"00"))</f>
        <v/>
      </c>
    </row>
    <row r="856" ht="18" customHeight="1">
      <c r="A856" s="39" t="n">
        <v>851</v>
      </c>
      <c r="B856" s="33">
        <f>IF(C856="","",IF(P856="À RENSEIGNER","GIC",P856)&amp;"-V"&amp;TEXT(A856,"00000"))</f>
        <v/>
      </c>
      <c r="C856" s="32" t="n"/>
      <c r="D856" s="35" t="n"/>
      <c r="E856" s="36" t="n"/>
      <c r="F856" s="36" t="n"/>
      <c r="G856" s="36" t="n"/>
      <c r="H856" s="36" t="n"/>
      <c r="I856" s="36" t="n"/>
      <c r="J856" s="37" t="n"/>
      <c r="K856" s="32" t="n"/>
      <c r="L856" s="36" t="n"/>
      <c r="M856" s="41" t="n"/>
      <c r="N856" s="41" t="n"/>
      <c r="O856" s="36" t="n"/>
      <c r="P856" s="33">
        <f>IF(C856="","",Commercial_Id)</f>
        <v/>
      </c>
      <c r="Q856" s="39">
        <f>IF(F856="","",IFERROR(VALUE(MID(F856,LEN(F856)-3,3)),""))</f>
        <v/>
      </c>
      <c r="R856" s="33">
        <f>IF(Q856="","",P856&amp;"|"&amp;Q856)</f>
        <v/>
      </c>
      <c r="S856" s="33">
        <f>IF(Q856="","",IF(P856="À RENSEIGNER","GIC",P856)&amp;"-"&amp;TEXT(Q856,"000"))</f>
        <v/>
      </c>
      <c r="T856" s="33">
        <f>IF(R856="","",IFERROR(INDEX(Cl_nom,MATCH(R856,Cl_cle,0)),"(client introuvable)"))</f>
        <v/>
      </c>
      <c r="U856" s="33">
        <f>IF(R856="","",IFERROR(INDEX(Cl_quartier,MATCH(R856,Cl_cle,0))&amp;"",""))</f>
        <v/>
      </c>
      <c r="V856" s="34">
        <f>IF(C856="","",YEAR(C856-WEEKDAY(C856,2)+4)&amp;"-S"&amp;TEXT(INT((C856-DATE(YEAR(C856-WEEKDAY(C856,2)+4),1,3)+WEEKDAY(DATE(YEAR(C856-WEEKDAY(C856,2)+4),1,3),2)+5)/7),"00"))</f>
        <v/>
      </c>
    </row>
    <row r="857" ht="18" customHeight="1">
      <c r="A857" s="39" t="n">
        <v>852</v>
      </c>
      <c r="B857" s="33">
        <f>IF(C857="","",IF(P857="À RENSEIGNER","GIC",P857)&amp;"-V"&amp;TEXT(A857,"00000"))</f>
        <v/>
      </c>
      <c r="C857" s="32" t="n"/>
      <c r="D857" s="35" t="n"/>
      <c r="E857" s="36" t="n"/>
      <c r="F857" s="36" t="n"/>
      <c r="G857" s="36" t="n"/>
      <c r="H857" s="36" t="n"/>
      <c r="I857" s="36" t="n"/>
      <c r="J857" s="37" t="n"/>
      <c r="K857" s="32" t="n"/>
      <c r="L857" s="36" t="n"/>
      <c r="M857" s="41" t="n"/>
      <c r="N857" s="41" t="n"/>
      <c r="O857" s="36" t="n"/>
      <c r="P857" s="33">
        <f>IF(C857="","",Commercial_Id)</f>
        <v/>
      </c>
      <c r="Q857" s="39">
        <f>IF(F857="","",IFERROR(VALUE(MID(F857,LEN(F857)-3,3)),""))</f>
        <v/>
      </c>
      <c r="R857" s="33">
        <f>IF(Q857="","",P857&amp;"|"&amp;Q857)</f>
        <v/>
      </c>
      <c r="S857" s="33">
        <f>IF(Q857="","",IF(P857="À RENSEIGNER","GIC",P857)&amp;"-"&amp;TEXT(Q857,"000"))</f>
        <v/>
      </c>
      <c r="T857" s="33">
        <f>IF(R857="","",IFERROR(INDEX(Cl_nom,MATCH(R857,Cl_cle,0)),"(client introuvable)"))</f>
        <v/>
      </c>
      <c r="U857" s="33">
        <f>IF(R857="","",IFERROR(INDEX(Cl_quartier,MATCH(R857,Cl_cle,0))&amp;"",""))</f>
        <v/>
      </c>
      <c r="V857" s="34">
        <f>IF(C857="","",YEAR(C857-WEEKDAY(C857,2)+4)&amp;"-S"&amp;TEXT(INT((C857-DATE(YEAR(C857-WEEKDAY(C857,2)+4),1,3)+WEEKDAY(DATE(YEAR(C857-WEEKDAY(C857,2)+4),1,3),2)+5)/7),"00"))</f>
        <v/>
      </c>
    </row>
    <row r="858" ht="18" customHeight="1">
      <c r="A858" s="39" t="n">
        <v>853</v>
      </c>
      <c r="B858" s="33">
        <f>IF(C858="","",IF(P858="À RENSEIGNER","GIC",P858)&amp;"-V"&amp;TEXT(A858,"00000"))</f>
        <v/>
      </c>
      <c r="C858" s="32" t="n"/>
      <c r="D858" s="35" t="n"/>
      <c r="E858" s="36" t="n"/>
      <c r="F858" s="36" t="n"/>
      <c r="G858" s="36" t="n"/>
      <c r="H858" s="36" t="n"/>
      <c r="I858" s="36" t="n"/>
      <c r="J858" s="37" t="n"/>
      <c r="K858" s="32" t="n"/>
      <c r="L858" s="36" t="n"/>
      <c r="M858" s="41" t="n"/>
      <c r="N858" s="41" t="n"/>
      <c r="O858" s="36" t="n"/>
      <c r="P858" s="33">
        <f>IF(C858="","",Commercial_Id)</f>
        <v/>
      </c>
      <c r="Q858" s="39">
        <f>IF(F858="","",IFERROR(VALUE(MID(F858,LEN(F858)-3,3)),""))</f>
        <v/>
      </c>
      <c r="R858" s="33">
        <f>IF(Q858="","",P858&amp;"|"&amp;Q858)</f>
        <v/>
      </c>
      <c r="S858" s="33">
        <f>IF(Q858="","",IF(P858="À RENSEIGNER","GIC",P858)&amp;"-"&amp;TEXT(Q858,"000"))</f>
        <v/>
      </c>
      <c r="T858" s="33">
        <f>IF(R858="","",IFERROR(INDEX(Cl_nom,MATCH(R858,Cl_cle,0)),"(client introuvable)"))</f>
        <v/>
      </c>
      <c r="U858" s="33">
        <f>IF(R858="","",IFERROR(INDEX(Cl_quartier,MATCH(R858,Cl_cle,0))&amp;"",""))</f>
        <v/>
      </c>
      <c r="V858" s="34">
        <f>IF(C858="","",YEAR(C858-WEEKDAY(C858,2)+4)&amp;"-S"&amp;TEXT(INT((C858-DATE(YEAR(C858-WEEKDAY(C858,2)+4),1,3)+WEEKDAY(DATE(YEAR(C858-WEEKDAY(C858,2)+4),1,3),2)+5)/7),"00"))</f>
        <v/>
      </c>
    </row>
    <row r="859" ht="18" customHeight="1">
      <c r="A859" s="39" t="n">
        <v>854</v>
      </c>
      <c r="B859" s="33">
        <f>IF(C859="","",IF(P859="À RENSEIGNER","GIC",P859)&amp;"-V"&amp;TEXT(A859,"00000"))</f>
        <v/>
      </c>
      <c r="C859" s="32" t="n"/>
      <c r="D859" s="35" t="n"/>
      <c r="E859" s="36" t="n"/>
      <c r="F859" s="36" t="n"/>
      <c r="G859" s="36" t="n"/>
      <c r="H859" s="36" t="n"/>
      <c r="I859" s="36" t="n"/>
      <c r="J859" s="37" t="n"/>
      <c r="K859" s="32" t="n"/>
      <c r="L859" s="36" t="n"/>
      <c r="M859" s="41" t="n"/>
      <c r="N859" s="41" t="n"/>
      <c r="O859" s="36" t="n"/>
      <c r="P859" s="33">
        <f>IF(C859="","",Commercial_Id)</f>
        <v/>
      </c>
      <c r="Q859" s="39">
        <f>IF(F859="","",IFERROR(VALUE(MID(F859,LEN(F859)-3,3)),""))</f>
        <v/>
      </c>
      <c r="R859" s="33">
        <f>IF(Q859="","",P859&amp;"|"&amp;Q859)</f>
        <v/>
      </c>
      <c r="S859" s="33">
        <f>IF(Q859="","",IF(P859="À RENSEIGNER","GIC",P859)&amp;"-"&amp;TEXT(Q859,"000"))</f>
        <v/>
      </c>
      <c r="T859" s="33">
        <f>IF(R859="","",IFERROR(INDEX(Cl_nom,MATCH(R859,Cl_cle,0)),"(client introuvable)"))</f>
        <v/>
      </c>
      <c r="U859" s="33">
        <f>IF(R859="","",IFERROR(INDEX(Cl_quartier,MATCH(R859,Cl_cle,0))&amp;"",""))</f>
        <v/>
      </c>
      <c r="V859" s="34">
        <f>IF(C859="","",YEAR(C859-WEEKDAY(C859,2)+4)&amp;"-S"&amp;TEXT(INT((C859-DATE(YEAR(C859-WEEKDAY(C859,2)+4),1,3)+WEEKDAY(DATE(YEAR(C859-WEEKDAY(C859,2)+4),1,3),2)+5)/7),"00"))</f>
        <v/>
      </c>
    </row>
    <row r="860" ht="18" customHeight="1">
      <c r="A860" s="39" t="n">
        <v>855</v>
      </c>
      <c r="B860" s="33">
        <f>IF(C860="","",IF(P860="À RENSEIGNER","GIC",P860)&amp;"-V"&amp;TEXT(A860,"00000"))</f>
        <v/>
      </c>
      <c r="C860" s="32" t="n"/>
      <c r="D860" s="35" t="n"/>
      <c r="E860" s="36" t="n"/>
      <c r="F860" s="36" t="n"/>
      <c r="G860" s="36" t="n"/>
      <c r="H860" s="36" t="n"/>
      <c r="I860" s="36" t="n"/>
      <c r="J860" s="37" t="n"/>
      <c r="K860" s="32" t="n"/>
      <c r="L860" s="36" t="n"/>
      <c r="M860" s="41" t="n"/>
      <c r="N860" s="41" t="n"/>
      <c r="O860" s="36" t="n"/>
      <c r="P860" s="33">
        <f>IF(C860="","",Commercial_Id)</f>
        <v/>
      </c>
      <c r="Q860" s="39">
        <f>IF(F860="","",IFERROR(VALUE(MID(F860,LEN(F860)-3,3)),""))</f>
        <v/>
      </c>
      <c r="R860" s="33">
        <f>IF(Q860="","",P860&amp;"|"&amp;Q860)</f>
        <v/>
      </c>
      <c r="S860" s="33">
        <f>IF(Q860="","",IF(P860="À RENSEIGNER","GIC",P860)&amp;"-"&amp;TEXT(Q860,"000"))</f>
        <v/>
      </c>
      <c r="T860" s="33">
        <f>IF(R860="","",IFERROR(INDEX(Cl_nom,MATCH(R860,Cl_cle,0)),"(client introuvable)"))</f>
        <v/>
      </c>
      <c r="U860" s="33">
        <f>IF(R860="","",IFERROR(INDEX(Cl_quartier,MATCH(R860,Cl_cle,0))&amp;"",""))</f>
        <v/>
      </c>
      <c r="V860" s="34">
        <f>IF(C860="","",YEAR(C860-WEEKDAY(C860,2)+4)&amp;"-S"&amp;TEXT(INT((C860-DATE(YEAR(C860-WEEKDAY(C860,2)+4),1,3)+WEEKDAY(DATE(YEAR(C860-WEEKDAY(C860,2)+4),1,3),2)+5)/7),"00"))</f>
        <v/>
      </c>
    </row>
    <row r="861" ht="18" customHeight="1">
      <c r="A861" s="39" t="n">
        <v>856</v>
      </c>
      <c r="B861" s="33">
        <f>IF(C861="","",IF(P861="À RENSEIGNER","GIC",P861)&amp;"-V"&amp;TEXT(A861,"00000"))</f>
        <v/>
      </c>
      <c r="C861" s="32" t="n"/>
      <c r="D861" s="35" t="n"/>
      <c r="E861" s="36" t="n"/>
      <c r="F861" s="36" t="n"/>
      <c r="G861" s="36" t="n"/>
      <c r="H861" s="36" t="n"/>
      <c r="I861" s="36" t="n"/>
      <c r="J861" s="37" t="n"/>
      <c r="K861" s="32" t="n"/>
      <c r="L861" s="36" t="n"/>
      <c r="M861" s="41" t="n"/>
      <c r="N861" s="41" t="n"/>
      <c r="O861" s="36" t="n"/>
      <c r="P861" s="33">
        <f>IF(C861="","",Commercial_Id)</f>
        <v/>
      </c>
      <c r="Q861" s="39">
        <f>IF(F861="","",IFERROR(VALUE(MID(F861,LEN(F861)-3,3)),""))</f>
        <v/>
      </c>
      <c r="R861" s="33">
        <f>IF(Q861="","",P861&amp;"|"&amp;Q861)</f>
        <v/>
      </c>
      <c r="S861" s="33">
        <f>IF(Q861="","",IF(P861="À RENSEIGNER","GIC",P861)&amp;"-"&amp;TEXT(Q861,"000"))</f>
        <v/>
      </c>
      <c r="T861" s="33">
        <f>IF(R861="","",IFERROR(INDEX(Cl_nom,MATCH(R861,Cl_cle,0)),"(client introuvable)"))</f>
        <v/>
      </c>
      <c r="U861" s="33">
        <f>IF(R861="","",IFERROR(INDEX(Cl_quartier,MATCH(R861,Cl_cle,0))&amp;"",""))</f>
        <v/>
      </c>
      <c r="V861" s="34">
        <f>IF(C861="","",YEAR(C861-WEEKDAY(C861,2)+4)&amp;"-S"&amp;TEXT(INT((C861-DATE(YEAR(C861-WEEKDAY(C861,2)+4),1,3)+WEEKDAY(DATE(YEAR(C861-WEEKDAY(C861,2)+4),1,3),2)+5)/7),"00"))</f>
        <v/>
      </c>
    </row>
    <row r="862" ht="18" customHeight="1">
      <c r="A862" s="39" t="n">
        <v>857</v>
      </c>
      <c r="B862" s="33">
        <f>IF(C862="","",IF(P862="À RENSEIGNER","GIC",P862)&amp;"-V"&amp;TEXT(A862,"00000"))</f>
        <v/>
      </c>
      <c r="C862" s="32" t="n"/>
      <c r="D862" s="35" t="n"/>
      <c r="E862" s="36" t="n"/>
      <c r="F862" s="36" t="n"/>
      <c r="G862" s="36" t="n"/>
      <c r="H862" s="36" t="n"/>
      <c r="I862" s="36" t="n"/>
      <c r="J862" s="37" t="n"/>
      <c r="K862" s="32" t="n"/>
      <c r="L862" s="36" t="n"/>
      <c r="M862" s="41" t="n"/>
      <c r="N862" s="41" t="n"/>
      <c r="O862" s="36" t="n"/>
      <c r="P862" s="33">
        <f>IF(C862="","",Commercial_Id)</f>
        <v/>
      </c>
      <c r="Q862" s="39">
        <f>IF(F862="","",IFERROR(VALUE(MID(F862,LEN(F862)-3,3)),""))</f>
        <v/>
      </c>
      <c r="R862" s="33">
        <f>IF(Q862="","",P862&amp;"|"&amp;Q862)</f>
        <v/>
      </c>
      <c r="S862" s="33">
        <f>IF(Q862="","",IF(P862="À RENSEIGNER","GIC",P862)&amp;"-"&amp;TEXT(Q862,"000"))</f>
        <v/>
      </c>
      <c r="T862" s="33">
        <f>IF(R862="","",IFERROR(INDEX(Cl_nom,MATCH(R862,Cl_cle,0)),"(client introuvable)"))</f>
        <v/>
      </c>
      <c r="U862" s="33">
        <f>IF(R862="","",IFERROR(INDEX(Cl_quartier,MATCH(R862,Cl_cle,0))&amp;"",""))</f>
        <v/>
      </c>
      <c r="V862" s="34">
        <f>IF(C862="","",YEAR(C862-WEEKDAY(C862,2)+4)&amp;"-S"&amp;TEXT(INT((C862-DATE(YEAR(C862-WEEKDAY(C862,2)+4),1,3)+WEEKDAY(DATE(YEAR(C862-WEEKDAY(C862,2)+4),1,3),2)+5)/7),"00"))</f>
        <v/>
      </c>
    </row>
    <row r="863" ht="18" customHeight="1">
      <c r="A863" s="39" t="n">
        <v>858</v>
      </c>
      <c r="B863" s="33">
        <f>IF(C863="","",IF(P863="À RENSEIGNER","GIC",P863)&amp;"-V"&amp;TEXT(A863,"00000"))</f>
        <v/>
      </c>
      <c r="C863" s="32" t="n"/>
      <c r="D863" s="35" t="n"/>
      <c r="E863" s="36" t="n"/>
      <c r="F863" s="36" t="n"/>
      <c r="G863" s="36" t="n"/>
      <c r="H863" s="36" t="n"/>
      <c r="I863" s="36" t="n"/>
      <c r="J863" s="37" t="n"/>
      <c r="K863" s="32" t="n"/>
      <c r="L863" s="36" t="n"/>
      <c r="M863" s="41" t="n"/>
      <c r="N863" s="41" t="n"/>
      <c r="O863" s="36" t="n"/>
      <c r="P863" s="33">
        <f>IF(C863="","",Commercial_Id)</f>
        <v/>
      </c>
      <c r="Q863" s="39">
        <f>IF(F863="","",IFERROR(VALUE(MID(F863,LEN(F863)-3,3)),""))</f>
        <v/>
      </c>
      <c r="R863" s="33">
        <f>IF(Q863="","",P863&amp;"|"&amp;Q863)</f>
        <v/>
      </c>
      <c r="S863" s="33">
        <f>IF(Q863="","",IF(P863="À RENSEIGNER","GIC",P863)&amp;"-"&amp;TEXT(Q863,"000"))</f>
        <v/>
      </c>
      <c r="T863" s="33">
        <f>IF(R863="","",IFERROR(INDEX(Cl_nom,MATCH(R863,Cl_cle,0)),"(client introuvable)"))</f>
        <v/>
      </c>
      <c r="U863" s="33">
        <f>IF(R863="","",IFERROR(INDEX(Cl_quartier,MATCH(R863,Cl_cle,0))&amp;"",""))</f>
        <v/>
      </c>
      <c r="V863" s="34">
        <f>IF(C863="","",YEAR(C863-WEEKDAY(C863,2)+4)&amp;"-S"&amp;TEXT(INT((C863-DATE(YEAR(C863-WEEKDAY(C863,2)+4),1,3)+WEEKDAY(DATE(YEAR(C863-WEEKDAY(C863,2)+4),1,3),2)+5)/7),"00"))</f>
        <v/>
      </c>
    </row>
    <row r="864" ht="18" customHeight="1">
      <c r="A864" s="39" t="n">
        <v>859</v>
      </c>
      <c r="B864" s="33">
        <f>IF(C864="","",IF(P864="À RENSEIGNER","GIC",P864)&amp;"-V"&amp;TEXT(A864,"00000"))</f>
        <v/>
      </c>
      <c r="C864" s="32" t="n"/>
      <c r="D864" s="35" t="n"/>
      <c r="E864" s="36" t="n"/>
      <c r="F864" s="36" t="n"/>
      <c r="G864" s="36" t="n"/>
      <c r="H864" s="36" t="n"/>
      <c r="I864" s="36" t="n"/>
      <c r="J864" s="37" t="n"/>
      <c r="K864" s="32" t="n"/>
      <c r="L864" s="36" t="n"/>
      <c r="M864" s="41" t="n"/>
      <c r="N864" s="41" t="n"/>
      <c r="O864" s="36" t="n"/>
      <c r="P864" s="33">
        <f>IF(C864="","",Commercial_Id)</f>
        <v/>
      </c>
      <c r="Q864" s="39">
        <f>IF(F864="","",IFERROR(VALUE(MID(F864,LEN(F864)-3,3)),""))</f>
        <v/>
      </c>
      <c r="R864" s="33">
        <f>IF(Q864="","",P864&amp;"|"&amp;Q864)</f>
        <v/>
      </c>
      <c r="S864" s="33">
        <f>IF(Q864="","",IF(P864="À RENSEIGNER","GIC",P864)&amp;"-"&amp;TEXT(Q864,"000"))</f>
        <v/>
      </c>
      <c r="T864" s="33">
        <f>IF(R864="","",IFERROR(INDEX(Cl_nom,MATCH(R864,Cl_cle,0)),"(client introuvable)"))</f>
        <v/>
      </c>
      <c r="U864" s="33">
        <f>IF(R864="","",IFERROR(INDEX(Cl_quartier,MATCH(R864,Cl_cle,0))&amp;"",""))</f>
        <v/>
      </c>
      <c r="V864" s="34">
        <f>IF(C864="","",YEAR(C864-WEEKDAY(C864,2)+4)&amp;"-S"&amp;TEXT(INT((C864-DATE(YEAR(C864-WEEKDAY(C864,2)+4),1,3)+WEEKDAY(DATE(YEAR(C864-WEEKDAY(C864,2)+4),1,3),2)+5)/7),"00"))</f>
        <v/>
      </c>
    </row>
    <row r="865" ht="18" customHeight="1">
      <c r="A865" s="39" t="n">
        <v>860</v>
      </c>
      <c r="B865" s="33">
        <f>IF(C865="","",IF(P865="À RENSEIGNER","GIC",P865)&amp;"-V"&amp;TEXT(A865,"00000"))</f>
        <v/>
      </c>
      <c r="C865" s="32" t="n"/>
      <c r="D865" s="35" t="n"/>
      <c r="E865" s="36" t="n"/>
      <c r="F865" s="36" t="n"/>
      <c r="G865" s="36" t="n"/>
      <c r="H865" s="36" t="n"/>
      <c r="I865" s="36" t="n"/>
      <c r="J865" s="37" t="n"/>
      <c r="K865" s="32" t="n"/>
      <c r="L865" s="36" t="n"/>
      <c r="M865" s="41" t="n"/>
      <c r="N865" s="41" t="n"/>
      <c r="O865" s="36" t="n"/>
      <c r="P865" s="33">
        <f>IF(C865="","",Commercial_Id)</f>
        <v/>
      </c>
      <c r="Q865" s="39">
        <f>IF(F865="","",IFERROR(VALUE(MID(F865,LEN(F865)-3,3)),""))</f>
        <v/>
      </c>
      <c r="R865" s="33">
        <f>IF(Q865="","",P865&amp;"|"&amp;Q865)</f>
        <v/>
      </c>
      <c r="S865" s="33">
        <f>IF(Q865="","",IF(P865="À RENSEIGNER","GIC",P865)&amp;"-"&amp;TEXT(Q865,"000"))</f>
        <v/>
      </c>
      <c r="T865" s="33">
        <f>IF(R865="","",IFERROR(INDEX(Cl_nom,MATCH(R865,Cl_cle,0)),"(client introuvable)"))</f>
        <v/>
      </c>
      <c r="U865" s="33">
        <f>IF(R865="","",IFERROR(INDEX(Cl_quartier,MATCH(R865,Cl_cle,0))&amp;"",""))</f>
        <v/>
      </c>
      <c r="V865" s="34">
        <f>IF(C865="","",YEAR(C865-WEEKDAY(C865,2)+4)&amp;"-S"&amp;TEXT(INT((C865-DATE(YEAR(C865-WEEKDAY(C865,2)+4),1,3)+WEEKDAY(DATE(YEAR(C865-WEEKDAY(C865,2)+4),1,3),2)+5)/7),"00"))</f>
        <v/>
      </c>
    </row>
    <row r="866" ht="18" customHeight="1">
      <c r="A866" s="39" t="n">
        <v>861</v>
      </c>
      <c r="B866" s="33">
        <f>IF(C866="","",IF(P866="À RENSEIGNER","GIC",P866)&amp;"-V"&amp;TEXT(A866,"00000"))</f>
        <v/>
      </c>
      <c r="C866" s="32" t="n"/>
      <c r="D866" s="35" t="n"/>
      <c r="E866" s="36" t="n"/>
      <c r="F866" s="36" t="n"/>
      <c r="G866" s="36" t="n"/>
      <c r="H866" s="36" t="n"/>
      <c r="I866" s="36" t="n"/>
      <c r="J866" s="37" t="n"/>
      <c r="K866" s="32" t="n"/>
      <c r="L866" s="36" t="n"/>
      <c r="M866" s="41" t="n"/>
      <c r="N866" s="41" t="n"/>
      <c r="O866" s="36" t="n"/>
      <c r="P866" s="33">
        <f>IF(C866="","",Commercial_Id)</f>
        <v/>
      </c>
      <c r="Q866" s="39">
        <f>IF(F866="","",IFERROR(VALUE(MID(F866,LEN(F866)-3,3)),""))</f>
        <v/>
      </c>
      <c r="R866" s="33">
        <f>IF(Q866="","",P866&amp;"|"&amp;Q866)</f>
        <v/>
      </c>
      <c r="S866" s="33">
        <f>IF(Q866="","",IF(P866="À RENSEIGNER","GIC",P866)&amp;"-"&amp;TEXT(Q866,"000"))</f>
        <v/>
      </c>
      <c r="T866" s="33">
        <f>IF(R866="","",IFERROR(INDEX(Cl_nom,MATCH(R866,Cl_cle,0)),"(client introuvable)"))</f>
        <v/>
      </c>
      <c r="U866" s="33">
        <f>IF(R866="","",IFERROR(INDEX(Cl_quartier,MATCH(R866,Cl_cle,0))&amp;"",""))</f>
        <v/>
      </c>
      <c r="V866" s="34">
        <f>IF(C866="","",YEAR(C866-WEEKDAY(C866,2)+4)&amp;"-S"&amp;TEXT(INT((C866-DATE(YEAR(C866-WEEKDAY(C866,2)+4),1,3)+WEEKDAY(DATE(YEAR(C866-WEEKDAY(C866,2)+4),1,3),2)+5)/7),"00"))</f>
        <v/>
      </c>
    </row>
    <row r="867" ht="18" customHeight="1">
      <c r="A867" s="39" t="n">
        <v>862</v>
      </c>
      <c r="B867" s="33">
        <f>IF(C867="","",IF(P867="À RENSEIGNER","GIC",P867)&amp;"-V"&amp;TEXT(A867,"00000"))</f>
        <v/>
      </c>
      <c r="C867" s="32" t="n"/>
      <c r="D867" s="35" t="n"/>
      <c r="E867" s="36" t="n"/>
      <c r="F867" s="36" t="n"/>
      <c r="G867" s="36" t="n"/>
      <c r="H867" s="36" t="n"/>
      <c r="I867" s="36" t="n"/>
      <c r="J867" s="37" t="n"/>
      <c r="K867" s="32" t="n"/>
      <c r="L867" s="36" t="n"/>
      <c r="M867" s="41" t="n"/>
      <c r="N867" s="41" t="n"/>
      <c r="O867" s="36" t="n"/>
      <c r="P867" s="33">
        <f>IF(C867="","",Commercial_Id)</f>
        <v/>
      </c>
      <c r="Q867" s="39">
        <f>IF(F867="","",IFERROR(VALUE(MID(F867,LEN(F867)-3,3)),""))</f>
        <v/>
      </c>
      <c r="R867" s="33">
        <f>IF(Q867="","",P867&amp;"|"&amp;Q867)</f>
        <v/>
      </c>
      <c r="S867" s="33">
        <f>IF(Q867="","",IF(P867="À RENSEIGNER","GIC",P867)&amp;"-"&amp;TEXT(Q867,"000"))</f>
        <v/>
      </c>
      <c r="T867" s="33">
        <f>IF(R867="","",IFERROR(INDEX(Cl_nom,MATCH(R867,Cl_cle,0)),"(client introuvable)"))</f>
        <v/>
      </c>
      <c r="U867" s="33">
        <f>IF(R867="","",IFERROR(INDEX(Cl_quartier,MATCH(R867,Cl_cle,0))&amp;"",""))</f>
        <v/>
      </c>
      <c r="V867" s="34">
        <f>IF(C867="","",YEAR(C867-WEEKDAY(C867,2)+4)&amp;"-S"&amp;TEXT(INT((C867-DATE(YEAR(C867-WEEKDAY(C867,2)+4),1,3)+WEEKDAY(DATE(YEAR(C867-WEEKDAY(C867,2)+4),1,3),2)+5)/7),"00"))</f>
        <v/>
      </c>
    </row>
    <row r="868" ht="18" customHeight="1">
      <c r="A868" s="39" t="n">
        <v>863</v>
      </c>
      <c r="B868" s="33">
        <f>IF(C868="","",IF(P868="À RENSEIGNER","GIC",P868)&amp;"-V"&amp;TEXT(A868,"00000"))</f>
        <v/>
      </c>
      <c r="C868" s="32" t="n"/>
      <c r="D868" s="35" t="n"/>
      <c r="E868" s="36" t="n"/>
      <c r="F868" s="36" t="n"/>
      <c r="G868" s="36" t="n"/>
      <c r="H868" s="36" t="n"/>
      <c r="I868" s="36" t="n"/>
      <c r="J868" s="37" t="n"/>
      <c r="K868" s="32" t="n"/>
      <c r="L868" s="36" t="n"/>
      <c r="M868" s="41" t="n"/>
      <c r="N868" s="41" t="n"/>
      <c r="O868" s="36" t="n"/>
      <c r="P868" s="33">
        <f>IF(C868="","",Commercial_Id)</f>
        <v/>
      </c>
      <c r="Q868" s="39">
        <f>IF(F868="","",IFERROR(VALUE(MID(F868,LEN(F868)-3,3)),""))</f>
        <v/>
      </c>
      <c r="R868" s="33">
        <f>IF(Q868="","",P868&amp;"|"&amp;Q868)</f>
        <v/>
      </c>
      <c r="S868" s="33">
        <f>IF(Q868="","",IF(P868="À RENSEIGNER","GIC",P868)&amp;"-"&amp;TEXT(Q868,"000"))</f>
        <v/>
      </c>
      <c r="T868" s="33">
        <f>IF(R868="","",IFERROR(INDEX(Cl_nom,MATCH(R868,Cl_cle,0)),"(client introuvable)"))</f>
        <v/>
      </c>
      <c r="U868" s="33">
        <f>IF(R868="","",IFERROR(INDEX(Cl_quartier,MATCH(R868,Cl_cle,0))&amp;"",""))</f>
        <v/>
      </c>
      <c r="V868" s="34">
        <f>IF(C868="","",YEAR(C868-WEEKDAY(C868,2)+4)&amp;"-S"&amp;TEXT(INT((C868-DATE(YEAR(C868-WEEKDAY(C868,2)+4),1,3)+WEEKDAY(DATE(YEAR(C868-WEEKDAY(C868,2)+4),1,3),2)+5)/7),"00"))</f>
        <v/>
      </c>
    </row>
    <row r="869" ht="18" customHeight="1">
      <c r="A869" s="39" t="n">
        <v>864</v>
      </c>
      <c r="B869" s="33">
        <f>IF(C869="","",IF(P869="À RENSEIGNER","GIC",P869)&amp;"-V"&amp;TEXT(A869,"00000"))</f>
        <v/>
      </c>
      <c r="C869" s="32" t="n"/>
      <c r="D869" s="35" t="n"/>
      <c r="E869" s="36" t="n"/>
      <c r="F869" s="36" t="n"/>
      <c r="G869" s="36" t="n"/>
      <c r="H869" s="36" t="n"/>
      <c r="I869" s="36" t="n"/>
      <c r="J869" s="37" t="n"/>
      <c r="K869" s="32" t="n"/>
      <c r="L869" s="36" t="n"/>
      <c r="M869" s="41" t="n"/>
      <c r="N869" s="41" t="n"/>
      <c r="O869" s="36" t="n"/>
      <c r="P869" s="33">
        <f>IF(C869="","",Commercial_Id)</f>
        <v/>
      </c>
      <c r="Q869" s="39">
        <f>IF(F869="","",IFERROR(VALUE(MID(F869,LEN(F869)-3,3)),""))</f>
        <v/>
      </c>
      <c r="R869" s="33">
        <f>IF(Q869="","",P869&amp;"|"&amp;Q869)</f>
        <v/>
      </c>
      <c r="S869" s="33">
        <f>IF(Q869="","",IF(P869="À RENSEIGNER","GIC",P869)&amp;"-"&amp;TEXT(Q869,"000"))</f>
        <v/>
      </c>
      <c r="T869" s="33">
        <f>IF(R869="","",IFERROR(INDEX(Cl_nom,MATCH(R869,Cl_cle,0)),"(client introuvable)"))</f>
        <v/>
      </c>
      <c r="U869" s="33">
        <f>IF(R869="","",IFERROR(INDEX(Cl_quartier,MATCH(R869,Cl_cle,0))&amp;"",""))</f>
        <v/>
      </c>
      <c r="V869" s="34">
        <f>IF(C869="","",YEAR(C869-WEEKDAY(C869,2)+4)&amp;"-S"&amp;TEXT(INT((C869-DATE(YEAR(C869-WEEKDAY(C869,2)+4),1,3)+WEEKDAY(DATE(YEAR(C869-WEEKDAY(C869,2)+4),1,3),2)+5)/7),"00"))</f>
        <v/>
      </c>
    </row>
    <row r="870" ht="18" customHeight="1">
      <c r="A870" s="39" t="n">
        <v>865</v>
      </c>
      <c r="B870" s="33">
        <f>IF(C870="","",IF(P870="À RENSEIGNER","GIC",P870)&amp;"-V"&amp;TEXT(A870,"00000"))</f>
        <v/>
      </c>
      <c r="C870" s="32" t="n"/>
      <c r="D870" s="35" t="n"/>
      <c r="E870" s="36" t="n"/>
      <c r="F870" s="36" t="n"/>
      <c r="G870" s="36" t="n"/>
      <c r="H870" s="36" t="n"/>
      <c r="I870" s="36" t="n"/>
      <c r="J870" s="37" t="n"/>
      <c r="K870" s="32" t="n"/>
      <c r="L870" s="36" t="n"/>
      <c r="M870" s="41" t="n"/>
      <c r="N870" s="41" t="n"/>
      <c r="O870" s="36" t="n"/>
      <c r="P870" s="33">
        <f>IF(C870="","",Commercial_Id)</f>
        <v/>
      </c>
      <c r="Q870" s="39">
        <f>IF(F870="","",IFERROR(VALUE(MID(F870,LEN(F870)-3,3)),""))</f>
        <v/>
      </c>
      <c r="R870" s="33">
        <f>IF(Q870="","",P870&amp;"|"&amp;Q870)</f>
        <v/>
      </c>
      <c r="S870" s="33">
        <f>IF(Q870="","",IF(P870="À RENSEIGNER","GIC",P870)&amp;"-"&amp;TEXT(Q870,"000"))</f>
        <v/>
      </c>
      <c r="T870" s="33">
        <f>IF(R870="","",IFERROR(INDEX(Cl_nom,MATCH(R870,Cl_cle,0)),"(client introuvable)"))</f>
        <v/>
      </c>
      <c r="U870" s="33">
        <f>IF(R870="","",IFERROR(INDEX(Cl_quartier,MATCH(R870,Cl_cle,0))&amp;"",""))</f>
        <v/>
      </c>
      <c r="V870" s="34">
        <f>IF(C870="","",YEAR(C870-WEEKDAY(C870,2)+4)&amp;"-S"&amp;TEXT(INT((C870-DATE(YEAR(C870-WEEKDAY(C870,2)+4),1,3)+WEEKDAY(DATE(YEAR(C870-WEEKDAY(C870,2)+4),1,3),2)+5)/7),"00"))</f>
        <v/>
      </c>
    </row>
    <row r="871" ht="18" customHeight="1">
      <c r="A871" s="39" t="n">
        <v>866</v>
      </c>
      <c r="B871" s="33">
        <f>IF(C871="","",IF(P871="À RENSEIGNER","GIC",P871)&amp;"-V"&amp;TEXT(A871,"00000"))</f>
        <v/>
      </c>
      <c r="C871" s="32" t="n"/>
      <c r="D871" s="35" t="n"/>
      <c r="E871" s="36" t="n"/>
      <c r="F871" s="36" t="n"/>
      <c r="G871" s="36" t="n"/>
      <c r="H871" s="36" t="n"/>
      <c r="I871" s="36" t="n"/>
      <c r="J871" s="37" t="n"/>
      <c r="K871" s="32" t="n"/>
      <c r="L871" s="36" t="n"/>
      <c r="M871" s="41" t="n"/>
      <c r="N871" s="41" t="n"/>
      <c r="O871" s="36" t="n"/>
      <c r="P871" s="33">
        <f>IF(C871="","",Commercial_Id)</f>
        <v/>
      </c>
      <c r="Q871" s="39">
        <f>IF(F871="","",IFERROR(VALUE(MID(F871,LEN(F871)-3,3)),""))</f>
        <v/>
      </c>
      <c r="R871" s="33">
        <f>IF(Q871="","",P871&amp;"|"&amp;Q871)</f>
        <v/>
      </c>
      <c r="S871" s="33">
        <f>IF(Q871="","",IF(P871="À RENSEIGNER","GIC",P871)&amp;"-"&amp;TEXT(Q871,"000"))</f>
        <v/>
      </c>
      <c r="T871" s="33">
        <f>IF(R871="","",IFERROR(INDEX(Cl_nom,MATCH(R871,Cl_cle,0)),"(client introuvable)"))</f>
        <v/>
      </c>
      <c r="U871" s="33">
        <f>IF(R871="","",IFERROR(INDEX(Cl_quartier,MATCH(R871,Cl_cle,0))&amp;"",""))</f>
        <v/>
      </c>
      <c r="V871" s="34">
        <f>IF(C871="","",YEAR(C871-WEEKDAY(C871,2)+4)&amp;"-S"&amp;TEXT(INT((C871-DATE(YEAR(C871-WEEKDAY(C871,2)+4),1,3)+WEEKDAY(DATE(YEAR(C871-WEEKDAY(C871,2)+4),1,3),2)+5)/7),"00"))</f>
        <v/>
      </c>
    </row>
    <row r="872" ht="18" customHeight="1">
      <c r="A872" s="39" t="n">
        <v>867</v>
      </c>
      <c r="B872" s="33">
        <f>IF(C872="","",IF(P872="À RENSEIGNER","GIC",P872)&amp;"-V"&amp;TEXT(A872,"00000"))</f>
        <v/>
      </c>
      <c r="C872" s="32" t="n"/>
      <c r="D872" s="35" t="n"/>
      <c r="E872" s="36" t="n"/>
      <c r="F872" s="36" t="n"/>
      <c r="G872" s="36" t="n"/>
      <c r="H872" s="36" t="n"/>
      <c r="I872" s="36" t="n"/>
      <c r="J872" s="37" t="n"/>
      <c r="K872" s="32" t="n"/>
      <c r="L872" s="36" t="n"/>
      <c r="M872" s="41" t="n"/>
      <c r="N872" s="41" t="n"/>
      <c r="O872" s="36" t="n"/>
      <c r="P872" s="33">
        <f>IF(C872="","",Commercial_Id)</f>
        <v/>
      </c>
      <c r="Q872" s="39">
        <f>IF(F872="","",IFERROR(VALUE(MID(F872,LEN(F872)-3,3)),""))</f>
        <v/>
      </c>
      <c r="R872" s="33">
        <f>IF(Q872="","",P872&amp;"|"&amp;Q872)</f>
        <v/>
      </c>
      <c r="S872" s="33">
        <f>IF(Q872="","",IF(P872="À RENSEIGNER","GIC",P872)&amp;"-"&amp;TEXT(Q872,"000"))</f>
        <v/>
      </c>
      <c r="T872" s="33">
        <f>IF(R872="","",IFERROR(INDEX(Cl_nom,MATCH(R872,Cl_cle,0)),"(client introuvable)"))</f>
        <v/>
      </c>
      <c r="U872" s="33">
        <f>IF(R872="","",IFERROR(INDEX(Cl_quartier,MATCH(R872,Cl_cle,0))&amp;"",""))</f>
        <v/>
      </c>
      <c r="V872" s="34">
        <f>IF(C872="","",YEAR(C872-WEEKDAY(C872,2)+4)&amp;"-S"&amp;TEXT(INT((C872-DATE(YEAR(C872-WEEKDAY(C872,2)+4),1,3)+WEEKDAY(DATE(YEAR(C872-WEEKDAY(C872,2)+4),1,3),2)+5)/7),"00"))</f>
        <v/>
      </c>
    </row>
    <row r="873" ht="18" customHeight="1">
      <c r="A873" s="39" t="n">
        <v>868</v>
      </c>
      <c r="B873" s="33">
        <f>IF(C873="","",IF(P873="À RENSEIGNER","GIC",P873)&amp;"-V"&amp;TEXT(A873,"00000"))</f>
        <v/>
      </c>
      <c r="C873" s="32" t="n"/>
      <c r="D873" s="35" t="n"/>
      <c r="E873" s="36" t="n"/>
      <c r="F873" s="36" t="n"/>
      <c r="G873" s="36" t="n"/>
      <c r="H873" s="36" t="n"/>
      <c r="I873" s="36" t="n"/>
      <c r="J873" s="37" t="n"/>
      <c r="K873" s="32" t="n"/>
      <c r="L873" s="36" t="n"/>
      <c r="M873" s="41" t="n"/>
      <c r="N873" s="41" t="n"/>
      <c r="O873" s="36" t="n"/>
      <c r="P873" s="33">
        <f>IF(C873="","",Commercial_Id)</f>
        <v/>
      </c>
      <c r="Q873" s="39">
        <f>IF(F873="","",IFERROR(VALUE(MID(F873,LEN(F873)-3,3)),""))</f>
        <v/>
      </c>
      <c r="R873" s="33">
        <f>IF(Q873="","",P873&amp;"|"&amp;Q873)</f>
        <v/>
      </c>
      <c r="S873" s="33">
        <f>IF(Q873="","",IF(P873="À RENSEIGNER","GIC",P873)&amp;"-"&amp;TEXT(Q873,"000"))</f>
        <v/>
      </c>
      <c r="T873" s="33">
        <f>IF(R873="","",IFERROR(INDEX(Cl_nom,MATCH(R873,Cl_cle,0)),"(client introuvable)"))</f>
        <v/>
      </c>
      <c r="U873" s="33">
        <f>IF(R873="","",IFERROR(INDEX(Cl_quartier,MATCH(R873,Cl_cle,0))&amp;"",""))</f>
        <v/>
      </c>
      <c r="V873" s="34">
        <f>IF(C873="","",YEAR(C873-WEEKDAY(C873,2)+4)&amp;"-S"&amp;TEXT(INT((C873-DATE(YEAR(C873-WEEKDAY(C873,2)+4),1,3)+WEEKDAY(DATE(YEAR(C873-WEEKDAY(C873,2)+4),1,3),2)+5)/7),"00"))</f>
        <v/>
      </c>
    </row>
    <row r="874" ht="18" customHeight="1">
      <c r="A874" s="39" t="n">
        <v>869</v>
      </c>
      <c r="B874" s="33">
        <f>IF(C874="","",IF(P874="À RENSEIGNER","GIC",P874)&amp;"-V"&amp;TEXT(A874,"00000"))</f>
        <v/>
      </c>
      <c r="C874" s="32" t="n"/>
      <c r="D874" s="35" t="n"/>
      <c r="E874" s="36" t="n"/>
      <c r="F874" s="36" t="n"/>
      <c r="G874" s="36" t="n"/>
      <c r="H874" s="36" t="n"/>
      <c r="I874" s="36" t="n"/>
      <c r="J874" s="37" t="n"/>
      <c r="K874" s="32" t="n"/>
      <c r="L874" s="36" t="n"/>
      <c r="M874" s="41" t="n"/>
      <c r="N874" s="41" t="n"/>
      <c r="O874" s="36" t="n"/>
      <c r="P874" s="33">
        <f>IF(C874="","",Commercial_Id)</f>
        <v/>
      </c>
      <c r="Q874" s="39">
        <f>IF(F874="","",IFERROR(VALUE(MID(F874,LEN(F874)-3,3)),""))</f>
        <v/>
      </c>
      <c r="R874" s="33">
        <f>IF(Q874="","",P874&amp;"|"&amp;Q874)</f>
        <v/>
      </c>
      <c r="S874" s="33">
        <f>IF(Q874="","",IF(P874="À RENSEIGNER","GIC",P874)&amp;"-"&amp;TEXT(Q874,"000"))</f>
        <v/>
      </c>
      <c r="T874" s="33">
        <f>IF(R874="","",IFERROR(INDEX(Cl_nom,MATCH(R874,Cl_cle,0)),"(client introuvable)"))</f>
        <v/>
      </c>
      <c r="U874" s="33">
        <f>IF(R874="","",IFERROR(INDEX(Cl_quartier,MATCH(R874,Cl_cle,0))&amp;"",""))</f>
        <v/>
      </c>
      <c r="V874" s="34">
        <f>IF(C874="","",YEAR(C874-WEEKDAY(C874,2)+4)&amp;"-S"&amp;TEXT(INT((C874-DATE(YEAR(C874-WEEKDAY(C874,2)+4),1,3)+WEEKDAY(DATE(YEAR(C874-WEEKDAY(C874,2)+4),1,3),2)+5)/7),"00"))</f>
        <v/>
      </c>
    </row>
    <row r="875" ht="18" customHeight="1">
      <c r="A875" s="39" t="n">
        <v>870</v>
      </c>
      <c r="B875" s="33">
        <f>IF(C875="","",IF(P875="À RENSEIGNER","GIC",P875)&amp;"-V"&amp;TEXT(A875,"00000"))</f>
        <v/>
      </c>
      <c r="C875" s="32" t="n"/>
      <c r="D875" s="35" t="n"/>
      <c r="E875" s="36" t="n"/>
      <c r="F875" s="36" t="n"/>
      <c r="G875" s="36" t="n"/>
      <c r="H875" s="36" t="n"/>
      <c r="I875" s="36" t="n"/>
      <c r="J875" s="37" t="n"/>
      <c r="K875" s="32" t="n"/>
      <c r="L875" s="36" t="n"/>
      <c r="M875" s="41" t="n"/>
      <c r="N875" s="41" t="n"/>
      <c r="O875" s="36" t="n"/>
      <c r="P875" s="33">
        <f>IF(C875="","",Commercial_Id)</f>
        <v/>
      </c>
      <c r="Q875" s="39">
        <f>IF(F875="","",IFERROR(VALUE(MID(F875,LEN(F875)-3,3)),""))</f>
        <v/>
      </c>
      <c r="R875" s="33">
        <f>IF(Q875="","",P875&amp;"|"&amp;Q875)</f>
        <v/>
      </c>
      <c r="S875" s="33">
        <f>IF(Q875="","",IF(P875="À RENSEIGNER","GIC",P875)&amp;"-"&amp;TEXT(Q875,"000"))</f>
        <v/>
      </c>
      <c r="T875" s="33">
        <f>IF(R875="","",IFERROR(INDEX(Cl_nom,MATCH(R875,Cl_cle,0)),"(client introuvable)"))</f>
        <v/>
      </c>
      <c r="U875" s="33">
        <f>IF(R875="","",IFERROR(INDEX(Cl_quartier,MATCH(R875,Cl_cle,0))&amp;"",""))</f>
        <v/>
      </c>
      <c r="V875" s="34">
        <f>IF(C875="","",YEAR(C875-WEEKDAY(C875,2)+4)&amp;"-S"&amp;TEXT(INT((C875-DATE(YEAR(C875-WEEKDAY(C875,2)+4),1,3)+WEEKDAY(DATE(YEAR(C875-WEEKDAY(C875,2)+4),1,3),2)+5)/7),"00"))</f>
        <v/>
      </c>
    </row>
    <row r="876" ht="18" customHeight="1">
      <c r="A876" s="39" t="n">
        <v>871</v>
      </c>
      <c r="B876" s="33">
        <f>IF(C876="","",IF(P876="À RENSEIGNER","GIC",P876)&amp;"-V"&amp;TEXT(A876,"00000"))</f>
        <v/>
      </c>
      <c r="C876" s="32" t="n"/>
      <c r="D876" s="35" t="n"/>
      <c r="E876" s="36" t="n"/>
      <c r="F876" s="36" t="n"/>
      <c r="G876" s="36" t="n"/>
      <c r="H876" s="36" t="n"/>
      <c r="I876" s="36" t="n"/>
      <c r="J876" s="37" t="n"/>
      <c r="K876" s="32" t="n"/>
      <c r="L876" s="36" t="n"/>
      <c r="M876" s="41" t="n"/>
      <c r="N876" s="41" t="n"/>
      <c r="O876" s="36" t="n"/>
      <c r="P876" s="33">
        <f>IF(C876="","",Commercial_Id)</f>
        <v/>
      </c>
      <c r="Q876" s="39">
        <f>IF(F876="","",IFERROR(VALUE(MID(F876,LEN(F876)-3,3)),""))</f>
        <v/>
      </c>
      <c r="R876" s="33">
        <f>IF(Q876="","",P876&amp;"|"&amp;Q876)</f>
        <v/>
      </c>
      <c r="S876" s="33">
        <f>IF(Q876="","",IF(P876="À RENSEIGNER","GIC",P876)&amp;"-"&amp;TEXT(Q876,"000"))</f>
        <v/>
      </c>
      <c r="T876" s="33">
        <f>IF(R876="","",IFERROR(INDEX(Cl_nom,MATCH(R876,Cl_cle,0)),"(client introuvable)"))</f>
        <v/>
      </c>
      <c r="U876" s="33">
        <f>IF(R876="","",IFERROR(INDEX(Cl_quartier,MATCH(R876,Cl_cle,0))&amp;"",""))</f>
        <v/>
      </c>
      <c r="V876" s="34">
        <f>IF(C876="","",YEAR(C876-WEEKDAY(C876,2)+4)&amp;"-S"&amp;TEXT(INT((C876-DATE(YEAR(C876-WEEKDAY(C876,2)+4),1,3)+WEEKDAY(DATE(YEAR(C876-WEEKDAY(C876,2)+4),1,3),2)+5)/7),"00"))</f>
        <v/>
      </c>
    </row>
    <row r="877" ht="18" customHeight="1">
      <c r="A877" s="39" t="n">
        <v>872</v>
      </c>
      <c r="B877" s="33">
        <f>IF(C877="","",IF(P877="À RENSEIGNER","GIC",P877)&amp;"-V"&amp;TEXT(A877,"00000"))</f>
        <v/>
      </c>
      <c r="C877" s="32" t="n"/>
      <c r="D877" s="35" t="n"/>
      <c r="E877" s="36" t="n"/>
      <c r="F877" s="36" t="n"/>
      <c r="G877" s="36" t="n"/>
      <c r="H877" s="36" t="n"/>
      <c r="I877" s="36" t="n"/>
      <c r="J877" s="37" t="n"/>
      <c r="K877" s="32" t="n"/>
      <c r="L877" s="36" t="n"/>
      <c r="M877" s="41" t="n"/>
      <c r="N877" s="41" t="n"/>
      <c r="O877" s="36" t="n"/>
      <c r="P877" s="33">
        <f>IF(C877="","",Commercial_Id)</f>
        <v/>
      </c>
      <c r="Q877" s="39">
        <f>IF(F877="","",IFERROR(VALUE(MID(F877,LEN(F877)-3,3)),""))</f>
        <v/>
      </c>
      <c r="R877" s="33">
        <f>IF(Q877="","",P877&amp;"|"&amp;Q877)</f>
        <v/>
      </c>
      <c r="S877" s="33">
        <f>IF(Q877="","",IF(P877="À RENSEIGNER","GIC",P877)&amp;"-"&amp;TEXT(Q877,"000"))</f>
        <v/>
      </c>
      <c r="T877" s="33">
        <f>IF(R877="","",IFERROR(INDEX(Cl_nom,MATCH(R877,Cl_cle,0)),"(client introuvable)"))</f>
        <v/>
      </c>
      <c r="U877" s="33">
        <f>IF(R877="","",IFERROR(INDEX(Cl_quartier,MATCH(R877,Cl_cle,0))&amp;"",""))</f>
        <v/>
      </c>
      <c r="V877" s="34">
        <f>IF(C877="","",YEAR(C877-WEEKDAY(C877,2)+4)&amp;"-S"&amp;TEXT(INT((C877-DATE(YEAR(C877-WEEKDAY(C877,2)+4),1,3)+WEEKDAY(DATE(YEAR(C877-WEEKDAY(C877,2)+4),1,3),2)+5)/7),"00"))</f>
        <v/>
      </c>
    </row>
    <row r="878" ht="18" customHeight="1">
      <c r="A878" s="39" t="n">
        <v>873</v>
      </c>
      <c r="B878" s="33">
        <f>IF(C878="","",IF(P878="À RENSEIGNER","GIC",P878)&amp;"-V"&amp;TEXT(A878,"00000"))</f>
        <v/>
      </c>
      <c r="C878" s="32" t="n"/>
      <c r="D878" s="35" t="n"/>
      <c r="E878" s="36" t="n"/>
      <c r="F878" s="36" t="n"/>
      <c r="G878" s="36" t="n"/>
      <c r="H878" s="36" t="n"/>
      <c r="I878" s="36" t="n"/>
      <c r="J878" s="37" t="n"/>
      <c r="K878" s="32" t="n"/>
      <c r="L878" s="36" t="n"/>
      <c r="M878" s="41" t="n"/>
      <c r="N878" s="41" t="n"/>
      <c r="O878" s="36" t="n"/>
      <c r="P878" s="33">
        <f>IF(C878="","",Commercial_Id)</f>
        <v/>
      </c>
      <c r="Q878" s="39">
        <f>IF(F878="","",IFERROR(VALUE(MID(F878,LEN(F878)-3,3)),""))</f>
        <v/>
      </c>
      <c r="R878" s="33">
        <f>IF(Q878="","",P878&amp;"|"&amp;Q878)</f>
        <v/>
      </c>
      <c r="S878" s="33">
        <f>IF(Q878="","",IF(P878="À RENSEIGNER","GIC",P878)&amp;"-"&amp;TEXT(Q878,"000"))</f>
        <v/>
      </c>
      <c r="T878" s="33">
        <f>IF(R878="","",IFERROR(INDEX(Cl_nom,MATCH(R878,Cl_cle,0)),"(client introuvable)"))</f>
        <v/>
      </c>
      <c r="U878" s="33">
        <f>IF(R878="","",IFERROR(INDEX(Cl_quartier,MATCH(R878,Cl_cle,0))&amp;"",""))</f>
        <v/>
      </c>
      <c r="V878" s="34">
        <f>IF(C878="","",YEAR(C878-WEEKDAY(C878,2)+4)&amp;"-S"&amp;TEXT(INT((C878-DATE(YEAR(C878-WEEKDAY(C878,2)+4),1,3)+WEEKDAY(DATE(YEAR(C878-WEEKDAY(C878,2)+4),1,3),2)+5)/7),"00"))</f>
        <v/>
      </c>
    </row>
    <row r="879" ht="18" customHeight="1">
      <c r="A879" s="39" t="n">
        <v>874</v>
      </c>
      <c r="B879" s="33">
        <f>IF(C879="","",IF(P879="À RENSEIGNER","GIC",P879)&amp;"-V"&amp;TEXT(A879,"00000"))</f>
        <v/>
      </c>
      <c r="C879" s="32" t="n"/>
      <c r="D879" s="35" t="n"/>
      <c r="E879" s="36" t="n"/>
      <c r="F879" s="36" t="n"/>
      <c r="G879" s="36" t="n"/>
      <c r="H879" s="36" t="n"/>
      <c r="I879" s="36" t="n"/>
      <c r="J879" s="37" t="n"/>
      <c r="K879" s="32" t="n"/>
      <c r="L879" s="36" t="n"/>
      <c r="M879" s="41" t="n"/>
      <c r="N879" s="41" t="n"/>
      <c r="O879" s="36" t="n"/>
      <c r="P879" s="33">
        <f>IF(C879="","",Commercial_Id)</f>
        <v/>
      </c>
      <c r="Q879" s="39">
        <f>IF(F879="","",IFERROR(VALUE(MID(F879,LEN(F879)-3,3)),""))</f>
        <v/>
      </c>
      <c r="R879" s="33">
        <f>IF(Q879="","",P879&amp;"|"&amp;Q879)</f>
        <v/>
      </c>
      <c r="S879" s="33">
        <f>IF(Q879="","",IF(P879="À RENSEIGNER","GIC",P879)&amp;"-"&amp;TEXT(Q879,"000"))</f>
        <v/>
      </c>
      <c r="T879" s="33">
        <f>IF(R879="","",IFERROR(INDEX(Cl_nom,MATCH(R879,Cl_cle,0)),"(client introuvable)"))</f>
        <v/>
      </c>
      <c r="U879" s="33">
        <f>IF(R879="","",IFERROR(INDEX(Cl_quartier,MATCH(R879,Cl_cle,0))&amp;"",""))</f>
        <v/>
      </c>
      <c r="V879" s="34">
        <f>IF(C879="","",YEAR(C879-WEEKDAY(C879,2)+4)&amp;"-S"&amp;TEXT(INT((C879-DATE(YEAR(C879-WEEKDAY(C879,2)+4),1,3)+WEEKDAY(DATE(YEAR(C879-WEEKDAY(C879,2)+4),1,3),2)+5)/7),"00"))</f>
        <v/>
      </c>
    </row>
    <row r="880" ht="18" customHeight="1">
      <c r="A880" s="39" t="n">
        <v>875</v>
      </c>
      <c r="B880" s="33">
        <f>IF(C880="","",IF(P880="À RENSEIGNER","GIC",P880)&amp;"-V"&amp;TEXT(A880,"00000"))</f>
        <v/>
      </c>
      <c r="C880" s="32" t="n"/>
      <c r="D880" s="35" t="n"/>
      <c r="E880" s="36" t="n"/>
      <c r="F880" s="36" t="n"/>
      <c r="G880" s="36" t="n"/>
      <c r="H880" s="36" t="n"/>
      <c r="I880" s="36" t="n"/>
      <c r="J880" s="37" t="n"/>
      <c r="K880" s="32" t="n"/>
      <c r="L880" s="36" t="n"/>
      <c r="M880" s="41" t="n"/>
      <c r="N880" s="41" t="n"/>
      <c r="O880" s="36" t="n"/>
      <c r="P880" s="33">
        <f>IF(C880="","",Commercial_Id)</f>
        <v/>
      </c>
      <c r="Q880" s="39">
        <f>IF(F880="","",IFERROR(VALUE(MID(F880,LEN(F880)-3,3)),""))</f>
        <v/>
      </c>
      <c r="R880" s="33">
        <f>IF(Q880="","",P880&amp;"|"&amp;Q880)</f>
        <v/>
      </c>
      <c r="S880" s="33">
        <f>IF(Q880="","",IF(P880="À RENSEIGNER","GIC",P880)&amp;"-"&amp;TEXT(Q880,"000"))</f>
        <v/>
      </c>
      <c r="T880" s="33">
        <f>IF(R880="","",IFERROR(INDEX(Cl_nom,MATCH(R880,Cl_cle,0)),"(client introuvable)"))</f>
        <v/>
      </c>
      <c r="U880" s="33">
        <f>IF(R880="","",IFERROR(INDEX(Cl_quartier,MATCH(R880,Cl_cle,0))&amp;"",""))</f>
        <v/>
      </c>
      <c r="V880" s="34">
        <f>IF(C880="","",YEAR(C880-WEEKDAY(C880,2)+4)&amp;"-S"&amp;TEXT(INT((C880-DATE(YEAR(C880-WEEKDAY(C880,2)+4),1,3)+WEEKDAY(DATE(YEAR(C880-WEEKDAY(C880,2)+4),1,3),2)+5)/7),"00"))</f>
        <v/>
      </c>
    </row>
    <row r="881" ht="18" customHeight="1">
      <c r="A881" s="39" t="n">
        <v>876</v>
      </c>
      <c r="B881" s="33">
        <f>IF(C881="","",IF(P881="À RENSEIGNER","GIC",P881)&amp;"-V"&amp;TEXT(A881,"00000"))</f>
        <v/>
      </c>
      <c r="C881" s="32" t="n"/>
      <c r="D881" s="35" t="n"/>
      <c r="E881" s="36" t="n"/>
      <c r="F881" s="36" t="n"/>
      <c r="G881" s="36" t="n"/>
      <c r="H881" s="36" t="n"/>
      <c r="I881" s="36" t="n"/>
      <c r="J881" s="37" t="n"/>
      <c r="K881" s="32" t="n"/>
      <c r="L881" s="36" t="n"/>
      <c r="M881" s="41" t="n"/>
      <c r="N881" s="41" t="n"/>
      <c r="O881" s="36" t="n"/>
      <c r="P881" s="33">
        <f>IF(C881="","",Commercial_Id)</f>
        <v/>
      </c>
      <c r="Q881" s="39">
        <f>IF(F881="","",IFERROR(VALUE(MID(F881,LEN(F881)-3,3)),""))</f>
        <v/>
      </c>
      <c r="R881" s="33">
        <f>IF(Q881="","",P881&amp;"|"&amp;Q881)</f>
        <v/>
      </c>
      <c r="S881" s="33">
        <f>IF(Q881="","",IF(P881="À RENSEIGNER","GIC",P881)&amp;"-"&amp;TEXT(Q881,"000"))</f>
        <v/>
      </c>
      <c r="T881" s="33">
        <f>IF(R881="","",IFERROR(INDEX(Cl_nom,MATCH(R881,Cl_cle,0)),"(client introuvable)"))</f>
        <v/>
      </c>
      <c r="U881" s="33">
        <f>IF(R881="","",IFERROR(INDEX(Cl_quartier,MATCH(R881,Cl_cle,0))&amp;"",""))</f>
        <v/>
      </c>
      <c r="V881" s="34">
        <f>IF(C881="","",YEAR(C881-WEEKDAY(C881,2)+4)&amp;"-S"&amp;TEXT(INT((C881-DATE(YEAR(C881-WEEKDAY(C881,2)+4),1,3)+WEEKDAY(DATE(YEAR(C881-WEEKDAY(C881,2)+4),1,3),2)+5)/7),"00"))</f>
        <v/>
      </c>
    </row>
    <row r="882" ht="18" customHeight="1">
      <c r="A882" s="39" t="n">
        <v>877</v>
      </c>
      <c r="B882" s="33">
        <f>IF(C882="","",IF(P882="À RENSEIGNER","GIC",P882)&amp;"-V"&amp;TEXT(A882,"00000"))</f>
        <v/>
      </c>
      <c r="C882" s="32" t="n"/>
      <c r="D882" s="35" t="n"/>
      <c r="E882" s="36" t="n"/>
      <c r="F882" s="36" t="n"/>
      <c r="G882" s="36" t="n"/>
      <c r="H882" s="36" t="n"/>
      <c r="I882" s="36" t="n"/>
      <c r="J882" s="37" t="n"/>
      <c r="K882" s="32" t="n"/>
      <c r="L882" s="36" t="n"/>
      <c r="M882" s="41" t="n"/>
      <c r="N882" s="41" t="n"/>
      <c r="O882" s="36" t="n"/>
      <c r="P882" s="33">
        <f>IF(C882="","",Commercial_Id)</f>
        <v/>
      </c>
      <c r="Q882" s="39">
        <f>IF(F882="","",IFERROR(VALUE(MID(F882,LEN(F882)-3,3)),""))</f>
        <v/>
      </c>
      <c r="R882" s="33">
        <f>IF(Q882="","",P882&amp;"|"&amp;Q882)</f>
        <v/>
      </c>
      <c r="S882" s="33">
        <f>IF(Q882="","",IF(P882="À RENSEIGNER","GIC",P882)&amp;"-"&amp;TEXT(Q882,"000"))</f>
        <v/>
      </c>
      <c r="T882" s="33">
        <f>IF(R882="","",IFERROR(INDEX(Cl_nom,MATCH(R882,Cl_cle,0)),"(client introuvable)"))</f>
        <v/>
      </c>
      <c r="U882" s="33">
        <f>IF(R882="","",IFERROR(INDEX(Cl_quartier,MATCH(R882,Cl_cle,0))&amp;"",""))</f>
        <v/>
      </c>
      <c r="V882" s="34">
        <f>IF(C882="","",YEAR(C882-WEEKDAY(C882,2)+4)&amp;"-S"&amp;TEXT(INT((C882-DATE(YEAR(C882-WEEKDAY(C882,2)+4),1,3)+WEEKDAY(DATE(YEAR(C882-WEEKDAY(C882,2)+4),1,3),2)+5)/7),"00"))</f>
        <v/>
      </c>
    </row>
    <row r="883" ht="18" customHeight="1">
      <c r="A883" s="39" t="n">
        <v>878</v>
      </c>
      <c r="B883" s="33">
        <f>IF(C883="","",IF(P883="À RENSEIGNER","GIC",P883)&amp;"-V"&amp;TEXT(A883,"00000"))</f>
        <v/>
      </c>
      <c r="C883" s="32" t="n"/>
      <c r="D883" s="35" t="n"/>
      <c r="E883" s="36" t="n"/>
      <c r="F883" s="36" t="n"/>
      <c r="G883" s="36" t="n"/>
      <c r="H883" s="36" t="n"/>
      <c r="I883" s="36" t="n"/>
      <c r="J883" s="37" t="n"/>
      <c r="K883" s="32" t="n"/>
      <c r="L883" s="36" t="n"/>
      <c r="M883" s="41" t="n"/>
      <c r="N883" s="41" t="n"/>
      <c r="O883" s="36" t="n"/>
      <c r="P883" s="33">
        <f>IF(C883="","",Commercial_Id)</f>
        <v/>
      </c>
      <c r="Q883" s="39">
        <f>IF(F883="","",IFERROR(VALUE(MID(F883,LEN(F883)-3,3)),""))</f>
        <v/>
      </c>
      <c r="R883" s="33">
        <f>IF(Q883="","",P883&amp;"|"&amp;Q883)</f>
        <v/>
      </c>
      <c r="S883" s="33">
        <f>IF(Q883="","",IF(P883="À RENSEIGNER","GIC",P883)&amp;"-"&amp;TEXT(Q883,"000"))</f>
        <v/>
      </c>
      <c r="T883" s="33">
        <f>IF(R883="","",IFERROR(INDEX(Cl_nom,MATCH(R883,Cl_cle,0)),"(client introuvable)"))</f>
        <v/>
      </c>
      <c r="U883" s="33">
        <f>IF(R883="","",IFERROR(INDEX(Cl_quartier,MATCH(R883,Cl_cle,0))&amp;"",""))</f>
        <v/>
      </c>
      <c r="V883" s="34">
        <f>IF(C883="","",YEAR(C883-WEEKDAY(C883,2)+4)&amp;"-S"&amp;TEXT(INT((C883-DATE(YEAR(C883-WEEKDAY(C883,2)+4),1,3)+WEEKDAY(DATE(YEAR(C883-WEEKDAY(C883,2)+4),1,3),2)+5)/7),"00"))</f>
        <v/>
      </c>
    </row>
    <row r="884" ht="18" customHeight="1">
      <c r="A884" s="39" t="n">
        <v>879</v>
      </c>
      <c r="B884" s="33">
        <f>IF(C884="","",IF(P884="À RENSEIGNER","GIC",P884)&amp;"-V"&amp;TEXT(A884,"00000"))</f>
        <v/>
      </c>
      <c r="C884" s="32" t="n"/>
      <c r="D884" s="35" t="n"/>
      <c r="E884" s="36" t="n"/>
      <c r="F884" s="36" t="n"/>
      <c r="G884" s="36" t="n"/>
      <c r="H884" s="36" t="n"/>
      <c r="I884" s="36" t="n"/>
      <c r="J884" s="37" t="n"/>
      <c r="K884" s="32" t="n"/>
      <c r="L884" s="36" t="n"/>
      <c r="M884" s="41" t="n"/>
      <c r="N884" s="41" t="n"/>
      <c r="O884" s="36" t="n"/>
      <c r="P884" s="33">
        <f>IF(C884="","",Commercial_Id)</f>
        <v/>
      </c>
      <c r="Q884" s="39">
        <f>IF(F884="","",IFERROR(VALUE(MID(F884,LEN(F884)-3,3)),""))</f>
        <v/>
      </c>
      <c r="R884" s="33">
        <f>IF(Q884="","",P884&amp;"|"&amp;Q884)</f>
        <v/>
      </c>
      <c r="S884" s="33">
        <f>IF(Q884="","",IF(P884="À RENSEIGNER","GIC",P884)&amp;"-"&amp;TEXT(Q884,"000"))</f>
        <v/>
      </c>
      <c r="T884" s="33">
        <f>IF(R884="","",IFERROR(INDEX(Cl_nom,MATCH(R884,Cl_cle,0)),"(client introuvable)"))</f>
        <v/>
      </c>
      <c r="U884" s="33">
        <f>IF(R884="","",IFERROR(INDEX(Cl_quartier,MATCH(R884,Cl_cle,0))&amp;"",""))</f>
        <v/>
      </c>
      <c r="V884" s="34">
        <f>IF(C884="","",YEAR(C884-WEEKDAY(C884,2)+4)&amp;"-S"&amp;TEXT(INT((C884-DATE(YEAR(C884-WEEKDAY(C884,2)+4),1,3)+WEEKDAY(DATE(YEAR(C884-WEEKDAY(C884,2)+4),1,3),2)+5)/7),"00"))</f>
        <v/>
      </c>
    </row>
    <row r="885" ht="18" customHeight="1">
      <c r="A885" s="39" t="n">
        <v>880</v>
      </c>
      <c r="B885" s="33">
        <f>IF(C885="","",IF(P885="À RENSEIGNER","GIC",P885)&amp;"-V"&amp;TEXT(A885,"00000"))</f>
        <v/>
      </c>
      <c r="C885" s="32" t="n"/>
      <c r="D885" s="35" t="n"/>
      <c r="E885" s="36" t="n"/>
      <c r="F885" s="36" t="n"/>
      <c r="G885" s="36" t="n"/>
      <c r="H885" s="36" t="n"/>
      <c r="I885" s="36" t="n"/>
      <c r="J885" s="37" t="n"/>
      <c r="K885" s="32" t="n"/>
      <c r="L885" s="36" t="n"/>
      <c r="M885" s="41" t="n"/>
      <c r="N885" s="41" t="n"/>
      <c r="O885" s="36" t="n"/>
      <c r="P885" s="33">
        <f>IF(C885="","",Commercial_Id)</f>
        <v/>
      </c>
      <c r="Q885" s="39">
        <f>IF(F885="","",IFERROR(VALUE(MID(F885,LEN(F885)-3,3)),""))</f>
        <v/>
      </c>
      <c r="R885" s="33">
        <f>IF(Q885="","",P885&amp;"|"&amp;Q885)</f>
        <v/>
      </c>
      <c r="S885" s="33">
        <f>IF(Q885="","",IF(P885="À RENSEIGNER","GIC",P885)&amp;"-"&amp;TEXT(Q885,"000"))</f>
        <v/>
      </c>
      <c r="T885" s="33">
        <f>IF(R885="","",IFERROR(INDEX(Cl_nom,MATCH(R885,Cl_cle,0)),"(client introuvable)"))</f>
        <v/>
      </c>
      <c r="U885" s="33">
        <f>IF(R885="","",IFERROR(INDEX(Cl_quartier,MATCH(R885,Cl_cle,0))&amp;"",""))</f>
        <v/>
      </c>
      <c r="V885" s="34">
        <f>IF(C885="","",YEAR(C885-WEEKDAY(C885,2)+4)&amp;"-S"&amp;TEXT(INT((C885-DATE(YEAR(C885-WEEKDAY(C885,2)+4),1,3)+WEEKDAY(DATE(YEAR(C885-WEEKDAY(C885,2)+4),1,3),2)+5)/7),"00"))</f>
        <v/>
      </c>
    </row>
    <row r="886" ht="18" customHeight="1">
      <c r="A886" s="39" t="n">
        <v>881</v>
      </c>
      <c r="B886" s="33">
        <f>IF(C886="","",IF(P886="À RENSEIGNER","GIC",P886)&amp;"-V"&amp;TEXT(A886,"00000"))</f>
        <v/>
      </c>
      <c r="C886" s="32" t="n"/>
      <c r="D886" s="35" t="n"/>
      <c r="E886" s="36" t="n"/>
      <c r="F886" s="36" t="n"/>
      <c r="G886" s="36" t="n"/>
      <c r="H886" s="36" t="n"/>
      <c r="I886" s="36" t="n"/>
      <c r="J886" s="37" t="n"/>
      <c r="K886" s="32" t="n"/>
      <c r="L886" s="36" t="n"/>
      <c r="M886" s="41" t="n"/>
      <c r="N886" s="41" t="n"/>
      <c r="O886" s="36" t="n"/>
      <c r="P886" s="33">
        <f>IF(C886="","",Commercial_Id)</f>
        <v/>
      </c>
      <c r="Q886" s="39">
        <f>IF(F886="","",IFERROR(VALUE(MID(F886,LEN(F886)-3,3)),""))</f>
        <v/>
      </c>
      <c r="R886" s="33">
        <f>IF(Q886="","",P886&amp;"|"&amp;Q886)</f>
        <v/>
      </c>
      <c r="S886" s="33">
        <f>IF(Q886="","",IF(P886="À RENSEIGNER","GIC",P886)&amp;"-"&amp;TEXT(Q886,"000"))</f>
        <v/>
      </c>
      <c r="T886" s="33">
        <f>IF(R886="","",IFERROR(INDEX(Cl_nom,MATCH(R886,Cl_cle,0)),"(client introuvable)"))</f>
        <v/>
      </c>
      <c r="U886" s="33">
        <f>IF(R886="","",IFERROR(INDEX(Cl_quartier,MATCH(R886,Cl_cle,0))&amp;"",""))</f>
        <v/>
      </c>
      <c r="V886" s="34">
        <f>IF(C886="","",YEAR(C886-WEEKDAY(C886,2)+4)&amp;"-S"&amp;TEXT(INT((C886-DATE(YEAR(C886-WEEKDAY(C886,2)+4),1,3)+WEEKDAY(DATE(YEAR(C886-WEEKDAY(C886,2)+4),1,3),2)+5)/7),"00"))</f>
        <v/>
      </c>
    </row>
    <row r="887" ht="18" customHeight="1">
      <c r="A887" s="39" t="n">
        <v>882</v>
      </c>
      <c r="B887" s="33">
        <f>IF(C887="","",IF(P887="À RENSEIGNER","GIC",P887)&amp;"-V"&amp;TEXT(A887,"00000"))</f>
        <v/>
      </c>
      <c r="C887" s="32" t="n"/>
      <c r="D887" s="35" t="n"/>
      <c r="E887" s="36" t="n"/>
      <c r="F887" s="36" t="n"/>
      <c r="G887" s="36" t="n"/>
      <c r="H887" s="36" t="n"/>
      <c r="I887" s="36" t="n"/>
      <c r="J887" s="37" t="n"/>
      <c r="K887" s="32" t="n"/>
      <c r="L887" s="36" t="n"/>
      <c r="M887" s="41" t="n"/>
      <c r="N887" s="41" t="n"/>
      <c r="O887" s="36" t="n"/>
      <c r="P887" s="33">
        <f>IF(C887="","",Commercial_Id)</f>
        <v/>
      </c>
      <c r="Q887" s="39">
        <f>IF(F887="","",IFERROR(VALUE(MID(F887,LEN(F887)-3,3)),""))</f>
        <v/>
      </c>
      <c r="R887" s="33">
        <f>IF(Q887="","",P887&amp;"|"&amp;Q887)</f>
        <v/>
      </c>
      <c r="S887" s="33">
        <f>IF(Q887="","",IF(P887="À RENSEIGNER","GIC",P887)&amp;"-"&amp;TEXT(Q887,"000"))</f>
        <v/>
      </c>
      <c r="T887" s="33">
        <f>IF(R887="","",IFERROR(INDEX(Cl_nom,MATCH(R887,Cl_cle,0)),"(client introuvable)"))</f>
        <v/>
      </c>
      <c r="U887" s="33">
        <f>IF(R887="","",IFERROR(INDEX(Cl_quartier,MATCH(R887,Cl_cle,0))&amp;"",""))</f>
        <v/>
      </c>
      <c r="V887" s="34">
        <f>IF(C887="","",YEAR(C887-WEEKDAY(C887,2)+4)&amp;"-S"&amp;TEXT(INT((C887-DATE(YEAR(C887-WEEKDAY(C887,2)+4),1,3)+WEEKDAY(DATE(YEAR(C887-WEEKDAY(C887,2)+4),1,3),2)+5)/7),"00"))</f>
        <v/>
      </c>
    </row>
    <row r="888" ht="18" customHeight="1">
      <c r="A888" s="39" t="n">
        <v>883</v>
      </c>
      <c r="B888" s="33">
        <f>IF(C888="","",IF(P888="À RENSEIGNER","GIC",P888)&amp;"-V"&amp;TEXT(A888,"00000"))</f>
        <v/>
      </c>
      <c r="C888" s="32" t="n"/>
      <c r="D888" s="35" t="n"/>
      <c r="E888" s="36" t="n"/>
      <c r="F888" s="36" t="n"/>
      <c r="G888" s="36" t="n"/>
      <c r="H888" s="36" t="n"/>
      <c r="I888" s="36" t="n"/>
      <c r="J888" s="37" t="n"/>
      <c r="K888" s="32" t="n"/>
      <c r="L888" s="36" t="n"/>
      <c r="M888" s="41" t="n"/>
      <c r="N888" s="41" t="n"/>
      <c r="O888" s="36" t="n"/>
      <c r="P888" s="33">
        <f>IF(C888="","",Commercial_Id)</f>
        <v/>
      </c>
      <c r="Q888" s="39">
        <f>IF(F888="","",IFERROR(VALUE(MID(F888,LEN(F888)-3,3)),""))</f>
        <v/>
      </c>
      <c r="R888" s="33">
        <f>IF(Q888="","",P888&amp;"|"&amp;Q888)</f>
        <v/>
      </c>
      <c r="S888" s="33">
        <f>IF(Q888="","",IF(P888="À RENSEIGNER","GIC",P888)&amp;"-"&amp;TEXT(Q888,"000"))</f>
        <v/>
      </c>
      <c r="T888" s="33">
        <f>IF(R888="","",IFERROR(INDEX(Cl_nom,MATCH(R888,Cl_cle,0)),"(client introuvable)"))</f>
        <v/>
      </c>
      <c r="U888" s="33">
        <f>IF(R888="","",IFERROR(INDEX(Cl_quartier,MATCH(R888,Cl_cle,0))&amp;"",""))</f>
        <v/>
      </c>
      <c r="V888" s="34">
        <f>IF(C888="","",YEAR(C888-WEEKDAY(C888,2)+4)&amp;"-S"&amp;TEXT(INT((C888-DATE(YEAR(C888-WEEKDAY(C888,2)+4),1,3)+WEEKDAY(DATE(YEAR(C888-WEEKDAY(C888,2)+4),1,3),2)+5)/7),"00"))</f>
        <v/>
      </c>
    </row>
    <row r="889" ht="18" customHeight="1">
      <c r="A889" s="39" t="n">
        <v>884</v>
      </c>
      <c r="B889" s="33">
        <f>IF(C889="","",IF(P889="À RENSEIGNER","GIC",P889)&amp;"-V"&amp;TEXT(A889,"00000"))</f>
        <v/>
      </c>
      <c r="C889" s="32" t="n"/>
      <c r="D889" s="35" t="n"/>
      <c r="E889" s="36" t="n"/>
      <c r="F889" s="36" t="n"/>
      <c r="G889" s="36" t="n"/>
      <c r="H889" s="36" t="n"/>
      <c r="I889" s="36" t="n"/>
      <c r="J889" s="37" t="n"/>
      <c r="K889" s="32" t="n"/>
      <c r="L889" s="36" t="n"/>
      <c r="M889" s="41" t="n"/>
      <c r="N889" s="41" t="n"/>
      <c r="O889" s="36" t="n"/>
      <c r="P889" s="33">
        <f>IF(C889="","",Commercial_Id)</f>
        <v/>
      </c>
      <c r="Q889" s="39">
        <f>IF(F889="","",IFERROR(VALUE(MID(F889,LEN(F889)-3,3)),""))</f>
        <v/>
      </c>
      <c r="R889" s="33">
        <f>IF(Q889="","",P889&amp;"|"&amp;Q889)</f>
        <v/>
      </c>
      <c r="S889" s="33">
        <f>IF(Q889="","",IF(P889="À RENSEIGNER","GIC",P889)&amp;"-"&amp;TEXT(Q889,"000"))</f>
        <v/>
      </c>
      <c r="T889" s="33">
        <f>IF(R889="","",IFERROR(INDEX(Cl_nom,MATCH(R889,Cl_cle,0)),"(client introuvable)"))</f>
        <v/>
      </c>
      <c r="U889" s="33">
        <f>IF(R889="","",IFERROR(INDEX(Cl_quartier,MATCH(R889,Cl_cle,0))&amp;"",""))</f>
        <v/>
      </c>
      <c r="V889" s="34">
        <f>IF(C889="","",YEAR(C889-WEEKDAY(C889,2)+4)&amp;"-S"&amp;TEXT(INT((C889-DATE(YEAR(C889-WEEKDAY(C889,2)+4),1,3)+WEEKDAY(DATE(YEAR(C889-WEEKDAY(C889,2)+4),1,3),2)+5)/7),"00"))</f>
        <v/>
      </c>
    </row>
    <row r="890" ht="18" customHeight="1">
      <c r="A890" s="39" t="n">
        <v>885</v>
      </c>
      <c r="B890" s="33">
        <f>IF(C890="","",IF(P890="À RENSEIGNER","GIC",P890)&amp;"-V"&amp;TEXT(A890,"00000"))</f>
        <v/>
      </c>
      <c r="C890" s="32" t="n"/>
      <c r="D890" s="35" t="n"/>
      <c r="E890" s="36" t="n"/>
      <c r="F890" s="36" t="n"/>
      <c r="G890" s="36" t="n"/>
      <c r="H890" s="36" t="n"/>
      <c r="I890" s="36" t="n"/>
      <c r="J890" s="37" t="n"/>
      <c r="K890" s="32" t="n"/>
      <c r="L890" s="36" t="n"/>
      <c r="M890" s="41" t="n"/>
      <c r="N890" s="41" t="n"/>
      <c r="O890" s="36" t="n"/>
      <c r="P890" s="33">
        <f>IF(C890="","",Commercial_Id)</f>
        <v/>
      </c>
      <c r="Q890" s="39">
        <f>IF(F890="","",IFERROR(VALUE(MID(F890,LEN(F890)-3,3)),""))</f>
        <v/>
      </c>
      <c r="R890" s="33">
        <f>IF(Q890="","",P890&amp;"|"&amp;Q890)</f>
        <v/>
      </c>
      <c r="S890" s="33">
        <f>IF(Q890="","",IF(P890="À RENSEIGNER","GIC",P890)&amp;"-"&amp;TEXT(Q890,"000"))</f>
        <v/>
      </c>
      <c r="T890" s="33">
        <f>IF(R890="","",IFERROR(INDEX(Cl_nom,MATCH(R890,Cl_cle,0)),"(client introuvable)"))</f>
        <v/>
      </c>
      <c r="U890" s="33">
        <f>IF(R890="","",IFERROR(INDEX(Cl_quartier,MATCH(R890,Cl_cle,0))&amp;"",""))</f>
        <v/>
      </c>
      <c r="V890" s="34">
        <f>IF(C890="","",YEAR(C890-WEEKDAY(C890,2)+4)&amp;"-S"&amp;TEXT(INT((C890-DATE(YEAR(C890-WEEKDAY(C890,2)+4),1,3)+WEEKDAY(DATE(YEAR(C890-WEEKDAY(C890,2)+4),1,3),2)+5)/7),"00"))</f>
        <v/>
      </c>
    </row>
    <row r="891" ht="18" customHeight="1">
      <c r="A891" s="39" t="n">
        <v>886</v>
      </c>
      <c r="B891" s="33">
        <f>IF(C891="","",IF(P891="À RENSEIGNER","GIC",P891)&amp;"-V"&amp;TEXT(A891,"00000"))</f>
        <v/>
      </c>
      <c r="C891" s="32" t="n"/>
      <c r="D891" s="35" t="n"/>
      <c r="E891" s="36" t="n"/>
      <c r="F891" s="36" t="n"/>
      <c r="G891" s="36" t="n"/>
      <c r="H891" s="36" t="n"/>
      <c r="I891" s="36" t="n"/>
      <c r="J891" s="37" t="n"/>
      <c r="K891" s="32" t="n"/>
      <c r="L891" s="36" t="n"/>
      <c r="M891" s="41" t="n"/>
      <c r="N891" s="41" t="n"/>
      <c r="O891" s="36" t="n"/>
      <c r="P891" s="33">
        <f>IF(C891="","",Commercial_Id)</f>
        <v/>
      </c>
      <c r="Q891" s="39">
        <f>IF(F891="","",IFERROR(VALUE(MID(F891,LEN(F891)-3,3)),""))</f>
        <v/>
      </c>
      <c r="R891" s="33">
        <f>IF(Q891="","",P891&amp;"|"&amp;Q891)</f>
        <v/>
      </c>
      <c r="S891" s="33">
        <f>IF(Q891="","",IF(P891="À RENSEIGNER","GIC",P891)&amp;"-"&amp;TEXT(Q891,"000"))</f>
        <v/>
      </c>
      <c r="T891" s="33">
        <f>IF(R891="","",IFERROR(INDEX(Cl_nom,MATCH(R891,Cl_cle,0)),"(client introuvable)"))</f>
        <v/>
      </c>
      <c r="U891" s="33">
        <f>IF(R891="","",IFERROR(INDEX(Cl_quartier,MATCH(R891,Cl_cle,0))&amp;"",""))</f>
        <v/>
      </c>
      <c r="V891" s="34">
        <f>IF(C891="","",YEAR(C891-WEEKDAY(C891,2)+4)&amp;"-S"&amp;TEXT(INT((C891-DATE(YEAR(C891-WEEKDAY(C891,2)+4),1,3)+WEEKDAY(DATE(YEAR(C891-WEEKDAY(C891,2)+4),1,3),2)+5)/7),"00"))</f>
        <v/>
      </c>
    </row>
    <row r="892" ht="18" customHeight="1">
      <c r="A892" s="39" t="n">
        <v>887</v>
      </c>
      <c r="B892" s="33">
        <f>IF(C892="","",IF(P892="À RENSEIGNER","GIC",P892)&amp;"-V"&amp;TEXT(A892,"00000"))</f>
        <v/>
      </c>
      <c r="C892" s="32" t="n"/>
      <c r="D892" s="35" t="n"/>
      <c r="E892" s="36" t="n"/>
      <c r="F892" s="36" t="n"/>
      <c r="G892" s="36" t="n"/>
      <c r="H892" s="36" t="n"/>
      <c r="I892" s="36" t="n"/>
      <c r="J892" s="37" t="n"/>
      <c r="K892" s="32" t="n"/>
      <c r="L892" s="36" t="n"/>
      <c r="M892" s="41" t="n"/>
      <c r="N892" s="41" t="n"/>
      <c r="O892" s="36" t="n"/>
      <c r="P892" s="33">
        <f>IF(C892="","",Commercial_Id)</f>
        <v/>
      </c>
      <c r="Q892" s="39">
        <f>IF(F892="","",IFERROR(VALUE(MID(F892,LEN(F892)-3,3)),""))</f>
        <v/>
      </c>
      <c r="R892" s="33">
        <f>IF(Q892="","",P892&amp;"|"&amp;Q892)</f>
        <v/>
      </c>
      <c r="S892" s="33">
        <f>IF(Q892="","",IF(P892="À RENSEIGNER","GIC",P892)&amp;"-"&amp;TEXT(Q892,"000"))</f>
        <v/>
      </c>
      <c r="T892" s="33">
        <f>IF(R892="","",IFERROR(INDEX(Cl_nom,MATCH(R892,Cl_cle,0)),"(client introuvable)"))</f>
        <v/>
      </c>
      <c r="U892" s="33">
        <f>IF(R892="","",IFERROR(INDEX(Cl_quartier,MATCH(R892,Cl_cle,0))&amp;"",""))</f>
        <v/>
      </c>
      <c r="V892" s="34">
        <f>IF(C892="","",YEAR(C892-WEEKDAY(C892,2)+4)&amp;"-S"&amp;TEXT(INT((C892-DATE(YEAR(C892-WEEKDAY(C892,2)+4),1,3)+WEEKDAY(DATE(YEAR(C892-WEEKDAY(C892,2)+4),1,3),2)+5)/7),"00"))</f>
        <v/>
      </c>
    </row>
    <row r="893" ht="18" customHeight="1">
      <c r="A893" s="39" t="n">
        <v>888</v>
      </c>
      <c r="B893" s="33">
        <f>IF(C893="","",IF(P893="À RENSEIGNER","GIC",P893)&amp;"-V"&amp;TEXT(A893,"00000"))</f>
        <v/>
      </c>
      <c r="C893" s="32" t="n"/>
      <c r="D893" s="35" t="n"/>
      <c r="E893" s="36" t="n"/>
      <c r="F893" s="36" t="n"/>
      <c r="G893" s="36" t="n"/>
      <c r="H893" s="36" t="n"/>
      <c r="I893" s="36" t="n"/>
      <c r="J893" s="37" t="n"/>
      <c r="K893" s="32" t="n"/>
      <c r="L893" s="36" t="n"/>
      <c r="M893" s="41" t="n"/>
      <c r="N893" s="41" t="n"/>
      <c r="O893" s="36" t="n"/>
      <c r="P893" s="33">
        <f>IF(C893="","",Commercial_Id)</f>
        <v/>
      </c>
      <c r="Q893" s="39">
        <f>IF(F893="","",IFERROR(VALUE(MID(F893,LEN(F893)-3,3)),""))</f>
        <v/>
      </c>
      <c r="R893" s="33">
        <f>IF(Q893="","",P893&amp;"|"&amp;Q893)</f>
        <v/>
      </c>
      <c r="S893" s="33">
        <f>IF(Q893="","",IF(P893="À RENSEIGNER","GIC",P893)&amp;"-"&amp;TEXT(Q893,"000"))</f>
        <v/>
      </c>
      <c r="T893" s="33">
        <f>IF(R893="","",IFERROR(INDEX(Cl_nom,MATCH(R893,Cl_cle,0)),"(client introuvable)"))</f>
        <v/>
      </c>
      <c r="U893" s="33">
        <f>IF(R893="","",IFERROR(INDEX(Cl_quartier,MATCH(R893,Cl_cle,0))&amp;"",""))</f>
        <v/>
      </c>
      <c r="V893" s="34">
        <f>IF(C893="","",YEAR(C893-WEEKDAY(C893,2)+4)&amp;"-S"&amp;TEXT(INT((C893-DATE(YEAR(C893-WEEKDAY(C893,2)+4),1,3)+WEEKDAY(DATE(YEAR(C893-WEEKDAY(C893,2)+4),1,3),2)+5)/7),"00"))</f>
        <v/>
      </c>
    </row>
    <row r="894" ht="18" customHeight="1">
      <c r="A894" s="39" t="n">
        <v>889</v>
      </c>
      <c r="B894" s="33">
        <f>IF(C894="","",IF(P894="À RENSEIGNER","GIC",P894)&amp;"-V"&amp;TEXT(A894,"00000"))</f>
        <v/>
      </c>
      <c r="C894" s="32" t="n"/>
      <c r="D894" s="35" t="n"/>
      <c r="E894" s="36" t="n"/>
      <c r="F894" s="36" t="n"/>
      <c r="G894" s="36" t="n"/>
      <c r="H894" s="36" t="n"/>
      <c r="I894" s="36" t="n"/>
      <c r="J894" s="37" t="n"/>
      <c r="K894" s="32" t="n"/>
      <c r="L894" s="36" t="n"/>
      <c r="M894" s="41" t="n"/>
      <c r="N894" s="41" t="n"/>
      <c r="O894" s="36" t="n"/>
      <c r="P894" s="33">
        <f>IF(C894="","",Commercial_Id)</f>
        <v/>
      </c>
      <c r="Q894" s="39">
        <f>IF(F894="","",IFERROR(VALUE(MID(F894,LEN(F894)-3,3)),""))</f>
        <v/>
      </c>
      <c r="R894" s="33">
        <f>IF(Q894="","",P894&amp;"|"&amp;Q894)</f>
        <v/>
      </c>
      <c r="S894" s="33">
        <f>IF(Q894="","",IF(P894="À RENSEIGNER","GIC",P894)&amp;"-"&amp;TEXT(Q894,"000"))</f>
        <v/>
      </c>
      <c r="T894" s="33">
        <f>IF(R894="","",IFERROR(INDEX(Cl_nom,MATCH(R894,Cl_cle,0)),"(client introuvable)"))</f>
        <v/>
      </c>
      <c r="U894" s="33">
        <f>IF(R894="","",IFERROR(INDEX(Cl_quartier,MATCH(R894,Cl_cle,0))&amp;"",""))</f>
        <v/>
      </c>
      <c r="V894" s="34">
        <f>IF(C894="","",YEAR(C894-WEEKDAY(C894,2)+4)&amp;"-S"&amp;TEXT(INT((C894-DATE(YEAR(C894-WEEKDAY(C894,2)+4),1,3)+WEEKDAY(DATE(YEAR(C894-WEEKDAY(C894,2)+4),1,3),2)+5)/7),"00"))</f>
        <v/>
      </c>
    </row>
    <row r="895" ht="18" customHeight="1">
      <c r="A895" s="39" t="n">
        <v>890</v>
      </c>
      <c r="B895" s="33">
        <f>IF(C895="","",IF(P895="À RENSEIGNER","GIC",P895)&amp;"-V"&amp;TEXT(A895,"00000"))</f>
        <v/>
      </c>
      <c r="C895" s="32" t="n"/>
      <c r="D895" s="35" t="n"/>
      <c r="E895" s="36" t="n"/>
      <c r="F895" s="36" t="n"/>
      <c r="G895" s="36" t="n"/>
      <c r="H895" s="36" t="n"/>
      <c r="I895" s="36" t="n"/>
      <c r="J895" s="37" t="n"/>
      <c r="K895" s="32" t="n"/>
      <c r="L895" s="36" t="n"/>
      <c r="M895" s="41" t="n"/>
      <c r="N895" s="41" t="n"/>
      <c r="O895" s="36" t="n"/>
      <c r="P895" s="33">
        <f>IF(C895="","",Commercial_Id)</f>
        <v/>
      </c>
      <c r="Q895" s="39">
        <f>IF(F895="","",IFERROR(VALUE(MID(F895,LEN(F895)-3,3)),""))</f>
        <v/>
      </c>
      <c r="R895" s="33">
        <f>IF(Q895="","",P895&amp;"|"&amp;Q895)</f>
        <v/>
      </c>
      <c r="S895" s="33">
        <f>IF(Q895="","",IF(P895="À RENSEIGNER","GIC",P895)&amp;"-"&amp;TEXT(Q895,"000"))</f>
        <v/>
      </c>
      <c r="T895" s="33">
        <f>IF(R895="","",IFERROR(INDEX(Cl_nom,MATCH(R895,Cl_cle,0)),"(client introuvable)"))</f>
        <v/>
      </c>
      <c r="U895" s="33">
        <f>IF(R895="","",IFERROR(INDEX(Cl_quartier,MATCH(R895,Cl_cle,0))&amp;"",""))</f>
        <v/>
      </c>
      <c r="V895" s="34">
        <f>IF(C895="","",YEAR(C895-WEEKDAY(C895,2)+4)&amp;"-S"&amp;TEXT(INT((C895-DATE(YEAR(C895-WEEKDAY(C895,2)+4),1,3)+WEEKDAY(DATE(YEAR(C895-WEEKDAY(C895,2)+4),1,3),2)+5)/7),"00"))</f>
        <v/>
      </c>
    </row>
    <row r="896" ht="18" customHeight="1">
      <c r="A896" s="39" t="n">
        <v>891</v>
      </c>
      <c r="B896" s="33">
        <f>IF(C896="","",IF(P896="À RENSEIGNER","GIC",P896)&amp;"-V"&amp;TEXT(A896,"00000"))</f>
        <v/>
      </c>
      <c r="C896" s="32" t="n"/>
      <c r="D896" s="35" t="n"/>
      <c r="E896" s="36" t="n"/>
      <c r="F896" s="36" t="n"/>
      <c r="G896" s="36" t="n"/>
      <c r="H896" s="36" t="n"/>
      <c r="I896" s="36" t="n"/>
      <c r="J896" s="37" t="n"/>
      <c r="K896" s="32" t="n"/>
      <c r="L896" s="36" t="n"/>
      <c r="M896" s="41" t="n"/>
      <c r="N896" s="41" t="n"/>
      <c r="O896" s="36" t="n"/>
      <c r="P896" s="33">
        <f>IF(C896="","",Commercial_Id)</f>
        <v/>
      </c>
      <c r="Q896" s="39">
        <f>IF(F896="","",IFERROR(VALUE(MID(F896,LEN(F896)-3,3)),""))</f>
        <v/>
      </c>
      <c r="R896" s="33">
        <f>IF(Q896="","",P896&amp;"|"&amp;Q896)</f>
        <v/>
      </c>
      <c r="S896" s="33">
        <f>IF(Q896="","",IF(P896="À RENSEIGNER","GIC",P896)&amp;"-"&amp;TEXT(Q896,"000"))</f>
        <v/>
      </c>
      <c r="T896" s="33">
        <f>IF(R896="","",IFERROR(INDEX(Cl_nom,MATCH(R896,Cl_cle,0)),"(client introuvable)"))</f>
        <v/>
      </c>
      <c r="U896" s="33">
        <f>IF(R896="","",IFERROR(INDEX(Cl_quartier,MATCH(R896,Cl_cle,0))&amp;"",""))</f>
        <v/>
      </c>
      <c r="V896" s="34">
        <f>IF(C896="","",YEAR(C896-WEEKDAY(C896,2)+4)&amp;"-S"&amp;TEXT(INT((C896-DATE(YEAR(C896-WEEKDAY(C896,2)+4),1,3)+WEEKDAY(DATE(YEAR(C896-WEEKDAY(C896,2)+4),1,3),2)+5)/7),"00"))</f>
        <v/>
      </c>
    </row>
    <row r="897" ht="18" customHeight="1">
      <c r="A897" s="39" t="n">
        <v>892</v>
      </c>
      <c r="B897" s="33">
        <f>IF(C897="","",IF(P897="À RENSEIGNER","GIC",P897)&amp;"-V"&amp;TEXT(A897,"00000"))</f>
        <v/>
      </c>
      <c r="C897" s="32" t="n"/>
      <c r="D897" s="35" t="n"/>
      <c r="E897" s="36" t="n"/>
      <c r="F897" s="36" t="n"/>
      <c r="G897" s="36" t="n"/>
      <c r="H897" s="36" t="n"/>
      <c r="I897" s="36" t="n"/>
      <c r="J897" s="37" t="n"/>
      <c r="K897" s="32" t="n"/>
      <c r="L897" s="36" t="n"/>
      <c r="M897" s="41" t="n"/>
      <c r="N897" s="41" t="n"/>
      <c r="O897" s="36" t="n"/>
      <c r="P897" s="33">
        <f>IF(C897="","",Commercial_Id)</f>
        <v/>
      </c>
      <c r="Q897" s="39">
        <f>IF(F897="","",IFERROR(VALUE(MID(F897,LEN(F897)-3,3)),""))</f>
        <v/>
      </c>
      <c r="R897" s="33">
        <f>IF(Q897="","",P897&amp;"|"&amp;Q897)</f>
        <v/>
      </c>
      <c r="S897" s="33">
        <f>IF(Q897="","",IF(P897="À RENSEIGNER","GIC",P897)&amp;"-"&amp;TEXT(Q897,"000"))</f>
        <v/>
      </c>
      <c r="T897" s="33">
        <f>IF(R897="","",IFERROR(INDEX(Cl_nom,MATCH(R897,Cl_cle,0)),"(client introuvable)"))</f>
        <v/>
      </c>
      <c r="U897" s="33">
        <f>IF(R897="","",IFERROR(INDEX(Cl_quartier,MATCH(R897,Cl_cle,0))&amp;"",""))</f>
        <v/>
      </c>
      <c r="V897" s="34">
        <f>IF(C897="","",YEAR(C897-WEEKDAY(C897,2)+4)&amp;"-S"&amp;TEXT(INT((C897-DATE(YEAR(C897-WEEKDAY(C897,2)+4),1,3)+WEEKDAY(DATE(YEAR(C897-WEEKDAY(C897,2)+4),1,3),2)+5)/7),"00"))</f>
        <v/>
      </c>
    </row>
    <row r="898" ht="18" customHeight="1">
      <c r="A898" s="39" t="n">
        <v>893</v>
      </c>
      <c r="B898" s="33">
        <f>IF(C898="","",IF(P898="À RENSEIGNER","GIC",P898)&amp;"-V"&amp;TEXT(A898,"00000"))</f>
        <v/>
      </c>
      <c r="C898" s="32" t="n"/>
      <c r="D898" s="35" t="n"/>
      <c r="E898" s="36" t="n"/>
      <c r="F898" s="36" t="n"/>
      <c r="G898" s="36" t="n"/>
      <c r="H898" s="36" t="n"/>
      <c r="I898" s="36" t="n"/>
      <c r="J898" s="37" t="n"/>
      <c r="K898" s="32" t="n"/>
      <c r="L898" s="36" t="n"/>
      <c r="M898" s="41" t="n"/>
      <c r="N898" s="41" t="n"/>
      <c r="O898" s="36" t="n"/>
      <c r="P898" s="33">
        <f>IF(C898="","",Commercial_Id)</f>
        <v/>
      </c>
      <c r="Q898" s="39">
        <f>IF(F898="","",IFERROR(VALUE(MID(F898,LEN(F898)-3,3)),""))</f>
        <v/>
      </c>
      <c r="R898" s="33">
        <f>IF(Q898="","",P898&amp;"|"&amp;Q898)</f>
        <v/>
      </c>
      <c r="S898" s="33">
        <f>IF(Q898="","",IF(P898="À RENSEIGNER","GIC",P898)&amp;"-"&amp;TEXT(Q898,"000"))</f>
        <v/>
      </c>
      <c r="T898" s="33">
        <f>IF(R898="","",IFERROR(INDEX(Cl_nom,MATCH(R898,Cl_cle,0)),"(client introuvable)"))</f>
        <v/>
      </c>
      <c r="U898" s="33">
        <f>IF(R898="","",IFERROR(INDEX(Cl_quartier,MATCH(R898,Cl_cle,0))&amp;"",""))</f>
        <v/>
      </c>
      <c r="V898" s="34">
        <f>IF(C898="","",YEAR(C898-WEEKDAY(C898,2)+4)&amp;"-S"&amp;TEXT(INT((C898-DATE(YEAR(C898-WEEKDAY(C898,2)+4),1,3)+WEEKDAY(DATE(YEAR(C898-WEEKDAY(C898,2)+4),1,3),2)+5)/7),"00"))</f>
        <v/>
      </c>
    </row>
    <row r="899" ht="18" customHeight="1">
      <c r="A899" s="39" t="n">
        <v>894</v>
      </c>
      <c r="B899" s="33">
        <f>IF(C899="","",IF(P899="À RENSEIGNER","GIC",P899)&amp;"-V"&amp;TEXT(A899,"00000"))</f>
        <v/>
      </c>
      <c r="C899" s="32" t="n"/>
      <c r="D899" s="35" t="n"/>
      <c r="E899" s="36" t="n"/>
      <c r="F899" s="36" t="n"/>
      <c r="G899" s="36" t="n"/>
      <c r="H899" s="36" t="n"/>
      <c r="I899" s="36" t="n"/>
      <c r="J899" s="37" t="n"/>
      <c r="K899" s="32" t="n"/>
      <c r="L899" s="36" t="n"/>
      <c r="M899" s="41" t="n"/>
      <c r="N899" s="41" t="n"/>
      <c r="O899" s="36" t="n"/>
      <c r="P899" s="33">
        <f>IF(C899="","",Commercial_Id)</f>
        <v/>
      </c>
      <c r="Q899" s="39">
        <f>IF(F899="","",IFERROR(VALUE(MID(F899,LEN(F899)-3,3)),""))</f>
        <v/>
      </c>
      <c r="R899" s="33">
        <f>IF(Q899="","",P899&amp;"|"&amp;Q899)</f>
        <v/>
      </c>
      <c r="S899" s="33">
        <f>IF(Q899="","",IF(P899="À RENSEIGNER","GIC",P899)&amp;"-"&amp;TEXT(Q899,"000"))</f>
        <v/>
      </c>
      <c r="T899" s="33">
        <f>IF(R899="","",IFERROR(INDEX(Cl_nom,MATCH(R899,Cl_cle,0)),"(client introuvable)"))</f>
        <v/>
      </c>
      <c r="U899" s="33">
        <f>IF(R899="","",IFERROR(INDEX(Cl_quartier,MATCH(R899,Cl_cle,0))&amp;"",""))</f>
        <v/>
      </c>
      <c r="V899" s="34">
        <f>IF(C899="","",YEAR(C899-WEEKDAY(C899,2)+4)&amp;"-S"&amp;TEXT(INT((C899-DATE(YEAR(C899-WEEKDAY(C899,2)+4),1,3)+WEEKDAY(DATE(YEAR(C899-WEEKDAY(C899,2)+4),1,3),2)+5)/7),"00"))</f>
        <v/>
      </c>
    </row>
    <row r="900" ht="18" customHeight="1">
      <c r="A900" s="39" t="n">
        <v>895</v>
      </c>
      <c r="B900" s="33">
        <f>IF(C900="","",IF(P900="À RENSEIGNER","GIC",P900)&amp;"-V"&amp;TEXT(A900,"00000"))</f>
        <v/>
      </c>
      <c r="C900" s="32" t="n"/>
      <c r="D900" s="35" t="n"/>
      <c r="E900" s="36" t="n"/>
      <c r="F900" s="36" t="n"/>
      <c r="G900" s="36" t="n"/>
      <c r="H900" s="36" t="n"/>
      <c r="I900" s="36" t="n"/>
      <c r="J900" s="37" t="n"/>
      <c r="K900" s="32" t="n"/>
      <c r="L900" s="36" t="n"/>
      <c r="M900" s="41" t="n"/>
      <c r="N900" s="41" t="n"/>
      <c r="O900" s="36" t="n"/>
      <c r="P900" s="33">
        <f>IF(C900="","",Commercial_Id)</f>
        <v/>
      </c>
      <c r="Q900" s="39">
        <f>IF(F900="","",IFERROR(VALUE(MID(F900,LEN(F900)-3,3)),""))</f>
        <v/>
      </c>
      <c r="R900" s="33">
        <f>IF(Q900="","",P900&amp;"|"&amp;Q900)</f>
        <v/>
      </c>
      <c r="S900" s="33">
        <f>IF(Q900="","",IF(P900="À RENSEIGNER","GIC",P900)&amp;"-"&amp;TEXT(Q900,"000"))</f>
        <v/>
      </c>
      <c r="T900" s="33">
        <f>IF(R900="","",IFERROR(INDEX(Cl_nom,MATCH(R900,Cl_cle,0)),"(client introuvable)"))</f>
        <v/>
      </c>
      <c r="U900" s="33">
        <f>IF(R900="","",IFERROR(INDEX(Cl_quartier,MATCH(R900,Cl_cle,0))&amp;"",""))</f>
        <v/>
      </c>
      <c r="V900" s="34">
        <f>IF(C900="","",YEAR(C900-WEEKDAY(C900,2)+4)&amp;"-S"&amp;TEXT(INT((C900-DATE(YEAR(C900-WEEKDAY(C900,2)+4),1,3)+WEEKDAY(DATE(YEAR(C900-WEEKDAY(C900,2)+4),1,3),2)+5)/7),"00"))</f>
        <v/>
      </c>
    </row>
    <row r="901" ht="18" customHeight="1">
      <c r="A901" s="39" t="n">
        <v>896</v>
      </c>
      <c r="B901" s="33">
        <f>IF(C901="","",IF(P901="À RENSEIGNER","GIC",P901)&amp;"-V"&amp;TEXT(A901,"00000"))</f>
        <v/>
      </c>
      <c r="C901" s="32" t="n"/>
      <c r="D901" s="35" t="n"/>
      <c r="E901" s="36" t="n"/>
      <c r="F901" s="36" t="n"/>
      <c r="G901" s="36" t="n"/>
      <c r="H901" s="36" t="n"/>
      <c r="I901" s="36" t="n"/>
      <c r="J901" s="37" t="n"/>
      <c r="K901" s="32" t="n"/>
      <c r="L901" s="36" t="n"/>
      <c r="M901" s="41" t="n"/>
      <c r="N901" s="41" t="n"/>
      <c r="O901" s="36" t="n"/>
      <c r="P901" s="33">
        <f>IF(C901="","",Commercial_Id)</f>
        <v/>
      </c>
      <c r="Q901" s="39">
        <f>IF(F901="","",IFERROR(VALUE(MID(F901,LEN(F901)-3,3)),""))</f>
        <v/>
      </c>
      <c r="R901" s="33">
        <f>IF(Q901="","",P901&amp;"|"&amp;Q901)</f>
        <v/>
      </c>
      <c r="S901" s="33">
        <f>IF(Q901="","",IF(P901="À RENSEIGNER","GIC",P901)&amp;"-"&amp;TEXT(Q901,"000"))</f>
        <v/>
      </c>
      <c r="T901" s="33">
        <f>IF(R901="","",IFERROR(INDEX(Cl_nom,MATCH(R901,Cl_cle,0)),"(client introuvable)"))</f>
        <v/>
      </c>
      <c r="U901" s="33">
        <f>IF(R901="","",IFERROR(INDEX(Cl_quartier,MATCH(R901,Cl_cle,0))&amp;"",""))</f>
        <v/>
      </c>
      <c r="V901" s="34">
        <f>IF(C901="","",YEAR(C901-WEEKDAY(C901,2)+4)&amp;"-S"&amp;TEXT(INT((C901-DATE(YEAR(C901-WEEKDAY(C901,2)+4),1,3)+WEEKDAY(DATE(YEAR(C901-WEEKDAY(C901,2)+4),1,3),2)+5)/7),"00"))</f>
        <v/>
      </c>
    </row>
    <row r="902" ht="18" customHeight="1">
      <c r="A902" s="39" t="n">
        <v>897</v>
      </c>
      <c r="B902" s="33">
        <f>IF(C902="","",IF(P902="À RENSEIGNER","GIC",P902)&amp;"-V"&amp;TEXT(A902,"00000"))</f>
        <v/>
      </c>
      <c r="C902" s="32" t="n"/>
      <c r="D902" s="35" t="n"/>
      <c r="E902" s="36" t="n"/>
      <c r="F902" s="36" t="n"/>
      <c r="G902" s="36" t="n"/>
      <c r="H902" s="36" t="n"/>
      <c r="I902" s="36" t="n"/>
      <c r="J902" s="37" t="n"/>
      <c r="K902" s="32" t="n"/>
      <c r="L902" s="36" t="n"/>
      <c r="M902" s="41" t="n"/>
      <c r="N902" s="41" t="n"/>
      <c r="O902" s="36" t="n"/>
      <c r="P902" s="33">
        <f>IF(C902="","",Commercial_Id)</f>
        <v/>
      </c>
      <c r="Q902" s="39">
        <f>IF(F902="","",IFERROR(VALUE(MID(F902,LEN(F902)-3,3)),""))</f>
        <v/>
      </c>
      <c r="R902" s="33">
        <f>IF(Q902="","",P902&amp;"|"&amp;Q902)</f>
        <v/>
      </c>
      <c r="S902" s="33">
        <f>IF(Q902="","",IF(P902="À RENSEIGNER","GIC",P902)&amp;"-"&amp;TEXT(Q902,"000"))</f>
        <v/>
      </c>
      <c r="T902" s="33">
        <f>IF(R902="","",IFERROR(INDEX(Cl_nom,MATCH(R902,Cl_cle,0)),"(client introuvable)"))</f>
        <v/>
      </c>
      <c r="U902" s="33">
        <f>IF(R902="","",IFERROR(INDEX(Cl_quartier,MATCH(R902,Cl_cle,0))&amp;"",""))</f>
        <v/>
      </c>
      <c r="V902" s="34">
        <f>IF(C902="","",YEAR(C902-WEEKDAY(C902,2)+4)&amp;"-S"&amp;TEXT(INT((C902-DATE(YEAR(C902-WEEKDAY(C902,2)+4),1,3)+WEEKDAY(DATE(YEAR(C902-WEEKDAY(C902,2)+4),1,3),2)+5)/7),"00"))</f>
        <v/>
      </c>
    </row>
    <row r="903" ht="18" customHeight="1">
      <c r="A903" s="39" t="n">
        <v>898</v>
      </c>
      <c r="B903" s="33">
        <f>IF(C903="","",IF(P903="À RENSEIGNER","GIC",P903)&amp;"-V"&amp;TEXT(A903,"00000"))</f>
        <v/>
      </c>
      <c r="C903" s="32" t="n"/>
      <c r="D903" s="35" t="n"/>
      <c r="E903" s="36" t="n"/>
      <c r="F903" s="36" t="n"/>
      <c r="G903" s="36" t="n"/>
      <c r="H903" s="36" t="n"/>
      <c r="I903" s="36" t="n"/>
      <c r="J903" s="37" t="n"/>
      <c r="K903" s="32" t="n"/>
      <c r="L903" s="36" t="n"/>
      <c r="M903" s="41" t="n"/>
      <c r="N903" s="41" t="n"/>
      <c r="O903" s="36" t="n"/>
      <c r="P903" s="33">
        <f>IF(C903="","",Commercial_Id)</f>
        <v/>
      </c>
      <c r="Q903" s="39">
        <f>IF(F903="","",IFERROR(VALUE(MID(F903,LEN(F903)-3,3)),""))</f>
        <v/>
      </c>
      <c r="R903" s="33">
        <f>IF(Q903="","",P903&amp;"|"&amp;Q903)</f>
        <v/>
      </c>
      <c r="S903" s="33">
        <f>IF(Q903="","",IF(P903="À RENSEIGNER","GIC",P903)&amp;"-"&amp;TEXT(Q903,"000"))</f>
        <v/>
      </c>
      <c r="T903" s="33">
        <f>IF(R903="","",IFERROR(INDEX(Cl_nom,MATCH(R903,Cl_cle,0)),"(client introuvable)"))</f>
        <v/>
      </c>
      <c r="U903" s="33">
        <f>IF(R903="","",IFERROR(INDEX(Cl_quartier,MATCH(R903,Cl_cle,0))&amp;"",""))</f>
        <v/>
      </c>
      <c r="V903" s="34">
        <f>IF(C903="","",YEAR(C903-WEEKDAY(C903,2)+4)&amp;"-S"&amp;TEXT(INT((C903-DATE(YEAR(C903-WEEKDAY(C903,2)+4),1,3)+WEEKDAY(DATE(YEAR(C903-WEEKDAY(C903,2)+4),1,3),2)+5)/7),"00"))</f>
        <v/>
      </c>
    </row>
    <row r="904" ht="18" customHeight="1">
      <c r="A904" s="39" t="n">
        <v>899</v>
      </c>
      <c r="B904" s="33">
        <f>IF(C904="","",IF(P904="À RENSEIGNER","GIC",P904)&amp;"-V"&amp;TEXT(A904,"00000"))</f>
        <v/>
      </c>
      <c r="C904" s="32" t="n"/>
      <c r="D904" s="35" t="n"/>
      <c r="E904" s="36" t="n"/>
      <c r="F904" s="36" t="n"/>
      <c r="G904" s="36" t="n"/>
      <c r="H904" s="36" t="n"/>
      <c r="I904" s="36" t="n"/>
      <c r="J904" s="37" t="n"/>
      <c r="K904" s="32" t="n"/>
      <c r="L904" s="36" t="n"/>
      <c r="M904" s="41" t="n"/>
      <c r="N904" s="41" t="n"/>
      <c r="O904" s="36" t="n"/>
      <c r="P904" s="33">
        <f>IF(C904="","",Commercial_Id)</f>
        <v/>
      </c>
      <c r="Q904" s="39">
        <f>IF(F904="","",IFERROR(VALUE(MID(F904,LEN(F904)-3,3)),""))</f>
        <v/>
      </c>
      <c r="R904" s="33">
        <f>IF(Q904="","",P904&amp;"|"&amp;Q904)</f>
        <v/>
      </c>
      <c r="S904" s="33">
        <f>IF(Q904="","",IF(P904="À RENSEIGNER","GIC",P904)&amp;"-"&amp;TEXT(Q904,"000"))</f>
        <v/>
      </c>
      <c r="T904" s="33">
        <f>IF(R904="","",IFERROR(INDEX(Cl_nom,MATCH(R904,Cl_cle,0)),"(client introuvable)"))</f>
        <v/>
      </c>
      <c r="U904" s="33">
        <f>IF(R904="","",IFERROR(INDEX(Cl_quartier,MATCH(R904,Cl_cle,0))&amp;"",""))</f>
        <v/>
      </c>
      <c r="V904" s="34">
        <f>IF(C904="","",YEAR(C904-WEEKDAY(C904,2)+4)&amp;"-S"&amp;TEXT(INT((C904-DATE(YEAR(C904-WEEKDAY(C904,2)+4),1,3)+WEEKDAY(DATE(YEAR(C904-WEEKDAY(C904,2)+4),1,3),2)+5)/7),"00"))</f>
        <v/>
      </c>
    </row>
    <row r="905" ht="18" customHeight="1">
      <c r="A905" s="39" t="n">
        <v>900</v>
      </c>
      <c r="B905" s="33">
        <f>IF(C905="","",IF(P905="À RENSEIGNER","GIC",P905)&amp;"-V"&amp;TEXT(A905,"00000"))</f>
        <v/>
      </c>
      <c r="C905" s="32" t="n"/>
      <c r="D905" s="35" t="n"/>
      <c r="E905" s="36" t="n"/>
      <c r="F905" s="36" t="n"/>
      <c r="G905" s="36" t="n"/>
      <c r="H905" s="36" t="n"/>
      <c r="I905" s="36" t="n"/>
      <c r="J905" s="37" t="n"/>
      <c r="K905" s="32" t="n"/>
      <c r="L905" s="36" t="n"/>
      <c r="M905" s="41" t="n"/>
      <c r="N905" s="41" t="n"/>
      <c r="O905" s="36" t="n"/>
      <c r="P905" s="33">
        <f>IF(C905="","",Commercial_Id)</f>
        <v/>
      </c>
      <c r="Q905" s="39">
        <f>IF(F905="","",IFERROR(VALUE(MID(F905,LEN(F905)-3,3)),""))</f>
        <v/>
      </c>
      <c r="R905" s="33">
        <f>IF(Q905="","",P905&amp;"|"&amp;Q905)</f>
        <v/>
      </c>
      <c r="S905" s="33">
        <f>IF(Q905="","",IF(P905="À RENSEIGNER","GIC",P905)&amp;"-"&amp;TEXT(Q905,"000"))</f>
        <v/>
      </c>
      <c r="T905" s="33">
        <f>IF(R905="","",IFERROR(INDEX(Cl_nom,MATCH(R905,Cl_cle,0)),"(client introuvable)"))</f>
        <v/>
      </c>
      <c r="U905" s="33">
        <f>IF(R905="","",IFERROR(INDEX(Cl_quartier,MATCH(R905,Cl_cle,0))&amp;"",""))</f>
        <v/>
      </c>
      <c r="V905" s="34">
        <f>IF(C905="","",YEAR(C905-WEEKDAY(C905,2)+4)&amp;"-S"&amp;TEXT(INT((C905-DATE(YEAR(C905-WEEKDAY(C905,2)+4),1,3)+WEEKDAY(DATE(YEAR(C905-WEEKDAY(C905,2)+4),1,3),2)+5)/7),"00"))</f>
        <v/>
      </c>
    </row>
    <row r="906" ht="18" customHeight="1">
      <c r="A906" s="39" t="n">
        <v>901</v>
      </c>
      <c r="B906" s="33">
        <f>IF(C906="","",IF(P906="À RENSEIGNER","GIC",P906)&amp;"-V"&amp;TEXT(A906,"00000"))</f>
        <v/>
      </c>
      <c r="C906" s="32" t="n"/>
      <c r="D906" s="35" t="n"/>
      <c r="E906" s="36" t="n"/>
      <c r="F906" s="36" t="n"/>
      <c r="G906" s="36" t="n"/>
      <c r="H906" s="36" t="n"/>
      <c r="I906" s="36" t="n"/>
      <c r="J906" s="37" t="n"/>
      <c r="K906" s="32" t="n"/>
      <c r="L906" s="36" t="n"/>
      <c r="M906" s="41" t="n"/>
      <c r="N906" s="41" t="n"/>
      <c r="O906" s="36" t="n"/>
      <c r="P906" s="33">
        <f>IF(C906="","",Commercial_Id)</f>
        <v/>
      </c>
      <c r="Q906" s="39">
        <f>IF(F906="","",IFERROR(VALUE(MID(F906,LEN(F906)-3,3)),""))</f>
        <v/>
      </c>
      <c r="R906" s="33">
        <f>IF(Q906="","",P906&amp;"|"&amp;Q906)</f>
        <v/>
      </c>
      <c r="S906" s="33">
        <f>IF(Q906="","",IF(P906="À RENSEIGNER","GIC",P906)&amp;"-"&amp;TEXT(Q906,"000"))</f>
        <v/>
      </c>
      <c r="T906" s="33">
        <f>IF(R906="","",IFERROR(INDEX(Cl_nom,MATCH(R906,Cl_cle,0)),"(client introuvable)"))</f>
        <v/>
      </c>
      <c r="U906" s="33">
        <f>IF(R906="","",IFERROR(INDEX(Cl_quartier,MATCH(R906,Cl_cle,0))&amp;"",""))</f>
        <v/>
      </c>
      <c r="V906" s="34">
        <f>IF(C906="","",YEAR(C906-WEEKDAY(C906,2)+4)&amp;"-S"&amp;TEXT(INT((C906-DATE(YEAR(C906-WEEKDAY(C906,2)+4),1,3)+WEEKDAY(DATE(YEAR(C906-WEEKDAY(C906,2)+4),1,3),2)+5)/7),"00"))</f>
        <v/>
      </c>
    </row>
    <row r="907" ht="18" customHeight="1">
      <c r="A907" s="39" t="n">
        <v>902</v>
      </c>
      <c r="B907" s="33">
        <f>IF(C907="","",IF(P907="À RENSEIGNER","GIC",P907)&amp;"-V"&amp;TEXT(A907,"00000"))</f>
        <v/>
      </c>
      <c r="C907" s="32" t="n"/>
      <c r="D907" s="35" t="n"/>
      <c r="E907" s="36" t="n"/>
      <c r="F907" s="36" t="n"/>
      <c r="G907" s="36" t="n"/>
      <c r="H907" s="36" t="n"/>
      <c r="I907" s="36" t="n"/>
      <c r="J907" s="37" t="n"/>
      <c r="K907" s="32" t="n"/>
      <c r="L907" s="36" t="n"/>
      <c r="M907" s="41" t="n"/>
      <c r="N907" s="41" t="n"/>
      <c r="O907" s="36" t="n"/>
      <c r="P907" s="33">
        <f>IF(C907="","",Commercial_Id)</f>
        <v/>
      </c>
      <c r="Q907" s="39">
        <f>IF(F907="","",IFERROR(VALUE(MID(F907,LEN(F907)-3,3)),""))</f>
        <v/>
      </c>
      <c r="R907" s="33">
        <f>IF(Q907="","",P907&amp;"|"&amp;Q907)</f>
        <v/>
      </c>
      <c r="S907" s="33">
        <f>IF(Q907="","",IF(P907="À RENSEIGNER","GIC",P907)&amp;"-"&amp;TEXT(Q907,"000"))</f>
        <v/>
      </c>
      <c r="T907" s="33">
        <f>IF(R907="","",IFERROR(INDEX(Cl_nom,MATCH(R907,Cl_cle,0)),"(client introuvable)"))</f>
        <v/>
      </c>
      <c r="U907" s="33">
        <f>IF(R907="","",IFERROR(INDEX(Cl_quartier,MATCH(R907,Cl_cle,0))&amp;"",""))</f>
        <v/>
      </c>
      <c r="V907" s="34">
        <f>IF(C907="","",YEAR(C907-WEEKDAY(C907,2)+4)&amp;"-S"&amp;TEXT(INT((C907-DATE(YEAR(C907-WEEKDAY(C907,2)+4),1,3)+WEEKDAY(DATE(YEAR(C907-WEEKDAY(C907,2)+4),1,3),2)+5)/7),"00"))</f>
        <v/>
      </c>
    </row>
    <row r="908" ht="18" customHeight="1">
      <c r="A908" s="39" t="n">
        <v>903</v>
      </c>
      <c r="B908" s="33">
        <f>IF(C908="","",IF(P908="À RENSEIGNER","GIC",P908)&amp;"-V"&amp;TEXT(A908,"00000"))</f>
        <v/>
      </c>
      <c r="C908" s="32" t="n"/>
      <c r="D908" s="35" t="n"/>
      <c r="E908" s="36" t="n"/>
      <c r="F908" s="36" t="n"/>
      <c r="G908" s="36" t="n"/>
      <c r="H908" s="36" t="n"/>
      <c r="I908" s="36" t="n"/>
      <c r="J908" s="37" t="n"/>
      <c r="K908" s="32" t="n"/>
      <c r="L908" s="36" t="n"/>
      <c r="M908" s="41" t="n"/>
      <c r="N908" s="41" t="n"/>
      <c r="O908" s="36" t="n"/>
      <c r="P908" s="33">
        <f>IF(C908="","",Commercial_Id)</f>
        <v/>
      </c>
      <c r="Q908" s="39">
        <f>IF(F908="","",IFERROR(VALUE(MID(F908,LEN(F908)-3,3)),""))</f>
        <v/>
      </c>
      <c r="R908" s="33">
        <f>IF(Q908="","",P908&amp;"|"&amp;Q908)</f>
        <v/>
      </c>
      <c r="S908" s="33">
        <f>IF(Q908="","",IF(P908="À RENSEIGNER","GIC",P908)&amp;"-"&amp;TEXT(Q908,"000"))</f>
        <v/>
      </c>
      <c r="T908" s="33">
        <f>IF(R908="","",IFERROR(INDEX(Cl_nom,MATCH(R908,Cl_cle,0)),"(client introuvable)"))</f>
        <v/>
      </c>
      <c r="U908" s="33">
        <f>IF(R908="","",IFERROR(INDEX(Cl_quartier,MATCH(R908,Cl_cle,0))&amp;"",""))</f>
        <v/>
      </c>
      <c r="V908" s="34">
        <f>IF(C908="","",YEAR(C908-WEEKDAY(C908,2)+4)&amp;"-S"&amp;TEXT(INT((C908-DATE(YEAR(C908-WEEKDAY(C908,2)+4),1,3)+WEEKDAY(DATE(YEAR(C908-WEEKDAY(C908,2)+4),1,3),2)+5)/7),"00"))</f>
        <v/>
      </c>
    </row>
    <row r="909" ht="18" customHeight="1">
      <c r="A909" s="39" t="n">
        <v>904</v>
      </c>
      <c r="B909" s="33">
        <f>IF(C909="","",IF(P909="À RENSEIGNER","GIC",P909)&amp;"-V"&amp;TEXT(A909,"00000"))</f>
        <v/>
      </c>
      <c r="C909" s="32" t="n"/>
      <c r="D909" s="35" t="n"/>
      <c r="E909" s="36" t="n"/>
      <c r="F909" s="36" t="n"/>
      <c r="G909" s="36" t="n"/>
      <c r="H909" s="36" t="n"/>
      <c r="I909" s="36" t="n"/>
      <c r="J909" s="37" t="n"/>
      <c r="K909" s="32" t="n"/>
      <c r="L909" s="36" t="n"/>
      <c r="M909" s="41" t="n"/>
      <c r="N909" s="41" t="n"/>
      <c r="O909" s="36" t="n"/>
      <c r="P909" s="33">
        <f>IF(C909="","",Commercial_Id)</f>
        <v/>
      </c>
      <c r="Q909" s="39">
        <f>IF(F909="","",IFERROR(VALUE(MID(F909,LEN(F909)-3,3)),""))</f>
        <v/>
      </c>
      <c r="R909" s="33">
        <f>IF(Q909="","",P909&amp;"|"&amp;Q909)</f>
        <v/>
      </c>
      <c r="S909" s="33">
        <f>IF(Q909="","",IF(P909="À RENSEIGNER","GIC",P909)&amp;"-"&amp;TEXT(Q909,"000"))</f>
        <v/>
      </c>
      <c r="T909" s="33">
        <f>IF(R909="","",IFERROR(INDEX(Cl_nom,MATCH(R909,Cl_cle,0)),"(client introuvable)"))</f>
        <v/>
      </c>
      <c r="U909" s="33">
        <f>IF(R909="","",IFERROR(INDEX(Cl_quartier,MATCH(R909,Cl_cle,0))&amp;"",""))</f>
        <v/>
      </c>
      <c r="V909" s="34">
        <f>IF(C909="","",YEAR(C909-WEEKDAY(C909,2)+4)&amp;"-S"&amp;TEXT(INT((C909-DATE(YEAR(C909-WEEKDAY(C909,2)+4),1,3)+WEEKDAY(DATE(YEAR(C909-WEEKDAY(C909,2)+4),1,3),2)+5)/7),"00"))</f>
        <v/>
      </c>
    </row>
    <row r="910" ht="18" customHeight="1">
      <c r="A910" s="39" t="n">
        <v>905</v>
      </c>
      <c r="B910" s="33">
        <f>IF(C910="","",IF(P910="À RENSEIGNER","GIC",P910)&amp;"-V"&amp;TEXT(A910,"00000"))</f>
        <v/>
      </c>
      <c r="C910" s="32" t="n"/>
      <c r="D910" s="35" t="n"/>
      <c r="E910" s="36" t="n"/>
      <c r="F910" s="36" t="n"/>
      <c r="G910" s="36" t="n"/>
      <c r="H910" s="36" t="n"/>
      <c r="I910" s="36" t="n"/>
      <c r="J910" s="37" t="n"/>
      <c r="K910" s="32" t="n"/>
      <c r="L910" s="36" t="n"/>
      <c r="M910" s="41" t="n"/>
      <c r="N910" s="41" t="n"/>
      <c r="O910" s="36" t="n"/>
      <c r="P910" s="33">
        <f>IF(C910="","",Commercial_Id)</f>
        <v/>
      </c>
      <c r="Q910" s="39">
        <f>IF(F910="","",IFERROR(VALUE(MID(F910,LEN(F910)-3,3)),""))</f>
        <v/>
      </c>
      <c r="R910" s="33">
        <f>IF(Q910="","",P910&amp;"|"&amp;Q910)</f>
        <v/>
      </c>
      <c r="S910" s="33">
        <f>IF(Q910="","",IF(P910="À RENSEIGNER","GIC",P910)&amp;"-"&amp;TEXT(Q910,"000"))</f>
        <v/>
      </c>
      <c r="T910" s="33">
        <f>IF(R910="","",IFERROR(INDEX(Cl_nom,MATCH(R910,Cl_cle,0)),"(client introuvable)"))</f>
        <v/>
      </c>
      <c r="U910" s="33">
        <f>IF(R910="","",IFERROR(INDEX(Cl_quartier,MATCH(R910,Cl_cle,0))&amp;"",""))</f>
        <v/>
      </c>
      <c r="V910" s="34">
        <f>IF(C910="","",YEAR(C910-WEEKDAY(C910,2)+4)&amp;"-S"&amp;TEXT(INT((C910-DATE(YEAR(C910-WEEKDAY(C910,2)+4),1,3)+WEEKDAY(DATE(YEAR(C910-WEEKDAY(C910,2)+4),1,3),2)+5)/7),"00"))</f>
        <v/>
      </c>
    </row>
    <row r="911" ht="18" customHeight="1">
      <c r="A911" s="39" t="n">
        <v>906</v>
      </c>
      <c r="B911" s="33">
        <f>IF(C911="","",IF(P911="À RENSEIGNER","GIC",P911)&amp;"-V"&amp;TEXT(A911,"00000"))</f>
        <v/>
      </c>
      <c r="C911" s="32" t="n"/>
      <c r="D911" s="35" t="n"/>
      <c r="E911" s="36" t="n"/>
      <c r="F911" s="36" t="n"/>
      <c r="G911" s="36" t="n"/>
      <c r="H911" s="36" t="n"/>
      <c r="I911" s="36" t="n"/>
      <c r="J911" s="37" t="n"/>
      <c r="K911" s="32" t="n"/>
      <c r="L911" s="36" t="n"/>
      <c r="M911" s="41" t="n"/>
      <c r="N911" s="41" t="n"/>
      <c r="O911" s="36" t="n"/>
      <c r="P911" s="33">
        <f>IF(C911="","",Commercial_Id)</f>
        <v/>
      </c>
      <c r="Q911" s="39">
        <f>IF(F911="","",IFERROR(VALUE(MID(F911,LEN(F911)-3,3)),""))</f>
        <v/>
      </c>
      <c r="R911" s="33">
        <f>IF(Q911="","",P911&amp;"|"&amp;Q911)</f>
        <v/>
      </c>
      <c r="S911" s="33">
        <f>IF(Q911="","",IF(P911="À RENSEIGNER","GIC",P911)&amp;"-"&amp;TEXT(Q911,"000"))</f>
        <v/>
      </c>
      <c r="T911" s="33">
        <f>IF(R911="","",IFERROR(INDEX(Cl_nom,MATCH(R911,Cl_cle,0)),"(client introuvable)"))</f>
        <v/>
      </c>
      <c r="U911" s="33">
        <f>IF(R911="","",IFERROR(INDEX(Cl_quartier,MATCH(R911,Cl_cle,0))&amp;"",""))</f>
        <v/>
      </c>
      <c r="V911" s="34">
        <f>IF(C911="","",YEAR(C911-WEEKDAY(C911,2)+4)&amp;"-S"&amp;TEXT(INT((C911-DATE(YEAR(C911-WEEKDAY(C911,2)+4),1,3)+WEEKDAY(DATE(YEAR(C911-WEEKDAY(C911,2)+4),1,3),2)+5)/7),"00"))</f>
        <v/>
      </c>
    </row>
    <row r="912" ht="18" customHeight="1">
      <c r="A912" s="39" t="n">
        <v>907</v>
      </c>
      <c r="B912" s="33">
        <f>IF(C912="","",IF(P912="À RENSEIGNER","GIC",P912)&amp;"-V"&amp;TEXT(A912,"00000"))</f>
        <v/>
      </c>
      <c r="C912" s="32" t="n"/>
      <c r="D912" s="35" t="n"/>
      <c r="E912" s="36" t="n"/>
      <c r="F912" s="36" t="n"/>
      <c r="G912" s="36" t="n"/>
      <c r="H912" s="36" t="n"/>
      <c r="I912" s="36" t="n"/>
      <c r="J912" s="37" t="n"/>
      <c r="K912" s="32" t="n"/>
      <c r="L912" s="36" t="n"/>
      <c r="M912" s="41" t="n"/>
      <c r="N912" s="41" t="n"/>
      <c r="O912" s="36" t="n"/>
      <c r="P912" s="33">
        <f>IF(C912="","",Commercial_Id)</f>
        <v/>
      </c>
      <c r="Q912" s="39">
        <f>IF(F912="","",IFERROR(VALUE(MID(F912,LEN(F912)-3,3)),""))</f>
        <v/>
      </c>
      <c r="R912" s="33">
        <f>IF(Q912="","",P912&amp;"|"&amp;Q912)</f>
        <v/>
      </c>
      <c r="S912" s="33">
        <f>IF(Q912="","",IF(P912="À RENSEIGNER","GIC",P912)&amp;"-"&amp;TEXT(Q912,"000"))</f>
        <v/>
      </c>
      <c r="T912" s="33">
        <f>IF(R912="","",IFERROR(INDEX(Cl_nom,MATCH(R912,Cl_cle,0)),"(client introuvable)"))</f>
        <v/>
      </c>
      <c r="U912" s="33">
        <f>IF(R912="","",IFERROR(INDEX(Cl_quartier,MATCH(R912,Cl_cle,0))&amp;"",""))</f>
        <v/>
      </c>
      <c r="V912" s="34">
        <f>IF(C912="","",YEAR(C912-WEEKDAY(C912,2)+4)&amp;"-S"&amp;TEXT(INT((C912-DATE(YEAR(C912-WEEKDAY(C912,2)+4),1,3)+WEEKDAY(DATE(YEAR(C912-WEEKDAY(C912,2)+4),1,3),2)+5)/7),"00"))</f>
        <v/>
      </c>
    </row>
    <row r="913" ht="18" customHeight="1">
      <c r="A913" s="39" t="n">
        <v>908</v>
      </c>
      <c r="B913" s="33">
        <f>IF(C913="","",IF(P913="À RENSEIGNER","GIC",P913)&amp;"-V"&amp;TEXT(A913,"00000"))</f>
        <v/>
      </c>
      <c r="C913" s="32" t="n"/>
      <c r="D913" s="35" t="n"/>
      <c r="E913" s="36" t="n"/>
      <c r="F913" s="36" t="n"/>
      <c r="G913" s="36" t="n"/>
      <c r="H913" s="36" t="n"/>
      <c r="I913" s="36" t="n"/>
      <c r="J913" s="37" t="n"/>
      <c r="K913" s="32" t="n"/>
      <c r="L913" s="36" t="n"/>
      <c r="M913" s="41" t="n"/>
      <c r="N913" s="41" t="n"/>
      <c r="O913" s="36" t="n"/>
      <c r="P913" s="33">
        <f>IF(C913="","",Commercial_Id)</f>
        <v/>
      </c>
      <c r="Q913" s="39">
        <f>IF(F913="","",IFERROR(VALUE(MID(F913,LEN(F913)-3,3)),""))</f>
        <v/>
      </c>
      <c r="R913" s="33">
        <f>IF(Q913="","",P913&amp;"|"&amp;Q913)</f>
        <v/>
      </c>
      <c r="S913" s="33">
        <f>IF(Q913="","",IF(P913="À RENSEIGNER","GIC",P913)&amp;"-"&amp;TEXT(Q913,"000"))</f>
        <v/>
      </c>
      <c r="T913" s="33">
        <f>IF(R913="","",IFERROR(INDEX(Cl_nom,MATCH(R913,Cl_cle,0)),"(client introuvable)"))</f>
        <v/>
      </c>
      <c r="U913" s="33">
        <f>IF(R913="","",IFERROR(INDEX(Cl_quartier,MATCH(R913,Cl_cle,0))&amp;"",""))</f>
        <v/>
      </c>
      <c r="V913" s="34">
        <f>IF(C913="","",YEAR(C913-WEEKDAY(C913,2)+4)&amp;"-S"&amp;TEXT(INT((C913-DATE(YEAR(C913-WEEKDAY(C913,2)+4),1,3)+WEEKDAY(DATE(YEAR(C913-WEEKDAY(C913,2)+4),1,3),2)+5)/7),"00"))</f>
        <v/>
      </c>
    </row>
    <row r="914" ht="18" customHeight="1">
      <c r="A914" s="39" t="n">
        <v>909</v>
      </c>
      <c r="B914" s="33">
        <f>IF(C914="","",IF(P914="À RENSEIGNER","GIC",P914)&amp;"-V"&amp;TEXT(A914,"00000"))</f>
        <v/>
      </c>
      <c r="C914" s="32" t="n"/>
      <c r="D914" s="35" t="n"/>
      <c r="E914" s="36" t="n"/>
      <c r="F914" s="36" t="n"/>
      <c r="G914" s="36" t="n"/>
      <c r="H914" s="36" t="n"/>
      <c r="I914" s="36" t="n"/>
      <c r="J914" s="37" t="n"/>
      <c r="K914" s="32" t="n"/>
      <c r="L914" s="36" t="n"/>
      <c r="M914" s="41" t="n"/>
      <c r="N914" s="41" t="n"/>
      <c r="O914" s="36" t="n"/>
      <c r="P914" s="33">
        <f>IF(C914="","",Commercial_Id)</f>
        <v/>
      </c>
      <c r="Q914" s="39">
        <f>IF(F914="","",IFERROR(VALUE(MID(F914,LEN(F914)-3,3)),""))</f>
        <v/>
      </c>
      <c r="R914" s="33">
        <f>IF(Q914="","",P914&amp;"|"&amp;Q914)</f>
        <v/>
      </c>
      <c r="S914" s="33">
        <f>IF(Q914="","",IF(P914="À RENSEIGNER","GIC",P914)&amp;"-"&amp;TEXT(Q914,"000"))</f>
        <v/>
      </c>
      <c r="T914" s="33">
        <f>IF(R914="","",IFERROR(INDEX(Cl_nom,MATCH(R914,Cl_cle,0)),"(client introuvable)"))</f>
        <v/>
      </c>
      <c r="U914" s="33">
        <f>IF(R914="","",IFERROR(INDEX(Cl_quartier,MATCH(R914,Cl_cle,0))&amp;"",""))</f>
        <v/>
      </c>
      <c r="V914" s="34">
        <f>IF(C914="","",YEAR(C914-WEEKDAY(C914,2)+4)&amp;"-S"&amp;TEXT(INT((C914-DATE(YEAR(C914-WEEKDAY(C914,2)+4),1,3)+WEEKDAY(DATE(YEAR(C914-WEEKDAY(C914,2)+4),1,3),2)+5)/7),"00"))</f>
        <v/>
      </c>
    </row>
    <row r="915" ht="18" customHeight="1">
      <c r="A915" s="39" t="n">
        <v>910</v>
      </c>
      <c r="B915" s="33">
        <f>IF(C915="","",IF(P915="À RENSEIGNER","GIC",P915)&amp;"-V"&amp;TEXT(A915,"00000"))</f>
        <v/>
      </c>
      <c r="C915" s="32" t="n"/>
      <c r="D915" s="35" t="n"/>
      <c r="E915" s="36" t="n"/>
      <c r="F915" s="36" t="n"/>
      <c r="G915" s="36" t="n"/>
      <c r="H915" s="36" t="n"/>
      <c r="I915" s="36" t="n"/>
      <c r="J915" s="37" t="n"/>
      <c r="K915" s="32" t="n"/>
      <c r="L915" s="36" t="n"/>
      <c r="M915" s="41" t="n"/>
      <c r="N915" s="41" t="n"/>
      <c r="O915" s="36" t="n"/>
      <c r="P915" s="33">
        <f>IF(C915="","",Commercial_Id)</f>
        <v/>
      </c>
      <c r="Q915" s="39">
        <f>IF(F915="","",IFERROR(VALUE(MID(F915,LEN(F915)-3,3)),""))</f>
        <v/>
      </c>
      <c r="R915" s="33">
        <f>IF(Q915="","",P915&amp;"|"&amp;Q915)</f>
        <v/>
      </c>
      <c r="S915" s="33">
        <f>IF(Q915="","",IF(P915="À RENSEIGNER","GIC",P915)&amp;"-"&amp;TEXT(Q915,"000"))</f>
        <v/>
      </c>
      <c r="T915" s="33">
        <f>IF(R915="","",IFERROR(INDEX(Cl_nom,MATCH(R915,Cl_cle,0)),"(client introuvable)"))</f>
        <v/>
      </c>
      <c r="U915" s="33">
        <f>IF(R915="","",IFERROR(INDEX(Cl_quartier,MATCH(R915,Cl_cle,0))&amp;"",""))</f>
        <v/>
      </c>
      <c r="V915" s="34">
        <f>IF(C915="","",YEAR(C915-WEEKDAY(C915,2)+4)&amp;"-S"&amp;TEXT(INT((C915-DATE(YEAR(C915-WEEKDAY(C915,2)+4),1,3)+WEEKDAY(DATE(YEAR(C915-WEEKDAY(C915,2)+4),1,3),2)+5)/7),"00"))</f>
        <v/>
      </c>
    </row>
    <row r="916" ht="18" customHeight="1">
      <c r="A916" s="39" t="n">
        <v>911</v>
      </c>
      <c r="B916" s="33">
        <f>IF(C916="","",IF(P916="À RENSEIGNER","GIC",P916)&amp;"-V"&amp;TEXT(A916,"00000"))</f>
        <v/>
      </c>
      <c r="C916" s="32" t="n"/>
      <c r="D916" s="35" t="n"/>
      <c r="E916" s="36" t="n"/>
      <c r="F916" s="36" t="n"/>
      <c r="G916" s="36" t="n"/>
      <c r="H916" s="36" t="n"/>
      <c r="I916" s="36" t="n"/>
      <c r="J916" s="37" t="n"/>
      <c r="K916" s="32" t="n"/>
      <c r="L916" s="36" t="n"/>
      <c r="M916" s="41" t="n"/>
      <c r="N916" s="41" t="n"/>
      <c r="O916" s="36" t="n"/>
      <c r="P916" s="33">
        <f>IF(C916="","",Commercial_Id)</f>
        <v/>
      </c>
      <c r="Q916" s="39">
        <f>IF(F916="","",IFERROR(VALUE(MID(F916,LEN(F916)-3,3)),""))</f>
        <v/>
      </c>
      <c r="R916" s="33">
        <f>IF(Q916="","",P916&amp;"|"&amp;Q916)</f>
        <v/>
      </c>
      <c r="S916" s="33">
        <f>IF(Q916="","",IF(P916="À RENSEIGNER","GIC",P916)&amp;"-"&amp;TEXT(Q916,"000"))</f>
        <v/>
      </c>
      <c r="T916" s="33">
        <f>IF(R916="","",IFERROR(INDEX(Cl_nom,MATCH(R916,Cl_cle,0)),"(client introuvable)"))</f>
        <v/>
      </c>
      <c r="U916" s="33">
        <f>IF(R916="","",IFERROR(INDEX(Cl_quartier,MATCH(R916,Cl_cle,0))&amp;"",""))</f>
        <v/>
      </c>
      <c r="V916" s="34">
        <f>IF(C916="","",YEAR(C916-WEEKDAY(C916,2)+4)&amp;"-S"&amp;TEXT(INT((C916-DATE(YEAR(C916-WEEKDAY(C916,2)+4),1,3)+WEEKDAY(DATE(YEAR(C916-WEEKDAY(C916,2)+4),1,3),2)+5)/7),"00"))</f>
        <v/>
      </c>
    </row>
    <row r="917" ht="18" customHeight="1">
      <c r="A917" s="39" t="n">
        <v>912</v>
      </c>
      <c r="B917" s="33">
        <f>IF(C917="","",IF(P917="À RENSEIGNER","GIC",P917)&amp;"-V"&amp;TEXT(A917,"00000"))</f>
        <v/>
      </c>
      <c r="C917" s="32" t="n"/>
      <c r="D917" s="35" t="n"/>
      <c r="E917" s="36" t="n"/>
      <c r="F917" s="36" t="n"/>
      <c r="G917" s="36" t="n"/>
      <c r="H917" s="36" t="n"/>
      <c r="I917" s="36" t="n"/>
      <c r="J917" s="37" t="n"/>
      <c r="K917" s="32" t="n"/>
      <c r="L917" s="36" t="n"/>
      <c r="M917" s="41" t="n"/>
      <c r="N917" s="41" t="n"/>
      <c r="O917" s="36" t="n"/>
      <c r="P917" s="33">
        <f>IF(C917="","",Commercial_Id)</f>
        <v/>
      </c>
      <c r="Q917" s="39">
        <f>IF(F917="","",IFERROR(VALUE(MID(F917,LEN(F917)-3,3)),""))</f>
        <v/>
      </c>
      <c r="R917" s="33">
        <f>IF(Q917="","",P917&amp;"|"&amp;Q917)</f>
        <v/>
      </c>
      <c r="S917" s="33">
        <f>IF(Q917="","",IF(P917="À RENSEIGNER","GIC",P917)&amp;"-"&amp;TEXT(Q917,"000"))</f>
        <v/>
      </c>
      <c r="T917" s="33">
        <f>IF(R917="","",IFERROR(INDEX(Cl_nom,MATCH(R917,Cl_cle,0)),"(client introuvable)"))</f>
        <v/>
      </c>
      <c r="U917" s="33">
        <f>IF(R917="","",IFERROR(INDEX(Cl_quartier,MATCH(R917,Cl_cle,0))&amp;"",""))</f>
        <v/>
      </c>
      <c r="V917" s="34">
        <f>IF(C917="","",YEAR(C917-WEEKDAY(C917,2)+4)&amp;"-S"&amp;TEXT(INT((C917-DATE(YEAR(C917-WEEKDAY(C917,2)+4),1,3)+WEEKDAY(DATE(YEAR(C917-WEEKDAY(C917,2)+4),1,3),2)+5)/7),"00"))</f>
        <v/>
      </c>
    </row>
    <row r="918" ht="18" customHeight="1">
      <c r="A918" s="39" t="n">
        <v>913</v>
      </c>
      <c r="B918" s="33">
        <f>IF(C918="","",IF(P918="À RENSEIGNER","GIC",P918)&amp;"-V"&amp;TEXT(A918,"00000"))</f>
        <v/>
      </c>
      <c r="C918" s="32" t="n"/>
      <c r="D918" s="35" t="n"/>
      <c r="E918" s="36" t="n"/>
      <c r="F918" s="36" t="n"/>
      <c r="G918" s="36" t="n"/>
      <c r="H918" s="36" t="n"/>
      <c r="I918" s="36" t="n"/>
      <c r="J918" s="37" t="n"/>
      <c r="K918" s="32" t="n"/>
      <c r="L918" s="36" t="n"/>
      <c r="M918" s="41" t="n"/>
      <c r="N918" s="41" t="n"/>
      <c r="O918" s="36" t="n"/>
      <c r="P918" s="33">
        <f>IF(C918="","",Commercial_Id)</f>
        <v/>
      </c>
      <c r="Q918" s="39">
        <f>IF(F918="","",IFERROR(VALUE(MID(F918,LEN(F918)-3,3)),""))</f>
        <v/>
      </c>
      <c r="R918" s="33">
        <f>IF(Q918="","",P918&amp;"|"&amp;Q918)</f>
        <v/>
      </c>
      <c r="S918" s="33">
        <f>IF(Q918="","",IF(P918="À RENSEIGNER","GIC",P918)&amp;"-"&amp;TEXT(Q918,"000"))</f>
        <v/>
      </c>
      <c r="T918" s="33">
        <f>IF(R918="","",IFERROR(INDEX(Cl_nom,MATCH(R918,Cl_cle,0)),"(client introuvable)"))</f>
        <v/>
      </c>
      <c r="U918" s="33">
        <f>IF(R918="","",IFERROR(INDEX(Cl_quartier,MATCH(R918,Cl_cle,0))&amp;"",""))</f>
        <v/>
      </c>
      <c r="V918" s="34">
        <f>IF(C918="","",YEAR(C918-WEEKDAY(C918,2)+4)&amp;"-S"&amp;TEXT(INT((C918-DATE(YEAR(C918-WEEKDAY(C918,2)+4),1,3)+WEEKDAY(DATE(YEAR(C918-WEEKDAY(C918,2)+4),1,3),2)+5)/7),"00"))</f>
        <v/>
      </c>
    </row>
    <row r="919" ht="18" customHeight="1">
      <c r="A919" s="39" t="n">
        <v>914</v>
      </c>
      <c r="B919" s="33">
        <f>IF(C919="","",IF(P919="À RENSEIGNER","GIC",P919)&amp;"-V"&amp;TEXT(A919,"00000"))</f>
        <v/>
      </c>
      <c r="C919" s="32" t="n"/>
      <c r="D919" s="35" t="n"/>
      <c r="E919" s="36" t="n"/>
      <c r="F919" s="36" t="n"/>
      <c r="G919" s="36" t="n"/>
      <c r="H919" s="36" t="n"/>
      <c r="I919" s="36" t="n"/>
      <c r="J919" s="37" t="n"/>
      <c r="K919" s="32" t="n"/>
      <c r="L919" s="36" t="n"/>
      <c r="M919" s="41" t="n"/>
      <c r="N919" s="41" t="n"/>
      <c r="O919" s="36" t="n"/>
      <c r="P919" s="33">
        <f>IF(C919="","",Commercial_Id)</f>
        <v/>
      </c>
      <c r="Q919" s="39">
        <f>IF(F919="","",IFERROR(VALUE(MID(F919,LEN(F919)-3,3)),""))</f>
        <v/>
      </c>
      <c r="R919" s="33">
        <f>IF(Q919="","",P919&amp;"|"&amp;Q919)</f>
        <v/>
      </c>
      <c r="S919" s="33">
        <f>IF(Q919="","",IF(P919="À RENSEIGNER","GIC",P919)&amp;"-"&amp;TEXT(Q919,"000"))</f>
        <v/>
      </c>
      <c r="T919" s="33">
        <f>IF(R919="","",IFERROR(INDEX(Cl_nom,MATCH(R919,Cl_cle,0)),"(client introuvable)"))</f>
        <v/>
      </c>
      <c r="U919" s="33">
        <f>IF(R919="","",IFERROR(INDEX(Cl_quartier,MATCH(R919,Cl_cle,0))&amp;"",""))</f>
        <v/>
      </c>
      <c r="V919" s="34">
        <f>IF(C919="","",YEAR(C919-WEEKDAY(C919,2)+4)&amp;"-S"&amp;TEXT(INT((C919-DATE(YEAR(C919-WEEKDAY(C919,2)+4),1,3)+WEEKDAY(DATE(YEAR(C919-WEEKDAY(C919,2)+4),1,3),2)+5)/7),"00"))</f>
        <v/>
      </c>
    </row>
    <row r="920" ht="18" customHeight="1">
      <c r="A920" s="39" t="n">
        <v>915</v>
      </c>
      <c r="B920" s="33">
        <f>IF(C920="","",IF(P920="À RENSEIGNER","GIC",P920)&amp;"-V"&amp;TEXT(A920,"00000"))</f>
        <v/>
      </c>
      <c r="C920" s="32" t="n"/>
      <c r="D920" s="35" t="n"/>
      <c r="E920" s="36" t="n"/>
      <c r="F920" s="36" t="n"/>
      <c r="G920" s="36" t="n"/>
      <c r="H920" s="36" t="n"/>
      <c r="I920" s="36" t="n"/>
      <c r="J920" s="37" t="n"/>
      <c r="K920" s="32" t="n"/>
      <c r="L920" s="36" t="n"/>
      <c r="M920" s="41" t="n"/>
      <c r="N920" s="41" t="n"/>
      <c r="O920" s="36" t="n"/>
      <c r="P920" s="33">
        <f>IF(C920="","",Commercial_Id)</f>
        <v/>
      </c>
      <c r="Q920" s="39">
        <f>IF(F920="","",IFERROR(VALUE(MID(F920,LEN(F920)-3,3)),""))</f>
        <v/>
      </c>
      <c r="R920" s="33">
        <f>IF(Q920="","",P920&amp;"|"&amp;Q920)</f>
        <v/>
      </c>
      <c r="S920" s="33">
        <f>IF(Q920="","",IF(P920="À RENSEIGNER","GIC",P920)&amp;"-"&amp;TEXT(Q920,"000"))</f>
        <v/>
      </c>
      <c r="T920" s="33">
        <f>IF(R920="","",IFERROR(INDEX(Cl_nom,MATCH(R920,Cl_cle,0)),"(client introuvable)"))</f>
        <v/>
      </c>
      <c r="U920" s="33">
        <f>IF(R920="","",IFERROR(INDEX(Cl_quartier,MATCH(R920,Cl_cle,0))&amp;"",""))</f>
        <v/>
      </c>
      <c r="V920" s="34">
        <f>IF(C920="","",YEAR(C920-WEEKDAY(C920,2)+4)&amp;"-S"&amp;TEXT(INT((C920-DATE(YEAR(C920-WEEKDAY(C920,2)+4),1,3)+WEEKDAY(DATE(YEAR(C920-WEEKDAY(C920,2)+4),1,3),2)+5)/7),"00"))</f>
        <v/>
      </c>
    </row>
    <row r="921" ht="18" customHeight="1">
      <c r="A921" s="39" t="n">
        <v>916</v>
      </c>
      <c r="B921" s="33">
        <f>IF(C921="","",IF(P921="À RENSEIGNER","GIC",P921)&amp;"-V"&amp;TEXT(A921,"00000"))</f>
        <v/>
      </c>
      <c r="C921" s="32" t="n"/>
      <c r="D921" s="35" t="n"/>
      <c r="E921" s="36" t="n"/>
      <c r="F921" s="36" t="n"/>
      <c r="G921" s="36" t="n"/>
      <c r="H921" s="36" t="n"/>
      <c r="I921" s="36" t="n"/>
      <c r="J921" s="37" t="n"/>
      <c r="K921" s="32" t="n"/>
      <c r="L921" s="36" t="n"/>
      <c r="M921" s="41" t="n"/>
      <c r="N921" s="41" t="n"/>
      <c r="O921" s="36" t="n"/>
      <c r="P921" s="33">
        <f>IF(C921="","",Commercial_Id)</f>
        <v/>
      </c>
      <c r="Q921" s="39">
        <f>IF(F921="","",IFERROR(VALUE(MID(F921,LEN(F921)-3,3)),""))</f>
        <v/>
      </c>
      <c r="R921" s="33">
        <f>IF(Q921="","",P921&amp;"|"&amp;Q921)</f>
        <v/>
      </c>
      <c r="S921" s="33">
        <f>IF(Q921="","",IF(P921="À RENSEIGNER","GIC",P921)&amp;"-"&amp;TEXT(Q921,"000"))</f>
        <v/>
      </c>
      <c r="T921" s="33">
        <f>IF(R921="","",IFERROR(INDEX(Cl_nom,MATCH(R921,Cl_cle,0)),"(client introuvable)"))</f>
        <v/>
      </c>
      <c r="U921" s="33">
        <f>IF(R921="","",IFERROR(INDEX(Cl_quartier,MATCH(R921,Cl_cle,0))&amp;"",""))</f>
        <v/>
      </c>
      <c r="V921" s="34">
        <f>IF(C921="","",YEAR(C921-WEEKDAY(C921,2)+4)&amp;"-S"&amp;TEXT(INT((C921-DATE(YEAR(C921-WEEKDAY(C921,2)+4),1,3)+WEEKDAY(DATE(YEAR(C921-WEEKDAY(C921,2)+4),1,3),2)+5)/7),"00"))</f>
        <v/>
      </c>
    </row>
    <row r="922" ht="18" customHeight="1">
      <c r="A922" s="39" t="n">
        <v>917</v>
      </c>
      <c r="B922" s="33">
        <f>IF(C922="","",IF(P922="À RENSEIGNER","GIC",P922)&amp;"-V"&amp;TEXT(A922,"00000"))</f>
        <v/>
      </c>
      <c r="C922" s="32" t="n"/>
      <c r="D922" s="35" t="n"/>
      <c r="E922" s="36" t="n"/>
      <c r="F922" s="36" t="n"/>
      <c r="G922" s="36" t="n"/>
      <c r="H922" s="36" t="n"/>
      <c r="I922" s="36" t="n"/>
      <c r="J922" s="37" t="n"/>
      <c r="K922" s="32" t="n"/>
      <c r="L922" s="36" t="n"/>
      <c r="M922" s="41" t="n"/>
      <c r="N922" s="41" t="n"/>
      <c r="O922" s="36" t="n"/>
      <c r="P922" s="33">
        <f>IF(C922="","",Commercial_Id)</f>
        <v/>
      </c>
      <c r="Q922" s="39">
        <f>IF(F922="","",IFERROR(VALUE(MID(F922,LEN(F922)-3,3)),""))</f>
        <v/>
      </c>
      <c r="R922" s="33">
        <f>IF(Q922="","",P922&amp;"|"&amp;Q922)</f>
        <v/>
      </c>
      <c r="S922" s="33">
        <f>IF(Q922="","",IF(P922="À RENSEIGNER","GIC",P922)&amp;"-"&amp;TEXT(Q922,"000"))</f>
        <v/>
      </c>
      <c r="T922" s="33">
        <f>IF(R922="","",IFERROR(INDEX(Cl_nom,MATCH(R922,Cl_cle,0)),"(client introuvable)"))</f>
        <v/>
      </c>
      <c r="U922" s="33">
        <f>IF(R922="","",IFERROR(INDEX(Cl_quartier,MATCH(R922,Cl_cle,0))&amp;"",""))</f>
        <v/>
      </c>
      <c r="V922" s="34">
        <f>IF(C922="","",YEAR(C922-WEEKDAY(C922,2)+4)&amp;"-S"&amp;TEXT(INT((C922-DATE(YEAR(C922-WEEKDAY(C922,2)+4),1,3)+WEEKDAY(DATE(YEAR(C922-WEEKDAY(C922,2)+4),1,3),2)+5)/7),"00"))</f>
        <v/>
      </c>
    </row>
    <row r="923" ht="18" customHeight="1">
      <c r="A923" s="39" t="n">
        <v>918</v>
      </c>
      <c r="B923" s="33">
        <f>IF(C923="","",IF(P923="À RENSEIGNER","GIC",P923)&amp;"-V"&amp;TEXT(A923,"00000"))</f>
        <v/>
      </c>
      <c r="C923" s="32" t="n"/>
      <c r="D923" s="35" t="n"/>
      <c r="E923" s="36" t="n"/>
      <c r="F923" s="36" t="n"/>
      <c r="G923" s="36" t="n"/>
      <c r="H923" s="36" t="n"/>
      <c r="I923" s="36" t="n"/>
      <c r="J923" s="37" t="n"/>
      <c r="K923" s="32" t="n"/>
      <c r="L923" s="36" t="n"/>
      <c r="M923" s="41" t="n"/>
      <c r="N923" s="41" t="n"/>
      <c r="O923" s="36" t="n"/>
      <c r="P923" s="33">
        <f>IF(C923="","",Commercial_Id)</f>
        <v/>
      </c>
      <c r="Q923" s="39">
        <f>IF(F923="","",IFERROR(VALUE(MID(F923,LEN(F923)-3,3)),""))</f>
        <v/>
      </c>
      <c r="R923" s="33">
        <f>IF(Q923="","",P923&amp;"|"&amp;Q923)</f>
        <v/>
      </c>
      <c r="S923" s="33">
        <f>IF(Q923="","",IF(P923="À RENSEIGNER","GIC",P923)&amp;"-"&amp;TEXT(Q923,"000"))</f>
        <v/>
      </c>
      <c r="T923" s="33">
        <f>IF(R923="","",IFERROR(INDEX(Cl_nom,MATCH(R923,Cl_cle,0)),"(client introuvable)"))</f>
        <v/>
      </c>
      <c r="U923" s="33">
        <f>IF(R923="","",IFERROR(INDEX(Cl_quartier,MATCH(R923,Cl_cle,0))&amp;"",""))</f>
        <v/>
      </c>
      <c r="V923" s="34">
        <f>IF(C923="","",YEAR(C923-WEEKDAY(C923,2)+4)&amp;"-S"&amp;TEXT(INT((C923-DATE(YEAR(C923-WEEKDAY(C923,2)+4),1,3)+WEEKDAY(DATE(YEAR(C923-WEEKDAY(C923,2)+4),1,3),2)+5)/7),"00"))</f>
        <v/>
      </c>
    </row>
    <row r="924" ht="18" customHeight="1">
      <c r="A924" s="39" t="n">
        <v>919</v>
      </c>
      <c r="B924" s="33">
        <f>IF(C924="","",IF(P924="À RENSEIGNER","GIC",P924)&amp;"-V"&amp;TEXT(A924,"00000"))</f>
        <v/>
      </c>
      <c r="C924" s="32" t="n"/>
      <c r="D924" s="35" t="n"/>
      <c r="E924" s="36" t="n"/>
      <c r="F924" s="36" t="n"/>
      <c r="G924" s="36" t="n"/>
      <c r="H924" s="36" t="n"/>
      <c r="I924" s="36" t="n"/>
      <c r="J924" s="37" t="n"/>
      <c r="K924" s="32" t="n"/>
      <c r="L924" s="36" t="n"/>
      <c r="M924" s="41" t="n"/>
      <c r="N924" s="41" t="n"/>
      <c r="O924" s="36" t="n"/>
      <c r="P924" s="33">
        <f>IF(C924="","",Commercial_Id)</f>
        <v/>
      </c>
      <c r="Q924" s="39">
        <f>IF(F924="","",IFERROR(VALUE(MID(F924,LEN(F924)-3,3)),""))</f>
        <v/>
      </c>
      <c r="R924" s="33">
        <f>IF(Q924="","",P924&amp;"|"&amp;Q924)</f>
        <v/>
      </c>
      <c r="S924" s="33">
        <f>IF(Q924="","",IF(P924="À RENSEIGNER","GIC",P924)&amp;"-"&amp;TEXT(Q924,"000"))</f>
        <v/>
      </c>
      <c r="T924" s="33">
        <f>IF(R924="","",IFERROR(INDEX(Cl_nom,MATCH(R924,Cl_cle,0)),"(client introuvable)"))</f>
        <v/>
      </c>
      <c r="U924" s="33">
        <f>IF(R924="","",IFERROR(INDEX(Cl_quartier,MATCH(R924,Cl_cle,0))&amp;"",""))</f>
        <v/>
      </c>
      <c r="V924" s="34">
        <f>IF(C924="","",YEAR(C924-WEEKDAY(C924,2)+4)&amp;"-S"&amp;TEXT(INT((C924-DATE(YEAR(C924-WEEKDAY(C924,2)+4),1,3)+WEEKDAY(DATE(YEAR(C924-WEEKDAY(C924,2)+4),1,3),2)+5)/7),"00"))</f>
        <v/>
      </c>
    </row>
    <row r="925" ht="18" customHeight="1">
      <c r="A925" s="39" t="n">
        <v>920</v>
      </c>
      <c r="B925" s="33">
        <f>IF(C925="","",IF(P925="À RENSEIGNER","GIC",P925)&amp;"-V"&amp;TEXT(A925,"00000"))</f>
        <v/>
      </c>
      <c r="C925" s="32" t="n"/>
      <c r="D925" s="35" t="n"/>
      <c r="E925" s="36" t="n"/>
      <c r="F925" s="36" t="n"/>
      <c r="G925" s="36" t="n"/>
      <c r="H925" s="36" t="n"/>
      <c r="I925" s="36" t="n"/>
      <c r="J925" s="37" t="n"/>
      <c r="K925" s="32" t="n"/>
      <c r="L925" s="36" t="n"/>
      <c r="M925" s="41" t="n"/>
      <c r="N925" s="41" t="n"/>
      <c r="O925" s="36" t="n"/>
      <c r="P925" s="33">
        <f>IF(C925="","",Commercial_Id)</f>
        <v/>
      </c>
      <c r="Q925" s="39">
        <f>IF(F925="","",IFERROR(VALUE(MID(F925,LEN(F925)-3,3)),""))</f>
        <v/>
      </c>
      <c r="R925" s="33">
        <f>IF(Q925="","",P925&amp;"|"&amp;Q925)</f>
        <v/>
      </c>
      <c r="S925" s="33">
        <f>IF(Q925="","",IF(P925="À RENSEIGNER","GIC",P925)&amp;"-"&amp;TEXT(Q925,"000"))</f>
        <v/>
      </c>
      <c r="T925" s="33">
        <f>IF(R925="","",IFERROR(INDEX(Cl_nom,MATCH(R925,Cl_cle,0)),"(client introuvable)"))</f>
        <v/>
      </c>
      <c r="U925" s="33">
        <f>IF(R925="","",IFERROR(INDEX(Cl_quartier,MATCH(R925,Cl_cle,0))&amp;"",""))</f>
        <v/>
      </c>
      <c r="V925" s="34">
        <f>IF(C925="","",YEAR(C925-WEEKDAY(C925,2)+4)&amp;"-S"&amp;TEXT(INT((C925-DATE(YEAR(C925-WEEKDAY(C925,2)+4),1,3)+WEEKDAY(DATE(YEAR(C925-WEEKDAY(C925,2)+4),1,3),2)+5)/7),"00"))</f>
        <v/>
      </c>
    </row>
    <row r="926" ht="18" customHeight="1">
      <c r="A926" s="39" t="n">
        <v>921</v>
      </c>
      <c r="B926" s="33">
        <f>IF(C926="","",IF(P926="À RENSEIGNER","GIC",P926)&amp;"-V"&amp;TEXT(A926,"00000"))</f>
        <v/>
      </c>
      <c r="C926" s="32" t="n"/>
      <c r="D926" s="35" t="n"/>
      <c r="E926" s="36" t="n"/>
      <c r="F926" s="36" t="n"/>
      <c r="G926" s="36" t="n"/>
      <c r="H926" s="36" t="n"/>
      <c r="I926" s="36" t="n"/>
      <c r="J926" s="37" t="n"/>
      <c r="K926" s="32" t="n"/>
      <c r="L926" s="36" t="n"/>
      <c r="M926" s="41" t="n"/>
      <c r="N926" s="41" t="n"/>
      <c r="O926" s="36" t="n"/>
      <c r="P926" s="33">
        <f>IF(C926="","",Commercial_Id)</f>
        <v/>
      </c>
      <c r="Q926" s="39">
        <f>IF(F926="","",IFERROR(VALUE(MID(F926,LEN(F926)-3,3)),""))</f>
        <v/>
      </c>
      <c r="R926" s="33">
        <f>IF(Q926="","",P926&amp;"|"&amp;Q926)</f>
        <v/>
      </c>
      <c r="S926" s="33">
        <f>IF(Q926="","",IF(P926="À RENSEIGNER","GIC",P926)&amp;"-"&amp;TEXT(Q926,"000"))</f>
        <v/>
      </c>
      <c r="T926" s="33">
        <f>IF(R926="","",IFERROR(INDEX(Cl_nom,MATCH(R926,Cl_cle,0)),"(client introuvable)"))</f>
        <v/>
      </c>
      <c r="U926" s="33">
        <f>IF(R926="","",IFERROR(INDEX(Cl_quartier,MATCH(R926,Cl_cle,0))&amp;"",""))</f>
        <v/>
      </c>
      <c r="V926" s="34">
        <f>IF(C926="","",YEAR(C926-WEEKDAY(C926,2)+4)&amp;"-S"&amp;TEXT(INT((C926-DATE(YEAR(C926-WEEKDAY(C926,2)+4),1,3)+WEEKDAY(DATE(YEAR(C926-WEEKDAY(C926,2)+4),1,3),2)+5)/7),"00"))</f>
        <v/>
      </c>
    </row>
    <row r="927" ht="18" customHeight="1">
      <c r="A927" s="39" t="n">
        <v>922</v>
      </c>
      <c r="B927" s="33">
        <f>IF(C927="","",IF(P927="À RENSEIGNER","GIC",P927)&amp;"-V"&amp;TEXT(A927,"00000"))</f>
        <v/>
      </c>
      <c r="C927" s="32" t="n"/>
      <c r="D927" s="35" t="n"/>
      <c r="E927" s="36" t="n"/>
      <c r="F927" s="36" t="n"/>
      <c r="G927" s="36" t="n"/>
      <c r="H927" s="36" t="n"/>
      <c r="I927" s="36" t="n"/>
      <c r="J927" s="37" t="n"/>
      <c r="K927" s="32" t="n"/>
      <c r="L927" s="36" t="n"/>
      <c r="M927" s="41" t="n"/>
      <c r="N927" s="41" t="n"/>
      <c r="O927" s="36" t="n"/>
      <c r="P927" s="33">
        <f>IF(C927="","",Commercial_Id)</f>
        <v/>
      </c>
      <c r="Q927" s="39">
        <f>IF(F927="","",IFERROR(VALUE(MID(F927,LEN(F927)-3,3)),""))</f>
        <v/>
      </c>
      <c r="R927" s="33">
        <f>IF(Q927="","",P927&amp;"|"&amp;Q927)</f>
        <v/>
      </c>
      <c r="S927" s="33">
        <f>IF(Q927="","",IF(P927="À RENSEIGNER","GIC",P927)&amp;"-"&amp;TEXT(Q927,"000"))</f>
        <v/>
      </c>
      <c r="T927" s="33">
        <f>IF(R927="","",IFERROR(INDEX(Cl_nom,MATCH(R927,Cl_cle,0)),"(client introuvable)"))</f>
        <v/>
      </c>
      <c r="U927" s="33">
        <f>IF(R927="","",IFERROR(INDEX(Cl_quartier,MATCH(R927,Cl_cle,0))&amp;"",""))</f>
        <v/>
      </c>
      <c r="V927" s="34">
        <f>IF(C927="","",YEAR(C927-WEEKDAY(C927,2)+4)&amp;"-S"&amp;TEXT(INT((C927-DATE(YEAR(C927-WEEKDAY(C927,2)+4),1,3)+WEEKDAY(DATE(YEAR(C927-WEEKDAY(C927,2)+4),1,3),2)+5)/7),"00"))</f>
        <v/>
      </c>
    </row>
    <row r="928" ht="18" customHeight="1">
      <c r="A928" s="39" t="n">
        <v>923</v>
      </c>
      <c r="B928" s="33">
        <f>IF(C928="","",IF(P928="À RENSEIGNER","GIC",P928)&amp;"-V"&amp;TEXT(A928,"00000"))</f>
        <v/>
      </c>
      <c r="C928" s="32" t="n"/>
      <c r="D928" s="35" t="n"/>
      <c r="E928" s="36" t="n"/>
      <c r="F928" s="36" t="n"/>
      <c r="G928" s="36" t="n"/>
      <c r="H928" s="36" t="n"/>
      <c r="I928" s="36" t="n"/>
      <c r="J928" s="37" t="n"/>
      <c r="K928" s="32" t="n"/>
      <c r="L928" s="36" t="n"/>
      <c r="M928" s="41" t="n"/>
      <c r="N928" s="41" t="n"/>
      <c r="O928" s="36" t="n"/>
      <c r="P928" s="33">
        <f>IF(C928="","",Commercial_Id)</f>
        <v/>
      </c>
      <c r="Q928" s="39">
        <f>IF(F928="","",IFERROR(VALUE(MID(F928,LEN(F928)-3,3)),""))</f>
        <v/>
      </c>
      <c r="R928" s="33">
        <f>IF(Q928="","",P928&amp;"|"&amp;Q928)</f>
        <v/>
      </c>
      <c r="S928" s="33">
        <f>IF(Q928="","",IF(P928="À RENSEIGNER","GIC",P928)&amp;"-"&amp;TEXT(Q928,"000"))</f>
        <v/>
      </c>
      <c r="T928" s="33">
        <f>IF(R928="","",IFERROR(INDEX(Cl_nom,MATCH(R928,Cl_cle,0)),"(client introuvable)"))</f>
        <v/>
      </c>
      <c r="U928" s="33">
        <f>IF(R928="","",IFERROR(INDEX(Cl_quartier,MATCH(R928,Cl_cle,0))&amp;"",""))</f>
        <v/>
      </c>
      <c r="V928" s="34">
        <f>IF(C928="","",YEAR(C928-WEEKDAY(C928,2)+4)&amp;"-S"&amp;TEXT(INT((C928-DATE(YEAR(C928-WEEKDAY(C928,2)+4),1,3)+WEEKDAY(DATE(YEAR(C928-WEEKDAY(C928,2)+4),1,3),2)+5)/7),"00"))</f>
        <v/>
      </c>
    </row>
    <row r="929" ht="18" customHeight="1">
      <c r="A929" s="39" t="n">
        <v>924</v>
      </c>
      <c r="B929" s="33">
        <f>IF(C929="","",IF(P929="À RENSEIGNER","GIC",P929)&amp;"-V"&amp;TEXT(A929,"00000"))</f>
        <v/>
      </c>
      <c r="C929" s="32" t="n"/>
      <c r="D929" s="35" t="n"/>
      <c r="E929" s="36" t="n"/>
      <c r="F929" s="36" t="n"/>
      <c r="G929" s="36" t="n"/>
      <c r="H929" s="36" t="n"/>
      <c r="I929" s="36" t="n"/>
      <c r="J929" s="37" t="n"/>
      <c r="K929" s="32" t="n"/>
      <c r="L929" s="36" t="n"/>
      <c r="M929" s="41" t="n"/>
      <c r="N929" s="41" t="n"/>
      <c r="O929" s="36" t="n"/>
      <c r="P929" s="33">
        <f>IF(C929="","",Commercial_Id)</f>
        <v/>
      </c>
      <c r="Q929" s="39">
        <f>IF(F929="","",IFERROR(VALUE(MID(F929,LEN(F929)-3,3)),""))</f>
        <v/>
      </c>
      <c r="R929" s="33">
        <f>IF(Q929="","",P929&amp;"|"&amp;Q929)</f>
        <v/>
      </c>
      <c r="S929" s="33">
        <f>IF(Q929="","",IF(P929="À RENSEIGNER","GIC",P929)&amp;"-"&amp;TEXT(Q929,"000"))</f>
        <v/>
      </c>
      <c r="T929" s="33">
        <f>IF(R929="","",IFERROR(INDEX(Cl_nom,MATCH(R929,Cl_cle,0)),"(client introuvable)"))</f>
        <v/>
      </c>
      <c r="U929" s="33">
        <f>IF(R929="","",IFERROR(INDEX(Cl_quartier,MATCH(R929,Cl_cle,0))&amp;"",""))</f>
        <v/>
      </c>
      <c r="V929" s="34">
        <f>IF(C929="","",YEAR(C929-WEEKDAY(C929,2)+4)&amp;"-S"&amp;TEXT(INT((C929-DATE(YEAR(C929-WEEKDAY(C929,2)+4),1,3)+WEEKDAY(DATE(YEAR(C929-WEEKDAY(C929,2)+4),1,3),2)+5)/7),"00"))</f>
        <v/>
      </c>
    </row>
    <row r="930" ht="18" customHeight="1">
      <c r="A930" s="39" t="n">
        <v>925</v>
      </c>
      <c r="B930" s="33">
        <f>IF(C930="","",IF(P930="À RENSEIGNER","GIC",P930)&amp;"-V"&amp;TEXT(A930,"00000"))</f>
        <v/>
      </c>
      <c r="C930" s="32" t="n"/>
      <c r="D930" s="35" t="n"/>
      <c r="E930" s="36" t="n"/>
      <c r="F930" s="36" t="n"/>
      <c r="G930" s="36" t="n"/>
      <c r="H930" s="36" t="n"/>
      <c r="I930" s="36" t="n"/>
      <c r="J930" s="37" t="n"/>
      <c r="K930" s="32" t="n"/>
      <c r="L930" s="36" t="n"/>
      <c r="M930" s="41" t="n"/>
      <c r="N930" s="41" t="n"/>
      <c r="O930" s="36" t="n"/>
      <c r="P930" s="33">
        <f>IF(C930="","",Commercial_Id)</f>
        <v/>
      </c>
      <c r="Q930" s="39">
        <f>IF(F930="","",IFERROR(VALUE(MID(F930,LEN(F930)-3,3)),""))</f>
        <v/>
      </c>
      <c r="R930" s="33">
        <f>IF(Q930="","",P930&amp;"|"&amp;Q930)</f>
        <v/>
      </c>
      <c r="S930" s="33">
        <f>IF(Q930="","",IF(P930="À RENSEIGNER","GIC",P930)&amp;"-"&amp;TEXT(Q930,"000"))</f>
        <v/>
      </c>
      <c r="T930" s="33">
        <f>IF(R930="","",IFERROR(INDEX(Cl_nom,MATCH(R930,Cl_cle,0)),"(client introuvable)"))</f>
        <v/>
      </c>
      <c r="U930" s="33">
        <f>IF(R930="","",IFERROR(INDEX(Cl_quartier,MATCH(R930,Cl_cle,0))&amp;"",""))</f>
        <v/>
      </c>
      <c r="V930" s="34">
        <f>IF(C930="","",YEAR(C930-WEEKDAY(C930,2)+4)&amp;"-S"&amp;TEXT(INT((C930-DATE(YEAR(C930-WEEKDAY(C930,2)+4),1,3)+WEEKDAY(DATE(YEAR(C930-WEEKDAY(C930,2)+4),1,3),2)+5)/7),"00"))</f>
        <v/>
      </c>
    </row>
    <row r="931" ht="18" customHeight="1">
      <c r="A931" s="39" t="n">
        <v>926</v>
      </c>
      <c r="B931" s="33">
        <f>IF(C931="","",IF(P931="À RENSEIGNER","GIC",P931)&amp;"-V"&amp;TEXT(A931,"00000"))</f>
        <v/>
      </c>
      <c r="C931" s="32" t="n"/>
      <c r="D931" s="35" t="n"/>
      <c r="E931" s="36" t="n"/>
      <c r="F931" s="36" t="n"/>
      <c r="G931" s="36" t="n"/>
      <c r="H931" s="36" t="n"/>
      <c r="I931" s="36" t="n"/>
      <c r="J931" s="37" t="n"/>
      <c r="K931" s="32" t="n"/>
      <c r="L931" s="36" t="n"/>
      <c r="M931" s="41" t="n"/>
      <c r="N931" s="41" t="n"/>
      <c r="O931" s="36" t="n"/>
      <c r="P931" s="33">
        <f>IF(C931="","",Commercial_Id)</f>
        <v/>
      </c>
      <c r="Q931" s="39">
        <f>IF(F931="","",IFERROR(VALUE(MID(F931,LEN(F931)-3,3)),""))</f>
        <v/>
      </c>
      <c r="R931" s="33">
        <f>IF(Q931="","",P931&amp;"|"&amp;Q931)</f>
        <v/>
      </c>
      <c r="S931" s="33">
        <f>IF(Q931="","",IF(P931="À RENSEIGNER","GIC",P931)&amp;"-"&amp;TEXT(Q931,"000"))</f>
        <v/>
      </c>
      <c r="T931" s="33">
        <f>IF(R931="","",IFERROR(INDEX(Cl_nom,MATCH(R931,Cl_cle,0)),"(client introuvable)"))</f>
        <v/>
      </c>
      <c r="U931" s="33">
        <f>IF(R931="","",IFERROR(INDEX(Cl_quartier,MATCH(R931,Cl_cle,0))&amp;"",""))</f>
        <v/>
      </c>
      <c r="V931" s="34">
        <f>IF(C931="","",YEAR(C931-WEEKDAY(C931,2)+4)&amp;"-S"&amp;TEXT(INT((C931-DATE(YEAR(C931-WEEKDAY(C931,2)+4),1,3)+WEEKDAY(DATE(YEAR(C931-WEEKDAY(C931,2)+4),1,3),2)+5)/7),"00"))</f>
        <v/>
      </c>
    </row>
    <row r="932" ht="18" customHeight="1">
      <c r="A932" s="39" t="n">
        <v>927</v>
      </c>
      <c r="B932" s="33">
        <f>IF(C932="","",IF(P932="À RENSEIGNER","GIC",P932)&amp;"-V"&amp;TEXT(A932,"00000"))</f>
        <v/>
      </c>
      <c r="C932" s="32" t="n"/>
      <c r="D932" s="35" t="n"/>
      <c r="E932" s="36" t="n"/>
      <c r="F932" s="36" t="n"/>
      <c r="G932" s="36" t="n"/>
      <c r="H932" s="36" t="n"/>
      <c r="I932" s="36" t="n"/>
      <c r="J932" s="37" t="n"/>
      <c r="K932" s="32" t="n"/>
      <c r="L932" s="36" t="n"/>
      <c r="M932" s="41" t="n"/>
      <c r="N932" s="41" t="n"/>
      <c r="O932" s="36" t="n"/>
      <c r="P932" s="33">
        <f>IF(C932="","",Commercial_Id)</f>
        <v/>
      </c>
      <c r="Q932" s="39">
        <f>IF(F932="","",IFERROR(VALUE(MID(F932,LEN(F932)-3,3)),""))</f>
        <v/>
      </c>
      <c r="R932" s="33">
        <f>IF(Q932="","",P932&amp;"|"&amp;Q932)</f>
        <v/>
      </c>
      <c r="S932" s="33">
        <f>IF(Q932="","",IF(P932="À RENSEIGNER","GIC",P932)&amp;"-"&amp;TEXT(Q932,"000"))</f>
        <v/>
      </c>
      <c r="T932" s="33">
        <f>IF(R932="","",IFERROR(INDEX(Cl_nom,MATCH(R932,Cl_cle,0)),"(client introuvable)"))</f>
        <v/>
      </c>
      <c r="U932" s="33">
        <f>IF(R932="","",IFERROR(INDEX(Cl_quartier,MATCH(R932,Cl_cle,0))&amp;"",""))</f>
        <v/>
      </c>
      <c r="V932" s="34">
        <f>IF(C932="","",YEAR(C932-WEEKDAY(C932,2)+4)&amp;"-S"&amp;TEXT(INT((C932-DATE(YEAR(C932-WEEKDAY(C932,2)+4),1,3)+WEEKDAY(DATE(YEAR(C932-WEEKDAY(C932,2)+4),1,3),2)+5)/7),"00"))</f>
        <v/>
      </c>
    </row>
    <row r="933" ht="18" customHeight="1">
      <c r="A933" s="39" t="n">
        <v>928</v>
      </c>
      <c r="B933" s="33">
        <f>IF(C933="","",IF(P933="À RENSEIGNER","GIC",P933)&amp;"-V"&amp;TEXT(A933,"00000"))</f>
        <v/>
      </c>
      <c r="C933" s="32" t="n"/>
      <c r="D933" s="35" t="n"/>
      <c r="E933" s="36" t="n"/>
      <c r="F933" s="36" t="n"/>
      <c r="G933" s="36" t="n"/>
      <c r="H933" s="36" t="n"/>
      <c r="I933" s="36" t="n"/>
      <c r="J933" s="37" t="n"/>
      <c r="K933" s="32" t="n"/>
      <c r="L933" s="36" t="n"/>
      <c r="M933" s="41" t="n"/>
      <c r="N933" s="41" t="n"/>
      <c r="O933" s="36" t="n"/>
      <c r="P933" s="33">
        <f>IF(C933="","",Commercial_Id)</f>
        <v/>
      </c>
      <c r="Q933" s="39">
        <f>IF(F933="","",IFERROR(VALUE(MID(F933,LEN(F933)-3,3)),""))</f>
        <v/>
      </c>
      <c r="R933" s="33">
        <f>IF(Q933="","",P933&amp;"|"&amp;Q933)</f>
        <v/>
      </c>
      <c r="S933" s="33">
        <f>IF(Q933="","",IF(P933="À RENSEIGNER","GIC",P933)&amp;"-"&amp;TEXT(Q933,"000"))</f>
        <v/>
      </c>
      <c r="T933" s="33">
        <f>IF(R933="","",IFERROR(INDEX(Cl_nom,MATCH(R933,Cl_cle,0)),"(client introuvable)"))</f>
        <v/>
      </c>
      <c r="U933" s="33">
        <f>IF(R933="","",IFERROR(INDEX(Cl_quartier,MATCH(R933,Cl_cle,0))&amp;"",""))</f>
        <v/>
      </c>
      <c r="V933" s="34">
        <f>IF(C933="","",YEAR(C933-WEEKDAY(C933,2)+4)&amp;"-S"&amp;TEXT(INT((C933-DATE(YEAR(C933-WEEKDAY(C933,2)+4),1,3)+WEEKDAY(DATE(YEAR(C933-WEEKDAY(C933,2)+4),1,3),2)+5)/7),"00"))</f>
        <v/>
      </c>
    </row>
    <row r="934" ht="18" customHeight="1">
      <c r="A934" s="39" t="n">
        <v>929</v>
      </c>
      <c r="B934" s="33">
        <f>IF(C934="","",IF(P934="À RENSEIGNER","GIC",P934)&amp;"-V"&amp;TEXT(A934,"00000"))</f>
        <v/>
      </c>
      <c r="C934" s="32" t="n"/>
      <c r="D934" s="35" t="n"/>
      <c r="E934" s="36" t="n"/>
      <c r="F934" s="36" t="n"/>
      <c r="G934" s="36" t="n"/>
      <c r="H934" s="36" t="n"/>
      <c r="I934" s="36" t="n"/>
      <c r="J934" s="37" t="n"/>
      <c r="K934" s="32" t="n"/>
      <c r="L934" s="36" t="n"/>
      <c r="M934" s="41" t="n"/>
      <c r="N934" s="41" t="n"/>
      <c r="O934" s="36" t="n"/>
      <c r="P934" s="33">
        <f>IF(C934="","",Commercial_Id)</f>
        <v/>
      </c>
      <c r="Q934" s="39">
        <f>IF(F934="","",IFERROR(VALUE(MID(F934,LEN(F934)-3,3)),""))</f>
        <v/>
      </c>
      <c r="R934" s="33">
        <f>IF(Q934="","",P934&amp;"|"&amp;Q934)</f>
        <v/>
      </c>
      <c r="S934" s="33">
        <f>IF(Q934="","",IF(P934="À RENSEIGNER","GIC",P934)&amp;"-"&amp;TEXT(Q934,"000"))</f>
        <v/>
      </c>
      <c r="T934" s="33">
        <f>IF(R934="","",IFERROR(INDEX(Cl_nom,MATCH(R934,Cl_cle,0)),"(client introuvable)"))</f>
        <v/>
      </c>
      <c r="U934" s="33">
        <f>IF(R934="","",IFERROR(INDEX(Cl_quartier,MATCH(R934,Cl_cle,0))&amp;"",""))</f>
        <v/>
      </c>
      <c r="V934" s="34">
        <f>IF(C934="","",YEAR(C934-WEEKDAY(C934,2)+4)&amp;"-S"&amp;TEXT(INT((C934-DATE(YEAR(C934-WEEKDAY(C934,2)+4),1,3)+WEEKDAY(DATE(YEAR(C934-WEEKDAY(C934,2)+4),1,3),2)+5)/7),"00"))</f>
        <v/>
      </c>
    </row>
    <row r="935" ht="18" customHeight="1">
      <c r="A935" s="39" t="n">
        <v>930</v>
      </c>
      <c r="B935" s="33">
        <f>IF(C935="","",IF(P935="À RENSEIGNER","GIC",P935)&amp;"-V"&amp;TEXT(A935,"00000"))</f>
        <v/>
      </c>
      <c r="C935" s="32" t="n"/>
      <c r="D935" s="35" t="n"/>
      <c r="E935" s="36" t="n"/>
      <c r="F935" s="36" t="n"/>
      <c r="G935" s="36" t="n"/>
      <c r="H935" s="36" t="n"/>
      <c r="I935" s="36" t="n"/>
      <c r="J935" s="37" t="n"/>
      <c r="K935" s="32" t="n"/>
      <c r="L935" s="36" t="n"/>
      <c r="M935" s="41" t="n"/>
      <c r="N935" s="41" t="n"/>
      <c r="O935" s="36" t="n"/>
      <c r="P935" s="33">
        <f>IF(C935="","",Commercial_Id)</f>
        <v/>
      </c>
      <c r="Q935" s="39">
        <f>IF(F935="","",IFERROR(VALUE(MID(F935,LEN(F935)-3,3)),""))</f>
        <v/>
      </c>
      <c r="R935" s="33">
        <f>IF(Q935="","",P935&amp;"|"&amp;Q935)</f>
        <v/>
      </c>
      <c r="S935" s="33">
        <f>IF(Q935="","",IF(P935="À RENSEIGNER","GIC",P935)&amp;"-"&amp;TEXT(Q935,"000"))</f>
        <v/>
      </c>
      <c r="T935" s="33">
        <f>IF(R935="","",IFERROR(INDEX(Cl_nom,MATCH(R935,Cl_cle,0)),"(client introuvable)"))</f>
        <v/>
      </c>
      <c r="U935" s="33">
        <f>IF(R935="","",IFERROR(INDEX(Cl_quartier,MATCH(R935,Cl_cle,0))&amp;"",""))</f>
        <v/>
      </c>
      <c r="V935" s="34">
        <f>IF(C935="","",YEAR(C935-WEEKDAY(C935,2)+4)&amp;"-S"&amp;TEXT(INT((C935-DATE(YEAR(C935-WEEKDAY(C935,2)+4),1,3)+WEEKDAY(DATE(YEAR(C935-WEEKDAY(C935,2)+4),1,3),2)+5)/7),"00"))</f>
        <v/>
      </c>
    </row>
    <row r="936" ht="18" customHeight="1">
      <c r="A936" s="39" t="n">
        <v>931</v>
      </c>
      <c r="B936" s="33">
        <f>IF(C936="","",IF(P936="À RENSEIGNER","GIC",P936)&amp;"-V"&amp;TEXT(A936,"00000"))</f>
        <v/>
      </c>
      <c r="C936" s="32" t="n"/>
      <c r="D936" s="35" t="n"/>
      <c r="E936" s="36" t="n"/>
      <c r="F936" s="36" t="n"/>
      <c r="G936" s="36" t="n"/>
      <c r="H936" s="36" t="n"/>
      <c r="I936" s="36" t="n"/>
      <c r="J936" s="37" t="n"/>
      <c r="K936" s="32" t="n"/>
      <c r="L936" s="36" t="n"/>
      <c r="M936" s="41" t="n"/>
      <c r="N936" s="41" t="n"/>
      <c r="O936" s="36" t="n"/>
      <c r="P936" s="33">
        <f>IF(C936="","",Commercial_Id)</f>
        <v/>
      </c>
      <c r="Q936" s="39">
        <f>IF(F936="","",IFERROR(VALUE(MID(F936,LEN(F936)-3,3)),""))</f>
        <v/>
      </c>
      <c r="R936" s="33">
        <f>IF(Q936="","",P936&amp;"|"&amp;Q936)</f>
        <v/>
      </c>
      <c r="S936" s="33">
        <f>IF(Q936="","",IF(P936="À RENSEIGNER","GIC",P936)&amp;"-"&amp;TEXT(Q936,"000"))</f>
        <v/>
      </c>
      <c r="T936" s="33">
        <f>IF(R936="","",IFERROR(INDEX(Cl_nom,MATCH(R936,Cl_cle,0)),"(client introuvable)"))</f>
        <v/>
      </c>
      <c r="U936" s="33">
        <f>IF(R936="","",IFERROR(INDEX(Cl_quartier,MATCH(R936,Cl_cle,0))&amp;"",""))</f>
        <v/>
      </c>
      <c r="V936" s="34">
        <f>IF(C936="","",YEAR(C936-WEEKDAY(C936,2)+4)&amp;"-S"&amp;TEXT(INT((C936-DATE(YEAR(C936-WEEKDAY(C936,2)+4),1,3)+WEEKDAY(DATE(YEAR(C936-WEEKDAY(C936,2)+4),1,3),2)+5)/7),"00"))</f>
        <v/>
      </c>
    </row>
    <row r="937" ht="18" customHeight="1">
      <c r="A937" s="39" t="n">
        <v>932</v>
      </c>
      <c r="B937" s="33">
        <f>IF(C937="","",IF(P937="À RENSEIGNER","GIC",P937)&amp;"-V"&amp;TEXT(A937,"00000"))</f>
        <v/>
      </c>
      <c r="C937" s="32" t="n"/>
      <c r="D937" s="35" t="n"/>
      <c r="E937" s="36" t="n"/>
      <c r="F937" s="36" t="n"/>
      <c r="G937" s="36" t="n"/>
      <c r="H937" s="36" t="n"/>
      <c r="I937" s="36" t="n"/>
      <c r="J937" s="37" t="n"/>
      <c r="K937" s="32" t="n"/>
      <c r="L937" s="36" t="n"/>
      <c r="M937" s="41" t="n"/>
      <c r="N937" s="41" t="n"/>
      <c r="O937" s="36" t="n"/>
      <c r="P937" s="33">
        <f>IF(C937="","",Commercial_Id)</f>
        <v/>
      </c>
      <c r="Q937" s="39">
        <f>IF(F937="","",IFERROR(VALUE(MID(F937,LEN(F937)-3,3)),""))</f>
        <v/>
      </c>
      <c r="R937" s="33">
        <f>IF(Q937="","",P937&amp;"|"&amp;Q937)</f>
        <v/>
      </c>
      <c r="S937" s="33">
        <f>IF(Q937="","",IF(P937="À RENSEIGNER","GIC",P937)&amp;"-"&amp;TEXT(Q937,"000"))</f>
        <v/>
      </c>
      <c r="T937" s="33">
        <f>IF(R937="","",IFERROR(INDEX(Cl_nom,MATCH(R937,Cl_cle,0)),"(client introuvable)"))</f>
        <v/>
      </c>
      <c r="U937" s="33">
        <f>IF(R937="","",IFERROR(INDEX(Cl_quartier,MATCH(R937,Cl_cle,0))&amp;"",""))</f>
        <v/>
      </c>
      <c r="V937" s="34">
        <f>IF(C937="","",YEAR(C937-WEEKDAY(C937,2)+4)&amp;"-S"&amp;TEXT(INT((C937-DATE(YEAR(C937-WEEKDAY(C937,2)+4),1,3)+WEEKDAY(DATE(YEAR(C937-WEEKDAY(C937,2)+4),1,3),2)+5)/7),"00"))</f>
        <v/>
      </c>
    </row>
    <row r="938" ht="18" customHeight="1">
      <c r="A938" s="39" t="n">
        <v>933</v>
      </c>
      <c r="B938" s="33">
        <f>IF(C938="","",IF(P938="À RENSEIGNER","GIC",P938)&amp;"-V"&amp;TEXT(A938,"00000"))</f>
        <v/>
      </c>
      <c r="C938" s="32" t="n"/>
      <c r="D938" s="35" t="n"/>
      <c r="E938" s="36" t="n"/>
      <c r="F938" s="36" t="n"/>
      <c r="G938" s="36" t="n"/>
      <c r="H938" s="36" t="n"/>
      <c r="I938" s="36" t="n"/>
      <c r="J938" s="37" t="n"/>
      <c r="K938" s="32" t="n"/>
      <c r="L938" s="36" t="n"/>
      <c r="M938" s="41" t="n"/>
      <c r="N938" s="41" t="n"/>
      <c r="O938" s="36" t="n"/>
      <c r="P938" s="33">
        <f>IF(C938="","",Commercial_Id)</f>
        <v/>
      </c>
      <c r="Q938" s="39">
        <f>IF(F938="","",IFERROR(VALUE(MID(F938,LEN(F938)-3,3)),""))</f>
        <v/>
      </c>
      <c r="R938" s="33">
        <f>IF(Q938="","",P938&amp;"|"&amp;Q938)</f>
        <v/>
      </c>
      <c r="S938" s="33">
        <f>IF(Q938="","",IF(P938="À RENSEIGNER","GIC",P938)&amp;"-"&amp;TEXT(Q938,"000"))</f>
        <v/>
      </c>
      <c r="T938" s="33">
        <f>IF(R938="","",IFERROR(INDEX(Cl_nom,MATCH(R938,Cl_cle,0)),"(client introuvable)"))</f>
        <v/>
      </c>
      <c r="U938" s="33">
        <f>IF(R938="","",IFERROR(INDEX(Cl_quartier,MATCH(R938,Cl_cle,0))&amp;"",""))</f>
        <v/>
      </c>
      <c r="V938" s="34">
        <f>IF(C938="","",YEAR(C938-WEEKDAY(C938,2)+4)&amp;"-S"&amp;TEXT(INT((C938-DATE(YEAR(C938-WEEKDAY(C938,2)+4),1,3)+WEEKDAY(DATE(YEAR(C938-WEEKDAY(C938,2)+4),1,3),2)+5)/7),"00"))</f>
        <v/>
      </c>
    </row>
    <row r="939" ht="18" customHeight="1">
      <c r="A939" s="39" t="n">
        <v>934</v>
      </c>
      <c r="B939" s="33">
        <f>IF(C939="","",IF(P939="À RENSEIGNER","GIC",P939)&amp;"-V"&amp;TEXT(A939,"00000"))</f>
        <v/>
      </c>
      <c r="C939" s="32" t="n"/>
      <c r="D939" s="35" t="n"/>
      <c r="E939" s="36" t="n"/>
      <c r="F939" s="36" t="n"/>
      <c r="G939" s="36" t="n"/>
      <c r="H939" s="36" t="n"/>
      <c r="I939" s="36" t="n"/>
      <c r="J939" s="37" t="n"/>
      <c r="K939" s="32" t="n"/>
      <c r="L939" s="36" t="n"/>
      <c r="M939" s="41" t="n"/>
      <c r="N939" s="41" t="n"/>
      <c r="O939" s="36" t="n"/>
      <c r="P939" s="33">
        <f>IF(C939="","",Commercial_Id)</f>
        <v/>
      </c>
      <c r="Q939" s="39">
        <f>IF(F939="","",IFERROR(VALUE(MID(F939,LEN(F939)-3,3)),""))</f>
        <v/>
      </c>
      <c r="R939" s="33">
        <f>IF(Q939="","",P939&amp;"|"&amp;Q939)</f>
        <v/>
      </c>
      <c r="S939" s="33">
        <f>IF(Q939="","",IF(P939="À RENSEIGNER","GIC",P939)&amp;"-"&amp;TEXT(Q939,"000"))</f>
        <v/>
      </c>
      <c r="T939" s="33">
        <f>IF(R939="","",IFERROR(INDEX(Cl_nom,MATCH(R939,Cl_cle,0)),"(client introuvable)"))</f>
        <v/>
      </c>
      <c r="U939" s="33">
        <f>IF(R939="","",IFERROR(INDEX(Cl_quartier,MATCH(R939,Cl_cle,0))&amp;"",""))</f>
        <v/>
      </c>
      <c r="V939" s="34">
        <f>IF(C939="","",YEAR(C939-WEEKDAY(C939,2)+4)&amp;"-S"&amp;TEXT(INT((C939-DATE(YEAR(C939-WEEKDAY(C939,2)+4),1,3)+WEEKDAY(DATE(YEAR(C939-WEEKDAY(C939,2)+4),1,3),2)+5)/7),"00"))</f>
        <v/>
      </c>
    </row>
    <row r="940" ht="18" customHeight="1">
      <c r="A940" s="39" t="n">
        <v>935</v>
      </c>
      <c r="B940" s="33">
        <f>IF(C940="","",IF(P940="À RENSEIGNER","GIC",P940)&amp;"-V"&amp;TEXT(A940,"00000"))</f>
        <v/>
      </c>
      <c r="C940" s="32" t="n"/>
      <c r="D940" s="35" t="n"/>
      <c r="E940" s="36" t="n"/>
      <c r="F940" s="36" t="n"/>
      <c r="G940" s="36" t="n"/>
      <c r="H940" s="36" t="n"/>
      <c r="I940" s="36" t="n"/>
      <c r="J940" s="37" t="n"/>
      <c r="K940" s="32" t="n"/>
      <c r="L940" s="36" t="n"/>
      <c r="M940" s="41" t="n"/>
      <c r="N940" s="41" t="n"/>
      <c r="O940" s="36" t="n"/>
      <c r="P940" s="33">
        <f>IF(C940="","",Commercial_Id)</f>
        <v/>
      </c>
      <c r="Q940" s="39">
        <f>IF(F940="","",IFERROR(VALUE(MID(F940,LEN(F940)-3,3)),""))</f>
        <v/>
      </c>
      <c r="R940" s="33">
        <f>IF(Q940="","",P940&amp;"|"&amp;Q940)</f>
        <v/>
      </c>
      <c r="S940" s="33">
        <f>IF(Q940="","",IF(P940="À RENSEIGNER","GIC",P940)&amp;"-"&amp;TEXT(Q940,"000"))</f>
        <v/>
      </c>
      <c r="T940" s="33">
        <f>IF(R940="","",IFERROR(INDEX(Cl_nom,MATCH(R940,Cl_cle,0)),"(client introuvable)"))</f>
        <v/>
      </c>
      <c r="U940" s="33">
        <f>IF(R940="","",IFERROR(INDEX(Cl_quartier,MATCH(R940,Cl_cle,0))&amp;"",""))</f>
        <v/>
      </c>
      <c r="V940" s="34">
        <f>IF(C940="","",YEAR(C940-WEEKDAY(C940,2)+4)&amp;"-S"&amp;TEXT(INT((C940-DATE(YEAR(C940-WEEKDAY(C940,2)+4),1,3)+WEEKDAY(DATE(YEAR(C940-WEEKDAY(C940,2)+4),1,3),2)+5)/7),"00"))</f>
        <v/>
      </c>
    </row>
    <row r="941" ht="18" customHeight="1">
      <c r="A941" s="39" t="n">
        <v>936</v>
      </c>
      <c r="B941" s="33">
        <f>IF(C941="","",IF(P941="À RENSEIGNER","GIC",P941)&amp;"-V"&amp;TEXT(A941,"00000"))</f>
        <v/>
      </c>
      <c r="C941" s="32" t="n"/>
      <c r="D941" s="35" t="n"/>
      <c r="E941" s="36" t="n"/>
      <c r="F941" s="36" t="n"/>
      <c r="G941" s="36" t="n"/>
      <c r="H941" s="36" t="n"/>
      <c r="I941" s="36" t="n"/>
      <c r="J941" s="37" t="n"/>
      <c r="K941" s="32" t="n"/>
      <c r="L941" s="36" t="n"/>
      <c r="M941" s="41" t="n"/>
      <c r="N941" s="41" t="n"/>
      <c r="O941" s="36" t="n"/>
      <c r="P941" s="33">
        <f>IF(C941="","",Commercial_Id)</f>
        <v/>
      </c>
      <c r="Q941" s="39">
        <f>IF(F941="","",IFERROR(VALUE(MID(F941,LEN(F941)-3,3)),""))</f>
        <v/>
      </c>
      <c r="R941" s="33">
        <f>IF(Q941="","",P941&amp;"|"&amp;Q941)</f>
        <v/>
      </c>
      <c r="S941" s="33">
        <f>IF(Q941="","",IF(P941="À RENSEIGNER","GIC",P941)&amp;"-"&amp;TEXT(Q941,"000"))</f>
        <v/>
      </c>
      <c r="T941" s="33">
        <f>IF(R941="","",IFERROR(INDEX(Cl_nom,MATCH(R941,Cl_cle,0)),"(client introuvable)"))</f>
        <v/>
      </c>
      <c r="U941" s="33">
        <f>IF(R941="","",IFERROR(INDEX(Cl_quartier,MATCH(R941,Cl_cle,0))&amp;"",""))</f>
        <v/>
      </c>
      <c r="V941" s="34">
        <f>IF(C941="","",YEAR(C941-WEEKDAY(C941,2)+4)&amp;"-S"&amp;TEXT(INT((C941-DATE(YEAR(C941-WEEKDAY(C941,2)+4),1,3)+WEEKDAY(DATE(YEAR(C941-WEEKDAY(C941,2)+4),1,3),2)+5)/7),"00"))</f>
        <v/>
      </c>
    </row>
    <row r="942" ht="18" customHeight="1">
      <c r="A942" s="39" t="n">
        <v>937</v>
      </c>
      <c r="B942" s="33">
        <f>IF(C942="","",IF(P942="À RENSEIGNER","GIC",P942)&amp;"-V"&amp;TEXT(A942,"00000"))</f>
        <v/>
      </c>
      <c r="C942" s="32" t="n"/>
      <c r="D942" s="35" t="n"/>
      <c r="E942" s="36" t="n"/>
      <c r="F942" s="36" t="n"/>
      <c r="G942" s="36" t="n"/>
      <c r="H942" s="36" t="n"/>
      <c r="I942" s="36" t="n"/>
      <c r="J942" s="37" t="n"/>
      <c r="K942" s="32" t="n"/>
      <c r="L942" s="36" t="n"/>
      <c r="M942" s="41" t="n"/>
      <c r="N942" s="41" t="n"/>
      <c r="O942" s="36" t="n"/>
      <c r="P942" s="33">
        <f>IF(C942="","",Commercial_Id)</f>
        <v/>
      </c>
      <c r="Q942" s="39">
        <f>IF(F942="","",IFERROR(VALUE(MID(F942,LEN(F942)-3,3)),""))</f>
        <v/>
      </c>
      <c r="R942" s="33">
        <f>IF(Q942="","",P942&amp;"|"&amp;Q942)</f>
        <v/>
      </c>
      <c r="S942" s="33">
        <f>IF(Q942="","",IF(P942="À RENSEIGNER","GIC",P942)&amp;"-"&amp;TEXT(Q942,"000"))</f>
        <v/>
      </c>
      <c r="T942" s="33">
        <f>IF(R942="","",IFERROR(INDEX(Cl_nom,MATCH(R942,Cl_cle,0)),"(client introuvable)"))</f>
        <v/>
      </c>
      <c r="U942" s="33">
        <f>IF(R942="","",IFERROR(INDEX(Cl_quartier,MATCH(R942,Cl_cle,0))&amp;"",""))</f>
        <v/>
      </c>
      <c r="V942" s="34">
        <f>IF(C942="","",YEAR(C942-WEEKDAY(C942,2)+4)&amp;"-S"&amp;TEXT(INT((C942-DATE(YEAR(C942-WEEKDAY(C942,2)+4),1,3)+WEEKDAY(DATE(YEAR(C942-WEEKDAY(C942,2)+4),1,3),2)+5)/7),"00"))</f>
        <v/>
      </c>
    </row>
    <row r="943" ht="18" customHeight="1">
      <c r="A943" s="39" t="n">
        <v>938</v>
      </c>
      <c r="B943" s="33">
        <f>IF(C943="","",IF(P943="À RENSEIGNER","GIC",P943)&amp;"-V"&amp;TEXT(A943,"00000"))</f>
        <v/>
      </c>
      <c r="C943" s="32" t="n"/>
      <c r="D943" s="35" t="n"/>
      <c r="E943" s="36" t="n"/>
      <c r="F943" s="36" t="n"/>
      <c r="G943" s="36" t="n"/>
      <c r="H943" s="36" t="n"/>
      <c r="I943" s="36" t="n"/>
      <c r="J943" s="37" t="n"/>
      <c r="K943" s="32" t="n"/>
      <c r="L943" s="36" t="n"/>
      <c r="M943" s="41" t="n"/>
      <c r="N943" s="41" t="n"/>
      <c r="O943" s="36" t="n"/>
      <c r="P943" s="33">
        <f>IF(C943="","",Commercial_Id)</f>
        <v/>
      </c>
      <c r="Q943" s="39">
        <f>IF(F943="","",IFERROR(VALUE(MID(F943,LEN(F943)-3,3)),""))</f>
        <v/>
      </c>
      <c r="R943" s="33">
        <f>IF(Q943="","",P943&amp;"|"&amp;Q943)</f>
        <v/>
      </c>
      <c r="S943" s="33">
        <f>IF(Q943="","",IF(P943="À RENSEIGNER","GIC",P943)&amp;"-"&amp;TEXT(Q943,"000"))</f>
        <v/>
      </c>
      <c r="T943" s="33">
        <f>IF(R943="","",IFERROR(INDEX(Cl_nom,MATCH(R943,Cl_cle,0)),"(client introuvable)"))</f>
        <v/>
      </c>
      <c r="U943" s="33">
        <f>IF(R943="","",IFERROR(INDEX(Cl_quartier,MATCH(R943,Cl_cle,0))&amp;"",""))</f>
        <v/>
      </c>
      <c r="V943" s="34">
        <f>IF(C943="","",YEAR(C943-WEEKDAY(C943,2)+4)&amp;"-S"&amp;TEXT(INT((C943-DATE(YEAR(C943-WEEKDAY(C943,2)+4),1,3)+WEEKDAY(DATE(YEAR(C943-WEEKDAY(C943,2)+4),1,3),2)+5)/7),"00"))</f>
        <v/>
      </c>
    </row>
    <row r="944" ht="18" customHeight="1">
      <c r="A944" s="39" t="n">
        <v>939</v>
      </c>
      <c r="B944" s="33">
        <f>IF(C944="","",IF(P944="À RENSEIGNER","GIC",P944)&amp;"-V"&amp;TEXT(A944,"00000"))</f>
        <v/>
      </c>
      <c r="C944" s="32" t="n"/>
      <c r="D944" s="35" t="n"/>
      <c r="E944" s="36" t="n"/>
      <c r="F944" s="36" t="n"/>
      <c r="G944" s="36" t="n"/>
      <c r="H944" s="36" t="n"/>
      <c r="I944" s="36" t="n"/>
      <c r="J944" s="37" t="n"/>
      <c r="K944" s="32" t="n"/>
      <c r="L944" s="36" t="n"/>
      <c r="M944" s="41" t="n"/>
      <c r="N944" s="41" t="n"/>
      <c r="O944" s="36" t="n"/>
      <c r="P944" s="33">
        <f>IF(C944="","",Commercial_Id)</f>
        <v/>
      </c>
      <c r="Q944" s="39">
        <f>IF(F944="","",IFERROR(VALUE(MID(F944,LEN(F944)-3,3)),""))</f>
        <v/>
      </c>
      <c r="R944" s="33">
        <f>IF(Q944="","",P944&amp;"|"&amp;Q944)</f>
        <v/>
      </c>
      <c r="S944" s="33">
        <f>IF(Q944="","",IF(P944="À RENSEIGNER","GIC",P944)&amp;"-"&amp;TEXT(Q944,"000"))</f>
        <v/>
      </c>
      <c r="T944" s="33">
        <f>IF(R944="","",IFERROR(INDEX(Cl_nom,MATCH(R944,Cl_cle,0)),"(client introuvable)"))</f>
        <v/>
      </c>
      <c r="U944" s="33">
        <f>IF(R944="","",IFERROR(INDEX(Cl_quartier,MATCH(R944,Cl_cle,0))&amp;"",""))</f>
        <v/>
      </c>
      <c r="V944" s="34">
        <f>IF(C944="","",YEAR(C944-WEEKDAY(C944,2)+4)&amp;"-S"&amp;TEXT(INT((C944-DATE(YEAR(C944-WEEKDAY(C944,2)+4),1,3)+WEEKDAY(DATE(YEAR(C944-WEEKDAY(C944,2)+4),1,3),2)+5)/7),"00"))</f>
        <v/>
      </c>
    </row>
    <row r="945" ht="18" customHeight="1">
      <c r="A945" s="39" t="n">
        <v>940</v>
      </c>
      <c r="B945" s="33">
        <f>IF(C945="","",IF(P945="À RENSEIGNER","GIC",P945)&amp;"-V"&amp;TEXT(A945,"00000"))</f>
        <v/>
      </c>
      <c r="C945" s="32" t="n"/>
      <c r="D945" s="35" t="n"/>
      <c r="E945" s="36" t="n"/>
      <c r="F945" s="36" t="n"/>
      <c r="G945" s="36" t="n"/>
      <c r="H945" s="36" t="n"/>
      <c r="I945" s="36" t="n"/>
      <c r="J945" s="37" t="n"/>
      <c r="K945" s="32" t="n"/>
      <c r="L945" s="36" t="n"/>
      <c r="M945" s="41" t="n"/>
      <c r="N945" s="41" t="n"/>
      <c r="O945" s="36" t="n"/>
      <c r="P945" s="33">
        <f>IF(C945="","",Commercial_Id)</f>
        <v/>
      </c>
      <c r="Q945" s="39">
        <f>IF(F945="","",IFERROR(VALUE(MID(F945,LEN(F945)-3,3)),""))</f>
        <v/>
      </c>
      <c r="R945" s="33">
        <f>IF(Q945="","",P945&amp;"|"&amp;Q945)</f>
        <v/>
      </c>
      <c r="S945" s="33">
        <f>IF(Q945="","",IF(P945="À RENSEIGNER","GIC",P945)&amp;"-"&amp;TEXT(Q945,"000"))</f>
        <v/>
      </c>
      <c r="T945" s="33">
        <f>IF(R945="","",IFERROR(INDEX(Cl_nom,MATCH(R945,Cl_cle,0)),"(client introuvable)"))</f>
        <v/>
      </c>
      <c r="U945" s="33">
        <f>IF(R945="","",IFERROR(INDEX(Cl_quartier,MATCH(R945,Cl_cle,0))&amp;"",""))</f>
        <v/>
      </c>
      <c r="V945" s="34">
        <f>IF(C945="","",YEAR(C945-WEEKDAY(C945,2)+4)&amp;"-S"&amp;TEXT(INT((C945-DATE(YEAR(C945-WEEKDAY(C945,2)+4),1,3)+WEEKDAY(DATE(YEAR(C945-WEEKDAY(C945,2)+4),1,3),2)+5)/7),"00"))</f>
        <v/>
      </c>
    </row>
    <row r="946" ht="18" customHeight="1">
      <c r="A946" s="39" t="n">
        <v>941</v>
      </c>
      <c r="B946" s="33">
        <f>IF(C946="","",IF(P946="À RENSEIGNER","GIC",P946)&amp;"-V"&amp;TEXT(A946,"00000"))</f>
        <v/>
      </c>
      <c r="C946" s="32" t="n"/>
      <c r="D946" s="35" t="n"/>
      <c r="E946" s="36" t="n"/>
      <c r="F946" s="36" t="n"/>
      <c r="G946" s="36" t="n"/>
      <c r="H946" s="36" t="n"/>
      <c r="I946" s="36" t="n"/>
      <c r="J946" s="37" t="n"/>
      <c r="K946" s="32" t="n"/>
      <c r="L946" s="36" t="n"/>
      <c r="M946" s="41" t="n"/>
      <c r="N946" s="41" t="n"/>
      <c r="O946" s="36" t="n"/>
      <c r="P946" s="33">
        <f>IF(C946="","",Commercial_Id)</f>
        <v/>
      </c>
      <c r="Q946" s="39">
        <f>IF(F946="","",IFERROR(VALUE(MID(F946,LEN(F946)-3,3)),""))</f>
        <v/>
      </c>
      <c r="R946" s="33">
        <f>IF(Q946="","",P946&amp;"|"&amp;Q946)</f>
        <v/>
      </c>
      <c r="S946" s="33">
        <f>IF(Q946="","",IF(P946="À RENSEIGNER","GIC",P946)&amp;"-"&amp;TEXT(Q946,"000"))</f>
        <v/>
      </c>
      <c r="T946" s="33">
        <f>IF(R946="","",IFERROR(INDEX(Cl_nom,MATCH(R946,Cl_cle,0)),"(client introuvable)"))</f>
        <v/>
      </c>
      <c r="U946" s="33">
        <f>IF(R946="","",IFERROR(INDEX(Cl_quartier,MATCH(R946,Cl_cle,0))&amp;"",""))</f>
        <v/>
      </c>
      <c r="V946" s="34">
        <f>IF(C946="","",YEAR(C946-WEEKDAY(C946,2)+4)&amp;"-S"&amp;TEXT(INT((C946-DATE(YEAR(C946-WEEKDAY(C946,2)+4),1,3)+WEEKDAY(DATE(YEAR(C946-WEEKDAY(C946,2)+4),1,3),2)+5)/7),"00"))</f>
        <v/>
      </c>
    </row>
    <row r="947" ht="18" customHeight="1">
      <c r="A947" s="39" t="n">
        <v>942</v>
      </c>
      <c r="B947" s="33">
        <f>IF(C947="","",IF(P947="À RENSEIGNER","GIC",P947)&amp;"-V"&amp;TEXT(A947,"00000"))</f>
        <v/>
      </c>
      <c r="C947" s="32" t="n"/>
      <c r="D947" s="35" t="n"/>
      <c r="E947" s="36" t="n"/>
      <c r="F947" s="36" t="n"/>
      <c r="G947" s="36" t="n"/>
      <c r="H947" s="36" t="n"/>
      <c r="I947" s="36" t="n"/>
      <c r="J947" s="37" t="n"/>
      <c r="K947" s="32" t="n"/>
      <c r="L947" s="36" t="n"/>
      <c r="M947" s="41" t="n"/>
      <c r="N947" s="41" t="n"/>
      <c r="O947" s="36" t="n"/>
      <c r="P947" s="33">
        <f>IF(C947="","",Commercial_Id)</f>
        <v/>
      </c>
      <c r="Q947" s="39">
        <f>IF(F947="","",IFERROR(VALUE(MID(F947,LEN(F947)-3,3)),""))</f>
        <v/>
      </c>
      <c r="R947" s="33">
        <f>IF(Q947="","",P947&amp;"|"&amp;Q947)</f>
        <v/>
      </c>
      <c r="S947" s="33">
        <f>IF(Q947="","",IF(P947="À RENSEIGNER","GIC",P947)&amp;"-"&amp;TEXT(Q947,"000"))</f>
        <v/>
      </c>
      <c r="T947" s="33">
        <f>IF(R947="","",IFERROR(INDEX(Cl_nom,MATCH(R947,Cl_cle,0)),"(client introuvable)"))</f>
        <v/>
      </c>
      <c r="U947" s="33">
        <f>IF(R947="","",IFERROR(INDEX(Cl_quartier,MATCH(R947,Cl_cle,0))&amp;"",""))</f>
        <v/>
      </c>
      <c r="V947" s="34">
        <f>IF(C947="","",YEAR(C947-WEEKDAY(C947,2)+4)&amp;"-S"&amp;TEXT(INT((C947-DATE(YEAR(C947-WEEKDAY(C947,2)+4),1,3)+WEEKDAY(DATE(YEAR(C947-WEEKDAY(C947,2)+4),1,3),2)+5)/7),"00"))</f>
        <v/>
      </c>
    </row>
    <row r="948" ht="18" customHeight="1">
      <c r="A948" s="39" t="n">
        <v>943</v>
      </c>
      <c r="B948" s="33">
        <f>IF(C948="","",IF(P948="À RENSEIGNER","GIC",P948)&amp;"-V"&amp;TEXT(A948,"00000"))</f>
        <v/>
      </c>
      <c r="C948" s="32" t="n"/>
      <c r="D948" s="35" t="n"/>
      <c r="E948" s="36" t="n"/>
      <c r="F948" s="36" t="n"/>
      <c r="G948" s="36" t="n"/>
      <c r="H948" s="36" t="n"/>
      <c r="I948" s="36" t="n"/>
      <c r="J948" s="37" t="n"/>
      <c r="K948" s="32" t="n"/>
      <c r="L948" s="36" t="n"/>
      <c r="M948" s="41" t="n"/>
      <c r="N948" s="41" t="n"/>
      <c r="O948" s="36" t="n"/>
      <c r="P948" s="33">
        <f>IF(C948="","",Commercial_Id)</f>
        <v/>
      </c>
      <c r="Q948" s="39">
        <f>IF(F948="","",IFERROR(VALUE(MID(F948,LEN(F948)-3,3)),""))</f>
        <v/>
      </c>
      <c r="R948" s="33">
        <f>IF(Q948="","",P948&amp;"|"&amp;Q948)</f>
        <v/>
      </c>
      <c r="S948" s="33">
        <f>IF(Q948="","",IF(P948="À RENSEIGNER","GIC",P948)&amp;"-"&amp;TEXT(Q948,"000"))</f>
        <v/>
      </c>
      <c r="T948" s="33">
        <f>IF(R948="","",IFERROR(INDEX(Cl_nom,MATCH(R948,Cl_cle,0)),"(client introuvable)"))</f>
        <v/>
      </c>
      <c r="U948" s="33">
        <f>IF(R948="","",IFERROR(INDEX(Cl_quartier,MATCH(R948,Cl_cle,0))&amp;"",""))</f>
        <v/>
      </c>
      <c r="V948" s="34">
        <f>IF(C948="","",YEAR(C948-WEEKDAY(C948,2)+4)&amp;"-S"&amp;TEXT(INT((C948-DATE(YEAR(C948-WEEKDAY(C948,2)+4),1,3)+WEEKDAY(DATE(YEAR(C948-WEEKDAY(C948,2)+4),1,3),2)+5)/7),"00"))</f>
        <v/>
      </c>
    </row>
    <row r="949" ht="18" customHeight="1">
      <c r="A949" s="39" t="n">
        <v>944</v>
      </c>
      <c r="B949" s="33">
        <f>IF(C949="","",IF(P949="À RENSEIGNER","GIC",P949)&amp;"-V"&amp;TEXT(A949,"00000"))</f>
        <v/>
      </c>
      <c r="C949" s="32" t="n"/>
      <c r="D949" s="35" t="n"/>
      <c r="E949" s="36" t="n"/>
      <c r="F949" s="36" t="n"/>
      <c r="G949" s="36" t="n"/>
      <c r="H949" s="36" t="n"/>
      <c r="I949" s="36" t="n"/>
      <c r="J949" s="37" t="n"/>
      <c r="K949" s="32" t="n"/>
      <c r="L949" s="36" t="n"/>
      <c r="M949" s="41" t="n"/>
      <c r="N949" s="41" t="n"/>
      <c r="O949" s="36" t="n"/>
      <c r="P949" s="33">
        <f>IF(C949="","",Commercial_Id)</f>
        <v/>
      </c>
      <c r="Q949" s="39">
        <f>IF(F949="","",IFERROR(VALUE(MID(F949,LEN(F949)-3,3)),""))</f>
        <v/>
      </c>
      <c r="R949" s="33">
        <f>IF(Q949="","",P949&amp;"|"&amp;Q949)</f>
        <v/>
      </c>
      <c r="S949" s="33">
        <f>IF(Q949="","",IF(P949="À RENSEIGNER","GIC",P949)&amp;"-"&amp;TEXT(Q949,"000"))</f>
        <v/>
      </c>
      <c r="T949" s="33">
        <f>IF(R949="","",IFERROR(INDEX(Cl_nom,MATCH(R949,Cl_cle,0)),"(client introuvable)"))</f>
        <v/>
      </c>
      <c r="U949" s="33">
        <f>IF(R949="","",IFERROR(INDEX(Cl_quartier,MATCH(R949,Cl_cle,0))&amp;"",""))</f>
        <v/>
      </c>
      <c r="V949" s="34">
        <f>IF(C949="","",YEAR(C949-WEEKDAY(C949,2)+4)&amp;"-S"&amp;TEXT(INT((C949-DATE(YEAR(C949-WEEKDAY(C949,2)+4),1,3)+WEEKDAY(DATE(YEAR(C949-WEEKDAY(C949,2)+4),1,3),2)+5)/7),"00"))</f>
        <v/>
      </c>
    </row>
    <row r="950" ht="18" customHeight="1">
      <c r="A950" s="39" t="n">
        <v>945</v>
      </c>
      <c r="B950" s="33">
        <f>IF(C950="","",IF(P950="À RENSEIGNER","GIC",P950)&amp;"-V"&amp;TEXT(A950,"00000"))</f>
        <v/>
      </c>
      <c r="C950" s="32" t="n"/>
      <c r="D950" s="35" t="n"/>
      <c r="E950" s="36" t="n"/>
      <c r="F950" s="36" t="n"/>
      <c r="G950" s="36" t="n"/>
      <c r="H950" s="36" t="n"/>
      <c r="I950" s="36" t="n"/>
      <c r="J950" s="37" t="n"/>
      <c r="K950" s="32" t="n"/>
      <c r="L950" s="36" t="n"/>
      <c r="M950" s="41" t="n"/>
      <c r="N950" s="41" t="n"/>
      <c r="O950" s="36" t="n"/>
      <c r="P950" s="33">
        <f>IF(C950="","",Commercial_Id)</f>
        <v/>
      </c>
      <c r="Q950" s="39">
        <f>IF(F950="","",IFERROR(VALUE(MID(F950,LEN(F950)-3,3)),""))</f>
        <v/>
      </c>
      <c r="R950" s="33">
        <f>IF(Q950="","",P950&amp;"|"&amp;Q950)</f>
        <v/>
      </c>
      <c r="S950" s="33">
        <f>IF(Q950="","",IF(P950="À RENSEIGNER","GIC",P950)&amp;"-"&amp;TEXT(Q950,"000"))</f>
        <v/>
      </c>
      <c r="T950" s="33">
        <f>IF(R950="","",IFERROR(INDEX(Cl_nom,MATCH(R950,Cl_cle,0)),"(client introuvable)"))</f>
        <v/>
      </c>
      <c r="U950" s="33">
        <f>IF(R950="","",IFERROR(INDEX(Cl_quartier,MATCH(R950,Cl_cle,0))&amp;"",""))</f>
        <v/>
      </c>
      <c r="V950" s="34">
        <f>IF(C950="","",YEAR(C950-WEEKDAY(C950,2)+4)&amp;"-S"&amp;TEXT(INT((C950-DATE(YEAR(C950-WEEKDAY(C950,2)+4),1,3)+WEEKDAY(DATE(YEAR(C950-WEEKDAY(C950,2)+4),1,3),2)+5)/7),"00"))</f>
        <v/>
      </c>
    </row>
    <row r="951" ht="18" customHeight="1">
      <c r="A951" s="39" t="n">
        <v>946</v>
      </c>
      <c r="B951" s="33">
        <f>IF(C951="","",IF(P951="À RENSEIGNER","GIC",P951)&amp;"-V"&amp;TEXT(A951,"00000"))</f>
        <v/>
      </c>
      <c r="C951" s="32" t="n"/>
      <c r="D951" s="35" t="n"/>
      <c r="E951" s="36" t="n"/>
      <c r="F951" s="36" t="n"/>
      <c r="G951" s="36" t="n"/>
      <c r="H951" s="36" t="n"/>
      <c r="I951" s="36" t="n"/>
      <c r="J951" s="37" t="n"/>
      <c r="K951" s="32" t="n"/>
      <c r="L951" s="36" t="n"/>
      <c r="M951" s="41" t="n"/>
      <c r="N951" s="41" t="n"/>
      <c r="O951" s="36" t="n"/>
      <c r="P951" s="33">
        <f>IF(C951="","",Commercial_Id)</f>
        <v/>
      </c>
      <c r="Q951" s="39">
        <f>IF(F951="","",IFERROR(VALUE(MID(F951,LEN(F951)-3,3)),""))</f>
        <v/>
      </c>
      <c r="R951" s="33">
        <f>IF(Q951="","",P951&amp;"|"&amp;Q951)</f>
        <v/>
      </c>
      <c r="S951" s="33">
        <f>IF(Q951="","",IF(P951="À RENSEIGNER","GIC",P951)&amp;"-"&amp;TEXT(Q951,"000"))</f>
        <v/>
      </c>
      <c r="T951" s="33">
        <f>IF(R951="","",IFERROR(INDEX(Cl_nom,MATCH(R951,Cl_cle,0)),"(client introuvable)"))</f>
        <v/>
      </c>
      <c r="U951" s="33">
        <f>IF(R951="","",IFERROR(INDEX(Cl_quartier,MATCH(R951,Cl_cle,0))&amp;"",""))</f>
        <v/>
      </c>
      <c r="V951" s="34">
        <f>IF(C951="","",YEAR(C951-WEEKDAY(C951,2)+4)&amp;"-S"&amp;TEXT(INT((C951-DATE(YEAR(C951-WEEKDAY(C951,2)+4),1,3)+WEEKDAY(DATE(YEAR(C951-WEEKDAY(C951,2)+4),1,3),2)+5)/7),"00"))</f>
        <v/>
      </c>
    </row>
    <row r="952" ht="18" customHeight="1">
      <c r="A952" s="39" t="n">
        <v>947</v>
      </c>
      <c r="B952" s="33">
        <f>IF(C952="","",IF(P952="À RENSEIGNER","GIC",P952)&amp;"-V"&amp;TEXT(A952,"00000"))</f>
        <v/>
      </c>
      <c r="C952" s="32" t="n"/>
      <c r="D952" s="35" t="n"/>
      <c r="E952" s="36" t="n"/>
      <c r="F952" s="36" t="n"/>
      <c r="G952" s="36" t="n"/>
      <c r="H952" s="36" t="n"/>
      <c r="I952" s="36" t="n"/>
      <c r="J952" s="37" t="n"/>
      <c r="K952" s="32" t="n"/>
      <c r="L952" s="36" t="n"/>
      <c r="M952" s="41" t="n"/>
      <c r="N952" s="41" t="n"/>
      <c r="O952" s="36" t="n"/>
      <c r="P952" s="33">
        <f>IF(C952="","",Commercial_Id)</f>
        <v/>
      </c>
      <c r="Q952" s="39">
        <f>IF(F952="","",IFERROR(VALUE(MID(F952,LEN(F952)-3,3)),""))</f>
        <v/>
      </c>
      <c r="R952" s="33">
        <f>IF(Q952="","",P952&amp;"|"&amp;Q952)</f>
        <v/>
      </c>
      <c r="S952" s="33">
        <f>IF(Q952="","",IF(P952="À RENSEIGNER","GIC",P952)&amp;"-"&amp;TEXT(Q952,"000"))</f>
        <v/>
      </c>
      <c r="T952" s="33">
        <f>IF(R952="","",IFERROR(INDEX(Cl_nom,MATCH(R952,Cl_cle,0)),"(client introuvable)"))</f>
        <v/>
      </c>
      <c r="U952" s="33">
        <f>IF(R952="","",IFERROR(INDEX(Cl_quartier,MATCH(R952,Cl_cle,0))&amp;"",""))</f>
        <v/>
      </c>
      <c r="V952" s="34">
        <f>IF(C952="","",YEAR(C952-WEEKDAY(C952,2)+4)&amp;"-S"&amp;TEXT(INT((C952-DATE(YEAR(C952-WEEKDAY(C952,2)+4),1,3)+WEEKDAY(DATE(YEAR(C952-WEEKDAY(C952,2)+4),1,3),2)+5)/7),"00"))</f>
        <v/>
      </c>
    </row>
    <row r="953" ht="18" customHeight="1">
      <c r="A953" s="39" t="n">
        <v>948</v>
      </c>
      <c r="B953" s="33">
        <f>IF(C953="","",IF(P953="À RENSEIGNER","GIC",P953)&amp;"-V"&amp;TEXT(A953,"00000"))</f>
        <v/>
      </c>
      <c r="C953" s="32" t="n"/>
      <c r="D953" s="35" t="n"/>
      <c r="E953" s="36" t="n"/>
      <c r="F953" s="36" t="n"/>
      <c r="G953" s="36" t="n"/>
      <c r="H953" s="36" t="n"/>
      <c r="I953" s="36" t="n"/>
      <c r="J953" s="37" t="n"/>
      <c r="K953" s="32" t="n"/>
      <c r="L953" s="36" t="n"/>
      <c r="M953" s="41" t="n"/>
      <c r="N953" s="41" t="n"/>
      <c r="O953" s="36" t="n"/>
      <c r="P953" s="33">
        <f>IF(C953="","",Commercial_Id)</f>
        <v/>
      </c>
      <c r="Q953" s="39">
        <f>IF(F953="","",IFERROR(VALUE(MID(F953,LEN(F953)-3,3)),""))</f>
        <v/>
      </c>
      <c r="R953" s="33">
        <f>IF(Q953="","",P953&amp;"|"&amp;Q953)</f>
        <v/>
      </c>
      <c r="S953" s="33">
        <f>IF(Q953="","",IF(P953="À RENSEIGNER","GIC",P953)&amp;"-"&amp;TEXT(Q953,"000"))</f>
        <v/>
      </c>
      <c r="T953" s="33">
        <f>IF(R953="","",IFERROR(INDEX(Cl_nom,MATCH(R953,Cl_cle,0)),"(client introuvable)"))</f>
        <v/>
      </c>
      <c r="U953" s="33">
        <f>IF(R953="","",IFERROR(INDEX(Cl_quartier,MATCH(R953,Cl_cle,0))&amp;"",""))</f>
        <v/>
      </c>
      <c r="V953" s="34">
        <f>IF(C953="","",YEAR(C953-WEEKDAY(C953,2)+4)&amp;"-S"&amp;TEXT(INT((C953-DATE(YEAR(C953-WEEKDAY(C953,2)+4),1,3)+WEEKDAY(DATE(YEAR(C953-WEEKDAY(C953,2)+4),1,3),2)+5)/7),"00"))</f>
        <v/>
      </c>
    </row>
    <row r="954" ht="18" customHeight="1">
      <c r="A954" s="39" t="n">
        <v>949</v>
      </c>
      <c r="B954" s="33">
        <f>IF(C954="","",IF(P954="À RENSEIGNER","GIC",P954)&amp;"-V"&amp;TEXT(A954,"00000"))</f>
        <v/>
      </c>
      <c r="C954" s="32" t="n"/>
      <c r="D954" s="35" t="n"/>
      <c r="E954" s="36" t="n"/>
      <c r="F954" s="36" t="n"/>
      <c r="G954" s="36" t="n"/>
      <c r="H954" s="36" t="n"/>
      <c r="I954" s="36" t="n"/>
      <c r="J954" s="37" t="n"/>
      <c r="K954" s="32" t="n"/>
      <c r="L954" s="36" t="n"/>
      <c r="M954" s="41" t="n"/>
      <c r="N954" s="41" t="n"/>
      <c r="O954" s="36" t="n"/>
      <c r="P954" s="33">
        <f>IF(C954="","",Commercial_Id)</f>
        <v/>
      </c>
      <c r="Q954" s="39">
        <f>IF(F954="","",IFERROR(VALUE(MID(F954,LEN(F954)-3,3)),""))</f>
        <v/>
      </c>
      <c r="R954" s="33">
        <f>IF(Q954="","",P954&amp;"|"&amp;Q954)</f>
        <v/>
      </c>
      <c r="S954" s="33">
        <f>IF(Q954="","",IF(P954="À RENSEIGNER","GIC",P954)&amp;"-"&amp;TEXT(Q954,"000"))</f>
        <v/>
      </c>
      <c r="T954" s="33">
        <f>IF(R954="","",IFERROR(INDEX(Cl_nom,MATCH(R954,Cl_cle,0)),"(client introuvable)"))</f>
        <v/>
      </c>
      <c r="U954" s="33">
        <f>IF(R954="","",IFERROR(INDEX(Cl_quartier,MATCH(R954,Cl_cle,0))&amp;"",""))</f>
        <v/>
      </c>
      <c r="V954" s="34">
        <f>IF(C954="","",YEAR(C954-WEEKDAY(C954,2)+4)&amp;"-S"&amp;TEXT(INT((C954-DATE(YEAR(C954-WEEKDAY(C954,2)+4),1,3)+WEEKDAY(DATE(YEAR(C954-WEEKDAY(C954,2)+4),1,3),2)+5)/7),"00"))</f>
        <v/>
      </c>
    </row>
    <row r="955" ht="18" customHeight="1">
      <c r="A955" s="39" t="n">
        <v>950</v>
      </c>
      <c r="B955" s="33">
        <f>IF(C955="","",IF(P955="À RENSEIGNER","GIC",P955)&amp;"-V"&amp;TEXT(A955,"00000"))</f>
        <v/>
      </c>
      <c r="C955" s="32" t="n"/>
      <c r="D955" s="35" t="n"/>
      <c r="E955" s="36" t="n"/>
      <c r="F955" s="36" t="n"/>
      <c r="G955" s="36" t="n"/>
      <c r="H955" s="36" t="n"/>
      <c r="I955" s="36" t="n"/>
      <c r="J955" s="37" t="n"/>
      <c r="K955" s="32" t="n"/>
      <c r="L955" s="36" t="n"/>
      <c r="M955" s="41" t="n"/>
      <c r="N955" s="41" t="n"/>
      <c r="O955" s="36" t="n"/>
      <c r="P955" s="33">
        <f>IF(C955="","",Commercial_Id)</f>
        <v/>
      </c>
      <c r="Q955" s="39">
        <f>IF(F955="","",IFERROR(VALUE(MID(F955,LEN(F955)-3,3)),""))</f>
        <v/>
      </c>
      <c r="R955" s="33">
        <f>IF(Q955="","",P955&amp;"|"&amp;Q955)</f>
        <v/>
      </c>
      <c r="S955" s="33">
        <f>IF(Q955="","",IF(P955="À RENSEIGNER","GIC",P955)&amp;"-"&amp;TEXT(Q955,"000"))</f>
        <v/>
      </c>
      <c r="T955" s="33">
        <f>IF(R955="","",IFERROR(INDEX(Cl_nom,MATCH(R955,Cl_cle,0)),"(client introuvable)"))</f>
        <v/>
      </c>
      <c r="U955" s="33">
        <f>IF(R955="","",IFERROR(INDEX(Cl_quartier,MATCH(R955,Cl_cle,0))&amp;"",""))</f>
        <v/>
      </c>
      <c r="V955" s="34">
        <f>IF(C955="","",YEAR(C955-WEEKDAY(C955,2)+4)&amp;"-S"&amp;TEXT(INT((C955-DATE(YEAR(C955-WEEKDAY(C955,2)+4),1,3)+WEEKDAY(DATE(YEAR(C955-WEEKDAY(C955,2)+4),1,3),2)+5)/7),"00"))</f>
        <v/>
      </c>
    </row>
    <row r="956" ht="18" customHeight="1">
      <c r="A956" s="39" t="n">
        <v>951</v>
      </c>
      <c r="B956" s="33">
        <f>IF(C956="","",IF(P956="À RENSEIGNER","GIC",P956)&amp;"-V"&amp;TEXT(A956,"00000"))</f>
        <v/>
      </c>
      <c r="C956" s="32" t="n"/>
      <c r="D956" s="35" t="n"/>
      <c r="E956" s="36" t="n"/>
      <c r="F956" s="36" t="n"/>
      <c r="G956" s="36" t="n"/>
      <c r="H956" s="36" t="n"/>
      <c r="I956" s="36" t="n"/>
      <c r="J956" s="37" t="n"/>
      <c r="K956" s="32" t="n"/>
      <c r="L956" s="36" t="n"/>
      <c r="M956" s="41" t="n"/>
      <c r="N956" s="41" t="n"/>
      <c r="O956" s="36" t="n"/>
      <c r="P956" s="33">
        <f>IF(C956="","",Commercial_Id)</f>
        <v/>
      </c>
      <c r="Q956" s="39">
        <f>IF(F956="","",IFERROR(VALUE(MID(F956,LEN(F956)-3,3)),""))</f>
        <v/>
      </c>
      <c r="R956" s="33">
        <f>IF(Q956="","",P956&amp;"|"&amp;Q956)</f>
        <v/>
      </c>
      <c r="S956" s="33">
        <f>IF(Q956="","",IF(P956="À RENSEIGNER","GIC",P956)&amp;"-"&amp;TEXT(Q956,"000"))</f>
        <v/>
      </c>
      <c r="T956" s="33">
        <f>IF(R956="","",IFERROR(INDEX(Cl_nom,MATCH(R956,Cl_cle,0)),"(client introuvable)"))</f>
        <v/>
      </c>
      <c r="U956" s="33">
        <f>IF(R956="","",IFERROR(INDEX(Cl_quartier,MATCH(R956,Cl_cle,0))&amp;"",""))</f>
        <v/>
      </c>
      <c r="V956" s="34">
        <f>IF(C956="","",YEAR(C956-WEEKDAY(C956,2)+4)&amp;"-S"&amp;TEXT(INT((C956-DATE(YEAR(C956-WEEKDAY(C956,2)+4),1,3)+WEEKDAY(DATE(YEAR(C956-WEEKDAY(C956,2)+4),1,3),2)+5)/7),"00"))</f>
        <v/>
      </c>
    </row>
    <row r="957" ht="18" customHeight="1">
      <c r="A957" s="39" t="n">
        <v>952</v>
      </c>
      <c r="B957" s="33">
        <f>IF(C957="","",IF(P957="À RENSEIGNER","GIC",P957)&amp;"-V"&amp;TEXT(A957,"00000"))</f>
        <v/>
      </c>
      <c r="C957" s="32" t="n"/>
      <c r="D957" s="35" t="n"/>
      <c r="E957" s="36" t="n"/>
      <c r="F957" s="36" t="n"/>
      <c r="G957" s="36" t="n"/>
      <c r="H957" s="36" t="n"/>
      <c r="I957" s="36" t="n"/>
      <c r="J957" s="37" t="n"/>
      <c r="K957" s="32" t="n"/>
      <c r="L957" s="36" t="n"/>
      <c r="M957" s="41" t="n"/>
      <c r="N957" s="41" t="n"/>
      <c r="O957" s="36" t="n"/>
      <c r="P957" s="33">
        <f>IF(C957="","",Commercial_Id)</f>
        <v/>
      </c>
      <c r="Q957" s="39">
        <f>IF(F957="","",IFERROR(VALUE(MID(F957,LEN(F957)-3,3)),""))</f>
        <v/>
      </c>
      <c r="R957" s="33">
        <f>IF(Q957="","",P957&amp;"|"&amp;Q957)</f>
        <v/>
      </c>
      <c r="S957" s="33">
        <f>IF(Q957="","",IF(P957="À RENSEIGNER","GIC",P957)&amp;"-"&amp;TEXT(Q957,"000"))</f>
        <v/>
      </c>
      <c r="T957" s="33">
        <f>IF(R957="","",IFERROR(INDEX(Cl_nom,MATCH(R957,Cl_cle,0)),"(client introuvable)"))</f>
        <v/>
      </c>
      <c r="U957" s="33">
        <f>IF(R957="","",IFERROR(INDEX(Cl_quartier,MATCH(R957,Cl_cle,0))&amp;"",""))</f>
        <v/>
      </c>
      <c r="V957" s="34">
        <f>IF(C957="","",YEAR(C957-WEEKDAY(C957,2)+4)&amp;"-S"&amp;TEXT(INT((C957-DATE(YEAR(C957-WEEKDAY(C957,2)+4),1,3)+WEEKDAY(DATE(YEAR(C957-WEEKDAY(C957,2)+4),1,3),2)+5)/7),"00"))</f>
        <v/>
      </c>
    </row>
    <row r="958" ht="18" customHeight="1">
      <c r="A958" s="39" t="n">
        <v>953</v>
      </c>
      <c r="B958" s="33">
        <f>IF(C958="","",IF(P958="À RENSEIGNER","GIC",P958)&amp;"-V"&amp;TEXT(A958,"00000"))</f>
        <v/>
      </c>
      <c r="C958" s="32" t="n"/>
      <c r="D958" s="35" t="n"/>
      <c r="E958" s="36" t="n"/>
      <c r="F958" s="36" t="n"/>
      <c r="G958" s="36" t="n"/>
      <c r="H958" s="36" t="n"/>
      <c r="I958" s="36" t="n"/>
      <c r="J958" s="37" t="n"/>
      <c r="K958" s="32" t="n"/>
      <c r="L958" s="36" t="n"/>
      <c r="M958" s="41" t="n"/>
      <c r="N958" s="41" t="n"/>
      <c r="O958" s="36" t="n"/>
      <c r="P958" s="33">
        <f>IF(C958="","",Commercial_Id)</f>
        <v/>
      </c>
      <c r="Q958" s="39">
        <f>IF(F958="","",IFERROR(VALUE(MID(F958,LEN(F958)-3,3)),""))</f>
        <v/>
      </c>
      <c r="R958" s="33">
        <f>IF(Q958="","",P958&amp;"|"&amp;Q958)</f>
        <v/>
      </c>
      <c r="S958" s="33">
        <f>IF(Q958="","",IF(P958="À RENSEIGNER","GIC",P958)&amp;"-"&amp;TEXT(Q958,"000"))</f>
        <v/>
      </c>
      <c r="T958" s="33">
        <f>IF(R958="","",IFERROR(INDEX(Cl_nom,MATCH(R958,Cl_cle,0)),"(client introuvable)"))</f>
        <v/>
      </c>
      <c r="U958" s="33">
        <f>IF(R958="","",IFERROR(INDEX(Cl_quartier,MATCH(R958,Cl_cle,0))&amp;"",""))</f>
        <v/>
      </c>
      <c r="V958" s="34">
        <f>IF(C958="","",YEAR(C958-WEEKDAY(C958,2)+4)&amp;"-S"&amp;TEXT(INT((C958-DATE(YEAR(C958-WEEKDAY(C958,2)+4),1,3)+WEEKDAY(DATE(YEAR(C958-WEEKDAY(C958,2)+4),1,3),2)+5)/7),"00"))</f>
        <v/>
      </c>
    </row>
    <row r="959" ht="18" customHeight="1">
      <c r="A959" s="39" t="n">
        <v>954</v>
      </c>
      <c r="B959" s="33">
        <f>IF(C959="","",IF(P959="À RENSEIGNER","GIC",P959)&amp;"-V"&amp;TEXT(A959,"00000"))</f>
        <v/>
      </c>
      <c r="C959" s="32" t="n"/>
      <c r="D959" s="35" t="n"/>
      <c r="E959" s="36" t="n"/>
      <c r="F959" s="36" t="n"/>
      <c r="G959" s="36" t="n"/>
      <c r="H959" s="36" t="n"/>
      <c r="I959" s="36" t="n"/>
      <c r="J959" s="37" t="n"/>
      <c r="K959" s="32" t="n"/>
      <c r="L959" s="36" t="n"/>
      <c r="M959" s="41" t="n"/>
      <c r="N959" s="41" t="n"/>
      <c r="O959" s="36" t="n"/>
      <c r="P959" s="33">
        <f>IF(C959="","",Commercial_Id)</f>
        <v/>
      </c>
      <c r="Q959" s="39">
        <f>IF(F959="","",IFERROR(VALUE(MID(F959,LEN(F959)-3,3)),""))</f>
        <v/>
      </c>
      <c r="R959" s="33">
        <f>IF(Q959="","",P959&amp;"|"&amp;Q959)</f>
        <v/>
      </c>
      <c r="S959" s="33">
        <f>IF(Q959="","",IF(P959="À RENSEIGNER","GIC",P959)&amp;"-"&amp;TEXT(Q959,"000"))</f>
        <v/>
      </c>
      <c r="T959" s="33">
        <f>IF(R959="","",IFERROR(INDEX(Cl_nom,MATCH(R959,Cl_cle,0)),"(client introuvable)"))</f>
        <v/>
      </c>
      <c r="U959" s="33">
        <f>IF(R959="","",IFERROR(INDEX(Cl_quartier,MATCH(R959,Cl_cle,0))&amp;"",""))</f>
        <v/>
      </c>
      <c r="V959" s="34">
        <f>IF(C959="","",YEAR(C959-WEEKDAY(C959,2)+4)&amp;"-S"&amp;TEXT(INT((C959-DATE(YEAR(C959-WEEKDAY(C959,2)+4),1,3)+WEEKDAY(DATE(YEAR(C959-WEEKDAY(C959,2)+4),1,3),2)+5)/7),"00"))</f>
        <v/>
      </c>
    </row>
    <row r="960" ht="18" customHeight="1">
      <c r="A960" s="39" t="n">
        <v>955</v>
      </c>
      <c r="B960" s="33">
        <f>IF(C960="","",IF(P960="À RENSEIGNER","GIC",P960)&amp;"-V"&amp;TEXT(A960,"00000"))</f>
        <v/>
      </c>
      <c r="C960" s="32" t="n"/>
      <c r="D960" s="35" t="n"/>
      <c r="E960" s="36" t="n"/>
      <c r="F960" s="36" t="n"/>
      <c r="G960" s="36" t="n"/>
      <c r="H960" s="36" t="n"/>
      <c r="I960" s="36" t="n"/>
      <c r="J960" s="37" t="n"/>
      <c r="K960" s="32" t="n"/>
      <c r="L960" s="36" t="n"/>
      <c r="M960" s="41" t="n"/>
      <c r="N960" s="41" t="n"/>
      <c r="O960" s="36" t="n"/>
      <c r="P960" s="33">
        <f>IF(C960="","",Commercial_Id)</f>
        <v/>
      </c>
      <c r="Q960" s="39">
        <f>IF(F960="","",IFERROR(VALUE(MID(F960,LEN(F960)-3,3)),""))</f>
        <v/>
      </c>
      <c r="R960" s="33">
        <f>IF(Q960="","",P960&amp;"|"&amp;Q960)</f>
        <v/>
      </c>
      <c r="S960" s="33">
        <f>IF(Q960="","",IF(P960="À RENSEIGNER","GIC",P960)&amp;"-"&amp;TEXT(Q960,"000"))</f>
        <v/>
      </c>
      <c r="T960" s="33">
        <f>IF(R960="","",IFERROR(INDEX(Cl_nom,MATCH(R960,Cl_cle,0)),"(client introuvable)"))</f>
        <v/>
      </c>
      <c r="U960" s="33">
        <f>IF(R960="","",IFERROR(INDEX(Cl_quartier,MATCH(R960,Cl_cle,0))&amp;"",""))</f>
        <v/>
      </c>
      <c r="V960" s="34">
        <f>IF(C960="","",YEAR(C960-WEEKDAY(C960,2)+4)&amp;"-S"&amp;TEXT(INT((C960-DATE(YEAR(C960-WEEKDAY(C960,2)+4),1,3)+WEEKDAY(DATE(YEAR(C960-WEEKDAY(C960,2)+4),1,3),2)+5)/7),"00"))</f>
        <v/>
      </c>
    </row>
    <row r="961" ht="18" customHeight="1">
      <c r="A961" s="39" t="n">
        <v>956</v>
      </c>
      <c r="B961" s="33">
        <f>IF(C961="","",IF(P961="À RENSEIGNER","GIC",P961)&amp;"-V"&amp;TEXT(A961,"00000"))</f>
        <v/>
      </c>
      <c r="C961" s="32" t="n"/>
      <c r="D961" s="35" t="n"/>
      <c r="E961" s="36" t="n"/>
      <c r="F961" s="36" t="n"/>
      <c r="G961" s="36" t="n"/>
      <c r="H961" s="36" t="n"/>
      <c r="I961" s="36" t="n"/>
      <c r="J961" s="37" t="n"/>
      <c r="K961" s="32" t="n"/>
      <c r="L961" s="36" t="n"/>
      <c r="M961" s="41" t="n"/>
      <c r="N961" s="41" t="n"/>
      <c r="O961" s="36" t="n"/>
      <c r="P961" s="33">
        <f>IF(C961="","",Commercial_Id)</f>
        <v/>
      </c>
      <c r="Q961" s="39">
        <f>IF(F961="","",IFERROR(VALUE(MID(F961,LEN(F961)-3,3)),""))</f>
        <v/>
      </c>
      <c r="R961" s="33">
        <f>IF(Q961="","",P961&amp;"|"&amp;Q961)</f>
        <v/>
      </c>
      <c r="S961" s="33">
        <f>IF(Q961="","",IF(P961="À RENSEIGNER","GIC",P961)&amp;"-"&amp;TEXT(Q961,"000"))</f>
        <v/>
      </c>
      <c r="T961" s="33">
        <f>IF(R961="","",IFERROR(INDEX(Cl_nom,MATCH(R961,Cl_cle,0)),"(client introuvable)"))</f>
        <v/>
      </c>
      <c r="U961" s="33">
        <f>IF(R961="","",IFERROR(INDEX(Cl_quartier,MATCH(R961,Cl_cle,0))&amp;"",""))</f>
        <v/>
      </c>
      <c r="V961" s="34">
        <f>IF(C961="","",YEAR(C961-WEEKDAY(C961,2)+4)&amp;"-S"&amp;TEXT(INT((C961-DATE(YEAR(C961-WEEKDAY(C961,2)+4),1,3)+WEEKDAY(DATE(YEAR(C961-WEEKDAY(C961,2)+4),1,3),2)+5)/7),"00"))</f>
        <v/>
      </c>
    </row>
    <row r="962" ht="18" customHeight="1">
      <c r="A962" s="39" t="n">
        <v>957</v>
      </c>
      <c r="B962" s="33">
        <f>IF(C962="","",IF(P962="À RENSEIGNER","GIC",P962)&amp;"-V"&amp;TEXT(A962,"00000"))</f>
        <v/>
      </c>
      <c r="C962" s="32" t="n"/>
      <c r="D962" s="35" t="n"/>
      <c r="E962" s="36" t="n"/>
      <c r="F962" s="36" t="n"/>
      <c r="G962" s="36" t="n"/>
      <c r="H962" s="36" t="n"/>
      <c r="I962" s="36" t="n"/>
      <c r="J962" s="37" t="n"/>
      <c r="K962" s="32" t="n"/>
      <c r="L962" s="36" t="n"/>
      <c r="M962" s="41" t="n"/>
      <c r="N962" s="41" t="n"/>
      <c r="O962" s="36" t="n"/>
      <c r="P962" s="33">
        <f>IF(C962="","",Commercial_Id)</f>
        <v/>
      </c>
      <c r="Q962" s="39">
        <f>IF(F962="","",IFERROR(VALUE(MID(F962,LEN(F962)-3,3)),""))</f>
        <v/>
      </c>
      <c r="R962" s="33">
        <f>IF(Q962="","",P962&amp;"|"&amp;Q962)</f>
        <v/>
      </c>
      <c r="S962" s="33">
        <f>IF(Q962="","",IF(P962="À RENSEIGNER","GIC",P962)&amp;"-"&amp;TEXT(Q962,"000"))</f>
        <v/>
      </c>
      <c r="T962" s="33">
        <f>IF(R962="","",IFERROR(INDEX(Cl_nom,MATCH(R962,Cl_cle,0)),"(client introuvable)"))</f>
        <v/>
      </c>
      <c r="U962" s="33">
        <f>IF(R962="","",IFERROR(INDEX(Cl_quartier,MATCH(R962,Cl_cle,0))&amp;"",""))</f>
        <v/>
      </c>
      <c r="V962" s="34">
        <f>IF(C962="","",YEAR(C962-WEEKDAY(C962,2)+4)&amp;"-S"&amp;TEXT(INT((C962-DATE(YEAR(C962-WEEKDAY(C962,2)+4),1,3)+WEEKDAY(DATE(YEAR(C962-WEEKDAY(C962,2)+4),1,3),2)+5)/7),"00"))</f>
        <v/>
      </c>
    </row>
    <row r="963" ht="18" customHeight="1">
      <c r="A963" s="39" t="n">
        <v>958</v>
      </c>
      <c r="B963" s="33">
        <f>IF(C963="","",IF(P963="À RENSEIGNER","GIC",P963)&amp;"-V"&amp;TEXT(A963,"00000"))</f>
        <v/>
      </c>
      <c r="C963" s="32" t="n"/>
      <c r="D963" s="35" t="n"/>
      <c r="E963" s="36" t="n"/>
      <c r="F963" s="36" t="n"/>
      <c r="G963" s="36" t="n"/>
      <c r="H963" s="36" t="n"/>
      <c r="I963" s="36" t="n"/>
      <c r="J963" s="37" t="n"/>
      <c r="K963" s="32" t="n"/>
      <c r="L963" s="36" t="n"/>
      <c r="M963" s="41" t="n"/>
      <c r="N963" s="41" t="n"/>
      <c r="O963" s="36" t="n"/>
      <c r="P963" s="33">
        <f>IF(C963="","",Commercial_Id)</f>
        <v/>
      </c>
      <c r="Q963" s="39">
        <f>IF(F963="","",IFERROR(VALUE(MID(F963,LEN(F963)-3,3)),""))</f>
        <v/>
      </c>
      <c r="R963" s="33">
        <f>IF(Q963="","",P963&amp;"|"&amp;Q963)</f>
        <v/>
      </c>
      <c r="S963" s="33">
        <f>IF(Q963="","",IF(P963="À RENSEIGNER","GIC",P963)&amp;"-"&amp;TEXT(Q963,"000"))</f>
        <v/>
      </c>
      <c r="T963" s="33">
        <f>IF(R963="","",IFERROR(INDEX(Cl_nom,MATCH(R963,Cl_cle,0)),"(client introuvable)"))</f>
        <v/>
      </c>
      <c r="U963" s="33">
        <f>IF(R963="","",IFERROR(INDEX(Cl_quartier,MATCH(R963,Cl_cle,0))&amp;"",""))</f>
        <v/>
      </c>
      <c r="V963" s="34">
        <f>IF(C963="","",YEAR(C963-WEEKDAY(C963,2)+4)&amp;"-S"&amp;TEXT(INT((C963-DATE(YEAR(C963-WEEKDAY(C963,2)+4),1,3)+WEEKDAY(DATE(YEAR(C963-WEEKDAY(C963,2)+4),1,3),2)+5)/7),"00"))</f>
        <v/>
      </c>
    </row>
    <row r="964" ht="18" customHeight="1">
      <c r="A964" s="39" t="n">
        <v>959</v>
      </c>
      <c r="B964" s="33">
        <f>IF(C964="","",IF(P964="À RENSEIGNER","GIC",P964)&amp;"-V"&amp;TEXT(A964,"00000"))</f>
        <v/>
      </c>
      <c r="C964" s="32" t="n"/>
      <c r="D964" s="35" t="n"/>
      <c r="E964" s="36" t="n"/>
      <c r="F964" s="36" t="n"/>
      <c r="G964" s="36" t="n"/>
      <c r="H964" s="36" t="n"/>
      <c r="I964" s="36" t="n"/>
      <c r="J964" s="37" t="n"/>
      <c r="K964" s="32" t="n"/>
      <c r="L964" s="36" t="n"/>
      <c r="M964" s="41" t="n"/>
      <c r="N964" s="41" t="n"/>
      <c r="O964" s="36" t="n"/>
      <c r="P964" s="33">
        <f>IF(C964="","",Commercial_Id)</f>
        <v/>
      </c>
      <c r="Q964" s="39">
        <f>IF(F964="","",IFERROR(VALUE(MID(F964,LEN(F964)-3,3)),""))</f>
        <v/>
      </c>
      <c r="R964" s="33">
        <f>IF(Q964="","",P964&amp;"|"&amp;Q964)</f>
        <v/>
      </c>
      <c r="S964" s="33">
        <f>IF(Q964="","",IF(P964="À RENSEIGNER","GIC",P964)&amp;"-"&amp;TEXT(Q964,"000"))</f>
        <v/>
      </c>
      <c r="T964" s="33">
        <f>IF(R964="","",IFERROR(INDEX(Cl_nom,MATCH(R964,Cl_cle,0)),"(client introuvable)"))</f>
        <v/>
      </c>
      <c r="U964" s="33">
        <f>IF(R964="","",IFERROR(INDEX(Cl_quartier,MATCH(R964,Cl_cle,0))&amp;"",""))</f>
        <v/>
      </c>
      <c r="V964" s="34">
        <f>IF(C964="","",YEAR(C964-WEEKDAY(C964,2)+4)&amp;"-S"&amp;TEXT(INT((C964-DATE(YEAR(C964-WEEKDAY(C964,2)+4),1,3)+WEEKDAY(DATE(YEAR(C964-WEEKDAY(C964,2)+4),1,3),2)+5)/7),"00"))</f>
        <v/>
      </c>
    </row>
    <row r="965" ht="18" customHeight="1">
      <c r="A965" s="39" t="n">
        <v>960</v>
      </c>
      <c r="B965" s="33">
        <f>IF(C965="","",IF(P965="À RENSEIGNER","GIC",P965)&amp;"-V"&amp;TEXT(A965,"00000"))</f>
        <v/>
      </c>
      <c r="C965" s="32" t="n"/>
      <c r="D965" s="35" t="n"/>
      <c r="E965" s="36" t="n"/>
      <c r="F965" s="36" t="n"/>
      <c r="G965" s="36" t="n"/>
      <c r="H965" s="36" t="n"/>
      <c r="I965" s="36" t="n"/>
      <c r="J965" s="37" t="n"/>
      <c r="K965" s="32" t="n"/>
      <c r="L965" s="36" t="n"/>
      <c r="M965" s="41" t="n"/>
      <c r="N965" s="41" t="n"/>
      <c r="O965" s="36" t="n"/>
      <c r="P965" s="33">
        <f>IF(C965="","",Commercial_Id)</f>
        <v/>
      </c>
      <c r="Q965" s="39">
        <f>IF(F965="","",IFERROR(VALUE(MID(F965,LEN(F965)-3,3)),""))</f>
        <v/>
      </c>
      <c r="R965" s="33">
        <f>IF(Q965="","",P965&amp;"|"&amp;Q965)</f>
        <v/>
      </c>
      <c r="S965" s="33">
        <f>IF(Q965="","",IF(P965="À RENSEIGNER","GIC",P965)&amp;"-"&amp;TEXT(Q965,"000"))</f>
        <v/>
      </c>
      <c r="T965" s="33">
        <f>IF(R965="","",IFERROR(INDEX(Cl_nom,MATCH(R965,Cl_cle,0)),"(client introuvable)"))</f>
        <v/>
      </c>
      <c r="U965" s="33">
        <f>IF(R965="","",IFERROR(INDEX(Cl_quartier,MATCH(R965,Cl_cle,0))&amp;"",""))</f>
        <v/>
      </c>
      <c r="V965" s="34">
        <f>IF(C965="","",YEAR(C965-WEEKDAY(C965,2)+4)&amp;"-S"&amp;TEXT(INT((C965-DATE(YEAR(C965-WEEKDAY(C965,2)+4),1,3)+WEEKDAY(DATE(YEAR(C965-WEEKDAY(C965,2)+4),1,3),2)+5)/7),"00"))</f>
        <v/>
      </c>
    </row>
    <row r="966" ht="18" customHeight="1">
      <c r="A966" s="39" t="n">
        <v>961</v>
      </c>
      <c r="B966" s="33">
        <f>IF(C966="","",IF(P966="À RENSEIGNER","GIC",P966)&amp;"-V"&amp;TEXT(A966,"00000"))</f>
        <v/>
      </c>
      <c r="C966" s="32" t="n"/>
      <c r="D966" s="35" t="n"/>
      <c r="E966" s="36" t="n"/>
      <c r="F966" s="36" t="n"/>
      <c r="G966" s="36" t="n"/>
      <c r="H966" s="36" t="n"/>
      <c r="I966" s="36" t="n"/>
      <c r="J966" s="37" t="n"/>
      <c r="K966" s="32" t="n"/>
      <c r="L966" s="36" t="n"/>
      <c r="M966" s="41" t="n"/>
      <c r="N966" s="41" t="n"/>
      <c r="O966" s="36" t="n"/>
      <c r="P966" s="33">
        <f>IF(C966="","",Commercial_Id)</f>
        <v/>
      </c>
      <c r="Q966" s="39">
        <f>IF(F966="","",IFERROR(VALUE(MID(F966,LEN(F966)-3,3)),""))</f>
        <v/>
      </c>
      <c r="R966" s="33">
        <f>IF(Q966="","",P966&amp;"|"&amp;Q966)</f>
        <v/>
      </c>
      <c r="S966" s="33">
        <f>IF(Q966="","",IF(P966="À RENSEIGNER","GIC",P966)&amp;"-"&amp;TEXT(Q966,"000"))</f>
        <v/>
      </c>
      <c r="T966" s="33">
        <f>IF(R966="","",IFERROR(INDEX(Cl_nom,MATCH(R966,Cl_cle,0)),"(client introuvable)"))</f>
        <v/>
      </c>
      <c r="U966" s="33">
        <f>IF(R966="","",IFERROR(INDEX(Cl_quartier,MATCH(R966,Cl_cle,0))&amp;"",""))</f>
        <v/>
      </c>
      <c r="V966" s="34">
        <f>IF(C966="","",YEAR(C966-WEEKDAY(C966,2)+4)&amp;"-S"&amp;TEXT(INT((C966-DATE(YEAR(C966-WEEKDAY(C966,2)+4),1,3)+WEEKDAY(DATE(YEAR(C966-WEEKDAY(C966,2)+4),1,3),2)+5)/7),"00"))</f>
        <v/>
      </c>
    </row>
    <row r="967" ht="18" customHeight="1">
      <c r="A967" s="39" t="n">
        <v>962</v>
      </c>
      <c r="B967" s="33">
        <f>IF(C967="","",IF(P967="À RENSEIGNER","GIC",P967)&amp;"-V"&amp;TEXT(A967,"00000"))</f>
        <v/>
      </c>
      <c r="C967" s="32" t="n"/>
      <c r="D967" s="35" t="n"/>
      <c r="E967" s="36" t="n"/>
      <c r="F967" s="36" t="n"/>
      <c r="G967" s="36" t="n"/>
      <c r="H967" s="36" t="n"/>
      <c r="I967" s="36" t="n"/>
      <c r="J967" s="37" t="n"/>
      <c r="K967" s="32" t="n"/>
      <c r="L967" s="36" t="n"/>
      <c r="M967" s="41" t="n"/>
      <c r="N967" s="41" t="n"/>
      <c r="O967" s="36" t="n"/>
      <c r="P967" s="33">
        <f>IF(C967="","",Commercial_Id)</f>
        <v/>
      </c>
      <c r="Q967" s="39">
        <f>IF(F967="","",IFERROR(VALUE(MID(F967,LEN(F967)-3,3)),""))</f>
        <v/>
      </c>
      <c r="R967" s="33">
        <f>IF(Q967="","",P967&amp;"|"&amp;Q967)</f>
        <v/>
      </c>
      <c r="S967" s="33">
        <f>IF(Q967="","",IF(P967="À RENSEIGNER","GIC",P967)&amp;"-"&amp;TEXT(Q967,"000"))</f>
        <v/>
      </c>
      <c r="T967" s="33">
        <f>IF(R967="","",IFERROR(INDEX(Cl_nom,MATCH(R967,Cl_cle,0)),"(client introuvable)"))</f>
        <v/>
      </c>
      <c r="U967" s="33">
        <f>IF(R967="","",IFERROR(INDEX(Cl_quartier,MATCH(R967,Cl_cle,0))&amp;"",""))</f>
        <v/>
      </c>
      <c r="V967" s="34">
        <f>IF(C967="","",YEAR(C967-WEEKDAY(C967,2)+4)&amp;"-S"&amp;TEXT(INT((C967-DATE(YEAR(C967-WEEKDAY(C967,2)+4),1,3)+WEEKDAY(DATE(YEAR(C967-WEEKDAY(C967,2)+4),1,3),2)+5)/7),"00"))</f>
        <v/>
      </c>
    </row>
    <row r="968" ht="18" customHeight="1">
      <c r="A968" s="39" t="n">
        <v>963</v>
      </c>
      <c r="B968" s="33">
        <f>IF(C968="","",IF(P968="À RENSEIGNER","GIC",P968)&amp;"-V"&amp;TEXT(A968,"00000"))</f>
        <v/>
      </c>
      <c r="C968" s="32" t="n"/>
      <c r="D968" s="35" t="n"/>
      <c r="E968" s="36" t="n"/>
      <c r="F968" s="36" t="n"/>
      <c r="G968" s="36" t="n"/>
      <c r="H968" s="36" t="n"/>
      <c r="I968" s="36" t="n"/>
      <c r="J968" s="37" t="n"/>
      <c r="K968" s="32" t="n"/>
      <c r="L968" s="36" t="n"/>
      <c r="M968" s="41" t="n"/>
      <c r="N968" s="41" t="n"/>
      <c r="O968" s="36" t="n"/>
      <c r="P968" s="33">
        <f>IF(C968="","",Commercial_Id)</f>
        <v/>
      </c>
      <c r="Q968" s="39">
        <f>IF(F968="","",IFERROR(VALUE(MID(F968,LEN(F968)-3,3)),""))</f>
        <v/>
      </c>
      <c r="R968" s="33">
        <f>IF(Q968="","",P968&amp;"|"&amp;Q968)</f>
        <v/>
      </c>
      <c r="S968" s="33">
        <f>IF(Q968="","",IF(P968="À RENSEIGNER","GIC",P968)&amp;"-"&amp;TEXT(Q968,"000"))</f>
        <v/>
      </c>
      <c r="T968" s="33">
        <f>IF(R968="","",IFERROR(INDEX(Cl_nom,MATCH(R968,Cl_cle,0)),"(client introuvable)"))</f>
        <v/>
      </c>
      <c r="U968" s="33">
        <f>IF(R968="","",IFERROR(INDEX(Cl_quartier,MATCH(R968,Cl_cle,0))&amp;"",""))</f>
        <v/>
      </c>
      <c r="V968" s="34">
        <f>IF(C968="","",YEAR(C968-WEEKDAY(C968,2)+4)&amp;"-S"&amp;TEXT(INT((C968-DATE(YEAR(C968-WEEKDAY(C968,2)+4),1,3)+WEEKDAY(DATE(YEAR(C968-WEEKDAY(C968,2)+4),1,3),2)+5)/7),"00"))</f>
        <v/>
      </c>
    </row>
    <row r="969" ht="18" customHeight="1">
      <c r="A969" s="39" t="n">
        <v>964</v>
      </c>
      <c r="B969" s="33">
        <f>IF(C969="","",IF(P969="À RENSEIGNER","GIC",P969)&amp;"-V"&amp;TEXT(A969,"00000"))</f>
        <v/>
      </c>
      <c r="C969" s="32" t="n"/>
      <c r="D969" s="35" t="n"/>
      <c r="E969" s="36" t="n"/>
      <c r="F969" s="36" t="n"/>
      <c r="G969" s="36" t="n"/>
      <c r="H969" s="36" t="n"/>
      <c r="I969" s="36" t="n"/>
      <c r="J969" s="37" t="n"/>
      <c r="K969" s="32" t="n"/>
      <c r="L969" s="36" t="n"/>
      <c r="M969" s="41" t="n"/>
      <c r="N969" s="41" t="n"/>
      <c r="O969" s="36" t="n"/>
      <c r="P969" s="33">
        <f>IF(C969="","",Commercial_Id)</f>
        <v/>
      </c>
      <c r="Q969" s="39">
        <f>IF(F969="","",IFERROR(VALUE(MID(F969,LEN(F969)-3,3)),""))</f>
        <v/>
      </c>
      <c r="R969" s="33">
        <f>IF(Q969="","",P969&amp;"|"&amp;Q969)</f>
        <v/>
      </c>
      <c r="S969" s="33">
        <f>IF(Q969="","",IF(P969="À RENSEIGNER","GIC",P969)&amp;"-"&amp;TEXT(Q969,"000"))</f>
        <v/>
      </c>
      <c r="T969" s="33">
        <f>IF(R969="","",IFERROR(INDEX(Cl_nom,MATCH(R969,Cl_cle,0)),"(client introuvable)"))</f>
        <v/>
      </c>
      <c r="U969" s="33">
        <f>IF(R969="","",IFERROR(INDEX(Cl_quartier,MATCH(R969,Cl_cle,0))&amp;"",""))</f>
        <v/>
      </c>
      <c r="V969" s="34">
        <f>IF(C969="","",YEAR(C969-WEEKDAY(C969,2)+4)&amp;"-S"&amp;TEXT(INT((C969-DATE(YEAR(C969-WEEKDAY(C969,2)+4),1,3)+WEEKDAY(DATE(YEAR(C969-WEEKDAY(C969,2)+4),1,3),2)+5)/7),"00"))</f>
        <v/>
      </c>
    </row>
    <row r="970" ht="18" customHeight="1">
      <c r="A970" s="39" t="n">
        <v>965</v>
      </c>
      <c r="B970" s="33">
        <f>IF(C970="","",IF(P970="À RENSEIGNER","GIC",P970)&amp;"-V"&amp;TEXT(A970,"00000"))</f>
        <v/>
      </c>
      <c r="C970" s="32" t="n"/>
      <c r="D970" s="35" t="n"/>
      <c r="E970" s="36" t="n"/>
      <c r="F970" s="36" t="n"/>
      <c r="G970" s="36" t="n"/>
      <c r="H970" s="36" t="n"/>
      <c r="I970" s="36" t="n"/>
      <c r="J970" s="37" t="n"/>
      <c r="K970" s="32" t="n"/>
      <c r="L970" s="36" t="n"/>
      <c r="M970" s="41" t="n"/>
      <c r="N970" s="41" t="n"/>
      <c r="O970" s="36" t="n"/>
      <c r="P970" s="33">
        <f>IF(C970="","",Commercial_Id)</f>
        <v/>
      </c>
      <c r="Q970" s="39">
        <f>IF(F970="","",IFERROR(VALUE(MID(F970,LEN(F970)-3,3)),""))</f>
        <v/>
      </c>
      <c r="R970" s="33">
        <f>IF(Q970="","",P970&amp;"|"&amp;Q970)</f>
        <v/>
      </c>
      <c r="S970" s="33">
        <f>IF(Q970="","",IF(P970="À RENSEIGNER","GIC",P970)&amp;"-"&amp;TEXT(Q970,"000"))</f>
        <v/>
      </c>
      <c r="T970" s="33">
        <f>IF(R970="","",IFERROR(INDEX(Cl_nom,MATCH(R970,Cl_cle,0)),"(client introuvable)"))</f>
        <v/>
      </c>
      <c r="U970" s="33">
        <f>IF(R970="","",IFERROR(INDEX(Cl_quartier,MATCH(R970,Cl_cle,0))&amp;"",""))</f>
        <v/>
      </c>
      <c r="V970" s="34">
        <f>IF(C970="","",YEAR(C970-WEEKDAY(C970,2)+4)&amp;"-S"&amp;TEXT(INT((C970-DATE(YEAR(C970-WEEKDAY(C970,2)+4),1,3)+WEEKDAY(DATE(YEAR(C970-WEEKDAY(C970,2)+4),1,3),2)+5)/7),"00"))</f>
        <v/>
      </c>
    </row>
    <row r="971" ht="18" customHeight="1">
      <c r="A971" s="39" t="n">
        <v>966</v>
      </c>
      <c r="B971" s="33">
        <f>IF(C971="","",IF(P971="À RENSEIGNER","GIC",P971)&amp;"-V"&amp;TEXT(A971,"00000"))</f>
        <v/>
      </c>
      <c r="C971" s="32" t="n"/>
      <c r="D971" s="35" t="n"/>
      <c r="E971" s="36" t="n"/>
      <c r="F971" s="36" t="n"/>
      <c r="G971" s="36" t="n"/>
      <c r="H971" s="36" t="n"/>
      <c r="I971" s="36" t="n"/>
      <c r="J971" s="37" t="n"/>
      <c r="K971" s="32" t="n"/>
      <c r="L971" s="36" t="n"/>
      <c r="M971" s="41" t="n"/>
      <c r="N971" s="41" t="n"/>
      <c r="O971" s="36" t="n"/>
      <c r="P971" s="33">
        <f>IF(C971="","",Commercial_Id)</f>
        <v/>
      </c>
      <c r="Q971" s="39">
        <f>IF(F971="","",IFERROR(VALUE(MID(F971,LEN(F971)-3,3)),""))</f>
        <v/>
      </c>
      <c r="R971" s="33">
        <f>IF(Q971="","",P971&amp;"|"&amp;Q971)</f>
        <v/>
      </c>
      <c r="S971" s="33">
        <f>IF(Q971="","",IF(P971="À RENSEIGNER","GIC",P971)&amp;"-"&amp;TEXT(Q971,"000"))</f>
        <v/>
      </c>
      <c r="T971" s="33">
        <f>IF(R971="","",IFERROR(INDEX(Cl_nom,MATCH(R971,Cl_cle,0)),"(client introuvable)"))</f>
        <v/>
      </c>
      <c r="U971" s="33">
        <f>IF(R971="","",IFERROR(INDEX(Cl_quartier,MATCH(R971,Cl_cle,0))&amp;"",""))</f>
        <v/>
      </c>
      <c r="V971" s="34">
        <f>IF(C971="","",YEAR(C971-WEEKDAY(C971,2)+4)&amp;"-S"&amp;TEXT(INT((C971-DATE(YEAR(C971-WEEKDAY(C971,2)+4),1,3)+WEEKDAY(DATE(YEAR(C971-WEEKDAY(C971,2)+4),1,3),2)+5)/7),"00"))</f>
        <v/>
      </c>
    </row>
    <row r="972" ht="18" customHeight="1">
      <c r="A972" s="39" t="n">
        <v>967</v>
      </c>
      <c r="B972" s="33">
        <f>IF(C972="","",IF(P972="À RENSEIGNER","GIC",P972)&amp;"-V"&amp;TEXT(A972,"00000"))</f>
        <v/>
      </c>
      <c r="C972" s="32" t="n"/>
      <c r="D972" s="35" t="n"/>
      <c r="E972" s="36" t="n"/>
      <c r="F972" s="36" t="n"/>
      <c r="G972" s="36" t="n"/>
      <c r="H972" s="36" t="n"/>
      <c r="I972" s="36" t="n"/>
      <c r="J972" s="37" t="n"/>
      <c r="K972" s="32" t="n"/>
      <c r="L972" s="36" t="n"/>
      <c r="M972" s="41" t="n"/>
      <c r="N972" s="41" t="n"/>
      <c r="O972" s="36" t="n"/>
      <c r="P972" s="33">
        <f>IF(C972="","",Commercial_Id)</f>
        <v/>
      </c>
      <c r="Q972" s="39">
        <f>IF(F972="","",IFERROR(VALUE(MID(F972,LEN(F972)-3,3)),""))</f>
        <v/>
      </c>
      <c r="R972" s="33">
        <f>IF(Q972="","",P972&amp;"|"&amp;Q972)</f>
        <v/>
      </c>
      <c r="S972" s="33">
        <f>IF(Q972="","",IF(P972="À RENSEIGNER","GIC",P972)&amp;"-"&amp;TEXT(Q972,"000"))</f>
        <v/>
      </c>
      <c r="T972" s="33">
        <f>IF(R972="","",IFERROR(INDEX(Cl_nom,MATCH(R972,Cl_cle,0)),"(client introuvable)"))</f>
        <v/>
      </c>
      <c r="U972" s="33">
        <f>IF(R972="","",IFERROR(INDEX(Cl_quartier,MATCH(R972,Cl_cle,0))&amp;"",""))</f>
        <v/>
      </c>
      <c r="V972" s="34">
        <f>IF(C972="","",YEAR(C972-WEEKDAY(C972,2)+4)&amp;"-S"&amp;TEXT(INT((C972-DATE(YEAR(C972-WEEKDAY(C972,2)+4),1,3)+WEEKDAY(DATE(YEAR(C972-WEEKDAY(C972,2)+4),1,3),2)+5)/7),"00"))</f>
        <v/>
      </c>
    </row>
    <row r="973" ht="18" customHeight="1">
      <c r="A973" s="39" t="n">
        <v>968</v>
      </c>
      <c r="B973" s="33">
        <f>IF(C973="","",IF(P973="À RENSEIGNER","GIC",P973)&amp;"-V"&amp;TEXT(A973,"00000"))</f>
        <v/>
      </c>
      <c r="C973" s="32" t="n"/>
      <c r="D973" s="35" t="n"/>
      <c r="E973" s="36" t="n"/>
      <c r="F973" s="36" t="n"/>
      <c r="G973" s="36" t="n"/>
      <c r="H973" s="36" t="n"/>
      <c r="I973" s="36" t="n"/>
      <c r="J973" s="37" t="n"/>
      <c r="K973" s="32" t="n"/>
      <c r="L973" s="36" t="n"/>
      <c r="M973" s="41" t="n"/>
      <c r="N973" s="41" t="n"/>
      <c r="O973" s="36" t="n"/>
      <c r="P973" s="33">
        <f>IF(C973="","",Commercial_Id)</f>
        <v/>
      </c>
      <c r="Q973" s="39">
        <f>IF(F973="","",IFERROR(VALUE(MID(F973,LEN(F973)-3,3)),""))</f>
        <v/>
      </c>
      <c r="R973" s="33">
        <f>IF(Q973="","",P973&amp;"|"&amp;Q973)</f>
        <v/>
      </c>
      <c r="S973" s="33">
        <f>IF(Q973="","",IF(P973="À RENSEIGNER","GIC",P973)&amp;"-"&amp;TEXT(Q973,"000"))</f>
        <v/>
      </c>
      <c r="T973" s="33">
        <f>IF(R973="","",IFERROR(INDEX(Cl_nom,MATCH(R973,Cl_cle,0)),"(client introuvable)"))</f>
        <v/>
      </c>
      <c r="U973" s="33">
        <f>IF(R973="","",IFERROR(INDEX(Cl_quartier,MATCH(R973,Cl_cle,0))&amp;"",""))</f>
        <v/>
      </c>
      <c r="V973" s="34">
        <f>IF(C973="","",YEAR(C973-WEEKDAY(C973,2)+4)&amp;"-S"&amp;TEXT(INT((C973-DATE(YEAR(C973-WEEKDAY(C973,2)+4),1,3)+WEEKDAY(DATE(YEAR(C973-WEEKDAY(C973,2)+4),1,3),2)+5)/7),"00"))</f>
        <v/>
      </c>
    </row>
    <row r="974" ht="18" customHeight="1">
      <c r="A974" s="39" t="n">
        <v>969</v>
      </c>
      <c r="B974" s="33">
        <f>IF(C974="","",IF(P974="À RENSEIGNER","GIC",P974)&amp;"-V"&amp;TEXT(A974,"00000"))</f>
        <v/>
      </c>
      <c r="C974" s="32" t="n"/>
      <c r="D974" s="35" t="n"/>
      <c r="E974" s="36" t="n"/>
      <c r="F974" s="36" t="n"/>
      <c r="G974" s="36" t="n"/>
      <c r="H974" s="36" t="n"/>
      <c r="I974" s="36" t="n"/>
      <c r="J974" s="37" t="n"/>
      <c r="K974" s="32" t="n"/>
      <c r="L974" s="36" t="n"/>
      <c r="M974" s="41" t="n"/>
      <c r="N974" s="41" t="n"/>
      <c r="O974" s="36" t="n"/>
      <c r="P974" s="33">
        <f>IF(C974="","",Commercial_Id)</f>
        <v/>
      </c>
      <c r="Q974" s="39">
        <f>IF(F974="","",IFERROR(VALUE(MID(F974,LEN(F974)-3,3)),""))</f>
        <v/>
      </c>
      <c r="R974" s="33">
        <f>IF(Q974="","",P974&amp;"|"&amp;Q974)</f>
        <v/>
      </c>
      <c r="S974" s="33">
        <f>IF(Q974="","",IF(P974="À RENSEIGNER","GIC",P974)&amp;"-"&amp;TEXT(Q974,"000"))</f>
        <v/>
      </c>
      <c r="T974" s="33">
        <f>IF(R974="","",IFERROR(INDEX(Cl_nom,MATCH(R974,Cl_cle,0)),"(client introuvable)"))</f>
        <v/>
      </c>
      <c r="U974" s="33">
        <f>IF(R974="","",IFERROR(INDEX(Cl_quartier,MATCH(R974,Cl_cle,0))&amp;"",""))</f>
        <v/>
      </c>
      <c r="V974" s="34">
        <f>IF(C974="","",YEAR(C974-WEEKDAY(C974,2)+4)&amp;"-S"&amp;TEXT(INT((C974-DATE(YEAR(C974-WEEKDAY(C974,2)+4),1,3)+WEEKDAY(DATE(YEAR(C974-WEEKDAY(C974,2)+4),1,3),2)+5)/7),"00"))</f>
        <v/>
      </c>
    </row>
    <row r="975" ht="18" customHeight="1">
      <c r="A975" s="39" t="n">
        <v>970</v>
      </c>
      <c r="B975" s="33">
        <f>IF(C975="","",IF(P975="À RENSEIGNER","GIC",P975)&amp;"-V"&amp;TEXT(A975,"00000"))</f>
        <v/>
      </c>
      <c r="C975" s="32" t="n"/>
      <c r="D975" s="35" t="n"/>
      <c r="E975" s="36" t="n"/>
      <c r="F975" s="36" t="n"/>
      <c r="G975" s="36" t="n"/>
      <c r="H975" s="36" t="n"/>
      <c r="I975" s="36" t="n"/>
      <c r="J975" s="37" t="n"/>
      <c r="K975" s="32" t="n"/>
      <c r="L975" s="36" t="n"/>
      <c r="M975" s="41" t="n"/>
      <c r="N975" s="41" t="n"/>
      <c r="O975" s="36" t="n"/>
      <c r="P975" s="33">
        <f>IF(C975="","",Commercial_Id)</f>
        <v/>
      </c>
      <c r="Q975" s="39">
        <f>IF(F975="","",IFERROR(VALUE(MID(F975,LEN(F975)-3,3)),""))</f>
        <v/>
      </c>
      <c r="R975" s="33">
        <f>IF(Q975="","",P975&amp;"|"&amp;Q975)</f>
        <v/>
      </c>
      <c r="S975" s="33">
        <f>IF(Q975="","",IF(P975="À RENSEIGNER","GIC",P975)&amp;"-"&amp;TEXT(Q975,"000"))</f>
        <v/>
      </c>
      <c r="T975" s="33">
        <f>IF(R975="","",IFERROR(INDEX(Cl_nom,MATCH(R975,Cl_cle,0)),"(client introuvable)"))</f>
        <v/>
      </c>
      <c r="U975" s="33">
        <f>IF(R975="","",IFERROR(INDEX(Cl_quartier,MATCH(R975,Cl_cle,0))&amp;"",""))</f>
        <v/>
      </c>
      <c r="V975" s="34">
        <f>IF(C975="","",YEAR(C975-WEEKDAY(C975,2)+4)&amp;"-S"&amp;TEXT(INT((C975-DATE(YEAR(C975-WEEKDAY(C975,2)+4),1,3)+WEEKDAY(DATE(YEAR(C975-WEEKDAY(C975,2)+4),1,3),2)+5)/7),"00"))</f>
        <v/>
      </c>
    </row>
    <row r="976" ht="18" customHeight="1">
      <c r="A976" s="39" t="n">
        <v>971</v>
      </c>
      <c r="B976" s="33">
        <f>IF(C976="","",IF(P976="À RENSEIGNER","GIC",P976)&amp;"-V"&amp;TEXT(A976,"00000"))</f>
        <v/>
      </c>
      <c r="C976" s="32" t="n"/>
      <c r="D976" s="35" t="n"/>
      <c r="E976" s="36" t="n"/>
      <c r="F976" s="36" t="n"/>
      <c r="G976" s="36" t="n"/>
      <c r="H976" s="36" t="n"/>
      <c r="I976" s="36" t="n"/>
      <c r="J976" s="37" t="n"/>
      <c r="K976" s="32" t="n"/>
      <c r="L976" s="36" t="n"/>
      <c r="M976" s="41" t="n"/>
      <c r="N976" s="41" t="n"/>
      <c r="O976" s="36" t="n"/>
      <c r="P976" s="33">
        <f>IF(C976="","",Commercial_Id)</f>
        <v/>
      </c>
      <c r="Q976" s="39">
        <f>IF(F976="","",IFERROR(VALUE(MID(F976,LEN(F976)-3,3)),""))</f>
        <v/>
      </c>
      <c r="R976" s="33">
        <f>IF(Q976="","",P976&amp;"|"&amp;Q976)</f>
        <v/>
      </c>
      <c r="S976" s="33">
        <f>IF(Q976="","",IF(P976="À RENSEIGNER","GIC",P976)&amp;"-"&amp;TEXT(Q976,"000"))</f>
        <v/>
      </c>
      <c r="T976" s="33">
        <f>IF(R976="","",IFERROR(INDEX(Cl_nom,MATCH(R976,Cl_cle,0)),"(client introuvable)"))</f>
        <v/>
      </c>
      <c r="U976" s="33">
        <f>IF(R976="","",IFERROR(INDEX(Cl_quartier,MATCH(R976,Cl_cle,0))&amp;"",""))</f>
        <v/>
      </c>
      <c r="V976" s="34">
        <f>IF(C976="","",YEAR(C976-WEEKDAY(C976,2)+4)&amp;"-S"&amp;TEXT(INT((C976-DATE(YEAR(C976-WEEKDAY(C976,2)+4),1,3)+WEEKDAY(DATE(YEAR(C976-WEEKDAY(C976,2)+4),1,3),2)+5)/7),"00"))</f>
        <v/>
      </c>
    </row>
    <row r="977" ht="18" customHeight="1">
      <c r="A977" s="39" t="n">
        <v>972</v>
      </c>
      <c r="B977" s="33">
        <f>IF(C977="","",IF(P977="À RENSEIGNER","GIC",P977)&amp;"-V"&amp;TEXT(A977,"00000"))</f>
        <v/>
      </c>
      <c r="C977" s="32" t="n"/>
      <c r="D977" s="35" t="n"/>
      <c r="E977" s="36" t="n"/>
      <c r="F977" s="36" t="n"/>
      <c r="G977" s="36" t="n"/>
      <c r="H977" s="36" t="n"/>
      <c r="I977" s="36" t="n"/>
      <c r="J977" s="37" t="n"/>
      <c r="K977" s="32" t="n"/>
      <c r="L977" s="36" t="n"/>
      <c r="M977" s="41" t="n"/>
      <c r="N977" s="41" t="n"/>
      <c r="O977" s="36" t="n"/>
      <c r="P977" s="33">
        <f>IF(C977="","",Commercial_Id)</f>
        <v/>
      </c>
      <c r="Q977" s="39">
        <f>IF(F977="","",IFERROR(VALUE(MID(F977,LEN(F977)-3,3)),""))</f>
        <v/>
      </c>
      <c r="R977" s="33">
        <f>IF(Q977="","",P977&amp;"|"&amp;Q977)</f>
        <v/>
      </c>
      <c r="S977" s="33">
        <f>IF(Q977="","",IF(P977="À RENSEIGNER","GIC",P977)&amp;"-"&amp;TEXT(Q977,"000"))</f>
        <v/>
      </c>
      <c r="T977" s="33">
        <f>IF(R977="","",IFERROR(INDEX(Cl_nom,MATCH(R977,Cl_cle,0)),"(client introuvable)"))</f>
        <v/>
      </c>
      <c r="U977" s="33">
        <f>IF(R977="","",IFERROR(INDEX(Cl_quartier,MATCH(R977,Cl_cle,0))&amp;"",""))</f>
        <v/>
      </c>
      <c r="V977" s="34">
        <f>IF(C977="","",YEAR(C977-WEEKDAY(C977,2)+4)&amp;"-S"&amp;TEXT(INT((C977-DATE(YEAR(C977-WEEKDAY(C977,2)+4),1,3)+WEEKDAY(DATE(YEAR(C977-WEEKDAY(C977,2)+4),1,3),2)+5)/7),"00"))</f>
        <v/>
      </c>
    </row>
    <row r="978" ht="18" customHeight="1">
      <c r="A978" s="39" t="n">
        <v>973</v>
      </c>
      <c r="B978" s="33">
        <f>IF(C978="","",IF(P978="À RENSEIGNER","GIC",P978)&amp;"-V"&amp;TEXT(A978,"00000"))</f>
        <v/>
      </c>
      <c r="C978" s="32" t="n"/>
      <c r="D978" s="35" t="n"/>
      <c r="E978" s="36" t="n"/>
      <c r="F978" s="36" t="n"/>
      <c r="G978" s="36" t="n"/>
      <c r="H978" s="36" t="n"/>
      <c r="I978" s="36" t="n"/>
      <c r="J978" s="37" t="n"/>
      <c r="K978" s="32" t="n"/>
      <c r="L978" s="36" t="n"/>
      <c r="M978" s="41" t="n"/>
      <c r="N978" s="41" t="n"/>
      <c r="O978" s="36" t="n"/>
      <c r="P978" s="33">
        <f>IF(C978="","",Commercial_Id)</f>
        <v/>
      </c>
      <c r="Q978" s="39">
        <f>IF(F978="","",IFERROR(VALUE(MID(F978,LEN(F978)-3,3)),""))</f>
        <v/>
      </c>
      <c r="R978" s="33">
        <f>IF(Q978="","",P978&amp;"|"&amp;Q978)</f>
        <v/>
      </c>
      <c r="S978" s="33">
        <f>IF(Q978="","",IF(P978="À RENSEIGNER","GIC",P978)&amp;"-"&amp;TEXT(Q978,"000"))</f>
        <v/>
      </c>
      <c r="T978" s="33">
        <f>IF(R978="","",IFERROR(INDEX(Cl_nom,MATCH(R978,Cl_cle,0)),"(client introuvable)"))</f>
        <v/>
      </c>
      <c r="U978" s="33">
        <f>IF(R978="","",IFERROR(INDEX(Cl_quartier,MATCH(R978,Cl_cle,0))&amp;"",""))</f>
        <v/>
      </c>
      <c r="V978" s="34">
        <f>IF(C978="","",YEAR(C978-WEEKDAY(C978,2)+4)&amp;"-S"&amp;TEXT(INT((C978-DATE(YEAR(C978-WEEKDAY(C978,2)+4),1,3)+WEEKDAY(DATE(YEAR(C978-WEEKDAY(C978,2)+4),1,3),2)+5)/7),"00"))</f>
        <v/>
      </c>
    </row>
    <row r="979" ht="18" customHeight="1">
      <c r="A979" s="39" t="n">
        <v>974</v>
      </c>
      <c r="B979" s="33">
        <f>IF(C979="","",IF(P979="À RENSEIGNER","GIC",P979)&amp;"-V"&amp;TEXT(A979,"00000"))</f>
        <v/>
      </c>
      <c r="C979" s="32" t="n"/>
      <c r="D979" s="35" t="n"/>
      <c r="E979" s="36" t="n"/>
      <c r="F979" s="36" t="n"/>
      <c r="G979" s="36" t="n"/>
      <c r="H979" s="36" t="n"/>
      <c r="I979" s="36" t="n"/>
      <c r="J979" s="37" t="n"/>
      <c r="K979" s="32" t="n"/>
      <c r="L979" s="36" t="n"/>
      <c r="M979" s="41" t="n"/>
      <c r="N979" s="41" t="n"/>
      <c r="O979" s="36" t="n"/>
      <c r="P979" s="33">
        <f>IF(C979="","",Commercial_Id)</f>
        <v/>
      </c>
      <c r="Q979" s="39">
        <f>IF(F979="","",IFERROR(VALUE(MID(F979,LEN(F979)-3,3)),""))</f>
        <v/>
      </c>
      <c r="R979" s="33">
        <f>IF(Q979="","",P979&amp;"|"&amp;Q979)</f>
        <v/>
      </c>
      <c r="S979" s="33">
        <f>IF(Q979="","",IF(P979="À RENSEIGNER","GIC",P979)&amp;"-"&amp;TEXT(Q979,"000"))</f>
        <v/>
      </c>
      <c r="T979" s="33">
        <f>IF(R979="","",IFERROR(INDEX(Cl_nom,MATCH(R979,Cl_cle,0)),"(client introuvable)"))</f>
        <v/>
      </c>
      <c r="U979" s="33">
        <f>IF(R979="","",IFERROR(INDEX(Cl_quartier,MATCH(R979,Cl_cle,0))&amp;"",""))</f>
        <v/>
      </c>
      <c r="V979" s="34">
        <f>IF(C979="","",YEAR(C979-WEEKDAY(C979,2)+4)&amp;"-S"&amp;TEXT(INT((C979-DATE(YEAR(C979-WEEKDAY(C979,2)+4),1,3)+WEEKDAY(DATE(YEAR(C979-WEEKDAY(C979,2)+4),1,3),2)+5)/7),"00"))</f>
        <v/>
      </c>
    </row>
    <row r="980" ht="18" customHeight="1">
      <c r="A980" s="39" t="n">
        <v>975</v>
      </c>
      <c r="B980" s="33">
        <f>IF(C980="","",IF(P980="À RENSEIGNER","GIC",P980)&amp;"-V"&amp;TEXT(A980,"00000"))</f>
        <v/>
      </c>
      <c r="C980" s="32" t="n"/>
      <c r="D980" s="35" t="n"/>
      <c r="E980" s="36" t="n"/>
      <c r="F980" s="36" t="n"/>
      <c r="G980" s="36" t="n"/>
      <c r="H980" s="36" t="n"/>
      <c r="I980" s="36" t="n"/>
      <c r="J980" s="37" t="n"/>
      <c r="K980" s="32" t="n"/>
      <c r="L980" s="36" t="n"/>
      <c r="M980" s="41" t="n"/>
      <c r="N980" s="41" t="n"/>
      <c r="O980" s="36" t="n"/>
      <c r="P980" s="33">
        <f>IF(C980="","",Commercial_Id)</f>
        <v/>
      </c>
      <c r="Q980" s="39">
        <f>IF(F980="","",IFERROR(VALUE(MID(F980,LEN(F980)-3,3)),""))</f>
        <v/>
      </c>
      <c r="R980" s="33">
        <f>IF(Q980="","",P980&amp;"|"&amp;Q980)</f>
        <v/>
      </c>
      <c r="S980" s="33">
        <f>IF(Q980="","",IF(P980="À RENSEIGNER","GIC",P980)&amp;"-"&amp;TEXT(Q980,"000"))</f>
        <v/>
      </c>
      <c r="T980" s="33">
        <f>IF(R980="","",IFERROR(INDEX(Cl_nom,MATCH(R980,Cl_cle,0)),"(client introuvable)"))</f>
        <v/>
      </c>
      <c r="U980" s="33">
        <f>IF(R980="","",IFERROR(INDEX(Cl_quartier,MATCH(R980,Cl_cle,0))&amp;"",""))</f>
        <v/>
      </c>
      <c r="V980" s="34">
        <f>IF(C980="","",YEAR(C980-WEEKDAY(C980,2)+4)&amp;"-S"&amp;TEXT(INT((C980-DATE(YEAR(C980-WEEKDAY(C980,2)+4),1,3)+WEEKDAY(DATE(YEAR(C980-WEEKDAY(C980,2)+4),1,3),2)+5)/7),"00"))</f>
        <v/>
      </c>
    </row>
    <row r="981" ht="18" customHeight="1">
      <c r="A981" s="39" t="n">
        <v>976</v>
      </c>
      <c r="B981" s="33">
        <f>IF(C981="","",IF(P981="À RENSEIGNER","GIC",P981)&amp;"-V"&amp;TEXT(A981,"00000"))</f>
        <v/>
      </c>
      <c r="C981" s="32" t="n"/>
      <c r="D981" s="35" t="n"/>
      <c r="E981" s="36" t="n"/>
      <c r="F981" s="36" t="n"/>
      <c r="G981" s="36" t="n"/>
      <c r="H981" s="36" t="n"/>
      <c r="I981" s="36" t="n"/>
      <c r="J981" s="37" t="n"/>
      <c r="K981" s="32" t="n"/>
      <c r="L981" s="36" t="n"/>
      <c r="M981" s="41" t="n"/>
      <c r="N981" s="41" t="n"/>
      <c r="O981" s="36" t="n"/>
      <c r="P981" s="33">
        <f>IF(C981="","",Commercial_Id)</f>
        <v/>
      </c>
      <c r="Q981" s="39">
        <f>IF(F981="","",IFERROR(VALUE(MID(F981,LEN(F981)-3,3)),""))</f>
        <v/>
      </c>
      <c r="R981" s="33">
        <f>IF(Q981="","",P981&amp;"|"&amp;Q981)</f>
        <v/>
      </c>
      <c r="S981" s="33">
        <f>IF(Q981="","",IF(P981="À RENSEIGNER","GIC",P981)&amp;"-"&amp;TEXT(Q981,"000"))</f>
        <v/>
      </c>
      <c r="T981" s="33">
        <f>IF(R981="","",IFERROR(INDEX(Cl_nom,MATCH(R981,Cl_cle,0)),"(client introuvable)"))</f>
        <v/>
      </c>
      <c r="U981" s="33">
        <f>IF(R981="","",IFERROR(INDEX(Cl_quartier,MATCH(R981,Cl_cle,0))&amp;"",""))</f>
        <v/>
      </c>
      <c r="V981" s="34">
        <f>IF(C981="","",YEAR(C981-WEEKDAY(C981,2)+4)&amp;"-S"&amp;TEXT(INT((C981-DATE(YEAR(C981-WEEKDAY(C981,2)+4),1,3)+WEEKDAY(DATE(YEAR(C981-WEEKDAY(C981,2)+4),1,3),2)+5)/7),"00"))</f>
        <v/>
      </c>
    </row>
    <row r="982" ht="18" customHeight="1">
      <c r="A982" s="39" t="n">
        <v>977</v>
      </c>
      <c r="B982" s="33">
        <f>IF(C982="","",IF(P982="À RENSEIGNER","GIC",P982)&amp;"-V"&amp;TEXT(A982,"00000"))</f>
        <v/>
      </c>
      <c r="C982" s="32" t="n"/>
      <c r="D982" s="35" t="n"/>
      <c r="E982" s="36" t="n"/>
      <c r="F982" s="36" t="n"/>
      <c r="G982" s="36" t="n"/>
      <c r="H982" s="36" t="n"/>
      <c r="I982" s="36" t="n"/>
      <c r="J982" s="37" t="n"/>
      <c r="K982" s="32" t="n"/>
      <c r="L982" s="36" t="n"/>
      <c r="M982" s="41" t="n"/>
      <c r="N982" s="41" t="n"/>
      <c r="O982" s="36" t="n"/>
      <c r="P982" s="33">
        <f>IF(C982="","",Commercial_Id)</f>
        <v/>
      </c>
      <c r="Q982" s="39">
        <f>IF(F982="","",IFERROR(VALUE(MID(F982,LEN(F982)-3,3)),""))</f>
        <v/>
      </c>
      <c r="R982" s="33">
        <f>IF(Q982="","",P982&amp;"|"&amp;Q982)</f>
        <v/>
      </c>
      <c r="S982" s="33">
        <f>IF(Q982="","",IF(P982="À RENSEIGNER","GIC",P982)&amp;"-"&amp;TEXT(Q982,"000"))</f>
        <v/>
      </c>
      <c r="T982" s="33">
        <f>IF(R982="","",IFERROR(INDEX(Cl_nom,MATCH(R982,Cl_cle,0)),"(client introuvable)"))</f>
        <v/>
      </c>
      <c r="U982" s="33">
        <f>IF(R982="","",IFERROR(INDEX(Cl_quartier,MATCH(R982,Cl_cle,0))&amp;"",""))</f>
        <v/>
      </c>
      <c r="V982" s="34">
        <f>IF(C982="","",YEAR(C982-WEEKDAY(C982,2)+4)&amp;"-S"&amp;TEXT(INT((C982-DATE(YEAR(C982-WEEKDAY(C982,2)+4),1,3)+WEEKDAY(DATE(YEAR(C982-WEEKDAY(C982,2)+4),1,3),2)+5)/7),"00"))</f>
        <v/>
      </c>
    </row>
    <row r="983" ht="18" customHeight="1">
      <c r="A983" s="39" t="n">
        <v>978</v>
      </c>
      <c r="B983" s="33">
        <f>IF(C983="","",IF(P983="À RENSEIGNER","GIC",P983)&amp;"-V"&amp;TEXT(A983,"00000"))</f>
        <v/>
      </c>
      <c r="C983" s="32" t="n"/>
      <c r="D983" s="35" t="n"/>
      <c r="E983" s="36" t="n"/>
      <c r="F983" s="36" t="n"/>
      <c r="G983" s="36" t="n"/>
      <c r="H983" s="36" t="n"/>
      <c r="I983" s="36" t="n"/>
      <c r="J983" s="37" t="n"/>
      <c r="K983" s="32" t="n"/>
      <c r="L983" s="36" t="n"/>
      <c r="M983" s="41" t="n"/>
      <c r="N983" s="41" t="n"/>
      <c r="O983" s="36" t="n"/>
      <c r="P983" s="33">
        <f>IF(C983="","",Commercial_Id)</f>
        <v/>
      </c>
      <c r="Q983" s="39">
        <f>IF(F983="","",IFERROR(VALUE(MID(F983,LEN(F983)-3,3)),""))</f>
        <v/>
      </c>
      <c r="R983" s="33">
        <f>IF(Q983="","",P983&amp;"|"&amp;Q983)</f>
        <v/>
      </c>
      <c r="S983" s="33">
        <f>IF(Q983="","",IF(P983="À RENSEIGNER","GIC",P983)&amp;"-"&amp;TEXT(Q983,"000"))</f>
        <v/>
      </c>
      <c r="T983" s="33">
        <f>IF(R983="","",IFERROR(INDEX(Cl_nom,MATCH(R983,Cl_cle,0)),"(client introuvable)"))</f>
        <v/>
      </c>
      <c r="U983" s="33">
        <f>IF(R983="","",IFERROR(INDEX(Cl_quartier,MATCH(R983,Cl_cle,0))&amp;"",""))</f>
        <v/>
      </c>
      <c r="V983" s="34">
        <f>IF(C983="","",YEAR(C983-WEEKDAY(C983,2)+4)&amp;"-S"&amp;TEXT(INT((C983-DATE(YEAR(C983-WEEKDAY(C983,2)+4),1,3)+WEEKDAY(DATE(YEAR(C983-WEEKDAY(C983,2)+4),1,3),2)+5)/7),"00"))</f>
        <v/>
      </c>
    </row>
    <row r="984" ht="18" customHeight="1">
      <c r="A984" s="39" t="n">
        <v>979</v>
      </c>
      <c r="B984" s="33">
        <f>IF(C984="","",IF(P984="À RENSEIGNER","GIC",P984)&amp;"-V"&amp;TEXT(A984,"00000"))</f>
        <v/>
      </c>
      <c r="C984" s="32" t="n"/>
      <c r="D984" s="35" t="n"/>
      <c r="E984" s="36" t="n"/>
      <c r="F984" s="36" t="n"/>
      <c r="G984" s="36" t="n"/>
      <c r="H984" s="36" t="n"/>
      <c r="I984" s="36" t="n"/>
      <c r="J984" s="37" t="n"/>
      <c r="K984" s="32" t="n"/>
      <c r="L984" s="36" t="n"/>
      <c r="M984" s="41" t="n"/>
      <c r="N984" s="41" t="n"/>
      <c r="O984" s="36" t="n"/>
      <c r="P984" s="33">
        <f>IF(C984="","",Commercial_Id)</f>
        <v/>
      </c>
      <c r="Q984" s="39">
        <f>IF(F984="","",IFERROR(VALUE(MID(F984,LEN(F984)-3,3)),""))</f>
        <v/>
      </c>
      <c r="R984" s="33">
        <f>IF(Q984="","",P984&amp;"|"&amp;Q984)</f>
        <v/>
      </c>
      <c r="S984" s="33">
        <f>IF(Q984="","",IF(P984="À RENSEIGNER","GIC",P984)&amp;"-"&amp;TEXT(Q984,"000"))</f>
        <v/>
      </c>
      <c r="T984" s="33">
        <f>IF(R984="","",IFERROR(INDEX(Cl_nom,MATCH(R984,Cl_cle,0)),"(client introuvable)"))</f>
        <v/>
      </c>
      <c r="U984" s="33">
        <f>IF(R984="","",IFERROR(INDEX(Cl_quartier,MATCH(R984,Cl_cle,0))&amp;"",""))</f>
        <v/>
      </c>
      <c r="V984" s="34">
        <f>IF(C984="","",YEAR(C984-WEEKDAY(C984,2)+4)&amp;"-S"&amp;TEXT(INT((C984-DATE(YEAR(C984-WEEKDAY(C984,2)+4),1,3)+WEEKDAY(DATE(YEAR(C984-WEEKDAY(C984,2)+4),1,3),2)+5)/7),"00"))</f>
        <v/>
      </c>
    </row>
    <row r="985" ht="18" customHeight="1">
      <c r="A985" s="39" t="n">
        <v>980</v>
      </c>
      <c r="B985" s="33">
        <f>IF(C985="","",IF(P985="À RENSEIGNER","GIC",P985)&amp;"-V"&amp;TEXT(A985,"00000"))</f>
        <v/>
      </c>
      <c r="C985" s="32" t="n"/>
      <c r="D985" s="35" t="n"/>
      <c r="E985" s="36" t="n"/>
      <c r="F985" s="36" t="n"/>
      <c r="G985" s="36" t="n"/>
      <c r="H985" s="36" t="n"/>
      <c r="I985" s="36" t="n"/>
      <c r="J985" s="37" t="n"/>
      <c r="K985" s="32" t="n"/>
      <c r="L985" s="36" t="n"/>
      <c r="M985" s="41" t="n"/>
      <c r="N985" s="41" t="n"/>
      <c r="O985" s="36" t="n"/>
      <c r="P985" s="33">
        <f>IF(C985="","",Commercial_Id)</f>
        <v/>
      </c>
      <c r="Q985" s="39">
        <f>IF(F985="","",IFERROR(VALUE(MID(F985,LEN(F985)-3,3)),""))</f>
        <v/>
      </c>
      <c r="R985" s="33">
        <f>IF(Q985="","",P985&amp;"|"&amp;Q985)</f>
        <v/>
      </c>
      <c r="S985" s="33">
        <f>IF(Q985="","",IF(P985="À RENSEIGNER","GIC",P985)&amp;"-"&amp;TEXT(Q985,"000"))</f>
        <v/>
      </c>
      <c r="T985" s="33">
        <f>IF(R985="","",IFERROR(INDEX(Cl_nom,MATCH(R985,Cl_cle,0)),"(client introuvable)"))</f>
        <v/>
      </c>
      <c r="U985" s="33">
        <f>IF(R985="","",IFERROR(INDEX(Cl_quartier,MATCH(R985,Cl_cle,0))&amp;"",""))</f>
        <v/>
      </c>
      <c r="V985" s="34">
        <f>IF(C985="","",YEAR(C985-WEEKDAY(C985,2)+4)&amp;"-S"&amp;TEXT(INT((C985-DATE(YEAR(C985-WEEKDAY(C985,2)+4),1,3)+WEEKDAY(DATE(YEAR(C985-WEEKDAY(C985,2)+4),1,3),2)+5)/7),"00"))</f>
        <v/>
      </c>
    </row>
    <row r="986" ht="18" customHeight="1">
      <c r="A986" s="39" t="n">
        <v>981</v>
      </c>
      <c r="B986" s="33">
        <f>IF(C986="","",IF(P986="À RENSEIGNER","GIC",P986)&amp;"-V"&amp;TEXT(A986,"00000"))</f>
        <v/>
      </c>
      <c r="C986" s="32" t="n"/>
      <c r="D986" s="35" t="n"/>
      <c r="E986" s="36" t="n"/>
      <c r="F986" s="36" t="n"/>
      <c r="G986" s="36" t="n"/>
      <c r="H986" s="36" t="n"/>
      <c r="I986" s="36" t="n"/>
      <c r="J986" s="37" t="n"/>
      <c r="K986" s="32" t="n"/>
      <c r="L986" s="36" t="n"/>
      <c r="M986" s="41" t="n"/>
      <c r="N986" s="41" t="n"/>
      <c r="O986" s="36" t="n"/>
      <c r="P986" s="33">
        <f>IF(C986="","",Commercial_Id)</f>
        <v/>
      </c>
      <c r="Q986" s="39">
        <f>IF(F986="","",IFERROR(VALUE(MID(F986,LEN(F986)-3,3)),""))</f>
        <v/>
      </c>
      <c r="R986" s="33">
        <f>IF(Q986="","",P986&amp;"|"&amp;Q986)</f>
        <v/>
      </c>
      <c r="S986" s="33">
        <f>IF(Q986="","",IF(P986="À RENSEIGNER","GIC",P986)&amp;"-"&amp;TEXT(Q986,"000"))</f>
        <v/>
      </c>
      <c r="T986" s="33">
        <f>IF(R986="","",IFERROR(INDEX(Cl_nom,MATCH(R986,Cl_cle,0)),"(client introuvable)"))</f>
        <v/>
      </c>
      <c r="U986" s="33">
        <f>IF(R986="","",IFERROR(INDEX(Cl_quartier,MATCH(R986,Cl_cle,0))&amp;"",""))</f>
        <v/>
      </c>
      <c r="V986" s="34">
        <f>IF(C986="","",YEAR(C986-WEEKDAY(C986,2)+4)&amp;"-S"&amp;TEXT(INT((C986-DATE(YEAR(C986-WEEKDAY(C986,2)+4),1,3)+WEEKDAY(DATE(YEAR(C986-WEEKDAY(C986,2)+4),1,3),2)+5)/7),"00"))</f>
        <v/>
      </c>
    </row>
    <row r="987" ht="18" customHeight="1">
      <c r="A987" s="39" t="n">
        <v>982</v>
      </c>
      <c r="B987" s="33">
        <f>IF(C987="","",IF(P987="À RENSEIGNER","GIC",P987)&amp;"-V"&amp;TEXT(A987,"00000"))</f>
        <v/>
      </c>
      <c r="C987" s="32" t="n"/>
      <c r="D987" s="35" t="n"/>
      <c r="E987" s="36" t="n"/>
      <c r="F987" s="36" t="n"/>
      <c r="G987" s="36" t="n"/>
      <c r="H987" s="36" t="n"/>
      <c r="I987" s="36" t="n"/>
      <c r="J987" s="37" t="n"/>
      <c r="K987" s="32" t="n"/>
      <c r="L987" s="36" t="n"/>
      <c r="M987" s="41" t="n"/>
      <c r="N987" s="41" t="n"/>
      <c r="O987" s="36" t="n"/>
      <c r="P987" s="33">
        <f>IF(C987="","",Commercial_Id)</f>
        <v/>
      </c>
      <c r="Q987" s="39">
        <f>IF(F987="","",IFERROR(VALUE(MID(F987,LEN(F987)-3,3)),""))</f>
        <v/>
      </c>
      <c r="R987" s="33">
        <f>IF(Q987="","",P987&amp;"|"&amp;Q987)</f>
        <v/>
      </c>
      <c r="S987" s="33">
        <f>IF(Q987="","",IF(P987="À RENSEIGNER","GIC",P987)&amp;"-"&amp;TEXT(Q987,"000"))</f>
        <v/>
      </c>
      <c r="T987" s="33">
        <f>IF(R987="","",IFERROR(INDEX(Cl_nom,MATCH(R987,Cl_cle,0)),"(client introuvable)"))</f>
        <v/>
      </c>
      <c r="U987" s="33">
        <f>IF(R987="","",IFERROR(INDEX(Cl_quartier,MATCH(R987,Cl_cle,0))&amp;"",""))</f>
        <v/>
      </c>
      <c r="V987" s="34">
        <f>IF(C987="","",YEAR(C987-WEEKDAY(C987,2)+4)&amp;"-S"&amp;TEXT(INT((C987-DATE(YEAR(C987-WEEKDAY(C987,2)+4),1,3)+WEEKDAY(DATE(YEAR(C987-WEEKDAY(C987,2)+4),1,3),2)+5)/7),"00"))</f>
        <v/>
      </c>
    </row>
    <row r="988" ht="18" customHeight="1">
      <c r="A988" s="39" t="n">
        <v>983</v>
      </c>
      <c r="B988" s="33">
        <f>IF(C988="","",IF(P988="À RENSEIGNER","GIC",P988)&amp;"-V"&amp;TEXT(A988,"00000"))</f>
        <v/>
      </c>
      <c r="C988" s="32" t="n"/>
      <c r="D988" s="35" t="n"/>
      <c r="E988" s="36" t="n"/>
      <c r="F988" s="36" t="n"/>
      <c r="G988" s="36" t="n"/>
      <c r="H988" s="36" t="n"/>
      <c r="I988" s="36" t="n"/>
      <c r="J988" s="37" t="n"/>
      <c r="K988" s="32" t="n"/>
      <c r="L988" s="36" t="n"/>
      <c r="M988" s="41" t="n"/>
      <c r="N988" s="41" t="n"/>
      <c r="O988" s="36" t="n"/>
      <c r="P988" s="33">
        <f>IF(C988="","",Commercial_Id)</f>
        <v/>
      </c>
      <c r="Q988" s="39">
        <f>IF(F988="","",IFERROR(VALUE(MID(F988,LEN(F988)-3,3)),""))</f>
        <v/>
      </c>
      <c r="R988" s="33">
        <f>IF(Q988="","",P988&amp;"|"&amp;Q988)</f>
        <v/>
      </c>
      <c r="S988" s="33">
        <f>IF(Q988="","",IF(P988="À RENSEIGNER","GIC",P988)&amp;"-"&amp;TEXT(Q988,"000"))</f>
        <v/>
      </c>
      <c r="T988" s="33">
        <f>IF(R988="","",IFERROR(INDEX(Cl_nom,MATCH(R988,Cl_cle,0)),"(client introuvable)"))</f>
        <v/>
      </c>
      <c r="U988" s="33">
        <f>IF(R988="","",IFERROR(INDEX(Cl_quartier,MATCH(R988,Cl_cle,0))&amp;"",""))</f>
        <v/>
      </c>
      <c r="V988" s="34">
        <f>IF(C988="","",YEAR(C988-WEEKDAY(C988,2)+4)&amp;"-S"&amp;TEXT(INT((C988-DATE(YEAR(C988-WEEKDAY(C988,2)+4),1,3)+WEEKDAY(DATE(YEAR(C988-WEEKDAY(C988,2)+4),1,3),2)+5)/7),"00"))</f>
        <v/>
      </c>
    </row>
    <row r="989" ht="18" customHeight="1">
      <c r="A989" s="39" t="n">
        <v>984</v>
      </c>
      <c r="B989" s="33">
        <f>IF(C989="","",IF(P989="À RENSEIGNER","GIC",P989)&amp;"-V"&amp;TEXT(A989,"00000"))</f>
        <v/>
      </c>
      <c r="C989" s="32" t="n"/>
      <c r="D989" s="35" t="n"/>
      <c r="E989" s="36" t="n"/>
      <c r="F989" s="36" t="n"/>
      <c r="G989" s="36" t="n"/>
      <c r="H989" s="36" t="n"/>
      <c r="I989" s="36" t="n"/>
      <c r="J989" s="37" t="n"/>
      <c r="K989" s="32" t="n"/>
      <c r="L989" s="36" t="n"/>
      <c r="M989" s="41" t="n"/>
      <c r="N989" s="41" t="n"/>
      <c r="O989" s="36" t="n"/>
      <c r="P989" s="33">
        <f>IF(C989="","",Commercial_Id)</f>
        <v/>
      </c>
      <c r="Q989" s="39">
        <f>IF(F989="","",IFERROR(VALUE(MID(F989,LEN(F989)-3,3)),""))</f>
        <v/>
      </c>
      <c r="R989" s="33">
        <f>IF(Q989="","",P989&amp;"|"&amp;Q989)</f>
        <v/>
      </c>
      <c r="S989" s="33">
        <f>IF(Q989="","",IF(P989="À RENSEIGNER","GIC",P989)&amp;"-"&amp;TEXT(Q989,"000"))</f>
        <v/>
      </c>
      <c r="T989" s="33">
        <f>IF(R989="","",IFERROR(INDEX(Cl_nom,MATCH(R989,Cl_cle,0)),"(client introuvable)"))</f>
        <v/>
      </c>
      <c r="U989" s="33">
        <f>IF(R989="","",IFERROR(INDEX(Cl_quartier,MATCH(R989,Cl_cle,0))&amp;"",""))</f>
        <v/>
      </c>
      <c r="V989" s="34">
        <f>IF(C989="","",YEAR(C989-WEEKDAY(C989,2)+4)&amp;"-S"&amp;TEXT(INT((C989-DATE(YEAR(C989-WEEKDAY(C989,2)+4),1,3)+WEEKDAY(DATE(YEAR(C989-WEEKDAY(C989,2)+4),1,3),2)+5)/7),"00"))</f>
        <v/>
      </c>
    </row>
    <row r="990" ht="18" customHeight="1">
      <c r="A990" s="39" t="n">
        <v>985</v>
      </c>
      <c r="B990" s="33">
        <f>IF(C990="","",IF(P990="À RENSEIGNER","GIC",P990)&amp;"-V"&amp;TEXT(A990,"00000"))</f>
        <v/>
      </c>
      <c r="C990" s="32" t="n"/>
      <c r="D990" s="35" t="n"/>
      <c r="E990" s="36" t="n"/>
      <c r="F990" s="36" t="n"/>
      <c r="G990" s="36" t="n"/>
      <c r="H990" s="36" t="n"/>
      <c r="I990" s="36" t="n"/>
      <c r="J990" s="37" t="n"/>
      <c r="K990" s="32" t="n"/>
      <c r="L990" s="36" t="n"/>
      <c r="M990" s="41" t="n"/>
      <c r="N990" s="41" t="n"/>
      <c r="O990" s="36" t="n"/>
      <c r="P990" s="33">
        <f>IF(C990="","",Commercial_Id)</f>
        <v/>
      </c>
      <c r="Q990" s="39">
        <f>IF(F990="","",IFERROR(VALUE(MID(F990,LEN(F990)-3,3)),""))</f>
        <v/>
      </c>
      <c r="R990" s="33">
        <f>IF(Q990="","",P990&amp;"|"&amp;Q990)</f>
        <v/>
      </c>
      <c r="S990" s="33">
        <f>IF(Q990="","",IF(P990="À RENSEIGNER","GIC",P990)&amp;"-"&amp;TEXT(Q990,"000"))</f>
        <v/>
      </c>
      <c r="T990" s="33">
        <f>IF(R990="","",IFERROR(INDEX(Cl_nom,MATCH(R990,Cl_cle,0)),"(client introuvable)"))</f>
        <v/>
      </c>
      <c r="U990" s="33">
        <f>IF(R990="","",IFERROR(INDEX(Cl_quartier,MATCH(R990,Cl_cle,0))&amp;"",""))</f>
        <v/>
      </c>
      <c r="V990" s="34">
        <f>IF(C990="","",YEAR(C990-WEEKDAY(C990,2)+4)&amp;"-S"&amp;TEXT(INT((C990-DATE(YEAR(C990-WEEKDAY(C990,2)+4),1,3)+WEEKDAY(DATE(YEAR(C990-WEEKDAY(C990,2)+4),1,3),2)+5)/7),"00"))</f>
        <v/>
      </c>
    </row>
    <row r="991" ht="18" customHeight="1">
      <c r="A991" s="39" t="n">
        <v>986</v>
      </c>
      <c r="B991" s="33">
        <f>IF(C991="","",IF(P991="À RENSEIGNER","GIC",P991)&amp;"-V"&amp;TEXT(A991,"00000"))</f>
        <v/>
      </c>
      <c r="C991" s="32" t="n"/>
      <c r="D991" s="35" t="n"/>
      <c r="E991" s="36" t="n"/>
      <c r="F991" s="36" t="n"/>
      <c r="G991" s="36" t="n"/>
      <c r="H991" s="36" t="n"/>
      <c r="I991" s="36" t="n"/>
      <c r="J991" s="37" t="n"/>
      <c r="K991" s="32" t="n"/>
      <c r="L991" s="36" t="n"/>
      <c r="M991" s="41" t="n"/>
      <c r="N991" s="41" t="n"/>
      <c r="O991" s="36" t="n"/>
      <c r="P991" s="33">
        <f>IF(C991="","",Commercial_Id)</f>
        <v/>
      </c>
      <c r="Q991" s="39">
        <f>IF(F991="","",IFERROR(VALUE(MID(F991,LEN(F991)-3,3)),""))</f>
        <v/>
      </c>
      <c r="R991" s="33">
        <f>IF(Q991="","",P991&amp;"|"&amp;Q991)</f>
        <v/>
      </c>
      <c r="S991" s="33">
        <f>IF(Q991="","",IF(P991="À RENSEIGNER","GIC",P991)&amp;"-"&amp;TEXT(Q991,"000"))</f>
        <v/>
      </c>
      <c r="T991" s="33">
        <f>IF(R991="","",IFERROR(INDEX(Cl_nom,MATCH(R991,Cl_cle,0)),"(client introuvable)"))</f>
        <v/>
      </c>
      <c r="U991" s="33">
        <f>IF(R991="","",IFERROR(INDEX(Cl_quartier,MATCH(R991,Cl_cle,0))&amp;"",""))</f>
        <v/>
      </c>
      <c r="V991" s="34">
        <f>IF(C991="","",YEAR(C991-WEEKDAY(C991,2)+4)&amp;"-S"&amp;TEXT(INT((C991-DATE(YEAR(C991-WEEKDAY(C991,2)+4),1,3)+WEEKDAY(DATE(YEAR(C991-WEEKDAY(C991,2)+4),1,3),2)+5)/7),"00"))</f>
        <v/>
      </c>
    </row>
    <row r="992" ht="18" customHeight="1">
      <c r="A992" s="39" t="n">
        <v>987</v>
      </c>
      <c r="B992" s="33">
        <f>IF(C992="","",IF(P992="À RENSEIGNER","GIC",P992)&amp;"-V"&amp;TEXT(A992,"00000"))</f>
        <v/>
      </c>
      <c r="C992" s="32" t="n"/>
      <c r="D992" s="35" t="n"/>
      <c r="E992" s="36" t="n"/>
      <c r="F992" s="36" t="n"/>
      <c r="G992" s="36" t="n"/>
      <c r="H992" s="36" t="n"/>
      <c r="I992" s="36" t="n"/>
      <c r="J992" s="37" t="n"/>
      <c r="K992" s="32" t="n"/>
      <c r="L992" s="36" t="n"/>
      <c r="M992" s="41" t="n"/>
      <c r="N992" s="41" t="n"/>
      <c r="O992" s="36" t="n"/>
      <c r="P992" s="33">
        <f>IF(C992="","",Commercial_Id)</f>
        <v/>
      </c>
      <c r="Q992" s="39">
        <f>IF(F992="","",IFERROR(VALUE(MID(F992,LEN(F992)-3,3)),""))</f>
        <v/>
      </c>
      <c r="R992" s="33">
        <f>IF(Q992="","",P992&amp;"|"&amp;Q992)</f>
        <v/>
      </c>
      <c r="S992" s="33">
        <f>IF(Q992="","",IF(P992="À RENSEIGNER","GIC",P992)&amp;"-"&amp;TEXT(Q992,"000"))</f>
        <v/>
      </c>
      <c r="T992" s="33">
        <f>IF(R992="","",IFERROR(INDEX(Cl_nom,MATCH(R992,Cl_cle,0)),"(client introuvable)"))</f>
        <v/>
      </c>
      <c r="U992" s="33">
        <f>IF(R992="","",IFERROR(INDEX(Cl_quartier,MATCH(R992,Cl_cle,0))&amp;"",""))</f>
        <v/>
      </c>
      <c r="V992" s="34">
        <f>IF(C992="","",YEAR(C992-WEEKDAY(C992,2)+4)&amp;"-S"&amp;TEXT(INT((C992-DATE(YEAR(C992-WEEKDAY(C992,2)+4),1,3)+WEEKDAY(DATE(YEAR(C992-WEEKDAY(C992,2)+4),1,3),2)+5)/7),"00"))</f>
        <v/>
      </c>
    </row>
    <row r="993" ht="18" customHeight="1">
      <c r="A993" s="39" t="n">
        <v>988</v>
      </c>
      <c r="B993" s="33">
        <f>IF(C993="","",IF(P993="À RENSEIGNER","GIC",P993)&amp;"-V"&amp;TEXT(A993,"00000"))</f>
        <v/>
      </c>
      <c r="C993" s="32" t="n"/>
      <c r="D993" s="35" t="n"/>
      <c r="E993" s="36" t="n"/>
      <c r="F993" s="36" t="n"/>
      <c r="G993" s="36" t="n"/>
      <c r="H993" s="36" t="n"/>
      <c r="I993" s="36" t="n"/>
      <c r="J993" s="37" t="n"/>
      <c r="K993" s="32" t="n"/>
      <c r="L993" s="36" t="n"/>
      <c r="M993" s="41" t="n"/>
      <c r="N993" s="41" t="n"/>
      <c r="O993" s="36" t="n"/>
      <c r="P993" s="33">
        <f>IF(C993="","",Commercial_Id)</f>
        <v/>
      </c>
      <c r="Q993" s="39">
        <f>IF(F993="","",IFERROR(VALUE(MID(F993,LEN(F993)-3,3)),""))</f>
        <v/>
      </c>
      <c r="R993" s="33">
        <f>IF(Q993="","",P993&amp;"|"&amp;Q993)</f>
        <v/>
      </c>
      <c r="S993" s="33">
        <f>IF(Q993="","",IF(P993="À RENSEIGNER","GIC",P993)&amp;"-"&amp;TEXT(Q993,"000"))</f>
        <v/>
      </c>
      <c r="T993" s="33">
        <f>IF(R993="","",IFERROR(INDEX(Cl_nom,MATCH(R993,Cl_cle,0)),"(client introuvable)"))</f>
        <v/>
      </c>
      <c r="U993" s="33">
        <f>IF(R993="","",IFERROR(INDEX(Cl_quartier,MATCH(R993,Cl_cle,0))&amp;"",""))</f>
        <v/>
      </c>
      <c r="V993" s="34">
        <f>IF(C993="","",YEAR(C993-WEEKDAY(C993,2)+4)&amp;"-S"&amp;TEXT(INT((C993-DATE(YEAR(C993-WEEKDAY(C993,2)+4),1,3)+WEEKDAY(DATE(YEAR(C993-WEEKDAY(C993,2)+4),1,3),2)+5)/7),"00"))</f>
        <v/>
      </c>
    </row>
    <row r="994" ht="18" customHeight="1">
      <c r="A994" s="39" t="n">
        <v>989</v>
      </c>
      <c r="B994" s="33">
        <f>IF(C994="","",IF(P994="À RENSEIGNER","GIC",P994)&amp;"-V"&amp;TEXT(A994,"00000"))</f>
        <v/>
      </c>
      <c r="C994" s="32" t="n"/>
      <c r="D994" s="35" t="n"/>
      <c r="E994" s="36" t="n"/>
      <c r="F994" s="36" t="n"/>
      <c r="G994" s="36" t="n"/>
      <c r="H994" s="36" t="n"/>
      <c r="I994" s="36" t="n"/>
      <c r="J994" s="37" t="n"/>
      <c r="K994" s="32" t="n"/>
      <c r="L994" s="36" t="n"/>
      <c r="M994" s="41" t="n"/>
      <c r="N994" s="41" t="n"/>
      <c r="O994" s="36" t="n"/>
      <c r="P994" s="33">
        <f>IF(C994="","",Commercial_Id)</f>
        <v/>
      </c>
      <c r="Q994" s="39">
        <f>IF(F994="","",IFERROR(VALUE(MID(F994,LEN(F994)-3,3)),""))</f>
        <v/>
      </c>
      <c r="R994" s="33">
        <f>IF(Q994="","",P994&amp;"|"&amp;Q994)</f>
        <v/>
      </c>
      <c r="S994" s="33">
        <f>IF(Q994="","",IF(P994="À RENSEIGNER","GIC",P994)&amp;"-"&amp;TEXT(Q994,"000"))</f>
        <v/>
      </c>
      <c r="T994" s="33">
        <f>IF(R994="","",IFERROR(INDEX(Cl_nom,MATCH(R994,Cl_cle,0)),"(client introuvable)"))</f>
        <v/>
      </c>
      <c r="U994" s="33">
        <f>IF(R994="","",IFERROR(INDEX(Cl_quartier,MATCH(R994,Cl_cle,0))&amp;"",""))</f>
        <v/>
      </c>
      <c r="V994" s="34">
        <f>IF(C994="","",YEAR(C994-WEEKDAY(C994,2)+4)&amp;"-S"&amp;TEXT(INT((C994-DATE(YEAR(C994-WEEKDAY(C994,2)+4),1,3)+WEEKDAY(DATE(YEAR(C994-WEEKDAY(C994,2)+4),1,3),2)+5)/7),"00"))</f>
        <v/>
      </c>
    </row>
    <row r="995" ht="18" customHeight="1">
      <c r="A995" s="39" t="n">
        <v>990</v>
      </c>
      <c r="B995" s="33">
        <f>IF(C995="","",IF(P995="À RENSEIGNER","GIC",P995)&amp;"-V"&amp;TEXT(A995,"00000"))</f>
        <v/>
      </c>
      <c r="C995" s="32" t="n"/>
      <c r="D995" s="35" t="n"/>
      <c r="E995" s="36" t="n"/>
      <c r="F995" s="36" t="n"/>
      <c r="G995" s="36" t="n"/>
      <c r="H995" s="36" t="n"/>
      <c r="I995" s="36" t="n"/>
      <c r="J995" s="37" t="n"/>
      <c r="K995" s="32" t="n"/>
      <c r="L995" s="36" t="n"/>
      <c r="M995" s="41" t="n"/>
      <c r="N995" s="41" t="n"/>
      <c r="O995" s="36" t="n"/>
      <c r="P995" s="33">
        <f>IF(C995="","",Commercial_Id)</f>
        <v/>
      </c>
      <c r="Q995" s="39">
        <f>IF(F995="","",IFERROR(VALUE(MID(F995,LEN(F995)-3,3)),""))</f>
        <v/>
      </c>
      <c r="R995" s="33">
        <f>IF(Q995="","",P995&amp;"|"&amp;Q995)</f>
        <v/>
      </c>
      <c r="S995" s="33">
        <f>IF(Q995="","",IF(P995="À RENSEIGNER","GIC",P995)&amp;"-"&amp;TEXT(Q995,"000"))</f>
        <v/>
      </c>
      <c r="T995" s="33">
        <f>IF(R995="","",IFERROR(INDEX(Cl_nom,MATCH(R995,Cl_cle,0)),"(client introuvable)"))</f>
        <v/>
      </c>
      <c r="U995" s="33">
        <f>IF(R995="","",IFERROR(INDEX(Cl_quartier,MATCH(R995,Cl_cle,0))&amp;"",""))</f>
        <v/>
      </c>
      <c r="V995" s="34">
        <f>IF(C995="","",YEAR(C995-WEEKDAY(C995,2)+4)&amp;"-S"&amp;TEXT(INT((C995-DATE(YEAR(C995-WEEKDAY(C995,2)+4),1,3)+WEEKDAY(DATE(YEAR(C995-WEEKDAY(C995,2)+4),1,3),2)+5)/7),"00"))</f>
        <v/>
      </c>
    </row>
    <row r="996" ht="18" customHeight="1">
      <c r="A996" s="39" t="n">
        <v>991</v>
      </c>
      <c r="B996" s="33">
        <f>IF(C996="","",IF(P996="À RENSEIGNER","GIC",P996)&amp;"-V"&amp;TEXT(A996,"00000"))</f>
        <v/>
      </c>
      <c r="C996" s="32" t="n"/>
      <c r="D996" s="35" t="n"/>
      <c r="E996" s="36" t="n"/>
      <c r="F996" s="36" t="n"/>
      <c r="G996" s="36" t="n"/>
      <c r="H996" s="36" t="n"/>
      <c r="I996" s="36" t="n"/>
      <c r="J996" s="37" t="n"/>
      <c r="K996" s="32" t="n"/>
      <c r="L996" s="36" t="n"/>
      <c r="M996" s="41" t="n"/>
      <c r="N996" s="41" t="n"/>
      <c r="O996" s="36" t="n"/>
      <c r="P996" s="33">
        <f>IF(C996="","",Commercial_Id)</f>
        <v/>
      </c>
      <c r="Q996" s="39">
        <f>IF(F996="","",IFERROR(VALUE(MID(F996,LEN(F996)-3,3)),""))</f>
        <v/>
      </c>
      <c r="R996" s="33">
        <f>IF(Q996="","",P996&amp;"|"&amp;Q996)</f>
        <v/>
      </c>
      <c r="S996" s="33">
        <f>IF(Q996="","",IF(P996="À RENSEIGNER","GIC",P996)&amp;"-"&amp;TEXT(Q996,"000"))</f>
        <v/>
      </c>
      <c r="T996" s="33">
        <f>IF(R996="","",IFERROR(INDEX(Cl_nom,MATCH(R996,Cl_cle,0)),"(client introuvable)"))</f>
        <v/>
      </c>
      <c r="U996" s="33">
        <f>IF(R996="","",IFERROR(INDEX(Cl_quartier,MATCH(R996,Cl_cle,0))&amp;"",""))</f>
        <v/>
      </c>
      <c r="V996" s="34">
        <f>IF(C996="","",YEAR(C996-WEEKDAY(C996,2)+4)&amp;"-S"&amp;TEXT(INT((C996-DATE(YEAR(C996-WEEKDAY(C996,2)+4),1,3)+WEEKDAY(DATE(YEAR(C996-WEEKDAY(C996,2)+4),1,3),2)+5)/7),"00"))</f>
        <v/>
      </c>
    </row>
    <row r="997" ht="18" customHeight="1">
      <c r="A997" s="39" t="n">
        <v>992</v>
      </c>
      <c r="B997" s="33">
        <f>IF(C997="","",IF(P997="À RENSEIGNER","GIC",P997)&amp;"-V"&amp;TEXT(A997,"00000"))</f>
        <v/>
      </c>
      <c r="C997" s="32" t="n"/>
      <c r="D997" s="35" t="n"/>
      <c r="E997" s="36" t="n"/>
      <c r="F997" s="36" t="n"/>
      <c r="G997" s="36" t="n"/>
      <c r="H997" s="36" t="n"/>
      <c r="I997" s="36" t="n"/>
      <c r="J997" s="37" t="n"/>
      <c r="K997" s="32" t="n"/>
      <c r="L997" s="36" t="n"/>
      <c r="M997" s="41" t="n"/>
      <c r="N997" s="41" t="n"/>
      <c r="O997" s="36" t="n"/>
      <c r="P997" s="33">
        <f>IF(C997="","",Commercial_Id)</f>
        <v/>
      </c>
      <c r="Q997" s="39">
        <f>IF(F997="","",IFERROR(VALUE(MID(F997,LEN(F997)-3,3)),""))</f>
        <v/>
      </c>
      <c r="R997" s="33">
        <f>IF(Q997="","",P997&amp;"|"&amp;Q997)</f>
        <v/>
      </c>
      <c r="S997" s="33">
        <f>IF(Q997="","",IF(P997="À RENSEIGNER","GIC",P997)&amp;"-"&amp;TEXT(Q997,"000"))</f>
        <v/>
      </c>
      <c r="T997" s="33">
        <f>IF(R997="","",IFERROR(INDEX(Cl_nom,MATCH(R997,Cl_cle,0)),"(client introuvable)"))</f>
        <v/>
      </c>
      <c r="U997" s="33">
        <f>IF(R997="","",IFERROR(INDEX(Cl_quartier,MATCH(R997,Cl_cle,0))&amp;"",""))</f>
        <v/>
      </c>
      <c r="V997" s="34">
        <f>IF(C997="","",YEAR(C997-WEEKDAY(C997,2)+4)&amp;"-S"&amp;TEXT(INT((C997-DATE(YEAR(C997-WEEKDAY(C997,2)+4),1,3)+WEEKDAY(DATE(YEAR(C997-WEEKDAY(C997,2)+4),1,3),2)+5)/7),"00"))</f>
        <v/>
      </c>
    </row>
    <row r="998" ht="18" customHeight="1">
      <c r="A998" s="39" t="n">
        <v>993</v>
      </c>
      <c r="B998" s="33">
        <f>IF(C998="","",IF(P998="À RENSEIGNER","GIC",P998)&amp;"-V"&amp;TEXT(A998,"00000"))</f>
        <v/>
      </c>
      <c r="C998" s="32" t="n"/>
      <c r="D998" s="35" t="n"/>
      <c r="E998" s="36" t="n"/>
      <c r="F998" s="36" t="n"/>
      <c r="G998" s="36" t="n"/>
      <c r="H998" s="36" t="n"/>
      <c r="I998" s="36" t="n"/>
      <c r="J998" s="37" t="n"/>
      <c r="K998" s="32" t="n"/>
      <c r="L998" s="36" t="n"/>
      <c r="M998" s="41" t="n"/>
      <c r="N998" s="41" t="n"/>
      <c r="O998" s="36" t="n"/>
      <c r="P998" s="33">
        <f>IF(C998="","",Commercial_Id)</f>
        <v/>
      </c>
      <c r="Q998" s="39">
        <f>IF(F998="","",IFERROR(VALUE(MID(F998,LEN(F998)-3,3)),""))</f>
        <v/>
      </c>
      <c r="R998" s="33">
        <f>IF(Q998="","",P998&amp;"|"&amp;Q998)</f>
        <v/>
      </c>
      <c r="S998" s="33">
        <f>IF(Q998="","",IF(P998="À RENSEIGNER","GIC",P998)&amp;"-"&amp;TEXT(Q998,"000"))</f>
        <v/>
      </c>
      <c r="T998" s="33">
        <f>IF(R998="","",IFERROR(INDEX(Cl_nom,MATCH(R998,Cl_cle,0)),"(client introuvable)"))</f>
        <v/>
      </c>
      <c r="U998" s="33">
        <f>IF(R998="","",IFERROR(INDEX(Cl_quartier,MATCH(R998,Cl_cle,0))&amp;"",""))</f>
        <v/>
      </c>
      <c r="V998" s="34">
        <f>IF(C998="","",YEAR(C998-WEEKDAY(C998,2)+4)&amp;"-S"&amp;TEXT(INT((C998-DATE(YEAR(C998-WEEKDAY(C998,2)+4),1,3)+WEEKDAY(DATE(YEAR(C998-WEEKDAY(C998,2)+4),1,3),2)+5)/7),"00"))</f>
        <v/>
      </c>
    </row>
    <row r="999" ht="18" customHeight="1">
      <c r="A999" s="39" t="n">
        <v>994</v>
      </c>
      <c r="B999" s="33">
        <f>IF(C999="","",IF(P999="À RENSEIGNER","GIC",P999)&amp;"-V"&amp;TEXT(A999,"00000"))</f>
        <v/>
      </c>
      <c r="C999" s="32" t="n"/>
      <c r="D999" s="35" t="n"/>
      <c r="E999" s="36" t="n"/>
      <c r="F999" s="36" t="n"/>
      <c r="G999" s="36" t="n"/>
      <c r="H999" s="36" t="n"/>
      <c r="I999" s="36" t="n"/>
      <c r="J999" s="37" t="n"/>
      <c r="K999" s="32" t="n"/>
      <c r="L999" s="36" t="n"/>
      <c r="M999" s="41" t="n"/>
      <c r="N999" s="41" t="n"/>
      <c r="O999" s="36" t="n"/>
      <c r="P999" s="33">
        <f>IF(C999="","",Commercial_Id)</f>
        <v/>
      </c>
      <c r="Q999" s="39">
        <f>IF(F999="","",IFERROR(VALUE(MID(F999,LEN(F999)-3,3)),""))</f>
        <v/>
      </c>
      <c r="R999" s="33">
        <f>IF(Q999="","",P999&amp;"|"&amp;Q999)</f>
        <v/>
      </c>
      <c r="S999" s="33">
        <f>IF(Q999="","",IF(P999="À RENSEIGNER","GIC",P999)&amp;"-"&amp;TEXT(Q999,"000"))</f>
        <v/>
      </c>
      <c r="T999" s="33">
        <f>IF(R999="","",IFERROR(INDEX(Cl_nom,MATCH(R999,Cl_cle,0)),"(client introuvable)"))</f>
        <v/>
      </c>
      <c r="U999" s="33">
        <f>IF(R999="","",IFERROR(INDEX(Cl_quartier,MATCH(R999,Cl_cle,0))&amp;"",""))</f>
        <v/>
      </c>
      <c r="V999" s="34">
        <f>IF(C999="","",YEAR(C999-WEEKDAY(C999,2)+4)&amp;"-S"&amp;TEXT(INT((C999-DATE(YEAR(C999-WEEKDAY(C999,2)+4),1,3)+WEEKDAY(DATE(YEAR(C999-WEEKDAY(C999,2)+4),1,3),2)+5)/7),"00"))</f>
        <v/>
      </c>
    </row>
    <row r="1000" ht="18" customHeight="1">
      <c r="A1000" s="39" t="n">
        <v>995</v>
      </c>
      <c r="B1000" s="33">
        <f>IF(C1000="","",IF(P1000="À RENSEIGNER","GIC",P1000)&amp;"-V"&amp;TEXT(A1000,"00000"))</f>
        <v/>
      </c>
      <c r="C1000" s="32" t="n"/>
      <c r="D1000" s="35" t="n"/>
      <c r="E1000" s="36" t="n"/>
      <c r="F1000" s="36" t="n"/>
      <c r="G1000" s="36" t="n"/>
      <c r="H1000" s="36" t="n"/>
      <c r="I1000" s="36" t="n"/>
      <c r="J1000" s="37" t="n"/>
      <c r="K1000" s="32" t="n"/>
      <c r="L1000" s="36" t="n"/>
      <c r="M1000" s="41" t="n"/>
      <c r="N1000" s="41" t="n"/>
      <c r="O1000" s="36" t="n"/>
      <c r="P1000" s="33">
        <f>IF(C1000="","",Commercial_Id)</f>
        <v/>
      </c>
      <c r="Q1000" s="39">
        <f>IF(F1000="","",IFERROR(VALUE(MID(F1000,LEN(F1000)-3,3)),""))</f>
        <v/>
      </c>
      <c r="R1000" s="33">
        <f>IF(Q1000="","",P1000&amp;"|"&amp;Q1000)</f>
        <v/>
      </c>
      <c r="S1000" s="33">
        <f>IF(Q1000="","",IF(P1000="À RENSEIGNER","GIC",P1000)&amp;"-"&amp;TEXT(Q1000,"000"))</f>
        <v/>
      </c>
      <c r="T1000" s="33">
        <f>IF(R1000="","",IFERROR(INDEX(Cl_nom,MATCH(R1000,Cl_cle,0)),"(client introuvable)"))</f>
        <v/>
      </c>
      <c r="U1000" s="33">
        <f>IF(R1000="","",IFERROR(INDEX(Cl_quartier,MATCH(R1000,Cl_cle,0))&amp;"",""))</f>
        <v/>
      </c>
      <c r="V1000" s="34">
        <f>IF(C1000="","",YEAR(C1000-WEEKDAY(C1000,2)+4)&amp;"-S"&amp;TEXT(INT((C1000-DATE(YEAR(C1000-WEEKDAY(C1000,2)+4),1,3)+WEEKDAY(DATE(YEAR(C1000-WEEKDAY(C1000,2)+4),1,3),2)+5)/7),"00"))</f>
        <v/>
      </c>
    </row>
    <row r="1001" ht="18" customHeight="1">
      <c r="A1001" s="39" t="n">
        <v>996</v>
      </c>
      <c r="B1001" s="33">
        <f>IF(C1001="","",IF(P1001="À RENSEIGNER","GIC",P1001)&amp;"-V"&amp;TEXT(A1001,"00000"))</f>
        <v/>
      </c>
      <c r="C1001" s="32" t="n"/>
      <c r="D1001" s="35" t="n"/>
      <c r="E1001" s="36" t="n"/>
      <c r="F1001" s="36" t="n"/>
      <c r="G1001" s="36" t="n"/>
      <c r="H1001" s="36" t="n"/>
      <c r="I1001" s="36" t="n"/>
      <c r="J1001" s="37" t="n"/>
      <c r="K1001" s="32" t="n"/>
      <c r="L1001" s="36" t="n"/>
      <c r="M1001" s="41" t="n"/>
      <c r="N1001" s="41" t="n"/>
      <c r="O1001" s="36" t="n"/>
      <c r="P1001" s="33">
        <f>IF(C1001="","",Commercial_Id)</f>
        <v/>
      </c>
      <c r="Q1001" s="39">
        <f>IF(F1001="","",IFERROR(VALUE(MID(F1001,LEN(F1001)-3,3)),""))</f>
        <v/>
      </c>
      <c r="R1001" s="33">
        <f>IF(Q1001="","",P1001&amp;"|"&amp;Q1001)</f>
        <v/>
      </c>
      <c r="S1001" s="33">
        <f>IF(Q1001="","",IF(P1001="À RENSEIGNER","GIC",P1001)&amp;"-"&amp;TEXT(Q1001,"000"))</f>
        <v/>
      </c>
      <c r="T1001" s="33">
        <f>IF(R1001="","",IFERROR(INDEX(Cl_nom,MATCH(R1001,Cl_cle,0)),"(client introuvable)"))</f>
        <v/>
      </c>
      <c r="U1001" s="33">
        <f>IF(R1001="","",IFERROR(INDEX(Cl_quartier,MATCH(R1001,Cl_cle,0))&amp;"",""))</f>
        <v/>
      </c>
      <c r="V1001" s="34">
        <f>IF(C1001="","",YEAR(C1001-WEEKDAY(C1001,2)+4)&amp;"-S"&amp;TEXT(INT((C1001-DATE(YEAR(C1001-WEEKDAY(C1001,2)+4),1,3)+WEEKDAY(DATE(YEAR(C1001-WEEKDAY(C1001,2)+4),1,3),2)+5)/7),"00"))</f>
        <v/>
      </c>
    </row>
    <row r="1002" ht="18" customHeight="1">
      <c r="A1002" s="39" t="n">
        <v>997</v>
      </c>
      <c r="B1002" s="33">
        <f>IF(C1002="","",IF(P1002="À RENSEIGNER","GIC",P1002)&amp;"-V"&amp;TEXT(A1002,"00000"))</f>
        <v/>
      </c>
      <c r="C1002" s="32" t="n"/>
      <c r="D1002" s="35" t="n"/>
      <c r="E1002" s="36" t="n"/>
      <c r="F1002" s="36" t="n"/>
      <c r="G1002" s="36" t="n"/>
      <c r="H1002" s="36" t="n"/>
      <c r="I1002" s="36" t="n"/>
      <c r="J1002" s="37" t="n"/>
      <c r="K1002" s="32" t="n"/>
      <c r="L1002" s="36" t="n"/>
      <c r="M1002" s="41" t="n"/>
      <c r="N1002" s="41" t="n"/>
      <c r="O1002" s="36" t="n"/>
      <c r="P1002" s="33">
        <f>IF(C1002="","",Commercial_Id)</f>
        <v/>
      </c>
      <c r="Q1002" s="39">
        <f>IF(F1002="","",IFERROR(VALUE(MID(F1002,LEN(F1002)-3,3)),""))</f>
        <v/>
      </c>
      <c r="R1002" s="33">
        <f>IF(Q1002="","",P1002&amp;"|"&amp;Q1002)</f>
        <v/>
      </c>
      <c r="S1002" s="33">
        <f>IF(Q1002="","",IF(P1002="À RENSEIGNER","GIC",P1002)&amp;"-"&amp;TEXT(Q1002,"000"))</f>
        <v/>
      </c>
      <c r="T1002" s="33">
        <f>IF(R1002="","",IFERROR(INDEX(Cl_nom,MATCH(R1002,Cl_cle,0)),"(client introuvable)"))</f>
        <v/>
      </c>
      <c r="U1002" s="33">
        <f>IF(R1002="","",IFERROR(INDEX(Cl_quartier,MATCH(R1002,Cl_cle,0))&amp;"",""))</f>
        <v/>
      </c>
      <c r="V1002" s="34">
        <f>IF(C1002="","",YEAR(C1002-WEEKDAY(C1002,2)+4)&amp;"-S"&amp;TEXT(INT((C1002-DATE(YEAR(C1002-WEEKDAY(C1002,2)+4),1,3)+WEEKDAY(DATE(YEAR(C1002-WEEKDAY(C1002,2)+4),1,3),2)+5)/7),"00"))</f>
        <v/>
      </c>
    </row>
    <row r="1003" ht="18" customHeight="1">
      <c r="A1003" s="39" t="n">
        <v>998</v>
      </c>
      <c r="B1003" s="33">
        <f>IF(C1003="","",IF(P1003="À RENSEIGNER","GIC",P1003)&amp;"-V"&amp;TEXT(A1003,"00000"))</f>
        <v/>
      </c>
      <c r="C1003" s="32" t="n"/>
      <c r="D1003" s="35" t="n"/>
      <c r="E1003" s="36" t="n"/>
      <c r="F1003" s="36" t="n"/>
      <c r="G1003" s="36" t="n"/>
      <c r="H1003" s="36" t="n"/>
      <c r="I1003" s="36" t="n"/>
      <c r="J1003" s="37" t="n"/>
      <c r="K1003" s="32" t="n"/>
      <c r="L1003" s="36" t="n"/>
      <c r="M1003" s="41" t="n"/>
      <c r="N1003" s="41" t="n"/>
      <c r="O1003" s="36" t="n"/>
      <c r="P1003" s="33">
        <f>IF(C1003="","",Commercial_Id)</f>
        <v/>
      </c>
      <c r="Q1003" s="39">
        <f>IF(F1003="","",IFERROR(VALUE(MID(F1003,LEN(F1003)-3,3)),""))</f>
        <v/>
      </c>
      <c r="R1003" s="33">
        <f>IF(Q1003="","",P1003&amp;"|"&amp;Q1003)</f>
        <v/>
      </c>
      <c r="S1003" s="33">
        <f>IF(Q1003="","",IF(P1003="À RENSEIGNER","GIC",P1003)&amp;"-"&amp;TEXT(Q1003,"000"))</f>
        <v/>
      </c>
      <c r="T1003" s="33">
        <f>IF(R1003="","",IFERROR(INDEX(Cl_nom,MATCH(R1003,Cl_cle,0)),"(client introuvable)"))</f>
        <v/>
      </c>
      <c r="U1003" s="33">
        <f>IF(R1003="","",IFERROR(INDEX(Cl_quartier,MATCH(R1003,Cl_cle,0))&amp;"",""))</f>
        <v/>
      </c>
      <c r="V1003" s="34">
        <f>IF(C1003="","",YEAR(C1003-WEEKDAY(C1003,2)+4)&amp;"-S"&amp;TEXT(INT((C1003-DATE(YEAR(C1003-WEEKDAY(C1003,2)+4),1,3)+WEEKDAY(DATE(YEAR(C1003-WEEKDAY(C1003,2)+4),1,3),2)+5)/7),"00"))</f>
        <v/>
      </c>
    </row>
    <row r="1004" ht="18" customHeight="1">
      <c r="A1004" s="39" t="n">
        <v>999</v>
      </c>
      <c r="B1004" s="33">
        <f>IF(C1004="","",IF(P1004="À RENSEIGNER","GIC",P1004)&amp;"-V"&amp;TEXT(A1004,"00000"))</f>
        <v/>
      </c>
      <c r="C1004" s="32" t="n"/>
      <c r="D1004" s="35" t="n"/>
      <c r="E1004" s="36" t="n"/>
      <c r="F1004" s="36" t="n"/>
      <c r="G1004" s="36" t="n"/>
      <c r="H1004" s="36" t="n"/>
      <c r="I1004" s="36" t="n"/>
      <c r="J1004" s="37" t="n"/>
      <c r="K1004" s="32" t="n"/>
      <c r="L1004" s="36" t="n"/>
      <c r="M1004" s="41" t="n"/>
      <c r="N1004" s="41" t="n"/>
      <c r="O1004" s="36" t="n"/>
      <c r="P1004" s="33">
        <f>IF(C1004="","",Commercial_Id)</f>
        <v/>
      </c>
      <c r="Q1004" s="39">
        <f>IF(F1004="","",IFERROR(VALUE(MID(F1004,LEN(F1004)-3,3)),""))</f>
        <v/>
      </c>
      <c r="R1004" s="33">
        <f>IF(Q1004="","",P1004&amp;"|"&amp;Q1004)</f>
        <v/>
      </c>
      <c r="S1004" s="33">
        <f>IF(Q1004="","",IF(P1004="À RENSEIGNER","GIC",P1004)&amp;"-"&amp;TEXT(Q1004,"000"))</f>
        <v/>
      </c>
      <c r="T1004" s="33">
        <f>IF(R1004="","",IFERROR(INDEX(Cl_nom,MATCH(R1004,Cl_cle,0)),"(client introuvable)"))</f>
        <v/>
      </c>
      <c r="U1004" s="33">
        <f>IF(R1004="","",IFERROR(INDEX(Cl_quartier,MATCH(R1004,Cl_cle,0))&amp;"",""))</f>
        <v/>
      </c>
      <c r="V1004" s="34">
        <f>IF(C1004="","",YEAR(C1004-WEEKDAY(C1004,2)+4)&amp;"-S"&amp;TEXT(INT((C1004-DATE(YEAR(C1004-WEEKDAY(C1004,2)+4),1,3)+WEEKDAY(DATE(YEAR(C1004-WEEKDAY(C1004,2)+4),1,3),2)+5)/7),"00"))</f>
        <v/>
      </c>
    </row>
    <row r="1005" ht="18" customHeight="1">
      <c r="A1005" s="39" t="n">
        <v>1000</v>
      </c>
      <c r="B1005" s="33">
        <f>IF(C1005="","",IF(P1005="À RENSEIGNER","GIC",P1005)&amp;"-V"&amp;TEXT(A1005,"00000"))</f>
        <v/>
      </c>
      <c r="C1005" s="32" t="n"/>
      <c r="D1005" s="35" t="n"/>
      <c r="E1005" s="36" t="n"/>
      <c r="F1005" s="36" t="n"/>
      <c r="G1005" s="36" t="n"/>
      <c r="H1005" s="36" t="n"/>
      <c r="I1005" s="36" t="n"/>
      <c r="J1005" s="37" t="n"/>
      <c r="K1005" s="32" t="n"/>
      <c r="L1005" s="36" t="n"/>
      <c r="M1005" s="41" t="n"/>
      <c r="N1005" s="41" t="n"/>
      <c r="O1005" s="36" t="n"/>
      <c r="P1005" s="33">
        <f>IF(C1005="","",Commercial_Id)</f>
        <v/>
      </c>
      <c r="Q1005" s="39">
        <f>IF(F1005="","",IFERROR(VALUE(MID(F1005,LEN(F1005)-3,3)),""))</f>
        <v/>
      </c>
      <c r="R1005" s="33">
        <f>IF(Q1005="","",P1005&amp;"|"&amp;Q1005)</f>
        <v/>
      </c>
      <c r="S1005" s="33">
        <f>IF(Q1005="","",IF(P1005="À RENSEIGNER","GIC",P1005)&amp;"-"&amp;TEXT(Q1005,"000"))</f>
        <v/>
      </c>
      <c r="T1005" s="33">
        <f>IF(R1005="","",IFERROR(INDEX(Cl_nom,MATCH(R1005,Cl_cle,0)),"(client introuvable)"))</f>
        <v/>
      </c>
      <c r="U1005" s="33">
        <f>IF(R1005="","",IFERROR(INDEX(Cl_quartier,MATCH(R1005,Cl_cle,0))&amp;"",""))</f>
        <v/>
      </c>
      <c r="V1005" s="34">
        <f>IF(C1005="","",YEAR(C1005-WEEKDAY(C1005,2)+4)&amp;"-S"&amp;TEXT(INT((C1005-DATE(YEAR(C1005-WEEKDAY(C1005,2)+4),1,3)+WEEKDAY(DATE(YEAR(C1005-WEEKDAY(C1005,2)+4),1,3),2)+5)/7),"00"))</f>
        <v/>
      </c>
    </row>
    <row r="1006" ht="18" customHeight="1">
      <c r="A1006" s="39" t="n">
        <v>1001</v>
      </c>
      <c r="B1006" s="33">
        <f>IF(C1006="","",IF(P1006="À RENSEIGNER","GIC",P1006)&amp;"-V"&amp;TEXT(A1006,"00000"))</f>
        <v/>
      </c>
      <c r="C1006" s="32" t="n"/>
      <c r="D1006" s="35" t="n"/>
      <c r="E1006" s="36" t="n"/>
      <c r="F1006" s="36" t="n"/>
      <c r="G1006" s="36" t="n"/>
      <c r="H1006" s="36" t="n"/>
      <c r="I1006" s="36" t="n"/>
      <c r="J1006" s="37" t="n"/>
      <c r="K1006" s="32" t="n"/>
      <c r="L1006" s="36" t="n"/>
      <c r="M1006" s="41" t="n"/>
      <c r="N1006" s="41" t="n"/>
      <c r="O1006" s="36" t="n"/>
      <c r="P1006" s="33">
        <f>IF(C1006="","",Commercial_Id)</f>
        <v/>
      </c>
      <c r="Q1006" s="39">
        <f>IF(F1006="","",IFERROR(VALUE(MID(F1006,LEN(F1006)-3,3)),""))</f>
        <v/>
      </c>
      <c r="R1006" s="33">
        <f>IF(Q1006="","",P1006&amp;"|"&amp;Q1006)</f>
        <v/>
      </c>
      <c r="S1006" s="33">
        <f>IF(Q1006="","",IF(P1006="À RENSEIGNER","GIC",P1006)&amp;"-"&amp;TEXT(Q1006,"000"))</f>
        <v/>
      </c>
      <c r="T1006" s="33">
        <f>IF(R1006="","",IFERROR(INDEX(Cl_nom,MATCH(R1006,Cl_cle,0)),"(client introuvable)"))</f>
        <v/>
      </c>
      <c r="U1006" s="33">
        <f>IF(R1006="","",IFERROR(INDEX(Cl_quartier,MATCH(R1006,Cl_cle,0))&amp;"",""))</f>
        <v/>
      </c>
      <c r="V1006" s="34">
        <f>IF(C1006="","",YEAR(C1006-WEEKDAY(C1006,2)+4)&amp;"-S"&amp;TEXT(INT((C1006-DATE(YEAR(C1006-WEEKDAY(C1006,2)+4),1,3)+WEEKDAY(DATE(YEAR(C1006-WEEKDAY(C1006,2)+4),1,3),2)+5)/7),"00"))</f>
        <v/>
      </c>
    </row>
    <row r="1007" ht="18" customHeight="1">
      <c r="A1007" s="39" t="n">
        <v>1002</v>
      </c>
      <c r="B1007" s="33">
        <f>IF(C1007="","",IF(P1007="À RENSEIGNER","GIC",P1007)&amp;"-V"&amp;TEXT(A1007,"00000"))</f>
        <v/>
      </c>
      <c r="C1007" s="32" t="n"/>
      <c r="D1007" s="35" t="n"/>
      <c r="E1007" s="36" t="n"/>
      <c r="F1007" s="36" t="n"/>
      <c r="G1007" s="36" t="n"/>
      <c r="H1007" s="36" t="n"/>
      <c r="I1007" s="36" t="n"/>
      <c r="J1007" s="37" t="n"/>
      <c r="K1007" s="32" t="n"/>
      <c r="L1007" s="36" t="n"/>
      <c r="M1007" s="41" t="n"/>
      <c r="N1007" s="41" t="n"/>
      <c r="O1007" s="36" t="n"/>
      <c r="P1007" s="33">
        <f>IF(C1007="","",Commercial_Id)</f>
        <v/>
      </c>
      <c r="Q1007" s="39">
        <f>IF(F1007="","",IFERROR(VALUE(MID(F1007,LEN(F1007)-3,3)),""))</f>
        <v/>
      </c>
      <c r="R1007" s="33">
        <f>IF(Q1007="","",P1007&amp;"|"&amp;Q1007)</f>
        <v/>
      </c>
      <c r="S1007" s="33">
        <f>IF(Q1007="","",IF(P1007="À RENSEIGNER","GIC",P1007)&amp;"-"&amp;TEXT(Q1007,"000"))</f>
        <v/>
      </c>
      <c r="T1007" s="33">
        <f>IF(R1007="","",IFERROR(INDEX(Cl_nom,MATCH(R1007,Cl_cle,0)),"(client introuvable)"))</f>
        <v/>
      </c>
      <c r="U1007" s="33">
        <f>IF(R1007="","",IFERROR(INDEX(Cl_quartier,MATCH(R1007,Cl_cle,0))&amp;"",""))</f>
        <v/>
      </c>
      <c r="V1007" s="34">
        <f>IF(C1007="","",YEAR(C1007-WEEKDAY(C1007,2)+4)&amp;"-S"&amp;TEXT(INT((C1007-DATE(YEAR(C1007-WEEKDAY(C1007,2)+4),1,3)+WEEKDAY(DATE(YEAR(C1007-WEEKDAY(C1007,2)+4),1,3),2)+5)/7),"00"))</f>
        <v/>
      </c>
    </row>
    <row r="1008" ht="18" customHeight="1">
      <c r="A1008" s="39" t="n">
        <v>1003</v>
      </c>
      <c r="B1008" s="33">
        <f>IF(C1008="","",IF(P1008="À RENSEIGNER","GIC",P1008)&amp;"-V"&amp;TEXT(A1008,"00000"))</f>
        <v/>
      </c>
      <c r="C1008" s="32" t="n"/>
      <c r="D1008" s="35" t="n"/>
      <c r="E1008" s="36" t="n"/>
      <c r="F1008" s="36" t="n"/>
      <c r="G1008" s="36" t="n"/>
      <c r="H1008" s="36" t="n"/>
      <c r="I1008" s="36" t="n"/>
      <c r="J1008" s="37" t="n"/>
      <c r="K1008" s="32" t="n"/>
      <c r="L1008" s="36" t="n"/>
      <c r="M1008" s="41" t="n"/>
      <c r="N1008" s="41" t="n"/>
      <c r="O1008" s="36" t="n"/>
      <c r="P1008" s="33">
        <f>IF(C1008="","",Commercial_Id)</f>
        <v/>
      </c>
      <c r="Q1008" s="39">
        <f>IF(F1008="","",IFERROR(VALUE(MID(F1008,LEN(F1008)-3,3)),""))</f>
        <v/>
      </c>
      <c r="R1008" s="33">
        <f>IF(Q1008="","",P1008&amp;"|"&amp;Q1008)</f>
        <v/>
      </c>
      <c r="S1008" s="33">
        <f>IF(Q1008="","",IF(P1008="À RENSEIGNER","GIC",P1008)&amp;"-"&amp;TEXT(Q1008,"000"))</f>
        <v/>
      </c>
      <c r="T1008" s="33">
        <f>IF(R1008="","",IFERROR(INDEX(Cl_nom,MATCH(R1008,Cl_cle,0)),"(client introuvable)"))</f>
        <v/>
      </c>
      <c r="U1008" s="33">
        <f>IF(R1008="","",IFERROR(INDEX(Cl_quartier,MATCH(R1008,Cl_cle,0))&amp;"",""))</f>
        <v/>
      </c>
      <c r="V1008" s="34">
        <f>IF(C1008="","",YEAR(C1008-WEEKDAY(C1008,2)+4)&amp;"-S"&amp;TEXT(INT((C1008-DATE(YEAR(C1008-WEEKDAY(C1008,2)+4),1,3)+WEEKDAY(DATE(YEAR(C1008-WEEKDAY(C1008,2)+4),1,3),2)+5)/7),"00"))</f>
        <v/>
      </c>
    </row>
    <row r="1009" ht="18" customHeight="1">
      <c r="A1009" s="39" t="n">
        <v>1004</v>
      </c>
      <c r="B1009" s="33">
        <f>IF(C1009="","",IF(P1009="À RENSEIGNER","GIC",P1009)&amp;"-V"&amp;TEXT(A1009,"00000"))</f>
        <v/>
      </c>
      <c r="C1009" s="32" t="n"/>
      <c r="D1009" s="35" t="n"/>
      <c r="E1009" s="36" t="n"/>
      <c r="F1009" s="36" t="n"/>
      <c r="G1009" s="36" t="n"/>
      <c r="H1009" s="36" t="n"/>
      <c r="I1009" s="36" t="n"/>
      <c r="J1009" s="37" t="n"/>
      <c r="K1009" s="32" t="n"/>
      <c r="L1009" s="36" t="n"/>
      <c r="M1009" s="41" t="n"/>
      <c r="N1009" s="41" t="n"/>
      <c r="O1009" s="36" t="n"/>
      <c r="P1009" s="33">
        <f>IF(C1009="","",Commercial_Id)</f>
        <v/>
      </c>
      <c r="Q1009" s="39">
        <f>IF(F1009="","",IFERROR(VALUE(MID(F1009,LEN(F1009)-3,3)),""))</f>
        <v/>
      </c>
      <c r="R1009" s="33">
        <f>IF(Q1009="","",P1009&amp;"|"&amp;Q1009)</f>
        <v/>
      </c>
      <c r="S1009" s="33">
        <f>IF(Q1009="","",IF(P1009="À RENSEIGNER","GIC",P1009)&amp;"-"&amp;TEXT(Q1009,"000"))</f>
        <v/>
      </c>
      <c r="T1009" s="33">
        <f>IF(R1009="","",IFERROR(INDEX(Cl_nom,MATCH(R1009,Cl_cle,0)),"(client introuvable)"))</f>
        <v/>
      </c>
      <c r="U1009" s="33">
        <f>IF(R1009="","",IFERROR(INDEX(Cl_quartier,MATCH(R1009,Cl_cle,0))&amp;"",""))</f>
        <v/>
      </c>
      <c r="V1009" s="34">
        <f>IF(C1009="","",YEAR(C1009-WEEKDAY(C1009,2)+4)&amp;"-S"&amp;TEXT(INT((C1009-DATE(YEAR(C1009-WEEKDAY(C1009,2)+4),1,3)+WEEKDAY(DATE(YEAR(C1009-WEEKDAY(C1009,2)+4),1,3),2)+5)/7),"00"))</f>
        <v/>
      </c>
    </row>
    <row r="1010" ht="18" customHeight="1">
      <c r="A1010" s="39" t="n">
        <v>1005</v>
      </c>
      <c r="B1010" s="33">
        <f>IF(C1010="","",IF(P1010="À RENSEIGNER","GIC",P1010)&amp;"-V"&amp;TEXT(A1010,"00000"))</f>
        <v/>
      </c>
      <c r="C1010" s="32" t="n"/>
      <c r="D1010" s="35" t="n"/>
      <c r="E1010" s="36" t="n"/>
      <c r="F1010" s="36" t="n"/>
      <c r="G1010" s="36" t="n"/>
      <c r="H1010" s="36" t="n"/>
      <c r="I1010" s="36" t="n"/>
      <c r="J1010" s="37" t="n"/>
      <c r="K1010" s="32" t="n"/>
      <c r="L1010" s="36" t="n"/>
      <c r="M1010" s="41" t="n"/>
      <c r="N1010" s="41" t="n"/>
      <c r="O1010" s="36" t="n"/>
      <c r="P1010" s="33">
        <f>IF(C1010="","",Commercial_Id)</f>
        <v/>
      </c>
      <c r="Q1010" s="39">
        <f>IF(F1010="","",IFERROR(VALUE(MID(F1010,LEN(F1010)-3,3)),""))</f>
        <v/>
      </c>
      <c r="R1010" s="33">
        <f>IF(Q1010="","",P1010&amp;"|"&amp;Q1010)</f>
        <v/>
      </c>
      <c r="S1010" s="33">
        <f>IF(Q1010="","",IF(P1010="À RENSEIGNER","GIC",P1010)&amp;"-"&amp;TEXT(Q1010,"000"))</f>
        <v/>
      </c>
      <c r="T1010" s="33">
        <f>IF(R1010="","",IFERROR(INDEX(Cl_nom,MATCH(R1010,Cl_cle,0)),"(client introuvable)"))</f>
        <v/>
      </c>
      <c r="U1010" s="33">
        <f>IF(R1010="","",IFERROR(INDEX(Cl_quartier,MATCH(R1010,Cl_cle,0))&amp;"",""))</f>
        <v/>
      </c>
      <c r="V1010" s="34">
        <f>IF(C1010="","",YEAR(C1010-WEEKDAY(C1010,2)+4)&amp;"-S"&amp;TEXT(INT((C1010-DATE(YEAR(C1010-WEEKDAY(C1010,2)+4),1,3)+WEEKDAY(DATE(YEAR(C1010-WEEKDAY(C1010,2)+4),1,3),2)+5)/7),"00"))</f>
        <v/>
      </c>
    </row>
    <row r="1011" ht="18" customHeight="1">
      <c r="A1011" s="39" t="n">
        <v>1006</v>
      </c>
      <c r="B1011" s="33">
        <f>IF(C1011="","",IF(P1011="À RENSEIGNER","GIC",P1011)&amp;"-V"&amp;TEXT(A1011,"00000"))</f>
        <v/>
      </c>
      <c r="C1011" s="32" t="n"/>
      <c r="D1011" s="35" t="n"/>
      <c r="E1011" s="36" t="n"/>
      <c r="F1011" s="36" t="n"/>
      <c r="G1011" s="36" t="n"/>
      <c r="H1011" s="36" t="n"/>
      <c r="I1011" s="36" t="n"/>
      <c r="J1011" s="37" t="n"/>
      <c r="K1011" s="32" t="n"/>
      <c r="L1011" s="36" t="n"/>
      <c r="M1011" s="41" t="n"/>
      <c r="N1011" s="41" t="n"/>
      <c r="O1011" s="36" t="n"/>
      <c r="P1011" s="33">
        <f>IF(C1011="","",Commercial_Id)</f>
        <v/>
      </c>
      <c r="Q1011" s="39">
        <f>IF(F1011="","",IFERROR(VALUE(MID(F1011,LEN(F1011)-3,3)),""))</f>
        <v/>
      </c>
      <c r="R1011" s="33">
        <f>IF(Q1011="","",P1011&amp;"|"&amp;Q1011)</f>
        <v/>
      </c>
      <c r="S1011" s="33">
        <f>IF(Q1011="","",IF(P1011="À RENSEIGNER","GIC",P1011)&amp;"-"&amp;TEXT(Q1011,"000"))</f>
        <v/>
      </c>
      <c r="T1011" s="33">
        <f>IF(R1011="","",IFERROR(INDEX(Cl_nom,MATCH(R1011,Cl_cle,0)),"(client introuvable)"))</f>
        <v/>
      </c>
      <c r="U1011" s="33">
        <f>IF(R1011="","",IFERROR(INDEX(Cl_quartier,MATCH(R1011,Cl_cle,0))&amp;"",""))</f>
        <v/>
      </c>
      <c r="V1011" s="34">
        <f>IF(C1011="","",YEAR(C1011-WEEKDAY(C1011,2)+4)&amp;"-S"&amp;TEXT(INT((C1011-DATE(YEAR(C1011-WEEKDAY(C1011,2)+4),1,3)+WEEKDAY(DATE(YEAR(C1011-WEEKDAY(C1011,2)+4),1,3),2)+5)/7),"00"))</f>
        <v/>
      </c>
    </row>
    <row r="1012" ht="18" customHeight="1">
      <c r="A1012" s="39" t="n">
        <v>1007</v>
      </c>
      <c r="B1012" s="33">
        <f>IF(C1012="","",IF(P1012="À RENSEIGNER","GIC",P1012)&amp;"-V"&amp;TEXT(A1012,"00000"))</f>
        <v/>
      </c>
      <c r="C1012" s="32" t="n"/>
      <c r="D1012" s="35" t="n"/>
      <c r="E1012" s="36" t="n"/>
      <c r="F1012" s="36" t="n"/>
      <c r="G1012" s="36" t="n"/>
      <c r="H1012" s="36" t="n"/>
      <c r="I1012" s="36" t="n"/>
      <c r="J1012" s="37" t="n"/>
      <c r="K1012" s="32" t="n"/>
      <c r="L1012" s="36" t="n"/>
      <c r="M1012" s="41" t="n"/>
      <c r="N1012" s="41" t="n"/>
      <c r="O1012" s="36" t="n"/>
      <c r="P1012" s="33">
        <f>IF(C1012="","",Commercial_Id)</f>
        <v/>
      </c>
      <c r="Q1012" s="39">
        <f>IF(F1012="","",IFERROR(VALUE(MID(F1012,LEN(F1012)-3,3)),""))</f>
        <v/>
      </c>
      <c r="R1012" s="33">
        <f>IF(Q1012="","",P1012&amp;"|"&amp;Q1012)</f>
        <v/>
      </c>
      <c r="S1012" s="33">
        <f>IF(Q1012="","",IF(P1012="À RENSEIGNER","GIC",P1012)&amp;"-"&amp;TEXT(Q1012,"000"))</f>
        <v/>
      </c>
      <c r="T1012" s="33">
        <f>IF(R1012="","",IFERROR(INDEX(Cl_nom,MATCH(R1012,Cl_cle,0)),"(client introuvable)"))</f>
        <v/>
      </c>
      <c r="U1012" s="33">
        <f>IF(R1012="","",IFERROR(INDEX(Cl_quartier,MATCH(R1012,Cl_cle,0))&amp;"",""))</f>
        <v/>
      </c>
      <c r="V1012" s="34">
        <f>IF(C1012="","",YEAR(C1012-WEEKDAY(C1012,2)+4)&amp;"-S"&amp;TEXT(INT((C1012-DATE(YEAR(C1012-WEEKDAY(C1012,2)+4),1,3)+WEEKDAY(DATE(YEAR(C1012-WEEKDAY(C1012,2)+4),1,3),2)+5)/7),"00"))</f>
        <v/>
      </c>
    </row>
    <row r="1013" ht="18" customHeight="1">
      <c r="A1013" s="39" t="n">
        <v>1008</v>
      </c>
      <c r="B1013" s="33">
        <f>IF(C1013="","",IF(P1013="À RENSEIGNER","GIC",P1013)&amp;"-V"&amp;TEXT(A1013,"00000"))</f>
        <v/>
      </c>
      <c r="C1013" s="32" t="n"/>
      <c r="D1013" s="35" t="n"/>
      <c r="E1013" s="36" t="n"/>
      <c r="F1013" s="36" t="n"/>
      <c r="G1013" s="36" t="n"/>
      <c r="H1013" s="36" t="n"/>
      <c r="I1013" s="36" t="n"/>
      <c r="J1013" s="37" t="n"/>
      <c r="K1013" s="32" t="n"/>
      <c r="L1013" s="36" t="n"/>
      <c r="M1013" s="41" t="n"/>
      <c r="N1013" s="41" t="n"/>
      <c r="O1013" s="36" t="n"/>
      <c r="P1013" s="33">
        <f>IF(C1013="","",Commercial_Id)</f>
        <v/>
      </c>
      <c r="Q1013" s="39">
        <f>IF(F1013="","",IFERROR(VALUE(MID(F1013,LEN(F1013)-3,3)),""))</f>
        <v/>
      </c>
      <c r="R1013" s="33">
        <f>IF(Q1013="","",P1013&amp;"|"&amp;Q1013)</f>
        <v/>
      </c>
      <c r="S1013" s="33">
        <f>IF(Q1013="","",IF(P1013="À RENSEIGNER","GIC",P1013)&amp;"-"&amp;TEXT(Q1013,"000"))</f>
        <v/>
      </c>
      <c r="T1013" s="33">
        <f>IF(R1013="","",IFERROR(INDEX(Cl_nom,MATCH(R1013,Cl_cle,0)),"(client introuvable)"))</f>
        <v/>
      </c>
      <c r="U1013" s="33">
        <f>IF(R1013="","",IFERROR(INDEX(Cl_quartier,MATCH(R1013,Cl_cle,0))&amp;"",""))</f>
        <v/>
      </c>
      <c r="V1013" s="34">
        <f>IF(C1013="","",YEAR(C1013-WEEKDAY(C1013,2)+4)&amp;"-S"&amp;TEXT(INT((C1013-DATE(YEAR(C1013-WEEKDAY(C1013,2)+4),1,3)+WEEKDAY(DATE(YEAR(C1013-WEEKDAY(C1013,2)+4),1,3),2)+5)/7),"00"))</f>
        <v/>
      </c>
    </row>
    <row r="1014" ht="18" customHeight="1">
      <c r="A1014" s="39" t="n">
        <v>1009</v>
      </c>
      <c r="B1014" s="33">
        <f>IF(C1014="","",IF(P1014="À RENSEIGNER","GIC",P1014)&amp;"-V"&amp;TEXT(A1014,"00000"))</f>
        <v/>
      </c>
      <c r="C1014" s="32" t="n"/>
      <c r="D1014" s="35" t="n"/>
      <c r="E1014" s="36" t="n"/>
      <c r="F1014" s="36" t="n"/>
      <c r="G1014" s="36" t="n"/>
      <c r="H1014" s="36" t="n"/>
      <c r="I1014" s="36" t="n"/>
      <c r="J1014" s="37" t="n"/>
      <c r="K1014" s="32" t="n"/>
      <c r="L1014" s="36" t="n"/>
      <c r="M1014" s="41" t="n"/>
      <c r="N1014" s="41" t="n"/>
      <c r="O1014" s="36" t="n"/>
      <c r="P1014" s="33">
        <f>IF(C1014="","",Commercial_Id)</f>
        <v/>
      </c>
      <c r="Q1014" s="39">
        <f>IF(F1014="","",IFERROR(VALUE(MID(F1014,LEN(F1014)-3,3)),""))</f>
        <v/>
      </c>
      <c r="R1014" s="33">
        <f>IF(Q1014="","",P1014&amp;"|"&amp;Q1014)</f>
        <v/>
      </c>
      <c r="S1014" s="33">
        <f>IF(Q1014="","",IF(P1014="À RENSEIGNER","GIC",P1014)&amp;"-"&amp;TEXT(Q1014,"000"))</f>
        <v/>
      </c>
      <c r="T1014" s="33">
        <f>IF(R1014="","",IFERROR(INDEX(Cl_nom,MATCH(R1014,Cl_cle,0)),"(client introuvable)"))</f>
        <v/>
      </c>
      <c r="U1014" s="33">
        <f>IF(R1014="","",IFERROR(INDEX(Cl_quartier,MATCH(R1014,Cl_cle,0))&amp;"",""))</f>
        <v/>
      </c>
      <c r="V1014" s="34">
        <f>IF(C1014="","",YEAR(C1014-WEEKDAY(C1014,2)+4)&amp;"-S"&amp;TEXT(INT((C1014-DATE(YEAR(C1014-WEEKDAY(C1014,2)+4),1,3)+WEEKDAY(DATE(YEAR(C1014-WEEKDAY(C1014,2)+4),1,3),2)+5)/7),"00"))</f>
        <v/>
      </c>
    </row>
    <row r="1015" ht="18" customHeight="1">
      <c r="A1015" s="39" t="n">
        <v>1010</v>
      </c>
      <c r="B1015" s="33">
        <f>IF(C1015="","",IF(P1015="À RENSEIGNER","GIC",P1015)&amp;"-V"&amp;TEXT(A1015,"00000"))</f>
        <v/>
      </c>
      <c r="C1015" s="32" t="n"/>
      <c r="D1015" s="35" t="n"/>
      <c r="E1015" s="36" t="n"/>
      <c r="F1015" s="36" t="n"/>
      <c r="G1015" s="36" t="n"/>
      <c r="H1015" s="36" t="n"/>
      <c r="I1015" s="36" t="n"/>
      <c r="J1015" s="37" t="n"/>
      <c r="K1015" s="32" t="n"/>
      <c r="L1015" s="36" t="n"/>
      <c r="M1015" s="41" t="n"/>
      <c r="N1015" s="41" t="n"/>
      <c r="O1015" s="36" t="n"/>
      <c r="P1015" s="33">
        <f>IF(C1015="","",Commercial_Id)</f>
        <v/>
      </c>
      <c r="Q1015" s="39">
        <f>IF(F1015="","",IFERROR(VALUE(MID(F1015,LEN(F1015)-3,3)),""))</f>
        <v/>
      </c>
      <c r="R1015" s="33">
        <f>IF(Q1015="","",P1015&amp;"|"&amp;Q1015)</f>
        <v/>
      </c>
      <c r="S1015" s="33">
        <f>IF(Q1015="","",IF(P1015="À RENSEIGNER","GIC",P1015)&amp;"-"&amp;TEXT(Q1015,"000"))</f>
        <v/>
      </c>
      <c r="T1015" s="33">
        <f>IF(R1015="","",IFERROR(INDEX(Cl_nom,MATCH(R1015,Cl_cle,0)),"(client introuvable)"))</f>
        <v/>
      </c>
      <c r="U1015" s="33">
        <f>IF(R1015="","",IFERROR(INDEX(Cl_quartier,MATCH(R1015,Cl_cle,0))&amp;"",""))</f>
        <v/>
      </c>
      <c r="V1015" s="34">
        <f>IF(C1015="","",YEAR(C1015-WEEKDAY(C1015,2)+4)&amp;"-S"&amp;TEXT(INT((C1015-DATE(YEAR(C1015-WEEKDAY(C1015,2)+4),1,3)+WEEKDAY(DATE(YEAR(C1015-WEEKDAY(C1015,2)+4),1,3),2)+5)/7),"00"))</f>
        <v/>
      </c>
    </row>
    <row r="1016" ht="18" customHeight="1">
      <c r="A1016" s="39" t="n">
        <v>1011</v>
      </c>
      <c r="B1016" s="33">
        <f>IF(C1016="","",IF(P1016="À RENSEIGNER","GIC",P1016)&amp;"-V"&amp;TEXT(A1016,"00000"))</f>
        <v/>
      </c>
      <c r="C1016" s="32" t="n"/>
      <c r="D1016" s="35" t="n"/>
      <c r="E1016" s="36" t="n"/>
      <c r="F1016" s="36" t="n"/>
      <c r="G1016" s="36" t="n"/>
      <c r="H1016" s="36" t="n"/>
      <c r="I1016" s="36" t="n"/>
      <c r="J1016" s="37" t="n"/>
      <c r="K1016" s="32" t="n"/>
      <c r="L1016" s="36" t="n"/>
      <c r="M1016" s="41" t="n"/>
      <c r="N1016" s="41" t="n"/>
      <c r="O1016" s="36" t="n"/>
      <c r="P1016" s="33">
        <f>IF(C1016="","",Commercial_Id)</f>
        <v/>
      </c>
      <c r="Q1016" s="39">
        <f>IF(F1016="","",IFERROR(VALUE(MID(F1016,LEN(F1016)-3,3)),""))</f>
        <v/>
      </c>
      <c r="R1016" s="33">
        <f>IF(Q1016="","",P1016&amp;"|"&amp;Q1016)</f>
        <v/>
      </c>
      <c r="S1016" s="33">
        <f>IF(Q1016="","",IF(P1016="À RENSEIGNER","GIC",P1016)&amp;"-"&amp;TEXT(Q1016,"000"))</f>
        <v/>
      </c>
      <c r="T1016" s="33">
        <f>IF(R1016="","",IFERROR(INDEX(Cl_nom,MATCH(R1016,Cl_cle,0)),"(client introuvable)"))</f>
        <v/>
      </c>
      <c r="U1016" s="33">
        <f>IF(R1016="","",IFERROR(INDEX(Cl_quartier,MATCH(R1016,Cl_cle,0))&amp;"",""))</f>
        <v/>
      </c>
      <c r="V1016" s="34">
        <f>IF(C1016="","",YEAR(C1016-WEEKDAY(C1016,2)+4)&amp;"-S"&amp;TEXT(INT((C1016-DATE(YEAR(C1016-WEEKDAY(C1016,2)+4),1,3)+WEEKDAY(DATE(YEAR(C1016-WEEKDAY(C1016,2)+4),1,3),2)+5)/7),"00"))</f>
        <v/>
      </c>
    </row>
    <row r="1017" ht="18" customHeight="1">
      <c r="A1017" s="39" t="n">
        <v>1012</v>
      </c>
      <c r="B1017" s="33">
        <f>IF(C1017="","",IF(P1017="À RENSEIGNER","GIC",P1017)&amp;"-V"&amp;TEXT(A1017,"00000"))</f>
        <v/>
      </c>
      <c r="C1017" s="32" t="n"/>
      <c r="D1017" s="35" t="n"/>
      <c r="E1017" s="36" t="n"/>
      <c r="F1017" s="36" t="n"/>
      <c r="G1017" s="36" t="n"/>
      <c r="H1017" s="36" t="n"/>
      <c r="I1017" s="36" t="n"/>
      <c r="J1017" s="37" t="n"/>
      <c r="K1017" s="32" t="n"/>
      <c r="L1017" s="36" t="n"/>
      <c r="M1017" s="41" t="n"/>
      <c r="N1017" s="41" t="n"/>
      <c r="O1017" s="36" t="n"/>
      <c r="P1017" s="33">
        <f>IF(C1017="","",Commercial_Id)</f>
        <v/>
      </c>
      <c r="Q1017" s="39">
        <f>IF(F1017="","",IFERROR(VALUE(MID(F1017,LEN(F1017)-3,3)),""))</f>
        <v/>
      </c>
      <c r="R1017" s="33">
        <f>IF(Q1017="","",P1017&amp;"|"&amp;Q1017)</f>
        <v/>
      </c>
      <c r="S1017" s="33">
        <f>IF(Q1017="","",IF(P1017="À RENSEIGNER","GIC",P1017)&amp;"-"&amp;TEXT(Q1017,"000"))</f>
        <v/>
      </c>
      <c r="T1017" s="33">
        <f>IF(R1017="","",IFERROR(INDEX(Cl_nom,MATCH(R1017,Cl_cle,0)),"(client introuvable)"))</f>
        <v/>
      </c>
      <c r="U1017" s="33">
        <f>IF(R1017="","",IFERROR(INDEX(Cl_quartier,MATCH(R1017,Cl_cle,0))&amp;"",""))</f>
        <v/>
      </c>
      <c r="V1017" s="34">
        <f>IF(C1017="","",YEAR(C1017-WEEKDAY(C1017,2)+4)&amp;"-S"&amp;TEXT(INT((C1017-DATE(YEAR(C1017-WEEKDAY(C1017,2)+4),1,3)+WEEKDAY(DATE(YEAR(C1017-WEEKDAY(C1017,2)+4),1,3),2)+5)/7),"00"))</f>
        <v/>
      </c>
    </row>
    <row r="1018" ht="18" customHeight="1">
      <c r="A1018" s="39" t="n">
        <v>1013</v>
      </c>
      <c r="B1018" s="33">
        <f>IF(C1018="","",IF(P1018="À RENSEIGNER","GIC",P1018)&amp;"-V"&amp;TEXT(A1018,"00000"))</f>
        <v/>
      </c>
      <c r="C1018" s="32" t="n"/>
      <c r="D1018" s="35" t="n"/>
      <c r="E1018" s="36" t="n"/>
      <c r="F1018" s="36" t="n"/>
      <c r="G1018" s="36" t="n"/>
      <c r="H1018" s="36" t="n"/>
      <c r="I1018" s="36" t="n"/>
      <c r="J1018" s="37" t="n"/>
      <c r="K1018" s="32" t="n"/>
      <c r="L1018" s="36" t="n"/>
      <c r="M1018" s="41" t="n"/>
      <c r="N1018" s="41" t="n"/>
      <c r="O1018" s="36" t="n"/>
      <c r="P1018" s="33">
        <f>IF(C1018="","",Commercial_Id)</f>
        <v/>
      </c>
      <c r="Q1018" s="39">
        <f>IF(F1018="","",IFERROR(VALUE(MID(F1018,LEN(F1018)-3,3)),""))</f>
        <v/>
      </c>
      <c r="R1018" s="33">
        <f>IF(Q1018="","",P1018&amp;"|"&amp;Q1018)</f>
        <v/>
      </c>
      <c r="S1018" s="33">
        <f>IF(Q1018="","",IF(P1018="À RENSEIGNER","GIC",P1018)&amp;"-"&amp;TEXT(Q1018,"000"))</f>
        <v/>
      </c>
      <c r="T1018" s="33">
        <f>IF(R1018="","",IFERROR(INDEX(Cl_nom,MATCH(R1018,Cl_cle,0)),"(client introuvable)"))</f>
        <v/>
      </c>
      <c r="U1018" s="33">
        <f>IF(R1018="","",IFERROR(INDEX(Cl_quartier,MATCH(R1018,Cl_cle,0))&amp;"",""))</f>
        <v/>
      </c>
      <c r="V1018" s="34">
        <f>IF(C1018="","",YEAR(C1018-WEEKDAY(C1018,2)+4)&amp;"-S"&amp;TEXT(INT((C1018-DATE(YEAR(C1018-WEEKDAY(C1018,2)+4),1,3)+WEEKDAY(DATE(YEAR(C1018-WEEKDAY(C1018,2)+4),1,3),2)+5)/7),"00"))</f>
        <v/>
      </c>
    </row>
    <row r="1019" ht="18" customHeight="1">
      <c r="A1019" s="39" t="n">
        <v>1014</v>
      </c>
      <c r="B1019" s="33">
        <f>IF(C1019="","",IF(P1019="À RENSEIGNER","GIC",P1019)&amp;"-V"&amp;TEXT(A1019,"00000"))</f>
        <v/>
      </c>
      <c r="C1019" s="32" t="n"/>
      <c r="D1019" s="35" t="n"/>
      <c r="E1019" s="36" t="n"/>
      <c r="F1019" s="36" t="n"/>
      <c r="G1019" s="36" t="n"/>
      <c r="H1019" s="36" t="n"/>
      <c r="I1019" s="36" t="n"/>
      <c r="J1019" s="37" t="n"/>
      <c r="K1019" s="32" t="n"/>
      <c r="L1019" s="36" t="n"/>
      <c r="M1019" s="41" t="n"/>
      <c r="N1019" s="41" t="n"/>
      <c r="O1019" s="36" t="n"/>
      <c r="P1019" s="33">
        <f>IF(C1019="","",Commercial_Id)</f>
        <v/>
      </c>
      <c r="Q1019" s="39">
        <f>IF(F1019="","",IFERROR(VALUE(MID(F1019,LEN(F1019)-3,3)),""))</f>
        <v/>
      </c>
      <c r="R1019" s="33">
        <f>IF(Q1019="","",P1019&amp;"|"&amp;Q1019)</f>
        <v/>
      </c>
      <c r="S1019" s="33">
        <f>IF(Q1019="","",IF(P1019="À RENSEIGNER","GIC",P1019)&amp;"-"&amp;TEXT(Q1019,"000"))</f>
        <v/>
      </c>
      <c r="T1019" s="33">
        <f>IF(R1019="","",IFERROR(INDEX(Cl_nom,MATCH(R1019,Cl_cle,0)),"(client introuvable)"))</f>
        <v/>
      </c>
      <c r="U1019" s="33">
        <f>IF(R1019="","",IFERROR(INDEX(Cl_quartier,MATCH(R1019,Cl_cle,0))&amp;"",""))</f>
        <v/>
      </c>
      <c r="V1019" s="34">
        <f>IF(C1019="","",YEAR(C1019-WEEKDAY(C1019,2)+4)&amp;"-S"&amp;TEXT(INT((C1019-DATE(YEAR(C1019-WEEKDAY(C1019,2)+4),1,3)+WEEKDAY(DATE(YEAR(C1019-WEEKDAY(C1019,2)+4),1,3),2)+5)/7),"00"))</f>
        <v/>
      </c>
    </row>
    <row r="1020" ht="18" customHeight="1">
      <c r="A1020" s="39" t="n">
        <v>1015</v>
      </c>
      <c r="B1020" s="33">
        <f>IF(C1020="","",IF(P1020="À RENSEIGNER","GIC",P1020)&amp;"-V"&amp;TEXT(A1020,"00000"))</f>
        <v/>
      </c>
      <c r="C1020" s="32" t="n"/>
      <c r="D1020" s="35" t="n"/>
      <c r="E1020" s="36" t="n"/>
      <c r="F1020" s="36" t="n"/>
      <c r="G1020" s="36" t="n"/>
      <c r="H1020" s="36" t="n"/>
      <c r="I1020" s="36" t="n"/>
      <c r="J1020" s="37" t="n"/>
      <c r="K1020" s="32" t="n"/>
      <c r="L1020" s="36" t="n"/>
      <c r="M1020" s="41" t="n"/>
      <c r="N1020" s="41" t="n"/>
      <c r="O1020" s="36" t="n"/>
      <c r="P1020" s="33">
        <f>IF(C1020="","",Commercial_Id)</f>
        <v/>
      </c>
      <c r="Q1020" s="39">
        <f>IF(F1020="","",IFERROR(VALUE(MID(F1020,LEN(F1020)-3,3)),""))</f>
        <v/>
      </c>
      <c r="R1020" s="33">
        <f>IF(Q1020="","",P1020&amp;"|"&amp;Q1020)</f>
        <v/>
      </c>
      <c r="S1020" s="33">
        <f>IF(Q1020="","",IF(P1020="À RENSEIGNER","GIC",P1020)&amp;"-"&amp;TEXT(Q1020,"000"))</f>
        <v/>
      </c>
      <c r="T1020" s="33">
        <f>IF(R1020="","",IFERROR(INDEX(Cl_nom,MATCH(R1020,Cl_cle,0)),"(client introuvable)"))</f>
        <v/>
      </c>
      <c r="U1020" s="33">
        <f>IF(R1020="","",IFERROR(INDEX(Cl_quartier,MATCH(R1020,Cl_cle,0))&amp;"",""))</f>
        <v/>
      </c>
      <c r="V1020" s="34">
        <f>IF(C1020="","",YEAR(C1020-WEEKDAY(C1020,2)+4)&amp;"-S"&amp;TEXT(INT((C1020-DATE(YEAR(C1020-WEEKDAY(C1020,2)+4),1,3)+WEEKDAY(DATE(YEAR(C1020-WEEKDAY(C1020,2)+4),1,3),2)+5)/7),"00"))</f>
        <v/>
      </c>
    </row>
    <row r="1021" ht="18" customHeight="1">
      <c r="A1021" s="39" t="n">
        <v>1016</v>
      </c>
      <c r="B1021" s="33">
        <f>IF(C1021="","",IF(P1021="À RENSEIGNER","GIC",P1021)&amp;"-V"&amp;TEXT(A1021,"00000"))</f>
        <v/>
      </c>
      <c r="C1021" s="32" t="n"/>
      <c r="D1021" s="35" t="n"/>
      <c r="E1021" s="36" t="n"/>
      <c r="F1021" s="36" t="n"/>
      <c r="G1021" s="36" t="n"/>
      <c r="H1021" s="36" t="n"/>
      <c r="I1021" s="36" t="n"/>
      <c r="J1021" s="37" t="n"/>
      <c r="K1021" s="32" t="n"/>
      <c r="L1021" s="36" t="n"/>
      <c r="M1021" s="41" t="n"/>
      <c r="N1021" s="41" t="n"/>
      <c r="O1021" s="36" t="n"/>
      <c r="P1021" s="33">
        <f>IF(C1021="","",Commercial_Id)</f>
        <v/>
      </c>
      <c r="Q1021" s="39">
        <f>IF(F1021="","",IFERROR(VALUE(MID(F1021,LEN(F1021)-3,3)),""))</f>
        <v/>
      </c>
      <c r="R1021" s="33">
        <f>IF(Q1021="","",P1021&amp;"|"&amp;Q1021)</f>
        <v/>
      </c>
      <c r="S1021" s="33">
        <f>IF(Q1021="","",IF(P1021="À RENSEIGNER","GIC",P1021)&amp;"-"&amp;TEXT(Q1021,"000"))</f>
        <v/>
      </c>
      <c r="T1021" s="33">
        <f>IF(R1021="","",IFERROR(INDEX(Cl_nom,MATCH(R1021,Cl_cle,0)),"(client introuvable)"))</f>
        <v/>
      </c>
      <c r="U1021" s="33">
        <f>IF(R1021="","",IFERROR(INDEX(Cl_quartier,MATCH(R1021,Cl_cle,0))&amp;"",""))</f>
        <v/>
      </c>
      <c r="V1021" s="34">
        <f>IF(C1021="","",YEAR(C1021-WEEKDAY(C1021,2)+4)&amp;"-S"&amp;TEXT(INT((C1021-DATE(YEAR(C1021-WEEKDAY(C1021,2)+4),1,3)+WEEKDAY(DATE(YEAR(C1021-WEEKDAY(C1021,2)+4),1,3),2)+5)/7),"00"))</f>
        <v/>
      </c>
    </row>
    <row r="1022" ht="18" customHeight="1">
      <c r="A1022" s="39" t="n">
        <v>1017</v>
      </c>
      <c r="B1022" s="33">
        <f>IF(C1022="","",IF(P1022="À RENSEIGNER","GIC",P1022)&amp;"-V"&amp;TEXT(A1022,"00000"))</f>
        <v/>
      </c>
      <c r="C1022" s="32" t="n"/>
      <c r="D1022" s="35" t="n"/>
      <c r="E1022" s="36" t="n"/>
      <c r="F1022" s="36" t="n"/>
      <c r="G1022" s="36" t="n"/>
      <c r="H1022" s="36" t="n"/>
      <c r="I1022" s="36" t="n"/>
      <c r="J1022" s="37" t="n"/>
      <c r="K1022" s="32" t="n"/>
      <c r="L1022" s="36" t="n"/>
      <c r="M1022" s="41" t="n"/>
      <c r="N1022" s="41" t="n"/>
      <c r="O1022" s="36" t="n"/>
      <c r="P1022" s="33">
        <f>IF(C1022="","",Commercial_Id)</f>
        <v/>
      </c>
      <c r="Q1022" s="39">
        <f>IF(F1022="","",IFERROR(VALUE(MID(F1022,LEN(F1022)-3,3)),""))</f>
        <v/>
      </c>
      <c r="R1022" s="33">
        <f>IF(Q1022="","",P1022&amp;"|"&amp;Q1022)</f>
        <v/>
      </c>
      <c r="S1022" s="33">
        <f>IF(Q1022="","",IF(P1022="À RENSEIGNER","GIC",P1022)&amp;"-"&amp;TEXT(Q1022,"000"))</f>
        <v/>
      </c>
      <c r="T1022" s="33">
        <f>IF(R1022="","",IFERROR(INDEX(Cl_nom,MATCH(R1022,Cl_cle,0)),"(client introuvable)"))</f>
        <v/>
      </c>
      <c r="U1022" s="33">
        <f>IF(R1022="","",IFERROR(INDEX(Cl_quartier,MATCH(R1022,Cl_cle,0))&amp;"",""))</f>
        <v/>
      </c>
      <c r="V1022" s="34">
        <f>IF(C1022="","",YEAR(C1022-WEEKDAY(C1022,2)+4)&amp;"-S"&amp;TEXT(INT((C1022-DATE(YEAR(C1022-WEEKDAY(C1022,2)+4),1,3)+WEEKDAY(DATE(YEAR(C1022-WEEKDAY(C1022,2)+4),1,3),2)+5)/7),"00"))</f>
        <v/>
      </c>
    </row>
    <row r="1023" ht="18" customHeight="1">
      <c r="A1023" s="39" t="n">
        <v>1018</v>
      </c>
      <c r="B1023" s="33">
        <f>IF(C1023="","",IF(P1023="À RENSEIGNER","GIC",P1023)&amp;"-V"&amp;TEXT(A1023,"00000"))</f>
        <v/>
      </c>
      <c r="C1023" s="32" t="n"/>
      <c r="D1023" s="35" t="n"/>
      <c r="E1023" s="36" t="n"/>
      <c r="F1023" s="36" t="n"/>
      <c r="G1023" s="36" t="n"/>
      <c r="H1023" s="36" t="n"/>
      <c r="I1023" s="36" t="n"/>
      <c r="J1023" s="37" t="n"/>
      <c r="K1023" s="32" t="n"/>
      <c r="L1023" s="36" t="n"/>
      <c r="M1023" s="41" t="n"/>
      <c r="N1023" s="41" t="n"/>
      <c r="O1023" s="36" t="n"/>
      <c r="P1023" s="33">
        <f>IF(C1023="","",Commercial_Id)</f>
        <v/>
      </c>
      <c r="Q1023" s="39">
        <f>IF(F1023="","",IFERROR(VALUE(MID(F1023,LEN(F1023)-3,3)),""))</f>
        <v/>
      </c>
      <c r="R1023" s="33">
        <f>IF(Q1023="","",P1023&amp;"|"&amp;Q1023)</f>
        <v/>
      </c>
      <c r="S1023" s="33">
        <f>IF(Q1023="","",IF(P1023="À RENSEIGNER","GIC",P1023)&amp;"-"&amp;TEXT(Q1023,"000"))</f>
        <v/>
      </c>
      <c r="T1023" s="33">
        <f>IF(R1023="","",IFERROR(INDEX(Cl_nom,MATCH(R1023,Cl_cle,0)),"(client introuvable)"))</f>
        <v/>
      </c>
      <c r="U1023" s="33">
        <f>IF(R1023="","",IFERROR(INDEX(Cl_quartier,MATCH(R1023,Cl_cle,0))&amp;"",""))</f>
        <v/>
      </c>
      <c r="V1023" s="34">
        <f>IF(C1023="","",YEAR(C1023-WEEKDAY(C1023,2)+4)&amp;"-S"&amp;TEXT(INT((C1023-DATE(YEAR(C1023-WEEKDAY(C1023,2)+4),1,3)+WEEKDAY(DATE(YEAR(C1023-WEEKDAY(C1023,2)+4),1,3),2)+5)/7),"00"))</f>
        <v/>
      </c>
    </row>
    <row r="1024" ht="18" customHeight="1">
      <c r="A1024" s="39" t="n">
        <v>1019</v>
      </c>
      <c r="B1024" s="33">
        <f>IF(C1024="","",IF(P1024="À RENSEIGNER","GIC",P1024)&amp;"-V"&amp;TEXT(A1024,"00000"))</f>
        <v/>
      </c>
      <c r="C1024" s="32" t="n"/>
      <c r="D1024" s="35" t="n"/>
      <c r="E1024" s="36" t="n"/>
      <c r="F1024" s="36" t="n"/>
      <c r="G1024" s="36" t="n"/>
      <c r="H1024" s="36" t="n"/>
      <c r="I1024" s="36" t="n"/>
      <c r="J1024" s="37" t="n"/>
      <c r="K1024" s="32" t="n"/>
      <c r="L1024" s="36" t="n"/>
      <c r="M1024" s="41" t="n"/>
      <c r="N1024" s="41" t="n"/>
      <c r="O1024" s="36" t="n"/>
      <c r="P1024" s="33">
        <f>IF(C1024="","",Commercial_Id)</f>
        <v/>
      </c>
      <c r="Q1024" s="39">
        <f>IF(F1024="","",IFERROR(VALUE(MID(F1024,LEN(F1024)-3,3)),""))</f>
        <v/>
      </c>
      <c r="R1024" s="33">
        <f>IF(Q1024="","",P1024&amp;"|"&amp;Q1024)</f>
        <v/>
      </c>
      <c r="S1024" s="33">
        <f>IF(Q1024="","",IF(P1024="À RENSEIGNER","GIC",P1024)&amp;"-"&amp;TEXT(Q1024,"000"))</f>
        <v/>
      </c>
      <c r="T1024" s="33">
        <f>IF(R1024="","",IFERROR(INDEX(Cl_nom,MATCH(R1024,Cl_cle,0)),"(client introuvable)"))</f>
        <v/>
      </c>
      <c r="U1024" s="33">
        <f>IF(R1024="","",IFERROR(INDEX(Cl_quartier,MATCH(R1024,Cl_cle,0))&amp;"",""))</f>
        <v/>
      </c>
      <c r="V1024" s="34">
        <f>IF(C1024="","",YEAR(C1024-WEEKDAY(C1024,2)+4)&amp;"-S"&amp;TEXT(INT((C1024-DATE(YEAR(C1024-WEEKDAY(C1024,2)+4),1,3)+WEEKDAY(DATE(YEAR(C1024-WEEKDAY(C1024,2)+4),1,3),2)+5)/7),"00"))</f>
        <v/>
      </c>
    </row>
    <row r="1025" ht="18" customHeight="1">
      <c r="A1025" s="39" t="n">
        <v>1020</v>
      </c>
      <c r="B1025" s="33">
        <f>IF(C1025="","",IF(P1025="À RENSEIGNER","GIC",P1025)&amp;"-V"&amp;TEXT(A1025,"00000"))</f>
        <v/>
      </c>
      <c r="C1025" s="32" t="n"/>
      <c r="D1025" s="35" t="n"/>
      <c r="E1025" s="36" t="n"/>
      <c r="F1025" s="36" t="n"/>
      <c r="G1025" s="36" t="n"/>
      <c r="H1025" s="36" t="n"/>
      <c r="I1025" s="36" t="n"/>
      <c r="J1025" s="37" t="n"/>
      <c r="K1025" s="32" t="n"/>
      <c r="L1025" s="36" t="n"/>
      <c r="M1025" s="41" t="n"/>
      <c r="N1025" s="41" t="n"/>
      <c r="O1025" s="36" t="n"/>
      <c r="P1025" s="33">
        <f>IF(C1025="","",Commercial_Id)</f>
        <v/>
      </c>
      <c r="Q1025" s="39">
        <f>IF(F1025="","",IFERROR(VALUE(MID(F1025,LEN(F1025)-3,3)),""))</f>
        <v/>
      </c>
      <c r="R1025" s="33">
        <f>IF(Q1025="","",P1025&amp;"|"&amp;Q1025)</f>
        <v/>
      </c>
      <c r="S1025" s="33">
        <f>IF(Q1025="","",IF(P1025="À RENSEIGNER","GIC",P1025)&amp;"-"&amp;TEXT(Q1025,"000"))</f>
        <v/>
      </c>
      <c r="T1025" s="33">
        <f>IF(R1025="","",IFERROR(INDEX(Cl_nom,MATCH(R1025,Cl_cle,0)),"(client introuvable)"))</f>
        <v/>
      </c>
      <c r="U1025" s="33">
        <f>IF(R1025="","",IFERROR(INDEX(Cl_quartier,MATCH(R1025,Cl_cle,0))&amp;"",""))</f>
        <v/>
      </c>
      <c r="V1025" s="34">
        <f>IF(C1025="","",YEAR(C1025-WEEKDAY(C1025,2)+4)&amp;"-S"&amp;TEXT(INT((C1025-DATE(YEAR(C1025-WEEKDAY(C1025,2)+4),1,3)+WEEKDAY(DATE(YEAR(C1025-WEEKDAY(C1025,2)+4),1,3),2)+5)/7),"00"))</f>
        <v/>
      </c>
    </row>
    <row r="1026" ht="18" customHeight="1">
      <c r="A1026" s="39" t="n">
        <v>1021</v>
      </c>
      <c r="B1026" s="33">
        <f>IF(C1026="","",IF(P1026="À RENSEIGNER","GIC",P1026)&amp;"-V"&amp;TEXT(A1026,"00000"))</f>
        <v/>
      </c>
      <c r="C1026" s="32" t="n"/>
      <c r="D1026" s="35" t="n"/>
      <c r="E1026" s="36" t="n"/>
      <c r="F1026" s="36" t="n"/>
      <c r="G1026" s="36" t="n"/>
      <c r="H1026" s="36" t="n"/>
      <c r="I1026" s="36" t="n"/>
      <c r="J1026" s="37" t="n"/>
      <c r="K1026" s="32" t="n"/>
      <c r="L1026" s="36" t="n"/>
      <c r="M1026" s="41" t="n"/>
      <c r="N1026" s="41" t="n"/>
      <c r="O1026" s="36" t="n"/>
      <c r="P1026" s="33">
        <f>IF(C1026="","",Commercial_Id)</f>
        <v/>
      </c>
      <c r="Q1026" s="39">
        <f>IF(F1026="","",IFERROR(VALUE(MID(F1026,LEN(F1026)-3,3)),""))</f>
        <v/>
      </c>
      <c r="R1026" s="33">
        <f>IF(Q1026="","",P1026&amp;"|"&amp;Q1026)</f>
        <v/>
      </c>
      <c r="S1026" s="33">
        <f>IF(Q1026="","",IF(P1026="À RENSEIGNER","GIC",P1026)&amp;"-"&amp;TEXT(Q1026,"000"))</f>
        <v/>
      </c>
      <c r="T1026" s="33">
        <f>IF(R1026="","",IFERROR(INDEX(Cl_nom,MATCH(R1026,Cl_cle,0)),"(client introuvable)"))</f>
        <v/>
      </c>
      <c r="U1026" s="33">
        <f>IF(R1026="","",IFERROR(INDEX(Cl_quartier,MATCH(R1026,Cl_cle,0))&amp;"",""))</f>
        <v/>
      </c>
      <c r="V1026" s="34">
        <f>IF(C1026="","",YEAR(C1026-WEEKDAY(C1026,2)+4)&amp;"-S"&amp;TEXT(INT((C1026-DATE(YEAR(C1026-WEEKDAY(C1026,2)+4),1,3)+WEEKDAY(DATE(YEAR(C1026-WEEKDAY(C1026,2)+4),1,3),2)+5)/7),"00"))</f>
        <v/>
      </c>
    </row>
    <row r="1027" ht="18" customHeight="1">
      <c r="A1027" s="39" t="n">
        <v>1022</v>
      </c>
      <c r="B1027" s="33">
        <f>IF(C1027="","",IF(P1027="À RENSEIGNER","GIC",P1027)&amp;"-V"&amp;TEXT(A1027,"00000"))</f>
        <v/>
      </c>
      <c r="C1027" s="32" t="n"/>
      <c r="D1027" s="35" t="n"/>
      <c r="E1027" s="36" t="n"/>
      <c r="F1027" s="36" t="n"/>
      <c r="G1027" s="36" t="n"/>
      <c r="H1027" s="36" t="n"/>
      <c r="I1027" s="36" t="n"/>
      <c r="J1027" s="37" t="n"/>
      <c r="K1027" s="32" t="n"/>
      <c r="L1027" s="36" t="n"/>
      <c r="M1027" s="41" t="n"/>
      <c r="N1027" s="41" t="n"/>
      <c r="O1027" s="36" t="n"/>
      <c r="P1027" s="33">
        <f>IF(C1027="","",Commercial_Id)</f>
        <v/>
      </c>
      <c r="Q1027" s="39">
        <f>IF(F1027="","",IFERROR(VALUE(MID(F1027,LEN(F1027)-3,3)),""))</f>
        <v/>
      </c>
      <c r="R1027" s="33">
        <f>IF(Q1027="","",P1027&amp;"|"&amp;Q1027)</f>
        <v/>
      </c>
      <c r="S1027" s="33">
        <f>IF(Q1027="","",IF(P1027="À RENSEIGNER","GIC",P1027)&amp;"-"&amp;TEXT(Q1027,"000"))</f>
        <v/>
      </c>
      <c r="T1027" s="33">
        <f>IF(R1027="","",IFERROR(INDEX(Cl_nom,MATCH(R1027,Cl_cle,0)),"(client introuvable)"))</f>
        <v/>
      </c>
      <c r="U1027" s="33">
        <f>IF(R1027="","",IFERROR(INDEX(Cl_quartier,MATCH(R1027,Cl_cle,0))&amp;"",""))</f>
        <v/>
      </c>
      <c r="V1027" s="34">
        <f>IF(C1027="","",YEAR(C1027-WEEKDAY(C1027,2)+4)&amp;"-S"&amp;TEXT(INT((C1027-DATE(YEAR(C1027-WEEKDAY(C1027,2)+4),1,3)+WEEKDAY(DATE(YEAR(C1027-WEEKDAY(C1027,2)+4),1,3),2)+5)/7),"00"))</f>
        <v/>
      </c>
    </row>
    <row r="1028" ht="18" customHeight="1">
      <c r="A1028" s="39" t="n">
        <v>1023</v>
      </c>
      <c r="B1028" s="33">
        <f>IF(C1028="","",IF(P1028="À RENSEIGNER","GIC",P1028)&amp;"-V"&amp;TEXT(A1028,"00000"))</f>
        <v/>
      </c>
      <c r="C1028" s="32" t="n"/>
      <c r="D1028" s="35" t="n"/>
      <c r="E1028" s="36" t="n"/>
      <c r="F1028" s="36" t="n"/>
      <c r="G1028" s="36" t="n"/>
      <c r="H1028" s="36" t="n"/>
      <c r="I1028" s="36" t="n"/>
      <c r="J1028" s="37" t="n"/>
      <c r="K1028" s="32" t="n"/>
      <c r="L1028" s="36" t="n"/>
      <c r="M1028" s="41" t="n"/>
      <c r="N1028" s="41" t="n"/>
      <c r="O1028" s="36" t="n"/>
      <c r="P1028" s="33">
        <f>IF(C1028="","",Commercial_Id)</f>
        <v/>
      </c>
      <c r="Q1028" s="39">
        <f>IF(F1028="","",IFERROR(VALUE(MID(F1028,LEN(F1028)-3,3)),""))</f>
        <v/>
      </c>
      <c r="R1028" s="33">
        <f>IF(Q1028="","",P1028&amp;"|"&amp;Q1028)</f>
        <v/>
      </c>
      <c r="S1028" s="33">
        <f>IF(Q1028="","",IF(P1028="À RENSEIGNER","GIC",P1028)&amp;"-"&amp;TEXT(Q1028,"000"))</f>
        <v/>
      </c>
      <c r="T1028" s="33">
        <f>IF(R1028="","",IFERROR(INDEX(Cl_nom,MATCH(R1028,Cl_cle,0)),"(client introuvable)"))</f>
        <v/>
      </c>
      <c r="U1028" s="33">
        <f>IF(R1028="","",IFERROR(INDEX(Cl_quartier,MATCH(R1028,Cl_cle,0))&amp;"",""))</f>
        <v/>
      </c>
      <c r="V1028" s="34">
        <f>IF(C1028="","",YEAR(C1028-WEEKDAY(C1028,2)+4)&amp;"-S"&amp;TEXT(INT((C1028-DATE(YEAR(C1028-WEEKDAY(C1028,2)+4),1,3)+WEEKDAY(DATE(YEAR(C1028-WEEKDAY(C1028,2)+4),1,3),2)+5)/7),"00"))</f>
        <v/>
      </c>
    </row>
    <row r="1029" ht="18" customHeight="1">
      <c r="A1029" s="39" t="n">
        <v>1024</v>
      </c>
      <c r="B1029" s="33">
        <f>IF(C1029="","",IF(P1029="À RENSEIGNER","GIC",P1029)&amp;"-V"&amp;TEXT(A1029,"00000"))</f>
        <v/>
      </c>
      <c r="C1029" s="32" t="n"/>
      <c r="D1029" s="35" t="n"/>
      <c r="E1029" s="36" t="n"/>
      <c r="F1029" s="36" t="n"/>
      <c r="G1029" s="36" t="n"/>
      <c r="H1029" s="36" t="n"/>
      <c r="I1029" s="36" t="n"/>
      <c r="J1029" s="37" t="n"/>
      <c r="K1029" s="32" t="n"/>
      <c r="L1029" s="36" t="n"/>
      <c r="M1029" s="41" t="n"/>
      <c r="N1029" s="41" t="n"/>
      <c r="O1029" s="36" t="n"/>
      <c r="P1029" s="33">
        <f>IF(C1029="","",Commercial_Id)</f>
        <v/>
      </c>
      <c r="Q1029" s="39">
        <f>IF(F1029="","",IFERROR(VALUE(MID(F1029,LEN(F1029)-3,3)),""))</f>
        <v/>
      </c>
      <c r="R1029" s="33">
        <f>IF(Q1029="","",P1029&amp;"|"&amp;Q1029)</f>
        <v/>
      </c>
      <c r="S1029" s="33">
        <f>IF(Q1029="","",IF(P1029="À RENSEIGNER","GIC",P1029)&amp;"-"&amp;TEXT(Q1029,"000"))</f>
        <v/>
      </c>
      <c r="T1029" s="33">
        <f>IF(R1029="","",IFERROR(INDEX(Cl_nom,MATCH(R1029,Cl_cle,0)),"(client introuvable)"))</f>
        <v/>
      </c>
      <c r="U1029" s="33">
        <f>IF(R1029="","",IFERROR(INDEX(Cl_quartier,MATCH(R1029,Cl_cle,0))&amp;"",""))</f>
        <v/>
      </c>
      <c r="V1029" s="34">
        <f>IF(C1029="","",YEAR(C1029-WEEKDAY(C1029,2)+4)&amp;"-S"&amp;TEXT(INT((C1029-DATE(YEAR(C1029-WEEKDAY(C1029,2)+4),1,3)+WEEKDAY(DATE(YEAR(C1029-WEEKDAY(C1029,2)+4),1,3),2)+5)/7),"00"))</f>
        <v/>
      </c>
    </row>
    <row r="1030" ht="18" customHeight="1">
      <c r="A1030" s="39" t="n">
        <v>1025</v>
      </c>
      <c r="B1030" s="33">
        <f>IF(C1030="","",IF(P1030="À RENSEIGNER","GIC",P1030)&amp;"-V"&amp;TEXT(A1030,"00000"))</f>
        <v/>
      </c>
      <c r="C1030" s="32" t="n"/>
      <c r="D1030" s="35" t="n"/>
      <c r="E1030" s="36" t="n"/>
      <c r="F1030" s="36" t="n"/>
      <c r="G1030" s="36" t="n"/>
      <c r="H1030" s="36" t="n"/>
      <c r="I1030" s="36" t="n"/>
      <c r="J1030" s="37" t="n"/>
      <c r="K1030" s="32" t="n"/>
      <c r="L1030" s="36" t="n"/>
      <c r="M1030" s="41" t="n"/>
      <c r="N1030" s="41" t="n"/>
      <c r="O1030" s="36" t="n"/>
      <c r="P1030" s="33">
        <f>IF(C1030="","",Commercial_Id)</f>
        <v/>
      </c>
      <c r="Q1030" s="39">
        <f>IF(F1030="","",IFERROR(VALUE(MID(F1030,LEN(F1030)-3,3)),""))</f>
        <v/>
      </c>
      <c r="R1030" s="33">
        <f>IF(Q1030="","",P1030&amp;"|"&amp;Q1030)</f>
        <v/>
      </c>
      <c r="S1030" s="33">
        <f>IF(Q1030="","",IF(P1030="À RENSEIGNER","GIC",P1030)&amp;"-"&amp;TEXT(Q1030,"000"))</f>
        <v/>
      </c>
      <c r="T1030" s="33">
        <f>IF(R1030="","",IFERROR(INDEX(Cl_nom,MATCH(R1030,Cl_cle,0)),"(client introuvable)"))</f>
        <v/>
      </c>
      <c r="U1030" s="33">
        <f>IF(R1030="","",IFERROR(INDEX(Cl_quartier,MATCH(R1030,Cl_cle,0))&amp;"",""))</f>
        <v/>
      </c>
      <c r="V1030" s="34">
        <f>IF(C1030="","",YEAR(C1030-WEEKDAY(C1030,2)+4)&amp;"-S"&amp;TEXT(INT((C1030-DATE(YEAR(C1030-WEEKDAY(C1030,2)+4),1,3)+WEEKDAY(DATE(YEAR(C1030-WEEKDAY(C1030,2)+4),1,3),2)+5)/7),"00"))</f>
        <v/>
      </c>
    </row>
    <row r="1031" ht="18" customHeight="1">
      <c r="A1031" s="39" t="n">
        <v>1026</v>
      </c>
      <c r="B1031" s="33">
        <f>IF(C1031="","",IF(P1031="À RENSEIGNER","GIC",P1031)&amp;"-V"&amp;TEXT(A1031,"00000"))</f>
        <v/>
      </c>
      <c r="C1031" s="32" t="n"/>
      <c r="D1031" s="35" t="n"/>
      <c r="E1031" s="36" t="n"/>
      <c r="F1031" s="36" t="n"/>
      <c r="G1031" s="36" t="n"/>
      <c r="H1031" s="36" t="n"/>
      <c r="I1031" s="36" t="n"/>
      <c r="J1031" s="37" t="n"/>
      <c r="K1031" s="32" t="n"/>
      <c r="L1031" s="36" t="n"/>
      <c r="M1031" s="41" t="n"/>
      <c r="N1031" s="41" t="n"/>
      <c r="O1031" s="36" t="n"/>
      <c r="P1031" s="33">
        <f>IF(C1031="","",Commercial_Id)</f>
        <v/>
      </c>
      <c r="Q1031" s="39">
        <f>IF(F1031="","",IFERROR(VALUE(MID(F1031,LEN(F1031)-3,3)),""))</f>
        <v/>
      </c>
      <c r="R1031" s="33">
        <f>IF(Q1031="","",P1031&amp;"|"&amp;Q1031)</f>
        <v/>
      </c>
      <c r="S1031" s="33">
        <f>IF(Q1031="","",IF(P1031="À RENSEIGNER","GIC",P1031)&amp;"-"&amp;TEXT(Q1031,"000"))</f>
        <v/>
      </c>
      <c r="T1031" s="33">
        <f>IF(R1031="","",IFERROR(INDEX(Cl_nom,MATCH(R1031,Cl_cle,0)),"(client introuvable)"))</f>
        <v/>
      </c>
      <c r="U1031" s="33">
        <f>IF(R1031="","",IFERROR(INDEX(Cl_quartier,MATCH(R1031,Cl_cle,0))&amp;"",""))</f>
        <v/>
      </c>
      <c r="V1031" s="34">
        <f>IF(C1031="","",YEAR(C1031-WEEKDAY(C1031,2)+4)&amp;"-S"&amp;TEXT(INT((C1031-DATE(YEAR(C1031-WEEKDAY(C1031,2)+4),1,3)+WEEKDAY(DATE(YEAR(C1031-WEEKDAY(C1031,2)+4),1,3),2)+5)/7),"00"))</f>
        <v/>
      </c>
    </row>
    <row r="1032" ht="18" customHeight="1">
      <c r="A1032" s="39" t="n">
        <v>1027</v>
      </c>
      <c r="B1032" s="33">
        <f>IF(C1032="","",IF(P1032="À RENSEIGNER","GIC",P1032)&amp;"-V"&amp;TEXT(A1032,"00000"))</f>
        <v/>
      </c>
      <c r="C1032" s="32" t="n"/>
      <c r="D1032" s="35" t="n"/>
      <c r="E1032" s="36" t="n"/>
      <c r="F1032" s="36" t="n"/>
      <c r="G1032" s="36" t="n"/>
      <c r="H1032" s="36" t="n"/>
      <c r="I1032" s="36" t="n"/>
      <c r="J1032" s="37" t="n"/>
      <c r="K1032" s="32" t="n"/>
      <c r="L1032" s="36" t="n"/>
      <c r="M1032" s="41" t="n"/>
      <c r="N1032" s="41" t="n"/>
      <c r="O1032" s="36" t="n"/>
      <c r="P1032" s="33">
        <f>IF(C1032="","",Commercial_Id)</f>
        <v/>
      </c>
      <c r="Q1032" s="39">
        <f>IF(F1032="","",IFERROR(VALUE(MID(F1032,LEN(F1032)-3,3)),""))</f>
        <v/>
      </c>
      <c r="R1032" s="33">
        <f>IF(Q1032="","",P1032&amp;"|"&amp;Q1032)</f>
        <v/>
      </c>
      <c r="S1032" s="33">
        <f>IF(Q1032="","",IF(P1032="À RENSEIGNER","GIC",P1032)&amp;"-"&amp;TEXT(Q1032,"000"))</f>
        <v/>
      </c>
      <c r="T1032" s="33">
        <f>IF(R1032="","",IFERROR(INDEX(Cl_nom,MATCH(R1032,Cl_cle,0)),"(client introuvable)"))</f>
        <v/>
      </c>
      <c r="U1032" s="33">
        <f>IF(R1032="","",IFERROR(INDEX(Cl_quartier,MATCH(R1032,Cl_cle,0))&amp;"",""))</f>
        <v/>
      </c>
      <c r="V1032" s="34">
        <f>IF(C1032="","",YEAR(C1032-WEEKDAY(C1032,2)+4)&amp;"-S"&amp;TEXT(INT((C1032-DATE(YEAR(C1032-WEEKDAY(C1032,2)+4),1,3)+WEEKDAY(DATE(YEAR(C1032-WEEKDAY(C1032,2)+4),1,3),2)+5)/7),"00"))</f>
        <v/>
      </c>
    </row>
    <row r="1033" ht="18" customHeight="1">
      <c r="A1033" s="39" t="n">
        <v>1028</v>
      </c>
      <c r="B1033" s="33">
        <f>IF(C1033="","",IF(P1033="À RENSEIGNER","GIC",P1033)&amp;"-V"&amp;TEXT(A1033,"00000"))</f>
        <v/>
      </c>
      <c r="C1033" s="32" t="n"/>
      <c r="D1033" s="35" t="n"/>
      <c r="E1033" s="36" t="n"/>
      <c r="F1033" s="36" t="n"/>
      <c r="G1033" s="36" t="n"/>
      <c r="H1033" s="36" t="n"/>
      <c r="I1033" s="36" t="n"/>
      <c r="J1033" s="37" t="n"/>
      <c r="K1033" s="32" t="n"/>
      <c r="L1033" s="36" t="n"/>
      <c r="M1033" s="41" t="n"/>
      <c r="N1033" s="41" t="n"/>
      <c r="O1033" s="36" t="n"/>
      <c r="P1033" s="33">
        <f>IF(C1033="","",Commercial_Id)</f>
        <v/>
      </c>
      <c r="Q1033" s="39">
        <f>IF(F1033="","",IFERROR(VALUE(MID(F1033,LEN(F1033)-3,3)),""))</f>
        <v/>
      </c>
      <c r="R1033" s="33">
        <f>IF(Q1033="","",P1033&amp;"|"&amp;Q1033)</f>
        <v/>
      </c>
      <c r="S1033" s="33">
        <f>IF(Q1033="","",IF(P1033="À RENSEIGNER","GIC",P1033)&amp;"-"&amp;TEXT(Q1033,"000"))</f>
        <v/>
      </c>
      <c r="T1033" s="33">
        <f>IF(R1033="","",IFERROR(INDEX(Cl_nom,MATCH(R1033,Cl_cle,0)),"(client introuvable)"))</f>
        <v/>
      </c>
      <c r="U1033" s="33">
        <f>IF(R1033="","",IFERROR(INDEX(Cl_quartier,MATCH(R1033,Cl_cle,0))&amp;"",""))</f>
        <v/>
      </c>
      <c r="V1033" s="34">
        <f>IF(C1033="","",YEAR(C1033-WEEKDAY(C1033,2)+4)&amp;"-S"&amp;TEXT(INT((C1033-DATE(YEAR(C1033-WEEKDAY(C1033,2)+4),1,3)+WEEKDAY(DATE(YEAR(C1033-WEEKDAY(C1033,2)+4),1,3),2)+5)/7),"00"))</f>
        <v/>
      </c>
    </row>
    <row r="1034" ht="18" customHeight="1">
      <c r="A1034" s="39" t="n">
        <v>1029</v>
      </c>
      <c r="B1034" s="33">
        <f>IF(C1034="","",IF(P1034="À RENSEIGNER","GIC",P1034)&amp;"-V"&amp;TEXT(A1034,"00000"))</f>
        <v/>
      </c>
      <c r="C1034" s="32" t="n"/>
      <c r="D1034" s="35" t="n"/>
      <c r="E1034" s="36" t="n"/>
      <c r="F1034" s="36" t="n"/>
      <c r="G1034" s="36" t="n"/>
      <c r="H1034" s="36" t="n"/>
      <c r="I1034" s="36" t="n"/>
      <c r="J1034" s="37" t="n"/>
      <c r="K1034" s="32" t="n"/>
      <c r="L1034" s="36" t="n"/>
      <c r="M1034" s="41" t="n"/>
      <c r="N1034" s="41" t="n"/>
      <c r="O1034" s="36" t="n"/>
      <c r="P1034" s="33">
        <f>IF(C1034="","",Commercial_Id)</f>
        <v/>
      </c>
      <c r="Q1034" s="39">
        <f>IF(F1034="","",IFERROR(VALUE(MID(F1034,LEN(F1034)-3,3)),""))</f>
        <v/>
      </c>
      <c r="R1034" s="33">
        <f>IF(Q1034="","",P1034&amp;"|"&amp;Q1034)</f>
        <v/>
      </c>
      <c r="S1034" s="33">
        <f>IF(Q1034="","",IF(P1034="À RENSEIGNER","GIC",P1034)&amp;"-"&amp;TEXT(Q1034,"000"))</f>
        <v/>
      </c>
      <c r="T1034" s="33">
        <f>IF(R1034="","",IFERROR(INDEX(Cl_nom,MATCH(R1034,Cl_cle,0)),"(client introuvable)"))</f>
        <v/>
      </c>
      <c r="U1034" s="33">
        <f>IF(R1034="","",IFERROR(INDEX(Cl_quartier,MATCH(R1034,Cl_cle,0))&amp;"",""))</f>
        <v/>
      </c>
      <c r="V1034" s="34">
        <f>IF(C1034="","",YEAR(C1034-WEEKDAY(C1034,2)+4)&amp;"-S"&amp;TEXT(INT((C1034-DATE(YEAR(C1034-WEEKDAY(C1034,2)+4),1,3)+WEEKDAY(DATE(YEAR(C1034-WEEKDAY(C1034,2)+4),1,3),2)+5)/7),"00"))</f>
        <v/>
      </c>
    </row>
    <row r="1035" ht="18" customHeight="1">
      <c r="A1035" s="39" t="n">
        <v>1030</v>
      </c>
      <c r="B1035" s="33">
        <f>IF(C1035="","",IF(P1035="À RENSEIGNER","GIC",P1035)&amp;"-V"&amp;TEXT(A1035,"00000"))</f>
        <v/>
      </c>
      <c r="C1035" s="32" t="n"/>
      <c r="D1035" s="35" t="n"/>
      <c r="E1035" s="36" t="n"/>
      <c r="F1035" s="36" t="n"/>
      <c r="G1035" s="36" t="n"/>
      <c r="H1035" s="36" t="n"/>
      <c r="I1035" s="36" t="n"/>
      <c r="J1035" s="37" t="n"/>
      <c r="K1035" s="32" t="n"/>
      <c r="L1035" s="36" t="n"/>
      <c r="M1035" s="41" t="n"/>
      <c r="N1035" s="41" t="n"/>
      <c r="O1035" s="36" t="n"/>
      <c r="P1035" s="33">
        <f>IF(C1035="","",Commercial_Id)</f>
        <v/>
      </c>
      <c r="Q1035" s="39">
        <f>IF(F1035="","",IFERROR(VALUE(MID(F1035,LEN(F1035)-3,3)),""))</f>
        <v/>
      </c>
      <c r="R1035" s="33">
        <f>IF(Q1035="","",P1035&amp;"|"&amp;Q1035)</f>
        <v/>
      </c>
      <c r="S1035" s="33">
        <f>IF(Q1035="","",IF(P1035="À RENSEIGNER","GIC",P1035)&amp;"-"&amp;TEXT(Q1035,"000"))</f>
        <v/>
      </c>
      <c r="T1035" s="33">
        <f>IF(R1035="","",IFERROR(INDEX(Cl_nom,MATCH(R1035,Cl_cle,0)),"(client introuvable)"))</f>
        <v/>
      </c>
      <c r="U1035" s="33">
        <f>IF(R1035="","",IFERROR(INDEX(Cl_quartier,MATCH(R1035,Cl_cle,0))&amp;"",""))</f>
        <v/>
      </c>
      <c r="V1035" s="34">
        <f>IF(C1035="","",YEAR(C1035-WEEKDAY(C1035,2)+4)&amp;"-S"&amp;TEXT(INT((C1035-DATE(YEAR(C1035-WEEKDAY(C1035,2)+4),1,3)+WEEKDAY(DATE(YEAR(C1035-WEEKDAY(C1035,2)+4),1,3),2)+5)/7),"00"))</f>
        <v/>
      </c>
    </row>
    <row r="1036" ht="18" customHeight="1">
      <c r="A1036" s="39" t="n">
        <v>1031</v>
      </c>
      <c r="B1036" s="33">
        <f>IF(C1036="","",IF(P1036="À RENSEIGNER","GIC",P1036)&amp;"-V"&amp;TEXT(A1036,"00000"))</f>
        <v/>
      </c>
      <c r="C1036" s="32" t="n"/>
      <c r="D1036" s="35" t="n"/>
      <c r="E1036" s="36" t="n"/>
      <c r="F1036" s="36" t="n"/>
      <c r="G1036" s="36" t="n"/>
      <c r="H1036" s="36" t="n"/>
      <c r="I1036" s="36" t="n"/>
      <c r="J1036" s="37" t="n"/>
      <c r="K1036" s="32" t="n"/>
      <c r="L1036" s="36" t="n"/>
      <c r="M1036" s="41" t="n"/>
      <c r="N1036" s="41" t="n"/>
      <c r="O1036" s="36" t="n"/>
      <c r="P1036" s="33">
        <f>IF(C1036="","",Commercial_Id)</f>
        <v/>
      </c>
      <c r="Q1036" s="39">
        <f>IF(F1036="","",IFERROR(VALUE(MID(F1036,LEN(F1036)-3,3)),""))</f>
        <v/>
      </c>
      <c r="R1036" s="33">
        <f>IF(Q1036="","",P1036&amp;"|"&amp;Q1036)</f>
        <v/>
      </c>
      <c r="S1036" s="33">
        <f>IF(Q1036="","",IF(P1036="À RENSEIGNER","GIC",P1036)&amp;"-"&amp;TEXT(Q1036,"000"))</f>
        <v/>
      </c>
      <c r="T1036" s="33">
        <f>IF(R1036="","",IFERROR(INDEX(Cl_nom,MATCH(R1036,Cl_cle,0)),"(client introuvable)"))</f>
        <v/>
      </c>
      <c r="U1036" s="33">
        <f>IF(R1036="","",IFERROR(INDEX(Cl_quartier,MATCH(R1036,Cl_cle,0))&amp;"",""))</f>
        <v/>
      </c>
      <c r="V1036" s="34">
        <f>IF(C1036="","",YEAR(C1036-WEEKDAY(C1036,2)+4)&amp;"-S"&amp;TEXT(INT((C1036-DATE(YEAR(C1036-WEEKDAY(C1036,2)+4),1,3)+WEEKDAY(DATE(YEAR(C1036-WEEKDAY(C1036,2)+4),1,3),2)+5)/7),"00"))</f>
        <v/>
      </c>
    </row>
    <row r="1037" ht="18" customHeight="1">
      <c r="A1037" s="39" t="n">
        <v>1032</v>
      </c>
      <c r="B1037" s="33">
        <f>IF(C1037="","",IF(P1037="À RENSEIGNER","GIC",P1037)&amp;"-V"&amp;TEXT(A1037,"00000"))</f>
        <v/>
      </c>
      <c r="C1037" s="32" t="n"/>
      <c r="D1037" s="35" t="n"/>
      <c r="E1037" s="36" t="n"/>
      <c r="F1037" s="36" t="n"/>
      <c r="G1037" s="36" t="n"/>
      <c r="H1037" s="36" t="n"/>
      <c r="I1037" s="36" t="n"/>
      <c r="J1037" s="37" t="n"/>
      <c r="K1037" s="32" t="n"/>
      <c r="L1037" s="36" t="n"/>
      <c r="M1037" s="41" t="n"/>
      <c r="N1037" s="41" t="n"/>
      <c r="O1037" s="36" t="n"/>
      <c r="P1037" s="33">
        <f>IF(C1037="","",Commercial_Id)</f>
        <v/>
      </c>
      <c r="Q1037" s="39">
        <f>IF(F1037="","",IFERROR(VALUE(MID(F1037,LEN(F1037)-3,3)),""))</f>
        <v/>
      </c>
      <c r="R1037" s="33">
        <f>IF(Q1037="","",P1037&amp;"|"&amp;Q1037)</f>
        <v/>
      </c>
      <c r="S1037" s="33">
        <f>IF(Q1037="","",IF(P1037="À RENSEIGNER","GIC",P1037)&amp;"-"&amp;TEXT(Q1037,"000"))</f>
        <v/>
      </c>
      <c r="T1037" s="33">
        <f>IF(R1037="","",IFERROR(INDEX(Cl_nom,MATCH(R1037,Cl_cle,0)),"(client introuvable)"))</f>
        <v/>
      </c>
      <c r="U1037" s="33">
        <f>IF(R1037="","",IFERROR(INDEX(Cl_quartier,MATCH(R1037,Cl_cle,0))&amp;"",""))</f>
        <v/>
      </c>
      <c r="V1037" s="34">
        <f>IF(C1037="","",YEAR(C1037-WEEKDAY(C1037,2)+4)&amp;"-S"&amp;TEXT(INT((C1037-DATE(YEAR(C1037-WEEKDAY(C1037,2)+4),1,3)+WEEKDAY(DATE(YEAR(C1037-WEEKDAY(C1037,2)+4),1,3),2)+5)/7),"00"))</f>
        <v/>
      </c>
    </row>
    <row r="1038" ht="18" customHeight="1">
      <c r="A1038" s="39" t="n">
        <v>1033</v>
      </c>
      <c r="B1038" s="33">
        <f>IF(C1038="","",IF(P1038="À RENSEIGNER","GIC",P1038)&amp;"-V"&amp;TEXT(A1038,"00000"))</f>
        <v/>
      </c>
      <c r="C1038" s="32" t="n"/>
      <c r="D1038" s="35" t="n"/>
      <c r="E1038" s="36" t="n"/>
      <c r="F1038" s="36" t="n"/>
      <c r="G1038" s="36" t="n"/>
      <c r="H1038" s="36" t="n"/>
      <c r="I1038" s="36" t="n"/>
      <c r="J1038" s="37" t="n"/>
      <c r="K1038" s="32" t="n"/>
      <c r="L1038" s="36" t="n"/>
      <c r="M1038" s="41" t="n"/>
      <c r="N1038" s="41" t="n"/>
      <c r="O1038" s="36" t="n"/>
      <c r="P1038" s="33">
        <f>IF(C1038="","",Commercial_Id)</f>
        <v/>
      </c>
      <c r="Q1038" s="39">
        <f>IF(F1038="","",IFERROR(VALUE(MID(F1038,LEN(F1038)-3,3)),""))</f>
        <v/>
      </c>
      <c r="R1038" s="33">
        <f>IF(Q1038="","",P1038&amp;"|"&amp;Q1038)</f>
        <v/>
      </c>
      <c r="S1038" s="33">
        <f>IF(Q1038="","",IF(P1038="À RENSEIGNER","GIC",P1038)&amp;"-"&amp;TEXT(Q1038,"000"))</f>
        <v/>
      </c>
      <c r="T1038" s="33">
        <f>IF(R1038="","",IFERROR(INDEX(Cl_nom,MATCH(R1038,Cl_cle,0)),"(client introuvable)"))</f>
        <v/>
      </c>
      <c r="U1038" s="33">
        <f>IF(R1038="","",IFERROR(INDEX(Cl_quartier,MATCH(R1038,Cl_cle,0))&amp;"",""))</f>
        <v/>
      </c>
      <c r="V1038" s="34">
        <f>IF(C1038="","",YEAR(C1038-WEEKDAY(C1038,2)+4)&amp;"-S"&amp;TEXT(INT((C1038-DATE(YEAR(C1038-WEEKDAY(C1038,2)+4),1,3)+WEEKDAY(DATE(YEAR(C1038-WEEKDAY(C1038,2)+4),1,3),2)+5)/7),"00"))</f>
        <v/>
      </c>
    </row>
    <row r="1039" ht="18" customHeight="1">
      <c r="A1039" s="39" t="n">
        <v>1034</v>
      </c>
      <c r="B1039" s="33">
        <f>IF(C1039="","",IF(P1039="À RENSEIGNER","GIC",P1039)&amp;"-V"&amp;TEXT(A1039,"00000"))</f>
        <v/>
      </c>
      <c r="C1039" s="32" t="n"/>
      <c r="D1039" s="35" t="n"/>
      <c r="E1039" s="36" t="n"/>
      <c r="F1039" s="36" t="n"/>
      <c r="G1039" s="36" t="n"/>
      <c r="H1039" s="36" t="n"/>
      <c r="I1039" s="36" t="n"/>
      <c r="J1039" s="37" t="n"/>
      <c r="K1039" s="32" t="n"/>
      <c r="L1039" s="36" t="n"/>
      <c r="M1039" s="41" t="n"/>
      <c r="N1039" s="41" t="n"/>
      <c r="O1039" s="36" t="n"/>
      <c r="P1039" s="33">
        <f>IF(C1039="","",Commercial_Id)</f>
        <v/>
      </c>
      <c r="Q1039" s="39">
        <f>IF(F1039="","",IFERROR(VALUE(MID(F1039,LEN(F1039)-3,3)),""))</f>
        <v/>
      </c>
      <c r="R1039" s="33">
        <f>IF(Q1039="","",P1039&amp;"|"&amp;Q1039)</f>
        <v/>
      </c>
      <c r="S1039" s="33">
        <f>IF(Q1039="","",IF(P1039="À RENSEIGNER","GIC",P1039)&amp;"-"&amp;TEXT(Q1039,"000"))</f>
        <v/>
      </c>
      <c r="T1039" s="33">
        <f>IF(R1039="","",IFERROR(INDEX(Cl_nom,MATCH(R1039,Cl_cle,0)),"(client introuvable)"))</f>
        <v/>
      </c>
      <c r="U1039" s="33">
        <f>IF(R1039="","",IFERROR(INDEX(Cl_quartier,MATCH(R1039,Cl_cle,0))&amp;"",""))</f>
        <v/>
      </c>
      <c r="V1039" s="34">
        <f>IF(C1039="","",YEAR(C1039-WEEKDAY(C1039,2)+4)&amp;"-S"&amp;TEXT(INT((C1039-DATE(YEAR(C1039-WEEKDAY(C1039,2)+4),1,3)+WEEKDAY(DATE(YEAR(C1039-WEEKDAY(C1039,2)+4),1,3),2)+5)/7),"00"))</f>
        <v/>
      </c>
    </row>
    <row r="1040" ht="18" customHeight="1">
      <c r="A1040" s="39" t="n">
        <v>1035</v>
      </c>
      <c r="B1040" s="33">
        <f>IF(C1040="","",IF(P1040="À RENSEIGNER","GIC",P1040)&amp;"-V"&amp;TEXT(A1040,"00000"))</f>
        <v/>
      </c>
      <c r="C1040" s="32" t="n"/>
      <c r="D1040" s="35" t="n"/>
      <c r="E1040" s="36" t="n"/>
      <c r="F1040" s="36" t="n"/>
      <c r="G1040" s="36" t="n"/>
      <c r="H1040" s="36" t="n"/>
      <c r="I1040" s="36" t="n"/>
      <c r="J1040" s="37" t="n"/>
      <c r="K1040" s="32" t="n"/>
      <c r="L1040" s="36" t="n"/>
      <c r="M1040" s="41" t="n"/>
      <c r="N1040" s="41" t="n"/>
      <c r="O1040" s="36" t="n"/>
      <c r="P1040" s="33">
        <f>IF(C1040="","",Commercial_Id)</f>
        <v/>
      </c>
      <c r="Q1040" s="39">
        <f>IF(F1040="","",IFERROR(VALUE(MID(F1040,LEN(F1040)-3,3)),""))</f>
        <v/>
      </c>
      <c r="R1040" s="33">
        <f>IF(Q1040="","",P1040&amp;"|"&amp;Q1040)</f>
        <v/>
      </c>
      <c r="S1040" s="33">
        <f>IF(Q1040="","",IF(P1040="À RENSEIGNER","GIC",P1040)&amp;"-"&amp;TEXT(Q1040,"000"))</f>
        <v/>
      </c>
      <c r="T1040" s="33">
        <f>IF(R1040="","",IFERROR(INDEX(Cl_nom,MATCH(R1040,Cl_cle,0)),"(client introuvable)"))</f>
        <v/>
      </c>
      <c r="U1040" s="33">
        <f>IF(R1040="","",IFERROR(INDEX(Cl_quartier,MATCH(R1040,Cl_cle,0))&amp;"",""))</f>
        <v/>
      </c>
      <c r="V1040" s="34">
        <f>IF(C1040="","",YEAR(C1040-WEEKDAY(C1040,2)+4)&amp;"-S"&amp;TEXT(INT((C1040-DATE(YEAR(C1040-WEEKDAY(C1040,2)+4),1,3)+WEEKDAY(DATE(YEAR(C1040-WEEKDAY(C1040,2)+4),1,3),2)+5)/7),"00"))</f>
        <v/>
      </c>
    </row>
    <row r="1041" ht="18" customHeight="1">
      <c r="A1041" s="39" t="n">
        <v>1036</v>
      </c>
      <c r="B1041" s="33">
        <f>IF(C1041="","",IF(P1041="À RENSEIGNER","GIC",P1041)&amp;"-V"&amp;TEXT(A1041,"00000"))</f>
        <v/>
      </c>
      <c r="C1041" s="32" t="n"/>
      <c r="D1041" s="35" t="n"/>
      <c r="E1041" s="36" t="n"/>
      <c r="F1041" s="36" t="n"/>
      <c r="G1041" s="36" t="n"/>
      <c r="H1041" s="36" t="n"/>
      <c r="I1041" s="36" t="n"/>
      <c r="J1041" s="37" t="n"/>
      <c r="K1041" s="32" t="n"/>
      <c r="L1041" s="36" t="n"/>
      <c r="M1041" s="41" t="n"/>
      <c r="N1041" s="41" t="n"/>
      <c r="O1041" s="36" t="n"/>
      <c r="P1041" s="33">
        <f>IF(C1041="","",Commercial_Id)</f>
        <v/>
      </c>
      <c r="Q1041" s="39">
        <f>IF(F1041="","",IFERROR(VALUE(MID(F1041,LEN(F1041)-3,3)),""))</f>
        <v/>
      </c>
      <c r="R1041" s="33">
        <f>IF(Q1041="","",P1041&amp;"|"&amp;Q1041)</f>
        <v/>
      </c>
      <c r="S1041" s="33">
        <f>IF(Q1041="","",IF(P1041="À RENSEIGNER","GIC",P1041)&amp;"-"&amp;TEXT(Q1041,"000"))</f>
        <v/>
      </c>
      <c r="T1041" s="33">
        <f>IF(R1041="","",IFERROR(INDEX(Cl_nom,MATCH(R1041,Cl_cle,0)),"(client introuvable)"))</f>
        <v/>
      </c>
      <c r="U1041" s="33">
        <f>IF(R1041="","",IFERROR(INDEX(Cl_quartier,MATCH(R1041,Cl_cle,0))&amp;"",""))</f>
        <v/>
      </c>
      <c r="V1041" s="34">
        <f>IF(C1041="","",YEAR(C1041-WEEKDAY(C1041,2)+4)&amp;"-S"&amp;TEXT(INT((C1041-DATE(YEAR(C1041-WEEKDAY(C1041,2)+4),1,3)+WEEKDAY(DATE(YEAR(C1041-WEEKDAY(C1041,2)+4),1,3),2)+5)/7),"00"))</f>
        <v/>
      </c>
    </row>
    <row r="1042" ht="18" customHeight="1">
      <c r="A1042" s="39" t="n">
        <v>1037</v>
      </c>
      <c r="B1042" s="33">
        <f>IF(C1042="","",IF(P1042="À RENSEIGNER","GIC",P1042)&amp;"-V"&amp;TEXT(A1042,"00000"))</f>
        <v/>
      </c>
      <c r="C1042" s="32" t="n"/>
      <c r="D1042" s="35" t="n"/>
      <c r="E1042" s="36" t="n"/>
      <c r="F1042" s="36" t="n"/>
      <c r="G1042" s="36" t="n"/>
      <c r="H1042" s="36" t="n"/>
      <c r="I1042" s="36" t="n"/>
      <c r="J1042" s="37" t="n"/>
      <c r="K1042" s="32" t="n"/>
      <c r="L1042" s="36" t="n"/>
      <c r="M1042" s="41" t="n"/>
      <c r="N1042" s="41" t="n"/>
      <c r="O1042" s="36" t="n"/>
      <c r="P1042" s="33">
        <f>IF(C1042="","",Commercial_Id)</f>
        <v/>
      </c>
      <c r="Q1042" s="39">
        <f>IF(F1042="","",IFERROR(VALUE(MID(F1042,LEN(F1042)-3,3)),""))</f>
        <v/>
      </c>
      <c r="R1042" s="33">
        <f>IF(Q1042="","",P1042&amp;"|"&amp;Q1042)</f>
        <v/>
      </c>
      <c r="S1042" s="33">
        <f>IF(Q1042="","",IF(P1042="À RENSEIGNER","GIC",P1042)&amp;"-"&amp;TEXT(Q1042,"000"))</f>
        <v/>
      </c>
      <c r="T1042" s="33">
        <f>IF(R1042="","",IFERROR(INDEX(Cl_nom,MATCH(R1042,Cl_cle,0)),"(client introuvable)"))</f>
        <v/>
      </c>
      <c r="U1042" s="33">
        <f>IF(R1042="","",IFERROR(INDEX(Cl_quartier,MATCH(R1042,Cl_cle,0))&amp;"",""))</f>
        <v/>
      </c>
      <c r="V1042" s="34">
        <f>IF(C1042="","",YEAR(C1042-WEEKDAY(C1042,2)+4)&amp;"-S"&amp;TEXT(INT((C1042-DATE(YEAR(C1042-WEEKDAY(C1042,2)+4),1,3)+WEEKDAY(DATE(YEAR(C1042-WEEKDAY(C1042,2)+4),1,3),2)+5)/7),"00"))</f>
        <v/>
      </c>
    </row>
    <row r="1043" ht="18" customHeight="1">
      <c r="A1043" s="39" t="n">
        <v>1038</v>
      </c>
      <c r="B1043" s="33">
        <f>IF(C1043="","",IF(P1043="À RENSEIGNER","GIC",P1043)&amp;"-V"&amp;TEXT(A1043,"00000"))</f>
        <v/>
      </c>
      <c r="C1043" s="32" t="n"/>
      <c r="D1043" s="35" t="n"/>
      <c r="E1043" s="36" t="n"/>
      <c r="F1043" s="36" t="n"/>
      <c r="G1043" s="36" t="n"/>
      <c r="H1043" s="36" t="n"/>
      <c r="I1043" s="36" t="n"/>
      <c r="J1043" s="37" t="n"/>
      <c r="K1043" s="32" t="n"/>
      <c r="L1043" s="36" t="n"/>
      <c r="M1043" s="41" t="n"/>
      <c r="N1043" s="41" t="n"/>
      <c r="O1043" s="36" t="n"/>
      <c r="P1043" s="33">
        <f>IF(C1043="","",Commercial_Id)</f>
        <v/>
      </c>
      <c r="Q1043" s="39">
        <f>IF(F1043="","",IFERROR(VALUE(MID(F1043,LEN(F1043)-3,3)),""))</f>
        <v/>
      </c>
      <c r="R1043" s="33">
        <f>IF(Q1043="","",P1043&amp;"|"&amp;Q1043)</f>
        <v/>
      </c>
      <c r="S1043" s="33">
        <f>IF(Q1043="","",IF(P1043="À RENSEIGNER","GIC",P1043)&amp;"-"&amp;TEXT(Q1043,"000"))</f>
        <v/>
      </c>
      <c r="T1043" s="33">
        <f>IF(R1043="","",IFERROR(INDEX(Cl_nom,MATCH(R1043,Cl_cle,0)),"(client introuvable)"))</f>
        <v/>
      </c>
      <c r="U1043" s="33">
        <f>IF(R1043="","",IFERROR(INDEX(Cl_quartier,MATCH(R1043,Cl_cle,0))&amp;"",""))</f>
        <v/>
      </c>
      <c r="V1043" s="34">
        <f>IF(C1043="","",YEAR(C1043-WEEKDAY(C1043,2)+4)&amp;"-S"&amp;TEXT(INT((C1043-DATE(YEAR(C1043-WEEKDAY(C1043,2)+4),1,3)+WEEKDAY(DATE(YEAR(C1043-WEEKDAY(C1043,2)+4),1,3),2)+5)/7),"00"))</f>
        <v/>
      </c>
    </row>
    <row r="1044" ht="18" customHeight="1">
      <c r="A1044" s="39" t="n">
        <v>1039</v>
      </c>
      <c r="B1044" s="33">
        <f>IF(C1044="","",IF(P1044="À RENSEIGNER","GIC",P1044)&amp;"-V"&amp;TEXT(A1044,"00000"))</f>
        <v/>
      </c>
      <c r="C1044" s="32" t="n"/>
      <c r="D1044" s="35" t="n"/>
      <c r="E1044" s="36" t="n"/>
      <c r="F1044" s="36" t="n"/>
      <c r="G1044" s="36" t="n"/>
      <c r="H1044" s="36" t="n"/>
      <c r="I1044" s="36" t="n"/>
      <c r="J1044" s="37" t="n"/>
      <c r="K1044" s="32" t="n"/>
      <c r="L1044" s="36" t="n"/>
      <c r="M1044" s="41" t="n"/>
      <c r="N1044" s="41" t="n"/>
      <c r="O1044" s="36" t="n"/>
      <c r="P1044" s="33">
        <f>IF(C1044="","",Commercial_Id)</f>
        <v/>
      </c>
      <c r="Q1044" s="39">
        <f>IF(F1044="","",IFERROR(VALUE(MID(F1044,LEN(F1044)-3,3)),""))</f>
        <v/>
      </c>
      <c r="R1044" s="33">
        <f>IF(Q1044="","",P1044&amp;"|"&amp;Q1044)</f>
        <v/>
      </c>
      <c r="S1044" s="33">
        <f>IF(Q1044="","",IF(P1044="À RENSEIGNER","GIC",P1044)&amp;"-"&amp;TEXT(Q1044,"000"))</f>
        <v/>
      </c>
      <c r="T1044" s="33">
        <f>IF(R1044="","",IFERROR(INDEX(Cl_nom,MATCH(R1044,Cl_cle,0)),"(client introuvable)"))</f>
        <v/>
      </c>
      <c r="U1044" s="33">
        <f>IF(R1044="","",IFERROR(INDEX(Cl_quartier,MATCH(R1044,Cl_cle,0))&amp;"",""))</f>
        <v/>
      </c>
      <c r="V1044" s="34">
        <f>IF(C1044="","",YEAR(C1044-WEEKDAY(C1044,2)+4)&amp;"-S"&amp;TEXT(INT((C1044-DATE(YEAR(C1044-WEEKDAY(C1044,2)+4),1,3)+WEEKDAY(DATE(YEAR(C1044-WEEKDAY(C1044,2)+4),1,3),2)+5)/7),"00"))</f>
        <v/>
      </c>
    </row>
    <row r="1045" ht="18" customHeight="1">
      <c r="A1045" s="39" t="n">
        <v>1040</v>
      </c>
      <c r="B1045" s="33">
        <f>IF(C1045="","",IF(P1045="À RENSEIGNER","GIC",P1045)&amp;"-V"&amp;TEXT(A1045,"00000"))</f>
        <v/>
      </c>
      <c r="C1045" s="32" t="n"/>
      <c r="D1045" s="35" t="n"/>
      <c r="E1045" s="36" t="n"/>
      <c r="F1045" s="36" t="n"/>
      <c r="G1045" s="36" t="n"/>
      <c r="H1045" s="36" t="n"/>
      <c r="I1045" s="36" t="n"/>
      <c r="J1045" s="37" t="n"/>
      <c r="K1045" s="32" t="n"/>
      <c r="L1045" s="36" t="n"/>
      <c r="M1045" s="41" t="n"/>
      <c r="N1045" s="41" t="n"/>
      <c r="O1045" s="36" t="n"/>
      <c r="P1045" s="33">
        <f>IF(C1045="","",Commercial_Id)</f>
        <v/>
      </c>
      <c r="Q1045" s="39">
        <f>IF(F1045="","",IFERROR(VALUE(MID(F1045,LEN(F1045)-3,3)),""))</f>
        <v/>
      </c>
      <c r="R1045" s="33">
        <f>IF(Q1045="","",P1045&amp;"|"&amp;Q1045)</f>
        <v/>
      </c>
      <c r="S1045" s="33">
        <f>IF(Q1045="","",IF(P1045="À RENSEIGNER","GIC",P1045)&amp;"-"&amp;TEXT(Q1045,"000"))</f>
        <v/>
      </c>
      <c r="T1045" s="33">
        <f>IF(R1045="","",IFERROR(INDEX(Cl_nom,MATCH(R1045,Cl_cle,0)),"(client introuvable)"))</f>
        <v/>
      </c>
      <c r="U1045" s="33">
        <f>IF(R1045="","",IFERROR(INDEX(Cl_quartier,MATCH(R1045,Cl_cle,0))&amp;"",""))</f>
        <v/>
      </c>
      <c r="V1045" s="34">
        <f>IF(C1045="","",YEAR(C1045-WEEKDAY(C1045,2)+4)&amp;"-S"&amp;TEXT(INT((C1045-DATE(YEAR(C1045-WEEKDAY(C1045,2)+4),1,3)+WEEKDAY(DATE(YEAR(C1045-WEEKDAY(C1045,2)+4),1,3),2)+5)/7),"00"))</f>
        <v/>
      </c>
    </row>
    <row r="1046" ht="18" customHeight="1">
      <c r="A1046" s="39" t="n">
        <v>1041</v>
      </c>
      <c r="B1046" s="33">
        <f>IF(C1046="","",IF(P1046="À RENSEIGNER","GIC",P1046)&amp;"-V"&amp;TEXT(A1046,"00000"))</f>
        <v/>
      </c>
      <c r="C1046" s="32" t="n"/>
      <c r="D1046" s="35" t="n"/>
      <c r="E1046" s="36" t="n"/>
      <c r="F1046" s="36" t="n"/>
      <c r="G1046" s="36" t="n"/>
      <c r="H1046" s="36" t="n"/>
      <c r="I1046" s="36" t="n"/>
      <c r="J1046" s="37" t="n"/>
      <c r="K1046" s="32" t="n"/>
      <c r="L1046" s="36" t="n"/>
      <c r="M1046" s="41" t="n"/>
      <c r="N1046" s="41" t="n"/>
      <c r="O1046" s="36" t="n"/>
      <c r="P1046" s="33">
        <f>IF(C1046="","",Commercial_Id)</f>
        <v/>
      </c>
      <c r="Q1046" s="39">
        <f>IF(F1046="","",IFERROR(VALUE(MID(F1046,LEN(F1046)-3,3)),""))</f>
        <v/>
      </c>
      <c r="R1046" s="33">
        <f>IF(Q1046="","",P1046&amp;"|"&amp;Q1046)</f>
        <v/>
      </c>
      <c r="S1046" s="33">
        <f>IF(Q1046="","",IF(P1046="À RENSEIGNER","GIC",P1046)&amp;"-"&amp;TEXT(Q1046,"000"))</f>
        <v/>
      </c>
      <c r="T1046" s="33">
        <f>IF(R1046="","",IFERROR(INDEX(Cl_nom,MATCH(R1046,Cl_cle,0)),"(client introuvable)"))</f>
        <v/>
      </c>
      <c r="U1046" s="33">
        <f>IF(R1046="","",IFERROR(INDEX(Cl_quartier,MATCH(R1046,Cl_cle,0))&amp;"",""))</f>
        <v/>
      </c>
      <c r="V1046" s="34">
        <f>IF(C1046="","",YEAR(C1046-WEEKDAY(C1046,2)+4)&amp;"-S"&amp;TEXT(INT((C1046-DATE(YEAR(C1046-WEEKDAY(C1046,2)+4),1,3)+WEEKDAY(DATE(YEAR(C1046-WEEKDAY(C1046,2)+4),1,3),2)+5)/7),"00"))</f>
        <v/>
      </c>
    </row>
    <row r="1047" ht="18" customHeight="1">
      <c r="A1047" s="39" t="n">
        <v>1042</v>
      </c>
      <c r="B1047" s="33">
        <f>IF(C1047="","",IF(P1047="À RENSEIGNER","GIC",P1047)&amp;"-V"&amp;TEXT(A1047,"00000"))</f>
        <v/>
      </c>
      <c r="C1047" s="32" t="n"/>
      <c r="D1047" s="35" t="n"/>
      <c r="E1047" s="36" t="n"/>
      <c r="F1047" s="36" t="n"/>
      <c r="G1047" s="36" t="n"/>
      <c r="H1047" s="36" t="n"/>
      <c r="I1047" s="36" t="n"/>
      <c r="J1047" s="37" t="n"/>
      <c r="K1047" s="32" t="n"/>
      <c r="L1047" s="36" t="n"/>
      <c r="M1047" s="41" t="n"/>
      <c r="N1047" s="41" t="n"/>
      <c r="O1047" s="36" t="n"/>
      <c r="P1047" s="33">
        <f>IF(C1047="","",Commercial_Id)</f>
        <v/>
      </c>
      <c r="Q1047" s="39">
        <f>IF(F1047="","",IFERROR(VALUE(MID(F1047,LEN(F1047)-3,3)),""))</f>
        <v/>
      </c>
      <c r="R1047" s="33">
        <f>IF(Q1047="","",P1047&amp;"|"&amp;Q1047)</f>
        <v/>
      </c>
      <c r="S1047" s="33">
        <f>IF(Q1047="","",IF(P1047="À RENSEIGNER","GIC",P1047)&amp;"-"&amp;TEXT(Q1047,"000"))</f>
        <v/>
      </c>
      <c r="T1047" s="33">
        <f>IF(R1047="","",IFERROR(INDEX(Cl_nom,MATCH(R1047,Cl_cle,0)),"(client introuvable)"))</f>
        <v/>
      </c>
      <c r="U1047" s="33">
        <f>IF(R1047="","",IFERROR(INDEX(Cl_quartier,MATCH(R1047,Cl_cle,0))&amp;"",""))</f>
        <v/>
      </c>
      <c r="V1047" s="34">
        <f>IF(C1047="","",YEAR(C1047-WEEKDAY(C1047,2)+4)&amp;"-S"&amp;TEXT(INT((C1047-DATE(YEAR(C1047-WEEKDAY(C1047,2)+4),1,3)+WEEKDAY(DATE(YEAR(C1047-WEEKDAY(C1047,2)+4),1,3),2)+5)/7),"00"))</f>
        <v/>
      </c>
    </row>
    <row r="1048" ht="18" customHeight="1">
      <c r="A1048" s="39" t="n">
        <v>1043</v>
      </c>
      <c r="B1048" s="33">
        <f>IF(C1048="","",IF(P1048="À RENSEIGNER","GIC",P1048)&amp;"-V"&amp;TEXT(A1048,"00000"))</f>
        <v/>
      </c>
      <c r="C1048" s="32" t="n"/>
      <c r="D1048" s="35" t="n"/>
      <c r="E1048" s="36" t="n"/>
      <c r="F1048" s="36" t="n"/>
      <c r="G1048" s="36" t="n"/>
      <c r="H1048" s="36" t="n"/>
      <c r="I1048" s="36" t="n"/>
      <c r="J1048" s="37" t="n"/>
      <c r="K1048" s="32" t="n"/>
      <c r="L1048" s="36" t="n"/>
      <c r="M1048" s="41" t="n"/>
      <c r="N1048" s="41" t="n"/>
      <c r="O1048" s="36" t="n"/>
      <c r="P1048" s="33">
        <f>IF(C1048="","",Commercial_Id)</f>
        <v/>
      </c>
      <c r="Q1048" s="39">
        <f>IF(F1048="","",IFERROR(VALUE(MID(F1048,LEN(F1048)-3,3)),""))</f>
        <v/>
      </c>
      <c r="R1048" s="33">
        <f>IF(Q1048="","",P1048&amp;"|"&amp;Q1048)</f>
        <v/>
      </c>
      <c r="S1048" s="33">
        <f>IF(Q1048="","",IF(P1048="À RENSEIGNER","GIC",P1048)&amp;"-"&amp;TEXT(Q1048,"000"))</f>
        <v/>
      </c>
      <c r="T1048" s="33">
        <f>IF(R1048="","",IFERROR(INDEX(Cl_nom,MATCH(R1048,Cl_cle,0)),"(client introuvable)"))</f>
        <v/>
      </c>
      <c r="U1048" s="33">
        <f>IF(R1048="","",IFERROR(INDEX(Cl_quartier,MATCH(R1048,Cl_cle,0))&amp;"",""))</f>
        <v/>
      </c>
      <c r="V1048" s="34">
        <f>IF(C1048="","",YEAR(C1048-WEEKDAY(C1048,2)+4)&amp;"-S"&amp;TEXT(INT((C1048-DATE(YEAR(C1048-WEEKDAY(C1048,2)+4),1,3)+WEEKDAY(DATE(YEAR(C1048-WEEKDAY(C1048,2)+4),1,3),2)+5)/7),"00"))</f>
        <v/>
      </c>
    </row>
    <row r="1049" ht="18" customHeight="1">
      <c r="A1049" s="39" t="n">
        <v>1044</v>
      </c>
      <c r="B1049" s="33">
        <f>IF(C1049="","",IF(P1049="À RENSEIGNER","GIC",P1049)&amp;"-V"&amp;TEXT(A1049,"00000"))</f>
        <v/>
      </c>
      <c r="C1049" s="32" t="n"/>
      <c r="D1049" s="35" t="n"/>
      <c r="E1049" s="36" t="n"/>
      <c r="F1049" s="36" t="n"/>
      <c r="G1049" s="36" t="n"/>
      <c r="H1049" s="36" t="n"/>
      <c r="I1049" s="36" t="n"/>
      <c r="J1049" s="37" t="n"/>
      <c r="K1049" s="32" t="n"/>
      <c r="L1049" s="36" t="n"/>
      <c r="M1049" s="41" t="n"/>
      <c r="N1049" s="41" t="n"/>
      <c r="O1049" s="36" t="n"/>
      <c r="P1049" s="33">
        <f>IF(C1049="","",Commercial_Id)</f>
        <v/>
      </c>
      <c r="Q1049" s="39">
        <f>IF(F1049="","",IFERROR(VALUE(MID(F1049,LEN(F1049)-3,3)),""))</f>
        <v/>
      </c>
      <c r="R1049" s="33">
        <f>IF(Q1049="","",P1049&amp;"|"&amp;Q1049)</f>
        <v/>
      </c>
      <c r="S1049" s="33">
        <f>IF(Q1049="","",IF(P1049="À RENSEIGNER","GIC",P1049)&amp;"-"&amp;TEXT(Q1049,"000"))</f>
        <v/>
      </c>
      <c r="T1049" s="33">
        <f>IF(R1049="","",IFERROR(INDEX(Cl_nom,MATCH(R1049,Cl_cle,0)),"(client introuvable)"))</f>
        <v/>
      </c>
      <c r="U1049" s="33">
        <f>IF(R1049="","",IFERROR(INDEX(Cl_quartier,MATCH(R1049,Cl_cle,0))&amp;"",""))</f>
        <v/>
      </c>
      <c r="V1049" s="34">
        <f>IF(C1049="","",YEAR(C1049-WEEKDAY(C1049,2)+4)&amp;"-S"&amp;TEXT(INT((C1049-DATE(YEAR(C1049-WEEKDAY(C1049,2)+4),1,3)+WEEKDAY(DATE(YEAR(C1049-WEEKDAY(C1049,2)+4),1,3),2)+5)/7),"00"))</f>
        <v/>
      </c>
    </row>
    <row r="1050" ht="18" customHeight="1">
      <c r="A1050" s="39" t="n">
        <v>1045</v>
      </c>
      <c r="B1050" s="33">
        <f>IF(C1050="","",IF(P1050="À RENSEIGNER","GIC",P1050)&amp;"-V"&amp;TEXT(A1050,"00000"))</f>
        <v/>
      </c>
      <c r="C1050" s="32" t="n"/>
      <c r="D1050" s="35" t="n"/>
      <c r="E1050" s="36" t="n"/>
      <c r="F1050" s="36" t="n"/>
      <c r="G1050" s="36" t="n"/>
      <c r="H1050" s="36" t="n"/>
      <c r="I1050" s="36" t="n"/>
      <c r="J1050" s="37" t="n"/>
      <c r="K1050" s="32" t="n"/>
      <c r="L1050" s="36" t="n"/>
      <c r="M1050" s="41" t="n"/>
      <c r="N1050" s="41" t="n"/>
      <c r="O1050" s="36" t="n"/>
      <c r="P1050" s="33">
        <f>IF(C1050="","",Commercial_Id)</f>
        <v/>
      </c>
      <c r="Q1050" s="39">
        <f>IF(F1050="","",IFERROR(VALUE(MID(F1050,LEN(F1050)-3,3)),""))</f>
        <v/>
      </c>
      <c r="R1050" s="33">
        <f>IF(Q1050="","",P1050&amp;"|"&amp;Q1050)</f>
        <v/>
      </c>
      <c r="S1050" s="33">
        <f>IF(Q1050="","",IF(P1050="À RENSEIGNER","GIC",P1050)&amp;"-"&amp;TEXT(Q1050,"000"))</f>
        <v/>
      </c>
      <c r="T1050" s="33">
        <f>IF(R1050="","",IFERROR(INDEX(Cl_nom,MATCH(R1050,Cl_cle,0)),"(client introuvable)"))</f>
        <v/>
      </c>
      <c r="U1050" s="33">
        <f>IF(R1050="","",IFERROR(INDEX(Cl_quartier,MATCH(R1050,Cl_cle,0))&amp;"",""))</f>
        <v/>
      </c>
      <c r="V1050" s="34">
        <f>IF(C1050="","",YEAR(C1050-WEEKDAY(C1050,2)+4)&amp;"-S"&amp;TEXT(INT((C1050-DATE(YEAR(C1050-WEEKDAY(C1050,2)+4),1,3)+WEEKDAY(DATE(YEAR(C1050-WEEKDAY(C1050,2)+4),1,3),2)+5)/7),"00"))</f>
        <v/>
      </c>
    </row>
    <row r="1051" ht="18" customHeight="1">
      <c r="A1051" s="39" t="n">
        <v>1046</v>
      </c>
      <c r="B1051" s="33">
        <f>IF(C1051="","",IF(P1051="À RENSEIGNER","GIC",P1051)&amp;"-V"&amp;TEXT(A1051,"00000"))</f>
        <v/>
      </c>
      <c r="C1051" s="32" t="n"/>
      <c r="D1051" s="35" t="n"/>
      <c r="E1051" s="36" t="n"/>
      <c r="F1051" s="36" t="n"/>
      <c r="G1051" s="36" t="n"/>
      <c r="H1051" s="36" t="n"/>
      <c r="I1051" s="36" t="n"/>
      <c r="J1051" s="37" t="n"/>
      <c r="K1051" s="32" t="n"/>
      <c r="L1051" s="36" t="n"/>
      <c r="M1051" s="41" t="n"/>
      <c r="N1051" s="41" t="n"/>
      <c r="O1051" s="36" t="n"/>
      <c r="P1051" s="33">
        <f>IF(C1051="","",Commercial_Id)</f>
        <v/>
      </c>
      <c r="Q1051" s="39">
        <f>IF(F1051="","",IFERROR(VALUE(MID(F1051,LEN(F1051)-3,3)),""))</f>
        <v/>
      </c>
      <c r="R1051" s="33">
        <f>IF(Q1051="","",P1051&amp;"|"&amp;Q1051)</f>
        <v/>
      </c>
      <c r="S1051" s="33">
        <f>IF(Q1051="","",IF(P1051="À RENSEIGNER","GIC",P1051)&amp;"-"&amp;TEXT(Q1051,"000"))</f>
        <v/>
      </c>
      <c r="T1051" s="33">
        <f>IF(R1051="","",IFERROR(INDEX(Cl_nom,MATCH(R1051,Cl_cle,0)),"(client introuvable)"))</f>
        <v/>
      </c>
      <c r="U1051" s="33">
        <f>IF(R1051="","",IFERROR(INDEX(Cl_quartier,MATCH(R1051,Cl_cle,0))&amp;"",""))</f>
        <v/>
      </c>
      <c r="V1051" s="34">
        <f>IF(C1051="","",YEAR(C1051-WEEKDAY(C1051,2)+4)&amp;"-S"&amp;TEXT(INT((C1051-DATE(YEAR(C1051-WEEKDAY(C1051,2)+4),1,3)+WEEKDAY(DATE(YEAR(C1051-WEEKDAY(C1051,2)+4),1,3),2)+5)/7),"00"))</f>
        <v/>
      </c>
    </row>
    <row r="1052" ht="18" customHeight="1">
      <c r="A1052" s="39" t="n">
        <v>1047</v>
      </c>
      <c r="B1052" s="33">
        <f>IF(C1052="","",IF(P1052="À RENSEIGNER","GIC",P1052)&amp;"-V"&amp;TEXT(A1052,"00000"))</f>
        <v/>
      </c>
      <c r="C1052" s="32" t="n"/>
      <c r="D1052" s="35" t="n"/>
      <c r="E1052" s="36" t="n"/>
      <c r="F1052" s="36" t="n"/>
      <c r="G1052" s="36" t="n"/>
      <c r="H1052" s="36" t="n"/>
      <c r="I1052" s="36" t="n"/>
      <c r="J1052" s="37" t="n"/>
      <c r="K1052" s="32" t="n"/>
      <c r="L1052" s="36" t="n"/>
      <c r="M1052" s="41" t="n"/>
      <c r="N1052" s="41" t="n"/>
      <c r="O1052" s="36" t="n"/>
      <c r="P1052" s="33">
        <f>IF(C1052="","",Commercial_Id)</f>
        <v/>
      </c>
      <c r="Q1052" s="39">
        <f>IF(F1052="","",IFERROR(VALUE(MID(F1052,LEN(F1052)-3,3)),""))</f>
        <v/>
      </c>
      <c r="R1052" s="33">
        <f>IF(Q1052="","",P1052&amp;"|"&amp;Q1052)</f>
        <v/>
      </c>
      <c r="S1052" s="33">
        <f>IF(Q1052="","",IF(P1052="À RENSEIGNER","GIC",P1052)&amp;"-"&amp;TEXT(Q1052,"000"))</f>
        <v/>
      </c>
      <c r="T1052" s="33">
        <f>IF(R1052="","",IFERROR(INDEX(Cl_nom,MATCH(R1052,Cl_cle,0)),"(client introuvable)"))</f>
        <v/>
      </c>
      <c r="U1052" s="33">
        <f>IF(R1052="","",IFERROR(INDEX(Cl_quartier,MATCH(R1052,Cl_cle,0))&amp;"",""))</f>
        <v/>
      </c>
      <c r="V1052" s="34">
        <f>IF(C1052="","",YEAR(C1052-WEEKDAY(C1052,2)+4)&amp;"-S"&amp;TEXT(INT((C1052-DATE(YEAR(C1052-WEEKDAY(C1052,2)+4),1,3)+WEEKDAY(DATE(YEAR(C1052-WEEKDAY(C1052,2)+4),1,3),2)+5)/7),"00"))</f>
        <v/>
      </c>
    </row>
    <row r="1053" ht="18" customHeight="1">
      <c r="A1053" s="39" t="n">
        <v>1048</v>
      </c>
      <c r="B1053" s="33">
        <f>IF(C1053="","",IF(P1053="À RENSEIGNER","GIC",P1053)&amp;"-V"&amp;TEXT(A1053,"00000"))</f>
        <v/>
      </c>
      <c r="C1053" s="32" t="n"/>
      <c r="D1053" s="35" t="n"/>
      <c r="E1053" s="36" t="n"/>
      <c r="F1053" s="36" t="n"/>
      <c r="G1053" s="36" t="n"/>
      <c r="H1053" s="36" t="n"/>
      <c r="I1053" s="36" t="n"/>
      <c r="J1053" s="37" t="n"/>
      <c r="K1053" s="32" t="n"/>
      <c r="L1053" s="36" t="n"/>
      <c r="M1053" s="41" t="n"/>
      <c r="N1053" s="41" t="n"/>
      <c r="O1053" s="36" t="n"/>
      <c r="P1053" s="33">
        <f>IF(C1053="","",Commercial_Id)</f>
        <v/>
      </c>
      <c r="Q1053" s="39">
        <f>IF(F1053="","",IFERROR(VALUE(MID(F1053,LEN(F1053)-3,3)),""))</f>
        <v/>
      </c>
      <c r="R1053" s="33">
        <f>IF(Q1053="","",P1053&amp;"|"&amp;Q1053)</f>
        <v/>
      </c>
      <c r="S1053" s="33">
        <f>IF(Q1053="","",IF(P1053="À RENSEIGNER","GIC",P1053)&amp;"-"&amp;TEXT(Q1053,"000"))</f>
        <v/>
      </c>
      <c r="T1053" s="33">
        <f>IF(R1053="","",IFERROR(INDEX(Cl_nom,MATCH(R1053,Cl_cle,0)),"(client introuvable)"))</f>
        <v/>
      </c>
      <c r="U1053" s="33">
        <f>IF(R1053="","",IFERROR(INDEX(Cl_quartier,MATCH(R1053,Cl_cle,0))&amp;"",""))</f>
        <v/>
      </c>
      <c r="V1053" s="34">
        <f>IF(C1053="","",YEAR(C1053-WEEKDAY(C1053,2)+4)&amp;"-S"&amp;TEXT(INT((C1053-DATE(YEAR(C1053-WEEKDAY(C1053,2)+4),1,3)+WEEKDAY(DATE(YEAR(C1053-WEEKDAY(C1053,2)+4),1,3),2)+5)/7),"00"))</f>
        <v/>
      </c>
    </row>
    <row r="1054" ht="18" customHeight="1">
      <c r="A1054" s="39" t="n">
        <v>1049</v>
      </c>
      <c r="B1054" s="33">
        <f>IF(C1054="","",IF(P1054="À RENSEIGNER","GIC",P1054)&amp;"-V"&amp;TEXT(A1054,"00000"))</f>
        <v/>
      </c>
      <c r="C1054" s="32" t="n"/>
      <c r="D1054" s="35" t="n"/>
      <c r="E1054" s="36" t="n"/>
      <c r="F1054" s="36" t="n"/>
      <c r="G1054" s="36" t="n"/>
      <c r="H1054" s="36" t="n"/>
      <c r="I1054" s="36" t="n"/>
      <c r="J1054" s="37" t="n"/>
      <c r="K1054" s="32" t="n"/>
      <c r="L1054" s="36" t="n"/>
      <c r="M1054" s="41" t="n"/>
      <c r="N1054" s="41" t="n"/>
      <c r="O1054" s="36" t="n"/>
      <c r="P1054" s="33">
        <f>IF(C1054="","",Commercial_Id)</f>
        <v/>
      </c>
      <c r="Q1054" s="39">
        <f>IF(F1054="","",IFERROR(VALUE(MID(F1054,LEN(F1054)-3,3)),""))</f>
        <v/>
      </c>
      <c r="R1054" s="33">
        <f>IF(Q1054="","",P1054&amp;"|"&amp;Q1054)</f>
        <v/>
      </c>
      <c r="S1054" s="33">
        <f>IF(Q1054="","",IF(P1054="À RENSEIGNER","GIC",P1054)&amp;"-"&amp;TEXT(Q1054,"000"))</f>
        <v/>
      </c>
      <c r="T1054" s="33">
        <f>IF(R1054="","",IFERROR(INDEX(Cl_nom,MATCH(R1054,Cl_cle,0)),"(client introuvable)"))</f>
        <v/>
      </c>
      <c r="U1054" s="33">
        <f>IF(R1054="","",IFERROR(INDEX(Cl_quartier,MATCH(R1054,Cl_cle,0))&amp;"",""))</f>
        <v/>
      </c>
      <c r="V1054" s="34">
        <f>IF(C1054="","",YEAR(C1054-WEEKDAY(C1054,2)+4)&amp;"-S"&amp;TEXT(INT((C1054-DATE(YEAR(C1054-WEEKDAY(C1054,2)+4),1,3)+WEEKDAY(DATE(YEAR(C1054-WEEKDAY(C1054,2)+4),1,3),2)+5)/7),"00"))</f>
        <v/>
      </c>
    </row>
    <row r="1055" ht="18" customHeight="1">
      <c r="A1055" s="39" t="n">
        <v>1050</v>
      </c>
      <c r="B1055" s="33">
        <f>IF(C1055="","",IF(P1055="À RENSEIGNER","GIC",P1055)&amp;"-V"&amp;TEXT(A1055,"00000"))</f>
        <v/>
      </c>
      <c r="C1055" s="32" t="n"/>
      <c r="D1055" s="35" t="n"/>
      <c r="E1055" s="36" t="n"/>
      <c r="F1055" s="36" t="n"/>
      <c r="G1055" s="36" t="n"/>
      <c r="H1055" s="36" t="n"/>
      <c r="I1055" s="36" t="n"/>
      <c r="J1055" s="37" t="n"/>
      <c r="K1055" s="32" t="n"/>
      <c r="L1055" s="36" t="n"/>
      <c r="M1055" s="41" t="n"/>
      <c r="N1055" s="41" t="n"/>
      <c r="O1055" s="36" t="n"/>
      <c r="P1055" s="33">
        <f>IF(C1055="","",Commercial_Id)</f>
        <v/>
      </c>
      <c r="Q1055" s="39">
        <f>IF(F1055="","",IFERROR(VALUE(MID(F1055,LEN(F1055)-3,3)),""))</f>
        <v/>
      </c>
      <c r="R1055" s="33">
        <f>IF(Q1055="","",P1055&amp;"|"&amp;Q1055)</f>
        <v/>
      </c>
      <c r="S1055" s="33">
        <f>IF(Q1055="","",IF(P1055="À RENSEIGNER","GIC",P1055)&amp;"-"&amp;TEXT(Q1055,"000"))</f>
        <v/>
      </c>
      <c r="T1055" s="33">
        <f>IF(R1055="","",IFERROR(INDEX(Cl_nom,MATCH(R1055,Cl_cle,0)),"(client introuvable)"))</f>
        <v/>
      </c>
      <c r="U1055" s="33">
        <f>IF(R1055="","",IFERROR(INDEX(Cl_quartier,MATCH(R1055,Cl_cle,0))&amp;"",""))</f>
        <v/>
      </c>
      <c r="V1055" s="34">
        <f>IF(C1055="","",YEAR(C1055-WEEKDAY(C1055,2)+4)&amp;"-S"&amp;TEXT(INT((C1055-DATE(YEAR(C1055-WEEKDAY(C1055,2)+4),1,3)+WEEKDAY(DATE(YEAR(C1055-WEEKDAY(C1055,2)+4),1,3),2)+5)/7),"00"))</f>
        <v/>
      </c>
    </row>
    <row r="1056" ht="18" customHeight="1">
      <c r="A1056" s="39" t="n">
        <v>1051</v>
      </c>
      <c r="B1056" s="33">
        <f>IF(C1056="","",IF(P1056="À RENSEIGNER","GIC",P1056)&amp;"-V"&amp;TEXT(A1056,"00000"))</f>
        <v/>
      </c>
      <c r="C1056" s="32" t="n"/>
      <c r="D1056" s="35" t="n"/>
      <c r="E1056" s="36" t="n"/>
      <c r="F1056" s="36" t="n"/>
      <c r="G1056" s="36" t="n"/>
      <c r="H1056" s="36" t="n"/>
      <c r="I1056" s="36" t="n"/>
      <c r="J1056" s="37" t="n"/>
      <c r="K1056" s="32" t="n"/>
      <c r="L1056" s="36" t="n"/>
      <c r="M1056" s="41" t="n"/>
      <c r="N1056" s="41" t="n"/>
      <c r="O1056" s="36" t="n"/>
      <c r="P1056" s="33">
        <f>IF(C1056="","",Commercial_Id)</f>
        <v/>
      </c>
      <c r="Q1056" s="39">
        <f>IF(F1056="","",IFERROR(VALUE(MID(F1056,LEN(F1056)-3,3)),""))</f>
        <v/>
      </c>
      <c r="R1056" s="33">
        <f>IF(Q1056="","",P1056&amp;"|"&amp;Q1056)</f>
        <v/>
      </c>
      <c r="S1056" s="33">
        <f>IF(Q1056="","",IF(P1056="À RENSEIGNER","GIC",P1056)&amp;"-"&amp;TEXT(Q1056,"000"))</f>
        <v/>
      </c>
      <c r="T1056" s="33">
        <f>IF(R1056="","",IFERROR(INDEX(Cl_nom,MATCH(R1056,Cl_cle,0)),"(client introuvable)"))</f>
        <v/>
      </c>
      <c r="U1056" s="33">
        <f>IF(R1056="","",IFERROR(INDEX(Cl_quartier,MATCH(R1056,Cl_cle,0))&amp;"",""))</f>
        <v/>
      </c>
      <c r="V1056" s="34">
        <f>IF(C1056="","",YEAR(C1056-WEEKDAY(C1056,2)+4)&amp;"-S"&amp;TEXT(INT((C1056-DATE(YEAR(C1056-WEEKDAY(C1056,2)+4),1,3)+WEEKDAY(DATE(YEAR(C1056-WEEKDAY(C1056,2)+4),1,3),2)+5)/7),"00"))</f>
        <v/>
      </c>
    </row>
    <row r="1057" ht="18" customHeight="1">
      <c r="A1057" s="39" t="n">
        <v>1052</v>
      </c>
      <c r="B1057" s="33">
        <f>IF(C1057="","",IF(P1057="À RENSEIGNER","GIC",P1057)&amp;"-V"&amp;TEXT(A1057,"00000"))</f>
        <v/>
      </c>
      <c r="C1057" s="32" t="n"/>
      <c r="D1057" s="35" t="n"/>
      <c r="E1057" s="36" t="n"/>
      <c r="F1057" s="36" t="n"/>
      <c r="G1057" s="36" t="n"/>
      <c r="H1057" s="36" t="n"/>
      <c r="I1057" s="36" t="n"/>
      <c r="J1057" s="37" t="n"/>
      <c r="K1057" s="32" t="n"/>
      <c r="L1057" s="36" t="n"/>
      <c r="M1057" s="41" t="n"/>
      <c r="N1057" s="41" t="n"/>
      <c r="O1057" s="36" t="n"/>
      <c r="P1057" s="33">
        <f>IF(C1057="","",Commercial_Id)</f>
        <v/>
      </c>
      <c r="Q1057" s="39">
        <f>IF(F1057="","",IFERROR(VALUE(MID(F1057,LEN(F1057)-3,3)),""))</f>
        <v/>
      </c>
      <c r="R1057" s="33">
        <f>IF(Q1057="","",P1057&amp;"|"&amp;Q1057)</f>
        <v/>
      </c>
      <c r="S1057" s="33">
        <f>IF(Q1057="","",IF(P1057="À RENSEIGNER","GIC",P1057)&amp;"-"&amp;TEXT(Q1057,"000"))</f>
        <v/>
      </c>
      <c r="T1057" s="33">
        <f>IF(R1057="","",IFERROR(INDEX(Cl_nom,MATCH(R1057,Cl_cle,0)),"(client introuvable)"))</f>
        <v/>
      </c>
      <c r="U1057" s="33">
        <f>IF(R1057="","",IFERROR(INDEX(Cl_quartier,MATCH(R1057,Cl_cle,0))&amp;"",""))</f>
        <v/>
      </c>
      <c r="V1057" s="34">
        <f>IF(C1057="","",YEAR(C1057-WEEKDAY(C1057,2)+4)&amp;"-S"&amp;TEXT(INT((C1057-DATE(YEAR(C1057-WEEKDAY(C1057,2)+4),1,3)+WEEKDAY(DATE(YEAR(C1057-WEEKDAY(C1057,2)+4),1,3),2)+5)/7),"00"))</f>
        <v/>
      </c>
    </row>
    <row r="1058" ht="18" customHeight="1">
      <c r="A1058" s="39" t="n">
        <v>1053</v>
      </c>
      <c r="B1058" s="33">
        <f>IF(C1058="","",IF(P1058="À RENSEIGNER","GIC",P1058)&amp;"-V"&amp;TEXT(A1058,"00000"))</f>
        <v/>
      </c>
      <c r="C1058" s="32" t="n"/>
      <c r="D1058" s="35" t="n"/>
      <c r="E1058" s="36" t="n"/>
      <c r="F1058" s="36" t="n"/>
      <c r="G1058" s="36" t="n"/>
      <c r="H1058" s="36" t="n"/>
      <c r="I1058" s="36" t="n"/>
      <c r="J1058" s="37" t="n"/>
      <c r="K1058" s="32" t="n"/>
      <c r="L1058" s="36" t="n"/>
      <c r="M1058" s="41" t="n"/>
      <c r="N1058" s="41" t="n"/>
      <c r="O1058" s="36" t="n"/>
      <c r="P1058" s="33">
        <f>IF(C1058="","",Commercial_Id)</f>
        <v/>
      </c>
      <c r="Q1058" s="39">
        <f>IF(F1058="","",IFERROR(VALUE(MID(F1058,LEN(F1058)-3,3)),""))</f>
        <v/>
      </c>
      <c r="R1058" s="33">
        <f>IF(Q1058="","",P1058&amp;"|"&amp;Q1058)</f>
        <v/>
      </c>
      <c r="S1058" s="33">
        <f>IF(Q1058="","",IF(P1058="À RENSEIGNER","GIC",P1058)&amp;"-"&amp;TEXT(Q1058,"000"))</f>
        <v/>
      </c>
      <c r="T1058" s="33">
        <f>IF(R1058="","",IFERROR(INDEX(Cl_nom,MATCH(R1058,Cl_cle,0)),"(client introuvable)"))</f>
        <v/>
      </c>
      <c r="U1058" s="33">
        <f>IF(R1058="","",IFERROR(INDEX(Cl_quartier,MATCH(R1058,Cl_cle,0))&amp;"",""))</f>
        <v/>
      </c>
      <c r="V1058" s="34">
        <f>IF(C1058="","",YEAR(C1058-WEEKDAY(C1058,2)+4)&amp;"-S"&amp;TEXT(INT((C1058-DATE(YEAR(C1058-WEEKDAY(C1058,2)+4),1,3)+WEEKDAY(DATE(YEAR(C1058-WEEKDAY(C1058,2)+4),1,3),2)+5)/7),"00"))</f>
        <v/>
      </c>
    </row>
    <row r="1059" ht="18" customHeight="1">
      <c r="A1059" s="39" t="n">
        <v>1054</v>
      </c>
      <c r="B1059" s="33">
        <f>IF(C1059="","",IF(P1059="À RENSEIGNER","GIC",P1059)&amp;"-V"&amp;TEXT(A1059,"00000"))</f>
        <v/>
      </c>
      <c r="C1059" s="32" t="n"/>
      <c r="D1059" s="35" t="n"/>
      <c r="E1059" s="36" t="n"/>
      <c r="F1059" s="36" t="n"/>
      <c r="G1059" s="36" t="n"/>
      <c r="H1059" s="36" t="n"/>
      <c r="I1059" s="36" t="n"/>
      <c r="J1059" s="37" t="n"/>
      <c r="K1059" s="32" t="n"/>
      <c r="L1059" s="36" t="n"/>
      <c r="M1059" s="41" t="n"/>
      <c r="N1059" s="41" t="n"/>
      <c r="O1059" s="36" t="n"/>
      <c r="P1059" s="33">
        <f>IF(C1059="","",Commercial_Id)</f>
        <v/>
      </c>
      <c r="Q1059" s="39">
        <f>IF(F1059="","",IFERROR(VALUE(MID(F1059,LEN(F1059)-3,3)),""))</f>
        <v/>
      </c>
      <c r="R1059" s="33">
        <f>IF(Q1059="","",P1059&amp;"|"&amp;Q1059)</f>
        <v/>
      </c>
      <c r="S1059" s="33">
        <f>IF(Q1059="","",IF(P1059="À RENSEIGNER","GIC",P1059)&amp;"-"&amp;TEXT(Q1059,"000"))</f>
        <v/>
      </c>
      <c r="T1059" s="33">
        <f>IF(R1059="","",IFERROR(INDEX(Cl_nom,MATCH(R1059,Cl_cle,0)),"(client introuvable)"))</f>
        <v/>
      </c>
      <c r="U1059" s="33">
        <f>IF(R1059="","",IFERROR(INDEX(Cl_quartier,MATCH(R1059,Cl_cle,0))&amp;"",""))</f>
        <v/>
      </c>
      <c r="V1059" s="34">
        <f>IF(C1059="","",YEAR(C1059-WEEKDAY(C1059,2)+4)&amp;"-S"&amp;TEXT(INT((C1059-DATE(YEAR(C1059-WEEKDAY(C1059,2)+4),1,3)+WEEKDAY(DATE(YEAR(C1059-WEEKDAY(C1059,2)+4),1,3),2)+5)/7),"00"))</f>
        <v/>
      </c>
    </row>
    <row r="1060" ht="18" customHeight="1">
      <c r="A1060" s="39" t="n">
        <v>1055</v>
      </c>
      <c r="B1060" s="33">
        <f>IF(C1060="","",IF(P1060="À RENSEIGNER","GIC",P1060)&amp;"-V"&amp;TEXT(A1060,"00000"))</f>
        <v/>
      </c>
      <c r="C1060" s="32" t="n"/>
      <c r="D1060" s="35" t="n"/>
      <c r="E1060" s="36" t="n"/>
      <c r="F1060" s="36" t="n"/>
      <c r="G1060" s="36" t="n"/>
      <c r="H1060" s="36" t="n"/>
      <c r="I1060" s="36" t="n"/>
      <c r="J1060" s="37" t="n"/>
      <c r="K1060" s="32" t="n"/>
      <c r="L1060" s="36" t="n"/>
      <c r="M1060" s="41" t="n"/>
      <c r="N1060" s="41" t="n"/>
      <c r="O1060" s="36" t="n"/>
      <c r="P1060" s="33">
        <f>IF(C1060="","",Commercial_Id)</f>
        <v/>
      </c>
      <c r="Q1060" s="39">
        <f>IF(F1060="","",IFERROR(VALUE(MID(F1060,LEN(F1060)-3,3)),""))</f>
        <v/>
      </c>
      <c r="R1060" s="33">
        <f>IF(Q1060="","",P1060&amp;"|"&amp;Q1060)</f>
        <v/>
      </c>
      <c r="S1060" s="33">
        <f>IF(Q1060="","",IF(P1060="À RENSEIGNER","GIC",P1060)&amp;"-"&amp;TEXT(Q1060,"000"))</f>
        <v/>
      </c>
      <c r="T1060" s="33">
        <f>IF(R1060="","",IFERROR(INDEX(Cl_nom,MATCH(R1060,Cl_cle,0)),"(client introuvable)"))</f>
        <v/>
      </c>
      <c r="U1060" s="33">
        <f>IF(R1060="","",IFERROR(INDEX(Cl_quartier,MATCH(R1060,Cl_cle,0))&amp;"",""))</f>
        <v/>
      </c>
      <c r="V1060" s="34">
        <f>IF(C1060="","",YEAR(C1060-WEEKDAY(C1060,2)+4)&amp;"-S"&amp;TEXT(INT((C1060-DATE(YEAR(C1060-WEEKDAY(C1060,2)+4),1,3)+WEEKDAY(DATE(YEAR(C1060-WEEKDAY(C1060,2)+4),1,3),2)+5)/7),"00"))</f>
        <v/>
      </c>
    </row>
    <row r="1061" ht="18" customHeight="1">
      <c r="A1061" s="39" t="n">
        <v>1056</v>
      </c>
      <c r="B1061" s="33">
        <f>IF(C1061="","",IF(P1061="À RENSEIGNER","GIC",P1061)&amp;"-V"&amp;TEXT(A1061,"00000"))</f>
        <v/>
      </c>
      <c r="C1061" s="32" t="n"/>
      <c r="D1061" s="35" t="n"/>
      <c r="E1061" s="36" t="n"/>
      <c r="F1061" s="36" t="n"/>
      <c r="G1061" s="36" t="n"/>
      <c r="H1061" s="36" t="n"/>
      <c r="I1061" s="36" t="n"/>
      <c r="J1061" s="37" t="n"/>
      <c r="K1061" s="32" t="n"/>
      <c r="L1061" s="36" t="n"/>
      <c r="M1061" s="41" t="n"/>
      <c r="N1061" s="41" t="n"/>
      <c r="O1061" s="36" t="n"/>
      <c r="P1061" s="33">
        <f>IF(C1061="","",Commercial_Id)</f>
        <v/>
      </c>
      <c r="Q1061" s="39">
        <f>IF(F1061="","",IFERROR(VALUE(MID(F1061,LEN(F1061)-3,3)),""))</f>
        <v/>
      </c>
      <c r="R1061" s="33">
        <f>IF(Q1061="","",P1061&amp;"|"&amp;Q1061)</f>
        <v/>
      </c>
      <c r="S1061" s="33">
        <f>IF(Q1061="","",IF(P1061="À RENSEIGNER","GIC",P1061)&amp;"-"&amp;TEXT(Q1061,"000"))</f>
        <v/>
      </c>
      <c r="T1061" s="33">
        <f>IF(R1061="","",IFERROR(INDEX(Cl_nom,MATCH(R1061,Cl_cle,0)),"(client introuvable)"))</f>
        <v/>
      </c>
      <c r="U1061" s="33">
        <f>IF(R1061="","",IFERROR(INDEX(Cl_quartier,MATCH(R1061,Cl_cle,0))&amp;"",""))</f>
        <v/>
      </c>
      <c r="V1061" s="34">
        <f>IF(C1061="","",YEAR(C1061-WEEKDAY(C1061,2)+4)&amp;"-S"&amp;TEXT(INT((C1061-DATE(YEAR(C1061-WEEKDAY(C1061,2)+4),1,3)+WEEKDAY(DATE(YEAR(C1061-WEEKDAY(C1061,2)+4),1,3),2)+5)/7),"00"))</f>
        <v/>
      </c>
    </row>
    <row r="1062" ht="18" customHeight="1">
      <c r="A1062" s="39" t="n">
        <v>1057</v>
      </c>
      <c r="B1062" s="33">
        <f>IF(C1062="","",IF(P1062="À RENSEIGNER","GIC",P1062)&amp;"-V"&amp;TEXT(A1062,"00000"))</f>
        <v/>
      </c>
      <c r="C1062" s="32" t="n"/>
      <c r="D1062" s="35" t="n"/>
      <c r="E1062" s="36" t="n"/>
      <c r="F1062" s="36" t="n"/>
      <c r="G1062" s="36" t="n"/>
      <c r="H1062" s="36" t="n"/>
      <c r="I1062" s="36" t="n"/>
      <c r="J1062" s="37" t="n"/>
      <c r="K1062" s="32" t="n"/>
      <c r="L1062" s="36" t="n"/>
      <c r="M1062" s="41" t="n"/>
      <c r="N1062" s="41" t="n"/>
      <c r="O1062" s="36" t="n"/>
      <c r="P1062" s="33">
        <f>IF(C1062="","",Commercial_Id)</f>
        <v/>
      </c>
      <c r="Q1062" s="39">
        <f>IF(F1062="","",IFERROR(VALUE(MID(F1062,LEN(F1062)-3,3)),""))</f>
        <v/>
      </c>
      <c r="R1062" s="33">
        <f>IF(Q1062="","",P1062&amp;"|"&amp;Q1062)</f>
        <v/>
      </c>
      <c r="S1062" s="33">
        <f>IF(Q1062="","",IF(P1062="À RENSEIGNER","GIC",P1062)&amp;"-"&amp;TEXT(Q1062,"000"))</f>
        <v/>
      </c>
      <c r="T1062" s="33">
        <f>IF(R1062="","",IFERROR(INDEX(Cl_nom,MATCH(R1062,Cl_cle,0)),"(client introuvable)"))</f>
        <v/>
      </c>
      <c r="U1062" s="33">
        <f>IF(R1062="","",IFERROR(INDEX(Cl_quartier,MATCH(R1062,Cl_cle,0))&amp;"",""))</f>
        <v/>
      </c>
      <c r="V1062" s="34">
        <f>IF(C1062="","",YEAR(C1062-WEEKDAY(C1062,2)+4)&amp;"-S"&amp;TEXT(INT((C1062-DATE(YEAR(C1062-WEEKDAY(C1062,2)+4),1,3)+WEEKDAY(DATE(YEAR(C1062-WEEKDAY(C1062,2)+4),1,3),2)+5)/7),"00"))</f>
        <v/>
      </c>
    </row>
    <row r="1063" ht="18" customHeight="1">
      <c r="A1063" s="39" t="n">
        <v>1058</v>
      </c>
      <c r="B1063" s="33">
        <f>IF(C1063="","",IF(P1063="À RENSEIGNER","GIC",P1063)&amp;"-V"&amp;TEXT(A1063,"00000"))</f>
        <v/>
      </c>
      <c r="C1063" s="32" t="n"/>
      <c r="D1063" s="35" t="n"/>
      <c r="E1063" s="36" t="n"/>
      <c r="F1063" s="36" t="n"/>
      <c r="G1063" s="36" t="n"/>
      <c r="H1063" s="36" t="n"/>
      <c r="I1063" s="36" t="n"/>
      <c r="J1063" s="37" t="n"/>
      <c r="K1063" s="32" t="n"/>
      <c r="L1063" s="36" t="n"/>
      <c r="M1063" s="41" t="n"/>
      <c r="N1063" s="41" t="n"/>
      <c r="O1063" s="36" t="n"/>
      <c r="P1063" s="33">
        <f>IF(C1063="","",Commercial_Id)</f>
        <v/>
      </c>
      <c r="Q1063" s="39">
        <f>IF(F1063="","",IFERROR(VALUE(MID(F1063,LEN(F1063)-3,3)),""))</f>
        <v/>
      </c>
      <c r="R1063" s="33">
        <f>IF(Q1063="","",P1063&amp;"|"&amp;Q1063)</f>
        <v/>
      </c>
      <c r="S1063" s="33">
        <f>IF(Q1063="","",IF(P1063="À RENSEIGNER","GIC",P1063)&amp;"-"&amp;TEXT(Q1063,"000"))</f>
        <v/>
      </c>
      <c r="T1063" s="33">
        <f>IF(R1063="","",IFERROR(INDEX(Cl_nom,MATCH(R1063,Cl_cle,0)),"(client introuvable)"))</f>
        <v/>
      </c>
      <c r="U1063" s="33">
        <f>IF(R1063="","",IFERROR(INDEX(Cl_quartier,MATCH(R1063,Cl_cle,0))&amp;"",""))</f>
        <v/>
      </c>
      <c r="V1063" s="34">
        <f>IF(C1063="","",YEAR(C1063-WEEKDAY(C1063,2)+4)&amp;"-S"&amp;TEXT(INT((C1063-DATE(YEAR(C1063-WEEKDAY(C1063,2)+4),1,3)+WEEKDAY(DATE(YEAR(C1063-WEEKDAY(C1063,2)+4),1,3),2)+5)/7),"00"))</f>
        <v/>
      </c>
    </row>
    <row r="1064" ht="18" customHeight="1">
      <c r="A1064" s="39" t="n">
        <v>1059</v>
      </c>
      <c r="B1064" s="33">
        <f>IF(C1064="","",IF(P1064="À RENSEIGNER","GIC",P1064)&amp;"-V"&amp;TEXT(A1064,"00000"))</f>
        <v/>
      </c>
      <c r="C1064" s="32" t="n"/>
      <c r="D1064" s="35" t="n"/>
      <c r="E1064" s="36" t="n"/>
      <c r="F1064" s="36" t="n"/>
      <c r="G1064" s="36" t="n"/>
      <c r="H1064" s="36" t="n"/>
      <c r="I1064" s="36" t="n"/>
      <c r="J1064" s="37" t="n"/>
      <c r="K1064" s="32" t="n"/>
      <c r="L1064" s="36" t="n"/>
      <c r="M1064" s="41" t="n"/>
      <c r="N1064" s="41" t="n"/>
      <c r="O1064" s="36" t="n"/>
      <c r="P1064" s="33">
        <f>IF(C1064="","",Commercial_Id)</f>
        <v/>
      </c>
      <c r="Q1064" s="39">
        <f>IF(F1064="","",IFERROR(VALUE(MID(F1064,LEN(F1064)-3,3)),""))</f>
        <v/>
      </c>
      <c r="R1064" s="33">
        <f>IF(Q1064="","",P1064&amp;"|"&amp;Q1064)</f>
        <v/>
      </c>
      <c r="S1064" s="33">
        <f>IF(Q1064="","",IF(P1064="À RENSEIGNER","GIC",P1064)&amp;"-"&amp;TEXT(Q1064,"000"))</f>
        <v/>
      </c>
      <c r="T1064" s="33">
        <f>IF(R1064="","",IFERROR(INDEX(Cl_nom,MATCH(R1064,Cl_cle,0)),"(client introuvable)"))</f>
        <v/>
      </c>
      <c r="U1064" s="33">
        <f>IF(R1064="","",IFERROR(INDEX(Cl_quartier,MATCH(R1064,Cl_cle,0))&amp;"",""))</f>
        <v/>
      </c>
      <c r="V1064" s="34">
        <f>IF(C1064="","",YEAR(C1064-WEEKDAY(C1064,2)+4)&amp;"-S"&amp;TEXT(INT((C1064-DATE(YEAR(C1064-WEEKDAY(C1064,2)+4),1,3)+WEEKDAY(DATE(YEAR(C1064-WEEKDAY(C1064,2)+4),1,3),2)+5)/7),"00"))</f>
        <v/>
      </c>
    </row>
    <row r="1065" ht="18" customHeight="1">
      <c r="A1065" s="39" t="n">
        <v>1060</v>
      </c>
      <c r="B1065" s="33">
        <f>IF(C1065="","",IF(P1065="À RENSEIGNER","GIC",P1065)&amp;"-V"&amp;TEXT(A1065,"00000"))</f>
        <v/>
      </c>
      <c r="C1065" s="32" t="n"/>
      <c r="D1065" s="35" t="n"/>
      <c r="E1065" s="36" t="n"/>
      <c r="F1065" s="36" t="n"/>
      <c r="G1065" s="36" t="n"/>
      <c r="H1065" s="36" t="n"/>
      <c r="I1065" s="36" t="n"/>
      <c r="J1065" s="37" t="n"/>
      <c r="K1065" s="32" t="n"/>
      <c r="L1065" s="36" t="n"/>
      <c r="M1065" s="41" t="n"/>
      <c r="N1065" s="41" t="n"/>
      <c r="O1065" s="36" t="n"/>
      <c r="P1065" s="33">
        <f>IF(C1065="","",Commercial_Id)</f>
        <v/>
      </c>
      <c r="Q1065" s="39">
        <f>IF(F1065="","",IFERROR(VALUE(MID(F1065,LEN(F1065)-3,3)),""))</f>
        <v/>
      </c>
      <c r="R1065" s="33">
        <f>IF(Q1065="","",P1065&amp;"|"&amp;Q1065)</f>
        <v/>
      </c>
      <c r="S1065" s="33">
        <f>IF(Q1065="","",IF(P1065="À RENSEIGNER","GIC",P1065)&amp;"-"&amp;TEXT(Q1065,"000"))</f>
        <v/>
      </c>
      <c r="T1065" s="33">
        <f>IF(R1065="","",IFERROR(INDEX(Cl_nom,MATCH(R1065,Cl_cle,0)),"(client introuvable)"))</f>
        <v/>
      </c>
      <c r="U1065" s="33">
        <f>IF(R1065="","",IFERROR(INDEX(Cl_quartier,MATCH(R1065,Cl_cle,0))&amp;"",""))</f>
        <v/>
      </c>
      <c r="V1065" s="34">
        <f>IF(C1065="","",YEAR(C1065-WEEKDAY(C1065,2)+4)&amp;"-S"&amp;TEXT(INT((C1065-DATE(YEAR(C1065-WEEKDAY(C1065,2)+4),1,3)+WEEKDAY(DATE(YEAR(C1065-WEEKDAY(C1065,2)+4),1,3),2)+5)/7),"00"))</f>
        <v/>
      </c>
    </row>
    <row r="1066" ht="18" customHeight="1">
      <c r="A1066" s="39" t="n">
        <v>1061</v>
      </c>
      <c r="B1066" s="33">
        <f>IF(C1066="","",IF(P1066="À RENSEIGNER","GIC",P1066)&amp;"-V"&amp;TEXT(A1066,"00000"))</f>
        <v/>
      </c>
      <c r="C1066" s="32" t="n"/>
      <c r="D1066" s="35" t="n"/>
      <c r="E1066" s="36" t="n"/>
      <c r="F1066" s="36" t="n"/>
      <c r="G1066" s="36" t="n"/>
      <c r="H1066" s="36" t="n"/>
      <c r="I1066" s="36" t="n"/>
      <c r="J1066" s="37" t="n"/>
      <c r="K1066" s="32" t="n"/>
      <c r="L1066" s="36" t="n"/>
      <c r="M1066" s="41" t="n"/>
      <c r="N1066" s="41" t="n"/>
      <c r="O1066" s="36" t="n"/>
      <c r="P1066" s="33">
        <f>IF(C1066="","",Commercial_Id)</f>
        <v/>
      </c>
      <c r="Q1066" s="39">
        <f>IF(F1066="","",IFERROR(VALUE(MID(F1066,LEN(F1066)-3,3)),""))</f>
        <v/>
      </c>
      <c r="R1066" s="33">
        <f>IF(Q1066="","",P1066&amp;"|"&amp;Q1066)</f>
        <v/>
      </c>
      <c r="S1066" s="33">
        <f>IF(Q1066="","",IF(P1066="À RENSEIGNER","GIC",P1066)&amp;"-"&amp;TEXT(Q1066,"000"))</f>
        <v/>
      </c>
      <c r="T1066" s="33">
        <f>IF(R1066="","",IFERROR(INDEX(Cl_nom,MATCH(R1066,Cl_cle,0)),"(client introuvable)"))</f>
        <v/>
      </c>
      <c r="U1066" s="33">
        <f>IF(R1066="","",IFERROR(INDEX(Cl_quartier,MATCH(R1066,Cl_cle,0))&amp;"",""))</f>
        <v/>
      </c>
      <c r="V1066" s="34">
        <f>IF(C1066="","",YEAR(C1066-WEEKDAY(C1066,2)+4)&amp;"-S"&amp;TEXT(INT((C1066-DATE(YEAR(C1066-WEEKDAY(C1066,2)+4),1,3)+WEEKDAY(DATE(YEAR(C1066-WEEKDAY(C1066,2)+4),1,3),2)+5)/7),"00"))</f>
        <v/>
      </c>
    </row>
    <row r="1067" ht="18" customHeight="1">
      <c r="A1067" s="39" t="n">
        <v>1062</v>
      </c>
      <c r="B1067" s="33">
        <f>IF(C1067="","",IF(P1067="À RENSEIGNER","GIC",P1067)&amp;"-V"&amp;TEXT(A1067,"00000"))</f>
        <v/>
      </c>
      <c r="C1067" s="32" t="n"/>
      <c r="D1067" s="35" t="n"/>
      <c r="E1067" s="36" t="n"/>
      <c r="F1067" s="36" t="n"/>
      <c r="G1067" s="36" t="n"/>
      <c r="H1067" s="36" t="n"/>
      <c r="I1067" s="36" t="n"/>
      <c r="J1067" s="37" t="n"/>
      <c r="K1067" s="32" t="n"/>
      <c r="L1067" s="36" t="n"/>
      <c r="M1067" s="41" t="n"/>
      <c r="N1067" s="41" t="n"/>
      <c r="O1067" s="36" t="n"/>
      <c r="P1067" s="33">
        <f>IF(C1067="","",Commercial_Id)</f>
        <v/>
      </c>
      <c r="Q1067" s="39">
        <f>IF(F1067="","",IFERROR(VALUE(MID(F1067,LEN(F1067)-3,3)),""))</f>
        <v/>
      </c>
      <c r="R1067" s="33">
        <f>IF(Q1067="","",P1067&amp;"|"&amp;Q1067)</f>
        <v/>
      </c>
      <c r="S1067" s="33">
        <f>IF(Q1067="","",IF(P1067="À RENSEIGNER","GIC",P1067)&amp;"-"&amp;TEXT(Q1067,"000"))</f>
        <v/>
      </c>
      <c r="T1067" s="33">
        <f>IF(R1067="","",IFERROR(INDEX(Cl_nom,MATCH(R1067,Cl_cle,0)),"(client introuvable)"))</f>
        <v/>
      </c>
      <c r="U1067" s="33">
        <f>IF(R1067="","",IFERROR(INDEX(Cl_quartier,MATCH(R1067,Cl_cle,0))&amp;"",""))</f>
        <v/>
      </c>
      <c r="V1067" s="34">
        <f>IF(C1067="","",YEAR(C1067-WEEKDAY(C1067,2)+4)&amp;"-S"&amp;TEXT(INT((C1067-DATE(YEAR(C1067-WEEKDAY(C1067,2)+4),1,3)+WEEKDAY(DATE(YEAR(C1067-WEEKDAY(C1067,2)+4),1,3),2)+5)/7),"00"))</f>
        <v/>
      </c>
    </row>
    <row r="1068" ht="18" customHeight="1">
      <c r="A1068" s="39" t="n">
        <v>1063</v>
      </c>
      <c r="B1068" s="33">
        <f>IF(C1068="","",IF(P1068="À RENSEIGNER","GIC",P1068)&amp;"-V"&amp;TEXT(A1068,"00000"))</f>
        <v/>
      </c>
      <c r="C1068" s="32" t="n"/>
      <c r="D1068" s="35" t="n"/>
      <c r="E1068" s="36" t="n"/>
      <c r="F1068" s="36" t="n"/>
      <c r="G1068" s="36" t="n"/>
      <c r="H1068" s="36" t="n"/>
      <c r="I1068" s="36" t="n"/>
      <c r="J1068" s="37" t="n"/>
      <c r="K1068" s="32" t="n"/>
      <c r="L1068" s="36" t="n"/>
      <c r="M1068" s="41" t="n"/>
      <c r="N1068" s="41" t="n"/>
      <c r="O1068" s="36" t="n"/>
      <c r="P1068" s="33">
        <f>IF(C1068="","",Commercial_Id)</f>
        <v/>
      </c>
      <c r="Q1068" s="39">
        <f>IF(F1068="","",IFERROR(VALUE(MID(F1068,LEN(F1068)-3,3)),""))</f>
        <v/>
      </c>
      <c r="R1068" s="33">
        <f>IF(Q1068="","",P1068&amp;"|"&amp;Q1068)</f>
        <v/>
      </c>
      <c r="S1068" s="33">
        <f>IF(Q1068="","",IF(P1068="À RENSEIGNER","GIC",P1068)&amp;"-"&amp;TEXT(Q1068,"000"))</f>
        <v/>
      </c>
      <c r="T1068" s="33">
        <f>IF(R1068="","",IFERROR(INDEX(Cl_nom,MATCH(R1068,Cl_cle,0)),"(client introuvable)"))</f>
        <v/>
      </c>
      <c r="U1068" s="33">
        <f>IF(R1068="","",IFERROR(INDEX(Cl_quartier,MATCH(R1068,Cl_cle,0))&amp;"",""))</f>
        <v/>
      </c>
      <c r="V1068" s="34">
        <f>IF(C1068="","",YEAR(C1068-WEEKDAY(C1068,2)+4)&amp;"-S"&amp;TEXT(INT((C1068-DATE(YEAR(C1068-WEEKDAY(C1068,2)+4),1,3)+WEEKDAY(DATE(YEAR(C1068-WEEKDAY(C1068,2)+4),1,3),2)+5)/7),"00"))</f>
        <v/>
      </c>
    </row>
    <row r="1069" ht="18" customHeight="1">
      <c r="A1069" s="39" t="n">
        <v>1064</v>
      </c>
      <c r="B1069" s="33">
        <f>IF(C1069="","",IF(P1069="À RENSEIGNER","GIC",P1069)&amp;"-V"&amp;TEXT(A1069,"00000"))</f>
        <v/>
      </c>
      <c r="C1069" s="32" t="n"/>
      <c r="D1069" s="35" t="n"/>
      <c r="E1069" s="36" t="n"/>
      <c r="F1069" s="36" t="n"/>
      <c r="G1069" s="36" t="n"/>
      <c r="H1069" s="36" t="n"/>
      <c r="I1069" s="36" t="n"/>
      <c r="J1069" s="37" t="n"/>
      <c r="K1069" s="32" t="n"/>
      <c r="L1069" s="36" t="n"/>
      <c r="M1069" s="41" t="n"/>
      <c r="N1069" s="41" t="n"/>
      <c r="O1069" s="36" t="n"/>
      <c r="P1069" s="33">
        <f>IF(C1069="","",Commercial_Id)</f>
        <v/>
      </c>
      <c r="Q1069" s="39">
        <f>IF(F1069="","",IFERROR(VALUE(MID(F1069,LEN(F1069)-3,3)),""))</f>
        <v/>
      </c>
      <c r="R1069" s="33">
        <f>IF(Q1069="","",P1069&amp;"|"&amp;Q1069)</f>
        <v/>
      </c>
      <c r="S1069" s="33">
        <f>IF(Q1069="","",IF(P1069="À RENSEIGNER","GIC",P1069)&amp;"-"&amp;TEXT(Q1069,"000"))</f>
        <v/>
      </c>
      <c r="T1069" s="33">
        <f>IF(R1069="","",IFERROR(INDEX(Cl_nom,MATCH(R1069,Cl_cle,0)),"(client introuvable)"))</f>
        <v/>
      </c>
      <c r="U1069" s="33">
        <f>IF(R1069="","",IFERROR(INDEX(Cl_quartier,MATCH(R1069,Cl_cle,0))&amp;"",""))</f>
        <v/>
      </c>
      <c r="V1069" s="34">
        <f>IF(C1069="","",YEAR(C1069-WEEKDAY(C1069,2)+4)&amp;"-S"&amp;TEXT(INT((C1069-DATE(YEAR(C1069-WEEKDAY(C1069,2)+4),1,3)+WEEKDAY(DATE(YEAR(C1069-WEEKDAY(C1069,2)+4),1,3),2)+5)/7),"00"))</f>
        <v/>
      </c>
    </row>
    <row r="1070" ht="18" customHeight="1">
      <c r="A1070" s="39" t="n">
        <v>1065</v>
      </c>
      <c r="B1070" s="33">
        <f>IF(C1070="","",IF(P1070="À RENSEIGNER","GIC",P1070)&amp;"-V"&amp;TEXT(A1070,"00000"))</f>
        <v/>
      </c>
      <c r="C1070" s="32" t="n"/>
      <c r="D1070" s="35" t="n"/>
      <c r="E1070" s="36" t="n"/>
      <c r="F1070" s="36" t="n"/>
      <c r="G1070" s="36" t="n"/>
      <c r="H1070" s="36" t="n"/>
      <c r="I1070" s="36" t="n"/>
      <c r="J1070" s="37" t="n"/>
      <c r="K1070" s="32" t="n"/>
      <c r="L1070" s="36" t="n"/>
      <c r="M1070" s="41" t="n"/>
      <c r="N1070" s="41" t="n"/>
      <c r="O1070" s="36" t="n"/>
      <c r="P1070" s="33">
        <f>IF(C1070="","",Commercial_Id)</f>
        <v/>
      </c>
      <c r="Q1070" s="39">
        <f>IF(F1070="","",IFERROR(VALUE(MID(F1070,LEN(F1070)-3,3)),""))</f>
        <v/>
      </c>
      <c r="R1070" s="33">
        <f>IF(Q1070="","",P1070&amp;"|"&amp;Q1070)</f>
        <v/>
      </c>
      <c r="S1070" s="33">
        <f>IF(Q1070="","",IF(P1070="À RENSEIGNER","GIC",P1070)&amp;"-"&amp;TEXT(Q1070,"000"))</f>
        <v/>
      </c>
      <c r="T1070" s="33">
        <f>IF(R1070="","",IFERROR(INDEX(Cl_nom,MATCH(R1070,Cl_cle,0)),"(client introuvable)"))</f>
        <v/>
      </c>
      <c r="U1070" s="33">
        <f>IF(R1070="","",IFERROR(INDEX(Cl_quartier,MATCH(R1070,Cl_cle,0))&amp;"",""))</f>
        <v/>
      </c>
      <c r="V1070" s="34">
        <f>IF(C1070="","",YEAR(C1070-WEEKDAY(C1070,2)+4)&amp;"-S"&amp;TEXT(INT((C1070-DATE(YEAR(C1070-WEEKDAY(C1070,2)+4),1,3)+WEEKDAY(DATE(YEAR(C1070-WEEKDAY(C1070,2)+4),1,3),2)+5)/7),"00"))</f>
        <v/>
      </c>
    </row>
    <row r="1071" ht="18" customHeight="1">
      <c r="A1071" s="39" t="n">
        <v>1066</v>
      </c>
      <c r="B1071" s="33">
        <f>IF(C1071="","",IF(P1071="À RENSEIGNER","GIC",P1071)&amp;"-V"&amp;TEXT(A1071,"00000"))</f>
        <v/>
      </c>
      <c r="C1071" s="32" t="n"/>
      <c r="D1071" s="35" t="n"/>
      <c r="E1071" s="36" t="n"/>
      <c r="F1071" s="36" t="n"/>
      <c r="G1071" s="36" t="n"/>
      <c r="H1071" s="36" t="n"/>
      <c r="I1071" s="36" t="n"/>
      <c r="J1071" s="37" t="n"/>
      <c r="K1071" s="32" t="n"/>
      <c r="L1071" s="36" t="n"/>
      <c r="M1071" s="41" t="n"/>
      <c r="N1071" s="41" t="n"/>
      <c r="O1071" s="36" t="n"/>
      <c r="P1071" s="33">
        <f>IF(C1071="","",Commercial_Id)</f>
        <v/>
      </c>
      <c r="Q1071" s="39">
        <f>IF(F1071="","",IFERROR(VALUE(MID(F1071,LEN(F1071)-3,3)),""))</f>
        <v/>
      </c>
      <c r="R1071" s="33">
        <f>IF(Q1071="","",P1071&amp;"|"&amp;Q1071)</f>
        <v/>
      </c>
      <c r="S1071" s="33">
        <f>IF(Q1071="","",IF(P1071="À RENSEIGNER","GIC",P1071)&amp;"-"&amp;TEXT(Q1071,"000"))</f>
        <v/>
      </c>
      <c r="T1071" s="33">
        <f>IF(R1071="","",IFERROR(INDEX(Cl_nom,MATCH(R1071,Cl_cle,0)),"(client introuvable)"))</f>
        <v/>
      </c>
      <c r="U1071" s="33">
        <f>IF(R1071="","",IFERROR(INDEX(Cl_quartier,MATCH(R1071,Cl_cle,0))&amp;"",""))</f>
        <v/>
      </c>
      <c r="V1071" s="34">
        <f>IF(C1071="","",YEAR(C1071-WEEKDAY(C1071,2)+4)&amp;"-S"&amp;TEXT(INT((C1071-DATE(YEAR(C1071-WEEKDAY(C1071,2)+4),1,3)+WEEKDAY(DATE(YEAR(C1071-WEEKDAY(C1071,2)+4),1,3),2)+5)/7),"00"))</f>
        <v/>
      </c>
    </row>
    <row r="1072" ht="18" customHeight="1">
      <c r="A1072" s="39" t="n">
        <v>1067</v>
      </c>
      <c r="B1072" s="33">
        <f>IF(C1072="","",IF(P1072="À RENSEIGNER","GIC",P1072)&amp;"-V"&amp;TEXT(A1072,"00000"))</f>
        <v/>
      </c>
      <c r="C1072" s="32" t="n"/>
      <c r="D1072" s="35" t="n"/>
      <c r="E1072" s="36" t="n"/>
      <c r="F1072" s="36" t="n"/>
      <c r="G1072" s="36" t="n"/>
      <c r="H1072" s="36" t="n"/>
      <c r="I1072" s="36" t="n"/>
      <c r="J1072" s="37" t="n"/>
      <c r="K1072" s="32" t="n"/>
      <c r="L1072" s="36" t="n"/>
      <c r="M1072" s="41" t="n"/>
      <c r="N1072" s="41" t="n"/>
      <c r="O1072" s="36" t="n"/>
      <c r="P1072" s="33">
        <f>IF(C1072="","",Commercial_Id)</f>
        <v/>
      </c>
      <c r="Q1072" s="39">
        <f>IF(F1072="","",IFERROR(VALUE(MID(F1072,LEN(F1072)-3,3)),""))</f>
        <v/>
      </c>
      <c r="R1072" s="33">
        <f>IF(Q1072="","",P1072&amp;"|"&amp;Q1072)</f>
        <v/>
      </c>
      <c r="S1072" s="33">
        <f>IF(Q1072="","",IF(P1072="À RENSEIGNER","GIC",P1072)&amp;"-"&amp;TEXT(Q1072,"000"))</f>
        <v/>
      </c>
      <c r="T1072" s="33">
        <f>IF(R1072="","",IFERROR(INDEX(Cl_nom,MATCH(R1072,Cl_cle,0)),"(client introuvable)"))</f>
        <v/>
      </c>
      <c r="U1072" s="33">
        <f>IF(R1072="","",IFERROR(INDEX(Cl_quartier,MATCH(R1072,Cl_cle,0))&amp;"",""))</f>
        <v/>
      </c>
      <c r="V1072" s="34">
        <f>IF(C1072="","",YEAR(C1072-WEEKDAY(C1072,2)+4)&amp;"-S"&amp;TEXT(INT((C1072-DATE(YEAR(C1072-WEEKDAY(C1072,2)+4),1,3)+WEEKDAY(DATE(YEAR(C1072-WEEKDAY(C1072,2)+4),1,3),2)+5)/7),"00"))</f>
        <v/>
      </c>
    </row>
    <row r="1073" ht="18" customHeight="1">
      <c r="A1073" s="39" t="n">
        <v>1068</v>
      </c>
      <c r="B1073" s="33">
        <f>IF(C1073="","",IF(P1073="À RENSEIGNER","GIC",P1073)&amp;"-V"&amp;TEXT(A1073,"00000"))</f>
        <v/>
      </c>
      <c r="C1073" s="32" t="n"/>
      <c r="D1073" s="35" t="n"/>
      <c r="E1073" s="36" t="n"/>
      <c r="F1073" s="36" t="n"/>
      <c r="G1073" s="36" t="n"/>
      <c r="H1073" s="36" t="n"/>
      <c r="I1073" s="36" t="n"/>
      <c r="J1073" s="37" t="n"/>
      <c r="K1073" s="32" t="n"/>
      <c r="L1073" s="36" t="n"/>
      <c r="M1073" s="41" t="n"/>
      <c r="N1073" s="41" t="n"/>
      <c r="O1073" s="36" t="n"/>
      <c r="P1073" s="33">
        <f>IF(C1073="","",Commercial_Id)</f>
        <v/>
      </c>
      <c r="Q1073" s="39">
        <f>IF(F1073="","",IFERROR(VALUE(MID(F1073,LEN(F1073)-3,3)),""))</f>
        <v/>
      </c>
      <c r="R1073" s="33">
        <f>IF(Q1073="","",P1073&amp;"|"&amp;Q1073)</f>
        <v/>
      </c>
      <c r="S1073" s="33">
        <f>IF(Q1073="","",IF(P1073="À RENSEIGNER","GIC",P1073)&amp;"-"&amp;TEXT(Q1073,"000"))</f>
        <v/>
      </c>
      <c r="T1073" s="33">
        <f>IF(R1073="","",IFERROR(INDEX(Cl_nom,MATCH(R1073,Cl_cle,0)),"(client introuvable)"))</f>
        <v/>
      </c>
      <c r="U1073" s="33">
        <f>IF(R1073="","",IFERROR(INDEX(Cl_quartier,MATCH(R1073,Cl_cle,0))&amp;"",""))</f>
        <v/>
      </c>
      <c r="V1073" s="34">
        <f>IF(C1073="","",YEAR(C1073-WEEKDAY(C1073,2)+4)&amp;"-S"&amp;TEXT(INT((C1073-DATE(YEAR(C1073-WEEKDAY(C1073,2)+4),1,3)+WEEKDAY(DATE(YEAR(C1073-WEEKDAY(C1073,2)+4),1,3),2)+5)/7),"00"))</f>
        <v/>
      </c>
    </row>
    <row r="1074" ht="18" customHeight="1">
      <c r="A1074" s="39" t="n">
        <v>1069</v>
      </c>
      <c r="B1074" s="33">
        <f>IF(C1074="","",IF(P1074="À RENSEIGNER","GIC",P1074)&amp;"-V"&amp;TEXT(A1074,"00000"))</f>
        <v/>
      </c>
      <c r="C1074" s="32" t="n"/>
      <c r="D1074" s="35" t="n"/>
      <c r="E1074" s="36" t="n"/>
      <c r="F1074" s="36" t="n"/>
      <c r="G1074" s="36" t="n"/>
      <c r="H1074" s="36" t="n"/>
      <c r="I1074" s="36" t="n"/>
      <c r="J1074" s="37" t="n"/>
      <c r="K1074" s="32" t="n"/>
      <c r="L1074" s="36" t="n"/>
      <c r="M1074" s="41" t="n"/>
      <c r="N1074" s="41" t="n"/>
      <c r="O1074" s="36" t="n"/>
      <c r="P1074" s="33">
        <f>IF(C1074="","",Commercial_Id)</f>
        <v/>
      </c>
      <c r="Q1074" s="39">
        <f>IF(F1074="","",IFERROR(VALUE(MID(F1074,LEN(F1074)-3,3)),""))</f>
        <v/>
      </c>
      <c r="R1074" s="33">
        <f>IF(Q1074="","",P1074&amp;"|"&amp;Q1074)</f>
        <v/>
      </c>
      <c r="S1074" s="33">
        <f>IF(Q1074="","",IF(P1074="À RENSEIGNER","GIC",P1074)&amp;"-"&amp;TEXT(Q1074,"000"))</f>
        <v/>
      </c>
      <c r="T1074" s="33">
        <f>IF(R1074="","",IFERROR(INDEX(Cl_nom,MATCH(R1074,Cl_cle,0)),"(client introuvable)"))</f>
        <v/>
      </c>
      <c r="U1074" s="33">
        <f>IF(R1074="","",IFERROR(INDEX(Cl_quartier,MATCH(R1074,Cl_cle,0))&amp;"",""))</f>
        <v/>
      </c>
      <c r="V1074" s="34">
        <f>IF(C1074="","",YEAR(C1074-WEEKDAY(C1074,2)+4)&amp;"-S"&amp;TEXT(INT((C1074-DATE(YEAR(C1074-WEEKDAY(C1074,2)+4),1,3)+WEEKDAY(DATE(YEAR(C1074-WEEKDAY(C1074,2)+4),1,3),2)+5)/7),"00"))</f>
        <v/>
      </c>
    </row>
    <row r="1075" ht="18" customHeight="1">
      <c r="A1075" s="39" t="n">
        <v>1070</v>
      </c>
      <c r="B1075" s="33">
        <f>IF(C1075="","",IF(P1075="À RENSEIGNER","GIC",P1075)&amp;"-V"&amp;TEXT(A1075,"00000"))</f>
        <v/>
      </c>
      <c r="C1075" s="32" t="n"/>
      <c r="D1075" s="35" t="n"/>
      <c r="E1075" s="36" t="n"/>
      <c r="F1075" s="36" t="n"/>
      <c r="G1075" s="36" t="n"/>
      <c r="H1075" s="36" t="n"/>
      <c r="I1075" s="36" t="n"/>
      <c r="J1075" s="37" t="n"/>
      <c r="K1075" s="32" t="n"/>
      <c r="L1075" s="36" t="n"/>
      <c r="M1075" s="41" t="n"/>
      <c r="N1075" s="41" t="n"/>
      <c r="O1075" s="36" t="n"/>
      <c r="P1075" s="33">
        <f>IF(C1075="","",Commercial_Id)</f>
        <v/>
      </c>
      <c r="Q1075" s="39">
        <f>IF(F1075="","",IFERROR(VALUE(MID(F1075,LEN(F1075)-3,3)),""))</f>
        <v/>
      </c>
      <c r="R1075" s="33">
        <f>IF(Q1075="","",P1075&amp;"|"&amp;Q1075)</f>
        <v/>
      </c>
      <c r="S1075" s="33">
        <f>IF(Q1075="","",IF(P1075="À RENSEIGNER","GIC",P1075)&amp;"-"&amp;TEXT(Q1075,"000"))</f>
        <v/>
      </c>
      <c r="T1075" s="33">
        <f>IF(R1075="","",IFERROR(INDEX(Cl_nom,MATCH(R1075,Cl_cle,0)),"(client introuvable)"))</f>
        <v/>
      </c>
      <c r="U1075" s="33">
        <f>IF(R1075="","",IFERROR(INDEX(Cl_quartier,MATCH(R1075,Cl_cle,0))&amp;"",""))</f>
        <v/>
      </c>
      <c r="V1075" s="34">
        <f>IF(C1075="","",YEAR(C1075-WEEKDAY(C1075,2)+4)&amp;"-S"&amp;TEXT(INT((C1075-DATE(YEAR(C1075-WEEKDAY(C1075,2)+4),1,3)+WEEKDAY(DATE(YEAR(C1075-WEEKDAY(C1075,2)+4),1,3),2)+5)/7),"00"))</f>
        <v/>
      </c>
    </row>
    <row r="1076" ht="18" customHeight="1">
      <c r="A1076" s="39" t="n">
        <v>1071</v>
      </c>
      <c r="B1076" s="33">
        <f>IF(C1076="","",IF(P1076="À RENSEIGNER","GIC",P1076)&amp;"-V"&amp;TEXT(A1076,"00000"))</f>
        <v/>
      </c>
      <c r="C1076" s="32" t="n"/>
      <c r="D1076" s="35" t="n"/>
      <c r="E1076" s="36" t="n"/>
      <c r="F1076" s="36" t="n"/>
      <c r="G1076" s="36" t="n"/>
      <c r="H1076" s="36" t="n"/>
      <c r="I1076" s="36" t="n"/>
      <c r="J1076" s="37" t="n"/>
      <c r="K1076" s="32" t="n"/>
      <c r="L1076" s="36" t="n"/>
      <c r="M1076" s="41" t="n"/>
      <c r="N1076" s="41" t="n"/>
      <c r="O1076" s="36" t="n"/>
      <c r="P1076" s="33">
        <f>IF(C1076="","",Commercial_Id)</f>
        <v/>
      </c>
      <c r="Q1076" s="39">
        <f>IF(F1076="","",IFERROR(VALUE(MID(F1076,LEN(F1076)-3,3)),""))</f>
        <v/>
      </c>
      <c r="R1076" s="33">
        <f>IF(Q1076="","",P1076&amp;"|"&amp;Q1076)</f>
        <v/>
      </c>
      <c r="S1076" s="33">
        <f>IF(Q1076="","",IF(P1076="À RENSEIGNER","GIC",P1076)&amp;"-"&amp;TEXT(Q1076,"000"))</f>
        <v/>
      </c>
      <c r="T1076" s="33">
        <f>IF(R1076="","",IFERROR(INDEX(Cl_nom,MATCH(R1076,Cl_cle,0)),"(client introuvable)"))</f>
        <v/>
      </c>
      <c r="U1076" s="33">
        <f>IF(R1076="","",IFERROR(INDEX(Cl_quartier,MATCH(R1076,Cl_cle,0))&amp;"",""))</f>
        <v/>
      </c>
      <c r="V1076" s="34">
        <f>IF(C1076="","",YEAR(C1076-WEEKDAY(C1076,2)+4)&amp;"-S"&amp;TEXT(INT((C1076-DATE(YEAR(C1076-WEEKDAY(C1076,2)+4),1,3)+WEEKDAY(DATE(YEAR(C1076-WEEKDAY(C1076,2)+4),1,3),2)+5)/7),"00"))</f>
        <v/>
      </c>
    </row>
    <row r="1077" ht="18" customHeight="1">
      <c r="A1077" s="39" t="n">
        <v>1072</v>
      </c>
      <c r="B1077" s="33">
        <f>IF(C1077="","",IF(P1077="À RENSEIGNER","GIC",P1077)&amp;"-V"&amp;TEXT(A1077,"00000"))</f>
        <v/>
      </c>
      <c r="C1077" s="32" t="n"/>
      <c r="D1077" s="35" t="n"/>
      <c r="E1077" s="36" t="n"/>
      <c r="F1077" s="36" t="n"/>
      <c r="G1077" s="36" t="n"/>
      <c r="H1077" s="36" t="n"/>
      <c r="I1077" s="36" t="n"/>
      <c r="J1077" s="37" t="n"/>
      <c r="K1077" s="32" t="n"/>
      <c r="L1077" s="36" t="n"/>
      <c r="M1077" s="41" t="n"/>
      <c r="N1077" s="41" t="n"/>
      <c r="O1077" s="36" t="n"/>
      <c r="P1077" s="33">
        <f>IF(C1077="","",Commercial_Id)</f>
        <v/>
      </c>
      <c r="Q1077" s="39">
        <f>IF(F1077="","",IFERROR(VALUE(MID(F1077,LEN(F1077)-3,3)),""))</f>
        <v/>
      </c>
      <c r="R1077" s="33">
        <f>IF(Q1077="","",P1077&amp;"|"&amp;Q1077)</f>
        <v/>
      </c>
      <c r="S1077" s="33">
        <f>IF(Q1077="","",IF(P1077="À RENSEIGNER","GIC",P1077)&amp;"-"&amp;TEXT(Q1077,"000"))</f>
        <v/>
      </c>
      <c r="T1077" s="33">
        <f>IF(R1077="","",IFERROR(INDEX(Cl_nom,MATCH(R1077,Cl_cle,0)),"(client introuvable)"))</f>
        <v/>
      </c>
      <c r="U1077" s="33">
        <f>IF(R1077="","",IFERROR(INDEX(Cl_quartier,MATCH(R1077,Cl_cle,0))&amp;"",""))</f>
        <v/>
      </c>
      <c r="V1077" s="34">
        <f>IF(C1077="","",YEAR(C1077-WEEKDAY(C1077,2)+4)&amp;"-S"&amp;TEXT(INT((C1077-DATE(YEAR(C1077-WEEKDAY(C1077,2)+4),1,3)+WEEKDAY(DATE(YEAR(C1077-WEEKDAY(C1077,2)+4),1,3),2)+5)/7),"00"))</f>
        <v/>
      </c>
    </row>
    <row r="1078" ht="18" customHeight="1">
      <c r="A1078" s="39" t="n">
        <v>1073</v>
      </c>
      <c r="B1078" s="33">
        <f>IF(C1078="","",IF(P1078="À RENSEIGNER","GIC",P1078)&amp;"-V"&amp;TEXT(A1078,"00000"))</f>
        <v/>
      </c>
      <c r="C1078" s="32" t="n"/>
      <c r="D1078" s="35" t="n"/>
      <c r="E1078" s="36" t="n"/>
      <c r="F1078" s="36" t="n"/>
      <c r="G1078" s="36" t="n"/>
      <c r="H1078" s="36" t="n"/>
      <c r="I1078" s="36" t="n"/>
      <c r="J1078" s="37" t="n"/>
      <c r="K1078" s="32" t="n"/>
      <c r="L1078" s="36" t="n"/>
      <c r="M1078" s="41" t="n"/>
      <c r="N1078" s="41" t="n"/>
      <c r="O1078" s="36" t="n"/>
      <c r="P1078" s="33">
        <f>IF(C1078="","",Commercial_Id)</f>
        <v/>
      </c>
      <c r="Q1078" s="39">
        <f>IF(F1078="","",IFERROR(VALUE(MID(F1078,LEN(F1078)-3,3)),""))</f>
        <v/>
      </c>
      <c r="R1078" s="33">
        <f>IF(Q1078="","",P1078&amp;"|"&amp;Q1078)</f>
        <v/>
      </c>
      <c r="S1078" s="33">
        <f>IF(Q1078="","",IF(P1078="À RENSEIGNER","GIC",P1078)&amp;"-"&amp;TEXT(Q1078,"000"))</f>
        <v/>
      </c>
      <c r="T1078" s="33">
        <f>IF(R1078="","",IFERROR(INDEX(Cl_nom,MATCH(R1078,Cl_cle,0)),"(client introuvable)"))</f>
        <v/>
      </c>
      <c r="U1078" s="33">
        <f>IF(R1078="","",IFERROR(INDEX(Cl_quartier,MATCH(R1078,Cl_cle,0))&amp;"",""))</f>
        <v/>
      </c>
      <c r="V1078" s="34">
        <f>IF(C1078="","",YEAR(C1078-WEEKDAY(C1078,2)+4)&amp;"-S"&amp;TEXT(INT((C1078-DATE(YEAR(C1078-WEEKDAY(C1078,2)+4),1,3)+WEEKDAY(DATE(YEAR(C1078-WEEKDAY(C1078,2)+4),1,3),2)+5)/7),"00"))</f>
        <v/>
      </c>
    </row>
    <row r="1079" ht="18" customHeight="1">
      <c r="A1079" s="39" t="n">
        <v>1074</v>
      </c>
      <c r="B1079" s="33">
        <f>IF(C1079="","",IF(P1079="À RENSEIGNER","GIC",P1079)&amp;"-V"&amp;TEXT(A1079,"00000"))</f>
        <v/>
      </c>
      <c r="C1079" s="32" t="n"/>
      <c r="D1079" s="35" t="n"/>
      <c r="E1079" s="36" t="n"/>
      <c r="F1079" s="36" t="n"/>
      <c r="G1079" s="36" t="n"/>
      <c r="H1079" s="36" t="n"/>
      <c r="I1079" s="36" t="n"/>
      <c r="J1079" s="37" t="n"/>
      <c r="K1079" s="32" t="n"/>
      <c r="L1079" s="36" t="n"/>
      <c r="M1079" s="41" t="n"/>
      <c r="N1079" s="41" t="n"/>
      <c r="O1079" s="36" t="n"/>
      <c r="P1079" s="33">
        <f>IF(C1079="","",Commercial_Id)</f>
        <v/>
      </c>
      <c r="Q1079" s="39">
        <f>IF(F1079="","",IFERROR(VALUE(MID(F1079,LEN(F1079)-3,3)),""))</f>
        <v/>
      </c>
      <c r="R1079" s="33">
        <f>IF(Q1079="","",P1079&amp;"|"&amp;Q1079)</f>
        <v/>
      </c>
      <c r="S1079" s="33">
        <f>IF(Q1079="","",IF(P1079="À RENSEIGNER","GIC",P1079)&amp;"-"&amp;TEXT(Q1079,"000"))</f>
        <v/>
      </c>
      <c r="T1079" s="33">
        <f>IF(R1079="","",IFERROR(INDEX(Cl_nom,MATCH(R1079,Cl_cle,0)),"(client introuvable)"))</f>
        <v/>
      </c>
      <c r="U1079" s="33">
        <f>IF(R1079="","",IFERROR(INDEX(Cl_quartier,MATCH(R1079,Cl_cle,0))&amp;"",""))</f>
        <v/>
      </c>
      <c r="V1079" s="34">
        <f>IF(C1079="","",YEAR(C1079-WEEKDAY(C1079,2)+4)&amp;"-S"&amp;TEXT(INT((C1079-DATE(YEAR(C1079-WEEKDAY(C1079,2)+4),1,3)+WEEKDAY(DATE(YEAR(C1079-WEEKDAY(C1079,2)+4),1,3),2)+5)/7),"00"))</f>
        <v/>
      </c>
    </row>
    <row r="1080" ht="18" customHeight="1">
      <c r="A1080" s="39" t="n">
        <v>1075</v>
      </c>
      <c r="B1080" s="33">
        <f>IF(C1080="","",IF(P1080="À RENSEIGNER","GIC",P1080)&amp;"-V"&amp;TEXT(A1080,"00000"))</f>
        <v/>
      </c>
      <c r="C1080" s="32" t="n"/>
      <c r="D1080" s="35" t="n"/>
      <c r="E1080" s="36" t="n"/>
      <c r="F1080" s="36" t="n"/>
      <c r="G1080" s="36" t="n"/>
      <c r="H1080" s="36" t="n"/>
      <c r="I1080" s="36" t="n"/>
      <c r="J1080" s="37" t="n"/>
      <c r="K1080" s="32" t="n"/>
      <c r="L1080" s="36" t="n"/>
      <c r="M1080" s="41" t="n"/>
      <c r="N1080" s="41" t="n"/>
      <c r="O1080" s="36" t="n"/>
      <c r="P1080" s="33">
        <f>IF(C1080="","",Commercial_Id)</f>
        <v/>
      </c>
      <c r="Q1080" s="39">
        <f>IF(F1080="","",IFERROR(VALUE(MID(F1080,LEN(F1080)-3,3)),""))</f>
        <v/>
      </c>
      <c r="R1080" s="33">
        <f>IF(Q1080="","",P1080&amp;"|"&amp;Q1080)</f>
        <v/>
      </c>
      <c r="S1080" s="33">
        <f>IF(Q1080="","",IF(P1080="À RENSEIGNER","GIC",P1080)&amp;"-"&amp;TEXT(Q1080,"000"))</f>
        <v/>
      </c>
      <c r="T1080" s="33">
        <f>IF(R1080="","",IFERROR(INDEX(Cl_nom,MATCH(R1080,Cl_cle,0)),"(client introuvable)"))</f>
        <v/>
      </c>
      <c r="U1080" s="33">
        <f>IF(R1080="","",IFERROR(INDEX(Cl_quartier,MATCH(R1080,Cl_cle,0))&amp;"",""))</f>
        <v/>
      </c>
      <c r="V1080" s="34">
        <f>IF(C1080="","",YEAR(C1080-WEEKDAY(C1080,2)+4)&amp;"-S"&amp;TEXT(INT((C1080-DATE(YEAR(C1080-WEEKDAY(C1080,2)+4),1,3)+WEEKDAY(DATE(YEAR(C1080-WEEKDAY(C1080,2)+4),1,3),2)+5)/7),"00"))</f>
        <v/>
      </c>
    </row>
    <row r="1081" ht="18" customHeight="1">
      <c r="A1081" s="39" t="n">
        <v>1076</v>
      </c>
      <c r="B1081" s="33">
        <f>IF(C1081="","",IF(P1081="À RENSEIGNER","GIC",P1081)&amp;"-V"&amp;TEXT(A1081,"00000"))</f>
        <v/>
      </c>
      <c r="C1081" s="32" t="n"/>
      <c r="D1081" s="35" t="n"/>
      <c r="E1081" s="36" t="n"/>
      <c r="F1081" s="36" t="n"/>
      <c r="G1081" s="36" t="n"/>
      <c r="H1081" s="36" t="n"/>
      <c r="I1081" s="36" t="n"/>
      <c r="J1081" s="37" t="n"/>
      <c r="K1081" s="32" t="n"/>
      <c r="L1081" s="36" t="n"/>
      <c r="M1081" s="41" t="n"/>
      <c r="N1081" s="41" t="n"/>
      <c r="O1081" s="36" t="n"/>
      <c r="P1081" s="33">
        <f>IF(C1081="","",Commercial_Id)</f>
        <v/>
      </c>
      <c r="Q1081" s="39">
        <f>IF(F1081="","",IFERROR(VALUE(MID(F1081,LEN(F1081)-3,3)),""))</f>
        <v/>
      </c>
      <c r="R1081" s="33">
        <f>IF(Q1081="","",P1081&amp;"|"&amp;Q1081)</f>
        <v/>
      </c>
      <c r="S1081" s="33">
        <f>IF(Q1081="","",IF(P1081="À RENSEIGNER","GIC",P1081)&amp;"-"&amp;TEXT(Q1081,"000"))</f>
        <v/>
      </c>
      <c r="T1081" s="33">
        <f>IF(R1081="","",IFERROR(INDEX(Cl_nom,MATCH(R1081,Cl_cle,0)),"(client introuvable)"))</f>
        <v/>
      </c>
      <c r="U1081" s="33">
        <f>IF(R1081="","",IFERROR(INDEX(Cl_quartier,MATCH(R1081,Cl_cle,0))&amp;"",""))</f>
        <v/>
      </c>
      <c r="V1081" s="34">
        <f>IF(C1081="","",YEAR(C1081-WEEKDAY(C1081,2)+4)&amp;"-S"&amp;TEXT(INT((C1081-DATE(YEAR(C1081-WEEKDAY(C1081,2)+4),1,3)+WEEKDAY(DATE(YEAR(C1081-WEEKDAY(C1081,2)+4),1,3),2)+5)/7),"00"))</f>
        <v/>
      </c>
    </row>
    <row r="1082" ht="18" customHeight="1">
      <c r="A1082" s="39" t="n">
        <v>1077</v>
      </c>
      <c r="B1082" s="33">
        <f>IF(C1082="","",IF(P1082="À RENSEIGNER","GIC",P1082)&amp;"-V"&amp;TEXT(A1082,"00000"))</f>
        <v/>
      </c>
      <c r="C1082" s="32" t="n"/>
      <c r="D1082" s="35" t="n"/>
      <c r="E1082" s="36" t="n"/>
      <c r="F1082" s="36" t="n"/>
      <c r="G1082" s="36" t="n"/>
      <c r="H1082" s="36" t="n"/>
      <c r="I1082" s="36" t="n"/>
      <c r="J1082" s="37" t="n"/>
      <c r="K1082" s="32" t="n"/>
      <c r="L1082" s="36" t="n"/>
      <c r="M1082" s="41" t="n"/>
      <c r="N1082" s="41" t="n"/>
      <c r="O1082" s="36" t="n"/>
      <c r="P1082" s="33">
        <f>IF(C1082="","",Commercial_Id)</f>
        <v/>
      </c>
      <c r="Q1082" s="39">
        <f>IF(F1082="","",IFERROR(VALUE(MID(F1082,LEN(F1082)-3,3)),""))</f>
        <v/>
      </c>
      <c r="R1082" s="33">
        <f>IF(Q1082="","",P1082&amp;"|"&amp;Q1082)</f>
        <v/>
      </c>
      <c r="S1082" s="33">
        <f>IF(Q1082="","",IF(P1082="À RENSEIGNER","GIC",P1082)&amp;"-"&amp;TEXT(Q1082,"000"))</f>
        <v/>
      </c>
      <c r="T1082" s="33">
        <f>IF(R1082="","",IFERROR(INDEX(Cl_nom,MATCH(R1082,Cl_cle,0)),"(client introuvable)"))</f>
        <v/>
      </c>
      <c r="U1082" s="33">
        <f>IF(R1082="","",IFERROR(INDEX(Cl_quartier,MATCH(R1082,Cl_cle,0))&amp;"",""))</f>
        <v/>
      </c>
      <c r="V1082" s="34">
        <f>IF(C1082="","",YEAR(C1082-WEEKDAY(C1082,2)+4)&amp;"-S"&amp;TEXT(INT((C1082-DATE(YEAR(C1082-WEEKDAY(C1082,2)+4),1,3)+WEEKDAY(DATE(YEAR(C1082-WEEKDAY(C1082,2)+4),1,3),2)+5)/7),"00"))</f>
        <v/>
      </c>
    </row>
    <row r="1083" ht="18" customHeight="1">
      <c r="A1083" s="39" t="n">
        <v>1078</v>
      </c>
      <c r="B1083" s="33">
        <f>IF(C1083="","",IF(P1083="À RENSEIGNER","GIC",P1083)&amp;"-V"&amp;TEXT(A1083,"00000"))</f>
        <v/>
      </c>
      <c r="C1083" s="32" t="n"/>
      <c r="D1083" s="35" t="n"/>
      <c r="E1083" s="36" t="n"/>
      <c r="F1083" s="36" t="n"/>
      <c r="G1083" s="36" t="n"/>
      <c r="H1083" s="36" t="n"/>
      <c r="I1083" s="36" t="n"/>
      <c r="J1083" s="37" t="n"/>
      <c r="K1083" s="32" t="n"/>
      <c r="L1083" s="36" t="n"/>
      <c r="M1083" s="41" t="n"/>
      <c r="N1083" s="41" t="n"/>
      <c r="O1083" s="36" t="n"/>
      <c r="P1083" s="33">
        <f>IF(C1083="","",Commercial_Id)</f>
        <v/>
      </c>
      <c r="Q1083" s="39">
        <f>IF(F1083="","",IFERROR(VALUE(MID(F1083,LEN(F1083)-3,3)),""))</f>
        <v/>
      </c>
      <c r="R1083" s="33">
        <f>IF(Q1083="","",P1083&amp;"|"&amp;Q1083)</f>
        <v/>
      </c>
      <c r="S1083" s="33">
        <f>IF(Q1083="","",IF(P1083="À RENSEIGNER","GIC",P1083)&amp;"-"&amp;TEXT(Q1083,"000"))</f>
        <v/>
      </c>
      <c r="T1083" s="33">
        <f>IF(R1083="","",IFERROR(INDEX(Cl_nom,MATCH(R1083,Cl_cle,0)),"(client introuvable)"))</f>
        <v/>
      </c>
      <c r="U1083" s="33">
        <f>IF(R1083="","",IFERROR(INDEX(Cl_quartier,MATCH(R1083,Cl_cle,0))&amp;"",""))</f>
        <v/>
      </c>
      <c r="V1083" s="34">
        <f>IF(C1083="","",YEAR(C1083-WEEKDAY(C1083,2)+4)&amp;"-S"&amp;TEXT(INT((C1083-DATE(YEAR(C1083-WEEKDAY(C1083,2)+4),1,3)+WEEKDAY(DATE(YEAR(C1083-WEEKDAY(C1083,2)+4),1,3),2)+5)/7),"00"))</f>
        <v/>
      </c>
    </row>
    <row r="1084" ht="18" customHeight="1">
      <c r="A1084" s="39" t="n">
        <v>1079</v>
      </c>
      <c r="B1084" s="33">
        <f>IF(C1084="","",IF(P1084="À RENSEIGNER","GIC",P1084)&amp;"-V"&amp;TEXT(A1084,"00000"))</f>
        <v/>
      </c>
      <c r="C1084" s="32" t="n"/>
      <c r="D1084" s="35" t="n"/>
      <c r="E1084" s="36" t="n"/>
      <c r="F1084" s="36" t="n"/>
      <c r="G1084" s="36" t="n"/>
      <c r="H1084" s="36" t="n"/>
      <c r="I1084" s="36" t="n"/>
      <c r="J1084" s="37" t="n"/>
      <c r="K1084" s="32" t="n"/>
      <c r="L1084" s="36" t="n"/>
      <c r="M1084" s="41" t="n"/>
      <c r="N1084" s="41" t="n"/>
      <c r="O1084" s="36" t="n"/>
      <c r="P1084" s="33">
        <f>IF(C1084="","",Commercial_Id)</f>
        <v/>
      </c>
      <c r="Q1084" s="39">
        <f>IF(F1084="","",IFERROR(VALUE(MID(F1084,LEN(F1084)-3,3)),""))</f>
        <v/>
      </c>
      <c r="R1084" s="33">
        <f>IF(Q1084="","",P1084&amp;"|"&amp;Q1084)</f>
        <v/>
      </c>
      <c r="S1084" s="33">
        <f>IF(Q1084="","",IF(P1084="À RENSEIGNER","GIC",P1084)&amp;"-"&amp;TEXT(Q1084,"000"))</f>
        <v/>
      </c>
      <c r="T1084" s="33">
        <f>IF(R1084="","",IFERROR(INDEX(Cl_nom,MATCH(R1084,Cl_cle,0)),"(client introuvable)"))</f>
        <v/>
      </c>
      <c r="U1084" s="33">
        <f>IF(R1084="","",IFERROR(INDEX(Cl_quartier,MATCH(R1084,Cl_cle,0))&amp;"",""))</f>
        <v/>
      </c>
      <c r="V1084" s="34">
        <f>IF(C1084="","",YEAR(C1084-WEEKDAY(C1084,2)+4)&amp;"-S"&amp;TEXT(INT((C1084-DATE(YEAR(C1084-WEEKDAY(C1084,2)+4),1,3)+WEEKDAY(DATE(YEAR(C1084-WEEKDAY(C1084,2)+4),1,3),2)+5)/7),"00"))</f>
        <v/>
      </c>
    </row>
    <row r="1085" ht="18" customHeight="1">
      <c r="A1085" s="39" t="n">
        <v>1080</v>
      </c>
      <c r="B1085" s="33">
        <f>IF(C1085="","",IF(P1085="À RENSEIGNER","GIC",P1085)&amp;"-V"&amp;TEXT(A1085,"00000"))</f>
        <v/>
      </c>
      <c r="C1085" s="32" t="n"/>
      <c r="D1085" s="35" t="n"/>
      <c r="E1085" s="36" t="n"/>
      <c r="F1085" s="36" t="n"/>
      <c r="G1085" s="36" t="n"/>
      <c r="H1085" s="36" t="n"/>
      <c r="I1085" s="36" t="n"/>
      <c r="J1085" s="37" t="n"/>
      <c r="K1085" s="32" t="n"/>
      <c r="L1085" s="36" t="n"/>
      <c r="M1085" s="41" t="n"/>
      <c r="N1085" s="41" t="n"/>
      <c r="O1085" s="36" t="n"/>
      <c r="P1085" s="33">
        <f>IF(C1085="","",Commercial_Id)</f>
        <v/>
      </c>
      <c r="Q1085" s="39">
        <f>IF(F1085="","",IFERROR(VALUE(MID(F1085,LEN(F1085)-3,3)),""))</f>
        <v/>
      </c>
      <c r="R1085" s="33">
        <f>IF(Q1085="","",P1085&amp;"|"&amp;Q1085)</f>
        <v/>
      </c>
      <c r="S1085" s="33">
        <f>IF(Q1085="","",IF(P1085="À RENSEIGNER","GIC",P1085)&amp;"-"&amp;TEXT(Q1085,"000"))</f>
        <v/>
      </c>
      <c r="T1085" s="33">
        <f>IF(R1085="","",IFERROR(INDEX(Cl_nom,MATCH(R1085,Cl_cle,0)),"(client introuvable)"))</f>
        <v/>
      </c>
      <c r="U1085" s="33">
        <f>IF(R1085="","",IFERROR(INDEX(Cl_quartier,MATCH(R1085,Cl_cle,0))&amp;"",""))</f>
        <v/>
      </c>
      <c r="V1085" s="34">
        <f>IF(C1085="","",YEAR(C1085-WEEKDAY(C1085,2)+4)&amp;"-S"&amp;TEXT(INT((C1085-DATE(YEAR(C1085-WEEKDAY(C1085,2)+4),1,3)+WEEKDAY(DATE(YEAR(C1085-WEEKDAY(C1085,2)+4),1,3),2)+5)/7),"00"))</f>
        <v/>
      </c>
    </row>
    <row r="1086" ht="18" customHeight="1">
      <c r="A1086" s="39" t="n">
        <v>1081</v>
      </c>
      <c r="B1086" s="33">
        <f>IF(C1086="","",IF(P1086="À RENSEIGNER","GIC",P1086)&amp;"-V"&amp;TEXT(A1086,"00000"))</f>
        <v/>
      </c>
      <c r="C1086" s="32" t="n"/>
      <c r="D1086" s="35" t="n"/>
      <c r="E1086" s="36" t="n"/>
      <c r="F1086" s="36" t="n"/>
      <c r="G1086" s="36" t="n"/>
      <c r="H1086" s="36" t="n"/>
      <c r="I1086" s="36" t="n"/>
      <c r="J1086" s="37" t="n"/>
      <c r="K1086" s="32" t="n"/>
      <c r="L1086" s="36" t="n"/>
      <c r="M1086" s="41" t="n"/>
      <c r="N1086" s="41" t="n"/>
      <c r="O1086" s="36" t="n"/>
      <c r="P1086" s="33">
        <f>IF(C1086="","",Commercial_Id)</f>
        <v/>
      </c>
      <c r="Q1086" s="39">
        <f>IF(F1086="","",IFERROR(VALUE(MID(F1086,LEN(F1086)-3,3)),""))</f>
        <v/>
      </c>
      <c r="R1086" s="33">
        <f>IF(Q1086="","",P1086&amp;"|"&amp;Q1086)</f>
        <v/>
      </c>
      <c r="S1086" s="33">
        <f>IF(Q1086="","",IF(P1086="À RENSEIGNER","GIC",P1086)&amp;"-"&amp;TEXT(Q1086,"000"))</f>
        <v/>
      </c>
      <c r="T1086" s="33">
        <f>IF(R1086="","",IFERROR(INDEX(Cl_nom,MATCH(R1086,Cl_cle,0)),"(client introuvable)"))</f>
        <v/>
      </c>
      <c r="U1086" s="33">
        <f>IF(R1086="","",IFERROR(INDEX(Cl_quartier,MATCH(R1086,Cl_cle,0))&amp;"",""))</f>
        <v/>
      </c>
      <c r="V1086" s="34">
        <f>IF(C1086="","",YEAR(C1086-WEEKDAY(C1086,2)+4)&amp;"-S"&amp;TEXT(INT((C1086-DATE(YEAR(C1086-WEEKDAY(C1086,2)+4),1,3)+WEEKDAY(DATE(YEAR(C1086-WEEKDAY(C1086,2)+4),1,3),2)+5)/7),"00"))</f>
        <v/>
      </c>
    </row>
    <row r="1087" ht="18" customHeight="1">
      <c r="A1087" s="39" t="n">
        <v>1082</v>
      </c>
      <c r="B1087" s="33">
        <f>IF(C1087="","",IF(P1087="À RENSEIGNER","GIC",P1087)&amp;"-V"&amp;TEXT(A1087,"00000"))</f>
        <v/>
      </c>
      <c r="C1087" s="32" t="n"/>
      <c r="D1087" s="35" t="n"/>
      <c r="E1087" s="36" t="n"/>
      <c r="F1087" s="36" t="n"/>
      <c r="G1087" s="36" t="n"/>
      <c r="H1087" s="36" t="n"/>
      <c r="I1087" s="36" t="n"/>
      <c r="J1087" s="37" t="n"/>
      <c r="K1087" s="32" t="n"/>
      <c r="L1087" s="36" t="n"/>
      <c r="M1087" s="41" t="n"/>
      <c r="N1087" s="41" t="n"/>
      <c r="O1087" s="36" t="n"/>
      <c r="P1087" s="33">
        <f>IF(C1087="","",Commercial_Id)</f>
        <v/>
      </c>
      <c r="Q1087" s="39">
        <f>IF(F1087="","",IFERROR(VALUE(MID(F1087,LEN(F1087)-3,3)),""))</f>
        <v/>
      </c>
      <c r="R1087" s="33">
        <f>IF(Q1087="","",P1087&amp;"|"&amp;Q1087)</f>
        <v/>
      </c>
      <c r="S1087" s="33">
        <f>IF(Q1087="","",IF(P1087="À RENSEIGNER","GIC",P1087)&amp;"-"&amp;TEXT(Q1087,"000"))</f>
        <v/>
      </c>
      <c r="T1087" s="33">
        <f>IF(R1087="","",IFERROR(INDEX(Cl_nom,MATCH(R1087,Cl_cle,0)),"(client introuvable)"))</f>
        <v/>
      </c>
      <c r="U1087" s="33">
        <f>IF(R1087="","",IFERROR(INDEX(Cl_quartier,MATCH(R1087,Cl_cle,0))&amp;"",""))</f>
        <v/>
      </c>
      <c r="V1087" s="34">
        <f>IF(C1087="","",YEAR(C1087-WEEKDAY(C1087,2)+4)&amp;"-S"&amp;TEXT(INT((C1087-DATE(YEAR(C1087-WEEKDAY(C1087,2)+4),1,3)+WEEKDAY(DATE(YEAR(C1087-WEEKDAY(C1087,2)+4),1,3),2)+5)/7),"00"))</f>
        <v/>
      </c>
    </row>
    <row r="1088" ht="18" customHeight="1">
      <c r="A1088" s="39" t="n">
        <v>1083</v>
      </c>
      <c r="B1088" s="33">
        <f>IF(C1088="","",IF(P1088="À RENSEIGNER","GIC",P1088)&amp;"-V"&amp;TEXT(A1088,"00000"))</f>
        <v/>
      </c>
      <c r="C1088" s="32" t="n"/>
      <c r="D1088" s="35" t="n"/>
      <c r="E1088" s="36" t="n"/>
      <c r="F1088" s="36" t="n"/>
      <c r="G1088" s="36" t="n"/>
      <c r="H1088" s="36" t="n"/>
      <c r="I1088" s="36" t="n"/>
      <c r="J1088" s="37" t="n"/>
      <c r="K1088" s="32" t="n"/>
      <c r="L1088" s="36" t="n"/>
      <c r="M1088" s="41" t="n"/>
      <c r="N1088" s="41" t="n"/>
      <c r="O1088" s="36" t="n"/>
      <c r="P1088" s="33">
        <f>IF(C1088="","",Commercial_Id)</f>
        <v/>
      </c>
      <c r="Q1088" s="39">
        <f>IF(F1088="","",IFERROR(VALUE(MID(F1088,LEN(F1088)-3,3)),""))</f>
        <v/>
      </c>
      <c r="R1088" s="33">
        <f>IF(Q1088="","",P1088&amp;"|"&amp;Q1088)</f>
        <v/>
      </c>
      <c r="S1088" s="33">
        <f>IF(Q1088="","",IF(P1088="À RENSEIGNER","GIC",P1088)&amp;"-"&amp;TEXT(Q1088,"000"))</f>
        <v/>
      </c>
      <c r="T1088" s="33">
        <f>IF(R1088="","",IFERROR(INDEX(Cl_nom,MATCH(R1088,Cl_cle,0)),"(client introuvable)"))</f>
        <v/>
      </c>
      <c r="U1088" s="33">
        <f>IF(R1088="","",IFERROR(INDEX(Cl_quartier,MATCH(R1088,Cl_cle,0))&amp;"",""))</f>
        <v/>
      </c>
      <c r="V1088" s="34">
        <f>IF(C1088="","",YEAR(C1088-WEEKDAY(C1088,2)+4)&amp;"-S"&amp;TEXT(INT((C1088-DATE(YEAR(C1088-WEEKDAY(C1088,2)+4),1,3)+WEEKDAY(DATE(YEAR(C1088-WEEKDAY(C1088,2)+4),1,3),2)+5)/7),"00"))</f>
        <v/>
      </c>
    </row>
    <row r="1089" ht="18" customHeight="1">
      <c r="A1089" s="39" t="n">
        <v>1084</v>
      </c>
      <c r="B1089" s="33">
        <f>IF(C1089="","",IF(P1089="À RENSEIGNER","GIC",P1089)&amp;"-V"&amp;TEXT(A1089,"00000"))</f>
        <v/>
      </c>
      <c r="C1089" s="32" t="n"/>
      <c r="D1089" s="35" t="n"/>
      <c r="E1089" s="36" t="n"/>
      <c r="F1089" s="36" t="n"/>
      <c r="G1089" s="36" t="n"/>
      <c r="H1089" s="36" t="n"/>
      <c r="I1089" s="36" t="n"/>
      <c r="J1089" s="37" t="n"/>
      <c r="K1089" s="32" t="n"/>
      <c r="L1089" s="36" t="n"/>
      <c r="M1089" s="41" t="n"/>
      <c r="N1089" s="41" t="n"/>
      <c r="O1089" s="36" t="n"/>
      <c r="P1089" s="33">
        <f>IF(C1089="","",Commercial_Id)</f>
        <v/>
      </c>
      <c r="Q1089" s="39">
        <f>IF(F1089="","",IFERROR(VALUE(MID(F1089,LEN(F1089)-3,3)),""))</f>
        <v/>
      </c>
      <c r="R1089" s="33">
        <f>IF(Q1089="","",P1089&amp;"|"&amp;Q1089)</f>
        <v/>
      </c>
      <c r="S1089" s="33">
        <f>IF(Q1089="","",IF(P1089="À RENSEIGNER","GIC",P1089)&amp;"-"&amp;TEXT(Q1089,"000"))</f>
        <v/>
      </c>
      <c r="T1089" s="33">
        <f>IF(R1089="","",IFERROR(INDEX(Cl_nom,MATCH(R1089,Cl_cle,0)),"(client introuvable)"))</f>
        <v/>
      </c>
      <c r="U1089" s="33">
        <f>IF(R1089="","",IFERROR(INDEX(Cl_quartier,MATCH(R1089,Cl_cle,0))&amp;"",""))</f>
        <v/>
      </c>
      <c r="V1089" s="34">
        <f>IF(C1089="","",YEAR(C1089-WEEKDAY(C1089,2)+4)&amp;"-S"&amp;TEXT(INT((C1089-DATE(YEAR(C1089-WEEKDAY(C1089,2)+4),1,3)+WEEKDAY(DATE(YEAR(C1089-WEEKDAY(C1089,2)+4),1,3),2)+5)/7),"00"))</f>
        <v/>
      </c>
    </row>
    <row r="1090" ht="18" customHeight="1">
      <c r="A1090" s="39" t="n">
        <v>1085</v>
      </c>
      <c r="B1090" s="33">
        <f>IF(C1090="","",IF(P1090="À RENSEIGNER","GIC",P1090)&amp;"-V"&amp;TEXT(A1090,"00000"))</f>
        <v/>
      </c>
      <c r="C1090" s="32" t="n"/>
      <c r="D1090" s="35" t="n"/>
      <c r="E1090" s="36" t="n"/>
      <c r="F1090" s="36" t="n"/>
      <c r="G1090" s="36" t="n"/>
      <c r="H1090" s="36" t="n"/>
      <c r="I1090" s="36" t="n"/>
      <c r="J1090" s="37" t="n"/>
      <c r="K1090" s="32" t="n"/>
      <c r="L1090" s="36" t="n"/>
      <c r="M1090" s="41" t="n"/>
      <c r="N1090" s="41" t="n"/>
      <c r="O1090" s="36" t="n"/>
      <c r="P1090" s="33">
        <f>IF(C1090="","",Commercial_Id)</f>
        <v/>
      </c>
      <c r="Q1090" s="39">
        <f>IF(F1090="","",IFERROR(VALUE(MID(F1090,LEN(F1090)-3,3)),""))</f>
        <v/>
      </c>
      <c r="R1090" s="33">
        <f>IF(Q1090="","",P1090&amp;"|"&amp;Q1090)</f>
        <v/>
      </c>
      <c r="S1090" s="33">
        <f>IF(Q1090="","",IF(P1090="À RENSEIGNER","GIC",P1090)&amp;"-"&amp;TEXT(Q1090,"000"))</f>
        <v/>
      </c>
      <c r="T1090" s="33">
        <f>IF(R1090="","",IFERROR(INDEX(Cl_nom,MATCH(R1090,Cl_cle,0)),"(client introuvable)"))</f>
        <v/>
      </c>
      <c r="U1090" s="33">
        <f>IF(R1090="","",IFERROR(INDEX(Cl_quartier,MATCH(R1090,Cl_cle,0))&amp;"",""))</f>
        <v/>
      </c>
      <c r="V1090" s="34">
        <f>IF(C1090="","",YEAR(C1090-WEEKDAY(C1090,2)+4)&amp;"-S"&amp;TEXT(INT((C1090-DATE(YEAR(C1090-WEEKDAY(C1090,2)+4),1,3)+WEEKDAY(DATE(YEAR(C1090-WEEKDAY(C1090,2)+4),1,3),2)+5)/7),"00"))</f>
        <v/>
      </c>
    </row>
    <row r="1091" ht="18" customHeight="1">
      <c r="A1091" s="39" t="n">
        <v>1086</v>
      </c>
      <c r="B1091" s="33">
        <f>IF(C1091="","",IF(P1091="À RENSEIGNER","GIC",P1091)&amp;"-V"&amp;TEXT(A1091,"00000"))</f>
        <v/>
      </c>
      <c r="C1091" s="32" t="n"/>
      <c r="D1091" s="35" t="n"/>
      <c r="E1091" s="36" t="n"/>
      <c r="F1091" s="36" t="n"/>
      <c r="G1091" s="36" t="n"/>
      <c r="H1091" s="36" t="n"/>
      <c r="I1091" s="36" t="n"/>
      <c r="J1091" s="37" t="n"/>
      <c r="K1091" s="32" t="n"/>
      <c r="L1091" s="36" t="n"/>
      <c r="M1091" s="41" t="n"/>
      <c r="N1091" s="41" t="n"/>
      <c r="O1091" s="36" t="n"/>
      <c r="P1091" s="33">
        <f>IF(C1091="","",Commercial_Id)</f>
        <v/>
      </c>
      <c r="Q1091" s="39">
        <f>IF(F1091="","",IFERROR(VALUE(MID(F1091,LEN(F1091)-3,3)),""))</f>
        <v/>
      </c>
      <c r="R1091" s="33">
        <f>IF(Q1091="","",P1091&amp;"|"&amp;Q1091)</f>
        <v/>
      </c>
      <c r="S1091" s="33">
        <f>IF(Q1091="","",IF(P1091="À RENSEIGNER","GIC",P1091)&amp;"-"&amp;TEXT(Q1091,"000"))</f>
        <v/>
      </c>
      <c r="T1091" s="33">
        <f>IF(R1091="","",IFERROR(INDEX(Cl_nom,MATCH(R1091,Cl_cle,0)),"(client introuvable)"))</f>
        <v/>
      </c>
      <c r="U1091" s="33">
        <f>IF(R1091="","",IFERROR(INDEX(Cl_quartier,MATCH(R1091,Cl_cle,0))&amp;"",""))</f>
        <v/>
      </c>
      <c r="V1091" s="34">
        <f>IF(C1091="","",YEAR(C1091-WEEKDAY(C1091,2)+4)&amp;"-S"&amp;TEXT(INT((C1091-DATE(YEAR(C1091-WEEKDAY(C1091,2)+4),1,3)+WEEKDAY(DATE(YEAR(C1091-WEEKDAY(C1091,2)+4),1,3),2)+5)/7),"00"))</f>
        <v/>
      </c>
    </row>
    <row r="1092" ht="18" customHeight="1">
      <c r="A1092" s="39" t="n">
        <v>1087</v>
      </c>
      <c r="B1092" s="33">
        <f>IF(C1092="","",IF(P1092="À RENSEIGNER","GIC",P1092)&amp;"-V"&amp;TEXT(A1092,"00000"))</f>
        <v/>
      </c>
      <c r="C1092" s="32" t="n"/>
      <c r="D1092" s="35" t="n"/>
      <c r="E1092" s="36" t="n"/>
      <c r="F1092" s="36" t="n"/>
      <c r="G1092" s="36" t="n"/>
      <c r="H1092" s="36" t="n"/>
      <c r="I1092" s="36" t="n"/>
      <c r="J1092" s="37" t="n"/>
      <c r="K1092" s="32" t="n"/>
      <c r="L1092" s="36" t="n"/>
      <c r="M1092" s="41" t="n"/>
      <c r="N1092" s="41" t="n"/>
      <c r="O1092" s="36" t="n"/>
      <c r="P1092" s="33">
        <f>IF(C1092="","",Commercial_Id)</f>
        <v/>
      </c>
      <c r="Q1092" s="39">
        <f>IF(F1092="","",IFERROR(VALUE(MID(F1092,LEN(F1092)-3,3)),""))</f>
        <v/>
      </c>
      <c r="R1092" s="33">
        <f>IF(Q1092="","",P1092&amp;"|"&amp;Q1092)</f>
        <v/>
      </c>
      <c r="S1092" s="33">
        <f>IF(Q1092="","",IF(P1092="À RENSEIGNER","GIC",P1092)&amp;"-"&amp;TEXT(Q1092,"000"))</f>
        <v/>
      </c>
      <c r="T1092" s="33">
        <f>IF(R1092="","",IFERROR(INDEX(Cl_nom,MATCH(R1092,Cl_cle,0)),"(client introuvable)"))</f>
        <v/>
      </c>
      <c r="U1092" s="33">
        <f>IF(R1092="","",IFERROR(INDEX(Cl_quartier,MATCH(R1092,Cl_cle,0))&amp;"",""))</f>
        <v/>
      </c>
      <c r="V1092" s="34">
        <f>IF(C1092="","",YEAR(C1092-WEEKDAY(C1092,2)+4)&amp;"-S"&amp;TEXT(INT((C1092-DATE(YEAR(C1092-WEEKDAY(C1092,2)+4),1,3)+WEEKDAY(DATE(YEAR(C1092-WEEKDAY(C1092,2)+4),1,3),2)+5)/7),"00"))</f>
        <v/>
      </c>
    </row>
    <row r="1093" ht="18" customHeight="1">
      <c r="A1093" s="39" t="n">
        <v>1088</v>
      </c>
      <c r="B1093" s="33">
        <f>IF(C1093="","",IF(P1093="À RENSEIGNER","GIC",P1093)&amp;"-V"&amp;TEXT(A1093,"00000"))</f>
        <v/>
      </c>
      <c r="C1093" s="32" t="n"/>
      <c r="D1093" s="35" t="n"/>
      <c r="E1093" s="36" t="n"/>
      <c r="F1093" s="36" t="n"/>
      <c r="G1093" s="36" t="n"/>
      <c r="H1093" s="36" t="n"/>
      <c r="I1093" s="36" t="n"/>
      <c r="J1093" s="37" t="n"/>
      <c r="K1093" s="32" t="n"/>
      <c r="L1093" s="36" t="n"/>
      <c r="M1093" s="41" t="n"/>
      <c r="N1093" s="41" t="n"/>
      <c r="O1093" s="36" t="n"/>
      <c r="P1093" s="33">
        <f>IF(C1093="","",Commercial_Id)</f>
        <v/>
      </c>
      <c r="Q1093" s="39">
        <f>IF(F1093="","",IFERROR(VALUE(MID(F1093,LEN(F1093)-3,3)),""))</f>
        <v/>
      </c>
      <c r="R1093" s="33">
        <f>IF(Q1093="","",P1093&amp;"|"&amp;Q1093)</f>
        <v/>
      </c>
      <c r="S1093" s="33">
        <f>IF(Q1093="","",IF(P1093="À RENSEIGNER","GIC",P1093)&amp;"-"&amp;TEXT(Q1093,"000"))</f>
        <v/>
      </c>
      <c r="T1093" s="33">
        <f>IF(R1093="","",IFERROR(INDEX(Cl_nom,MATCH(R1093,Cl_cle,0)),"(client introuvable)"))</f>
        <v/>
      </c>
      <c r="U1093" s="33">
        <f>IF(R1093="","",IFERROR(INDEX(Cl_quartier,MATCH(R1093,Cl_cle,0))&amp;"",""))</f>
        <v/>
      </c>
      <c r="V1093" s="34">
        <f>IF(C1093="","",YEAR(C1093-WEEKDAY(C1093,2)+4)&amp;"-S"&amp;TEXT(INT((C1093-DATE(YEAR(C1093-WEEKDAY(C1093,2)+4),1,3)+WEEKDAY(DATE(YEAR(C1093-WEEKDAY(C1093,2)+4),1,3),2)+5)/7),"00"))</f>
        <v/>
      </c>
    </row>
    <row r="1094" ht="18" customHeight="1">
      <c r="A1094" s="39" t="n">
        <v>1089</v>
      </c>
      <c r="B1094" s="33">
        <f>IF(C1094="","",IF(P1094="À RENSEIGNER","GIC",P1094)&amp;"-V"&amp;TEXT(A1094,"00000"))</f>
        <v/>
      </c>
      <c r="C1094" s="32" t="n"/>
      <c r="D1094" s="35" t="n"/>
      <c r="E1094" s="36" t="n"/>
      <c r="F1094" s="36" t="n"/>
      <c r="G1094" s="36" t="n"/>
      <c r="H1094" s="36" t="n"/>
      <c r="I1094" s="36" t="n"/>
      <c r="J1094" s="37" t="n"/>
      <c r="K1094" s="32" t="n"/>
      <c r="L1094" s="36" t="n"/>
      <c r="M1094" s="41" t="n"/>
      <c r="N1094" s="41" t="n"/>
      <c r="O1094" s="36" t="n"/>
      <c r="P1094" s="33">
        <f>IF(C1094="","",Commercial_Id)</f>
        <v/>
      </c>
      <c r="Q1094" s="39">
        <f>IF(F1094="","",IFERROR(VALUE(MID(F1094,LEN(F1094)-3,3)),""))</f>
        <v/>
      </c>
      <c r="R1094" s="33">
        <f>IF(Q1094="","",P1094&amp;"|"&amp;Q1094)</f>
        <v/>
      </c>
      <c r="S1094" s="33">
        <f>IF(Q1094="","",IF(P1094="À RENSEIGNER","GIC",P1094)&amp;"-"&amp;TEXT(Q1094,"000"))</f>
        <v/>
      </c>
      <c r="T1094" s="33">
        <f>IF(R1094="","",IFERROR(INDEX(Cl_nom,MATCH(R1094,Cl_cle,0)),"(client introuvable)"))</f>
        <v/>
      </c>
      <c r="U1094" s="33">
        <f>IF(R1094="","",IFERROR(INDEX(Cl_quartier,MATCH(R1094,Cl_cle,0))&amp;"",""))</f>
        <v/>
      </c>
      <c r="V1094" s="34">
        <f>IF(C1094="","",YEAR(C1094-WEEKDAY(C1094,2)+4)&amp;"-S"&amp;TEXT(INT((C1094-DATE(YEAR(C1094-WEEKDAY(C1094,2)+4),1,3)+WEEKDAY(DATE(YEAR(C1094-WEEKDAY(C1094,2)+4),1,3),2)+5)/7),"00"))</f>
        <v/>
      </c>
    </row>
    <row r="1095" ht="18" customHeight="1">
      <c r="A1095" s="39" t="n">
        <v>1090</v>
      </c>
      <c r="B1095" s="33">
        <f>IF(C1095="","",IF(P1095="À RENSEIGNER","GIC",P1095)&amp;"-V"&amp;TEXT(A1095,"00000"))</f>
        <v/>
      </c>
      <c r="C1095" s="32" t="n"/>
      <c r="D1095" s="35" t="n"/>
      <c r="E1095" s="36" t="n"/>
      <c r="F1095" s="36" t="n"/>
      <c r="G1095" s="36" t="n"/>
      <c r="H1095" s="36" t="n"/>
      <c r="I1095" s="36" t="n"/>
      <c r="J1095" s="37" t="n"/>
      <c r="K1095" s="32" t="n"/>
      <c r="L1095" s="36" t="n"/>
      <c r="M1095" s="41" t="n"/>
      <c r="N1095" s="41" t="n"/>
      <c r="O1095" s="36" t="n"/>
      <c r="P1095" s="33">
        <f>IF(C1095="","",Commercial_Id)</f>
        <v/>
      </c>
      <c r="Q1095" s="39">
        <f>IF(F1095="","",IFERROR(VALUE(MID(F1095,LEN(F1095)-3,3)),""))</f>
        <v/>
      </c>
      <c r="R1095" s="33">
        <f>IF(Q1095="","",P1095&amp;"|"&amp;Q1095)</f>
        <v/>
      </c>
      <c r="S1095" s="33">
        <f>IF(Q1095="","",IF(P1095="À RENSEIGNER","GIC",P1095)&amp;"-"&amp;TEXT(Q1095,"000"))</f>
        <v/>
      </c>
      <c r="T1095" s="33">
        <f>IF(R1095="","",IFERROR(INDEX(Cl_nom,MATCH(R1095,Cl_cle,0)),"(client introuvable)"))</f>
        <v/>
      </c>
      <c r="U1095" s="33">
        <f>IF(R1095="","",IFERROR(INDEX(Cl_quartier,MATCH(R1095,Cl_cle,0))&amp;"",""))</f>
        <v/>
      </c>
      <c r="V1095" s="34">
        <f>IF(C1095="","",YEAR(C1095-WEEKDAY(C1095,2)+4)&amp;"-S"&amp;TEXT(INT((C1095-DATE(YEAR(C1095-WEEKDAY(C1095,2)+4),1,3)+WEEKDAY(DATE(YEAR(C1095-WEEKDAY(C1095,2)+4),1,3),2)+5)/7),"00"))</f>
        <v/>
      </c>
    </row>
    <row r="1096" ht="18" customHeight="1">
      <c r="A1096" s="39" t="n">
        <v>1091</v>
      </c>
      <c r="B1096" s="33">
        <f>IF(C1096="","",IF(P1096="À RENSEIGNER","GIC",P1096)&amp;"-V"&amp;TEXT(A1096,"00000"))</f>
        <v/>
      </c>
      <c r="C1096" s="32" t="n"/>
      <c r="D1096" s="35" t="n"/>
      <c r="E1096" s="36" t="n"/>
      <c r="F1096" s="36" t="n"/>
      <c r="G1096" s="36" t="n"/>
      <c r="H1096" s="36" t="n"/>
      <c r="I1096" s="36" t="n"/>
      <c r="J1096" s="37" t="n"/>
      <c r="K1096" s="32" t="n"/>
      <c r="L1096" s="36" t="n"/>
      <c r="M1096" s="41" t="n"/>
      <c r="N1096" s="41" t="n"/>
      <c r="O1096" s="36" t="n"/>
      <c r="P1096" s="33">
        <f>IF(C1096="","",Commercial_Id)</f>
        <v/>
      </c>
      <c r="Q1096" s="39">
        <f>IF(F1096="","",IFERROR(VALUE(MID(F1096,LEN(F1096)-3,3)),""))</f>
        <v/>
      </c>
      <c r="R1096" s="33">
        <f>IF(Q1096="","",P1096&amp;"|"&amp;Q1096)</f>
        <v/>
      </c>
      <c r="S1096" s="33">
        <f>IF(Q1096="","",IF(P1096="À RENSEIGNER","GIC",P1096)&amp;"-"&amp;TEXT(Q1096,"000"))</f>
        <v/>
      </c>
      <c r="T1096" s="33">
        <f>IF(R1096="","",IFERROR(INDEX(Cl_nom,MATCH(R1096,Cl_cle,0)),"(client introuvable)"))</f>
        <v/>
      </c>
      <c r="U1096" s="33">
        <f>IF(R1096="","",IFERROR(INDEX(Cl_quartier,MATCH(R1096,Cl_cle,0))&amp;"",""))</f>
        <v/>
      </c>
      <c r="V1096" s="34">
        <f>IF(C1096="","",YEAR(C1096-WEEKDAY(C1096,2)+4)&amp;"-S"&amp;TEXT(INT((C1096-DATE(YEAR(C1096-WEEKDAY(C1096,2)+4),1,3)+WEEKDAY(DATE(YEAR(C1096-WEEKDAY(C1096,2)+4),1,3),2)+5)/7),"00"))</f>
        <v/>
      </c>
    </row>
    <row r="1097" ht="18" customHeight="1">
      <c r="A1097" s="39" t="n">
        <v>1092</v>
      </c>
      <c r="B1097" s="33">
        <f>IF(C1097="","",IF(P1097="À RENSEIGNER","GIC",P1097)&amp;"-V"&amp;TEXT(A1097,"00000"))</f>
        <v/>
      </c>
      <c r="C1097" s="32" t="n"/>
      <c r="D1097" s="35" t="n"/>
      <c r="E1097" s="36" t="n"/>
      <c r="F1097" s="36" t="n"/>
      <c r="G1097" s="36" t="n"/>
      <c r="H1097" s="36" t="n"/>
      <c r="I1097" s="36" t="n"/>
      <c r="J1097" s="37" t="n"/>
      <c r="K1097" s="32" t="n"/>
      <c r="L1097" s="36" t="n"/>
      <c r="M1097" s="41" t="n"/>
      <c r="N1097" s="41" t="n"/>
      <c r="O1097" s="36" t="n"/>
      <c r="P1097" s="33">
        <f>IF(C1097="","",Commercial_Id)</f>
        <v/>
      </c>
      <c r="Q1097" s="39">
        <f>IF(F1097="","",IFERROR(VALUE(MID(F1097,LEN(F1097)-3,3)),""))</f>
        <v/>
      </c>
      <c r="R1097" s="33">
        <f>IF(Q1097="","",P1097&amp;"|"&amp;Q1097)</f>
        <v/>
      </c>
      <c r="S1097" s="33">
        <f>IF(Q1097="","",IF(P1097="À RENSEIGNER","GIC",P1097)&amp;"-"&amp;TEXT(Q1097,"000"))</f>
        <v/>
      </c>
      <c r="T1097" s="33">
        <f>IF(R1097="","",IFERROR(INDEX(Cl_nom,MATCH(R1097,Cl_cle,0)),"(client introuvable)"))</f>
        <v/>
      </c>
      <c r="U1097" s="33">
        <f>IF(R1097="","",IFERROR(INDEX(Cl_quartier,MATCH(R1097,Cl_cle,0))&amp;"",""))</f>
        <v/>
      </c>
      <c r="V1097" s="34">
        <f>IF(C1097="","",YEAR(C1097-WEEKDAY(C1097,2)+4)&amp;"-S"&amp;TEXT(INT((C1097-DATE(YEAR(C1097-WEEKDAY(C1097,2)+4),1,3)+WEEKDAY(DATE(YEAR(C1097-WEEKDAY(C1097,2)+4),1,3),2)+5)/7),"00"))</f>
        <v/>
      </c>
    </row>
    <row r="1098" ht="18" customHeight="1">
      <c r="A1098" s="39" t="n">
        <v>1093</v>
      </c>
      <c r="B1098" s="33">
        <f>IF(C1098="","",IF(P1098="À RENSEIGNER","GIC",P1098)&amp;"-V"&amp;TEXT(A1098,"00000"))</f>
        <v/>
      </c>
      <c r="C1098" s="32" t="n"/>
      <c r="D1098" s="35" t="n"/>
      <c r="E1098" s="36" t="n"/>
      <c r="F1098" s="36" t="n"/>
      <c r="G1098" s="36" t="n"/>
      <c r="H1098" s="36" t="n"/>
      <c r="I1098" s="36" t="n"/>
      <c r="J1098" s="37" t="n"/>
      <c r="K1098" s="32" t="n"/>
      <c r="L1098" s="36" t="n"/>
      <c r="M1098" s="41" t="n"/>
      <c r="N1098" s="41" t="n"/>
      <c r="O1098" s="36" t="n"/>
      <c r="P1098" s="33">
        <f>IF(C1098="","",Commercial_Id)</f>
        <v/>
      </c>
      <c r="Q1098" s="39">
        <f>IF(F1098="","",IFERROR(VALUE(MID(F1098,LEN(F1098)-3,3)),""))</f>
        <v/>
      </c>
      <c r="R1098" s="33">
        <f>IF(Q1098="","",P1098&amp;"|"&amp;Q1098)</f>
        <v/>
      </c>
      <c r="S1098" s="33">
        <f>IF(Q1098="","",IF(P1098="À RENSEIGNER","GIC",P1098)&amp;"-"&amp;TEXT(Q1098,"000"))</f>
        <v/>
      </c>
      <c r="T1098" s="33">
        <f>IF(R1098="","",IFERROR(INDEX(Cl_nom,MATCH(R1098,Cl_cle,0)),"(client introuvable)"))</f>
        <v/>
      </c>
      <c r="U1098" s="33">
        <f>IF(R1098="","",IFERROR(INDEX(Cl_quartier,MATCH(R1098,Cl_cle,0))&amp;"",""))</f>
        <v/>
      </c>
      <c r="V1098" s="34">
        <f>IF(C1098="","",YEAR(C1098-WEEKDAY(C1098,2)+4)&amp;"-S"&amp;TEXT(INT((C1098-DATE(YEAR(C1098-WEEKDAY(C1098,2)+4),1,3)+WEEKDAY(DATE(YEAR(C1098-WEEKDAY(C1098,2)+4),1,3),2)+5)/7),"00"))</f>
        <v/>
      </c>
    </row>
    <row r="1099" ht="18" customHeight="1">
      <c r="A1099" s="39" t="n">
        <v>1094</v>
      </c>
      <c r="B1099" s="33">
        <f>IF(C1099="","",IF(P1099="À RENSEIGNER","GIC",P1099)&amp;"-V"&amp;TEXT(A1099,"00000"))</f>
        <v/>
      </c>
      <c r="C1099" s="32" t="n"/>
      <c r="D1099" s="35" t="n"/>
      <c r="E1099" s="36" t="n"/>
      <c r="F1099" s="36" t="n"/>
      <c r="G1099" s="36" t="n"/>
      <c r="H1099" s="36" t="n"/>
      <c r="I1099" s="36" t="n"/>
      <c r="J1099" s="37" t="n"/>
      <c r="K1099" s="32" t="n"/>
      <c r="L1099" s="36" t="n"/>
      <c r="M1099" s="41" t="n"/>
      <c r="N1099" s="41" t="n"/>
      <c r="O1099" s="36" t="n"/>
      <c r="P1099" s="33">
        <f>IF(C1099="","",Commercial_Id)</f>
        <v/>
      </c>
      <c r="Q1099" s="39">
        <f>IF(F1099="","",IFERROR(VALUE(MID(F1099,LEN(F1099)-3,3)),""))</f>
        <v/>
      </c>
      <c r="R1099" s="33">
        <f>IF(Q1099="","",P1099&amp;"|"&amp;Q1099)</f>
        <v/>
      </c>
      <c r="S1099" s="33">
        <f>IF(Q1099="","",IF(P1099="À RENSEIGNER","GIC",P1099)&amp;"-"&amp;TEXT(Q1099,"000"))</f>
        <v/>
      </c>
      <c r="T1099" s="33">
        <f>IF(R1099="","",IFERROR(INDEX(Cl_nom,MATCH(R1099,Cl_cle,0)),"(client introuvable)"))</f>
        <v/>
      </c>
      <c r="U1099" s="33">
        <f>IF(R1099="","",IFERROR(INDEX(Cl_quartier,MATCH(R1099,Cl_cle,0))&amp;"",""))</f>
        <v/>
      </c>
      <c r="V1099" s="34">
        <f>IF(C1099="","",YEAR(C1099-WEEKDAY(C1099,2)+4)&amp;"-S"&amp;TEXT(INT((C1099-DATE(YEAR(C1099-WEEKDAY(C1099,2)+4),1,3)+WEEKDAY(DATE(YEAR(C1099-WEEKDAY(C1099,2)+4),1,3),2)+5)/7),"00"))</f>
        <v/>
      </c>
    </row>
    <row r="1100" ht="18" customHeight="1">
      <c r="A1100" s="39" t="n">
        <v>1095</v>
      </c>
      <c r="B1100" s="33">
        <f>IF(C1100="","",IF(P1100="À RENSEIGNER","GIC",P1100)&amp;"-V"&amp;TEXT(A1100,"00000"))</f>
        <v/>
      </c>
      <c r="C1100" s="32" t="n"/>
      <c r="D1100" s="35" t="n"/>
      <c r="E1100" s="36" t="n"/>
      <c r="F1100" s="36" t="n"/>
      <c r="G1100" s="36" t="n"/>
      <c r="H1100" s="36" t="n"/>
      <c r="I1100" s="36" t="n"/>
      <c r="J1100" s="37" t="n"/>
      <c r="K1100" s="32" t="n"/>
      <c r="L1100" s="36" t="n"/>
      <c r="M1100" s="41" t="n"/>
      <c r="N1100" s="41" t="n"/>
      <c r="O1100" s="36" t="n"/>
      <c r="P1100" s="33">
        <f>IF(C1100="","",Commercial_Id)</f>
        <v/>
      </c>
      <c r="Q1100" s="39">
        <f>IF(F1100="","",IFERROR(VALUE(MID(F1100,LEN(F1100)-3,3)),""))</f>
        <v/>
      </c>
      <c r="R1100" s="33">
        <f>IF(Q1100="","",P1100&amp;"|"&amp;Q1100)</f>
        <v/>
      </c>
      <c r="S1100" s="33">
        <f>IF(Q1100="","",IF(P1100="À RENSEIGNER","GIC",P1100)&amp;"-"&amp;TEXT(Q1100,"000"))</f>
        <v/>
      </c>
      <c r="T1100" s="33">
        <f>IF(R1100="","",IFERROR(INDEX(Cl_nom,MATCH(R1100,Cl_cle,0)),"(client introuvable)"))</f>
        <v/>
      </c>
      <c r="U1100" s="33">
        <f>IF(R1100="","",IFERROR(INDEX(Cl_quartier,MATCH(R1100,Cl_cle,0))&amp;"",""))</f>
        <v/>
      </c>
      <c r="V1100" s="34">
        <f>IF(C1100="","",YEAR(C1100-WEEKDAY(C1100,2)+4)&amp;"-S"&amp;TEXT(INT((C1100-DATE(YEAR(C1100-WEEKDAY(C1100,2)+4),1,3)+WEEKDAY(DATE(YEAR(C1100-WEEKDAY(C1100,2)+4),1,3),2)+5)/7),"00"))</f>
        <v/>
      </c>
    </row>
    <row r="1101" ht="18" customHeight="1">
      <c r="A1101" s="39" t="n">
        <v>1096</v>
      </c>
      <c r="B1101" s="33">
        <f>IF(C1101="","",IF(P1101="À RENSEIGNER","GIC",P1101)&amp;"-V"&amp;TEXT(A1101,"00000"))</f>
        <v/>
      </c>
      <c r="C1101" s="32" t="n"/>
      <c r="D1101" s="35" t="n"/>
      <c r="E1101" s="36" t="n"/>
      <c r="F1101" s="36" t="n"/>
      <c r="G1101" s="36" t="n"/>
      <c r="H1101" s="36" t="n"/>
      <c r="I1101" s="36" t="n"/>
      <c r="J1101" s="37" t="n"/>
      <c r="K1101" s="32" t="n"/>
      <c r="L1101" s="36" t="n"/>
      <c r="M1101" s="41" t="n"/>
      <c r="N1101" s="41" t="n"/>
      <c r="O1101" s="36" t="n"/>
      <c r="P1101" s="33">
        <f>IF(C1101="","",Commercial_Id)</f>
        <v/>
      </c>
      <c r="Q1101" s="39">
        <f>IF(F1101="","",IFERROR(VALUE(MID(F1101,LEN(F1101)-3,3)),""))</f>
        <v/>
      </c>
      <c r="R1101" s="33">
        <f>IF(Q1101="","",P1101&amp;"|"&amp;Q1101)</f>
        <v/>
      </c>
      <c r="S1101" s="33">
        <f>IF(Q1101="","",IF(P1101="À RENSEIGNER","GIC",P1101)&amp;"-"&amp;TEXT(Q1101,"000"))</f>
        <v/>
      </c>
      <c r="T1101" s="33">
        <f>IF(R1101="","",IFERROR(INDEX(Cl_nom,MATCH(R1101,Cl_cle,0)),"(client introuvable)"))</f>
        <v/>
      </c>
      <c r="U1101" s="33">
        <f>IF(R1101="","",IFERROR(INDEX(Cl_quartier,MATCH(R1101,Cl_cle,0))&amp;"",""))</f>
        <v/>
      </c>
      <c r="V1101" s="34">
        <f>IF(C1101="","",YEAR(C1101-WEEKDAY(C1101,2)+4)&amp;"-S"&amp;TEXT(INT((C1101-DATE(YEAR(C1101-WEEKDAY(C1101,2)+4),1,3)+WEEKDAY(DATE(YEAR(C1101-WEEKDAY(C1101,2)+4),1,3),2)+5)/7),"00"))</f>
        <v/>
      </c>
    </row>
    <row r="1102" ht="18" customHeight="1">
      <c r="A1102" s="39" t="n">
        <v>1097</v>
      </c>
      <c r="B1102" s="33">
        <f>IF(C1102="","",IF(P1102="À RENSEIGNER","GIC",P1102)&amp;"-V"&amp;TEXT(A1102,"00000"))</f>
        <v/>
      </c>
      <c r="C1102" s="32" t="n"/>
      <c r="D1102" s="35" t="n"/>
      <c r="E1102" s="36" t="n"/>
      <c r="F1102" s="36" t="n"/>
      <c r="G1102" s="36" t="n"/>
      <c r="H1102" s="36" t="n"/>
      <c r="I1102" s="36" t="n"/>
      <c r="J1102" s="37" t="n"/>
      <c r="K1102" s="32" t="n"/>
      <c r="L1102" s="36" t="n"/>
      <c r="M1102" s="41" t="n"/>
      <c r="N1102" s="41" t="n"/>
      <c r="O1102" s="36" t="n"/>
      <c r="P1102" s="33">
        <f>IF(C1102="","",Commercial_Id)</f>
        <v/>
      </c>
      <c r="Q1102" s="39">
        <f>IF(F1102="","",IFERROR(VALUE(MID(F1102,LEN(F1102)-3,3)),""))</f>
        <v/>
      </c>
      <c r="R1102" s="33">
        <f>IF(Q1102="","",P1102&amp;"|"&amp;Q1102)</f>
        <v/>
      </c>
      <c r="S1102" s="33">
        <f>IF(Q1102="","",IF(P1102="À RENSEIGNER","GIC",P1102)&amp;"-"&amp;TEXT(Q1102,"000"))</f>
        <v/>
      </c>
      <c r="T1102" s="33">
        <f>IF(R1102="","",IFERROR(INDEX(Cl_nom,MATCH(R1102,Cl_cle,0)),"(client introuvable)"))</f>
        <v/>
      </c>
      <c r="U1102" s="33">
        <f>IF(R1102="","",IFERROR(INDEX(Cl_quartier,MATCH(R1102,Cl_cle,0))&amp;"",""))</f>
        <v/>
      </c>
      <c r="V1102" s="34">
        <f>IF(C1102="","",YEAR(C1102-WEEKDAY(C1102,2)+4)&amp;"-S"&amp;TEXT(INT((C1102-DATE(YEAR(C1102-WEEKDAY(C1102,2)+4),1,3)+WEEKDAY(DATE(YEAR(C1102-WEEKDAY(C1102,2)+4),1,3),2)+5)/7),"00"))</f>
        <v/>
      </c>
    </row>
    <row r="1103" ht="18" customHeight="1">
      <c r="A1103" s="39" t="n">
        <v>1098</v>
      </c>
      <c r="B1103" s="33">
        <f>IF(C1103="","",IF(P1103="À RENSEIGNER","GIC",P1103)&amp;"-V"&amp;TEXT(A1103,"00000"))</f>
        <v/>
      </c>
      <c r="C1103" s="32" t="n"/>
      <c r="D1103" s="35" t="n"/>
      <c r="E1103" s="36" t="n"/>
      <c r="F1103" s="36" t="n"/>
      <c r="G1103" s="36" t="n"/>
      <c r="H1103" s="36" t="n"/>
      <c r="I1103" s="36" t="n"/>
      <c r="J1103" s="37" t="n"/>
      <c r="K1103" s="32" t="n"/>
      <c r="L1103" s="36" t="n"/>
      <c r="M1103" s="41" t="n"/>
      <c r="N1103" s="41" t="n"/>
      <c r="O1103" s="36" t="n"/>
      <c r="P1103" s="33">
        <f>IF(C1103="","",Commercial_Id)</f>
        <v/>
      </c>
      <c r="Q1103" s="39">
        <f>IF(F1103="","",IFERROR(VALUE(MID(F1103,LEN(F1103)-3,3)),""))</f>
        <v/>
      </c>
      <c r="R1103" s="33">
        <f>IF(Q1103="","",P1103&amp;"|"&amp;Q1103)</f>
        <v/>
      </c>
      <c r="S1103" s="33">
        <f>IF(Q1103="","",IF(P1103="À RENSEIGNER","GIC",P1103)&amp;"-"&amp;TEXT(Q1103,"000"))</f>
        <v/>
      </c>
      <c r="T1103" s="33">
        <f>IF(R1103="","",IFERROR(INDEX(Cl_nom,MATCH(R1103,Cl_cle,0)),"(client introuvable)"))</f>
        <v/>
      </c>
      <c r="U1103" s="33">
        <f>IF(R1103="","",IFERROR(INDEX(Cl_quartier,MATCH(R1103,Cl_cle,0))&amp;"",""))</f>
        <v/>
      </c>
      <c r="V1103" s="34">
        <f>IF(C1103="","",YEAR(C1103-WEEKDAY(C1103,2)+4)&amp;"-S"&amp;TEXT(INT((C1103-DATE(YEAR(C1103-WEEKDAY(C1103,2)+4),1,3)+WEEKDAY(DATE(YEAR(C1103-WEEKDAY(C1103,2)+4),1,3),2)+5)/7),"00"))</f>
        <v/>
      </c>
    </row>
    <row r="1104" ht="18" customHeight="1">
      <c r="A1104" s="39" t="n">
        <v>1099</v>
      </c>
      <c r="B1104" s="33">
        <f>IF(C1104="","",IF(P1104="À RENSEIGNER","GIC",P1104)&amp;"-V"&amp;TEXT(A1104,"00000"))</f>
        <v/>
      </c>
      <c r="C1104" s="32" t="n"/>
      <c r="D1104" s="35" t="n"/>
      <c r="E1104" s="36" t="n"/>
      <c r="F1104" s="36" t="n"/>
      <c r="G1104" s="36" t="n"/>
      <c r="H1104" s="36" t="n"/>
      <c r="I1104" s="36" t="n"/>
      <c r="J1104" s="37" t="n"/>
      <c r="K1104" s="32" t="n"/>
      <c r="L1104" s="36" t="n"/>
      <c r="M1104" s="41" t="n"/>
      <c r="N1104" s="41" t="n"/>
      <c r="O1104" s="36" t="n"/>
      <c r="P1104" s="33">
        <f>IF(C1104="","",Commercial_Id)</f>
        <v/>
      </c>
      <c r="Q1104" s="39">
        <f>IF(F1104="","",IFERROR(VALUE(MID(F1104,LEN(F1104)-3,3)),""))</f>
        <v/>
      </c>
      <c r="R1104" s="33">
        <f>IF(Q1104="","",P1104&amp;"|"&amp;Q1104)</f>
        <v/>
      </c>
      <c r="S1104" s="33">
        <f>IF(Q1104="","",IF(P1104="À RENSEIGNER","GIC",P1104)&amp;"-"&amp;TEXT(Q1104,"000"))</f>
        <v/>
      </c>
      <c r="T1104" s="33">
        <f>IF(R1104="","",IFERROR(INDEX(Cl_nom,MATCH(R1104,Cl_cle,0)),"(client introuvable)"))</f>
        <v/>
      </c>
      <c r="U1104" s="33">
        <f>IF(R1104="","",IFERROR(INDEX(Cl_quartier,MATCH(R1104,Cl_cle,0))&amp;"",""))</f>
        <v/>
      </c>
      <c r="V1104" s="34">
        <f>IF(C1104="","",YEAR(C1104-WEEKDAY(C1104,2)+4)&amp;"-S"&amp;TEXT(INT((C1104-DATE(YEAR(C1104-WEEKDAY(C1104,2)+4),1,3)+WEEKDAY(DATE(YEAR(C1104-WEEKDAY(C1104,2)+4),1,3),2)+5)/7),"00"))</f>
        <v/>
      </c>
    </row>
    <row r="1105" ht="18" customHeight="1">
      <c r="A1105" s="39" t="n">
        <v>1100</v>
      </c>
      <c r="B1105" s="33">
        <f>IF(C1105="","",IF(P1105="À RENSEIGNER","GIC",P1105)&amp;"-V"&amp;TEXT(A1105,"00000"))</f>
        <v/>
      </c>
      <c r="C1105" s="32" t="n"/>
      <c r="D1105" s="35" t="n"/>
      <c r="E1105" s="36" t="n"/>
      <c r="F1105" s="36" t="n"/>
      <c r="G1105" s="36" t="n"/>
      <c r="H1105" s="36" t="n"/>
      <c r="I1105" s="36" t="n"/>
      <c r="J1105" s="37" t="n"/>
      <c r="K1105" s="32" t="n"/>
      <c r="L1105" s="36" t="n"/>
      <c r="M1105" s="41" t="n"/>
      <c r="N1105" s="41" t="n"/>
      <c r="O1105" s="36" t="n"/>
      <c r="P1105" s="33">
        <f>IF(C1105="","",Commercial_Id)</f>
        <v/>
      </c>
      <c r="Q1105" s="39">
        <f>IF(F1105="","",IFERROR(VALUE(MID(F1105,LEN(F1105)-3,3)),""))</f>
        <v/>
      </c>
      <c r="R1105" s="33">
        <f>IF(Q1105="","",P1105&amp;"|"&amp;Q1105)</f>
        <v/>
      </c>
      <c r="S1105" s="33">
        <f>IF(Q1105="","",IF(P1105="À RENSEIGNER","GIC",P1105)&amp;"-"&amp;TEXT(Q1105,"000"))</f>
        <v/>
      </c>
      <c r="T1105" s="33">
        <f>IF(R1105="","",IFERROR(INDEX(Cl_nom,MATCH(R1105,Cl_cle,0)),"(client introuvable)"))</f>
        <v/>
      </c>
      <c r="U1105" s="33">
        <f>IF(R1105="","",IFERROR(INDEX(Cl_quartier,MATCH(R1105,Cl_cle,0))&amp;"",""))</f>
        <v/>
      </c>
      <c r="V1105" s="34">
        <f>IF(C1105="","",YEAR(C1105-WEEKDAY(C1105,2)+4)&amp;"-S"&amp;TEXT(INT((C1105-DATE(YEAR(C1105-WEEKDAY(C1105,2)+4),1,3)+WEEKDAY(DATE(YEAR(C1105-WEEKDAY(C1105,2)+4),1,3),2)+5)/7),"00"))</f>
        <v/>
      </c>
    </row>
    <row r="1106" ht="18" customHeight="1">
      <c r="A1106" s="39" t="n">
        <v>1101</v>
      </c>
      <c r="B1106" s="33">
        <f>IF(C1106="","",IF(P1106="À RENSEIGNER","GIC",P1106)&amp;"-V"&amp;TEXT(A1106,"00000"))</f>
        <v/>
      </c>
      <c r="C1106" s="32" t="n"/>
      <c r="D1106" s="35" t="n"/>
      <c r="E1106" s="36" t="n"/>
      <c r="F1106" s="36" t="n"/>
      <c r="G1106" s="36" t="n"/>
      <c r="H1106" s="36" t="n"/>
      <c r="I1106" s="36" t="n"/>
      <c r="J1106" s="37" t="n"/>
      <c r="K1106" s="32" t="n"/>
      <c r="L1106" s="36" t="n"/>
      <c r="M1106" s="41" t="n"/>
      <c r="N1106" s="41" t="n"/>
      <c r="O1106" s="36" t="n"/>
      <c r="P1106" s="33">
        <f>IF(C1106="","",Commercial_Id)</f>
        <v/>
      </c>
      <c r="Q1106" s="39">
        <f>IF(F1106="","",IFERROR(VALUE(MID(F1106,LEN(F1106)-3,3)),""))</f>
        <v/>
      </c>
      <c r="R1106" s="33">
        <f>IF(Q1106="","",P1106&amp;"|"&amp;Q1106)</f>
        <v/>
      </c>
      <c r="S1106" s="33">
        <f>IF(Q1106="","",IF(P1106="À RENSEIGNER","GIC",P1106)&amp;"-"&amp;TEXT(Q1106,"000"))</f>
        <v/>
      </c>
      <c r="T1106" s="33">
        <f>IF(R1106="","",IFERROR(INDEX(Cl_nom,MATCH(R1106,Cl_cle,0)),"(client introuvable)"))</f>
        <v/>
      </c>
      <c r="U1106" s="33">
        <f>IF(R1106="","",IFERROR(INDEX(Cl_quartier,MATCH(R1106,Cl_cle,0))&amp;"",""))</f>
        <v/>
      </c>
      <c r="V1106" s="34">
        <f>IF(C1106="","",YEAR(C1106-WEEKDAY(C1106,2)+4)&amp;"-S"&amp;TEXT(INT((C1106-DATE(YEAR(C1106-WEEKDAY(C1106,2)+4),1,3)+WEEKDAY(DATE(YEAR(C1106-WEEKDAY(C1106,2)+4),1,3),2)+5)/7),"00"))</f>
        <v/>
      </c>
    </row>
    <row r="1107" ht="18" customHeight="1">
      <c r="A1107" s="39" t="n">
        <v>1102</v>
      </c>
      <c r="B1107" s="33">
        <f>IF(C1107="","",IF(P1107="À RENSEIGNER","GIC",P1107)&amp;"-V"&amp;TEXT(A1107,"00000"))</f>
        <v/>
      </c>
      <c r="C1107" s="32" t="n"/>
      <c r="D1107" s="35" t="n"/>
      <c r="E1107" s="36" t="n"/>
      <c r="F1107" s="36" t="n"/>
      <c r="G1107" s="36" t="n"/>
      <c r="H1107" s="36" t="n"/>
      <c r="I1107" s="36" t="n"/>
      <c r="J1107" s="37" t="n"/>
      <c r="K1107" s="32" t="n"/>
      <c r="L1107" s="36" t="n"/>
      <c r="M1107" s="41" t="n"/>
      <c r="N1107" s="41" t="n"/>
      <c r="O1107" s="36" t="n"/>
      <c r="P1107" s="33">
        <f>IF(C1107="","",Commercial_Id)</f>
        <v/>
      </c>
      <c r="Q1107" s="39">
        <f>IF(F1107="","",IFERROR(VALUE(MID(F1107,LEN(F1107)-3,3)),""))</f>
        <v/>
      </c>
      <c r="R1107" s="33">
        <f>IF(Q1107="","",P1107&amp;"|"&amp;Q1107)</f>
        <v/>
      </c>
      <c r="S1107" s="33">
        <f>IF(Q1107="","",IF(P1107="À RENSEIGNER","GIC",P1107)&amp;"-"&amp;TEXT(Q1107,"000"))</f>
        <v/>
      </c>
      <c r="T1107" s="33">
        <f>IF(R1107="","",IFERROR(INDEX(Cl_nom,MATCH(R1107,Cl_cle,0)),"(client introuvable)"))</f>
        <v/>
      </c>
      <c r="U1107" s="33">
        <f>IF(R1107="","",IFERROR(INDEX(Cl_quartier,MATCH(R1107,Cl_cle,0))&amp;"",""))</f>
        <v/>
      </c>
      <c r="V1107" s="34">
        <f>IF(C1107="","",YEAR(C1107-WEEKDAY(C1107,2)+4)&amp;"-S"&amp;TEXT(INT((C1107-DATE(YEAR(C1107-WEEKDAY(C1107,2)+4),1,3)+WEEKDAY(DATE(YEAR(C1107-WEEKDAY(C1107,2)+4),1,3),2)+5)/7),"00"))</f>
        <v/>
      </c>
    </row>
    <row r="1108" ht="18" customHeight="1">
      <c r="A1108" s="39" t="n">
        <v>1103</v>
      </c>
      <c r="B1108" s="33">
        <f>IF(C1108="","",IF(P1108="À RENSEIGNER","GIC",P1108)&amp;"-V"&amp;TEXT(A1108,"00000"))</f>
        <v/>
      </c>
      <c r="C1108" s="32" t="n"/>
      <c r="D1108" s="35" t="n"/>
      <c r="E1108" s="36" t="n"/>
      <c r="F1108" s="36" t="n"/>
      <c r="G1108" s="36" t="n"/>
      <c r="H1108" s="36" t="n"/>
      <c r="I1108" s="36" t="n"/>
      <c r="J1108" s="37" t="n"/>
      <c r="K1108" s="32" t="n"/>
      <c r="L1108" s="36" t="n"/>
      <c r="M1108" s="41" t="n"/>
      <c r="N1108" s="41" t="n"/>
      <c r="O1108" s="36" t="n"/>
      <c r="P1108" s="33">
        <f>IF(C1108="","",Commercial_Id)</f>
        <v/>
      </c>
      <c r="Q1108" s="39">
        <f>IF(F1108="","",IFERROR(VALUE(MID(F1108,LEN(F1108)-3,3)),""))</f>
        <v/>
      </c>
      <c r="R1108" s="33">
        <f>IF(Q1108="","",P1108&amp;"|"&amp;Q1108)</f>
        <v/>
      </c>
      <c r="S1108" s="33">
        <f>IF(Q1108="","",IF(P1108="À RENSEIGNER","GIC",P1108)&amp;"-"&amp;TEXT(Q1108,"000"))</f>
        <v/>
      </c>
      <c r="T1108" s="33">
        <f>IF(R1108="","",IFERROR(INDEX(Cl_nom,MATCH(R1108,Cl_cle,0)),"(client introuvable)"))</f>
        <v/>
      </c>
      <c r="U1108" s="33">
        <f>IF(R1108="","",IFERROR(INDEX(Cl_quartier,MATCH(R1108,Cl_cle,0))&amp;"",""))</f>
        <v/>
      </c>
      <c r="V1108" s="34">
        <f>IF(C1108="","",YEAR(C1108-WEEKDAY(C1108,2)+4)&amp;"-S"&amp;TEXT(INT((C1108-DATE(YEAR(C1108-WEEKDAY(C1108,2)+4),1,3)+WEEKDAY(DATE(YEAR(C1108-WEEKDAY(C1108,2)+4),1,3),2)+5)/7),"00"))</f>
        <v/>
      </c>
    </row>
    <row r="1109" ht="18" customHeight="1">
      <c r="A1109" s="39" t="n">
        <v>1104</v>
      </c>
      <c r="B1109" s="33">
        <f>IF(C1109="","",IF(P1109="À RENSEIGNER","GIC",P1109)&amp;"-V"&amp;TEXT(A1109,"00000"))</f>
        <v/>
      </c>
      <c r="C1109" s="32" t="n"/>
      <c r="D1109" s="35" t="n"/>
      <c r="E1109" s="36" t="n"/>
      <c r="F1109" s="36" t="n"/>
      <c r="G1109" s="36" t="n"/>
      <c r="H1109" s="36" t="n"/>
      <c r="I1109" s="36" t="n"/>
      <c r="J1109" s="37" t="n"/>
      <c r="K1109" s="32" t="n"/>
      <c r="L1109" s="36" t="n"/>
      <c r="M1109" s="41" t="n"/>
      <c r="N1109" s="41" t="n"/>
      <c r="O1109" s="36" t="n"/>
      <c r="P1109" s="33">
        <f>IF(C1109="","",Commercial_Id)</f>
        <v/>
      </c>
      <c r="Q1109" s="39">
        <f>IF(F1109="","",IFERROR(VALUE(MID(F1109,LEN(F1109)-3,3)),""))</f>
        <v/>
      </c>
      <c r="R1109" s="33">
        <f>IF(Q1109="","",P1109&amp;"|"&amp;Q1109)</f>
        <v/>
      </c>
      <c r="S1109" s="33">
        <f>IF(Q1109="","",IF(P1109="À RENSEIGNER","GIC",P1109)&amp;"-"&amp;TEXT(Q1109,"000"))</f>
        <v/>
      </c>
      <c r="T1109" s="33">
        <f>IF(R1109="","",IFERROR(INDEX(Cl_nom,MATCH(R1109,Cl_cle,0)),"(client introuvable)"))</f>
        <v/>
      </c>
      <c r="U1109" s="33">
        <f>IF(R1109="","",IFERROR(INDEX(Cl_quartier,MATCH(R1109,Cl_cle,0))&amp;"",""))</f>
        <v/>
      </c>
      <c r="V1109" s="34">
        <f>IF(C1109="","",YEAR(C1109-WEEKDAY(C1109,2)+4)&amp;"-S"&amp;TEXT(INT((C1109-DATE(YEAR(C1109-WEEKDAY(C1109,2)+4),1,3)+WEEKDAY(DATE(YEAR(C1109-WEEKDAY(C1109,2)+4),1,3),2)+5)/7),"00"))</f>
        <v/>
      </c>
    </row>
    <row r="1110" ht="18" customHeight="1">
      <c r="A1110" s="39" t="n">
        <v>1105</v>
      </c>
      <c r="B1110" s="33">
        <f>IF(C1110="","",IF(P1110="À RENSEIGNER","GIC",P1110)&amp;"-V"&amp;TEXT(A1110,"00000"))</f>
        <v/>
      </c>
      <c r="C1110" s="32" t="n"/>
      <c r="D1110" s="35" t="n"/>
      <c r="E1110" s="36" t="n"/>
      <c r="F1110" s="36" t="n"/>
      <c r="G1110" s="36" t="n"/>
      <c r="H1110" s="36" t="n"/>
      <c r="I1110" s="36" t="n"/>
      <c r="J1110" s="37" t="n"/>
      <c r="K1110" s="32" t="n"/>
      <c r="L1110" s="36" t="n"/>
      <c r="M1110" s="41" t="n"/>
      <c r="N1110" s="41" t="n"/>
      <c r="O1110" s="36" t="n"/>
      <c r="P1110" s="33">
        <f>IF(C1110="","",Commercial_Id)</f>
        <v/>
      </c>
      <c r="Q1110" s="39">
        <f>IF(F1110="","",IFERROR(VALUE(MID(F1110,LEN(F1110)-3,3)),""))</f>
        <v/>
      </c>
      <c r="R1110" s="33">
        <f>IF(Q1110="","",P1110&amp;"|"&amp;Q1110)</f>
        <v/>
      </c>
      <c r="S1110" s="33">
        <f>IF(Q1110="","",IF(P1110="À RENSEIGNER","GIC",P1110)&amp;"-"&amp;TEXT(Q1110,"000"))</f>
        <v/>
      </c>
      <c r="T1110" s="33">
        <f>IF(R1110="","",IFERROR(INDEX(Cl_nom,MATCH(R1110,Cl_cle,0)),"(client introuvable)"))</f>
        <v/>
      </c>
      <c r="U1110" s="33">
        <f>IF(R1110="","",IFERROR(INDEX(Cl_quartier,MATCH(R1110,Cl_cle,0))&amp;"",""))</f>
        <v/>
      </c>
      <c r="V1110" s="34">
        <f>IF(C1110="","",YEAR(C1110-WEEKDAY(C1110,2)+4)&amp;"-S"&amp;TEXT(INT((C1110-DATE(YEAR(C1110-WEEKDAY(C1110,2)+4),1,3)+WEEKDAY(DATE(YEAR(C1110-WEEKDAY(C1110,2)+4),1,3),2)+5)/7),"00"))</f>
        <v/>
      </c>
    </row>
    <row r="1111" ht="18" customHeight="1">
      <c r="A1111" s="39" t="n">
        <v>1106</v>
      </c>
      <c r="B1111" s="33">
        <f>IF(C1111="","",IF(P1111="À RENSEIGNER","GIC",P1111)&amp;"-V"&amp;TEXT(A1111,"00000"))</f>
        <v/>
      </c>
      <c r="C1111" s="32" t="n"/>
      <c r="D1111" s="35" t="n"/>
      <c r="E1111" s="36" t="n"/>
      <c r="F1111" s="36" t="n"/>
      <c r="G1111" s="36" t="n"/>
      <c r="H1111" s="36" t="n"/>
      <c r="I1111" s="36" t="n"/>
      <c r="J1111" s="37" t="n"/>
      <c r="K1111" s="32" t="n"/>
      <c r="L1111" s="36" t="n"/>
      <c r="M1111" s="41" t="n"/>
      <c r="N1111" s="41" t="n"/>
      <c r="O1111" s="36" t="n"/>
      <c r="P1111" s="33">
        <f>IF(C1111="","",Commercial_Id)</f>
        <v/>
      </c>
      <c r="Q1111" s="39">
        <f>IF(F1111="","",IFERROR(VALUE(MID(F1111,LEN(F1111)-3,3)),""))</f>
        <v/>
      </c>
      <c r="R1111" s="33">
        <f>IF(Q1111="","",P1111&amp;"|"&amp;Q1111)</f>
        <v/>
      </c>
      <c r="S1111" s="33">
        <f>IF(Q1111="","",IF(P1111="À RENSEIGNER","GIC",P1111)&amp;"-"&amp;TEXT(Q1111,"000"))</f>
        <v/>
      </c>
      <c r="T1111" s="33">
        <f>IF(R1111="","",IFERROR(INDEX(Cl_nom,MATCH(R1111,Cl_cle,0)),"(client introuvable)"))</f>
        <v/>
      </c>
      <c r="U1111" s="33">
        <f>IF(R1111="","",IFERROR(INDEX(Cl_quartier,MATCH(R1111,Cl_cle,0))&amp;"",""))</f>
        <v/>
      </c>
      <c r="V1111" s="34">
        <f>IF(C1111="","",YEAR(C1111-WEEKDAY(C1111,2)+4)&amp;"-S"&amp;TEXT(INT((C1111-DATE(YEAR(C1111-WEEKDAY(C1111,2)+4),1,3)+WEEKDAY(DATE(YEAR(C1111-WEEKDAY(C1111,2)+4),1,3),2)+5)/7),"00"))</f>
        <v/>
      </c>
    </row>
    <row r="1112" ht="18" customHeight="1">
      <c r="A1112" s="39" t="n">
        <v>1107</v>
      </c>
      <c r="B1112" s="33">
        <f>IF(C1112="","",IF(P1112="À RENSEIGNER","GIC",P1112)&amp;"-V"&amp;TEXT(A1112,"00000"))</f>
        <v/>
      </c>
      <c r="C1112" s="32" t="n"/>
      <c r="D1112" s="35" t="n"/>
      <c r="E1112" s="36" t="n"/>
      <c r="F1112" s="36" t="n"/>
      <c r="G1112" s="36" t="n"/>
      <c r="H1112" s="36" t="n"/>
      <c r="I1112" s="36" t="n"/>
      <c r="J1112" s="37" t="n"/>
      <c r="K1112" s="32" t="n"/>
      <c r="L1112" s="36" t="n"/>
      <c r="M1112" s="41" t="n"/>
      <c r="N1112" s="41" t="n"/>
      <c r="O1112" s="36" t="n"/>
      <c r="P1112" s="33">
        <f>IF(C1112="","",Commercial_Id)</f>
        <v/>
      </c>
      <c r="Q1112" s="39">
        <f>IF(F1112="","",IFERROR(VALUE(MID(F1112,LEN(F1112)-3,3)),""))</f>
        <v/>
      </c>
      <c r="R1112" s="33">
        <f>IF(Q1112="","",P1112&amp;"|"&amp;Q1112)</f>
        <v/>
      </c>
      <c r="S1112" s="33">
        <f>IF(Q1112="","",IF(P1112="À RENSEIGNER","GIC",P1112)&amp;"-"&amp;TEXT(Q1112,"000"))</f>
        <v/>
      </c>
      <c r="T1112" s="33">
        <f>IF(R1112="","",IFERROR(INDEX(Cl_nom,MATCH(R1112,Cl_cle,0)),"(client introuvable)"))</f>
        <v/>
      </c>
      <c r="U1112" s="33">
        <f>IF(R1112="","",IFERROR(INDEX(Cl_quartier,MATCH(R1112,Cl_cle,0))&amp;"",""))</f>
        <v/>
      </c>
      <c r="V1112" s="34">
        <f>IF(C1112="","",YEAR(C1112-WEEKDAY(C1112,2)+4)&amp;"-S"&amp;TEXT(INT((C1112-DATE(YEAR(C1112-WEEKDAY(C1112,2)+4),1,3)+WEEKDAY(DATE(YEAR(C1112-WEEKDAY(C1112,2)+4),1,3),2)+5)/7),"00"))</f>
        <v/>
      </c>
    </row>
    <row r="1113" ht="18" customHeight="1">
      <c r="A1113" s="39" t="n">
        <v>1108</v>
      </c>
      <c r="B1113" s="33">
        <f>IF(C1113="","",IF(P1113="À RENSEIGNER","GIC",P1113)&amp;"-V"&amp;TEXT(A1113,"00000"))</f>
        <v/>
      </c>
      <c r="C1113" s="32" t="n"/>
      <c r="D1113" s="35" t="n"/>
      <c r="E1113" s="36" t="n"/>
      <c r="F1113" s="36" t="n"/>
      <c r="G1113" s="36" t="n"/>
      <c r="H1113" s="36" t="n"/>
      <c r="I1113" s="36" t="n"/>
      <c r="J1113" s="37" t="n"/>
      <c r="K1113" s="32" t="n"/>
      <c r="L1113" s="36" t="n"/>
      <c r="M1113" s="41" t="n"/>
      <c r="N1113" s="41" t="n"/>
      <c r="O1113" s="36" t="n"/>
      <c r="P1113" s="33">
        <f>IF(C1113="","",Commercial_Id)</f>
        <v/>
      </c>
      <c r="Q1113" s="39">
        <f>IF(F1113="","",IFERROR(VALUE(MID(F1113,LEN(F1113)-3,3)),""))</f>
        <v/>
      </c>
      <c r="R1113" s="33">
        <f>IF(Q1113="","",P1113&amp;"|"&amp;Q1113)</f>
        <v/>
      </c>
      <c r="S1113" s="33">
        <f>IF(Q1113="","",IF(P1113="À RENSEIGNER","GIC",P1113)&amp;"-"&amp;TEXT(Q1113,"000"))</f>
        <v/>
      </c>
      <c r="T1113" s="33">
        <f>IF(R1113="","",IFERROR(INDEX(Cl_nom,MATCH(R1113,Cl_cle,0)),"(client introuvable)"))</f>
        <v/>
      </c>
      <c r="U1113" s="33">
        <f>IF(R1113="","",IFERROR(INDEX(Cl_quartier,MATCH(R1113,Cl_cle,0))&amp;"",""))</f>
        <v/>
      </c>
      <c r="V1113" s="34">
        <f>IF(C1113="","",YEAR(C1113-WEEKDAY(C1113,2)+4)&amp;"-S"&amp;TEXT(INT((C1113-DATE(YEAR(C1113-WEEKDAY(C1113,2)+4),1,3)+WEEKDAY(DATE(YEAR(C1113-WEEKDAY(C1113,2)+4),1,3),2)+5)/7),"00"))</f>
        <v/>
      </c>
    </row>
    <row r="1114" ht="18" customHeight="1">
      <c r="A1114" s="39" t="n">
        <v>1109</v>
      </c>
      <c r="B1114" s="33">
        <f>IF(C1114="","",IF(P1114="À RENSEIGNER","GIC",P1114)&amp;"-V"&amp;TEXT(A1114,"00000"))</f>
        <v/>
      </c>
      <c r="C1114" s="32" t="n"/>
      <c r="D1114" s="35" t="n"/>
      <c r="E1114" s="36" t="n"/>
      <c r="F1114" s="36" t="n"/>
      <c r="G1114" s="36" t="n"/>
      <c r="H1114" s="36" t="n"/>
      <c r="I1114" s="36" t="n"/>
      <c r="J1114" s="37" t="n"/>
      <c r="K1114" s="32" t="n"/>
      <c r="L1114" s="36" t="n"/>
      <c r="M1114" s="41" t="n"/>
      <c r="N1114" s="41" t="n"/>
      <c r="O1114" s="36" t="n"/>
      <c r="P1114" s="33">
        <f>IF(C1114="","",Commercial_Id)</f>
        <v/>
      </c>
      <c r="Q1114" s="39">
        <f>IF(F1114="","",IFERROR(VALUE(MID(F1114,LEN(F1114)-3,3)),""))</f>
        <v/>
      </c>
      <c r="R1114" s="33">
        <f>IF(Q1114="","",P1114&amp;"|"&amp;Q1114)</f>
        <v/>
      </c>
      <c r="S1114" s="33">
        <f>IF(Q1114="","",IF(P1114="À RENSEIGNER","GIC",P1114)&amp;"-"&amp;TEXT(Q1114,"000"))</f>
        <v/>
      </c>
      <c r="T1114" s="33">
        <f>IF(R1114="","",IFERROR(INDEX(Cl_nom,MATCH(R1114,Cl_cle,0)),"(client introuvable)"))</f>
        <v/>
      </c>
      <c r="U1114" s="33">
        <f>IF(R1114="","",IFERROR(INDEX(Cl_quartier,MATCH(R1114,Cl_cle,0))&amp;"",""))</f>
        <v/>
      </c>
      <c r="V1114" s="34">
        <f>IF(C1114="","",YEAR(C1114-WEEKDAY(C1114,2)+4)&amp;"-S"&amp;TEXT(INT((C1114-DATE(YEAR(C1114-WEEKDAY(C1114,2)+4),1,3)+WEEKDAY(DATE(YEAR(C1114-WEEKDAY(C1114,2)+4),1,3),2)+5)/7),"00"))</f>
        <v/>
      </c>
    </row>
    <row r="1115" ht="18" customHeight="1">
      <c r="A1115" s="39" t="n">
        <v>1110</v>
      </c>
      <c r="B1115" s="33">
        <f>IF(C1115="","",IF(P1115="À RENSEIGNER","GIC",P1115)&amp;"-V"&amp;TEXT(A1115,"00000"))</f>
        <v/>
      </c>
      <c r="C1115" s="32" t="n"/>
      <c r="D1115" s="35" t="n"/>
      <c r="E1115" s="36" t="n"/>
      <c r="F1115" s="36" t="n"/>
      <c r="G1115" s="36" t="n"/>
      <c r="H1115" s="36" t="n"/>
      <c r="I1115" s="36" t="n"/>
      <c r="J1115" s="37" t="n"/>
      <c r="K1115" s="32" t="n"/>
      <c r="L1115" s="36" t="n"/>
      <c r="M1115" s="41" t="n"/>
      <c r="N1115" s="41" t="n"/>
      <c r="O1115" s="36" t="n"/>
      <c r="P1115" s="33">
        <f>IF(C1115="","",Commercial_Id)</f>
        <v/>
      </c>
      <c r="Q1115" s="39">
        <f>IF(F1115="","",IFERROR(VALUE(MID(F1115,LEN(F1115)-3,3)),""))</f>
        <v/>
      </c>
      <c r="R1115" s="33">
        <f>IF(Q1115="","",P1115&amp;"|"&amp;Q1115)</f>
        <v/>
      </c>
      <c r="S1115" s="33">
        <f>IF(Q1115="","",IF(P1115="À RENSEIGNER","GIC",P1115)&amp;"-"&amp;TEXT(Q1115,"000"))</f>
        <v/>
      </c>
      <c r="T1115" s="33">
        <f>IF(R1115="","",IFERROR(INDEX(Cl_nom,MATCH(R1115,Cl_cle,0)),"(client introuvable)"))</f>
        <v/>
      </c>
      <c r="U1115" s="33">
        <f>IF(R1115="","",IFERROR(INDEX(Cl_quartier,MATCH(R1115,Cl_cle,0))&amp;"",""))</f>
        <v/>
      </c>
      <c r="V1115" s="34">
        <f>IF(C1115="","",YEAR(C1115-WEEKDAY(C1115,2)+4)&amp;"-S"&amp;TEXT(INT((C1115-DATE(YEAR(C1115-WEEKDAY(C1115,2)+4),1,3)+WEEKDAY(DATE(YEAR(C1115-WEEKDAY(C1115,2)+4),1,3),2)+5)/7),"00"))</f>
        <v/>
      </c>
    </row>
    <row r="1116" ht="18" customHeight="1">
      <c r="A1116" s="39" t="n">
        <v>1111</v>
      </c>
      <c r="B1116" s="33">
        <f>IF(C1116="","",IF(P1116="À RENSEIGNER","GIC",P1116)&amp;"-V"&amp;TEXT(A1116,"00000"))</f>
        <v/>
      </c>
      <c r="C1116" s="32" t="n"/>
      <c r="D1116" s="35" t="n"/>
      <c r="E1116" s="36" t="n"/>
      <c r="F1116" s="36" t="n"/>
      <c r="G1116" s="36" t="n"/>
      <c r="H1116" s="36" t="n"/>
      <c r="I1116" s="36" t="n"/>
      <c r="J1116" s="37" t="n"/>
      <c r="K1116" s="32" t="n"/>
      <c r="L1116" s="36" t="n"/>
      <c r="M1116" s="41" t="n"/>
      <c r="N1116" s="41" t="n"/>
      <c r="O1116" s="36" t="n"/>
      <c r="P1116" s="33">
        <f>IF(C1116="","",Commercial_Id)</f>
        <v/>
      </c>
      <c r="Q1116" s="39">
        <f>IF(F1116="","",IFERROR(VALUE(MID(F1116,LEN(F1116)-3,3)),""))</f>
        <v/>
      </c>
      <c r="R1116" s="33">
        <f>IF(Q1116="","",P1116&amp;"|"&amp;Q1116)</f>
        <v/>
      </c>
      <c r="S1116" s="33">
        <f>IF(Q1116="","",IF(P1116="À RENSEIGNER","GIC",P1116)&amp;"-"&amp;TEXT(Q1116,"000"))</f>
        <v/>
      </c>
      <c r="T1116" s="33">
        <f>IF(R1116="","",IFERROR(INDEX(Cl_nom,MATCH(R1116,Cl_cle,0)),"(client introuvable)"))</f>
        <v/>
      </c>
      <c r="U1116" s="33">
        <f>IF(R1116="","",IFERROR(INDEX(Cl_quartier,MATCH(R1116,Cl_cle,0))&amp;"",""))</f>
        <v/>
      </c>
      <c r="V1116" s="34">
        <f>IF(C1116="","",YEAR(C1116-WEEKDAY(C1116,2)+4)&amp;"-S"&amp;TEXT(INT((C1116-DATE(YEAR(C1116-WEEKDAY(C1116,2)+4),1,3)+WEEKDAY(DATE(YEAR(C1116-WEEKDAY(C1116,2)+4),1,3),2)+5)/7),"00"))</f>
        <v/>
      </c>
    </row>
    <row r="1117" ht="18" customHeight="1">
      <c r="A1117" s="39" t="n">
        <v>1112</v>
      </c>
      <c r="B1117" s="33">
        <f>IF(C1117="","",IF(P1117="À RENSEIGNER","GIC",P1117)&amp;"-V"&amp;TEXT(A1117,"00000"))</f>
        <v/>
      </c>
      <c r="C1117" s="32" t="n"/>
      <c r="D1117" s="35" t="n"/>
      <c r="E1117" s="36" t="n"/>
      <c r="F1117" s="36" t="n"/>
      <c r="G1117" s="36" t="n"/>
      <c r="H1117" s="36" t="n"/>
      <c r="I1117" s="36" t="n"/>
      <c r="J1117" s="37" t="n"/>
      <c r="K1117" s="32" t="n"/>
      <c r="L1117" s="36" t="n"/>
      <c r="M1117" s="41" t="n"/>
      <c r="N1117" s="41" t="n"/>
      <c r="O1117" s="36" t="n"/>
      <c r="P1117" s="33">
        <f>IF(C1117="","",Commercial_Id)</f>
        <v/>
      </c>
      <c r="Q1117" s="39">
        <f>IF(F1117="","",IFERROR(VALUE(MID(F1117,LEN(F1117)-3,3)),""))</f>
        <v/>
      </c>
      <c r="R1117" s="33">
        <f>IF(Q1117="","",P1117&amp;"|"&amp;Q1117)</f>
        <v/>
      </c>
      <c r="S1117" s="33">
        <f>IF(Q1117="","",IF(P1117="À RENSEIGNER","GIC",P1117)&amp;"-"&amp;TEXT(Q1117,"000"))</f>
        <v/>
      </c>
      <c r="T1117" s="33">
        <f>IF(R1117="","",IFERROR(INDEX(Cl_nom,MATCH(R1117,Cl_cle,0)),"(client introuvable)"))</f>
        <v/>
      </c>
      <c r="U1117" s="33">
        <f>IF(R1117="","",IFERROR(INDEX(Cl_quartier,MATCH(R1117,Cl_cle,0))&amp;"",""))</f>
        <v/>
      </c>
      <c r="V1117" s="34">
        <f>IF(C1117="","",YEAR(C1117-WEEKDAY(C1117,2)+4)&amp;"-S"&amp;TEXT(INT((C1117-DATE(YEAR(C1117-WEEKDAY(C1117,2)+4),1,3)+WEEKDAY(DATE(YEAR(C1117-WEEKDAY(C1117,2)+4),1,3),2)+5)/7),"00"))</f>
        <v/>
      </c>
    </row>
    <row r="1118" ht="18" customHeight="1">
      <c r="A1118" s="39" t="n">
        <v>1113</v>
      </c>
      <c r="B1118" s="33">
        <f>IF(C1118="","",IF(P1118="À RENSEIGNER","GIC",P1118)&amp;"-V"&amp;TEXT(A1118,"00000"))</f>
        <v/>
      </c>
      <c r="C1118" s="32" t="n"/>
      <c r="D1118" s="35" t="n"/>
      <c r="E1118" s="36" t="n"/>
      <c r="F1118" s="36" t="n"/>
      <c r="G1118" s="36" t="n"/>
      <c r="H1118" s="36" t="n"/>
      <c r="I1118" s="36" t="n"/>
      <c r="J1118" s="37" t="n"/>
      <c r="K1118" s="32" t="n"/>
      <c r="L1118" s="36" t="n"/>
      <c r="M1118" s="41" t="n"/>
      <c r="N1118" s="41" t="n"/>
      <c r="O1118" s="36" t="n"/>
      <c r="P1118" s="33">
        <f>IF(C1118="","",Commercial_Id)</f>
        <v/>
      </c>
      <c r="Q1118" s="39">
        <f>IF(F1118="","",IFERROR(VALUE(MID(F1118,LEN(F1118)-3,3)),""))</f>
        <v/>
      </c>
      <c r="R1118" s="33">
        <f>IF(Q1118="","",P1118&amp;"|"&amp;Q1118)</f>
        <v/>
      </c>
      <c r="S1118" s="33">
        <f>IF(Q1118="","",IF(P1118="À RENSEIGNER","GIC",P1118)&amp;"-"&amp;TEXT(Q1118,"000"))</f>
        <v/>
      </c>
      <c r="T1118" s="33">
        <f>IF(R1118="","",IFERROR(INDEX(Cl_nom,MATCH(R1118,Cl_cle,0)),"(client introuvable)"))</f>
        <v/>
      </c>
      <c r="U1118" s="33">
        <f>IF(R1118="","",IFERROR(INDEX(Cl_quartier,MATCH(R1118,Cl_cle,0))&amp;"",""))</f>
        <v/>
      </c>
      <c r="V1118" s="34">
        <f>IF(C1118="","",YEAR(C1118-WEEKDAY(C1118,2)+4)&amp;"-S"&amp;TEXT(INT((C1118-DATE(YEAR(C1118-WEEKDAY(C1118,2)+4),1,3)+WEEKDAY(DATE(YEAR(C1118-WEEKDAY(C1118,2)+4),1,3),2)+5)/7),"00"))</f>
        <v/>
      </c>
    </row>
    <row r="1119" ht="18" customHeight="1">
      <c r="A1119" s="39" t="n">
        <v>1114</v>
      </c>
      <c r="B1119" s="33">
        <f>IF(C1119="","",IF(P1119="À RENSEIGNER","GIC",P1119)&amp;"-V"&amp;TEXT(A1119,"00000"))</f>
        <v/>
      </c>
      <c r="C1119" s="32" t="n"/>
      <c r="D1119" s="35" t="n"/>
      <c r="E1119" s="36" t="n"/>
      <c r="F1119" s="36" t="n"/>
      <c r="G1119" s="36" t="n"/>
      <c r="H1119" s="36" t="n"/>
      <c r="I1119" s="36" t="n"/>
      <c r="J1119" s="37" t="n"/>
      <c r="K1119" s="32" t="n"/>
      <c r="L1119" s="36" t="n"/>
      <c r="M1119" s="41" t="n"/>
      <c r="N1119" s="41" t="n"/>
      <c r="O1119" s="36" t="n"/>
      <c r="P1119" s="33">
        <f>IF(C1119="","",Commercial_Id)</f>
        <v/>
      </c>
      <c r="Q1119" s="39">
        <f>IF(F1119="","",IFERROR(VALUE(MID(F1119,LEN(F1119)-3,3)),""))</f>
        <v/>
      </c>
      <c r="R1119" s="33">
        <f>IF(Q1119="","",P1119&amp;"|"&amp;Q1119)</f>
        <v/>
      </c>
      <c r="S1119" s="33">
        <f>IF(Q1119="","",IF(P1119="À RENSEIGNER","GIC",P1119)&amp;"-"&amp;TEXT(Q1119,"000"))</f>
        <v/>
      </c>
      <c r="T1119" s="33">
        <f>IF(R1119="","",IFERROR(INDEX(Cl_nom,MATCH(R1119,Cl_cle,0)),"(client introuvable)"))</f>
        <v/>
      </c>
      <c r="U1119" s="33">
        <f>IF(R1119="","",IFERROR(INDEX(Cl_quartier,MATCH(R1119,Cl_cle,0))&amp;"",""))</f>
        <v/>
      </c>
      <c r="V1119" s="34">
        <f>IF(C1119="","",YEAR(C1119-WEEKDAY(C1119,2)+4)&amp;"-S"&amp;TEXT(INT((C1119-DATE(YEAR(C1119-WEEKDAY(C1119,2)+4),1,3)+WEEKDAY(DATE(YEAR(C1119-WEEKDAY(C1119,2)+4),1,3),2)+5)/7),"00"))</f>
        <v/>
      </c>
    </row>
    <row r="1120" ht="18" customHeight="1">
      <c r="A1120" s="39" t="n">
        <v>1115</v>
      </c>
      <c r="B1120" s="33">
        <f>IF(C1120="","",IF(P1120="À RENSEIGNER","GIC",P1120)&amp;"-V"&amp;TEXT(A1120,"00000"))</f>
        <v/>
      </c>
      <c r="C1120" s="32" t="n"/>
      <c r="D1120" s="35" t="n"/>
      <c r="E1120" s="36" t="n"/>
      <c r="F1120" s="36" t="n"/>
      <c r="G1120" s="36" t="n"/>
      <c r="H1120" s="36" t="n"/>
      <c r="I1120" s="36" t="n"/>
      <c r="J1120" s="37" t="n"/>
      <c r="K1120" s="32" t="n"/>
      <c r="L1120" s="36" t="n"/>
      <c r="M1120" s="41" t="n"/>
      <c r="N1120" s="41" t="n"/>
      <c r="O1120" s="36" t="n"/>
      <c r="P1120" s="33">
        <f>IF(C1120="","",Commercial_Id)</f>
        <v/>
      </c>
      <c r="Q1120" s="39">
        <f>IF(F1120="","",IFERROR(VALUE(MID(F1120,LEN(F1120)-3,3)),""))</f>
        <v/>
      </c>
      <c r="R1120" s="33">
        <f>IF(Q1120="","",P1120&amp;"|"&amp;Q1120)</f>
        <v/>
      </c>
      <c r="S1120" s="33">
        <f>IF(Q1120="","",IF(P1120="À RENSEIGNER","GIC",P1120)&amp;"-"&amp;TEXT(Q1120,"000"))</f>
        <v/>
      </c>
      <c r="T1120" s="33">
        <f>IF(R1120="","",IFERROR(INDEX(Cl_nom,MATCH(R1120,Cl_cle,0)),"(client introuvable)"))</f>
        <v/>
      </c>
      <c r="U1120" s="33">
        <f>IF(R1120="","",IFERROR(INDEX(Cl_quartier,MATCH(R1120,Cl_cle,0))&amp;"",""))</f>
        <v/>
      </c>
      <c r="V1120" s="34">
        <f>IF(C1120="","",YEAR(C1120-WEEKDAY(C1120,2)+4)&amp;"-S"&amp;TEXT(INT((C1120-DATE(YEAR(C1120-WEEKDAY(C1120,2)+4),1,3)+WEEKDAY(DATE(YEAR(C1120-WEEKDAY(C1120,2)+4),1,3),2)+5)/7),"00"))</f>
        <v/>
      </c>
    </row>
    <row r="1121" ht="18" customHeight="1">
      <c r="A1121" s="39" t="n">
        <v>1116</v>
      </c>
      <c r="B1121" s="33">
        <f>IF(C1121="","",IF(P1121="À RENSEIGNER","GIC",P1121)&amp;"-V"&amp;TEXT(A1121,"00000"))</f>
        <v/>
      </c>
      <c r="C1121" s="32" t="n"/>
      <c r="D1121" s="35" t="n"/>
      <c r="E1121" s="36" t="n"/>
      <c r="F1121" s="36" t="n"/>
      <c r="G1121" s="36" t="n"/>
      <c r="H1121" s="36" t="n"/>
      <c r="I1121" s="36" t="n"/>
      <c r="J1121" s="37" t="n"/>
      <c r="K1121" s="32" t="n"/>
      <c r="L1121" s="36" t="n"/>
      <c r="M1121" s="41" t="n"/>
      <c r="N1121" s="41" t="n"/>
      <c r="O1121" s="36" t="n"/>
      <c r="P1121" s="33">
        <f>IF(C1121="","",Commercial_Id)</f>
        <v/>
      </c>
      <c r="Q1121" s="39">
        <f>IF(F1121="","",IFERROR(VALUE(MID(F1121,LEN(F1121)-3,3)),""))</f>
        <v/>
      </c>
      <c r="R1121" s="33">
        <f>IF(Q1121="","",P1121&amp;"|"&amp;Q1121)</f>
        <v/>
      </c>
      <c r="S1121" s="33">
        <f>IF(Q1121="","",IF(P1121="À RENSEIGNER","GIC",P1121)&amp;"-"&amp;TEXT(Q1121,"000"))</f>
        <v/>
      </c>
      <c r="T1121" s="33">
        <f>IF(R1121="","",IFERROR(INDEX(Cl_nom,MATCH(R1121,Cl_cle,0)),"(client introuvable)"))</f>
        <v/>
      </c>
      <c r="U1121" s="33">
        <f>IF(R1121="","",IFERROR(INDEX(Cl_quartier,MATCH(R1121,Cl_cle,0))&amp;"",""))</f>
        <v/>
      </c>
      <c r="V1121" s="34">
        <f>IF(C1121="","",YEAR(C1121-WEEKDAY(C1121,2)+4)&amp;"-S"&amp;TEXT(INT((C1121-DATE(YEAR(C1121-WEEKDAY(C1121,2)+4),1,3)+WEEKDAY(DATE(YEAR(C1121-WEEKDAY(C1121,2)+4),1,3),2)+5)/7),"00"))</f>
        <v/>
      </c>
    </row>
    <row r="1122" ht="18" customHeight="1">
      <c r="A1122" s="39" t="n">
        <v>1117</v>
      </c>
      <c r="B1122" s="33">
        <f>IF(C1122="","",IF(P1122="À RENSEIGNER","GIC",P1122)&amp;"-V"&amp;TEXT(A1122,"00000"))</f>
        <v/>
      </c>
      <c r="C1122" s="32" t="n"/>
      <c r="D1122" s="35" t="n"/>
      <c r="E1122" s="36" t="n"/>
      <c r="F1122" s="36" t="n"/>
      <c r="G1122" s="36" t="n"/>
      <c r="H1122" s="36" t="n"/>
      <c r="I1122" s="36" t="n"/>
      <c r="J1122" s="37" t="n"/>
      <c r="K1122" s="32" t="n"/>
      <c r="L1122" s="36" t="n"/>
      <c r="M1122" s="41" t="n"/>
      <c r="N1122" s="41" t="n"/>
      <c r="O1122" s="36" t="n"/>
      <c r="P1122" s="33">
        <f>IF(C1122="","",Commercial_Id)</f>
        <v/>
      </c>
      <c r="Q1122" s="39">
        <f>IF(F1122="","",IFERROR(VALUE(MID(F1122,LEN(F1122)-3,3)),""))</f>
        <v/>
      </c>
      <c r="R1122" s="33">
        <f>IF(Q1122="","",P1122&amp;"|"&amp;Q1122)</f>
        <v/>
      </c>
      <c r="S1122" s="33">
        <f>IF(Q1122="","",IF(P1122="À RENSEIGNER","GIC",P1122)&amp;"-"&amp;TEXT(Q1122,"000"))</f>
        <v/>
      </c>
      <c r="T1122" s="33">
        <f>IF(R1122="","",IFERROR(INDEX(Cl_nom,MATCH(R1122,Cl_cle,0)),"(client introuvable)"))</f>
        <v/>
      </c>
      <c r="U1122" s="33">
        <f>IF(R1122="","",IFERROR(INDEX(Cl_quartier,MATCH(R1122,Cl_cle,0))&amp;"",""))</f>
        <v/>
      </c>
      <c r="V1122" s="34">
        <f>IF(C1122="","",YEAR(C1122-WEEKDAY(C1122,2)+4)&amp;"-S"&amp;TEXT(INT((C1122-DATE(YEAR(C1122-WEEKDAY(C1122,2)+4),1,3)+WEEKDAY(DATE(YEAR(C1122-WEEKDAY(C1122,2)+4),1,3),2)+5)/7),"00"))</f>
        <v/>
      </c>
    </row>
    <row r="1123" ht="18" customHeight="1">
      <c r="A1123" s="39" t="n">
        <v>1118</v>
      </c>
      <c r="B1123" s="33">
        <f>IF(C1123="","",IF(P1123="À RENSEIGNER","GIC",P1123)&amp;"-V"&amp;TEXT(A1123,"00000"))</f>
        <v/>
      </c>
      <c r="C1123" s="32" t="n"/>
      <c r="D1123" s="35" t="n"/>
      <c r="E1123" s="36" t="n"/>
      <c r="F1123" s="36" t="n"/>
      <c r="G1123" s="36" t="n"/>
      <c r="H1123" s="36" t="n"/>
      <c r="I1123" s="36" t="n"/>
      <c r="J1123" s="37" t="n"/>
      <c r="K1123" s="32" t="n"/>
      <c r="L1123" s="36" t="n"/>
      <c r="M1123" s="41" t="n"/>
      <c r="N1123" s="41" t="n"/>
      <c r="O1123" s="36" t="n"/>
      <c r="P1123" s="33">
        <f>IF(C1123="","",Commercial_Id)</f>
        <v/>
      </c>
      <c r="Q1123" s="39">
        <f>IF(F1123="","",IFERROR(VALUE(MID(F1123,LEN(F1123)-3,3)),""))</f>
        <v/>
      </c>
      <c r="R1123" s="33">
        <f>IF(Q1123="","",P1123&amp;"|"&amp;Q1123)</f>
        <v/>
      </c>
      <c r="S1123" s="33">
        <f>IF(Q1123="","",IF(P1123="À RENSEIGNER","GIC",P1123)&amp;"-"&amp;TEXT(Q1123,"000"))</f>
        <v/>
      </c>
      <c r="T1123" s="33">
        <f>IF(R1123="","",IFERROR(INDEX(Cl_nom,MATCH(R1123,Cl_cle,0)),"(client introuvable)"))</f>
        <v/>
      </c>
      <c r="U1123" s="33">
        <f>IF(R1123="","",IFERROR(INDEX(Cl_quartier,MATCH(R1123,Cl_cle,0))&amp;"",""))</f>
        <v/>
      </c>
      <c r="V1123" s="34">
        <f>IF(C1123="","",YEAR(C1123-WEEKDAY(C1123,2)+4)&amp;"-S"&amp;TEXT(INT((C1123-DATE(YEAR(C1123-WEEKDAY(C1123,2)+4),1,3)+WEEKDAY(DATE(YEAR(C1123-WEEKDAY(C1123,2)+4),1,3),2)+5)/7),"00"))</f>
        <v/>
      </c>
    </row>
    <row r="1124" ht="18" customHeight="1">
      <c r="A1124" s="39" t="n">
        <v>1119</v>
      </c>
      <c r="B1124" s="33">
        <f>IF(C1124="","",IF(P1124="À RENSEIGNER","GIC",P1124)&amp;"-V"&amp;TEXT(A1124,"00000"))</f>
        <v/>
      </c>
      <c r="C1124" s="32" t="n"/>
      <c r="D1124" s="35" t="n"/>
      <c r="E1124" s="36" t="n"/>
      <c r="F1124" s="36" t="n"/>
      <c r="G1124" s="36" t="n"/>
      <c r="H1124" s="36" t="n"/>
      <c r="I1124" s="36" t="n"/>
      <c r="J1124" s="37" t="n"/>
      <c r="K1124" s="32" t="n"/>
      <c r="L1124" s="36" t="n"/>
      <c r="M1124" s="41" t="n"/>
      <c r="N1124" s="41" t="n"/>
      <c r="O1124" s="36" t="n"/>
      <c r="P1124" s="33">
        <f>IF(C1124="","",Commercial_Id)</f>
        <v/>
      </c>
      <c r="Q1124" s="39">
        <f>IF(F1124="","",IFERROR(VALUE(MID(F1124,LEN(F1124)-3,3)),""))</f>
        <v/>
      </c>
      <c r="R1124" s="33">
        <f>IF(Q1124="","",P1124&amp;"|"&amp;Q1124)</f>
        <v/>
      </c>
      <c r="S1124" s="33">
        <f>IF(Q1124="","",IF(P1124="À RENSEIGNER","GIC",P1124)&amp;"-"&amp;TEXT(Q1124,"000"))</f>
        <v/>
      </c>
      <c r="T1124" s="33">
        <f>IF(R1124="","",IFERROR(INDEX(Cl_nom,MATCH(R1124,Cl_cle,0)),"(client introuvable)"))</f>
        <v/>
      </c>
      <c r="U1124" s="33">
        <f>IF(R1124="","",IFERROR(INDEX(Cl_quartier,MATCH(R1124,Cl_cle,0))&amp;"",""))</f>
        <v/>
      </c>
      <c r="V1124" s="34">
        <f>IF(C1124="","",YEAR(C1124-WEEKDAY(C1124,2)+4)&amp;"-S"&amp;TEXT(INT((C1124-DATE(YEAR(C1124-WEEKDAY(C1124,2)+4),1,3)+WEEKDAY(DATE(YEAR(C1124-WEEKDAY(C1124,2)+4),1,3),2)+5)/7),"00"))</f>
        <v/>
      </c>
    </row>
    <row r="1125" ht="18" customHeight="1">
      <c r="A1125" s="39" t="n">
        <v>1120</v>
      </c>
      <c r="B1125" s="33">
        <f>IF(C1125="","",IF(P1125="À RENSEIGNER","GIC",P1125)&amp;"-V"&amp;TEXT(A1125,"00000"))</f>
        <v/>
      </c>
      <c r="C1125" s="32" t="n"/>
      <c r="D1125" s="35" t="n"/>
      <c r="E1125" s="36" t="n"/>
      <c r="F1125" s="36" t="n"/>
      <c r="G1125" s="36" t="n"/>
      <c r="H1125" s="36" t="n"/>
      <c r="I1125" s="36" t="n"/>
      <c r="J1125" s="37" t="n"/>
      <c r="K1125" s="32" t="n"/>
      <c r="L1125" s="36" t="n"/>
      <c r="M1125" s="41" t="n"/>
      <c r="N1125" s="41" t="n"/>
      <c r="O1125" s="36" t="n"/>
      <c r="P1125" s="33">
        <f>IF(C1125="","",Commercial_Id)</f>
        <v/>
      </c>
      <c r="Q1125" s="39">
        <f>IF(F1125="","",IFERROR(VALUE(MID(F1125,LEN(F1125)-3,3)),""))</f>
        <v/>
      </c>
      <c r="R1125" s="33">
        <f>IF(Q1125="","",P1125&amp;"|"&amp;Q1125)</f>
        <v/>
      </c>
      <c r="S1125" s="33">
        <f>IF(Q1125="","",IF(P1125="À RENSEIGNER","GIC",P1125)&amp;"-"&amp;TEXT(Q1125,"000"))</f>
        <v/>
      </c>
      <c r="T1125" s="33">
        <f>IF(R1125="","",IFERROR(INDEX(Cl_nom,MATCH(R1125,Cl_cle,0)),"(client introuvable)"))</f>
        <v/>
      </c>
      <c r="U1125" s="33">
        <f>IF(R1125="","",IFERROR(INDEX(Cl_quartier,MATCH(R1125,Cl_cle,0))&amp;"",""))</f>
        <v/>
      </c>
      <c r="V1125" s="34">
        <f>IF(C1125="","",YEAR(C1125-WEEKDAY(C1125,2)+4)&amp;"-S"&amp;TEXT(INT((C1125-DATE(YEAR(C1125-WEEKDAY(C1125,2)+4),1,3)+WEEKDAY(DATE(YEAR(C1125-WEEKDAY(C1125,2)+4),1,3),2)+5)/7),"00"))</f>
        <v/>
      </c>
    </row>
    <row r="1126" ht="18" customHeight="1">
      <c r="A1126" s="39" t="n">
        <v>1121</v>
      </c>
      <c r="B1126" s="33">
        <f>IF(C1126="","",IF(P1126="À RENSEIGNER","GIC",P1126)&amp;"-V"&amp;TEXT(A1126,"00000"))</f>
        <v/>
      </c>
      <c r="C1126" s="32" t="n"/>
      <c r="D1126" s="35" t="n"/>
      <c r="E1126" s="36" t="n"/>
      <c r="F1126" s="36" t="n"/>
      <c r="G1126" s="36" t="n"/>
      <c r="H1126" s="36" t="n"/>
      <c r="I1126" s="36" t="n"/>
      <c r="J1126" s="37" t="n"/>
      <c r="K1126" s="32" t="n"/>
      <c r="L1126" s="36" t="n"/>
      <c r="M1126" s="41" t="n"/>
      <c r="N1126" s="41" t="n"/>
      <c r="O1126" s="36" t="n"/>
      <c r="P1126" s="33">
        <f>IF(C1126="","",Commercial_Id)</f>
        <v/>
      </c>
      <c r="Q1126" s="39">
        <f>IF(F1126="","",IFERROR(VALUE(MID(F1126,LEN(F1126)-3,3)),""))</f>
        <v/>
      </c>
      <c r="R1126" s="33">
        <f>IF(Q1126="","",P1126&amp;"|"&amp;Q1126)</f>
        <v/>
      </c>
      <c r="S1126" s="33">
        <f>IF(Q1126="","",IF(P1126="À RENSEIGNER","GIC",P1126)&amp;"-"&amp;TEXT(Q1126,"000"))</f>
        <v/>
      </c>
      <c r="T1126" s="33">
        <f>IF(R1126="","",IFERROR(INDEX(Cl_nom,MATCH(R1126,Cl_cle,0)),"(client introuvable)"))</f>
        <v/>
      </c>
      <c r="U1126" s="33">
        <f>IF(R1126="","",IFERROR(INDEX(Cl_quartier,MATCH(R1126,Cl_cle,0))&amp;"",""))</f>
        <v/>
      </c>
      <c r="V1126" s="34">
        <f>IF(C1126="","",YEAR(C1126-WEEKDAY(C1126,2)+4)&amp;"-S"&amp;TEXT(INT((C1126-DATE(YEAR(C1126-WEEKDAY(C1126,2)+4),1,3)+WEEKDAY(DATE(YEAR(C1126-WEEKDAY(C1126,2)+4),1,3),2)+5)/7),"00"))</f>
        <v/>
      </c>
    </row>
    <row r="1127" ht="18" customHeight="1">
      <c r="A1127" s="39" t="n">
        <v>1122</v>
      </c>
      <c r="B1127" s="33">
        <f>IF(C1127="","",IF(P1127="À RENSEIGNER","GIC",P1127)&amp;"-V"&amp;TEXT(A1127,"00000"))</f>
        <v/>
      </c>
      <c r="C1127" s="32" t="n"/>
      <c r="D1127" s="35" t="n"/>
      <c r="E1127" s="36" t="n"/>
      <c r="F1127" s="36" t="n"/>
      <c r="G1127" s="36" t="n"/>
      <c r="H1127" s="36" t="n"/>
      <c r="I1127" s="36" t="n"/>
      <c r="J1127" s="37" t="n"/>
      <c r="K1127" s="32" t="n"/>
      <c r="L1127" s="36" t="n"/>
      <c r="M1127" s="41" t="n"/>
      <c r="N1127" s="41" t="n"/>
      <c r="O1127" s="36" t="n"/>
      <c r="P1127" s="33">
        <f>IF(C1127="","",Commercial_Id)</f>
        <v/>
      </c>
      <c r="Q1127" s="39">
        <f>IF(F1127="","",IFERROR(VALUE(MID(F1127,LEN(F1127)-3,3)),""))</f>
        <v/>
      </c>
      <c r="R1127" s="33">
        <f>IF(Q1127="","",P1127&amp;"|"&amp;Q1127)</f>
        <v/>
      </c>
      <c r="S1127" s="33">
        <f>IF(Q1127="","",IF(P1127="À RENSEIGNER","GIC",P1127)&amp;"-"&amp;TEXT(Q1127,"000"))</f>
        <v/>
      </c>
      <c r="T1127" s="33">
        <f>IF(R1127="","",IFERROR(INDEX(Cl_nom,MATCH(R1127,Cl_cle,0)),"(client introuvable)"))</f>
        <v/>
      </c>
      <c r="U1127" s="33">
        <f>IF(R1127="","",IFERROR(INDEX(Cl_quartier,MATCH(R1127,Cl_cle,0))&amp;"",""))</f>
        <v/>
      </c>
      <c r="V1127" s="34">
        <f>IF(C1127="","",YEAR(C1127-WEEKDAY(C1127,2)+4)&amp;"-S"&amp;TEXT(INT((C1127-DATE(YEAR(C1127-WEEKDAY(C1127,2)+4),1,3)+WEEKDAY(DATE(YEAR(C1127-WEEKDAY(C1127,2)+4),1,3),2)+5)/7),"00"))</f>
        <v/>
      </c>
    </row>
    <row r="1128" ht="18" customHeight="1">
      <c r="A1128" s="39" t="n">
        <v>1123</v>
      </c>
      <c r="B1128" s="33">
        <f>IF(C1128="","",IF(P1128="À RENSEIGNER","GIC",P1128)&amp;"-V"&amp;TEXT(A1128,"00000"))</f>
        <v/>
      </c>
      <c r="C1128" s="32" t="n"/>
      <c r="D1128" s="35" t="n"/>
      <c r="E1128" s="36" t="n"/>
      <c r="F1128" s="36" t="n"/>
      <c r="G1128" s="36" t="n"/>
      <c r="H1128" s="36" t="n"/>
      <c r="I1128" s="36" t="n"/>
      <c r="J1128" s="37" t="n"/>
      <c r="K1128" s="32" t="n"/>
      <c r="L1128" s="36" t="n"/>
      <c r="M1128" s="41" t="n"/>
      <c r="N1128" s="41" t="n"/>
      <c r="O1128" s="36" t="n"/>
      <c r="P1128" s="33">
        <f>IF(C1128="","",Commercial_Id)</f>
        <v/>
      </c>
      <c r="Q1128" s="39">
        <f>IF(F1128="","",IFERROR(VALUE(MID(F1128,LEN(F1128)-3,3)),""))</f>
        <v/>
      </c>
      <c r="R1128" s="33">
        <f>IF(Q1128="","",P1128&amp;"|"&amp;Q1128)</f>
        <v/>
      </c>
      <c r="S1128" s="33">
        <f>IF(Q1128="","",IF(P1128="À RENSEIGNER","GIC",P1128)&amp;"-"&amp;TEXT(Q1128,"000"))</f>
        <v/>
      </c>
      <c r="T1128" s="33">
        <f>IF(R1128="","",IFERROR(INDEX(Cl_nom,MATCH(R1128,Cl_cle,0)),"(client introuvable)"))</f>
        <v/>
      </c>
      <c r="U1128" s="33">
        <f>IF(R1128="","",IFERROR(INDEX(Cl_quartier,MATCH(R1128,Cl_cle,0))&amp;"",""))</f>
        <v/>
      </c>
      <c r="V1128" s="34">
        <f>IF(C1128="","",YEAR(C1128-WEEKDAY(C1128,2)+4)&amp;"-S"&amp;TEXT(INT((C1128-DATE(YEAR(C1128-WEEKDAY(C1128,2)+4),1,3)+WEEKDAY(DATE(YEAR(C1128-WEEKDAY(C1128,2)+4),1,3),2)+5)/7),"00"))</f>
        <v/>
      </c>
    </row>
    <row r="1129" ht="18" customHeight="1">
      <c r="A1129" s="39" t="n">
        <v>1124</v>
      </c>
      <c r="B1129" s="33">
        <f>IF(C1129="","",IF(P1129="À RENSEIGNER","GIC",P1129)&amp;"-V"&amp;TEXT(A1129,"00000"))</f>
        <v/>
      </c>
      <c r="C1129" s="32" t="n"/>
      <c r="D1129" s="35" t="n"/>
      <c r="E1129" s="36" t="n"/>
      <c r="F1129" s="36" t="n"/>
      <c r="G1129" s="36" t="n"/>
      <c r="H1129" s="36" t="n"/>
      <c r="I1129" s="36" t="n"/>
      <c r="J1129" s="37" t="n"/>
      <c r="K1129" s="32" t="n"/>
      <c r="L1129" s="36" t="n"/>
      <c r="M1129" s="41" t="n"/>
      <c r="N1129" s="41" t="n"/>
      <c r="O1129" s="36" t="n"/>
      <c r="P1129" s="33">
        <f>IF(C1129="","",Commercial_Id)</f>
        <v/>
      </c>
      <c r="Q1129" s="39">
        <f>IF(F1129="","",IFERROR(VALUE(MID(F1129,LEN(F1129)-3,3)),""))</f>
        <v/>
      </c>
      <c r="R1129" s="33">
        <f>IF(Q1129="","",P1129&amp;"|"&amp;Q1129)</f>
        <v/>
      </c>
      <c r="S1129" s="33">
        <f>IF(Q1129="","",IF(P1129="À RENSEIGNER","GIC",P1129)&amp;"-"&amp;TEXT(Q1129,"000"))</f>
        <v/>
      </c>
      <c r="T1129" s="33">
        <f>IF(R1129="","",IFERROR(INDEX(Cl_nom,MATCH(R1129,Cl_cle,0)),"(client introuvable)"))</f>
        <v/>
      </c>
      <c r="U1129" s="33">
        <f>IF(R1129="","",IFERROR(INDEX(Cl_quartier,MATCH(R1129,Cl_cle,0))&amp;"",""))</f>
        <v/>
      </c>
      <c r="V1129" s="34">
        <f>IF(C1129="","",YEAR(C1129-WEEKDAY(C1129,2)+4)&amp;"-S"&amp;TEXT(INT((C1129-DATE(YEAR(C1129-WEEKDAY(C1129,2)+4),1,3)+WEEKDAY(DATE(YEAR(C1129-WEEKDAY(C1129,2)+4),1,3),2)+5)/7),"00"))</f>
        <v/>
      </c>
    </row>
    <row r="1130" ht="18" customHeight="1">
      <c r="A1130" s="39" t="n">
        <v>1125</v>
      </c>
      <c r="B1130" s="33">
        <f>IF(C1130="","",IF(P1130="À RENSEIGNER","GIC",P1130)&amp;"-V"&amp;TEXT(A1130,"00000"))</f>
        <v/>
      </c>
      <c r="C1130" s="32" t="n"/>
      <c r="D1130" s="35" t="n"/>
      <c r="E1130" s="36" t="n"/>
      <c r="F1130" s="36" t="n"/>
      <c r="G1130" s="36" t="n"/>
      <c r="H1130" s="36" t="n"/>
      <c r="I1130" s="36" t="n"/>
      <c r="J1130" s="37" t="n"/>
      <c r="K1130" s="32" t="n"/>
      <c r="L1130" s="36" t="n"/>
      <c r="M1130" s="41" t="n"/>
      <c r="N1130" s="41" t="n"/>
      <c r="O1130" s="36" t="n"/>
      <c r="P1130" s="33">
        <f>IF(C1130="","",Commercial_Id)</f>
        <v/>
      </c>
      <c r="Q1130" s="39">
        <f>IF(F1130="","",IFERROR(VALUE(MID(F1130,LEN(F1130)-3,3)),""))</f>
        <v/>
      </c>
      <c r="R1130" s="33">
        <f>IF(Q1130="","",P1130&amp;"|"&amp;Q1130)</f>
        <v/>
      </c>
      <c r="S1130" s="33">
        <f>IF(Q1130="","",IF(P1130="À RENSEIGNER","GIC",P1130)&amp;"-"&amp;TEXT(Q1130,"000"))</f>
        <v/>
      </c>
      <c r="T1130" s="33">
        <f>IF(R1130="","",IFERROR(INDEX(Cl_nom,MATCH(R1130,Cl_cle,0)),"(client introuvable)"))</f>
        <v/>
      </c>
      <c r="U1130" s="33">
        <f>IF(R1130="","",IFERROR(INDEX(Cl_quartier,MATCH(R1130,Cl_cle,0))&amp;"",""))</f>
        <v/>
      </c>
      <c r="V1130" s="34">
        <f>IF(C1130="","",YEAR(C1130-WEEKDAY(C1130,2)+4)&amp;"-S"&amp;TEXT(INT((C1130-DATE(YEAR(C1130-WEEKDAY(C1130,2)+4),1,3)+WEEKDAY(DATE(YEAR(C1130-WEEKDAY(C1130,2)+4),1,3),2)+5)/7),"00"))</f>
        <v/>
      </c>
    </row>
    <row r="1131" ht="18" customHeight="1">
      <c r="A1131" s="39" t="n">
        <v>1126</v>
      </c>
      <c r="B1131" s="33">
        <f>IF(C1131="","",IF(P1131="À RENSEIGNER","GIC",P1131)&amp;"-V"&amp;TEXT(A1131,"00000"))</f>
        <v/>
      </c>
      <c r="C1131" s="32" t="n"/>
      <c r="D1131" s="35" t="n"/>
      <c r="E1131" s="36" t="n"/>
      <c r="F1131" s="36" t="n"/>
      <c r="G1131" s="36" t="n"/>
      <c r="H1131" s="36" t="n"/>
      <c r="I1131" s="36" t="n"/>
      <c r="J1131" s="37" t="n"/>
      <c r="K1131" s="32" t="n"/>
      <c r="L1131" s="36" t="n"/>
      <c r="M1131" s="41" t="n"/>
      <c r="N1131" s="41" t="n"/>
      <c r="O1131" s="36" t="n"/>
      <c r="P1131" s="33">
        <f>IF(C1131="","",Commercial_Id)</f>
        <v/>
      </c>
      <c r="Q1131" s="39">
        <f>IF(F1131="","",IFERROR(VALUE(MID(F1131,LEN(F1131)-3,3)),""))</f>
        <v/>
      </c>
      <c r="R1131" s="33">
        <f>IF(Q1131="","",P1131&amp;"|"&amp;Q1131)</f>
        <v/>
      </c>
      <c r="S1131" s="33">
        <f>IF(Q1131="","",IF(P1131="À RENSEIGNER","GIC",P1131)&amp;"-"&amp;TEXT(Q1131,"000"))</f>
        <v/>
      </c>
      <c r="T1131" s="33">
        <f>IF(R1131="","",IFERROR(INDEX(Cl_nom,MATCH(R1131,Cl_cle,0)),"(client introuvable)"))</f>
        <v/>
      </c>
      <c r="U1131" s="33">
        <f>IF(R1131="","",IFERROR(INDEX(Cl_quartier,MATCH(R1131,Cl_cle,0))&amp;"",""))</f>
        <v/>
      </c>
      <c r="V1131" s="34">
        <f>IF(C1131="","",YEAR(C1131-WEEKDAY(C1131,2)+4)&amp;"-S"&amp;TEXT(INT((C1131-DATE(YEAR(C1131-WEEKDAY(C1131,2)+4),1,3)+WEEKDAY(DATE(YEAR(C1131-WEEKDAY(C1131,2)+4),1,3),2)+5)/7),"00"))</f>
        <v/>
      </c>
    </row>
    <row r="1132" ht="18" customHeight="1">
      <c r="A1132" s="39" t="n">
        <v>1127</v>
      </c>
      <c r="B1132" s="33">
        <f>IF(C1132="","",IF(P1132="À RENSEIGNER","GIC",P1132)&amp;"-V"&amp;TEXT(A1132,"00000"))</f>
        <v/>
      </c>
      <c r="C1132" s="32" t="n"/>
      <c r="D1132" s="35" t="n"/>
      <c r="E1132" s="36" t="n"/>
      <c r="F1132" s="36" t="n"/>
      <c r="G1132" s="36" t="n"/>
      <c r="H1132" s="36" t="n"/>
      <c r="I1132" s="36" t="n"/>
      <c r="J1132" s="37" t="n"/>
      <c r="K1132" s="32" t="n"/>
      <c r="L1132" s="36" t="n"/>
      <c r="M1132" s="41" t="n"/>
      <c r="N1132" s="41" t="n"/>
      <c r="O1132" s="36" t="n"/>
      <c r="P1132" s="33">
        <f>IF(C1132="","",Commercial_Id)</f>
        <v/>
      </c>
      <c r="Q1132" s="39">
        <f>IF(F1132="","",IFERROR(VALUE(MID(F1132,LEN(F1132)-3,3)),""))</f>
        <v/>
      </c>
      <c r="R1132" s="33">
        <f>IF(Q1132="","",P1132&amp;"|"&amp;Q1132)</f>
        <v/>
      </c>
      <c r="S1132" s="33">
        <f>IF(Q1132="","",IF(P1132="À RENSEIGNER","GIC",P1132)&amp;"-"&amp;TEXT(Q1132,"000"))</f>
        <v/>
      </c>
      <c r="T1132" s="33">
        <f>IF(R1132="","",IFERROR(INDEX(Cl_nom,MATCH(R1132,Cl_cle,0)),"(client introuvable)"))</f>
        <v/>
      </c>
      <c r="U1132" s="33">
        <f>IF(R1132="","",IFERROR(INDEX(Cl_quartier,MATCH(R1132,Cl_cle,0))&amp;"",""))</f>
        <v/>
      </c>
      <c r="V1132" s="34">
        <f>IF(C1132="","",YEAR(C1132-WEEKDAY(C1132,2)+4)&amp;"-S"&amp;TEXT(INT((C1132-DATE(YEAR(C1132-WEEKDAY(C1132,2)+4),1,3)+WEEKDAY(DATE(YEAR(C1132-WEEKDAY(C1132,2)+4),1,3),2)+5)/7),"00"))</f>
        <v/>
      </c>
    </row>
    <row r="1133" ht="18" customHeight="1">
      <c r="A1133" s="39" t="n">
        <v>1128</v>
      </c>
      <c r="B1133" s="33">
        <f>IF(C1133="","",IF(P1133="À RENSEIGNER","GIC",P1133)&amp;"-V"&amp;TEXT(A1133,"00000"))</f>
        <v/>
      </c>
      <c r="C1133" s="32" t="n"/>
      <c r="D1133" s="35" t="n"/>
      <c r="E1133" s="36" t="n"/>
      <c r="F1133" s="36" t="n"/>
      <c r="G1133" s="36" t="n"/>
      <c r="H1133" s="36" t="n"/>
      <c r="I1133" s="36" t="n"/>
      <c r="J1133" s="37" t="n"/>
      <c r="K1133" s="32" t="n"/>
      <c r="L1133" s="36" t="n"/>
      <c r="M1133" s="41" t="n"/>
      <c r="N1133" s="41" t="n"/>
      <c r="O1133" s="36" t="n"/>
      <c r="P1133" s="33">
        <f>IF(C1133="","",Commercial_Id)</f>
        <v/>
      </c>
      <c r="Q1133" s="39">
        <f>IF(F1133="","",IFERROR(VALUE(MID(F1133,LEN(F1133)-3,3)),""))</f>
        <v/>
      </c>
      <c r="R1133" s="33">
        <f>IF(Q1133="","",P1133&amp;"|"&amp;Q1133)</f>
        <v/>
      </c>
      <c r="S1133" s="33">
        <f>IF(Q1133="","",IF(P1133="À RENSEIGNER","GIC",P1133)&amp;"-"&amp;TEXT(Q1133,"000"))</f>
        <v/>
      </c>
      <c r="T1133" s="33">
        <f>IF(R1133="","",IFERROR(INDEX(Cl_nom,MATCH(R1133,Cl_cle,0)),"(client introuvable)"))</f>
        <v/>
      </c>
      <c r="U1133" s="33">
        <f>IF(R1133="","",IFERROR(INDEX(Cl_quartier,MATCH(R1133,Cl_cle,0))&amp;"",""))</f>
        <v/>
      </c>
      <c r="V1133" s="34">
        <f>IF(C1133="","",YEAR(C1133-WEEKDAY(C1133,2)+4)&amp;"-S"&amp;TEXT(INT((C1133-DATE(YEAR(C1133-WEEKDAY(C1133,2)+4),1,3)+WEEKDAY(DATE(YEAR(C1133-WEEKDAY(C1133,2)+4),1,3),2)+5)/7),"00"))</f>
        <v/>
      </c>
    </row>
    <row r="1134" ht="18" customHeight="1">
      <c r="A1134" s="39" t="n">
        <v>1129</v>
      </c>
      <c r="B1134" s="33">
        <f>IF(C1134="","",IF(P1134="À RENSEIGNER","GIC",P1134)&amp;"-V"&amp;TEXT(A1134,"00000"))</f>
        <v/>
      </c>
      <c r="C1134" s="32" t="n"/>
      <c r="D1134" s="35" t="n"/>
      <c r="E1134" s="36" t="n"/>
      <c r="F1134" s="36" t="n"/>
      <c r="G1134" s="36" t="n"/>
      <c r="H1134" s="36" t="n"/>
      <c r="I1134" s="36" t="n"/>
      <c r="J1134" s="37" t="n"/>
      <c r="K1134" s="32" t="n"/>
      <c r="L1134" s="36" t="n"/>
      <c r="M1134" s="41" t="n"/>
      <c r="N1134" s="41" t="n"/>
      <c r="O1134" s="36" t="n"/>
      <c r="P1134" s="33">
        <f>IF(C1134="","",Commercial_Id)</f>
        <v/>
      </c>
      <c r="Q1134" s="39">
        <f>IF(F1134="","",IFERROR(VALUE(MID(F1134,LEN(F1134)-3,3)),""))</f>
        <v/>
      </c>
      <c r="R1134" s="33">
        <f>IF(Q1134="","",P1134&amp;"|"&amp;Q1134)</f>
        <v/>
      </c>
      <c r="S1134" s="33">
        <f>IF(Q1134="","",IF(P1134="À RENSEIGNER","GIC",P1134)&amp;"-"&amp;TEXT(Q1134,"000"))</f>
        <v/>
      </c>
      <c r="T1134" s="33">
        <f>IF(R1134="","",IFERROR(INDEX(Cl_nom,MATCH(R1134,Cl_cle,0)),"(client introuvable)"))</f>
        <v/>
      </c>
      <c r="U1134" s="33">
        <f>IF(R1134="","",IFERROR(INDEX(Cl_quartier,MATCH(R1134,Cl_cle,0))&amp;"",""))</f>
        <v/>
      </c>
      <c r="V1134" s="34">
        <f>IF(C1134="","",YEAR(C1134-WEEKDAY(C1134,2)+4)&amp;"-S"&amp;TEXT(INT((C1134-DATE(YEAR(C1134-WEEKDAY(C1134,2)+4),1,3)+WEEKDAY(DATE(YEAR(C1134-WEEKDAY(C1134,2)+4),1,3),2)+5)/7),"00"))</f>
        <v/>
      </c>
    </row>
    <row r="1135" ht="18" customHeight="1">
      <c r="A1135" s="39" t="n">
        <v>1130</v>
      </c>
      <c r="B1135" s="33">
        <f>IF(C1135="","",IF(P1135="À RENSEIGNER","GIC",P1135)&amp;"-V"&amp;TEXT(A1135,"00000"))</f>
        <v/>
      </c>
      <c r="C1135" s="32" t="n"/>
      <c r="D1135" s="35" t="n"/>
      <c r="E1135" s="36" t="n"/>
      <c r="F1135" s="36" t="n"/>
      <c r="G1135" s="36" t="n"/>
      <c r="H1135" s="36" t="n"/>
      <c r="I1135" s="36" t="n"/>
      <c r="J1135" s="37" t="n"/>
      <c r="K1135" s="32" t="n"/>
      <c r="L1135" s="36" t="n"/>
      <c r="M1135" s="41" t="n"/>
      <c r="N1135" s="41" t="n"/>
      <c r="O1135" s="36" t="n"/>
      <c r="P1135" s="33">
        <f>IF(C1135="","",Commercial_Id)</f>
        <v/>
      </c>
      <c r="Q1135" s="39">
        <f>IF(F1135="","",IFERROR(VALUE(MID(F1135,LEN(F1135)-3,3)),""))</f>
        <v/>
      </c>
      <c r="R1135" s="33">
        <f>IF(Q1135="","",P1135&amp;"|"&amp;Q1135)</f>
        <v/>
      </c>
      <c r="S1135" s="33">
        <f>IF(Q1135="","",IF(P1135="À RENSEIGNER","GIC",P1135)&amp;"-"&amp;TEXT(Q1135,"000"))</f>
        <v/>
      </c>
      <c r="T1135" s="33">
        <f>IF(R1135="","",IFERROR(INDEX(Cl_nom,MATCH(R1135,Cl_cle,0)),"(client introuvable)"))</f>
        <v/>
      </c>
      <c r="U1135" s="33">
        <f>IF(R1135="","",IFERROR(INDEX(Cl_quartier,MATCH(R1135,Cl_cle,0))&amp;"",""))</f>
        <v/>
      </c>
      <c r="V1135" s="34">
        <f>IF(C1135="","",YEAR(C1135-WEEKDAY(C1135,2)+4)&amp;"-S"&amp;TEXT(INT((C1135-DATE(YEAR(C1135-WEEKDAY(C1135,2)+4),1,3)+WEEKDAY(DATE(YEAR(C1135-WEEKDAY(C1135,2)+4),1,3),2)+5)/7),"00"))</f>
        <v/>
      </c>
    </row>
    <row r="1136" ht="18" customHeight="1">
      <c r="A1136" s="39" t="n">
        <v>1131</v>
      </c>
      <c r="B1136" s="33">
        <f>IF(C1136="","",IF(P1136="À RENSEIGNER","GIC",P1136)&amp;"-V"&amp;TEXT(A1136,"00000"))</f>
        <v/>
      </c>
      <c r="C1136" s="32" t="n"/>
      <c r="D1136" s="35" t="n"/>
      <c r="E1136" s="36" t="n"/>
      <c r="F1136" s="36" t="n"/>
      <c r="G1136" s="36" t="n"/>
      <c r="H1136" s="36" t="n"/>
      <c r="I1136" s="36" t="n"/>
      <c r="J1136" s="37" t="n"/>
      <c r="K1136" s="32" t="n"/>
      <c r="L1136" s="36" t="n"/>
      <c r="M1136" s="41" t="n"/>
      <c r="N1136" s="41" t="n"/>
      <c r="O1136" s="36" t="n"/>
      <c r="P1136" s="33">
        <f>IF(C1136="","",Commercial_Id)</f>
        <v/>
      </c>
      <c r="Q1136" s="39">
        <f>IF(F1136="","",IFERROR(VALUE(MID(F1136,LEN(F1136)-3,3)),""))</f>
        <v/>
      </c>
      <c r="R1136" s="33">
        <f>IF(Q1136="","",P1136&amp;"|"&amp;Q1136)</f>
        <v/>
      </c>
      <c r="S1136" s="33">
        <f>IF(Q1136="","",IF(P1136="À RENSEIGNER","GIC",P1136)&amp;"-"&amp;TEXT(Q1136,"000"))</f>
        <v/>
      </c>
      <c r="T1136" s="33">
        <f>IF(R1136="","",IFERROR(INDEX(Cl_nom,MATCH(R1136,Cl_cle,0)),"(client introuvable)"))</f>
        <v/>
      </c>
      <c r="U1136" s="33">
        <f>IF(R1136="","",IFERROR(INDEX(Cl_quartier,MATCH(R1136,Cl_cle,0))&amp;"",""))</f>
        <v/>
      </c>
      <c r="V1136" s="34">
        <f>IF(C1136="","",YEAR(C1136-WEEKDAY(C1136,2)+4)&amp;"-S"&amp;TEXT(INT((C1136-DATE(YEAR(C1136-WEEKDAY(C1136,2)+4),1,3)+WEEKDAY(DATE(YEAR(C1136-WEEKDAY(C1136,2)+4),1,3),2)+5)/7),"00"))</f>
        <v/>
      </c>
    </row>
    <row r="1137" ht="18" customHeight="1">
      <c r="A1137" s="39" t="n">
        <v>1132</v>
      </c>
      <c r="B1137" s="33">
        <f>IF(C1137="","",IF(P1137="À RENSEIGNER","GIC",P1137)&amp;"-V"&amp;TEXT(A1137,"00000"))</f>
        <v/>
      </c>
      <c r="C1137" s="32" t="n"/>
      <c r="D1137" s="35" t="n"/>
      <c r="E1137" s="36" t="n"/>
      <c r="F1137" s="36" t="n"/>
      <c r="G1137" s="36" t="n"/>
      <c r="H1137" s="36" t="n"/>
      <c r="I1137" s="36" t="n"/>
      <c r="J1137" s="37" t="n"/>
      <c r="K1137" s="32" t="n"/>
      <c r="L1137" s="36" t="n"/>
      <c r="M1137" s="41" t="n"/>
      <c r="N1137" s="41" t="n"/>
      <c r="O1137" s="36" t="n"/>
      <c r="P1137" s="33">
        <f>IF(C1137="","",Commercial_Id)</f>
        <v/>
      </c>
      <c r="Q1137" s="39">
        <f>IF(F1137="","",IFERROR(VALUE(MID(F1137,LEN(F1137)-3,3)),""))</f>
        <v/>
      </c>
      <c r="R1137" s="33">
        <f>IF(Q1137="","",P1137&amp;"|"&amp;Q1137)</f>
        <v/>
      </c>
      <c r="S1137" s="33">
        <f>IF(Q1137="","",IF(P1137="À RENSEIGNER","GIC",P1137)&amp;"-"&amp;TEXT(Q1137,"000"))</f>
        <v/>
      </c>
      <c r="T1137" s="33">
        <f>IF(R1137="","",IFERROR(INDEX(Cl_nom,MATCH(R1137,Cl_cle,0)),"(client introuvable)"))</f>
        <v/>
      </c>
      <c r="U1137" s="33">
        <f>IF(R1137="","",IFERROR(INDEX(Cl_quartier,MATCH(R1137,Cl_cle,0))&amp;"",""))</f>
        <v/>
      </c>
      <c r="V1137" s="34">
        <f>IF(C1137="","",YEAR(C1137-WEEKDAY(C1137,2)+4)&amp;"-S"&amp;TEXT(INT((C1137-DATE(YEAR(C1137-WEEKDAY(C1137,2)+4),1,3)+WEEKDAY(DATE(YEAR(C1137-WEEKDAY(C1137,2)+4),1,3),2)+5)/7),"00"))</f>
        <v/>
      </c>
    </row>
    <row r="1138" ht="18" customHeight="1">
      <c r="A1138" s="39" t="n">
        <v>1133</v>
      </c>
      <c r="B1138" s="33">
        <f>IF(C1138="","",IF(P1138="À RENSEIGNER","GIC",P1138)&amp;"-V"&amp;TEXT(A1138,"00000"))</f>
        <v/>
      </c>
      <c r="C1138" s="32" t="n"/>
      <c r="D1138" s="35" t="n"/>
      <c r="E1138" s="36" t="n"/>
      <c r="F1138" s="36" t="n"/>
      <c r="G1138" s="36" t="n"/>
      <c r="H1138" s="36" t="n"/>
      <c r="I1138" s="36" t="n"/>
      <c r="J1138" s="37" t="n"/>
      <c r="K1138" s="32" t="n"/>
      <c r="L1138" s="36" t="n"/>
      <c r="M1138" s="41" t="n"/>
      <c r="N1138" s="41" t="n"/>
      <c r="O1138" s="36" t="n"/>
      <c r="P1138" s="33">
        <f>IF(C1138="","",Commercial_Id)</f>
        <v/>
      </c>
      <c r="Q1138" s="39">
        <f>IF(F1138="","",IFERROR(VALUE(MID(F1138,LEN(F1138)-3,3)),""))</f>
        <v/>
      </c>
      <c r="R1138" s="33">
        <f>IF(Q1138="","",P1138&amp;"|"&amp;Q1138)</f>
        <v/>
      </c>
      <c r="S1138" s="33">
        <f>IF(Q1138="","",IF(P1138="À RENSEIGNER","GIC",P1138)&amp;"-"&amp;TEXT(Q1138,"000"))</f>
        <v/>
      </c>
      <c r="T1138" s="33">
        <f>IF(R1138="","",IFERROR(INDEX(Cl_nom,MATCH(R1138,Cl_cle,0)),"(client introuvable)"))</f>
        <v/>
      </c>
      <c r="U1138" s="33">
        <f>IF(R1138="","",IFERROR(INDEX(Cl_quartier,MATCH(R1138,Cl_cle,0))&amp;"",""))</f>
        <v/>
      </c>
      <c r="V1138" s="34">
        <f>IF(C1138="","",YEAR(C1138-WEEKDAY(C1138,2)+4)&amp;"-S"&amp;TEXT(INT((C1138-DATE(YEAR(C1138-WEEKDAY(C1138,2)+4),1,3)+WEEKDAY(DATE(YEAR(C1138-WEEKDAY(C1138,2)+4),1,3),2)+5)/7),"00"))</f>
        <v/>
      </c>
    </row>
    <row r="1139" ht="18" customHeight="1">
      <c r="A1139" s="39" t="n">
        <v>1134</v>
      </c>
      <c r="B1139" s="33">
        <f>IF(C1139="","",IF(P1139="À RENSEIGNER","GIC",P1139)&amp;"-V"&amp;TEXT(A1139,"00000"))</f>
        <v/>
      </c>
      <c r="C1139" s="32" t="n"/>
      <c r="D1139" s="35" t="n"/>
      <c r="E1139" s="36" t="n"/>
      <c r="F1139" s="36" t="n"/>
      <c r="G1139" s="36" t="n"/>
      <c r="H1139" s="36" t="n"/>
      <c r="I1139" s="36" t="n"/>
      <c r="J1139" s="37" t="n"/>
      <c r="K1139" s="32" t="n"/>
      <c r="L1139" s="36" t="n"/>
      <c r="M1139" s="41" t="n"/>
      <c r="N1139" s="41" t="n"/>
      <c r="O1139" s="36" t="n"/>
      <c r="P1139" s="33">
        <f>IF(C1139="","",Commercial_Id)</f>
        <v/>
      </c>
      <c r="Q1139" s="39">
        <f>IF(F1139="","",IFERROR(VALUE(MID(F1139,LEN(F1139)-3,3)),""))</f>
        <v/>
      </c>
      <c r="R1139" s="33">
        <f>IF(Q1139="","",P1139&amp;"|"&amp;Q1139)</f>
        <v/>
      </c>
      <c r="S1139" s="33">
        <f>IF(Q1139="","",IF(P1139="À RENSEIGNER","GIC",P1139)&amp;"-"&amp;TEXT(Q1139,"000"))</f>
        <v/>
      </c>
      <c r="T1139" s="33">
        <f>IF(R1139="","",IFERROR(INDEX(Cl_nom,MATCH(R1139,Cl_cle,0)),"(client introuvable)"))</f>
        <v/>
      </c>
      <c r="U1139" s="33">
        <f>IF(R1139="","",IFERROR(INDEX(Cl_quartier,MATCH(R1139,Cl_cle,0))&amp;"",""))</f>
        <v/>
      </c>
      <c r="V1139" s="34">
        <f>IF(C1139="","",YEAR(C1139-WEEKDAY(C1139,2)+4)&amp;"-S"&amp;TEXT(INT((C1139-DATE(YEAR(C1139-WEEKDAY(C1139,2)+4),1,3)+WEEKDAY(DATE(YEAR(C1139-WEEKDAY(C1139,2)+4),1,3),2)+5)/7),"00"))</f>
        <v/>
      </c>
    </row>
    <row r="1140" ht="18" customHeight="1">
      <c r="A1140" s="39" t="n">
        <v>1135</v>
      </c>
      <c r="B1140" s="33">
        <f>IF(C1140="","",IF(P1140="À RENSEIGNER","GIC",P1140)&amp;"-V"&amp;TEXT(A1140,"00000"))</f>
        <v/>
      </c>
      <c r="C1140" s="32" t="n"/>
      <c r="D1140" s="35" t="n"/>
      <c r="E1140" s="36" t="n"/>
      <c r="F1140" s="36" t="n"/>
      <c r="G1140" s="36" t="n"/>
      <c r="H1140" s="36" t="n"/>
      <c r="I1140" s="36" t="n"/>
      <c r="J1140" s="37" t="n"/>
      <c r="K1140" s="32" t="n"/>
      <c r="L1140" s="36" t="n"/>
      <c r="M1140" s="41" t="n"/>
      <c r="N1140" s="41" t="n"/>
      <c r="O1140" s="36" t="n"/>
      <c r="P1140" s="33">
        <f>IF(C1140="","",Commercial_Id)</f>
        <v/>
      </c>
      <c r="Q1140" s="39">
        <f>IF(F1140="","",IFERROR(VALUE(MID(F1140,LEN(F1140)-3,3)),""))</f>
        <v/>
      </c>
      <c r="R1140" s="33">
        <f>IF(Q1140="","",P1140&amp;"|"&amp;Q1140)</f>
        <v/>
      </c>
      <c r="S1140" s="33">
        <f>IF(Q1140="","",IF(P1140="À RENSEIGNER","GIC",P1140)&amp;"-"&amp;TEXT(Q1140,"000"))</f>
        <v/>
      </c>
      <c r="T1140" s="33">
        <f>IF(R1140="","",IFERROR(INDEX(Cl_nom,MATCH(R1140,Cl_cle,0)),"(client introuvable)"))</f>
        <v/>
      </c>
      <c r="U1140" s="33">
        <f>IF(R1140="","",IFERROR(INDEX(Cl_quartier,MATCH(R1140,Cl_cle,0))&amp;"",""))</f>
        <v/>
      </c>
      <c r="V1140" s="34">
        <f>IF(C1140="","",YEAR(C1140-WEEKDAY(C1140,2)+4)&amp;"-S"&amp;TEXT(INT((C1140-DATE(YEAR(C1140-WEEKDAY(C1140,2)+4),1,3)+WEEKDAY(DATE(YEAR(C1140-WEEKDAY(C1140,2)+4),1,3),2)+5)/7),"00"))</f>
        <v/>
      </c>
    </row>
    <row r="1141" ht="18" customHeight="1">
      <c r="A1141" s="39" t="n">
        <v>1136</v>
      </c>
      <c r="B1141" s="33">
        <f>IF(C1141="","",IF(P1141="À RENSEIGNER","GIC",P1141)&amp;"-V"&amp;TEXT(A1141,"00000"))</f>
        <v/>
      </c>
      <c r="C1141" s="32" t="n"/>
      <c r="D1141" s="35" t="n"/>
      <c r="E1141" s="36" t="n"/>
      <c r="F1141" s="36" t="n"/>
      <c r="G1141" s="36" t="n"/>
      <c r="H1141" s="36" t="n"/>
      <c r="I1141" s="36" t="n"/>
      <c r="J1141" s="37" t="n"/>
      <c r="K1141" s="32" t="n"/>
      <c r="L1141" s="36" t="n"/>
      <c r="M1141" s="41" t="n"/>
      <c r="N1141" s="41" t="n"/>
      <c r="O1141" s="36" t="n"/>
      <c r="P1141" s="33">
        <f>IF(C1141="","",Commercial_Id)</f>
        <v/>
      </c>
      <c r="Q1141" s="39">
        <f>IF(F1141="","",IFERROR(VALUE(MID(F1141,LEN(F1141)-3,3)),""))</f>
        <v/>
      </c>
      <c r="R1141" s="33">
        <f>IF(Q1141="","",P1141&amp;"|"&amp;Q1141)</f>
        <v/>
      </c>
      <c r="S1141" s="33">
        <f>IF(Q1141="","",IF(P1141="À RENSEIGNER","GIC",P1141)&amp;"-"&amp;TEXT(Q1141,"000"))</f>
        <v/>
      </c>
      <c r="T1141" s="33">
        <f>IF(R1141="","",IFERROR(INDEX(Cl_nom,MATCH(R1141,Cl_cle,0)),"(client introuvable)"))</f>
        <v/>
      </c>
      <c r="U1141" s="33">
        <f>IF(R1141="","",IFERROR(INDEX(Cl_quartier,MATCH(R1141,Cl_cle,0))&amp;"",""))</f>
        <v/>
      </c>
      <c r="V1141" s="34">
        <f>IF(C1141="","",YEAR(C1141-WEEKDAY(C1141,2)+4)&amp;"-S"&amp;TEXT(INT((C1141-DATE(YEAR(C1141-WEEKDAY(C1141,2)+4),1,3)+WEEKDAY(DATE(YEAR(C1141-WEEKDAY(C1141,2)+4),1,3),2)+5)/7),"00"))</f>
        <v/>
      </c>
    </row>
    <row r="1142" ht="18" customHeight="1">
      <c r="A1142" s="39" t="n">
        <v>1137</v>
      </c>
      <c r="B1142" s="33">
        <f>IF(C1142="","",IF(P1142="À RENSEIGNER","GIC",P1142)&amp;"-V"&amp;TEXT(A1142,"00000"))</f>
        <v/>
      </c>
      <c r="C1142" s="32" t="n"/>
      <c r="D1142" s="35" t="n"/>
      <c r="E1142" s="36" t="n"/>
      <c r="F1142" s="36" t="n"/>
      <c r="G1142" s="36" t="n"/>
      <c r="H1142" s="36" t="n"/>
      <c r="I1142" s="36" t="n"/>
      <c r="J1142" s="37" t="n"/>
      <c r="K1142" s="32" t="n"/>
      <c r="L1142" s="36" t="n"/>
      <c r="M1142" s="41" t="n"/>
      <c r="N1142" s="41" t="n"/>
      <c r="O1142" s="36" t="n"/>
      <c r="P1142" s="33">
        <f>IF(C1142="","",Commercial_Id)</f>
        <v/>
      </c>
      <c r="Q1142" s="39">
        <f>IF(F1142="","",IFERROR(VALUE(MID(F1142,LEN(F1142)-3,3)),""))</f>
        <v/>
      </c>
      <c r="R1142" s="33">
        <f>IF(Q1142="","",P1142&amp;"|"&amp;Q1142)</f>
        <v/>
      </c>
      <c r="S1142" s="33">
        <f>IF(Q1142="","",IF(P1142="À RENSEIGNER","GIC",P1142)&amp;"-"&amp;TEXT(Q1142,"000"))</f>
        <v/>
      </c>
      <c r="T1142" s="33">
        <f>IF(R1142="","",IFERROR(INDEX(Cl_nom,MATCH(R1142,Cl_cle,0)),"(client introuvable)"))</f>
        <v/>
      </c>
      <c r="U1142" s="33">
        <f>IF(R1142="","",IFERROR(INDEX(Cl_quartier,MATCH(R1142,Cl_cle,0))&amp;"",""))</f>
        <v/>
      </c>
      <c r="V1142" s="34">
        <f>IF(C1142="","",YEAR(C1142-WEEKDAY(C1142,2)+4)&amp;"-S"&amp;TEXT(INT((C1142-DATE(YEAR(C1142-WEEKDAY(C1142,2)+4),1,3)+WEEKDAY(DATE(YEAR(C1142-WEEKDAY(C1142,2)+4),1,3),2)+5)/7),"00"))</f>
        <v/>
      </c>
    </row>
    <row r="1143" ht="18" customHeight="1">
      <c r="A1143" s="39" t="n">
        <v>1138</v>
      </c>
      <c r="B1143" s="33">
        <f>IF(C1143="","",IF(P1143="À RENSEIGNER","GIC",P1143)&amp;"-V"&amp;TEXT(A1143,"00000"))</f>
        <v/>
      </c>
      <c r="C1143" s="32" t="n"/>
      <c r="D1143" s="35" t="n"/>
      <c r="E1143" s="36" t="n"/>
      <c r="F1143" s="36" t="n"/>
      <c r="G1143" s="36" t="n"/>
      <c r="H1143" s="36" t="n"/>
      <c r="I1143" s="36" t="n"/>
      <c r="J1143" s="37" t="n"/>
      <c r="K1143" s="32" t="n"/>
      <c r="L1143" s="36" t="n"/>
      <c r="M1143" s="41" t="n"/>
      <c r="N1143" s="41" t="n"/>
      <c r="O1143" s="36" t="n"/>
      <c r="P1143" s="33">
        <f>IF(C1143="","",Commercial_Id)</f>
        <v/>
      </c>
      <c r="Q1143" s="39">
        <f>IF(F1143="","",IFERROR(VALUE(MID(F1143,LEN(F1143)-3,3)),""))</f>
        <v/>
      </c>
      <c r="R1143" s="33">
        <f>IF(Q1143="","",P1143&amp;"|"&amp;Q1143)</f>
        <v/>
      </c>
      <c r="S1143" s="33">
        <f>IF(Q1143="","",IF(P1143="À RENSEIGNER","GIC",P1143)&amp;"-"&amp;TEXT(Q1143,"000"))</f>
        <v/>
      </c>
      <c r="T1143" s="33">
        <f>IF(R1143="","",IFERROR(INDEX(Cl_nom,MATCH(R1143,Cl_cle,0)),"(client introuvable)"))</f>
        <v/>
      </c>
      <c r="U1143" s="33">
        <f>IF(R1143="","",IFERROR(INDEX(Cl_quartier,MATCH(R1143,Cl_cle,0))&amp;"",""))</f>
        <v/>
      </c>
      <c r="V1143" s="34">
        <f>IF(C1143="","",YEAR(C1143-WEEKDAY(C1143,2)+4)&amp;"-S"&amp;TEXT(INT((C1143-DATE(YEAR(C1143-WEEKDAY(C1143,2)+4),1,3)+WEEKDAY(DATE(YEAR(C1143-WEEKDAY(C1143,2)+4),1,3),2)+5)/7),"00"))</f>
        <v/>
      </c>
    </row>
    <row r="1144" ht="18" customHeight="1">
      <c r="A1144" s="39" t="n">
        <v>1139</v>
      </c>
      <c r="B1144" s="33">
        <f>IF(C1144="","",IF(P1144="À RENSEIGNER","GIC",P1144)&amp;"-V"&amp;TEXT(A1144,"00000"))</f>
        <v/>
      </c>
      <c r="C1144" s="32" t="n"/>
      <c r="D1144" s="35" t="n"/>
      <c r="E1144" s="36" t="n"/>
      <c r="F1144" s="36" t="n"/>
      <c r="G1144" s="36" t="n"/>
      <c r="H1144" s="36" t="n"/>
      <c r="I1144" s="36" t="n"/>
      <c r="J1144" s="37" t="n"/>
      <c r="K1144" s="32" t="n"/>
      <c r="L1144" s="36" t="n"/>
      <c r="M1144" s="41" t="n"/>
      <c r="N1144" s="41" t="n"/>
      <c r="O1144" s="36" t="n"/>
      <c r="P1144" s="33">
        <f>IF(C1144="","",Commercial_Id)</f>
        <v/>
      </c>
      <c r="Q1144" s="39">
        <f>IF(F1144="","",IFERROR(VALUE(MID(F1144,LEN(F1144)-3,3)),""))</f>
        <v/>
      </c>
      <c r="R1144" s="33">
        <f>IF(Q1144="","",P1144&amp;"|"&amp;Q1144)</f>
        <v/>
      </c>
      <c r="S1144" s="33">
        <f>IF(Q1144="","",IF(P1144="À RENSEIGNER","GIC",P1144)&amp;"-"&amp;TEXT(Q1144,"000"))</f>
        <v/>
      </c>
      <c r="T1144" s="33">
        <f>IF(R1144="","",IFERROR(INDEX(Cl_nom,MATCH(R1144,Cl_cle,0)),"(client introuvable)"))</f>
        <v/>
      </c>
      <c r="U1144" s="33">
        <f>IF(R1144="","",IFERROR(INDEX(Cl_quartier,MATCH(R1144,Cl_cle,0))&amp;"",""))</f>
        <v/>
      </c>
      <c r="V1144" s="34">
        <f>IF(C1144="","",YEAR(C1144-WEEKDAY(C1144,2)+4)&amp;"-S"&amp;TEXT(INT((C1144-DATE(YEAR(C1144-WEEKDAY(C1144,2)+4),1,3)+WEEKDAY(DATE(YEAR(C1144-WEEKDAY(C1144,2)+4),1,3),2)+5)/7),"00"))</f>
        <v/>
      </c>
    </row>
    <row r="1145" ht="18" customHeight="1">
      <c r="A1145" s="39" t="n">
        <v>1140</v>
      </c>
      <c r="B1145" s="33">
        <f>IF(C1145="","",IF(P1145="À RENSEIGNER","GIC",P1145)&amp;"-V"&amp;TEXT(A1145,"00000"))</f>
        <v/>
      </c>
      <c r="C1145" s="32" t="n"/>
      <c r="D1145" s="35" t="n"/>
      <c r="E1145" s="36" t="n"/>
      <c r="F1145" s="36" t="n"/>
      <c r="G1145" s="36" t="n"/>
      <c r="H1145" s="36" t="n"/>
      <c r="I1145" s="36" t="n"/>
      <c r="J1145" s="37" t="n"/>
      <c r="K1145" s="32" t="n"/>
      <c r="L1145" s="36" t="n"/>
      <c r="M1145" s="41" t="n"/>
      <c r="N1145" s="41" t="n"/>
      <c r="O1145" s="36" t="n"/>
      <c r="P1145" s="33">
        <f>IF(C1145="","",Commercial_Id)</f>
        <v/>
      </c>
      <c r="Q1145" s="39">
        <f>IF(F1145="","",IFERROR(VALUE(MID(F1145,LEN(F1145)-3,3)),""))</f>
        <v/>
      </c>
      <c r="R1145" s="33">
        <f>IF(Q1145="","",P1145&amp;"|"&amp;Q1145)</f>
        <v/>
      </c>
      <c r="S1145" s="33">
        <f>IF(Q1145="","",IF(P1145="À RENSEIGNER","GIC",P1145)&amp;"-"&amp;TEXT(Q1145,"000"))</f>
        <v/>
      </c>
      <c r="T1145" s="33">
        <f>IF(R1145="","",IFERROR(INDEX(Cl_nom,MATCH(R1145,Cl_cle,0)),"(client introuvable)"))</f>
        <v/>
      </c>
      <c r="U1145" s="33">
        <f>IF(R1145="","",IFERROR(INDEX(Cl_quartier,MATCH(R1145,Cl_cle,0))&amp;"",""))</f>
        <v/>
      </c>
      <c r="V1145" s="34">
        <f>IF(C1145="","",YEAR(C1145-WEEKDAY(C1145,2)+4)&amp;"-S"&amp;TEXT(INT((C1145-DATE(YEAR(C1145-WEEKDAY(C1145,2)+4),1,3)+WEEKDAY(DATE(YEAR(C1145-WEEKDAY(C1145,2)+4),1,3),2)+5)/7),"00"))</f>
        <v/>
      </c>
    </row>
    <row r="1146" ht="18" customHeight="1">
      <c r="A1146" s="39" t="n">
        <v>1141</v>
      </c>
      <c r="B1146" s="33">
        <f>IF(C1146="","",IF(P1146="À RENSEIGNER","GIC",P1146)&amp;"-V"&amp;TEXT(A1146,"00000"))</f>
        <v/>
      </c>
      <c r="C1146" s="32" t="n"/>
      <c r="D1146" s="35" t="n"/>
      <c r="E1146" s="36" t="n"/>
      <c r="F1146" s="36" t="n"/>
      <c r="G1146" s="36" t="n"/>
      <c r="H1146" s="36" t="n"/>
      <c r="I1146" s="36" t="n"/>
      <c r="J1146" s="37" t="n"/>
      <c r="K1146" s="32" t="n"/>
      <c r="L1146" s="36" t="n"/>
      <c r="M1146" s="41" t="n"/>
      <c r="N1146" s="41" t="n"/>
      <c r="O1146" s="36" t="n"/>
      <c r="P1146" s="33">
        <f>IF(C1146="","",Commercial_Id)</f>
        <v/>
      </c>
      <c r="Q1146" s="39">
        <f>IF(F1146="","",IFERROR(VALUE(MID(F1146,LEN(F1146)-3,3)),""))</f>
        <v/>
      </c>
      <c r="R1146" s="33">
        <f>IF(Q1146="","",P1146&amp;"|"&amp;Q1146)</f>
        <v/>
      </c>
      <c r="S1146" s="33">
        <f>IF(Q1146="","",IF(P1146="À RENSEIGNER","GIC",P1146)&amp;"-"&amp;TEXT(Q1146,"000"))</f>
        <v/>
      </c>
      <c r="T1146" s="33">
        <f>IF(R1146="","",IFERROR(INDEX(Cl_nom,MATCH(R1146,Cl_cle,0)),"(client introuvable)"))</f>
        <v/>
      </c>
      <c r="U1146" s="33">
        <f>IF(R1146="","",IFERROR(INDEX(Cl_quartier,MATCH(R1146,Cl_cle,0))&amp;"",""))</f>
        <v/>
      </c>
      <c r="V1146" s="34">
        <f>IF(C1146="","",YEAR(C1146-WEEKDAY(C1146,2)+4)&amp;"-S"&amp;TEXT(INT((C1146-DATE(YEAR(C1146-WEEKDAY(C1146,2)+4),1,3)+WEEKDAY(DATE(YEAR(C1146-WEEKDAY(C1146,2)+4),1,3),2)+5)/7),"00"))</f>
        <v/>
      </c>
    </row>
    <row r="1147" ht="18" customHeight="1">
      <c r="A1147" s="39" t="n">
        <v>1142</v>
      </c>
      <c r="B1147" s="33">
        <f>IF(C1147="","",IF(P1147="À RENSEIGNER","GIC",P1147)&amp;"-V"&amp;TEXT(A1147,"00000"))</f>
        <v/>
      </c>
      <c r="C1147" s="32" t="n"/>
      <c r="D1147" s="35" t="n"/>
      <c r="E1147" s="36" t="n"/>
      <c r="F1147" s="36" t="n"/>
      <c r="G1147" s="36" t="n"/>
      <c r="H1147" s="36" t="n"/>
      <c r="I1147" s="36" t="n"/>
      <c r="J1147" s="37" t="n"/>
      <c r="K1147" s="32" t="n"/>
      <c r="L1147" s="36" t="n"/>
      <c r="M1147" s="41" t="n"/>
      <c r="N1147" s="41" t="n"/>
      <c r="O1147" s="36" t="n"/>
      <c r="P1147" s="33">
        <f>IF(C1147="","",Commercial_Id)</f>
        <v/>
      </c>
      <c r="Q1147" s="39">
        <f>IF(F1147="","",IFERROR(VALUE(MID(F1147,LEN(F1147)-3,3)),""))</f>
        <v/>
      </c>
      <c r="R1147" s="33">
        <f>IF(Q1147="","",P1147&amp;"|"&amp;Q1147)</f>
        <v/>
      </c>
      <c r="S1147" s="33">
        <f>IF(Q1147="","",IF(P1147="À RENSEIGNER","GIC",P1147)&amp;"-"&amp;TEXT(Q1147,"000"))</f>
        <v/>
      </c>
      <c r="T1147" s="33">
        <f>IF(R1147="","",IFERROR(INDEX(Cl_nom,MATCH(R1147,Cl_cle,0)),"(client introuvable)"))</f>
        <v/>
      </c>
      <c r="U1147" s="33">
        <f>IF(R1147="","",IFERROR(INDEX(Cl_quartier,MATCH(R1147,Cl_cle,0))&amp;"",""))</f>
        <v/>
      </c>
      <c r="V1147" s="34">
        <f>IF(C1147="","",YEAR(C1147-WEEKDAY(C1147,2)+4)&amp;"-S"&amp;TEXT(INT((C1147-DATE(YEAR(C1147-WEEKDAY(C1147,2)+4),1,3)+WEEKDAY(DATE(YEAR(C1147-WEEKDAY(C1147,2)+4),1,3),2)+5)/7),"00"))</f>
        <v/>
      </c>
    </row>
    <row r="1148" ht="18" customHeight="1">
      <c r="A1148" s="39" t="n">
        <v>1143</v>
      </c>
      <c r="B1148" s="33">
        <f>IF(C1148="","",IF(P1148="À RENSEIGNER","GIC",P1148)&amp;"-V"&amp;TEXT(A1148,"00000"))</f>
        <v/>
      </c>
      <c r="C1148" s="32" t="n"/>
      <c r="D1148" s="35" t="n"/>
      <c r="E1148" s="36" t="n"/>
      <c r="F1148" s="36" t="n"/>
      <c r="G1148" s="36" t="n"/>
      <c r="H1148" s="36" t="n"/>
      <c r="I1148" s="36" t="n"/>
      <c r="J1148" s="37" t="n"/>
      <c r="K1148" s="32" t="n"/>
      <c r="L1148" s="36" t="n"/>
      <c r="M1148" s="41" t="n"/>
      <c r="N1148" s="41" t="n"/>
      <c r="O1148" s="36" t="n"/>
      <c r="P1148" s="33">
        <f>IF(C1148="","",Commercial_Id)</f>
        <v/>
      </c>
      <c r="Q1148" s="39">
        <f>IF(F1148="","",IFERROR(VALUE(MID(F1148,LEN(F1148)-3,3)),""))</f>
        <v/>
      </c>
      <c r="R1148" s="33">
        <f>IF(Q1148="","",P1148&amp;"|"&amp;Q1148)</f>
        <v/>
      </c>
      <c r="S1148" s="33">
        <f>IF(Q1148="","",IF(P1148="À RENSEIGNER","GIC",P1148)&amp;"-"&amp;TEXT(Q1148,"000"))</f>
        <v/>
      </c>
      <c r="T1148" s="33">
        <f>IF(R1148="","",IFERROR(INDEX(Cl_nom,MATCH(R1148,Cl_cle,0)),"(client introuvable)"))</f>
        <v/>
      </c>
      <c r="U1148" s="33">
        <f>IF(R1148="","",IFERROR(INDEX(Cl_quartier,MATCH(R1148,Cl_cle,0))&amp;"",""))</f>
        <v/>
      </c>
      <c r="V1148" s="34">
        <f>IF(C1148="","",YEAR(C1148-WEEKDAY(C1148,2)+4)&amp;"-S"&amp;TEXT(INT((C1148-DATE(YEAR(C1148-WEEKDAY(C1148,2)+4),1,3)+WEEKDAY(DATE(YEAR(C1148-WEEKDAY(C1148,2)+4),1,3),2)+5)/7),"00"))</f>
        <v/>
      </c>
    </row>
    <row r="1149" ht="18" customHeight="1">
      <c r="A1149" s="39" t="n">
        <v>1144</v>
      </c>
      <c r="B1149" s="33">
        <f>IF(C1149="","",IF(P1149="À RENSEIGNER","GIC",P1149)&amp;"-V"&amp;TEXT(A1149,"00000"))</f>
        <v/>
      </c>
      <c r="C1149" s="32" t="n"/>
      <c r="D1149" s="35" t="n"/>
      <c r="E1149" s="36" t="n"/>
      <c r="F1149" s="36" t="n"/>
      <c r="G1149" s="36" t="n"/>
      <c r="H1149" s="36" t="n"/>
      <c r="I1149" s="36" t="n"/>
      <c r="J1149" s="37" t="n"/>
      <c r="K1149" s="32" t="n"/>
      <c r="L1149" s="36" t="n"/>
      <c r="M1149" s="41" t="n"/>
      <c r="N1149" s="41" t="n"/>
      <c r="O1149" s="36" t="n"/>
      <c r="P1149" s="33">
        <f>IF(C1149="","",Commercial_Id)</f>
        <v/>
      </c>
      <c r="Q1149" s="39">
        <f>IF(F1149="","",IFERROR(VALUE(MID(F1149,LEN(F1149)-3,3)),""))</f>
        <v/>
      </c>
      <c r="R1149" s="33">
        <f>IF(Q1149="","",P1149&amp;"|"&amp;Q1149)</f>
        <v/>
      </c>
      <c r="S1149" s="33">
        <f>IF(Q1149="","",IF(P1149="À RENSEIGNER","GIC",P1149)&amp;"-"&amp;TEXT(Q1149,"000"))</f>
        <v/>
      </c>
      <c r="T1149" s="33">
        <f>IF(R1149="","",IFERROR(INDEX(Cl_nom,MATCH(R1149,Cl_cle,0)),"(client introuvable)"))</f>
        <v/>
      </c>
      <c r="U1149" s="33">
        <f>IF(R1149="","",IFERROR(INDEX(Cl_quartier,MATCH(R1149,Cl_cle,0))&amp;"",""))</f>
        <v/>
      </c>
      <c r="V1149" s="34">
        <f>IF(C1149="","",YEAR(C1149-WEEKDAY(C1149,2)+4)&amp;"-S"&amp;TEXT(INT((C1149-DATE(YEAR(C1149-WEEKDAY(C1149,2)+4),1,3)+WEEKDAY(DATE(YEAR(C1149-WEEKDAY(C1149,2)+4),1,3),2)+5)/7),"00"))</f>
        <v/>
      </c>
    </row>
    <row r="1150" ht="18" customHeight="1">
      <c r="A1150" s="39" t="n">
        <v>1145</v>
      </c>
      <c r="B1150" s="33">
        <f>IF(C1150="","",IF(P1150="À RENSEIGNER","GIC",P1150)&amp;"-V"&amp;TEXT(A1150,"00000"))</f>
        <v/>
      </c>
      <c r="C1150" s="32" t="n"/>
      <c r="D1150" s="35" t="n"/>
      <c r="E1150" s="36" t="n"/>
      <c r="F1150" s="36" t="n"/>
      <c r="G1150" s="36" t="n"/>
      <c r="H1150" s="36" t="n"/>
      <c r="I1150" s="36" t="n"/>
      <c r="J1150" s="37" t="n"/>
      <c r="K1150" s="32" t="n"/>
      <c r="L1150" s="36" t="n"/>
      <c r="M1150" s="41" t="n"/>
      <c r="N1150" s="41" t="n"/>
      <c r="O1150" s="36" t="n"/>
      <c r="P1150" s="33">
        <f>IF(C1150="","",Commercial_Id)</f>
        <v/>
      </c>
      <c r="Q1150" s="39">
        <f>IF(F1150="","",IFERROR(VALUE(MID(F1150,LEN(F1150)-3,3)),""))</f>
        <v/>
      </c>
      <c r="R1150" s="33">
        <f>IF(Q1150="","",P1150&amp;"|"&amp;Q1150)</f>
        <v/>
      </c>
      <c r="S1150" s="33">
        <f>IF(Q1150="","",IF(P1150="À RENSEIGNER","GIC",P1150)&amp;"-"&amp;TEXT(Q1150,"000"))</f>
        <v/>
      </c>
      <c r="T1150" s="33">
        <f>IF(R1150="","",IFERROR(INDEX(Cl_nom,MATCH(R1150,Cl_cle,0)),"(client introuvable)"))</f>
        <v/>
      </c>
      <c r="U1150" s="33">
        <f>IF(R1150="","",IFERROR(INDEX(Cl_quartier,MATCH(R1150,Cl_cle,0))&amp;"",""))</f>
        <v/>
      </c>
      <c r="V1150" s="34">
        <f>IF(C1150="","",YEAR(C1150-WEEKDAY(C1150,2)+4)&amp;"-S"&amp;TEXT(INT((C1150-DATE(YEAR(C1150-WEEKDAY(C1150,2)+4),1,3)+WEEKDAY(DATE(YEAR(C1150-WEEKDAY(C1150,2)+4),1,3),2)+5)/7),"00"))</f>
        <v/>
      </c>
    </row>
    <row r="1151" ht="18" customHeight="1">
      <c r="A1151" s="39" t="n">
        <v>1146</v>
      </c>
      <c r="B1151" s="33">
        <f>IF(C1151="","",IF(P1151="À RENSEIGNER","GIC",P1151)&amp;"-V"&amp;TEXT(A1151,"00000"))</f>
        <v/>
      </c>
      <c r="C1151" s="32" t="n"/>
      <c r="D1151" s="35" t="n"/>
      <c r="E1151" s="36" t="n"/>
      <c r="F1151" s="36" t="n"/>
      <c r="G1151" s="36" t="n"/>
      <c r="H1151" s="36" t="n"/>
      <c r="I1151" s="36" t="n"/>
      <c r="J1151" s="37" t="n"/>
      <c r="K1151" s="32" t="n"/>
      <c r="L1151" s="36" t="n"/>
      <c r="M1151" s="41" t="n"/>
      <c r="N1151" s="41" t="n"/>
      <c r="O1151" s="36" t="n"/>
      <c r="P1151" s="33">
        <f>IF(C1151="","",Commercial_Id)</f>
        <v/>
      </c>
      <c r="Q1151" s="39">
        <f>IF(F1151="","",IFERROR(VALUE(MID(F1151,LEN(F1151)-3,3)),""))</f>
        <v/>
      </c>
      <c r="R1151" s="33">
        <f>IF(Q1151="","",P1151&amp;"|"&amp;Q1151)</f>
        <v/>
      </c>
      <c r="S1151" s="33">
        <f>IF(Q1151="","",IF(P1151="À RENSEIGNER","GIC",P1151)&amp;"-"&amp;TEXT(Q1151,"000"))</f>
        <v/>
      </c>
      <c r="T1151" s="33">
        <f>IF(R1151="","",IFERROR(INDEX(Cl_nom,MATCH(R1151,Cl_cle,0)),"(client introuvable)"))</f>
        <v/>
      </c>
      <c r="U1151" s="33">
        <f>IF(R1151="","",IFERROR(INDEX(Cl_quartier,MATCH(R1151,Cl_cle,0))&amp;"",""))</f>
        <v/>
      </c>
      <c r="V1151" s="34">
        <f>IF(C1151="","",YEAR(C1151-WEEKDAY(C1151,2)+4)&amp;"-S"&amp;TEXT(INT((C1151-DATE(YEAR(C1151-WEEKDAY(C1151,2)+4),1,3)+WEEKDAY(DATE(YEAR(C1151-WEEKDAY(C1151,2)+4),1,3),2)+5)/7),"00"))</f>
        <v/>
      </c>
    </row>
    <row r="1152" ht="18" customHeight="1">
      <c r="A1152" s="39" t="n">
        <v>1147</v>
      </c>
      <c r="B1152" s="33">
        <f>IF(C1152="","",IF(P1152="À RENSEIGNER","GIC",P1152)&amp;"-V"&amp;TEXT(A1152,"00000"))</f>
        <v/>
      </c>
      <c r="C1152" s="32" t="n"/>
      <c r="D1152" s="35" t="n"/>
      <c r="E1152" s="36" t="n"/>
      <c r="F1152" s="36" t="n"/>
      <c r="G1152" s="36" t="n"/>
      <c r="H1152" s="36" t="n"/>
      <c r="I1152" s="36" t="n"/>
      <c r="J1152" s="37" t="n"/>
      <c r="K1152" s="32" t="n"/>
      <c r="L1152" s="36" t="n"/>
      <c r="M1152" s="41" t="n"/>
      <c r="N1152" s="41" t="n"/>
      <c r="O1152" s="36" t="n"/>
      <c r="P1152" s="33">
        <f>IF(C1152="","",Commercial_Id)</f>
        <v/>
      </c>
      <c r="Q1152" s="39">
        <f>IF(F1152="","",IFERROR(VALUE(MID(F1152,LEN(F1152)-3,3)),""))</f>
        <v/>
      </c>
      <c r="R1152" s="33">
        <f>IF(Q1152="","",P1152&amp;"|"&amp;Q1152)</f>
        <v/>
      </c>
      <c r="S1152" s="33">
        <f>IF(Q1152="","",IF(P1152="À RENSEIGNER","GIC",P1152)&amp;"-"&amp;TEXT(Q1152,"000"))</f>
        <v/>
      </c>
      <c r="T1152" s="33">
        <f>IF(R1152="","",IFERROR(INDEX(Cl_nom,MATCH(R1152,Cl_cle,0)),"(client introuvable)"))</f>
        <v/>
      </c>
      <c r="U1152" s="33">
        <f>IF(R1152="","",IFERROR(INDEX(Cl_quartier,MATCH(R1152,Cl_cle,0))&amp;"",""))</f>
        <v/>
      </c>
      <c r="V1152" s="34">
        <f>IF(C1152="","",YEAR(C1152-WEEKDAY(C1152,2)+4)&amp;"-S"&amp;TEXT(INT((C1152-DATE(YEAR(C1152-WEEKDAY(C1152,2)+4),1,3)+WEEKDAY(DATE(YEAR(C1152-WEEKDAY(C1152,2)+4),1,3),2)+5)/7),"00"))</f>
        <v/>
      </c>
    </row>
    <row r="1153" ht="18" customHeight="1">
      <c r="A1153" s="39" t="n">
        <v>1148</v>
      </c>
      <c r="B1153" s="33">
        <f>IF(C1153="","",IF(P1153="À RENSEIGNER","GIC",P1153)&amp;"-V"&amp;TEXT(A1153,"00000"))</f>
        <v/>
      </c>
      <c r="C1153" s="32" t="n"/>
      <c r="D1153" s="35" t="n"/>
      <c r="E1153" s="36" t="n"/>
      <c r="F1153" s="36" t="n"/>
      <c r="G1153" s="36" t="n"/>
      <c r="H1153" s="36" t="n"/>
      <c r="I1153" s="36" t="n"/>
      <c r="J1153" s="37" t="n"/>
      <c r="K1153" s="32" t="n"/>
      <c r="L1153" s="36" t="n"/>
      <c r="M1153" s="41" t="n"/>
      <c r="N1153" s="41" t="n"/>
      <c r="O1153" s="36" t="n"/>
      <c r="P1153" s="33">
        <f>IF(C1153="","",Commercial_Id)</f>
        <v/>
      </c>
      <c r="Q1153" s="39">
        <f>IF(F1153="","",IFERROR(VALUE(MID(F1153,LEN(F1153)-3,3)),""))</f>
        <v/>
      </c>
      <c r="R1153" s="33">
        <f>IF(Q1153="","",P1153&amp;"|"&amp;Q1153)</f>
        <v/>
      </c>
      <c r="S1153" s="33">
        <f>IF(Q1153="","",IF(P1153="À RENSEIGNER","GIC",P1153)&amp;"-"&amp;TEXT(Q1153,"000"))</f>
        <v/>
      </c>
      <c r="T1153" s="33">
        <f>IF(R1153="","",IFERROR(INDEX(Cl_nom,MATCH(R1153,Cl_cle,0)),"(client introuvable)"))</f>
        <v/>
      </c>
      <c r="U1153" s="33">
        <f>IF(R1153="","",IFERROR(INDEX(Cl_quartier,MATCH(R1153,Cl_cle,0))&amp;"",""))</f>
        <v/>
      </c>
      <c r="V1153" s="34">
        <f>IF(C1153="","",YEAR(C1153-WEEKDAY(C1153,2)+4)&amp;"-S"&amp;TEXT(INT((C1153-DATE(YEAR(C1153-WEEKDAY(C1153,2)+4),1,3)+WEEKDAY(DATE(YEAR(C1153-WEEKDAY(C1153,2)+4),1,3),2)+5)/7),"00"))</f>
        <v/>
      </c>
    </row>
    <row r="1154" ht="18" customHeight="1">
      <c r="A1154" s="39" t="n">
        <v>1149</v>
      </c>
      <c r="B1154" s="33">
        <f>IF(C1154="","",IF(P1154="À RENSEIGNER","GIC",P1154)&amp;"-V"&amp;TEXT(A1154,"00000"))</f>
        <v/>
      </c>
      <c r="C1154" s="32" t="n"/>
      <c r="D1154" s="35" t="n"/>
      <c r="E1154" s="36" t="n"/>
      <c r="F1154" s="36" t="n"/>
      <c r="G1154" s="36" t="n"/>
      <c r="H1154" s="36" t="n"/>
      <c r="I1154" s="36" t="n"/>
      <c r="J1154" s="37" t="n"/>
      <c r="K1154" s="32" t="n"/>
      <c r="L1154" s="36" t="n"/>
      <c r="M1154" s="41" t="n"/>
      <c r="N1154" s="41" t="n"/>
      <c r="O1154" s="36" t="n"/>
      <c r="P1154" s="33">
        <f>IF(C1154="","",Commercial_Id)</f>
        <v/>
      </c>
      <c r="Q1154" s="39">
        <f>IF(F1154="","",IFERROR(VALUE(MID(F1154,LEN(F1154)-3,3)),""))</f>
        <v/>
      </c>
      <c r="R1154" s="33">
        <f>IF(Q1154="","",P1154&amp;"|"&amp;Q1154)</f>
        <v/>
      </c>
      <c r="S1154" s="33">
        <f>IF(Q1154="","",IF(P1154="À RENSEIGNER","GIC",P1154)&amp;"-"&amp;TEXT(Q1154,"000"))</f>
        <v/>
      </c>
      <c r="T1154" s="33">
        <f>IF(R1154="","",IFERROR(INDEX(Cl_nom,MATCH(R1154,Cl_cle,0)),"(client introuvable)"))</f>
        <v/>
      </c>
      <c r="U1154" s="33">
        <f>IF(R1154="","",IFERROR(INDEX(Cl_quartier,MATCH(R1154,Cl_cle,0))&amp;"",""))</f>
        <v/>
      </c>
      <c r="V1154" s="34">
        <f>IF(C1154="","",YEAR(C1154-WEEKDAY(C1154,2)+4)&amp;"-S"&amp;TEXT(INT((C1154-DATE(YEAR(C1154-WEEKDAY(C1154,2)+4),1,3)+WEEKDAY(DATE(YEAR(C1154-WEEKDAY(C1154,2)+4),1,3),2)+5)/7),"00"))</f>
        <v/>
      </c>
    </row>
    <row r="1155" ht="18" customHeight="1">
      <c r="A1155" s="39" t="n">
        <v>1150</v>
      </c>
      <c r="B1155" s="33">
        <f>IF(C1155="","",IF(P1155="À RENSEIGNER","GIC",P1155)&amp;"-V"&amp;TEXT(A1155,"00000"))</f>
        <v/>
      </c>
      <c r="C1155" s="32" t="n"/>
      <c r="D1155" s="35" t="n"/>
      <c r="E1155" s="36" t="n"/>
      <c r="F1155" s="36" t="n"/>
      <c r="G1155" s="36" t="n"/>
      <c r="H1155" s="36" t="n"/>
      <c r="I1155" s="36" t="n"/>
      <c r="J1155" s="37" t="n"/>
      <c r="K1155" s="32" t="n"/>
      <c r="L1155" s="36" t="n"/>
      <c r="M1155" s="41" t="n"/>
      <c r="N1155" s="41" t="n"/>
      <c r="O1155" s="36" t="n"/>
      <c r="P1155" s="33">
        <f>IF(C1155="","",Commercial_Id)</f>
        <v/>
      </c>
      <c r="Q1155" s="39">
        <f>IF(F1155="","",IFERROR(VALUE(MID(F1155,LEN(F1155)-3,3)),""))</f>
        <v/>
      </c>
      <c r="R1155" s="33">
        <f>IF(Q1155="","",P1155&amp;"|"&amp;Q1155)</f>
        <v/>
      </c>
      <c r="S1155" s="33">
        <f>IF(Q1155="","",IF(P1155="À RENSEIGNER","GIC",P1155)&amp;"-"&amp;TEXT(Q1155,"000"))</f>
        <v/>
      </c>
      <c r="T1155" s="33">
        <f>IF(R1155="","",IFERROR(INDEX(Cl_nom,MATCH(R1155,Cl_cle,0)),"(client introuvable)"))</f>
        <v/>
      </c>
      <c r="U1155" s="33">
        <f>IF(R1155="","",IFERROR(INDEX(Cl_quartier,MATCH(R1155,Cl_cle,0))&amp;"",""))</f>
        <v/>
      </c>
      <c r="V1155" s="34">
        <f>IF(C1155="","",YEAR(C1155-WEEKDAY(C1155,2)+4)&amp;"-S"&amp;TEXT(INT((C1155-DATE(YEAR(C1155-WEEKDAY(C1155,2)+4),1,3)+WEEKDAY(DATE(YEAR(C1155-WEEKDAY(C1155,2)+4),1,3),2)+5)/7),"00"))</f>
        <v/>
      </c>
    </row>
    <row r="1156" ht="18" customHeight="1">
      <c r="A1156" s="39" t="n">
        <v>1151</v>
      </c>
      <c r="B1156" s="33">
        <f>IF(C1156="","",IF(P1156="À RENSEIGNER","GIC",P1156)&amp;"-V"&amp;TEXT(A1156,"00000"))</f>
        <v/>
      </c>
      <c r="C1156" s="32" t="n"/>
      <c r="D1156" s="35" t="n"/>
      <c r="E1156" s="36" t="n"/>
      <c r="F1156" s="36" t="n"/>
      <c r="G1156" s="36" t="n"/>
      <c r="H1156" s="36" t="n"/>
      <c r="I1156" s="36" t="n"/>
      <c r="J1156" s="37" t="n"/>
      <c r="K1156" s="32" t="n"/>
      <c r="L1156" s="36" t="n"/>
      <c r="M1156" s="41" t="n"/>
      <c r="N1156" s="41" t="n"/>
      <c r="O1156" s="36" t="n"/>
      <c r="P1156" s="33">
        <f>IF(C1156="","",Commercial_Id)</f>
        <v/>
      </c>
      <c r="Q1156" s="39">
        <f>IF(F1156="","",IFERROR(VALUE(MID(F1156,LEN(F1156)-3,3)),""))</f>
        <v/>
      </c>
      <c r="R1156" s="33">
        <f>IF(Q1156="","",P1156&amp;"|"&amp;Q1156)</f>
        <v/>
      </c>
      <c r="S1156" s="33">
        <f>IF(Q1156="","",IF(P1156="À RENSEIGNER","GIC",P1156)&amp;"-"&amp;TEXT(Q1156,"000"))</f>
        <v/>
      </c>
      <c r="T1156" s="33">
        <f>IF(R1156="","",IFERROR(INDEX(Cl_nom,MATCH(R1156,Cl_cle,0)),"(client introuvable)"))</f>
        <v/>
      </c>
      <c r="U1156" s="33">
        <f>IF(R1156="","",IFERROR(INDEX(Cl_quartier,MATCH(R1156,Cl_cle,0))&amp;"",""))</f>
        <v/>
      </c>
      <c r="V1156" s="34">
        <f>IF(C1156="","",YEAR(C1156-WEEKDAY(C1156,2)+4)&amp;"-S"&amp;TEXT(INT((C1156-DATE(YEAR(C1156-WEEKDAY(C1156,2)+4),1,3)+WEEKDAY(DATE(YEAR(C1156-WEEKDAY(C1156,2)+4),1,3),2)+5)/7),"00"))</f>
        <v/>
      </c>
    </row>
    <row r="1157" ht="18" customHeight="1">
      <c r="A1157" s="39" t="n">
        <v>1152</v>
      </c>
      <c r="B1157" s="33">
        <f>IF(C1157="","",IF(P1157="À RENSEIGNER","GIC",P1157)&amp;"-V"&amp;TEXT(A1157,"00000"))</f>
        <v/>
      </c>
      <c r="C1157" s="32" t="n"/>
      <c r="D1157" s="35" t="n"/>
      <c r="E1157" s="36" t="n"/>
      <c r="F1157" s="36" t="n"/>
      <c r="G1157" s="36" t="n"/>
      <c r="H1157" s="36" t="n"/>
      <c r="I1157" s="36" t="n"/>
      <c r="J1157" s="37" t="n"/>
      <c r="K1157" s="32" t="n"/>
      <c r="L1157" s="36" t="n"/>
      <c r="M1157" s="41" t="n"/>
      <c r="N1157" s="41" t="n"/>
      <c r="O1157" s="36" t="n"/>
      <c r="P1157" s="33">
        <f>IF(C1157="","",Commercial_Id)</f>
        <v/>
      </c>
      <c r="Q1157" s="39">
        <f>IF(F1157="","",IFERROR(VALUE(MID(F1157,LEN(F1157)-3,3)),""))</f>
        <v/>
      </c>
      <c r="R1157" s="33">
        <f>IF(Q1157="","",P1157&amp;"|"&amp;Q1157)</f>
        <v/>
      </c>
      <c r="S1157" s="33">
        <f>IF(Q1157="","",IF(P1157="À RENSEIGNER","GIC",P1157)&amp;"-"&amp;TEXT(Q1157,"000"))</f>
        <v/>
      </c>
      <c r="T1157" s="33">
        <f>IF(R1157="","",IFERROR(INDEX(Cl_nom,MATCH(R1157,Cl_cle,0)),"(client introuvable)"))</f>
        <v/>
      </c>
      <c r="U1157" s="33">
        <f>IF(R1157="","",IFERROR(INDEX(Cl_quartier,MATCH(R1157,Cl_cle,0))&amp;"",""))</f>
        <v/>
      </c>
      <c r="V1157" s="34">
        <f>IF(C1157="","",YEAR(C1157-WEEKDAY(C1157,2)+4)&amp;"-S"&amp;TEXT(INT((C1157-DATE(YEAR(C1157-WEEKDAY(C1157,2)+4),1,3)+WEEKDAY(DATE(YEAR(C1157-WEEKDAY(C1157,2)+4),1,3),2)+5)/7),"00"))</f>
        <v/>
      </c>
    </row>
    <row r="1158" ht="18" customHeight="1">
      <c r="A1158" s="39" t="n">
        <v>1153</v>
      </c>
      <c r="B1158" s="33">
        <f>IF(C1158="","",IF(P1158="À RENSEIGNER","GIC",P1158)&amp;"-V"&amp;TEXT(A1158,"00000"))</f>
        <v/>
      </c>
      <c r="C1158" s="32" t="n"/>
      <c r="D1158" s="35" t="n"/>
      <c r="E1158" s="36" t="n"/>
      <c r="F1158" s="36" t="n"/>
      <c r="G1158" s="36" t="n"/>
      <c r="H1158" s="36" t="n"/>
      <c r="I1158" s="36" t="n"/>
      <c r="J1158" s="37" t="n"/>
      <c r="K1158" s="32" t="n"/>
      <c r="L1158" s="36" t="n"/>
      <c r="M1158" s="41" t="n"/>
      <c r="N1158" s="41" t="n"/>
      <c r="O1158" s="36" t="n"/>
      <c r="P1158" s="33">
        <f>IF(C1158="","",Commercial_Id)</f>
        <v/>
      </c>
      <c r="Q1158" s="39">
        <f>IF(F1158="","",IFERROR(VALUE(MID(F1158,LEN(F1158)-3,3)),""))</f>
        <v/>
      </c>
      <c r="R1158" s="33">
        <f>IF(Q1158="","",P1158&amp;"|"&amp;Q1158)</f>
        <v/>
      </c>
      <c r="S1158" s="33">
        <f>IF(Q1158="","",IF(P1158="À RENSEIGNER","GIC",P1158)&amp;"-"&amp;TEXT(Q1158,"000"))</f>
        <v/>
      </c>
      <c r="T1158" s="33">
        <f>IF(R1158="","",IFERROR(INDEX(Cl_nom,MATCH(R1158,Cl_cle,0)),"(client introuvable)"))</f>
        <v/>
      </c>
      <c r="U1158" s="33">
        <f>IF(R1158="","",IFERROR(INDEX(Cl_quartier,MATCH(R1158,Cl_cle,0))&amp;"",""))</f>
        <v/>
      </c>
      <c r="V1158" s="34">
        <f>IF(C1158="","",YEAR(C1158-WEEKDAY(C1158,2)+4)&amp;"-S"&amp;TEXT(INT((C1158-DATE(YEAR(C1158-WEEKDAY(C1158,2)+4),1,3)+WEEKDAY(DATE(YEAR(C1158-WEEKDAY(C1158,2)+4),1,3),2)+5)/7),"00"))</f>
        <v/>
      </c>
    </row>
    <row r="1159" ht="18" customHeight="1">
      <c r="A1159" s="39" t="n">
        <v>1154</v>
      </c>
      <c r="B1159" s="33">
        <f>IF(C1159="","",IF(P1159="À RENSEIGNER","GIC",P1159)&amp;"-V"&amp;TEXT(A1159,"00000"))</f>
        <v/>
      </c>
      <c r="C1159" s="32" t="n"/>
      <c r="D1159" s="35" t="n"/>
      <c r="E1159" s="36" t="n"/>
      <c r="F1159" s="36" t="n"/>
      <c r="G1159" s="36" t="n"/>
      <c r="H1159" s="36" t="n"/>
      <c r="I1159" s="36" t="n"/>
      <c r="J1159" s="37" t="n"/>
      <c r="K1159" s="32" t="n"/>
      <c r="L1159" s="36" t="n"/>
      <c r="M1159" s="41" t="n"/>
      <c r="N1159" s="41" t="n"/>
      <c r="O1159" s="36" t="n"/>
      <c r="P1159" s="33">
        <f>IF(C1159="","",Commercial_Id)</f>
        <v/>
      </c>
      <c r="Q1159" s="39">
        <f>IF(F1159="","",IFERROR(VALUE(MID(F1159,LEN(F1159)-3,3)),""))</f>
        <v/>
      </c>
      <c r="R1159" s="33">
        <f>IF(Q1159="","",P1159&amp;"|"&amp;Q1159)</f>
        <v/>
      </c>
      <c r="S1159" s="33">
        <f>IF(Q1159="","",IF(P1159="À RENSEIGNER","GIC",P1159)&amp;"-"&amp;TEXT(Q1159,"000"))</f>
        <v/>
      </c>
      <c r="T1159" s="33">
        <f>IF(R1159="","",IFERROR(INDEX(Cl_nom,MATCH(R1159,Cl_cle,0)),"(client introuvable)"))</f>
        <v/>
      </c>
      <c r="U1159" s="33">
        <f>IF(R1159="","",IFERROR(INDEX(Cl_quartier,MATCH(R1159,Cl_cle,0))&amp;"",""))</f>
        <v/>
      </c>
      <c r="V1159" s="34">
        <f>IF(C1159="","",YEAR(C1159-WEEKDAY(C1159,2)+4)&amp;"-S"&amp;TEXT(INT((C1159-DATE(YEAR(C1159-WEEKDAY(C1159,2)+4),1,3)+WEEKDAY(DATE(YEAR(C1159-WEEKDAY(C1159,2)+4),1,3),2)+5)/7),"00"))</f>
        <v/>
      </c>
    </row>
    <row r="1160" ht="18" customHeight="1">
      <c r="A1160" s="39" t="n">
        <v>1155</v>
      </c>
      <c r="B1160" s="33">
        <f>IF(C1160="","",IF(P1160="À RENSEIGNER","GIC",P1160)&amp;"-V"&amp;TEXT(A1160,"00000"))</f>
        <v/>
      </c>
      <c r="C1160" s="32" t="n"/>
      <c r="D1160" s="35" t="n"/>
      <c r="E1160" s="36" t="n"/>
      <c r="F1160" s="36" t="n"/>
      <c r="G1160" s="36" t="n"/>
      <c r="H1160" s="36" t="n"/>
      <c r="I1160" s="36" t="n"/>
      <c r="J1160" s="37" t="n"/>
      <c r="K1160" s="32" t="n"/>
      <c r="L1160" s="36" t="n"/>
      <c r="M1160" s="41" t="n"/>
      <c r="N1160" s="41" t="n"/>
      <c r="O1160" s="36" t="n"/>
      <c r="P1160" s="33">
        <f>IF(C1160="","",Commercial_Id)</f>
        <v/>
      </c>
      <c r="Q1160" s="39">
        <f>IF(F1160="","",IFERROR(VALUE(MID(F1160,LEN(F1160)-3,3)),""))</f>
        <v/>
      </c>
      <c r="R1160" s="33">
        <f>IF(Q1160="","",P1160&amp;"|"&amp;Q1160)</f>
        <v/>
      </c>
      <c r="S1160" s="33">
        <f>IF(Q1160="","",IF(P1160="À RENSEIGNER","GIC",P1160)&amp;"-"&amp;TEXT(Q1160,"000"))</f>
        <v/>
      </c>
      <c r="T1160" s="33">
        <f>IF(R1160="","",IFERROR(INDEX(Cl_nom,MATCH(R1160,Cl_cle,0)),"(client introuvable)"))</f>
        <v/>
      </c>
      <c r="U1160" s="33">
        <f>IF(R1160="","",IFERROR(INDEX(Cl_quartier,MATCH(R1160,Cl_cle,0))&amp;"",""))</f>
        <v/>
      </c>
      <c r="V1160" s="34">
        <f>IF(C1160="","",YEAR(C1160-WEEKDAY(C1160,2)+4)&amp;"-S"&amp;TEXT(INT((C1160-DATE(YEAR(C1160-WEEKDAY(C1160,2)+4),1,3)+WEEKDAY(DATE(YEAR(C1160-WEEKDAY(C1160,2)+4),1,3),2)+5)/7),"00"))</f>
        <v/>
      </c>
    </row>
    <row r="1161" ht="18" customHeight="1">
      <c r="A1161" s="39" t="n">
        <v>1156</v>
      </c>
      <c r="B1161" s="33">
        <f>IF(C1161="","",IF(P1161="À RENSEIGNER","GIC",P1161)&amp;"-V"&amp;TEXT(A1161,"00000"))</f>
        <v/>
      </c>
      <c r="C1161" s="32" t="n"/>
      <c r="D1161" s="35" t="n"/>
      <c r="E1161" s="36" t="n"/>
      <c r="F1161" s="36" t="n"/>
      <c r="G1161" s="36" t="n"/>
      <c r="H1161" s="36" t="n"/>
      <c r="I1161" s="36" t="n"/>
      <c r="J1161" s="37" t="n"/>
      <c r="K1161" s="32" t="n"/>
      <c r="L1161" s="36" t="n"/>
      <c r="M1161" s="41" t="n"/>
      <c r="N1161" s="41" t="n"/>
      <c r="O1161" s="36" t="n"/>
      <c r="P1161" s="33">
        <f>IF(C1161="","",Commercial_Id)</f>
        <v/>
      </c>
      <c r="Q1161" s="39">
        <f>IF(F1161="","",IFERROR(VALUE(MID(F1161,LEN(F1161)-3,3)),""))</f>
        <v/>
      </c>
      <c r="R1161" s="33">
        <f>IF(Q1161="","",P1161&amp;"|"&amp;Q1161)</f>
        <v/>
      </c>
      <c r="S1161" s="33">
        <f>IF(Q1161="","",IF(P1161="À RENSEIGNER","GIC",P1161)&amp;"-"&amp;TEXT(Q1161,"000"))</f>
        <v/>
      </c>
      <c r="T1161" s="33">
        <f>IF(R1161="","",IFERROR(INDEX(Cl_nom,MATCH(R1161,Cl_cle,0)),"(client introuvable)"))</f>
        <v/>
      </c>
      <c r="U1161" s="33">
        <f>IF(R1161="","",IFERROR(INDEX(Cl_quartier,MATCH(R1161,Cl_cle,0))&amp;"",""))</f>
        <v/>
      </c>
      <c r="V1161" s="34">
        <f>IF(C1161="","",YEAR(C1161-WEEKDAY(C1161,2)+4)&amp;"-S"&amp;TEXT(INT((C1161-DATE(YEAR(C1161-WEEKDAY(C1161,2)+4),1,3)+WEEKDAY(DATE(YEAR(C1161-WEEKDAY(C1161,2)+4),1,3),2)+5)/7),"00"))</f>
        <v/>
      </c>
    </row>
    <row r="1162" ht="18" customHeight="1">
      <c r="A1162" s="39" t="n">
        <v>1157</v>
      </c>
      <c r="B1162" s="33">
        <f>IF(C1162="","",IF(P1162="À RENSEIGNER","GIC",P1162)&amp;"-V"&amp;TEXT(A1162,"00000"))</f>
        <v/>
      </c>
      <c r="C1162" s="32" t="n"/>
      <c r="D1162" s="35" t="n"/>
      <c r="E1162" s="36" t="n"/>
      <c r="F1162" s="36" t="n"/>
      <c r="G1162" s="36" t="n"/>
      <c r="H1162" s="36" t="n"/>
      <c r="I1162" s="36" t="n"/>
      <c r="J1162" s="37" t="n"/>
      <c r="K1162" s="32" t="n"/>
      <c r="L1162" s="36" t="n"/>
      <c r="M1162" s="41" t="n"/>
      <c r="N1162" s="41" t="n"/>
      <c r="O1162" s="36" t="n"/>
      <c r="P1162" s="33">
        <f>IF(C1162="","",Commercial_Id)</f>
        <v/>
      </c>
      <c r="Q1162" s="39">
        <f>IF(F1162="","",IFERROR(VALUE(MID(F1162,LEN(F1162)-3,3)),""))</f>
        <v/>
      </c>
      <c r="R1162" s="33">
        <f>IF(Q1162="","",P1162&amp;"|"&amp;Q1162)</f>
        <v/>
      </c>
      <c r="S1162" s="33">
        <f>IF(Q1162="","",IF(P1162="À RENSEIGNER","GIC",P1162)&amp;"-"&amp;TEXT(Q1162,"000"))</f>
        <v/>
      </c>
      <c r="T1162" s="33">
        <f>IF(R1162="","",IFERROR(INDEX(Cl_nom,MATCH(R1162,Cl_cle,0)),"(client introuvable)"))</f>
        <v/>
      </c>
      <c r="U1162" s="33">
        <f>IF(R1162="","",IFERROR(INDEX(Cl_quartier,MATCH(R1162,Cl_cle,0))&amp;"",""))</f>
        <v/>
      </c>
      <c r="V1162" s="34">
        <f>IF(C1162="","",YEAR(C1162-WEEKDAY(C1162,2)+4)&amp;"-S"&amp;TEXT(INT((C1162-DATE(YEAR(C1162-WEEKDAY(C1162,2)+4),1,3)+WEEKDAY(DATE(YEAR(C1162-WEEKDAY(C1162,2)+4),1,3),2)+5)/7),"00"))</f>
        <v/>
      </c>
    </row>
    <row r="1163" ht="18" customHeight="1">
      <c r="A1163" s="39" t="n">
        <v>1158</v>
      </c>
      <c r="B1163" s="33">
        <f>IF(C1163="","",IF(P1163="À RENSEIGNER","GIC",P1163)&amp;"-V"&amp;TEXT(A1163,"00000"))</f>
        <v/>
      </c>
      <c r="C1163" s="32" t="n"/>
      <c r="D1163" s="35" t="n"/>
      <c r="E1163" s="36" t="n"/>
      <c r="F1163" s="36" t="n"/>
      <c r="G1163" s="36" t="n"/>
      <c r="H1163" s="36" t="n"/>
      <c r="I1163" s="36" t="n"/>
      <c r="J1163" s="37" t="n"/>
      <c r="K1163" s="32" t="n"/>
      <c r="L1163" s="36" t="n"/>
      <c r="M1163" s="41" t="n"/>
      <c r="N1163" s="41" t="n"/>
      <c r="O1163" s="36" t="n"/>
      <c r="P1163" s="33">
        <f>IF(C1163="","",Commercial_Id)</f>
        <v/>
      </c>
      <c r="Q1163" s="39">
        <f>IF(F1163="","",IFERROR(VALUE(MID(F1163,LEN(F1163)-3,3)),""))</f>
        <v/>
      </c>
      <c r="R1163" s="33">
        <f>IF(Q1163="","",P1163&amp;"|"&amp;Q1163)</f>
        <v/>
      </c>
      <c r="S1163" s="33">
        <f>IF(Q1163="","",IF(P1163="À RENSEIGNER","GIC",P1163)&amp;"-"&amp;TEXT(Q1163,"000"))</f>
        <v/>
      </c>
      <c r="T1163" s="33">
        <f>IF(R1163="","",IFERROR(INDEX(Cl_nom,MATCH(R1163,Cl_cle,0)),"(client introuvable)"))</f>
        <v/>
      </c>
      <c r="U1163" s="33">
        <f>IF(R1163="","",IFERROR(INDEX(Cl_quartier,MATCH(R1163,Cl_cle,0))&amp;"",""))</f>
        <v/>
      </c>
      <c r="V1163" s="34">
        <f>IF(C1163="","",YEAR(C1163-WEEKDAY(C1163,2)+4)&amp;"-S"&amp;TEXT(INT((C1163-DATE(YEAR(C1163-WEEKDAY(C1163,2)+4),1,3)+WEEKDAY(DATE(YEAR(C1163-WEEKDAY(C1163,2)+4),1,3),2)+5)/7),"00"))</f>
        <v/>
      </c>
    </row>
    <row r="1164" ht="18" customHeight="1">
      <c r="A1164" s="39" t="n">
        <v>1159</v>
      </c>
      <c r="B1164" s="33">
        <f>IF(C1164="","",IF(P1164="À RENSEIGNER","GIC",P1164)&amp;"-V"&amp;TEXT(A1164,"00000"))</f>
        <v/>
      </c>
      <c r="C1164" s="32" t="n"/>
      <c r="D1164" s="35" t="n"/>
      <c r="E1164" s="36" t="n"/>
      <c r="F1164" s="36" t="n"/>
      <c r="G1164" s="36" t="n"/>
      <c r="H1164" s="36" t="n"/>
      <c r="I1164" s="36" t="n"/>
      <c r="J1164" s="37" t="n"/>
      <c r="K1164" s="32" t="n"/>
      <c r="L1164" s="36" t="n"/>
      <c r="M1164" s="41" t="n"/>
      <c r="N1164" s="41" t="n"/>
      <c r="O1164" s="36" t="n"/>
      <c r="P1164" s="33">
        <f>IF(C1164="","",Commercial_Id)</f>
        <v/>
      </c>
      <c r="Q1164" s="39">
        <f>IF(F1164="","",IFERROR(VALUE(MID(F1164,LEN(F1164)-3,3)),""))</f>
        <v/>
      </c>
      <c r="R1164" s="33">
        <f>IF(Q1164="","",P1164&amp;"|"&amp;Q1164)</f>
        <v/>
      </c>
      <c r="S1164" s="33">
        <f>IF(Q1164="","",IF(P1164="À RENSEIGNER","GIC",P1164)&amp;"-"&amp;TEXT(Q1164,"000"))</f>
        <v/>
      </c>
      <c r="T1164" s="33">
        <f>IF(R1164="","",IFERROR(INDEX(Cl_nom,MATCH(R1164,Cl_cle,0)),"(client introuvable)"))</f>
        <v/>
      </c>
      <c r="U1164" s="33">
        <f>IF(R1164="","",IFERROR(INDEX(Cl_quartier,MATCH(R1164,Cl_cle,0))&amp;"",""))</f>
        <v/>
      </c>
      <c r="V1164" s="34">
        <f>IF(C1164="","",YEAR(C1164-WEEKDAY(C1164,2)+4)&amp;"-S"&amp;TEXT(INT((C1164-DATE(YEAR(C1164-WEEKDAY(C1164,2)+4),1,3)+WEEKDAY(DATE(YEAR(C1164-WEEKDAY(C1164,2)+4),1,3),2)+5)/7),"00"))</f>
        <v/>
      </c>
    </row>
    <row r="1165" ht="18" customHeight="1">
      <c r="A1165" s="39" t="n">
        <v>1160</v>
      </c>
      <c r="B1165" s="33">
        <f>IF(C1165="","",IF(P1165="À RENSEIGNER","GIC",P1165)&amp;"-V"&amp;TEXT(A1165,"00000"))</f>
        <v/>
      </c>
      <c r="C1165" s="32" t="n"/>
      <c r="D1165" s="35" t="n"/>
      <c r="E1165" s="36" t="n"/>
      <c r="F1165" s="36" t="n"/>
      <c r="G1165" s="36" t="n"/>
      <c r="H1165" s="36" t="n"/>
      <c r="I1165" s="36" t="n"/>
      <c r="J1165" s="37" t="n"/>
      <c r="K1165" s="32" t="n"/>
      <c r="L1165" s="36" t="n"/>
      <c r="M1165" s="41" t="n"/>
      <c r="N1165" s="41" t="n"/>
      <c r="O1165" s="36" t="n"/>
      <c r="P1165" s="33">
        <f>IF(C1165="","",Commercial_Id)</f>
        <v/>
      </c>
      <c r="Q1165" s="39">
        <f>IF(F1165="","",IFERROR(VALUE(MID(F1165,LEN(F1165)-3,3)),""))</f>
        <v/>
      </c>
      <c r="R1165" s="33">
        <f>IF(Q1165="","",P1165&amp;"|"&amp;Q1165)</f>
        <v/>
      </c>
      <c r="S1165" s="33">
        <f>IF(Q1165="","",IF(P1165="À RENSEIGNER","GIC",P1165)&amp;"-"&amp;TEXT(Q1165,"000"))</f>
        <v/>
      </c>
      <c r="T1165" s="33">
        <f>IF(R1165="","",IFERROR(INDEX(Cl_nom,MATCH(R1165,Cl_cle,0)),"(client introuvable)"))</f>
        <v/>
      </c>
      <c r="U1165" s="33">
        <f>IF(R1165="","",IFERROR(INDEX(Cl_quartier,MATCH(R1165,Cl_cle,0))&amp;"",""))</f>
        <v/>
      </c>
      <c r="V1165" s="34">
        <f>IF(C1165="","",YEAR(C1165-WEEKDAY(C1165,2)+4)&amp;"-S"&amp;TEXT(INT((C1165-DATE(YEAR(C1165-WEEKDAY(C1165,2)+4),1,3)+WEEKDAY(DATE(YEAR(C1165-WEEKDAY(C1165,2)+4),1,3),2)+5)/7),"00"))</f>
        <v/>
      </c>
    </row>
    <row r="1166" ht="18" customHeight="1">
      <c r="A1166" s="39" t="n">
        <v>1161</v>
      </c>
      <c r="B1166" s="33">
        <f>IF(C1166="","",IF(P1166="À RENSEIGNER","GIC",P1166)&amp;"-V"&amp;TEXT(A1166,"00000"))</f>
        <v/>
      </c>
      <c r="C1166" s="32" t="n"/>
      <c r="D1166" s="35" t="n"/>
      <c r="E1166" s="36" t="n"/>
      <c r="F1166" s="36" t="n"/>
      <c r="G1166" s="36" t="n"/>
      <c r="H1166" s="36" t="n"/>
      <c r="I1166" s="36" t="n"/>
      <c r="J1166" s="37" t="n"/>
      <c r="K1166" s="32" t="n"/>
      <c r="L1166" s="36" t="n"/>
      <c r="M1166" s="41" t="n"/>
      <c r="N1166" s="41" t="n"/>
      <c r="O1166" s="36" t="n"/>
      <c r="P1166" s="33">
        <f>IF(C1166="","",Commercial_Id)</f>
        <v/>
      </c>
      <c r="Q1166" s="39">
        <f>IF(F1166="","",IFERROR(VALUE(MID(F1166,LEN(F1166)-3,3)),""))</f>
        <v/>
      </c>
      <c r="R1166" s="33">
        <f>IF(Q1166="","",P1166&amp;"|"&amp;Q1166)</f>
        <v/>
      </c>
      <c r="S1166" s="33">
        <f>IF(Q1166="","",IF(P1166="À RENSEIGNER","GIC",P1166)&amp;"-"&amp;TEXT(Q1166,"000"))</f>
        <v/>
      </c>
      <c r="T1166" s="33">
        <f>IF(R1166="","",IFERROR(INDEX(Cl_nom,MATCH(R1166,Cl_cle,0)),"(client introuvable)"))</f>
        <v/>
      </c>
      <c r="U1166" s="33">
        <f>IF(R1166="","",IFERROR(INDEX(Cl_quartier,MATCH(R1166,Cl_cle,0))&amp;"",""))</f>
        <v/>
      </c>
      <c r="V1166" s="34">
        <f>IF(C1166="","",YEAR(C1166-WEEKDAY(C1166,2)+4)&amp;"-S"&amp;TEXT(INT((C1166-DATE(YEAR(C1166-WEEKDAY(C1166,2)+4),1,3)+WEEKDAY(DATE(YEAR(C1166-WEEKDAY(C1166,2)+4),1,3),2)+5)/7),"00"))</f>
        <v/>
      </c>
    </row>
    <row r="1167" ht="18" customHeight="1">
      <c r="A1167" s="39" t="n">
        <v>1162</v>
      </c>
      <c r="B1167" s="33">
        <f>IF(C1167="","",IF(P1167="À RENSEIGNER","GIC",P1167)&amp;"-V"&amp;TEXT(A1167,"00000"))</f>
        <v/>
      </c>
      <c r="C1167" s="32" t="n"/>
      <c r="D1167" s="35" t="n"/>
      <c r="E1167" s="36" t="n"/>
      <c r="F1167" s="36" t="n"/>
      <c r="G1167" s="36" t="n"/>
      <c r="H1167" s="36" t="n"/>
      <c r="I1167" s="36" t="n"/>
      <c r="J1167" s="37" t="n"/>
      <c r="K1167" s="32" t="n"/>
      <c r="L1167" s="36" t="n"/>
      <c r="M1167" s="41" t="n"/>
      <c r="N1167" s="41" t="n"/>
      <c r="O1167" s="36" t="n"/>
      <c r="P1167" s="33">
        <f>IF(C1167="","",Commercial_Id)</f>
        <v/>
      </c>
      <c r="Q1167" s="39">
        <f>IF(F1167="","",IFERROR(VALUE(MID(F1167,LEN(F1167)-3,3)),""))</f>
        <v/>
      </c>
      <c r="R1167" s="33">
        <f>IF(Q1167="","",P1167&amp;"|"&amp;Q1167)</f>
        <v/>
      </c>
      <c r="S1167" s="33">
        <f>IF(Q1167="","",IF(P1167="À RENSEIGNER","GIC",P1167)&amp;"-"&amp;TEXT(Q1167,"000"))</f>
        <v/>
      </c>
      <c r="T1167" s="33">
        <f>IF(R1167="","",IFERROR(INDEX(Cl_nom,MATCH(R1167,Cl_cle,0)),"(client introuvable)"))</f>
        <v/>
      </c>
      <c r="U1167" s="33">
        <f>IF(R1167="","",IFERROR(INDEX(Cl_quartier,MATCH(R1167,Cl_cle,0))&amp;"",""))</f>
        <v/>
      </c>
      <c r="V1167" s="34">
        <f>IF(C1167="","",YEAR(C1167-WEEKDAY(C1167,2)+4)&amp;"-S"&amp;TEXT(INT((C1167-DATE(YEAR(C1167-WEEKDAY(C1167,2)+4),1,3)+WEEKDAY(DATE(YEAR(C1167-WEEKDAY(C1167,2)+4),1,3),2)+5)/7),"00"))</f>
        <v/>
      </c>
    </row>
    <row r="1168" ht="18" customHeight="1">
      <c r="A1168" s="39" t="n">
        <v>1163</v>
      </c>
      <c r="B1168" s="33">
        <f>IF(C1168="","",IF(P1168="À RENSEIGNER","GIC",P1168)&amp;"-V"&amp;TEXT(A1168,"00000"))</f>
        <v/>
      </c>
      <c r="C1168" s="32" t="n"/>
      <c r="D1168" s="35" t="n"/>
      <c r="E1168" s="36" t="n"/>
      <c r="F1168" s="36" t="n"/>
      <c r="G1168" s="36" t="n"/>
      <c r="H1168" s="36" t="n"/>
      <c r="I1168" s="36" t="n"/>
      <c r="J1168" s="37" t="n"/>
      <c r="K1168" s="32" t="n"/>
      <c r="L1168" s="36" t="n"/>
      <c r="M1168" s="41" t="n"/>
      <c r="N1168" s="41" t="n"/>
      <c r="O1168" s="36" t="n"/>
      <c r="P1168" s="33">
        <f>IF(C1168="","",Commercial_Id)</f>
        <v/>
      </c>
      <c r="Q1168" s="39">
        <f>IF(F1168="","",IFERROR(VALUE(MID(F1168,LEN(F1168)-3,3)),""))</f>
        <v/>
      </c>
      <c r="R1168" s="33">
        <f>IF(Q1168="","",P1168&amp;"|"&amp;Q1168)</f>
        <v/>
      </c>
      <c r="S1168" s="33">
        <f>IF(Q1168="","",IF(P1168="À RENSEIGNER","GIC",P1168)&amp;"-"&amp;TEXT(Q1168,"000"))</f>
        <v/>
      </c>
      <c r="T1168" s="33">
        <f>IF(R1168="","",IFERROR(INDEX(Cl_nom,MATCH(R1168,Cl_cle,0)),"(client introuvable)"))</f>
        <v/>
      </c>
      <c r="U1168" s="33">
        <f>IF(R1168="","",IFERROR(INDEX(Cl_quartier,MATCH(R1168,Cl_cle,0))&amp;"",""))</f>
        <v/>
      </c>
      <c r="V1168" s="34">
        <f>IF(C1168="","",YEAR(C1168-WEEKDAY(C1168,2)+4)&amp;"-S"&amp;TEXT(INT((C1168-DATE(YEAR(C1168-WEEKDAY(C1168,2)+4),1,3)+WEEKDAY(DATE(YEAR(C1168-WEEKDAY(C1168,2)+4),1,3),2)+5)/7),"00"))</f>
        <v/>
      </c>
    </row>
    <row r="1169" ht="18" customHeight="1">
      <c r="A1169" s="39" t="n">
        <v>1164</v>
      </c>
      <c r="B1169" s="33">
        <f>IF(C1169="","",IF(P1169="À RENSEIGNER","GIC",P1169)&amp;"-V"&amp;TEXT(A1169,"00000"))</f>
        <v/>
      </c>
      <c r="C1169" s="32" t="n"/>
      <c r="D1169" s="35" t="n"/>
      <c r="E1169" s="36" t="n"/>
      <c r="F1169" s="36" t="n"/>
      <c r="G1169" s="36" t="n"/>
      <c r="H1169" s="36" t="n"/>
      <c r="I1169" s="36" t="n"/>
      <c r="J1169" s="37" t="n"/>
      <c r="K1169" s="32" t="n"/>
      <c r="L1169" s="36" t="n"/>
      <c r="M1169" s="41" t="n"/>
      <c r="N1169" s="41" t="n"/>
      <c r="O1169" s="36" t="n"/>
      <c r="P1169" s="33">
        <f>IF(C1169="","",Commercial_Id)</f>
        <v/>
      </c>
      <c r="Q1169" s="39">
        <f>IF(F1169="","",IFERROR(VALUE(MID(F1169,LEN(F1169)-3,3)),""))</f>
        <v/>
      </c>
      <c r="R1169" s="33">
        <f>IF(Q1169="","",P1169&amp;"|"&amp;Q1169)</f>
        <v/>
      </c>
      <c r="S1169" s="33">
        <f>IF(Q1169="","",IF(P1169="À RENSEIGNER","GIC",P1169)&amp;"-"&amp;TEXT(Q1169,"000"))</f>
        <v/>
      </c>
      <c r="T1169" s="33">
        <f>IF(R1169="","",IFERROR(INDEX(Cl_nom,MATCH(R1169,Cl_cle,0)),"(client introuvable)"))</f>
        <v/>
      </c>
      <c r="U1169" s="33">
        <f>IF(R1169="","",IFERROR(INDEX(Cl_quartier,MATCH(R1169,Cl_cle,0))&amp;"",""))</f>
        <v/>
      </c>
      <c r="V1169" s="34">
        <f>IF(C1169="","",YEAR(C1169-WEEKDAY(C1169,2)+4)&amp;"-S"&amp;TEXT(INT((C1169-DATE(YEAR(C1169-WEEKDAY(C1169,2)+4),1,3)+WEEKDAY(DATE(YEAR(C1169-WEEKDAY(C1169,2)+4),1,3),2)+5)/7),"00"))</f>
        <v/>
      </c>
    </row>
    <row r="1170" ht="18" customHeight="1">
      <c r="A1170" s="39" t="n">
        <v>1165</v>
      </c>
      <c r="B1170" s="33">
        <f>IF(C1170="","",IF(P1170="À RENSEIGNER","GIC",P1170)&amp;"-V"&amp;TEXT(A1170,"00000"))</f>
        <v/>
      </c>
      <c r="C1170" s="32" t="n"/>
      <c r="D1170" s="35" t="n"/>
      <c r="E1170" s="36" t="n"/>
      <c r="F1170" s="36" t="n"/>
      <c r="G1170" s="36" t="n"/>
      <c r="H1170" s="36" t="n"/>
      <c r="I1170" s="36" t="n"/>
      <c r="J1170" s="37" t="n"/>
      <c r="K1170" s="32" t="n"/>
      <c r="L1170" s="36" t="n"/>
      <c r="M1170" s="41" t="n"/>
      <c r="N1170" s="41" t="n"/>
      <c r="O1170" s="36" t="n"/>
      <c r="P1170" s="33">
        <f>IF(C1170="","",Commercial_Id)</f>
        <v/>
      </c>
      <c r="Q1170" s="39">
        <f>IF(F1170="","",IFERROR(VALUE(MID(F1170,LEN(F1170)-3,3)),""))</f>
        <v/>
      </c>
      <c r="R1170" s="33">
        <f>IF(Q1170="","",P1170&amp;"|"&amp;Q1170)</f>
        <v/>
      </c>
      <c r="S1170" s="33">
        <f>IF(Q1170="","",IF(P1170="À RENSEIGNER","GIC",P1170)&amp;"-"&amp;TEXT(Q1170,"000"))</f>
        <v/>
      </c>
      <c r="T1170" s="33">
        <f>IF(R1170="","",IFERROR(INDEX(Cl_nom,MATCH(R1170,Cl_cle,0)),"(client introuvable)"))</f>
        <v/>
      </c>
      <c r="U1170" s="33">
        <f>IF(R1170="","",IFERROR(INDEX(Cl_quartier,MATCH(R1170,Cl_cle,0))&amp;"",""))</f>
        <v/>
      </c>
      <c r="V1170" s="34">
        <f>IF(C1170="","",YEAR(C1170-WEEKDAY(C1170,2)+4)&amp;"-S"&amp;TEXT(INT((C1170-DATE(YEAR(C1170-WEEKDAY(C1170,2)+4),1,3)+WEEKDAY(DATE(YEAR(C1170-WEEKDAY(C1170,2)+4),1,3),2)+5)/7),"00"))</f>
        <v/>
      </c>
    </row>
    <row r="1171" ht="18" customHeight="1">
      <c r="A1171" s="39" t="n">
        <v>1166</v>
      </c>
      <c r="B1171" s="33">
        <f>IF(C1171="","",IF(P1171="À RENSEIGNER","GIC",P1171)&amp;"-V"&amp;TEXT(A1171,"00000"))</f>
        <v/>
      </c>
      <c r="C1171" s="32" t="n"/>
      <c r="D1171" s="35" t="n"/>
      <c r="E1171" s="36" t="n"/>
      <c r="F1171" s="36" t="n"/>
      <c r="G1171" s="36" t="n"/>
      <c r="H1171" s="36" t="n"/>
      <c r="I1171" s="36" t="n"/>
      <c r="J1171" s="37" t="n"/>
      <c r="K1171" s="32" t="n"/>
      <c r="L1171" s="36" t="n"/>
      <c r="M1171" s="41" t="n"/>
      <c r="N1171" s="41" t="n"/>
      <c r="O1171" s="36" t="n"/>
      <c r="P1171" s="33">
        <f>IF(C1171="","",Commercial_Id)</f>
        <v/>
      </c>
      <c r="Q1171" s="39">
        <f>IF(F1171="","",IFERROR(VALUE(MID(F1171,LEN(F1171)-3,3)),""))</f>
        <v/>
      </c>
      <c r="R1171" s="33">
        <f>IF(Q1171="","",P1171&amp;"|"&amp;Q1171)</f>
        <v/>
      </c>
      <c r="S1171" s="33">
        <f>IF(Q1171="","",IF(P1171="À RENSEIGNER","GIC",P1171)&amp;"-"&amp;TEXT(Q1171,"000"))</f>
        <v/>
      </c>
      <c r="T1171" s="33">
        <f>IF(R1171="","",IFERROR(INDEX(Cl_nom,MATCH(R1171,Cl_cle,0)),"(client introuvable)"))</f>
        <v/>
      </c>
      <c r="U1171" s="33">
        <f>IF(R1171="","",IFERROR(INDEX(Cl_quartier,MATCH(R1171,Cl_cle,0))&amp;"",""))</f>
        <v/>
      </c>
      <c r="V1171" s="34">
        <f>IF(C1171="","",YEAR(C1171-WEEKDAY(C1171,2)+4)&amp;"-S"&amp;TEXT(INT((C1171-DATE(YEAR(C1171-WEEKDAY(C1171,2)+4),1,3)+WEEKDAY(DATE(YEAR(C1171-WEEKDAY(C1171,2)+4),1,3),2)+5)/7),"00"))</f>
        <v/>
      </c>
    </row>
    <row r="1172" ht="18" customHeight="1">
      <c r="A1172" s="39" t="n">
        <v>1167</v>
      </c>
      <c r="B1172" s="33">
        <f>IF(C1172="","",IF(P1172="À RENSEIGNER","GIC",P1172)&amp;"-V"&amp;TEXT(A1172,"00000"))</f>
        <v/>
      </c>
      <c r="C1172" s="32" t="n"/>
      <c r="D1172" s="35" t="n"/>
      <c r="E1172" s="36" t="n"/>
      <c r="F1172" s="36" t="n"/>
      <c r="G1172" s="36" t="n"/>
      <c r="H1172" s="36" t="n"/>
      <c r="I1172" s="36" t="n"/>
      <c r="J1172" s="37" t="n"/>
      <c r="K1172" s="32" t="n"/>
      <c r="L1172" s="36" t="n"/>
      <c r="M1172" s="41" t="n"/>
      <c r="N1172" s="41" t="n"/>
      <c r="O1172" s="36" t="n"/>
      <c r="P1172" s="33">
        <f>IF(C1172="","",Commercial_Id)</f>
        <v/>
      </c>
      <c r="Q1172" s="39">
        <f>IF(F1172="","",IFERROR(VALUE(MID(F1172,LEN(F1172)-3,3)),""))</f>
        <v/>
      </c>
      <c r="R1172" s="33">
        <f>IF(Q1172="","",P1172&amp;"|"&amp;Q1172)</f>
        <v/>
      </c>
      <c r="S1172" s="33">
        <f>IF(Q1172="","",IF(P1172="À RENSEIGNER","GIC",P1172)&amp;"-"&amp;TEXT(Q1172,"000"))</f>
        <v/>
      </c>
      <c r="T1172" s="33">
        <f>IF(R1172="","",IFERROR(INDEX(Cl_nom,MATCH(R1172,Cl_cle,0)),"(client introuvable)"))</f>
        <v/>
      </c>
      <c r="U1172" s="33">
        <f>IF(R1172="","",IFERROR(INDEX(Cl_quartier,MATCH(R1172,Cl_cle,0))&amp;"",""))</f>
        <v/>
      </c>
      <c r="V1172" s="34">
        <f>IF(C1172="","",YEAR(C1172-WEEKDAY(C1172,2)+4)&amp;"-S"&amp;TEXT(INT((C1172-DATE(YEAR(C1172-WEEKDAY(C1172,2)+4),1,3)+WEEKDAY(DATE(YEAR(C1172-WEEKDAY(C1172,2)+4),1,3),2)+5)/7),"00"))</f>
        <v/>
      </c>
    </row>
    <row r="1173" ht="18" customHeight="1">
      <c r="A1173" s="39" t="n">
        <v>1168</v>
      </c>
      <c r="B1173" s="33">
        <f>IF(C1173="","",IF(P1173="À RENSEIGNER","GIC",P1173)&amp;"-V"&amp;TEXT(A1173,"00000"))</f>
        <v/>
      </c>
      <c r="C1173" s="32" t="n"/>
      <c r="D1173" s="35" t="n"/>
      <c r="E1173" s="36" t="n"/>
      <c r="F1173" s="36" t="n"/>
      <c r="G1173" s="36" t="n"/>
      <c r="H1173" s="36" t="n"/>
      <c r="I1173" s="36" t="n"/>
      <c r="J1173" s="37" t="n"/>
      <c r="K1173" s="32" t="n"/>
      <c r="L1173" s="36" t="n"/>
      <c r="M1173" s="41" t="n"/>
      <c r="N1173" s="41" t="n"/>
      <c r="O1173" s="36" t="n"/>
      <c r="P1173" s="33">
        <f>IF(C1173="","",Commercial_Id)</f>
        <v/>
      </c>
      <c r="Q1173" s="39">
        <f>IF(F1173="","",IFERROR(VALUE(MID(F1173,LEN(F1173)-3,3)),""))</f>
        <v/>
      </c>
      <c r="R1173" s="33">
        <f>IF(Q1173="","",P1173&amp;"|"&amp;Q1173)</f>
        <v/>
      </c>
      <c r="S1173" s="33">
        <f>IF(Q1173="","",IF(P1173="À RENSEIGNER","GIC",P1173)&amp;"-"&amp;TEXT(Q1173,"000"))</f>
        <v/>
      </c>
      <c r="T1173" s="33">
        <f>IF(R1173="","",IFERROR(INDEX(Cl_nom,MATCH(R1173,Cl_cle,0)),"(client introuvable)"))</f>
        <v/>
      </c>
      <c r="U1173" s="33">
        <f>IF(R1173="","",IFERROR(INDEX(Cl_quartier,MATCH(R1173,Cl_cle,0))&amp;"",""))</f>
        <v/>
      </c>
      <c r="V1173" s="34">
        <f>IF(C1173="","",YEAR(C1173-WEEKDAY(C1173,2)+4)&amp;"-S"&amp;TEXT(INT((C1173-DATE(YEAR(C1173-WEEKDAY(C1173,2)+4),1,3)+WEEKDAY(DATE(YEAR(C1173-WEEKDAY(C1173,2)+4),1,3),2)+5)/7),"00"))</f>
        <v/>
      </c>
    </row>
    <row r="1174" ht="18" customHeight="1">
      <c r="A1174" s="39" t="n">
        <v>1169</v>
      </c>
      <c r="B1174" s="33">
        <f>IF(C1174="","",IF(P1174="À RENSEIGNER","GIC",P1174)&amp;"-V"&amp;TEXT(A1174,"00000"))</f>
        <v/>
      </c>
      <c r="C1174" s="32" t="n"/>
      <c r="D1174" s="35" t="n"/>
      <c r="E1174" s="36" t="n"/>
      <c r="F1174" s="36" t="n"/>
      <c r="G1174" s="36" t="n"/>
      <c r="H1174" s="36" t="n"/>
      <c r="I1174" s="36" t="n"/>
      <c r="J1174" s="37" t="n"/>
      <c r="K1174" s="32" t="n"/>
      <c r="L1174" s="36" t="n"/>
      <c r="M1174" s="41" t="n"/>
      <c r="N1174" s="41" t="n"/>
      <c r="O1174" s="36" t="n"/>
      <c r="P1174" s="33">
        <f>IF(C1174="","",Commercial_Id)</f>
        <v/>
      </c>
      <c r="Q1174" s="39">
        <f>IF(F1174="","",IFERROR(VALUE(MID(F1174,LEN(F1174)-3,3)),""))</f>
        <v/>
      </c>
      <c r="R1174" s="33">
        <f>IF(Q1174="","",P1174&amp;"|"&amp;Q1174)</f>
        <v/>
      </c>
      <c r="S1174" s="33">
        <f>IF(Q1174="","",IF(P1174="À RENSEIGNER","GIC",P1174)&amp;"-"&amp;TEXT(Q1174,"000"))</f>
        <v/>
      </c>
      <c r="T1174" s="33">
        <f>IF(R1174="","",IFERROR(INDEX(Cl_nom,MATCH(R1174,Cl_cle,0)),"(client introuvable)"))</f>
        <v/>
      </c>
      <c r="U1174" s="33">
        <f>IF(R1174="","",IFERROR(INDEX(Cl_quartier,MATCH(R1174,Cl_cle,0))&amp;"",""))</f>
        <v/>
      </c>
      <c r="V1174" s="34">
        <f>IF(C1174="","",YEAR(C1174-WEEKDAY(C1174,2)+4)&amp;"-S"&amp;TEXT(INT((C1174-DATE(YEAR(C1174-WEEKDAY(C1174,2)+4),1,3)+WEEKDAY(DATE(YEAR(C1174-WEEKDAY(C1174,2)+4),1,3),2)+5)/7),"00"))</f>
        <v/>
      </c>
    </row>
    <row r="1175" ht="18" customHeight="1">
      <c r="A1175" s="39" t="n">
        <v>1170</v>
      </c>
      <c r="B1175" s="33">
        <f>IF(C1175="","",IF(P1175="À RENSEIGNER","GIC",P1175)&amp;"-V"&amp;TEXT(A1175,"00000"))</f>
        <v/>
      </c>
      <c r="C1175" s="32" t="n"/>
      <c r="D1175" s="35" t="n"/>
      <c r="E1175" s="36" t="n"/>
      <c r="F1175" s="36" t="n"/>
      <c r="G1175" s="36" t="n"/>
      <c r="H1175" s="36" t="n"/>
      <c r="I1175" s="36" t="n"/>
      <c r="J1175" s="37" t="n"/>
      <c r="K1175" s="32" t="n"/>
      <c r="L1175" s="36" t="n"/>
      <c r="M1175" s="41" t="n"/>
      <c r="N1175" s="41" t="n"/>
      <c r="O1175" s="36" t="n"/>
      <c r="P1175" s="33">
        <f>IF(C1175="","",Commercial_Id)</f>
        <v/>
      </c>
      <c r="Q1175" s="39">
        <f>IF(F1175="","",IFERROR(VALUE(MID(F1175,LEN(F1175)-3,3)),""))</f>
        <v/>
      </c>
      <c r="R1175" s="33">
        <f>IF(Q1175="","",P1175&amp;"|"&amp;Q1175)</f>
        <v/>
      </c>
      <c r="S1175" s="33">
        <f>IF(Q1175="","",IF(P1175="À RENSEIGNER","GIC",P1175)&amp;"-"&amp;TEXT(Q1175,"000"))</f>
        <v/>
      </c>
      <c r="T1175" s="33">
        <f>IF(R1175="","",IFERROR(INDEX(Cl_nom,MATCH(R1175,Cl_cle,0)),"(client introuvable)"))</f>
        <v/>
      </c>
      <c r="U1175" s="33">
        <f>IF(R1175="","",IFERROR(INDEX(Cl_quartier,MATCH(R1175,Cl_cle,0))&amp;"",""))</f>
        <v/>
      </c>
      <c r="V1175" s="34">
        <f>IF(C1175="","",YEAR(C1175-WEEKDAY(C1175,2)+4)&amp;"-S"&amp;TEXT(INT((C1175-DATE(YEAR(C1175-WEEKDAY(C1175,2)+4),1,3)+WEEKDAY(DATE(YEAR(C1175-WEEKDAY(C1175,2)+4),1,3),2)+5)/7),"00"))</f>
        <v/>
      </c>
    </row>
    <row r="1176" ht="18" customHeight="1">
      <c r="A1176" s="39" t="n">
        <v>1171</v>
      </c>
      <c r="B1176" s="33">
        <f>IF(C1176="","",IF(P1176="À RENSEIGNER","GIC",P1176)&amp;"-V"&amp;TEXT(A1176,"00000"))</f>
        <v/>
      </c>
      <c r="C1176" s="32" t="n"/>
      <c r="D1176" s="35" t="n"/>
      <c r="E1176" s="36" t="n"/>
      <c r="F1176" s="36" t="n"/>
      <c r="G1176" s="36" t="n"/>
      <c r="H1176" s="36" t="n"/>
      <c r="I1176" s="36" t="n"/>
      <c r="J1176" s="37" t="n"/>
      <c r="K1176" s="32" t="n"/>
      <c r="L1176" s="36" t="n"/>
      <c r="M1176" s="41" t="n"/>
      <c r="N1176" s="41" t="n"/>
      <c r="O1176" s="36" t="n"/>
      <c r="P1176" s="33">
        <f>IF(C1176="","",Commercial_Id)</f>
        <v/>
      </c>
      <c r="Q1176" s="39">
        <f>IF(F1176="","",IFERROR(VALUE(MID(F1176,LEN(F1176)-3,3)),""))</f>
        <v/>
      </c>
      <c r="R1176" s="33">
        <f>IF(Q1176="","",P1176&amp;"|"&amp;Q1176)</f>
        <v/>
      </c>
      <c r="S1176" s="33">
        <f>IF(Q1176="","",IF(P1176="À RENSEIGNER","GIC",P1176)&amp;"-"&amp;TEXT(Q1176,"000"))</f>
        <v/>
      </c>
      <c r="T1176" s="33">
        <f>IF(R1176="","",IFERROR(INDEX(Cl_nom,MATCH(R1176,Cl_cle,0)),"(client introuvable)"))</f>
        <v/>
      </c>
      <c r="U1176" s="33">
        <f>IF(R1176="","",IFERROR(INDEX(Cl_quartier,MATCH(R1176,Cl_cle,0))&amp;"",""))</f>
        <v/>
      </c>
      <c r="V1176" s="34">
        <f>IF(C1176="","",YEAR(C1176-WEEKDAY(C1176,2)+4)&amp;"-S"&amp;TEXT(INT((C1176-DATE(YEAR(C1176-WEEKDAY(C1176,2)+4),1,3)+WEEKDAY(DATE(YEAR(C1176-WEEKDAY(C1176,2)+4),1,3),2)+5)/7),"00"))</f>
        <v/>
      </c>
    </row>
    <row r="1177" ht="18" customHeight="1">
      <c r="A1177" s="39" t="n">
        <v>1172</v>
      </c>
      <c r="B1177" s="33">
        <f>IF(C1177="","",IF(P1177="À RENSEIGNER","GIC",P1177)&amp;"-V"&amp;TEXT(A1177,"00000"))</f>
        <v/>
      </c>
      <c r="C1177" s="32" t="n"/>
      <c r="D1177" s="35" t="n"/>
      <c r="E1177" s="36" t="n"/>
      <c r="F1177" s="36" t="n"/>
      <c r="G1177" s="36" t="n"/>
      <c r="H1177" s="36" t="n"/>
      <c r="I1177" s="36" t="n"/>
      <c r="J1177" s="37" t="n"/>
      <c r="K1177" s="32" t="n"/>
      <c r="L1177" s="36" t="n"/>
      <c r="M1177" s="41" t="n"/>
      <c r="N1177" s="41" t="n"/>
      <c r="O1177" s="36" t="n"/>
      <c r="P1177" s="33">
        <f>IF(C1177="","",Commercial_Id)</f>
        <v/>
      </c>
      <c r="Q1177" s="39">
        <f>IF(F1177="","",IFERROR(VALUE(MID(F1177,LEN(F1177)-3,3)),""))</f>
        <v/>
      </c>
      <c r="R1177" s="33">
        <f>IF(Q1177="","",P1177&amp;"|"&amp;Q1177)</f>
        <v/>
      </c>
      <c r="S1177" s="33">
        <f>IF(Q1177="","",IF(P1177="À RENSEIGNER","GIC",P1177)&amp;"-"&amp;TEXT(Q1177,"000"))</f>
        <v/>
      </c>
      <c r="T1177" s="33">
        <f>IF(R1177="","",IFERROR(INDEX(Cl_nom,MATCH(R1177,Cl_cle,0)),"(client introuvable)"))</f>
        <v/>
      </c>
      <c r="U1177" s="33">
        <f>IF(R1177="","",IFERROR(INDEX(Cl_quartier,MATCH(R1177,Cl_cle,0))&amp;"",""))</f>
        <v/>
      </c>
      <c r="V1177" s="34">
        <f>IF(C1177="","",YEAR(C1177-WEEKDAY(C1177,2)+4)&amp;"-S"&amp;TEXT(INT((C1177-DATE(YEAR(C1177-WEEKDAY(C1177,2)+4),1,3)+WEEKDAY(DATE(YEAR(C1177-WEEKDAY(C1177,2)+4),1,3),2)+5)/7),"00"))</f>
        <v/>
      </c>
    </row>
    <row r="1178" ht="18" customHeight="1">
      <c r="A1178" s="39" t="n">
        <v>1173</v>
      </c>
      <c r="B1178" s="33">
        <f>IF(C1178="","",IF(P1178="À RENSEIGNER","GIC",P1178)&amp;"-V"&amp;TEXT(A1178,"00000"))</f>
        <v/>
      </c>
      <c r="C1178" s="32" t="n"/>
      <c r="D1178" s="35" t="n"/>
      <c r="E1178" s="36" t="n"/>
      <c r="F1178" s="36" t="n"/>
      <c r="G1178" s="36" t="n"/>
      <c r="H1178" s="36" t="n"/>
      <c r="I1178" s="36" t="n"/>
      <c r="J1178" s="37" t="n"/>
      <c r="K1178" s="32" t="n"/>
      <c r="L1178" s="36" t="n"/>
      <c r="M1178" s="41" t="n"/>
      <c r="N1178" s="41" t="n"/>
      <c r="O1178" s="36" t="n"/>
      <c r="P1178" s="33">
        <f>IF(C1178="","",Commercial_Id)</f>
        <v/>
      </c>
      <c r="Q1178" s="39">
        <f>IF(F1178="","",IFERROR(VALUE(MID(F1178,LEN(F1178)-3,3)),""))</f>
        <v/>
      </c>
      <c r="R1178" s="33">
        <f>IF(Q1178="","",P1178&amp;"|"&amp;Q1178)</f>
        <v/>
      </c>
      <c r="S1178" s="33">
        <f>IF(Q1178="","",IF(P1178="À RENSEIGNER","GIC",P1178)&amp;"-"&amp;TEXT(Q1178,"000"))</f>
        <v/>
      </c>
      <c r="T1178" s="33">
        <f>IF(R1178="","",IFERROR(INDEX(Cl_nom,MATCH(R1178,Cl_cle,0)),"(client introuvable)"))</f>
        <v/>
      </c>
      <c r="U1178" s="33">
        <f>IF(R1178="","",IFERROR(INDEX(Cl_quartier,MATCH(R1178,Cl_cle,0))&amp;"",""))</f>
        <v/>
      </c>
      <c r="V1178" s="34">
        <f>IF(C1178="","",YEAR(C1178-WEEKDAY(C1178,2)+4)&amp;"-S"&amp;TEXT(INT((C1178-DATE(YEAR(C1178-WEEKDAY(C1178,2)+4),1,3)+WEEKDAY(DATE(YEAR(C1178-WEEKDAY(C1178,2)+4),1,3),2)+5)/7),"00"))</f>
        <v/>
      </c>
    </row>
    <row r="1179" ht="18" customHeight="1">
      <c r="A1179" s="39" t="n">
        <v>1174</v>
      </c>
      <c r="B1179" s="33">
        <f>IF(C1179="","",IF(P1179="À RENSEIGNER","GIC",P1179)&amp;"-V"&amp;TEXT(A1179,"00000"))</f>
        <v/>
      </c>
      <c r="C1179" s="32" t="n"/>
      <c r="D1179" s="35" t="n"/>
      <c r="E1179" s="36" t="n"/>
      <c r="F1179" s="36" t="n"/>
      <c r="G1179" s="36" t="n"/>
      <c r="H1179" s="36" t="n"/>
      <c r="I1179" s="36" t="n"/>
      <c r="J1179" s="37" t="n"/>
      <c r="K1179" s="32" t="n"/>
      <c r="L1179" s="36" t="n"/>
      <c r="M1179" s="41" t="n"/>
      <c r="N1179" s="41" t="n"/>
      <c r="O1179" s="36" t="n"/>
      <c r="P1179" s="33">
        <f>IF(C1179="","",Commercial_Id)</f>
        <v/>
      </c>
      <c r="Q1179" s="39">
        <f>IF(F1179="","",IFERROR(VALUE(MID(F1179,LEN(F1179)-3,3)),""))</f>
        <v/>
      </c>
      <c r="R1179" s="33">
        <f>IF(Q1179="","",P1179&amp;"|"&amp;Q1179)</f>
        <v/>
      </c>
      <c r="S1179" s="33">
        <f>IF(Q1179="","",IF(P1179="À RENSEIGNER","GIC",P1179)&amp;"-"&amp;TEXT(Q1179,"000"))</f>
        <v/>
      </c>
      <c r="T1179" s="33">
        <f>IF(R1179="","",IFERROR(INDEX(Cl_nom,MATCH(R1179,Cl_cle,0)),"(client introuvable)"))</f>
        <v/>
      </c>
      <c r="U1179" s="33">
        <f>IF(R1179="","",IFERROR(INDEX(Cl_quartier,MATCH(R1179,Cl_cle,0))&amp;"",""))</f>
        <v/>
      </c>
      <c r="V1179" s="34">
        <f>IF(C1179="","",YEAR(C1179-WEEKDAY(C1179,2)+4)&amp;"-S"&amp;TEXT(INT((C1179-DATE(YEAR(C1179-WEEKDAY(C1179,2)+4),1,3)+WEEKDAY(DATE(YEAR(C1179-WEEKDAY(C1179,2)+4),1,3),2)+5)/7),"00"))</f>
        <v/>
      </c>
    </row>
    <row r="1180" ht="18" customHeight="1">
      <c r="A1180" s="39" t="n">
        <v>1175</v>
      </c>
      <c r="B1180" s="33">
        <f>IF(C1180="","",IF(P1180="À RENSEIGNER","GIC",P1180)&amp;"-V"&amp;TEXT(A1180,"00000"))</f>
        <v/>
      </c>
      <c r="C1180" s="32" t="n"/>
      <c r="D1180" s="35" t="n"/>
      <c r="E1180" s="36" t="n"/>
      <c r="F1180" s="36" t="n"/>
      <c r="G1180" s="36" t="n"/>
      <c r="H1180" s="36" t="n"/>
      <c r="I1180" s="36" t="n"/>
      <c r="J1180" s="37" t="n"/>
      <c r="K1180" s="32" t="n"/>
      <c r="L1180" s="36" t="n"/>
      <c r="M1180" s="41" t="n"/>
      <c r="N1180" s="41" t="n"/>
      <c r="O1180" s="36" t="n"/>
      <c r="P1180" s="33">
        <f>IF(C1180="","",Commercial_Id)</f>
        <v/>
      </c>
      <c r="Q1180" s="39">
        <f>IF(F1180="","",IFERROR(VALUE(MID(F1180,LEN(F1180)-3,3)),""))</f>
        <v/>
      </c>
      <c r="R1180" s="33">
        <f>IF(Q1180="","",P1180&amp;"|"&amp;Q1180)</f>
        <v/>
      </c>
      <c r="S1180" s="33">
        <f>IF(Q1180="","",IF(P1180="À RENSEIGNER","GIC",P1180)&amp;"-"&amp;TEXT(Q1180,"000"))</f>
        <v/>
      </c>
      <c r="T1180" s="33">
        <f>IF(R1180="","",IFERROR(INDEX(Cl_nom,MATCH(R1180,Cl_cle,0)),"(client introuvable)"))</f>
        <v/>
      </c>
      <c r="U1180" s="33">
        <f>IF(R1180="","",IFERROR(INDEX(Cl_quartier,MATCH(R1180,Cl_cle,0))&amp;"",""))</f>
        <v/>
      </c>
      <c r="V1180" s="34">
        <f>IF(C1180="","",YEAR(C1180-WEEKDAY(C1180,2)+4)&amp;"-S"&amp;TEXT(INT((C1180-DATE(YEAR(C1180-WEEKDAY(C1180,2)+4),1,3)+WEEKDAY(DATE(YEAR(C1180-WEEKDAY(C1180,2)+4),1,3),2)+5)/7),"00"))</f>
        <v/>
      </c>
    </row>
    <row r="1181" ht="18" customHeight="1">
      <c r="A1181" s="39" t="n">
        <v>1176</v>
      </c>
      <c r="B1181" s="33">
        <f>IF(C1181="","",IF(P1181="À RENSEIGNER","GIC",P1181)&amp;"-V"&amp;TEXT(A1181,"00000"))</f>
        <v/>
      </c>
      <c r="C1181" s="32" t="n"/>
      <c r="D1181" s="35" t="n"/>
      <c r="E1181" s="36" t="n"/>
      <c r="F1181" s="36" t="n"/>
      <c r="G1181" s="36" t="n"/>
      <c r="H1181" s="36" t="n"/>
      <c r="I1181" s="36" t="n"/>
      <c r="J1181" s="37" t="n"/>
      <c r="K1181" s="32" t="n"/>
      <c r="L1181" s="36" t="n"/>
      <c r="M1181" s="41" t="n"/>
      <c r="N1181" s="41" t="n"/>
      <c r="O1181" s="36" t="n"/>
      <c r="P1181" s="33">
        <f>IF(C1181="","",Commercial_Id)</f>
        <v/>
      </c>
      <c r="Q1181" s="39">
        <f>IF(F1181="","",IFERROR(VALUE(MID(F1181,LEN(F1181)-3,3)),""))</f>
        <v/>
      </c>
      <c r="R1181" s="33">
        <f>IF(Q1181="","",P1181&amp;"|"&amp;Q1181)</f>
        <v/>
      </c>
      <c r="S1181" s="33">
        <f>IF(Q1181="","",IF(P1181="À RENSEIGNER","GIC",P1181)&amp;"-"&amp;TEXT(Q1181,"000"))</f>
        <v/>
      </c>
      <c r="T1181" s="33">
        <f>IF(R1181="","",IFERROR(INDEX(Cl_nom,MATCH(R1181,Cl_cle,0)),"(client introuvable)"))</f>
        <v/>
      </c>
      <c r="U1181" s="33">
        <f>IF(R1181="","",IFERROR(INDEX(Cl_quartier,MATCH(R1181,Cl_cle,0))&amp;"",""))</f>
        <v/>
      </c>
      <c r="V1181" s="34">
        <f>IF(C1181="","",YEAR(C1181-WEEKDAY(C1181,2)+4)&amp;"-S"&amp;TEXT(INT((C1181-DATE(YEAR(C1181-WEEKDAY(C1181,2)+4),1,3)+WEEKDAY(DATE(YEAR(C1181-WEEKDAY(C1181,2)+4),1,3),2)+5)/7),"00"))</f>
        <v/>
      </c>
    </row>
    <row r="1182" ht="18" customHeight="1">
      <c r="A1182" s="39" t="n">
        <v>1177</v>
      </c>
      <c r="B1182" s="33">
        <f>IF(C1182="","",IF(P1182="À RENSEIGNER","GIC",P1182)&amp;"-V"&amp;TEXT(A1182,"00000"))</f>
        <v/>
      </c>
      <c r="C1182" s="32" t="n"/>
      <c r="D1182" s="35" t="n"/>
      <c r="E1182" s="36" t="n"/>
      <c r="F1182" s="36" t="n"/>
      <c r="G1182" s="36" t="n"/>
      <c r="H1182" s="36" t="n"/>
      <c r="I1182" s="36" t="n"/>
      <c r="J1182" s="37" t="n"/>
      <c r="K1182" s="32" t="n"/>
      <c r="L1182" s="36" t="n"/>
      <c r="M1182" s="41" t="n"/>
      <c r="N1182" s="41" t="n"/>
      <c r="O1182" s="36" t="n"/>
      <c r="P1182" s="33">
        <f>IF(C1182="","",Commercial_Id)</f>
        <v/>
      </c>
      <c r="Q1182" s="39">
        <f>IF(F1182="","",IFERROR(VALUE(MID(F1182,LEN(F1182)-3,3)),""))</f>
        <v/>
      </c>
      <c r="R1182" s="33">
        <f>IF(Q1182="","",P1182&amp;"|"&amp;Q1182)</f>
        <v/>
      </c>
      <c r="S1182" s="33">
        <f>IF(Q1182="","",IF(P1182="À RENSEIGNER","GIC",P1182)&amp;"-"&amp;TEXT(Q1182,"000"))</f>
        <v/>
      </c>
      <c r="T1182" s="33">
        <f>IF(R1182="","",IFERROR(INDEX(Cl_nom,MATCH(R1182,Cl_cle,0)),"(client introuvable)"))</f>
        <v/>
      </c>
      <c r="U1182" s="33">
        <f>IF(R1182="","",IFERROR(INDEX(Cl_quartier,MATCH(R1182,Cl_cle,0))&amp;"",""))</f>
        <v/>
      </c>
      <c r="V1182" s="34">
        <f>IF(C1182="","",YEAR(C1182-WEEKDAY(C1182,2)+4)&amp;"-S"&amp;TEXT(INT((C1182-DATE(YEAR(C1182-WEEKDAY(C1182,2)+4),1,3)+WEEKDAY(DATE(YEAR(C1182-WEEKDAY(C1182,2)+4),1,3),2)+5)/7),"00"))</f>
        <v/>
      </c>
    </row>
    <row r="1183" ht="18" customHeight="1">
      <c r="A1183" s="39" t="n">
        <v>1178</v>
      </c>
      <c r="B1183" s="33">
        <f>IF(C1183="","",IF(P1183="À RENSEIGNER","GIC",P1183)&amp;"-V"&amp;TEXT(A1183,"00000"))</f>
        <v/>
      </c>
      <c r="C1183" s="32" t="n"/>
      <c r="D1183" s="35" t="n"/>
      <c r="E1183" s="36" t="n"/>
      <c r="F1183" s="36" t="n"/>
      <c r="G1183" s="36" t="n"/>
      <c r="H1183" s="36" t="n"/>
      <c r="I1183" s="36" t="n"/>
      <c r="J1183" s="37" t="n"/>
      <c r="K1183" s="32" t="n"/>
      <c r="L1183" s="36" t="n"/>
      <c r="M1183" s="41" t="n"/>
      <c r="N1183" s="41" t="n"/>
      <c r="O1183" s="36" t="n"/>
      <c r="P1183" s="33">
        <f>IF(C1183="","",Commercial_Id)</f>
        <v/>
      </c>
      <c r="Q1183" s="39">
        <f>IF(F1183="","",IFERROR(VALUE(MID(F1183,LEN(F1183)-3,3)),""))</f>
        <v/>
      </c>
      <c r="R1183" s="33">
        <f>IF(Q1183="","",P1183&amp;"|"&amp;Q1183)</f>
        <v/>
      </c>
      <c r="S1183" s="33">
        <f>IF(Q1183="","",IF(P1183="À RENSEIGNER","GIC",P1183)&amp;"-"&amp;TEXT(Q1183,"000"))</f>
        <v/>
      </c>
      <c r="T1183" s="33">
        <f>IF(R1183="","",IFERROR(INDEX(Cl_nom,MATCH(R1183,Cl_cle,0)),"(client introuvable)"))</f>
        <v/>
      </c>
      <c r="U1183" s="33">
        <f>IF(R1183="","",IFERROR(INDEX(Cl_quartier,MATCH(R1183,Cl_cle,0))&amp;"",""))</f>
        <v/>
      </c>
      <c r="V1183" s="34">
        <f>IF(C1183="","",YEAR(C1183-WEEKDAY(C1183,2)+4)&amp;"-S"&amp;TEXT(INT((C1183-DATE(YEAR(C1183-WEEKDAY(C1183,2)+4),1,3)+WEEKDAY(DATE(YEAR(C1183-WEEKDAY(C1183,2)+4),1,3),2)+5)/7),"00"))</f>
        <v/>
      </c>
    </row>
    <row r="1184" ht="18" customHeight="1">
      <c r="A1184" s="39" t="n">
        <v>1179</v>
      </c>
      <c r="B1184" s="33">
        <f>IF(C1184="","",IF(P1184="À RENSEIGNER","GIC",P1184)&amp;"-V"&amp;TEXT(A1184,"00000"))</f>
        <v/>
      </c>
      <c r="C1184" s="32" t="n"/>
      <c r="D1184" s="35" t="n"/>
      <c r="E1184" s="36" t="n"/>
      <c r="F1184" s="36" t="n"/>
      <c r="G1184" s="36" t="n"/>
      <c r="H1184" s="36" t="n"/>
      <c r="I1184" s="36" t="n"/>
      <c r="J1184" s="37" t="n"/>
      <c r="K1184" s="32" t="n"/>
      <c r="L1184" s="36" t="n"/>
      <c r="M1184" s="41" t="n"/>
      <c r="N1184" s="41" t="n"/>
      <c r="O1184" s="36" t="n"/>
      <c r="P1184" s="33">
        <f>IF(C1184="","",Commercial_Id)</f>
        <v/>
      </c>
      <c r="Q1184" s="39">
        <f>IF(F1184="","",IFERROR(VALUE(MID(F1184,LEN(F1184)-3,3)),""))</f>
        <v/>
      </c>
      <c r="R1184" s="33">
        <f>IF(Q1184="","",P1184&amp;"|"&amp;Q1184)</f>
        <v/>
      </c>
      <c r="S1184" s="33">
        <f>IF(Q1184="","",IF(P1184="À RENSEIGNER","GIC",P1184)&amp;"-"&amp;TEXT(Q1184,"000"))</f>
        <v/>
      </c>
      <c r="T1184" s="33">
        <f>IF(R1184="","",IFERROR(INDEX(Cl_nom,MATCH(R1184,Cl_cle,0)),"(client introuvable)"))</f>
        <v/>
      </c>
      <c r="U1184" s="33">
        <f>IF(R1184="","",IFERROR(INDEX(Cl_quartier,MATCH(R1184,Cl_cle,0))&amp;"",""))</f>
        <v/>
      </c>
      <c r="V1184" s="34">
        <f>IF(C1184="","",YEAR(C1184-WEEKDAY(C1184,2)+4)&amp;"-S"&amp;TEXT(INT((C1184-DATE(YEAR(C1184-WEEKDAY(C1184,2)+4),1,3)+WEEKDAY(DATE(YEAR(C1184-WEEKDAY(C1184,2)+4),1,3),2)+5)/7),"00"))</f>
        <v/>
      </c>
    </row>
    <row r="1185" ht="18" customHeight="1">
      <c r="A1185" s="39" t="n">
        <v>1180</v>
      </c>
      <c r="B1185" s="33">
        <f>IF(C1185="","",IF(P1185="À RENSEIGNER","GIC",P1185)&amp;"-V"&amp;TEXT(A1185,"00000"))</f>
        <v/>
      </c>
      <c r="C1185" s="32" t="n"/>
      <c r="D1185" s="35" t="n"/>
      <c r="E1185" s="36" t="n"/>
      <c r="F1185" s="36" t="n"/>
      <c r="G1185" s="36" t="n"/>
      <c r="H1185" s="36" t="n"/>
      <c r="I1185" s="36" t="n"/>
      <c r="J1185" s="37" t="n"/>
      <c r="K1185" s="32" t="n"/>
      <c r="L1185" s="36" t="n"/>
      <c r="M1185" s="41" t="n"/>
      <c r="N1185" s="41" t="n"/>
      <c r="O1185" s="36" t="n"/>
      <c r="P1185" s="33">
        <f>IF(C1185="","",Commercial_Id)</f>
        <v/>
      </c>
      <c r="Q1185" s="39">
        <f>IF(F1185="","",IFERROR(VALUE(MID(F1185,LEN(F1185)-3,3)),""))</f>
        <v/>
      </c>
      <c r="R1185" s="33">
        <f>IF(Q1185="","",P1185&amp;"|"&amp;Q1185)</f>
        <v/>
      </c>
      <c r="S1185" s="33">
        <f>IF(Q1185="","",IF(P1185="À RENSEIGNER","GIC",P1185)&amp;"-"&amp;TEXT(Q1185,"000"))</f>
        <v/>
      </c>
      <c r="T1185" s="33">
        <f>IF(R1185="","",IFERROR(INDEX(Cl_nom,MATCH(R1185,Cl_cle,0)),"(client introuvable)"))</f>
        <v/>
      </c>
      <c r="U1185" s="33">
        <f>IF(R1185="","",IFERROR(INDEX(Cl_quartier,MATCH(R1185,Cl_cle,0))&amp;"",""))</f>
        <v/>
      </c>
      <c r="V1185" s="34">
        <f>IF(C1185="","",YEAR(C1185-WEEKDAY(C1185,2)+4)&amp;"-S"&amp;TEXT(INT((C1185-DATE(YEAR(C1185-WEEKDAY(C1185,2)+4),1,3)+WEEKDAY(DATE(YEAR(C1185-WEEKDAY(C1185,2)+4),1,3),2)+5)/7),"00"))</f>
        <v/>
      </c>
    </row>
    <row r="1186" ht="18" customHeight="1">
      <c r="A1186" s="39" t="n">
        <v>1181</v>
      </c>
      <c r="B1186" s="33">
        <f>IF(C1186="","",IF(P1186="À RENSEIGNER","GIC",P1186)&amp;"-V"&amp;TEXT(A1186,"00000"))</f>
        <v/>
      </c>
      <c r="C1186" s="32" t="n"/>
      <c r="D1186" s="35" t="n"/>
      <c r="E1186" s="36" t="n"/>
      <c r="F1186" s="36" t="n"/>
      <c r="G1186" s="36" t="n"/>
      <c r="H1186" s="36" t="n"/>
      <c r="I1186" s="36" t="n"/>
      <c r="J1186" s="37" t="n"/>
      <c r="K1186" s="32" t="n"/>
      <c r="L1186" s="36" t="n"/>
      <c r="M1186" s="41" t="n"/>
      <c r="N1186" s="41" t="n"/>
      <c r="O1186" s="36" t="n"/>
      <c r="P1186" s="33">
        <f>IF(C1186="","",Commercial_Id)</f>
        <v/>
      </c>
      <c r="Q1186" s="39">
        <f>IF(F1186="","",IFERROR(VALUE(MID(F1186,LEN(F1186)-3,3)),""))</f>
        <v/>
      </c>
      <c r="R1186" s="33">
        <f>IF(Q1186="","",P1186&amp;"|"&amp;Q1186)</f>
        <v/>
      </c>
      <c r="S1186" s="33">
        <f>IF(Q1186="","",IF(P1186="À RENSEIGNER","GIC",P1186)&amp;"-"&amp;TEXT(Q1186,"000"))</f>
        <v/>
      </c>
      <c r="T1186" s="33">
        <f>IF(R1186="","",IFERROR(INDEX(Cl_nom,MATCH(R1186,Cl_cle,0)),"(client introuvable)"))</f>
        <v/>
      </c>
      <c r="U1186" s="33">
        <f>IF(R1186="","",IFERROR(INDEX(Cl_quartier,MATCH(R1186,Cl_cle,0))&amp;"",""))</f>
        <v/>
      </c>
      <c r="V1186" s="34">
        <f>IF(C1186="","",YEAR(C1186-WEEKDAY(C1186,2)+4)&amp;"-S"&amp;TEXT(INT((C1186-DATE(YEAR(C1186-WEEKDAY(C1186,2)+4),1,3)+WEEKDAY(DATE(YEAR(C1186-WEEKDAY(C1186,2)+4),1,3),2)+5)/7),"00"))</f>
        <v/>
      </c>
    </row>
    <row r="1187" ht="18" customHeight="1">
      <c r="A1187" s="39" t="n">
        <v>1182</v>
      </c>
      <c r="B1187" s="33">
        <f>IF(C1187="","",IF(P1187="À RENSEIGNER","GIC",P1187)&amp;"-V"&amp;TEXT(A1187,"00000"))</f>
        <v/>
      </c>
      <c r="C1187" s="32" t="n"/>
      <c r="D1187" s="35" t="n"/>
      <c r="E1187" s="36" t="n"/>
      <c r="F1187" s="36" t="n"/>
      <c r="G1187" s="36" t="n"/>
      <c r="H1187" s="36" t="n"/>
      <c r="I1187" s="36" t="n"/>
      <c r="J1187" s="37" t="n"/>
      <c r="K1187" s="32" t="n"/>
      <c r="L1187" s="36" t="n"/>
      <c r="M1187" s="41" t="n"/>
      <c r="N1187" s="41" t="n"/>
      <c r="O1187" s="36" t="n"/>
      <c r="P1187" s="33">
        <f>IF(C1187="","",Commercial_Id)</f>
        <v/>
      </c>
      <c r="Q1187" s="39">
        <f>IF(F1187="","",IFERROR(VALUE(MID(F1187,LEN(F1187)-3,3)),""))</f>
        <v/>
      </c>
      <c r="R1187" s="33">
        <f>IF(Q1187="","",P1187&amp;"|"&amp;Q1187)</f>
        <v/>
      </c>
      <c r="S1187" s="33">
        <f>IF(Q1187="","",IF(P1187="À RENSEIGNER","GIC",P1187)&amp;"-"&amp;TEXT(Q1187,"000"))</f>
        <v/>
      </c>
      <c r="T1187" s="33">
        <f>IF(R1187="","",IFERROR(INDEX(Cl_nom,MATCH(R1187,Cl_cle,0)),"(client introuvable)"))</f>
        <v/>
      </c>
      <c r="U1187" s="33">
        <f>IF(R1187="","",IFERROR(INDEX(Cl_quartier,MATCH(R1187,Cl_cle,0))&amp;"",""))</f>
        <v/>
      </c>
      <c r="V1187" s="34">
        <f>IF(C1187="","",YEAR(C1187-WEEKDAY(C1187,2)+4)&amp;"-S"&amp;TEXT(INT((C1187-DATE(YEAR(C1187-WEEKDAY(C1187,2)+4),1,3)+WEEKDAY(DATE(YEAR(C1187-WEEKDAY(C1187,2)+4),1,3),2)+5)/7),"00"))</f>
        <v/>
      </c>
    </row>
    <row r="1188" ht="18" customHeight="1">
      <c r="A1188" s="39" t="n">
        <v>1183</v>
      </c>
      <c r="B1188" s="33">
        <f>IF(C1188="","",IF(P1188="À RENSEIGNER","GIC",P1188)&amp;"-V"&amp;TEXT(A1188,"00000"))</f>
        <v/>
      </c>
      <c r="C1188" s="32" t="n"/>
      <c r="D1188" s="35" t="n"/>
      <c r="E1188" s="36" t="n"/>
      <c r="F1188" s="36" t="n"/>
      <c r="G1188" s="36" t="n"/>
      <c r="H1188" s="36" t="n"/>
      <c r="I1188" s="36" t="n"/>
      <c r="J1188" s="37" t="n"/>
      <c r="K1188" s="32" t="n"/>
      <c r="L1188" s="36" t="n"/>
      <c r="M1188" s="41" t="n"/>
      <c r="N1188" s="41" t="n"/>
      <c r="O1188" s="36" t="n"/>
      <c r="P1188" s="33">
        <f>IF(C1188="","",Commercial_Id)</f>
        <v/>
      </c>
      <c r="Q1188" s="39">
        <f>IF(F1188="","",IFERROR(VALUE(MID(F1188,LEN(F1188)-3,3)),""))</f>
        <v/>
      </c>
      <c r="R1188" s="33">
        <f>IF(Q1188="","",P1188&amp;"|"&amp;Q1188)</f>
        <v/>
      </c>
      <c r="S1188" s="33">
        <f>IF(Q1188="","",IF(P1188="À RENSEIGNER","GIC",P1188)&amp;"-"&amp;TEXT(Q1188,"000"))</f>
        <v/>
      </c>
      <c r="T1188" s="33">
        <f>IF(R1188="","",IFERROR(INDEX(Cl_nom,MATCH(R1188,Cl_cle,0)),"(client introuvable)"))</f>
        <v/>
      </c>
      <c r="U1188" s="33">
        <f>IF(R1188="","",IFERROR(INDEX(Cl_quartier,MATCH(R1188,Cl_cle,0))&amp;"",""))</f>
        <v/>
      </c>
      <c r="V1188" s="34">
        <f>IF(C1188="","",YEAR(C1188-WEEKDAY(C1188,2)+4)&amp;"-S"&amp;TEXT(INT((C1188-DATE(YEAR(C1188-WEEKDAY(C1188,2)+4),1,3)+WEEKDAY(DATE(YEAR(C1188-WEEKDAY(C1188,2)+4),1,3),2)+5)/7),"00"))</f>
        <v/>
      </c>
    </row>
    <row r="1189" ht="18" customHeight="1">
      <c r="A1189" s="39" t="n">
        <v>1184</v>
      </c>
      <c r="B1189" s="33">
        <f>IF(C1189="","",IF(P1189="À RENSEIGNER","GIC",P1189)&amp;"-V"&amp;TEXT(A1189,"00000"))</f>
        <v/>
      </c>
      <c r="C1189" s="32" t="n"/>
      <c r="D1189" s="35" t="n"/>
      <c r="E1189" s="36" t="n"/>
      <c r="F1189" s="36" t="n"/>
      <c r="G1189" s="36" t="n"/>
      <c r="H1189" s="36" t="n"/>
      <c r="I1189" s="36" t="n"/>
      <c r="J1189" s="37" t="n"/>
      <c r="K1189" s="32" t="n"/>
      <c r="L1189" s="36" t="n"/>
      <c r="M1189" s="41" t="n"/>
      <c r="N1189" s="41" t="n"/>
      <c r="O1189" s="36" t="n"/>
      <c r="P1189" s="33">
        <f>IF(C1189="","",Commercial_Id)</f>
        <v/>
      </c>
      <c r="Q1189" s="39">
        <f>IF(F1189="","",IFERROR(VALUE(MID(F1189,LEN(F1189)-3,3)),""))</f>
        <v/>
      </c>
      <c r="R1189" s="33">
        <f>IF(Q1189="","",P1189&amp;"|"&amp;Q1189)</f>
        <v/>
      </c>
      <c r="S1189" s="33">
        <f>IF(Q1189="","",IF(P1189="À RENSEIGNER","GIC",P1189)&amp;"-"&amp;TEXT(Q1189,"000"))</f>
        <v/>
      </c>
      <c r="T1189" s="33">
        <f>IF(R1189="","",IFERROR(INDEX(Cl_nom,MATCH(R1189,Cl_cle,0)),"(client introuvable)"))</f>
        <v/>
      </c>
      <c r="U1189" s="33">
        <f>IF(R1189="","",IFERROR(INDEX(Cl_quartier,MATCH(R1189,Cl_cle,0))&amp;"",""))</f>
        <v/>
      </c>
      <c r="V1189" s="34">
        <f>IF(C1189="","",YEAR(C1189-WEEKDAY(C1189,2)+4)&amp;"-S"&amp;TEXT(INT((C1189-DATE(YEAR(C1189-WEEKDAY(C1189,2)+4),1,3)+WEEKDAY(DATE(YEAR(C1189-WEEKDAY(C1189,2)+4),1,3),2)+5)/7),"00"))</f>
        <v/>
      </c>
    </row>
    <row r="1190" ht="18" customHeight="1">
      <c r="A1190" s="39" t="n">
        <v>1185</v>
      </c>
      <c r="B1190" s="33">
        <f>IF(C1190="","",IF(P1190="À RENSEIGNER","GIC",P1190)&amp;"-V"&amp;TEXT(A1190,"00000"))</f>
        <v/>
      </c>
      <c r="C1190" s="32" t="n"/>
      <c r="D1190" s="35" t="n"/>
      <c r="E1190" s="36" t="n"/>
      <c r="F1190" s="36" t="n"/>
      <c r="G1190" s="36" t="n"/>
      <c r="H1190" s="36" t="n"/>
      <c r="I1190" s="36" t="n"/>
      <c r="J1190" s="37" t="n"/>
      <c r="K1190" s="32" t="n"/>
      <c r="L1190" s="36" t="n"/>
      <c r="M1190" s="41" t="n"/>
      <c r="N1190" s="41" t="n"/>
      <c r="O1190" s="36" t="n"/>
      <c r="P1190" s="33">
        <f>IF(C1190="","",Commercial_Id)</f>
        <v/>
      </c>
      <c r="Q1190" s="39">
        <f>IF(F1190="","",IFERROR(VALUE(MID(F1190,LEN(F1190)-3,3)),""))</f>
        <v/>
      </c>
      <c r="R1190" s="33">
        <f>IF(Q1190="","",P1190&amp;"|"&amp;Q1190)</f>
        <v/>
      </c>
      <c r="S1190" s="33">
        <f>IF(Q1190="","",IF(P1190="À RENSEIGNER","GIC",P1190)&amp;"-"&amp;TEXT(Q1190,"000"))</f>
        <v/>
      </c>
      <c r="T1190" s="33">
        <f>IF(R1190="","",IFERROR(INDEX(Cl_nom,MATCH(R1190,Cl_cle,0)),"(client introuvable)"))</f>
        <v/>
      </c>
      <c r="U1190" s="33">
        <f>IF(R1190="","",IFERROR(INDEX(Cl_quartier,MATCH(R1190,Cl_cle,0))&amp;"",""))</f>
        <v/>
      </c>
      <c r="V1190" s="34">
        <f>IF(C1190="","",YEAR(C1190-WEEKDAY(C1190,2)+4)&amp;"-S"&amp;TEXT(INT((C1190-DATE(YEAR(C1190-WEEKDAY(C1190,2)+4),1,3)+WEEKDAY(DATE(YEAR(C1190-WEEKDAY(C1190,2)+4),1,3),2)+5)/7),"00"))</f>
        <v/>
      </c>
    </row>
    <row r="1191" ht="18" customHeight="1">
      <c r="A1191" s="39" t="n">
        <v>1186</v>
      </c>
      <c r="B1191" s="33">
        <f>IF(C1191="","",IF(P1191="À RENSEIGNER","GIC",P1191)&amp;"-V"&amp;TEXT(A1191,"00000"))</f>
        <v/>
      </c>
      <c r="C1191" s="32" t="n"/>
      <c r="D1191" s="35" t="n"/>
      <c r="E1191" s="36" t="n"/>
      <c r="F1191" s="36" t="n"/>
      <c r="G1191" s="36" t="n"/>
      <c r="H1191" s="36" t="n"/>
      <c r="I1191" s="36" t="n"/>
      <c r="J1191" s="37" t="n"/>
      <c r="K1191" s="32" t="n"/>
      <c r="L1191" s="36" t="n"/>
      <c r="M1191" s="41" t="n"/>
      <c r="N1191" s="41" t="n"/>
      <c r="O1191" s="36" t="n"/>
      <c r="P1191" s="33">
        <f>IF(C1191="","",Commercial_Id)</f>
        <v/>
      </c>
      <c r="Q1191" s="39">
        <f>IF(F1191="","",IFERROR(VALUE(MID(F1191,LEN(F1191)-3,3)),""))</f>
        <v/>
      </c>
      <c r="R1191" s="33">
        <f>IF(Q1191="","",P1191&amp;"|"&amp;Q1191)</f>
        <v/>
      </c>
      <c r="S1191" s="33">
        <f>IF(Q1191="","",IF(P1191="À RENSEIGNER","GIC",P1191)&amp;"-"&amp;TEXT(Q1191,"000"))</f>
        <v/>
      </c>
      <c r="T1191" s="33">
        <f>IF(R1191="","",IFERROR(INDEX(Cl_nom,MATCH(R1191,Cl_cle,0)),"(client introuvable)"))</f>
        <v/>
      </c>
      <c r="U1191" s="33">
        <f>IF(R1191="","",IFERROR(INDEX(Cl_quartier,MATCH(R1191,Cl_cle,0))&amp;"",""))</f>
        <v/>
      </c>
      <c r="V1191" s="34">
        <f>IF(C1191="","",YEAR(C1191-WEEKDAY(C1191,2)+4)&amp;"-S"&amp;TEXT(INT((C1191-DATE(YEAR(C1191-WEEKDAY(C1191,2)+4),1,3)+WEEKDAY(DATE(YEAR(C1191-WEEKDAY(C1191,2)+4),1,3),2)+5)/7),"00"))</f>
        <v/>
      </c>
    </row>
    <row r="1192" ht="18" customHeight="1">
      <c r="A1192" s="39" t="n">
        <v>1187</v>
      </c>
      <c r="B1192" s="33">
        <f>IF(C1192="","",IF(P1192="À RENSEIGNER","GIC",P1192)&amp;"-V"&amp;TEXT(A1192,"00000"))</f>
        <v/>
      </c>
      <c r="C1192" s="32" t="n"/>
      <c r="D1192" s="35" t="n"/>
      <c r="E1192" s="36" t="n"/>
      <c r="F1192" s="36" t="n"/>
      <c r="G1192" s="36" t="n"/>
      <c r="H1192" s="36" t="n"/>
      <c r="I1192" s="36" t="n"/>
      <c r="J1192" s="37" t="n"/>
      <c r="K1192" s="32" t="n"/>
      <c r="L1192" s="36" t="n"/>
      <c r="M1192" s="41" t="n"/>
      <c r="N1192" s="41" t="n"/>
      <c r="O1192" s="36" t="n"/>
      <c r="P1192" s="33">
        <f>IF(C1192="","",Commercial_Id)</f>
        <v/>
      </c>
      <c r="Q1192" s="39">
        <f>IF(F1192="","",IFERROR(VALUE(MID(F1192,LEN(F1192)-3,3)),""))</f>
        <v/>
      </c>
      <c r="R1192" s="33">
        <f>IF(Q1192="","",P1192&amp;"|"&amp;Q1192)</f>
        <v/>
      </c>
      <c r="S1192" s="33">
        <f>IF(Q1192="","",IF(P1192="À RENSEIGNER","GIC",P1192)&amp;"-"&amp;TEXT(Q1192,"000"))</f>
        <v/>
      </c>
      <c r="T1192" s="33">
        <f>IF(R1192="","",IFERROR(INDEX(Cl_nom,MATCH(R1192,Cl_cle,0)),"(client introuvable)"))</f>
        <v/>
      </c>
      <c r="U1192" s="33">
        <f>IF(R1192="","",IFERROR(INDEX(Cl_quartier,MATCH(R1192,Cl_cle,0))&amp;"",""))</f>
        <v/>
      </c>
      <c r="V1192" s="34">
        <f>IF(C1192="","",YEAR(C1192-WEEKDAY(C1192,2)+4)&amp;"-S"&amp;TEXT(INT((C1192-DATE(YEAR(C1192-WEEKDAY(C1192,2)+4),1,3)+WEEKDAY(DATE(YEAR(C1192-WEEKDAY(C1192,2)+4),1,3),2)+5)/7),"00"))</f>
        <v/>
      </c>
    </row>
    <row r="1193" ht="18" customHeight="1">
      <c r="A1193" s="39" t="n">
        <v>1188</v>
      </c>
      <c r="B1193" s="33">
        <f>IF(C1193="","",IF(P1193="À RENSEIGNER","GIC",P1193)&amp;"-V"&amp;TEXT(A1193,"00000"))</f>
        <v/>
      </c>
      <c r="C1193" s="32" t="n"/>
      <c r="D1193" s="35" t="n"/>
      <c r="E1193" s="36" t="n"/>
      <c r="F1193" s="36" t="n"/>
      <c r="G1193" s="36" t="n"/>
      <c r="H1193" s="36" t="n"/>
      <c r="I1193" s="36" t="n"/>
      <c r="J1193" s="37" t="n"/>
      <c r="K1193" s="32" t="n"/>
      <c r="L1193" s="36" t="n"/>
      <c r="M1193" s="41" t="n"/>
      <c r="N1193" s="41" t="n"/>
      <c r="O1193" s="36" t="n"/>
      <c r="P1193" s="33">
        <f>IF(C1193="","",Commercial_Id)</f>
        <v/>
      </c>
      <c r="Q1193" s="39">
        <f>IF(F1193="","",IFERROR(VALUE(MID(F1193,LEN(F1193)-3,3)),""))</f>
        <v/>
      </c>
      <c r="R1193" s="33">
        <f>IF(Q1193="","",P1193&amp;"|"&amp;Q1193)</f>
        <v/>
      </c>
      <c r="S1193" s="33">
        <f>IF(Q1193="","",IF(P1193="À RENSEIGNER","GIC",P1193)&amp;"-"&amp;TEXT(Q1193,"000"))</f>
        <v/>
      </c>
      <c r="T1193" s="33">
        <f>IF(R1193="","",IFERROR(INDEX(Cl_nom,MATCH(R1193,Cl_cle,0)),"(client introuvable)"))</f>
        <v/>
      </c>
      <c r="U1193" s="33">
        <f>IF(R1193="","",IFERROR(INDEX(Cl_quartier,MATCH(R1193,Cl_cle,0))&amp;"",""))</f>
        <v/>
      </c>
      <c r="V1193" s="34">
        <f>IF(C1193="","",YEAR(C1193-WEEKDAY(C1193,2)+4)&amp;"-S"&amp;TEXT(INT((C1193-DATE(YEAR(C1193-WEEKDAY(C1193,2)+4),1,3)+WEEKDAY(DATE(YEAR(C1193-WEEKDAY(C1193,2)+4),1,3),2)+5)/7),"00"))</f>
        <v/>
      </c>
    </row>
    <row r="1194" ht="18" customHeight="1">
      <c r="A1194" s="39" t="n">
        <v>1189</v>
      </c>
      <c r="B1194" s="33">
        <f>IF(C1194="","",IF(P1194="À RENSEIGNER","GIC",P1194)&amp;"-V"&amp;TEXT(A1194,"00000"))</f>
        <v/>
      </c>
      <c r="C1194" s="32" t="n"/>
      <c r="D1194" s="35" t="n"/>
      <c r="E1194" s="36" t="n"/>
      <c r="F1194" s="36" t="n"/>
      <c r="G1194" s="36" t="n"/>
      <c r="H1194" s="36" t="n"/>
      <c r="I1194" s="36" t="n"/>
      <c r="J1194" s="37" t="n"/>
      <c r="K1194" s="32" t="n"/>
      <c r="L1194" s="36" t="n"/>
      <c r="M1194" s="41" t="n"/>
      <c r="N1194" s="41" t="n"/>
      <c r="O1194" s="36" t="n"/>
      <c r="P1194" s="33">
        <f>IF(C1194="","",Commercial_Id)</f>
        <v/>
      </c>
      <c r="Q1194" s="39">
        <f>IF(F1194="","",IFERROR(VALUE(MID(F1194,LEN(F1194)-3,3)),""))</f>
        <v/>
      </c>
      <c r="R1194" s="33">
        <f>IF(Q1194="","",P1194&amp;"|"&amp;Q1194)</f>
        <v/>
      </c>
      <c r="S1194" s="33">
        <f>IF(Q1194="","",IF(P1194="À RENSEIGNER","GIC",P1194)&amp;"-"&amp;TEXT(Q1194,"000"))</f>
        <v/>
      </c>
      <c r="T1194" s="33">
        <f>IF(R1194="","",IFERROR(INDEX(Cl_nom,MATCH(R1194,Cl_cle,0)),"(client introuvable)"))</f>
        <v/>
      </c>
      <c r="U1194" s="33">
        <f>IF(R1194="","",IFERROR(INDEX(Cl_quartier,MATCH(R1194,Cl_cle,0))&amp;"",""))</f>
        <v/>
      </c>
      <c r="V1194" s="34">
        <f>IF(C1194="","",YEAR(C1194-WEEKDAY(C1194,2)+4)&amp;"-S"&amp;TEXT(INT((C1194-DATE(YEAR(C1194-WEEKDAY(C1194,2)+4),1,3)+WEEKDAY(DATE(YEAR(C1194-WEEKDAY(C1194,2)+4),1,3),2)+5)/7),"00"))</f>
        <v/>
      </c>
    </row>
    <row r="1195" ht="18" customHeight="1">
      <c r="A1195" s="39" t="n">
        <v>1190</v>
      </c>
      <c r="B1195" s="33">
        <f>IF(C1195="","",IF(P1195="À RENSEIGNER","GIC",P1195)&amp;"-V"&amp;TEXT(A1195,"00000"))</f>
        <v/>
      </c>
      <c r="C1195" s="32" t="n"/>
      <c r="D1195" s="35" t="n"/>
      <c r="E1195" s="36" t="n"/>
      <c r="F1195" s="36" t="n"/>
      <c r="G1195" s="36" t="n"/>
      <c r="H1195" s="36" t="n"/>
      <c r="I1195" s="36" t="n"/>
      <c r="J1195" s="37" t="n"/>
      <c r="K1195" s="32" t="n"/>
      <c r="L1195" s="36" t="n"/>
      <c r="M1195" s="41" t="n"/>
      <c r="N1195" s="41" t="n"/>
      <c r="O1195" s="36" t="n"/>
      <c r="P1195" s="33">
        <f>IF(C1195="","",Commercial_Id)</f>
        <v/>
      </c>
      <c r="Q1195" s="39">
        <f>IF(F1195="","",IFERROR(VALUE(MID(F1195,LEN(F1195)-3,3)),""))</f>
        <v/>
      </c>
      <c r="R1195" s="33">
        <f>IF(Q1195="","",P1195&amp;"|"&amp;Q1195)</f>
        <v/>
      </c>
      <c r="S1195" s="33">
        <f>IF(Q1195="","",IF(P1195="À RENSEIGNER","GIC",P1195)&amp;"-"&amp;TEXT(Q1195,"000"))</f>
        <v/>
      </c>
      <c r="T1195" s="33">
        <f>IF(R1195="","",IFERROR(INDEX(Cl_nom,MATCH(R1195,Cl_cle,0)),"(client introuvable)"))</f>
        <v/>
      </c>
      <c r="U1195" s="33">
        <f>IF(R1195="","",IFERROR(INDEX(Cl_quartier,MATCH(R1195,Cl_cle,0))&amp;"",""))</f>
        <v/>
      </c>
      <c r="V1195" s="34">
        <f>IF(C1195="","",YEAR(C1195-WEEKDAY(C1195,2)+4)&amp;"-S"&amp;TEXT(INT((C1195-DATE(YEAR(C1195-WEEKDAY(C1195,2)+4),1,3)+WEEKDAY(DATE(YEAR(C1195-WEEKDAY(C1195,2)+4),1,3),2)+5)/7),"00"))</f>
        <v/>
      </c>
    </row>
    <row r="1196" ht="18" customHeight="1">
      <c r="A1196" s="39" t="n">
        <v>1191</v>
      </c>
      <c r="B1196" s="33">
        <f>IF(C1196="","",IF(P1196="À RENSEIGNER","GIC",P1196)&amp;"-V"&amp;TEXT(A1196,"00000"))</f>
        <v/>
      </c>
      <c r="C1196" s="32" t="n"/>
      <c r="D1196" s="35" t="n"/>
      <c r="E1196" s="36" t="n"/>
      <c r="F1196" s="36" t="n"/>
      <c r="G1196" s="36" t="n"/>
      <c r="H1196" s="36" t="n"/>
      <c r="I1196" s="36" t="n"/>
      <c r="J1196" s="37" t="n"/>
      <c r="K1196" s="32" t="n"/>
      <c r="L1196" s="36" t="n"/>
      <c r="M1196" s="41" t="n"/>
      <c r="N1196" s="41" t="n"/>
      <c r="O1196" s="36" t="n"/>
      <c r="P1196" s="33">
        <f>IF(C1196="","",Commercial_Id)</f>
        <v/>
      </c>
      <c r="Q1196" s="39">
        <f>IF(F1196="","",IFERROR(VALUE(MID(F1196,LEN(F1196)-3,3)),""))</f>
        <v/>
      </c>
      <c r="R1196" s="33">
        <f>IF(Q1196="","",P1196&amp;"|"&amp;Q1196)</f>
        <v/>
      </c>
      <c r="S1196" s="33">
        <f>IF(Q1196="","",IF(P1196="À RENSEIGNER","GIC",P1196)&amp;"-"&amp;TEXT(Q1196,"000"))</f>
        <v/>
      </c>
      <c r="T1196" s="33">
        <f>IF(R1196="","",IFERROR(INDEX(Cl_nom,MATCH(R1196,Cl_cle,0)),"(client introuvable)"))</f>
        <v/>
      </c>
      <c r="U1196" s="33">
        <f>IF(R1196="","",IFERROR(INDEX(Cl_quartier,MATCH(R1196,Cl_cle,0))&amp;"",""))</f>
        <v/>
      </c>
      <c r="V1196" s="34">
        <f>IF(C1196="","",YEAR(C1196-WEEKDAY(C1196,2)+4)&amp;"-S"&amp;TEXT(INT((C1196-DATE(YEAR(C1196-WEEKDAY(C1196,2)+4),1,3)+WEEKDAY(DATE(YEAR(C1196-WEEKDAY(C1196,2)+4),1,3),2)+5)/7),"00"))</f>
        <v/>
      </c>
    </row>
    <row r="1197" ht="18" customHeight="1">
      <c r="A1197" s="39" t="n">
        <v>1192</v>
      </c>
      <c r="B1197" s="33">
        <f>IF(C1197="","",IF(P1197="À RENSEIGNER","GIC",P1197)&amp;"-V"&amp;TEXT(A1197,"00000"))</f>
        <v/>
      </c>
      <c r="C1197" s="32" t="n"/>
      <c r="D1197" s="35" t="n"/>
      <c r="E1197" s="36" t="n"/>
      <c r="F1197" s="36" t="n"/>
      <c r="G1197" s="36" t="n"/>
      <c r="H1197" s="36" t="n"/>
      <c r="I1197" s="36" t="n"/>
      <c r="J1197" s="37" t="n"/>
      <c r="K1197" s="32" t="n"/>
      <c r="L1197" s="36" t="n"/>
      <c r="M1197" s="41" t="n"/>
      <c r="N1197" s="41" t="n"/>
      <c r="O1197" s="36" t="n"/>
      <c r="P1197" s="33">
        <f>IF(C1197="","",Commercial_Id)</f>
        <v/>
      </c>
      <c r="Q1197" s="39">
        <f>IF(F1197="","",IFERROR(VALUE(MID(F1197,LEN(F1197)-3,3)),""))</f>
        <v/>
      </c>
      <c r="R1197" s="33">
        <f>IF(Q1197="","",P1197&amp;"|"&amp;Q1197)</f>
        <v/>
      </c>
      <c r="S1197" s="33">
        <f>IF(Q1197="","",IF(P1197="À RENSEIGNER","GIC",P1197)&amp;"-"&amp;TEXT(Q1197,"000"))</f>
        <v/>
      </c>
      <c r="T1197" s="33">
        <f>IF(R1197="","",IFERROR(INDEX(Cl_nom,MATCH(R1197,Cl_cle,0)),"(client introuvable)"))</f>
        <v/>
      </c>
      <c r="U1197" s="33">
        <f>IF(R1197="","",IFERROR(INDEX(Cl_quartier,MATCH(R1197,Cl_cle,0))&amp;"",""))</f>
        <v/>
      </c>
      <c r="V1197" s="34">
        <f>IF(C1197="","",YEAR(C1197-WEEKDAY(C1197,2)+4)&amp;"-S"&amp;TEXT(INT((C1197-DATE(YEAR(C1197-WEEKDAY(C1197,2)+4),1,3)+WEEKDAY(DATE(YEAR(C1197-WEEKDAY(C1197,2)+4),1,3),2)+5)/7),"00"))</f>
        <v/>
      </c>
    </row>
    <row r="1198" ht="18" customHeight="1">
      <c r="A1198" s="39" t="n">
        <v>1193</v>
      </c>
      <c r="B1198" s="33">
        <f>IF(C1198="","",IF(P1198="À RENSEIGNER","GIC",P1198)&amp;"-V"&amp;TEXT(A1198,"00000"))</f>
        <v/>
      </c>
      <c r="C1198" s="32" t="n"/>
      <c r="D1198" s="35" t="n"/>
      <c r="E1198" s="36" t="n"/>
      <c r="F1198" s="36" t="n"/>
      <c r="G1198" s="36" t="n"/>
      <c r="H1198" s="36" t="n"/>
      <c r="I1198" s="36" t="n"/>
      <c r="J1198" s="37" t="n"/>
      <c r="K1198" s="32" t="n"/>
      <c r="L1198" s="36" t="n"/>
      <c r="M1198" s="41" t="n"/>
      <c r="N1198" s="41" t="n"/>
      <c r="O1198" s="36" t="n"/>
      <c r="P1198" s="33">
        <f>IF(C1198="","",Commercial_Id)</f>
        <v/>
      </c>
      <c r="Q1198" s="39">
        <f>IF(F1198="","",IFERROR(VALUE(MID(F1198,LEN(F1198)-3,3)),""))</f>
        <v/>
      </c>
      <c r="R1198" s="33">
        <f>IF(Q1198="","",P1198&amp;"|"&amp;Q1198)</f>
        <v/>
      </c>
      <c r="S1198" s="33">
        <f>IF(Q1198="","",IF(P1198="À RENSEIGNER","GIC",P1198)&amp;"-"&amp;TEXT(Q1198,"000"))</f>
        <v/>
      </c>
      <c r="T1198" s="33">
        <f>IF(R1198="","",IFERROR(INDEX(Cl_nom,MATCH(R1198,Cl_cle,0)),"(client introuvable)"))</f>
        <v/>
      </c>
      <c r="U1198" s="33">
        <f>IF(R1198="","",IFERROR(INDEX(Cl_quartier,MATCH(R1198,Cl_cle,0))&amp;"",""))</f>
        <v/>
      </c>
      <c r="V1198" s="34">
        <f>IF(C1198="","",YEAR(C1198-WEEKDAY(C1198,2)+4)&amp;"-S"&amp;TEXT(INT((C1198-DATE(YEAR(C1198-WEEKDAY(C1198,2)+4),1,3)+WEEKDAY(DATE(YEAR(C1198-WEEKDAY(C1198,2)+4),1,3),2)+5)/7),"00"))</f>
        <v/>
      </c>
    </row>
    <row r="1199" ht="18" customHeight="1">
      <c r="A1199" s="39" t="n">
        <v>1194</v>
      </c>
      <c r="B1199" s="33">
        <f>IF(C1199="","",IF(P1199="À RENSEIGNER","GIC",P1199)&amp;"-V"&amp;TEXT(A1199,"00000"))</f>
        <v/>
      </c>
      <c r="C1199" s="32" t="n"/>
      <c r="D1199" s="35" t="n"/>
      <c r="E1199" s="36" t="n"/>
      <c r="F1199" s="36" t="n"/>
      <c r="G1199" s="36" t="n"/>
      <c r="H1199" s="36" t="n"/>
      <c r="I1199" s="36" t="n"/>
      <c r="J1199" s="37" t="n"/>
      <c r="K1199" s="32" t="n"/>
      <c r="L1199" s="36" t="n"/>
      <c r="M1199" s="41" t="n"/>
      <c r="N1199" s="41" t="n"/>
      <c r="O1199" s="36" t="n"/>
      <c r="P1199" s="33">
        <f>IF(C1199="","",Commercial_Id)</f>
        <v/>
      </c>
      <c r="Q1199" s="39">
        <f>IF(F1199="","",IFERROR(VALUE(MID(F1199,LEN(F1199)-3,3)),""))</f>
        <v/>
      </c>
      <c r="R1199" s="33">
        <f>IF(Q1199="","",P1199&amp;"|"&amp;Q1199)</f>
        <v/>
      </c>
      <c r="S1199" s="33">
        <f>IF(Q1199="","",IF(P1199="À RENSEIGNER","GIC",P1199)&amp;"-"&amp;TEXT(Q1199,"000"))</f>
        <v/>
      </c>
      <c r="T1199" s="33">
        <f>IF(R1199="","",IFERROR(INDEX(Cl_nom,MATCH(R1199,Cl_cle,0)),"(client introuvable)"))</f>
        <v/>
      </c>
      <c r="U1199" s="33">
        <f>IF(R1199="","",IFERROR(INDEX(Cl_quartier,MATCH(R1199,Cl_cle,0))&amp;"",""))</f>
        <v/>
      </c>
      <c r="V1199" s="34">
        <f>IF(C1199="","",YEAR(C1199-WEEKDAY(C1199,2)+4)&amp;"-S"&amp;TEXT(INT((C1199-DATE(YEAR(C1199-WEEKDAY(C1199,2)+4),1,3)+WEEKDAY(DATE(YEAR(C1199-WEEKDAY(C1199,2)+4),1,3),2)+5)/7),"00"))</f>
        <v/>
      </c>
    </row>
    <row r="1200" ht="18" customHeight="1">
      <c r="A1200" s="39" t="n">
        <v>1195</v>
      </c>
      <c r="B1200" s="33">
        <f>IF(C1200="","",IF(P1200="À RENSEIGNER","GIC",P1200)&amp;"-V"&amp;TEXT(A1200,"00000"))</f>
        <v/>
      </c>
      <c r="C1200" s="32" t="n"/>
      <c r="D1200" s="35" t="n"/>
      <c r="E1200" s="36" t="n"/>
      <c r="F1200" s="36" t="n"/>
      <c r="G1200" s="36" t="n"/>
      <c r="H1200" s="36" t="n"/>
      <c r="I1200" s="36" t="n"/>
      <c r="J1200" s="37" t="n"/>
      <c r="K1200" s="32" t="n"/>
      <c r="L1200" s="36" t="n"/>
      <c r="M1200" s="41" t="n"/>
      <c r="N1200" s="41" t="n"/>
      <c r="O1200" s="36" t="n"/>
      <c r="P1200" s="33">
        <f>IF(C1200="","",Commercial_Id)</f>
        <v/>
      </c>
      <c r="Q1200" s="39">
        <f>IF(F1200="","",IFERROR(VALUE(MID(F1200,LEN(F1200)-3,3)),""))</f>
        <v/>
      </c>
      <c r="R1200" s="33">
        <f>IF(Q1200="","",P1200&amp;"|"&amp;Q1200)</f>
        <v/>
      </c>
      <c r="S1200" s="33">
        <f>IF(Q1200="","",IF(P1200="À RENSEIGNER","GIC",P1200)&amp;"-"&amp;TEXT(Q1200,"000"))</f>
        <v/>
      </c>
      <c r="T1200" s="33">
        <f>IF(R1200="","",IFERROR(INDEX(Cl_nom,MATCH(R1200,Cl_cle,0)),"(client introuvable)"))</f>
        <v/>
      </c>
      <c r="U1200" s="33">
        <f>IF(R1200="","",IFERROR(INDEX(Cl_quartier,MATCH(R1200,Cl_cle,0))&amp;"",""))</f>
        <v/>
      </c>
      <c r="V1200" s="34">
        <f>IF(C1200="","",YEAR(C1200-WEEKDAY(C1200,2)+4)&amp;"-S"&amp;TEXT(INT((C1200-DATE(YEAR(C1200-WEEKDAY(C1200,2)+4),1,3)+WEEKDAY(DATE(YEAR(C1200-WEEKDAY(C1200,2)+4),1,3),2)+5)/7),"00"))</f>
        <v/>
      </c>
    </row>
    <row r="1201" ht="18" customHeight="1">
      <c r="A1201" s="39" t="n">
        <v>1196</v>
      </c>
      <c r="B1201" s="33">
        <f>IF(C1201="","",IF(P1201="À RENSEIGNER","GIC",P1201)&amp;"-V"&amp;TEXT(A1201,"00000"))</f>
        <v/>
      </c>
      <c r="C1201" s="32" t="n"/>
      <c r="D1201" s="35" t="n"/>
      <c r="E1201" s="36" t="n"/>
      <c r="F1201" s="36" t="n"/>
      <c r="G1201" s="36" t="n"/>
      <c r="H1201" s="36" t="n"/>
      <c r="I1201" s="36" t="n"/>
      <c r="J1201" s="37" t="n"/>
      <c r="K1201" s="32" t="n"/>
      <c r="L1201" s="36" t="n"/>
      <c r="M1201" s="41" t="n"/>
      <c r="N1201" s="41" t="n"/>
      <c r="O1201" s="36" t="n"/>
      <c r="P1201" s="33">
        <f>IF(C1201="","",Commercial_Id)</f>
        <v/>
      </c>
      <c r="Q1201" s="39">
        <f>IF(F1201="","",IFERROR(VALUE(MID(F1201,LEN(F1201)-3,3)),""))</f>
        <v/>
      </c>
      <c r="R1201" s="33">
        <f>IF(Q1201="","",P1201&amp;"|"&amp;Q1201)</f>
        <v/>
      </c>
      <c r="S1201" s="33">
        <f>IF(Q1201="","",IF(P1201="À RENSEIGNER","GIC",P1201)&amp;"-"&amp;TEXT(Q1201,"000"))</f>
        <v/>
      </c>
      <c r="T1201" s="33">
        <f>IF(R1201="","",IFERROR(INDEX(Cl_nom,MATCH(R1201,Cl_cle,0)),"(client introuvable)"))</f>
        <v/>
      </c>
      <c r="U1201" s="33">
        <f>IF(R1201="","",IFERROR(INDEX(Cl_quartier,MATCH(R1201,Cl_cle,0))&amp;"",""))</f>
        <v/>
      </c>
      <c r="V1201" s="34">
        <f>IF(C1201="","",YEAR(C1201-WEEKDAY(C1201,2)+4)&amp;"-S"&amp;TEXT(INT((C1201-DATE(YEAR(C1201-WEEKDAY(C1201,2)+4),1,3)+WEEKDAY(DATE(YEAR(C1201-WEEKDAY(C1201,2)+4),1,3),2)+5)/7),"00"))</f>
        <v/>
      </c>
    </row>
    <row r="1202" ht="18" customHeight="1">
      <c r="A1202" s="39" t="n">
        <v>1197</v>
      </c>
      <c r="B1202" s="33">
        <f>IF(C1202="","",IF(P1202="À RENSEIGNER","GIC",P1202)&amp;"-V"&amp;TEXT(A1202,"00000"))</f>
        <v/>
      </c>
      <c r="C1202" s="32" t="n"/>
      <c r="D1202" s="35" t="n"/>
      <c r="E1202" s="36" t="n"/>
      <c r="F1202" s="36" t="n"/>
      <c r="G1202" s="36" t="n"/>
      <c r="H1202" s="36" t="n"/>
      <c r="I1202" s="36" t="n"/>
      <c r="J1202" s="37" t="n"/>
      <c r="K1202" s="32" t="n"/>
      <c r="L1202" s="36" t="n"/>
      <c r="M1202" s="41" t="n"/>
      <c r="N1202" s="41" t="n"/>
      <c r="O1202" s="36" t="n"/>
      <c r="P1202" s="33">
        <f>IF(C1202="","",Commercial_Id)</f>
        <v/>
      </c>
      <c r="Q1202" s="39">
        <f>IF(F1202="","",IFERROR(VALUE(MID(F1202,LEN(F1202)-3,3)),""))</f>
        <v/>
      </c>
      <c r="R1202" s="33">
        <f>IF(Q1202="","",P1202&amp;"|"&amp;Q1202)</f>
        <v/>
      </c>
      <c r="S1202" s="33">
        <f>IF(Q1202="","",IF(P1202="À RENSEIGNER","GIC",P1202)&amp;"-"&amp;TEXT(Q1202,"000"))</f>
        <v/>
      </c>
      <c r="T1202" s="33">
        <f>IF(R1202="","",IFERROR(INDEX(Cl_nom,MATCH(R1202,Cl_cle,0)),"(client introuvable)"))</f>
        <v/>
      </c>
      <c r="U1202" s="33">
        <f>IF(R1202="","",IFERROR(INDEX(Cl_quartier,MATCH(R1202,Cl_cle,0))&amp;"",""))</f>
        <v/>
      </c>
      <c r="V1202" s="34">
        <f>IF(C1202="","",YEAR(C1202-WEEKDAY(C1202,2)+4)&amp;"-S"&amp;TEXT(INT((C1202-DATE(YEAR(C1202-WEEKDAY(C1202,2)+4),1,3)+WEEKDAY(DATE(YEAR(C1202-WEEKDAY(C1202,2)+4),1,3),2)+5)/7),"00"))</f>
        <v/>
      </c>
    </row>
    <row r="1203" ht="18" customHeight="1">
      <c r="A1203" s="39" t="n">
        <v>1198</v>
      </c>
      <c r="B1203" s="33">
        <f>IF(C1203="","",IF(P1203="À RENSEIGNER","GIC",P1203)&amp;"-V"&amp;TEXT(A1203,"00000"))</f>
        <v/>
      </c>
      <c r="C1203" s="32" t="n"/>
      <c r="D1203" s="35" t="n"/>
      <c r="E1203" s="36" t="n"/>
      <c r="F1203" s="36" t="n"/>
      <c r="G1203" s="36" t="n"/>
      <c r="H1203" s="36" t="n"/>
      <c r="I1203" s="36" t="n"/>
      <c r="J1203" s="37" t="n"/>
      <c r="K1203" s="32" t="n"/>
      <c r="L1203" s="36" t="n"/>
      <c r="M1203" s="41" t="n"/>
      <c r="N1203" s="41" t="n"/>
      <c r="O1203" s="36" t="n"/>
      <c r="P1203" s="33">
        <f>IF(C1203="","",Commercial_Id)</f>
        <v/>
      </c>
      <c r="Q1203" s="39">
        <f>IF(F1203="","",IFERROR(VALUE(MID(F1203,LEN(F1203)-3,3)),""))</f>
        <v/>
      </c>
      <c r="R1203" s="33">
        <f>IF(Q1203="","",P1203&amp;"|"&amp;Q1203)</f>
        <v/>
      </c>
      <c r="S1203" s="33">
        <f>IF(Q1203="","",IF(P1203="À RENSEIGNER","GIC",P1203)&amp;"-"&amp;TEXT(Q1203,"000"))</f>
        <v/>
      </c>
      <c r="T1203" s="33">
        <f>IF(R1203="","",IFERROR(INDEX(Cl_nom,MATCH(R1203,Cl_cle,0)),"(client introuvable)"))</f>
        <v/>
      </c>
      <c r="U1203" s="33">
        <f>IF(R1203="","",IFERROR(INDEX(Cl_quartier,MATCH(R1203,Cl_cle,0))&amp;"",""))</f>
        <v/>
      </c>
      <c r="V1203" s="34">
        <f>IF(C1203="","",YEAR(C1203-WEEKDAY(C1203,2)+4)&amp;"-S"&amp;TEXT(INT((C1203-DATE(YEAR(C1203-WEEKDAY(C1203,2)+4),1,3)+WEEKDAY(DATE(YEAR(C1203-WEEKDAY(C1203,2)+4),1,3),2)+5)/7),"00"))</f>
        <v/>
      </c>
    </row>
    <row r="1204" ht="18" customHeight="1">
      <c r="A1204" s="39" t="n">
        <v>1199</v>
      </c>
      <c r="B1204" s="33">
        <f>IF(C1204="","",IF(P1204="À RENSEIGNER","GIC",P1204)&amp;"-V"&amp;TEXT(A1204,"00000"))</f>
        <v/>
      </c>
      <c r="C1204" s="32" t="n"/>
      <c r="D1204" s="35" t="n"/>
      <c r="E1204" s="36" t="n"/>
      <c r="F1204" s="36" t="n"/>
      <c r="G1204" s="36" t="n"/>
      <c r="H1204" s="36" t="n"/>
      <c r="I1204" s="36" t="n"/>
      <c r="J1204" s="37" t="n"/>
      <c r="K1204" s="32" t="n"/>
      <c r="L1204" s="36" t="n"/>
      <c r="M1204" s="41" t="n"/>
      <c r="N1204" s="41" t="n"/>
      <c r="O1204" s="36" t="n"/>
      <c r="P1204" s="33">
        <f>IF(C1204="","",Commercial_Id)</f>
        <v/>
      </c>
      <c r="Q1204" s="39">
        <f>IF(F1204="","",IFERROR(VALUE(MID(F1204,LEN(F1204)-3,3)),""))</f>
        <v/>
      </c>
      <c r="R1204" s="33">
        <f>IF(Q1204="","",P1204&amp;"|"&amp;Q1204)</f>
        <v/>
      </c>
      <c r="S1204" s="33">
        <f>IF(Q1204="","",IF(P1204="À RENSEIGNER","GIC",P1204)&amp;"-"&amp;TEXT(Q1204,"000"))</f>
        <v/>
      </c>
      <c r="T1204" s="33">
        <f>IF(R1204="","",IFERROR(INDEX(Cl_nom,MATCH(R1204,Cl_cle,0)),"(client introuvable)"))</f>
        <v/>
      </c>
      <c r="U1204" s="33">
        <f>IF(R1204="","",IFERROR(INDEX(Cl_quartier,MATCH(R1204,Cl_cle,0))&amp;"",""))</f>
        <v/>
      </c>
      <c r="V1204" s="34">
        <f>IF(C1204="","",YEAR(C1204-WEEKDAY(C1204,2)+4)&amp;"-S"&amp;TEXT(INT((C1204-DATE(YEAR(C1204-WEEKDAY(C1204,2)+4),1,3)+WEEKDAY(DATE(YEAR(C1204-WEEKDAY(C1204,2)+4),1,3),2)+5)/7),"00"))</f>
        <v/>
      </c>
    </row>
    <row r="1205" ht="18" customHeight="1">
      <c r="A1205" s="39" t="n">
        <v>1200</v>
      </c>
      <c r="B1205" s="33">
        <f>IF(C1205="","",IF(P1205="À RENSEIGNER","GIC",P1205)&amp;"-V"&amp;TEXT(A1205,"00000"))</f>
        <v/>
      </c>
      <c r="C1205" s="32" t="n"/>
      <c r="D1205" s="35" t="n"/>
      <c r="E1205" s="36" t="n"/>
      <c r="F1205" s="36" t="n"/>
      <c r="G1205" s="36" t="n"/>
      <c r="H1205" s="36" t="n"/>
      <c r="I1205" s="36" t="n"/>
      <c r="J1205" s="37" t="n"/>
      <c r="K1205" s="32" t="n"/>
      <c r="L1205" s="36" t="n"/>
      <c r="M1205" s="41" t="n"/>
      <c r="N1205" s="41" t="n"/>
      <c r="O1205" s="36" t="n"/>
      <c r="P1205" s="33">
        <f>IF(C1205="","",Commercial_Id)</f>
        <v/>
      </c>
      <c r="Q1205" s="39">
        <f>IF(F1205="","",IFERROR(VALUE(MID(F1205,LEN(F1205)-3,3)),""))</f>
        <v/>
      </c>
      <c r="R1205" s="33">
        <f>IF(Q1205="","",P1205&amp;"|"&amp;Q1205)</f>
        <v/>
      </c>
      <c r="S1205" s="33">
        <f>IF(Q1205="","",IF(P1205="À RENSEIGNER","GIC",P1205)&amp;"-"&amp;TEXT(Q1205,"000"))</f>
        <v/>
      </c>
      <c r="T1205" s="33">
        <f>IF(R1205="","",IFERROR(INDEX(Cl_nom,MATCH(R1205,Cl_cle,0)),"(client introuvable)"))</f>
        <v/>
      </c>
      <c r="U1205" s="33">
        <f>IF(R1205="","",IFERROR(INDEX(Cl_quartier,MATCH(R1205,Cl_cle,0))&amp;"",""))</f>
        <v/>
      </c>
      <c r="V1205" s="34">
        <f>IF(C1205="","",YEAR(C1205-WEEKDAY(C1205,2)+4)&amp;"-S"&amp;TEXT(INT((C1205-DATE(YEAR(C1205-WEEKDAY(C1205,2)+4),1,3)+WEEKDAY(DATE(YEAR(C1205-WEEKDAY(C1205,2)+4),1,3),2)+5)/7),"00"))</f>
        <v/>
      </c>
    </row>
    <row r="1206" ht="18" customHeight="1">
      <c r="A1206" s="39" t="n">
        <v>1201</v>
      </c>
      <c r="B1206" s="33">
        <f>IF(C1206="","",IF(P1206="À RENSEIGNER","GIC",P1206)&amp;"-V"&amp;TEXT(A1206,"00000"))</f>
        <v/>
      </c>
      <c r="C1206" s="32" t="n"/>
      <c r="D1206" s="35" t="n"/>
      <c r="E1206" s="36" t="n"/>
      <c r="F1206" s="36" t="n"/>
      <c r="G1206" s="36" t="n"/>
      <c r="H1206" s="36" t="n"/>
      <c r="I1206" s="36" t="n"/>
      <c r="J1206" s="37" t="n"/>
      <c r="K1206" s="32" t="n"/>
      <c r="L1206" s="36" t="n"/>
      <c r="M1206" s="41" t="n"/>
      <c r="N1206" s="41" t="n"/>
      <c r="O1206" s="36" t="n"/>
      <c r="P1206" s="33">
        <f>IF(C1206="","",Commercial_Id)</f>
        <v/>
      </c>
      <c r="Q1206" s="39">
        <f>IF(F1206="","",IFERROR(VALUE(MID(F1206,LEN(F1206)-3,3)),""))</f>
        <v/>
      </c>
      <c r="R1206" s="33">
        <f>IF(Q1206="","",P1206&amp;"|"&amp;Q1206)</f>
        <v/>
      </c>
      <c r="S1206" s="33">
        <f>IF(Q1206="","",IF(P1206="À RENSEIGNER","GIC",P1206)&amp;"-"&amp;TEXT(Q1206,"000"))</f>
        <v/>
      </c>
      <c r="T1206" s="33">
        <f>IF(R1206="","",IFERROR(INDEX(Cl_nom,MATCH(R1206,Cl_cle,0)),"(client introuvable)"))</f>
        <v/>
      </c>
      <c r="U1206" s="33">
        <f>IF(R1206="","",IFERROR(INDEX(Cl_quartier,MATCH(R1206,Cl_cle,0))&amp;"",""))</f>
        <v/>
      </c>
      <c r="V1206" s="34">
        <f>IF(C1206="","",YEAR(C1206-WEEKDAY(C1206,2)+4)&amp;"-S"&amp;TEXT(INT((C1206-DATE(YEAR(C1206-WEEKDAY(C1206,2)+4),1,3)+WEEKDAY(DATE(YEAR(C1206-WEEKDAY(C1206,2)+4),1,3),2)+5)/7),"00"))</f>
        <v/>
      </c>
    </row>
    <row r="1207" ht="18" customHeight="1">
      <c r="A1207" s="39" t="n">
        <v>1202</v>
      </c>
      <c r="B1207" s="33">
        <f>IF(C1207="","",IF(P1207="À RENSEIGNER","GIC",P1207)&amp;"-V"&amp;TEXT(A1207,"00000"))</f>
        <v/>
      </c>
      <c r="C1207" s="32" t="n"/>
      <c r="D1207" s="35" t="n"/>
      <c r="E1207" s="36" t="n"/>
      <c r="F1207" s="36" t="n"/>
      <c r="G1207" s="36" t="n"/>
      <c r="H1207" s="36" t="n"/>
      <c r="I1207" s="36" t="n"/>
      <c r="J1207" s="37" t="n"/>
      <c r="K1207" s="32" t="n"/>
      <c r="L1207" s="36" t="n"/>
      <c r="M1207" s="41" t="n"/>
      <c r="N1207" s="41" t="n"/>
      <c r="O1207" s="36" t="n"/>
      <c r="P1207" s="33">
        <f>IF(C1207="","",Commercial_Id)</f>
        <v/>
      </c>
      <c r="Q1207" s="39">
        <f>IF(F1207="","",IFERROR(VALUE(MID(F1207,LEN(F1207)-3,3)),""))</f>
        <v/>
      </c>
      <c r="R1207" s="33">
        <f>IF(Q1207="","",P1207&amp;"|"&amp;Q1207)</f>
        <v/>
      </c>
      <c r="S1207" s="33">
        <f>IF(Q1207="","",IF(P1207="À RENSEIGNER","GIC",P1207)&amp;"-"&amp;TEXT(Q1207,"000"))</f>
        <v/>
      </c>
      <c r="T1207" s="33">
        <f>IF(R1207="","",IFERROR(INDEX(Cl_nom,MATCH(R1207,Cl_cle,0)),"(client introuvable)"))</f>
        <v/>
      </c>
      <c r="U1207" s="33">
        <f>IF(R1207="","",IFERROR(INDEX(Cl_quartier,MATCH(R1207,Cl_cle,0))&amp;"",""))</f>
        <v/>
      </c>
      <c r="V1207" s="34">
        <f>IF(C1207="","",YEAR(C1207-WEEKDAY(C1207,2)+4)&amp;"-S"&amp;TEXT(INT((C1207-DATE(YEAR(C1207-WEEKDAY(C1207,2)+4),1,3)+WEEKDAY(DATE(YEAR(C1207-WEEKDAY(C1207,2)+4),1,3),2)+5)/7),"00"))</f>
        <v/>
      </c>
    </row>
    <row r="1208" ht="18" customHeight="1">
      <c r="A1208" s="39" t="n">
        <v>1203</v>
      </c>
      <c r="B1208" s="33">
        <f>IF(C1208="","",IF(P1208="À RENSEIGNER","GIC",P1208)&amp;"-V"&amp;TEXT(A1208,"00000"))</f>
        <v/>
      </c>
      <c r="C1208" s="32" t="n"/>
      <c r="D1208" s="35" t="n"/>
      <c r="E1208" s="36" t="n"/>
      <c r="F1208" s="36" t="n"/>
      <c r="G1208" s="36" t="n"/>
      <c r="H1208" s="36" t="n"/>
      <c r="I1208" s="36" t="n"/>
      <c r="J1208" s="37" t="n"/>
      <c r="K1208" s="32" t="n"/>
      <c r="L1208" s="36" t="n"/>
      <c r="M1208" s="41" t="n"/>
      <c r="N1208" s="41" t="n"/>
      <c r="O1208" s="36" t="n"/>
      <c r="P1208" s="33">
        <f>IF(C1208="","",Commercial_Id)</f>
        <v/>
      </c>
      <c r="Q1208" s="39">
        <f>IF(F1208="","",IFERROR(VALUE(MID(F1208,LEN(F1208)-3,3)),""))</f>
        <v/>
      </c>
      <c r="R1208" s="33">
        <f>IF(Q1208="","",P1208&amp;"|"&amp;Q1208)</f>
        <v/>
      </c>
      <c r="S1208" s="33">
        <f>IF(Q1208="","",IF(P1208="À RENSEIGNER","GIC",P1208)&amp;"-"&amp;TEXT(Q1208,"000"))</f>
        <v/>
      </c>
      <c r="T1208" s="33">
        <f>IF(R1208="","",IFERROR(INDEX(Cl_nom,MATCH(R1208,Cl_cle,0)),"(client introuvable)"))</f>
        <v/>
      </c>
      <c r="U1208" s="33">
        <f>IF(R1208="","",IFERROR(INDEX(Cl_quartier,MATCH(R1208,Cl_cle,0))&amp;"",""))</f>
        <v/>
      </c>
      <c r="V1208" s="34">
        <f>IF(C1208="","",YEAR(C1208-WEEKDAY(C1208,2)+4)&amp;"-S"&amp;TEXT(INT((C1208-DATE(YEAR(C1208-WEEKDAY(C1208,2)+4),1,3)+WEEKDAY(DATE(YEAR(C1208-WEEKDAY(C1208,2)+4),1,3),2)+5)/7),"00"))</f>
        <v/>
      </c>
    </row>
    <row r="1209" ht="18" customHeight="1">
      <c r="A1209" s="39" t="n">
        <v>1204</v>
      </c>
      <c r="B1209" s="33">
        <f>IF(C1209="","",IF(P1209="À RENSEIGNER","GIC",P1209)&amp;"-V"&amp;TEXT(A1209,"00000"))</f>
        <v/>
      </c>
      <c r="C1209" s="32" t="n"/>
      <c r="D1209" s="35" t="n"/>
      <c r="E1209" s="36" t="n"/>
      <c r="F1209" s="36" t="n"/>
      <c r="G1209" s="36" t="n"/>
      <c r="H1209" s="36" t="n"/>
      <c r="I1209" s="36" t="n"/>
      <c r="J1209" s="37" t="n"/>
      <c r="K1209" s="32" t="n"/>
      <c r="L1209" s="36" t="n"/>
      <c r="M1209" s="41" t="n"/>
      <c r="N1209" s="41" t="n"/>
      <c r="O1209" s="36" t="n"/>
      <c r="P1209" s="33">
        <f>IF(C1209="","",Commercial_Id)</f>
        <v/>
      </c>
      <c r="Q1209" s="39">
        <f>IF(F1209="","",IFERROR(VALUE(MID(F1209,LEN(F1209)-3,3)),""))</f>
        <v/>
      </c>
      <c r="R1209" s="33">
        <f>IF(Q1209="","",P1209&amp;"|"&amp;Q1209)</f>
        <v/>
      </c>
      <c r="S1209" s="33">
        <f>IF(Q1209="","",IF(P1209="À RENSEIGNER","GIC",P1209)&amp;"-"&amp;TEXT(Q1209,"000"))</f>
        <v/>
      </c>
      <c r="T1209" s="33">
        <f>IF(R1209="","",IFERROR(INDEX(Cl_nom,MATCH(R1209,Cl_cle,0)),"(client introuvable)"))</f>
        <v/>
      </c>
      <c r="U1209" s="33">
        <f>IF(R1209="","",IFERROR(INDEX(Cl_quartier,MATCH(R1209,Cl_cle,0))&amp;"",""))</f>
        <v/>
      </c>
      <c r="V1209" s="34">
        <f>IF(C1209="","",YEAR(C1209-WEEKDAY(C1209,2)+4)&amp;"-S"&amp;TEXT(INT((C1209-DATE(YEAR(C1209-WEEKDAY(C1209,2)+4),1,3)+WEEKDAY(DATE(YEAR(C1209-WEEKDAY(C1209,2)+4),1,3),2)+5)/7),"00"))</f>
        <v/>
      </c>
    </row>
    <row r="1210" ht="18" customHeight="1">
      <c r="A1210" s="39" t="n">
        <v>1205</v>
      </c>
      <c r="B1210" s="33">
        <f>IF(C1210="","",IF(P1210="À RENSEIGNER","GIC",P1210)&amp;"-V"&amp;TEXT(A1210,"00000"))</f>
        <v/>
      </c>
      <c r="C1210" s="32" t="n"/>
      <c r="D1210" s="35" t="n"/>
      <c r="E1210" s="36" t="n"/>
      <c r="F1210" s="36" t="n"/>
      <c r="G1210" s="36" t="n"/>
      <c r="H1210" s="36" t="n"/>
      <c r="I1210" s="36" t="n"/>
      <c r="J1210" s="37" t="n"/>
      <c r="K1210" s="32" t="n"/>
      <c r="L1210" s="36" t="n"/>
      <c r="M1210" s="41" t="n"/>
      <c r="N1210" s="41" t="n"/>
      <c r="O1210" s="36" t="n"/>
      <c r="P1210" s="33">
        <f>IF(C1210="","",Commercial_Id)</f>
        <v/>
      </c>
      <c r="Q1210" s="39">
        <f>IF(F1210="","",IFERROR(VALUE(MID(F1210,LEN(F1210)-3,3)),""))</f>
        <v/>
      </c>
      <c r="R1210" s="33">
        <f>IF(Q1210="","",P1210&amp;"|"&amp;Q1210)</f>
        <v/>
      </c>
      <c r="S1210" s="33">
        <f>IF(Q1210="","",IF(P1210="À RENSEIGNER","GIC",P1210)&amp;"-"&amp;TEXT(Q1210,"000"))</f>
        <v/>
      </c>
      <c r="T1210" s="33">
        <f>IF(R1210="","",IFERROR(INDEX(Cl_nom,MATCH(R1210,Cl_cle,0)),"(client introuvable)"))</f>
        <v/>
      </c>
      <c r="U1210" s="33">
        <f>IF(R1210="","",IFERROR(INDEX(Cl_quartier,MATCH(R1210,Cl_cle,0))&amp;"",""))</f>
        <v/>
      </c>
      <c r="V1210" s="34">
        <f>IF(C1210="","",YEAR(C1210-WEEKDAY(C1210,2)+4)&amp;"-S"&amp;TEXT(INT((C1210-DATE(YEAR(C1210-WEEKDAY(C1210,2)+4),1,3)+WEEKDAY(DATE(YEAR(C1210-WEEKDAY(C1210,2)+4),1,3),2)+5)/7),"00"))</f>
        <v/>
      </c>
    </row>
    <row r="1211" ht="18" customHeight="1">
      <c r="A1211" s="39" t="n">
        <v>1206</v>
      </c>
      <c r="B1211" s="33">
        <f>IF(C1211="","",IF(P1211="À RENSEIGNER","GIC",P1211)&amp;"-V"&amp;TEXT(A1211,"00000"))</f>
        <v/>
      </c>
      <c r="C1211" s="32" t="n"/>
      <c r="D1211" s="35" t="n"/>
      <c r="E1211" s="36" t="n"/>
      <c r="F1211" s="36" t="n"/>
      <c r="G1211" s="36" t="n"/>
      <c r="H1211" s="36" t="n"/>
      <c r="I1211" s="36" t="n"/>
      <c r="J1211" s="37" t="n"/>
      <c r="K1211" s="32" t="n"/>
      <c r="L1211" s="36" t="n"/>
      <c r="M1211" s="41" t="n"/>
      <c r="N1211" s="41" t="n"/>
      <c r="O1211" s="36" t="n"/>
      <c r="P1211" s="33">
        <f>IF(C1211="","",Commercial_Id)</f>
        <v/>
      </c>
      <c r="Q1211" s="39">
        <f>IF(F1211="","",IFERROR(VALUE(MID(F1211,LEN(F1211)-3,3)),""))</f>
        <v/>
      </c>
      <c r="R1211" s="33">
        <f>IF(Q1211="","",P1211&amp;"|"&amp;Q1211)</f>
        <v/>
      </c>
      <c r="S1211" s="33">
        <f>IF(Q1211="","",IF(P1211="À RENSEIGNER","GIC",P1211)&amp;"-"&amp;TEXT(Q1211,"000"))</f>
        <v/>
      </c>
      <c r="T1211" s="33">
        <f>IF(R1211="","",IFERROR(INDEX(Cl_nom,MATCH(R1211,Cl_cle,0)),"(client introuvable)"))</f>
        <v/>
      </c>
      <c r="U1211" s="33">
        <f>IF(R1211="","",IFERROR(INDEX(Cl_quartier,MATCH(R1211,Cl_cle,0))&amp;"",""))</f>
        <v/>
      </c>
      <c r="V1211" s="34">
        <f>IF(C1211="","",YEAR(C1211-WEEKDAY(C1211,2)+4)&amp;"-S"&amp;TEXT(INT((C1211-DATE(YEAR(C1211-WEEKDAY(C1211,2)+4),1,3)+WEEKDAY(DATE(YEAR(C1211-WEEKDAY(C1211,2)+4),1,3),2)+5)/7),"00"))</f>
        <v/>
      </c>
    </row>
    <row r="1212" ht="18" customHeight="1">
      <c r="A1212" s="39" t="n">
        <v>1207</v>
      </c>
      <c r="B1212" s="33">
        <f>IF(C1212="","",IF(P1212="À RENSEIGNER","GIC",P1212)&amp;"-V"&amp;TEXT(A1212,"00000"))</f>
        <v/>
      </c>
      <c r="C1212" s="32" t="n"/>
      <c r="D1212" s="35" t="n"/>
      <c r="E1212" s="36" t="n"/>
      <c r="F1212" s="36" t="n"/>
      <c r="G1212" s="36" t="n"/>
      <c r="H1212" s="36" t="n"/>
      <c r="I1212" s="36" t="n"/>
      <c r="J1212" s="37" t="n"/>
      <c r="K1212" s="32" t="n"/>
      <c r="L1212" s="36" t="n"/>
      <c r="M1212" s="41" t="n"/>
      <c r="N1212" s="41" t="n"/>
      <c r="O1212" s="36" t="n"/>
      <c r="P1212" s="33">
        <f>IF(C1212="","",Commercial_Id)</f>
        <v/>
      </c>
      <c r="Q1212" s="39">
        <f>IF(F1212="","",IFERROR(VALUE(MID(F1212,LEN(F1212)-3,3)),""))</f>
        <v/>
      </c>
      <c r="R1212" s="33">
        <f>IF(Q1212="","",P1212&amp;"|"&amp;Q1212)</f>
        <v/>
      </c>
      <c r="S1212" s="33">
        <f>IF(Q1212="","",IF(P1212="À RENSEIGNER","GIC",P1212)&amp;"-"&amp;TEXT(Q1212,"000"))</f>
        <v/>
      </c>
      <c r="T1212" s="33">
        <f>IF(R1212="","",IFERROR(INDEX(Cl_nom,MATCH(R1212,Cl_cle,0)),"(client introuvable)"))</f>
        <v/>
      </c>
      <c r="U1212" s="33">
        <f>IF(R1212="","",IFERROR(INDEX(Cl_quartier,MATCH(R1212,Cl_cle,0))&amp;"",""))</f>
        <v/>
      </c>
      <c r="V1212" s="34">
        <f>IF(C1212="","",YEAR(C1212-WEEKDAY(C1212,2)+4)&amp;"-S"&amp;TEXT(INT((C1212-DATE(YEAR(C1212-WEEKDAY(C1212,2)+4),1,3)+WEEKDAY(DATE(YEAR(C1212-WEEKDAY(C1212,2)+4),1,3),2)+5)/7),"00"))</f>
        <v/>
      </c>
    </row>
    <row r="1213" ht="18" customHeight="1">
      <c r="A1213" s="39" t="n">
        <v>1208</v>
      </c>
      <c r="B1213" s="33">
        <f>IF(C1213="","",IF(P1213="À RENSEIGNER","GIC",P1213)&amp;"-V"&amp;TEXT(A1213,"00000"))</f>
        <v/>
      </c>
      <c r="C1213" s="32" t="n"/>
      <c r="D1213" s="35" t="n"/>
      <c r="E1213" s="36" t="n"/>
      <c r="F1213" s="36" t="n"/>
      <c r="G1213" s="36" t="n"/>
      <c r="H1213" s="36" t="n"/>
      <c r="I1213" s="36" t="n"/>
      <c r="J1213" s="37" t="n"/>
      <c r="K1213" s="32" t="n"/>
      <c r="L1213" s="36" t="n"/>
      <c r="M1213" s="41" t="n"/>
      <c r="N1213" s="41" t="n"/>
      <c r="O1213" s="36" t="n"/>
      <c r="P1213" s="33">
        <f>IF(C1213="","",Commercial_Id)</f>
        <v/>
      </c>
      <c r="Q1213" s="39">
        <f>IF(F1213="","",IFERROR(VALUE(MID(F1213,LEN(F1213)-3,3)),""))</f>
        <v/>
      </c>
      <c r="R1213" s="33">
        <f>IF(Q1213="","",P1213&amp;"|"&amp;Q1213)</f>
        <v/>
      </c>
      <c r="S1213" s="33">
        <f>IF(Q1213="","",IF(P1213="À RENSEIGNER","GIC",P1213)&amp;"-"&amp;TEXT(Q1213,"000"))</f>
        <v/>
      </c>
      <c r="T1213" s="33">
        <f>IF(R1213="","",IFERROR(INDEX(Cl_nom,MATCH(R1213,Cl_cle,0)),"(client introuvable)"))</f>
        <v/>
      </c>
      <c r="U1213" s="33">
        <f>IF(R1213="","",IFERROR(INDEX(Cl_quartier,MATCH(R1213,Cl_cle,0))&amp;"",""))</f>
        <v/>
      </c>
      <c r="V1213" s="34">
        <f>IF(C1213="","",YEAR(C1213-WEEKDAY(C1213,2)+4)&amp;"-S"&amp;TEXT(INT((C1213-DATE(YEAR(C1213-WEEKDAY(C1213,2)+4),1,3)+WEEKDAY(DATE(YEAR(C1213-WEEKDAY(C1213,2)+4),1,3),2)+5)/7),"00"))</f>
        <v/>
      </c>
    </row>
    <row r="1214" ht="18" customHeight="1">
      <c r="A1214" s="39" t="n">
        <v>1209</v>
      </c>
      <c r="B1214" s="33">
        <f>IF(C1214="","",IF(P1214="À RENSEIGNER","GIC",P1214)&amp;"-V"&amp;TEXT(A1214,"00000"))</f>
        <v/>
      </c>
      <c r="C1214" s="32" t="n"/>
      <c r="D1214" s="35" t="n"/>
      <c r="E1214" s="36" t="n"/>
      <c r="F1214" s="36" t="n"/>
      <c r="G1214" s="36" t="n"/>
      <c r="H1214" s="36" t="n"/>
      <c r="I1214" s="36" t="n"/>
      <c r="J1214" s="37" t="n"/>
      <c r="K1214" s="32" t="n"/>
      <c r="L1214" s="36" t="n"/>
      <c r="M1214" s="41" t="n"/>
      <c r="N1214" s="41" t="n"/>
      <c r="O1214" s="36" t="n"/>
      <c r="P1214" s="33">
        <f>IF(C1214="","",Commercial_Id)</f>
        <v/>
      </c>
      <c r="Q1214" s="39">
        <f>IF(F1214="","",IFERROR(VALUE(MID(F1214,LEN(F1214)-3,3)),""))</f>
        <v/>
      </c>
      <c r="R1214" s="33">
        <f>IF(Q1214="","",P1214&amp;"|"&amp;Q1214)</f>
        <v/>
      </c>
      <c r="S1214" s="33">
        <f>IF(Q1214="","",IF(P1214="À RENSEIGNER","GIC",P1214)&amp;"-"&amp;TEXT(Q1214,"000"))</f>
        <v/>
      </c>
      <c r="T1214" s="33">
        <f>IF(R1214="","",IFERROR(INDEX(Cl_nom,MATCH(R1214,Cl_cle,0)),"(client introuvable)"))</f>
        <v/>
      </c>
      <c r="U1214" s="33">
        <f>IF(R1214="","",IFERROR(INDEX(Cl_quartier,MATCH(R1214,Cl_cle,0))&amp;"",""))</f>
        <v/>
      </c>
      <c r="V1214" s="34">
        <f>IF(C1214="","",YEAR(C1214-WEEKDAY(C1214,2)+4)&amp;"-S"&amp;TEXT(INT((C1214-DATE(YEAR(C1214-WEEKDAY(C1214,2)+4),1,3)+WEEKDAY(DATE(YEAR(C1214-WEEKDAY(C1214,2)+4),1,3),2)+5)/7),"00"))</f>
        <v/>
      </c>
    </row>
    <row r="1215" ht="18" customHeight="1">
      <c r="A1215" s="39" t="n">
        <v>1210</v>
      </c>
      <c r="B1215" s="33">
        <f>IF(C1215="","",IF(P1215="À RENSEIGNER","GIC",P1215)&amp;"-V"&amp;TEXT(A1215,"00000"))</f>
        <v/>
      </c>
      <c r="C1215" s="32" t="n"/>
      <c r="D1215" s="35" t="n"/>
      <c r="E1215" s="36" t="n"/>
      <c r="F1215" s="36" t="n"/>
      <c r="G1215" s="36" t="n"/>
      <c r="H1215" s="36" t="n"/>
      <c r="I1215" s="36" t="n"/>
      <c r="J1215" s="37" t="n"/>
      <c r="K1215" s="32" t="n"/>
      <c r="L1215" s="36" t="n"/>
      <c r="M1215" s="41" t="n"/>
      <c r="N1215" s="41" t="n"/>
      <c r="O1215" s="36" t="n"/>
      <c r="P1215" s="33">
        <f>IF(C1215="","",Commercial_Id)</f>
        <v/>
      </c>
      <c r="Q1215" s="39">
        <f>IF(F1215="","",IFERROR(VALUE(MID(F1215,LEN(F1215)-3,3)),""))</f>
        <v/>
      </c>
      <c r="R1215" s="33">
        <f>IF(Q1215="","",P1215&amp;"|"&amp;Q1215)</f>
        <v/>
      </c>
      <c r="S1215" s="33">
        <f>IF(Q1215="","",IF(P1215="À RENSEIGNER","GIC",P1215)&amp;"-"&amp;TEXT(Q1215,"000"))</f>
        <v/>
      </c>
      <c r="T1215" s="33">
        <f>IF(R1215="","",IFERROR(INDEX(Cl_nom,MATCH(R1215,Cl_cle,0)),"(client introuvable)"))</f>
        <v/>
      </c>
      <c r="U1215" s="33">
        <f>IF(R1215="","",IFERROR(INDEX(Cl_quartier,MATCH(R1215,Cl_cle,0))&amp;"",""))</f>
        <v/>
      </c>
      <c r="V1215" s="34">
        <f>IF(C1215="","",YEAR(C1215-WEEKDAY(C1215,2)+4)&amp;"-S"&amp;TEXT(INT((C1215-DATE(YEAR(C1215-WEEKDAY(C1215,2)+4),1,3)+WEEKDAY(DATE(YEAR(C1215-WEEKDAY(C1215,2)+4),1,3),2)+5)/7),"00"))</f>
        <v/>
      </c>
    </row>
    <row r="1216" ht="18" customHeight="1">
      <c r="A1216" s="39" t="n">
        <v>1211</v>
      </c>
      <c r="B1216" s="33">
        <f>IF(C1216="","",IF(P1216="À RENSEIGNER","GIC",P1216)&amp;"-V"&amp;TEXT(A1216,"00000"))</f>
        <v/>
      </c>
      <c r="C1216" s="32" t="n"/>
      <c r="D1216" s="35" t="n"/>
      <c r="E1216" s="36" t="n"/>
      <c r="F1216" s="36" t="n"/>
      <c r="G1216" s="36" t="n"/>
      <c r="H1216" s="36" t="n"/>
      <c r="I1216" s="36" t="n"/>
      <c r="J1216" s="37" t="n"/>
      <c r="K1216" s="32" t="n"/>
      <c r="L1216" s="36" t="n"/>
      <c r="M1216" s="41" t="n"/>
      <c r="N1216" s="41" t="n"/>
      <c r="O1216" s="36" t="n"/>
      <c r="P1216" s="33">
        <f>IF(C1216="","",Commercial_Id)</f>
        <v/>
      </c>
      <c r="Q1216" s="39">
        <f>IF(F1216="","",IFERROR(VALUE(MID(F1216,LEN(F1216)-3,3)),""))</f>
        <v/>
      </c>
      <c r="R1216" s="33">
        <f>IF(Q1216="","",P1216&amp;"|"&amp;Q1216)</f>
        <v/>
      </c>
      <c r="S1216" s="33">
        <f>IF(Q1216="","",IF(P1216="À RENSEIGNER","GIC",P1216)&amp;"-"&amp;TEXT(Q1216,"000"))</f>
        <v/>
      </c>
      <c r="T1216" s="33">
        <f>IF(R1216="","",IFERROR(INDEX(Cl_nom,MATCH(R1216,Cl_cle,0)),"(client introuvable)"))</f>
        <v/>
      </c>
      <c r="U1216" s="33">
        <f>IF(R1216="","",IFERROR(INDEX(Cl_quartier,MATCH(R1216,Cl_cle,0))&amp;"",""))</f>
        <v/>
      </c>
      <c r="V1216" s="34">
        <f>IF(C1216="","",YEAR(C1216-WEEKDAY(C1216,2)+4)&amp;"-S"&amp;TEXT(INT((C1216-DATE(YEAR(C1216-WEEKDAY(C1216,2)+4),1,3)+WEEKDAY(DATE(YEAR(C1216-WEEKDAY(C1216,2)+4),1,3),2)+5)/7),"00"))</f>
        <v/>
      </c>
    </row>
    <row r="1217" ht="18" customHeight="1">
      <c r="A1217" s="39" t="n">
        <v>1212</v>
      </c>
      <c r="B1217" s="33">
        <f>IF(C1217="","",IF(P1217="À RENSEIGNER","GIC",P1217)&amp;"-V"&amp;TEXT(A1217,"00000"))</f>
        <v/>
      </c>
      <c r="C1217" s="32" t="n"/>
      <c r="D1217" s="35" t="n"/>
      <c r="E1217" s="36" t="n"/>
      <c r="F1217" s="36" t="n"/>
      <c r="G1217" s="36" t="n"/>
      <c r="H1217" s="36" t="n"/>
      <c r="I1217" s="36" t="n"/>
      <c r="J1217" s="37" t="n"/>
      <c r="K1217" s="32" t="n"/>
      <c r="L1217" s="36" t="n"/>
      <c r="M1217" s="41" t="n"/>
      <c r="N1217" s="41" t="n"/>
      <c r="O1217" s="36" t="n"/>
      <c r="P1217" s="33">
        <f>IF(C1217="","",Commercial_Id)</f>
        <v/>
      </c>
      <c r="Q1217" s="39">
        <f>IF(F1217="","",IFERROR(VALUE(MID(F1217,LEN(F1217)-3,3)),""))</f>
        <v/>
      </c>
      <c r="R1217" s="33">
        <f>IF(Q1217="","",P1217&amp;"|"&amp;Q1217)</f>
        <v/>
      </c>
      <c r="S1217" s="33">
        <f>IF(Q1217="","",IF(P1217="À RENSEIGNER","GIC",P1217)&amp;"-"&amp;TEXT(Q1217,"000"))</f>
        <v/>
      </c>
      <c r="T1217" s="33">
        <f>IF(R1217="","",IFERROR(INDEX(Cl_nom,MATCH(R1217,Cl_cle,0)),"(client introuvable)"))</f>
        <v/>
      </c>
      <c r="U1217" s="33">
        <f>IF(R1217="","",IFERROR(INDEX(Cl_quartier,MATCH(R1217,Cl_cle,0))&amp;"",""))</f>
        <v/>
      </c>
      <c r="V1217" s="34">
        <f>IF(C1217="","",YEAR(C1217-WEEKDAY(C1217,2)+4)&amp;"-S"&amp;TEXT(INT((C1217-DATE(YEAR(C1217-WEEKDAY(C1217,2)+4),1,3)+WEEKDAY(DATE(YEAR(C1217-WEEKDAY(C1217,2)+4),1,3),2)+5)/7),"00"))</f>
        <v/>
      </c>
    </row>
    <row r="1218" ht="18" customHeight="1">
      <c r="A1218" s="39" t="n">
        <v>1213</v>
      </c>
      <c r="B1218" s="33">
        <f>IF(C1218="","",IF(P1218="À RENSEIGNER","GIC",P1218)&amp;"-V"&amp;TEXT(A1218,"00000"))</f>
        <v/>
      </c>
      <c r="C1218" s="32" t="n"/>
      <c r="D1218" s="35" t="n"/>
      <c r="E1218" s="36" t="n"/>
      <c r="F1218" s="36" t="n"/>
      <c r="G1218" s="36" t="n"/>
      <c r="H1218" s="36" t="n"/>
      <c r="I1218" s="36" t="n"/>
      <c r="J1218" s="37" t="n"/>
      <c r="K1218" s="32" t="n"/>
      <c r="L1218" s="36" t="n"/>
      <c r="M1218" s="41" t="n"/>
      <c r="N1218" s="41" t="n"/>
      <c r="O1218" s="36" t="n"/>
      <c r="P1218" s="33">
        <f>IF(C1218="","",Commercial_Id)</f>
        <v/>
      </c>
      <c r="Q1218" s="39">
        <f>IF(F1218="","",IFERROR(VALUE(MID(F1218,LEN(F1218)-3,3)),""))</f>
        <v/>
      </c>
      <c r="R1218" s="33">
        <f>IF(Q1218="","",P1218&amp;"|"&amp;Q1218)</f>
        <v/>
      </c>
      <c r="S1218" s="33">
        <f>IF(Q1218="","",IF(P1218="À RENSEIGNER","GIC",P1218)&amp;"-"&amp;TEXT(Q1218,"000"))</f>
        <v/>
      </c>
      <c r="T1218" s="33">
        <f>IF(R1218="","",IFERROR(INDEX(Cl_nom,MATCH(R1218,Cl_cle,0)),"(client introuvable)"))</f>
        <v/>
      </c>
      <c r="U1218" s="33">
        <f>IF(R1218="","",IFERROR(INDEX(Cl_quartier,MATCH(R1218,Cl_cle,0))&amp;"",""))</f>
        <v/>
      </c>
      <c r="V1218" s="34">
        <f>IF(C1218="","",YEAR(C1218-WEEKDAY(C1218,2)+4)&amp;"-S"&amp;TEXT(INT((C1218-DATE(YEAR(C1218-WEEKDAY(C1218,2)+4),1,3)+WEEKDAY(DATE(YEAR(C1218-WEEKDAY(C1218,2)+4),1,3),2)+5)/7),"00"))</f>
        <v/>
      </c>
    </row>
    <row r="1219" ht="18" customHeight="1">
      <c r="A1219" s="39" t="n">
        <v>1214</v>
      </c>
      <c r="B1219" s="33">
        <f>IF(C1219="","",IF(P1219="À RENSEIGNER","GIC",P1219)&amp;"-V"&amp;TEXT(A1219,"00000"))</f>
        <v/>
      </c>
      <c r="C1219" s="32" t="n"/>
      <c r="D1219" s="35" t="n"/>
      <c r="E1219" s="36" t="n"/>
      <c r="F1219" s="36" t="n"/>
      <c r="G1219" s="36" t="n"/>
      <c r="H1219" s="36" t="n"/>
      <c r="I1219" s="36" t="n"/>
      <c r="J1219" s="37" t="n"/>
      <c r="K1219" s="32" t="n"/>
      <c r="L1219" s="36" t="n"/>
      <c r="M1219" s="41" t="n"/>
      <c r="N1219" s="41" t="n"/>
      <c r="O1219" s="36" t="n"/>
      <c r="P1219" s="33">
        <f>IF(C1219="","",Commercial_Id)</f>
        <v/>
      </c>
      <c r="Q1219" s="39">
        <f>IF(F1219="","",IFERROR(VALUE(MID(F1219,LEN(F1219)-3,3)),""))</f>
        <v/>
      </c>
      <c r="R1219" s="33">
        <f>IF(Q1219="","",P1219&amp;"|"&amp;Q1219)</f>
        <v/>
      </c>
      <c r="S1219" s="33">
        <f>IF(Q1219="","",IF(P1219="À RENSEIGNER","GIC",P1219)&amp;"-"&amp;TEXT(Q1219,"000"))</f>
        <v/>
      </c>
      <c r="T1219" s="33">
        <f>IF(R1219="","",IFERROR(INDEX(Cl_nom,MATCH(R1219,Cl_cle,0)),"(client introuvable)"))</f>
        <v/>
      </c>
      <c r="U1219" s="33">
        <f>IF(R1219="","",IFERROR(INDEX(Cl_quartier,MATCH(R1219,Cl_cle,0))&amp;"",""))</f>
        <v/>
      </c>
      <c r="V1219" s="34">
        <f>IF(C1219="","",YEAR(C1219-WEEKDAY(C1219,2)+4)&amp;"-S"&amp;TEXT(INT((C1219-DATE(YEAR(C1219-WEEKDAY(C1219,2)+4),1,3)+WEEKDAY(DATE(YEAR(C1219-WEEKDAY(C1219,2)+4),1,3),2)+5)/7),"00"))</f>
        <v/>
      </c>
    </row>
    <row r="1220" ht="18" customHeight="1">
      <c r="A1220" s="39" t="n">
        <v>1215</v>
      </c>
      <c r="B1220" s="33">
        <f>IF(C1220="","",IF(P1220="À RENSEIGNER","GIC",P1220)&amp;"-V"&amp;TEXT(A1220,"00000"))</f>
        <v/>
      </c>
      <c r="C1220" s="32" t="n"/>
      <c r="D1220" s="35" t="n"/>
      <c r="E1220" s="36" t="n"/>
      <c r="F1220" s="36" t="n"/>
      <c r="G1220" s="36" t="n"/>
      <c r="H1220" s="36" t="n"/>
      <c r="I1220" s="36" t="n"/>
      <c r="J1220" s="37" t="n"/>
      <c r="K1220" s="32" t="n"/>
      <c r="L1220" s="36" t="n"/>
      <c r="M1220" s="41" t="n"/>
      <c r="N1220" s="41" t="n"/>
      <c r="O1220" s="36" t="n"/>
      <c r="P1220" s="33">
        <f>IF(C1220="","",Commercial_Id)</f>
        <v/>
      </c>
      <c r="Q1220" s="39">
        <f>IF(F1220="","",IFERROR(VALUE(MID(F1220,LEN(F1220)-3,3)),""))</f>
        <v/>
      </c>
      <c r="R1220" s="33">
        <f>IF(Q1220="","",P1220&amp;"|"&amp;Q1220)</f>
        <v/>
      </c>
      <c r="S1220" s="33">
        <f>IF(Q1220="","",IF(P1220="À RENSEIGNER","GIC",P1220)&amp;"-"&amp;TEXT(Q1220,"000"))</f>
        <v/>
      </c>
      <c r="T1220" s="33">
        <f>IF(R1220="","",IFERROR(INDEX(Cl_nom,MATCH(R1220,Cl_cle,0)),"(client introuvable)"))</f>
        <v/>
      </c>
      <c r="U1220" s="33">
        <f>IF(R1220="","",IFERROR(INDEX(Cl_quartier,MATCH(R1220,Cl_cle,0))&amp;"",""))</f>
        <v/>
      </c>
      <c r="V1220" s="34">
        <f>IF(C1220="","",YEAR(C1220-WEEKDAY(C1220,2)+4)&amp;"-S"&amp;TEXT(INT((C1220-DATE(YEAR(C1220-WEEKDAY(C1220,2)+4),1,3)+WEEKDAY(DATE(YEAR(C1220-WEEKDAY(C1220,2)+4),1,3),2)+5)/7),"00"))</f>
        <v/>
      </c>
    </row>
    <row r="1221" ht="18" customHeight="1">
      <c r="A1221" s="39" t="n">
        <v>1216</v>
      </c>
      <c r="B1221" s="33">
        <f>IF(C1221="","",IF(P1221="À RENSEIGNER","GIC",P1221)&amp;"-V"&amp;TEXT(A1221,"00000"))</f>
        <v/>
      </c>
      <c r="C1221" s="32" t="n"/>
      <c r="D1221" s="35" t="n"/>
      <c r="E1221" s="36" t="n"/>
      <c r="F1221" s="36" t="n"/>
      <c r="G1221" s="36" t="n"/>
      <c r="H1221" s="36" t="n"/>
      <c r="I1221" s="36" t="n"/>
      <c r="J1221" s="37" t="n"/>
      <c r="K1221" s="32" t="n"/>
      <c r="L1221" s="36" t="n"/>
      <c r="M1221" s="41" t="n"/>
      <c r="N1221" s="41" t="n"/>
      <c r="O1221" s="36" t="n"/>
      <c r="P1221" s="33">
        <f>IF(C1221="","",Commercial_Id)</f>
        <v/>
      </c>
      <c r="Q1221" s="39">
        <f>IF(F1221="","",IFERROR(VALUE(MID(F1221,LEN(F1221)-3,3)),""))</f>
        <v/>
      </c>
      <c r="R1221" s="33">
        <f>IF(Q1221="","",P1221&amp;"|"&amp;Q1221)</f>
        <v/>
      </c>
      <c r="S1221" s="33">
        <f>IF(Q1221="","",IF(P1221="À RENSEIGNER","GIC",P1221)&amp;"-"&amp;TEXT(Q1221,"000"))</f>
        <v/>
      </c>
      <c r="T1221" s="33">
        <f>IF(R1221="","",IFERROR(INDEX(Cl_nom,MATCH(R1221,Cl_cle,0)),"(client introuvable)"))</f>
        <v/>
      </c>
      <c r="U1221" s="33">
        <f>IF(R1221="","",IFERROR(INDEX(Cl_quartier,MATCH(R1221,Cl_cle,0))&amp;"",""))</f>
        <v/>
      </c>
      <c r="V1221" s="34">
        <f>IF(C1221="","",YEAR(C1221-WEEKDAY(C1221,2)+4)&amp;"-S"&amp;TEXT(INT((C1221-DATE(YEAR(C1221-WEEKDAY(C1221,2)+4),1,3)+WEEKDAY(DATE(YEAR(C1221-WEEKDAY(C1221,2)+4),1,3),2)+5)/7),"00"))</f>
        <v/>
      </c>
    </row>
    <row r="1222" ht="18" customHeight="1">
      <c r="A1222" s="39" t="n">
        <v>1217</v>
      </c>
      <c r="B1222" s="33">
        <f>IF(C1222="","",IF(P1222="À RENSEIGNER","GIC",P1222)&amp;"-V"&amp;TEXT(A1222,"00000"))</f>
        <v/>
      </c>
      <c r="C1222" s="32" t="n"/>
      <c r="D1222" s="35" t="n"/>
      <c r="E1222" s="36" t="n"/>
      <c r="F1222" s="36" t="n"/>
      <c r="G1222" s="36" t="n"/>
      <c r="H1222" s="36" t="n"/>
      <c r="I1222" s="36" t="n"/>
      <c r="J1222" s="37" t="n"/>
      <c r="K1222" s="32" t="n"/>
      <c r="L1222" s="36" t="n"/>
      <c r="M1222" s="41" t="n"/>
      <c r="N1222" s="41" t="n"/>
      <c r="O1222" s="36" t="n"/>
      <c r="P1222" s="33">
        <f>IF(C1222="","",Commercial_Id)</f>
        <v/>
      </c>
      <c r="Q1222" s="39">
        <f>IF(F1222="","",IFERROR(VALUE(MID(F1222,LEN(F1222)-3,3)),""))</f>
        <v/>
      </c>
      <c r="R1222" s="33">
        <f>IF(Q1222="","",P1222&amp;"|"&amp;Q1222)</f>
        <v/>
      </c>
      <c r="S1222" s="33">
        <f>IF(Q1222="","",IF(P1222="À RENSEIGNER","GIC",P1222)&amp;"-"&amp;TEXT(Q1222,"000"))</f>
        <v/>
      </c>
      <c r="T1222" s="33">
        <f>IF(R1222="","",IFERROR(INDEX(Cl_nom,MATCH(R1222,Cl_cle,0)),"(client introuvable)"))</f>
        <v/>
      </c>
      <c r="U1222" s="33">
        <f>IF(R1222="","",IFERROR(INDEX(Cl_quartier,MATCH(R1222,Cl_cle,0))&amp;"",""))</f>
        <v/>
      </c>
      <c r="V1222" s="34">
        <f>IF(C1222="","",YEAR(C1222-WEEKDAY(C1222,2)+4)&amp;"-S"&amp;TEXT(INT((C1222-DATE(YEAR(C1222-WEEKDAY(C1222,2)+4),1,3)+WEEKDAY(DATE(YEAR(C1222-WEEKDAY(C1222,2)+4),1,3),2)+5)/7),"00"))</f>
        <v/>
      </c>
    </row>
    <row r="1223" ht="18" customHeight="1">
      <c r="A1223" s="39" t="n">
        <v>1218</v>
      </c>
      <c r="B1223" s="33">
        <f>IF(C1223="","",IF(P1223="À RENSEIGNER","GIC",P1223)&amp;"-V"&amp;TEXT(A1223,"00000"))</f>
        <v/>
      </c>
      <c r="C1223" s="32" t="n"/>
      <c r="D1223" s="35" t="n"/>
      <c r="E1223" s="36" t="n"/>
      <c r="F1223" s="36" t="n"/>
      <c r="G1223" s="36" t="n"/>
      <c r="H1223" s="36" t="n"/>
      <c r="I1223" s="36" t="n"/>
      <c r="J1223" s="37" t="n"/>
      <c r="K1223" s="32" t="n"/>
      <c r="L1223" s="36" t="n"/>
      <c r="M1223" s="41" t="n"/>
      <c r="N1223" s="41" t="n"/>
      <c r="O1223" s="36" t="n"/>
      <c r="P1223" s="33">
        <f>IF(C1223="","",Commercial_Id)</f>
        <v/>
      </c>
      <c r="Q1223" s="39">
        <f>IF(F1223="","",IFERROR(VALUE(MID(F1223,LEN(F1223)-3,3)),""))</f>
        <v/>
      </c>
      <c r="R1223" s="33">
        <f>IF(Q1223="","",P1223&amp;"|"&amp;Q1223)</f>
        <v/>
      </c>
      <c r="S1223" s="33">
        <f>IF(Q1223="","",IF(P1223="À RENSEIGNER","GIC",P1223)&amp;"-"&amp;TEXT(Q1223,"000"))</f>
        <v/>
      </c>
      <c r="T1223" s="33">
        <f>IF(R1223="","",IFERROR(INDEX(Cl_nom,MATCH(R1223,Cl_cle,0)),"(client introuvable)"))</f>
        <v/>
      </c>
      <c r="U1223" s="33">
        <f>IF(R1223="","",IFERROR(INDEX(Cl_quartier,MATCH(R1223,Cl_cle,0))&amp;"",""))</f>
        <v/>
      </c>
      <c r="V1223" s="34">
        <f>IF(C1223="","",YEAR(C1223-WEEKDAY(C1223,2)+4)&amp;"-S"&amp;TEXT(INT((C1223-DATE(YEAR(C1223-WEEKDAY(C1223,2)+4),1,3)+WEEKDAY(DATE(YEAR(C1223-WEEKDAY(C1223,2)+4),1,3),2)+5)/7),"00"))</f>
        <v/>
      </c>
    </row>
    <row r="1224" ht="18" customHeight="1">
      <c r="A1224" s="39" t="n">
        <v>1219</v>
      </c>
      <c r="B1224" s="33">
        <f>IF(C1224="","",IF(P1224="À RENSEIGNER","GIC",P1224)&amp;"-V"&amp;TEXT(A1224,"00000"))</f>
        <v/>
      </c>
      <c r="C1224" s="32" t="n"/>
      <c r="D1224" s="35" t="n"/>
      <c r="E1224" s="36" t="n"/>
      <c r="F1224" s="36" t="n"/>
      <c r="G1224" s="36" t="n"/>
      <c r="H1224" s="36" t="n"/>
      <c r="I1224" s="36" t="n"/>
      <c r="J1224" s="37" t="n"/>
      <c r="K1224" s="32" t="n"/>
      <c r="L1224" s="36" t="n"/>
      <c r="M1224" s="41" t="n"/>
      <c r="N1224" s="41" t="n"/>
      <c r="O1224" s="36" t="n"/>
      <c r="P1224" s="33">
        <f>IF(C1224="","",Commercial_Id)</f>
        <v/>
      </c>
      <c r="Q1224" s="39">
        <f>IF(F1224="","",IFERROR(VALUE(MID(F1224,LEN(F1224)-3,3)),""))</f>
        <v/>
      </c>
      <c r="R1224" s="33">
        <f>IF(Q1224="","",P1224&amp;"|"&amp;Q1224)</f>
        <v/>
      </c>
      <c r="S1224" s="33">
        <f>IF(Q1224="","",IF(P1224="À RENSEIGNER","GIC",P1224)&amp;"-"&amp;TEXT(Q1224,"000"))</f>
        <v/>
      </c>
      <c r="T1224" s="33">
        <f>IF(R1224="","",IFERROR(INDEX(Cl_nom,MATCH(R1224,Cl_cle,0)),"(client introuvable)"))</f>
        <v/>
      </c>
      <c r="U1224" s="33">
        <f>IF(R1224="","",IFERROR(INDEX(Cl_quartier,MATCH(R1224,Cl_cle,0))&amp;"",""))</f>
        <v/>
      </c>
      <c r="V1224" s="34">
        <f>IF(C1224="","",YEAR(C1224-WEEKDAY(C1224,2)+4)&amp;"-S"&amp;TEXT(INT((C1224-DATE(YEAR(C1224-WEEKDAY(C1224,2)+4),1,3)+WEEKDAY(DATE(YEAR(C1224-WEEKDAY(C1224,2)+4),1,3),2)+5)/7),"00"))</f>
        <v/>
      </c>
    </row>
    <row r="1225" ht="18" customHeight="1">
      <c r="A1225" s="39" t="n">
        <v>1220</v>
      </c>
      <c r="B1225" s="33">
        <f>IF(C1225="","",IF(P1225="À RENSEIGNER","GIC",P1225)&amp;"-V"&amp;TEXT(A1225,"00000"))</f>
        <v/>
      </c>
      <c r="C1225" s="32" t="n"/>
      <c r="D1225" s="35" t="n"/>
      <c r="E1225" s="36" t="n"/>
      <c r="F1225" s="36" t="n"/>
      <c r="G1225" s="36" t="n"/>
      <c r="H1225" s="36" t="n"/>
      <c r="I1225" s="36" t="n"/>
      <c r="J1225" s="37" t="n"/>
      <c r="K1225" s="32" t="n"/>
      <c r="L1225" s="36" t="n"/>
      <c r="M1225" s="41" t="n"/>
      <c r="N1225" s="41" t="n"/>
      <c r="O1225" s="36" t="n"/>
      <c r="P1225" s="33">
        <f>IF(C1225="","",Commercial_Id)</f>
        <v/>
      </c>
      <c r="Q1225" s="39">
        <f>IF(F1225="","",IFERROR(VALUE(MID(F1225,LEN(F1225)-3,3)),""))</f>
        <v/>
      </c>
      <c r="R1225" s="33">
        <f>IF(Q1225="","",P1225&amp;"|"&amp;Q1225)</f>
        <v/>
      </c>
      <c r="S1225" s="33">
        <f>IF(Q1225="","",IF(P1225="À RENSEIGNER","GIC",P1225)&amp;"-"&amp;TEXT(Q1225,"000"))</f>
        <v/>
      </c>
      <c r="T1225" s="33">
        <f>IF(R1225="","",IFERROR(INDEX(Cl_nom,MATCH(R1225,Cl_cle,0)),"(client introuvable)"))</f>
        <v/>
      </c>
      <c r="U1225" s="33">
        <f>IF(R1225="","",IFERROR(INDEX(Cl_quartier,MATCH(R1225,Cl_cle,0))&amp;"",""))</f>
        <v/>
      </c>
      <c r="V1225" s="34">
        <f>IF(C1225="","",YEAR(C1225-WEEKDAY(C1225,2)+4)&amp;"-S"&amp;TEXT(INT((C1225-DATE(YEAR(C1225-WEEKDAY(C1225,2)+4),1,3)+WEEKDAY(DATE(YEAR(C1225-WEEKDAY(C1225,2)+4),1,3),2)+5)/7),"00"))</f>
        <v/>
      </c>
    </row>
    <row r="1226" ht="18" customHeight="1">
      <c r="A1226" s="39" t="n">
        <v>1221</v>
      </c>
      <c r="B1226" s="33">
        <f>IF(C1226="","",IF(P1226="À RENSEIGNER","GIC",P1226)&amp;"-V"&amp;TEXT(A1226,"00000"))</f>
        <v/>
      </c>
      <c r="C1226" s="32" t="n"/>
      <c r="D1226" s="35" t="n"/>
      <c r="E1226" s="36" t="n"/>
      <c r="F1226" s="36" t="n"/>
      <c r="G1226" s="36" t="n"/>
      <c r="H1226" s="36" t="n"/>
      <c r="I1226" s="36" t="n"/>
      <c r="J1226" s="37" t="n"/>
      <c r="K1226" s="32" t="n"/>
      <c r="L1226" s="36" t="n"/>
      <c r="M1226" s="41" t="n"/>
      <c r="N1226" s="41" t="n"/>
      <c r="O1226" s="36" t="n"/>
      <c r="P1226" s="33">
        <f>IF(C1226="","",Commercial_Id)</f>
        <v/>
      </c>
      <c r="Q1226" s="39">
        <f>IF(F1226="","",IFERROR(VALUE(MID(F1226,LEN(F1226)-3,3)),""))</f>
        <v/>
      </c>
      <c r="R1226" s="33">
        <f>IF(Q1226="","",P1226&amp;"|"&amp;Q1226)</f>
        <v/>
      </c>
      <c r="S1226" s="33">
        <f>IF(Q1226="","",IF(P1226="À RENSEIGNER","GIC",P1226)&amp;"-"&amp;TEXT(Q1226,"000"))</f>
        <v/>
      </c>
      <c r="T1226" s="33">
        <f>IF(R1226="","",IFERROR(INDEX(Cl_nom,MATCH(R1226,Cl_cle,0)),"(client introuvable)"))</f>
        <v/>
      </c>
      <c r="U1226" s="33">
        <f>IF(R1226="","",IFERROR(INDEX(Cl_quartier,MATCH(R1226,Cl_cle,0))&amp;"",""))</f>
        <v/>
      </c>
      <c r="V1226" s="34">
        <f>IF(C1226="","",YEAR(C1226-WEEKDAY(C1226,2)+4)&amp;"-S"&amp;TEXT(INT((C1226-DATE(YEAR(C1226-WEEKDAY(C1226,2)+4),1,3)+WEEKDAY(DATE(YEAR(C1226-WEEKDAY(C1226,2)+4),1,3),2)+5)/7),"00"))</f>
        <v/>
      </c>
    </row>
    <row r="1227" ht="18" customHeight="1">
      <c r="A1227" s="39" t="n">
        <v>1222</v>
      </c>
      <c r="B1227" s="33">
        <f>IF(C1227="","",IF(P1227="À RENSEIGNER","GIC",P1227)&amp;"-V"&amp;TEXT(A1227,"00000"))</f>
        <v/>
      </c>
      <c r="C1227" s="32" t="n"/>
      <c r="D1227" s="35" t="n"/>
      <c r="E1227" s="36" t="n"/>
      <c r="F1227" s="36" t="n"/>
      <c r="G1227" s="36" t="n"/>
      <c r="H1227" s="36" t="n"/>
      <c r="I1227" s="36" t="n"/>
      <c r="J1227" s="37" t="n"/>
      <c r="K1227" s="32" t="n"/>
      <c r="L1227" s="36" t="n"/>
      <c r="M1227" s="41" t="n"/>
      <c r="N1227" s="41" t="n"/>
      <c r="O1227" s="36" t="n"/>
      <c r="P1227" s="33">
        <f>IF(C1227="","",Commercial_Id)</f>
        <v/>
      </c>
      <c r="Q1227" s="39">
        <f>IF(F1227="","",IFERROR(VALUE(MID(F1227,LEN(F1227)-3,3)),""))</f>
        <v/>
      </c>
      <c r="R1227" s="33">
        <f>IF(Q1227="","",P1227&amp;"|"&amp;Q1227)</f>
        <v/>
      </c>
      <c r="S1227" s="33">
        <f>IF(Q1227="","",IF(P1227="À RENSEIGNER","GIC",P1227)&amp;"-"&amp;TEXT(Q1227,"000"))</f>
        <v/>
      </c>
      <c r="T1227" s="33">
        <f>IF(R1227="","",IFERROR(INDEX(Cl_nom,MATCH(R1227,Cl_cle,0)),"(client introuvable)"))</f>
        <v/>
      </c>
      <c r="U1227" s="33">
        <f>IF(R1227="","",IFERROR(INDEX(Cl_quartier,MATCH(R1227,Cl_cle,0))&amp;"",""))</f>
        <v/>
      </c>
      <c r="V1227" s="34">
        <f>IF(C1227="","",YEAR(C1227-WEEKDAY(C1227,2)+4)&amp;"-S"&amp;TEXT(INT((C1227-DATE(YEAR(C1227-WEEKDAY(C1227,2)+4),1,3)+WEEKDAY(DATE(YEAR(C1227-WEEKDAY(C1227,2)+4),1,3),2)+5)/7),"00"))</f>
        <v/>
      </c>
    </row>
    <row r="1228" ht="18" customHeight="1">
      <c r="A1228" s="39" t="n">
        <v>1223</v>
      </c>
      <c r="B1228" s="33">
        <f>IF(C1228="","",IF(P1228="À RENSEIGNER","GIC",P1228)&amp;"-V"&amp;TEXT(A1228,"00000"))</f>
        <v/>
      </c>
      <c r="C1228" s="32" t="n"/>
      <c r="D1228" s="35" t="n"/>
      <c r="E1228" s="36" t="n"/>
      <c r="F1228" s="36" t="n"/>
      <c r="G1228" s="36" t="n"/>
      <c r="H1228" s="36" t="n"/>
      <c r="I1228" s="36" t="n"/>
      <c r="J1228" s="37" t="n"/>
      <c r="K1228" s="32" t="n"/>
      <c r="L1228" s="36" t="n"/>
      <c r="M1228" s="41" t="n"/>
      <c r="N1228" s="41" t="n"/>
      <c r="O1228" s="36" t="n"/>
      <c r="P1228" s="33">
        <f>IF(C1228="","",Commercial_Id)</f>
        <v/>
      </c>
      <c r="Q1228" s="39">
        <f>IF(F1228="","",IFERROR(VALUE(MID(F1228,LEN(F1228)-3,3)),""))</f>
        <v/>
      </c>
      <c r="R1228" s="33">
        <f>IF(Q1228="","",P1228&amp;"|"&amp;Q1228)</f>
        <v/>
      </c>
      <c r="S1228" s="33">
        <f>IF(Q1228="","",IF(P1228="À RENSEIGNER","GIC",P1228)&amp;"-"&amp;TEXT(Q1228,"000"))</f>
        <v/>
      </c>
      <c r="T1228" s="33">
        <f>IF(R1228="","",IFERROR(INDEX(Cl_nom,MATCH(R1228,Cl_cle,0)),"(client introuvable)"))</f>
        <v/>
      </c>
      <c r="U1228" s="33">
        <f>IF(R1228="","",IFERROR(INDEX(Cl_quartier,MATCH(R1228,Cl_cle,0))&amp;"",""))</f>
        <v/>
      </c>
      <c r="V1228" s="34">
        <f>IF(C1228="","",YEAR(C1228-WEEKDAY(C1228,2)+4)&amp;"-S"&amp;TEXT(INT((C1228-DATE(YEAR(C1228-WEEKDAY(C1228,2)+4),1,3)+WEEKDAY(DATE(YEAR(C1228-WEEKDAY(C1228,2)+4),1,3),2)+5)/7),"00"))</f>
        <v/>
      </c>
    </row>
    <row r="1229" ht="18" customHeight="1">
      <c r="A1229" s="39" t="n">
        <v>1224</v>
      </c>
      <c r="B1229" s="33">
        <f>IF(C1229="","",IF(P1229="À RENSEIGNER","GIC",P1229)&amp;"-V"&amp;TEXT(A1229,"00000"))</f>
        <v/>
      </c>
      <c r="C1229" s="32" t="n"/>
      <c r="D1229" s="35" t="n"/>
      <c r="E1229" s="36" t="n"/>
      <c r="F1229" s="36" t="n"/>
      <c r="G1229" s="36" t="n"/>
      <c r="H1229" s="36" t="n"/>
      <c r="I1229" s="36" t="n"/>
      <c r="J1229" s="37" t="n"/>
      <c r="K1229" s="32" t="n"/>
      <c r="L1229" s="36" t="n"/>
      <c r="M1229" s="41" t="n"/>
      <c r="N1229" s="41" t="n"/>
      <c r="O1229" s="36" t="n"/>
      <c r="P1229" s="33">
        <f>IF(C1229="","",Commercial_Id)</f>
        <v/>
      </c>
      <c r="Q1229" s="39">
        <f>IF(F1229="","",IFERROR(VALUE(MID(F1229,LEN(F1229)-3,3)),""))</f>
        <v/>
      </c>
      <c r="R1229" s="33">
        <f>IF(Q1229="","",P1229&amp;"|"&amp;Q1229)</f>
        <v/>
      </c>
      <c r="S1229" s="33">
        <f>IF(Q1229="","",IF(P1229="À RENSEIGNER","GIC",P1229)&amp;"-"&amp;TEXT(Q1229,"000"))</f>
        <v/>
      </c>
      <c r="T1229" s="33">
        <f>IF(R1229="","",IFERROR(INDEX(Cl_nom,MATCH(R1229,Cl_cle,0)),"(client introuvable)"))</f>
        <v/>
      </c>
      <c r="U1229" s="33">
        <f>IF(R1229="","",IFERROR(INDEX(Cl_quartier,MATCH(R1229,Cl_cle,0))&amp;"",""))</f>
        <v/>
      </c>
      <c r="V1229" s="34">
        <f>IF(C1229="","",YEAR(C1229-WEEKDAY(C1229,2)+4)&amp;"-S"&amp;TEXT(INT((C1229-DATE(YEAR(C1229-WEEKDAY(C1229,2)+4),1,3)+WEEKDAY(DATE(YEAR(C1229-WEEKDAY(C1229,2)+4),1,3),2)+5)/7),"00"))</f>
        <v/>
      </c>
    </row>
    <row r="1230" ht="18" customHeight="1">
      <c r="A1230" s="39" t="n">
        <v>1225</v>
      </c>
      <c r="B1230" s="33">
        <f>IF(C1230="","",IF(P1230="À RENSEIGNER","GIC",P1230)&amp;"-V"&amp;TEXT(A1230,"00000"))</f>
        <v/>
      </c>
      <c r="C1230" s="32" t="n"/>
      <c r="D1230" s="35" t="n"/>
      <c r="E1230" s="36" t="n"/>
      <c r="F1230" s="36" t="n"/>
      <c r="G1230" s="36" t="n"/>
      <c r="H1230" s="36" t="n"/>
      <c r="I1230" s="36" t="n"/>
      <c r="J1230" s="37" t="n"/>
      <c r="K1230" s="32" t="n"/>
      <c r="L1230" s="36" t="n"/>
      <c r="M1230" s="41" t="n"/>
      <c r="N1230" s="41" t="n"/>
      <c r="O1230" s="36" t="n"/>
      <c r="P1230" s="33">
        <f>IF(C1230="","",Commercial_Id)</f>
        <v/>
      </c>
      <c r="Q1230" s="39">
        <f>IF(F1230="","",IFERROR(VALUE(MID(F1230,LEN(F1230)-3,3)),""))</f>
        <v/>
      </c>
      <c r="R1230" s="33">
        <f>IF(Q1230="","",P1230&amp;"|"&amp;Q1230)</f>
        <v/>
      </c>
      <c r="S1230" s="33">
        <f>IF(Q1230="","",IF(P1230="À RENSEIGNER","GIC",P1230)&amp;"-"&amp;TEXT(Q1230,"000"))</f>
        <v/>
      </c>
      <c r="T1230" s="33">
        <f>IF(R1230="","",IFERROR(INDEX(Cl_nom,MATCH(R1230,Cl_cle,0)),"(client introuvable)"))</f>
        <v/>
      </c>
      <c r="U1230" s="33">
        <f>IF(R1230="","",IFERROR(INDEX(Cl_quartier,MATCH(R1230,Cl_cle,0))&amp;"",""))</f>
        <v/>
      </c>
      <c r="V1230" s="34">
        <f>IF(C1230="","",YEAR(C1230-WEEKDAY(C1230,2)+4)&amp;"-S"&amp;TEXT(INT((C1230-DATE(YEAR(C1230-WEEKDAY(C1230,2)+4),1,3)+WEEKDAY(DATE(YEAR(C1230-WEEKDAY(C1230,2)+4),1,3),2)+5)/7),"00"))</f>
        <v/>
      </c>
    </row>
    <row r="1231" ht="18" customHeight="1">
      <c r="A1231" s="39" t="n">
        <v>1226</v>
      </c>
      <c r="B1231" s="33">
        <f>IF(C1231="","",IF(P1231="À RENSEIGNER","GIC",P1231)&amp;"-V"&amp;TEXT(A1231,"00000"))</f>
        <v/>
      </c>
      <c r="C1231" s="32" t="n"/>
      <c r="D1231" s="35" t="n"/>
      <c r="E1231" s="36" t="n"/>
      <c r="F1231" s="36" t="n"/>
      <c r="G1231" s="36" t="n"/>
      <c r="H1231" s="36" t="n"/>
      <c r="I1231" s="36" t="n"/>
      <c r="J1231" s="37" t="n"/>
      <c r="K1231" s="32" t="n"/>
      <c r="L1231" s="36" t="n"/>
      <c r="M1231" s="41" t="n"/>
      <c r="N1231" s="41" t="n"/>
      <c r="O1231" s="36" t="n"/>
      <c r="P1231" s="33">
        <f>IF(C1231="","",Commercial_Id)</f>
        <v/>
      </c>
      <c r="Q1231" s="39">
        <f>IF(F1231="","",IFERROR(VALUE(MID(F1231,LEN(F1231)-3,3)),""))</f>
        <v/>
      </c>
      <c r="R1231" s="33">
        <f>IF(Q1231="","",P1231&amp;"|"&amp;Q1231)</f>
        <v/>
      </c>
      <c r="S1231" s="33">
        <f>IF(Q1231="","",IF(P1231="À RENSEIGNER","GIC",P1231)&amp;"-"&amp;TEXT(Q1231,"000"))</f>
        <v/>
      </c>
      <c r="T1231" s="33">
        <f>IF(R1231="","",IFERROR(INDEX(Cl_nom,MATCH(R1231,Cl_cle,0)),"(client introuvable)"))</f>
        <v/>
      </c>
      <c r="U1231" s="33">
        <f>IF(R1231="","",IFERROR(INDEX(Cl_quartier,MATCH(R1231,Cl_cle,0))&amp;"",""))</f>
        <v/>
      </c>
      <c r="V1231" s="34">
        <f>IF(C1231="","",YEAR(C1231-WEEKDAY(C1231,2)+4)&amp;"-S"&amp;TEXT(INT((C1231-DATE(YEAR(C1231-WEEKDAY(C1231,2)+4),1,3)+WEEKDAY(DATE(YEAR(C1231-WEEKDAY(C1231,2)+4),1,3),2)+5)/7),"00"))</f>
        <v/>
      </c>
    </row>
    <row r="1232" ht="18" customHeight="1">
      <c r="A1232" s="39" t="n">
        <v>1227</v>
      </c>
      <c r="B1232" s="33">
        <f>IF(C1232="","",IF(P1232="À RENSEIGNER","GIC",P1232)&amp;"-V"&amp;TEXT(A1232,"00000"))</f>
        <v/>
      </c>
      <c r="C1232" s="32" t="n"/>
      <c r="D1232" s="35" t="n"/>
      <c r="E1232" s="36" t="n"/>
      <c r="F1232" s="36" t="n"/>
      <c r="G1232" s="36" t="n"/>
      <c r="H1232" s="36" t="n"/>
      <c r="I1232" s="36" t="n"/>
      <c r="J1232" s="37" t="n"/>
      <c r="K1232" s="32" t="n"/>
      <c r="L1232" s="36" t="n"/>
      <c r="M1232" s="41" t="n"/>
      <c r="N1232" s="41" t="n"/>
      <c r="O1232" s="36" t="n"/>
      <c r="P1232" s="33">
        <f>IF(C1232="","",Commercial_Id)</f>
        <v/>
      </c>
      <c r="Q1232" s="39">
        <f>IF(F1232="","",IFERROR(VALUE(MID(F1232,LEN(F1232)-3,3)),""))</f>
        <v/>
      </c>
      <c r="R1232" s="33">
        <f>IF(Q1232="","",P1232&amp;"|"&amp;Q1232)</f>
        <v/>
      </c>
      <c r="S1232" s="33">
        <f>IF(Q1232="","",IF(P1232="À RENSEIGNER","GIC",P1232)&amp;"-"&amp;TEXT(Q1232,"000"))</f>
        <v/>
      </c>
      <c r="T1232" s="33">
        <f>IF(R1232="","",IFERROR(INDEX(Cl_nom,MATCH(R1232,Cl_cle,0)),"(client introuvable)"))</f>
        <v/>
      </c>
      <c r="U1232" s="33">
        <f>IF(R1232="","",IFERROR(INDEX(Cl_quartier,MATCH(R1232,Cl_cle,0))&amp;"",""))</f>
        <v/>
      </c>
      <c r="V1232" s="34">
        <f>IF(C1232="","",YEAR(C1232-WEEKDAY(C1232,2)+4)&amp;"-S"&amp;TEXT(INT((C1232-DATE(YEAR(C1232-WEEKDAY(C1232,2)+4),1,3)+WEEKDAY(DATE(YEAR(C1232-WEEKDAY(C1232,2)+4),1,3),2)+5)/7),"00"))</f>
        <v/>
      </c>
    </row>
    <row r="1233" ht="18" customHeight="1">
      <c r="A1233" s="39" t="n">
        <v>1228</v>
      </c>
      <c r="B1233" s="33">
        <f>IF(C1233="","",IF(P1233="À RENSEIGNER","GIC",P1233)&amp;"-V"&amp;TEXT(A1233,"00000"))</f>
        <v/>
      </c>
      <c r="C1233" s="32" t="n"/>
      <c r="D1233" s="35" t="n"/>
      <c r="E1233" s="36" t="n"/>
      <c r="F1233" s="36" t="n"/>
      <c r="G1233" s="36" t="n"/>
      <c r="H1233" s="36" t="n"/>
      <c r="I1233" s="36" t="n"/>
      <c r="J1233" s="37" t="n"/>
      <c r="K1233" s="32" t="n"/>
      <c r="L1233" s="36" t="n"/>
      <c r="M1233" s="41" t="n"/>
      <c r="N1233" s="41" t="n"/>
      <c r="O1233" s="36" t="n"/>
      <c r="P1233" s="33">
        <f>IF(C1233="","",Commercial_Id)</f>
        <v/>
      </c>
      <c r="Q1233" s="39">
        <f>IF(F1233="","",IFERROR(VALUE(MID(F1233,LEN(F1233)-3,3)),""))</f>
        <v/>
      </c>
      <c r="R1233" s="33">
        <f>IF(Q1233="","",P1233&amp;"|"&amp;Q1233)</f>
        <v/>
      </c>
      <c r="S1233" s="33">
        <f>IF(Q1233="","",IF(P1233="À RENSEIGNER","GIC",P1233)&amp;"-"&amp;TEXT(Q1233,"000"))</f>
        <v/>
      </c>
      <c r="T1233" s="33">
        <f>IF(R1233="","",IFERROR(INDEX(Cl_nom,MATCH(R1233,Cl_cle,0)),"(client introuvable)"))</f>
        <v/>
      </c>
      <c r="U1233" s="33">
        <f>IF(R1233="","",IFERROR(INDEX(Cl_quartier,MATCH(R1233,Cl_cle,0))&amp;"",""))</f>
        <v/>
      </c>
      <c r="V1233" s="34">
        <f>IF(C1233="","",YEAR(C1233-WEEKDAY(C1233,2)+4)&amp;"-S"&amp;TEXT(INT((C1233-DATE(YEAR(C1233-WEEKDAY(C1233,2)+4),1,3)+WEEKDAY(DATE(YEAR(C1233-WEEKDAY(C1233,2)+4),1,3),2)+5)/7),"00"))</f>
        <v/>
      </c>
    </row>
    <row r="1234" ht="18" customHeight="1">
      <c r="A1234" s="39" t="n">
        <v>1229</v>
      </c>
      <c r="B1234" s="33">
        <f>IF(C1234="","",IF(P1234="À RENSEIGNER","GIC",P1234)&amp;"-V"&amp;TEXT(A1234,"00000"))</f>
        <v/>
      </c>
      <c r="C1234" s="32" t="n"/>
      <c r="D1234" s="35" t="n"/>
      <c r="E1234" s="36" t="n"/>
      <c r="F1234" s="36" t="n"/>
      <c r="G1234" s="36" t="n"/>
      <c r="H1234" s="36" t="n"/>
      <c r="I1234" s="36" t="n"/>
      <c r="J1234" s="37" t="n"/>
      <c r="K1234" s="32" t="n"/>
      <c r="L1234" s="36" t="n"/>
      <c r="M1234" s="41" t="n"/>
      <c r="N1234" s="41" t="n"/>
      <c r="O1234" s="36" t="n"/>
      <c r="P1234" s="33">
        <f>IF(C1234="","",Commercial_Id)</f>
        <v/>
      </c>
      <c r="Q1234" s="39">
        <f>IF(F1234="","",IFERROR(VALUE(MID(F1234,LEN(F1234)-3,3)),""))</f>
        <v/>
      </c>
      <c r="R1234" s="33">
        <f>IF(Q1234="","",P1234&amp;"|"&amp;Q1234)</f>
        <v/>
      </c>
      <c r="S1234" s="33">
        <f>IF(Q1234="","",IF(P1234="À RENSEIGNER","GIC",P1234)&amp;"-"&amp;TEXT(Q1234,"000"))</f>
        <v/>
      </c>
      <c r="T1234" s="33">
        <f>IF(R1234="","",IFERROR(INDEX(Cl_nom,MATCH(R1234,Cl_cle,0)),"(client introuvable)"))</f>
        <v/>
      </c>
      <c r="U1234" s="33">
        <f>IF(R1234="","",IFERROR(INDEX(Cl_quartier,MATCH(R1234,Cl_cle,0))&amp;"",""))</f>
        <v/>
      </c>
      <c r="V1234" s="34">
        <f>IF(C1234="","",YEAR(C1234-WEEKDAY(C1234,2)+4)&amp;"-S"&amp;TEXT(INT((C1234-DATE(YEAR(C1234-WEEKDAY(C1234,2)+4),1,3)+WEEKDAY(DATE(YEAR(C1234-WEEKDAY(C1234,2)+4),1,3),2)+5)/7),"00"))</f>
        <v/>
      </c>
    </row>
    <row r="1235" ht="18" customHeight="1">
      <c r="A1235" s="39" t="n">
        <v>1230</v>
      </c>
      <c r="B1235" s="33">
        <f>IF(C1235="","",IF(P1235="À RENSEIGNER","GIC",P1235)&amp;"-V"&amp;TEXT(A1235,"00000"))</f>
        <v/>
      </c>
      <c r="C1235" s="32" t="n"/>
      <c r="D1235" s="35" t="n"/>
      <c r="E1235" s="36" t="n"/>
      <c r="F1235" s="36" t="n"/>
      <c r="G1235" s="36" t="n"/>
      <c r="H1235" s="36" t="n"/>
      <c r="I1235" s="36" t="n"/>
      <c r="J1235" s="37" t="n"/>
      <c r="K1235" s="32" t="n"/>
      <c r="L1235" s="36" t="n"/>
      <c r="M1235" s="41" t="n"/>
      <c r="N1235" s="41" t="n"/>
      <c r="O1235" s="36" t="n"/>
      <c r="P1235" s="33">
        <f>IF(C1235="","",Commercial_Id)</f>
        <v/>
      </c>
      <c r="Q1235" s="39">
        <f>IF(F1235="","",IFERROR(VALUE(MID(F1235,LEN(F1235)-3,3)),""))</f>
        <v/>
      </c>
      <c r="R1235" s="33">
        <f>IF(Q1235="","",P1235&amp;"|"&amp;Q1235)</f>
        <v/>
      </c>
      <c r="S1235" s="33">
        <f>IF(Q1235="","",IF(P1235="À RENSEIGNER","GIC",P1235)&amp;"-"&amp;TEXT(Q1235,"000"))</f>
        <v/>
      </c>
      <c r="T1235" s="33">
        <f>IF(R1235="","",IFERROR(INDEX(Cl_nom,MATCH(R1235,Cl_cle,0)),"(client introuvable)"))</f>
        <v/>
      </c>
      <c r="U1235" s="33">
        <f>IF(R1235="","",IFERROR(INDEX(Cl_quartier,MATCH(R1235,Cl_cle,0))&amp;"",""))</f>
        <v/>
      </c>
      <c r="V1235" s="34">
        <f>IF(C1235="","",YEAR(C1235-WEEKDAY(C1235,2)+4)&amp;"-S"&amp;TEXT(INT((C1235-DATE(YEAR(C1235-WEEKDAY(C1235,2)+4),1,3)+WEEKDAY(DATE(YEAR(C1235-WEEKDAY(C1235,2)+4),1,3),2)+5)/7),"00"))</f>
        <v/>
      </c>
    </row>
    <row r="1236" ht="18" customHeight="1">
      <c r="A1236" s="39" t="n">
        <v>1231</v>
      </c>
      <c r="B1236" s="33">
        <f>IF(C1236="","",IF(P1236="À RENSEIGNER","GIC",P1236)&amp;"-V"&amp;TEXT(A1236,"00000"))</f>
        <v/>
      </c>
      <c r="C1236" s="32" t="n"/>
      <c r="D1236" s="35" t="n"/>
      <c r="E1236" s="36" t="n"/>
      <c r="F1236" s="36" t="n"/>
      <c r="G1236" s="36" t="n"/>
      <c r="H1236" s="36" t="n"/>
      <c r="I1236" s="36" t="n"/>
      <c r="J1236" s="37" t="n"/>
      <c r="K1236" s="32" t="n"/>
      <c r="L1236" s="36" t="n"/>
      <c r="M1236" s="41" t="n"/>
      <c r="N1236" s="41" t="n"/>
      <c r="O1236" s="36" t="n"/>
      <c r="P1236" s="33">
        <f>IF(C1236="","",Commercial_Id)</f>
        <v/>
      </c>
      <c r="Q1236" s="39">
        <f>IF(F1236="","",IFERROR(VALUE(MID(F1236,LEN(F1236)-3,3)),""))</f>
        <v/>
      </c>
      <c r="R1236" s="33">
        <f>IF(Q1236="","",P1236&amp;"|"&amp;Q1236)</f>
        <v/>
      </c>
      <c r="S1236" s="33">
        <f>IF(Q1236="","",IF(P1236="À RENSEIGNER","GIC",P1236)&amp;"-"&amp;TEXT(Q1236,"000"))</f>
        <v/>
      </c>
      <c r="T1236" s="33">
        <f>IF(R1236="","",IFERROR(INDEX(Cl_nom,MATCH(R1236,Cl_cle,0)),"(client introuvable)"))</f>
        <v/>
      </c>
      <c r="U1236" s="33">
        <f>IF(R1236="","",IFERROR(INDEX(Cl_quartier,MATCH(R1236,Cl_cle,0))&amp;"",""))</f>
        <v/>
      </c>
      <c r="V1236" s="34">
        <f>IF(C1236="","",YEAR(C1236-WEEKDAY(C1236,2)+4)&amp;"-S"&amp;TEXT(INT((C1236-DATE(YEAR(C1236-WEEKDAY(C1236,2)+4),1,3)+WEEKDAY(DATE(YEAR(C1236-WEEKDAY(C1236,2)+4),1,3),2)+5)/7),"00"))</f>
        <v/>
      </c>
    </row>
    <row r="1237" ht="18" customHeight="1">
      <c r="A1237" s="39" t="n">
        <v>1232</v>
      </c>
      <c r="B1237" s="33">
        <f>IF(C1237="","",IF(P1237="À RENSEIGNER","GIC",P1237)&amp;"-V"&amp;TEXT(A1237,"00000"))</f>
        <v/>
      </c>
      <c r="C1237" s="32" t="n"/>
      <c r="D1237" s="35" t="n"/>
      <c r="E1237" s="36" t="n"/>
      <c r="F1237" s="36" t="n"/>
      <c r="G1237" s="36" t="n"/>
      <c r="H1237" s="36" t="n"/>
      <c r="I1237" s="36" t="n"/>
      <c r="J1237" s="37" t="n"/>
      <c r="K1237" s="32" t="n"/>
      <c r="L1237" s="36" t="n"/>
      <c r="M1237" s="41" t="n"/>
      <c r="N1237" s="41" t="n"/>
      <c r="O1237" s="36" t="n"/>
      <c r="P1237" s="33">
        <f>IF(C1237="","",Commercial_Id)</f>
        <v/>
      </c>
      <c r="Q1237" s="39">
        <f>IF(F1237="","",IFERROR(VALUE(MID(F1237,LEN(F1237)-3,3)),""))</f>
        <v/>
      </c>
      <c r="R1237" s="33">
        <f>IF(Q1237="","",P1237&amp;"|"&amp;Q1237)</f>
        <v/>
      </c>
      <c r="S1237" s="33">
        <f>IF(Q1237="","",IF(P1237="À RENSEIGNER","GIC",P1237)&amp;"-"&amp;TEXT(Q1237,"000"))</f>
        <v/>
      </c>
      <c r="T1237" s="33">
        <f>IF(R1237="","",IFERROR(INDEX(Cl_nom,MATCH(R1237,Cl_cle,0)),"(client introuvable)"))</f>
        <v/>
      </c>
      <c r="U1237" s="33">
        <f>IF(R1237="","",IFERROR(INDEX(Cl_quartier,MATCH(R1237,Cl_cle,0))&amp;"",""))</f>
        <v/>
      </c>
      <c r="V1237" s="34">
        <f>IF(C1237="","",YEAR(C1237-WEEKDAY(C1237,2)+4)&amp;"-S"&amp;TEXT(INT((C1237-DATE(YEAR(C1237-WEEKDAY(C1237,2)+4),1,3)+WEEKDAY(DATE(YEAR(C1237-WEEKDAY(C1237,2)+4),1,3),2)+5)/7),"00"))</f>
        <v/>
      </c>
    </row>
    <row r="1238" ht="18" customHeight="1">
      <c r="A1238" s="39" t="n">
        <v>1233</v>
      </c>
      <c r="B1238" s="33">
        <f>IF(C1238="","",IF(P1238="À RENSEIGNER","GIC",P1238)&amp;"-V"&amp;TEXT(A1238,"00000"))</f>
        <v/>
      </c>
      <c r="C1238" s="32" t="n"/>
      <c r="D1238" s="35" t="n"/>
      <c r="E1238" s="36" t="n"/>
      <c r="F1238" s="36" t="n"/>
      <c r="G1238" s="36" t="n"/>
      <c r="H1238" s="36" t="n"/>
      <c r="I1238" s="36" t="n"/>
      <c r="J1238" s="37" t="n"/>
      <c r="K1238" s="32" t="n"/>
      <c r="L1238" s="36" t="n"/>
      <c r="M1238" s="41" t="n"/>
      <c r="N1238" s="41" t="n"/>
      <c r="O1238" s="36" t="n"/>
      <c r="P1238" s="33">
        <f>IF(C1238="","",Commercial_Id)</f>
        <v/>
      </c>
      <c r="Q1238" s="39">
        <f>IF(F1238="","",IFERROR(VALUE(MID(F1238,LEN(F1238)-3,3)),""))</f>
        <v/>
      </c>
      <c r="R1238" s="33">
        <f>IF(Q1238="","",P1238&amp;"|"&amp;Q1238)</f>
        <v/>
      </c>
      <c r="S1238" s="33">
        <f>IF(Q1238="","",IF(P1238="À RENSEIGNER","GIC",P1238)&amp;"-"&amp;TEXT(Q1238,"000"))</f>
        <v/>
      </c>
      <c r="T1238" s="33">
        <f>IF(R1238="","",IFERROR(INDEX(Cl_nom,MATCH(R1238,Cl_cle,0)),"(client introuvable)"))</f>
        <v/>
      </c>
      <c r="U1238" s="33">
        <f>IF(R1238="","",IFERROR(INDEX(Cl_quartier,MATCH(R1238,Cl_cle,0))&amp;"",""))</f>
        <v/>
      </c>
      <c r="V1238" s="34">
        <f>IF(C1238="","",YEAR(C1238-WEEKDAY(C1238,2)+4)&amp;"-S"&amp;TEXT(INT((C1238-DATE(YEAR(C1238-WEEKDAY(C1238,2)+4),1,3)+WEEKDAY(DATE(YEAR(C1238-WEEKDAY(C1238,2)+4),1,3),2)+5)/7),"00"))</f>
        <v/>
      </c>
    </row>
    <row r="1239" ht="18" customHeight="1">
      <c r="A1239" s="39" t="n">
        <v>1234</v>
      </c>
      <c r="B1239" s="33">
        <f>IF(C1239="","",IF(P1239="À RENSEIGNER","GIC",P1239)&amp;"-V"&amp;TEXT(A1239,"00000"))</f>
        <v/>
      </c>
      <c r="C1239" s="32" t="n"/>
      <c r="D1239" s="35" t="n"/>
      <c r="E1239" s="36" t="n"/>
      <c r="F1239" s="36" t="n"/>
      <c r="G1239" s="36" t="n"/>
      <c r="H1239" s="36" t="n"/>
      <c r="I1239" s="36" t="n"/>
      <c r="J1239" s="37" t="n"/>
      <c r="K1239" s="32" t="n"/>
      <c r="L1239" s="36" t="n"/>
      <c r="M1239" s="41" t="n"/>
      <c r="N1239" s="41" t="n"/>
      <c r="O1239" s="36" t="n"/>
      <c r="P1239" s="33">
        <f>IF(C1239="","",Commercial_Id)</f>
        <v/>
      </c>
      <c r="Q1239" s="39">
        <f>IF(F1239="","",IFERROR(VALUE(MID(F1239,LEN(F1239)-3,3)),""))</f>
        <v/>
      </c>
      <c r="R1239" s="33">
        <f>IF(Q1239="","",P1239&amp;"|"&amp;Q1239)</f>
        <v/>
      </c>
      <c r="S1239" s="33">
        <f>IF(Q1239="","",IF(P1239="À RENSEIGNER","GIC",P1239)&amp;"-"&amp;TEXT(Q1239,"000"))</f>
        <v/>
      </c>
      <c r="T1239" s="33">
        <f>IF(R1239="","",IFERROR(INDEX(Cl_nom,MATCH(R1239,Cl_cle,0)),"(client introuvable)"))</f>
        <v/>
      </c>
      <c r="U1239" s="33">
        <f>IF(R1239="","",IFERROR(INDEX(Cl_quartier,MATCH(R1239,Cl_cle,0))&amp;"",""))</f>
        <v/>
      </c>
      <c r="V1239" s="34">
        <f>IF(C1239="","",YEAR(C1239-WEEKDAY(C1239,2)+4)&amp;"-S"&amp;TEXT(INT((C1239-DATE(YEAR(C1239-WEEKDAY(C1239,2)+4),1,3)+WEEKDAY(DATE(YEAR(C1239-WEEKDAY(C1239,2)+4),1,3),2)+5)/7),"00"))</f>
        <v/>
      </c>
    </row>
    <row r="1240" ht="18" customHeight="1">
      <c r="A1240" s="39" t="n">
        <v>1235</v>
      </c>
      <c r="B1240" s="33">
        <f>IF(C1240="","",IF(P1240="À RENSEIGNER","GIC",P1240)&amp;"-V"&amp;TEXT(A1240,"00000"))</f>
        <v/>
      </c>
      <c r="C1240" s="32" t="n"/>
      <c r="D1240" s="35" t="n"/>
      <c r="E1240" s="36" t="n"/>
      <c r="F1240" s="36" t="n"/>
      <c r="G1240" s="36" t="n"/>
      <c r="H1240" s="36" t="n"/>
      <c r="I1240" s="36" t="n"/>
      <c r="J1240" s="37" t="n"/>
      <c r="K1240" s="32" t="n"/>
      <c r="L1240" s="36" t="n"/>
      <c r="M1240" s="41" t="n"/>
      <c r="N1240" s="41" t="n"/>
      <c r="O1240" s="36" t="n"/>
      <c r="P1240" s="33">
        <f>IF(C1240="","",Commercial_Id)</f>
        <v/>
      </c>
      <c r="Q1240" s="39">
        <f>IF(F1240="","",IFERROR(VALUE(MID(F1240,LEN(F1240)-3,3)),""))</f>
        <v/>
      </c>
      <c r="R1240" s="33">
        <f>IF(Q1240="","",P1240&amp;"|"&amp;Q1240)</f>
        <v/>
      </c>
      <c r="S1240" s="33">
        <f>IF(Q1240="","",IF(P1240="À RENSEIGNER","GIC",P1240)&amp;"-"&amp;TEXT(Q1240,"000"))</f>
        <v/>
      </c>
      <c r="T1240" s="33">
        <f>IF(R1240="","",IFERROR(INDEX(Cl_nom,MATCH(R1240,Cl_cle,0)),"(client introuvable)"))</f>
        <v/>
      </c>
      <c r="U1240" s="33">
        <f>IF(R1240="","",IFERROR(INDEX(Cl_quartier,MATCH(R1240,Cl_cle,0))&amp;"",""))</f>
        <v/>
      </c>
      <c r="V1240" s="34">
        <f>IF(C1240="","",YEAR(C1240-WEEKDAY(C1240,2)+4)&amp;"-S"&amp;TEXT(INT((C1240-DATE(YEAR(C1240-WEEKDAY(C1240,2)+4),1,3)+WEEKDAY(DATE(YEAR(C1240-WEEKDAY(C1240,2)+4),1,3),2)+5)/7),"00"))</f>
        <v/>
      </c>
    </row>
    <row r="1241" ht="18" customHeight="1">
      <c r="A1241" s="39" t="n">
        <v>1236</v>
      </c>
      <c r="B1241" s="33">
        <f>IF(C1241="","",IF(P1241="À RENSEIGNER","GIC",P1241)&amp;"-V"&amp;TEXT(A1241,"00000"))</f>
        <v/>
      </c>
      <c r="C1241" s="32" t="n"/>
      <c r="D1241" s="35" t="n"/>
      <c r="E1241" s="36" t="n"/>
      <c r="F1241" s="36" t="n"/>
      <c r="G1241" s="36" t="n"/>
      <c r="H1241" s="36" t="n"/>
      <c r="I1241" s="36" t="n"/>
      <c r="J1241" s="37" t="n"/>
      <c r="K1241" s="32" t="n"/>
      <c r="L1241" s="36" t="n"/>
      <c r="M1241" s="41" t="n"/>
      <c r="N1241" s="41" t="n"/>
      <c r="O1241" s="36" t="n"/>
      <c r="P1241" s="33">
        <f>IF(C1241="","",Commercial_Id)</f>
        <v/>
      </c>
      <c r="Q1241" s="39">
        <f>IF(F1241="","",IFERROR(VALUE(MID(F1241,LEN(F1241)-3,3)),""))</f>
        <v/>
      </c>
      <c r="R1241" s="33">
        <f>IF(Q1241="","",P1241&amp;"|"&amp;Q1241)</f>
        <v/>
      </c>
      <c r="S1241" s="33">
        <f>IF(Q1241="","",IF(P1241="À RENSEIGNER","GIC",P1241)&amp;"-"&amp;TEXT(Q1241,"000"))</f>
        <v/>
      </c>
      <c r="T1241" s="33">
        <f>IF(R1241="","",IFERROR(INDEX(Cl_nom,MATCH(R1241,Cl_cle,0)),"(client introuvable)"))</f>
        <v/>
      </c>
      <c r="U1241" s="33">
        <f>IF(R1241="","",IFERROR(INDEX(Cl_quartier,MATCH(R1241,Cl_cle,0))&amp;"",""))</f>
        <v/>
      </c>
      <c r="V1241" s="34">
        <f>IF(C1241="","",YEAR(C1241-WEEKDAY(C1241,2)+4)&amp;"-S"&amp;TEXT(INT((C1241-DATE(YEAR(C1241-WEEKDAY(C1241,2)+4),1,3)+WEEKDAY(DATE(YEAR(C1241-WEEKDAY(C1241,2)+4),1,3),2)+5)/7),"00"))</f>
        <v/>
      </c>
    </row>
    <row r="1242" ht="18" customHeight="1">
      <c r="A1242" s="39" t="n">
        <v>1237</v>
      </c>
      <c r="B1242" s="33">
        <f>IF(C1242="","",IF(P1242="À RENSEIGNER","GIC",P1242)&amp;"-V"&amp;TEXT(A1242,"00000"))</f>
        <v/>
      </c>
      <c r="C1242" s="32" t="n"/>
      <c r="D1242" s="35" t="n"/>
      <c r="E1242" s="36" t="n"/>
      <c r="F1242" s="36" t="n"/>
      <c r="G1242" s="36" t="n"/>
      <c r="H1242" s="36" t="n"/>
      <c r="I1242" s="36" t="n"/>
      <c r="J1242" s="37" t="n"/>
      <c r="K1242" s="32" t="n"/>
      <c r="L1242" s="36" t="n"/>
      <c r="M1242" s="41" t="n"/>
      <c r="N1242" s="41" t="n"/>
      <c r="O1242" s="36" t="n"/>
      <c r="P1242" s="33">
        <f>IF(C1242="","",Commercial_Id)</f>
        <v/>
      </c>
      <c r="Q1242" s="39">
        <f>IF(F1242="","",IFERROR(VALUE(MID(F1242,LEN(F1242)-3,3)),""))</f>
        <v/>
      </c>
      <c r="R1242" s="33">
        <f>IF(Q1242="","",P1242&amp;"|"&amp;Q1242)</f>
        <v/>
      </c>
      <c r="S1242" s="33">
        <f>IF(Q1242="","",IF(P1242="À RENSEIGNER","GIC",P1242)&amp;"-"&amp;TEXT(Q1242,"000"))</f>
        <v/>
      </c>
      <c r="T1242" s="33">
        <f>IF(R1242="","",IFERROR(INDEX(Cl_nom,MATCH(R1242,Cl_cle,0)),"(client introuvable)"))</f>
        <v/>
      </c>
      <c r="U1242" s="33">
        <f>IF(R1242="","",IFERROR(INDEX(Cl_quartier,MATCH(R1242,Cl_cle,0))&amp;"",""))</f>
        <v/>
      </c>
      <c r="V1242" s="34">
        <f>IF(C1242="","",YEAR(C1242-WEEKDAY(C1242,2)+4)&amp;"-S"&amp;TEXT(INT((C1242-DATE(YEAR(C1242-WEEKDAY(C1242,2)+4),1,3)+WEEKDAY(DATE(YEAR(C1242-WEEKDAY(C1242,2)+4),1,3),2)+5)/7),"00"))</f>
        <v/>
      </c>
    </row>
    <row r="1243" ht="18" customHeight="1">
      <c r="A1243" s="39" t="n">
        <v>1238</v>
      </c>
      <c r="B1243" s="33">
        <f>IF(C1243="","",IF(P1243="À RENSEIGNER","GIC",P1243)&amp;"-V"&amp;TEXT(A1243,"00000"))</f>
        <v/>
      </c>
      <c r="C1243" s="32" t="n"/>
      <c r="D1243" s="35" t="n"/>
      <c r="E1243" s="36" t="n"/>
      <c r="F1243" s="36" t="n"/>
      <c r="G1243" s="36" t="n"/>
      <c r="H1243" s="36" t="n"/>
      <c r="I1243" s="36" t="n"/>
      <c r="J1243" s="37" t="n"/>
      <c r="K1243" s="32" t="n"/>
      <c r="L1243" s="36" t="n"/>
      <c r="M1243" s="41" t="n"/>
      <c r="N1243" s="41" t="n"/>
      <c r="O1243" s="36" t="n"/>
      <c r="P1243" s="33">
        <f>IF(C1243="","",Commercial_Id)</f>
        <v/>
      </c>
      <c r="Q1243" s="39">
        <f>IF(F1243="","",IFERROR(VALUE(MID(F1243,LEN(F1243)-3,3)),""))</f>
        <v/>
      </c>
      <c r="R1243" s="33">
        <f>IF(Q1243="","",P1243&amp;"|"&amp;Q1243)</f>
        <v/>
      </c>
      <c r="S1243" s="33">
        <f>IF(Q1243="","",IF(P1243="À RENSEIGNER","GIC",P1243)&amp;"-"&amp;TEXT(Q1243,"000"))</f>
        <v/>
      </c>
      <c r="T1243" s="33">
        <f>IF(R1243="","",IFERROR(INDEX(Cl_nom,MATCH(R1243,Cl_cle,0)),"(client introuvable)"))</f>
        <v/>
      </c>
      <c r="U1243" s="33">
        <f>IF(R1243="","",IFERROR(INDEX(Cl_quartier,MATCH(R1243,Cl_cle,0))&amp;"",""))</f>
        <v/>
      </c>
      <c r="V1243" s="34">
        <f>IF(C1243="","",YEAR(C1243-WEEKDAY(C1243,2)+4)&amp;"-S"&amp;TEXT(INT((C1243-DATE(YEAR(C1243-WEEKDAY(C1243,2)+4),1,3)+WEEKDAY(DATE(YEAR(C1243-WEEKDAY(C1243,2)+4),1,3),2)+5)/7),"00"))</f>
        <v/>
      </c>
    </row>
    <row r="1244" ht="18" customHeight="1">
      <c r="A1244" s="39" t="n">
        <v>1239</v>
      </c>
      <c r="B1244" s="33">
        <f>IF(C1244="","",IF(P1244="À RENSEIGNER","GIC",P1244)&amp;"-V"&amp;TEXT(A1244,"00000"))</f>
        <v/>
      </c>
      <c r="C1244" s="32" t="n"/>
      <c r="D1244" s="35" t="n"/>
      <c r="E1244" s="36" t="n"/>
      <c r="F1244" s="36" t="n"/>
      <c r="G1244" s="36" t="n"/>
      <c r="H1244" s="36" t="n"/>
      <c r="I1244" s="36" t="n"/>
      <c r="J1244" s="37" t="n"/>
      <c r="K1244" s="32" t="n"/>
      <c r="L1244" s="36" t="n"/>
      <c r="M1244" s="41" t="n"/>
      <c r="N1244" s="41" t="n"/>
      <c r="O1244" s="36" t="n"/>
      <c r="P1244" s="33">
        <f>IF(C1244="","",Commercial_Id)</f>
        <v/>
      </c>
      <c r="Q1244" s="39">
        <f>IF(F1244="","",IFERROR(VALUE(MID(F1244,LEN(F1244)-3,3)),""))</f>
        <v/>
      </c>
      <c r="R1244" s="33">
        <f>IF(Q1244="","",P1244&amp;"|"&amp;Q1244)</f>
        <v/>
      </c>
      <c r="S1244" s="33">
        <f>IF(Q1244="","",IF(P1244="À RENSEIGNER","GIC",P1244)&amp;"-"&amp;TEXT(Q1244,"000"))</f>
        <v/>
      </c>
      <c r="T1244" s="33">
        <f>IF(R1244="","",IFERROR(INDEX(Cl_nom,MATCH(R1244,Cl_cle,0)),"(client introuvable)"))</f>
        <v/>
      </c>
      <c r="U1244" s="33">
        <f>IF(R1244="","",IFERROR(INDEX(Cl_quartier,MATCH(R1244,Cl_cle,0))&amp;"",""))</f>
        <v/>
      </c>
      <c r="V1244" s="34">
        <f>IF(C1244="","",YEAR(C1244-WEEKDAY(C1244,2)+4)&amp;"-S"&amp;TEXT(INT((C1244-DATE(YEAR(C1244-WEEKDAY(C1244,2)+4),1,3)+WEEKDAY(DATE(YEAR(C1244-WEEKDAY(C1244,2)+4),1,3),2)+5)/7),"00"))</f>
        <v/>
      </c>
    </row>
    <row r="1245" ht="18" customHeight="1">
      <c r="A1245" s="39" t="n">
        <v>1240</v>
      </c>
      <c r="B1245" s="33">
        <f>IF(C1245="","",IF(P1245="À RENSEIGNER","GIC",P1245)&amp;"-V"&amp;TEXT(A1245,"00000"))</f>
        <v/>
      </c>
      <c r="C1245" s="32" t="n"/>
      <c r="D1245" s="35" t="n"/>
      <c r="E1245" s="36" t="n"/>
      <c r="F1245" s="36" t="n"/>
      <c r="G1245" s="36" t="n"/>
      <c r="H1245" s="36" t="n"/>
      <c r="I1245" s="36" t="n"/>
      <c r="J1245" s="37" t="n"/>
      <c r="K1245" s="32" t="n"/>
      <c r="L1245" s="36" t="n"/>
      <c r="M1245" s="41" t="n"/>
      <c r="N1245" s="41" t="n"/>
      <c r="O1245" s="36" t="n"/>
      <c r="P1245" s="33">
        <f>IF(C1245="","",Commercial_Id)</f>
        <v/>
      </c>
      <c r="Q1245" s="39">
        <f>IF(F1245="","",IFERROR(VALUE(MID(F1245,LEN(F1245)-3,3)),""))</f>
        <v/>
      </c>
      <c r="R1245" s="33">
        <f>IF(Q1245="","",P1245&amp;"|"&amp;Q1245)</f>
        <v/>
      </c>
      <c r="S1245" s="33">
        <f>IF(Q1245="","",IF(P1245="À RENSEIGNER","GIC",P1245)&amp;"-"&amp;TEXT(Q1245,"000"))</f>
        <v/>
      </c>
      <c r="T1245" s="33">
        <f>IF(R1245="","",IFERROR(INDEX(Cl_nom,MATCH(R1245,Cl_cle,0)),"(client introuvable)"))</f>
        <v/>
      </c>
      <c r="U1245" s="33">
        <f>IF(R1245="","",IFERROR(INDEX(Cl_quartier,MATCH(R1245,Cl_cle,0))&amp;"",""))</f>
        <v/>
      </c>
      <c r="V1245" s="34">
        <f>IF(C1245="","",YEAR(C1245-WEEKDAY(C1245,2)+4)&amp;"-S"&amp;TEXT(INT((C1245-DATE(YEAR(C1245-WEEKDAY(C1245,2)+4),1,3)+WEEKDAY(DATE(YEAR(C1245-WEEKDAY(C1245,2)+4),1,3),2)+5)/7),"00"))</f>
        <v/>
      </c>
    </row>
    <row r="1246" ht="18" customHeight="1">
      <c r="A1246" s="39" t="n">
        <v>1241</v>
      </c>
      <c r="B1246" s="33">
        <f>IF(C1246="","",IF(P1246="À RENSEIGNER","GIC",P1246)&amp;"-V"&amp;TEXT(A1246,"00000"))</f>
        <v/>
      </c>
      <c r="C1246" s="32" t="n"/>
      <c r="D1246" s="35" t="n"/>
      <c r="E1246" s="36" t="n"/>
      <c r="F1246" s="36" t="n"/>
      <c r="G1246" s="36" t="n"/>
      <c r="H1246" s="36" t="n"/>
      <c r="I1246" s="36" t="n"/>
      <c r="J1246" s="37" t="n"/>
      <c r="K1246" s="32" t="n"/>
      <c r="L1246" s="36" t="n"/>
      <c r="M1246" s="41" t="n"/>
      <c r="N1246" s="41" t="n"/>
      <c r="O1246" s="36" t="n"/>
      <c r="P1246" s="33">
        <f>IF(C1246="","",Commercial_Id)</f>
        <v/>
      </c>
      <c r="Q1246" s="39">
        <f>IF(F1246="","",IFERROR(VALUE(MID(F1246,LEN(F1246)-3,3)),""))</f>
        <v/>
      </c>
      <c r="R1246" s="33">
        <f>IF(Q1246="","",P1246&amp;"|"&amp;Q1246)</f>
        <v/>
      </c>
      <c r="S1246" s="33">
        <f>IF(Q1246="","",IF(P1246="À RENSEIGNER","GIC",P1246)&amp;"-"&amp;TEXT(Q1246,"000"))</f>
        <v/>
      </c>
      <c r="T1246" s="33">
        <f>IF(R1246="","",IFERROR(INDEX(Cl_nom,MATCH(R1246,Cl_cle,0)),"(client introuvable)"))</f>
        <v/>
      </c>
      <c r="U1246" s="33">
        <f>IF(R1246="","",IFERROR(INDEX(Cl_quartier,MATCH(R1246,Cl_cle,0))&amp;"",""))</f>
        <v/>
      </c>
      <c r="V1246" s="34">
        <f>IF(C1246="","",YEAR(C1246-WEEKDAY(C1246,2)+4)&amp;"-S"&amp;TEXT(INT((C1246-DATE(YEAR(C1246-WEEKDAY(C1246,2)+4),1,3)+WEEKDAY(DATE(YEAR(C1246-WEEKDAY(C1246,2)+4),1,3),2)+5)/7),"00"))</f>
        <v/>
      </c>
    </row>
    <row r="1247" ht="18" customHeight="1">
      <c r="A1247" s="39" t="n">
        <v>1242</v>
      </c>
      <c r="B1247" s="33">
        <f>IF(C1247="","",IF(P1247="À RENSEIGNER","GIC",P1247)&amp;"-V"&amp;TEXT(A1247,"00000"))</f>
        <v/>
      </c>
      <c r="C1247" s="32" t="n"/>
      <c r="D1247" s="35" t="n"/>
      <c r="E1247" s="36" t="n"/>
      <c r="F1247" s="36" t="n"/>
      <c r="G1247" s="36" t="n"/>
      <c r="H1247" s="36" t="n"/>
      <c r="I1247" s="36" t="n"/>
      <c r="J1247" s="37" t="n"/>
      <c r="K1247" s="32" t="n"/>
      <c r="L1247" s="36" t="n"/>
      <c r="M1247" s="41" t="n"/>
      <c r="N1247" s="41" t="n"/>
      <c r="O1247" s="36" t="n"/>
      <c r="P1247" s="33">
        <f>IF(C1247="","",Commercial_Id)</f>
        <v/>
      </c>
      <c r="Q1247" s="39">
        <f>IF(F1247="","",IFERROR(VALUE(MID(F1247,LEN(F1247)-3,3)),""))</f>
        <v/>
      </c>
      <c r="R1247" s="33">
        <f>IF(Q1247="","",P1247&amp;"|"&amp;Q1247)</f>
        <v/>
      </c>
      <c r="S1247" s="33">
        <f>IF(Q1247="","",IF(P1247="À RENSEIGNER","GIC",P1247)&amp;"-"&amp;TEXT(Q1247,"000"))</f>
        <v/>
      </c>
      <c r="T1247" s="33">
        <f>IF(R1247="","",IFERROR(INDEX(Cl_nom,MATCH(R1247,Cl_cle,0)),"(client introuvable)"))</f>
        <v/>
      </c>
      <c r="U1247" s="33">
        <f>IF(R1247="","",IFERROR(INDEX(Cl_quartier,MATCH(R1247,Cl_cle,0))&amp;"",""))</f>
        <v/>
      </c>
      <c r="V1247" s="34">
        <f>IF(C1247="","",YEAR(C1247-WEEKDAY(C1247,2)+4)&amp;"-S"&amp;TEXT(INT((C1247-DATE(YEAR(C1247-WEEKDAY(C1247,2)+4),1,3)+WEEKDAY(DATE(YEAR(C1247-WEEKDAY(C1247,2)+4),1,3),2)+5)/7),"00"))</f>
        <v/>
      </c>
    </row>
    <row r="1248" ht="18" customHeight="1">
      <c r="A1248" s="39" t="n">
        <v>1243</v>
      </c>
      <c r="B1248" s="33">
        <f>IF(C1248="","",IF(P1248="À RENSEIGNER","GIC",P1248)&amp;"-V"&amp;TEXT(A1248,"00000"))</f>
        <v/>
      </c>
      <c r="C1248" s="32" t="n"/>
      <c r="D1248" s="35" t="n"/>
      <c r="E1248" s="36" t="n"/>
      <c r="F1248" s="36" t="n"/>
      <c r="G1248" s="36" t="n"/>
      <c r="H1248" s="36" t="n"/>
      <c r="I1248" s="36" t="n"/>
      <c r="J1248" s="37" t="n"/>
      <c r="K1248" s="32" t="n"/>
      <c r="L1248" s="36" t="n"/>
      <c r="M1248" s="41" t="n"/>
      <c r="N1248" s="41" t="n"/>
      <c r="O1248" s="36" t="n"/>
      <c r="P1248" s="33">
        <f>IF(C1248="","",Commercial_Id)</f>
        <v/>
      </c>
      <c r="Q1248" s="39">
        <f>IF(F1248="","",IFERROR(VALUE(MID(F1248,LEN(F1248)-3,3)),""))</f>
        <v/>
      </c>
      <c r="R1248" s="33">
        <f>IF(Q1248="","",P1248&amp;"|"&amp;Q1248)</f>
        <v/>
      </c>
      <c r="S1248" s="33">
        <f>IF(Q1248="","",IF(P1248="À RENSEIGNER","GIC",P1248)&amp;"-"&amp;TEXT(Q1248,"000"))</f>
        <v/>
      </c>
      <c r="T1248" s="33">
        <f>IF(R1248="","",IFERROR(INDEX(Cl_nom,MATCH(R1248,Cl_cle,0)),"(client introuvable)"))</f>
        <v/>
      </c>
      <c r="U1248" s="33">
        <f>IF(R1248="","",IFERROR(INDEX(Cl_quartier,MATCH(R1248,Cl_cle,0))&amp;"",""))</f>
        <v/>
      </c>
      <c r="V1248" s="34">
        <f>IF(C1248="","",YEAR(C1248-WEEKDAY(C1248,2)+4)&amp;"-S"&amp;TEXT(INT((C1248-DATE(YEAR(C1248-WEEKDAY(C1248,2)+4),1,3)+WEEKDAY(DATE(YEAR(C1248-WEEKDAY(C1248,2)+4),1,3),2)+5)/7),"00"))</f>
        <v/>
      </c>
    </row>
    <row r="1249" ht="18" customHeight="1">
      <c r="A1249" s="39" t="n">
        <v>1244</v>
      </c>
      <c r="B1249" s="33">
        <f>IF(C1249="","",IF(P1249="À RENSEIGNER","GIC",P1249)&amp;"-V"&amp;TEXT(A1249,"00000"))</f>
        <v/>
      </c>
      <c r="C1249" s="32" t="n"/>
      <c r="D1249" s="35" t="n"/>
      <c r="E1249" s="36" t="n"/>
      <c r="F1249" s="36" t="n"/>
      <c r="G1249" s="36" t="n"/>
      <c r="H1249" s="36" t="n"/>
      <c r="I1249" s="36" t="n"/>
      <c r="J1249" s="37" t="n"/>
      <c r="K1249" s="32" t="n"/>
      <c r="L1249" s="36" t="n"/>
      <c r="M1249" s="41" t="n"/>
      <c r="N1249" s="41" t="n"/>
      <c r="O1249" s="36" t="n"/>
      <c r="P1249" s="33">
        <f>IF(C1249="","",Commercial_Id)</f>
        <v/>
      </c>
      <c r="Q1249" s="39">
        <f>IF(F1249="","",IFERROR(VALUE(MID(F1249,LEN(F1249)-3,3)),""))</f>
        <v/>
      </c>
      <c r="R1249" s="33">
        <f>IF(Q1249="","",P1249&amp;"|"&amp;Q1249)</f>
        <v/>
      </c>
      <c r="S1249" s="33">
        <f>IF(Q1249="","",IF(P1249="À RENSEIGNER","GIC",P1249)&amp;"-"&amp;TEXT(Q1249,"000"))</f>
        <v/>
      </c>
      <c r="T1249" s="33">
        <f>IF(R1249="","",IFERROR(INDEX(Cl_nom,MATCH(R1249,Cl_cle,0)),"(client introuvable)"))</f>
        <v/>
      </c>
      <c r="U1249" s="33">
        <f>IF(R1249="","",IFERROR(INDEX(Cl_quartier,MATCH(R1249,Cl_cle,0))&amp;"",""))</f>
        <v/>
      </c>
      <c r="V1249" s="34">
        <f>IF(C1249="","",YEAR(C1249-WEEKDAY(C1249,2)+4)&amp;"-S"&amp;TEXT(INT((C1249-DATE(YEAR(C1249-WEEKDAY(C1249,2)+4),1,3)+WEEKDAY(DATE(YEAR(C1249-WEEKDAY(C1249,2)+4),1,3),2)+5)/7),"00"))</f>
        <v/>
      </c>
    </row>
    <row r="1250" ht="18" customHeight="1">
      <c r="A1250" s="39" t="n">
        <v>1245</v>
      </c>
      <c r="B1250" s="33">
        <f>IF(C1250="","",IF(P1250="À RENSEIGNER","GIC",P1250)&amp;"-V"&amp;TEXT(A1250,"00000"))</f>
        <v/>
      </c>
      <c r="C1250" s="32" t="n"/>
      <c r="D1250" s="35" t="n"/>
      <c r="E1250" s="36" t="n"/>
      <c r="F1250" s="36" t="n"/>
      <c r="G1250" s="36" t="n"/>
      <c r="H1250" s="36" t="n"/>
      <c r="I1250" s="36" t="n"/>
      <c r="J1250" s="37" t="n"/>
      <c r="K1250" s="32" t="n"/>
      <c r="L1250" s="36" t="n"/>
      <c r="M1250" s="41" t="n"/>
      <c r="N1250" s="41" t="n"/>
      <c r="O1250" s="36" t="n"/>
      <c r="P1250" s="33">
        <f>IF(C1250="","",Commercial_Id)</f>
        <v/>
      </c>
      <c r="Q1250" s="39">
        <f>IF(F1250="","",IFERROR(VALUE(MID(F1250,LEN(F1250)-3,3)),""))</f>
        <v/>
      </c>
      <c r="R1250" s="33">
        <f>IF(Q1250="","",P1250&amp;"|"&amp;Q1250)</f>
        <v/>
      </c>
      <c r="S1250" s="33">
        <f>IF(Q1250="","",IF(P1250="À RENSEIGNER","GIC",P1250)&amp;"-"&amp;TEXT(Q1250,"000"))</f>
        <v/>
      </c>
      <c r="T1250" s="33">
        <f>IF(R1250="","",IFERROR(INDEX(Cl_nom,MATCH(R1250,Cl_cle,0)),"(client introuvable)"))</f>
        <v/>
      </c>
      <c r="U1250" s="33">
        <f>IF(R1250="","",IFERROR(INDEX(Cl_quartier,MATCH(R1250,Cl_cle,0))&amp;"",""))</f>
        <v/>
      </c>
      <c r="V1250" s="34">
        <f>IF(C1250="","",YEAR(C1250-WEEKDAY(C1250,2)+4)&amp;"-S"&amp;TEXT(INT((C1250-DATE(YEAR(C1250-WEEKDAY(C1250,2)+4),1,3)+WEEKDAY(DATE(YEAR(C1250-WEEKDAY(C1250,2)+4),1,3),2)+5)/7),"00"))</f>
        <v/>
      </c>
    </row>
    <row r="1251" ht="18" customHeight="1">
      <c r="A1251" s="39" t="n">
        <v>1246</v>
      </c>
      <c r="B1251" s="33">
        <f>IF(C1251="","",IF(P1251="À RENSEIGNER","GIC",P1251)&amp;"-V"&amp;TEXT(A1251,"00000"))</f>
        <v/>
      </c>
      <c r="C1251" s="32" t="n"/>
      <c r="D1251" s="35" t="n"/>
      <c r="E1251" s="36" t="n"/>
      <c r="F1251" s="36" t="n"/>
      <c r="G1251" s="36" t="n"/>
      <c r="H1251" s="36" t="n"/>
      <c r="I1251" s="36" t="n"/>
      <c r="J1251" s="37" t="n"/>
      <c r="K1251" s="32" t="n"/>
      <c r="L1251" s="36" t="n"/>
      <c r="M1251" s="41" t="n"/>
      <c r="N1251" s="41" t="n"/>
      <c r="O1251" s="36" t="n"/>
      <c r="P1251" s="33">
        <f>IF(C1251="","",Commercial_Id)</f>
        <v/>
      </c>
      <c r="Q1251" s="39">
        <f>IF(F1251="","",IFERROR(VALUE(MID(F1251,LEN(F1251)-3,3)),""))</f>
        <v/>
      </c>
      <c r="R1251" s="33">
        <f>IF(Q1251="","",P1251&amp;"|"&amp;Q1251)</f>
        <v/>
      </c>
      <c r="S1251" s="33">
        <f>IF(Q1251="","",IF(P1251="À RENSEIGNER","GIC",P1251)&amp;"-"&amp;TEXT(Q1251,"000"))</f>
        <v/>
      </c>
      <c r="T1251" s="33">
        <f>IF(R1251="","",IFERROR(INDEX(Cl_nom,MATCH(R1251,Cl_cle,0)),"(client introuvable)"))</f>
        <v/>
      </c>
      <c r="U1251" s="33">
        <f>IF(R1251="","",IFERROR(INDEX(Cl_quartier,MATCH(R1251,Cl_cle,0))&amp;"",""))</f>
        <v/>
      </c>
      <c r="V1251" s="34">
        <f>IF(C1251="","",YEAR(C1251-WEEKDAY(C1251,2)+4)&amp;"-S"&amp;TEXT(INT((C1251-DATE(YEAR(C1251-WEEKDAY(C1251,2)+4),1,3)+WEEKDAY(DATE(YEAR(C1251-WEEKDAY(C1251,2)+4),1,3),2)+5)/7),"00"))</f>
        <v/>
      </c>
    </row>
    <row r="1252" ht="18" customHeight="1">
      <c r="A1252" s="39" t="n">
        <v>1247</v>
      </c>
      <c r="B1252" s="33">
        <f>IF(C1252="","",IF(P1252="À RENSEIGNER","GIC",P1252)&amp;"-V"&amp;TEXT(A1252,"00000"))</f>
        <v/>
      </c>
      <c r="C1252" s="32" t="n"/>
      <c r="D1252" s="35" t="n"/>
      <c r="E1252" s="36" t="n"/>
      <c r="F1252" s="36" t="n"/>
      <c r="G1252" s="36" t="n"/>
      <c r="H1252" s="36" t="n"/>
      <c r="I1252" s="36" t="n"/>
      <c r="J1252" s="37" t="n"/>
      <c r="K1252" s="32" t="n"/>
      <c r="L1252" s="36" t="n"/>
      <c r="M1252" s="41" t="n"/>
      <c r="N1252" s="41" t="n"/>
      <c r="O1252" s="36" t="n"/>
      <c r="P1252" s="33">
        <f>IF(C1252="","",Commercial_Id)</f>
        <v/>
      </c>
      <c r="Q1252" s="39">
        <f>IF(F1252="","",IFERROR(VALUE(MID(F1252,LEN(F1252)-3,3)),""))</f>
        <v/>
      </c>
      <c r="R1252" s="33">
        <f>IF(Q1252="","",P1252&amp;"|"&amp;Q1252)</f>
        <v/>
      </c>
      <c r="S1252" s="33">
        <f>IF(Q1252="","",IF(P1252="À RENSEIGNER","GIC",P1252)&amp;"-"&amp;TEXT(Q1252,"000"))</f>
        <v/>
      </c>
      <c r="T1252" s="33">
        <f>IF(R1252="","",IFERROR(INDEX(Cl_nom,MATCH(R1252,Cl_cle,0)),"(client introuvable)"))</f>
        <v/>
      </c>
      <c r="U1252" s="33">
        <f>IF(R1252="","",IFERROR(INDEX(Cl_quartier,MATCH(R1252,Cl_cle,0))&amp;"",""))</f>
        <v/>
      </c>
      <c r="V1252" s="34">
        <f>IF(C1252="","",YEAR(C1252-WEEKDAY(C1252,2)+4)&amp;"-S"&amp;TEXT(INT((C1252-DATE(YEAR(C1252-WEEKDAY(C1252,2)+4),1,3)+WEEKDAY(DATE(YEAR(C1252-WEEKDAY(C1252,2)+4),1,3),2)+5)/7),"00"))</f>
        <v/>
      </c>
    </row>
    <row r="1253" ht="18" customHeight="1">
      <c r="A1253" s="39" t="n">
        <v>1248</v>
      </c>
      <c r="B1253" s="33">
        <f>IF(C1253="","",IF(P1253="À RENSEIGNER","GIC",P1253)&amp;"-V"&amp;TEXT(A1253,"00000"))</f>
        <v/>
      </c>
      <c r="C1253" s="32" t="n"/>
      <c r="D1253" s="35" t="n"/>
      <c r="E1253" s="36" t="n"/>
      <c r="F1253" s="36" t="n"/>
      <c r="G1253" s="36" t="n"/>
      <c r="H1253" s="36" t="n"/>
      <c r="I1253" s="36" t="n"/>
      <c r="J1253" s="37" t="n"/>
      <c r="K1253" s="32" t="n"/>
      <c r="L1253" s="36" t="n"/>
      <c r="M1253" s="41" t="n"/>
      <c r="N1253" s="41" t="n"/>
      <c r="O1253" s="36" t="n"/>
      <c r="P1253" s="33">
        <f>IF(C1253="","",Commercial_Id)</f>
        <v/>
      </c>
      <c r="Q1253" s="39">
        <f>IF(F1253="","",IFERROR(VALUE(MID(F1253,LEN(F1253)-3,3)),""))</f>
        <v/>
      </c>
      <c r="R1253" s="33">
        <f>IF(Q1253="","",P1253&amp;"|"&amp;Q1253)</f>
        <v/>
      </c>
      <c r="S1253" s="33">
        <f>IF(Q1253="","",IF(P1253="À RENSEIGNER","GIC",P1253)&amp;"-"&amp;TEXT(Q1253,"000"))</f>
        <v/>
      </c>
      <c r="T1253" s="33">
        <f>IF(R1253="","",IFERROR(INDEX(Cl_nom,MATCH(R1253,Cl_cle,0)),"(client introuvable)"))</f>
        <v/>
      </c>
      <c r="U1253" s="33">
        <f>IF(R1253="","",IFERROR(INDEX(Cl_quartier,MATCH(R1253,Cl_cle,0))&amp;"",""))</f>
        <v/>
      </c>
      <c r="V1253" s="34">
        <f>IF(C1253="","",YEAR(C1253-WEEKDAY(C1253,2)+4)&amp;"-S"&amp;TEXT(INT((C1253-DATE(YEAR(C1253-WEEKDAY(C1253,2)+4),1,3)+WEEKDAY(DATE(YEAR(C1253-WEEKDAY(C1253,2)+4),1,3),2)+5)/7),"00"))</f>
        <v/>
      </c>
    </row>
    <row r="1254" ht="18" customHeight="1">
      <c r="A1254" s="39" t="n">
        <v>1249</v>
      </c>
      <c r="B1254" s="33">
        <f>IF(C1254="","",IF(P1254="À RENSEIGNER","GIC",P1254)&amp;"-V"&amp;TEXT(A1254,"00000"))</f>
        <v/>
      </c>
      <c r="C1254" s="32" t="n"/>
      <c r="D1254" s="35" t="n"/>
      <c r="E1254" s="36" t="n"/>
      <c r="F1254" s="36" t="n"/>
      <c r="G1254" s="36" t="n"/>
      <c r="H1254" s="36" t="n"/>
      <c r="I1254" s="36" t="n"/>
      <c r="J1254" s="37" t="n"/>
      <c r="K1254" s="32" t="n"/>
      <c r="L1254" s="36" t="n"/>
      <c r="M1254" s="41" t="n"/>
      <c r="N1254" s="41" t="n"/>
      <c r="O1254" s="36" t="n"/>
      <c r="P1254" s="33">
        <f>IF(C1254="","",Commercial_Id)</f>
        <v/>
      </c>
      <c r="Q1254" s="39">
        <f>IF(F1254="","",IFERROR(VALUE(MID(F1254,LEN(F1254)-3,3)),""))</f>
        <v/>
      </c>
      <c r="R1254" s="33">
        <f>IF(Q1254="","",P1254&amp;"|"&amp;Q1254)</f>
        <v/>
      </c>
      <c r="S1254" s="33">
        <f>IF(Q1254="","",IF(P1254="À RENSEIGNER","GIC",P1254)&amp;"-"&amp;TEXT(Q1254,"000"))</f>
        <v/>
      </c>
      <c r="T1254" s="33">
        <f>IF(R1254="","",IFERROR(INDEX(Cl_nom,MATCH(R1254,Cl_cle,0)),"(client introuvable)"))</f>
        <v/>
      </c>
      <c r="U1254" s="33">
        <f>IF(R1254="","",IFERROR(INDEX(Cl_quartier,MATCH(R1254,Cl_cle,0))&amp;"",""))</f>
        <v/>
      </c>
      <c r="V1254" s="34">
        <f>IF(C1254="","",YEAR(C1254-WEEKDAY(C1254,2)+4)&amp;"-S"&amp;TEXT(INT((C1254-DATE(YEAR(C1254-WEEKDAY(C1254,2)+4),1,3)+WEEKDAY(DATE(YEAR(C1254-WEEKDAY(C1254,2)+4),1,3),2)+5)/7),"00"))</f>
        <v/>
      </c>
    </row>
    <row r="1255" ht="18" customHeight="1">
      <c r="A1255" s="39" t="n">
        <v>1250</v>
      </c>
      <c r="B1255" s="33">
        <f>IF(C1255="","",IF(P1255="À RENSEIGNER","GIC",P1255)&amp;"-V"&amp;TEXT(A1255,"00000"))</f>
        <v/>
      </c>
      <c r="C1255" s="32" t="n"/>
      <c r="D1255" s="35" t="n"/>
      <c r="E1255" s="36" t="n"/>
      <c r="F1255" s="36" t="n"/>
      <c r="G1255" s="36" t="n"/>
      <c r="H1255" s="36" t="n"/>
      <c r="I1255" s="36" t="n"/>
      <c r="J1255" s="37" t="n"/>
      <c r="K1255" s="32" t="n"/>
      <c r="L1255" s="36" t="n"/>
      <c r="M1255" s="41" t="n"/>
      <c r="N1255" s="41" t="n"/>
      <c r="O1255" s="36" t="n"/>
      <c r="P1255" s="33">
        <f>IF(C1255="","",Commercial_Id)</f>
        <v/>
      </c>
      <c r="Q1255" s="39">
        <f>IF(F1255="","",IFERROR(VALUE(MID(F1255,LEN(F1255)-3,3)),""))</f>
        <v/>
      </c>
      <c r="R1255" s="33">
        <f>IF(Q1255="","",P1255&amp;"|"&amp;Q1255)</f>
        <v/>
      </c>
      <c r="S1255" s="33">
        <f>IF(Q1255="","",IF(P1255="À RENSEIGNER","GIC",P1255)&amp;"-"&amp;TEXT(Q1255,"000"))</f>
        <v/>
      </c>
      <c r="T1255" s="33">
        <f>IF(R1255="","",IFERROR(INDEX(Cl_nom,MATCH(R1255,Cl_cle,0)),"(client introuvable)"))</f>
        <v/>
      </c>
      <c r="U1255" s="33">
        <f>IF(R1255="","",IFERROR(INDEX(Cl_quartier,MATCH(R1255,Cl_cle,0))&amp;"",""))</f>
        <v/>
      </c>
      <c r="V1255" s="34">
        <f>IF(C1255="","",YEAR(C1255-WEEKDAY(C1255,2)+4)&amp;"-S"&amp;TEXT(INT((C1255-DATE(YEAR(C1255-WEEKDAY(C1255,2)+4),1,3)+WEEKDAY(DATE(YEAR(C1255-WEEKDAY(C1255,2)+4),1,3),2)+5)/7),"00"))</f>
        <v/>
      </c>
    </row>
    <row r="1256" ht="18" customHeight="1">
      <c r="A1256" s="39" t="n">
        <v>1251</v>
      </c>
      <c r="B1256" s="33">
        <f>IF(C1256="","",IF(P1256="À RENSEIGNER","GIC",P1256)&amp;"-V"&amp;TEXT(A1256,"00000"))</f>
        <v/>
      </c>
      <c r="C1256" s="32" t="n"/>
      <c r="D1256" s="35" t="n"/>
      <c r="E1256" s="36" t="n"/>
      <c r="F1256" s="36" t="n"/>
      <c r="G1256" s="36" t="n"/>
      <c r="H1256" s="36" t="n"/>
      <c r="I1256" s="36" t="n"/>
      <c r="J1256" s="37" t="n"/>
      <c r="K1256" s="32" t="n"/>
      <c r="L1256" s="36" t="n"/>
      <c r="M1256" s="41" t="n"/>
      <c r="N1256" s="41" t="n"/>
      <c r="O1256" s="36" t="n"/>
      <c r="P1256" s="33">
        <f>IF(C1256="","",Commercial_Id)</f>
        <v/>
      </c>
      <c r="Q1256" s="39">
        <f>IF(F1256="","",IFERROR(VALUE(MID(F1256,LEN(F1256)-3,3)),""))</f>
        <v/>
      </c>
      <c r="R1256" s="33">
        <f>IF(Q1256="","",P1256&amp;"|"&amp;Q1256)</f>
        <v/>
      </c>
      <c r="S1256" s="33">
        <f>IF(Q1256="","",IF(P1256="À RENSEIGNER","GIC",P1256)&amp;"-"&amp;TEXT(Q1256,"000"))</f>
        <v/>
      </c>
      <c r="T1256" s="33">
        <f>IF(R1256="","",IFERROR(INDEX(Cl_nom,MATCH(R1256,Cl_cle,0)),"(client introuvable)"))</f>
        <v/>
      </c>
      <c r="U1256" s="33">
        <f>IF(R1256="","",IFERROR(INDEX(Cl_quartier,MATCH(R1256,Cl_cle,0))&amp;"",""))</f>
        <v/>
      </c>
      <c r="V1256" s="34">
        <f>IF(C1256="","",YEAR(C1256-WEEKDAY(C1256,2)+4)&amp;"-S"&amp;TEXT(INT((C1256-DATE(YEAR(C1256-WEEKDAY(C1256,2)+4),1,3)+WEEKDAY(DATE(YEAR(C1256-WEEKDAY(C1256,2)+4),1,3),2)+5)/7),"00"))</f>
        <v/>
      </c>
    </row>
    <row r="1257" ht="18" customHeight="1">
      <c r="A1257" s="39" t="n">
        <v>1252</v>
      </c>
      <c r="B1257" s="33">
        <f>IF(C1257="","",IF(P1257="À RENSEIGNER","GIC",P1257)&amp;"-V"&amp;TEXT(A1257,"00000"))</f>
        <v/>
      </c>
      <c r="C1257" s="32" t="n"/>
      <c r="D1257" s="35" t="n"/>
      <c r="E1257" s="36" t="n"/>
      <c r="F1257" s="36" t="n"/>
      <c r="G1257" s="36" t="n"/>
      <c r="H1257" s="36" t="n"/>
      <c r="I1257" s="36" t="n"/>
      <c r="J1257" s="37" t="n"/>
      <c r="K1257" s="32" t="n"/>
      <c r="L1257" s="36" t="n"/>
      <c r="M1257" s="41" t="n"/>
      <c r="N1257" s="41" t="n"/>
      <c r="O1257" s="36" t="n"/>
      <c r="P1257" s="33">
        <f>IF(C1257="","",Commercial_Id)</f>
        <v/>
      </c>
      <c r="Q1257" s="39">
        <f>IF(F1257="","",IFERROR(VALUE(MID(F1257,LEN(F1257)-3,3)),""))</f>
        <v/>
      </c>
      <c r="R1257" s="33">
        <f>IF(Q1257="","",P1257&amp;"|"&amp;Q1257)</f>
        <v/>
      </c>
      <c r="S1257" s="33">
        <f>IF(Q1257="","",IF(P1257="À RENSEIGNER","GIC",P1257)&amp;"-"&amp;TEXT(Q1257,"000"))</f>
        <v/>
      </c>
      <c r="T1257" s="33">
        <f>IF(R1257="","",IFERROR(INDEX(Cl_nom,MATCH(R1257,Cl_cle,0)),"(client introuvable)"))</f>
        <v/>
      </c>
      <c r="U1257" s="33">
        <f>IF(R1257="","",IFERROR(INDEX(Cl_quartier,MATCH(R1257,Cl_cle,0))&amp;"",""))</f>
        <v/>
      </c>
      <c r="V1257" s="34">
        <f>IF(C1257="","",YEAR(C1257-WEEKDAY(C1257,2)+4)&amp;"-S"&amp;TEXT(INT((C1257-DATE(YEAR(C1257-WEEKDAY(C1257,2)+4),1,3)+WEEKDAY(DATE(YEAR(C1257-WEEKDAY(C1257,2)+4),1,3),2)+5)/7),"00"))</f>
        <v/>
      </c>
    </row>
    <row r="1258" ht="18" customHeight="1">
      <c r="A1258" s="39" t="n">
        <v>1253</v>
      </c>
      <c r="B1258" s="33">
        <f>IF(C1258="","",IF(P1258="À RENSEIGNER","GIC",P1258)&amp;"-V"&amp;TEXT(A1258,"00000"))</f>
        <v/>
      </c>
      <c r="C1258" s="32" t="n"/>
      <c r="D1258" s="35" t="n"/>
      <c r="E1258" s="36" t="n"/>
      <c r="F1258" s="36" t="n"/>
      <c r="G1258" s="36" t="n"/>
      <c r="H1258" s="36" t="n"/>
      <c r="I1258" s="36" t="n"/>
      <c r="J1258" s="37" t="n"/>
      <c r="K1258" s="32" t="n"/>
      <c r="L1258" s="36" t="n"/>
      <c r="M1258" s="41" t="n"/>
      <c r="N1258" s="41" t="n"/>
      <c r="O1258" s="36" t="n"/>
      <c r="P1258" s="33">
        <f>IF(C1258="","",Commercial_Id)</f>
        <v/>
      </c>
      <c r="Q1258" s="39">
        <f>IF(F1258="","",IFERROR(VALUE(MID(F1258,LEN(F1258)-3,3)),""))</f>
        <v/>
      </c>
      <c r="R1258" s="33">
        <f>IF(Q1258="","",P1258&amp;"|"&amp;Q1258)</f>
        <v/>
      </c>
      <c r="S1258" s="33">
        <f>IF(Q1258="","",IF(P1258="À RENSEIGNER","GIC",P1258)&amp;"-"&amp;TEXT(Q1258,"000"))</f>
        <v/>
      </c>
      <c r="T1258" s="33">
        <f>IF(R1258="","",IFERROR(INDEX(Cl_nom,MATCH(R1258,Cl_cle,0)),"(client introuvable)"))</f>
        <v/>
      </c>
      <c r="U1258" s="33">
        <f>IF(R1258="","",IFERROR(INDEX(Cl_quartier,MATCH(R1258,Cl_cle,0))&amp;"",""))</f>
        <v/>
      </c>
      <c r="V1258" s="34">
        <f>IF(C1258="","",YEAR(C1258-WEEKDAY(C1258,2)+4)&amp;"-S"&amp;TEXT(INT((C1258-DATE(YEAR(C1258-WEEKDAY(C1258,2)+4),1,3)+WEEKDAY(DATE(YEAR(C1258-WEEKDAY(C1258,2)+4),1,3),2)+5)/7),"00"))</f>
        <v/>
      </c>
    </row>
    <row r="1259" ht="18" customHeight="1">
      <c r="A1259" s="39" t="n">
        <v>1254</v>
      </c>
      <c r="B1259" s="33">
        <f>IF(C1259="","",IF(P1259="À RENSEIGNER","GIC",P1259)&amp;"-V"&amp;TEXT(A1259,"00000"))</f>
        <v/>
      </c>
      <c r="C1259" s="32" t="n"/>
      <c r="D1259" s="35" t="n"/>
      <c r="E1259" s="36" t="n"/>
      <c r="F1259" s="36" t="n"/>
      <c r="G1259" s="36" t="n"/>
      <c r="H1259" s="36" t="n"/>
      <c r="I1259" s="36" t="n"/>
      <c r="J1259" s="37" t="n"/>
      <c r="K1259" s="32" t="n"/>
      <c r="L1259" s="36" t="n"/>
      <c r="M1259" s="41" t="n"/>
      <c r="N1259" s="41" t="n"/>
      <c r="O1259" s="36" t="n"/>
      <c r="P1259" s="33">
        <f>IF(C1259="","",Commercial_Id)</f>
        <v/>
      </c>
      <c r="Q1259" s="39">
        <f>IF(F1259="","",IFERROR(VALUE(MID(F1259,LEN(F1259)-3,3)),""))</f>
        <v/>
      </c>
      <c r="R1259" s="33">
        <f>IF(Q1259="","",P1259&amp;"|"&amp;Q1259)</f>
        <v/>
      </c>
      <c r="S1259" s="33">
        <f>IF(Q1259="","",IF(P1259="À RENSEIGNER","GIC",P1259)&amp;"-"&amp;TEXT(Q1259,"000"))</f>
        <v/>
      </c>
      <c r="T1259" s="33">
        <f>IF(R1259="","",IFERROR(INDEX(Cl_nom,MATCH(R1259,Cl_cle,0)),"(client introuvable)"))</f>
        <v/>
      </c>
      <c r="U1259" s="33">
        <f>IF(R1259="","",IFERROR(INDEX(Cl_quartier,MATCH(R1259,Cl_cle,0))&amp;"",""))</f>
        <v/>
      </c>
      <c r="V1259" s="34">
        <f>IF(C1259="","",YEAR(C1259-WEEKDAY(C1259,2)+4)&amp;"-S"&amp;TEXT(INT((C1259-DATE(YEAR(C1259-WEEKDAY(C1259,2)+4),1,3)+WEEKDAY(DATE(YEAR(C1259-WEEKDAY(C1259,2)+4),1,3),2)+5)/7),"00"))</f>
        <v/>
      </c>
    </row>
    <row r="1260" ht="18" customHeight="1">
      <c r="A1260" s="39" t="n">
        <v>1255</v>
      </c>
      <c r="B1260" s="33">
        <f>IF(C1260="","",IF(P1260="À RENSEIGNER","GIC",P1260)&amp;"-V"&amp;TEXT(A1260,"00000"))</f>
        <v/>
      </c>
      <c r="C1260" s="32" t="n"/>
      <c r="D1260" s="35" t="n"/>
      <c r="E1260" s="36" t="n"/>
      <c r="F1260" s="36" t="n"/>
      <c r="G1260" s="36" t="n"/>
      <c r="H1260" s="36" t="n"/>
      <c r="I1260" s="36" t="n"/>
      <c r="J1260" s="37" t="n"/>
      <c r="K1260" s="32" t="n"/>
      <c r="L1260" s="36" t="n"/>
      <c r="M1260" s="41" t="n"/>
      <c r="N1260" s="41" t="n"/>
      <c r="O1260" s="36" t="n"/>
      <c r="P1260" s="33">
        <f>IF(C1260="","",Commercial_Id)</f>
        <v/>
      </c>
      <c r="Q1260" s="39">
        <f>IF(F1260="","",IFERROR(VALUE(MID(F1260,LEN(F1260)-3,3)),""))</f>
        <v/>
      </c>
      <c r="R1260" s="33">
        <f>IF(Q1260="","",P1260&amp;"|"&amp;Q1260)</f>
        <v/>
      </c>
      <c r="S1260" s="33">
        <f>IF(Q1260="","",IF(P1260="À RENSEIGNER","GIC",P1260)&amp;"-"&amp;TEXT(Q1260,"000"))</f>
        <v/>
      </c>
      <c r="T1260" s="33">
        <f>IF(R1260="","",IFERROR(INDEX(Cl_nom,MATCH(R1260,Cl_cle,0)),"(client introuvable)"))</f>
        <v/>
      </c>
      <c r="U1260" s="33">
        <f>IF(R1260="","",IFERROR(INDEX(Cl_quartier,MATCH(R1260,Cl_cle,0))&amp;"",""))</f>
        <v/>
      </c>
      <c r="V1260" s="34">
        <f>IF(C1260="","",YEAR(C1260-WEEKDAY(C1260,2)+4)&amp;"-S"&amp;TEXT(INT((C1260-DATE(YEAR(C1260-WEEKDAY(C1260,2)+4),1,3)+WEEKDAY(DATE(YEAR(C1260-WEEKDAY(C1260,2)+4),1,3),2)+5)/7),"00"))</f>
        <v/>
      </c>
    </row>
    <row r="1261" ht="18" customHeight="1">
      <c r="A1261" s="39" t="n">
        <v>1256</v>
      </c>
      <c r="B1261" s="33">
        <f>IF(C1261="","",IF(P1261="À RENSEIGNER","GIC",P1261)&amp;"-V"&amp;TEXT(A1261,"00000"))</f>
        <v/>
      </c>
      <c r="C1261" s="32" t="n"/>
      <c r="D1261" s="35" t="n"/>
      <c r="E1261" s="36" t="n"/>
      <c r="F1261" s="36" t="n"/>
      <c r="G1261" s="36" t="n"/>
      <c r="H1261" s="36" t="n"/>
      <c r="I1261" s="36" t="n"/>
      <c r="J1261" s="37" t="n"/>
      <c r="K1261" s="32" t="n"/>
      <c r="L1261" s="36" t="n"/>
      <c r="M1261" s="41" t="n"/>
      <c r="N1261" s="41" t="n"/>
      <c r="O1261" s="36" t="n"/>
      <c r="P1261" s="33">
        <f>IF(C1261="","",Commercial_Id)</f>
        <v/>
      </c>
      <c r="Q1261" s="39">
        <f>IF(F1261="","",IFERROR(VALUE(MID(F1261,LEN(F1261)-3,3)),""))</f>
        <v/>
      </c>
      <c r="R1261" s="33">
        <f>IF(Q1261="","",P1261&amp;"|"&amp;Q1261)</f>
        <v/>
      </c>
      <c r="S1261" s="33">
        <f>IF(Q1261="","",IF(P1261="À RENSEIGNER","GIC",P1261)&amp;"-"&amp;TEXT(Q1261,"000"))</f>
        <v/>
      </c>
      <c r="T1261" s="33">
        <f>IF(R1261="","",IFERROR(INDEX(Cl_nom,MATCH(R1261,Cl_cle,0)),"(client introuvable)"))</f>
        <v/>
      </c>
      <c r="U1261" s="33">
        <f>IF(R1261="","",IFERROR(INDEX(Cl_quartier,MATCH(R1261,Cl_cle,0))&amp;"",""))</f>
        <v/>
      </c>
      <c r="V1261" s="34">
        <f>IF(C1261="","",YEAR(C1261-WEEKDAY(C1261,2)+4)&amp;"-S"&amp;TEXT(INT((C1261-DATE(YEAR(C1261-WEEKDAY(C1261,2)+4),1,3)+WEEKDAY(DATE(YEAR(C1261-WEEKDAY(C1261,2)+4),1,3),2)+5)/7),"00"))</f>
        <v/>
      </c>
    </row>
    <row r="1262" ht="18" customHeight="1">
      <c r="A1262" s="39" t="n">
        <v>1257</v>
      </c>
      <c r="B1262" s="33">
        <f>IF(C1262="","",IF(P1262="À RENSEIGNER","GIC",P1262)&amp;"-V"&amp;TEXT(A1262,"00000"))</f>
        <v/>
      </c>
      <c r="C1262" s="32" t="n"/>
      <c r="D1262" s="35" t="n"/>
      <c r="E1262" s="36" t="n"/>
      <c r="F1262" s="36" t="n"/>
      <c r="G1262" s="36" t="n"/>
      <c r="H1262" s="36" t="n"/>
      <c r="I1262" s="36" t="n"/>
      <c r="J1262" s="37" t="n"/>
      <c r="K1262" s="32" t="n"/>
      <c r="L1262" s="36" t="n"/>
      <c r="M1262" s="41" t="n"/>
      <c r="N1262" s="41" t="n"/>
      <c r="O1262" s="36" t="n"/>
      <c r="P1262" s="33">
        <f>IF(C1262="","",Commercial_Id)</f>
        <v/>
      </c>
      <c r="Q1262" s="39">
        <f>IF(F1262="","",IFERROR(VALUE(MID(F1262,LEN(F1262)-3,3)),""))</f>
        <v/>
      </c>
      <c r="R1262" s="33">
        <f>IF(Q1262="","",P1262&amp;"|"&amp;Q1262)</f>
        <v/>
      </c>
      <c r="S1262" s="33">
        <f>IF(Q1262="","",IF(P1262="À RENSEIGNER","GIC",P1262)&amp;"-"&amp;TEXT(Q1262,"000"))</f>
        <v/>
      </c>
      <c r="T1262" s="33">
        <f>IF(R1262="","",IFERROR(INDEX(Cl_nom,MATCH(R1262,Cl_cle,0)),"(client introuvable)"))</f>
        <v/>
      </c>
      <c r="U1262" s="33">
        <f>IF(R1262="","",IFERROR(INDEX(Cl_quartier,MATCH(R1262,Cl_cle,0))&amp;"",""))</f>
        <v/>
      </c>
      <c r="V1262" s="34">
        <f>IF(C1262="","",YEAR(C1262-WEEKDAY(C1262,2)+4)&amp;"-S"&amp;TEXT(INT((C1262-DATE(YEAR(C1262-WEEKDAY(C1262,2)+4),1,3)+WEEKDAY(DATE(YEAR(C1262-WEEKDAY(C1262,2)+4),1,3),2)+5)/7),"00"))</f>
        <v/>
      </c>
    </row>
    <row r="1263" ht="18" customHeight="1">
      <c r="A1263" s="39" t="n">
        <v>1258</v>
      </c>
      <c r="B1263" s="33">
        <f>IF(C1263="","",IF(P1263="À RENSEIGNER","GIC",P1263)&amp;"-V"&amp;TEXT(A1263,"00000"))</f>
        <v/>
      </c>
      <c r="C1263" s="32" t="n"/>
      <c r="D1263" s="35" t="n"/>
      <c r="E1263" s="36" t="n"/>
      <c r="F1263" s="36" t="n"/>
      <c r="G1263" s="36" t="n"/>
      <c r="H1263" s="36" t="n"/>
      <c r="I1263" s="36" t="n"/>
      <c r="J1263" s="37" t="n"/>
      <c r="K1263" s="32" t="n"/>
      <c r="L1263" s="36" t="n"/>
      <c r="M1263" s="41" t="n"/>
      <c r="N1263" s="41" t="n"/>
      <c r="O1263" s="36" t="n"/>
      <c r="P1263" s="33">
        <f>IF(C1263="","",Commercial_Id)</f>
        <v/>
      </c>
      <c r="Q1263" s="39">
        <f>IF(F1263="","",IFERROR(VALUE(MID(F1263,LEN(F1263)-3,3)),""))</f>
        <v/>
      </c>
      <c r="R1263" s="33">
        <f>IF(Q1263="","",P1263&amp;"|"&amp;Q1263)</f>
        <v/>
      </c>
      <c r="S1263" s="33">
        <f>IF(Q1263="","",IF(P1263="À RENSEIGNER","GIC",P1263)&amp;"-"&amp;TEXT(Q1263,"000"))</f>
        <v/>
      </c>
      <c r="T1263" s="33">
        <f>IF(R1263="","",IFERROR(INDEX(Cl_nom,MATCH(R1263,Cl_cle,0)),"(client introuvable)"))</f>
        <v/>
      </c>
      <c r="U1263" s="33">
        <f>IF(R1263="","",IFERROR(INDEX(Cl_quartier,MATCH(R1263,Cl_cle,0))&amp;"",""))</f>
        <v/>
      </c>
      <c r="V1263" s="34">
        <f>IF(C1263="","",YEAR(C1263-WEEKDAY(C1263,2)+4)&amp;"-S"&amp;TEXT(INT((C1263-DATE(YEAR(C1263-WEEKDAY(C1263,2)+4),1,3)+WEEKDAY(DATE(YEAR(C1263-WEEKDAY(C1263,2)+4),1,3),2)+5)/7),"00"))</f>
        <v/>
      </c>
    </row>
    <row r="1264" ht="18" customHeight="1">
      <c r="A1264" s="39" t="n">
        <v>1259</v>
      </c>
      <c r="B1264" s="33">
        <f>IF(C1264="","",IF(P1264="À RENSEIGNER","GIC",P1264)&amp;"-V"&amp;TEXT(A1264,"00000"))</f>
        <v/>
      </c>
      <c r="C1264" s="32" t="n"/>
      <c r="D1264" s="35" t="n"/>
      <c r="E1264" s="36" t="n"/>
      <c r="F1264" s="36" t="n"/>
      <c r="G1264" s="36" t="n"/>
      <c r="H1264" s="36" t="n"/>
      <c r="I1264" s="36" t="n"/>
      <c r="J1264" s="37" t="n"/>
      <c r="K1264" s="32" t="n"/>
      <c r="L1264" s="36" t="n"/>
      <c r="M1264" s="41" t="n"/>
      <c r="N1264" s="41" t="n"/>
      <c r="O1264" s="36" t="n"/>
      <c r="P1264" s="33">
        <f>IF(C1264="","",Commercial_Id)</f>
        <v/>
      </c>
      <c r="Q1264" s="39">
        <f>IF(F1264="","",IFERROR(VALUE(MID(F1264,LEN(F1264)-3,3)),""))</f>
        <v/>
      </c>
      <c r="R1264" s="33">
        <f>IF(Q1264="","",P1264&amp;"|"&amp;Q1264)</f>
        <v/>
      </c>
      <c r="S1264" s="33">
        <f>IF(Q1264="","",IF(P1264="À RENSEIGNER","GIC",P1264)&amp;"-"&amp;TEXT(Q1264,"000"))</f>
        <v/>
      </c>
      <c r="T1264" s="33">
        <f>IF(R1264="","",IFERROR(INDEX(Cl_nom,MATCH(R1264,Cl_cle,0)),"(client introuvable)"))</f>
        <v/>
      </c>
      <c r="U1264" s="33">
        <f>IF(R1264="","",IFERROR(INDEX(Cl_quartier,MATCH(R1264,Cl_cle,0))&amp;"",""))</f>
        <v/>
      </c>
      <c r="V1264" s="34">
        <f>IF(C1264="","",YEAR(C1264-WEEKDAY(C1264,2)+4)&amp;"-S"&amp;TEXT(INT((C1264-DATE(YEAR(C1264-WEEKDAY(C1264,2)+4),1,3)+WEEKDAY(DATE(YEAR(C1264-WEEKDAY(C1264,2)+4),1,3),2)+5)/7),"00"))</f>
        <v/>
      </c>
    </row>
    <row r="1265" ht="18" customHeight="1">
      <c r="A1265" s="39" t="n">
        <v>1260</v>
      </c>
      <c r="B1265" s="33">
        <f>IF(C1265="","",IF(P1265="À RENSEIGNER","GIC",P1265)&amp;"-V"&amp;TEXT(A1265,"00000"))</f>
        <v/>
      </c>
      <c r="C1265" s="32" t="n"/>
      <c r="D1265" s="35" t="n"/>
      <c r="E1265" s="36" t="n"/>
      <c r="F1265" s="36" t="n"/>
      <c r="G1265" s="36" t="n"/>
      <c r="H1265" s="36" t="n"/>
      <c r="I1265" s="36" t="n"/>
      <c r="J1265" s="37" t="n"/>
      <c r="K1265" s="32" t="n"/>
      <c r="L1265" s="36" t="n"/>
      <c r="M1265" s="41" t="n"/>
      <c r="N1265" s="41" t="n"/>
      <c r="O1265" s="36" t="n"/>
      <c r="P1265" s="33">
        <f>IF(C1265="","",Commercial_Id)</f>
        <v/>
      </c>
      <c r="Q1265" s="39">
        <f>IF(F1265="","",IFERROR(VALUE(MID(F1265,LEN(F1265)-3,3)),""))</f>
        <v/>
      </c>
      <c r="R1265" s="33">
        <f>IF(Q1265="","",P1265&amp;"|"&amp;Q1265)</f>
        <v/>
      </c>
      <c r="S1265" s="33">
        <f>IF(Q1265="","",IF(P1265="À RENSEIGNER","GIC",P1265)&amp;"-"&amp;TEXT(Q1265,"000"))</f>
        <v/>
      </c>
      <c r="T1265" s="33">
        <f>IF(R1265="","",IFERROR(INDEX(Cl_nom,MATCH(R1265,Cl_cle,0)),"(client introuvable)"))</f>
        <v/>
      </c>
      <c r="U1265" s="33">
        <f>IF(R1265="","",IFERROR(INDEX(Cl_quartier,MATCH(R1265,Cl_cle,0))&amp;"",""))</f>
        <v/>
      </c>
      <c r="V1265" s="34">
        <f>IF(C1265="","",YEAR(C1265-WEEKDAY(C1265,2)+4)&amp;"-S"&amp;TEXT(INT((C1265-DATE(YEAR(C1265-WEEKDAY(C1265,2)+4),1,3)+WEEKDAY(DATE(YEAR(C1265-WEEKDAY(C1265,2)+4),1,3),2)+5)/7),"00"))</f>
        <v/>
      </c>
    </row>
    <row r="1266" ht="18" customHeight="1">
      <c r="A1266" s="39" t="n">
        <v>1261</v>
      </c>
      <c r="B1266" s="33">
        <f>IF(C1266="","",IF(P1266="À RENSEIGNER","GIC",P1266)&amp;"-V"&amp;TEXT(A1266,"00000"))</f>
        <v/>
      </c>
      <c r="C1266" s="32" t="n"/>
      <c r="D1266" s="35" t="n"/>
      <c r="E1266" s="36" t="n"/>
      <c r="F1266" s="36" t="n"/>
      <c r="G1266" s="36" t="n"/>
      <c r="H1266" s="36" t="n"/>
      <c r="I1266" s="36" t="n"/>
      <c r="J1266" s="37" t="n"/>
      <c r="K1266" s="32" t="n"/>
      <c r="L1266" s="36" t="n"/>
      <c r="M1266" s="41" t="n"/>
      <c r="N1266" s="41" t="n"/>
      <c r="O1266" s="36" t="n"/>
      <c r="P1266" s="33">
        <f>IF(C1266="","",Commercial_Id)</f>
        <v/>
      </c>
      <c r="Q1266" s="39">
        <f>IF(F1266="","",IFERROR(VALUE(MID(F1266,LEN(F1266)-3,3)),""))</f>
        <v/>
      </c>
      <c r="R1266" s="33">
        <f>IF(Q1266="","",P1266&amp;"|"&amp;Q1266)</f>
        <v/>
      </c>
      <c r="S1266" s="33">
        <f>IF(Q1266="","",IF(P1266="À RENSEIGNER","GIC",P1266)&amp;"-"&amp;TEXT(Q1266,"000"))</f>
        <v/>
      </c>
      <c r="T1266" s="33">
        <f>IF(R1266="","",IFERROR(INDEX(Cl_nom,MATCH(R1266,Cl_cle,0)),"(client introuvable)"))</f>
        <v/>
      </c>
      <c r="U1266" s="33">
        <f>IF(R1266="","",IFERROR(INDEX(Cl_quartier,MATCH(R1266,Cl_cle,0))&amp;"",""))</f>
        <v/>
      </c>
      <c r="V1266" s="34">
        <f>IF(C1266="","",YEAR(C1266-WEEKDAY(C1266,2)+4)&amp;"-S"&amp;TEXT(INT((C1266-DATE(YEAR(C1266-WEEKDAY(C1266,2)+4),1,3)+WEEKDAY(DATE(YEAR(C1266-WEEKDAY(C1266,2)+4),1,3),2)+5)/7),"00"))</f>
        <v/>
      </c>
    </row>
    <row r="1267" ht="18" customHeight="1">
      <c r="A1267" s="39" t="n">
        <v>1262</v>
      </c>
      <c r="B1267" s="33">
        <f>IF(C1267="","",IF(P1267="À RENSEIGNER","GIC",P1267)&amp;"-V"&amp;TEXT(A1267,"00000"))</f>
        <v/>
      </c>
      <c r="C1267" s="32" t="n"/>
      <c r="D1267" s="35" t="n"/>
      <c r="E1267" s="36" t="n"/>
      <c r="F1267" s="36" t="n"/>
      <c r="G1267" s="36" t="n"/>
      <c r="H1267" s="36" t="n"/>
      <c r="I1267" s="36" t="n"/>
      <c r="J1267" s="37" t="n"/>
      <c r="K1267" s="32" t="n"/>
      <c r="L1267" s="36" t="n"/>
      <c r="M1267" s="41" t="n"/>
      <c r="N1267" s="41" t="n"/>
      <c r="O1267" s="36" t="n"/>
      <c r="P1267" s="33">
        <f>IF(C1267="","",Commercial_Id)</f>
        <v/>
      </c>
      <c r="Q1267" s="39">
        <f>IF(F1267="","",IFERROR(VALUE(MID(F1267,LEN(F1267)-3,3)),""))</f>
        <v/>
      </c>
      <c r="R1267" s="33">
        <f>IF(Q1267="","",P1267&amp;"|"&amp;Q1267)</f>
        <v/>
      </c>
      <c r="S1267" s="33">
        <f>IF(Q1267="","",IF(P1267="À RENSEIGNER","GIC",P1267)&amp;"-"&amp;TEXT(Q1267,"000"))</f>
        <v/>
      </c>
      <c r="T1267" s="33">
        <f>IF(R1267="","",IFERROR(INDEX(Cl_nom,MATCH(R1267,Cl_cle,0)),"(client introuvable)"))</f>
        <v/>
      </c>
      <c r="U1267" s="33">
        <f>IF(R1267="","",IFERROR(INDEX(Cl_quartier,MATCH(R1267,Cl_cle,0))&amp;"",""))</f>
        <v/>
      </c>
      <c r="V1267" s="34">
        <f>IF(C1267="","",YEAR(C1267-WEEKDAY(C1267,2)+4)&amp;"-S"&amp;TEXT(INT((C1267-DATE(YEAR(C1267-WEEKDAY(C1267,2)+4),1,3)+WEEKDAY(DATE(YEAR(C1267-WEEKDAY(C1267,2)+4),1,3),2)+5)/7),"00"))</f>
        <v/>
      </c>
    </row>
    <row r="1268" ht="18" customHeight="1">
      <c r="A1268" s="39" t="n">
        <v>1263</v>
      </c>
      <c r="B1268" s="33">
        <f>IF(C1268="","",IF(P1268="À RENSEIGNER","GIC",P1268)&amp;"-V"&amp;TEXT(A1268,"00000"))</f>
        <v/>
      </c>
      <c r="C1268" s="32" t="n"/>
      <c r="D1268" s="35" t="n"/>
      <c r="E1268" s="36" t="n"/>
      <c r="F1268" s="36" t="n"/>
      <c r="G1268" s="36" t="n"/>
      <c r="H1268" s="36" t="n"/>
      <c r="I1268" s="36" t="n"/>
      <c r="J1268" s="37" t="n"/>
      <c r="K1268" s="32" t="n"/>
      <c r="L1268" s="36" t="n"/>
      <c r="M1268" s="41" t="n"/>
      <c r="N1268" s="41" t="n"/>
      <c r="O1268" s="36" t="n"/>
      <c r="P1268" s="33">
        <f>IF(C1268="","",Commercial_Id)</f>
        <v/>
      </c>
      <c r="Q1268" s="39">
        <f>IF(F1268="","",IFERROR(VALUE(MID(F1268,LEN(F1268)-3,3)),""))</f>
        <v/>
      </c>
      <c r="R1268" s="33">
        <f>IF(Q1268="","",P1268&amp;"|"&amp;Q1268)</f>
        <v/>
      </c>
      <c r="S1268" s="33">
        <f>IF(Q1268="","",IF(P1268="À RENSEIGNER","GIC",P1268)&amp;"-"&amp;TEXT(Q1268,"000"))</f>
        <v/>
      </c>
      <c r="T1268" s="33">
        <f>IF(R1268="","",IFERROR(INDEX(Cl_nom,MATCH(R1268,Cl_cle,0)),"(client introuvable)"))</f>
        <v/>
      </c>
      <c r="U1268" s="33">
        <f>IF(R1268="","",IFERROR(INDEX(Cl_quartier,MATCH(R1268,Cl_cle,0))&amp;"",""))</f>
        <v/>
      </c>
      <c r="V1268" s="34">
        <f>IF(C1268="","",YEAR(C1268-WEEKDAY(C1268,2)+4)&amp;"-S"&amp;TEXT(INT((C1268-DATE(YEAR(C1268-WEEKDAY(C1268,2)+4),1,3)+WEEKDAY(DATE(YEAR(C1268-WEEKDAY(C1268,2)+4),1,3),2)+5)/7),"00"))</f>
        <v/>
      </c>
    </row>
    <row r="1269" ht="18" customHeight="1">
      <c r="A1269" s="39" t="n">
        <v>1264</v>
      </c>
      <c r="B1269" s="33">
        <f>IF(C1269="","",IF(P1269="À RENSEIGNER","GIC",P1269)&amp;"-V"&amp;TEXT(A1269,"00000"))</f>
        <v/>
      </c>
      <c r="C1269" s="32" t="n"/>
      <c r="D1269" s="35" t="n"/>
      <c r="E1269" s="36" t="n"/>
      <c r="F1269" s="36" t="n"/>
      <c r="G1269" s="36" t="n"/>
      <c r="H1269" s="36" t="n"/>
      <c r="I1269" s="36" t="n"/>
      <c r="J1269" s="37" t="n"/>
      <c r="K1269" s="32" t="n"/>
      <c r="L1269" s="36" t="n"/>
      <c r="M1269" s="41" t="n"/>
      <c r="N1269" s="41" t="n"/>
      <c r="O1269" s="36" t="n"/>
      <c r="P1269" s="33">
        <f>IF(C1269="","",Commercial_Id)</f>
        <v/>
      </c>
      <c r="Q1269" s="39">
        <f>IF(F1269="","",IFERROR(VALUE(MID(F1269,LEN(F1269)-3,3)),""))</f>
        <v/>
      </c>
      <c r="R1269" s="33">
        <f>IF(Q1269="","",P1269&amp;"|"&amp;Q1269)</f>
        <v/>
      </c>
      <c r="S1269" s="33">
        <f>IF(Q1269="","",IF(P1269="À RENSEIGNER","GIC",P1269)&amp;"-"&amp;TEXT(Q1269,"000"))</f>
        <v/>
      </c>
      <c r="T1269" s="33">
        <f>IF(R1269="","",IFERROR(INDEX(Cl_nom,MATCH(R1269,Cl_cle,0)),"(client introuvable)"))</f>
        <v/>
      </c>
      <c r="U1269" s="33">
        <f>IF(R1269="","",IFERROR(INDEX(Cl_quartier,MATCH(R1269,Cl_cle,0))&amp;"",""))</f>
        <v/>
      </c>
      <c r="V1269" s="34">
        <f>IF(C1269="","",YEAR(C1269-WEEKDAY(C1269,2)+4)&amp;"-S"&amp;TEXT(INT((C1269-DATE(YEAR(C1269-WEEKDAY(C1269,2)+4),1,3)+WEEKDAY(DATE(YEAR(C1269-WEEKDAY(C1269,2)+4),1,3),2)+5)/7),"00"))</f>
        <v/>
      </c>
    </row>
    <row r="1270" ht="18" customHeight="1">
      <c r="A1270" s="39" t="n">
        <v>1265</v>
      </c>
      <c r="B1270" s="33">
        <f>IF(C1270="","",IF(P1270="À RENSEIGNER","GIC",P1270)&amp;"-V"&amp;TEXT(A1270,"00000"))</f>
        <v/>
      </c>
      <c r="C1270" s="32" t="n"/>
      <c r="D1270" s="35" t="n"/>
      <c r="E1270" s="36" t="n"/>
      <c r="F1270" s="36" t="n"/>
      <c r="G1270" s="36" t="n"/>
      <c r="H1270" s="36" t="n"/>
      <c r="I1270" s="36" t="n"/>
      <c r="J1270" s="37" t="n"/>
      <c r="K1270" s="32" t="n"/>
      <c r="L1270" s="36" t="n"/>
      <c r="M1270" s="41" t="n"/>
      <c r="N1270" s="41" t="n"/>
      <c r="O1270" s="36" t="n"/>
      <c r="P1270" s="33">
        <f>IF(C1270="","",Commercial_Id)</f>
        <v/>
      </c>
      <c r="Q1270" s="39">
        <f>IF(F1270="","",IFERROR(VALUE(MID(F1270,LEN(F1270)-3,3)),""))</f>
        <v/>
      </c>
      <c r="R1270" s="33">
        <f>IF(Q1270="","",P1270&amp;"|"&amp;Q1270)</f>
        <v/>
      </c>
      <c r="S1270" s="33">
        <f>IF(Q1270="","",IF(P1270="À RENSEIGNER","GIC",P1270)&amp;"-"&amp;TEXT(Q1270,"000"))</f>
        <v/>
      </c>
      <c r="T1270" s="33">
        <f>IF(R1270="","",IFERROR(INDEX(Cl_nom,MATCH(R1270,Cl_cle,0)),"(client introuvable)"))</f>
        <v/>
      </c>
      <c r="U1270" s="33">
        <f>IF(R1270="","",IFERROR(INDEX(Cl_quartier,MATCH(R1270,Cl_cle,0))&amp;"",""))</f>
        <v/>
      </c>
      <c r="V1270" s="34">
        <f>IF(C1270="","",YEAR(C1270-WEEKDAY(C1270,2)+4)&amp;"-S"&amp;TEXT(INT((C1270-DATE(YEAR(C1270-WEEKDAY(C1270,2)+4),1,3)+WEEKDAY(DATE(YEAR(C1270-WEEKDAY(C1270,2)+4),1,3),2)+5)/7),"00"))</f>
        <v/>
      </c>
    </row>
    <row r="1271" ht="18" customHeight="1">
      <c r="A1271" s="39" t="n">
        <v>1266</v>
      </c>
      <c r="B1271" s="33">
        <f>IF(C1271="","",IF(P1271="À RENSEIGNER","GIC",P1271)&amp;"-V"&amp;TEXT(A1271,"00000"))</f>
        <v/>
      </c>
      <c r="C1271" s="32" t="n"/>
      <c r="D1271" s="35" t="n"/>
      <c r="E1271" s="36" t="n"/>
      <c r="F1271" s="36" t="n"/>
      <c r="G1271" s="36" t="n"/>
      <c r="H1271" s="36" t="n"/>
      <c r="I1271" s="36" t="n"/>
      <c r="J1271" s="37" t="n"/>
      <c r="K1271" s="32" t="n"/>
      <c r="L1271" s="36" t="n"/>
      <c r="M1271" s="41" t="n"/>
      <c r="N1271" s="41" t="n"/>
      <c r="O1271" s="36" t="n"/>
      <c r="P1271" s="33">
        <f>IF(C1271="","",Commercial_Id)</f>
        <v/>
      </c>
      <c r="Q1271" s="39">
        <f>IF(F1271="","",IFERROR(VALUE(MID(F1271,LEN(F1271)-3,3)),""))</f>
        <v/>
      </c>
      <c r="R1271" s="33">
        <f>IF(Q1271="","",P1271&amp;"|"&amp;Q1271)</f>
        <v/>
      </c>
      <c r="S1271" s="33">
        <f>IF(Q1271="","",IF(P1271="À RENSEIGNER","GIC",P1271)&amp;"-"&amp;TEXT(Q1271,"000"))</f>
        <v/>
      </c>
      <c r="T1271" s="33">
        <f>IF(R1271="","",IFERROR(INDEX(Cl_nom,MATCH(R1271,Cl_cle,0)),"(client introuvable)"))</f>
        <v/>
      </c>
      <c r="U1271" s="33">
        <f>IF(R1271="","",IFERROR(INDEX(Cl_quartier,MATCH(R1271,Cl_cle,0))&amp;"",""))</f>
        <v/>
      </c>
      <c r="V1271" s="34">
        <f>IF(C1271="","",YEAR(C1271-WEEKDAY(C1271,2)+4)&amp;"-S"&amp;TEXT(INT((C1271-DATE(YEAR(C1271-WEEKDAY(C1271,2)+4),1,3)+WEEKDAY(DATE(YEAR(C1271-WEEKDAY(C1271,2)+4),1,3),2)+5)/7),"00"))</f>
        <v/>
      </c>
    </row>
    <row r="1272" ht="18" customHeight="1">
      <c r="A1272" s="39" t="n">
        <v>1267</v>
      </c>
      <c r="B1272" s="33">
        <f>IF(C1272="","",IF(P1272="À RENSEIGNER","GIC",P1272)&amp;"-V"&amp;TEXT(A1272,"00000"))</f>
        <v/>
      </c>
      <c r="C1272" s="32" t="n"/>
      <c r="D1272" s="35" t="n"/>
      <c r="E1272" s="36" t="n"/>
      <c r="F1272" s="36" t="n"/>
      <c r="G1272" s="36" t="n"/>
      <c r="H1272" s="36" t="n"/>
      <c r="I1272" s="36" t="n"/>
      <c r="J1272" s="37" t="n"/>
      <c r="K1272" s="32" t="n"/>
      <c r="L1272" s="36" t="n"/>
      <c r="M1272" s="41" t="n"/>
      <c r="N1272" s="41" t="n"/>
      <c r="O1272" s="36" t="n"/>
      <c r="P1272" s="33">
        <f>IF(C1272="","",Commercial_Id)</f>
        <v/>
      </c>
      <c r="Q1272" s="39">
        <f>IF(F1272="","",IFERROR(VALUE(MID(F1272,LEN(F1272)-3,3)),""))</f>
        <v/>
      </c>
      <c r="R1272" s="33">
        <f>IF(Q1272="","",P1272&amp;"|"&amp;Q1272)</f>
        <v/>
      </c>
      <c r="S1272" s="33">
        <f>IF(Q1272="","",IF(P1272="À RENSEIGNER","GIC",P1272)&amp;"-"&amp;TEXT(Q1272,"000"))</f>
        <v/>
      </c>
      <c r="T1272" s="33">
        <f>IF(R1272="","",IFERROR(INDEX(Cl_nom,MATCH(R1272,Cl_cle,0)),"(client introuvable)"))</f>
        <v/>
      </c>
      <c r="U1272" s="33">
        <f>IF(R1272="","",IFERROR(INDEX(Cl_quartier,MATCH(R1272,Cl_cle,0))&amp;"",""))</f>
        <v/>
      </c>
      <c r="V1272" s="34">
        <f>IF(C1272="","",YEAR(C1272-WEEKDAY(C1272,2)+4)&amp;"-S"&amp;TEXT(INT((C1272-DATE(YEAR(C1272-WEEKDAY(C1272,2)+4),1,3)+WEEKDAY(DATE(YEAR(C1272-WEEKDAY(C1272,2)+4),1,3),2)+5)/7),"00"))</f>
        <v/>
      </c>
    </row>
    <row r="1273" ht="18" customHeight="1">
      <c r="A1273" s="39" t="n">
        <v>1268</v>
      </c>
      <c r="B1273" s="33">
        <f>IF(C1273="","",IF(P1273="À RENSEIGNER","GIC",P1273)&amp;"-V"&amp;TEXT(A1273,"00000"))</f>
        <v/>
      </c>
      <c r="C1273" s="32" t="n"/>
      <c r="D1273" s="35" t="n"/>
      <c r="E1273" s="36" t="n"/>
      <c r="F1273" s="36" t="n"/>
      <c r="G1273" s="36" t="n"/>
      <c r="H1273" s="36" t="n"/>
      <c r="I1273" s="36" t="n"/>
      <c r="J1273" s="37" t="n"/>
      <c r="K1273" s="32" t="n"/>
      <c r="L1273" s="36" t="n"/>
      <c r="M1273" s="41" t="n"/>
      <c r="N1273" s="41" t="n"/>
      <c r="O1273" s="36" t="n"/>
      <c r="P1273" s="33">
        <f>IF(C1273="","",Commercial_Id)</f>
        <v/>
      </c>
      <c r="Q1273" s="39">
        <f>IF(F1273="","",IFERROR(VALUE(MID(F1273,LEN(F1273)-3,3)),""))</f>
        <v/>
      </c>
      <c r="R1273" s="33">
        <f>IF(Q1273="","",P1273&amp;"|"&amp;Q1273)</f>
        <v/>
      </c>
      <c r="S1273" s="33">
        <f>IF(Q1273="","",IF(P1273="À RENSEIGNER","GIC",P1273)&amp;"-"&amp;TEXT(Q1273,"000"))</f>
        <v/>
      </c>
      <c r="T1273" s="33">
        <f>IF(R1273="","",IFERROR(INDEX(Cl_nom,MATCH(R1273,Cl_cle,0)),"(client introuvable)"))</f>
        <v/>
      </c>
      <c r="U1273" s="33">
        <f>IF(R1273="","",IFERROR(INDEX(Cl_quartier,MATCH(R1273,Cl_cle,0))&amp;"",""))</f>
        <v/>
      </c>
      <c r="V1273" s="34">
        <f>IF(C1273="","",YEAR(C1273-WEEKDAY(C1273,2)+4)&amp;"-S"&amp;TEXT(INT((C1273-DATE(YEAR(C1273-WEEKDAY(C1273,2)+4),1,3)+WEEKDAY(DATE(YEAR(C1273-WEEKDAY(C1273,2)+4),1,3),2)+5)/7),"00"))</f>
        <v/>
      </c>
    </row>
    <row r="1274" ht="18" customHeight="1">
      <c r="A1274" s="39" t="n">
        <v>1269</v>
      </c>
      <c r="B1274" s="33">
        <f>IF(C1274="","",IF(P1274="À RENSEIGNER","GIC",P1274)&amp;"-V"&amp;TEXT(A1274,"00000"))</f>
        <v/>
      </c>
      <c r="C1274" s="32" t="n"/>
      <c r="D1274" s="35" t="n"/>
      <c r="E1274" s="36" t="n"/>
      <c r="F1274" s="36" t="n"/>
      <c r="G1274" s="36" t="n"/>
      <c r="H1274" s="36" t="n"/>
      <c r="I1274" s="36" t="n"/>
      <c r="J1274" s="37" t="n"/>
      <c r="K1274" s="32" t="n"/>
      <c r="L1274" s="36" t="n"/>
      <c r="M1274" s="41" t="n"/>
      <c r="N1274" s="41" t="n"/>
      <c r="O1274" s="36" t="n"/>
      <c r="P1274" s="33">
        <f>IF(C1274="","",Commercial_Id)</f>
        <v/>
      </c>
      <c r="Q1274" s="39">
        <f>IF(F1274="","",IFERROR(VALUE(MID(F1274,LEN(F1274)-3,3)),""))</f>
        <v/>
      </c>
      <c r="R1274" s="33">
        <f>IF(Q1274="","",P1274&amp;"|"&amp;Q1274)</f>
        <v/>
      </c>
      <c r="S1274" s="33">
        <f>IF(Q1274="","",IF(P1274="À RENSEIGNER","GIC",P1274)&amp;"-"&amp;TEXT(Q1274,"000"))</f>
        <v/>
      </c>
      <c r="T1274" s="33">
        <f>IF(R1274="","",IFERROR(INDEX(Cl_nom,MATCH(R1274,Cl_cle,0)),"(client introuvable)"))</f>
        <v/>
      </c>
      <c r="U1274" s="33">
        <f>IF(R1274="","",IFERROR(INDEX(Cl_quartier,MATCH(R1274,Cl_cle,0))&amp;"",""))</f>
        <v/>
      </c>
      <c r="V1274" s="34">
        <f>IF(C1274="","",YEAR(C1274-WEEKDAY(C1274,2)+4)&amp;"-S"&amp;TEXT(INT((C1274-DATE(YEAR(C1274-WEEKDAY(C1274,2)+4),1,3)+WEEKDAY(DATE(YEAR(C1274-WEEKDAY(C1274,2)+4),1,3),2)+5)/7),"00"))</f>
        <v/>
      </c>
    </row>
    <row r="1275" ht="18" customHeight="1">
      <c r="A1275" s="39" t="n">
        <v>1270</v>
      </c>
      <c r="B1275" s="33">
        <f>IF(C1275="","",IF(P1275="À RENSEIGNER","GIC",P1275)&amp;"-V"&amp;TEXT(A1275,"00000"))</f>
        <v/>
      </c>
      <c r="C1275" s="32" t="n"/>
      <c r="D1275" s="35" t="n"/>
      <c r="E1275" s="36" t="n"/>
      <c r="F1275" s="36" t="n"/>
      <c r="G1275" s="36" t="n"/>
      <c r="H1275" s="36" t="n"/>
      <c r="I1275" s="36" t="n"/>
      <c r="J1275" s="37" t="n"/>
      <c r="K1275" s="32" t="n"/>
      <c r="L1275" s="36" t="n"/>
      <c r="M1275" s="41" t="n"/>
      <c r="N1275" s="41" t="n"/>
      <c r="O1275" s="36" t="n"/>
      <c r="P1275" s="33">
        <f>IF(C1275="","",Commercial_Id)</f>
        <v/>
      </c>
      <c r="Q1275" s="39">
        <f>IF(F1275="","",IFERROR(VALUE(MID(F1275,LEN(F1275)-3,3)),""))</f>
        <v/>
      </c>
      <c r="R1275" s="33">
        <f>IF(Q1275="","",P1275&amp;"|"&amp;Q1275)</f>
        <v/>
      </c>
      <c r="S1275" s="33">
        <f>IF(Q1275="","",IF(P1275="À RENSEIGNER","GIC",P1275)&amp;"-"&amp;TEXT(Q1275,"000"))</f>
        <v/>
      </c>
      <c r="T1275" s="33">
        <f>IF(R1275="","",IFERROR(INDEX(Cl_nom,MATCH(R1275,Cl_cle,0)),"(client introuvable)"))</f>
        <v/>
      </c>
      <c r="U1275" s="33">
        <f>IF(R1275="","",IFERROR(INDEX(Cl_quartier,MATCH(R1275,Cl_cle,0))&amp;"",""))</f>
        <v/>
      </c>
      <c r="V1275" s="34">
        <f>IF(C1275="","",YEAR(C1275-WEEKDAY(C1275,2)+4)&amp;"-S"&amp;TEXT(INT((C1275-DATE(YEAR(C1275-WEEKDAY(C1275,2)+4),1,3)+WEEKDAY(DATE(YEAR(C1275-WEEKDAY(C1275,2)+4),1,3),2)+5)/7),"00"))</f>
        <v/>
      </c>
    </row>
    <row r="1276" ht="18" customHeight="1">
      <c r="A1276" s="39" t="n">
        <v>1271</v>
      </c>
      <c r="B1276" s="33">
        <f>IF(C1276="","",IF(P1276="À RENSEIGNER","GIC",P1276)&amp;"-V"&amp;TEXT(A1276,"00000"))</f>
        <v/>
      </c>
      <c r="C1276" s="32" t="n"/>
      <c r="D1276" s="35" t="n"/>
      <c r="E1276" s="36" t="n"/>
      <c r="F1276" s="36" t="n"/>
      <c r="G1276" s="36" t="n"/>
      <c r="H1276" s="36" t="n"/>
      <c r="I1276" s="36" t="n"/>
      <c r="J1276" s="37" t="n"/>
      <c r="K1276" s="32" t="n"/>
      <c r="L1276" s="36" t="n"/>
      <c r="M1276" s="41" t="n"/>
      <c r="N1276" s="41" t="n"/>
      <c r="O1276" s="36" t="n"/>
      <c r="P1276" s="33">
        <f>IF(C1276="","",Commercial_Id)</f>
        <v/>
      </c>
      <c r="Q1276" s="39">
        <f>IF(F1276="","",IFERROR(VALUE(MID(F1276,LEN(F1276)-3,3)),""))</f>
        <v/>
      </c>
      <c r="R1276" s="33">
        <f>IF(Q1276="","",P1276&amp;"|"&amp;Q1276)</f>
        <v/>
      </c>
      <c r="S1276" s="33">
        <f>IF(Q1276="","",IF(P1276="À RENSEIGNER","GIC",P1276)&amp;"-"&amp;TEXT(Q1276,"000"))</f>
        <v/>
      </c>
      <c r="T1276" s="33">
        <f>IF(R1276="","",IFERROR(INDEX(Cl_nom,MATCH(R1276,Cl_cle,0)),"(client introuvable)"))</f>
        <v/>
      </c>
      <c r="U1276" s="33">
        <f>IF(R1276="","",IFERROR(INDEX(Cl_quartier,MATCH(R1276,Cl_cle,0))&amp;"",""))</f>
        <v/>
      </c>
      <c r="V1276" s="34">
        <f>IF(C1276="","",YEAR(C1276-WEEKDAY(C1276,2)+4)&amp;"-S"&amp;TEXT(INT((C1276-DATE(YEAR(C1276-WEEKDAY(C1276,2)+4),1,3)+WEEKDAY(DATE(YEAR(C1276-WEEKDAY(C1276,2)+4),1,3),2)+5)/7),"00"))</f>
        <v/>
      </c>
    </row>
    <row r="1277" ht="18" customHeight="1">
      <c r="A1277" s="39" t="n">
        <v>1272</v>
      </c>
      <c r="B1277" s="33">
        <f>IF(C1277="","",IF(P1277="À RENSEIGNER","GIC",P1277)&amp;"-V"&amp;TEXT(A1277,"00000"))</f>
        <v/>
      </c>
      <c r="C1277" s="32" t="n"/>
      <c r="D1277" s="35" t="n"/>
      <c r="E1277" s="36" t="n"/>
      <c r="F1277" s="36" t="n"/>
      <c r="G1277" s="36" t="n"/>
      <c r="H1277" s="36" t="n"/>
      <c r="I1277" s="36" t="n"/>
      <c r="J1277" s="37" t="n"/>
      <c r="K1277" s="32" t="n"/>
      <c r="L1277" s="36" t="n"/>
      <c r="M1277" s="41" t="n"/>
      <c r="N1277" s="41" t="n"/>
      <c r="O1277" s="36" t="n"/>
      <c r="P1277" s="33">
        <f>IF(C1277="","",Commercial_Id)</f>
        <v/>
      </c>
      <c r="Q1277" s="39">
        <f>IF(F1277="","",IFERROR(VALUE(MID(F1277,LEN(F1277)-3,3)),""))</f>
        <v/>
      </c>
      <c r="R1277" s="33">
        <f>IF(Q1277="","",P1277&amp;"|"&amp;Q1277)</f>
        <v/>
      </c>
      <c r="S1277" s="33">
        <f>IF(Q1277="","",IF(P1277="À RENSEIGNER","GIC",P1277)&amp;"-"&amp;TEXT(Q1277,"000"))</f>
        <v/>
      </c>
      <c r="T1277" s="33">
        <f>IF(R1277="","",IFERROR(INDEX(Cl_nom,MATCH(R1277,Cl_cle,0)),"(client introuvable)"))</f>
        <v/>
      </c>
      <c r="U1277" s="33">
        <f>IF(R1277="","",IFERROR(INDEX(Cl_quartier,MATCH(R1277,Cl_cle,0))&amp;"",""))</f>
        <v/>
      </c>
      <c r="V1277" s="34">
        <f>IF(C1277="","",YEAR(C1277-WEEKDAY(C1277,2)+4)&amp;"-S"&amp;TEXT(INT((C1277-DATE(YEAR(C1277-WEEKDAY(C1277,2)+4),1,3)+WEEKDAY(DATE(YEAR(C1277-WEEKDAY(C1277,2)+4),1,3),2)+5)/7),"00"))</f>
        <v/>
      </c>
    </row>
    <row r="1278" ht="18" customHeight="1">
      <c r="A1278" s="39" t="n">
        <v>1273</v>
      </c>
      <c r="B1278" s="33">
        <f>IF(C1278="","",IF(P1278="À RENSEIGNER","GIC",P1278)&amp;"-V"&amp;TEXT(A1278,"00000"))</f>
        <v/>
      </c>
      <c r="C1278" s="32" t="n"/>
      <c r="D1278" s="35" t="n"/>
      <c r="E1278" s="36" t="n"/>
      <c r="F1278" s="36" t="n"/>
      <c r="G1278" s="36" t="n"/>
      <c r="H1278" s="36" t="n"/>
      <c r="I1278" s="36" t="n"/>
      <c r="J1278" s="37" t="n"/>
      <c r="K1278" s="32" t="n"/>
      <c r="L1278" s="36" t="n"/>
      <c r="M1278" s="41" t="n"/>
      <c r="N1278" s="41" t="n"/>
      <c r="O1278" s="36" t="n"/>
      <c r="P1278" s="33">
        <f>IF(C1278="","",Commercial_Id)</f>
        <v/>
      </c>
      <c r="Q1278" s="39">
        <f>IF(F1278="","",IFERROR(VALUE(MID(F1278,LEN(F1278)-3,3)),""))</f>
        <v/>
      </c>
      <c r="R1278" s="33">
        <f>IF(Q1278="","",P1278&amp;"|"&amp;Q1278)</f>
        <v/>
      </c>
      <c r="S1278" s="33">
        <f>IF(Q1278="","",IF(P1278="À RENSEIGNER","GIC",P1278)&amp;"-"&amp;TEXT(Q1278,"000"))</f>
        <v/>
      </c>
      <c r="T1278" s="33">
        <f>IF(R1278="","",IFERROR(INDEX(Cl_nom,MATCH(R1278,Cl_cle,0)),"(client introuvable)"))</f>
        <v/>
      </c>
      <c r="U1278" s="33">
        <f>IF(R1278="","",IFERROR(INDEX(Cl_quartier,MATCH(R1278,Cl_cle,0))&amp;"",""))</f>
        <v/>
      </c>
      <c r="V1278" s="34">
        <f>IF(C1278="","",YEAR(C1278-WEEKDAY(C1278,2)+4)&amp;"-S"&amp;TEXT(INT((C1278-DATE(YEAR(C1278-WEEKDAY(C1278,2)+4),1,3)+WEEKDAY(DATE(YEAR(C1278-WEEKDAY(C1278,2)+4),1,3),2)+5)/7),"00"))</f>
        <v/>
      </c>
    </row>
    <row r="1279" ht="18" customHeight="1">
      <c r="A1279" s="39" t="n">
        <v>1274</v>
      </c>
      <c r="B1279" s="33">
        <f>IF(C1279="","",IF(P1279="À RENSEIGNER","GIC",P1279)&amp;"-V"&amp;TEXT(A1279,"00000"))</f>
        <v/>
      </c>
      <c r="C1279" s="32" t="n"/>
      <c r="D1279" s="35" t="n"/>
      <c r="E1279" s="36" t="n"/>
      <c r="F1279" s="36" t="n"/>
      <c r="G1279" s="36" t="n"/>
      <c r="H1279" s="36" t="n"/>
      <c r="I1279" s="36" t="n"/>
      <c r="J1279" s="37" t="n"/>
      <c r="K1279" s="32" t="n"/>
      <c r="L1279" s="36" t="n"/>
      <c r="M1279" s="41" t="n"/>
      <c r="N1279" s="41" t="n"/>
      <c r="O1279" s="36" t="n"/>
      <c r="P1279" s="33">
        <f>IF(C1279="","",Commercial_Id)</f>
        <v/>
      </c>
      <c r="Q1279" s="39">
        <f>IF(F1279="","",IFERROR(VALUE(MID(F1279,LEN(F1279)-3,3)),""))</f>
        <v/>
      </c>
      <c r="R1279" s="33">
        <f>IF(Q1279="","",P1279&amp;"|"&amp;Q1279)</f>
        <v/>
      </c>
      <c r="S1279" s="33">
        <f>IF(Q1279="","",IF(P1279="À RENSEIGNER","GIC",P1279)&amp;"-"&amp;TEXT(Q1279,"000"))</f>
        <v/>
      </c>
      <c r="T1279" s="33">
        <f>IF(R1279="","",IFERROR(INDEX(Cl_nom,MATCH(R1279,Cl_cle,0)),"(client introuvable)"))</f>
        <v/>
      </c>
      <c r="U1279" s="33">
        <f>IF(R1279="","",IFERROR(INDEX(Cl_quartier,MATCH(R1279,Cl_cle,0))&amp;"",""))</f>
        <v/>
      </c>
      <c r="V1279" s="34">
        <f>IF(C1279="","",YEAR(C1279-WEEKDAY(C1279,2)+4)&amp;"-S"&amp;TEXT(INT((C1279-DATE(YEAR(C1279-WEEKDAY(C1279,2)+4),1,3)+WEEKDAY(DATE(YEAR(C1279-WEEKDAY(C1279,2)+4),1,3),2)+5)/7),"00"))</f>
        <v/>
      </c>
    </row>
    <row r="1280" ht="18" customHeight="1">
      <c r="A1280" s="39" t="n">
        <v>1275</v>
      </c>
      <c r="B1280" s="33">
        <f>IF(C1280="","",IF(P1280="À RENSEIGNER","GIC",P1280)&amp;"-V"&amp;TEXT(A1280,"00000"))</f>
        <v/>
      </c>
      <c r="C1280" s="32" t="n"/>
      <c r="D1280" s="35" t="n"/>
      <c r="E1280" s="36" t="n"/>
      <c r="F1280" s="36" t="n"/>
      <c r="G1280" s="36" t="n"/>
      <c r="H1280" s="36" t="n"/>
      <c r="I1280" s="36" t="n"/>
      <c r="J1280" s="37" t="n"/>
      <c r="K1280" s="32" t="n"/>
      <c r="L1280" s="36" t="n"/>
      <c r="M1280" s="41" t="n"/>
      <c r="N1280" s="41" t="n"/>
      <c r="O1280" s="36" t="n"/>
      <c r="P1280" s="33">
        <f>IF(C1280="","",Commercial_Id)</f>
        <v/>
      </c>
      <c r="Q1280" s="39">
        <f>IF(F1280="","",IFERROR(VALUE(MID(F1280,LEN(F1280)-3,3)),""))</f>
        <v/>
      </c>
      <c r="R1280" s="33">
        <f>IF(Q1280="","",P1280&amp;"|"&amp;Q1280)</f>
        <v/>
      </c>
      <c r="S1280" s="33">
        <f>IF(Q1280="","",IF(P1280="À RENSEIGNER","GIC",P1280)&amp;"-"&amp;TEXT(Q1280,"000"))</f>
        <v/>
      </c>
      <c r="T1280" s="33">
        <f>IF(R1280="","",IFERROR(INDEX(Cl_nom,MATCH(R1280,Cl_cle,0)),"(client introuvable)"))</f>
        <v/>
      </c>
      <c r="U1280" s="33">
        <f>IF(R1280="","",IFERROR(INDEX(Cl_quartier,MATCH(R1280,Cl_cle,0))&amp;"",""))</f>
        <v/>
      </c>
      <c r="V1280" s="34">
        <f>IF(C1280="","",YEAR(C1280-WEEKDAY(C1280,2)+4)&amp;"-S"&amp;TEXT(INT((C1280-DATE(YEAR(C1280-WEEKDAY(C1280,2)+4),1,3)+WEEKDAY(DATE(YEAR(C1280-WEEKDAY(C1280,2)+4),1,3),2)+5)/7),"00"))</f>
        <v/>
      </c>
    </row>
    <row r="1281" ht="18" customHeight="1">
      <c r="A1281" s="39" t="n">
        <v>1276</v>
      </c>
      <c r="B1281" s="33">
        <f>IF(C1281="","",IF(P1281="À RENSEIGNER","GIC",P1281)&amp;"-V"&amp;TEXT(A1281,"00000"))</f>
        <v/>
      </c>
      <c r="C1281" s="32" t="n"/>
      <c r="D1281" s="35" t="n"/>
      <c r="E1281" s="36" t="n"/>
      <c r="F1281" s="36" t="n"/>
      <c r="G1281" s="36" t="n"/>
      <c r="H1281" s="36" t="n"/>
      <c r="I1281" s="36" t="n"/>
      <c r="J1281" s="37" t="n"/>
      <c r="K1281" s="32" t="n"/>
      <c r="L1281" s="36" t="n"/>
      <c r="M1281" s="41" t="n"/>
      <c r="N1281" s="41" t="n"/>
      <c r="O1281" s="36" t="n"/>
      <c r="P1281" s="33">
        <f>IF(C1281="","",Commercial_Id)</f>
        <v/>
      </c>
      <c r="Q1281" s="39">
        <f>IF(F1281="","",IFERROR(VALUE(MID(F1281,LEN(F1281)-3,3)),""))</f>
        <v/>
      </c>
      <c r="R1281" s="33">
        <f>IF(Q1281="","",P1281&amp;"|"&amp;Q1281)</f>
        <v/>
      </c>
      <c r="S1281" s="33">
        <f>IF(Q1281="","",IF(P1281="À RENSEIGNER","GIC",P1281)&amp;"-"&amp;TEXT(Q1281,"000"))</f>
        <v/>
      </c>
      <c r="T1281" s="33">
        <f>IF(R1281="","",IFERROR(INDEX(Cl_nom,MATCH(R1281,Cl_cle,0)),"(client introuvable)"))</f>
        <v/>
      </c>
      <c r="U1281" s="33">
        <f>IF(R1281="","",IFERROR(INDEX(Cl_quartier,MATCH(R1281,Cl_cle,0))&amp;"",""))</f>
        <v/>
      </c>
      <c r="V1281" s="34">
        <f>IF(C1281="","",YEAR(C1281-WEEKDAY(C1281,2)+4)&amp;"-S"&amp;TEXT(INT((C1281-DATE(YEAR(C1281-WEEKDAY(C1281,2)+4),1,3)+WEEKDAY(DATE(YEAR(C1281-WEEKDAY(C1281,2)+4),1,3),2)+5)/7),"00"))</f>
        <v/>
      </c>
    </row>
    <row r="1282" ht="18" customHeight="1">
      <c r="A1282" s="39" t="n">
        <v>1277</v>
      </c>
      <c r="B1282" s="33">
        <f>IF(C1282="","",IF(P1282="À RENSEIGNER","GIC",P1282)&amp;"-V"&amp;TEXT(A1282,"00000"))</f>
        <v/>
      </c>
      <c r="C1282" s="32" t="n"/>
      <c r="D1282" s="35" t="n"/>
      <c r="E1282" s="36" t="n"/>
      <c r="F1282" s="36" t="n"/>
      <c r="G1282" s="36" t="n"/>
      <c r="H1282" s="36" t="n"/>
      <c r="I1282" s="36" t="n"/>
      <c r="J1282" s="37" t="n"/>
      <c r="K1282" s="32" t="n"/>
      <c r="L1282" s="36" t="n"/>
      <c r="M1282" s="41" t="n"/>
      <c r="N1282" s="41" t="n"/>
      <c r="O1282" s="36" t="n"/>
      <c r="P1282" s="33">
        <f>IF(C1282="","",Commercial_Id)</f>
        <v/>
      </c>
      <c r="Q1282" s="39">
        <f>IF(F1282="","",IFERROR(VALUE(MID(F1282,LEN(F1282)-3,3)),""))</f>
        <v/>
      </c>
      <c r="R1282" s="33">
        <f>IF(Q1282="","",P1282&amp;"|"&amp;Q1282)</f>
        <v/>
      </c>
      <c r="S1282" s="33">
        <f>IF(Q1282="","",IF(P1282="À RENSEIGNER","GIC",P1282)&amp;"-"&amp;TEXT(Q1282,"000"))</f>
        <v/>
      </c>
      <c r="T1282" s="33">
        <f>IF(R1282="","",IFERROR(INDEX(Cl_nom,MATCH(R1282,Cl_cle,0)),"(client introuvable)"))</f>
        <v/>
      </c>
      <c r="U1282" s="33">
        <f>IF(R1282="","",IFERROR(INDEX(Cl_quartier,MATCH(R1282,Cl_cle,0))&amp;"",""))</f>
        <v/>
      </c>
      <c r="V1282" s="34">
        <f>IF(C1282="","",YEAR(C1282-WEEKDAY(C1282,2)+4)&amp;"-S"&amp;TEXT(INT((C1282-DATE(YEAR(C1282-WEEKDAY(C1282,2)+4),1,3)+WEEKDAY(DATE(YEAR(C1282-WEEKDAY(C1282,2)+4),1,3),2)+5)/7),"00"))</f>
        <v/>
      </c>
    </row>
    <row r="1283" ht="18" customHeight="1">
      <c r="A1283" s="39" t="n">
        <v>1278</v>
      </c>
      <c r="B1283" s="33">
        <f>IF(C1283="","",IF(P1283="À RENSEIGNER","GIC",P1283)&amp;"-V"&amp;TEXT(A1283,"00000"))</f>
        <v/>
      </c>
      <c r="C1283" s="32" t="n"/>
      <c r="D1283" s="35" t="n"/>
      <c r="E1283" s="36" t="n"/>
      <c r="F1283" s="36" t="n"/>
      <c r="G1283" s="36" t="n"/>
      <c r="H1283" s="36" t="n"/>
      <c r="I1283" s="36" t="n"/>
      <c r="J1283" s="37" t="n"/>
      <c r="K1283" s="32" t="n"/>
      <c r="L1283" s="36" t="n"/>
      <c r="M1283" s="41" t="n"/>
      <c r="N1283" s="41" t="n"/>
      <c r="O1283" s="36" t="n"/>
      <c r="P1283" s="33">
        <f>IF(C1283="","",Commercial_Id)</f>
        <v/>
      </c>
      <c r="Q1283" s="39">
        <f>IF(F1283="","",IFERROR(VALUE(MID(F1283,LEN(F1283)-3,3)),""))</f>
        <v/>
      </c>
      <c r="R1283" s="33">
        <f>IF(Q1283="","",P1283&amp;"|"&amp;Q1283)</f>
        <v/>
      </c>
      <c r="S1283" s="33">
        <f>IF(Q1283="","",IF(P1283="À RENSEIGNER","GIC",P1283)&amp;"-"&amp;TEXT(Q1283,"000"))</f>
        <v/>
      </c>
      <c r="T1283" s="33">
        <f>IF(R1283="","",IFERROR(INDEX(Cl_nom,MATCH(R1283,Cl_cle,0)),"(client introuvable)"))</f>
        <v/>
      </c>
      <c r="U1283" s="33">
        <f>IF(R1283="","",IFERROR(INDEX(Cl_quartier,MATCH(R1283,Cl_cle,0))&amp;"",""))</f>
        <v/>
      </c>
      <c r="V1283" s="34">
        <f>IF(C1283="","",YEAR(C1283-WEEKDAY(C1283,2)+4)&amp;"-S"&amp;TEXT(INT((C1283-DATE(YEAR(C1283-WEEKDAY(C1283,2)+4),1,3)+WEEKDAY(DATE(YEAR(C1283-WEEKDAY(C1283,2)+4),1,3),2)+5)/7),"00"))</f>
        <v/>
      </c>
    </row>
    <row r="1284" ht="18" customHeight="1">
      <c r="A1284" s="39" t="n">
        <v>1279</v>
      </c>
      <c r="B1284" s="33">
        <f>IF(C1284="","",IF(P1284="À RENSEIGNER","GIC",P1284)&amp;"-V"&amp;TEXT(A1284,"00000"))</f>
        <v/>
      </c>
      <c r="C1284" s="32" t="n"/>
      <c r="D1284" s="35" t="n"/>
      <c r="E1284" s="36" t="n"/>
      <c r="F1284" s="36" t="n"/>
      <c r="G1284" s="36" t="n"/>
      <c r="H1284" s="36" t="n"/>
      <c r="I1284" s="36" t="n"/>
      <c r="J1284" s="37" t="n"/>
      <c r="K1284" s="32" t="n"/>
      <c r="L1284" s="36" t="n"/>
      <c r="M1284" s="41" t="n"/>
      <c r="N1284" s="41" t="n"/>
      <c r="O1284" s="36" t="n"/>
      <c r="P1284" s="33">
        <f>IF(C1284="","",Commercial_Id)</f>
        <v/>
      </c>
      <c r="Q1284" s="39">
        <f>IF(F1284="","",IFERROR(VALUE(MID(F1284,LEN(F1284)-3,3)),""))</f>
        <v/>
      </c>
      <c r="R1284" s="33">
        <f>IF(Q1284="","",P1284&amp;"|"&amp;Q1284)</f>
        <v/>
      </c>
      <c r="S1284" s="33">
        <f>IF(Q1284="","",IF(P1284="À RENSEIGNER","GIC",P1284)&amp;"-"&amp;TEXT(Q1284,"000"))</f>
        <v/>
      </c>
      <c r="T1284" s="33">
        <f>IF(R1284="","",IFERROR(INDEX(Cl_nom,MATCH(R1284,Cl_cle,0)),"(client introuvable)"))</f>
        <v/>
      </c>
      <c r="U1284" s="33">
        <f>IF(R1284="","",IFERROR(INDEX(Cl_quartier,MATCH(R1284,Cl_cle,0))&amp;"",""))</f>
        <v/>
      </c>
      <c r="V1284" s="34">
        <f>IF(C1284="","",YEAR(C1284-WEEKDAY(C1284,2)+4)&amp;"-S"&amp;TEXT(INT((C1284-DATE(YEAR(C1284-WEEKDAY(C1284,2)+4),1,3)+WEEKDAY(DATE(YEAR(C1284-WEEKDAY(C1284,2)+4),1,3),2)+5)/7),"00"))</f>
        <v/>
      </c>
    </row>
    <row r="1285" ht="18" customHeight="1">
      <c r="A1285" s="39" t="n">
        <v>1280</v>
      </c>
      <c r="B1285" s="33">
        <f>IF(C1285="","",IF(P1285="À RENSEIGNER","GIC",P1285)&amp;"-V"&amp;TEXT(A1285,"00000"))</f>
        <v/>
      </c>
      <c r="C1285" s="32" t="n"/>
      <c r="D1285" s="35" t="n"/>
      <c r="E1285" s="36" t="n"/>
      <c r="F1285" s="36" t="n"/>
      <c r="G1285" s="36" t="n"/>
      <c r="H1285" s="36" t="n"/>
      <c r="I1285" s="36" t="n"/>
      <c r="J1285" s="37" t="n"/>
      <c r="K1285" s="32" t="n"/>
      <c r="L1285" s="36" t="n"/>
      <c r="M1285" s="41" t="n"/>
      <c r="N1285" s="41" t="n"/>
      <c r="O1285" s="36" t="n"/>
      <c r="P1285" s="33">
        <f>IF(C1285="","",Commercial_Id)</f>
        <v/>
      </c>
      <c r="Q1285" s="39">
        <f>IF(F1285="","",IFERROR(VALUE(MID(F1285,LEN(F1285)-3,3)),""))</f>
        <v/>
      </c>
      <c r="R1285" s="33">
        <f>IF(Q1285="","",P1285&amp;"|"&amp;Q1285)</f>
        <v/>
      </c>
      <c r="S1285" s="33">
        <f>IF(Q1285="","",IF(P1285="À RENSEIGNER","GIC",P1285)&amp;"-"&amp;TEXT(Q1285,"000"))</f>
        <v/>
      </c>
      <c r="T1285" s="33">
        <f>IF(R1285="","",IFERROR(INDEX(Cl_nom,MATCH(R1285,Cl_cle,0)),"(client introuvable)"))</f>
        <v/>
      </c>
      <c r="U1285" s="33">
        <f>IF(R1285="","",IFERROR(INDEX(Cl_quartier,MATCH(R1285,Cl_cle,0))&amp;"",""))</f>
        <v/>
      </c>
      <c r="V1285" s="34">
        <f>IF(C1285="","",YEAR(C1285-WEEKDAY(C1285,2)+4)&amp;"-S"&amp;TEXT(INT((C1285-DATE(YEAR(C1285-WEEKDAY(C1285,2)+4),1,3)+WEEKDAY(DATE(YEAR(C1285-WEEKDAY(C1285,2)+4),1,3),2)+5)/7),"00"))</f>
        <v/>
      </c>
    </row>
    <row r="1286" ht="18" customHeight="1">
      <c r="A1286" s="39" t="n">
        <v>1281</v>
      </c>
      <c r="B1286" s="33">
        <f>IF(C1286="","",IF(P1286="À RENSEIGNER","GIC",P1286)&amp;"-V"&amp;TEXT(A1286,"00000"))</f>
        <v/>
      </c>
      <c r="C1286" s="32" t="n"/>
      <c r="D1286" s="35" t="n"/>
      <c r="E1286" s="36" t="n"/>
      <c r="F1286" s="36" t="n"/>
      <c r="G1286" s="36" t="n"/>
      <c r="H1286" s="36" t="n"/>
      <c r="I1286" s="36" t="n"/>
      <c r="J1286" s="37" t="n"/>
      <c r="K1286" s="32" t="n"/>
      <c r="L1286" s="36" t="n"/>
      <c r="M1286" s="41" t="n"/>
      <c r="N1286" s="41" t="n"/>
      <c r="O1286" s="36" t="n"/>
      <c r="P1286" s="33">
        <f>IF(C1286="","",Commercial_Id)</f>
        <v/>
      </c>
      <c r="Q1286" s="39">
        <f>IF(F1286="","",IFERROR(VALUE(MID(F1286,LEN(F1286)-3,3)),""))</f>
        <v/>
      </c>
      <c r="R1286" s="33">
        <f>IF(Q1286="","",P1286&amp;"|"&amp;Q1286)</f>
        <v/>
      </c>
      <c r="S1286" s="33">
        <f>IF(Q1286="","",IF(P1286="À RENSEIGNER","GIC",P1286)&amp;"-"&amp;TEXT(Q1286,"000"))</f>
        <v/>
      </c>
      <c r="T1286" s="33">
        <f>IF(R1286="","",IFERROR(INDEX(Cl_nom,MATCH(R1286,Cl_cle,0)),"(client introuvable)"))</f>
        <v/>
      </c>
      <c r="U1286" s="33">
        <f>IF(R1286="","",IFERROR(INDEX(Cl_quartier,MATCH(R1286,Cl_cle,0))&amp;"",""))</f>
        <v/>
      </c>
      <c r="V1286" s="34">
        <f>IF(C1286="","",YEAR(C1286-WEEKDAY(C1286,2)+4)&amp;"-S"&amp;TEXT(INT((C1286-DATE(YEAR(C1286-WEEKDAY(C1286,2)+4),1,3)+WEEKDAY(DATE(YEAR(C1286-WEEKDAY(C1286,2)+4),1,3),2)+5)/7),"00"))</f>
        <v/>
      </c>
    </row>
    <row r="1287" ht="18" customHeight="1">
      <c r="A1287" s="39" t="n">
        <v>1282</v>
      </c>
      <c r="B1287" s="33">
        <f>IF(C1287="","",IF(P1287="À RENSEIGNER","GIC",P1287)&amp;"-V"&amp;TEXT(A1287,"00000"))</f>
        <v/>
      </c>
      <c r="C1287" s="32" t="n"/>
      <c r="D1287" s="35" t="n"/>
      <c r="E1287" s="36" t="n"/>
      <c r="F1287" s="36" t="n"/>
      <c r="G1287" s="36" t="n"/>
      <c r="H1287" s="36" t="n"/>
      <c r="I1287" s="36" t="n"/>
      <c r="J1287" s="37" t="n"/>
      <c r="K1287" s="32" t="n"/>
      <c r="L1287" s="36" t="n"/>
      <c r="M1287" s="41" t="n"/>
      <c r="N1287" s="41" t="n"/>
      <c r="O1287" s="36" t="n"/>
      <c r="P1287" s="33">
        <f>IF(C1287="","",Commercial_Id)</f>
        <v/>
      </c>
      <c r="Q1287" s="39">
        <f>IF(F1287="","",IFERROR(VALUE(MID(F1287,LEN(F1287)-3,3)),""))</f>
        <v/>
      </c>
      <c r="R1287" s="33">
        <f>IF(Q1287="","",P1287&amp;"|"&amp;Q1287)</f>
        <v/>
      </c>
      <c r="S1287" s="33">
        <f>IF(Q1287="","",IF(P1287="À RENSEIGNER","GIC",P1287)&amp;"-"&amp;TEXT(Q1287,"000"))</f>
        <v/>
      </c>
      <c r="T1287" s="33">
        <f>IF(R1287="","",IFERROR(INDEX(Cl_nom,MATCH(R1287,Cl_cle,0)),"(client introuvable)"))</f>
        <v/>
      </c>
      <c r="U1287" s="33">
        <f>IF(R1287="","",IFERROR(INDEX(Cl_quartier,MATCH(R1287,Cl_cle,0))&amp;"",""))</f>
        <v/>
      </c>
      <c r="V1287" s="34">
        <f>IF(C1287="","",YEAR(C1287-WEEKDAY(C1287,2)+4)&amp;"-S"&amp;TEXT(INT((C1287-DATE(YEAR(C1287-WEEKDAY(C1287,2)+4),1,3)+WEEKDAY(DATE(YEAR(C1287-WEEKDAY(C1287,2)+4),1,3),2)+5)/7),"00"))</f>
        <v/>
      </c>
    </row>
    <row r="1288" ht="18" customHeight="1">
      <c r="A1288" s="39" t="n">
        <v>1283</v>
      </c>
      <c r="B1288" s="33">
        <f>IF(C1288="","",IF(P1288="À RENSEIGNER","GIC",P1288)&amp;"-V"&amp;TEXT(A1288,"00000"))</f>
        <v/>
      </c>
      <c r="C1288" s="32" t="n"/>
      <c r="D1288" s="35" t="n"/>
      <c r="E1288" s="36" t="n"/>
      <c r="F1288" s="36" t="n"/>
      <c r="G1288" s="36" t="n"/>
      <c r="H1288" s="36" t="n"/>
      <c r="I1288" s="36" t="n"/>
      <c r="J1288" s="37" t="n"/>
      <c r="K1288" s="32" t="n"/>
      <c r="L1288" s="36" t="n"/>
      <c r="M1288" s="41" t="n"/>
      <c r="N1288" s="41" t="n"/>
      <c r="O1288" s="36" t="n"/>
      <c r="P1288" s="33">
        <f>IF(C1288="","",Commercial_Id)</f>
        <v/>
      </c>
      <c r="Q1288" s="39">
        <f>IF(F1288="","",IFERROR(VALUE(MID(F1288,LEN(F1288)-3,3)),""))</f>
        <v/>
      </c>
      <c r="R1288" s="33">
        <f>IF(Q1288="","",P1288&amp;"|"&amp;Q1288)</f>
        <v/>
      </c>
      <c r="S1288" s="33">
        <f>IF(Q1288="","",IF(P1288="À RENSEIGNER","GIC",P1288)&amp;"-"&amp;TEXT(Q1288,"000"))</f>
        <v/>
      </c>
      <c r="T1288" s="33">
        <f>IF(R1288="","",IFERROR(INDEX(Cl_nom,MATCH(R1288,Cl_cle,0)),"(client introuvable)"))</f>
        <v/>
      </c>
      <c r="U1288" s="33">
        <f>IF(R1288="","",IFERROR(INDEX(Cl_quartier,MATCH(R1288,Cl_cle,0))&amp;"",""))</f>
        <v/>
      </c>
      <c r="V1288" s="34">
        <f>IF(C1288="","",YEAR(C1288-WEEKDAY(C1288,2)+4)&amp;"-S"&amp;TEXT(INT((C1288-DATE(YEAR(C1288-WEEKDAY(C1288,2)+4),1,3)+WEEKDAY(DATE(YEAR(C1288-WEEKDAY(C1288,2)+4),1,3),2)+5)/7),"00"))</f>
        <v/>
      </c>
    </row>
    <row r="1289" ht="18" customHeight="1">
      <c r="A1289" s="39" t="n">
        <v>1284</v>
      </c>
      <c r="B1289" s="33">
        <f>IF(C1289="","",IF(P1289="À RENSEIGNER","GIC",P1289)&amp;"-V"&amp;TEXT(A1289,"00000"))</f>
        <v/>
      </c>
      <c r="C1289" s="32" t="n"/>
      <c r="D1289" s="35" t="n"/>
      <c r="E1289" s="36" t="n"/>
      <c r="F1289" s="36" t="n"/>
      <c r="G1289" s="36" t="n"/>
      <c r="H1289" s="36" t="n"/>
      <c r="I1289" s="36" t="n"/>
      <c r="J1289" s="37" t="n"/>
      <c r="K1289" s="32" t="n"/>
      <c r="L1289" s="36" t="n"/>
      <c r="M1289" s="41" t="n"/>
      <c r="N1289" s="41" t="n"/>
      <c r="O1289" s="36" t="n"/>
      <c r="P1289" s="33">
        <f>IF(C1289="","",Commercial_Id)</f>
        <v/>
      </c>
      <c r="Q1289" s="39">
        <f>IF(F1289="","",IFERROR(VALUE(MID(F1289,LEN(F1289)-3,3)),""))</f>
        <v/>
      </c>
      <c r="R1289" s="33">
        <f>IF(Q1289="","",P1289&amp;"|"&amp;Q1289)</f>
        <v/>
      </c>
      <c r="S1289" s="33">
        <f>IF(Q1289="","",IF(P1289="À RENSEIGNER","GIC",P1289)&amp;"-"&amp;TEXT(Q1289,"000"))</f>
        <v/>
      </c>
      <c r="T1289" s="33">
        <f>IF(R1289="","",IFERROR(INDEX(Cl_nom,MATCH(R1289,Cl_cle,0)),"(client introuvable)"))</f>
        <v/>
      </c>
      <c r="U1289" s="33">
        <f>IF(R1289="","",IFERROR(INDEX(Cl_quartier,MATCH(R1289,Cl_cle,0))&amp;"",""))</f>
        <v/>
      </c>
      <c r="V1289" s="34">
        <f>IF(C1289="","",YEAR(C1289-WEEKDAY(C1289,2)+4)&amp;"-S"&amp;TEXT(INT((C1289-DATE(YEAR(C1289-WEEKDAY(C1289,2)+4),1,3)+WEEKDAY(DATE(YEAR(C1289-WEEKDAY(C1289,2)+4),1,3),2)+5)/7),"00"))</f>
        <v/>
      </c>
    </row>
    <row r="1290" ht="18" customHeight="1">
      <c r="A1290" s="39" t="n">
        <v>1285</v>
      </c>
      <c r="B1290" s="33">
        <f>IF(C1290="","",IF(P1290="À RENSEIGNER","GIC",P1290)&amp;"-V"&amp;TEXT(A1290,"00000"))</f>
        <v/>
      </c>
      <c r="C1290" s="32" t="n"/>
      <c r="D1290" s="35" t="n"/>
      <c r="E1290" s="36" t="n"/>
      <c r="F1290" s="36" t="n"/>
      <c r="G1290" s="36" t="n"/>
      <c r="H1290" s="36" t="n"/>
      <c r="I1290" s="36" t="n"/>
      <c r="J1290" s="37" t="n"/>
      <c r="K1290" s="32" t="n"/>
      <c r="L1290" s="36" t="n"/>
      <c r="M1290" s="41" t="n"/>
      <c r="N1290" s="41" t="n"/>
      <c r="O1290" s="36" t="n"/>
      <c r="P1290" s="33">
        <f>IF(C1290="","",Commercial_Id)</f>
        <v/>
      </c>
      <c r="Q1290" s="39">
        <f>IF(F1290="","",IFERROR(VALUE(MID(F1290,LEN(F1290)-3,3)),""))</f>
        <v/>
      </c>
      <c r="R1290" s="33">
        <f>IF(Q1290="","",P1290&amp;"|"&amp;Q1290)</f>
        <v/>
      </c>
      <c r="S1290" s="33">
        <f>IF(Q1290="","",IF(P1290="À RENSEIGNER","GIC",P1290)&amp;"-"&amp;TEXT(Q1290,"000"))</f>
        <v/>
      </c>
      <c r="T1290" s="33">
        <f>IF(R1290="","",IFERROR(INDEX(Cl_nom,MATCH(R1290,Cl_cle,0)),"(client introuvable)"))</f>
        <v/>
      </c>
      <c r="U1290" s="33">
        <f>IF(R1290="","",IFERROR(INDEX(Cl_quartier,MATCH(R1290,Cl_cle,0))&amp;"",""))</f>
        <v/>
      </c>
      <c r="V1290" s="34">
        <f>IF(C1290="","",YEAR(C1290-WEEKDAY(C1290,2)+4)&amp;"-S"&amp;TEXT(INT((C1290-DATE(YEAR(C1290-WEEKDAY(C1290,2)+4),1,3)+WEEKDAY(DATE(YEAR(C1290-WEEKDAY(C1290,2)+4),1,3),2)+5)/7),"00"))</f>
        <v/>
      </c>
    </row>
    <row r="1291" ht="18" customHeight="1">
      <c r="A1291" s="39" t="n">
        <v>1286</v>
      </c>
      <c r="B1291" s="33">
        <f>IF(C1291="","",IF(P1291="À RENSEIGNER","GIC",P1291)&amp;"-V"&amp;TEXT(A1291,"00000"))</f>
        <v/>
      </c>
      <c r="C1291" s="32" t="n"/>
      <c r="D1291" s="35" t="n"/>
      <c r="E1291" s="36" t="n"/>
      <c r="F1291" s="36" t="n"/>
      <c r="G1291" s="36" t="n"/>
      <c r="H1291" s="36" t="n"/>
      <c r="I1291" s="36" t="n"/>
      <c r="J1291" s="37" t="n"/>
      <c r="K1291" s="32" t="n"/>
      <c r="L1291" s="36" t="n"/>
      <c r="M1291" s="41" t="n"/>
      <c r="N1291" s="41" t="n"/>
      <c r="O1291" s="36" t="n"/>
      <c r="P1291" s="33">
        <f>IF(C1291="","",Commercial_Id)</f>
        <v/>
      </c>
      <c r="Q1291" s="39">
        <f>IF(F1291="","",IFERROR(VALUE(MID(F1291,LEN(F1291)-3,3)),""))</f>
        <v/>
      </c>
      <c r="R1291" s="33">
        <f>IF(Q1291="","",P1291&amp;"|"&amp;Q1291)</f>
        <v/>
      </c>
      <c r="S1291" s="33">
        <f>IF(Q1291="","",IF(P1291="À RENSEIGNER","GIC",P1291)&amp;"-"&amp;TEXT(Q1291,"000"))</f>
        <v/>
      </c>
      <c r="T1291" s="33">
        <f>IF(R1291="","",IFERROR(INDEX(Cl_nom,MATCH(R1291,Cl_cle,0)),"(client introuvable)"))</f>
        <v/>
      </c>
      <c r="U1291" s="33">
        <f>IF(R1291="","",IFERROR(INDEX(Cl_quartier,MATCH(R1291,Cl_cle,0))&amp;"",""))</f>
        <v/>
      </c>
      <c r="V1291" s="34">
        <f>IF(C1291="","",YEAR(C1291-WEEKDAY(C1291,2)+4)&amp;"-S"&amp;TEXT(INT((C1291-DATE(YEAR(C1291-WEEKDAY(C1291,2)+4),1,3)+WEEKDAY(DATE(YEAR(C1291-WEEKDAY(C1291,2)+4),1,3),2)+5)/7),"00"))</f>
        <v/>
      </c>
    </row>
    <row r="1292" ht="18" customHeight="1">
      <c r="A1292" s="39" t="n">
        <v>1287</v>
      </c>
      <c r="B1292" s="33">
        <f>IF(C1292="","",IF(P1292="À RENSEIGNER","GIC",P1292)&amp;"-V"&amp;TEXT(A1292,"00000"))</f>
        <v/>
      </c>
      <c r="C1292" s="32" t="n"/>
      <c r="D1292" s="35" t="n"/>
      <c r="E1292" s="36" t="n"/>
      <c r="F1292" s="36" t="n"/>
      <c r="G1292" s="36" t="n"/>
      <c r="H1292" s="36" t="n"/>
      <c r="I1292" s="36" t="n"/>
      <c r="J1292" s="37" t="n"/>
      <c r="K1292" s="32" t="n"/>
      <c r="L1292" s="36" t="n"/>
      <c r="M1292" s="41" t="n"/>
      <c r="N1292" s="41" t="n"/>
      <c r="O1292" s="36" t="n"/>
      <c r="P1292" s="33">
        <f>IF(C1292="","",Commercial_Id)</f>
        <v/>
      </c>
      <c r="Q1292" s="39">
        <f>IF(F1292="","",IFERROR(VALUE(MID(F1292,LEN(F1292)-3,3)),""))</f>
        <v/>
      </c>
      <c r="R1292" s="33">
        <f>IF(Q1292="","",P1292&amp;"|"&amp;Q1292)</f>
        <v/>
      </c>
      <c r="S1292" s="33">
        <f>IF(Q1292="","",IF(P1292="À RENSEIGNER","GIC",P1292)&amp;"-"&amp;TEXT(Q1292,"000"))</f>
        <v/>
      </c>
      <c r="T1292" s="33">
        <f>IF(R1292="","",IFERROR(INDEX(Cl_nom,MATCH(R1292,Cl_cle,0)),"(client introuvable)"))</f>
        <v/>
      </c>
      <c r="U1292" s="33">
        <f>IF(R1292="","",IFERROR(INDEX(Cl_quartier,MATCH(R1292,Cl_cle,0))&amp;"",""))</f>
        <v/>
      </c>
      <c r="V1292" s="34">
        <f>IF(C1292="","",YEAR(C1292-WEEKDAY(C1292,2)+4)&amp;"-S"&amp;TEXT(INT((C1292-DATE(YEAR(C1292-WEEKDAY(C1292,2)+4),1,3)+WEEKDAY(DATE(YEAR(C1292-WEEKDAY(C1292,2)+4),1,3),2)+5)/7),"00"))</f>
        <v/>
      </c>
    </row>
    <row r="1293" ht="18" customHeight="1">
      <c r="A1293" s="39" t="n">
        <v>1288</v>
      </c>
      <c r="B1293" s="33">
        <f>IF(C1293="","",IF(P1293="À RENSEIGNER","GIC",P1293)&amp;"-V"&amp;TEXT(A1293,"00000"))</f>
        <v/>
      </c>
      <c r="C1293" s="32" t="n"/>
      <c r="D1293" s="35" t="n"/>
      <c r="E1293" s="36" t="n"/>
      <c r="F1293" s="36" t="n"/>
      <c r="G1293" s="36" t="n"/>
      <c r="H1293" s="36" t="n"/>
      <c r="I1293" s="36" t="n"/>
      <c r="J1293" s="37" t="n"/>
      <c r="K1293" s="32" t="n"/>
      <c r="L1293" s="36" t="n"/>
      <c r="M1293" s="41" t="n"/>
      <c r="N1293" s="41" t="n"/>
      <c r="O1293" s="36" t="n"/>
      <c r="P1293" s="33">
        <f>IF(C1293="","",Commercial_Id)</f>
        <v/>
      </c>
      <c r="Q1293" s="39">
        <f>IF(F1293="","",IFERROR(VALUE(MID(F1293,LEN(F1293)-3,3)),""))</f>
        <v/>
      </c>
      <c r="R1293" s="33">
        <f>IF(Q1293="","",P1293&amp;"|"&amp;Q1293)</f>
        <v/>
      </c>
      <c r="S1293" s="33">
        <f>IF(Q1293="","",IF(P1293="À RENSEIGNER","GIC",P1293)&amp;"-"&amp;TEXT(Q1293,"000"))</f>
        <v/>
      </c>
      <c r="T1293" s="33">
        <f>IF(R1293="","",IFERROR(INDEX(Cl_nom,MATCH(R1293,Cl_cle,0)),"(client introuvable)"))</f>
        <v/>
      </c>
      <c r="U1293" s="33">
        <f>IF(R1293="","",IFERROR(INDEX(Cl_quartier,MATCH(R1293,Cl_cle,0))&amp;"",""))</f>
        <v/>
      </c>
      <c r="V1293" s="34">
        <f>IF(C1293="","",YEAR(C1293-WEEKDAY(C1293,2)+4)&amp;"-S"&amp;TEXT(INT((C1293-DATE(YEAR(C1293-WEEKDAY(C1293,2)+4),1,3)+WEEKDAY(DATE(YEAR(C1293-WEEKDAY(C1293,2)+4),1,3),2)+5)/7),"00"))</f>
        <v/>
      </c>
    </row>
    <row r="1294" ht="18" customHeight="1">
      <c r="A1294" s="39" t="n">
        <v>1289</v>
      </c>
      <c r="B1294" s="33">
        <f>IF(C1294="","",IF(P1294="À RENSEIGNER","GIC",P1294)&amp;"-V"&amp;TEXT(A1294,"00000"))</f>
        <v/>
      </c>
      <c r="C1294" s="32" t="n"/>
      <c r="D1294" s="35" t="n"/>
      <c r="E1294" s="36" t="n"/>
      <c r="F1294" s="36" t="n"/>
      <c r="G1294" s="36" t="n"/>
      <c r="H1294" s="36" t="n"/>
      <c r="I1294" s="36" t="n"/>
      <c r="J1294" s="37" t="n"/>
      <c r="K1294" s="32" t="n"/>
      <c r="L1294" s="36" t="n"/>
      <c r="M1294" s="41" t="n"/>
      <c r="N1294" s="41" t="n"/>
      <c r="O1294" s="36" t="n"/>
      <c r="P1294" s="33">
        <f>IF(C1294="","",Commercial_Id)</f>
        <v/>
      </c>
      <c r="Q1294" s="39">
        <f>IF(F1294="","",IFERROR(VALUE(MID(F1294,LEN(F1294)-3,3)),""))</f>
        <v/>
      </c>
      <c r="R1294" s="33">
        <f>IF(Q1294="","",P1294&amp;"|"&amp;Q1294)</f>
        <v/>
      </c>
      <c r="S1294" s="33">
        <f>IF(Q1294="","",IF(P1294="À RENSEIGNER","GIC",P1294)&amp;"-"&amp;TEXT(Q1294,"000"))</f>
        <v/>
      </c>
      <c r="T1294" s="33">
        <f>IF(R1294="","",IFERROR(INDEX(Cl_nom,MATCH(R1294,Cl_cle,0)),"(client introuvable)"))</f>
        <v/>
      </c>
      <c r="U1294" s="33">
        <f>IF(R1294="","",IFERROR(INDEX(Cl_quartier,MATCH(R1294,Cl_cle,0))&amp;"",""))</f>
        <v/>
      </c>
      <c r="V1294" s="34">
        <f>IF(C1294="","",YEAR(C1294-WEEKDAY(C1294,2)+4)&amp;"-S"&amp;TEXT(INT((C1294-DATE(YEAR(C1294-WEEKDAY(C1294,2)+4),1,3)+WEEKDAY(DATE(YEAR(C1294-WEEKDAY(C1294,2)+4),1,3),2)+5)/7),"00"))</f>
        <v/>
      </c>
    </row>
    <row r="1295" ht="18" customHeight="1">
      <c r="A1295" s="39" t="n">
        <v>1290</v>
      </c>
      <c r="B1295" s="33">
        <f>IF(C1295="","",IF(P1295="À RENSEIGNER","GIC",P1295)&amp;"-V"&amp;TEXT(A1295,"00000"))</f>
        <v/>
      </c>
      <c r="C1295" s="32" t="n"/>
      <c r="D1295" s="35" t="n"/>
      <c r="E1295" s="36" t="n"/>
      <c r="F1295" s="36" t="n"/>
      <c r="G1295" s="36" t="n"/>
      <c r="H1295" s="36" t="n"/>
      <c r="I1295" s="36" t="n"/>
      <c r="J1295" s="37" t="n"/>
      <c r="K1295" s="32" t="n"/>
      <c r="L1295" s="36" t="n"/>
      <c r="M1295" s="41" t="n"/>
      <c r="N1295" s="41" t="n"/>
      <c r="O1295" s="36" t="n"/>
      <c r="P1295" s="33">
        <f>IF(C1295="","",Commercial_Id)</f>
        <v/>
      </c>
      <c r="Q1295" s="39">
        <f>IF(F1295="","",IFERROR(VALUE(MID(F1295,LEN(F1295)-3,3)),""))</f>
        <v/>
      </c>
      <c r="R1295" s="33">
        <f>IF(Q1295="","",P1295&amp;"|"&amp;Q1295)</f>
        <v/>
      </c>
      <c r="S1295" s="33">
        <f>IF(Q1295="","",IF(P1295="À RENSEIGNER","GIC",P1295)&amp;"-"&amp;TEXT(Q1295,"000"))</f>
        <v/>
      </c>
      <c r="T1295" s="33">
        <f>IF(R1295="","",IFERROR(INDEX(Cl_nom,MATCH(R1295,Cl_cle,0)),"(client introuvable)"))</f>
        <v/>
      </c>
      <c r="U1295" s="33">
        <f>IF(R1295="","",IFERROR(INDEX(Cl_quartier,MATCH(R1295,Cl_cle,0))&amp;"",""))</f>
        <v/>
      </c>
      <c r="V1295" s="34">
        <f>IF(C1295="","",YEAR(C1295-WEEKDAY(C1295,2)+4)&amp;"-S"&amp;TEXT(INT((C1295-DATE(YEAR(C1295-WEEKDAY(C1295,2)+4),1,3)+WEEKDAY(DATE(YEAR(C1295-WEEKDAY(C1295,2)+4),1,3),2)+5)/7),"00"))</f>
        <v/>
      </c>
    </row>
    <row r="1296" ht="18" customHeight="1">
      <c r="A1296" s="39" t="n">
        <v>1291</v>
      </c>
      <c r="B1296" s="33">
        <f>IF(C1296="","",IF(P1296="À RENSEIGNER","GIC",P1296)&amp;"-V"&amp;TEXT(A1296,"00000"))</f>
        <v/>
      </c>
      <c r="C1296" s="32" t="n"/>
      <c r="D1296" s="35" t="n"/>
      <c r="E1296" s="36" t="n"/>
      <c r="F1296" s="36" t="n"/>
      <c r="G1296" s="36" t="n"/>
      <c r="H1296" s="36" t="n"/>
      <c r="I1296" s="36" t="n"/>
      <c r="J1296" s="37" t="n"/>
      <c r="K1296" s="32" t="n"/>
      <c r="L1296" s="36" t="n"/>
      <c r="M1296" s="41" t="n"/>
      <c r="N1296" s="41" t="n"/>
      <c r="O1296" s="36" t="n"/>
      <c r="P1296" s="33">
        <f>IF(C1296="","",Commercial_Id)</f>
        <v/>
      </c>
      <c r="Q1296" s="39">
        <f>IF(F1296="","",IFERROR(VALUE(MID(F1296,LEN(F1296)-3,3)),""))</f>
        <v/>
      </c>
      <c r="R1296" s="33">
        <f>IF(Q1296="","",P1296&amp;"|"&amp;Q1296)</f>
        <v/>
      </c>
      <c r="S1296" s="33">
        <f>IF(Q1296="","",IF(P1296="À RENSEIGNER","GIC",P1296)&amp;"-"&amp;TEXT(Q1296,"000"))</f>
        <v/>
      </c>
      <c r="T1296" s="33">
        <f>IF(R1296="","",IFERROR(INDEX(Cl_nom,MATCH(R1296,Cl_cle,0)),"(client introuvable)"))</f>
        <v/>
      </c>
      <c r="U1296" s="33">
        <f>IF(R1296="","",IFERROR(INDEX(Cl_quartier,MATCH(R1296,Cl_cle,0))&amp;"",""))</f>
        <v/>
      </c>
      <c r="V1296" s="34">
        <f>IF(C1296="","",YEAR(C1296-WEEKDAY(C1296,2)+4)&amp;"-S"&amp;TEXT(INT((C1296-DATE(YEAR(C1296-WEEKDAY(C1296,2)+4),1,3)+WEEKDAY(DATE(YEAR(C1296-WEEKDAY(C1296,2)+4),1,3),2)+5)/7),"00"))</f>
        <v/>
      </c>
    </row>
    <row r="1297" ht="18" customHeight="1">
      <c r="A1297" s="39" t="n">
        <v>1292</v>
      </c>
      <c r="B1297" s="33">
        <f>IF(C1297="","",IF(P1297="À RENSEIGNER","GIC",P1297)&amp;"-V"&amp;TEXT(A1297,"00000"))</f>
        <v/>
      </c>
      <c r="C1297" s="32" t="n"/>
      <c r="D1297" s="35" t="n"/>
      <c r="E1297" s="36" t="n"/>
      <c r="F1297" s="36" t="n"/>
      <c r="G1297" s="36" t="n"/>
      <c r="H1297" s="36" t="n"/>
      <c r="I1297" s="36" t="n"/>
      <c r="J1297" s="37" t="n"/>
      <c r="K1297" s="32" t="n"/>
      <c r="L1297" s="36" t="n"/>
      <c r="M1297" s="41" t="n"/>
      <c r="N1297" s="41" t="n"/>
      <c r="O1297" s="36" t="n"/>
      <c r="P1297" s="33">
        <f>IF(C1297="","",Commercial_Id)</f>
        <v/>
      </c>
      <c r="Q1297" s="39">
        <f>IF(F1297="","",IFERROR(VALUE(MID(F1297,LEN(F1297)-3,3)),""))</f>
        <v/>
      </c>
      <c r="R1297" s="33">
        <f>IF(Q1297="","",P1297&amp;"|"&amp;Q1297)</f>
        <v/>
      </c>
      <c r="S1297" s="33">
        <f>IF(Q1297="","",IF(P1297="À RENSEIGNER","GIC",P1297)&amp;"-"&amp;TEXT(Q1297,"000"))</f>
        <v/>
      </c>
      <c r="T1297" s="33">
        <f>IF(R1297="","",IFERROR(INDEX(Cl_nom,MATCH(R1297,Cl_cle,0)),"(client introuvable)"))</f>
        <v/>
      </c>
      <c r="U1297" s="33">
        <f>IF(R1297="","",IFERROR(INDEX(Cl_quartier,MATCH(R1297,Cl_cle,0))&amp;"",""))</f>
        <v/>
      </c>
      <c r="V1297" s="34">
        <f>IF(C1297="","",YEAR(C1297-WEEKDAY(C1297,2)+4)&amp;"-S"&amp;TEXT(INT((C1297-DATE(YEAR(C1297-WEEKDAY(C1297,2)+4),1,3)+WEEKDAY(DATE(YEAR(C1297-WEEKDAY(C1297,2)+4),1,3),2)+5)/7),"00"))</f>
        <v/>
      </c>
    </row>
    <row r="1298" ht="18" customHeight="1">
      <c r="A1298" s="39" t="n">
        <v>1293</v>
      </c>
      <c r="B1298" s="33">
        <f>IF(C1298="","",IF(P1298="À RENSEIGNER","GIC",P1298)&amp;"-V"&amp;TEXT(A1298,"00000"))</f>
        <v/>
      </c>
      <c r="C1298" s="32" t="n"/>
      <c r="D1298" s="35" t="n"/>
      <c r="E1298" s="36" t="n"/>
      <c r="F1298" s="36" t="n"/>
      <c r="G1298" s="36" t="n"/>
      <c r="H1298" s="36" t="n"/>
      <c r="I1298" s="36" t="n"/>
      <c r="J1298" s="37" t="n"/>
      <c r="K1298" s="32" t="n"/>
      <c r="L1298" s="36" t="n"/>
      <c r="M1298" s="41" t="n"/>
      <c r="N1298" s="41" t="n"/>
      <c r="O1298" s="36" t="n"/>
      <c r="P1298" s="33">
        <f>IF(C1298="","",Commercial_Id)</f>
        <v/>
      </c>
      <c r="Q1298" s="39">
        <f>IF(F1298="","",IFERROR(VALUE(MID(F1298,LEN(F1298)-3,3)),""))</f>
        <v/>
      </c>
      <c r="R1298" s="33">
        <f>IF(Q1298="","",P1298&amp;"|"&amp;Q1298)</f>
        <v/>
      </c>
      <c r="S1298" s="33">
        <f>IF(Q1298="","",IF(P1298="À RENSEIGNER","GIC",P1298)&amp;"-"&amp;TEXT(Q1298,"000"))</f>
        <v/>
      </c>
      <c r="T1298" s="33">
        <f>IF(R1298="","",IFERROR(INDEX(Cl_nom,MATCH(R1298,Cl_cle,0)),"(client introuvable)"))</f>
        <v/>
      </c>
      <c r="U1298" s="33">
        <f>IF(R1298="","",IFERROR(INDEX(Cl_quartier,MATCH(R1298,Cl_cle,0))&amp;"",""))</f>
        <v/>
      </c>
      <c r="V1298" s="34">
        <f>IF(C1298="","",YEAR(C1298-WEEKDAY(C1298,2)+4)&amp;"-S"&amp;TEXT(INT((C1298-DATE(YEAR(C1298-WEEKDAY(C1298,2)+4),1,3)+WEEKDAY(DATE(YEAR(C1298-WEEKDAY(C1298,2)+4),1,3),2)+5)/7),"00"))</f>
        <v/>
      </c>
    </row>
    <row r="1299" ht="18" customHeight="1">
      <c r="A1299" s="39" t="n">
        <v>1294</v>
      </c>
      <c r="B1299" s="33">
        <f>IF(C1299="","",IF(P1299="À RENSEIGNER","GIC",P1299)&amp;"-V"&amp;TEXT(A1299,"00000"))</f>
        <v/>
      </c>
      <c r="C1299" s="32" t="n"/>
      <c r="D1299" s="35" t="n"/>
      <c r="E1299" s="36" t="n"/>
      <c r="F1299" s="36" t="n"/>
      <c r="G1299" s="36" t="n"/>
      <c r="H1299" s="36" t="n"/>
      <c r="I1299" s="36" t="n"/>
      <c r="J1299" s="37" t="n"/>
      <c r="K1299" s="32" t="n"/>
      <c r="L1299" s="36" t="n"/>
      <c r="M1299" s="41" t="n"/>
      <c r="N1299" s="41" t="n"/>
      <c r="O1299" s="36" t="n"/>
      <c r="P1299" s="33">
        <f>IF(C1299="","",Commercial_Id)</f>
        <v/>
      </c>
      <c r="Q1299" s="39">
        <f>IF(F1299="","",IFERROR(VALUE(MID(F1299,LEN(F1299)-3,3)),""))</f>
        <v/>
      </c>
      <c r="R1299" s="33">
        <f>IF(Q1299="","",P1299&amp;"|"&amp;Q1299)</f>
        <v/>
      </c>
      <c r="S1299" s="33">
        <f>IF(Q1299="","",IF(P1299="À RENSEIGNER","GIC",P1299)&amp;"-"&amp;TEXT(Q1299,"000"))</f>
        <v/>
      </c>
      <c r="T1299" s="33">
        <f>IF(R1299="","",IFERROR(INDEX(Cl_nom,MATCH(R1299,Cl_cle,0)),"(client introuvable)"))</f>
        <v/>
      </c>
      <c r="U1299" s="33">
        <f>IF(R1299="","",IFERROR(INDEX(Cl_quartier,MATCH(R1299,Cl_cle,0))&amp;"",""))</f>
        <v/>
      </c>
      <c r="V1299" s="34">
        <f>IF(C1299="","",YEAR(C1299-WEEKDAY(C1299,2)+4)&amp;"-S"&amp;TEXT(INT((C1299-DATE(YEAR(C1299-WEEKDAY(C1299,2)+4),1,3)+WEEKDAY(DATE(YEAR(C1299-WEEKDAY(C1299,2)+4),1,3),2)+5)/7),"00"))</f>
        <v/>
      </c>
    </row>
    <row r="1300" ht="18" customHeight="1">
      <c r="A1300" s="39" t="n">
        <v>1295</v>
      </c>
      <c r="B1300" s="33">
        <f>IF(C1300="","",IF(P1300="À RENSEIGNER","GIC",P1300)&amp;"-V"&amp;TEXT(A1300,"00000"))</f>
        <v/>
      </c>
      <c r="C1300" s="32" t="n"/>
      <c r="D1300" s="35" t="n"/>
      <c r="E1300" s="36" t="n"/>
      <c r="F1300" s="36" t="n"/>
      <c r="G1300" s="36" t="n"/>
      <c r="H1300" s="36" t="n"/>
      <c r="I1300" s="36" t="n"/>
      <c r="J1300" s="37" t="n"/>
      <c r="K1300" s="32" t="n"/>
      <c r="L1300" s="36" t="n"/>
      <c r="M1300" s="41" t="n"/>
      <c r="N1300" s="41" t="n"/>
      <c r="O1300" s="36" t="n"/>
      <c r="P1300" s="33">
        <f>IF(C1300="","",Commercial_Id)</f>
        <v/>
      </c>
      <c r="Q1300" s="39">
        <f>IF(F1300="","",IFERROR(VALUE(MID(F1300,LEN(F1300)-3,3)),""))</f>
        <v/>
      </c>
      <c r="R1300" s="33">
        <f>IF(Q1300="","",P1300&amp;"|"&amp;Q1300)</f>
        <v/>
      </c>
      <c r="S1300" s="33">
        <f>IF(Q1300="","",IF(P1300="À RENSEIGNER","GIC",P1300)&amp;"-"&amp;TEXT(Q1300,"000"))</f>
        <v/>
      </c>
      <c r="T1300" s="33">
        <f>IF(R1300="","",IFERROR(INDEX(Cl_nom,MATCH(R1300,Cl_cle,0)),"(client introuvable)"))</f>
        <v/>
      </c>
      <c r="U1300" s="33">
        <f>IF(R1300="","",IFERROR(INDEX(Cl_quartier,MATCH(R1300,Cl_cle,0))&amp;"",""))</f>
        <v/>
      </c>
      <c r="V1300" s="34">
        <f>IF(C1300="","",YEAR(C1300-WEEKDAY(C1300,2)+4)&amp;"-S"&amp;TEXT(INT((C1300-DATE(YEAR(C1300-WEEKDAY(C1300,2)+4),1,3)+WEEKDAY(DATE(YEAR(C1300-WEEKDAY(C1300,2)+4),1,3),2)+5)/7),"00"))</f>
        <v/>
      </c>
    </row>
    <row r="1301" ht="18" customHeight="1">
      <c r="A1301" s="39" t="n">
        <v>1296</v>
      </c>
      <c r="B1301" s="33">
        <f>IF(C1301="","",IF(P1301="À RENSEIGNER","GIC",P1301)&amp;"-V"&amp;TEXT(A1301,"00000"))</f>
        <v/>
      </c>
      <c r="C1301" s="32" t="n"/>
      <c r="D1301" s="35" t="n"/>
      <c r="E1301" s="36" t="n"/>
      <c r="F1301" s="36" t="n"/>
      <c r="G1301" s="36" t="n"/>
      <c r="H1301" s="36" t="n"/>
      <c r="I1301" s="36" t="n"/>
      <c r="J1301" s="37" t="n"/>
      <c r="K1301" s="32" t="n"/>
      <c r="L1301" s="36" t="n"/>
      <c r="M1301" s="41" t="n"/>
      <c r="N1301" s="41" t="n"/>
      <c r="O1301" s="36" t="n"/>
      <c r="P1301" s="33">
        <f>IF(C1301="","",Commercial_Id)</f>
        <v/>
      </c>
      <c r="Q1301" s="39">
        <f>IF(F1301="","",IFERROR(VALUE(MID(F1301,LEN(F1301)-3,3)),""))</f>
        <v/>
      </c>
      <c r="R1301" s="33">
        <f>IF(Q1301="","",P1301&amp;"|"&amp;Q1301)</f>
        <v/>
      </c>
      <c r="S1301" s="33">
        <f>IF(Q1301="","",IF(P1301="À RENSEIGNER","GIC",P1301)&amp;"-"&amp;TEXT(Q1301,"000"))</f>
        <v/>
      </c>
      <c r="T1301" s="33">
        <f>IF(R1301="","",IFERROR(INDEX(Cl_nom,MATCH(R1301,Cl_cle,0)),"(client introuvable)"))</f>
        <v/>
      </c>
      <c r="U1301" s="33">
        <f>IF(R1301="","",IFERROR(INDEX(Cl_quartier,MATCH(R1301,Cl_cle,0))&amp;"",""))</f>
        <v/>
      </c>
      <c r="V1301" s="34">
        <f>IF(C1301="","",YEAR(C1301-WEEKDAY(C1301,2)+4)&amp;"-S"&amp;TEXT(INT((C1301-DATE(YEAR(C1301-WEEKDAY(C1301,2)+4),1,3)+WEEKDAY(DATE(YEAR(C1301-WEEKDAY(C1301,2)+4),1,3),2)+5)/7),"00"))</f>
        <v/>
      </c>
    </row>
    <row r="1302" ht="18" customHeight="1">
      <c r="A1302" s="39" t="n">
        <v>1297</v>
      </c>
      <c r="B1302" s="33">
        <f>IF(C1302="","",IF(P1302="À RENSEIGNER","GIC",P1302)&amp;"-V"&amp;TEXT(A1302,"00000"))</f>
        <v/>
      </c>
      <c r="C1302" s="32" t="n"/>
      <c r="D1302" s="35" t="n"/>
      <c r="E1302" s="36" t="n"/>
      <c r="F1302" s="36" t="n"/>
      <c r="G1302" s="36" t="n"/>
      <c r="H1302" s="36" t="n"/>
      <c r="I1302" s="36" t="n"/>
      <c r="J1302" s="37" t="n"/>
      <c r="K1302" s="32" t="n"/>
      <c r="L1302" s="36" t="n"/>
      <c r="M1302" s="41" t="n"/>
      <c r="N1302" s="41" t="n"/>
      <c r="O1302" s="36" t="n"/>
      <c r="P1302" s="33">
        <f>IF(C1302="","",Commercial_Id)</f>
        <v/>
      </c>
      <c r="Q1302" s="39">
        <f>IF(F1302="","",IFERROR(VALUE(MID(F1302,LEN(F1302)-3,3)),""))</f>
        <v/>
      </c>
      <c r="R1302" s="33">
        <f>IF(Q1302="","",P1302&amp;"|"&amp;Q1302)</f>
        <v/>
      </c>
      <c r="S1302" s="33">
        <f>IF(Q1302="","",IF(P1302="À RENSEIGNER","GIC",P1302)&amp;"-"&amp;TEXT(Q1302,"000"))</f>
        <v/>
      </c>
      <c r="T1302" s="33">
        <f>IF(R1302="","",IFERROR(INDEX(Cl_nom,MATCH(R1302,Cl_cle,0)),"(client introuvable)"))</f>
        <v/>
      </c>
      <c r="U1302" s="33">
        <f>IF(R1302="","",IFERROR(INDEX(Cl_quartier,MATCH(R1302,Cl_cle,0))&amp;"",""))</f>
        <v/>
      </c>
      <c r="V1302" s="34">
        <f>IF(C1302="","",YEAR(C1302-WEEKDAY(C1302,2)+4)&amp;"-S"&amp;TEXT(INT((C1302-DATE(YEAR(C1302-WEEKDAY(C1302,2)+4),1,3)+WEEKDAY(DATE(YEAR(C1302-WEEKDAY(C1302,2)+4),1,3),2)+5)/7),"00"))</f>
        <v/>
      </c>
    </row>
    <row r="1303" ht="18" customHeight="1">
      <c r="A1303" s="39" t="n">
        <v>1298</v>
      </c>
      <c r="B1303" s="33">
        <f>IF(C1303="","",IF(P1303="À RENSEIGNER","GIC",P1303)&amp;"-V"&amp;TEXT(A1303,"00000"))</f>
        <v/>
      </c>
      <c r="C1303" s="32" t="n"/>
      <c r="D1303" s="35" t="n"/>
      <c r="E1303" s="36" t="n"/>
      <c r="F1303" s="36" t="n"/>
      <c r="G1303" s="36" t="n"/>
      <c r="H1303" s="36" t="n"/>
      <c r="I1303" s="36" t="n"/>
      <c r="J1303" s="37" t="n"/>
      <c r="K1303" s="32" t="n"/>
      <c r="L1303" s="36" t="n"/>
      <c r="M1303" s="41" t="n"/>
      <c r="N1303" s="41" t="n"/>
      <c r="O1303" s="36" t="n"/>
      <c r="P1303" s="33">
        <f>IF(C1303="","",Commercial_Id)</f>
        <v/>
      </c>
      <c r="Q1303" s="39">
        <f>IF(F1303="","",IFERROR(VALUE(MID(F1303,LEN(F1303)-3,3)),""))</f>
        <v/>
      </c>
      <c r="R1303" s="33">
        <f>IF(Q1303="","",P1303&amp;"|"&amp;Q1303)</f>
        <v/>
      </c>
      <c r="S1303" s="33">
        <f>IF(Q1303="","",IF(P1303="À RENSEIGNER","GIC",P1303)&amp;"-"&amp;TEXT(Q1303,"000"))</f>
        <v/>
      </c>
      <c r="T1303" s="33">
        <f>IF(R1303="","",IFERROR(INDEX(Cl_nom,MATCH(R1303,Cl_cle,0)),"(client introuvable)"))</f>
        <v/>
      </c>
      <c r="U1303" s="33">
        <f>IF(R1303="","",IFERROR(INDEX(Cl_quartier,MATCH(R1303,Cl_cle,0))&amp;"",""))</f>
        <v/>
      </c>
      <c r="V1303" s="34">
        <f>IF(C1303="","",YEAR(C1303-WEEKDAY(C1303,2)+4)&amp;"-S"&amp;TEXT(INT((C1303-DATE(YEAR(C1303-WEEKDAY(C1303,2)+4),1,3)+WEEKDAY(DATE(YEAR(C1303-WEEKDAY(C1303,2)+4),1,3),2)+5)/7),"00"))</f>
        <v/>
      </c>
    </row>
    <row r="1304" ht="18" customHeight="1">
      <c r="A1304" s="39" t="n">
        <v>1299</v>
      </c>
      <c r="B1304" s="33">
        <f>IF(C1304="","",IF(P1304="À RENSEIGNER","GIC",P1304)&amp;"-V"&amp;TEXT(A1304,"00000"))</f>
        <v/>
      </c>
      <c r="C1304" s="32" t="n"/>
      <c r="D1304" s="35" t="n"/>
      <c r="E1304" s="36" t="n"/>
      <c r="F1304" s="36" t="n"/>
      <c r="G1304" s="36" t="n"/>
      <c r="H1304" s="36" t="n"/>
      <c r="I1304" s="36" t="n"/>
      <c r="J1304" s="37" t="n"/>
      <c r="K1304" s="32" t="n"/>
      <c r="L1304" s="36" t="n"/>
      <c r="M1304" s="41" t="n"/>
      <c r="N1304" s="41" t="n"/>
      <c r="O1304" s="36" t="n"/>
      <c r="P1304" s="33">
        <f>IF(C1304="","",Commercial_Id)</f>
        <v/>
      </c>
      <c r="Q1304" s="39">
        <f>IF(F1304="","",IFERROR(VALUE(MID(F1304,LEN(F1304)-3,3)),""))</f>
        <v/>
      </c>
      <c r="R1304" s="33">
        <f>IF(Q1304="","",P1304&amp;"|"&amp;Q1304)</f>
        <v/>
      </c>
      <c r="S1304" s="33">
        <f>IF(Q1304="","",IF(P1304="À RENSEIGNER","GIC",P1304)&amp;"-"&amp;TEXT(Q1304,"000"))</f>
        <v/>
      </c>
      <c r="T1304" s="33">
        <f>IF(R1304="","",IFERROR(INDEX(Cl_nom,MATCH(R1304,Cl_cle,0)),"(client introuvable)"))</f>
        <v/>
      </c>
      <c r="U1304" s="33">
        <f>IF(R1304="","",IFERROR(INDEX(Cl_quartier,MATCH(R1304,Cl_cle,0))&amp;"",""))</f>
        <v/>
      </c>
      <c r="V1304" s="34">
        <f>IF(C1304="","",YEAR(C1304-WEEKDAY(C1304,2)+4)&amp;"-S"&amp;TEXT(INT((C1304-DATE(YEAR(C1304-WEEKDAY(C1304,2)+4),1,3)+WEEKDAY(DATE(YEAR(C1304-WEEKDAY(C1304,2)+4),1,3),2)+5)/7),"00"))</f>
        <v/>
      </c>
    </row>
    <row r="1305" ht="18" customHeight="1">
      <c r="A1305" s="39" t="n">
        <v>1300</v>
      </c>
      <c r="B1305" s="33">
        <f>IF(C1305="","",IF(P1305="À RENSEIGNER","GIC",P1305)&amp;"-V"&amp;TEXT(A1305,"00000"))</f>
        <v/>
      </c>
      <c r="C1305" s="32" t="n"/>
      <c r="D1305" s="35" t="n"/>
      <c r="E1305" s="36" t="n"/>
      <c r="F1305" s="36" t="n"/>
      <c r="G1305" s="36" t="n"/>
      <c r="H1305" s="36" t="n"/>
      <c r="I1305" s="36" t="n"/>
      <c r="J1305" s="37" t="n"/>
      <c r="K1305" s="32" t="n"/>
      <c r="L1305" s="36" t="n"/>
      <c r="M1305" s="41" t="n"/>
      <c r="N1305" s="41" t="n"/>
      <c r="O1305" s="36" t="n"/>
      <c r="P1305" s="33">
        <f>IF(C1305="","",Commercial_Id)</f>
        <v/>
      </c>
      <c r="Q1305" s="39">
        <f>IF(F1305="","",IFERROR(VALUE(MID(F1305,LEN(F1305)-3,3)),""))</f>
        <v/>
      </c>
      <c r="R1305" s="33">
        <f>IF(Q1305="","",P1305&amp;"|"&amp;Q1305)</f>
        <v/>
      </c>
      <c r="S1305" s="33">
        <f>IF(Q1305="","",IF(P1305="À RENSEIGNER","GIC",P1305)&amp;"-"&amp;TEXT(Q1305,"000"))</f>
        <v/>
      </c>
      <c r="T1305" s="33">
        <f>IF(R1305="","",IFERROR(INDEX(Cl_nom,MATCH(R1305,Cl_cle,0)),"(client introuvable)"))</f>
        <v/>
      </c>
      <c r="U1305" s="33">
        <f>IF(R1305="","",IFERROR(INDEX(Cl_quartier,MATCH(R1305,Cl_cle,0))&amp;"",""))</f>
        <v/>
      </c>
      <c r="V1305" s="34">
        <f>IF(C1305="","",YEAR(C1305-WEEKDAY(C1305,2)+4)&amp;"-S"&amp;TEXT(INT((C1305-DATE(YEAR(C1305-WEEKDAY(C1305,2)+4),1,3)+WEEKDAY(DATE(YEAR(C1305-WEEKDAY(C1305,2)+4),1,3),2)+5)/7),"00"))</f>
        <v/>
      </c>
    </row>
    <row r="1306" ht="18" customHeight="1">
      <c r="A1306" s="39" t="n">
        <v>1301</v>
      </c>
      <c r="B1306" s="33">
        <f>IF(C1306="","",IF(P1306="À RENSEIGNER","GIC",P1306)&amp;"-V"&amp;TEXT(A1306,"00000"))</f>
        <v/>
      </c>
      <c r="C1306" s="32" t="n"/>
      <c r="D1306" s="35" t="n"/>
      <c r="E1306" s="36" t="n"/>
      <c r="F1306" s="36" t="n"/>
      <c r="G1306" s="36" t="n"/>
      <c r="H1306" s="36" t="n"/>
      <c r="I1306" s="36" t="n"/>
      <c r="J1306" s="37" t="n"/>
      <c r="K1306" s="32" t="n"/>
      <c r="L1306" s="36" t="n"/>
      <c r="M1306" s="41" t="n"/>
      <c r="N1306" s="41" t="n"/>
      <c r="O1306" s="36" t="n"/>
      <c r="P1306" s="33">
        <f>IF(C1306="","",Commercial_Id)</f>
        <v/>
      </c>
      <c r="Q1306" s="39">
        <f>IF(F1306="","",IFERROR(VALUE(MID(F1306,LEN(F1306)-3,3)),""))</f>
        <v/>
      </c>
      <c r="R1306" s="33">
        <f>IF(Q1306="","",P1306&amp;"|"&amp;Q1306)</f>
        <v/>
      </c>
      <c r="S1306" s="33">
        <f>IF(Q1306="","",IF(P1306="À RENSEIGNER","GIC",P1306)&amp;"-"&amp;TEXT(Q1306,"000"))</f>
        <v/>
      </c>
      <c r="T1306" s="33">
        <f>IF(R1306="","",IFERROR(INDEX(Cl_nom,MATCH(R1306,Cl_cle,0)),"(client introuvable)"))</f>
        <v/>
      </c>
      <c r="U1306" s="33">
        <f>IF(R1306="","",IFERROR(INDEX(Cl_quartier,MATCH(R1306,Cl_cle,0))&amp;"",""))</f>
        <v/>
      </c>
      <c r="V1306" s="34">
        <f>IF(C1306="","",YEAR(C1306-WEEKDAY(C1306,2)+4)&amp;"-S"&amp;TEXT(INT((C1306-DATE(YEAR(C1306-WEEKDAY(C1306,2)+4),1,3)+WEEKDAY(DATE(YEAR(C1306-WEEKDAY(C1306,2)+4),1,3),2)+5)/7),"00"))</f>
        <v/>
      </c>
    </row>
    <row r="1307" ht="18" customHeight="1">
      <c r="A1307" s="39" t="n">
        <v>1302</v>
      </c>
      <c r="B1307" s="33">
        <f>IF(C1307="","",IF(P1307="À RENSEIGNER","GIC",P1307)&amp;"-V"&amp;TEXT(A1307,"00000"))</f>
        <v/>
      </c>
      <c r="C1307" s="32" t="n"/>
      <c r="D1307" s="35" t="n"/>
      <c r="E1307" s="36" t="n"/>
      <c r="F1307" s="36" t="n"/>
      <c r="G1307" s="36" t="n"/>
      <c r="H1307" s="36" t="n"/>
      <c r="I1307" s="36" t="n"/>
      <c r="J1307" s="37" t="n"/>
      <c r="K1307" s="32" t="n"/>
      <c r="L1307" s="36" t="n"/>
      <c r="M1307" s="41" t="n"/>
      <c r="N1307" s="41" t="n"/>
      <c r="O1307" s="36" t="n"/>
      <c r="P1307" s="33">
        <f>IF(C1307="","",Commercial_Id)</f>
        <v/>
      </c>
      <c r="Q1307" s="39">
        <f>IF(F1307="","",IFERROR(VALUE(MID(F1307,LEN(F1307)-3,3)),""))</f>
        <v/>
      </c>
      <c r="R1307" s="33">
        <f>IF(Q1307="","",P1307&amp;"|"&amp;Q1307)</f>
        <v/>
      </c>
      <c r="S1307" s="33">
        <f>IF(Q1307="","",IF(P1307="À RENSEIGNER","GIC",P1307)&amp;"-"&amp;TEXT(Q1307,"000"))</f>
        <v/>
      </c>
      <c r="T1307" s="33">
        <f>IF(R1307="","",IFERROR(INDEX(Cl_nom,MATCH(R1307,Cl_cle,0)),"(client introuvable)"))</f>
        <v/>
      </c>
      <c r="U1307" s="33">
        <f>IF(R1307="","",IFERROR(INDEX(Cl_quartier,MATCH(R1307,Cl_cle,0))&amp;"",""))</f>
        <v/>
      </c>
      <c r="V1307" s="34">
        <f>IF(C1307="","",YEAR(C1307-WEEKDAY(C1307,2)+4)&amp;"-S"&amp;TEXT(INT((C1307-DATE(YEAR(C1307-WEEKDAY(C1307,2)+4),1,3)+WEEKDAY(DATE(YEAR(C1307-WEEKDAY(C1307,2)+4),1,3),2)+5)/7),"00"))</f>
        <v/>
      </c>
    </row>
    <row r="1308" ht="18" customHeight="1">
      <c r="A1308" s="39" t="n">
        <v>1303</v>
      </c>
      <c r="B1308" s="33">
        <f>IF(C1308="","",IF(P1308="À RENSEIGNER","GIC",P1308)&amp;"-V"&amp;TEXT(A1308,"00000"))</f>
        <v/>
      </c>
      <c r="C1308" s="32" t="n"/>
      <c r="D1308" s="35" t="n"/>
      <c r="E1308" s="36" t="n"/>
      <c r="F1308" s="36" t="n"/>
      <c r="G1308" s="36" t="n"/>
      <c r="H1308" s="36" t="n"/>
      <c r="I1308" s="36" t="n"/>
      <c r="J1308" s="37" t="n"/>
      <c r="K1308" s="32" t="n"/>
      <c r="L1308" s="36" t="n"/>
      <c r="M1308" s="41" t="n"/>
      <c r="N1308" s="41" t="n"/>
      <c r="O1308" s="36" t="n"/>
      <c r="P1308" s="33">
        <f>IF(C1308="","",Commercial_Id)</f>
        <v/>
      </c>
      <c r="Q1308" s="39">
        <f>IF(F1308="","",IFERROR(VALUE(MID(F1308,LEN(F1308)-3,3)),""))</f>
        <v/>
      </c>
      <c r="R1308" s="33">
        <f>IF(Q1308="","",P1308&amp;"|"&amp;Q1308)</f>
        <v/>
      </c>
      <c r="S1308" s="33">
        <f>IF(Q1308="","",IF(P1308="À RENSEIGNER","GIC",P1308)&amp;"-"&amp;TEXT(Q1308,"000"))</f>
        <v/>
      </c>
      <c r="T1308" s="33">
        <f>IF(R1308="","",IFERROR(INDEX(Cl_nom,MATCH(R1308,Cl_cle,0)),"(client introuvable)"))</f>
        <v/>
      </c>
      <c r="U1308" s="33">
        <f>IF(R1308="","",IFERROR(INDEX(Cl_quartier,MATCH(R1308,Cl_cle,0))&amp;"",""))</f>
        <v/>
      </c>
      <c r="V1308" s="34">
        <f>IF(C1308="","",YEAR(C1308-WEEKDAY(C1308,2)+4)&amp;"-S"&amp;TEXT(INT((C1308-DATE(YEAR(C1308-WEEKDAY(C1308,2)+4),1,3)+WEEKDAY(DATE(YEAR(C1308-WEEKDAY(C1308,2)+4),1,3),2)+5)/7),"00"))</f>
        <v/>
      </c>
    </row>
    <row r="1309" ht="18" customHeight="1">
      <c r="A1309" s="39" t="n">
        <v>1304</v>
      </c>
      <c r="B1309" s="33">
        <f>IF(C1309="","",IF(P1309="À RENSEIGNER","GIC",P1309)&amp;"-V"&amp;TEXT(A1309,"00000"))</f>
        <v/>
      </c>
      <c r="C1309" s="32" t="n"/>
      <c r="D1309" s="35" t="n"/>
      <c r="E1309" s="36" t="n"/>
      <c r="F1309" s="36" t="n"/>
      <c r="G1309" s="36" t="n"/>
      <c r="H1309" s="36" t="n"/>
      <c r="I1309" s="36" t="n"/>
      <c r="J1309" s="37" t="n"/>
      <c r="K1309" s="32" t="n"/>
      <c r="L1309" s="36" t="n"/>
      <c r="M1309" s="41" t="n"/>
      <c r="N1309" s="41" t="n"/>
      <c r="O1309" s="36" t="n"/>
      <c r="P1309" s="33">
        <f>IF(C1309="","",Commercial_Id)</f>
        <v/>
      </c>
      <c r="Q1309" s="39">
        <f>IF(F1309="","",IFERROR(VALUE(MID(F1309,LEN(F1309)-3,3)),""))</f>
        <v/>
      </c>
      <c r="R1309" s="33">
        <f>IF(Q1309="","",P1309&amp;"|"&amp;Q1309)</f>
        <v/>
      </c>
      <c r="S1309" s="33">
        <f>IF(Q1309="","",IF(P1309="À RENSEIGNER","GIC",P1309)&amp;"-"&amp;TEXT(Q1309,"000"))</f>
        <v/>
      </c>
      <c r="T1309" s="33">
        <f>IF(R1309="","",IFERROR(INDEX(Cl_nom,MATCH(R1309,Cl_cle,0)),"(client introuvable)"))</f>
        <v/>
      </c>
      <c r="U1309" s="33">
        <f>IF(R1309="","",IFERROR(INDEX(Cl_quartier,MATCH(R1309,Cl_cle,0))&amp;"",""))</f>
        <v/>
      </c>
      <c r="V1309" s="34">
        <f>IF(C1309="","",YEAR(C1309-WEEKDAY(C1309,2)+4)&amp;"-S"&amp;TEXT(INT((C1309-DATE(YEAR(C1309-WEEKDAY(C1309,2)+4),1,3)+WEEKDAY(DATE(YEAR(C1309-WEEKDAY(C1309,2)+4),1,3),2)+5)/7),"00"))</f>
        <v/>
      </c>
    </row>
    <row r="1310" ht="18" customHeight="1">
      <c r="A1310" s="39" t="n">
        <v>1305</v>
      </c>
      <c r="B1310" s="33">
        <f>IF(C1310="","",IF(P1310="À RENSEIGNER","GIC",P1310)&amp;"-V"&amp;TEXT(A1310,"00000"))</f>
        <v/>
      </c>
      <c r="C1310" s="32" t="n"/>
      <c r="D1310" s="35" t="n"/>
      <c r="E1310" s="36" t="n"/>
      <c r="F1310" s="36" t="n"/>
      <c r="G1310" s="36" t="n"/>
      <c r="H1310" s="36" t="n"/>
      <c r="I1310" s="36" t="n"/>
      <c r="J1310" s="37" t="n"/>
      <c r="K1310" s="32" t="n"/>
      <c r="L1310" s="36" t="n"/>
      <c r="M1310" s="41" t="n"/>
      <c r="N1310" s="41" t="n"/>
      <c r="O1310" s="36" t="n"/>
      <c r="P1310" s="33">
        <f>IF(C1310="","",Commercial_Id)</f>
        <v/>
      </c>
      <c r="Q1310" s="39">
        <f>IF(F1310="","",IFERROR(VALUE(MID(F1310,LEN(F1310)-3,3)),""))</f>
        <v/>
      </c>
      <c r="R1310" s="33">
        <f>IF(Q1310="","",P1310&amp;"|"&amp;Q1310)</f>
        <v/>
      </c>
      <c r="S1310" s="33">
        <f>IF(Q1310="","",IF(P1310="À RENSEIGNER","GIC",P1310)&amp;"-"&amp;TEXT(Q1310,"000"))</f>
        <v/>
      </c>
      <c r="T1310" s="33">
        <f>IF(R1310="","",IFERROR(INDEX(Cl_nom,MATCH(R1310,Cl_cle,0)),"(client introuvable)"))</f>
        <v/>
      </c>
      <c r="U1310" s="33">
        <f>IF(R1310="","",IFERROR(INDEX(Cl_quartier,MATCH(R1310,Cl_cle,0))&amp;"",""))</f>
        <v/>
      </c>
      <c r="V1310" s="34">
        <f>IF(C1310="","",YEAR(C1310-WEEKDAY(C1310,2)+4)&amp;"-S"&amp;TEXT(INT((C1310-DATE(YEAR(C1310-WEEKDAY(C1310,2)+4),1,3)+WEEKDAY(DATE(YEAR(C1310-WEEKDAY(C1310,2)+4),1,3),2)+5)/7),"00"))</f>
        <v/>
      </c>
    </row>
    <row r="1311" ht="18" customHeight="1">
      <c r="A1311" s="39" t="n">
        <v>1306</v>
      </c>
      <c r="B1311" s="33">
        <f>IF(C1311="","",IF(P1311="À RENSEIGNER","GIC",P1311)&amp;"-V"&amp;TEXT(A1311,"00000"))</f>
        <v/>
      </c>
      <c r="C1311" s="32" t="n"/>
      <c r="D1311" s="35" t="n"/>
      <c r="E1311" s="36" t="n"/>
      <c r="F1311" s="36" t="n"/>
      <c r="G1311" s="36" t="n"/>
      <c r="H1311" s="36" t="n"/>
      <c r="I1311" s="36" t="n"/>
      <c r="J1311" s="37" t="n"/>
      <c r="K1311" s="32" t="n"/>
      <c r="L1311" s="36" t="n"/>
      <c r="M1311" s="41" t="n"/>
      <c r="N1311" s="41" t="n"/>
      <c r="O1311" s="36" t="n"/>
      <c r="P1311" s="33">
        <f>IF(C1311="","",Commercial_Id)</f>
        <v/>
      </c>
      <c r="Q1311" s="39">
        <f>IF(F1311="","",IFERROR(VALUE(MID(F1311,LEN(F1311)-3,3)),""))</f>
        <v/>
      </c>
      <c r="R1311" s="33">
        <f>IF(Q1311="","",P1311&amp;"|"&amp;Q1311)</f>
        <v/>
      </c>
      <c r="S1311" s="33">
        <f>IF(Q1311="","",IF(P1311="À RENSEIGNER","GIC",P1311)&amp;"-"&amp;TEXT(Q1311,"000"))</f>
        <v/>
      </c>
      <c r="T1311" s="33">
        <f>IF(R1311="","",IFERROR(INDEX(Cl_nom,MATCH(R1311,Cl_cle,0)),"(client introuvable)"))</f>
        <v/>
      </c>
      <c r="U1311" s="33">
        <f>IF(R1311="","",IFERROR(INDEX(Cl_quartier,MATCH(R1311,Cl_cle,0))&amp;"",""))</f>
        <v/>
      </c>
      <c r="V1311" s="34">
        <f>IF(C1311="","",YEAR(C1311-WEEKDAY(C1311,2)+4)&amp;"-S"&amp;TEXT(INT((C1311-DATE(YEAR(C1311-WEEKDAY(C1311,2)+4),1,3)+WEEKDAY(DATE(YEAR(C1311-WEEKDAY(C1311,2)+4),1,3),2)+5)/7),"00"))</f>
        <v/>
      </c>
    </row>
    <row r="1312" ht="18" customHeight="1">
      <c r="A1312" s="39" t="n">
        <v>1307</v>
      </c>
      <c r="B1312" s="33">
        <f>IF(C1312="","",IF(P1312="À RENSEIGNER","GIC",P1312)&amp;"-V"&amp;TEXT(A1312,"00000"))</f>
        <v/>
      </c>
      <c r="C1312" s="32" t="n"/>
      <c r="D1312" s="35" t="n"/>
      <c r="E1312" s="36" t="n"/>
      <c r="F1312" s="36" t="n"/>
      <c r="G1312" s="36" t="n"/>
      <c r="H1312" s="36" t="n"/>
      <c r="I1312" s="36" t="n"/>
      <c r="J1312" s="37" t="n"/>
      <c r="K1312" s="32" t="n"/>
      <c r="L1312" s="36" t="n"/>
      <c r="M1312" s="41" t="n"/>
      <c r="N1312" s="41" t="n"/>
      <c r="O1312" s="36" t="n"/>
      <c r="P1312" s="33">
        <f>IF(C1312="","",Commercial_Id)</f>
        <v/>
      </c>
      <c r="Q1312" s="39">
        <f>IF(F1312="","",IFERROR(VALUE(MID(F1312,LEN(F1312)-3,3)),""))</f>
        <v/>
      </c>
      <c r="R1312" s="33">
        <f>IF(Q1312="","",P1312&amp;"|"&amp;Q1312)</f>
        <v/>
      </c>
      <c r="S1312" s="33">
        <f>IF(Q1312="","",IF(P1312="À RENSEIGNER","GIC",P1312)&amp;"-"&amp;TEXT(Q1312,"000"))</f>
        <v/>
      </c>
      <c r="T1312" s="33">
        <f>IF(R1312="","",IFERROR(INDEX(Cl_nom,MATCH(R1312,Cl_cle,0)),"(client introuvable)"))</f>
        <v/>
      </c>
      <c r="U1312" s="33">
        <f>IF(R1312="","",IFERROR(INDEX(Cl_quartier,MATCH(R1312,Cl_cle,0))&amp;"",""))</f>
        <v/>
      </c>
      <c r="V1312" s="34">
        <f>IF(C1312="","",YEAR(C1312-WEEKDAY(C1312,2)+4)&amp;"-S"&amp;TEXT(INT((C1312-DATE(YEAR(C1312-WEEKDAY(C1312,2)+4),1,3)+WEEKDAY(DATE(YEAR(C1312-WEEKDAY(C1312,2)+4),1,3),2)+5)/7),"00"))</f>
        <v/>
      </c>
    </row>
    <row r="1313" ht="18" customHeight="1">
      <c r="A1313" s="39" t="n">
        <v>1308</v>
      </c>
      <c r="B1313" s="33">
        <f>IF(C1313="","",IF(P1313="À RENSEIGNER","GIC",P1313)&amp;"-V"&amp;TEXT(A1313,"00000"))</f>
        <v/>
      </c>
      <c r="C1313" s="32" t="n"/>
      <c r="D1313" s="35" t="n"/>
      <c r="E1313" s="36" t="n"/>
      <c r="F1313" s="36" t="n"/>
      <c r="G1313" s="36" t="n"/>
      <c r="H1313" s="36" t="n"/>
      <c r="I1313" s="36" t="n"/>
      <c r="J1313" s="37" t="n"/>
      <c r="K1313" s="32" t="n"/>
      <c r="L1313" s="36" t="n"/>
      <c r="M1313" s="41" t="n"/>
      <c r="N1313" s="41" t="n"/>
      <c r="O1313" s="36" t="n"/>
      <c r="P1313" s="33">
        <f>IF(C1313="","",Commercial_Id)</f>
        <v/>
      </c>
      <c r="Q1313" s="39">
        <f>IF(F1313="","",IFERROR(VALUE(MID(F1313,LEN(F1313)-3,3)),""))</f>
        <v/>
      </c>
      <c r="R1313" s="33">
        <f>IF(Q1313="","",P1313&amp;"|"&amp;Q1313)</f>
        <v/>
      </c>
      <c r="S1313" s="33">
        <f>IF(Q1313="","",IF(P1313="À RENSEIGNER","GIC",P1313)&amp;"-"&amp;TEXT(Q1313,"000"))</f>
        <v/>
      </c>
      <c r="T1313" s="33">
        <f>IF(R1313="","",IFERROR(INDEX(Cl_nom,MATCH(R1313,Cl_cle,0)),"(client introuvable)"))</f>
        <v/>
      </c>
      <c r="U1313" s="33">
        <f>IF(R1313="","",IFERROR(INDEX(Cl_quartier,MATCH(R1313,Cl_cle,0))&amp;"",""))</f>
        <v/>
      </c>
      <c r="V1313" s="34">
        <f>IF(C1313="","",YEAR(C1313-WEEKDAY(C1313,2)+4)&amp;"-S"&amp;TEXT(INT((C1313-DATE(YEAR(C1313-WEEKDAY(C1313,2)+4),1,3)+WEEKDAY(DATE(YEAR(C1313-WEEKDAY(C1313,2)+4),1,3),2)+5)/7),"00"))</f>
        <v/>
      </c>
    </row>
    <row r="1314" ht="18" customHeight="1">
      <c r="A1314" s="39" t="n">
        <v>1309</v>
      </c>
      <c r="B1314" s="33">
        <f>IF(C1314="","",IF(P1314="À RENSEIGNER","GIC",P1314)&amp;"-V"&amp;TEXT(A1314,"00000"))</f>
        <v/>
      </c>
      <c r="C1314" s="32" t="n"/>
      <c r="D1314" s="35" t="n"/>
      <c r="E1314" s="36" t="n"/>
      <c r="F1314" s="36" t="n"/>
      <c r="G1314" s="36" t="n"/>
      <c r="H1314" s="36" t="n"/>
      <c r="I1314" s="36" t="n"/>
      <c r="J1314" s="37" t="n"/>
      <c r="K1314" s="32" t="n"/>
      <c r="L1314" s="36" t="n"/>
      <c r="M1314" s="41" t="n"/>
      <c r="N1314" s="41" t="n"/>
      <c r="O1314" s="36" t="n"/>
      <c r="P1314" s="33">
        <f>IF(C1314="","",Commercial_Id)</f>
        <v/>
      </c>
      <c r="Q1314" s="39">
        <f>IF(F1314="","",IFERROR(VALUE(MID(F1314,LEN(F1314)-3,3)),""))</f>
        <v/>
      </c>
      <c r="R1314" s="33">
        <f>IF(Q1314="","",P1314&amp;"|"&amp;Q1314)</f>
        <v/>
      </c>
      <c r="S1314" s="33">
        <f>IF(Q1314="","",IF(P1314="À RENSEIGNER","GIC",P1314)&amp;"-"&amp;TEXT(Q1314,"000"))</f>
        <v/>
      </c>
      <c r="T1314" s="33">
        <f>IF(R1314="","",IFERROR(INDEX(Cl_nom,MATCH(R1314,Cl_cle,0)),"(client introuvable)"))</f>
        <v/>
      </c>
      <c r="U1314" s="33">
        <f>IF(R1314="","",IFERROR(INDEX(Cl_quartier,MATCH(R1314,Cl_cle,0))&amp;"",""))</f>
        <v/>
      </c>
      <c r="V1314" s="34">
        <f>IF(C1314="","",YEAR(C1314-WEEKDAY(C1314,2)+4)&amp;"-S"&amp;TEXT(INT((C1314-DATE(YEAR(C1314-WEEKDAY(C1314,2)+4),1,3)+WEEKDAY(DATE(YEAR(C1314-WEEKDAY(C1314,2)+4),1,3),2)+5)/7),"00"))</f>
        <v/>
      </c>
    </row>
    <row r="1315" ht="18" customHeight="1">
      <c r="A1315" s="39" t="n">
        <v>1310</v>
      </c>
      <c r="B1315" s="33">
        <f>IF(C1315="","",IF(P1315="À RENSEIGNER","GIC",P1315)&amp;"-V"&amp;TEXT(A1315,"00000"))</f>
        <v/>
      </c>
      <c r="C1315" s="32" t="n"/>
      <c r="D1315" s="35" t="n"/>
      <c r="E1315" s="36" t="n"/>
      <c r="F1315" s="36" t="n"/>
      <c r="G1315" s="36" t="n"/>
      <c r="H1315" s="36" t="n"/>
      <c r="I1315" s="36" t="n"/>
      <c r="J1315" s="37" t="n"/>
      <c r="K1315" s="32" t="n"/>
      <c r="L1315" s="36" t="n"/>
      <c r="M1315" s="41" t="n"/>
      <c r="N1315" s="41" t="n"/>
      <c r="O1315" s="36" t="n"/>
      <c r="P1315" s="33">
        <f>IF(C1315="","",Commercial_Id)</f>
        <v/>
      </c>
      <c r="Q1315" s="39">
        <f>IF(F1315="","",IFERROR(VALUE(MID(F1315,LEN(F1315)-3,3)),""))</f>
        <v/>
      </c>
      <c r="R1315" s="33">
        <f>IF(Q1315="","",P1315&amp;"|"&amp;Q1315)</f>
        <v/>
      </c>
      <c r="S1315" s="33">
        <f>IF(Q1315="","",IF(P1315="À RENSEIGNER","GIC",P1315)&amp;"-"&amp;TEXT(Q1315,"000"))</f>
        <v/>
      </c>
      <c r="T1315" s="33">
        <f>IF(R1315="","",IFERROR(INDEX(Cl_nom,MATCH(R1315,Cl_cle,0)),"(client introuvable)"))</f>
        <v/>
      </c>
      <c r="U1315" s="33">
        <f>IF(R1315="","",IFERROR(INDEX(Cl_quartier,MATCH(R1315,Cl_cle,0))&amp;"",""))</f>
        <v/>
      </c>
      <c r="V1315" s="34">
        <f>IF(C1315="","",YEAR(C1315-WEEKDAY(C1315,2)+4)&amp;"-S"&amp;TEXT(INT((C1315-DATE(YEAR(C1315-WEEKDAY(C1315,2)+4),1,3)+WEEKDAY(DATE(YEAR(C1315-WEEKDAY(C1315,2)+4),1,3),2)+5)/7),"00"))</f>
        <v/>
      </c>
    </row>
    <row r="1316" ht="18" customHeight="1">
      <c r="A1316" s="39" t="n">
        <v>1311</v>
      </c>
      <c r="B1316" s="33">
        <f>IF(C1316="","",IF(P1316="À RENSEIGNER","GIC",P1316)&amp;"-V"&amp;TEXT(A1316,"00000"))</f>
        <v/>
      </c>
      <c r="C1316" s="32" t="n"/>
      <c r="D1316" s="35" t="n"/>
      <c r="E1316" s="36" t="n"/>
      <c r="F1316" s="36" t="n"/>
      <c r="G1316" s="36" t="n"/>
      <c r="H1316" s="36" t="n"/>
      <c r="I1316" s="36" t="n"/>
      <c r="J1316" s="37" t="n"/>
      <c r="K1316" s="32" t="n"/>
      <c r="L1316" s="36" t="n"/>
      <c r="M1316" s="41" t="n"/>
      <c r="N1316" s="41" t="n"/>
      <c r="O1316" s="36" t="n"/>
      <c r="P1316" s="33">
        <f>IF(C1316="","",Commercial_Id)</f>
        <v/>
      </c>
      <c r="Q1316" s="39">
        <f>IF(F1316="","",IFERROR(VALUE(MID(F1316,LEN(F1316)-3,3)),""))</f>
        <v/>
      </c>
      <c r="R1316" s="33">
        <f>IF(Q1316="","",P1316&amp;"|"&amp;Q1316)</f>
        <v/>
      </c>
      <c r="S1316" s="33">
        <f>IF(Q1316="","",IF(P1316="À RENSEIGNER","GIC",P1316)&amp;"-"&amp;TEXT(Q1316,"000"))</f>
        <v/>
      </c>
      <c r="T1316" s="33">
        <f>IF(R1316="","",IFERROR(INDEX(Cl_nom,MATCH(R1316,Cl_cle,0)),"(client introuvable)"))</f>
        <v/>
      </c>
      <c r="U1316" s="33">
        <f>IF(R1316="","",IFERROR(INDEX(Cl_quartier,MATCH(R1316,Cl_cle,0))&amp;"",""))</f>
        <v/>
      </c>
      <c r="V1316" s="34">
        <f>IF(C1316="","",YEAR(C1316-WEEKDAY(C1316,2)+4)&amp;"-S"&amp;TEXT(INT((C1316-DATE(YEAR(C1316-WEEKDAY(C1316,2)+4),1,3)+WEEKDAY(DATE(YEAR(C1316-WEEKDAY(C1316,2)+4),1,3),2)+5)/7),"00"))</f>
        <v/>
      </c>
    </row>
    <row r="1317" ht="18" customHeight="1">
      <c r="A1317" s="39" t="n">
        <v>1312</v>
      </c>
      <c r="B1317" s="33">
        <f>IF(C1317="","",IF(P1317="À RENSEIGNER","GIC",P1317)&amp;"-V"&amp;TEXT(A1317,"00000"))</f>
        <v/>
      </c>
      <c r="C1317" s="32" t="n"/>
      <c r="D1317" s="35" t="n"/>
      <c r="E1317" s="36" t="n"/>
      <c r="F1317" s="36" t="n"/>
      <c r="G1317" s="36" t="n"/>
      <c r="H1317" s="36" t="n"/>
      <c r="I1317" s="36" t="n"/>
      <c r="J1317" s="37" t="n"/>
      <c r="K1317" s="32" t="n"/>
      <c r="L1317" s="36" t="n"/>
      <c r="M1317" s="41" t="n"/>
      <c r="N1317" s="41" t="n"/>
      <c r="O1317" s="36" t="n"/>
      <c r="P1317" s="33">
        <f>IF(C1317="","",Commercial_Id)</f>
        <v/>
      </c>
      <c r="Q1317" s="39">
        <f>IF(F1317="","",IFERROR(VALUE(MID(F1317,LEN(F1317)-3,3)),""))</f>
        <v/>
      </c>
      <c r="R1317" s="33">
        <f>IF(Q1317="","",P1317&amp;"|"&amp;Q1317)</f>
        <v/>
      </c>
      <c r="S1317" s="33">
        <f>IF(Q1317="","",IF(P1317="À RENSEIGNER","GIC",P1317)&amp;"-"&amp;TEXT(Q1317,"000"))</f>
        <v/>
      </c>
      <c r="T1317" s="33">
        <f>IF(R1317="","",IFERROR(INDEX(Cl_nom,MATCH(R1317,Cl_cle,0)),"(client introuvable)"))</f>
        <v/>
      </c>
      <c r="U1317" s="33">
        <f>IF(R1317="","",IFERROR(INDEX(Cl_quartier,MATCH(R1317,Cl_cle,0))&amp;"",""))</f>
        <v/>
      </c>
      <c r="V1317" s="34">
        <f>IF(C1317="","",YEAR(C1317-WEEKDAY(C1317,2)+4)&amp;"-S"&amp;TEXT(INT((C1317-DATE(YEAR(C1317-WEEKDAY(C1317,2)+4),1,3)+WEEKDAY(DATE(YEAR(C1317-WEEKDAY(C1317,2)+4),1,3),2)+5)/7),"00"))</f>
        <v/>
      </c>
    </row>
    <row r="1318" ht="18" customHeight="1">
      <c r="A1318" s="39" t="n">
        <v>1313</v>
      </c>
      <c r="B1318" s="33">
        <f>IF(C1318="","",IF(P1318="À RENSEIGNER","GIC",P1318)&amp;"-V"&amp;TEXT(A1318,"00000"))</f>
        <v/>
      </c>
      <c r="C1318" s="32" t="n"/>
      <c r="D1318" s="35" t="n"/>
      <c r="E1318" s="36" t="n"/>
      <c r="F1318" s="36" t="n"/>
      <c r="G1318" s="36" t="n"/>
      <c r="H1318" s="36" t="n"/>
      <c r="I1318" s="36" t="n"/>
      <c r="J1318" s="37" t="n"/>
      <c r="K1318" s="32" t="n"/>
      <c r="L1318" s="36" t="n"/>
      <c r="M1318" s="41" t="n"/>
      <c r="N1318" s="41" t="n"/>
      <c r="O1318" s="36" t="n"/>
      <c r="P1318" s="33">
        <f>IF(C1318="","",Commercial_Id)</f>
        <v/>
      </c>
      <c r="Q1318" s="39">
        <f>IF(F1318="","",IFERROR(VALUE(MID(F1318,LEN(F1318)-3,3)),""))</f>
        <v/>
      </c>
      <c r="R1318" s="33">
        <f>IF(Q1318="","",P1318&amp;"|"&amp;Q1318)</f>
        <v/>
      </c>
      <c r="S1318" s="33">
        <f>IF(Q1318="","",IF(P1318="À RENSEIGNER","GIC",P1318)&amp;"-"&amp;TEXT(Q1318,"000"))</f>
        <v/>
      </c>
      <c r="T1318" s="33">
        <f>IF(R1318="","",IFERROR(INDEX(Cl_nom,MATCH(R1318,Cl_cle,0)),"(client introuvable)"))</f>
        <v/>
      </c>
      <c r="U1318" s="33">
        <f>IF(R1318="","",IFERROR(INDEX(Cl_quartier,MATCH(R1318,Cl_cle,0))&amp;"",""))</f>
        <v/>
      </c>
      <c r="V1318" s="34">
        <f>IF(C1318="","",YEAR(C1318-WEEKDAY(C1318,2)+4)&amp;"-S"&amp;TEXT(INT((C1318-DATE(YEAR(C1318-WEEKDAY(C1318,2)+4),1,3)+WEEKDAY(DATE(YEAR(C1318-WEEKDAY(C1318,2)+4),1,3),2)+5)/7),"00"))</f>
        <v/>
      </c>
    </row>
    <row r="1319" ht="18" customHeight="1">
      <c r="A1319" s="39" t="n">
        <v>1314</v>
      </c>
      <c r="B1319" s="33">
        <f>IF(C1319="","",IF(P1319="À RENSEIGNER","GIC",P1319)&amp;"-V"&amp;TEXT(A1319,"00000"))</f>
        <v/>
      </c>
      <c r="C1319" s="32" t="n"/>
      <c r="D1319" s="35" t="n"/>
      <c r="E1319" s="36" t="n"/>
      <c r="F1319" s="36" t="n"/>
      <c r="G1319" s="36" t="n"/>
      <c r="H1319" s="36" t="n"/>
      <c r="I1319" s="36" t="n"/>
      <c r="J1319" s="37" t="n"/>
      <c r="K1319" s="32" t="n"/>
      <c r="L1319" s="36" t="n"/>
      <c r="M1319" s="41" t="n"/>
      <c r="N1319" s="41" t="n"/>
      <c r="O1319" s="36" t="n"/>
      <c r="P1319" s="33">
        <f>IF(C1319="","",Commercial_Id)</f>
        <v/>
      </c>
      <c r="Q1319" s="39">
        <f>IF(F1319="","",IFERROR(VALUE(MID(F1319,LEN(F1319)-3,3)),""))</f>
        <v/>
      </c>
      <c r="R1319" s="33">
        <f>IF(Q1319="","",P1319&amp;"|"&amp;Q1319)</f>
        <v/>
      </c>
      <c r="S1319" s="33">
        <f>IF(Q1319="","",IF(P1319="À RENSEIGNER","GIC",P1319)&amp;"-"&amp;TEXT(Q1319,"000"))</f>
        <v/>
      </c>
      <c r="T1319" s="33">
        <f>IF(R1319="","",IFERROR(INDEX(Cl_nom,MATCH(R1319,Cl_cle,0)),"(client introuvable)"))</f>
        <v/>
      </c>
      <c r="U1319" s="33">
        <f>IF(R1319="","",IFERROR(INDEX(Cl_quartier,MATCH(R1319,Cl_cle,0))&amp;"",""))</f>
        <v/>
      </c>
      <c r="V1319" s="34">
        <f>IF(C1319="","",YEAR(C1319-WEEKDAY(C1319,2)+4)&amp;"-S"&amp;TEXT(INT((C1319-DATE(YEAR(C1319-WEEKDAY(C1319,2)+4),1,3)+WEEKDAY(DATE(YEAR(C1319-WEEKDAY(C1319,2)+4),1,3),2)+5)/7),"00"))</f>
        <v/>
      </c>
    </row>
    <row r="1320" ht="18" customHeight="1">
      <c r="A1320" s="39" t="n">
        <v>1315</v>
      </c>
      <c r="B1320" s="33">
        <f>IF(C1320="","",IF(P1320="À RENSEIGNER","GIC",P1320)&amp;"-V"&amp;TEXT(A1320,"00000"))</f>
        <v/>
      </c>
      <c r="C1320" s="32" t="n"/>
      <c r="D1320" s="35" t="n"/>
      <c r="E1320" s="36" t="n"/>
      <c r="F1320" s="36" t="n"/>
      <c r="G1320" s="36" t="n"/>
      <c r="H1320" s="36" t="n"/>
      <c r="I1320" s="36" t="n"/>
      <c r="J1320" s="37" t="n"/>
      <c r="K1320" s="32" t="n"/>
      <c r="L1320" s="36" t="n"/>
      <c r="M1320" s="41" t="n"/>
      <c r="N1320" s="41" t="n"/>
      <c r="O1320" s="36" t="n"/>
      <c r="P1320" s="33">
        <f>IF(C1320="","",Commercial_Id)</f>
        <v/>
      </c>
      <c r="Q1320" s="39">
        <f>IF(F1320="","",IFERROR(VALUE(MID(F1320,LEN(F1320)-3,3)),""))</f>
        <v/>
      </c>
      <c r="R1320" s="33">
        <f>IF(Q1320="","",P1320&amp;"|"&amp;Q1320)</f>
        <v/>
      </c>
      <c r="S1320" s="33">
        <f>IF(Q1320="","",IF(P1320="À RENSEIGNER","GIC",P1320)&amp;"-"&amp;TEXT(Q1320,"000"))</f>
        <v/>
      </c>
      <c r="T1320" s="33">
        <f>IF(R1320="","",IFERROR(INDEX(Cl_nom,MATCH(R1320,Cl_cle,0)),"(client introuvable)"))</f>
        <v/>
      </c>
      <c r="U1320" s="33">
        <f>IF(R1320="","",IFERROR(INDEX(Cl_quartier,MATCH(R1320,Cl_cle,0))&amp;"",""))</f>
        <v/>
      </c>
      <c r="V1320" s="34">
        <f>IF(C1320="","",YEAR(C1320-WEEKDAY(C1320,2)+4)&amp;"-S"&amp;TEXT(INT((C1320-DATE(YEAR(C1320-WEEKDAY(C1320,2)+4),1,3)+WEEKDAY(DATE(YEAR(C1320-WEEKDAY(C1320,2)+4),1,3),2)+5)/7),"00"))</f>
        <v/>
      </c>
    </row>
    <row r="1321" ht="18" customHeight="1">
      <c r="A1321" s="39" t="n">
        <v>1316</v>
      </c>
      <c r="B1321" s="33">
        <f>IF(C1321="","",IF(P1321="À RENSEIGNER","GIC",P1321)&amp;"-V"&amp;TEXT(A1321,"00000"))</f>
        <v/>
      </c>
      <c r="C1321" s="32" t="n"/>
      <c r="D1321" s="35" t="n"/>
      <c r="E1321" s="36" t="n"/>
      <c r="F1321" s="36" t="n"/>
      <c r="G1321" s="36" t="n"/>
      <c r="H1321" s="36" t="n"/>
      <c r="I1321" s="36" t="n"/>
      <c r="J1321" s="37" t="n"/>
      <c r="K1321" s="32" t="n"/>
      <c r="L1321" s="36" t="n"/>
      <c r="M1321" s="41" t="n"/>
      <c r="N1321" s="41" t="n"/>
      <c r="O1321" s="36" t="n"/>
      <c r="P1321" s="33">
        <f>IF(C1321="","",Commercial_Id)</f>
        <v/>
      </c>
      <c r="Q1321" s="39">
        <f>IF(F1321="","",IFERROR(VALUE(MID(F1321,LEN(F1321)-3,3)),""))</f>
        <v/>
      </c>
      <c r="R1321" s="33">
        <f>IF(Q1321="","",P1321&amp;"|"&amp;Q1321)</f>
        <v/>
      </c>
      <c r="S1321" s="33">
        <f>IF(Q1321="","",IF(P1321="À RENSEIGNER","GIC",P1321)&amp;"-"&amp;TEXT(Q1321,"000"))</f>
        <v/>
      </c>
      <c r="T1321" s="33">
        <f>IF(R1321="","",IFERROR(INDEX(Cl_nom,MATCH(R1321,Cl_cle,0)),"(client introuvable)"))</f>
        <v/>
      </c>
      <c r="U1321" s="33">
        <f>IF(R1321="","",IFERROR(INDEX(Cl_quartier,MATCH(R1321,Cl_cle,0))&amp;"",""))</f>
        <v/>
      </c>
      <c r="V1321" s="34">
        <f>IF(C1321="","",YEAR(C1321-WEEKDAY(C1321,2)+4)&amp;"-S"&amp;TEXT(INT((C1321-DATE(YEAR(C1321-WEEKDAY(C1321,2)+4),1,3)+WEEKDAY(DATE(YEAR(C1321-WEEKDAY(C1321,2)+4),1,3),2)+5)/7),"00"))</f>
        <v/>
      </c>
    </row>
    <row r="1322" ht="18" customHeight="1">
      <c r="A1322" s="39" t="n">
        <v>1317</v>
      </c>
      <c r="B1322" s="33">
        <f>IF(C1322="","",IF(P1322="À RENSEIGNER","GIC",P1322)&amp;"-V"&amp;TEXT(A1322,"00000"))</f>
        <v/>
      </c>
      <c r="C1322" s="32" t="n"/>
      <c r="D1322" s="35" t="n"/>
      <c r="E1322" s="36" t="n"/>
      <c r="F1322" s="36" t="n"/>
      <c r="G1322" s="36" t="n"/>
      <c r="H1322" s="36" t="n"/>
      <c r="I1322" s="36" t="n"/>
      <c r="J1322" s="37" t="n"/>
      <c r="K1322" s="32" t="n"/>
      <c r="L1322" s="36" t="n"/>
      <c r="M1322" s="41" t="n"/>
      <c r="N1322" s="41" t="n"/>
      <c r="O1322" s="36" t="n"/>
      <c r="P1322" s="33">
        <f>IF(C1322="","",Commercial_Id)</f>
        <v/>
      </c>
      <c r="Q1322" s="39">
        <f>IF(F1322="","",IFERROR(VALUE(MID(F1322,LEN(F1322)-3,3)),""))</f>
        <v/>
      </c>
      <c r="R1322" s="33">
        <f>IF(Q1322="","",P1322&amp;"|"&amp;Q1322)</f>
        <v/>
      </c>
      <c r="S1322" s="33">
        <f>IF(Q1322="","",IF(P1322="À RENSEIGNER","GIC",P1322)&amp;"-"&amp;TEXT(Q1322,"000"))</f>
        <v/>
      </c>
      <c r="T1322" s="33">
        <f>IF(R1322="","",IFERROR(INDEX(Cl_nom,MATCH(R1322,Cl_cle,0)),"(client introuvable)"))</f>
        <v/>
      </c>
      <c r="U1322" s="33">
        <f>IF(R1322="","",IFERROR(INDEX(Cl_quartier,MATCH(R1322,Cl_cle,0))&amp;"",""))</f>
        <v/>
      </c>
      <c r="V1322" s="34">
        <f>IF(C1322="","",YEAR(C1322-WEEKDAY(C1322,2)+4)&amp;"-S"&amp;TEXT(INT((C1322-DATE(YEAR(C1322-WEEKDAY(C1322,2)+4),1,3)+WEEKDAY(DATE(YEAR(C1322-WEEKDAY(C1322,2)+4),1,3),2)+5)/7),"00"))</f>
        <v/>
      </c>
    </row>
    <row r="1323" ht="18" customHeight="1">
      <c r="A1323" s="39" t="n">
        <v>1318</v>
      </c>
      <c r="B1323" s="33">
        <f>IF(C1323="","",IF(P1323="À RENSEIGNER","GIC",P1323)&amp;"-V"&amp;TEXT(A1323,"00000"))</f>
        <v/>
      </c>
      <c r="C1323" s="32" t="n"/>
      <c r="D1323" s="35" t="n"/>
      <c r="E1323" s="36" t="n"/>
      <c r="F1323" s="36" t="n"/>
      <c r="G1323" s="36" t="n"/>
      <c r="H1323" s="36" t="n"/>
      <c r="I1323" s="36" t="n"/>
      <c r="J1323" s="37" t="n"/>
      <c r="K1323" s="32" t="n"/>
      <c r="L1323" s="36" t="n"/>
      <c r="M1323" s="41" t="n"/>
      <c r="N1323" s="41" t="n"/>
      <c r="O1323" s="36" t="n"/>
      <c r="P1323" s="33">
        <f>IF(C1323="","",Commercial_Id)</f>
        <v/>
      </c>
      <c r="Q1323" s="39">
        <f>IF(F1323="","",IFERROR(VALUE(MID(F1323,LEN(F1323)-3,3)),""))</f>
        <v/>
      </c>
      <c r="R1323" s="33">
        <f>IF(Q1323="","",P1323&amp;"|"&amp;Q1323)</f>
        <v/>
      </c>
      <c r="S1323" s="33">
        <f>IF(Q1323="","",IF(P1323="À RENSEIGNER","GIC",P1323)&amp;"-"&amp;TEXT(Q1323,"000"))</f>
        <v/>
      </c>
      <c r="T1323" s="33">
        <f>IF(R1323="","",IFERROR(INDEX(Cl_nom,MATCH(R1323,Cl_cle,0)),"(client introuvable)"))</f>
        <v/>
      </c>
      <c r="U1323" s="33">
        <f>IF(R1323="","",IFERROR(INDEX(Cl_quartier,MATCH(R1323,Cl_cle,0))&amp;"",""))</f>
        <v/>
      </c>
      <c r="V1323" s="34">
        <f>IF(C1323="","",YEAR(C1323-WEEKDAY(C1323,2)+4)&amp;"-S"&amp;TEXT(INT((C1323-DATE(YEAR(C1323-WEEKDAY(C1323,2)+4),1,3)+WEEKDAY(DATE(YEAR(C1323-WEEKDAY(C1323,2)+4),1,3),2)+5)/7),"00"))</f>
        <v/>
      </c>
    </row>
    <row r="1324" ht="18" customHeight="1">
      <c r="A1324" s="39" t="n">
        <v>1319</v>
      </c>
      <c r="B1324" s="33">
        <f>IF(C1324="","",IF(P1324="À RENSEIGNER","GIC",P1324)&amp;"-V"&amp;TEXT(A1324,"00000"))</f>
        <v/>
      </c>
      <c r="C1324" s="32" t="n"/>
      <c r="D1324" s="35" t="n"/>
      <c r="E1324" s="36" t="n"/>
      <c r="F1324" s="36" t="n"/>
      <c r="G1324" s="36" t="n"/>
      <c r="H1324" s="36" t="n"/>
      <c r="I1324" s="36" t="n"/>
      <c r="J1324" s="37" t="n"/>
      <c r="K1324" s="32" t="n"/>
      <c r="L1324" s="36" t="n"/>
      <c r="M1324" s="41" t="n"/>
      <c r="N1324" s="41" t="n"/>
      <c r="O1324" s="36" t="n"/>
      <c r="P1324" s="33">
        <f>IF(C1324="","",Commercial_Id)</f>
        <v/>
      </c>
      <c r="Q1324" s="39">
        <f>IF(F1324="","",IFERROR(VALUE(MID(F1324,LEN(F1324)-3,3)),""))</f>
        <v/>
      </c>
      <c r="R1324" s="33">
        <f>IF(Q1324="","",P1324&amp;"|"&amp;Q1324)</f>
        <v/>
      </c>
      <c r="S1324" s="33">
        <f>IF(Q1324="","",IF(P1324="À RENSEIGNER","GIC",P1324)&amp;"-"&amp;TEXT(Q1324,"000"))</f>
        <v/>
      </c>
      <c r="T1324" s="33">
        <f>IF(R1324="","",IFERROR(INDEX(Cl_nom,MATCH(R1324,Cl_cle,0)),"(client introuvable)"))</f>
        <v/>
      </c>
      <c r="U1324" s="33">
        <f>IF(R1324="","",IFERROR(INDEX(Cl_quartier,MATCH(R1324,Cl_cle,0))&amp;"",""))</f>
        <v/>
      </c>
      <c r="V1324" s="34">
        <f>IF(C1324="","",YEAR(C1324-WEEKDAY(C1324,2)+4)&amp;"-S"&amp;TEXT(INT((C1324-DATE(YEAR(C1324-WEEKDAY(C1324,2)+4),1,3)+WEEKDAY(DATE(YEAR(C1324-WEEKDAY(C1324,2)+4),1,3),2)+5)/7),"00"))</f>
        <v/>
      </c>
    </row>
    <row r="1325" ht="18" customHeight="1">
      <c r="A1325" s="39" t="n">
        <v>1320</v>
      </c>
      <c r="B1325" s="33">
        <f>IF(C1325="","",IF(P1325="À RENSEIGNER","GIC",P1325)&amp;"-V"&amp;TEXT(A1325,"00000"))</f>
        <v/>
      </c>
      <c r="C1325" s="32" t="n"/>
      <c r="D1325" s="35" t="n"/>
      <c r="E1325" s="36" t="n"/>
      <c r="F1325" s="36" t="n"/>
      <c r="G1325" s="36" t="n"/>
      <c r="H1325" s="36" t="n"/>
      <c r="I1325" s="36" t="n"/>
      <c r="J1325" s="37" t="n"/>
      <c r="K1325" s="32" t="n"/>
      <c r="L1325" s="36" t="n"/>
      <c r="M1325" s="41" t="n"/>
      <c r="N1325" s="41" t="n"/>
      <c r="O1325" s="36" t="n"/>
      <c r="P1325" s="33">
        <f>IF(C1325="","",Commercial_Id)</f>
        <v/>
      </c>
      <c r="Q1325" s="39">
        <f>IF(F1325="","",IFERROR(VALUE(MID(F1325,LEN(F1325)-3,3)),""))</f>
        <v/>
      </c>
      <c r="R1325" s="33">
        <f>IF(Q1325="","",P1325&amp;"|"&amp;Q1325)</f>
        <v/>
      </c>
      <c r="S1325" s="33">
        <f>IF(Q1325="","",IF(P1325="À RENSEIGNER","GIC",P1325)&amp;"-"&amp;TEXT(Q1325,"000"))</f>
        <v/>
      </c>
      <c r="T1325" s="33">
        <f>IF(R1325="","",IFERROR(INDEX(Cl_nom,MATCH(R1325,Cl_cle,0)),"(client introuvable)"))</f>
        <v/>
      </c>
      <c r="U1325" s="33">
        <f>IF(R1325="","",IFERROR(INDEX(Cl_quartier,MATCH(R1325,Cl_cle,0))&amp;"",""))</f>
        <v/>
      </c>
      <c r="V1325" s="34">
        <f>IF(C1325="","",YEAR(C1325-WEEKDAY(C1325,2)+4)&amp;"-S"&amp;TEXT(INT((C1325-DATE(YEAR(C1325-WEEKDAY(C1325,2)+4),1,3)+WEEKDAY(DATE(YEAR(C1325-WEEKDAY(C1325,2)+4),1,3),2)+5)/7),"00"))</f>
        <v/>
      </c>
    </row>
    <row r="1326" ht="18" customHeight="1">
      <c r="A1326" s="39" t="n">
        <v>1321</v>
      </c>
      <c r="B1326" s="33">
        <f>IF(C1326="","",IF(P1326="À RENSEIGNER","GIC",P1326)&amp;"-V"&amp;TEXT(A1326,"00000"))</f>
        <v/>
      </c>
      <c r="C1326" s="32" t="n"/>
      <c r="D1326" s="35" t="n"/>
      <c r="E1326" s="36" t="n"/>
      <c r="F1326" s="36" t="n"/>
      <c r="G1326" s="36" t="n"/>
      <c r="H1326" s="36" t="n"/>
      <c r="I1326" s="36" t="n"/>
      <c r="J1326" s="37" t="n"/>
      <c r="K1326" s="32" t="n"/>
      <c r="L1326" s="36" t="n"/>
      <c r="M1326" s="41" t="n"/>
      <c r="N1326" s="41" t="n"/>
      <c r="O1326" s="36" t="n"/>
      <c r="P1326" s="33">
        <f>IF(C1326="","",Commercial_Id)</f>
        <v/>
      </c>
      <c r="Q1326" s="39">
        <f>IF(F1326="","",IFERROR(VALUE(MID(F1326,LEN(F1326)-3,3)),""))</f>
        <v/>
      </c>
      <c r="R1326" s="33">
        <f>IF(Q1326="","",P1326&amp;"|"&amp;Q1326)</f>
        <v/>
      </c>
      <c r="S1326" s="33">
        <f>IF(Q1326="","",IF(P1326="À RENSEIGNER","GIC",P1326)&amp;"-"&amp;TEXT(Q1326,"000"))</f>
        <v/>
      </c>
      <c r="T1326" s="33">
        <f>IF(R1326="","",IFERROR(INDEX(Cl_nom,MATCH(R1326,Cl_cle,0)),"(client introuvable)"))</f>
        <v/>
      </c>
      <c r="U1326" s="33">
        <f>IF(R1326="","",IFERROR(INDEX(Cl_quartier,MATCH(R1326,Cl_cle,0))&amp;"",""))</f>
        <v/>
      </c>
      <c r="V1326" s="34">
        <f>IF(C1326="","",YEAR(C1326-WEEKDAY(C1326,2)+4)&amp;"-S"&amp;TEXT(INT((C1326-DATE(YEAR(C1326-WEEKDAY(C1326,2)+4),1,3)+WEEKDAY(DATE(YEAR(C1326-WEEKDAY(C1326,2)+4),1,3),2)+5)/7),"00"))</f>
        <v/>
      </c>
    </row>
    <row r="1327" ht="18" customHeight="1">
      <c r="A1327" s="39" t="n">
        <v>1322</v>
      </c>
      <c r="B1327" s="33">
        <f>IF(C1327="","",IF(P1327="À RENSEIGNER","GIC",P1327)&amp;"-V"&amp;TEXT(A1327,"00000"))</f>
        <v/>
      </c>
      <c r="C1327" s="32" t="n"/>
      <c r="D1327" s="35" t="n"/>
      <c r="E1327" s="36" t="n"/>
      <c r="F1327" s="36" t="n"/>
      <c r="G1327" s="36" t="n"/>
      <c r="H1327" s="36" t="n"/>
      <c r="I1327" s="36" t="n"/>
      <c r="J1327" s="37" t="n"/>
      <c r="K1327" s="32" t="n"/>
      <c r="L1327" s="36" t="n"/>
      <c r="M1327" s="41" t="n"/>
      <c r="N1327" s="41" t="n"/>
      <c r="O1327" s="36" t="n"/>
      <c r="P1327" s="33">
        <f>IF(C1327="","",Commercial_Id)</f>
        <v/>
      </c>
      <c r="Q1327" s="39">
        <f>IF(F1327="","",IFERROR(VALUE(MID(F1327,LEN(F1327)-3,3)),""))</f>
        <v/>
      </c>
      <c r="R1327" s="33">
        <f>IF(Q1327="","",P1327&amp;"|"&amp;Q1327)</f>
        <v/>
      </c>
      <c r="S1327" s="33">
        <f>IF(Q1327="","",IF(P1327="À RENSEIGNER","GIC",P1327)&amp;"-"&amp;TEXT(Q1327,"000"))</f>
        <v/>
      </c>
      <c r="T1327" s="33">
        <f>IF(R1327="","",IFERROR(INDEX(Cl_nom,MATCH(R1327,Cl_cle,0)),"(client introuvable)"))</f>
        <v/>
      </c>
      <c r="U1327" s="33">
        <f>IF(R1327="","",IFERROR(INDEX(Cl_quartier,MATCH(R1327,Cl_cle,0))&amp;"",""))</f>
        <v/>
      </c>
      <c r="V1327" s="34">
        <f>IF(C1327="","",YEAR(C1327-WEEKDAY(C1327,2)+4)&amp;"-S"&amp;TEXT(INT((C1327-DATE(YEAR(C1327-WEEKDAY(C1327,2)+4),1,3)+WEEKDAY(DATE(YEAR(C1327-WEEKDAY(C1327,2)+4),1,3),2)+5)/7),"00"))</f>
        <v/>
      </c>
    </row>
    <row r="1328" ht="18" customHeight="1">
      <c r="A1328" s="39" t="n">
        <v>1323</v>
      </c>
      <c r="B1328" s="33">
        <f>IF(C1328="","",IF(P1328="À RENSEIGNER","GIC",P1328)&amp;"-V"&amp;TEXT(A1328,"00000"))</f>
        <v/>
      </c>
      <c r="C1328" s="32" t="n"/>
      <c r="D1328" s="35" t="n"/>
      <c r="E1328" s="36" t="n"/>
      <c r="F1328" s="36" t="n"/>
      <c r="G1328" s="36" t="n"/>
      <c r="H1328" s="36" t="n"/>
      <c r="I1328" s="36" t="n"/>
      <c r="J1328" s="37" t="n"/>
      <c r="K1328" s="32" t="n"/>
      <c r="L1328" s="36" t="n"/>
      <c r="M1328" s="41" t="n"/>
      <c r="N1328" s="41" t="n"/>
      <c r="O1328" s="36" t="n"/>
      <c r="P1328" s="33">
        <f>IF(C1328="","",Commercial_Id)</f>
        <v/>
      </c>
      <c r="Q1328" s="39">
        <f>IF(F1328="","",IFERROR(VALUE(MID(F1328,LEN(F1328)-3,3)),""))</f>
        <v/>
      </c>
      <c r="R1328" s="33">
        <f>IF(Q1328="","",P1328&amp;"|"&amp;Q1328)</f>
        <v/>
      </c>
      <c r="S1328" s="33">
        <f>IF(Q1328="","",IF(P1328="À RENSEIGNER","GIC",P1328)&amp;"-"&amp;TEXT(Q1328,"000"))</f>
        <v/>
      </c>
      <c r="T1328" s="33">
        <f>IF(R1328="","",IFERROR(INDEX(Cl_nom,MATCH(R1328,Cl_cle,0)),"(client introuvable)"))</f>
        <v/>
      </c>
      <c r="U1328" s="33">
        <f>IF(R1328="","",IFERROR(INDEX(Cl_quartier,MATCH(R1328,Cl_cle,0))&amp;"",""))</f>
        <v/>
      </c>
      <c r="V1328" s="34">
        <f>IF(C1328="","",YEAR(C1328-WEEKDAY(C1328,2)+4)&amp;"-S"&amp;TEXT(INT((C1328-DATE(YEAR(C1328-WEEKDAY(C1328,2)+4),1,3)+WEEKDAY(DATE(YEAR(C1328-WEEKDAY(C1328,2)+4),1,3),2)+5)/7),"00"))</f>
        <v/>
      </c>
    </row>
    <row r="1329" ht="18" customHeight="1">
      <c r="A1329" s="39" t="n">
        <v>1324</v>
      </c>
      <c r="B1329" s="33">
        <f>IF(C1329="","",IF(P1329="À RENSEIGNER","GIC",P1329)&amp;"-V"&amp;TEXT(A1329,"00000"))</f>
        <v/>
      </c>
      <c r="C1329" s="32" t="n"/>
      <c r="D1329" s="35" t="n"/>
      <c r="E1329" s="36" t="n"/>
      <c r="F1329" s="36" t="n"/>
      <c r="G1329" s="36" t="n"/>
      <c r="H1329" s="36" t="n"/>
      <c r="I1329" s="36" t="n"/>
      <c r="J1329" s="37" t="n"/>
      <c r="K1329" s="32" t="n"/>
      <c r="L1329" s="36" t="n"/>
      <c r="M1329" s="41" t="n"/>
      <c r="N1329" s="41" t="n"/>
      <c r="O1329" s="36" t="n"/>
      <c r="P1329" s="33">
        <f>IF(C1329="","",Commercial_Id)</f>
        <v/>
      </c>
      <c r="Q1329" s="39">
        <f>IF(F1329="","",IFERROR(VALUE(MID(F1329,LEN(F1329)-3,3)),""))</f>
        <v/>
      </c>
      <c r="R1329" s="33">
        <f>IF(Q1329="","",P1329&amp;"|"&amp;Q1329)</f>
        <v/>
      </c>
      <c r="S1329" s="33">
        <f>IF(Q1329="","",IF(P1329="À RENSEIGNER","GIC",P1329)&amp;"-"&amp;TEXT(Q1329,"000"))</f>
        <v/>
      </c>
      <c r="T1329" s="33">
        <f>IF(R1329="","",IFERROR(INDEX(Cl_nom,MATCH(R1329,Cl_cle,0)),"(client introuvable)"))</f>
        <v/>
      </c>
      <c r="U1329" s="33">
        <f>IF(R1329="","",IFERROR(INDEX(Cl_quartier,MATCH(R1329,Cl_cle,0))&amp;"",""))</f>
        <v/>
      </c>
      <c r="V1329" s="34">
        <f>IF(C1329="","",YEAR(C1329-WEEKDAY(C1329,2)+4)&amp;"-S"&amp;TEXT(INT((C1329-DATE(YEAR(C1329-WEEKDAY(C1329,2)+4),1,3)+WEEKDAY(DATE(YEAR(C1329-WEEKDAY(C1329,2)+4),1,3),2)+5)/7),"00"))</f>
        <v/>
      </c>
    </row>
    <row r="1330" ht="18" customHeight="1">
      <c r="A1330" s="39" t="n">
        <v>1325</v>
      </c>
      <c r="B1330" s="33">
        <f>IF(C1330="","",IF(P1330="À RENSEIGNER","GIC",P1330)&amp;"-V"&amp;TEXT(A1330,"00000"))</f>
        <v/>
      </c>
      <c r="C1330" s="32" t="n"/>
      <c r="D1330" s="35" t="n"/>
      <c r="E1330" s="36" t="n"/>
      <c r="F1330" s="36" t="n"/>
      <c r="G1330" s="36" t="n"/>
      <c r="H1330" s="36" t="n"/>
      <c r="I1330" s="36" t="n"/>
      <c r="J1330" s="37" t="n"/>
      <c r="K1330" s="32" t="n"/>
      <c r="L1330" s="36" t="n"/>
      <c r="M1330" s="41" t="n"/>
      <c r="N1330" s="41" t="n"/>
      <c r="O1330" s="36" t="n"/>
      <c r="P1330" s="33">
        <f>IF(C1330="","",Commercial_Id)</f>
        <v/>
      </c>
      <c r="Q1330" s="39">
        <f>IF(F1330="","",IFERROR(VALUE(MID(F1330,LEN(F1330)-3,3)),""))</f>
        <v/>
      </c>
      <c r="R1330" s="33">
        <f>IF(Q1330="","",P1330&amp;"|"&amp;Q1330)</f>
        <v/>
      </c>
      <c r="S1330" s="33">
        <f>IF(Q1330="","",IF(P1330="À RENSEIGNER","GIC",P1330)&amp;"-"&amp;TEXT(Q1330,"000"))</f>
        <v/>
      </c>
      <c r="T1330" s="33">
        <f>IF(R1330="","",IFERROR(INDEX(Cl_nom,MATCH(R1330,Cl_cle,0)),"(client introuvable)"))</f>
        <v/>
      </c>
      <c r="U1330" s="33">
        <f>IF(R1330="","",IFERROR(INDEX(Cl_quartier,MATCH(R1330,Cl_cle,0))&amp;"",""))</f>
        <v/>
      </c>
      <c r="V1330" s="34">
        <f>IF(C1330="","",YEAR(C1330-WEEKDAY(C1330,2)+4)&amp;"-S"&amp;TEXT(INT((C1330-DATE(YEAR(C1330-WEEKDAY(C1330,2)+4),1,3)+WEEKDAY(DATE(YEAR(C1330-WEEKDAY(C1330,2)+4),1,3),2)+5)/7),"00"))</f>
        <v/>
      </c>
    </row>
    <row r="1331" ht="18" customHeight="1">
      <c r="A1331" s="39" t="n">
        <v>1326</v>
      </c>
      <c r="B1331" s="33">
        <f>IF(C1331="","",IF(P1331="À RENSEIGNER","GIC",P1331)&amp;"-V"&amp;TEXT(A1331,"00000"))</f>
        <v/>
      </c>
      <c r="C1331" s="32" t="n"/>
      <c r="D1331" s="35" t="n"/>
      <c r="E1331" s="36" t="n"/>
      <c r="F1331" s="36" t="n"/>
      <c r="G1331" s="36" t="n"/>
      <c r="H1331" s="36" t="n"/>
      <c r="I1331" s="36" t="n"/>
      <c r="J1331" s="37" t="n"/>
      <c r="K1331" s="32" t="n"/>
      <c r="L1331" s="36" t="n"/>
      <c r="M1331" s="41" t="n"/>
      <c r="N1331" s="41" t="n"/>
      <c r="O1331" s="36" t="n"/>
      <c r="P1331" s="33">
        <f>IF(C1331="","",Commercial_Id)</f>
        <v/>
      </c>
      <c r="Q1331" s="39">
        <f>IF(F1331="","",IFERROR(VALUE(MID(F1331,LEN(F1331)-3,3)),""))</f>
        <v/>
      </c>
      <c r="R1331" s="33">
        <f>IF(Q1331="","",P1331&amp;"|"&amp;Q1331)</f>
        <v/>
      </c>
      <c r="S1331" s="33">
        <f>IF(Q1331="","",IF(P1331="À RENSEIGNER","GIC",P1331)&amp;"-"&amp;TEXT(Q1331,"000"))</f>
        <v/>
      </c>
      <c r="T1331" s="33">
        <f>IF(R1331="","",IFERROR(INDEX(Cl_nom,MATCH(R1331,Cl_cle,0)),"(client introuvable)"))</f>
        <v/>
      </c>
      <c r="U1331" s="33">
        <f>IF(R1331="","",IFERROR(INDEX(Cl_quartier,MATCH(R1331,Cl_cle,0))&amp;"",""))</f>
        <v/>
      </c>
      <c r="V1331" s="34">
        <f>IF(C1331="","",YEAR(C1331-WEEKDAY(C1331,2)+4)&amp;"-S"&amp;TEXT(INT((C1331-DATE(YEAR(C1331-WEEKDAY(C1331,2)+4),1,3)+WEEKDAY(DATE(YEAR(C1331-WEEKDAY(C1331,2)+4),1,3),2)+5)/7),"00"))</f>
        <v/>
      </c>
    </row>
    <row r="1332" ht="18" customHeight="1">
      <c r="A1332" s="39" t="n">
        <v>1327</v>
      </c>
      <c r="B1332" s="33">
        <f>IF(C1332="","",IF(P1332="À RENSEIGNER","GIC",P1332)&amp;"-V"&amp;TEXT(A1332,"00000"))</f>
        <v/>
      </c>
      <c r="C1332" s="32" t="n"/>
      <c r="D1332" s="35" t="n"/>
      <c r="E1332" s="36" t="n"/>
      <c r="F1332" s="36" t="n"/>
      <c r="G1332" s="36" t="n"/>
      <c r="H1332" s="36" t="n"/>
      <c r="I1332" s="36" t="n"/>
      <c r="J1332" s="37" t="n"/>
      <c r="K1332" s="32" t="n"/>
      <c r="L1332" s="36" t="n"/>
      <c r="M1332" s="41" t="n"/>
      <c r="N1332" s="41" t="n"/>
      <c r="O1332" s="36" t="n"/>
      <c r="P1332" s="33">
        <f>IF(C1332="","",Commercial_Id)</f>
        <v/>
      </c>
      <c r="Q1332" s="39">
        <f>IF(F1332="","",IFERROR(VALUE(MID(F1332,LEN(F1332)-3,3)),""))</f>
        <v/>
      </c>
      <c r="R1332" s="33">
        <f>IF(Q1332="","",P1332&amp;"|"&amp;Q1332)</f>
        <v/>
      </c>
      <c r="S1332" s="33">
        <f>IF(Q1332="","",IF(P1332="À RENSEIGNER","GIC",P1332)&amp;"-"&amp;TEXT(Q1332,"000"))</f>
        <v/>
      </c>
      <c r="T1332" s="33">
        <f>IF(R1332="","",IFERROR(INDEX(Cl_nom,MATCH(R1332,Cl_cle,0)),"(client introuvable)"))</f>
        <v/>
      </c>
      <c r="U1332" s="33">
        <f>IF(R1332="","",IFERROR(INDEX(Cl_quartier,MATCH(R1332,Cl_cle,0))&amp;"",""))</f>
        <v/>
      </c>
      <c r="V1332" s="34">
        <f>IF(C1332="","",YEAR(C1332-WEEKDAY(C1332,2)+4)&amp;"-S"&amp;TEXT(INT((C1332-DATE(YEAR(C1332-WEEKDAY(C1332,2)+4),1,3)+WEEKDAY(DATE(YEAR(C1332-WEEKDAY(C1332,2)+4),1,3),2)+5)/7),"00"))</f>
        <v/>
      </c>
    </row>
    <row r="1333" ht="18" customHeight="1">
      <c r="A1333" s="39" t="n">
        <v>1328</v>
      </c>
      <c r="B1333" s="33">
        <f>IF(C1333="","",IF(P1333="À RENSEIGNER","GIC",P1333)&amp;"-V"&amp;TEXT(A1333,"00000"))</f>
        <v/>
      </c>
      <c r="C1333" s="32" t="n"/>
      <c r="D1333" s="35" t="n"/>
      <c r="E1333" s="36" t="n"/>
      <c r="F1333" s="36" t="n"/>
      <c r="G1333" s="36" t="n"/>
      <c r="H1333" s="36" t="n"/>
      <c r="I1333" s="36" t="n"/>
      <c r="J1333" s="37" t="n"/>
      <c r="K1333" s="32" t="n"/>
      <c r="L1333" s="36" t="n"/>
      <c r="M1333" s="41" t="n"/>
      <c r="N1333" s="41" t="n"/>
      <c r="O1333" s="36" t="n"/>
      <c r="P1333" s="33">
        <f>IF(C1333="","",Commercial_Id)</f>
        <v/>
      </c>
      <c r="Q1333" s="39">
        <f>IF(F1333="","",IFERROR(VALUE(MID(F1333,LEN(F1333)-3,3)),""))</f>
        <v/>
      </c>
      <c r="R1333" s="33">
        <f>IF(Q1333="","",P1333&amp;"|"&amp;Q1333)</f>
        <v/>
      </c>
      <c r="S1333" s="33">
        <f>IF(Q1333="","",IF(P1333="À RENSEIGNER","GIC",P1333)&amp;"-"&amp;TEXT(Q1333,"000"))</f>
        <v/>
      </c>
      <c r="T1333" s="33">
        <f>IF(R1333="","",IFERROR(INDEX(Cl_nom,MATCH(R1333,Cl_cle,0)),"(client introuvable)"))</f>
        <v/>
      </c>
      <c r="U1333" s="33">
        <f>IF(R1333="","",IFERROR(INDEX(Cl_quartier,MATCH(R1333,Cl_cle,0))&amp;"",""))</f>
        <v/>
      </c>
      <c r="V1333" s="34">
        <f>IF(C1333="","",YEAR(C1333-WEEKDAY(C1333,2)+4)&amp;"-S"&amp;TEXT(INT((C1333-DATE(YEAR(C1333-WEEKDAY(C1333,2)+4),1,3)+WEEKDAY(DATE(YEAR(C1333-WEEKDAY(C1333,2)+4),1,3),2)+5)/7),"00"))</f>
        <v/>
      </c>
    </row>
    <row r="1334" ht="18" customHeight="1">
      <c r="A1334" s="39" t="n">
        <v>1329</v>
      </c>
      <c r="B1334" s="33">
        <f>IF(C1334="","",IF(P1334="À RENSEIGNER","GIC",P1334)&amp;"-V"&amp;TEXT(A1334,"00000"))</f>
        <v/>
      </c>
      <c r="C1334" s="32" t="n"/>
      <c r="D1334" s="35" t="n"/>
      <c r="E1334" s="36" t="n"/>
      <c r="F1334" s="36" t="n"/>
      <c r="G1334" s="36" t="n"/>
      <c r="H1334" s="36" t="n"/>
      <c r="I1334" s="36" t="n"/>
      <c r="J1334" s="37" t="n"/>
      <c r="K1334" s="32" t="n"/>
      <c r="L1334" s="36" t="n"/>
      <c r="M1334" s="41" t="n"/>
      <c r="N1334" s="41" t="n"/>
      <c r="O1334" s="36" t="n"/>
      <c r="P1334" s="33">
        <f>IF(C1334="","",Commercial_Id)</f>
        <v/>
      </c>
      <c r="Q1334" s="39">
        <f>IF(F1334="","",IFERROR(VALUE(MID(F1334,LEN(F1334)-3,3)),""))</f>
        <v/>
      </c>
      <c r="R1334" s="33">
        <f>IF(Q1334="","",P1334&amp;"|"&amp;Q1334)</f>
        <v/>
      </c>
      <c r="S1334" s="33">
        <f>IF(Q1334="","",IF(P1334="À RENSEIGNER","GIC",P1334)&amp;"-"&amp;TEXT(Q1334,"000"))</f>
        <v/>
      </c>
      <c r="T1334" s="33">
        <f>IF(R1334="","",IFERROR(INDEX(Cl_nom,MATCH(R1334,Cl_cle,0)),"(client introuvable)"))</f>
        <v/>
      </c>
      <c r="U1334" s="33">
        <f>IF(R1334="","",IFERROR(INDEX(Cl_quartier,MATCH(R1334,Cl_cle,0))&amp;"",""))</f>
        <v/>
      </c>
      <c r="V1334" s="34">
        <f>IF(C1334="","",YEAR(C1334-WEEKDAY(C1334,2)+4)&amp;"-S"&amp;TEXT(INT((C1334-DATE(YEAR(C1334-WEEKDAY(C1334,2)+4),1,3)+WEEKDAY(DATE(YEAR(C1334-WEEKDAY(C1334,2)+4),1,3),2)+5)/7),"00"))</f>
        <v/>
      </c>
    </row>
    <row r="1335" ht="18" customHeight="1">
      <c r="A1335" s="39" t="n">
        <v>1330</v>
      </c>
      <c r="B1335" s="33">
        <f>IF(C1335="","",IF(P1335="À RENSEIGNER","GIC",P1335)&amp;"-V"&amp;TEXT(A1335,"00000"))</f>
        <v/>
      </c>
      <c r="C1335" s="32" t="n"/>
      <c r="D1335" s="35" t="n"/>
      <c r="E1335" s="36" t="n"/>
      <c r="F1335" s="36" t="n"/>
      <c r="G1335" s="36" t="n"/>
      <c r="H1335" s="36" t="n"/>
      <c r="I1335" s="36" t="n"/>
      <c r="J1335" s="37" t="n"/>
      <c r="K1335" s="32" t="n"/>
      <c r="L1335" s="36" t="n"/>
      <c r="M1335" s="41" t="n"/>
      <c r="N1335" s="41" t="n"/>
      <c r="O1335" s="36" t="n"/>
      <c r="P1335" s="33">
        <f>IF(C1335="","",Commercial_Id)</f>
        <v/>
      </c>
      <c r="Q1335" s="39">
        <f>IF(F1335="","",IFERROR(VALUE(MID(F1335,LEN(F1335)-3,3)),""))</f>
        <v/>
      </c>
      <c r="R1335" s="33">
        <f>IF(Q1335="","",P1335&amp;"|"&amp;Q1335)</f>
        <v/>
      </c>
      <c r="S1335" s="33">
        <f>IF(Q1335="","",IF(P1335="À RENSEIGNER","GIC",P1335)&amp;"-"&amp;TEXT(Q1335,"000"))</f>
        <v/>
      </c>
      <c r="T1335" s="33">
        <f>IF(R1335="","",IFERROR(INDEX(Cl_nom,MATCH(R1335,Cl_cle,0)),"(client introuvable)"))</f>
        <v/>
      </c>
      <c r="U1335" s="33">
        <f>IF(R1335="","",IFERROR(INDEX(Cl_quartier,MATCH(R1335,Cl_cle,0))&amp;"",""))</f>
        <v/>
      </c>
      <c r="V1335" s="34">
        <f>IF(C1335="","",YEAR(C1335-WEEKDAY(C1335,2)+4)&amp;"-S"&amp;TEXT(INT((C1335-DATE(YEAR(C1335-WEEKDAY(C1335,2)+4),1,3)+WEEKDAY(DATE(YEAR(C1335-WEEKDAY(C1335,2)+4),1,3),2)+5)/7),"00"))</f>
        <v/>
      </c>
    </row>
    <row r="1336" ht="18" customHeight="1">
      <c r="A1336" s="39" t="n">
        <v>1331</v>
      </c>
      <c r="B1336" s="33">
        <f>IF(C1336="","",IF(P1336="À RENSEIGNER","GIC",P1336)&amp;"-V"&amp;TEXT(A1336,"00000"))</f>
        <v/>
      </c>
      <c r="C1336" s="32" t="n"/>
      <c r="D1336" s="35" t="n"/>
      <c r="E1336" s="36" t="n"/>
      <c r="F1336" s="36" t="n"/>
      <c r="G1336" s="36" t="n"/>
      <c r="H1336" s="36" t="n"/>
      <c r="I1336" s="36" t="n"/>
      <c r="J1336" s="37" t="n"/>
      <c r="K1336" s="32" t="n"/>
      <c r="L1336" s="36" t="n"/>
      <c r="M1336" s="41" t="n"/>
      <c r="N1336" s="41" t="n"/>
      <c r="O1336" s="36" t="n"/>
      <c r="P1336" s="33">
        <f>IF(C1336="","",Commercial_Id)</f>
        <v/>
      </c>
      <c r="Q1336" s="39">
        <f>IF(F1336="","",IFERROR(VALUE(MID(F1336,LEN(F1336)-3,3)),""))</f>
        <v/>
      </c>
      <c r="R1336" s="33">
        <f>IF(Q1336="","",P1336&amp;"|"&amp;Q1336)</f>
        <v/>
      </c>
      <c r="S1336" s="33">
        <f>IF(Q1336="","",IF(P1336="À RENSEIGNER","GIC",P1336)&amp;"-"&amp;TEXT(Q1336,"000"))</f>
        <v/>
      </c>
      <c r="T1336" s="33">
        <f>IF(R1336="","",IFERROR(INDEX(Cl_nom,MATCH(R1336,Cl_cle,0)),"(client introuvable)"))</f>
        <v/>
      </c>
      <c r="U1336" s="33">
        <f>IF(R1336="","",IFERROR(INDEX(Cl_quartier,MATCH(R1336,Cl_cle,0))&amp;"",""))</f>
        <v/>
      </c>
      <c r="V1336" s="34">
        <f>IF(C1336="","",YEAR(C1336-WEEKDAY(C1336,2)+4)&amp;"-S"&amp;TEXT(INT((C1336-DATE(YEAR(C1336-WEEKDAY(C1336,2)+4),1,3)+WEEKDAY(DATE(YEAR(C1336-WEEKDAY(C1336,2)+4),1,3),2)+5)/7),"00"))</f>
        <v/>
      </c>
    </row>
    <row r="1337" ht="18" customHeight="1">
      <c r="A1337" s="39" t="n">
        <v>1332</v>
      </c>
      <c r="B1337" s="33">
        <f>IF(C1337="","",IF(P1337="À RENSEIGNER","GIC",P1337)&amp;"-V"&amp;TEXT(A1337,"00000"))</f>
        <v/>
      </c>
      <c r="C1337" s="32" t="n"/>
      <c r="D1337" s="35" t="n"/>
      <c r="E1337" s="36" t="n"/>
      <c r="F1337" s="36" t="n"/>
      <c r="G1337" s="36" t="n"/>
      <c r="H1337" s="36" t="n"/>
      <c r="I1337" s="36" t="n"/>
      <c r="J1337" s="37" t="n"/>
      <c r="K1337" s="32" t="n"/>
      <c r="L1337" s="36" t="n"/>
      <c r="M1337" s="41" t="n"/>
      <c r="N1337" s="41" t="n"/>
      <c r="O1337" s="36" t="n"/>
      <c r="P1337" s="33">
        <f>IF(C1337="","",Commercial_Id)</f>
        <v/>
      </c>
      <c r="Q1337" s="39">
        <f>IF(F1337="","",IFERROR(VALUE(MID(F1337,LEN(F1337)-3,3)),""))</f>
        <v/>
      </c>
      <c r="R1337" s="33">
        <f>IF(Q1337="","",P1337&amp;"|"&amp;Q1337)</f>
        <v/>
      </c>
      <c r="S1337" s="33">
        <f>IF(Q1337="","",IF(P1337="À RENSEIGNER","GIC",P1337)&amp;"-"&amp;TEXT(Q1337,"000"))</f>
        <v/>
      </c>
      <c r="T1337" s="33">
        <f>IF(R1337="","",IFERROR(INDEX(Cl_nom,MATCH(R1337,Cl_cle,0)),"(client introuvable)"))</f>
        <v/>
      </c>
      <c r="U1337" s="33">
        <f>IF(R1337="","",IFERROR(INDEX(Cl_quartier,MATCH(R1337,Cl_cle,0))&amp;"",""))</f>
        <v/>
      </c>
      <c r="V1337" s="34">
        <f>IF(C1337="","",YEAR(C1337-WEEKDAY(C1337,2)+4)&amp;"-S"&amp;TEXT(INT((C1337-DATE(YEAR(C1337-WEEKDAY(C1337,2)+4),1,3)+WEEKDAY(DATE(YEAR(C1337-WEEKDAY(C1337,2)+4),1,3),2)+5)/7),"00"))</f>
        <v/>
      </c>
    </row>
    <row r="1338" ht="18" customHeight="1">
      <c r="A1338" s="39" t="n">
        <v>1333</v>
      </c>
      <c r="B1338" s="33">
        <f>IF(C1338="","",IF(P1338="À RENSEIGNER","GIC",P1338)&amp;"-V"&amp;TEXT(A1338,"00000"))</f>
        <v/>
      </c>
      <c r="C1338" s="32" t="n"/>
      <c r="D1338" s="35" t="n"/>
      <c r="E1338" s="36" t="n"/>
      <c r="F1338" s="36" t="n"/>
      <c r="G1338" s="36" t="n"/>
      <c r="H1338" s="36" t="n"/>
      <c r="I1338" s="36" t="n"/>
      <c r="J1338" s="37" t="n"/>
      <c r="K1338" s="32" t="n"/>
      <c r="L1338" s="36" t="n"/>
      <c r="M1338" s="41" t="n"/>
      <c r="N1338" s="41" t="n"/>
      <c r="O1338" s="36" t="n"/>
      <c r="P1338" s="33">
        <f>IF(C1338="","",Commercial_Id)</f>
        <v/>
      </c>
      <c r="Q1338" s="39">
        <f>IF(F1338="","",IFERROR(VALUE(MID(F1338,LEN(F1338)-3,3)),""))</f>
        <v/>
      </c>
      <c r="R1338" s="33">
        <f>IF(Q1338="","",P1338&amp;"|"&amp;Q1338)</f>
        <v/>
      </c>
      <c r="S1338" s="33">
        <f>IF(Q1338="","",IF(P1338="À RENSEIGNER","GIC",P1338)&amp;"-"&amp;TEXT(Q1338,"000"))</f>
        <v/>
      </c>
      <c r="T1338" s="33">
        <f>IF(R1338="","",IFERROR(INDEX(Cl_nom,MATCH(R1338,Cl_cle,0)),"(client introuvable)"))</f>
        <v/>
      </c>
      <c r="U1338" s="33">
        <f>IF(R1338="","",IFERROR(INDEX(Cl_quartier,MATCH(R1338,Cl_cle,0))&amp;"",""))</f>
        <v/>
      </c>
      <c r="V1338" s="34">
        <f>IF(C1338="","",YEAR(C1338-WEEKDAY(C1338,2)+4)&amp;"-S"&amp;TEXT(INT((C1338-DATE(YEAR(C1338-WEEKDAY(C1338,2)+4),1,3)+WEEKDAY(DATE(YEAR(C1338-WEEKDAY(C1338,2)+4),1,3),2)+5)/7),"00"))</f>
        <v/>
      </c>
    </row>
    <row r="1339" ht="18" customHeight="1">
      <c r="A1339" s="39" t="n">
        <v>1334</v>
      </c>
      <c r="B1339" s="33">
        <f>IF(C1339="","",IF(P1339="À RENSEIGNER","GIC",P1339)&amp;"-V"&amp;TEXT(A1339,"00000"))</f>
        <v/>
      </c>
      <c r="C1339" s="32" t="n"/>
      <c r="D1339" s="35" t="n"/>
      <c r="E1339" s="36" t="n"/>
      <c r="F1339" s="36" t="n"/>
      <c r="G1339" s="36" t="n"/>
      <c r="H1339" s="36" t="n"/>
      <c r="I1339" s="36" t="n"/>
      <c r="J1339" s="37" t="n"/>
      <c r="K1339" s="32" t="n"/>
      <c r="L1339" s="36" t="n"/>
      <c r="M1339" s="41" t="n"/>
      <c r="N1339" s="41" t="n"/>
      <c r="O1339" s="36" t="n"/>
      <c r="P1339" s="33">
        <f>IF(C1339="","",Commercial_Id)</f>
        <v/>
      </c>
      <c r="Q1339" s="39">
        <f>IF(F1339="","",IFERROR(VALUE(MID(F1339,LEN(F1339)-3,3)),""))</f>
        <v/>
      </c>
      <c r="R1339" s="33">
        <f>IF(Q1339="","",P1339&amp;"|"&amp;Q1339)</f>
        <v/>
      </c>
      <c r="S1339" s="33">
        <f>IF(Q1339="","",IF(P1339="À RENSEIGNER","GIC",P1339)&amp;"-"&amp;TEXT(Q1339,"000"))</f>
        <v/>
      </c>
      <c r="T1339" s="33">
        <f>IF(R1339="","",IFERROR(INDEX(Cl_nom,MATCH(R1339,Cl_cle,0)),"(client introuvable)"))</f>
        <v/>
      </c>
      <c r="U1339" s="33">
        <f>IF(R1339="","",IFERROR(INDEX(Cl_quartier,MATCH(R1339,Cl_cle,0))&amp;"",""))</f>
        <v/>
      </c>
      <c r="V1339" s="34">
        <f>IF(C1339="","",YEAR(C1339-WEEKDAY(C1339,2)+4)&amp;"-S"&amp;TEXT(INT((C1339-DATE(YEAR(C1339-WEEKDAY(C1339,2)+4),1,3)+WEEKDAY(DATE(YEAR(C1339-WEEKDAY(C1339,2)+4),1,3),2)+5)/7),"00"))</f>
        <v/>
      </c>
    </row>
    <row r="1340" ht="18" customHeight="1">
      <c r="A1340" s="39" t="n">
        <v>1335</v>
      </c>
      <c r="B1340" s="33">
        <f>IF(C1340="","",IF(P1340="À RENSEIGNER","GIC",P1340)&amp;"-V"&amp;TEXT(A1340,"00000"))</f>
        <v/>
      </c>
      <c r="C1340" s="32" t="n"/>
      <c r="D1340" s="35" t="n"/>
      <c r="E1340" s="36" t="n"/>
      <c r="F1340" s="36" t="n"/>
      <c r="G1340" s="36" t="n"/>
      <c r="H1340" s="36" t="n"/>
      <c r="I1340" s="36" t="n"/>
      <c r="J1340" s="37" t="n"/>
      <c r="K1340" s="32" t="n"/>
      <c r="L1340" s="36" t="n"/>
      <c r="M1340" s="41" t="n"/>
      <c r="N1340" s="41" t="n"/>
      <c r="O1340" s="36" t="n"/>
      <c r="P1340" s="33">
        <f>IF(C1340="","",Commercial_Id)</f>
        <v/>
      </c>
      <c r="Q1340" s="39">
        <f>IF(F1340="","",IFERROR(VALUE(MID(F1340,LEN(F1340)-3,3)),""))</f>
        <v/>
      </c>
      <c r="R1340" s="33">
        <f>IF(Q1340="","",P1340&amp;"|"&amp;Q1340)</f>
        <v/>
      </c>
      <c r="S1340" s="33">
        <f>IF(Q1340="","",IF(P1340="À RENSEIGNER","GIC",P1340)&amp;"-"&amp;TEXT(Q1340,"000"))</f>
        <v/>
      </c>
      <c r="T1340" s="33">
        <f>IF(R1340="","",IFERROR(INDEX(Cl_nom,MATCH(R1340,Cl_cle,0)),"(client introuvable)"))</f>
        <v/>
      </c>
      <c r="U1340" s="33">
        <f>IF(R1340="","",IFERROR(INDEX(Cl_quartier,MATCH(R1340,Cl_cle,0))&amp;"",""))</f>
        <v/>
      </c>
      <c r="V1340" s="34">
        <f>IF(C1340="","",YEAR(C1340-WEEKDAY(C1340,2)+4)&amp;"-S"&amp;TEXT(INT((C1340-DATE(YEAR(C1340-WEEKDAY(C1340,2)+4),1,3)+WEEKDAY(DATE(YEAR(C1340-WEEKDAY(C1340,2)+4),1,3),2)+5)/7),"00"))</f>
        <v/>
      </c>
    </row>
    <row r="1341" ht="18" customHeight="1">
      <c r="A1341" s="39" t="n">
        <v>1336</v>
      </c>
      <c r="B1341" s="33">
        <f>IF(C1341="","",IF(P1341="À RENSEIGNER","GIC",P1341)&amp;"-V"&amp;TEXT(A1341,"00000"))</f>
        <v/>
      </c>
      <c r="C1341" s="32" t="n"/>
      <c r="D1341" s="35" t="n"/>
      <c r="E1341" s="36" t="n"/>
      <c r="F1341" s="36" t="n"/>
      <c r="G1341" s="36" t="n"/>
      <c r="H1341" s="36" t="n"/>
      <c r="I1341" s="36" t="n"/>
      <c r="J1341" s="37" t="n"/>
      <c r="K1341" s="32" t="n"/>
      <c r="L1341" s="36" t="n"/>
      <c r="M1341" s="41" t="n"/>
      <c r="N1341" s="41" t="n"/>
      <c r="O1341" s="36" t="n"/>
      <c r="P1341" s="33">
        <f>IF(C1341="","",Commercial_Id)</f>
        <v/>
      </c>
      <c r="Q1341" s="39">
        <f>IF(F1341="","",IFERROR(VALUE(MID(F1341,LEN(F1341)-3,3)),""))</f>
        <v/>
      </c>
      <c r="R1341" s="33">
        <f>IF(Q1341="","",P1341&amp;"|"&amp;Q1341)</f>
        <v/>
      </c>
      <c r="S1341" s="33">
        <f>IF(Q1341="","",IF(P1341="À RENSEIGNER","GIC",P1341)&amp;"-"&amp;TEXT(Q1341,"000"))</f>
        <v/>
      </c>
      <c r="T1341" s="33">
        <f>IF(R1341="","",IFERROR(INDEX(Cl_nom,MATCH(R1341,Cl_cle,0)),"(client introuvable)"))</f>
        <v/>
      </c>
      <c r="U1341" s="33">
        <f>IF(R1341="","",IFERROR(INDEX(Cl_quartier,MATCH(R1341,Cl_cle,0))&amp;"",""))</f>
        <v/>
      </c>
      <c r="V1341" s="34">
        <f>IF(C1341="","",YEAR(C1341-WEEKDAY(C1341,2)+4)&amp;"-S"&amp;TEXT(INT((C1341-DATE(YEAR(C1341-WEEKDAY(C1341,2)+4),1,3)+WEEKDAY(DATE(YEAR(C1341-WEEKDAY(C1341,2)+4),1,3),2)+5)/7),"00"))</f>
        <v/>
      </c>
    </row>
    <row r="1342" ht="18" customHeight="1">
      <c r="A1342" s="39" t="n">
        <v>1337</v>
      </c>
      <c r="B1342" s="33">
        <f>IF(C1342="","",IF(P1342="À RENSEIGNER","GIC",P1342)&amp;"-V"&amp;TEXT(A1342,"00000"))</f>
        <v/>
      </c>
      <c r="C1342" s="32" t="n"/>
      <c r="D1342" s="35" t="n"/>
      <c r="E1342" s="36" t="n"/>
      <c r="F1342" s="36" t="n"/>
      <c r="G1342" s="36" t="n"/>
      <c r="H1342" s="36" t="n"/>
      <c r="I1342" s="36" t="n"/>
      <c r="J1342" s="37" t="n"/>
      <c r="K1342" s="32" t="n"/>
      <c r="L1342" s="36" t="n"/>
      <c r="M1342" s="41" t="n"/>
      <c r="N1342" s="41" t="n"/>
      <c r="O1342" s="36" t="n"/>
      <c r="P1342" s="33">
        <f>IF(C1342="","",Commercial_Id)</f>
        <v/>
      </c>
      <c r="Q1342" s="39">
        <f>IF(F1342="","",IFERROR(VALUE(MID(F1342,LEN(F1342)-3,3)),""))</f>
        <v/>
      </c>
      <c r="R1342" s="33">
        <f>IF(Q1342="","",P1342&amp;"|"&amp;Q1342)</f>
        <v/>
      </c>
      <c r="S1342" s="33">
        <f>IF(Q1342="","",IF(P1342="À RENSEIGNER","GIC",P1342)&amp;"-"&amp;TEXT(Q1342,"000"))</f>
        <v/>
      </c>
      <c r="T1342" s="33">
        <f>IF(R1342="","",IFERROR(INDEX(Cl_nom,MATCH(R1342,Cl_cle,0)),"(client introuvable)"))</f>
        <v/>
      </c>
      <c r="U1342" s="33">
        <f>IF(R1342="","",IFERROR(INDEX(Cl_quartier,MATCH(R1342,Cl_cle,0))&amp;"",""))</f>
        <v/>
      </c>
      <c r="V1342" s="34">
        <f>IF(C1342="","",YEAR(C1342-WEEKDAY(C1342,2)+4)&amp;"-S"&amp;TEXT(INT((C1342-DATE(YEAR(C1342-WEEKDAY(C1342,2)+4),1,3)+WEEKDAY(DATE(YEAR(C1342-WEEKDAY(C1342,2)+4),1,3),2)+5)/7),"00"))</f>
        <v/>
      </c>
    </row>
    <row r="1343" ht="18" customHeight="1">
      <c r="A1343" s="39" t="n">
        <v>1338</v>
      </c>
      <c r="B1343" s="33">
        <f>IF(C1343="","",IF(P1343="À RENSEIGNER","GIC",P1343)&amp;"-V"&amp;TEXT(A1343,"00000"))</f>
        <v/>
      </c>
      <c r="C1343" s="32" t="n"/>
      <c r="D1343" s="35" t="n"/>
      <c r="E1343" s="36" t="n"/>
      <c r="F1343" s="36" t="n"/>
      <c r="G1343" s="36" t="n"/>
      <c r="H1343" s="36" t="n"/>
      <c r="I1343" s="36" t="n"/>
      <c r="J1343" s="37" t="n"/>
      <c r="K1343" s="32" t="n"/>
      <c r="L1343" s="36" t="n"/>
      <c r="M1343" s="41" t="n"/>
      <c r="N1343" s="41" t="n"/>
      <c r="O1343" s="36" t="n"/>
      <c r="P1343" s="33">
        <f>IF(C1343="","",Commercial_Id)</f>
        <v/>
      </c>
      <c r="Q1343" s="39">
        <f>IF(F1343="","",IFERROR(VALUE(MID(F1343,LEN(F1343)-3,3)),""))</f>
        <v/>
      </c>
      <c r="R1343" s="33">
        <f>IF(Q1343="","",P1343&amp;"|"&amp;Q1343)</f>
        <v/>
      </c>
      <c r="S1343" s="33">
        <f>IF(Q1343="","",IF(P1343="À RENSEIGNER","GIC",P1343)&amp;"-"&amp;TEXT(Q1343,"000"))</f>
        <v/>
      </c>
      <c r="T1343" s="33">
        <f>IF(R1343="","",IFERROR(INDEX(Cl_nom,MATCH(R1343,Cl_cle,0)),"(client introuvable)"))</f>
        <v/>
      </c>
      <c r="U1343" s="33">
        <f>IF(R1343="","",IFERROR(INDEX(Cl_quartier,MATCH(R1343,Cl_cle,0))&amp;"",""))</f>
        <v/>
      </c>
      <c r="V1343" s="34">
        <f>IF(C1343="","",YEAR(C1343-WEEKDAY(C1343,2)+4)&amp;"-S"&amp;TEXT(INT((C1343-DATE(YEAR(C1343-WEEKDAY(C1343,2)+4),1,3)+WEEKDAY(DATE(YEAR(C1343-WEEKDAY(C1343,2)+4),1,3),2)+5)/7),"00"))</f>
        <v/>
      </c>
    </row>
    <row r="1344" ht="18" customHeight="1">
      <c r="A1344" s="39" t="n">
        <v>1339</v>
      </c>
      <c r="B1344" s="33">
        <f>IF(C1344="","",IF(P1344="À RENSEIGNER","GIC",P1344)&amp;"-V"&amp;TEXT(A1344,"00000"))</f>
        <v/>
      </c>
      <c r="C1344" s="32" t="n"/>
      <c r="D1344" s="35" t="n"/>
      <c r="E1344" s="36" t="n"/>
      <c r="F1344" s="36" t="n"/>
      <c r="G1344" s="36" t="n"/>
      <c r="H1344" s="36" t="n"/>
      <c r="I1344" s="36" t="n"/>
      <c r="J1344" s="37" t="n"/>
      <c r="K1344" s="32" t="n"/>
      <c r="L1344" s="36" t="n"/>
      <c r="M1344" s="41" t="n"/>
      <c r="N1344" s="41" t="n"/>
      <c r="O1344" s="36" t="n"/>
      <c r="P1344" s="33">
        <f>IF(C1344="","",Commercial_Id)</f>
        <v/>
      </c>
      <c r="Q1344" s="39">
        <f>IF(F1344="","",IFERROR(VALUE(MID(F1344,LEN(F1344)-3,3)),""))</f>
        <v/>
      </c>
      <c r="R1344" s="33">
        <f>IF(Q1344="","",P1344&amp;"|"&amp;Q1344)</f>
        <v/>
      </c>
      <c r="S1344" s="33">
        <f>IF(Q1344="","",IF(P1344="À RENSEIGNER","GIC",P1344)&amp;"-"&amp;TEXT(Q1344,"000"))</f>
        <v/>
      </c>
      <c r="T1344" s="33">
        <f>IF(R1344="","",IFERROR(INDEX(Cl_nom,MATCH(R1344,Cl_cle,0)),"(client introuvable)"))</f>
        <v/>
      </c>
      <c r="U1344" s="33">
        <f>IF(R1344="","",IFERROR(INDEX(Cl_quartier,MATCH(R1344,Cl_cle,0))&amp;"",""))</f>
        <v/>
      </c>
      <c r="V1344" s="34">
        <f>IF(C1344="","",YEAR(C1344-WEEKDAY(C1344,2)+4)&amp;"-S"&amp;TEXT(INT((C1344-DATE(YEAR(C1344-WEEKDAY(C1344,2)+4),1,3)+WEEKDAY(DATE(YEAR(C1344-WEEKDAY(C1344,2)+4),1,3),2)+5)/7),"00"))</f>
        <v/>
      </c>
    </row>
    <row r="1345" ht="18" customHeight="1">
      <c r="A1345" s="39" t="n">
        <v>1340</v>
      </c>
      <c r="B1345" s="33">
        <f>IF(C1345="","",IF(P1345="À RENSEIGNER","GIC",P1345)&amp;"-V"&amp;TEXT(A1345,"00000"))</f>
        <v/>
      </c>
      <c r="C1345" s="32" t="n"/>
      <c r="D1345" s="35" t="n"/>
      <c r="E1345" s="36" t="n"/>
      <c r="F1345" s="36" t="n"/>
      <c r="G1345" s="36" t="n"/>
      <c r="H1345" s="36" t="n"/>
      <c r="I1345" s="36" t="n"/>
      <c r="J1345" s="37" t="n"/>
      <c r="K1345" s="32" t="n"/>
      <c r="L1345" s="36" t="n"/>
      <c r="M1345" s="41" t="n"/>
      <c r="N1345" s="41" t="n"/>
      <c r="O1345" s="36" t="n"/>
      <c r="P1345" s="33">
        <f>IF(C1345="","",Commercial_Id)</f>
        <v/>
      </c>
      <c r="Q1345" s="39">
        <f>IF(F1345="","",IFERROR(VALUE(MID(F1345,LEN(F1345)-3,3)),""))</f>
        <v/>
      </c>
      <c r="R1345" s="33">
        <f>IF(Q1345="","",P1345&amp;"|"&amp;Q1345)</f>
        <v/>
      </c>
      <c r="S1345" s="33">
        <f>IF(Q1345="","",IF(P1345="À RENSEIGNER","GIC",P1345)&amp;"-"&amp;TEXT(Q1345,"000"))</f>
        <v/>
      </c>
      <c r="T1345" s="33">
        <f>IF(R1345="","",IFERROR(INDEX(Cl_nom,MATCH(R1345,Cl_cle,0)),"(client introuvable)"))</f>
        <v/>
      </c>
      <c r="U1345" s="33">
        <f>IF(R1345="","",IFERROR(INDEX(Cl_quartier,MATCH(R1345,Cl_cle,0))&amp;"",""))</f>
        <v/>
      </c>
      <c r="V1345" s="34">
        <f>IF(C1345="","",YEAR(C1345-WEEKDAY(C1345,2)+4)&amp;"-S"&amp;TEXT(INT((C1345-DATE(YEAR(C1345-WEEKDAY(C1345,2)+4),1,3)+WEEKDAY(DATE(YEAR(C1345-WEEKDAY(C1345,2)+4),1,3),2)+5)/7),"00"))</f>
        <v/>
      </c>
    </row>
    <row r="1346" ht="18" customHeight="1">
      <c r="A1346" s="39" t="n">
        <v>1341</v>
      </c>
      <c r="B1346" s="33">
        <f>IF(C1346="","",IF(P1346="À RENSEIGNER","GIC",P1346)&amp;"-V"&amp;TEXT(A1346,"00000"))</f>
        <v/>
      </c>
      <c r="C1346" s="32" t="n"/>
      <c r="D1346" s="35" t="n"/>
      <c r="E1346" s="36" t="n"/>
      <c r="F1346" s="36" t="n"/>
      <c r="G1346" s="36" t="n"/>
      <c r="H1346" s="36" t="n"/>
      <c r="I1346" s="36" t="n"/>
      <c r="J1346" s="37" t="n"/>
      <c r="K1346" s="32" t="n"/>
      <c r="L1346" s="36" t="n"/>
      <c r="M1346" s="41" t="n"/>
      <c r="N1346" s="41" t="n"/>
      <c r="O1346" s="36" t="n"/>
      <c r="P1346" s="33">
        <f>IF(C1346="","",Commercial_Id)</f>
        <v/>
      </c>
      <c r="Q1346" s="39">
        <f>IF(F1346="","",IFERROR(VALUE(MID(F1346,LEN(F1346)-3,3)),""))</f>
        <v/>
      </c>
      <c r="R1346" s="33">
        <f>IF(Q1346="","",P1346&amp;"|"&amp;Q1346)</f>
        <v/>
      </c>
      <c r="S1346" s="33">
        <f>IF(Q1346="","",IF(P1346="À RENSEIGNER","GIC",P1346)&amp;"-"&amp;TEXT(Q1346,"000"))</f>
        <v/>
      </c>
      <c r="T1346" s="33">
        <f>IF(R1346="","",IFERROR(INDEX(Cl_nom,MATCH(R1346,Cl_cle,0)),"(client introuvable)"))</f>
        <v/>
      </c>
      <c r="U1346" s="33">
        <f>IF(R1346="","",IFERROR(INDEX(Cl_quartier,MATCH(R1346,Cl_cle,0))&amp;"",""))</f>
        <v/>
      </c>
      <c r="V1346" s="34">
        <f>IF(C1346="","",YEAR(C1346-WEEKDAY(C1346,2)+4)&amp;"-S"&amp;TEXT(INT((C1346-DATE(YEAR(C1346-WEEKDAY(C1346,2)+4),1,3)+WEEKDAY(DATE(YEAR(C1346-WEEKDAY(C1346,2)+4),1,3),2)+5)/7),"00"))</f>
        <v/>
      </c>
    </row>
    <row r="1347" ht="18" customHeight="1">
      <c r="A1347" s="39" t="n">
        <v>1342</v>
      </c>
      <c r="B1347" s="33">
        <f>IF(C1347="","",IF(P1347="À RENSEIGNER","GIC",P1347)&amp;"-V"&amp;TEXT(A1347,"00000"))</f>
        <v/>
      </c>
      <c r="C1347" s="32" t="n"/>
      <c r="D1347" s="35" t="n"/>
      <c r="E1347" s="36" t="n"/>
      <c r="F1347" s="36" t="n"/>
      <c r="G1347" s="36" t="n"/>
      <c r="H1347" s="36" t="n"/>
      <c r="I1347" s="36" t="n"/>
      <c r="J1347" s="37" t="n"/>
      <c r="K1347" s="32" t="n"/>
      <c r="L1347" s="36" t="n"/>
      <c r="M1347" s="41" t="n"/>
      <c r="N1347" s="41" t="n"/>
      <c r="O1347" s="36" t="n"/>
      <c r="P1347" s="33">
        <f>IF(C1347="","",Commercial_Id)</f>
        <v/>
      </c>
      <c r="Q1347" s="39">
        <f>IF(F1347="","",IFERROR(VALUE(MID(F1347,LEN(F1347)-3,3)),""))</f>
        <v/>
      </c>
      <c r="R1347" s="33">
        <f>IF(Q1347="","",P1347&amp;"|"&amp;Q1347)</f>
        <v/>
      </c>
      <c r="S1347" s="33">
        <f>IF(Q1347="","",IF(P1347="À RENSEIGNER","GIC",P1347)&amp;"-"&amp;TEXT(Q1347,"000"))</f>
        <v/>
      </c>
      <c r="T1347" s="33">
        <f>IF(R1347="","",IFERROR(INDEX(Cl_nom,MATCH(R1347,Cl_cle,0)),"(client introuvable)"))</f>
        <v/>
      </c>
      <c r="U1347" s="33">
        <f>IF(R1347="","",IFERROR(INDEX(Cl_quartier,MATCH(R1347,Cl_cle,0))&amp;"",""))</f>
        <v/>
      </c>
      <c r="V1347" s="34">
        <f>IF(C1347="","",YEAR(C1347-WEEKDAY(C1347,2)+4)&amp;"-S"&amp;TEXT(INT((C1347-DATE(YEAR(C1347-WEEKDAY(C1347,2)+4),1,3)+WEEKDAY(DATE(YEAR(C1347-WEEKDAY(C1347,2)+4),1,3),2)+5)/7),"00"))</f>
        <v/>
      </c>
    </row>
    <row r="1348" ht="18" customHeight="1">
      <c r="A1348" s="39" t="n">
        <v>1343</v>
      </c>
      <c r="B1348" s="33">
        <f>IF(C1348="","",IF(P1348="À RENSEIGNER","GIC",P1348)&amp;"-V"&amp;TEXT(A1348,"00000"))</f>
        <v/>
      </c>
      <c r="C1348" s="32" t="n"/>
      <c r="D1348" s="35" t="n"/>
      <c r="E1348" s="36" t="n"/>
      <c r="F1348" s="36" t="n"/>
      <c r="G1348" s="36" t="n"/>
      <c r="H1348" s="36" t="n"/>
      <c r="I1348" s="36" t="n"/>
      <c r="J1348" s="37" t="n"/>
      <c r="K1348" s="32" t="n"/>
      <c r="L1348" s="36" t="n"/>
      <c r="M1348" s="41" t="n"/>
      <c r="N1348" s="41" t="n"/>
      <c r="O1348" s="36" t="n"/>
      <c r="P1348" s="33">
        <f>IF(C1348="","",Commercial_Id)</f>
        <v/>
      </c>
      <c r="Q1348" s="39">
        <f>IF(F1348="","",IFERROR(VALUE(MID(F1348,LEN(F1348)-3,3)),""))</f>
        <v/>
      </c>
      <c r="R1348" s="33">
        <f>IF(Q1348="","",P1348&amp;"|"&amp;Q1348)</f>
        <v/>
      </c>
      <c r="S1348" s="33">
        <f>IF(Q1348="","",IF(P1348="À RENSEIGNER","GIC",P1348)&amp;"-"&amp;TEXT(Q1348,"000"))</f>
        <v/>
      </c>
      <c r="T1348" s="33">
        <f>IF(R1348="","",IFERROR(INDEX(Cl_nom,MATCH(R1348,Cl_cle,0)),"(client introuvable)"))</f>
        <v/>
      </c>
      <c r="U1348" s="33">
        <f>IF(R1348="","",IFERROR(INDEX(Cl_quartier,MATCH(R1348,Cl_cle,0))&amp;"",""))</f>
        <v/>
      </c>
      <c r="V1348" s="34">
        <f>IF(C1348="","",YEAR(C1348-WEEKDAY(C1348,2)+4)&amp;"-S"&amp;TEXT(INT((C1348-DATE(YEAR(C1348-WEEKDAY(C1348,2)+4),1,3)+WEEKDAY(DATE(YEAR(C1348-WEEKDAY(C1348,2)+4),1,3),2)+5)/7),"00"))</f>
        <v/>
      </c>
    </row>
    <row r="1349" ht="18" customHeight="1">
      <c r="A1349" s="39" t="n">
        <v>1344</v>
      </c>
      <c r="B1349" s="33">
        <f>IF(C1349="","",IF(P1349="À RENSEIGNER","GIC",P1349)&amp;"-V"&amp;TEXT(A1349,"00000"))</f>
        <v/>
      </c>
      <c r="C1349" s="32" t="n"/>
      <c r="D1349" s="35" t="n"/>
      <c r="E1349" s="36" t="n"/>
      <c r="F1349" s="36" t="n"/>
      <c r="G1349" s="36" t="n"/>
      <c r="H1349" s="36" t="n"/>
      <c r="I1349" s="36" t="n"/>
      <c r="J1349" s="37" t="n"/>
      <c r="K1349" s="32" t="n"/>
      <c r="L1349" s="36" t="n"/>
      <c r="M1349" s="41" t="n"/>
      <c r="N1349" s="41" t="n"/>
      <c r="O1349" s="36" t="n"/>
      <c r="P1349" s="33">
        <f>IF(C1349="","",Commercial_Id)</f>
        <v/>
      </c>
      <c r="Q1349" s="39">
        <f>IF(F1349="","",IFERROR(VALUE(MID(F1349,LEN(F1349)-3,3)),""))</f>
        <v/>
      </c>
      <c r="R1349" s="33">
        <f>IF(Q1349="","",P1349&amp;"|"&amp;Q1349)</f>
        <v/>
      </c>
      <c r="S1349" s="33">
        <f>IF(Q1349="","",IF(P1349="À RENSEIGNER","GIC",P1349)&amp;"-"&amp;TEXT(Q1349,"000"))</f>
        <v/>
      </c>
      <c r="T1349" s="33">
        <f>IF(R1349="","",IFERROR(INDEX(Cl_nom,MATCH(R1349,Cl_cle,0)),"(client introuvable)"))</f>
        <v/>
      </c>
      <c r="U1349" s="33">
        <f>IF(R1349="","",IFERROR(INDEX(Cl_quartier,MATCH(R1349,Cl_cle,0))&amp;"",""))</f>
        <v/>
      </c>
      <c r="V1349" s="34">
        <f>IF(C1349="","",YEAR(C1349-WEEKDAY(C1349,2)+4)&amp;"-S"&amp;TEXT(INT((C1349-DATE(YEAR(C1349-WEEKDAY(C1349,2)+4),1,3)+WEEKDAY(DATE(YEAR(C1349-WEEKDAY(C1349,2)+4),1,3),2)+5)/7),"00"))</f>
        <v/>
      </c>
    </row>
    <row r="1350" ht="18" customHeight="1">
      <c r="A1350" s="39" t="n">
        <v>1345</v>
      </c>
      <c r="B1350" s="33">
        <f>IF(C1350="","",IF(P1350="À RENSEIGNER","GIC",P1350)&amp;"-V"&amp;TEXT(A1350,"00000"))</f>
        <v/>
      </c>
      <c r="C1350" s="32" t="n"/>
      <c r="D1350" s="35" t="n"/>
      <c r="E1350" s="36" t="n"/>
      <c r="F1350" s="36" t="n"/>
      <c r="G1350" s="36" t="n"/>
      <c r="H1350" s="36" t="n"/>
      <c r="I1350" s="36" t="n"/>
      <c r="J1350" s="37" t="n"/>
      <c r="K1350" s="32" t="n"/>
      <c r="L1350" s="36" t="n"/>
      <c r="M1350" s="41" t="n"/>
      <c r="N1350" s="41" t="n"/>
      <c r="O1350" s="36" t="n"/>
      <c r="P1350" s="33">
        <f>IF(C1350="","",Commercial_Id)</f>
        <v/>
      </c>
      <c r="Q1350" s="39">
        <f>IF(F1350="","",IFERROR(VALUE(MID(F1350,LEN(F1350)-3,3)),""))</f>
        <v/>
      </c>
      <c r="R1350" s="33">
        <f>IF(Q1350="","",P1350&amp;"|"&amp;Q1350)</f>
        <v/>
      </c>
      <c r="S1350" s="33">
        <f>IF(Q1350="","",IF(P1350="À RENSEIGNER","GIC",P1350)&amp;"-"&amp;TEXT(Q1350,"000"))</f>
        <v/>
      </c>
      <c r="T1350" s="33">
        <f>IF(R1350="","",IFERROR(INDEX(Cl_nom,MATCH(R1350,Cl_cle,0)),"(client introuvable)"))</f>
        <v/>
      </c>
      <c r="U1350" s="33">
        <f>IF(R1350="","",IFERROR(INDEX(Cl_quartier,MATCH(R1350,Cl_cle,0))&amp;"",""))</f>
        <v/>
      </c>
      <c r="V1350" s="34">
        <f>IF(C1350="","",YEAR(C1350-WEEKDAY(C1350,2)+4)&amp;"-S"&amp;TEXT(INT((C1350-DATE(YEAR(C1350-WEEKDAY(C1350,2)+4),1,3)+WEEKDAY(DATE(YEAR(C1350-WEEKDAY(C1350,2)+4),1,3),2)+5)/7),"00"))</f>
        <v/>
      </c>
    </row>
    <row r="1351" ht="18" customHeight="1">
      <c r="A1351" s="39" t="n">
        <v>1346</v>
      </c>
      <c r="B1351" s="33">
        <f>IF(C1351="","",IF(P1351="À RENSEIGNER","GIC",P1351)&amp;"-V"&amp;TEXT(A1351,"00000"))</f>
        <v/>
      </c>
      <c r="C1351" s="32" t="n"/>
      <c r="D1351" s="35" t="n"/>
      <c r="E1351" s="36" t="n"/>
      <c r="F1351" s="36" t="n"/>
      <c r="G1351" s="36" t="n"/>
      <c r="H1351" s="36" t="n"/>
      <c r="I1351" s="36" t="n"/>
      <c r="J1351" s="37" t="n"/>
      <c r="K1351" s="32" t="n"/>
      <c r="L1351" s="36" t="n"/>
      <c r="M1351" s="41" t="n"/>
      <c r="N1351" s="41" t="n"/>
      <c r="O1351" s="36" t="n"/>
      <c r="P1351" s="33">
        <f>IF(C1351="","",Commercial_Id)</f>
        <v/>
      </c>
      <c r="Q1351" s="39">
        <f>IF(F1351="","",IFERROR(VALUE(MID(F1351,LEN(F1351)-3,3)),""))</f>
        <v/>
      </c>
      <c r="R1351" s="33">
        <f>IF(Q1351="","",P1351&amp;"|"&amp;Q1351)</f>
        <v/>
      </c>
      <c r="S1351" s="33">
        <f>IF(Q1351="","",IF(P1351="À RENSEIGNER","GIC",P1351)&amp;"-"&amp;TEXT(Q1351,"000"))</f>
        <v/>
      </c>
      <c r="T1351" s="33">
        <f>IF(R1351="","",IFERROR(INDEX(Cl_nom,MATCH(R1351,Cl_cle,0)),"(client introuvable)"))</f>
        <v/>
      </c>
      <c r="U1351" s="33">
        <f>IF(R1351="","",IFERROR(INDEX(Cl_quartier,MATCH(R1351,Cl_cle,0))&amp;"",""))</f>
        <v/>
      </c>
      <c r="V1351" s="34">
        <f>IF(C1351="","",YEAR(C1351-WEEKDAY(C1351,2)+4)&amp;"-S"&amp;TEXT(INT((C1351-DATE(YEAR(C1351-WEEKDAY(C1351,2)+4),1,3)+WEEKDAY(DATE(YEAR(C1351-WEEKDAY(C1351,2)+4),1,3),2)+5)/7),"00"))</f>
        <v/>
      </c>
    </row>
    <row r="1352" ht="18" customHeight="1">
      <c r="A1352" s="39" t="n">
        <v>1347</v>
      </c>
      <c r="B1352" s="33">
        <f>IF(C1352="","",IF(P1352="À RENSEIGNER","GIC",P1352)&amp;"-V"&amp;TEXT(A1352,"00000"))</f>
        <v/>
      </c>
      <c r="C1352" s="32" t="n"/>
      <c r="D1352" s="35" t="n"/>
      <c r="E1352" s="36" t="n"/>
      <c r="F1352" s="36" t="n"/>
      <c r="G1352" s="36" t="n"/>
      <c r="H1352" s="36" t="n"/>
      <c r="I1352" s="36" t="n"/>
      <c r="J1352" s="37" t="n"/>
      <c r="K1352" s="32" t="n"/>
      <c r="L1352" s="36" t="n"/>
      <c r="M1352" s="41" t="n"/>
      <c r="N1352" s="41" t="n"/>
      <c r="O1352" s="36" t="n"/>
      <c r="P1352" s="33">
        <f>IF(C1352="","",Commercial_Id)</f>
        <v/>
      </c>
      <c r="Q1352" s="39">
        <f>IF(F1352="","",IFERROR(VALUE(MID(F1352,LEN(F1352)-3,3)),""))</f>
        <v/>
      </c>
      <c r="R1352" s="33">
        <f>IF(Q1352="","",P1352&amp;"|"&amp;Q1352)</f>
        <v/>
      </c>
      <c r="S1352" s="33">
        <f>IF(Q1352="","",IF(P1352="À RENSEIGNER","GIC",P1352)&amp;"-"&amp;TEXT(Q1352,"000"))</f>
        <v/>
      </c>
      <c r="T1352" s="33">
        <f>IF(R1352="","",IFERROR(INDEX(Cl_nom,MATCH(R1352,Cl_cle,0)),"(client introuvable)"))</f>
        <v/>
      </c>
      <c r="U1352" s="33">
        <f>IF(R1352="","",IFERROR(INDEX(Cl_quartier,MATCH(R1352,Cl_cle,0))&amp;"",""))</f>
        <v/>
      </c>
      <c r="V1352" s="34">
        <f>IF(C1352="","",YEAR(C1352-WEEKDAY(C1352,2)+4)&amp;"-S"&amp;TEXT(INT((C1352-DATE(YEAR(C1352-WEEKDAY(C1352,2)+4),1,3)+WEEKDAY(DATE(YEAR(C1352-WEEKDAY(C1352,2)+4),1,3),2)+5)/7),"00"))</f>
        <v/>
      </c>
    </row>
    <row r="1353" ht="18" customHeight="1">
      <c r="A1353" s="39" t="n">
        <v>1348</v>
      </c>
      <c r="B1353" s="33">
        <f>IF(C1353="","",IF(P1353="À RENSEIGNER","GIC",P1353)&amp;"-V"&amp;TEXT(A1353,"00000"))</f>
        <v/>
      </c>
      <c r="C1353" s="32" t="n"/>
      <c r="D1353" s="35" t="n"/>
      <c r="E1353" s="36" t="n"/>
      <c r="F1353" s="36" t="n"/>
      <c r="G1353" s="36" t="n"/>
      <c r="H1353" s="36" t="n"/>
      <c r="I1353" s="36" t="n"/>
      <c r="J1353" s="37" t="n"/>
      <c r="K1353" s="32" t="n"/>
      <c r="L1353" s="36" t="n"/>
      <c r="M1353" s="41" t="n"/>
      <c r="N1353" s="41" t="n"/>
      <c r="O1353" s="36" t="n"/>
      <c r="P1353" s="33">
        <f>IF(C1353="","",Commercial_Id)</f>
        <v/>
      </c>
      <c r="Q1353" s="39">
        <f>IF(F1353="","",IFERROR(VALUE(MID(F1353,LEN(F1353)-3,3)),""))</f>
        <v/>
      </c>
      <c r="R1353" s="33">
        <f>IF(Q1353="","",P1353&amp;"|"&amp;Q1353)</f>
        <v/>
      </c>
      <c r="S1353" s="33">
        <f>IF(Q1353="","",IF(P1353="À RENSEIGNER","GIC",P1353)&amp;"-"&amp;TEXT(Q1353,"000"))</f>
        <v/>
      </c>
      <c r="T1353" s="33">
        <f>IF(R1353="","",IFERROR(INDEX(Cl_nom,MATCH(R1353,Cl_cle,0)),"(client introuvable)"))</f>
        <v/>
      </c>
      <c r="U1353" s="33">
        <f>IF(R1353="","",IFERROR(INDEX(Cl_quartier,MATCH(R1353,Cl_cle,0))&amp;"",""))</f>
        <v/>
      </c>
      <c r="V1353" s="34">
        <f>IF(C1353="","",YEAR(C1353-WEEKDAY(C1353,2)+4)&amp;"-S"&amp;TEXT(INT((C1353-DATE(YEAR(C1353-WEEKDAY(C1353,2)+4),1,3)+WEEKDAY(DATE(YEAR(C1353-WEEKDAY(C1353,2)+4),1,3),2)+5)/7),"00"))</f>
        <v/>
      </c>
    </row>
    <row r="1354" ht="18" customHeight="1">
      <c r="A1354" s="39" t="n">
        <v>1349</v>
      </c>
      <c r="B1354" s="33">
        <f>IF(C1354="","",IF(P1354="À RENSEIGNER","GIC",P1354)&amp;"-V"&amp;TEXT(A1354,"00000"))</f>
        <v/>
      </c>
      <c r="C1354" s="32" t="n"/>
      <c r="D1354" s="35" t="n"/>
      <c r="E1354" s="36" t="n"/>
      <c r="F1354" s="36" t="n"/>
      <c r="G1354" s="36" t="n"/>
      <c r="H1354" s="36" t="n"/>
      <c r="I1354" s="36" t="n"/>
      <c r="J1354" s="37" t="n"/>
      <c r="K1354" s="32" t="n"/>
      <c r="L1354" s="36" t="n"/>
      <c r="M1354" s="41" t="n"/>
      <c r="N1354" s="41" t="n"/>
      <c r="O1354" s="36" t="n"/>
      <c r="P1354" s="33">
        <f>IF(C1354="","",Commercial_Id)</f>
        <v/>
      </c>
      <c r="Q1354" s="39">
        <f>IF(F1354="","",IFERROR(VALUE(MID(F1354,LEN(F1354)-3,3)),""))</f>
        <v/>
      </c>
      <c r="R1354" s="33">
        <f>IF(Q1354="","",P1354&amp;"|"&amp;Q1354)</f>
        <v/>
      </c>
      <c r="S1354" s="33">
        <f>IF(Q1354="","",IF(P1354="À RENSEIGNER","GIC",P1354)&amp;"-"&amp;TEXT(Q1354,"000"))</f>
        <v/>
      </c>
      <c r="T1354" s="33">
        <f>IF(R1354="","",IFERROR(INDEX(Cl_nom,MATCH(R1354,Cl_cle,0)),"(client introuvable)"))</f>
        <v/>
      </c>
      <c r="U1354" s="33">
        <f>IF(R1354="","",IFERROR(INDEX(Cl_quartier,MATCH(R1354,Cl_cle,0))&amp;"",""))</f>
        <v/>
      </c>
      <c r="V1354" s="34">
        <f>IF(C1354="","",YEAR(C1354-WEEKDAY(C1354,2)+4)&amp;"-S"&amp;TEXT(INT((C1354-DATE(YEAR(C1354-WEEKDAY(C1354,2)+4),1,3)+WEEKDAY(DATE(YEAR(C1354-WEEKDAY(C1354,2)+4),1,3),2)+5)/7),"00"))</f>
        <v/>
      </c>
    </row>
    <row r="1355" ht="18" customHeight="1">
      <c r="A1355" s="39" t="n">
        <v>1350</v>
      </c>
      <c r="B1355" s="33">
        <f>IF(C1355="","",IF(P1355="À RENSEIGNER","GIC",P1355)&amp;"-V"&amp;TEXT(A1355,"00000"))</f>
        <v/>
      </c>
      <c r="C1355" s="32" t="n"/>
      <c r="D1355" s="35" t="n"/>
      <c r="E1355" s="36" t="n"/>
      <c r="F1355" s="36" t="n"/>
      <c r="G1355" s="36" t="n"/>
      <c r="H1355" s="36" t="n"/>
      <c r="I1355" s="36" t="n"/>
      <c r="J1355" s="37" t="n"/>
      <c r="K1355" s="32" t="n"/>
      <c r="L1355" s="36" t="n"/>
      <c r="M1355" s="41" t="n"/>
      <c r="N1355" s="41" t="n"/>
      <c r="O1355" s="36" t="n"/>
      <c r="P1355" s="33">
        <f>IF(C1355="","",Commercial_Id)</f>
        <v/>
      </c>
      <c r="Q1355" s="39">
        <f>IF(F1355="","",IFERROR(VALUE(MID(F1355,LEN(F1355)-3,3)),""))</f>
        <v/>
      </c>
      <c r="R1355" s="33">
        <f>IF(Q1355="","",P1355&amp;"|"&amp;Q1355)</f>
        <v/>
      </c>
      <c r="S1355" s="33">
        <f>IF(Q1355="","",IF(P1355="À RENSEIGNER","GIC",P1355)&amp;"-"&amp;TEXT(Q1355,"000"))</f>
        <v/>
      </c>
      <c r="T1355" s="33">
        <f>IF(R1355="","",IFERROR(INDEX(Cl_nom,MATCH(R1355,Cl_cle,0)),"(client introuvable)"))</f>
        <v/>
      </c>
      <c r="U1355" s="33">
        <f>IF(R1355="","",IFERROR(INDEX(Cl_quartier,MATCH(R1355,Cl_cle,0))&amp;"",""))</f>
        <v/>
      </c>
      <c r="V1355" s="34">
        <f>IF(C1355="","",YEAR(C1355-WEEKDAY(C1355,2)+4)&amp;"-S"&amp;TEXT(INT((C1355-DATE(YEAR(C1355-WEEKDAY(C1355,2)+4),1,3)+WEEKDAY(DATE(YEAR(C1355-WEEKDAY(C1355,2)+4),1,3),2)+5)/7),"00"))</f>
        <v/>
      </c>
    </row>
    <row r="1356" ht="18" customHeight="1">
      <c r="A1356" s="39" t="n">
        <v>1351</v>
      </c>
      <c r="B1356" s="33">
        <f>IF(C1356="","",IF(P1356="À RENSEIGNER","GIC",P1356)&amp;"-V"&amp;TEXT(A1356,"00000"))</f>
        <v/>
      </c>
      <c r="C1356" s="32" t="n"/>
      <c r="D1356" s="35" t="n"/>
      <c r="E1356" s="36" t="n"/>
      <c r="F1356" s="36" t="n"/>
      <c r="G1356" s="36" t="n"/>
      <c r="H1356" s="36" t="n"/>
      <c r="I1356" s="36" t="n"/>
      <c r="J1356" s="37" t="n"/>
      <c r="K1356" s="32" t="n"/>
      <c r="L1356" s="36" t="n"/>
      <c r="M1356" s="41" t="n"/>
      <c r="N1356" s="41" t="n"/>
      <c r="O1356" s="36" t="n"/>
      <c r="P1356" s="33">
        <f>IF(C1356="","",Commercial_Id)</f>
        <v/>
      </c>
      <c r="Q1356" s="39">
        <f>IF(F1356="","",IFERROR(VALUE(MID(F1356,LEN(F1356)-3,3)),""))</f>
        <v/>
      </c>
      <c r="R1356" s="33">
        <f>IF(Q1356="","",P1356&amp;"|"&amp;Q1356)</f>
        <v/>
      </c>
      <c r="S1356" s="33">
        <f>IF(Q1356="","",IF(P1356="À RENSEIGNER","GIC",P1356)&amp;"-"&amp;TEXT(Q1356,"000"))</f>
        <v/>
      </c>
      <c r="T1356" s="33">
        <f>IF(R1356="","",IFERROR(INDEX(Cl_nom,MATCH(R1356,Cl_cle,0)),"(client introuvable)"))</f>
        <v/>
      </c>
      <c r="U1356" s="33">
        <f>IF(R1356="","",IFERROR(INDEX(Cl_quartier,MATCH(R1356,Cl_cle,0))&amp;"",""))</f>
        <v/>
      </c>
      <c r="V1356" s="34">
        <f>IF(C1356="","",YEAR(C1356-WEEKDAY(C1356,2)+4)&amp;"-S"&amp;TEXT(INT((C1356-DATE(YEAR(C1356-WEEKDAY(C1356,2)+4),1,3)+WEEKDAY(DATE(YEAR(C1356-WEEKDAY(C1356,2)+4),1,3),2)+5)/7),"00"))</f>
        <v/>
      </c>
    </row>
    <row r="1357" ht="18" customHeight="1">
      <c r="A1357" s="39" t="n">
        <v>1352</v>
      </c>
      <c r="B1357" s="33">
        <f>IF(C1357="","",IF(P1357="À RENSEIGNER","GIC",P1357)&amp;"-V"&amp;TEXT(A1357,"00000"))</f>
        <v/>
      </c>
      <c r="C1357" s="32" t="n"/>
      <c r="D1357" s="35" t="n"/>
      <c r="E1357" s="36" t="n"/>
      <c r="F1357" s="36" t="n"/>
      <c r="G1357" s="36" t="n"/>
      <c r="H1357" s="36" t="n"/>
      <c r="I1357" s="36" t="n"/>
      <c r="J1357" s="37" t="n"/>
      <c r="K1357" s="32" t="n"/>
      <c r="L1357" s="36" t="n"/>
      <c r="M1357" s="41" t="n"/>
      <c r="N1357" s="41" t="n"/>
      <c r="O1357" s="36" t="n"/>
      <c r="P1357" s="33">
        <f>IF(C1357="","",Commercial_Id)</f>
        <v/>
      </c>
      <c r="Q1357" s="39">
        <f>IF(F1357="","",IFERROR(VALUE(MID(F1357,LEN(F1357)-3,3)),""))</f>
        <v/>
      </c>
      <c r="R1357" s="33">
        <f>IF(Q1357="","",P1357&amp;"|"&amp;Q1357)</f>
        <v/>
      </c>
      <c r="S1357" s="33">
        <f>IF(Q1357="","",IF(P1357="À RENSEIGNER","GIC",P1357)&amp;"-"&amp;TEXT(Q1357,"000"))</f>
        <v/>
      </c>
      <c r="T1357" s="33">
        <f>IF(R1357="","",IFERROR(INDEX(Cl_nom,MATCH(R1357,Cl_cle,0)),"(client introuvable)"))</f>
        <v/>
      </c>
      <c r="U1357" s="33">
        <f>IF(R1357="","",IFERROR(INDEX(Cl_quartier,MATCH(R1357,Cl_cle,0))&amp;"",""))</f>
        <v/>
      </c>
      <c r="V1357" s="34">
        <f>IF(C1357="","",YEAR(C1357-WEEKDAY(C1357,2)+4)&amp;"-S"&amp;TEXT(INT((C1357-DATE(YEAR(C1357-WEEKDAY(C1357,2)+4),1,3)+WEEKDAY(DATE(YEAR(C1357-WEEKDAY(C1357,2)+4),1,3),2)+5)/7),"00"))</f>
        <v/>
      </c>
    </row>
    <row r="1358" ht="18" customHeight="1">
      <c r="A1358" s="39" t="n">
        <v>1353</v>
      </c>
      <c r="B1358" s="33">
        <f>IF(C1358="","",IF(P1358="À RENSEIGNER","GIC",P1358)&amp;"-V"&amp;TEXT(A1358,"00000"))</f>
        <v/>
      </c>
      <c r="C1358" s="32" t="n"/>
      <c r="D1358" s="35" t="n"/>
      <c r="E1358" s="36" t="n"/>
      <c r="F1358" s="36" t="n"/>
      <c r="G1358" s="36" t="n"/>
      <c r="H1358" s="36" t="n"/>
      <c r="I1358" s="36" t="n"/>
      <c r="J1358" s="37" t="n"/>
      <c r="K1358" s="32" t="n"/>
      <c r="L1358" s="36" t="n"/>
      <c r="M1358" s="41" t="n"/>
      <c r="N1358" s="41" t="n"/>
      <c r="O1358" s="36" t="n"/>
      <c r="P1358" s="33">
        <f>IF(C1358="","",Commercial_Id)</f>
        <v/>
      </c>
      <c r="Q1358" s="39">
        <f>IF(F1358="","",IFERROR(VALUE(MID(F1358,LEN(F1358)-3,3)),""))</f>
        <v/>
      </c>
      <c r="R1358" s="33">
        <f>IF(Q1358="","",P1358&amp;"|"&amp;Q1358)</f>
        <v/>
      </c>
      <c r="S1358" s="33">
        <f>IF(Q1358="","",IF(P1358="À RENSEIGNER","GIC",P1358)&amp;"-"&amp;TEXT(Q1358,"000"))</f>
        <v/>
      </c>
      <c r="T1358" s="33">
        <f>IF(R1358="","",IFERROR(INDEX(Cl_nom,MATCH(R1358,Cl_cle,0)),"(client introuvable)"))</f>
        <v/>
      </c>
      <c r="U1358" s="33">
        <f>IF(R1358="","",IFERROR(INDEX(Cl_quartier,MATCH(R1358,Cl_cle,0))&amp;"",""))</f>
        <v/>
      </c>
      <c r="V1358" s="34">
        <f>IF(C1358="","",YEAR(C1358-WEEKDAY(C1358,2)+4)&amp;"-S"&amp;TEXT(INT((C1358-DATE(YEAR(C1358-WEEKDAY(C1358,2)+4),1,3)+WEEKDAY(DATE(YEAR(C1358-WEEKDAY(C1358,2)+4),1,3),2)+5)/7),"00"))</f>
        <v/>
      </c>
    </row>
    <row r="1359" ht="18" customHeight="1">
      <c r="A1359" s="39" t="n">
        <v>1354</v>
      </c>
      <c r="B1359" s="33">
        <f>IF(C1359="","",IF(P1359="À RENSEIGNER","GIC",P1359)&amp;"-V"&amp;TEXT(A1359,"00000"))</f>
        <v/>
      </c>
      <c r="C1359" s="32" t="n"/>
      <c r="D1359" s="35" t="n"/>
      <c r="E1359" s="36" t="n"/>
      <c r="F1359" s="36" t="n"/>
      <c r="G1359" s="36" t="n"/>
      <c r="H1359" s="36" t="n"/>
      <c r="I1359" s="36" t="n"/>
      <c r="J1359" s="37" t="n"/>
      <c r="K1359" s="32" t="n"/>
      <c r="L1359" s="36" t="n"/>
      <c r="M1359" s="41" t="n"/>
      <c r="N1359" s="41" t="n"/>
      <c r="O1359" s="36" t="n"/>
      <c r="P1359" s="33">
        <f>IF(C1359="","",Commercial_Id)</f>
        <v/>
      </c>
      <c r="Q1359" s="39">
        <f>IF(F1359="","",IFERROR(VALUE(MID(F1359,LEN(F1359)-3,3)),""))</f>
        <v/>
      </c>
      <c r="R1359" s="33">
        <f>IF(Q1359="","",P1359&amp;"|"&amp;Q1359)</f>
        <v/>
      </c>
      <c r="S1359" s="33">
        <f>IF(Q1359="","",IF(P1359="À RENSEIGNER","GIC",P1359)&amp;"-"&amp;TEXT(Q1359,"000"))</f>
        <v/>
      </c>
      <c r="T1359" s="33">
        <f>IF(R1359="","",IFERROR(INDEX(Cl_nom,MATCH(R1359,Cl_cle,0)),"(client introuvable)"))</f>
        <v/>
      </c>
      <c r="U1359" s="33">
        <f>IF(R1359="","",IFERROR(INDEX(Cl_quartier,MATCH(R1359,Cl_cle,0))&amp;"",""))</f>
        <v/>
      </c>
      <c r="V1359" s="34">
        <f>IF(C1359="","",YEAR(C1359-WEEKDAY(C1359,2)+4)&amp;"-S"&amp;TEXT(INT((C1359-DATE(YEAR(C1359-WEEKDAY(C1359,2)+4),1,3)+WEEKDAY(DATE(YEAR(C1359-WEEKDAY(C1359,2)+4),1,3),2)+5)/7),"00"))</f>
        <v/>
      </c>
    </row>
    <row r="1360" ht="18" customHeight="1">
      <c r="A1360" s="39" t="n">
        <v>1355</v>
      </c>
      <c r="B1360" s="33">
        <f>IF(C1360="","",IF(P1360="À RENSEIGNER","GIC",P1360)&amp;"-V"&amp;TEXT(A1360,"00000"))</f>
        <v/>
      </c>
      <c r="C1360" s="32" t="n"/>
      <c r="D1360" s="35" t="n"/>
      <c r="E1360" s="36" t="n"/>
      <c r="F1360" s="36" t="n"/>
      <c r="G1360" s="36" t="n"/>
      <c r="H1360" s="36" t="n"/>
      <c r="I1360" s="36" t="n"/>
      <c r="J1360" s="37" t="n"/>
      <c r="K1360" s="32" t="n"/>
      <c r="L1360" s="36" t="n"/>
      <c r="M1360" s="41" t="n"/>
      <c r="N1360" s="41" t="n"/>
      <c r="O1360" s="36" t="n"/>
      <c r="P1360" s="33">
        <f>IF(C1360="","",Commercial_Id)</f>
        <v/>
      </c>
      <c r="Q1360" s="39">
        <f>IF(F1360="","",IFERROR(VALUE(MID(F1360,LEN(F1360)-3,3)),""))</f>
        <v/>
      </c>
      <c r="R1360" s="33">
        <f>IF(Q1360="","",P1360&amp;"|"&amp;Q1360)</f>
        <v/>
      </c>
      <c r="S1360" s="33">
        <f>IF(Q1360="","",IF(P1360="À RENSEIGNER","GIC",P1360)&amp;"-"&amp;TEXT(Q1360,"000"))</f>
        <v/>
      </c>
      <c r="T1360" s="33">
        <f>IF(R1360="","",IFERROR(INDEX(Cl_nom,MATCH(R1360,Cl_cle,0)),"(client introuvable)"))</f>
        <v/>
      </c>
      <c r="U1360" s="33">
        <f>IF(R1360="","",IFERROR(INDEX(Cl_quartier,MATCH(R1360,Cl_cle,0))&amp;"",""))</f>
        <v/>
      </c>
      <c r="V1360" s="34">
        <f>IF(C1360="","",YEAR(C1360-WEEKDAY(C1360,2)+4)&amp;"-S"&amp;TEXT(INT((C1360-DATE(YEAR(C1360-WEEKDAY(C1360,2)+4),1,3)+WEEKDAY(DATE(YEAR(C1360-WEEKDAY(C1360,2)+4),1,3),2)+5)/7),"00"))</f>
        <v/>
      </c>
    </row>
    <row r="1361" ht="18" customHeight="1">
      <c r="A1361" s="39" t="n">
        <v>1356</v>
      </c>
      <c r="B1361" s="33">
        <f>IF(C1361="","",IF(P1361="À RENSEIGNER","GIC",P1361)&amp;"-V"&amp;TEXT(A1361,"00000"))</f>
        <v/>
      </c>
      <c r="C1361" s="32" t="n"/>
      <c r="D1361" s="35" t="n"/>
      <c r="E1361" s="36" t="n"/>
      <c r="F1361" s="36" t="n"/>
      <c r="G1361" s="36" t="n"/>
      <c r="H1361" s="36" t="n"/>
      <c r="I1361" s="36" t="n"/>
      <c r="J1361" s="37" t="n"/>
      <c r="K1361" s="32" t="n"/>
      <c r="L1361" s="36" t="n"/>
      <c r="M1361" s="41" t="n"/>
      <c r="N1361" s="41" t="n"/>
      <c r="O1361" s="36" t="n"/>
      <c r="P1361" s="33">
        <f>IF(C1361="","",Commercial_Id)</f>
        <v/>
      </c>
      <c r="Q1361" s="39">
        <f>IF(F1361="","",IFERROR(VALUE(MID(F1361,LEN(F1361)-3,3)),""))</f>
        <v/>
      </c>
      <c r="R1361" s="33">
        <f>IF(Q1361="","",P1361&amp;"|"&amp;Q1361)</f>
        <v/>
      </c>
      <c r="S1361" s="33">
        <f>IF(Q1361="","",IF(P1361="À RENSEIGNER","GIC",P1361)&amp;"-"&amp;TEXT(Q1361,"000"))</f>
        <v/>
      </c>
      <c r="T1361" s="33">
        <f>IF(R1361="","",IFERROR(INDEX(Cl_nom,MATCH(R1361,Cl_cle,0)),"(client introuvable)"))</f>
        <v/>
      </c>
      <c r="U1361" s="33">
        <f>IF(R1361="","",IFERROR(INDEX(Cl_quartier,MATCH(R1361,Cl_cle,0))&amp;"",""))</f>
        <v/>
      </c>
      <c r="V1361" s="34">
        <f>IF(C1361="","",YEAR(C1361-WEEKDAY(C1361,2)+4)&amp;"-S"&amp;TEXT(INT((C1361-DATE(YEAR(C1361-WEEKDAY(C1361,2)+4),1,3)+WEEKDAY(DATE(YEAR(C1361-WEEKDAY(C1361,2)+4),1,3),2)+5)/7),"00"))</f>
        <v/>
      </c>
    </row>
    <row r="1362" ht="18" customHeight="1">
      <c r="A1362" s="39" t="n">
        <v>1357</v>
      </c>
      <c r="B1362" s="33">
        <f>IF(C1362="","",IF(P1362="À RENSEIGNER","GIC",P1362)&amp;"-V"&amp;TEXT(A1362,"00000"))</f>
        <v/>
      </c>
      <c r="C1362" s="32" t="n"/>
      <c r="D1362" s="35" t="n"/>
      <c r="E1362" s="36" t="n"/>
      <c r="F1362" s="36" t="n"/>
      <c r="G1362" s="36" t="n"/>
      <c r="H1362" s="36" t="n"/>
      <c r="I1362" s="36" t="n"/>
      <c r="J1362" s="37" t="n"/>
      <c r="K1362" s="32" t="n"/>
      <c r="L1362" s="36" t="n"/>
      <c r="M1362" s="41" t="n"/>
      <c r="N1362" s="41" t="n"/>
      <c r="O1362" s="36" t="n"/>
      <c r="P1362" s="33">
        <f>IF(C1362="","",Commercial_Id)</f>
        <v/>
      </c>
      <c r="Q1362" s="39">
        <f>IF(F1362="","",IFERROR(VALUE(MID(F1362,LEN(F1362)-3,3)),""))</f>
        <v/>
      </c>
      <c r="R1362" s="33">
        <f>IF(Q1362="","",P1362&amp;"|"&amp;Q1362)</f>
        <v/>
      </c>
      <c r="S1362" s="33">
        <f>IF(Q1362="","",IF(P1362="À RENSEIGNER","GIC",P1362)&amp;"-"&amp;TEXT(Q1362,"000"))</f>
        <v/>
      </c>
      <c r="T1362" s="33">
        <f>IF(R1362="","",IFERROR(INDEX(Cl_nom,MATCH(R1362,Cl_cle,0)),"(client introuvable)"))</f>
        <v/>
      </c>
      <c r="U1362" s="33">
        <f>IF(R1362="","",IFERROR(INDEX(Cl_quartier,MATCH(R1362,Cl_cle,0))&amp;"",""))</f>
        <v/>
      </c>
      <c r="V1362" s="34">
        <f>IF(C1362="","",YEAR(C1362-WEEKDAY(C1362,2)+4)&amp;"-S"&amp;TEXT(INT((C1362-DATE(YEAR(C1362-WEEKDAY(C1362,2)+4),1,3)+WEEKDAY(DATE(YEAR(C1362-WEEKDAY(C1362,2)+4),1,3),2)+5)/7),"00"))</f>
        <v/>
      </c>
    </row>
    <row r="1363" ht="18" customHeight="1">
      <c r="A1363" s="39" t="n">
        <v>1358</v>
      </c>
      <c r="B1363" s="33">
        <f>IF(C1363="","",IF(P1363="À RENSEIGNER","GIC",P1363)&amp;"-V"&amp;TEXT(A1363,"00000"))</f>
        <v/>
      </c>
      <c r="C1363" s="32" t="n"/>
      <c r="D1363" s="35" t="n"/>
      <c r="E1363" s="36" t="n"/>
      <c r="F1363" s="36" t="n"/>
      <c r="G1363" s="36" t="n"/>
      <c r="H1363" s="36" t="n"/>
      <c r="I1363" s="36" t="n"/>
      <c r="J1363" s="37" t="n"/>
      <c r="K1363" s="32" t="n"/>
      <c r="L1363" s="36" t="n"/>
      <c r="M1363" s="41" t="n"/>
      <c r="N1363" s="41" t="n"/>
      <c r="O1363" s="36" t="n"/>
      <c r="P1363" s="33">
        <f>IF(C1363="","",Commercial_Id)</f>
        <v/>
      </c>
      <c r="Q1363" s="39">
        <f>IF(F1363="","",IFERROR(VALUE(MID(F1363,LEN(F1363)-3,3)),""))</f>
        <v/>
      </c>
      <c r="R1363" s="33">
        <f>IF(Q1363="","",P1363&amp;"|"&amp;Q1363)</f>
        <v/>
      </c>
      <c r="S1363" s="33">
        <f>IF(Q1363="","",IF(P1363="À RENSEIGNER","GIC",P1363)&amp;"-"&amp;TEXT(Q1363,"000"))</f>
        <v/>
      </c>
      <c r="T1363" s="33">
        <f>IF(R1363="","",IFERROR(INDEX(Cl_nom,MATCH(R1363,Cl_cle,0)),"(client introuvable)"))</f>
        <v/>
      </c>
      <c r="U1363" s="33">
        <f>IF(R1363="","",IFERROR(INDEX(Cl_quartier,MATCH(R1363,Cl_cle,0))&amp;"",""))</f>
        <v/>
      </c>
      <c r="V1363" s="34">
        <f>IF(C1363="","",YEAR(C1363-WEEKDAY(C1363,2)+4)&amp;"-S"&amp;TEXT(INT((C1363-DATE(YEAR(C1363-WEEKDAY(C1363,2)+4),1,3)+WEEKDAY(DATE(YEAR(C1363-WEEKDAY(C1363,2)+4),1,3),2)+5)/7),"00"))</f>
        <v/>
      </c>
    </row>
    <row r="1364" ht="18" customHeight="1">
      <c r="A1364" s="39" t="n">
        <v>1359</v>
      </c>
      <c r="B1364" s="33">
        <f>IF(C1364="","",IF(P1364="À RENSEIGNER","GIC",P1364)&amp;"-V"&amp;TEXT(A1364,"00000"))</f>
        <v/>
      </c>
      <c r="C1364" s="32" t="n"/>
      <c r="D1364" s="35" t="n"/>
      <c r="E1364" s="36" t="n"/>
      <c r="F1364" s="36" t="n"/>
      <c r="G1364" s="36" t="n"/>
      <c r="H1364" s="36" t="n"/>
      <c r="I1364" s="36" t="n"/>
      <c r="J1364" s="37" t="n"/>
      <c r="K1364" s="32" t="n"/>
      <c r="L1364" s="36" t="n"/>
      <c r="M1364" s="41" t="n"/>
      <c r="N1364" s="41" t="n"/>
      <c r="O1364" s="36" t="n"/>
      <c r="P1364" s="33">
        <f>IF(C1364="","",Commercial_Id)</f>
        <v/>
      </c>
      <c r="Q1364" s="39">
        <f>IF(F1364="","",IFERROR(VALUE(MID(F1364,LEN(F1364)-3,3)),""))</f>
        <v/>
      </c>
      <c r="R1364" s="33">
        <f>IF(Q1364="","",P1364&amp;"|"&amp;Q1364)</f>
        <v/>
      </c>
      <c r="S1364" s="33">
        <f>IF(Q1364="","",IF(P1364="À RENSEIGNER","GIC",P1364)&amp;"-"&amp;TEXT(Q1364,"000"))</f>
        <v/>
      </c>
      <c r="T1364" s="33">
        <f>IF(R1364="","",IFERROR(INDEX(Cl_nom,MATCH(R1364,Cl_cle,0)),"(client introuvable)"))</f>
        <v/>
      </c>
      <c r="U1364" s="33">
        <f>IF(R1364="","",IFERROR(INDEX(Cl_quartier,MATCH(R1364,Cl_cle,0))&amp;"",""))</f>
        <v/>
      </c>
      <c r="V1364" s="34">
        <f>IF(C1364="","",YEAR(C1364-WEEKDAY(C1364,2)+4)&amp;"-S"&amp;TEXT(INT((C1364-DATE(YEAR(C1364-WEEKDAY(C1364,2)+4),1,3)+WEEKDAY(DATE(YEAR(C1364-WEEKDAY(C1364,2)+4),1,3),2)+5)/7),"00"))</f>
        <v/>
      </c>
    </row>
    <row r="1365" ht="18" customHeight="1">
      <c r="A1365" s="39" t="n">
        <v>1360</v>
      </c>
      <c r="B1365" s="33">
        <f>IF(C1365="","",IF(P1365="À RENSEIGNER","GIC",P1365)&amp;"-V"&amp;TEXT(A1365,"00000"))</f>
        <v/>
      </c>
      <c r="C1365" s="32" t="n"/>
      <c r="D1365" s="35" t="n"/>
      <c r="E1365" s="36" t="n"/>
      <c r="F1365" s="36" t="n"/>
      <c r="G1365" s="36" t="n"/>
      <c r="H1365" s="36" t="n"/>
      <c r="I1365" s="36" t="n"/>
      <c r="J1365" s="37" t="n"/>
      <c r="K1365" s="32" t="n"/>
      <c r="L1365" s="36" t="n"/>
      <c r="M1365" s="41" t="n"/>
      <c r="N1365" s="41" t="n"/>
      <c r="O1365" s="36" t="n"/>
      <c r="P1365" s="33">
        <f>IF(C1365="","",Commercial_Id)</f>
        <v/>
      </c>
      <c r="Q1365" s="39">
        <f>IF(F1365="","",IFERROR(VALUE(MID(F1365,LEN(F1365)-3,3)),""))</f>
        <v/>
      </c>
      <c r="R1365" s="33">
        <f>IF(Q1365="","",P1365&amp;"|"&amp;Q1365)</f>
        <v/>
      </c>
      <c r="S1365" s="33">
        <f>IF(Q1365="","",IF(P1365="À RENSEIGNER","GIC",P1365)&amp;"-"&amp;TEXT(Q1365,"000"))</f>
        <v/>
      </c>
      <c r="T1365" s="33">
        <f>IF(R1365="","",IFERROR(INDEX(Cl_nom,MATCH(R1365,Cl_cle,0)),"(client introuvable)"))</f>
        <v/>
      </c>
      <c r="U1365" s="33">
        <f>IF(R1365="","",IFERROR(INDEX(Cl_quartier,MATCH(R1365,Cl_cle,0))&amp;"",""))</f>
        <v/>
      </c>
      <c r="V1365" s="34">
        <f>IF(C1365="","",YEAR(C1365-WEEKDAY(C1365,2)+4)&amp;"-S"&amp;TEXT(INT((C1365-DATE(YEAR(C1365-WEEKDAY(C1365,2)+4),1,3)+WEEKDAY(DATE(YEAR(C1365-WEEKDAY(C1365,2)+4),1,3),2)+5)/7),"00"))</f>
        <v/>
      </c>
    </row>
    <row r="1366" ht="18" customHeight="1">
      <c r="A1366" s="39" t="n">
        <v>1361</v>
      </c>
      <c r="B1366" s="33">
        <f>IF(C1366="","",IF(P1366="À RENSEIGNER","GIC",P1366)&amp;"-V"&amp;TEXT(A1366,"00000"))</f>
        <v/>
      </c>
      <c r="C1366" s="32" t="n"/>
      <c r="D1366" s="35" t="n"/>
      <c r="E1366" s="36" t="n"/>
      <c r="F1366" s="36" t="n"/>
      <c r="G1366" s="36" t="n"/>
      <c r="H1366" s="36" t="n"/>
      <c r="I1366" s="36" t="n"/>
      <c r="J1366" s="37" t="n"/>
      <c r="K1366" s="32" t="n"/>
      <c r="L1366" s="36" t="n"/>
      <c r="M1366" s="41" t="n"/>
      <c r="N1366" s="41" t="n"/>
      <c r="O1366" s="36" t="n"/>
      <c r="P1366" s="33">
        <f>IF(C1366="","",Commercial_Id)</f>
        <v/>
      </c>
      <c r="Q1366" s="39">
        <f>IF(F1366="","",IFERROR(VALUE(MID(F1366,LEN(F1366)-3,3)),""))</f>
        <v/>
      </c>
      <c r="R1366" s="33">
        <f>IF(Q1366="","",P1366&amp;"|"&amp;Q1366)</f>
        <v/>
      </c>
      <c r="S1366" s="33">
        <f>IF(Q1366="","",IF(P1366="À RENSEIGNER","GIC",P1366)&amp;"-"&amp;TEXT(Q1366,"000"))</f>
        <v/>
      </c>
      <c r="T1366" s="33">
        <f>IF(R1366="","",IFERROR(INDEX(Cl_nom,MATCH(R1366,Cl_cle,0)),"(client introuvable)"))</f>
        <v/>
      </c>
      <c r="U1366" s="33">
        <f>IF(R1366="","",IFERROR(INDEX(Cl_quartier,MATCH(R1366,Cl_cle,0))&amp;"",""))</f>
        <v/>
      </c>
      <c r="V1366" s="34">
        <f>IF(C1366="","",YEAR(C1366-WEEKDAY(C1366,2)+4)&amp;"-S"&amp;TEXT(INT((C1366-DATE(YEAR(C1366-WEEKDAY(C1366,2)+4),1,3)+WEEKDAY(DATE(YEAR(C1366-WEEKDAY(C1366,2)+4),1,3),2)+5)/7),"00"))</f>
        <v/>
      </c>
    </row>
    <row r="1367" ht="18" customHeight="1">
      <c r="A1367" s="39" t="n">
        <v>1362</v>
      </c>
      <c r="B1367" s="33">
        <f>IF(C1367="","",IF(P1367="À RENSEIGNER","GIC",P1367)&amp;"-V"&amp;TEXT(A1367,"00000"))</f>
        <v/>
      </c>
      <c r="C1367" s="32" t="n"/>
      <c r="D1367" s="35" t="n"/>
      <c r="E1367" s="36" t="n"/>
      <c r="F1367" s="36" t="n"/>
      <c r="G1367" s="36" t="n"/>
      <c r="H1367" s="36" t="n"/>
      <c r="I1367" s="36" t="n"/>
      <c r="J1367" s="37" t="n"/>
      <c r="K1367" s="32" t="n"/>
      <c r="L1367" s="36" t="n"/>
      <c r="M1367" s="41" t="n"/>
      <c r="N1367" s="41" t="n"/>
      <c r="O1367" s="36" t="n"/>
      <c r="P1367" s="33">
        <f>IF(C1367="","",Commercial_Id)</f>
        <v/>
      </c>
      <c r="Q1367" s="39">
        <f>IF(F1367="","",IFERROR(VALUE(MID(F1367,LEN(F1367)-3,3)),""))</f>
        <v/>
      </c>
      <c r="R1367" s="33">
        <f>IF(Q1367="","",P1367&amp;"|"&amp;Q1367)</f>
        <v/>
      </c>
      <c r="S1367" s="33">
        <f>IF(Q1367="","",IF(P1367="À RENSEIGNER","GIC",P1367)&amp;"-"&amp;TEXT(Q1367,"000"))</f>
        <v/>
      </c>
      <c r="T1367" s="33">
        <f>IF(R1367="","",IFERROR(INDEX(Cl_nom,MATCH(R1367,Cl_cle,0)),"(client introuvable)"))</f>
        <v/>
      </c>
      <c r="U1367" s="33">
        <f>IF(R1367="","",IFERROR(INDEX(Cl_quartier,MATCH(R1367,Cl_cle,0))&amp;"",""))</f>
        <v/>
      </c>
      <c r="V1367" s="34">
        <f>IF(C1367="","",YEAR(C1367-WEEKDAY(C1367,2)+4)&amp;"-S"&amp;TEXT(INT((C1367-DATE(YEAR(C1367-WEEKDAY(C1367,2)+4),1,3)+WEEKDAY(DATE(YEAR(C1367-WEEKDAY(C1367,2)+4),1,3),2)+5)/7),"00"))</f>
        <v/>
      </c>
    </row>
    <row r="1368" ht="18" customHeight="1">
      <c r="A1368" s="39" t="n">
        <v>1363</v>
      </c>
      <c r="B1368" s="33">
        <f>IF(C1368="","",IF(P1368="À RENSEIGNER","GIC",P1368)&amp;"-V"&amp;TEXT(A1368,"00000"))</f>
        <v/>
      </c>
      <c r="C1368" s="32" t="n"/>
      <c r="D1368" s="35" t="n"/>
      <c r="E1368" s="36" t="n"/>
      <c r="F1368" s="36" t="n"/>
      <c r="G1368" s="36" t="n"/>
      <c r="H1368" s="36" t="n"/>
      <c r="I1368" s="36" t="n"/>
      <c r="J1368" s="37" t="n"/>
      <c r="K1368" s="32" t="n"/>
      <c r="L1368" s="36" t="n"/>
      <c r="M1368" s="41" t="n"/>
      <c r="N1368" s="41" t="n"/>
      <c r="O1368" s="36" t="n"/>
      <c r="P1368" s="33">
        <f>IF(C1368="","",Commercial_Id)</f>
        <v/>
      </c>
      <c r="Q1368" s="39">
        <f>IF(F1368="","",IFERROR(VALUE(MID(F1368,LEN(F1368)-3,3)),""))</f>
        <v/>
      </c>
      <c r="R1368" s="33">
        <f>IF(Q1368="","",P1368&amp;"|"&amp;Q1368)</f>
        <v/>
      </c>
      <c r="S1368" s="33">
        <f>IF(Q1368="","",IF(P1368="À RENSEIGNER","GIC",P1368)&amp;"-"&amp;TEXT(Q1368,"000"))</f>
        <v/>
      </c>
      <c r="T1368" s="33">
        <f>IF(R1368="","",IFERROR(INDEX(Cl_nom,MATCH(R1368,Cl_cle,0)),"(client introuvable)"))</f>
        <v/>
      </c>
      <c r="U1368" s="33">
        <f>IF(R1368="","",IFERROR(INDEX(Cl_quartier,MATCH(R1368,Cl_cle,0))&amp;"",""))</f>
        <v/>
      </c>
      <c r="V1368" s="34">
        <f>IF(C1368="","",YEAR(C1368-WEEKDAY(C1368,2)+4)&amp;"-S"&amp;TEXT(INT((C1368-DATE(YEAR(C1368-WEEKDAY(C1368,2)+4),1,3)+WEEKDAY(DATE(YEAR(C1368-WEEKDAY(C1368,2)+4),1,3),2)+5)/7),"00"))</f>
        <v/>
      </c>
    </row>
    <row r="1369" ht="18" customHeight="1">
      <c r="A1369" s="39" t="n">
        <v>1364</v>
      </c>
      <c r="B1369" s="33">
        <f>IF(C1369="","",IF(P1369="À RENSEIGNER","GIC",P1369)&amp;"-V"&amp;TEXT(A1369,"00000"))</f>
        <v/>
      </c>
      <c r="C1369" s="32" t="n"/>
      <c r="D1369" s="35" t="n"/>
      <c r="E1369" s="36" t="n"/>
      <c r="F1369" s="36" t="n"/>
      <c r="G1369" s="36" t="n"/>
      <c r="H1369" s="36" t="n"/>
      <c r="I1369" s="36" t="n"/>
      <c r="J1369" s="37" t="n"/>
      <c r="K1369" s="32" t="n"/>
      <c r="L1369" s="36" t="n"/>
      <c r="M1369" s="41" t="n"/>
      <c r="N1369" s="41" t="n"/>
      <c r="O1369" s="36" t="n"/>
      <c r="P1369" s="33">
        <f>IF(C1369="","",Commercial_Id)</f>
        <v/>
      </c>
      <c r="Q1369" s="39">
        <f>IF(F1369="","",IFERROR(VALUE(MID(F1369,LEN(F1369)-3,3)),""))</f>
        <v/>
      </c>
      <c r="R1369" s="33">
        <f>IF(Q1369="","",P1369&amp;"|"&amp;Q1369)</f>
        <v/>
      </c>
      <c r="S1369" s="33">
        <f>IF(Q1369="","",IF(P1369="À RENSEIGNER","GIC",P1369)&amp;"-"&amp;TEXT(Q1369,"000"))</f>
        <v/>
      </c>
      <c r="T1369" s="33">
        <f>IF(R1369="","",IFERROR(INDEX(Cl_nom,MATCH(R1369,Cl_cle,0)),"(client introuvable)"))</f>
        <v/>
      </c>
      <c r="U1369" s="33">
        <f>IF(R1369="","",IFERROR(INDEX(Cl_quartier,MATCH(R1369,Cl_cle,0))&amp;"",""))</f>
        <v/>
      </c>
      <c r="V1369" s="34">
        <f>IF(C1369="","",YEAR(C1369-WEEKDAY(C1369,2)+4)&amp;"-S"&amp;TEXT(INT((C1369-DATE(YEAR(C1369-WEEKDAY(C1369,2)+4),1,3)+WEEKDAY(DATE(YEAR(C1369-WEEKDAY(C1369,2)+4),1,3),2)+5)/7),"00"))</f>
        <v/>
      </c>
    </row>
    <row r="1370" ht="18" customHeight="1">
      <c r="A1370" s="39" t="n">
        <v>1365</v>
      </c>
      <c r="B1370" s="33">
        <f>IF(C1370="","",IF(P1370="À RENSEIGNER","GIC",P1370)&amp;"-V"&amp;TEXT(A1370,"00000"))</f>
        <v/>
      </c>
      <c r="C1370" s="32" t="n"/>
      <c r="D1370" s="35" t="n"/>
      <c r="E1370" s="36" t="n"/>
      <c r="F1370" s="36" t="n"/>
      <c r="G1370" s="36" t="n"/>
      <c r="H1370" s="36" t="n"/>
      <c r="I1370" s="36" t="n"/>
      <c r="J1370" s="37" t="n"/>
      <c r="K1370" s="32" t="n"/>
      <c r="L1370" s="36" t="n"/>
      <c r="M1370" s="41" t="n"/>
      <c r="N1370" s="41" t="n"/>
      <c r="O1370" s="36" t="n"/>
      <c r="P1370" s="33">
        <f>IF(C1370="","",Commercial_Id)</f>
        <v/>
      </c>
      <c r="Q1370" s="39">
        <f>IF(F1370="","",IFERROR(VALUE(MID(F1370,LEN(F1370)-3,3)),""))</f>
        <v/>
      </c>
      <c r="R1370" s="33">
        <f>IF(Q1370="","",P1370&amp;"|"&amp;Q1370)</f>
        <v/>
      </c>
      <c r="S1370" s="33">
        <f>IF(Q1370="","",IF(P1370="À RENSEIGNER","GIC",P1370)&amp;"-"&amp;TEXT(Q1370,"000"))</f>
        <v/>
      </c>
      <c r="T1370" s="33">
        <f>IF(R1370="","",IFERROR(INDEX(Cl_nom,MATCH(R1370,Cl_cle,0)),"(client introuvable)"))</f>
        <v/>
      </c>
      <c r="U1370" s="33">
        <f>IF(R1370="","",IFERROR(INDEX(Cl_quartier,MATCH(R1370,Cl_cle,0))&amp;"",""))</f>
        <v/>
      </c>
      <c r="V1370" s="34">
        <f>IF(C1370="","",YEAR(C1370-WEEKDAY(C1370,2)+4)&amp;"-S"&amp;TEXT(INT((C1370-DATE(YEAR(C1370-WEEKDAY(C1370,2)+4),1,3)+WEEKDAY(DATE(YEAR(C1370-WEEKDAY(C1370,2)+4),1,3),2)+5)/7),"00"))</f>
        <v/>
      </c>
    </row>
    <row r="1371" ht="18" customHeight="1">
      <c r="A1371" s="39" t="n">
        <v>1366</v>
      </c>
      <c r="B1371" s="33">
        <f>IF(C1371="","",IF(P1371="À RENSEIGNER","GIC",P1371)&amp;"-V"&amp;TEXT(A1371,"00000"))</f>
        <v/>
      </c>
      <c r="C1371" s="32" t="n"/>
      <c r="D1371" s="35" t="n"/>
      <c r="E1371" s="36" t="n"/>
      <c r="F1371" s="36" t="n"/>
      <c r="G1371" s="36" t="n"/>
      <c r="H1371" s="36" t="n"/>
      <c r="I1371" s="36" t="n"/>
      <c r="J1371" s="37" t="n"/>
      <c r="K1371" s="32" t="n"/>
      <c r="L1371" s="36" t="n"/>
      <c r="M1371" s="41" t="n"/>
      <c r="N1371" s="41" t="n"/>
      <c r="O1371" s="36" t="n"/>
      <c r="P1371" s="33">
        <f>IF(C1371="","",Commercial_Id)</f>
        <v/>
      </c>
      <c r="Q1371" s="39">
        <f>IF(F1371="","",IFERROR(VALUE(MID(F1371,LEN(F1371)-3,3)),""))</f>
        <v/>
      </c>
      <c r="R1371" s="33">
        <f>IF(Q1371="","",P1371&amp;"|"&amp;Q1371)</f>
        <v/>
      </c>
      <c r="S1371" s="33">
        <f>IF(Q1371="","",IF(P1371="À RENSEIGNER","GIC",P1371)&amp;"-"&amp;TEXT(Q1371,"000"))</f>
        <v/>
      </c>
      <c r="T1371" s="33">
        <f>IF(R1371="","",IFERROR(INDEX(Cl_nom,MATCH(R1371,Cl_cle,0)),"(client introuvable)"))</f>
        <v/>
      </c>
      <c r="U1371" s="33">
        <f>IF(R1371="","",IFERROR(INDEX(Cl_quartier,MATCH(R1371,Cl_cle,0))&amp;"",""))</f>
        <v/>
      </c>
      <c r="V1371" s="34">
        <f>IF(C1371="","",YEAR(C1371-WEEKDAY(C1371,2)+4)&amp;"-S"&amp;TEXT(INT((C1371-DATE(YEAR(C1371-WEEKDAY(C1371,2)+4),1,3)+WEEKDAY(DATE(YEAR(C1371-WEEKDAY(C1371,2)+4),1,3),2)+5)/7),"00"))</f>
        <v/>
      </c>
    </row>
    <row r="1372" ht="18" customHeight="1">
      <c r="A1372" s="39" t="n">
        <v>1367</v>
      </c>
      <c r="B1372" s="33">
        <f>IF(C1372="","",IF(P1372="À RENSEIGNER","GIC",P1372)&amp;"-V"&amp;TEXT(A1372,"00000"))</f>
        <v/>
      </c>
      <c r="C1372" s="32" t="n"/>
      <c r="D1372" s="35" t="n"/>
      <c r="E1372" s="36" t="n"/>
      <c r="F1372" s="36" t="n"/>
      <c r="G1372" s="36" t="n"/>
      <c r="H1372" s="36" t="n"/>
      <c r="I1372" s="36" t="n"/>
      <c r="J1372" s="37" t="n"/>
      <c r="K1372" s="32" t="n"/>
      <c r="L1372" s="36" t="n"/>
      <c r="M1372" s="41" t="n"/>
      <c r="N1372" s="41" t="n"/>
      <c r="O1372" s="36" t="n"/>
      <c r="P1372" s="33">
        <f>IF(C1372="","",Commercial_Id)</f>
        <v/>
      </c>
      <c r="Q1372" s="39">
        <f>IF(F1372="","",IFERROR(VALUE(MID(F1372,LEN(F1372)-3,3)),""))</f>
        <v/>
      </c>
      <c r="R1372" s="33">
        <f>IF(Q1372="","",P1372&amp;"|"&amp;Q1372)</f>
        <v/>
      </c>
      <c r="S1372" s="33">
        <f>IF(Q1372="","",IF(P1372="À RENSEIGNER","GIC",P1372)&amp;"-"&amp;TEXT(Q1372,"000"))</f>
        <v/>
      </c>
      <c r="T1372" s="33">
        <f>IF(R1372="","",IFERROR(INDEX(Cl_nom,MATCH(R1372,Cl_cle,0)),"(client introuvable)"))</f>
        <v/>
      </c>
      <c r="U1372" s="33">
        <f>IF(R1372="","",IFERROR(INDEX(Cl_quartier,MATCH(R1372,Cl_cle,0))&amp;"",""))</f>
        <v/>
      </c>
      <c r="V1372" s="34">
        <f>IF(C1372="","",YEAR(C1372-WEEKDAY(C1372,2)+4)&amp;"-S"&amp;TEXT(INT((C1372-DATE(YEAR(C1372-WEEKDAY(C1372,2)+4),1,3)+WEEKDAY(DATE(YEAR(C1372-WEEKDAY(C1372,2)+4),1,3),2)+5)/7),"00"))</f>
        <v/>
      </c>
    </row>
    <row r="1373" ht="18" customHeight="1">
      <c r="A1373" s="39" t="n">
        <v>1368</v>
      </c>
      <c r="B1373" s="33">
        <f>IF(C1373="","",IF(P1373="À RENSEIGNER","GIC",P1373)&amp;"-V"&amp;TEXT(A1373,"00000"))</f>
        <v/>
      </c>
      <c r="C1373" s="32" t="n"/>
      <c r="D1373" s="35" t="n"/>
      <c r="E1373" s="36" t="n"/>
      <c r="F1373" s="36" t="n"/>
      <c r="G1373" s="36" t="n"/>
      <c r="H1373" s="36" t="n"/>
      <c r="I1373" s="36" t="n"/>
      <c r="J1373" s="37" t="n"/>
      <c r="K1373" s="32" t="n"/>
      <c r="L1373" s="36" t="n"/>
      <c r="M1373" s="41" t="n"/>
      <c r="N1373" s="41" t="n"/>
      <c r="O1373" s="36" t="n"/>
      <c r="P1373" s="33">
        <f>IF(C1373="","",Commercial_Id)</f>
        <v/>
      </c>
      <c r="Q1373" s="39">
        <f>IF(F1373="","",IFERROR(VALUE(MID(F1373,LEN(F1373)-3,3)),""))</f>
        <v/>
      </c>
      <c r="R1373" s="33">
        <f>IF(Q1373="","",P1373&amp;"|"&amp;Q1373)</f>
        <v/>
      </c>
      <c r="S1373" s="33">
        <f>IF(Q1373="","",IF(P1373="À RENSEIGNER","GIC",P1373)&amp;"-"&amp;TEXT(Q1373,"000"))</f>
        <v/>
      </c>
      <c r="T1373" s="33">
        <f>IF(R1373="","",IFERROR(INDEX(Cl_nom,MATCH(R1373,Cl_cle,0)),"(client introuvable)"))</f>
        <v/>
      </c>
      <c r="U1373" s="33">
        <f>IF(R1373="","",IFERROR(INDEX(Cl_quartier,MATCH(R1373,Cl_cle,0))&amp;"",""))</f>
        <v/>
      </c>
      <c r="V1373" s="34">
        <f>IF(C1373="","",YEAR(C1373-WEEKDAY(C1373,2)+4)&amp;"-S"&amp;TEXT(INT((C1373-DATE(YEAR(C1373-WEEKDAY(C1373,2)+4),1,3)+WEEKDAY(DATE(YEAR(C1373-WEEKDAY(C1373,2)+4),1,3),2)+5)/7),"00"))</f>
        <v/>
      </c>
    </row>
    <row r="1374" ht="18" customHeight="1">
      <c r="A1374" s="39" t="n">
        <v>1369</v>
      </c>
      <c r="B1374" s="33">
        <f>IF(C1374="","",IF(P1374="À RENSEIGNER","GIC",P1374)&amp;"-V"&amp;TEXT(A1374,"00000"))</f>
        <v/>
      </c>
      <c r="C1374" s="32" t="n"/>
      <c r="D1374" s="35" t="n"/>
      <c r="E1374" s="36" t="n"/>
      <c r="F1374" s="36" t="n"/>
      <c r="G1374" s="36" t="n"/>
      <c r="H1374" s="36" t="n"/>
      <c r="I1374" s="36" t="n"/>
      <c r="J1374" s="37" t="n"/>
      <c r="K1374" s="32" t="n"/>
      <c r="L1374" s="36" t="n"/>
      <c r="M1374" s="41" t="n"/>
      <c r="N1374" s="41" t="n"/>
      <c r="O1374" s="36" t="n"/>
      <c r="P1374" s="33">
        <f>IF(C1374="","",Commercial_Id)</f>
        <v/>
      </c>
      <c r="Q1374" s="39">
        <f>IF(F1374="","",IFERROR(VALUE(MID(F1374,LEN(F1374)-3,3)),""))</f>
        <v/>
      </c>
      <c r="R1374" s="33">
        <f>IF(Q1374="","",P1374&amp;"|"&amp;Q1374)</f>
        <v/>
      </c>
      <c r="S1374" s="33">
        <f>IF(Q1374="","",IF(P1374="À RENSEIGNER","GIC",P1374)&amp;"-"&amp;TEXT(Q1374,"000"))</f>
        <v/>
      </c>
      <c r="T1374" s="33">
        <f>IF(R1374="","",IFERROR(INDEX(Cl_nom,MATCH(R1374,Cl_cle,0)),"(client introuvable)"))</f>
        <v/>
      </c>
      <c r="U1374" s="33">
        <f>IF(R1374="","",IFERROR(INDEX(Cl_quartier,MATCH(R1374,Cl_cle,0))&amp;"",""))</f>
        <v/>
      </c>
      <c r="V1374" s="34">
        <f>IF(C1374="","",YEAR(C1374-WEEKDAY(C1374,2)+4)&amp;"-S"&amp;TEXT(INT((C1374-DATE(YEAR(C1374-WEEKDAY(C1374,2)+4),1,3)+WEEKDAY(DATE(YEAR(C1374-WEEKDAY(C1374,2)+4),1,3),2)+5)/7),"00"))</f>
        <v/>
      </c>
    </row>
    <row r="1375" ht="18" customHeight="1">
      <c r="A1375" s="39" t="n">
        <v>1370</v>
      </c>
      <c r="B1375" s="33">
        <f>IF(C1375="","",IF(P1375="À RENSEIGNER","GIC",P1375)&amp;"-V"&amp;TEXT(A1375,"00000"))</f>
        <v/>
      </c>
      <c r="C1375" s="32" t="n"/>
      <c r="D1375" s="35" t="n"/>
      <c r="E1375" s="36" t="n"/>
      <c r="F1375" s="36" t="n"/>
      <c r="G1375" s="36" t="n"/>
      <c r="H1375" s="36" t="n"/>
      <c r="I1375" s="36" t="n"/>
      <c r="J1375" s="37" t="n"/>
      <c r="K1375" s="32" t="n"/>
      <c r="L1375" s="36" t="n"/>
      <c r="M1375" s="41" t="n"/>
      <c r="N1375" s="41" t="n"/>
      <c r="O1375" s="36" t="n"/>
      <c r="P1375" s="33">
        <f>IF(C1375="","",Commercial_Id)</f>
        <v/>
      </c>
      <c r="Q1375" s="39">
        <f>IF(F1375="","",IFERROR(VALUE(MID(F1375,LEN(F1375)-3,3)),""))</f>
        <v/>
      </c>
      <c r="R1375" s="33">
        <f>IF(Q1375="","",P1375&amp;"|"&amp;Q1375)</f>
        <v/>
      </c>
      <c r="S1375" s="33">
        <f>IF(Q1375="","",IF(P1375="À RENSEIGNER","GIC",P1375)&amp;"-"&amp;TEXT(Q1375,"000"))</f>
        <v/>
      </c>
      <c r="T1375" s="33">
        <f>IF(R1375="","",IFERROR(INDEX(Cl_nom,MATCH(R1375,Cl_cle,0)),"(client introuvable)"))</f>
        <v/>
      </c>
      <c r="U1375" s="33">
        <f>IF(R1375="","",IFERROR(INDEX(Cl_quartier,MATCH(R1375,Cl_cle,0))&amp;"",""))</f>
        <v/>
      </c>
      <c r="V1375" s="34">
        <f>IF(C1375="","",YEAR(C1375-WEEKDAY(C1375,2)+4)&amp;"-S"&amp;TEXT(INT((C1375-DATE(YEAR(C1375-WEEKDAY(C1375,2)+4),1,3)+WEEKDAY(DATE(YEAR(C1375-WEEKDAY(C1375,2)+4),1,3),2)+5)/7),"00"))</f>
        <v/>
      </c>
    </row>
    <row r="1376" ht="18" customHeight="1">
      <c r="A1376" s="39" t="n">
        <v>1371</v>
      </c>
      <c r="B1376" s="33">
        <f>IF(C1376="","",IF(P1376="À RENSEIGNER","GIC",P1376)&amp;"-V"&amp;TEXT(A1376,"00000"))</f>
        <v/>
      </c>
      <c r="C1376" s="32" t="n"/>
      <c r="D1376" s="35" t="n"/>
      <c r="E1376" s="36" t="n"/>
      <c r="F1376" s="36" t="n"/>
      <c r="G1376" s="36" t="n"/>
      <c r="H1376" s="36" t="n"/>
      <c r="I1376" s="36" t="n"/>
      <c r="J1376" s="37" t="n"/>
      <c r="K1376" s="32" t="n"/>
      <c r="L1376" s="36" t="n"/>
      <c r="M1376" s="41" t="n"/>
      <c r="N1376" s="41" t="n"/>
      <c r="O1376" s="36" t="n"/>
      <c r="P1376" s="33">
        <f>IF(C1376="","",Commercial_Id)</f>
        <v/>
      </c>
      <c r="Q1376" s="39">
        <f>IF(F1376="","",IFERROR(VALUE(MID(F1376,LEN(F1376)-3,3)),""))</f>
        <v/>
      </c>
      <c r="R1376" s="33">
        <f>IF(Q1376="","",P1376&amp;"|"&amp;Q1376)</f>
        <v/>
      </c>
      <c r="S1376" s="33">
        <f>IF(Q1376="","",IF(P1376="À RENSEIGNER","GIC",P1376)&amp;"-"&amp;TEXT(Q1376,"000"))</f>
        <v/>
      </c>
      <c r="T1376" s="33">
        <f>IF(R1376="","",IFERROR(INDEX(Cl_nom,MATCH(R1376,Cl_cle,0)),"(client introuvable)"))</f>
        <v/>
      </c>
      <c r="U1376" s="33">
        <f>IF(R1376="","",IFERROR(INDEX(Cl_quartier,MATCH(R1376,Cl_cle,0))&amp;"",""))</f>
        <v/>
      </c>
      <c r="V1376" s="34">
        <f>IF(C1376="","",YEAR(C1376-WEEKDAY(C1376,2)+4)&amp;"-S"&amp;TEXT(INT((C1376-DATE(YEAR(C1376-WEEKDAY(C1376,2)+4),1,3)+WEEKDAY(DATE(YEAR(C1376-WEEKDAY(C1376,2)+4),1,3),2)+5)/7),"00"))</f>
        <v/>
      </c>
    </row>
    <row r="1377" ht="18" customHeight="1">
      <c r="A1377" s="39" t="n">
        <v>1372</v>
      </c>
      <c r="B1377" s="33">
        <f>IF(C1377="","",IF(P1377="À RENSEIGNER","GIC",P1377)&amp;"-V"&amp;TEXT(A1377,"00000"))</f>
        <v/>
      </c>
      <c r="C1377" s="32" t="n"/>
      <c r="D1377" s="35" t="n"/>
      <c r="E1377" s="36" t="n"/>
      <c r="F1377" s="36" t="n"/>
      <c r="G1377" s="36" t="n"/>
      <c r="H1377" s="36" t="n"/>
      <c r="I1377" s="36" t="n"/>
      <c r="J1377" s="37" t="n"/>
      <c r="K1377" s="32" t="n"/>
      <c r="L1377" s="36" t="n"/>
      <c r="M1377" s="41" t="n"/>
      <c r="N1377" s="41" t="n"/>
      <c r="O1377" s="36" t="n"/>
      <c r="P1377" s="33">
        <f>IF(C1377="","",Commercial_Id)</f>
        <v/>
      </c>
      <c r="Q1377" s="39">
        <f>IF(F1377="","",IFERROR(VALUE(MID(F1377,LEN(F1377)-3,3)),""))</f>
        <v/>
      </c>
      <c r="R1377" s="33">
        <f>IF(Q1377="","",P1377&amp;"|"&amp;Q1377)</f>
        <v/>
      </c>
      <c r="S1377" s="33">
        <f>IF(Q1377="","",IF(P1377="À RENSEIGNER","GIC",P1377)&amp;"-"&amp;TEXT(Q1377,"000"))</f>
        <v/>
      </c>
      <c r="T1377" s="33">
        <f>IF(R1377="","",IFERROR(INDEX(Cl_nom,MATCH(R1377,Cl_cle,0)),"(client introuvable)"))</f>
        <v/>
      </c>
      <c r="U1377" s="33">
        <f>IF(R1377="","",IFERROR(INDEX(Cl_quartier,MATCH(R1377,Cl_cle,0))&amp;"",""))</f>
        <v/>
      </c>
      <c r="V1377" s="34">
        <f>IF(C1377="","",YEAR(C1377-WEEKDAY(C1377,2)+4)&amp;"-S"&amp;TEXT(INT((C1377-DATE(YEAR(C1377-WEEKDAY(C1377,2)+4),1,3)+WEEKDAY(DATE(YEAR(C1377-WEEKDAY(C1377,2)+4),1,3),2)+5)/7),"00"))</f>
        <v/>
      </c>
    </row>
    <row r="1378" ht="18" customHeight="1">
      <c r="A1378" s="39" t="n">
        <v>1373</v>
      </c>
      <c r="B1378" s="33">
        <f>IF(C1378="","",IF(P1378="À RENSEIGNER","GIC",P1378)&amp;"-V"&amp;TEXT(A1378,"00000"))</f>
        <v/>
      </c>
      <c r="C1378" s="32" t="n"/>
      <c r="D1378" s="35" t="n"/>
      <c r="E1378" s="36" t="n"/>
      <c r="F1378" s="36" t="n"/>
      <c r="G1378" s="36" t="n"/>
      <c r="H1378" s="36" t="n"/>
      <c r="I1378" s="36" t="n"/>
      <c r="J1378" s="37" t="n"/>
      <c r="K1378" s="32" t="n"/>
      <c r="L1378" s="36" t="n"/>
      <c r="M1378" s="41" t="n"/>
      <c r="N1378" s="41" t="n"/>
      <c r="O1378" s="36" t="n"/>
      <c r="P1378" s="33">
        <f>IF(C1378="","",Commercial_Id)</f>
        <v/>
      </c>
      <c r="Q1378" s="39">
        <f>IF(F1378="","",IFERROR(VALUE(MID(F1378,LEN(F1378)-3,3)),""))</f>
        <v/>
      </c>
      <c r="R1378" s="33">
        <f>IF(Q1378="","",P1378&amp;"|"&amp;Q1378)</f>
        <v/>
      </c>
      <c r="S1378" s="33">
        <f>IF(Q1378="","",IF(P1378="À RENSEIGNER","GIC",P1378)&amp;"-"&amp;TEXT(Q1378,"000"))</f>
        <v/>
      </c>
      <c r="T1378" s="33">
        <f>IF(R1378="","",IFERROR(INDEX(Cl_nom,MATCH(R1378,Cl_cle,0)),"(client introuvable)"))</f>
        <v/>
      </c>
      <c r="U1378" s="33">
        <f>IF(R1378="","",IFERROR(INDEX(Cl_quartier,MATCH(R1378,Cl_cle,0))&amp;"",""))</f>
        <v/>
      </c>
      <c r="V1378" s="34">
        <f>IF(C1378="","",YEAR(C1378-WEEKDAY(C1378,2)+4)&amp;"-S"&amp;TEXT(INT((C1378-DATE(YEAR(C1378-WEEKDAY(C1378,2)+4),1,3)+WEEKDAY(DATE(YEAR(C1378-WEEKDAY(C1378,2)+4),1,3),2)+5)/7),"00"))</f>
        <v/>
      </c>
    </row>
    <row r="1379" ht="18" customHeight="1">
      <c r="A1379" s="39" t="n">
        <v>1374</v>
      </c>
      <c r="B1379" s="33">
        <f>IF(C1379="","",IF(P1379="À RENSEIGNER","GIC",P1379)&amp;"-V"&amp;TEXT(A1379,"00000"))</f>
        <v/>
      </c>
      <c r="C1379" s="32" t="n"/>
      <c r="D1379" s="35" t="n"/>
      <c r="E1379" s="36" t="n"/>
      <c r="F1379" s="36" t="n"/>
      <c r="G1379" s="36" t="n"/>
      <c r="H1379" s="36" t="n"/>
      <c r="I1379" s="36" t="n"/>
      <c r="J1379" s="37" t="n"/>
      <c r="K1379" s="32" t="n"/>
      <c r="L1379" s="36" t="n"/>
      <c r="M1379" s="41" t="n"/>
      <c r="N1379" s="41" t="n"/>
      <c r="O1379" s="36" t="n"/>
      <c r="P1379" s="33">
        <f>IF(C1379="","",Commercial_Id)</f>
        <v/>
      </c>
      <c r="Q1379" s="39">
        <f>IF(F1379="","",IFERROR(VALUE(MID(F1379,LEN(F1379)-3,3)),""))</f>
        <v/>
      </c>
      <c r="R1379" s="33">
        <f>IF(Q1379="","",P1379&amp;"|"&amp;Q1379)</f>
        <v/>
      </c>
      <c r="S1379" s="33">
        <f>IF(Q1379="","",IF(P1379="À RENSEIGNER","GIC",P1379)&amp;"-"&amp;TEXT(Q1379,"000"))</f>
        <v/>
      </c>
      <c r="T1379" s="33">
        <f>IF(R1379="","",IFERROR(INDEX(Cl_nom,MATCH(R1379,Cl_cle,0)),"(client introuvable)"))</f>
        <v/>
      </c>
      <c r="U1379" s="33">
        <f>IF(R1379="","",IFERROR(INDEX(Cl_quartier,MATCH(R1379,Cl_cle,0))&amp;"",""))</f>
        <v/>
      </c>
      <c r="V1379" s="34">
        <f>IF(C1379="","",YEAR(C1379-WEEKDAY(C1379,2)+4)&amp;"-S"&amp;TEXT(INT((C1379-DATE(YEAR(C1379-WEEKDAY(C1379,2)+4),1,3)+WEEKDAY(DATE(YEAR(C1379-WEEKDAY(C1379,2)+4),1,3),2)+5)/7),"00"))</f>
        <v/>
      </c>
    </row>
    <row r="1380" ht="18" customHeight="1">
      <c r="A1380" s="39" t="n">
        <v>1375</v>
      </c>
      <c r="B1380" s="33">
        <f>IF(C1380="","",IF(P1380="À RENSEIGNER","GIC",P1380)&amp;"-V"&amp;TEXT(A1380,"00000"))</f>
        <v/>
      </c>
      <c r="C1380" s="32" t="n"/>
      <c r="D1380" s="35" t="n"/>
      <c r="E1380" s="36" t="n"/>
      <c r="F1380" s="36" t="n"/>
      <c r="G1380" s="36" t="n"/>
      <c r="H1380" s="36" t="n"/>
      <c r="I1380" s="36" t="n"/>
      <c r="J1380" s="37" t="n"/>
      <c r="K1380" s="32" t="n"/>
      <c r="L1380" s="36" t="n"/>
      <c r="M1380" s="41" t="n"/>
      <c r="N1380" s="41" t="n"/>
      <c r="O1380" s="36" t="n"/>
      <c r="P1380" s="33">
        <f>IF(C1380="","",Commercial_Id)</f>
        <v/>
      </c>
      <c r="Q1380" s="39">
        <f>IF(F1380="","",IFERROR(VALUE(MID(F1380,LEN(F1380)-3,3)),""))</f>
        <v/>
      </c>
      <c r="R1380" s="33">
        <f>IF(Q1380="","",P1380&amp;"|"&amp;Q1380)</f>
        <v/>
      </c>
      <c r="S1380" s="33">
        <f>IF(Q1380="","",IF(P1380="À RENSEIGNER","GIC",P1380)&amp;"-"&amp;TEXT(Q1380,"000"))</f>
        <v/>
      </c>
      <c r="T1380" s="33">
        <f>IF(R1380="","",IFERROR(INDEX(Cl_nom,MATCH(R1380,Cl_cle,0)),"(client introuvable)"))</f>
        <v/>
      </c>
      <c r="U1380" s="33">
        <f>IF(R1380="","",IFERROR(INDEX(Cl_quartier,MATCH(R1380,Cl_cle,0))&amp;"",""))</f>
        <v/>
      </c>
      <c r="V1380" s="34">
        <f>IF(C1380="","",YEAR(C1380-WEEKDAY(C1380,2)+4)&amp;"-S"&amp;TEXT(INT((C1380-DATE(YEAR(C1380-WEEKDAY(C1380,2)+4),1,3)+WEEKDAY(DATE(YEAR(C1380-WEEKDAY(C1380,2)+4),1,3),2)+5)/7),"00"))</f>
        <v/>
      </c>
    </row>
    <row r="1381" ht="18" customHeight="1">
      <c r="A1381" s="39" t="n">
        <v>1376</v>
      </c>
      <c r="B1381" s="33">
        <f>IF(C1381="","",IF(P1381="À RENSEIGNER","GIC",P1381)&amp;"-V"&amp;TEXT(A1381,"00000"))</f>
        <v/>
      </c>
      <c r="C1381" s="32" t="n"/>
      <c r="D1381" s="35" t="n"/>
      <c r="E1381" s="36" t="n"/>
      <c r="F1381" s="36" t="n"/>
      <c r="G1381" s="36" t="n"/>
      <c r="H1381" s="36" t="n"/>
      <c r="I1381" s="36" t="n"/>
      <c r="J1381" s="37" t="n"/>
      <c r="K1381" s="32" t="n"/>
      <c r="L1381" s="36" t="n"/>
      <c r="M1381" s="41" t="n"/>
      <c r="N1381" s="41" t="n"/>
      <c r="O1381" s="36" t="n"/>
      <c r="P1381" s="33">
        <f>IF(C1381="","",Commercial_Id)</f>
        <v/>
      </c>
      <c r="Q1381" s="39">
        <f>IF(F1381="","",IFERROR(VALUE(MID(F1381,LEN(F1381)-3,3)),""))</f>
        <v/>
      </c>
      <c r="R1381" s="33">
        <f>IF(Q1381="","",P1381&amp;"|"&amp;Q1381)</f>
        <v/>
      </c>
      <c r="S1381" s="33">
        <f>IF(Q1381="","",IF(P1381="À RENSEIGNER","GIC",P1381)&amp;"-"&amp;TEXT(Q1381,"000"))</f>
        <v/>
      </c>
      <c r="T1381" s="33">
        <f>IF(R1381="","",IFERROR(INDEX(Cl_nom,MATCH(R1381,Cl_cle,0)),"(client introuvable)"))</f>
        <v/>
      </c>
      <c r="U1381" s="33">
        <f>IF(R1381="","",IFERROR(INDEX(Cl_quartier,MATCH(R1381,Cl_cle,0))&amp;"",""))</f>
        <v/>
      </c>
      <c r="V1381" s="34">
        <f>IF(C1381="","",YEAR(C1381-WEEKDAY(C1381,2)+4)&amp;"-S"&amp;TEXT(INT((C1381-DATE(YEAR(C1381-WEEKDAY(C1381,2)+4),1,3)+WEEKDAY(DATE(YEAR(C1381-WEEKDAY(C1381,2)+4),1,3),2)+5)/7),"00"))</f>
        <v/>
      </c>
    </row>
    <row r="1382" ht="18" customHeight="1">
      <c r="A1382" s="39" t="n">
        <v>1377</v>
      </c>
      <c r="B1382" s="33">
        <f>IF(C1382="","",IF(P1382="À RENSEIGNER","GIC",P1382)&amp;"-V"&amp;TEXT(A1382,"00000"))</f>
        <v/>
      </c>
      <c r="C1382" s="32" t="n"/>
      <c r="D1382" s="35" t="n"/>
      <c r="E1382" s="36" t="n"/>
      <c r="F1382" s="36" t="n"/>
      <c r="G1382" s="36" t="n"/>
      <c r="H1382" s="36" t="n"/>
      <c r="I1382" s="36" t="n"/>
      <c r="J1382" s="37" t="n"/>
      <c r="K1382" s="32" t="n"/>
      <c r="L1382" s="36" t="n"/>
      <c r="M1382" s="41" t="n"/>
      <c r="N1382" s="41" t="n"/>
      <c r="O1382" s="36" t="n"/>
      <c r="P1382" s="33">
        <f>IF(C1382="","",Commercial_Id)</f>
        <v/>
      </c>
      <c r="Q1382" s="39">
        <f>IF(F1382="","",IFERROR(VALUE(MID(F1382,LEN(F1382)-3,3)),""))</f>
        <v/>
      </c>
      <c r="R1382" s="33">
        <f>IF(Q1382="","",P1382&amp;"|"&amp;Q1382)</f>
        <v/>
      </c>
      <c r="S1382" s="33">
        <f>IF(Q1382="","",IF(P1382="À RENSEIGNER","GIC",P1382)&amp;"-"&amp;TEXT(Q1382,"000"))</f>
        <v/>
      </c>
      <c r="T1382" s="33">
        <f>IF(R1382="","",IFERROR(INDEX(Cl_nom,MATCH(R1382,Cl_cle,0)),"(client introuvable)"))</f>
        <v/>
      </c>
      <c r="U1382" s="33">
        <f>IF(R1382="","",IFERROR(INDEX(Cl_quartier,MATCH(R1382,Cl_cle,0))&amp;"",""))</f>
        <v/>
      </c>
      <c r="V1382" s="34">
        <f>IF(C1382="","",YEAR(C1382-WEEKDAY(C1382,2)+4)&amp;"-S"&amp;TEXT(INT((C1382-DATE(YEAR(C1382-WEEKDAY(C1382,2)+4),1,3)+WEEKDAY(DATE(YEAR(C1382-WEEKDAY(C1382,2)+4),1,3),2)+5)/7),"00"))</f>
        <v/>
      </c>
    </row>
    <row r="1383" ht="18" customHeight="1">
      <c r="A1383" s="39" t="n">
        <v>1378</v>
      </c>
      <c r="B1383" s="33">
        <f>IF(C1383="","",IF(P1383="À RENSEIGNER","GIC",P1383)&amp;"-V"&amp;TEXT(A1383,"00000"))</f>
        <v/>
      </c>
      <c r="C1383" s="32" t="n"/>
      <c r="D1383" s="35" t="n"/>
      <c r="E1383" s="36" t="n"/>
      <c r="F1383" s="36" t="n"/>
      <c r="G1383" s="36" t="n"/>
      <c r="H1383" s="36" t="n"/>
      <c r="I1383" s="36" t="n"/>
      <c r="J1383" s="37" t="n"/>
      <c r="K1383" s="32" t="n"/>
      <c r="L1383" s="36" t="n"/>
      <c r="M1383" s="41" t="n"/>
      <c r="N1383" s="41" t="n"/>
      <c r="O1383" s="36" t="n"/>
      <c r="P1383" s="33">
        <f>IF(C1383="","",Commercial_Id)</f>
        <v/>
      </c>
      <c r="Q1383" s="39">
        <f>IF(F1383="","",IFERROR(VALUE(MID(F1383,LEN(F1383)-3,3)),""))</f>
        <v/>
      </c>
      <c r="R1383" s="33">
        <f>IF(Q1383="","",P1383&amp;"|"&amp;Q1383)</f>
        <v/>
      </c>
      <c r="S1383" s="33">
        <f>IF(Q1383="","",IF(P1383="À RENSEIGNER","GIC",P1383)&amp;"-"&amp;TEXT(Q1383,"000"))</f>
        <v/>
      </c>
      <c r="T1383" s="33">
        <f>IF(R1383="","",IFERROR(INDEX(Cl_nom,MATCH(R1383,Cl_cle,0)),"(client introuvable)"))</f>
        <v/>
      </c>
      <c r="U1383" s="33">
        <f>IF(R1383="","",IFERROR(INDEX(Cl_quartier,MATCH(R1383,Cl_cle,0))&amp;"",""))</f>
        <v/>
      </c>
      <c r="V1383" s="34">
        <f>IF(C1383="","",YEAR(C1383-WEEKDAY(C1383,2)+4)&amp;"-S"&amp;TEXT(INT((C1383-DATE(YEAR(C1383-WEEKDAY(C1383,2)+4),1,3)+WEEKDAY(DATE(YEAR(C1383-WEEKDAY(C1383,2)+4),1,3),2)+5)/7),"00"))</f>
        <v/>
      </c>
    </row>
    <row r="1384" ht="18" customHeight="1">
      <c r="A1384" s="39" t="n">
        <v>1379</v>
      </c>
      <c r="B1384" s="33">
        <f>IF(C1384="","",IF(P1384="À RENSEIGNER","GIC",P1384)&amp;"-V"&amp;TEXT(A1384,"00000"))</f>
        <v/>
      </c>
      <c r="C1384" s="32" t="n"/>
      <c r="D1384" s="35" t="n"/>
      <c r="E1384" s="36" t="n"/>
      <c r="F1384" s="36" t="n"/>
      <c r="G1384" s="36" t="n"/>
      <c r="H1384" s="36" t="n"/>
      <c r="I1384" s="36" t="n"/>
      <c r="J1384" s="37" t="n"/>
      <c r="K1384" s="32" t="n"/>
      <c r="L1384" s="36" t="n"/>
      <c r="M1384" s="41" t="n"/>
      <c r="N1384" s="41" t="n"/>
      <c r="O1384" s="36" t="n"/>
      <c r="P1384" s="33">
        <f>IF(C1384="","",Commercial_Id)</f>
        <v/>
      </c>
      <c r="Q1384" s="39">
        <f>IF(F1384="","",IFERROR(VALUE(MID(F1384,LEN(F1384)-3,3)),""))</f>
        <v/>
      </c>
      <c r="R1384" s="33">
        <f>IF(Q1384="","",P1384&amp;"|"&amp;Q1384)</f>
        <v/>
      </c>
      <c r="S1384" s="33">
        <f>IF(Q1384="","",IF(P1384="À RENSEIGNER","GIC",P1384)&amp;"-"&amp;TEXT(Q1384,"000"))</f>
        <v/>
      </c>
      <c r="T1384" s="33">
        <f>IF(R1384="","",IFERROR(INDEX(Cl_nom,MATCH(R1384,Cl_cle,0)),"(client introuvable)"))</f>
        <v/>
      </c>
      <c r="U1384" s="33">
        <f>IF(R1384="","",IFERROR(INDEX(Cl_quartier,MATCH(R1384,Cl_cle,0))&amp;"",""))</f>
        <v/>
      </c>
      <c r="V1384" s="34">
        <f>IF(C1384="","",YEAR(C1384-WEEKDAY(C1384,2)+4)&amp;"-S"&amp;TEXT(INT((C1384-DATE(YEAR(C1384-WEEKDAY(C1384,2)+4),1,3)+WEEKDAY(DATE(YEAR(C1384-WEEKDAY(C1384,2)+4),1,3),2)+5)/7),"00"))</f>
        <v/>
      </c>
    </row>
    <row r="1385" ht="18" customHeight="1">
      <c r="A1385" s="39" t="n">
        <v>1380</v>
      </c>
      <c r="B1385" s="33">
        <f>IF(C1385="","",IF(P1385="À RENSEIGNER","GIC",P1385)&amp;"-V"&amp;TEXT(A1385,"00000"))</f>
        <v/>
      </c>
      <c r="C1385" s="32" t="n"/>
      <c r="D1385" s="35" t="n"/>
      <c r="E1385" s="36" t="n"/>
      <c r="F1385" s="36" t="n"/>
      <c r="G1385" s="36" t="n"/>
      <c r="H1385" s="36" t="n"/>
      <c r="I1385" s="36" t="n"/>
      <c r="J1385" s="37" t="n"/>
      <c r="K1385" s="32" t="n"/>
      <c r="L1385" s="36" t="n"/>
      <c r="M1385" s="41" t="n"/>
      <c r="N1385" s="41" t="n"/>
      <c r="O1385" s="36" t="n"/>
      <c r="P1385" s="33">
        <f>IF(C1385="","",Commercial_Id)</f>
        <v/>
      </c>
      <c r="Q1385" s="39">
        <f>IF(F1385="","",IFERROR(VALUE(MID(F1385,LEN(F1385)-3,3)),""))</f>
        <v/>
      </c>
      <c r="R1385" s="33">
        <f>IF(Q1385="","",P1385&amp;"|"&amp;Q1385)</f>
        <v/>
      </c>
      <c r="S1385" s="33">
        <f>IF(Q1385="","",IF(P1385="À RENSEIGNER","GIC",P1385)&amp;"-"&amp;TEXT(Q1385,"000"))</f>
        <v/>
      </c>
      <c r="T1385" s="33">
        <f>IF(R1385="","",IFERROR(INDEX(Cl_nom,MATCH(R1385,Cl_cle,0)),"(client introuvable)"))</f>
        <v/>
      </c>
      <c r="U1385" s="33">
        <f>IF(R1385="","",IFERROR(INDEX(Cl_quartier,MATCH(R1385,Cl_cle,0))&amp;"",""))</f>
        <v/>
      </c>
      <c r="V1385" s="34">
        <f>IF(C1385="","",YEAR(C1385-WEEKDAY(C1385,2)+4)&amp;"-S"&amp;TEXT(INT((C1385-DATE(YEAR(C1385-WEEKDAY(C1385,2)+4),1,3)+WEEKDAY(DATE(YEAR(C1385-WEEKDAY(C1385,2)+4),1,3),2)+5)/7),"00"))</f>
        <v/>
      </c>
    </row>
    <row r="1386" ht="18" customHeight="1">
      <c r="A1386" s="39" t="n">
        <v>1381</v>
      </c>
      <c r="B1386" s="33">
        <f>IF(C1386="","",IF(P1386="À RENSEIGNER","GIC",P1386)&amp;"-V"&amp;TEXT(A1386,"00000"))</f>
        <v/>
      </c>
      <c r="C1386" s="32" t="n"/>
      <c r="D1386" s="35" t="n"/>
      <c r="E1386" s="36" t="n"/>
      <c r="F1386" s="36" t="n"/>
      <c r="G1386" s="36" t="n"/>
      <c r="H1386" s="36" t="n"/>
      <c r="I1386" s="36" t="n"/>
      <c r="J1386" s="37" t="n"/>
      <c r="K1386" s="32" t="n"/>
      <c r="L1386" s="36" t="n"/>
      <c r="M1386" s="41" t="n"/>
      <c r="N1386" s="41" t="n"/>
      <c r="O1386" s="36" t="n"/>
      <c r="P1386" s="33">
        <f>IF(C1386="","",Commercial_Id)</f>
        <v/>
      </c>
      <c r="Q1386" s="39">
        <f>IF(F1386="","",IFERROR(VALUE(MID(F1386,LEN(F1386)-3,3)),""))</f>
        <v/>
      </c>
      <c r="R1386" s="33">
        <f>IF(Q1386="","",P1386&amp;"|"&amp;Q1386)</f>
        <v/>
      </c>
      <c r="S1386" s="33">
        <f>IF(Q1386="","",IF(P1386="À RENSEIGNER","GIC",P1386)&amp;"-"&amp;TEXT(Q1386,"000"))</f>
        <v/>
      </c>
      <c r="T1386" s="33">
        <f>IF(R1386="","",IFERROR(INDEX(Cl_nom,MATCH(R1386,Cl_cle,0)),"(client introuvable)"))</f>
        <v/>
      </c>
      <c r="U1386" s="33">
        <f>IF(R1386="","",IFERROR(INDEX(Cl_quartier,MATCH(R1386,Cl_cle,0))&amp;"",""))</f>
        <v/>
      </c>
      <c r="V1386" s="34">
        <f>IF(C1386="","",YEAR(C1386-WEEKDAY(C1386,2)+4)&amp;"-S"&amp;TEXT(INT((C1386-DATE(YEAR(C1386-WEEKDAY(C1386,2)+4),1,3)+WEEKDAY(DATE(YEAR(C1386-WEEKDAY(C1386,2)+4),1,3),2)+5)/7),"00"))</f>
        <v/>
      </c>
    </row>
    <row r="1387" ht="18" customHeight="1">
      <c r="A1387" s="39" t="n">
        <v>1382</v>
      </c>
      <c r="B1387" s="33">
        <f>IF(C1387="","",IF(P1387="À RENSEIGNER","GIC",P1387)&amp;"-V"&amp;TEXT(A1387,"00000"))</f>
        <v/>
      </c>
      <c r="C1387" s="32" t="n"/>
      <c r="D1387" s="35" t="n"/>
      <c r="E1387" s="36" t="n"/>
      <c r="F1387" s="36" t="n"/>
      <c r="G1387" s="36" t="n"/>
      <c r="H1387" s="36" t="n"/>
      <c r="I1387" s="36" t="n"/>
      <c r="J1387" s="37" t="n"/>
      <c r="K1387" s="32" t="n"/>
      <c r="L1387" s="36" t="n"/>
      <c r="M1387" s="41" t="n"/>
      <c r="N1387" s="41" t="n"/>
      <c r="O1387" s="36" t="n"/>
      <c r="P1387" s="33">
        <f>IF(C1387="","",Commercial_Id)</f>
        <v/>
      </c>
      <c r="Q1387" s="39">
        <f>IF(F1387="","",IFERROR(VALUE(MID(F1387,LEN(F1387)-3,3)),""))</f>
        <v/>
      </c>
      <c r="R1387" s="33">
        <f>IF(Q1387="","",P1387&amp;"|"&amp;Q1387)</f>
        <v/>
      </c>
      <c r="S1387" s="33">
        <f>IF(Q1387="","",IF(P1387="À RENSEIGNER","GIC",P1387)&amp;"-"&amp;TEXT(Q1387,"000"))</f>
        <v/>
      </c>
      <c r="T1387" s="33">
        <f>IF(R1387="","",IFERROR(INDEX(Cl_nom,MATCH(R1387,Cl_cle,0)),"(client introuvable)"))</f>
        <v/>
      </c>
      <c r="U1387" s="33">
        <f>IF(R1387="","",IFERROR(INDEX(Cl_quartier,MATCH(R1387,Cl_cle,0))&amp;"",""))</f>
        <v/>
      </c>
      <c r="V1387" s="34">
        <f>IF(C1387="","",YEAR(C1387-WEEKDAY(C1387,2)+4)&amp;"-S"&amp;TEXT(INT((C1387-DATE(YEAR(C1387-WEEKDAY(C1387,2)+4),1,3)+WEEKDAY(DATE(YEAR(C1387-WEEKDAY(C1387,2)+4),1,3),2)+5)/7),"00"))</f>
        <v/>
      </c>
    </row>
    <row r="1388" ht="18" customHeight="1">
      <c r="A1388" s="39" t="n">
        <v>1383</v>
      </c>
      <c r="B1388" s="33">
        <f>IF(C1388="","",IF(P1388="À RENSEIGNER","GIC",P1388)&amp;"-V"&amp;TEXT(A1388,"00000"))</f>
        <v/>
      </c>
      <c r="C1388" s="32" t="n"/>
      <c r="D1388" s="35" t="n"/>
      <c r="E1388" s="36" t="n"/>
      <c r="F1388" s="36" t="n"/>
      <c r="G1388" s="36" t="n"/>
      <c r="H1388" s="36" t="n"/>
      <c r="I1388" s="36" t="n"/>
      <c r="J1388" s="37" t="n"/>
      <c r="K1388" s="32" t="n"/>
      <c r="L1388" s="36" t="n"/>
      <c r="M1388" s="41" t="n"/>
      <c r="N1388" s="41" t="n"/>
      <c r="O1388" s="36" t="n"/>
      <c r="P1388" s="33">
        <f>IF(C1388="","",Commercial_Id)</f>
        <v/>
      </c>
      <c r="Q1388" s="39">
        <f>IF(F1388="","",IFERROR(VALUE(MID(F1388,LEN(F1388)-3,3)),""))</f>
        <v/>
      </c>
      <c r="R1388" s="33">
        <f>IF(Q1388="","",P1388&amp;"|"&amp;Q1388)</f>
        <v/>
      </c>
      <c r="S1388" s="33">
        <f>IF(Q1388="","",IF(P1388="À RENSEIGNER","GIC",P1388)&amp;"-"&amp;TEXT(Q1388,"000"))</f>
        <v/>
      </c>
      <c r="T1388" s="33">
        <f>IF(R1388="","",IFERROR(INDEX(Cl_nom,MATCH(R1388,Cl_cle,0)),"(client introuvable)"))</f>
        <v/>
      </c>
      <c r="U1388" s="33">
        <f>IF(R1388="","",IFERROR(INDEX(Cl_quartier,MATCH(R1388,Cl_cle,0))&amp;"",""))</f>
        <v/>
      </c>
      <c r="V1388" s="34">
        <f>IF(C1388="","",YEAR(C1388-WEEKDAY(C1388,2)+4)&amp;"-S"&amp;TEXT(INT((C1388-DATE(YEAR(C1388-WEEKDAY(C1388,2)+4),1,3)+WEEKDAY(DATE(YEAR(C1388-WEEKDAY(C1388,2)+4),1,3),2)+5)/7),"00"))</f>
        <v/>
      </c>
    </row>
    <row r="1389" ht="18" customHeight="1">
      <c r="A1389" s="39" t="n">
        <v>1384</v>
      </c>
      <c r="B1389" s="33">
        <f>IF(C1389="","",IF(P1389="À RENSEIGNER","GIC",P1389)&amp;"-V"&amp;TEXT(A1389,"00000"))</f>
        <v/>
      </c>
      <c r="C1389" s="32" t="n"/>
      <c r="D1389" s="35" t="n"/>
      <c r="E1389" s="36" t="n"/>
      <c r="F1389" s="36" t="n"/>
      <c r="G1389" s="36" t="n"/>
      <c r="H1389" s="36" t="n"/>
      <c r="I1389" s="36" t="n"/>
      <c r="J1389" s="37" t="n"/>
      <c r="K1389" s="32" t="n"/>
      <c r="L1389" s="36" t="n"/>
      <c r="M1389" s="41" t="n"/>
      <c r="N1389" s="41" t="n"/>
      <c r="O1389" s="36" t="n"/>
      <c r="P1389" s="33">
        <f>IF(C1389="","",Commercial_Id)</f>
        <v/>
      </c>
      <c r="Q1389" s="39">
        <f>IF(F1389="","",IFERROR(VALUE(MID(F1389,LEN(F1389)-3,3)),""))</f>
        <v/>
      </c>
      <c r="R1389" s="33">
        <f>IF(Q1389="","",P1389&amp;"|"&amp;Q1389)</f>
        <v/>
      </c>
      <c r="S1389" s="33">
        <f>IF(Q1389="","",IF(P1389="À RENSEIGNER","GIC",P1389)&amp;"-"&amp;TEXT(Q1389,"000"))</f>
        <v/>
      </c>
      <c r="T1389" s="33">
        <f>IF(R1389="","",IFERROR(INDEX(Cl_nom,MATCH(R1389,Cl_cle,0)),"(client introuvable)"))</f>
        <v/>
      </c>
      <c r="U1389" s="33">
        <f>IF(R1389="","",IFERROR(INDEX(Cl_quartier,MATCH(R1389,Cl_cle,0))&amp;"",""))</f>
        <v/>
      </c>
      <c r="V1389" s="34">
        <f>IF(C1389="","",YEAR(C1389-WEEKDAY(C1389,2)+4)&amp;"-S"&amp;TEXT(INT((C1389-DATE(YEAR(C1389-WEEKDAY(C1389,2)+4),1,3)+WEEKDAY(DATE(YEAR(C1389-WEEKDAY(C1389,2)+4),1,3),2)+5)/7),"00"))</f>
        <v/>
      </c>
    </row>
    <row r="1390" ht="18" customHeight="1">
      <c r="A1390" s="39" t="n">
        <v>1385</v>
      </c>
      <c r="B1390" s="33">
        <f>IF(C1390="","",IF(P1390="À RENSEIGNER","GIC",P1390)&amp;"-V"&amp;TEXT(A1390,"00000"))</f>
        <v/>
      </c>
      <c r="C1390" s="32" t="n"/>
      <c r="D1390" s="35" t="n"/>
      <c r="E1390" s="36" t="n"/>
      <c r="F1390" s="36" t="n"/>
      <c r="G1390" s="36" t="n"/>
      <c r="H1390" s="36" t="n"/>
      <c r="I1390" s="36" t="n"/>
      <c r="J1390" s="37" t="n"/>
      <c r="K1390" s="32" t="n"/>
      <c r="L1390" s="36" t="n"/>
      <c r="M1390" s="41" t="n"/>
      <c r="N1390" s="41" t="n"/>
      <c r="O1390" s="36" t="n"/>
      <c r="P1390" s="33">
        <f>IF(C1390="","",Commercial_Id)</f>
        <v/>
      </c>
      <c r="Q1390" s="39">
        <f>IF(F1390="","",IFERROR(VALUE(MID(F1390,LEN(F1390)-3,3)),""))</f>
        <v/>
      </c>
      <c r="R1390" s="33">
        <f>IF(Q1390="","",P1390&amp;"|"&amp;Q1390)</f>
        <v/>
      </c>
      <c r="S1390" s="33">
        <f>IF(Q1390="","",IF(P1390="À RENSEIGNER","GIC",P1390)&amp;"-"&amp;TEXT(Q1390,"000"))</f>
        <v/>
      </c>
      <c r="T1390" s="33">
        <f>IF(R1390="","",IFERROR(INDEX(Cl_nom,MATCH(R1390,Cl_cle,0)),"(client introuvable)"))</f>
        <v/>
      </c>
      <c r="U1390" s="33">
        <f>IF(R1390="","",IFERROR(INDEX(Cl_quartier,MATCH(R1390,Cl_cle,0))&amp;"",""))</f>
        <v/>
      </c>
      <c r="V1390" s="34">
        <f>IF(C1390="","",YEAR(C1390-WEEKDAY(C1390,2)+4)&amp;"-S"&amp;TEXT(INT((C1390-DATE(YEAR(C1390-WEEKDAY(C1390,2)+4),1,3)+WEEKDAY(DATE(YEAR(C1390-WEEKDAY(C1390,2)+4),1,3),2)+5)/7),"00"))</f>
        <v/>
      </c>
    </row>
    <row r="1391" ht="18" customHeight="1">
      <c r="A1391" s="39" t="n">
        <v>1386</v>
      </c>
      <c r="B1391" s="33">
        <f>IF(C1391="","",IF(P1391="À RENSEIGNER","GIC",P1391)&amp;"-V"&amp;TEXT(A1391,"00000"))</f>
        <v/>
      </c>
      <c r="C1391" s="32" t="n"/>
      <c r="D1391" s="35" t="n"/>
      <c r="E1391" s="36" t="n"/>
      <c r="F1391" s="36" t="n"/>
      <c r="G1391" s="36" t="n"/>
      <c r="H1391" s="36" t="n"/>
      <c r="I1391" s="36" t="n"/>
      <c r="J1391" s="37" t="n"/>
      <c r="K1391" s="32" t="n"/>
      <c r="L1391" s="36" t="n"/>
      <c r="M1391" s="41" t="n"/>
      <c r="N1391" s="41" t="n"/>
      <c r="O1391" s="36" t="n"/>
      <c r="P1391" s="33">
        <f>IF(C1391="","",Commercial_Id)</f>
        <v/>
      </c>
      <c r="Q1391" s="39">
        <f>IF(F1391="","",IFERROR(VALUE(MID(F1391,LEN(F1391)-3,3)),""))</f>
        <v/>
      </c>
      <c r="R1391" s="33">
        <f>IF(Q1391="","",P1391&amp;"|"&amp;Q1391)</f>
        <v/>
      </c>
      <c r="S1391" s="33">
        <f>IF(Q1391="","",IF(P1391="À RENSEIGNER","GIC",P1391)&amp;"-"&amp;TEXT(Q1391,"000"))</f>
        <v/>
      </c>
      <c r="T1391" s="33">
        <f>IF(R1391="","",IFERROR(INDEX(Cl_nom,MATCH(R1391,Cl_cle,0)),"(client introuvable)"))</f>
        <v/>
      </c>
      <c r="U1391" s="33">
        <f>IF(R1391="","",IFERROR(INDEX(Cl_quartier,MATCH(R1391,Cl_cle,0))&amp;"",""))</f>
        <v/>
      </c>
      <c r="V1391" s="34">
        <f>IF(C1391="","",YEAR(C1391-WEEKDAY(C1391,2)+4)&amp;"-S"&amp;TEXT(INT((C1391-DATE(YEAR(C1391-WEEKDAY(C1391,2)+4),1,3)+WEEKDAY(DATE(YEAR(C1391-WEEKDAY(C1391,2)+4),1,3),2)+5)/7),"00"))</f>
        <v/>
      </c>
    </row>
    <row r="1392" ht="18" customHeight="1">
      <c r="A1392" s="39" t="n">
        <v>1387</v>
      </c>
      <c r="B1392" s="33">
        <f>IF(C1392="","",IF(P1392="À RENSEIGNER","GIC",P1392)&amp;"-V"&amp;TEXT(A1392,"00000"))</f>
        <v/>
      </c>
      <c r="C1392" s="32" t="n"/>
      <c r="D1392" s="35" t="n"/>
      <c r="E1392" s="36" t="n"/>
      <c r="F1392" s="36" t="n"/>
      <c r="G1392" s="36" t="n"/>
      <c r="H1392" s="36" t="n"/>
      <c r="I1392" s="36" t="n"/>
      <c r="J1392" s="37" t="n"/>
      <c r="K1392" s="32" t="n"/>
      <c r="L1392" s="36" t="n"/>
      <c r="M1392" s="41" t="n"/>
      <c r="N1392" s="41" t="n"/>
      <c r="O1392" s="36" t="n"/>
      <c r="P1392" s="33">
        <f>IF(C1392="","",Commercial_Id)</f>
        <v/>
      </c>
      <c r="Q1392" s="39">
        <f>IF(F1392="","",IFERROR(VALUE(MID(F1392,LEN(F1392)-3,3)),""))</f>
        <v/>
      </c>
      <c r="R1392" s="33">
        <f>IF(Q1392="","",P1392&amp;"|"&amp;Q1392)</f>
        <v/>
      </c>
      <c r="S1392" s="33">
        <f>IF(Q1392="","",IF(P1392="À RENSEIGNER","GIC",P1392)&amp;"-"&amp;TEXT(Q1392,"000"))</f>
        <v/>
      </c>
      <c r="T1392" s="33">
        <f>IF(R1392="","",IFERROR(INDEX(Cl_nom,MATCH(R1392,Cl_cle,0)),"(client introuvable)"))</f>
        <v/>
      </c>
      <c r="U1392" s="33">
        <f>IF(R1392="","",IFERROR(INDEX(Cl_quartier,MATCH(R1392,Cl_cle,0))&amp;"",""))</f>
        <v/>
      </c>
      <c r="V1392" s="34">
        <f>IF(C1392="","",YEAR(C1392-WEEKDAY(C1392,2)+4)&amp;"-S"&amp;TEXT(INT((C1392-DATE(YEAR(C1392-WEEKDAY(C1392,2)+4),1,3)+WEEKDAY(DATE(YEAR(C1392-WEEKDAY(C1392,2)+4),1,3),2)+5)/7),"00"))</f>
        <v/>
      </c>
    </row>
    <row r="1393" ht="18" customHeight="1">
      <c r="A1393" s="39" t="n">
        <v>1388</v>
      </c>
      <c r="B1393" s="33">
        <f>IF(C1393="","",IF(P1393="À RENSEIGNER","GIC",P1393)&amp;"-V"&amp;TEXT(A1393,"00000"))</f>
        <v/>
      </c>
      <c r="C1393" s="32" t="n"/>
      <c r="D1393" s="35" t="n"/>
      <c r="E1393" s="36" t="n"/>
      <c r="F1393" s="36" t="n"/>
      <c r="G1393" s="36" t="n"/>
      <c r="H1393" s="36" t="n"/>
      <c r="I1393" s="36" t="n"/>
      <c r="J1393" s="37" t="n"/>
      <c r="K1393" s="32" t="n"/>
      <c r="L1393" s="36" t="n"/>
      <c r="M1393" s="41" t="n"/>
      <c r="N1393" s="41" t="n"/>
      <c r="O1393" s="36" t="n"/>
      <c r="P1393" s="33">
        <f>IF(C1393="","",Commercial_Id)</f>
        <v/>
      </c>
      <c r="Q1393" s="39">
        <f>IF(F1393="","",IFERROR(VALUE(MID(F1393,LEN(F1393)-3,3)),""))</f>
        <v/>
      </c>
      <c r="R1393" s="33">
        <f>IF(Q1393="","",P1393&amp;"|"&amp;Q1393)</f>
        <v/>
      </c>
      <c r="S1393" s="33">
        <f>IF(Q1393="","",IF(P1393="À RENSEIGNER","GIC",P1393)&amp;"-"&amp;TEXT(Q1393,"000"))</f>
        <v/>
      </c>
      <c r="T1393" s="33">
        <f>IF(R1393="","",IFERROR(INDEX(Cl_nom,MATCH(R1393,Cl_cle,0)),"(client introuvable)"))</f>
        <v/>
      </c>
      <c r="U1393" s="33">
        <f>IF(R1393="","",IFERROR(INDEX(Cl_quartier,MATCH(R1393,Cl_cle,0))&amp;"",""))</f>
        <v/>
      </c>
      <c r="V1393" s="34">
        <f>IF(C1393="","",YEAR(C1393-WEEKDAY(C1393,2)+4)&amp;"-S"&amp;TEXT(INT((C1393-DATE(YEAR(C1393-WEEKDAY(C1393,2)+4),1,3)+WEEKDAY(DATE(YEAR(C1393-WEEKDAY(C1393,2)+4),1,3),2)+5)/7),"00"))</f>
        <v/>
      </c>
    </row>
    <row r="1394" ht="18" customHeight="1">
      <c r="A1394" s="39" t="n">
        <v>1389</v>
      </c>
      <c r="B1394" s="33">
        <f>IF(C1394="","",IF(P1394="À RENSEIGNER","GIC",P1394)&amp;"-V"&amp;TEXT(A1394,"00000"))</f>
        <v/>
      </c>
      <c r="C1394" s="32" t="n"/>
      <c r="D1394" s="35" t="n"/>
      <c r="E1394" s="36" t="n"/>
      <c r="F1394" s="36" t="n"/>
      <c r="G1394" s="36" t="n"/>
      <c r="H1394" s="36" t="n"/>
      <c r="I1394" s="36" t="n"/>
      <c r="J1394" s="37" t="n"/>
      <c r="K1394" s="32" t="n"/>
      <c r="L1394" s="36" t="n"/>
      <c r="M1394" s="41" t="n"/>
      <c r="N1394" s="41" t="n"/>
      <c r="O1394" s="36" t="n"/>
      <c r="P1394" s="33">
        <f>IF(C1394="","",Commercial_Id)</f>
        <v/>
      </c>
      <c r="Q1394" s="39">
        <f>IF(F1394="","",IFERROR(VALUE(MID(F1394,LEN(F1394)-3,3)),""))</f>
        <v/>
      </c>
      <c r="R1394" s="33">
        <f>IF(Q1394="","",P1394&amp;"|"&amp;Q1394)</f>
        <v/>
      </c>
      <c r="S1394" s="33">
        <f>IF(Q1394="","",IF(P1394="À RENSEIGNER","GIC",P1394)&amp;"-"&amp;TEXT(Q1394,"000"))</f>
        <v/>
      </c>
      <c r="T1394" s="33">
        <f>IF(R1394="","",IFERROR(INDEX(Cl_nom,MATCH(R1394,Cl_cle,0)),"(client introuvable)"))</f>
        <v/>
      </c>
      <c r="U1394" s="33">
        <f>IF(R1394="","",IFERROR(INDEX(Cl_quartier,MATCH(R1394,Cl_cle,0))&amp;"",""))</f>
        <v/>
      </c>
      <c r="V1394" s="34">
        <f>IF(C1394="","",YEAR(C1394-WEEKDAY(C1394,2)+4)&amp;"-S"&amp;TEXT(INT((C1394-DATE(YEAR(C1394-WEEKDAY(C1394,2)+4),1,3)+WEEKDAY(DATE(YEAR(C1394-WEEKDAY(C1394,2)+4),1,3),2)+5)/7),"00"))</f>
        <v/>
      </c>
    </row>
    <row r="1395" ht="18" customHeight="1">
      <c r="A1395" s="39" t="n">
        <v>1390</v>
      </c>
      <c r="B1395" s="33">
        <f>IF(C1395="","",IF(P1395="À RENSEIGNER","GIC",P1395)&amp;"-V"&amp;TEXT(A1395,"00000"))</f>
        <v/>
      </c>
      <c r="C1395" s="32" t="n"/>
      <c r="D1395" s="35" t="n"/>
      <c r="E1395" s="36" t="n"/>
      <c r="F1395" s="36" t="n"/>
      <c r="G1395" s="36" t="n"/>
      <c r="H1395" s="36" t="n"/>
      <c r="I1395" s="36" t="n"/>
      <c r="J1395" s="37" t="n"/>
      <c r="K1395" s="32" t="n"/>
      <c r="L1395" s="36" t="n"/>
      <c r="M1395" s="41" t="n"/>
      <c r="N1395" s="41" t="n"/>
      <c r="O1395" s="36" t="n"/>
      <c r="P1395" s="33">
        <f>IF(C1395="","",Commercial_Id)</f>
        <v/>
      </c>
      <c r="Q1395" s="39">
        <f>IF(F1395="","",IFERROR(VALUE(MID(F1395,LEN(F1395)-3,3)),""))</f>
        <v/>
      </c>
      <c r="R1395" s="33">
        <f>IF(Q1395="","",P1395&amp;"|"&amp;Q1395)</f>
        <v/>
      </c>
      <c r="S1395" s="33">
        <f>IF(Q1395="","",IF(P1395="À RENSEIGNER","GIC",P1395)&amp;"-"&amp;TEXT(Q1395,"000"))</f>
        <v/>
      </c>
      <c r="T1395" s="33">
        <f>IF(R1395="","",IFERROR(INDEX(Cl_nom,MATCH(R1395,Cl_cle,0)),"(client introuvable)"))</f>
        <v/>
      </c>
      <c r="U1395" s="33">
        <f>IF(R1395="","",IFERROR(INDEX(Cl_quartier,MATCH(R1395,Cl_cle,0))&amp;"",""))</f>
        <v/>
      </c>
      <c r="V1395" s="34">
        <f>IF(C1395="","",YEAR(C1395-WEEKDAY(C1395,2)+4)&amp;"-S"&amp;TEXT(INT((C1395-DATE(YEAR(C1395-WEEKDAY(C1395,2)+4),1,3)+WEEKDAY(DATE(YEAR(C1395-WEEKDAY(C1395,2)+4),1,3),2)+5)/7),"00"))</f>
        <v/>
      </c>
    </row>
    <row r="1396" ht="18" customHeight="1">
      <c r="A1396" s="39" t="n">
        <v>1391</v>
      </c>
      <c r="B1396" s="33">
        <f>IF(C1396="","",IF(P1396="À RENSEIGNER","GIC",P1396)&amp;"-V"&amp;TEXT(A1396,"00000"))</f>
        <v/>
      </c>
      <c r="C1396" s="32" t="n"/>
      <c r="D1396" s="35" t="n"/>
      <c r="E1396" s="36" t="n"/>
      <c r="F1396" s="36" t="n"/>
      <c r="G1396" s="36" t="n"/>
      <c r="H1396" s="36" t="n"/>
      <c r="I1396" s="36" t="n"/>
      <c r="J1396" s="37" t="n"/>
      <c r="K1396" s="32" t="n"/>
      <c r="L1396" s="36" t="n"/>
      <c r="M1396" s="41" t="n"/>
      <c r="N1396" s="41" t="n"/>
      <c r="O1396" s="36" t="n"/>
      <c r="P1396" s="33">
        <f>IF(C1396="","",Commercial_Id)</f>
        <v/>
      </c>
      <c r="Q1396" s="39">
        <f>IF(F1396="","",IFERROR(VALUE(MID(F1396,LEN(F1396)-3,3)),""))</f>
        <v/>
      </c>
      <c r="R1396" s="33">
        <f>IF(Q1396="","",P1396&amp;"|"&amp;Q1396)</f>
        <v/>
      </c>
      <c r="S1396" s="33">
        <f>IF(Q1396="","",IF(P1396="À RENSEIGNER","GIC",P1396)&amp;"-"&amp;TEXT(Q1396,"000"))</f>
        <v/>
      </c>
      <c r="T1396" s="33">
        <f>IF(R1396="","",IFERROR(INDEX(Cl_nom,MATCH(R1396,Cl_cle,0)),"(client introuvable)"))</f>
        <v/>
      </c>
      <c r="U1396" s="33">
        <f>IF(R1396="","",IFERROR(INDEX(Cl_quartier,MATCH(R1396,Cl_cle,0))&amp;"",""))</f>
        <v/>
      </c>
      <c r="V1396" s="34">
        <f>IF(C1396="","",YEAR(C1396-WEEKDAY(C1396,2)+4)&amp;"-S"&amp;TEXT(INT((C1396-DATE(YEAR(C1396-WEEKDAY(C1396,2)+4),1,3)+WEEKDAY(DATE(YEAR(C1396-WEEKDAY(C1396,2)+4),1,3),2)+5)/7),"00"))</f>
        <v/>
      </c>
    </row>
    <row r="1397" ht="18" customHeight="1">
      <c r="A1397" s="39" t="n">
        <v>1392</v>
      </c>
      <c r="B1397" s="33">
        <f>IF(C1397="","",IF(P1397="À RENSEIGNER","GIC",P1397)&amp;"-V"&amp;TEXT(A1397,"00000"))</f>
        <v/>
      </c>
      <c r="C1397" s="32" t="n"/>
      <c r="D1397" s="35" t="n"/>
      <c r="E1397" s="36" t="n"/>
      <c r="F1397" s="36" t="n"/>
      <c r="G1397" s="36" t="n"/>
      <c r="H1397" s="36" t="n"/>
      <c r="I1397" s="36" t="n"/>
      <c r="J1397" s="37" t="n"/>
      <c r="K1397" s="32" t="n"/>
      <c r="L1397" s="36" t="n"/>
      <c r="M1397" s="41" t="n"/>
      <c r="N1397" s="41" t="n"/>
      <c r="O1397" s="36" t="n"/>
      <c r="P1397" s="33">
        <f>IF(C1397="","",Commercial_Id)</f>
        <v/>
      </c>
      <c r="Q1397" s="39">
        <f>IF(F1397="","",IFERROR(VALUE(MID(F1397,LEN(F1397)-3,3)),""))</f>
        <v/>
      </c>
      <c r="R1397" s="33">
        <f>IF(Q1397="","",P1397&amp;"|"&amp;Q1397)</f>
        <v/>
      </c>
      <c r="S1397" s="33">
        <f>IF(Q1397="","",IF(P1397="À RENSEIGNER","GIC",P1397)&amp;"-"&amp;TEXT(Q1397,"000"))</f>
        <v/>
      </c>
      <c r="T1397" s="33">
        <f>IF(R1397="","",IFERROR(INDEX(Cl_nom,MATCH(R1397,Cl_cle,0)),"(client introuvable)"))</f>
        <v/>
      </c>
      <c r="U1397" s="33">
        <f>IF(R1397="","",IFERROR(INDEX(Cl_quartier,MATCH(R1397,Cl_cle,0))&amp;"",""))</f>
        <v/>
      </c>
      <c r="V1397" s="34">
        <f>IF(C1397="","",YEAR(C1397-WEEKDAY(C1397,2)+4)&amp;"-S"&amp;TEXT(INT((C1397-DATE(YEAR(C1397-WEEKDAY(C1397,2)+4),1,3)+WEEKDAY(DATE(YEAR(C1397-WEEKDAY(C1397,2)+4),1,3),2)+5)/7),"00"))</f>
        <v/>
      </c>
    </row>
    <row r="1398" ht="18" customHeight="1">
      <c r="A1398" s="39" t="n">
        <v>1393</v>
      </c>
      <c r="B1398" s="33">
        <f>IF(C1398="","",IF(P1398="À RENSEIGNER","GIC",P1398)&amp;"-V"&amp;TEXT(A1398,"00000"))</f>
        <v/>
      </c>
      <c r="C1398" s="32" t="n"/>
      <c r="D1398" s="35" t="n"/>
      <c r="E1398" s="36" t="n"/>
      <c r="F1398" s="36" t="n"/>
      <c r="G1398" s="36" t="n"/>
      <c r="H1398" s="36" t="n"/>
      <c r="I1398" s="36" t="n"/>
      <c r="J1398" s="37" t="n"/>
      <c r="K1398" s="32" t="n"/>
      <c r="L1398" s="36" t="n"/>
      <c r="M1398" s="41" t="n"/>
      <c r="N1398" s="41" t="n"/>
      <c r="O1398" s="36" t="n"/>
      <c r="P1398" s="33">
        <f>IF(C1398="","",Commercial_Id)</f>
        <v/>
      </c>
      <c r="Q1398" s="39">
        <f>IF(F1398="","",IFERROR(VALUE(MID(F1398,LEN(F1398)-3,3)),""))</f>
        <v/>
      </c>
      <c r="R1398" s="33">
        <f>IF(Q1398="","",P1398&amp;"|"&amp;Q1398)</f>
        <v/>
      </c>
      <c r="S1398" s="33">
        <f>IF(Q1398="","",IF(P1398="À RENSEIGNER","GIC",P1398)&amp;"-"&amp;TEXT(Q1398,"000"))</f>
        <v/>
      </c>
      <c r="T1398" s="33">
        <f>IF(R1398="","",IFERROR(INDEX(Cl_nom,MATCH(R1398,Cl_cle,0)),"(client introuvable)"))</f>
        <v/>
      </c>
      <c r="U1398" s="33">
        <f>IF(R1398="","",IFERROR(INDEX(Cl_quartier,MATCH(R1398,Cl_cle,0))&amp;"",""))</f>
        <v/>
      </c>
      <c r="V1398" s="34">
        <f>IF(C1398="","",YEAR(C1398-WEEKDAY(C1398,2)+4)&amp;"-S"&amp;TEXT(INT((C1398-DATE(YEAR(C1398-WEEKDAY(C1398,2)+4),1,3)+WEEKDAY(DATE(YEAR(C1398-WEEKDAY(C1398,2)+4),1,3),2)+5)/7),"00"))</f>
        <v/>
      </c>
    </row>
    <row r="1399" ht="18" customHeight="1">
      <c r="A1399" s="39" t="n">
        <v>1394</v>
      </c>
      <c r="B1399" s="33">
        <f>IF(C1399="","",IF(P1399="À RENSEIGNER","GIC",P1399)&amp;"-V"&amp;TEXT(A1399,"00000"))</f>
        <v/>
      </c>
      <c r="C1399" s="32" t="n"/>
      <c r="D1399" s="35" t="n"/>
      <c r="E1399" s="36" t="n"/>
      <c r="F1399" s="36" t="n"/>
      <c r="G1399" s="36" t="n"/>
      <c r="H1399" s="36" t="n"/>
      <c r="I1399" s="36" t="n"/>
      <c r="J1399" s="37" t="n"/>
      <c r="K1399" s="32" t="n"/>
      <c r="L1399" s="36" t="n"/>
      <c r="M1399" s="41" t="n"/>
      <c r="N1399" s="41" t="n"/>
      <c r="O1399" s="36" t="n"/>
      <c r="P1399" s="33">
        <f>IF(C1399="","",Commercial_Id)</f>
        <v/>
      </c>
      <c r="Q1399" s="39">
        <f>IF(F1399="","",IFERROR(VALUE(MID(F1399,LEN(F1399)-3,3)),""))</f>
        <v/>
      </c>
      <c r="R1399" s="33">
        <f>IF(Q1399="","",P1399&amp;"|"&amp;Q1399)</f>
        <v/>
      </c>
      <c r="S1399" s="33">
        <f>IF(Q1399="","",IF(P1399="À RENSEIGNER","GIC",P1399)&amp;"-"&amp;TEXT(Q1399,"000"))</f>
        <v/>
      </c>
      <c r="T1399" s="33">
        <f>IF(R1399="","",IFERROR(INDEX(Cl_nom,MATCH(R1399,Cl_cle,0)),"(client introuvable)"))</f>
        <v/>
      </c>
      <c r="U1399" s="33">
        <f>IF(R1399="","",IFERROR(INDEX(Cl_quartier,MATCH(R1399,Cl_cle,0))&amp;"",""))</f>
        <v/>
      </c>
      <c r="V1399" s="34">
        <f>IF(C1399="","",YEAR(C1399-WEEKDAY(C1399,2)+4)&amp;"-S"&amp;TEXT(INT((C1399-DATE(YEAR(C1399-WEEKDAY(C1399,2)+4),1,3)+WEEKDAY(DATE(YEAR(C1399-WEEKDAY(C1399,2)+4),1,3),2)+5)/7),"00"))</f>
        <v/>
      </c>
    </row>
    <row r="1400" ht="18" customHeight="1">
      <c r="A1400" s="39" t="n">
        <v>1395</v>
      </c>
      <c r="B1400" s="33">
        <f>IF(C1400="","",IF(P1400="À RENSEIGNER","GIC",P1400)&amp;"-V"&amp;TEXT(A1400,"00000"))</f>
        <v/>
      </c>
      <c r="C1400" s="32" t="n"/>
      <c r="D1400" s="35" t="n"/>
      <c r="E1400" s="36" t="n"/>
      <c r="F1400" s="36" t="n"/>
      <c r="G1400" s="36" t="n"/>
      <c r="H1400" s="36" t="n"/>
      <c r="I1400" s="36" t="n"/>
      <c r="J1400" s="37" t="n"/>
      <c r="K1400" s="32" t="n"/>
      <c r="L1400" s="36" t="n"/>
      <c r="M1400" s="41" t="n"/>
      <c r="N1400" s="41" t="n"/>
      <c r="O1400" s="36" t="n"/>
      <c r="P1400" s="33">
        <f>IF(C1400="","",Commercial_Id)</f>
        <v/>
      </c>
      <c r="Q1400" s="39">
        <f>IF(F1400="","",IFERROR(VALUE(MID(F1400,LEN(F1400)-3,3)),""))</f>
        <v/>
      </c>
      <c r="R1400" s="33">
        <f>IF(Q1400="","",P1400&amp;"|"&amp;Q1400)</f>
        <v/>
      </c>
      <c r="S1400" s="33">
        <f>IF(Q1400="","",IF(P1400="À RENSEIGNER","GIC",P1400)&amp;"-"&amp;TEXT(Q1400,"000"))</f>
        <v/>
      </c>
      <c r="T1400" s="33">
        <f>IF(R1400="","",IFERROR(INDEX(Cl_nom,MATCH(R1400,Cl_cle,0)),"(client introuvable)"))</f>
        <v/>
      </c>
      <c r="U1400" s="33">
        <f>IF(R1400="","",IFERROR(INDEX(Cl_quartier,MATCH(R1400,Cl_cle,0))&amp;"",""))</f>
        <v/>
      </c>
      <c r="V1400" s="34">
        <f>IF(C1400="","",YEAR(C1400-WEEKDAY(C1400,2)+4)&amp;"-S"&amp;TEXT(INT((C1400-DATE(YEAR(C1400-WEEKDAY(C1400,2)+4),1,3)+WEEKDAY(DATE(YEAR(C1400-WEEKDAY(C1400,2)+4),1,3),2)+5)/7),"00"))</f>
        <v/>
      </c>
    </row>
    <row r="1401" ht="18" customHeight="1">
      <c r="A1401" s="39" t="n">
        <v>1396</v>
      </c>
      <c r="B1401" s="33">
        <f>IF(C1401="","",IF(P1401="À RENSEIGNER","GIC",P1401)&amp;"-V"&amp;TEXT(A1401,"00000"))</f>
        <v/>
      </c>
      <c r="C1401" s="32" t="n"/>
      <c r="D1401" s="35" t="n"/>
      <c r="E1401" s="36" t="n"/>
      <c r="F1401" s="36" t="n"/>
      <c r="G1401" s="36" t="n"/>
      <c r="H1401" s="36" t="n"/>
      <c r="I1401" s="36" t="n"/>
      <c r="J1401" s="37" t="n"/>
      <c r="K1401" s="32" t="n"/>
      <c r="L1401" s="36" t="n"/>
      <c r="M1401" s="41" t="n"/>
      <c r="N1401" s="41" t="n"/>
      <c r="O1401" s="36" t="n"/>
      <c r="P1401" s="33">
        <f>IF(C1401="","",Commercial_Id)</f>
        <v/>
      </c>
      <c r="Q1401" s="39">
        <f>IF(F1401="","",IFERROR(VALUE(MID(F1401,LEN(F1401)-3,3)),""))</f>
        <v/>
      </c>
      <c r="R1401" s="33">
        <f>IF(Q1401="","",P1401&amp;"|"&amp;Q1401)</f>
        <v/>
      </c>
      <c r="S1401" s="33">
        <f>IF(Q1401="","",IF(P1401="À RENSEIGNER","GIC",P1401)&amp;"-"&amp;TEXT(Q1401,"000"))</f>
        <v/>
      </c>
      <c r="T1401" s="33">
        <f>IF(R1401="","",IFERROR(INDEX(Cl_nom,MATCH(R1401,Cl_cle,0)),"(client introuvable)"))</f>
        <v/>
      </c>
      <c r="U1401" s="33">
        <f>IF(R1401="","",IFERROR(INDEX(Cl_quartier,MATCH(R1401,Cl_cle,0))&amp;"",""))</f>
        <v/>
      </c>
      <c r="V1401" s="34">
        <f>IF(C1401="","",YEAR(C1401-WEEKDAY(C1401,2)+4)&amp;"-S"&amp;TEXT(INT((C1401-DATE(YEAR(C1401-WEEKDAY(C1401,2)+4),1,3)+WEEKDAY(DATE(YEAR(C1401-WEEKDAY(C1401,2)+4),1,3),2)+5)/7),"00"))</f>
        <v/>
      </c>
    </row>
    <row r="1402" ht="18" customHeight="1">
      <c r="A1402" s="39" t="n">
        <v>1397</v>
      </c>
      <c r="B1402" s="33">
        <f>IF(C1402="","",IF(P1402="À RENSEIGNER","GIC",P1402)&amp;"-V"&amp;TEXT(A1402,"00000"))</f>
        <v/>
      </c>
      <c r="C1402" s="32" t="n"/>
      <c r="D1402" s="35" t="n"/>
      <c r="E1402" s="36" t="n"/>
      <c r="F1402" s="36" t="n"/>
      <c r="G1402" s="36" t="n"/>
      <c r="H1402" s="36" t="n"/>
      <c r="I1402" s="36" t="n"/>
      <c r="J1402" s="37" t="n"/>
      <c r="K1402" s="32" t="n"/>
      <c r="L1402" s="36" t="n"/>
      <c r="M1402" s="41" t="n"/>
      <c r="N1402" s="41" t="n"/>
      <c r="O1402" s="36" t="n"/>
      <c r="P1402" s="33">
        <f>IF(C1402="","",Commercial_Id)</f>
        <v/>
      </c>
      <c r="Q1402" s="39">
        <f>IF(F1402="","",IFERROR(VALUE(MID(F1402,LEN(F1402)-3,3)),""))</f>
        <v/>
      </c>
      <c r="R1402" s="33">
        <f>IF(Q1402="","",P1402&amp;"|"&amp;Q1402)</f>
        <v/>
      </c>
      <c r="S1402" s="33">
        <f>IF(Q1402="","",IF(P1402="À RENSEIGNER","GIC",P1402)&amp;"-"&amp;TEXT(Q1402,"000"))</f>
        <v/>
      </c>
      <c r="T1402" s="33">
        <f>IF(R1402="","",IFERROR(INDEX(Cl_nom,MATCH(R1402,Cl_cle,0)),"(client introuvable)"))</f>
        <v/>
      </c>
      <c r="U1402" s="33">
        <f>IF(R1402="","",IFERROR(INDEX(Cl_quartier,MATCH(R1402,Cl_cle,0))&amp;"",""))</f>
        <v/>
      </c>
      <c r="V1402" s="34">
        <f>IF(C1402="","",YEAR(C1402-WEEKDAY(C1402,2)+4)&amp;"-S"&amp;TEXT(INT((C1402-DATE(YEAR(C1402-WEEKDAY(C1402,2)+4),1,3)+WEEKDAY(DATE(YEAR(C1402-WEEKDAY(C1402,2)+4),1,3),2)+5)/7),"00"))</f>
        <v/>
      </c>
    </row>
    <row r="1403" ht="18" customHeight="1">
      <c r="A1403" s="39" t="n">
        <v>1398</v>
      </c>
      <c r="B1403" s="33">
        <f>IF(C1403="","",IF(P1403="À RENSEIGNER","GIC",P1403)&amp;"-V"&amp;TEXT(A1403,"00000"))</f>
        <v/>
      </c>
      <c r="C1403" s="32" t="n"/>
      <c r="D1403" s="35" t="n"/>
      <c r="E1403" s="36" t="n"/>
      <c r="F1403" s="36" t="n"/>
      <c r="G1403" s="36" t="n"/>
      <c r="H1403" s="36" t="n"/>
      <c r="I1403" s="36" t="n"/>
      <c r="J1403" s="37" t="n"/>
      <c r="K1403" s="32" t="n"/>
      <c r="L1403" s="36" t="n"/>
      <c r="M1403" s="41" t="n"/>
      <c r="N1403" s="41" t="n"/>
      <c r="O1403" s="36" t="n"/>
      <c r="P1403" s="33">
        <f>IF(C1403="","",Commercial_Id)</f>
        <v/>
      </c>
      <c r="Q1403" s="39">
        <f>IF(F1403="","",IFERROR(VALUE(MID(F1403,LEN(F1403)-3,3)),""))</f>
        <v/>
      </c>
      <c r="R1403" s="33">
        <f>IF(Q1403="","",P1403&amp;"|"&amp;Q1403)</f>
        <v/>
      </c>
      <c r="S1403" s="33">
        <f>IF(Q1403="","",IF(P1403="À RENSEIGNER","GIC",P1403)&amp;"-"&amp;TEXT(Q1403,"000"))</f>
        <v/>
      </c>
      <c r="T1403" s="33">
        <f>IF(R1403="","",IFERROR(INDEX(Cl_nom,MATCH(R1403,Cl_cle,0)),"(client introuvable)"))</f>
        <v/>
      </c>
      <c r="U1403" s="33">
        <f>IF(R1403="","",IFERROR(INDEX(Cl_quartier,MATCH(R1403,Cl_cle,0))&amp;"",""))</f>
        <v/>
      </c>
      <c r="V1403" s="34">
        <f>IF(C1403="","",YEAR(C1403-WEEKDAY(C1403,2)+4)&amp;"-S"&amp;TEXT(INT((C1403-DATE(YEAR(C1403-WEEKDAY(C1403,2)+4),1,3)+WEEKDAY(DATE(YEAR(C1403-WEEKDAY(C1403,2)+4),1,3),2)+5)/7),"00"))</f>
        <v/>
      </c>
    </row>
    <row r="1404" ht="18" customHeight="1">
      <c r="A1404" s="39" t="n">
        <v>1399</v>
      </c>
      <c r="B1404" s="33">
        <f>IF(C1404="","",IF(P1404="À RENSEIGNER","GIC",P1404)&amp;"-V"&amp;TEXT(A1404,"00000"))</f>
        <v/>
      </c>
      <c r="C1404" s="32" t="n"/>
      <c r="D1404" s="35" t="n"/>
      <c r="E1404" s="36" t="n"/>
      <c r="F1404" s="36" t="n"/>
      <c r="G1404" s="36" t="n"/>
      <c r="H1404" s="36" t="n"/>
      <c r="I1404" s="36" t="n"/>
      <c r="J1404" s="37" t="n"/>
      <c r="K1404" s="32" t="n"/>
      <c r="L1404" s="36" t="n"/>
      <c r="M1404" s="41" t="n"/>
      <c r="N1404" s="41" t="n"/>
      <c r="O1404" s="36" t="n"/>
      <c r="P1404" s="33">
        <f>IF(C1404="","",Commercial_Id)</f>
        <v/>
      </c>
      <c r="Q1404" s="39">
        <f>IF(F1404="","",IFERROR(VALUE(MID(F1404,LEN(F1404)-3,3)),""))</f>
        <v/>
      </c>
      <c r="R1404" s="33">
        <f>IF(Q1404="","",P1404&amp;"|"&amp;Q1404)</f>
        <v/>
      </c>
      <c r="S1404" s="33">
        <f>IF(Q1404="","",IF(P1404="À RENSEIGNER","GIC",P1404)&amp;"-"&amp;TEXT(Q1404,"000"))</f>
        <v/>
      </c>
      <c r="T1404" s="33">
        <f>IF(R1404="","",IFERROR(INDEX(Cl_nom,MATCH(R1404,Cl_cle,0)),"(client introuvable)"))</f>
        <v/>
      </c>
      <c r="U1404" s="33">
        <f>IF(R1404="","",IFERROR(INDEX(Cl_quartier,MATCH(R1404,Cl_cle,0))&amp;"",""))</f>
        <v/>
      </c>
      <c r="V1404" s="34">
        <f>IF(C1404="","",YEAR(C1404-WEEKDAY(C1404,2)+4)&amp;"-S"&amp;TEXT(INT((C1404-DATE(YEAR(C1404-WEEKDAY(C1404,2)+4),1,3)+WEEKDAY(DATE(YEAR(C1404-WEEKDAY(C1404,2)+4),1,3),2)+5)/7),"00"))</f>
        <v/>
      </c>
    </row>
    <row r="1405" ht="18" customHeight="1">
      <c r="A1405" s="39" t="n">
        <v>1400</v>
      </c>
      <c r="B1405" s="33">
        <f>IF(C1405="","",IF(P1405="À RENSEIGNER","GIC",P1405)&amp;"-V"&amp;TEXT(A1405,"00000"))</f>
        <v/>
      </c>
      <c r="C1405" s="32" t="n"/>
      <c r="D1405" s="35" t="n"/>
      <c r="E1405" s="36" t="n"/>
      <c r="F1405" s="36" t="n"/>
      <c r="G1405" s="36" t="n"/>
      <c r="H1405" s="36" t="n"/>
      <c r="I1405" s="36" t="n"/>
      <c r="J1405" s="37" t="n"/>
      <c r="K1405" s="32" t="n"/>
      <c r="L1405" s="36" t="n"/>
      <c r="M1405" s="41" t="n"/>
      <c r="N1405" s="41" t="n"/>
      <c r="O1405" s="36" t="n"/>
      <c r="P1405" s="33">
        <f>IF(C1405="","",Commercial_Id)</f>
        <v/>
      </c>
      <c r="Q1405" s="39">
        <f>IF(F1405="","",IFERROR(VALUE(MID(F1405,LEN(F1405)-3,3)),""))</f>
        <v/>
      </c>
      <c r="R1405" s="33">
        <f>IF(Q1405="","",P1405&amp;"|"&amp;Q1405)</f>
        <v/>
      </c>
      <c r="S1405" s="33">
        <f>IF(Q1405="","",IF(P1405="À RENSEIGNER","GIC",P1405)&amp;"-"&amp;TEXT(Q1405,"000"))</f>
        <v/>
      </c>
      <c r="T1405" s="33">
        <f>IF(R1405="","",IFERROR(INDEX(Cl_nom,MATCH(R1405,Cl_cle,0)),"(client introuvable)"))</f>
        <v/>
      </c>
      <c r="U1405" s="33">
        <f>IF(R1405="","",IFERROR(INDEX(Cl_quartier,MATCH(R1405,Cl_cle,0))&amp;"",""))</f>
        <v/>
      </c>
      <c r="V1405" s="34">
        <f>IF(C1405="","",YEAR(C1405-WEEKDAY(C1405,2)+4)&amp;"-S"&amp;TEXT(INT((C1405-DATE(YEAR(C1405-WEEKDAY(C1405,2)+4),1,3)+WEEKDAY(DATE(YEAR(C1405-WEEKDAY(C1405,2)+4),1,3),2)+5)/7),"00"))</f>
        <v/>
      </c>
    </row>
    <row r="1406" ht="18" customHeight="1">
      <c r="A1406" s="39" t="n">
        <v>1401</v>
      </c>
      <c r="B1406" s="33">
        <f>IF(C1406="","",IF(P1406="À RENSEIGNER","GIC",P1406)&amp;"-V"&amp;TEXT(A1406,"00000"))</f>
        <v/>
      </c>
      <c r="C1406" s="32" t="n"/>
      <c r="D1406" s="35" t="n"/>
      <c r="E1406" s="36" t="n"/>
      <c r="F1406" s="36" t="n"/>
      <c r="G1406" s="36" t="n"/>
      <c r="H1406" s="36" t="n"/>
      <c r="I1406" s="36" t="n"/>
      <c r="J1406" s="37" t="n"/>
      <c r="K1406" s="32" t="n"/>
      <c r="L1406" s="36" t="n"/>
      <c r="M1406" s="41" t="n"/>
      <c r="N1406" s="41" t="n"/>
      <c r="O1406" s="36" t="n"/>
      <c r="P1406" s="33">
        <f>IF(C1406="","",Commercial_Id)</f>
        <v/>
      </c>
      <c r="Q1406" s="39">
        <f>IF(F1406="","",IFERROR(VALUE(MID(F1406,LEN(F1406)-3,3)),""))</f>
        <v/>
      </c>
      <c r="R1406" s="33">
        <f>IF(Q1406="","",P1406&amp;"|"&amp;Q1406)</f>
        <v/>
      </c>
      <c r="S1406" s="33">
        <f>IF(Q1406="","",IF(P1406="À RENSEIGNER","GIC",P1406)&amp;"-"&amp;TEXT(Q1406,"000"))</f>
        <v/>
      </c>
      <c r="T1406" s="33">
        <f>IF(R1406="","",IFERROR(INDEX(Cl_nom,MATCH(R1406,Cl_cle,0)),"(client introuvable)"))</f>
        <v/>
      </c>
      <c r="U1406" s="33">
        <f>IF(R1406="","",IFERROR(INDEX(Cl_quartier,MATCH(R1406,Cl_cle,0))&amp;"",""))</f>
        <v/>
      </c>
      <c r="V1406" s="34">
        <f>IF(C1406="","",YEAR(C1406-WEEKDAY(C1406,2)+4)&amp;"-S"&amp;TEXT(INT((C1406-DATE(YEAR(C1406-WEEKDAY(C1406,2)+4),1,3)+WEEKDAY(DATE(YEAR(C1406-WEEKDAY(C1406,2)+4),1,3),2)+5)/7),"00"))</f>
        <v/>
      </c>
    </row>
    <row r="1407" ht="18" customHeight="1">
      <c r="A1407" s="39" t="n">
        <v>1402</v>
      </c>
      <c r="B1407" s="33">
        <f>IF(C1407="","",IF(P1407="À RENSEIGNER","GIC",P1407)&amp;"-V"&amp;TEXT(A1407,"00000"))</f>
        <v/>
      </c>
      <c r="C1407" s="32" t="n"/>
      <c r="D1407" s="35" t="n"/>
      <c r="E1407" s="36" t="n"/>
      <c r="F1407" s="36" t="n"/>
      <c r="G1407" s="36" t="n"/>
      <c r="H1407" s="36" t="n"/>
      <c r="I1407" s="36" t="n"/>
      <c r="J1407" s="37" t="n"/>
      <c r="K1407" s="32" t="n"/>
      <c r="L1407" s="36" t="n"/>
      <c r="M1407" s="41" t="n"/>
      <c r="N1407" s="41" t="n"/>
      <c r="O1407" s="36" t="n"/>
      <c r="P1407" s="33">
        <f>IF(C1407="","",Commercial_Id)</f>
        <v/>
      </c>
      <c r="Q1407" s="39">
        <f>IF(F1407="","",IFERROR(VALUE(MID(F1407,LEN(F1407)-3,3)),""))</f>
        <v/>
      </c>
      <c r="R1407" s="33">
        <f>IF(Q1407="","",P1407&amp;"|"&amp;Q1407)</f>
        <v/>
      </c>
      <c r="S1407" s="33">
        <f>IF(Q1407="","",IF(P1407="À RENSEIGNER","GIC",P1407)&amp;"-"&amp;TEXT(Q1407,"000"))</f>
        <v/>
      </c>
      <c r="T1407" s="33">
        <f>IF(R1407="","",IFERROR(INDEX(Cl_nom,MATCH(R1407,Cl_cle,0)),"(client introuvable)"))</f>
        <v/>
      </c>
      <c r="U1407" s="33">
        <f>IF(R1407="","",IFERROR(INDEX(Cl_quartier,MATCH(R1407,Cl_cle,0))&amp;"",""))</f>
        <v/>
      </c>
      <c r="V1407" s="34">
        <f>IF(C1407="","",YEAR(C1407-WEEKDAY(C1407,2)+4)&amp;"-S"&amp;TEXT(INT((C1407-DATE(YEAR(C1407-WEEKDAY(C1407,2)+4),1,3)+WEEKDAY(DATE(YEAR(C1407-WEEKDAY(C1407,2)+4),1,3),2)+5)/7),"00"))</f>
        <v/>
      </c>
    </row>
    <row r="1408" ht="18" customHeight="1">
      <c r="A1408" s="39" t="n">
        <v>1403</v>
      </c>
      <c r="B1408" s="33">
        <f>IF(C1408="","",IF(P1408="À RENSEIGNER","GIC",P1408)&amp;"-V"&amp;TEXT(A1408,"00000"))</f>
        <v/>
      </c>
      <c r="C1408" s="32" t="n"/>
      <c r="D1408" s="35" t="n"/>
      <c r="E1408" s="36" t="n"/>
      <c r="F1408" s="36" t="n"/>
      <c r="G1408" s="36" t="n"/>
      <c r="H1408" s="36" t="n"/>
      <c r="I1408" s="36" t="n"/>
      <c r="J1408" s="37" t="n"/>
      <c r="K1408" s="32" t="n"/>
      <c r="L1408" s="36" t="n"/>
      <c r="M1408" s="41" t="n"/>
      <c r="N1408" s="41" t="n"/>
      <c r="O1408" s="36" t="n"/>
      <c r="P1408" s="33">
        <f>IF(C1408="","",Commercial_Id)</f>
        <v/>
      </c>
      <c r="Q1408" s="39">
        <f>IF(F1408="","",IFERROR(VALUE(MID(F1408,LEN(F1408)-3,3)),""))</f>
        <v/>
      </c>
      <c r="R1408" s="33">
        <f>IF(Q1408="","",P1408&amp;"|"&amp;Q1408)</f>
        <v/>
      </c>
      <c r="S1408" s="33">
        <f>IF(Q1408="","",IF(P1408="À RENSEIGNER","GIC",P1408)&amp;"-"&amp;TEXT(Q1408,"000"))</f>
        <v/>
      </c>
      <c r="T1408" s="33">
        <f>IF(R1408="","",IFERROR(INDEX(Cl_nom,MATCH(R1408,Cl_cle,0)),"(client introuvable)"))</f>
        <v/>
      </c>
      <c r="U1408" s="33">
        <f>IF(R1408="","",IFERROR(INDEX(Cl_quartier,MATCH(R1408,Cl_cle,0))&amp;"",""))</f>
        <v/>
      </c>
      <c r="V1408" s="34">
        <f>IF(C1408="","",YEAR(C1408-WEEKDAY(C1408,2)+4)&amp;"-S"&amp;TEXT(INT((C1408-DATE(YEAR(C1408-WEEKDAY(C1408,2)+4),1,3)+WEEKDAY(DATE(YEAR(C1408-WEEKDAY(C1408,2)+4),1,3),2)+5)/7),"00"))</f>
        <v/>
      </c>
    </row>
    <row r="1409" ht="18" customHeight="1">
      <c r="A1409" s="39" t="n">
        <v>1404</v>
      </c>
      <c r="B1409" s="33">
        <f>IF(C1409="","",IF(P1409="À RENSEIGNER","GIC",P1409)&amp;"-V"&amp;TEXT(A1409,"00000"))</f>
        <v/>
      </c>
      <c r="C1409" s="32" t="n"/>
      <c r="D1409" s="35" t="n"/>
      <c r="E1409" s="36" t="n"/>
      <c r="F1409" s="36" t="n"/>
      <c r="G1409" s="36" t="n"/>
      <c r="H1409" s="36" t="n"/>
      <c r="I1409" s="36" t="n"/>
      <c r="J1409" s="37" t="n"/>
      <c r="K1409" s="32" t="n"/>
      <c r="L1409" s="36" t="n"/>
      <c r="M1409" s="41" t="n"/>
      <c r="N1409" s="41" t="n"/>
      <c r="O1409" s="36" t="n"/>
      <c r="P1409" s="33">
        <f>IF(C1409="","",Commercial_Id)</f>
        <v/>
      </c>
      <c r="Q1409" s="39">
        <f>IF(F1409="","",IFERROR(VALUE(MID(F1409,LEN(F1409)-3,3)),""))</f>
        <v/>
      </c>
      <c r="R1409" s="33">
        <f>IF(Q1409="","",P1409&amp;"|"&amp;Q1409)</f>
        <v/>
      </c>
      <c r="S1409" s="33">
        <f>IF(Q1409="","",IF(P1409="À RENSEIGNER","GIC",P1409)&amp;"-"&amp;TEXT(Q1409,"000"))</f>
        <v/>
      </c>
      <c r="T1409" s="33">
        <f>IF(R1409="","",IFERROR(INDEX(Cl_nom,MATCH(R1409,Cl_cle,0)),"(client introuvable)"))</f>
        <v/>
      </c>
      <c r="U1409" s="33">
        <f>IF(R1409="","",IFERROR(INDEX(Cl_quartier,MATCH(R1409,Cl_cle,0))&amp;"",""))</f>
        <v/>
      </c>
      <c r="V1409" s="34">
        <f>IF(C1409="","",YEAR(C1409-WEEKDAY(C1409,2)+4)&amp;"-S"&amp;TEXT(INT((C1409-DATE(YEAR(C1409-WEEKDAY(C1409,2)+4),1,3)+WEEKDAY(DATE(YEAR(C1409-WEEKDAY(C1409,2)+4),1,3),2)+5)/7),"00"))</f>
        <v/>
      </c>
    </row>
    <row r="1410" ht="18" customHeight="1">
      <c r="A1410" s="39" t="n">
        <v>1405</v>
      </c>
      <c r="B1410" s="33">
        <f>IF(C1410="","",IF(P1410="À RENSEIGNER","GIC",P1410)&amp;"-V"&amp;TEXT(A1410,"00000"))</f>
        <v/>
      </c>
      <c r="C1410" s="32" t="n"/>
      <c r="D1410" s="35" t="n"/>
      <c r="E1410" s="36" t="n"/>
      <c r="F1410" s="36" t="n"/>
      <c r="G1410" s="36" t="n"/>
      <c r="H1410" s="36" t="n"/>
      <c r="I1410" s="36" t="n"/>
      <c r="J1410" s="37" t="n"/>
      <c r="K1410" s="32" t="n"/>
      <c r="L1410" s="36" t="n"/>
      <c r="M1410" s="41" t="n"/>
      <c r="N1410" s="41" t="n"/>
      <c r="O1410" s="36" t="n"/>
      <c r="P1410" s="33">
        <f>IF(C1410="","",Commercial_Id)</f>
        <v/>
      </c>
      <c r="Q1410" s="39">
        <f>IF(F1410="","",IFERROR(VALUE(MID(F1410,LEN(F1410)-3,3)),""))</f>
        <v/>
      </c>
      <c r="R1410" s="33">
        <f>IF(Q1410="","",P1410&amp;"|"&amp;Q1410)</f>
        <v/>
      </c>
      <c r="S1410" s="33">
        <f>IF(Q1410="","",IF(P1410="À RENSEIGNER","GIC",P1410)&amp;"-"&amp;TEXT(Q1410,"000"))</f>
        <v/>
      </c>
      <c r="T1410" s="33">
        <f>IF(R1410="","",IFERROR(INDEX(Cl_nom,MATCH(R1410,Cl_cle,0)),"(client introuvable)"))</f>
        <v/>
      </c>
      <c r="U1410" s="33">
        <f>IF(R1410="","",IFERROR(INDEX(Cl_quartier,MATCH(R1410,Cl_cle,0))&amp;"",""))</f>
        <v/>
      </c>
      <c r="V1410" s="34">
        <f>IF(C1410="","",YEAR(C1410-WEEKDAY(C1410,2)+4)&amp;"-S"&amp;TEXT(INT((C1410-DATE(YEAR(C1410-WEEKDAY(C1410,2)+4),1,3)+WEEKDAY(DATE(YEAR(C1410-WEEKDAY(C1410,2)+4),1,3),2)+5)/7),"00"))</f>
        <v/>
      </c>
    </row>
    <row r="1411" ht="18" customHeight="1">
      <c r="A1411" s="39" t="n">
        <v>1406</v>
      </c>
      <c r="B1411" s="33">
        <f>IF(C1411="","",IF(P1411="À RENSEIGNER","GIC",P1411)&amp;"-V"&amp;TEXT(A1411,"00000"))</f>
        <v/>
      </c>
      <c r="C1411" s="32" t="n"/>
      <c r="D1411" s="35" t="n"/>
      <c r="E1411" s="36" t="n"/>
      <c r="F1411" s="36" t="n"/>
      <c r="G1411" s="36" t="n"/>
      <c r="H1411" s="36" t="n"/>
      <c r="I1411" s="36" t="n"/>
      <c r="J1411" s="37" t="n"/>
      <c r="K1411" s="32" t="n"/>
      <c r="L1411" s="36" t="n"/>
      <c r="M1411" s="41" t="n"/>
      <c r="N1411" s="41" t="n"/>
      <c r="O1411" s="36" t="n"/>
      <c r="P1411" s="33">
        <f>IF(C1411="","",Commercial_Id)</f>
        <v/>
      </c>
      <c r="Q1411" s="39">
        <f>IF(F1411="","",IFERROR(VALUE(MID(F1411,LEN(F1411)-3,3)),""))</f>
        <v/>
      </c>
      <c r="R1411" s="33">
        <f>IF(Q1411="","",P1411&amp;"|"&amp;Q1411)</f>
        <v/>
      </c>
      <c r="S1411" s="33">
        <f>IF(Q1411="","",IF(P1411="À RENSEIGNER","GIC",P1411)&amp;"-"&amp;TEXT(Q1411,"000"))</f>
        <v/>
      </c>
      <c r="T1411" s="33">
        <f>IF(R1411="","",IFERROR(INDEX(Cl_nom,MATCH(R1411,Cl_cle,0)),"(client introuvable)"))</f>
        <v/>
      </c>
      <c r="U1411" s="33">
        <f>IF(R1411="","",IFERROR(INDEX(Cl_quartier,MATCH(R1411,Cl_cle,0))&amp;"",""))</f>
        <v/>
      </c>
      <c r="V1411" s="34">
        <f>IF(C1411="","",YEAR(C1411-WEEKDAY(C1411,2)+4)&amp;"-S"&amp;TEXT(INT((C1411-DATE(YEAR(C1411-WEEKDAY(C1411,2)+4),1,3)+WEEKDAY(DATE(YEAR(C1411-WEEKDAY(C1411,2)+4),1,3),2)+5)/7),"00"))</f>
        <v/>
      </c>
    </row>
    <row r="1412" ht="18" customHeight="1">
      <c r="A1412" s="39" t="n">
        <v>1407</v>
      </c>
      <c r="B1412" s="33">
        <f>IF(C1412="","",IF(P1412="À RENSEIGNER","GIC",P1412)&amp;"-V"&amp;TEXT(A1412,"00000"))</f>
        <v/>
      </c>
      <c r="C1412" s="32" t="n"/>
      <c r="D1412" s="35" t="n"/>
      <c r="E1412" s="36" t="n"/>
      <c r="F1412" s="36" t="n"/>
      <c r="G1412" s="36" t="n"/>
      <c r="H1412" s="36" t="n"/>
      <c r="I1412" s="36" t="n"/>
      <c r="J1412" s="37" t="n"/>
      <c r="K1412" s="32" t="n"/>
      <c r="L1412" s="36" t="n"/>
      <c r="M1412" s="41" t="n"/>
      <c r="N1412" s="41" t="n"/>
      <c r="O1412" s="36" t="n"/>
      <c r="P1412" s="33">
        <f>IF(C1412="","",Commercial_Id)</f>
        <v/>
      </c>
      <c r="Q1412" s="39">
        <f>IF(F1412="","",IFERROR(VALUE(MID(F1412,LEN(F1412)-3,3)),""))</f>
        <v/>
      </c>
      <c r="R1412" s="33">
        <f>IF(Q1412="","",P1412&amp;"|"&amp;Q1412)</f>
        <v/>
      </c>
      <c r="S1412" s="33">
        <f>IF(Q1412="","",IF(P1412="À RENSEIGNER","GIC",P1412)&amp;"-"&amp;TEXT(Q1412,"000"))</f>
        <v/>
      </c>
      <c r="T1412" s="33">
        <f>IF(R1412="","",IFERROR(INDEX(Cl_nom,MATCH(R1412,Cl_cle,0)),"(client introuvable)"))</f>
        <v/>
      </c>
      <c r="U1412" s="33">
        <f>IF(R1412="","",IFERROR(INDEX(Cl_quartier,MATCH(R1412,Cl_cle,0))&amp;"",""))</f>
        <v/>
      </c>
      <c r="V1412" s="34">
        <f>IF(C1412="","",YEAR(C1412-WEEKDAY(C1412,2)+4)&amp;"-S"&amp;TEXT(INT((C1412-DATE(YEAR(C1412-WEEKDAY(C1412,2)+4),1,3)+WEEKDAY(DATE(YEAR(C1412-WEEKDAY(C1412,2)+4),1,3),2)+5)/7),"00"))</f>
        <v/>
      </c>
    </row>
    <row r="1413" ht="18" customHeight="1">
      <c r="A1413" s="39" t="n">
        <v>1408</v>
      </c>
      <c r="B1413" s="33">
        <f>IF(C1413="","",IF(P1413="À RENSEIGNER","GIC",P1413)&amp;"-V"&amp;TEXT(A1413,"00000"))</f>
        <v/>
      </c>
      <c r="C1413" s="32" t="n"/>
      <c r="D1413" s="35" t="n"/>
      <c r="E1413" s="36" t="n"/>
      <c r="F1413" s="36" t="n"/>
      <c r="G1413" s="36" t="n"/>
      <c r="H1413" s="36" t="n"/>
      <c r="I1413" s="36" t="n"/>
      <c r="J1413" s="37" t="n"/>
      <c r="K1413" s="32" t="n"/>
      <c r="L1413" s="36" t="n"/>
      <c r="M1413" s="41" t="n"/>
      <c r="N1413" s="41" t="n"/>
      <c r="O1413" s="36" t="n"/>
      <c r="P1413" s="33">
        <f>IF(C1413="","",Commercial_Id)</f>
        <v/>
      </c>
      <c r="Q1413" s="39">
        <f>IF(F1413="","",IFERROR(VALUE(MID(F1413,LEN(F1413)-3,3)),""))</f>
        <v/>
      </c>
      <c r="R1413" s="33">
        <f>IF(Q1413="","",P1413&amp;"|"&amp;Q1413)</f>
        <v/>
      </c>
      <c r="S1413" s="33">
        <f>IF(Q1413="","",IF(P1413="À RENSEIGNER","GIC",P1413)&amp;"-"&amp;TEXT(Q1413,"000"))</f>
        <v/>
      </c>
      <c r="T1413" s="33">
        <f>IF(R1413="","",IFERROR(INDEX(Cl_nom,MATCH(R1413,Cl_cle,0)),"(client introuvable)"))</f>
        <v/>
      </c>
      <c r="U1413" s="33">
        <f>IF(R1413="","",IFERROR(INDEX(Cl_quartier,MATCH(R1413,Cl_cle,0))&amp;"",""))</f>
        <v/>
      </c>
      <c r="V1413" s="34">
        <f>IF(C1413="","",YEAR(C1413-WEEKDAY(C1413,2)+4)&amp;"-S"&amp;TEXT(INT((C1413-DATE(YEAR(C1413-WEEKDAY(C1413,2)+4),1,3)+WEEKDAY(DATE(YEAR(C1413-WEEKDAY(C1413,2)+4),1,3),2)+5)/7),"00"))</f>
        <v/>
      </c>
    </row>
    <row r="1414" ht="18" customHeight="1">
      <c r="A1414" s="39" t="n">
        <v>1409</v>
      </c>
      <c r="B1414" s="33">
        <f>IF(C1414="","",IF(P1414="À RENSEIGNER","GIC",P1414)&amp;"-V"&amp;TEXT(A1414,"00000"))</f>
        <v/>
      </c>
      <c r="C1414" s="32" t="n"/>
      <c r="D1414" s="35" t="n"/>
      <c r="E1414" s="36" t="n"/>
      <c r="F1414" s="36" t="n"/>
      <c r="G1414" s="36" t="n"/>
      <c r="H1414" s="36" t="n"/>
      <c r="I1414" s="36" t="n"/>
      <c r="J1414" s="37" t="n"/>
      <c r="K1414" s="32" t="n"/>
      <c r="L1414" s="36" t="n"/>
      <c r="M1414" s="41" t="n"/>
      <c r="N1414" s="41" t="n"/>
      <c r="O1414" s="36" t="n"/>
      <c r="P1414" s="33">
        <f>IF(C1414="","",Commercial_Id)</f>
        <v/>
      </c>
      <c r="Q1414" s="39">
        <f>IF(F1414="","",IFERROR(VALUE(MID(F1414,LEN(F1414)-3,3)),""))</f>
        <v/>
      </c>
      <c r="R1414" s="33">
        <f>IF(Q1414="","",P1414&amp;"|"&amp;Q1414)</f>
        <v/>
      </c>
      <c r="S1414" s="33">
        <f>IF(Q1414="","",IF(P1414="À RENSEIGNER","GIC",P1414)&amp;"-"&amp;TEXT(Q1414,"000"))</f>
        <v/>
      </c>
      <c r="T1414" s="33">
        <f>IF(R1414="","",IFERROR(INDEX(Cl_nom,MATCH(R1414,Cl_cle,0)),"(client introuvable)"))</f>
        <v/>
      </c>
      <c r="U1414" s="33">
        <f>IF(R1414="","",IFERROR(INDEX(Cl_quartier,MATCH(R1414,Cl_cle,0))&amp;"",""))</f>
        <v/>
      </c>
      <c r="V1414" s="34">
        <f>IF(C1414="","",YEAR(C1414-WEEKDAY(C1414,2)+4)&amp;"-S"&amp;TEXT(INT((C1414-DATE(YEAR(C1414-WEEKDAY(C1414,2)+4),1,3)+WEEKDAY(DATE(YEAR(C1414-WEEKDAY(C1414,2)+4),1,3),2)+5)/7),"00"))</f>
        <v/>
      </c>
    </row>
    <row r="1415" ht="18" customHeight="1">
      <c r="A1415" s="39" t="n">
        <v>1410</v>
      </c>
      <c r="B1415" s="33">
        <f>IF(C1415="","",IF(P1415="À RENSEIGNER","GIC",P1415)&amp;"-V"&amp;TEXT(A1415,"00000"))</f>
        <v/>
      </c>
      <c r="C1415" s="32" t="n"/>
      <c r="D1415" s="35" t="n"/>
      <c r="E1415" s="36" t="n"/>
      <c r="F1415" s="36" t="n"/>
      <c r="G1415" s="36" t="n"/>
      <c r="H1415" s="36" t="n"/>
      <c r="I1415" s="36" t="n"/>
      <c r="J1415" s="37" t="n"/>
      <c r="K1415" s="32" t="n"/>
      <c r="L1415" s="36" t="n"/>
      <c r="M1415" s="41" t="n"/>
      <c r="N1415" s="41" t="n"/>
      <c r="O1415" s="36" t="n"/>
      <c r="P1415" s="33">
        <f>IF(C1415="","",Commercial_Id)</f>
        <v/>
      </c>
      <c r="Q1415" s="39">
        <f>IF(F1415="","",IFERROR(VALUE(MID(F1415,LEN(F1415)-3,3)),""))</f>
        <v/>
      </c>
      <c r="R1415" s="33">
        <f>IF(Q1415="","",P1415&amp;"|"&amp;Q1415)</f>
        <v/>
      </c>
      <c r="S1415" s="33">
        <f>IF(Q1415="","",IF(P1415="À RENSEIGNER","GIC",P1415)&amp;"-"&amp;TEXT(Q1415,"000"))</f>
        <v/>
      </c>
      <c r="T1415" s="33">
        <f>IF(R1415="","",IFERROR(INDEX(Cl_nom,MATCH(R1415,Cl_cle,0)),"(client introuvable)"))</f>
        <v/>
      </c>
      <c r="U1415" s="33">
        <f>IF(R1415="","",IFERROR(INDEX(Cl_quartier,MATCH(R1415,Cl_cle,0))&amp;"",""))</f>
        <v/>
      </c>
      <c r="V1415" s="34">
        <f>IF(C1415="","",YEAR(C1415-WEEKDAY(C1415,2)+4)&amp;"-S"&amp;TEXT(INT((C1415-DATE(YEAR(C1415-WEEKDAY(C1415,2)+4),1,3)+WEEKDAY(DATE(YEAR(C1415-WEEKDAY(C1415,2)+4),1,3),2)+5)/7),"00"))</f>
        <v/>
      </c>
    </row>
    <row r="1416" ht="18" customHeight="1">
      <c r="A1416" s="39" t="n">
        <v>1411</v>
      </c>
      <c r="B1416" s="33">
        <f>IF(C1416="","",IF(P1416="À RENSEIGNER","GIC",P1416)&amp;"-V"&amp;TEXT(A1416,"00000"))</f>
        <v/>
      </c>
      <c r="C1416" s="32" t="n"/>
      <c r="D1416" s="35" t="n"/>
      <c r="E1416" s="36" t="n"/>
      <c r="F1416" s="36" t="n"/>
      <c r="G1416" s="36" t="n"/>
      <c r="H1416" s="36" t="n"/>
      <c r="I1416" s="36" t="n"/>
      <c r="J1416" s="37" t="n"/>
      <c r="K1416" s="32" t="n"/>
      <c r="L1416" s="36" t="n"/>
      <c r="M1416" s="41" t="n"/>
      <c r="N1416" s="41" t="n"/>
      <c r="O1416" s="36" t="n"/>
      <c r="P1416" s="33">
        <f>IF(C1416="","",Commercial_Id)</f>
        <v/>
      </c>
      <c r="Q1416" s="39">
        <f>IF(F1416="","",IFERROR(VALUE(MID(F1416,LEN(F1416)-3,3)),""))</f>
        <v/>
      </c>
      <c r="R1416" s="33">
        <f>IF(Q1416="","",P1416&amp;"|"&amp;Q1416)</f>
        <v/>
      </c>
      <c r="S1416" s="33">
        <f>IF(Q1416="","",IF(P1416="À RENSEIGNER","GIC",P1416)&amp;"-"&amp;TEXT(Q1416,"000"))</f>
        <v/>
      </c>
      <c r="T1416" s="33">
        <f>IF(R1416="","",IFERROR(INDEX(Cl_nom,MATCH(R1416,Cl_cle,0)),"(client introuvable)"))</f>
        <v/>
      </c>
      <c r="U1416" s="33">
        <f>IF(R1416="","",IFERROR(INDEX(Cl_quartier,MATCH(R1416,Cl_cle,0))&amp;"",""))</f>
        <v/>
      </c>
      <c r="V1416" s="34">
        <f>IF(C1416="","",YEAR(C1416-WEEKDAY(C1416,2)+4)&amp;"-S"&amp;TEXT(INT((C1416-DATE(YEAR(C1416-WEEKDAY(C1416,2)+4),1,3)+WEEKDAY(DATE(YEAR(C1416-WEEKDAY(C1416,2)+4),1,3),2)+5)/7),"00"))</f>
        <v/>
      </c>
    </row>
    <row r="1417" ht="18" customHeight="1">
      <c r="A1417" s="39" t="n">
        <v>1412</v>
      </c>
      <c r="B1417" s="33">
        <f>IF(C1417="","",IF(P1417="À RENSEIGNER","GIC",P1417)&amp;"-V"&amp;TEXT(A1417,"00000"))</f>
        <v/>
      </c>
      <c r="C1417" s="32" t="n"/>
      <c r="D1417" s="35" t="n"/>
      <c r="E1417" s="36" t="n"/>
      <c r="F1417" s="36" t="n"/>
      <c r="G1417" s="36" t="n"/>
      <c r="H1417" s="36" t="n"/>
      <c r="I1417" s="36" t="n"/>
      <c r="J1417" s="37" t="n"/>
      <c r="K1417" s="32" t="n"/>
      <c r="L1417" s="36" t="n"/>
      <c r="M1417" s="41" t="n"/>
      <c r="N1417" s="41" t="n"/>
      <c r="O1417" s="36" t="n"/>
      <c r="P1417" s="33">
        <f>IF(C1417="","",Commercial_Id)</f>
        <v/>
      </c>
      <c r="Q1417" s="39">
        <f>IF(F1417="","",IFERROR(VALUE(MID(F1417,LEN(F1417)-3,3)),""))</f>
        <v/>
      </c>
      <c r="R1417" s="33">
        <f>IF(Q1417="","",P1417&amp;"|"&amp;Q1417)</f>
        <v/>
      </c>
      <c r="S1417" s="33">
        <f>IF(Q1417="","",IF(P1417="À RENSEIGNER","GIC",P1417)&amp;"-"&amp;TEXT(Q1417,"000"))</f>
        <v/>
      </c>
      <c r="T1417" s="33">
        <f>IF(R1417="","",IFERROR(INDEX(Cl_nom,MATCH(R1417,Cl_cle,0)),"(client introuvable)"))</f>
        <v/>
      </c>
      <c r="U1417" s="33">
        <f>IF(R1417="","",IFERROR(INDEX(Cl_quartier,MATCH(R1417,Cl_cle,0))&amp;"",""))</f>
        <v/>
      </c>
      <c r="V1417" s="34">
        <f>IF(C1417="","",YEAR(C1417-WEEKDAY(C1417,2)+4)&amp;"-S"&amp;TEXT(INT((C1417-DATE(YEAR(C1417-WEEKDAY(C1417,2)+4),1,3)+WEEKDAY(DATE(YEAR(C1417-WEEKDAY(C1417,2)+4),1,3),2)+5)/7),"00"))</f>
        <v/>
      </c>
    </row>
    <row r="1418" ht="18" customHeight="1">
      <c r="A1418" s="39" t="n">
        <v>1413</v>
      </c>
      <c r="B1418" s="33">
        <f>IF(C1418="","",IF(P1418="À RENSEIGNER","GIC",P1418)&amp;"-V"&amp;TEXT(A1418,"00000"))</f>
        <v/>
      </c>
      <c r="C1418" s="32" t="n"/>
      <c r="D1418" s="35" t="n"/>
      <c r="E1418" s="36" t="n"/>
      <c r="F1418" s="36" t="n"/>
      <c r="G1418" s="36" t="n"/>
      <c r="H1418" s="36" t="n"/>
      <c r="I1418" s="36" t="n"/>
      <c r="J1418" s="37" t="n"/>
      <c r="K1418" s="32" t="n"/>
      <c r="L1418" s="36" t="n"/>
      <c r="M1418" s="41" t="n"/>
      <c r="N1418" s="41" t="n"/>
      <c r="O1418" s="36" t="n"/>
      <c r="P1418" s="33">
        <f>IF(C1418="","",Commercial_Id)</f>
        <v/>
      </c>
      <c r="Q1418" s="39">
        <f>IF(F1418="","",IFERROR(VALUE(MID(F1418,LEN(F1418)-3,3)),""))</f>
        <v/>
      </c>
      <c r="R1418" s="33">
        <f>IF(Q1418="","",P1418&amp;"|"&amp;Q1418)</f>
        <v/>
      </c>
      <c r="S1418" s="33">
        <f>IF(Q1418="","",IF(P1418="À RENSEIGNER","GIC",P1418)&amp;"-"&amp;TEXT(Q1418,"000"))</f>
        <v/>
      </c>
      <c r="T1418" s="33">
        <f>IF(R1418="","",IFERROR(INDEX(Cl_nom,MATCH(R1418,Cl_cle,0)),"(client introuvable)"))</f>
        <v/>
      </c>
      <c r="U1418" s="33">
        <f>IF(R1418="","",IFERROR(INDEX(Cl_quartier,MATCH(R1418,Cl_cle,0))&amp;"",""))</f>
        <v/>
      </c>
      <c r="V1418" s="34">
        <f>IF(C1418="","",YEAR(C1418-WEEKDAY(C1418,2)+4)&amp;"-S"&amp;TEXT(INT((C1418-DATE(YEAR(C1418-WEEKDAY(C1418,2)+4),1,3)+WEEKDAY(DATE(YEAR(C1418-WEEKDAY(C1418,2)+4),1,3),2)+5)/7),"00"))</f>
        <v/>
      </c>
    </row>
    <row r="1419" ht="18" customHeight="1">
      <c r="A1419" s="39" t="n">
        <v>1414</v>
      </c>
      <c r="B1419" s="33">
        <f>IF(C1419="","",IF(P1419="À RENSEIGNER","GIC",P1419)&amp;"-V"&amp;TEXT(A1419,"00000"))</f>
        <v/>
      </c>
      <c r="C1419" s="32" t="n"/>
      <c r="D1419" s="35" t="n"/>
      <c r="E1419" s="36" t="n"/>
      <c r="F1419" s="36" t="n"/>
      <c r="G1419" s="36" t="n"/>
      <c r="H1419" s="36" t="n"/>
      <c r="I1419" s="36" t="n"/>
      <c r="J1419" s="37" t="n"/>
      <c r="K1419" s="32" t="n"/>
      <c r="L1419" s="36" t="n"/>
      <c r="M1419" s="41" t="n"/>
      <c r="N1419" s="41" t="n"/>
      <c r="O1419" s="36" t="n"/>
      <c r="P1419" s="33">
        <f>IF(C1419="","",Commercial_Id)</f>
        <v/>
      </c>
      <c r="Q1419" s="39">
        <f>IF(F1419="","",IFERROR(VALUE(MID(F1419,LEN(F1419)-3,3)),""))</f>
        <v/>
      </c>
      <c r="R1419" s="33">
        <f>IF(Q1419="","",P1419&amp;"|"&amp;Q1419)</f>
        <v/>
      </c>
      <c r="S1419" s="33">
        <f>IF(Q1419="","",IF(P1419="À RENSEIGNER","GIC",P1419)&amp;"-"&amp;TEXT(Q1419,"000"))</f>
        <v/>
      </c>
      <c r="T1419" s="33">
        <f>IF(R1419="","",IFERROR(INDEX(Cl_nom,MATCH(R1419,Cl_cle,0)),"(client introuvable)"))</f>
        <v/>
      </c>
      <c r="U1419" s="33">
        <f>IF(R1419="","",IFERROR(INDEX(Cl_quartier,MATCH(R1419,Cl_cle,0))&amp;"",""))</f>
        <v/>
      </c>
      <c r="V1419" s="34">
        <f>IF(C1419="","",YEAR(C1419-WEEKDAY(C1419,2)+4)&amp;"-S"&amp;TEXT(INT((C1419-DATE(YEAR(C1419-WEEKDAY(C1419,2)+4),1,3)+WEEKDAY(DATE(YEAR(C1419-WEEKDAY(C1419,2)+4),1,3),2)+5)/7),"00"))</f>
        <v/>
      </c>
    </row>
    <row r="1420" ht="18" customHeight="1">
      <c r="A1420" s="39" t="n">
        <v>1415</v>
      </c>
      <c r="B1420" s="33">
        <f>IF(C1420="","",IF(P1420="À RENSEIGNER","GIC",P1420)&amp;"-V"&amp;TEXT(A1420,"00000"))</f>
        <v/>
      </c>
      <c r="C1420" s="32" t="n"/>
      <c r="D1420" s="35" t="n"/>
      <c r="E1420" s="36" t="n"/>
      <c r="F1420" s="36" t="n"/>
      <c r="G1420" s="36" t="n"/>
      <c r="H1420" s="36" t="n"/>
      <c r="I1420" s="36" t="n"/>
      <c r="J1420" s="37" t="n"/>
      <c r="K1420" s="32" t="n"/>
      <c r="L1420" s="36" t="n"/>
      <c r="M1420" s="41" t="n"/>
      <c r="N1420" s="41" t="n"/>
      <c r="O1420" s="36" t="n"/>
      <c r="P1420" s="33">
        <f>IF(C1420="","",Commercial_Id)</f>
        <v/>
      </c>
      <c r="Q1420" s="39">
        <f>IF(F1420="","",IFERROR(VALUE(MID(F1420,LEN(F1420)-3,3)),""))</f>
        <v/>
      </c>
      <c r="R1420" s="33">
        <f>IF(Q1420="","",P1420&amp;"|"&amp;Q1420)</f>
        <v/>
      </c>
      <c r="S1420" s="33">
        <f>IF(Q1420="","",IF(P1420="À RENSEIGNER","GIC",P1420)&amp;"-"&amp;TEXT(Q1420,"000"))</f>
        <v/>
      </c>
      <c r="T1420" s="33">
        <f>IF(R1420="","",IFERROR(INDEX(Cl_nom,MATCH(R1420,Cl_cle,0)),"(client introuvable)"))</f>
        <v/>
      </c>
      <c r="U1420" s="33">
        <f>IF(R1420="","",IFERROR(INDEX(Cl_quartier,MATCH(R1420,Cl_cle,0))&amp;"",""))</f>
        <v/>
      </c>
      <c r="V1420" s="34">
        <f>IF(C1420="","",YEAR(C1420-WEEKDAY(C1420,2)+4)&amp;"-S"&amp;TEXT(INT((C1420-DATE(YEAR(C1420-WEEKDAY(C1420,2)+4),1,3)+WEEKDAY(DATE(YEAR(C1420-WEEKDAY(C1420,2)+4),1,3),2)+5)/7),"00"))</f>
        <v/>
      </c>
    </row>
    <row r="1421" ht="18" customHeight="1">
      <c r="A1421" s="39" t="n">
        <v>1416</v>
      </c>
      <c r="B1421" s="33">
        <f>IF(C1421="","",IF(P1421="À RENSEIGNER","GIC",P1421)&amp;"-V"&amp;TEXT(A1421,"00000"))</f>
        <v/>
      </c>
      <c r="C1421" s="32" t="n"/>
      <c r="D1421" s="35" t="n"/>
      <c r="E1421" s="36" t="n"/>
      <c r="F1421" s="36" t="n"/>
      <c r="G1421" s="36" t="n"/>
      <c r="H1421" s="36" t="n"/>
      <c r="I1421" s="36" t="n"/>
      <c r="J1421" s="37" t="n"/>
      <c r="K1421" s="32" t="n"/>
      <c r="L1421" s="36" t="n"/>
      <c r="M1421" s="41" t="n"/>
      <c r="N1421" s="41" t="n"/>
      <c r="O1421" s="36" t="n"/>
      <c r="P1421" s="33">
        <f>IF(C1421="","",Commercial_Id)</f>
        <v/>
      </c>
      <c r="Q1421" s="39">
        <f>IF(F1421="","",IFERROR(VALUE(MID(F1421,LEN(F1421)-3,3)),""))</f>
        <v/>
      </c>
      <c r="R1421" s="33">
        <f>IF(Q1421="","",P1421&amp;"|"&amp;Q1421)</f>
        <v/>
      </c>
      <c r="S1421" s="33">
        <f>IF(Q1421="","",IF(P1421="À RENSEIGNER","GIC",P1421)&amp;"-"&amp;TEXT(Q1421,"000"))</f>
        <v/>
      </c>
      <c r="T1421" s="33">
        <f>IF(R1421="","",IFERROR(INDEX(Cl_nom,MATCH(R1421,Cl_cle,0)),"(client introuvable)"))</f>
        <v/>
      </c>
      <c r="U1421" s="33">
        <f>IF(R1421="","",IFERROR(INDEX(Cl_quartier,MATCH(R1421,Cl_cle,0))&amp;"",""))</f>
        <v/>
      </c>
      <c r="V1421" s="34">
        <f>IF(C1421="","",YEAR(C1421-WEEKDAY(C1421,2)+4)&amp;"-S"&amp;TEXT(INT((C1421-DATE(YEAR(C1421-WEEKDAY(C1421,2)+4),1,3)+WEEKDAY(DATE(YEAR(C1421-WEEKDAY(C1421,2)+4),1,3),2)+5)/7),"00"))</f>
        <v/>
      </c>
    </row>
    <row r="1422" ht="18" customHeight="1">
      <c r="A1422" s="39" t="n">
        <v>1417</v>
      </c>
      <c r="B1422" s="33">
        <f>IF(C1422="","",IF(P1422="À RENSEIGNER","GIC",P1422)&amp;"-V"&amp;TEXT(A1422,"00000"))</f>
        <v/>
      </c>
      <c r="C1422" s="32" t="n"/>
      <c r="D1422" s="35" t="n"/>
      <c r="E1422" s="36" t="n"/>
      <c r="F1422" s="36" t="n"/>
      <c r="G1422" s="36" t="n"/>
      <c r="H1422" s="36" t="n"/>
      <c r="I1422" s="36" t="n"/>
      <c r="J1422" s="37" t="n"/>
      <c r="K1422" s="32" t="n"/>
      <c r="L1422" s="36" t="n"/>
      <c r="M1422" s="41" t="n"/>
      <c r="N1422" s="41" t="n"/>
      <c r="O1422" s="36" t="n"/>
      <c r="P1422" s="33">
        <f>IF(C1422="","",Commercial_Id)</f>
        <v/>
      </c>
      <c r="Q1422" s="39">
        <f>IF(F1422="","",IFERROR(VALUE(MID(F1422,LEN(F1422)-3,3)),""))</f>
        <v/>
      </c>
      <c r="R1422" s="33">
        <f>IF(Q1422="","",P1422&amp;"|"&amp;Q1422)</f>
        <v/>
      </c>
      <c r="S1422" s="33">
        <f>IF(Q1422="","",IF(P1422="À RENSEIGNER","GIC",P1422)&amp;"-"&amp;TEXT(Q1422,"000"))</f>
        <v/>
      </c>
      <c r="T1422" s="33">
        <f>IF(R1422="","",IFERROR(INDEX(Cl_nom,MATCH(R1422,Cl_cle,0)),"(client introuvable)"))</f>
        <v/>
      </c>
      <c r="U1422" s="33">
        <f>IF(R1422="","",IFERROR(INDEX(Cl_quartier,MATCH(R1422,Cl_cle,0))&amp;"",""))</f>
        <v/>
      </c>
      <c r="V1422" s="34">
        <f>IF(C1422="","",YEAR(C1422-WEEKDAY(C1422,2)+4)&amp;"-S"&amp;TEXT(INT((C1422-DATE(YEAR(C1422-WEEKDAY(C1422,2)+4),1,3)+WEEKDAY(DATE(YEAR(C1422-WEEKDAY(C1422,2)+4),1,3),2)+5)/7),"00"))</f>
        <v/>
      </c>
    </row>
    <row r="1423" ht="18" customHeight="1">
      <c r="A1423" s="39" t="n">
        <v>1418</v>
      </c>
      <c r="B1423" s="33">
        <f>IF(C1423="","",IF(P1423="À RENSEIGNER","GIC",P1423)&amp;"-V"&amp;TEXT(A1423,"00000"))</f>
        <v/>
      </c>
      <c r="C1423" s="32" t="n"/>
      <c r="D1423" s="35" t="n"/>
      <c r="E1423" s="36" t="n"/>
      <c r="F1423" s="36" t="n"/>
      <c r="G1423" s="36" t="n"/>
      <c r="H1423" s="36" t="n"/>
      <c r="I1423" s="36" t="n"/>
      <c r="J1423" s="37" t="n"/>
      <c r="K1423" s="32" t="n"/>
      <c r="L1423" s="36" t="n"/>
      <c r="M1423" s="41" t="n"/>
      <c r="N1423" s="41" t="n"/>
      <c r="O1423" s="36" t="n"/>
      <c r="P1423" s="33">
        <f>IF(C1423="","",Commercial_Id)</f>
        <v/>
      </c>
      <c r="Q1423" s="39">
        <f>IF(F1423="","",IFERROR(VALUE(MID(F1423,LEN(F1423)-3,3)),""))</f>
        <v/>
      </c>
      <c r="R1423" s="33">
        <f>IF(Q1423="","",P1423&amp;"|"&amp;Q1423)</f>
        <v/>
      </c>
      <c r="S1423" s="33">
        <f>IF(Q1423="","",IF(P1423="À RENSEIGNER","GIC",P1423)&amp;"-"&amp;TEXT(Q1423,"000"))</f>
        <v/>
      </c>
      <c r="T1423" s="33">
        <f>IF(R1423="","",IFERROR(INDEX(Cl_nom,MATCH(R1423,Cl_cle,0)),"(client introuvable)"))</f>
        <v/>
      </c>
      <c r="U1423" s="33">
        <f>IF(R1423="","",IFERROR(INDEX(Cl_quartier,MATCH(R1423,Cl_cle,0))&amp;"",""))</f>
        <v/>
      </c>
      <c r="V1423" s="34">
        <f>IF(C1423="","",YEAR(C1423-WEEKDAY(C1423,2)+4)&amp;"-S"&amp;TEXT(INT((C1423-DATE(YEAR(C1423-WEEKDAY(C1423,2)+4),1,3)+WEEKDAY(DATE(YEAR(C1423-WEEKDAY(C1423,2)+4),1,3),2)+5)/7),"00"))</f>
        <v/>
      </c>
    </row>
    <row r="1424" ht="18" customHeight="1">
      <c r="A1424" s="39" t="n">
        <v>1419</v>
      </c>
      <c r="B1424" s="33">
        <f>IF(C1424="","",IF(P1424="À RENSEIGNER","GIC",P1424)&amp;"-V"&amp;TEXT(A1424,"00000"))</f>
        <v/>
      </c>
      <c r="C1424" s="32" t="n"/>
      <c r="D1424" s="35" t="n"/>
      <c r="E1424" s="36" t="n"/>
      <c r="F1424" s="36" t="n"/>
      <c r="G1424" s="36" t="n"/>
      <c r="H1424" s="36" t="n"/>
      <c r="I1424" s="36" t="n"/>
      <c r="J1424" s="37" t="n"/>
      <c r="K1424" s="32" t="n"/>
      <c r="L1424" s="36" t="n"/>
      <c r="M1424" s="41" t="n"/>
      <c r="N1424" s="41" t="n"/>
      <c r="O1424" s="36" t="n"/>
      <c r="P1424" s="33">
        <f>IF(C1424="","",Commercial_Id)</f>
        <v/>
      </c>
      <c r="Q1424" s="39">
        <f>IF(F1424="","",IFERROR(VALUE(MID(F1424,LEN(F1424)-3,3)),""))</f>
        <v/>
      </c>
      <c r="R1424" s="33">
        <f>IF(Q1424="","",P1424&amp;"|"&amp;Q1424)</f>
        <v/>
      </c>
      <c r="S1424" s="33">
        <f>IF(Q1424="","",IF(P1424="À RENSEIGNER","GIC",P1424)&amp;"-"&amp;TEXT(Q1424,"000"))</f>
        <v/>
      </c>
      <c r="T1424" s="33">
        <f>IF(R1424="","",IFERROR(INDEX(Cl_nom,MATCH(R1424,Cl_cle,0)),"(client introuvable)"))</f>
        <v/>
      </c>
      <c r="U1424" s="33">
        <f>IF(R1424="","",IFERROR(INDEX(Cl_quartier,MATCH(R1424,Cl_cle,0))&amp;"",""))</f>
        <v/>
      </c>
      <c r="V1424" s="34">
        <f>IF(C1424="","",YEAR(C1424-WEEKDAY(C1424,2)+4)&amp;"-S"&amp;TEXT(INT((C1424-DATE(YEAR(C1424-WEEKDAY(C1424,2)+4),1,3)+WEEKDAY(DATE(YEAR(C1424-WEEKDAY(C1424,2)+4),1,3),2)+5)/7),"00"))</f>
        <v/>
      </c>
    </row>
    <row r="1425" ht="18" customHeight="1">
      <c r="A1425" s="39" t="n">
        <v>1420</v>
      </c>
      <c r="B1425" s="33">
        <f>IF(C1425="","",IF(P1425="À RENSEIGNER","GIC",P1425)&amp;"-V"&amp;TEXT(A1425,"00000"))</f>
        <v/>
      </c>
      <c r="C1425" s="32" t="n"/>
      <c r="D1425" s="35" t="n"/>
      <c r="E1425" s="36" t="n"/>
      <c r="F1425" s="36" t="n"/>
      <c r="G1425" s="36" t="n"/>
      <c r="H1425" s="36" t="n"/>
      <c r="I1425" s="36" t="n"/>
      <c r="J1425" s="37" t="n"/>
      <c r="K1425" s="32" t="n"/>
      <c r="L1425" s="36" t="n"/>
      <c r="M1425" s="41" t="n"/>
      <c r="N1425" s="41" t="n"/>
      <c r="O1425" s="36" t="n"/>
      <c r="P1425" s="33">
        <f>IF(C1425="","",Commercial_Id)</f>
        <v/>
      </c>
      <c r="Q1425" s="39">
        <f>IF(F1425="","",IFERROR(VALUE(MID(F1425,LEN(F1425)-3,3)),""))</f>
        <v/>
      </c>
      <c r="R1425" s="33">
        <f>IF(Q1425="","",P1425&amp;"|"&amp;Q1425)</f>
        <v/>
      </c>
      <c r="S1425" s="33">
        <f>IF(Q1425="","",IF(P1425="À RENSEIGNER","GIC",P1425)&amp;"-"&amp;TEXT(Q1425,"000"))</f>
        <v/>
      </c>
      <c r="T1425" s="33">
        <f>IF(R1425="","",IFERROR(INDEX(Cl_nom,MATCH(R1425,Cl_cle,0)),"(client introuvable)"))</f>
        <v/>
      </c>
      <c r="U1425" s="33">
        <f>IF(R1425="","",IFERROR(INDEX(Cl_quartier,MATCH(R1425,Cl_cle,0))&amp;"",""))</f>
        <v/>
      </c>
      <c r="V1425" s="34">
        <f>IF(C1425="","",YEAR(C1425-WEEKDAY(C1425,2)+4)&amp;"-S"&amp;TEXT(INT((C1425-DATE(YEAR(C1425-WEEKDAY(C1425,2)+4),1,3)+WEEKDAY(DATE(YEAR(C1425-WEEKDAY(C1425,2)+4),1,3),2)+5)/7),"00"))</f>
        <v/>
      </c>
    </row>
    <row r="1426" ht="18" customHeight="1">
      <c r="A1426" s="39" t="n">
        <v>1421</v>
      </c>
      <c r="B1426" s="33">
        <f>IF(C1426="","",IF(P1426="À RENSEIGNER","GIC",P1426)&amp;"-V"&amp;TEXT(A1426,"00000"))</f>
        <v/>
      </c>
      <c r="C1426" s="32" t="n"/>
      <c r="D1426" s="35" t="n"/>
      <c r="E1426" s="36" t="n"/>
      <c r="F1426" s="36" t="n"/>
      <c r="G1426" s="36" t="n"/>
      <c r="H1426" s="36" t="n"/>
      <c r="I1426" s="36" t="n"/>
      <c r="J1426" s="37" t="n"/>
      <c r="K1426" s="32" t="n"/>
      <c r="L1426" s="36" t="n"/>
      <c r="M1426" s="41" t="n"/>
      <c r="N1426" s="41" t="n"/>
      <c r="O1426" s="36" t="n"/>
      <c r="P1426" s="33">
        <f>IF(C1426="","",Commercial_Id)</f>
        <v/>
      </c>
      <c r="Q1426" s="39">
        <f>IF(F1426="","",IFERROR(VALUE(MID(F1426,LEN(F1426)-3,3)),""))</f>
        <v/>
      </c>
      <c r="R1426" s="33">
        <f>IF(Q1426="","",P1426&amp;"|"&amp;Q1426)</f>
        <v/>
      </c>
      <c r="S1426" s="33">
        <f>IF(Q1426="","",IF(P1426="À RENSEIGNER","GIC",P1426)&amp;"-"&amp;TEXT(Q1426,"000"))</f>
        <v/>
      </c>
      <c r="T1426" s="33">
        <f>IF(R1426="","",IFERROR(INDEX(Cl_nom,MATCH(R1426,Cl_cle,0)),"(client introuvable)"))</f>
        <v/>
      </c>
      <c r="U1426" s="33">
        <f>IF(R1426="","",IFERROR(INDEX(Cl_quartier,MATCH(R1426,Cl_cle,0))&amp;"",""))</f>
        <v/>
      </c>
      <c r="V1426" s="34">
        <f>IF(C1426="","",YEAR(C1426-WEEKDAY(C1426,2)+4)&amp;"-S"&amp;TEXT(INT((C1426-DATE(YEAR(C1426-WEEKDAY(C1426,2)+4),1,3)+WEEKDAY(DATE(YEAR(C1426-WEEKDAY(C1426,2)+4),1,3),2)+5)/7),"00"))</f>
        <v/>
      </c>
    </row>
    <row r="1427" ht="18" customHeight="1">
      <c r="A1427" s="39" t="n">
        <v>1422</v>
      </c>
      <c r="B1427" s="33">
        <f>IF(C1427="","",IF(P1427="À RENSEIGNER","GIC",P1427)&amp;"-V"&amp;TEXT(A1427,"00000"))</f>
        <v/>
      </c>
      <c r="C1427" s="32" t="n"/>
      <c r="D1427" s="35" t="n"/>
      <c r="E1427" s="36" t="n"/>
      <c r="F1427" s="36" t="n"/>
      <c r="G1427" s="36" t="n"/>
      <c r="H1427" s="36" t="n"/>
      <c r="I1427" s="36" t="n"/>
      <c r="J1427" s="37" t="n"/>
      <c r="K1427" s="32" t="n"/>
      <c r="L1427" s="36" t="n"/>
      <c r="M1427" s="41" t="n"/>
      <c r="N1427" s="41" t="n"/>
      <c r="O1427" s="36" t="n"/>
      <c r="P1427" s="33">
        <f>IF(C1427="","",Commercial_Id)</f>
        <v/>
      </c>
      <c r="Q1427" s="39">
        <f>IF(F1427="","",IFERROR(VALUE(MID(F1427,LEN(F1427)-3,3)),""))</f>
        <v/>
      </c>
      <c r="R1427" s="33">
        <f>IF(Q1427="","",P1427&amp;"|"&amp;Q1427)</f>
        <v/>
      </c>
      <c r="S1427" s="33">
        <f>IF(Q1427="","",IF(P1427="À RENSEIGNER","GIC",P1427)&amp;"-"&amp;TEXT(Q1427,"000"))</f>
        <v/>
      </c>
      <c r="T1427" s="33">
        <f>IF(R1427="","",IFERROR(INDEX(Cl_nom,MATCH(R1427,Cl_cle,0)),"(client introuvable)"))</f>
        <v/>
      </c>
      <c r="U1427" s="33">
        <f>IF(R1427="","",IFERROR(INDEX(Cl_quartier,MATCH(R1427,Cl_cle,0))&amp;"",""))</f>
        <v/>
      </c>
      <c r="V1427" s="34">
        <f>IF(C1427="","",YEAR(C1427-WEEKDAY(C1427,2)+4)&amp;"-S"&amp;TEXT(INT((C1427-DATE(YEAR(C1427-WEEKDAY(C1427,2)+4),1,3)+WEEKDAY(DATE(YEAR(C1427-WEEKDAY(C1427,2)+4),1,3),2)+5)/7),"00"))</f>
        <v/>
      </c>
    </row>
    <row r="1428" ht="18" customHeight="1">
      <c r="A1428" s="39" t="n">
        <v>1423</v>
      </c>
      <c r="B1428" s="33">
        <f>IF(C1428="","",IF(P1428="À RENSEIGNER","GIC",P1428)&amp;"-V"&amp;TEXT(A1428,"00000"))</f>
        <v/>
      </c>
      <c r="C1428" s="32" t="n"/>
      <c r="D1428" s="35" t="n"/>
      <c r="E1428" s="36" t="n"/>
      <c r="F1428" s="36" t="n"/>
      <c r="G1428" s="36" t="n"/>
      <c r="H1428" s="36" t="n"/>
      <c r="I1428" s="36" t="n"/>
      <c r="J1428" s="37" t="n"/>
      <c r="K1428" s="32" t="n"/>
      <c r="L1428" s="36" t="n"/>
      <c r="M1428" s="41" t="n"/>
      <c r="N1428" s="41" t="n"/>
      <c r="O1428" s="36" t="n"/>
      <c r="P1428" s="33">
        <f>IF(C1428="","",Commercial_Id)</f>
        <v/>
      </c>
      <c r="Q1428" s="39">
        <f>IF(F1428="","",IFERROR(VALUE(MID(F1428,LEN(F1428)-3,3)),""))</f>
        <v/>
      </c>
      <c r="R1428" s="33">
        <f>IF(Q1428="","",P1428&amp;"|"&amp;Q1428)</f>
        <v/>
      </c>
      <c r="S1428" s="33">
        <f>IF(Q1428="","",IF(P1428="À RENSEIGNER","GIC",P1428)&amp;"-"&amp;TEXT(Q1428,"000"))</f>
        <v/>
      </c>
      <c r="T1428" s="33">
        <f>IF(R1428="","",IFERROR(INDEX(Cl_nom,MATCH(R1428,Cl_cle,0)),"(client introuvable)"))</f>
        <v/>
      </c>
      <c r="U1428" s="33">
        <f>IF(R1428="","",IFERROR(INDEX(Cl_quartier,MATCH(R1428,Cl_cle,0))&amp;"",""))</f>
        <v/>
      </c>
      <c r="V1428" s="34">
        <f>IF(C1428="","",YEAR(C1428-WEEKDAY(C1428,2)+4)&amp;"-S"&amp;TEXT(INT((C1428-DATE(YEAR(C1428-WEEKDAY(C1428,2)+4),1,3)+WEEKDAY(DATE(YEAR(C1428-WEEKDAY(C1428,2)+4),1,3),2)+5)/7),"00"))</f>
        <v/>
      </c>
    </row>
    <row r="1429" ht="18" customHeight="1">
      <c r="A1429" s="39" t="n">
        <v>1424</v>
      </c>
      <c r="B1429" s="33">
        <f>IF(C1429="","",IF(P1429="À RENSEIGNER","GIC",P1429)&amp;"-V"&amp;TEXT(A1429,"00000"))</f>
        <v/>
      </c>
      <c r="C1429" s="32" t="n"/>
      <c r="D1429" s="35" t="n"/>
      <c r="E1429" s="36" t="n"/>
      <c r="F1429" s="36" t="n"/>
      <c r="G1429" s="36" t="n"/>
      <c r="H1429" s="36" t="n"/>
      <c r="I1429" s="36" t="n"/>
      <c r="J1429" s="37" t="n"/>
      <c r="K1429" s="32" t="n"/>
      <c r="L1429" s="36" t="n"/>
      <c r="M1429" s="41" t="n"/>
      <c r="N1429" s="41" t="n"/>
      <c r="O1429" s="36" t="n"/>
      <c r="P1429" s="33">
        <f>IF(C1429="","",Commercial_Id)</f>
        <v/>
      </c>
      <c r="Q1429" s="39">
        <f>IF(F1429="","",IFERROR(VALUE(MID(F1429,LEN(F1429)-3,3)),""))</f>
        <v/>
      </c>
      <c r="R1429" s="33">
        <f>IF(Q1429="","",P1429&amp;"|"&amp;Q1429)</f>
        <v/>
      </c>
      <c r="S1429" s="33">
        <f>IF(Q1429="","",IF(P1429="À RENSEIGNER","GIC",P1429)&amp;"-"&amp;TEXT(Q1429,"000"))</f>
        <v/>
      </c>
      <c r="T1429" s="33">
        <f>IF(R1429="","",IFERROR(INDEX(Cl_nom,MATCH(R1429,Cl_cle,0)),"(client introuvable)"))</f>
        <v/>
      </c>
      <c r="U1429" s="33">
        <f>IF(R1429="","",IFERROR(INDEX(Cl_quartier,MATCH(R1429,Cl_cle,0))&amp;"",""))</f>
        <v/>
      </c>
      <c r="V1429" s="34">
        <f>IF(C1429="","",YEAR(C1429-WEEKDAY(C1429,2)+4)&amp;"-S"&amp;TEXT(INT((C1429-DATE(YEAR(C1429-WEEKDAY(C1429,2)+4),1,3)+WEEKDAY(DATE(YEAR(C1429-WEEKDAY(C1429,2)+4),1,3),2)+5)/7),"00"))</f>
        <v/>
      </c>
    </row>
    <row r="1430" ht="18" customHeight="1">
      <c r="A1430" s="39" t="n">
        <v>1425</v>
      </c>
      <c r="B1430" s="33">
        <f>IF(C1430="","",IF(P1430="À RENSEIGNER","GIC",P1430)&amp;"-V"&amp;TEXT(A1430,"00000"))</f>
        <v/>
      </c>
      <c r="C1430" s="32" t="n"/>
      <c r="D1430" s="35" t="n"/>
      <c r="E1430" s="36" t="n"/>
      <c r="F1430" s="36" t="n"/>
      <c r="G1430" s="36" t="n"/>
      <c r="H1430" s="36" t="n"/>
      <c r="I1430" s="36" t="n"/>
      <c r="J1430" s="37" t="n"/>
      <c r="K1430" s="32" t="n"/>
      <c r="L1430" s="36" t="n"/>
      <c r="M1430" s="41" t="n"/>
      <c r="N1430" s="41" t="n"/>
      <c r="O1430" s="36" t="n"/>
      <c r="P1430" s="33">
        <f>IF(C1430="","",Commercial_Id)</f>
        <v/>
      </c>
      <c r="Q1430" s="39">
        <f>IF(F1430="","",IFERROR(VALUE(MID(F1430,LEN(F1430)-3,3)),""))</f>
        <v/>
      </c>
      <c r="R1430" s="33">
        <f>IF(Q1430="","",P1430&amp;"|"&amp;Q1430)</f>
        <v/>
      </c>
      <c r="S1430" s="33">
        <f>IF(Q1430="","",IF(P1430="À RENSEIGNER","GIC",P1430)&amp;"-"&amp;TEXT(Q1430,"000"))</f>
        <v/>
      </c>
      <c r="T1430" s="33">
        <f>IF(R1430="","",IFERROR(INDEX(Cl_nom,MATCH(R1430,Cl_cle,0)),"(client introuvable)"))</f>
        <v/>
      </c>
      <c r="U1430" s="33">
        <f>IF(R1430="","",IFERROR(INDEX(Cl_quartier,MATCH(R1430,Cl_cle,0))&amp;"",""))</f>
        <v/>
      </c>
      <c r="V1430" s="34">
        <f>IF(C1430="","",YEAR(C1430-WEEKDAY(C1430,2)+4)&amp;"-S"&amp;TEXT(INT((C1430-DATE(YEAR(C1430-WEEKDAY(C1430,2)+4),1,3)+WEEKDAY(DATE(YEAR(C1430-WEEKDAY(C1430,2)+4),1,3),2)+5)/7),"00"))</f>
        <v/>
      </c>
    </row>
    <row r="1431" ht="18" customHeight="1">
      <c r="A1431" s="39" t="n">
        <v>1426</v>
      </c>
      <c r="B1431" s="33">
        <f>IF(C1431="","",IF(P1431="À RENSEIGNER","GIC",P1431)&amp;"-V"&amp;TEXT(A1431,"00000"))</f>
        <v/>
      </c>
      <c r="C1431" s="32" t="n"/>
      <c r="D1431" s="35" t="n"/>
      <c r="E1431" s="36" t="n"/>
      <c r="F1431" s="36" t="n"/>
      <c r="G1431" s="36" t="n"/>
      <c r="H1431" s="36" t="n"/>
      <c r="I1431" s="36" t="n"/>
      <c r="J1431" s="37" t="n"/>
      <c r="K1431" s="32" t="n"/>
      <c r="L1431" s="36" t="n"/>
      <c r="M1431" s="41" t="n"/>
      <c r="N1431" s="41" t="n"/>
      <c r="O1431" s="36" t="n"/>
      <c r="P1431" s="33">
        <f>IF(C1431="","",Commercial_Id)</f>
        <v/>
      </c>
      <c r="Q1431" s="39">
        <f>IF(F1431="","",IFERROR(VALUE(MID(F1431,LEN(F1431)-3,3)),""))</f>
        <v/>
      </c>
      <c r="R1431" s="33">
        <f>IF(Q1431="","",P1431&amp;"|"&amp;Q1431)</f>
        <v/>
      </c>
      <c r="S1431" s="33">
        <f>IF(Q1431="","",IF(P1431="À RENSEIGNER","GIC",P1431)&amp;"-"&amp;TEXT(Q1431,"000"))</f>
        <v/>
      </c>
      <c r="T1431" s="33">
        <f>IF(R1431="","",IFERROR(INDEX(Cl_nom,MATCH(R1431,Cl_cle,0)),"(client introuvable)"))</f>
        <v/>
      </c>
      <c r="U1431" s="33">
        <f>IF(R1431="","",IFERROR(INDEX(Cl_quartier,MATCH(R1431,Cl_cle,0))&amp;"",""))</f>
        <v/>
      </c>
      <c r="V1431" s="34">
        <f>IF(C1431="","",YEAR(C1431-WEEKDAY(C1431,2)+4)&amp;"-S"&amp;TEXT(INT((C1431-DATE(YEAR(C1431-WEEKDAY(C1431,2)+4),1,3)+WEEKDAY(DATE(YEAR(C1431-WEEKDAY(C1431,2)+4),1,3),2)+5)/7),"00"))</f>
        <v/>
      </c>
    </row>
    <row r="1432" ht="18" customHeight="1">
      <c r="A1432" s="39" t="n">
        <v>1427</v>
      </c>
      <c r="B1432" s="33">
        <f>IF(C1432="","",IF(P1432="À RENSEIGNER","GIC",P1432)&amp;"-V"&amp;TEXT(A1432,"00000"))</f>
        <v/>
      </c>
      <c r="C1432" s="32" t="n"/>
      <c r="D1432" s="35" t="n"/>
      <c r="E1432" s="36" t="n"/>
      <c r="F1432" s="36" t="n"/>
      <c r="G1432" s="36" t="n"/>
      <c r="H1432" s="36" t="n"/>
      <c r="I1432" s="36" t="n"/>
      <c r="J1432" s="37" t="n"/>
      <c r="K1432" s="32" t="n"/>
      <c r="L1432" s="36" t="n"/>
      <c r="M1432" s="41" t="n"/>
      <c r="N1432" s="41" t="n"/>
      <c r="O1432" s="36" t="n"/>
      <c r="P1432" s="33">
        <f>IF(C1432="","",Commercial_Id)</f>
        <v/>
      </c>
      <c r="Q1432" s="39">
        <f>IF(F1432="","",IFERROR(VALUE(MID(F1432,LEN(F1432)-3,3)),""))</f>
        <v/>
      </c>
      <c r="R1432" s="33">
        <f>IF(Q1432="","",P1432&amp;"|"&amp;Q1432)</f>
        <v/>
      </c>
      <c r="S1432" s="33">
        <f>IF(Q1432="","",IF(P1432="À RENSEIGNER","GIC",P1432)&amp;"-"&amp;TEXT(Q1432,"000"))</f>
        <v/>
      </c>
      <c r="T1432" s="33">
        <f>IF(R1432="","",IFERROR(INDEX(Cl_nom,MATCH(R1432,Cl_cle,0)),"(client introuvable)"))</f>
        <v/>
      </c>
      <c r="U1432" s="33">
        <f>IF(R1432="","",IFERROR(INDEX(Cl_quartier,MATCH(R1432,Cl_cle,0))&amp;"",""))</f>
        <v/>
      </c>
      <c r="V1432" s="34">
        <f>IF(C1432="","",YEAR(C1432-WEEKDAY(C1432,2)+4)&amp;"-S"&amp;TEXT(INT((C1432-DATE(YEAR(C1432-WEEKDAY(C1432,2)+4),1,3)+WEEKDAY(DATE(YEAR(C1432-WEEKDAY(C1432,2)+4),1,3),2)+5)/7),"00"))</f>
        <v/>
      </c>
    </row>
    <row r="1433" ht="18" customHeight="1">
      <c r="A1433" s="39" t="n">
        <v>1428</v>
      </c>
      <c r="B1433" s="33">
        <f>IF(C1433="","",IF(P1433="À RENSEIGNER","GIC",P1433)&amp;"-V"&amp;TEXT(A1433,"00000"))</f>
        <v/>
      </c>
      <c r="C1433" s="32" t="n"/>
      <c r="D1433" s="35" t="n"/>
      <c r="E1433" s="36" t="n"/>
      <c r="F1433" s="36" t="n"/>
      <c r="G1433" s="36" t="n"/>
      <c r="H1433" s="36" t="n"/>
      <c r="I1433" s="36" t="n"/>
      <c r="J1433" s="37" t="n"/>
      <c r="K1433" s="32" t="n"/>
      <c r="L1433" s="36" t="n"/>
      <c r="M1433" s="41" t="n"/>
      <c r="N1433" s="41" t="n"/>
      <c r="O1433" s="36" t="n"/>
      <c r="P1433" s="33">
        <f>IF(C1433="","",Commercial_Id)</f>
        <v/>
      </c>
      <c r="Q1433" s="39">
        <f>IF(F1433="","",IFERROR(VALUE(MID(F1433,LEN(F1433)-3,3)),""))</f>
        <v/>
      </c>
      <c r="R1433" s="33">
        <f>IF(Q1433="","",P1433&amp;"|"&amp;Q1433)</f>
        <v/>
      </c>
      <c r="S1433" s="33">
        <f>IF(Q1433="","",IF(P1433="À RENSEIGNER","GIC",P1433)&amp;"-"&amp;TEXT(Q1433,"000"))</f>
        <v/>
      </c>
      <c r="T1433" s="33">
        <f>IF(R1433="","",IFERROR(INDEX(Cl_nom,MATCH(R1433,Cl_cle,0)),"(client introuvable)"))</f>
        <v/>
      </c>
      <c r="U1433" s="33">
        <f>IF(R1433="","",IFERROR(INDEX(Cl_quartier,MATCH(R1433,Cl_cle,0))&amp;"",""))</f>
        <v/>
      </c>
      <c r="V1433" s="34">
        <f>IF(C1433="","",YEAR(C1433-WEEKDAY(C1433,2)+4)&amp;"-S"&amp;TEXT(INT((C1433-DATE(YEAR(C1433-WEEKDAY(C1433,2)+4),1,3)+WEEKDAY(DATE(YEAR(C1433-WEEKDAY(C1433,2)+4),1,3),2)+5)/7),"00"))</f>
        <v/>
      </c>
    </row>
    <row r="1434" ht="18" customHeight="1">
      <c r="A1434" s="39" t="n">
        <v>1429</v>
      </c>
      <c r="B1434" s="33">
        <f>IF(C1434="","",IF(P1434="À RENSEIGNER","GIC",P1434)&amp;"-V"&amp;TEXT(A1434,"00000"))</f>
        <v/>
      </c>
      <c r="C1434" s="32" t="n"/>
      <c r="D1434" s="35" t="n"/>
      <c r="E1434" s="36" t="n"/>
      <c r="F1434" s="36" t="n"/>
      <c r="G1434" s="36" t="n"/>
      <c r="H1434" s="36" t="n"/>
      <c r="I1434" s="36" t="n"/>
      <c r="J1434" s="37" t="n"/>
      <c r="K1434" s="32" t="n"/>
      <c r="L1434" s="36" t="n"/>
      <c r="M1434" s="41" t="n"/>
      <c r="N1434" s="41" t="n"/>
      <c r="O1434" s="36" t="n"/>
      <c r="P1434" s="33">
        <f>IF(C1434="","",Commercial_Id)</f>
        <v/>
      </c>
      <c r="Q1434" s="39">
        <f>IF(F1434="","",IFERROR(VALUE(MID(F1434,LEN(F1434)-3,3)),""))</f>
        <v/>
      </c>
      <c r="R1434" s="33">
        <f>IF(Q1434="","",P1434&amp;"|"&amp;Q1434)</f>
        <v/>
      </c>
      <c r="S1434" s="33">
        <f>IF(Q1434="","",IF(P1434="À RENSEIGNER","GIC",P1434)&amp;"-"&amp;TEXT(Q1434,"000"))</f>
        <v/>
      </c>
      <c r="T1434" s="33">
        <f>IF(R1434="","",IFERROR(INDEX(Cl_nom,MATCH(R1434,Cl_cle,0)),"(client introuvable)"))</f>
        <v/>
      </c>
      <c r="U1434" s="33">
        <f>IF(R1434="","",IFERROR(INDEX(Cl_quartier,MATCH(R1434,Cl_cle,0))&amp;"",""))</f>
        <v/>
      </c>
      <c r="V1434" s="34">
        <f>IF(C1434="","",YEAR(C1434-WEEKDAY(C1434,2)+4)&amp;"-S"&amp;TEXT(INT((C1434-DATE(YEAR(C1434-WEEKDAY(C1434,2)+4),1,3)+WEEKDAY(DATE(YEAR(C1434-WEEKDAY(C1434,2)+4),1,3),2)+5)/7),"00"))</f>
        <v/>
      </c>
    </row>
    <row r="1435" ht="18" customHeight="1">
      <c r="A1435" s="39" t="n">
        <v>1430</v>
      </c>
      <c r="B1435" s="33">
        <f>IF(C1435="","",IF(P1435="À RENSEIGNER","GIC",P1435)&amp;"-V"&amp;TEXT(A1435,"00000"))</f>
        <v/>
      </c>
      <c r="C1435" s="32" t="n"/>
      <c r="D1435" s="35" t="n"/>
      <c r="E1435" s="36" t="n"/>
      <c r="F1435" s="36" t="n"/>
      <c r="G1435" s="36" t="n"/>
      <c r="H1435" s="36" t="n"/>
      <c r="I1435" s="36" t="n"/>
      <c r="J1435" s="37" t="n"/>
      <c r="K1435" s="32" t="n"/>
      <c r="L1435" s="36" t="n"/>
      <c r="M1435" s="41" t="n"/>
      <c r="N1435" s="41" t="n"/>
      <c r="O1435" s="36" t="n"/>
      <c r="P1435" s="33">
        <f>IF(C1435="","",Commercial_Id)</f>
        <v/>
      </c>
      <c r="Q1435" s="39">
        <f>IF(F1435="","",IFERROR(VALUE(MID(F1435,LEN(F1435)-3,3)),""))</f>
        <v/>
      </c>
      <c r="R1435" s="33">
        <f>IF(Q1435="","",P1435&amp;"|"&amp;Q1435)</f>
        <v/>
      </c>
      <c r="S1435" s="33">
        <f>IF(Q1435="","",IF(P1435="À RENSEIGNER","GIC",P1435)&amp;"-"&amp;TEXT(Q1435,"000"))</f>
        <v/>
      </c>
      <c r="T1435" s="33">
        <f>IF(R1435="","",IFERROR(INDEX(Cl_nom,MATCH(R1435,Cl_cle,0)),"(client introuvable)"))</f>
        <v/>
      </c>
      <c r="U1435" s="33">
        <f>IF(R1435="","",IFERROR(INDEX(Cl_quartier,MATCH(R1435,Cl_cle,0))&amp;"",""))</f>
        <v/>
      </c>
      <c r="V1435" s="34">
        <f>IF(C1435="","",YEAR(C1435-WEEKDAY(C1435,2)+4)&amp;"-S"&amp;TEXT(INT((C1435-DATE(YEAR(C1435-WEEKDAY(C1435,2)+4),1,3)+WEEKDAY(DATE(YEAR(C1435-WEEKDAY(C1435,2)+4),1,3),2)+5)/7),"00"))</f>
        <v/>
      </c>
    </row>
    <row r="1436" ht="18" customHeight="1">
      <c r="A1436" s="39" t="n">
        <v>1431</v>
      </c>
      <c r="B1436" s="33">
        <f>IF(C1436="","",IF(P1436="À RENSEIGNER","GIC",P1436)&amp;"-V"&amp;TEXT(A1436,"00000"))</f>
        <v/>
      </c>
      <c r="C1436" s="32" t="n"/>
      <c r="D1436" s="35" t="n"/>
      <c r="E1436" s="36" t="n"/>
      <c r="F1436" s="36" t="n"/>
      <c r="G1436" s="36" t="n"/>
      <c r="H1436" s="36" t="n"/>
      <c r="I1436" s="36" t="n"/>
      <c r="J1436" s="37" t="n"/>
      <c r="K1436" s="32" t="n"/>
      <c r="L1436" s="36" t="n"/>
      <c r="M1436" s="41" t="n"/>
      <c r="N1436" s="41" t="n"/>
      <c r="O1436" s="36" t="n"/>
      <c r="P1436" s="33">
        <f>IF(C1436="","",Commercial_Id)</f>
        <v/>
      </c>
      <c r="Q1436" s="39">
        <f>IF(F1436="","",IFERROR(VALUE(MID(F1436,LEN(F1436)-3,3)),""))</f>
        <v/>
      </c>
      <c r="R1436" s="33">
        <f>IF(Q1436="","",P1436&amp;"|"&amp;Q1436)</f>
        <v/>
      </c>
      <c r="S1436" s="33">
        <f>IF(Q1436="","",IF(P1436="À RENSEIGNER","GIC",P1436)&amp;"-"&amp;TEXT(Q1436,"000"))</f>
        <v/>
      </c>
      <c r="T1436" s="33">
        <f>IF(R1436="","",IFERROR(INDEX(Cl_nom,MATCH(R1436,Cl_cle,0)),"(client introuvable)"))</f>
        <v/>
      </c>
      <c r="U1436" s="33">
        <f>IF(R1436="","",IFERROR(INDEX(Cl_quartier,MATCH(R1436,Cl_cle,0))&amp;"",""))</f>
        <v/>
      </c>
      <c r="V1436" s="34">
        <f>IF(C1436="","",YEAR(C1436-WEEKDAY(C1436,2)+4)&amp;"-S"&amp;TEXT(INT((C1436-DATE(YEAR(C1436-WEEKDAY(C1436,2)+4),1,3)+WEEKDAY(DATE(YEAR(C1436-WEEKDAY(C1436,2)+4),1,3),2)+5)/7),"00"))</f>
        <v/>
      </c>
    </row>
    <row r="1437" ht="18" customHeight="1">
      <c r="A1437" s="39" t="n">
        <v>1432</v>
      </c>
      <c r="B1437" s="33">
        <f>IF(C1437="","",IF(P1437="À RENSEIGNER","GIC",P1437)&amp;"-V"&amp;TEXT(A1437,"00000"))</f>
        <v/>
      </c>
      <c r="C1437" s="32" t="n"/>
      <c r="D1437" s="35" t="n"/>
      <c r="E1437" s="36" t="n"/>
      <c r="F1437" s="36" t="n"/>
      <c r="G1437" s="36" t="n"/>
      <c r="H1437" s="36" t="n"/>
      <c r="I1437" s="36" t="n"/>
      <c r="J1437" s="37" t="n"/>
      <c r="K1437" s="32" t="n"/>
      <c r="L1437" s="36" t="n"/>
      <c r="M1437" s="41" t="n"/>
      <c r="N1437" s="41" t="n"/>
      <c r="O1437" s="36" t="n"/>
      <c r="P1437" s="33">
        <f>IF(C1437="","",Commercial_Id)</f>
        <v/>
      </c>
      <c r="Q1437" s="39">
        <f>IF(F1437="","",IFERROR(VALUE(MID(F1437,LEN(F1437)-3,3)),""))</f>
        <v/>
      </c>
      <c r="R1437" s="33">
        <f>IF(Q1437="","",P1437&amp;"|"&amp;Q1437)</f>
        <v/>
      </c>
      <c r="S1437" s="33">
        <f>IF(Q1437="","",IF(P1437="À RENSEIGNER","GIC",P1437)&amp;"-"&amp;TEXT(Q1437,"000"))</f>
        <v/>
      </c>
      <c r="T1437" s="33">
        <f>IF(R1437="","",IFERROR(INDEX(Cl_nom,MATCH(R1437,Cl_cle,0)),"(client introuvable)"))</f>
        <v/>
      </c>
      <c r="U1437" s="33">
        <f>IF(R1437="","",IFERROR(INDEX(Cl_quartier,MATCH(R1437,Cl_cle,0))&amp;"",""))</f>
        <v/>
      </c>
      <c r="V1437" s="34">
        <f>IF(C1437="","",YEAR(C1437-WEEKDAY(C1437,2)+4)&amp;"-S"&amp;TEXT(INT((C1437-DATE(YEAR(C1437-WEEKDAY(C1437,2)+4),1,3)+WEEKDAY(DATE(YEAR(C1437-WEEKDAY(C1437,2)+4),1,3),2)+5)/7),"00"))</f>
        <v/>
      </c>
    </row>
    <row r="1438" ht="18" customHeight="1">
      <c r="A1438" s="39" t="n">
        <v>1433</v>
      </c>
      <c r="B1438" s="33">
        <f>IF(C1438="","",IF(P1438="À RENSEIGNER","GIC",P1438)&amp;"-V"&amp;TEXT(A1438,"00000"))</f>
        <v/>
      </c>
      <c r="C1438" s="32" t="n"/>
      <c r="D1438" s="35" t="n"/>
      <c r="E1438" s="36" t="n"/>
      <c r="F1438" s="36" t="n"/>
      <c r="G1438" s="36" t="n"/>
      <c r="H1438" s="36" t="n"/>
      <c r="I1438" s="36" t="n"/>
      <c r="J1438" s="37" t="n"/>
      <c r="K1438" s="32" t="n"/>
      <c r="L1438" s="36" t="n"/>
      <c r="M1438" s="41" t="n"/>
      <c r="N1438" s="41" t="n"/>
      <c r="O1438" s="36" t="n"/>
      <c r="P1438" s="33">
        <f>IF(C1438="","",Commercial_Id)</f>
        <v/>
      </c>
      <c r="Q1438" s="39">
        <f>IF(F1438="","",IFERROR(VALUE(MID(F1438,LEN(F1438)-3,3)),""))</f>
        <v/>
      </c>
      <c r="R1438" s="33">
        <f>IF(Q1438="","",P1438&amp;"|"&amp;Q1438)</f>
        <v/>
      </c>
      <c r="S1438" s="33">
        <f>IF(Q1438="","",IF(P1438="À RENSEIGNER","GIC",P1438)&amp;"-"&amp;TEXT(Q1438,"000"))</f>
        <v/>
      </c>
      <c r="T1438" s="33">
        <f>IF(R1438="","",IFERROR(INDEX(Cl_nom,MATCH(R1438,Cl_cle,0)),"(client introuvable)"))</f>
        <v/>
      </c>
      <c r="U1438" s="33">
        <f>IF(R1438="","",IFERROR(INDEX(Cl_quartier,MATCH(R1438,Cl_cle,0))&amp;"",""))</f>
        <v/>
      </c>
      <c r="V1438" s="34">
        <f>IF(C1438="","",YEAR(C1438-WEEKDAY(C1438,2)+4)&amp;"-S"&amp;TEXT(INT((C1438-DATE(YEAR(C1438-WEEKDAY(C1438,2)+4),1,3)+WEEKDAY(DATE(YEAR(C1438-WEEKDAY(C1438,2)+4),1,3),2)+5)/7),"00"))</f>
        <v/>
      </c>
    </row>
    <row r="1439" ht="18" customHeight="1">
      <c r="A1439" s="39" t="n">
        <v>1434</v>
      </c>
      <c r="B1439" s="33">
        <f>IF(C1439="","",IF(P1439="À RENSEIGNER","GIC",P1439)&amp;"-V"&amp;TEXT(A1439,"00000"))</f>
        <v/>
      </c>
      <c r="C1439" s="32" t="n"/>
      <c r="D1439" s="35" t="n"/>
      <c r="E1439" s="36" t="n"/>
      <c r="F1439" s="36" t="n"/>
      <c r="G1439" s="36" t="n"/>
      <c r="H1439" s="36" t="n"/>
      <c r="I1439" s="36" t="n"/>
      <c r="J1439" s="37" t="n"/>
      <c r="K1439" s="32" t="n"/>
      <c r="L1439" s="36" t="n"/>
      <c r="M1439" s="41" t="n"/>
      <c r="N1439" s="41" t="n"/>
      <c r="O1439" s="36" t="n"/>
      <c r="P1439" s="33">
        <f>IF(C1439="","",Commercial_Id)</f>
        <v/>
      </c>
      <c r="Q1439" s="39">
        <f>IF(F1439="","",IFERROR(VALUE(MID(F1439,LEN(F1439)-3,3)),""))</f>
        <v/>
      </c>
      <c r="R1439" s="33">
        <f>IF(Q1439="","",P1439&amp;"|"&amp;Q1439)</f>
        <v/>
      </c>
      <c r="S1439" s="33">
        <f>IF(Q1439="","",IF(P1439="À RENSEIGNER","GIC",P1439)&amp;"-"&amp;TEXT(Q1439,"000"))</f>
        <v/>
      </c>
      <c r="T1439" s="33">
        <f>IF(R1439="","",IFERROR(INDEX(Cl_nom,MATCH(R1439,Cl_cle,0)),"(client introuvable)"))</f>
        <v/>
      </c>
      <c r="U1439" s="33">
        <f>IF(R1439="","",IFERROR(INDEX(Cl_quartier,MATCH(R1439,Cl_cle,0))&amp;"",""))</f>
        <v/>
      </c>
      <c r="V1439" s="34">
        <f>IF(C1439="","",YEAR(C1439-WEEKDAY(C1439,2)+4)&amp;"-S"&amp;TEXT(INT((C1439-DATE(YEAR(C1439-WEEKDAY(C1439,2)+4),1,3)+WEEKDAY(DATE(YEAR(C1439-WEEKDAY(C1439,2)+4),1,3),2)+5)/7),"00"))</f>
        <v/>
      </c>
    </row>
    <row r="1440" ht="18" customHeight="1">
      <c r="A1440" s="39" t="n">
        <v>1435</v>
      </c>
      <c r="B1440" s="33">
        <f>IF(C1440="","",IF(P1440="À RENSEIGNER","GIC",P1440)&amp;"-V"&amp;TEXT(A1440,"00000"))</f>
        <v/>
      </c>
      <c r="C1440" s="32" t="n"/>
      <c r="D1440" s="35" t="n"/>
      <c r="E1440" s="36" t="n"/>
      <c r="F1440" s="36" t="n"/>
      <c r="G1440" s="36" t="n"/>
      <c r="H1440" s="36" t="n"/>
      <c r="I1440" s="36" t="n"/>
      <c r="J1440" s="37" t="n"/>
      <c r="K1440" s="32" t="n"/>
      <c r="L1440" s="36" t="n"/>
      <c r="M1440" s="41" t="n"/>
      <c r="N1440" s="41" t="n"/>
      <c r="O1440" s="36" t="n"/>
      <c r="P1440" s="33">
        <f>IF(C1440="","",Commercial_Id)</f>
        <v/>
      </c>
      <c r="Q1440" s="39">
        <f>IF(F1440="","",IFERROR(VALUE(MID(F1440,LEN(F1440)-3,3)),""))</f>
        <v/>
      </c>
      <c r="R1440" s="33">
        <f>IF(Q1440="","",P1440&amp;"|"&amp;Q1440)</f>
        <v/>
      </c>
      <c r="S1440" s="33">
        <f>IF(Q1440="","",IF(P1440="À RENSEIGNER","GIC",P1440)&amp;"-"&amp;TEXT(Q1440,"000"))</f>
        <v/>
      </c>
      <c r="T1440" s="33">
        <f>IF(R1440="","",IFERROR(INDEX(Cl_nom,MATCH(R1440,Cl_cle,0)),"(client introuvable)"))</f>
        <v/>
      </c>
      <c r="U1440" s="33">
        <f>IF(R1440="","",IFERROR(INDEX(Cl_quartier,MATCH(R1440,Cl_cle,0))&amp;"",""))</f>
        <v/>
      </c>
      <c r="V1440" s="34">
        <f>IF(C1440="","",YEAR(C1440-WEEKDAY(C1440,2)+4)&amp;"-S"&amp;TEXT(INT((C1440-DATE(YEAR(C1440-WEEKDAY(C1440,2)+4),1,3)+WEEKDAY(DATE(YEAR(C1440-WEEKDAY(C1440,2)+4),1,3),2)+5)/7),"00"))</f>
        <v/>
      </c>
    </row>
    <row r="1441" ht="18" customHeight="1">
      <c r="A1441" s="39" t="n">
        <v>1436</v>
      </c>
      <c r="B1441" s="33">
        <f>IF(C1441="","",IF(P1441="À RENSEIGNER","GIC",P1441)&amp;"-V"&amp;TEXT(A1441,"00000"))</f>
        <v/>
      </c>
      <c r="C1441" s="32" t="n"/>
      <c r="D1441" s="35" t="n"/>
      <c r="E1441" s="36" t="n"/>
      <c r="F1441" s="36" t="n"/>
      <c r="G1441" s="36" t="n"/>
      <c r="H1441" s="36" t="n"/>
      <c r="I1441" s="36" t="n"/>
      <c r="J1441" s="37" t="n"/>
      <c r="K1441" s="32" t="n"/>
      <c r="L1441" s="36" t="n"/>
      <c r="M1441" s="41" t="n"/>
      <c r="N1441" s="41" t="n"/>
      <c r="O1441" s="36" t="n"/>
      <c r="P1441" s="33">
        <f>IF(C1441="","",Commercial_Id)</f>
        <v/>
      </c>
      <c r="Q1441" s="39">
        <f>IF(F1441="","",IFERROR(VALUE(MID(F1441,LEN(F1441)-3,3)),""))</f>
        <v/>
      </c>
      <c r="R1441" s="33">
        <f>IF(Q1441="","",P1441&amp;"|"&amp;Q1441)</f>
        <v/>
      </c>
      <c r="S1441" s="33">
        <f>IF(Q1441="","",IF(P1441="À RENSEIGNER","GIC",P1441)&amp;"-"&amp;TEXT(Q1441,"000"))</f>
        <v/>
      </c>
      <c r="T1441" s="33">
        <f>IF(R1441="","",IFERROR(INDEX(Cl_nom,MATCH(R1441,Cl_cle,0)),"(client introuvable)"))</f>
        <v/>
      </c>
      <c r="U1441" s="33">
        <f>IF(R1441="","",IFERROR(INDEX(Cl_quartier,MATCH(R1441,Cl_cle,0))&amp;"",""))</f>
        <v/>
      </c>
      <c r="V1441" s="34">
        <f>IF(C1441="","",YEAR(C1441-WEEKDAY(C1441,2)+4)&amp;"-S"&amp;TEXT(INT((C1441-DATE(YEAR(C1441-WEEKDAY(C1441,2)+4),1,3)+WEEKDAY(DATE(YEAR(C1441-WEEKDAY(C1441,2)+4),1,3),2)+5)/7),"00"))</f>
        <v/>
      </c>
    </row>
    <row r="1442" ht="18" customHeight="1">
      <c r="A1442" s="39" t="n">
        <v>1437</v>
      </c>
      <c r="B1442" s="33">
        <f>IF(C1442="","",IF(P1442="À RENSEIGNER","GIC",P1442)&amp;"-V"&amp;TEXT(A1442,"00000"))</f>
        <v/>
      </c>
      <c r="C1442" s="32" t="n"/>
      <c r="D1442" s="35" t="n"/>
      <c r="E1442" s="36" t="n"/>
      <c r="F1442" s="36" t="n"/>
      <c r="G1442" s="36" t="n"/>
      <c r="H1442" s="36" t="n"/>
      <c r="I1442" s="36" t="n"/>
      <c r="J1442" s="37" t="n"/>
      <c r="K1442" s="32" t="n"/>
      <c r="L1442" s="36" t="n"/>
      <c r="M1442" s="41" t="n"/>
      <c r="N1442" s="41" t="n"/>
      <c r="O1442" s="36" t="n"/>
      <c r="P1442" s="33">
        <f>IF(C1442="","",Commercial_Id)</f>
        <v/>
      </c>
      <c r="Q1442" s="39">
        <f>IF(F1442="","",IFERROR(VALUE(MID(F1442,LEN(F1442)-3,3)),""))</f>
        <v/>
      </c>
      <c r="R1442" s="33">
        <f>IF(Q1442="","",P1442&amp;"|"&amp;Q1442)</f>
        <v/>
      </c>
      <c r="S1442" s="33">
        <f>IF(Q1442="","",IF(P1442="À RENSEIGNER","GIC",P1442)&amp;"-"&amp;TEXT(Q1442,"000"))</f>
        <v/>
      </c>
      <c r="T1442" s="33">
        <f>IF(R1442="","",IFERROR(INDEX(Cl_nom,MATCH(R1442,Cl_cle,0)),"(client introuvable)"))</f>
        <v/>
      </c>
      <c r="U1442" s="33">
        <f>IF(R1442="","",IFERROR(INDEX(Cl_quartier,MATCH(R1442,Cl_cle,0))&amp;"",""))</f>
        <v/>
      </c>
      <c r="V1442" s="34">
        <f>IF(C1442="","",YEAR(C1442-WEEKDAY(C1442,2)+4)&amp;"-S"&amp;TEXT(INT((C1442-DATE(YEAR(C1442-WEEKDAY(C1442,2)+4),1,3)+WEEKDAY(DATE(YEAR(C1442-WEEKDAY(C1442,2)+4),1,3),2)+5)/7),"00"))</f>
        <v/>
      </c>
    </row>
    <row r="1443" ht="18" customHeight="1">
      <c r="A1443" s="39" t="n">
        <v>1438</v>
      </c>
      <c r="B1443" s="33">
        <f>IF(C1443="","",IF(P1443="À RENSEIGNER","GIC",P1443)&amp;"-V"&amp;TEXT(A1443,"00000"))</f>
        <v/>
      </c>
      <c r="C1443" s="32" t="n"/>
      <c r="D1443" s="35" t="n"/>
      <c r="E1443" s="36" t="n"/>
      <c r="F1443" s="36" t="n"/>
      <c r="G1443" s="36" t="n"/>
      <c r="H1443" s="36" t="n"/>
      <c r="I1443" s="36" t="n"/>
      <c r="J1443" s="37" t="n"/>
      <c r="K1443" s="32" t="n"/>
      <c r="L1443" s="36" t="n"/>
      <c r="M1443" s="41" t="n"/>
      <c r="N1443" s="41" t="n"/>
      <c r="O1443" s="36" t="n"/>
      <c r="P1443" s="33">
        <f>IF(C1443="","",Commercial_Id)</f>
        <v/>
      </c>
      <c r="Q1443" s="39">
        <f>IF(F1443="","",IFERROR(VALUE(MID(F1443,LEN(F1443)-3,3)),""))</f>
        <v/>
      </c>
      <c r="R1443" s="33">
        <f>IF(Q1443="","",P1443&amp;"|"&amp;Q1443)</f>
        <v/>
      </c>
      <c r="S1443" s="33">
        <f>IF(Q1443="","",IF(P1443="À RENSEIGNER","GIC",P1443)&amp;"-"&amp;TEXT(Q1443,"000"))</f>
        <v/>
      </c>
      <c r="T1443" s="33">
        <f>IF(R1443="","",IFERROR(INDEX(Cl_nom,MATCH(R1443,Cl_cle,0)),"(client introuvable)"))</f>
        <v/>
      </c>
      <c r="U1443" s="33">
        <f>IF(R1443="","",IFERROR(INDEX(Cl_quartier,MATCH(R1443,Cl_cle,0))&amp;"",""))</f>
        <v/>
      </c>
      <c r="V1443" s="34">
        <f>IF(C1443="","",YEAR(C1443-WEEKDAY(C1443,2)+4)&amp;"-S"&amp;TEXT(INT((C1443-DATE(YEAR(C1443-WEEKDAY(C1443,2)+4),1,3)+WEEKDAY(DATE(YEAR(C1443-WEEKDAY(C1443,2)+4),1,3),2)+5)/7),"00"))</f>
        <v/>
      </c>
    </row>
    <row r="1444" ht="18" customHeight="1">
      <c r="A1444" s="39" t="n">
        <v>1439</v>
      </c>
      <c r="B1444" s="33">
        <f>IF(C1444="","",IF(P1444="À RENSEIGNER","GIC",P1444)&amp;"-V"&amp;TEXT(A1444,"00000"))</f>
        <v/>
      </c>
      <c r="C1444" s="32" t="n"/>
      <c r="D1444" s="35" t="n"/>
      <c r="E1444" s="36" t="n"/>
      <c r="F1444" s="36" t="n"/>
      <c r="G1444" s="36" t="n"/>
      <c r="H1444" s="36" t="n"/>
      <c r="I1444" s="36" t="n"/>
      <c r="J1444" s="37" t="n"/>
      <c r="K1444" s="32" t="n"/>
      <c r="L1444" s="36" t="n"/>
      <c r="M1444" s="41" t="n"/>
      <c r="N1444" s="41" t="n"/>
      <c r="O1444" s="36" t="n"/>
      <c r="P1444" s="33">
        <f>IF(C1444="","",Commercial_Id)</f>
        <v/>
      </c>
      <c r="Q1444" s="39">
        <f>IF(F1444="","",IFERROR(VALUE(MID(F1444,LEN(F1444)-3,3)),""))</f>
        <v/>
      </c>
      <c r="R1444" s="33">
        <f>IF(Q1444="","",P1444&amp;"|"&amp;Q1444)</f>
        <v/>
      </c>
      <c r="S1444" s="33">
        <f>IF(Q1444="","",IF(P1444="À RENSEIGNER","GIC",P1444)&amp;"-"&amp;TEXT(Q1444,"000"))</f>
        <v/>
      </c>
      <c r="T1444" s="33">
        <f>IF(R1444="","",IFERROR(INDEX(Cl_nom,MATCH(R1444,Cl_cle,0)),"(client introuvable)"))</f>
        <v/>
      </c>
      <c r="U1444" s="33">
        <f>IF(R1444="","",IFERROR(INDEX(Cl_quartier,MATCH(R1444,Cl_cle,0))&amp;"",""))</f>
        <v/>
      </c>
      <c r="V1444" s="34">
        <f>IF(C1444="","",YEAR(C1444-WEEKDAY(C1444,2)+4)&amp;"-S"&amp;TEXT(INT((C1444-DATE(YEAR(C1444-WEEKDAY(C1444,2)+4),1,3)+WEEKDAY(DATE(YEAR(C1444-WEEKDAY(C1444,2)+4),1,3),2)+5)/7),"00"))</f>
        <v/>
      </c>
    </row>
    <row r="1445" ht="18" customHeight="1">
      <c r="A1445" s="39" t="n">
        <v>1440</v>
      </c>
      <c r="B1445" s="33">
        <f>IF(C1445="","",IF(P1445="À RENSEIGNER","GIC",P1445)&amp;"-V"&amp;TEXT(A1445,"00000"))</f>
        <v/>
      </c>
      <c r="C1445" s="32" t="n"/>
      <c r="D1445" s="35" t="n"/>
      <c r="E1445" s="36" t="n"/>
      <c r="F1445" s="36" t="n"/>
      <c r="G1445" s="36" t="n"/>
      <c r="H1445" s="36" t="n"/>
      <c r="I1445" s="36" t="n"/>
      <c r="J1445" s="37" t="n"/>
      <c r="K1445" s="32" t="n"/>
      <c r="L1445" s="36" t="n"/>
      <c r="M1445" s="41" t="n"/>
      <c r="N1445" s="41" t="n"/>
      <c r="O1445" s="36" t="n"/>
      <c r="P1445" s="33">
        <f>IF(C1445="","",Commercial_Id)</f>
        <v/>
      </c>
      <c r="Q1445" s="39">
        <f>IF(F1445="","",IFERROR(VALUE(MID(F1445,LEN(F1445)-3,3)),""))</f>
        <v/>
      </c>
      <c r="R1445" s="33">
        <f>IF(Q1445="","",P1445&amp;"|"&amp;Q1445)</f>
        <v/>
      </c>
      <c r="S1445" s="33">
        <f>IF(Q1445="","",IF(P1445="À RENSEIGNER","GIC",P1445)&amp;"-"&amp;TEXT(Q1445,"000"))</f>
        <v/>
      </c>
      <c r="T1445" s="33">
        <f>IF(R1445="","",IFERROR(INDEX(Cl_nom,MATCH(R1445,Cl_cle,0)),"(client introuvable)"))</f>
        <v/>
      </c>
      <c r="U1445" s="33">
        <f>IF(R1445="","",IFERROR(INDEX(Cl_quartier,MATCH(R1445,Cl_cle,0))&amp;"",""))</f>
        <v/>
      </c>
      <c r="V1445" s="34">
        <f>IF(C1445="","",YEAR(C1445-WEEKDAY(C1445,2)+4)&amp;"-S"&amp;TEXT(INT((C1445-DATE(YEAR(C1445-WEEKDAY(C1445,2)+4),1,3)+WEEKDAY(DATE(YEAR(C1445-WEEKDAY(C1445,2)+4),1,3),2)+5)/7),"00"))</f>
        <v/>
      </c>
    </row>
    <row r="1446" ht="18" customHeight="1">
      <c r="A1446" s="39" t="n">
        <v>1441</v>
      </c>
      <c r="B1446" s="33">
        <f>IF(C1446="","",IF(P1446="À RENSEIGNER","GIC",P1446)&amp;"-V"&amp;TEXT(A1446,"00000"))</f>
        <v/>
      </c>
      <c r="C1446" s="32" t="n"/>
      <c r="D1446" s="35" t="n"/>
      <c r="E1446" s="36" t="n"/>
      <c r="F1446" s="36" t="n"/>
      <c r="G1446" s="36" t="n"/>
      <c r="H1446" s="36" t="n"/>
      <c r="I1446" s="36" t="n"/>
      <c r="J1446" s="37" t="n"/>
      <c r="K1446" s="32" t="n"/>
      <c r="L1446" s="36" t="n"/>
      <c r="M1446" s="41" t="n"/>
      <c r="N1446" s="41" t="n"/>
      <c r="O1446" s="36" t="n"/>
      <c r="P1446" s="33">
        <f>IF(C1446="","",Commercial_Id)</f>
        <v/>
      </c>
      <c r="Q1446" s="39">
        <f>IF(F1446="","",IFERROR(VALUE(MID(F1446,LEN(F1446)-3,3)),""))</f>
        <v/>
      </c>
      <c r="R1446" s="33">
        <f>IF(Q1446="","",P1446&amp;"|"&amp;Q1446)</f>
        <v/>
      </c>
      <c r="S1446" s="33">
        <f>IF(Q1446="","",IF(P1446="À RENSEIGNER","GIC",P1446)&amp;"-"&amp;TEXT(Q1446,"000"))</f>
        <v/>
      </c>
      <c r="T1446" s="33">
        <f>IF(R1446="","",IFERROR(INDEX(Cl_nom,MATCH(R1446,Cl_cle,0)),"(client introuvable)"))</f>
        <v/>
      </c>
      <c r="U1446" s="33">
        <f>IF(R1446="","",IFERROR(INDEX(Cl_quartier,MATCH(R1446,Cl_cle,0))&amp;"",""))</f>
        <v/>
      </c>
      <c r="V1446" s="34">
        <f>IF(C1446="","",YEAR(C1446-WEEKDAY(C1446,2)+4)&amp;"-S"&amp;TEXT(INT((C1446-DATE(YEAR(C1446-WEEKDAY(C1446,2)+4),1,3)+WEEKDAY(DATE(YEAR(C1446-WEEKDAY(C1446,2)+4),1,3),2)+5)/7),"00"))</f>
        <v/>
      </c>
    </row>
    <row r="1447" ht="18" customHeight="1">
      <c r="A1447" s="39" t="n">
        <v>1442</v>
      </c>
      <c r="B1447" s="33">
        <f>IF(C1447="","",IF(P1447="À RENSEIGNER","GIC",P1447)&amp;"-V"&amp;TEXT(A1447,"00000"))</f>
        <v/>
      </c>
      <c r="C1447" s="32" t="n"/>
      <c r="D1447" s="35" t="n"/>
      <c r="E1447" s="36" t="n"/>
      <c r="F1447" s="36" t="n"/>
      <c r="G1447" s="36" t="n"/>
      <c r="H1447" s="36" t="n"/>
      <c r="I1447" s="36" t="n"/>
      <c r="J1447" s="37" t="n"/>
      <c r="K1447" s="32" t="n"/>
      <c r="L1447" s="36" t="n"/>
      <c r="M1447" s="41" t="n"/>
      <c r="N1447" s="41" t="n"/>
      <c r="O1447" s="36" t="n"/>
      <c r="P1447" s="33">
        <f>IF(C1447="","",Commercial_Id)</f>
        <v/>
      </c>
      <c r="Q1447" s="39">
        <f>IF(F1447="","",IFERROR(VALUE(MID(F1447,LEN(F1447)-3,3)),""))</f>
        <v/>
      </c>
      <c r="R1447" s="33">
        <f>IF(Q1447="","",P1447&amp;"|"&amp;Q1447)</f>
        <v/>
      </c>
      <c r="S1447" s="33">
        <f>IF(Q1447="","",IF(P1447="À RENSEIGNER","GIC",P1447)&amp;"-"&amp;TEXT(Q1447,"000"))</f>
        <v/>
      </c>
      <c r="T1447" s="33">
        <f>IF(R1447="","",IFERROR(INDEX(Cl_nom,MATCH(R1447,Cl_cle,0)),"(client introuvable)"))</f>
        <v/>
      </c>
      <c r="U1447" s="33">
        <f>IF(R1447="","",IFERROR(INDEX(Cl_quartier,MATCH(R1447,Cl_cle,0))&amp;"",""))</f>
        <v/>
      </c>
      <c r="V1447" s="34">
        <f>IF(C1447="","",YEAR(C1447-WEEKDAY(C1447,2)+4)&amp;"-S"&amp;TEXT(INT((C1447-DATE(YEAR(C1447-WEEKDAY(C1447,2)+4),1,3)+WEEKDAY(DATE(YEAR(C1447-WEEKDAY(C1447,2)+4),1,3),2)+5)/7),"00"))</f>
        <v/>
      </c>
    </row>
    <row r="1448" ht="18" customHeight="1">
      <c r="A1448" s="39" t="n">
        <v>1443</v>
      </c>
      <c r="B1448" s="33">
        <f>IF(C1448="","",IF(P1448="À RENSEIGNER","GIC",P1448)&amp;"-V"&amp;TEXT(A1448,"00000"))</f>
        <v/>
      </c>
      <c r="C1448" s="32" t="n"/>
      <c r="D1448" s="35" t="n"/>
      <c r="E1448" s="36" t="n"/>
      <c r="F1448" s="36" t="n"/>
      <c r="G1448" s="36" t="n"/>
      <c r="H1448" s="36" t="n"/>
      <c r="I1448" s="36" t="n"/>
      <c r="J1448" s="37" t="n"/>
      <c r="K1448" s="32" t="n"/>
      <c r="L1448" s="36" t="n"/>
      <c r="M1448" s="41" t="n"/>
      <c r="N1448" s="41" t="n"/>
      <c r="O1448" s="36" t="n"/>
      <c r="P1448" s="33">
        <f>IF(C1448="","",Commercial_Id)</f>
        <v/>
      </c>
      <c r="Q1448" s="39">
        <f>IF(F1448="","",IFERROR(VALUE(MID(F1448,LEN(F1448)-3,3)),""))</f>
        <v/>
      </c>
      <c r="R1448" s="33">
        <f>IF(Q1448="","",P1448&amp;"|"&amp;Q1448)</f>
        <v/>
      </c>
      <c r="S1448" s="33">
        <f>IF(Q1448="","",IF(P1448="À RENSEIGNER","GIC",P1448)&amp;"-"&amp;TEXT(Q1448,"000"))</f>
        <v/>
      </c>
      <c r="T1448" s="33">
        <f>IF(R1448="","",IFERROR(INDEX(Cl_nom,MATCH(R1448,Cl_cle,0)),"(client introuvable)"))</f>
        <v/>
      </c>
      <c r="U1448" s="33">
        <f>IF(R1448="","",IFERROR(INDEX(Cl_quartier,MATCH(R1448,Cl_cle,0))&amp;"",""))</f>
        <v/>
      </c>
      <c r="V1448" s="34">
        <f>IF(C1448="","",YEAR(C1448-WEEKDAY(C1448,2)+4)&amp;"-S"&amp;TEXT(INT((C1448-DATE(YEAR(C1448-WEEKDAY(C1448,2)+4),1,3)+WEEKDAY(DATE(YEAR(C1448-WEEKDAY(C1448,2)+4),1,3),2)+5)/7),"00"))</f>
        <v/>
      </c>
    </row>
    <row r="1449" ht="18" customHeight="1">
      <c r="A1449" s="39" t="n">
        <v>1444</v>
      </c>
      <c r="B1449" s="33">
        <f>IF(C1449="","",IF(P1449="À RENSEIGNER","GIC",P1449)&amp;"-V"&amp;TEXT(A1449,"00000"))</f>
        <v/>
      </c>
      <c r="C1449" s="32" t="n"/>
      <c r="D1449" s="35" t="n"/>
      <c r="E1449" s="36" t="n"/>
      <c r="F1449" s="36" t="n"/>
      <c r="G1449" s="36" t="n"/>
      <c r="H1449" s="36" t="n"/>
      <c r="I1449" s="36" t="n"/>
      <c r="J1449" s="37" t="n"/>
      <c r="K1449" s="32" t="n"/>
      <c r="L1449" s="36" t="n"/>
      <c r="M1449" s="41" t="n"/>
      <c r="N1449" s="41" t="n"/>
      <c r="O1449" s="36" t="n"/>
      <c r="P1449" s="33">
        <f>IF(C1449="","",Commercial_Id)</f>
        <v/>
      </c>
      <c r="Q1449" s="39">
        <f>IF(F1449="","",IFERROR(VALUE(MID(F1449,LEN(F1449)-3,3)),""))</f>
        <v/>
      </c>
      <c r="R1449" s="33">
        <f>IF(Q1449="","",P1449&amp;"|"&amp;Q1449)</f>
        <v/>
      </c>
      <c r="S1449" s="33">
        <f>IF(Q1449="","",IF(P1449="À RENSEIGNER","GIC",P1449)&amp;"-"&amp;TEXT(Q1449,"000"))</f>
        <v/>
      </c>
      <c r="T1449" s="33">
        <f>IF(R1449="","",IFERROR(INDEX(Cl_nom,MATCH(R1449,Cl_cle,0)),"(client introuvable)"))</f>
        <v/>
      </c>
      <c r="U1449" s="33">
        <f>IF(R1449="","",IFERROR(INDEX(Cl_quartier,MATCH(R1449,Cl_cle,0))&amp;"",""))</f>
        <v/>
      </c>
      <c r="V1449" s="34">
        <f>IF(C1449="","",YEAR(C1449-WEEKDAY(C1449,2)+4)&amp;"-S"&amp;TEXT(INT((C1449-DATE(YEAR(C1449-WEEKDAY(C1449,2)+4),1,3)+WEEKDAY(DATE(YEAR(C1449-WEEKDAY(C1449,2)+4),1,3),2)+5)/7),"00"))</f>
        <v/>
      </c>
    </row>
    <row r="1450" ht="18" customHeight="1">
      <c r="A1450" s="39" t="n">
        <v>1445</v>
      </c>
      <c r="B1450" s="33">
        <f>IF(C1450="","",IF(P1450="À RENSEIGNER","GIC",P1450)&amp;"-V"&amp;TEXT(A1450,"00000"))</f>
        <v/>
      </c>
      <c r="C1450" s="32" t="n"/>
      <c r="D1450" s="35" t="n"/>
      <c r="E1450" s="36" t="n"/>
      <c r="F1450" s="36" t="n"/>
      <c r="G1450" s="36" t="n"/>
      <c r="H1450" s="36" t="n"/>
      <c r="I1450" s="36" t="n"/>
      <c r="J1450" s="37" t="n"/>
      <c r="K1450" s="32" t="n"/>
      <c r="L1450" s="36" t="n"/>
      <c r="M1450" s="41" t="n"/>
      <c r="N1450" s="41" t="n"/>
      <c r="O1450" s="36" t="n"/>
      <c r="P1450" s="33">
        <f>IF(C1450="","",Commercial_Id)</f>
        <v/>
      </c>
      <c r="Q1450" s="39">
        <f>IF(F1450="","",IFERROR(VALUE(MID(F1450,LEN(F1450)-3,3)),""))</f>
        <v/>
      </c>
      <c r="R1450" s="33">
        <f>IF(Q1450="","",P1450&amp;"|"&amp;Q1450)</f>
        <v/>
      </c>
      <c r="S1450" s="33">
        <f>IF(Q1450="","",IF(P1450="À RENSEIGNER","GIC",P1450)&amp;"-"&amp;TEXT(Q1450,"000"))</f>
        <v/>
      </c>
      <c r="T1450" s="33">
        <f>IF(R1450="","",IFERROR(INDEX(Cl_nom,MATCH(R1450,Cl_cle,0)),"(client introuvable)"))</f>
        <v/>
      </c>
      <c r="U1450" s="33">
        <f>IF(R1450="","",IFERROR(INDEX(Cl_quartier,MATCH(R1450,Cl_cle,0))&amp;"",""))</f>
        <v/>
      </c>
      <c r="V1450" s="34">
        <f>IF(C1450="","",YEAR(C1450-WEEKDAY(C1450,2)+4)&amp;"-S"&amp;TEXT(INT((C1450-DATE(YEAR(C1450-WEEKDAY(C1450,2)+4),1,3)+WEEKDAY(DATE(YEAR(C1450-WEEKDAY(C1450,2)+4),1,3),2)+5)/7),"00"))</f>
        <v/>
      </c>
    </row>
    <row r="1451" ht="18" customHeight="1">
      <c r="A1451" s="39" t="n">
        <v>1446</v>
      </c>
      <c r="B1451" s="33">
        <f>IF(C1451="","",IF(P1451="À RENSEIGNER","GIC",P1451)&amp;"-V"&amp;TEXT(A1451,"00000"))</f>
        <v/>
      </c>
      <c r="C1451" s="32" t="n"/>
      <c r="D1451" s="35" t="n"/>
      <c r="E1451" s="36" t="n"/>
      <c r="F1451" s="36" t="n"/>
      <c r="G1451" s="36" t="n"/>
      <c r="H1451" s="36" t="n"/>
      <c r="I1451" s="36" t="n"/>
      <c r="J1451" s="37" t="n"/>
      <c r="K1451" s="32" t="n"/>
      <c r="L1451" s="36" t="n"/>
      <c r="M1451" s="41" t="n"/>
      <c r="N1451" s="41" t="n"/>
      <c r="O1451" s="36" t="n"/>
      <c r="P1451" s="33">
        <f>IF(C1451="","",Commercial_Id)</f>
        <v/>
      </c>
      <c r="Q1451" s="39">
        <f>IF(F1451="","",IFERROR(VALUE(MID(F1451,LEN(F1451)-3,3)),""))</f>
        <v/>
      </c>
      <c r="R1451" s="33">
        <f>IF(Q1451="","",P1451&amp;"|"&amp;Q1451)</f>
        <v/>
      </c>
      <c r="S1451" s="33">
        <f>IF(Q1451="","",IF(P1451="À RENSEIGNER","GIC",P1451)&amp;"-"&amp;TEXT(Q1451,"000"))</f>
        <v/>
      </c>
      <c r="T1451" s="33">
        <f>IF(R1451="","",IFERROR(INDEX(Cl_nom,MATCH(R1451,Cl_cle,0)),"(client introuvable)"))</f>
        <v/>
      </c>
      <c r="U1451" s="33">
        <f>IF(R1451="","",IFERROR(INDEX(Cl_quartier,MATCH(R1451,Cl_cle,0))&amp;"",""))</f>
        <v/>
      </c>
      <c r="V1451" s="34">
        <f>IF(C1451="","",YEAR(C1451-WEEKDAY(C1451,2)+4)&amp;"-S"&amp;TEXT(INT((C1451-DATE(YEAR(C1451-WEEKDAY(C1451,2)+4),1,3)+WEEKDAY(DATE(YEAR(C1451-WEEKDAY(C1451,2)+4),1,3),2)+5)/7),"00"))</f>
        <v/>
      </c>
    </row>
    <row r="1452" ht="18" customHeight="1">
      <c r="A1452" s="39" t="n">
        <v>1447</v>
      </c>
      <c r="B1452" s="33">
        <f>IF(C1452="","",IF(P1452="À RENSEIGNER","GIC",P1452)&amp;"-V"&amp;TEXT(A1452,"00000"))</f>
        <v/>
      </c>
      <c r="C1452" s="32" t="n"/>
      <c r="D1452" s="35" t="n"/>
      <c r="E1452" s="36" t="n"/>
      <c r="F1452" s="36" t="n"/>
      <c r="G1452" s="36" t="n"/>
      <c r="H1452" s="36" t="n"/>
      <c r="I1452" s="36" t="n"/>
      <c r="J1452" s="37" t="n"/>
      <c r="K1452" s="32" t="n"/>
      <c r="L1452" s="36" t="n"/>
      <c r="M1452" s="41" t="n"/>
      <c r="N1452" s="41" t="n"/>
      <c r="O1452" s="36" t="n"/>
      <c r="P1452" s="33">
        <f>IF(C1452="","",Commercial_Id)</f>
        <v/>
      </c>
      <c r="Q1452" s="39">
        <f>IF(F1452="","",IFERROR(VALUE(MID(F1452,LEN(F1452)-3,3)),""))</f>
        <v/>
      </c>
      <c r="R1452" s="33">
        <f>IF(Q1452="","",P1452&amp;"|"&amp;Q1452)</f>
        <v/>
      </c>
      <c r="S1452" s="33">
        <f>IF(Q1452="","",IF(P1452="À RENSEIGNER","GIC",P1452)&amp;"-"&amp;TEXT(Q1452,"000"))</f>
        <v/>
      </c>
      <c r="T1452" s="33">
        <f>IF(R1452="","",IFERROR(INDEX(Cl_nom,MATCH(R1452,Cl_cle,0)),"(client introuvable)"))</f>
        <v/>
      </c>
      <c r="U1452" s="33">
        <f>IF(R1452="","",IFERROR(INDEX(Cl_quartier,MATCH(R1452,Cl_cle,0))&amp;"",""))</f>
        <v/>
      </c>
      <c r="V1452" s="34">
        <f>IF(C1452="","",YEAR(C1452-WEEKDAY(C1452,2)+4)&amp;"-S"&amp;TEXT(INT((C1452-DATE(YEAR(C1452-WEEKDAY(C1452,2)+4),1,3)+WEEKDAY(DATE(YEAR(C1452-WEEKDAY(C1452,2)+4),1,3),2)+5)/7),"00"))</f>
        <v/>
      </c>
    </row>
    <row r="1453" ht="18" customHeight="1">
      <c r="A1453" s="39" t="n">
        <v>1448</v>
      </c>
      <c r="B1453" s="33">
        <f>IF(C1453="","",IF(P1453="À RENSEIGNER","GIC",P1453)&amp;"-V"&amp;TEXT(A1453,"00000"))</f>
        <v/>
      </c>
      <c r="C1453" s="32" t="n"/>
      <c r="D1453" s="35" t="n"/>
      <c r="E1453" s="36" t="n"/>
      <c r="F1453" s="36" t="n"/>
      <c r="G1453" s="36" t="n"/>
      <c r="H1453" s="36" t="n"/>
      <c r="I1453" s="36" t="n"/>
      <c r="J1453" s="37" t="n"/>
      <c r="K1453" s="32" t="n"/>
      <c r="L1453" s="36" t="n"/>
      <c r="M1453" s="41" t="n"/>
      <c r="N1453" s="41" t="n"/>
      <c r="O1453" s="36" t="n"/>
      <c r="P1453" s="33">
        <f>IF(C1453="","",Commercial_Id)</f>
        <v/>
      </c>
      <c r="Q1453" s="39">
        <f>IF(F1453="","",IFERROR(VALUE(MID(F1453,LEN(F1453)-3,3)),""))</f>
        <v/>
      </c>
      <c r="R1453" s="33">
        <f>IF(Q1453="","",P1453&amp;"|"&amp;Q1453)</f>
        <v/>
      </c>
      <c r="S1453" s="33">
        <f>IF(Q1453="","",IF(P1453="À RENSEIGNER","GIC",P1453)&amp;"-"&amp;TEXT(Q1453,"000"))</f>
        <v/>
      </c>
      <c r="T1453" s="33">
        <f>IF(R1453="","",IFERROR(INDEX(Cl_nom,MATCH(R1453,Cl_cle,0)),"(client introuvable)"))</f>
        <v/>
      </c>
      <c r="U1453" s="33">
        <f>IF(R1453="","",IFERROR(INDEX(Cl_quartier,MATCH(R1453,Cl_cle,0))&amp;"",""))</f>
        <v/>
      </c>
      <c r="V1453" s="34">
        <f>IF(C1453="","",YEAR(C1453-WEEKDAY(C1453,2)+4)&amp;"-S"&amp;TEXT(INT((C1453-DATE(YEAR(C1453-WEEKDAY(C1453,2)+4),1,3)+WEEKDAY(DATE(YEAR(C1453-WEEKDAY(C1453,2)+4),1,3),2)+5)/7),"00"))</f>
        <v/>
      </c>
    </row>
    <row r="1454" ht="18" customHeight="1">
      <c r="A1454" s="39" t="n">
        <v>1449</v>
      </c>
      <c r="B1454" s="33">
        <f>IF(C1454="","",IF(P1454="À RENSEIGNER","GIC",P1454)&amp;"-V"&amp;TEXT(A1454,"00000"))</f>
        <v/>
      </c>
      <c r="C1454" s="32" t="n"/>
      <c r="D1454" s="35" t="n"/>
      <c r="E1454" s="36" t="n"/>
      <c r="F1454" s="36" t="n"/>
      <c r="G1454" s="36" t="n"/>
      <c r="H1454" s="36" t="n"/>
      <c r="I1454" s="36" t="n"/>
      <c r="J1454" s="37" t="n"/>
      <c r="K1454" s="32" t="n"/>
      <c r="L1454" s="36" t="n"/>
      <c r="M1454" s="41" t="n"/>
      <c r="N1454" s="41" t="n"/>
      <c r="O1454" s="36" t="n"/>
      <c r="P1454" s="33">
        <f>IF(C1454="","",Commercial_Id)</f>
        <v/>
      </c>
      <c r="Q1454" s="39">
        <f>IF(F1454="","",IFERROR(VALUE(MID(F1454,LEN(F1454)-3,3)),""))</f>
        <v/>
      </c>
      <c r="R1454" s="33">
        <f>IF(Q1454="","",P1454&amp;"|"&amp;Q1454)</f>
        <v/>
      </c>
      <c r="S1454" s="33">
        <f>IF(Q1454="","",IF(P1454="À RENSEIGNER","GIC",P1454)&amp;"-"&amp;TEXT(Q1454,"000"))</f>
        <v/>
      </c>
      <c r="T1454" s="33">
        <f>IF(R1454="","",IFERROR(INDEX(Cl_nom,MATCH(R1454,Cl_cle,0)),"(client introuvable)"))</f>
        <v/>
      </c>
      <c r="U1454" s="33">
        <f>IF(R1454="","",IFERROR(INDEX(Cl_quartier,MATCH(R1454,Cl_cle,0))&amp;"",""))</f>
        <v/>
      </c>
      <c r="V1454" s="34">
        <f>IF(C1454="","",YEAR(C1454-WEEKDAY(C1454,2)+4)&amp;"-S"&amp;TEXT(INT((C1454-DATE(YEAR(C1454-WEEKDAY(C1454,2)+4),1,3)+WEEKDAY(DATE(YEAR(C1454-WEEKDAY(C1454,2)+4),1,3),2)+5)/7),"00"))</f>
        <v/>
      </c>
    </row>
    <row r="1455" ht="18" customHeight="1">
      <c r="A1455" s="39" t="n">
        <v>1450</v>
      </c>
      <c r="B1455" s="33">
        <f>IF(C1455="","",IF(P1455="À RENSEIGNER","GIC",P1455)&amp;"-V"&amp;TEXT(A1455,"00000"))</f>
        <v/>
      </c>
      <c r="C1455" s="32" t="n"/>
      <c r="D1455" s="35" t="n"/>
      <c r="E1455" s="36" t="n"/>
      <c r="F1455" s="36" t="n"/>
      <c r="G1455" s="36" t="n"/>
      <c r="H1455" s="36" t="n"/>
      <c r="I1455" s="36" t="n"/>
      <c r="J1455" s="37" t="n"/>
      <c r="K1455" s="32" t="n"/>
      <c r="L1455" s="36" t="n"/>
      <c r="M1455" s="41" t="n"/>
      <c r="N1455" s="41" t="n"/>
      <c r="O1455" s="36" t="n"/>
      <c r="P1455" s="33">
        <f>IF(C1455="","",Commercial_Id)</f>
        <v/>
      </c>
      <c r="Q1455" s="39">
        <f>IF(F1455="","",IFERROR(VALUE(MID(F1455,LEN(F1455)-3,3)),""))</f>
        <v/>
      </c>
      <c r="R1455" s="33">
        <f>IF(Q1455="","",P1455&amp;"|"&amp;Q1455)</f>
        <v/>
      </c>
      <c r="S1455" s="33">
        <f>IF(Q1455="","",IF(P1455="À RENSEIGNER","GIC",P1455)&amp;"-"&amp;TEXT(Q1455,"000"))</f>
        <v/>
      </c>
      <c r="T1455" s="33">
        <f>IF(R1455="","",IFERROR(INDEX(Cl_nom,MATCH(R1455,Cl_cle,0)),"(client introuvable)"))</f>
        <v/>
      </c>
      <c r="U1455" s="33">
        <f>IF(R1455="","",IFERROR(INDEX(Cl_quartier,MATCH(R1455,Cl_cle,0))&amp;"",""))</f>
        <v/>
      </c>
      <c r="V1455" s="34">
        <f>IF(C1455="","",YEAR(C1455-WEEKDAY(C1455,2)+4)&amp;"-S"&amp;TEXT(INT((C1455-DATE(YEAR(C1455-WEEKDAY(C1455,2)+4),1,3)+WEEKDAY(DATE(YEAR(C1455-WEEKDAY(C1455,2)+4),1,3),2)+5)/7),"00"))</f>
        <v/>
      </c>
    </row>
    <row r="1456" ht="18" customHeight="1">
      <c r="A1456" s="39" t="n">
        <v>1451</v>
      </c>
      <c r="B1456" s="33">
        <f>IF(C1456="","",IF(P1456="À RENSEIGNER","GIC",P1456)&amp;"-V"&amp;TEXT(A1456,"00000"))</f>
        <v/>
      </c>
      <c r="C1456" s="32" t="n"/>
      <c r="D1456" s="35" t="n"/>
      <c r="E1456" s="36" t="n"/>
      <c r="F1456" s="36" t="n"/>
      <c r="G1456" s="36" t="n"/>
      <c r="H1456" s="36" t="n"/>
      <c r="I1456" s="36" t="n"/>
      <c r="J1456" s="37" t="n"/>
      <c r="K1456" s="32" t="n"/>
      <c r="L1456" s="36" t="n"/>
      <c r="M1456" s="41" t="n"/>
      <c r="N1456" s="41" t="n"/>
      <c r="O1456" s="36" t="n"/>
      <c r="P1456" s="33">
        <f>IF(C1456="","",Commercial_Id)</f>
        <v/>
      </c>
      <c r="Q1456" s="39">
        <f>IF(F1456="","",IFERROR(VALUE(MID(F1456,LEN(F1456)-3,3)),""))</f>
        <v/>
      </c>
      <c r="R1456" s="33">
        <f>IF(Q1456="","",P1456&amp;"|"&amp;Q1456)</f>
        <v/>
      </c>
      <c r="S1456" s="33">
        <f>IF(Q1456="","",IF(P1456="À RENSEIGNER","GIC",P1456)&amp;"-"&amp;TEXT(Q1456,"000"))</f>
        <v/>
      </c>
      <c r="T1456" s="33">
        <f>IF(R1456="","",IFERROR(INDEX(Cl_nom,MATCH(R1456,Cl_cle,0)),"(client introuvable)"))</f>
        <v/>
      </c>
      <c r="U1456" s="33">
        <f>IF(R1456="","",IFERROR(INDEX(Cl_quartier,MATCH(R1456,Cl_cle,0))&amp;"",""))</f>
        <v/>
      </c>
      <c r="V1456" s="34">
        <f>IF(C1456="","",YEAR(C1456-WEEKDAY(C1456,2)+4)&amp;"-S"&amp;TEXT(INT((C1456-DATE(YEAR(C1456-WEEKDAY(C1456,2)+4),1,3)+WEEKDAY(DATE(YEAR(C1456-WEEKDAY(C1456,2)+4),1,3),2)+5)/7),"00"))</f>
        <v/>
      </c>
    </row>
    <row r="1457" ht="18" customHeight="1">
      <c r="A1457" s="39" t="n">
        <v>1452</v>
      </c>
      <c r="B1457" s="33">
        <f>IF(C1457="","",IF(P1457="À RENSEIGNER","GIC",P1457)&amp;"-V"&amp;TEXT(A1457,"00000"))</f>
        <v/>
      </c>
      <c r="C1457" s="32" t="n"/>
      <c r="D1457" s="35" t="n"/>
      <c r="E1457" s="36" t="n"/>
      <c r="F1457" s="36" t="n"/>
      <c r="G1457" s="36" t="n"/>
      <c r="H1457" s="36" t="n"/>
      <c r="I1457" s="36" t="n"/>
      <c r="J1457" s="37" t="n"/>
      <c r="K1457" s="32" t="n"/>
      <c r="L1457" s="36" t="n"/>
      <c r="M1457" s="41" t="n"/>
      <c r="N1457" s="41" t="n"/>
      <c r="O1457" s="36" t="n"/>
      <c r="P1457" s="33">
        <f>IF(C1457="","",Commercial_Id)</f>
        <v/>
      </c>
      <c r="Q1457" s="39">
        <f>IF(F1457="","",IFERROR(VALUE(MID(F1457,LEN(F1457)-3,3)),""))</f>
        <v/>
      </c>
      <c r="R1457" s="33">
        <f>IF(Q1457="","",P1457&amp;"|"&amp;Q1457)</f>
        <v/>
      </c>
      <c r="S1457" s="33">
        <f>IF(Q1457="","",IF(P1457="À RENSEIGNER","GIC",P1457)&amp;"-"&amp;TEXT(Q1457,"000"))</f>
        <v/>
      </c>
      <c r="T1457" s="33">
        <f>IF(R1457="","",IFERROR(INDEX(Cl_nom,MATCH(R1457,Cl_cle,0)),"(client introuvable)"))</f>
        <v/>
      </c>
      <c r="U1457" s="33">
        <f>IF(R1457="","",IFERROR(INDEX(Cl_quartier,MATCH(R1457,Cl_cle,0))&amp;"",""))</f>
        <v/>
      </c>
      <c r="V1457" s="34">
        <f>IF(C1457="","",YEAR(C1457-WEEKDAY(C1457,2)+4)&amp;"-S"&amp;TEXT(INT((C1457-DATE(YEAR(C1457-WEEKDAY(C1457,2)+4),1,3)+WEEKDAY(DATE(YEAR(C1457-WEEKDAY(C1457,2)+4),1,3),2)+5)/7),"00"))</f>
        <v/>
      </c>
    </row>
    <row r="1458" ht="18" customHeight="1">
      <c r="A1458" s="39" t="n">
        <v>1453</v>
      </c>
      <c r="B1458" s="33">
        <f>IF(C1458="","",IF(P1458="À RENSEIGNER","GIC",P1458)&amp;"-V"&amp;TEXT(A1458,"00000"))</f>
        <v/>
      </c>
      <c r="C1458" s="32" t="n"/>
      <c r="D1458" s="35" t="n"/>
      <c r="E1458" s="36" t="n"/>
      <c r="F1458" s="36" t="n"/>
      <c r="G1458" s="36" t="n"/>
      <c r="H1458" s="36" t="n"/>
      <c r="I1458" s="36" t="n"/>
      <c r="J1458" s="37" t="n"/>
      <c r="K1458" s="32" t="n"/>
      <c r="L1458" s="36" t="n"/>
      <c r="M1458" s="41" t="n"/>
      <c r="N1458" s="41" t="n"/>
      <c r="O1458" s="36" t="n"/>
      <c r="P1458" s="33">
        <f>IF(C1458="","",Commercial_Id)</f>
        <v/>
      </c>
      <c r="Q1458" s="39">
        <f>IF(F1458="","",IFERROR(VALUE(MID(F1458,LEN(F1458)-3,3)),""))</f>
        <v/>
      </c>
      <c r="R1458" s="33">
        <f>IF(Q1458="","",P1458&amp;"|"&amp;Q1458)</f>
        <v/>
      </c>
      <c r="S1458" s="33">
        <f>IF(Q1458="","",IF(P1458="À RENSEIGNER","GIC",P1458)&amp;"-"&amp;TEXT(Q1458,"000"))</f>
        <v/>
      </c>
      <c r="T1458" s="33">
        <f>IF(R1458="","",IFERROR(INDEX(Cl_nom,MATCH(R1458,Cl_cle,0)),"(client introuvable)"))</f>
        <v/>
      </c>
      <c r="U1458" s="33">
        <f>IF(R1458="","",IFERROR(INDEX(Cl_quartier,MATCH(R1458,Cl_cle,0))&amp;"",""))</f>
        <v/>
      </c>
      <c r="V1458" s="34">
        <f>IF(C1458="","",YEAR(C1458-WEEKDAY(C1458,2)+4)&amp;"-S"&amp;TEXT(INT((C1458-DATE(YEAR(C1458-WEEKDAY(C1458,2)+4),1,3)+WEEKDAY(DATE(YEAR(C1458-WEEKDAY(C1458,2)+4),1,3),2)+5)/7),"00"))</f>
        <v/>
      </c>
    </row>
    <row r="1459" ht="18" customHeight="1">
      <c r="A1459" s="39" t="n">
        <v>1454</v>
      </c>
      <c r="B1459" s="33">
        <f>IF(C1459="","",IF(P1459="À RENSEIGNER","GIC",P1459)&amp;"-V"&amp;TEXT(A1459,"00000"))</f>
        <v/>
      </c>
      <c r="C1459" s="32" t="n"/>
      <c r="D1459" s="35" t="n"/>
      <c r="E1459" s="36" t="n"/>
      <c r="F1459" s="36" t="n"/>
      <c r="G1459" s="36" t="n"/>
      <c r="H1459" s="36" t="n"/>
      <c r="I1459" s="36" t="n"/>
      <c r="J1459" s="37" t="n"/>
      <c r="K1459" s="32" t="n"/>
      <c r="L1459" s="36" t="n"/>
      <c r="M1459" s="41" t="n"/>
      <c r="N1459" s="41" t="n"/>
      <c r="O1459" s="36" t="n"/>
      <c r="P1459" s="33">
        <f>IF(C1459="","",Commercial_Id)</f>
        <v/>
      </c>
      <c r="Q1459" s="39">
        <f>IF(F1459="","",IFERROR(VALUE(MID(F1459,LEN(F1459)-3,3)),""))</f>
        <v/>
      </c>
      <c r="R1459" s="33">
        <f>IF(Q1459="","",P1459&amp;"|"&amp;Q1459)</f>
        <v/>
      </c>
      <c r="S1459" s="33">
        <f>IF(Q1459="","",IF(P1459="À RENSEIGNER","GIC",P1459)&amp;"-"&amp;TEXT(Q1459,"000"))</f>
        <v/>
      </c>
      <c r="T1459" s="33">
        <f>IF(R1459="","",IFERROR(INDEX(Cl_nom,MATCH(R1459,Cl_cle,0)),"(client introuvable)"))</f>
        <v/>
      </c>
      <c r="U1459" s="33">
        <f>IF(R1459="","",IFERROR(INDEX(Cl_quartier,MATCH(R1459,Cl_cle,0))&amp;"",""))</f>
        <v/>
      </c>
      <c r="V1459" s="34">
        <f>IF(C1459="","",YEAR(C1459-WEEKDAY(C1459,2)+4)&amp;"-S"&amp;TEXT(INT((C1459-DATE(YEAR(C1459-WEEKDAY(C1459,2)+4),1,3)+WEEKDAY(DATE(YEAR(C1459-WEEKDAY(C1459,2)+4),1,3),2)+5)/7),"00"))</f>
        <v/>
      </c>
    </row>
    <row r="1460" ht="18" customHeight="1">
      <c r="A1460" s="39" t="n">
        <v>1455</v>
      </c>
      <c r="B1460" s="33">
        <f>IF(C1460="","",IF(P1460="À RENSEIGNER","GIC",P1460)&amp;"-V"&amp;TEXT(A1460,"00000"))</f>
        <v/>
      </c>
      <c r="C1460" s="32" t="n"/>
      <c r="D1460" s="35" t="n"/>
      <c r="E1460" s="36" t="n"/>
      <c r="F1460" s="36" t="n"/>
      <c r="G1460" s="36" t="n"/>
      <c r="H1460" s="36" t="n"/>
      <c r="I1460" s="36" t="n"/>
      <c r="J1460" s="37" t="n"/>
      <c r="K1460" s="32" t="n"/>
      <c r="L1460" s="36" t="n"/>
      <c r="M1460" s="41" t="n"/>
      <c r="N1460" s="41" t="n"/>
      <c r="O1460" s="36" t="n"/>
      <c r="P1460" s="33">
        <f>IF(C1460="","",Commercial_Id)</f>
        <v/>
      </c>
      <c r="Q1460" s="39">
        <f>IF(F1460="","",IFERROR(VALUE(MID(F1460,LEN(F1460)-3,3)),""))</f>
        <v/>
      </c>
      <c r="R1460" s="33">
        <f>IF(Q1460="","",P1460&amp;"|"&amp;Q1460)</f>
        <v/>
      </c>
      <c r="S1460" s="33">
        <f>IF(Q1460="","",IF(P1460="À RENSEIGNER","GIC",P1460)&amp;"-"&amp;TEXT(Q1460,"000"))</f>
        <v/>
      </c>
      <c r="T1460" s="33">
        <f>IF(R1460="","",IFERROR(INDEX(Cl_nom,MATCH(R1460,Cl_cle,0)),"(client introuvable)"))</f>
        <v/>
      </c>
      <c r="U1460" s="33">
        <f>IF(R1460="","",IFERROR(INDEX(Cl_quartier,MATCH(R1460,Cl_cle,0))&amp;"",""))</f>
        <v/>
      </c>
      <c r="V1460" s="34">
        <f>IF(C1460="","",YEAR(C1460-WEEKDAY(C1460,2)+4)&amp;"-S"&amp;TEXT(INT((C1460-DATE(YEAR(C1460-WEEKDAY(C1460,2)+4),1,3)+WEEKDAY(DATE(YEAR(C1460-WEEKDAY(C1460,2)+4),1,3),2)+5)/7),"00"))</f>
        <v/>
      </c>
    </row>
    <row r="1461" ht="18" customHeight="1">
      <c r="A1461" s="39" t="n">
        <v>1456</v>
      </c>
      <c r="B1461" s="33">
        <f>IF(C1461="","",IF(P1461="À RENSEIGNER","GIC",P1461)&amp;"-V"&amp;TEXT(A1461,"00000"))</f>
        <v/>
      </c>
      <c r="C1461" s="32" t="n"/>
      <c r="D1461" s="35" t="n"/>
      <c r="E1461" s="36" t="n"/>
      <c r="F1461" s="36" t="n"/>
      <c r="G1461" s="36" t="n"/>
      <c r="H1461" s="36" t="n"/>
      <c r="I1461" s="36" t="n"/>
      <c r="J1461" s="37" t="n"/>
      <c r="K1461" s="32" t="n"/>
      <c r="L1461" s="36" t="n"/>
      <c r="M1461" s="41" t="n"/>
      <c r="N1461" s="41" t="n"/>
      <c r="O1461" s="36" t="n"/>
      <c r="P1461" s="33">
        <f>IF(C1461="","",Commercial_Id)</f>
        <v/>
      </c>
      <c r="Q1461" s="39">
        <f>IF(F1461="","",IFERROR(VALUE(MID(F1461,LEN(F1461)-3,3)),""))</f>
        <v/>
      </c>
      <c r="R1461" s="33">
        <f>IF(Q1461="","",P1461&amp;"|"&amp;Q1461)</f>
        <v/>
      </c>
      <c r="S1461" s="33">
        <f>IF(Q1461="","",IF(P1461="À RENSEIGNER","GIC",P1461)&amp;"-"&amp;TEXT(Q1461,"000"))</f>
        <v/>
      </c>
      <c r="T1461" s="33">
        <f>IF(R1461="","",IFERROR(INDEX(Cl_nom,MATCH(R1461,Cl_cle,0)),"(client introuvable)"))</f>
        <v/>
      </c>
      <c r="U1461" s="33">
        <f>IF(R1461="","",IFERROR(INDEX(Cl_quartier,MATCH(R1461,Cl_cle,0))&amp;"",""))</f>
        <v/>
      </c>
      <c r="V1461" s="34">
        <f>IF(C1461="","",YEAR(C1461-WEEKDAY(C1461,2)+4)&amp;"-S"&amp;TEXT(INT((C1461-DATE(YEAR(C1461-WEEKDAY(C1461,2)+4),1,3)+WEEKDAY(DATE(YEAR(C1461-WEEKDAY(C1461,2)+4),1,3),2)+5)/7),"00"))</f>
        <v/>
      </c>
    </row>
    <row r="1462" ht="18" customHeight="1">
      <c r="A1462" s="39" t="n">
        <v>1457</v>
      </c>
      <c r="B1462" s="33">
        <f>IF(C1462="","",IF(P1462="À RENSEIGNER","GIC",P1462)&amp;"-V"&amp;TEXT(A1462,"00000"))</f>
        <v/>
      </c>
      <c r="C1462" s="32" t="n"/>
      <c r="D1462" s="35" t="n"/>
      <c r="E1462" s="36" t="n"/>
      <c r="F1462" s="36" t="n"/>
      <c r="G1462" s="36" t="n"/>
      <c r="H1462" s="36" t="n"/>
      <c r="I1462" s="36" t="n"/>
      <c r="J1462" s="37" t="n"/>
      <c r="K1462" s="32" t="n"/>
      <c r="L1462" s="36" t="n"/>
      <c r="M1462" s="41" t="n"/>
      <c r="N1462" s="41" t="n"/>
      <c r="O1462" s="36" t="n"/>
      <c r="P1462" s="33">
        <f>IF(C1462="","",Commercial_Id)</f>
        <v/>
      </c>
      <c r="Q1462" s="39">
        <f>IF(F1462="","",IFERROR(VALUE(MID(F1462,LEN(F1462)-3,3)),""))</f>
        <v/>
      </c>
      <c r="R1462" s="33">
        <f>IF(Q1462="","",P1462&amp;"|"&amp;Q1462)</f>
        <v/>
      </c>
      <c r="S1462" s="33">
        <f>IF(Q1462="","",IF(P1462="À RENSEIGNER","GIC",P1462)&amp;"-"&amp;TEXT(Q1462,"000"))</f>
        <v/>
      </c>
      <c r="T1462" s="33">
        <f>IF(R1462="","",IFERROR(INDEX(Cl_nom,MATCH(R1462,Cl_cle,0)),"(client introuvable)"))</f>
        <v/>
      </c>
      <c r="U1462" s="33">
        <f>IF(R1462="","",IFERROR(INDEX(Cl_quartier,MATCH(R1462,Cl_cle,0))&amp;"",""))</f>
        <v/>
      </c>
      <c r="V1462" s="34">
        <f>IF(C1462="","",YEAR(C1462-WEEKDAY(C1462,2)+4)&amp;"-S"&amp;TEXT(INT((C1462-DATE(YEAR(C1462-WEEKDAY(C1462,2)+4),1,3)+WEEKDAY(DATE(YEAR(C1462-WEEKDAY(C1462,2)+4),1,3),2)+5)/7),"00"))</f>
        <v/>
      </c>
    </row>
    <row r="1463" ht="18" customHeight="1">
      <c r="A1463" s="39" t="n">
        <v>1458</v>
      </c>
      <c r="B1463" s="33">
        <f>IF(C1463="","",IF(P1463="À RENSEIGNER","GIC",P1463)&amp;"-V"&amp;TEXT(A1463,"00000"))</f>
        <v/>
      </c>
      <c r="C1463" s="32" t="n"/>
      <c r="D1463" s="35" t="n"/>
      <c r="E1463" s="36" t="n"/>
      <c r="F1463" s="36" t="n"/>
      <c r="G1463" s="36" t="n"/>
      <c r="H1463" s="36" t="n"/>
      <c r="I1463" s="36" t="n"/>
      <c r="J1463" s="37" t="n"/>
      <c r="K1463" s="32" t="n"/>
      <c r="L1463" s="36" t="n"/>
      <c r="M1463" s="41" t="n"/>
      <c r="N1463" s="41" t="n"/>
      <c r="O1463" s="36" t="n"/>
      <c r="P1463" s="33">
        <f>IF(C1463="","",Commercial_Id)</f>
        <v/>
      </c>
      <c r="Q1463" s="39">
        <f>IF(F1463="","",IFERROR(VALUE(MID(F1463,LEN(F1463)-3,3)),""))</f>
        <v/>
      </c>
      <c r="R1463" s="33">
        <f>IF(Q1463="","",P1463&amp;"|"&amp;Q1463)</f>
        <v/>
      </c>
      <c r="S1463" s="33">
        <f>IF(Q1463="","",IF(P1463="À RENSEIGNER","GIC",P1463)&amp;"-"&amp;TEXT(Q1463,"000"))</f>
        <v/>
      </c>
      <c r="T1463" s="33">
        <f>IF(R1463="","",IFERROR(INDEX(Cl_nom,MATCH(R1463,Cl_cle,0)),"(client introuvable)"))</f>
        <v/>
      </c>
      <c r="U1463" s="33">
        <f>IF(R1463="","",IFERROR(INDEX(Cl_quartier,MATCH(R1463,Cl_cle,0))&amp;"",""))</f>
        <v/>
      </c>
      <c r="V1463" s="34">
        <f>IF(C1463="","",YEAR(C1463-WEEKDAY(C1463,2)+4)&amp;"-S"&amp;TEXT(INT((C1463-DATE(YEAR(C1463-WEEKDAY(C1463,2)+4),1,3)+WEEKDAY(DATE(YEAR(C1463-WEEKDAY(C1463,2)+4),1,3),2)+5)/7),"00"))</f>
        <v/>
      </c>
    </row>
    <row r="1464" ht="18" customHeight="1">
      <c r="A1464" s="39" t="n">
        <v>1459</v>
      </c>
      <c r="B1464" s="33">
        <f>IF(C1464="","",IF(P1464="À RENSEIGNER","GIC",P1464)&amp;"-V"&amp;TEXT(A1464,"00000"))</f>
        <v/>
      </c>
      <c r="C1464" s="32" t="n"/>
      <c r="D1464" s="35" t="n"/>
      <c r="E1464" s="36" t="n"/>
      <c r="F1464" s="36" t="n"/>
      <c r="G1464" s="36" t="n"/>
      <c r="H1464" s="36" t="n"/>
      <c r="I1464" s="36" t="n"/>
      <c r="J1464" s="37" t="n"/>
      <c r="K1464" s="32" t="n"/>
      <c r="L1464" s="36" t="n"/>
      <c r="M1464" s="41" t="n"/>
      <c r="N1464" s="41" t="n"/>
      <c r="O1464" s="36" t="n"/>
      <c r="P1464" s="33">
        <f>IF(C1464="","",Commercial_Id)</f>
        <v/>
      </c>
      <c r="Q1464" s="39">
        <f>IF(F1464="","",IFERROR(VALUE(MID(F1464,LEN(F1464)-3,3)),""))</f>
        <v/>
      </c>
      <c r="R1464" s="33">
        <f>IF(Q1464="","",P1464&amp;"|"&amp;Q1464)</f>
        <v/>
      </c>
      <c r="S1464" s="33">
        <f>IF(Q1464="","",IF(P1464="À RENSEIGNER","GIC",P1464)&amp;"-"&amp;TEXT(Q1464,"000"))</f>
        <v/>
      </c>
      <c r="T1464" s="33">
        <f>IF(R1464="","",IFERROR(INDEX(Cl_nom,MATCH(R1464,Cl_cle,0)),"(client introuvable)"))</f>
        <v/>
      </c>
      <c r="U1464" s="33">
        <f>IF(R1464="","",IFERROR(INDEX(Cl_quartier,MATCH(R1464,Cl_cle,0))&amp;"",""))</f>
        <v/>
      </c>
      <c r="V1464" s="34">
        <f>IF(C1464="","",YEAR(C1464-WEEKDAY(C1464,2)+4)&amp;"-S"&amp;TEXT(INT((C1464-DATE(YEAR(C1464-WEEKDAY(C1464,2)+4),1,3)+WEEKDAY(DATE(YEAR(C1464-WEEKDAY(C1464,2)+4),1,3),2)+5)/7),"00"))</f>
        <v/>
      </c>
    </row>
    <row r="1465" ht="18" customHeight="1">
      <c r="A1465" s="39" t="n">
        <v>1460</v>
      </c>
      <c r="B1465" s="33">
        <f>IF(C1465="","",IF(P1465="À RENSEIGNER","GIC",P1465)&amp;"-V"&amp;TEXT(A1465,"00000"))</f>
        <v/>
      </c>
      <c r="C1465" s="32" t="n"/>
      <c r="D1465" s="35" t="n"/>
      <c r="E1465" s="36" t="n"/>
      <c r="F1465" s="36" t="n"/>
      <c r="G1465" s="36" t="n"/>
      <c r="H1465" s="36" t="n"/>
      <c r="I1465" s="36" t="n"/>
      <c r="J1465" s="37" t="n"/>
      <c r="K1465" s="32" t="n"/>
      <c r="L1465" s="36" t="n"/>
      <c r="M1465" s="41" t="n"/>
      <c r="N1465" s="41" t="n"/>
      <c r="O1465" s="36" t="n"/>
      <c r="P1465" s="33">
        <f>IF(C1465="","",Commercial_Id)</f>
        <v/>
      </c>
      <c r="Q1465" s="39">
        <f>IF(F1465="","",IFERROR(VALUE(MID(F1465,LEN(F1465)-3,3)),""))</f>
        <v/>
      </c>
      <c r="R1465" s="33">
        <f>IF(Q1465="","",P1465&amp;"|"&amp;Q1465)</f>
        <v/>
      </c>
      <c r="S1465" s="33">
        <f>IF(Q1465="","",IF(P1465="À RENSEIGNER","GIC",P1465)&amp;"-"&amp;TEXT(Q1465,"000"))</f>
        <v/>
      </c>
      <c r="T1465" s="33">
        <f>IF(R1465="","",IFERROR(INDEX(Cl_nom,MATCH(R1465,Cl_cle,0)),"(client introuvable)"))</f>
        <v/>
      </c>
      <c r="U1465" s="33">
        <f>IF(R1465="","",IFERROR(INDEX(Cl_quartier,MATCH(R1465,Cl_cle,0))&amp;"",""))</f>
        <v/>
      </c>
      <c r="V1465" s="34">
        <f>IF(C1465="","",YEAR(C1465-WEEKDAY(C1465,2)+4)&amp;"-S"&amp;TEXT(INT((C1465-DATE(YEAR(C1465-WEEKDAY(C1465,2)+4),1,3)+WEEKDAY(DATE(YEAR(C1465-WEEKDAY(C1465,2)+4),1,3),2)+5)/7),"00"))</f>
        <v/>
      </c>
    </row>
    <row r="1466" ht="18" customHeight="1">
      <c r="A1466" s="39" t="n">
        <v>1461</v>
      </c>
      <c r="B1466" s="33">
        <f>IF(C1466="","",IF(P1466="À RENSEIGNER","GIC",P1466)&amp;"-V"&amp;TEXT(A1466,"00000"))</f>
        <v/>
      </c>
      <c r="C1466" s="32" t="n"/>
      <c r="D1466" s="35" t="n"/>
      <c r="E1466" s="36" t="n"/>
      <c r="F1466" s="36" t="n"/>
      <c r="G1466" s="36" t="n"/>
      <c r="H1466" s="36" t="n"/>
      <c r="I1466" s="36" t="n"/>
      <c r="J1466" s="37" t="n"/>
      <c r="K1466" s="32" t="n"/>
      <c r="L1466" s="36" t="n"/>
      <c r="M1466" s="41" t="n"/>
      <c r="N1466" s="41" t="n"/>
      <c r="O1466" s="36" t="n"/>
      <c r="P1466" s="33">
        <f>IF(C1466="","",Commercial_Id)</f>
        <v/>
      </c>
      <c r="Q1466" s="39">
        <f>IF(F1466="","",IFERROR(VALUE(MID(F1466,LEN(F1466)-3,3)),""))</f>
        <v/>
      </c>
      <c r="R1466" s="33">
        <f>IF(Q1466="","",P1466&amp;"|"&amp;Q1466)</f>
        <v/>
      </c>
      <c r="S1466" s="33">
        <f>IF(Q1466="","",IF(P1466="À RENSEIGNER","GIC",P1466)&amp;"-"&amp;TEXT(Q1466,"000"))</f>
        <v/>
      </c>
      <c r="T1466" s="33">
        <f>IF(R1466="","",IFERROR(INDEX(Cl_nom,MATCH(R1466,Cl_cle,0)),"(client introuvable)"))</f>
        <v/>
      </c>
      <c r="U1466" s="33">
        <f>IF(R1466="","",IFERROR(INDEX(Cl_quartier,MATCH(R1466,Cl_cle,0))&amp;"",""))</f>
        <v/>
      </c>
      <c r="V1466" s="34">
        <f>IF(C1466="","",YEAR(C1466-WEEKDAY(C1466,2)+4)&amp;"-S"&amp;TEXT(INT((C1466-DATE(YEAR(C1466-WEEKDAY(C1466,2)+4),1,3)+WEEKDAY(DATE(YEAR(C1466-WEEKDAY(C1466,2)+4),1,3),2)+5)/7),"00"))</f>
        <v/>
      </c>
    </row>
    <row r="1467" ht="18" customHeight="1">
      <c r="A1467" s="39" t="n">
        <v>1462</v>
      </c>
      <c r="B1467" s="33">
        <f>IF(C1467="","",IF(P1467="À RENSEIGNER","GIC",P1467)&amp;"-V"&amp;TEXT(A1467,"00000"))</f>
        <v/>
      </c>
      <c r="C1467" s="32" t="n"/>
      <c r="D1467" s="35" t="n"/>
      <c r="E1467" s="36" t="n"/>
      <c r="F1467" s="36" t="n"/>
      <c r="G1467" s="36" t="n"/>
      <c r="H1467" s="36" t="n"/>
      <c r="I1467" s="36" t="n"/>
      <c r="J1467" s="37" t="n"/>
      <c r="K1467" s="32" t="n"/>
      <c r="L1467" s="36" t="n"/>
      <c r="M1467" s="41" t="n"/>
      <c r="N1467" s="41" t="n"/>
      <c r="O1467" s="36" t="n"/>
      <c r="P1467" s="33">
        <f>IF(C1467="","",Commercial_Id)</f>
        <v/>
      </c>
      <c r="Q1467" s="39">
        <f>IF(F1467="","",IFERROR(VALUE(MID(F1467,LEN(F1467)-3,3)),""))</f>
        <v/>
      </c>
      <c r="R1467" s="33">
        <f>IF(Q1467="","",P1467&amp;"|"&amp;Q1467)</f>
        <v/>
      </c>
      <c r="S1467" s="33">
        <f>IF(Q1467="","",IF(P1467="À RENSEIGNER","GIC",P1467)&amp;"-"&amp;TEXT(Q1467,"000"))</f>
        <v/>
      </c>
      <c r="T1467" s="33">
        <f>IF(R1467="","",IFERROR(INDEX(Cl_nom,MATCH(R1467,Cl_cle,0)),"(client introuvable)"))</f>
        <v/>
      </c>
      <c r="U1467" s="33">
        <f>IF(R1467="","",IFERROR(INDEX(Cl_quartier,MATCH(R1467,Cl_cle,0))&amp;"",""))</f>
        <v/>
      </c>
      <c r="V1467" s="34">
        <f>IF(C1467="","",YEAR(C1467-WEEKDAY(C1467,2)+4)&amp;"-S"&amp;TEXT(INT((C1467-DATE(YEAR(C1467-WEEKDAY(C1467,2)+4),1,3)+WEEKDAY(DATE(YEAR(C1467-WEEKDAY(C1467,2)+4),1,3),2)+5)/7),"00"))</f>
        <v/>
      </c>
    </row>
    <row r="1468" ht="18" customHeight="1">
      <c r="A1468" s="39" t="n">
        <v>1463</v>
      </c>
      <c r="B1468" s="33">
        <f>IF(C1468="","",IF(P1468="À RENSEIGNER","GIC",P1468)&amp;"-V"&amp;TEXT(A1468,"00000"))</f>
        <v/>
      </c>
      <c r="C1468" s="32" t="n"/>
      <c r="D1468" s="35" t="n"/>
      <c r="E1468" s="36" t="n"/>
      <c r="F1468" s="36" t="n"/>
      <c r="G1468" s="36" t="n"/>
      <c r="H1468" s="36" t="n"/>
      <c r="I1468" s="36" t="n"/>
      <c r="J1468" s="37" t="n"/>
      <c r="K1468" s="32" t="n"/>
      <c r="L1468" s="36" t="n"/>
      <c r="M1468" s="41" t="n"/>
      <c r="N1468" s="41" t="n"/>
      <c r="O1468" s="36" t="n"/>
      <c r="P1468" s="33">
        <f>IF(C1468="","",Commercial_Id)</f>
        <v/>
      </c>
      <c r="Q1468" s="39">
        <f>IF(F1468="","",IFERROR(VALUE(MID(F1468,LEN(F1468)-3,3)),""))</f>
        <v/>
      </c>
      <c r="R1468" s="33">
        <f>IF(Q1468="","",P1468&amp;"|"&amp;Q1468)</f>
        <v/>
      </c>
      <c r="S1468" s="33">
        <f>IF(Q1468="","",IF(P1468="À RENSEIGNER","GIC",P1468)&amp;"-"&amp;TEXT(Q1468,"000"))</f>
        <v/>
      </c>
      <c r="T1468" s="33">
        <f>IF(R1468="","",IFERROR(INDEX(Cl_nom,MATCH(R1468,Cl_cle,0)),"(client introuvable)"))</f>
        <v/>
      </c>
      <c r="U1468" s="33">
        <f>IF(R1468="","",IFERROR(INDEX(Cl_quartier,MATCH(R1468,Cl_cle,0))&amp;"",""))</f>
        <v/>
      </c>
      <c r="V1468" s="34">
        <f>IF(C1468="","",YEAR(C1468-WEEKDAY(C1468,2)+4)&amp;"-S"&amp;TEXT(INT((C1468-DATE(YEAR(C1468-WEEKDAY(C1468,2)+4),1,3)+WEEKDAY(DATE(YEAR(C1468-WEEKDAY(C1468,2)+4),1,3),2)+5)/7),"00"))</f>
        <v/>
      </c>
    </row>
    <row r="1469" ht="18" customHeight="1">
      <c r="A1469" s="39" t="n">
        <v>1464</v>
      </c>
      <c r="B1469" s="33">
        <f>IF(C1469="","",IF(P1469="À RENSEIGNER","GIC",P1469)&amp;"-V"&amp;TEXT(A1469,"00000"))</f>
        <v/>
      </c>
      <c r="C1469" s="32" t="n"/>
      <c r="D1469" s="35" t="n"/>
      <c r="E1469" s="36" t="n"/>
      <c r="F1469" s="36" t="n"/>
      <c r="G1469" s="36" t="n"/>
      <c r="H1469" s="36" t="n"/>
      <c r="I1469" s="36" t="n"/>
      <c r="J1469" s="37" t="n"/>
      <c r="K1469" s="32" t="n"/>
      <c r="L1469" s="36" t="n"/>
      <c r="M1469" s="41" t="n"/>
      <c r="N1469" s="41" t="n"/>
      <c r="O1469" s="36" t="n"/>
      <c r="P1469" s="33">
        <f>IF(C1469="","",Commercial_Id)</f>
        <v/>
      </c>
      <c r="Q1469" s="39">
        <f>IF(F1469="","",IFERROR(VALUE(MID(F1469,LEN(F1469)-3,3)),""))</f>
        <v/>
      </c>
      <c r="R1469" s="33">
        <f>IF(Q1469="","",P1469&amp;"|"&amp;Q1469)</f>
        <v/>
      </c>
      <c r="S1469" s="33">
        <f>IF(Q1469="","",IF(P1469="À RENSEIGNER","GIC",P1469)&amp;"-"&amp;TEXT(Q1469,"000"))</f>
        <v/>
      </c>
      <c r="T1469" s="33">
        <f>IF(R1469="","",IFERROR(INDEX(Cl_nom,MATCH(R1469,Cl_cle,0)),"(client introuvable)"))</f>
        <v/>
      </c>
      <c r="U1469" s="33">
        <f>IF(R1469="","",IFERROR(INDEX(Cl_quartier,MATCH(R1469,Cl_cle,0))&amp;"",""))</f>
        <v/>
      </c>
      <c r="V1469" s="34">
        <f>IF(C1469="","",YEAR(C1469-WEEKDAY(C1469,2)+4)&amp;"-S"&amp;TEXT(INT((C1469-DATE(YEAR(C1469-WEEKDAY(C1469,2)+4),1,3)+WEEKDAY(DATE(YEAR(C1469-WEEKDAY(C1469,2)+4),1,3),2)+5)/7),"00"))</f>
        <v/>
      </c>
    </row>
    <row r="1470" ht="18" customHeight="1">
      <c r="A1470" s="39" t="n">
        <v>1465</v>
      </c>
      <c r="B1470" s="33">
        <f>IF(C1470="","",IF(P1470="À RENSEIGNER","GIC",P1470)&amp;"-V"&amp;TEXT(A1470,"00000"))</f>
        <v/>
      </c>
      <c r="C1470" s="32" t="n"/>
      <c r="D1470" s="35" t="n"/>
      <c r="E1470" s="36" t="n"/>
      <c r="F1470" s="36" t="n"/>
      <c r="G1470" s="36" t="n"/>
      <c r="H1470" s="36" t="n"/>
      <c r="I1470" s="36" t="n"/>
      <c r="J1470" s="37" t="n"/>
      <c r="K1470" s="32" t="n"/>
      <c r="L1470" s="36" t="n"/>
      <c r="M1470" s="41" t="n"/>
      <c r="N1470" s="41" t="n"/>
      <c r="O1470" s="36" t="n"/>
      <c r="P1470" s="33">
        <f>IF(C1470="","",Commercial_Id)</f>
        <v/>
      </c>
      <c r="Q1470" s="39">
        <f>IF(F1470="","",IFERROR(VALUE(MID(F1470,LEN(F1470)-3,3)),""))</f>
        <v/>
      </c>
      <c r="R1470" s="33">
        <f>IF(Q1470="","",P1470&amp;"|"&amp;Q1470)</f>
        <v/>
      </c>
      <c r="S1470" s="33">
        <f>IF(Q1470="","",IF(P1470="À RENSEIGNER","GIC",P1470)&amp;"-"&amp;TEXT(Q1470,"000"))</f>
        <v/>
      </c>
      <c r="T1470" s="33">
        <f>IF(R1470="","",IFERROR(INDEX(Cl_nom,MATCH(R1470,Cl_cle,0)),"(client introuvable)"))</f>
        <v/>
      </c>
      <c r="U1470" s="33">
        <f>IF(R1470="","",IFERROR(INDEX(Cl_quartier,MATCH(R1470,Cl_cle,0))&amp;"",""))</f>
        <v/>
      </c>
      <c r="V1470" s="34">
        <f>IF(C1470="","",YEAR(C1470-WEEKDAY(C1470,2)+4)&amp;"-S"&amp;TEXT(INT((C1470-DATE(YEAR(C1470-WEEKDAY(C1470,2)+4),1,3)+WEEKDAY(DATE(YEAR(C1470-WEEKDAY(C1470,2)+4),1,3),2)+5)/7),"00"))</f>
        <v/>
      </c>
    </row>
    <row r="1471" ht="18" customHeight="1">
      <c r="A1471" s="39" t="n">
        <v>1466</v>
      </c>
      <c r="B1471" s="33">
        <f>IF(C1471="","",IF(P1471="À RENSEIGNER","GIC",P1471)&amp;"-V"&amp;TEXT(A1471,"00000"))</f>
        <v/>
      </c>
      <c r="C1471" s="32" t="n"/>
      <c r="D1471" s="35" t="n"/>
      <c r="E1471" s="36" t="n"/>
      <c r="F1471" s="36" t="n"/>
      <c r="G1471" s="36" t="n"/>
      <c r="H1471" s="36" t="n"/>
      <c r="I1471" s="36" t="n"/>
      <c r="J1471" s="37" t="n"/>
      <c r="K1471" s="32" t="n"/>
      <c r="L1471" s="36" t="n"/>
      <c r="M1471" s="41" t="n"/>
      <c r="N1471" s="41" t="n"/>
      <c r="O1471" s="36" t="n"/>
      <c r="P1471" s="33">
        <f>IF(C1471="","",Commercial_Id)</f>
        <v/>
      </c>
      <c r="Q1471" s="39">
        <f>IF(F1471="","",IFERROR(VALUE(MID(F1471,LEN(F1471)-3,3)),""))</f>
        <v/>
      </c>
      <c r="R1471" s="33">
        <f>IF(Q1471="","",P1471&amp;"|"&amp;Q1471)</f>
        <v/>
      </c>
      <c r="S1471" s="33">
        <f>IF(Q1471="","",IF(P1471="À RENSEIGNER","GIC",P1471)&amp;"-"&amp;TEXT(Q1471,"000"))</f>
        <v/>
      </c>
      <c r="T1471" s="33">
        <f>IF(R1471="","",IFERROR(INDEX(Cl_nom,MATCH(R1471,Cl_cle,0)),"(client introuvable)"))</f>
        <v/>
      </c>
      <c r="U1471" s="33">
        <f>IF(R1471="","",IFERROR(INDEX(Cl_quartier,MATCH(R1471,Cl_cle,0))&amp;"",""))</f>
        <v/>
      </c>
      <c r="V1471" s="34">
        <f>IF(C1471="","",YEAR(C1471-WEEKDAY(C1471,2)+4)&amp;"-S"&amp;TEXT(INT((C1471-DATE(YEAR(C1471-WEEKDAY(C1471,2)+4),1,3)+WEEKDAY(DATE(YEAR(C1471-WEEKDAY(C1471,2)+4),1,3),2)+5)/7),"00"))</f>
        <v/>
      </c>
    </row>
    <row r="1472" ht="18" customHeight="1">
      <c r="A1472" s="39" t="n">
        <v>1467</v>
      </c>
      <c r="B1472" s="33">
        <f>IF(C1472="","",IF(P1472="À RENSEIGNER","GIC",P1472)&amp;"-V"&amp;TEXT(A1472,"00000"))</f>
        <v/>
      </c>
      <c r="C1472" s="32" t="n"/>
      <c r="D1472" s="35" t="n"/>
      <c r="E1472" s="36" t="n"/>
      <c r="F1472" s="36" t="n"/>
      <c r="G1472" s="36" t="n"/>
      <c r="H1472" s="36" t="n"/>
      <c r="I1472" s="36" t="n"/>
      <c r="J1472" s="37" t="n"/>
      <c r="K1472" s="32" t="n"/>
      <c r="L1472" s="36" t="n"/>
      <c r="M1472" s="41" t="n"/>
      <c r="N1472" s="41" t="n"/>
      <c r="O1472" s="36" t="n"/>
      <c r="P1472" s="33">
        <f>IF(C1472="","",Commercial_Id)</f>
        <v/>
      </c>
      <c r="Q1472" s="39">
        <f>IF(F1472="","",IFERROR(VALUE(MID(F1472,LEN(F1472)-3,3)),""))</f>
        <v/>
      </c>
      <c r="R1472" s="33">
        <f>IF(Q1472="","",P1472&amp;"|"&amp;Q1472)</f>
        <v/>
      </c>
      <c r="S1472" s="33">
        <f>IF(Q1472="","",IF(P1472="À RENSEIGNER","GIC",P1472)&amp;"-"&amp;TEXT(Q1472,"000"))</f>
        <v/>
      </c>
      <c r="T1472" s="33">
        <f>IF(R1472="","",IFERROR(INDEX(Cl_nom,MATCH(R1472,Cl_cle,0)),"(client introuvable)"))</f>
        <v/>
      </c>
      <c r="U1472" s="33">
        <f>IF(R1472="","",IFERROR(INDEX(Cl_quartier,MATCH(R1472,Cl_cle,0))&amp;"",""))</f>
        <v/>
      </c>
      <c r="V1472" s="34">
        <f>IF(C1472="","",YEAR(C1472-WEEKDAY(C1472,2)+4)&amp;"-S"&amp;TEXT(INT((C1472-DATE(YEAR(C1472-WEEKDAY(C1472,2)+4),1,3)+WEEKDAY(DATE(YEAR(C1472-WEEKDAY(C1472,2)+4),1,3),2)+5)/7),"00"))</f>
        <v/>
      </c>
    </row>
    <row r="1473" ht="18" customHeight="1">
      <c r="A1473" s="39" t="n">
        <v>1468</v>
      </c>
      <c r="B1473" s="33">
        <f>IF(C1473="","",IF(P1473="À RENSEIGNER","GIC",P1473)&amp;"-V"&amp;TEXT(A1473,"00000"))</f>
        <v/>
      </c>
      <c r="C1473" s="32" t="n"/>
      <c r="D1473" s="35" t="n"/>
      <c r="E1473" s="36" t="n"/>
      <c r="F1473" s="36" t="n"/>
      <c r="G1473" s="36" t="n"/>
      <c r="H1473" s="36" t="n"/>
      <c r="I1473" s="36" t="n"/>
      <c r="J1473" s="37" t="n"/>
      <c r="K1473" s="32" t="n"/>
      <c r="L1473" s="36" t="n"/>
      <c r="M1473" s="41" t="n"/>
      <c r="N1473" s="41" t="n"/>
      <c r="O1473" s="36" t="n"/>
      <c r="P1473" s="33">
        <f>IF(C1473="","",Commercial_Id)</f>
        <v/>
      </c>
      <c r="Q1473" s="39">
        <f>IF(F1473="","",IFERROR(VALUE(MID(F1473,LEN(F1473)-3,3)),""))</f>
        <v/>
      </c>
      <c r="R1473" s="33">
        <f>IF(Q1473="","",P1473&amp;"|"&amp;Q1473)</f>
        <v/>
      </c>
      <c r="S1473" s="33">
        <f>IF(Q1473="","",IF(P1473="À RENSEIGNER","GIC",P1473)&amp;"-"&amp;TEXT(Q1473,"000"))</f>
        <v/>
      </c>
      <c r="T1473" s="33">
        <f>IF(R1473="","",IFERROR(INDEX(Cl_nom,MATCH(R1473,Cl_cle,0)),"(client introuvable)"))</f>
        <v/>
      </c>
      <c r="U1473" s="33">
        <f>IF(R1473="","",IFERROR(INDEX(Cl_quartier,MATCH(R1473,Cl_cle,0))&amp;"",""))</f>
        <v/>
      </c>
      <c r="V1473" s="34">
        <f>IF(C1473="","",YEAR(C1473-WEEKDAY(C1473,2)+4)&amp;"-S"&amp;TEXT(INT((C1473-DATE(YEAR(C1473-WEEKDAY(C1473,2)+4),1,3)+WEEKDAY(DATE(YEAR(C1473-WEEKDAY(C1473,2)+4),1,3),2)+5)/7),"00"))</f>
        <v/>
      </c>
    </row>
    <row r="1474" ht="18" customHeight="1">
      <c r="A1474" s="39" t="n">
        <v>1469</v>
      </c>
      <c r="B1474" s="33">
        <f>IF(C1474="","",IF(P1474="À RENSEIGNER","GIC",P1474)&amp;"-V"&amp;TEXT(A1474,"00000"))</f>
        <v/>
      </c>
      <c r="C1474" s="32" t="n"/>
      <c r="D1474" s="35" t="n"/>
      <c r="E1474" s="36" t="n"/>
      <c r="F1474" s="36" t="n"/>
      <c r="G1474" s="36" t="n"/>
      <c r="H1474" s="36" t="n"/>
      <c r="I1474" s="36" t="n"/>
      <c r="J1474" s="37" t="n"/>
      <c r="K1474" s="32" t="n"/>
      <c r="L1474" s="36" t="n"/>
      <c r="M1474" s="41" t="n"/>
      <c r="N1474" s="41" t="n"/>
      <c r="O1474" s="36" t="n"/>
      <c r="P1474" s="33">
        <f>IF(C1474="","",Commercial_Id)</f>
        <v/>
      </c>
      <c r="Q1474" s="39">
        <f>IF(F1474="","",IFERROR(VALUE(MID(F1474,LEN(F1474)-3,3)),""))</f>
        <v/>
      </c>
      <c r="R1474" s="33">
        <f>IF(Q1474="","",P1474&amp;"|"&amp;Q1474)</f>
        <v/>
      </c>
      <c r="S1474" s="33">
        <f>IF(Q1474="","",IF(P1474="À RENSEIGNER","GIC",P1474)&amp;"-"&amp;TEXT(Q1474,"000"))</f>
        <v/>
      </c>
      <c r="T1474" s="33">
        <f>IF(R1474="","",IFERROR(INDEX(Cl_nom,MATCH(R1474,Cl_cle,0)),"(client introuvable)"))</f>
        <v/>
      </c>
      <c r="U1474" s="33">
        <f>IF(R1474="","",IFERROR(INDEX(Cl_quartier,MATCH(R1474,Cl_cle,0))&amp;"",""))</f>
        <v/>
      </c>
      <c r="V1474" s="34">
        <f>IF(C1474="","",YEAR(C1474-WEEKDAY(C1474,2)+4)&amp;"-S"&amp;TEXT(INT((C1474-DATE(YEAR(C1474-WEEKDAY(C1474,2)+4),1,3)+WEEKDAY(DATE(YEAR(C1474-WEEKDAY(C1474,2)+4),1,3),2)+5)/7),"00"))</f>
        <v/>
      </c>
    </row>
    <row r="1475" ht="18" customHeight="1">
      <c r="A1475" s="39" t="n">
        <v>1470</v>
      </c>
      <c r="B1475" s="33">
        <f>IF(C1475="","",IF(P1475="À RENSEIGNER","GIC",P1475)&amp;"-V"&amp;TEXT(A1475,"00000"))</f>
        <v/>
      </c>
      <c r="C1475" s="32" t="n"/>
      <c r="D1475" s="35" t="n"/>
      <c r="E1475" s="36" t="n"/>
      <c r="F1475" s="36" t="n"/>
      <c r="G1475" s="36" t="n"/>
      <c r="H1475" s="36" t="n"/>
      <c r="I1475" s="36" t="n"/>
      <c r="J1475" s="37" t="n"/>
      <c r="K1475" s="32" t="n"/>
      <c r="L1475" s="36" t="n"/>
      <c r="M1475" s="41" t="n"/>
      <c r="N1475" s="41" t="n"/>
      <c r="O1475" s="36" t="n"/>
      <c r="P1475" s="33">
        <f>IF(C1475="","",Commercial_Id)</f>
        <v/>
      </c>
      <c r="Q1475" s="39">
        <f>IF(F1475="","",IFERROR(VALUE(MID(F1475,LEN(F1475)-3,3)),""))</f>
        <v/>
      </c>
      <c r="R1475" s="33">
        <f>IF(Q1475="","",P1475&amp;"|"&amp;Q1475)</f>
        <v/>
      </c>
      <c r="S1475" s="33">
        <f>IF(Q1475="","",IF(P1475="À RENSEIGNER","GIC",P1475)&amp;"-"&amp;TEXT(Q1475,"000"))</f>
        <v/>
      </c>
      <c r="T1475" s="33">
        <f>IF(R1475="","",IFERROR(INDEX(Cl_nom,MATCH(R1475,Cl_cle,0)),"(client introuvable)"))</f>
        <v/>
      </c>
      <c r="U1475" s="33">
        <f>IF(R1475="","",IFERROR(INDEX(Cl_quartier,MATCH(R1475,Cl_cle,0))&amp;"",""))</f>
        <v/>
      </c>
      <c r="V1475" s="34">
        <f>IF(C1475="","",YEAR(C1475-WEEKDAY(C1475,2)+4)&amp;"-S"&amp;TEXT(INT((C1475-DATE(YEAR(C1475-WEEKDAY(C1475,2)+4),1,3)+WEEKDAY(DATE(YEAR(C1475-WEEKDAY(C1475,2)+4),1,3),2)+5)/7),"00"))</f>
        <v/>
      </c>
    </row>
    <row r="1476" ht="18" customHeight="1">
      <c r="A1476" s="39" t="n">
        <v>1471</v>
      </c>
      <c r="B1476" s="33">
        <f>IF(C1476="","",IF(P1476="À RENSEIGNER","GIC",P1476)&amp;"-V"&amp;TEXT(A1476,"00000"))</f>
        <v/>
      </c>
      <c r="C1476" s="32" t="n"/>
      <c r="D1476" s="35" t="n"/>
      <c r="E1476" s="36" t="n"/>
      <c r="F1476" s="36" t="n"/>
      <c r="G1476" s="36" t="n"/>
      <c r="H1476" s="36" t="n"/>
      <c r="I1476" s="36" t="n"/>
      <c r="J1476" s="37" t="n"/>
      <c r="K1476" s="32" t="n"/>
      <c r="L1476" s="36" t="n"/>
      <c r="M1476" s="41" t="n"/>
      <c r="N1476" s="41" t="n"/>
      <c r="O1476" s="36" t="n"/>
      <c r="P1476" s="33">
        <f>IF(C1476="","",Commercial_Id)</f>
        <v/>
      </c>
      <c r="Q1476" s="39">
        <f>IF(F1476="","",IFERROR(VALUE(MID(F1476,LEN(F1476)-3,3)),""))</f>
        <v/>
      </c>
      <c r="R1476" s="33">
        <f>IF(Q1476="","",P1476&amp;"|"&amp;Q1476)</f>
        <v/>
      </c>
      <c r="S1476" s="33">
        <f>IF(Q1476="","",IF(P1476="À RENSEIGNER","GIC",P1476)&amp;"-"&amp;TEXT(Q1476,"000"))</f>
        <v/>
      </c>
      <c r="T1476" s="33">
        <f>IF(R1476="","",IFERROR(INDEX(Cl_nom,MATCH(R1476,Cl_cle,0)),"(client introuvable)"))</f>
        <v/>
      </c>
      <c r="U1476" s="33">
        <f>IF(R1476="","",IFERROR(INDEX(Cl_quartier,MATCH(R1476,Cl_cle,0))&amp;"",""))</f>
        <v/>
      </c>
      <c r="V1476" s="34">
        <f>IF(C1476="","",YEAR(C1476-WEEKDAY(C1476,2)+4)&amp;"-S"&amp;TEXT(INT((C1476-DATE(YEAR(C1476-WEEKDAY(C1476,2)+4),1,3)+WEEKDAY(DATE(YEAR(C1476-WEEKDAY(C1476,2)+4),1,3),2)+5)/7),"00"))</f>
        <v/>
      </c>
    </row>
    <row r="1477" ht="18" customHeight="1">
      <c r="A1477" s="39" t="n">
        <v>1472</v>
      </c>
      <c r="B1477" s="33">
        <f>IF(C1477="","",IF(P1477="À RENSEIGNER","GIC",P1477)&amp;"-V"&amp;TEXT(A1477,"00000"))</f>
        <v/>
      </c>
      <c r="C1477" s="32" t="n"/>
      <c r="D1477" s="35" t="n"/>
      <c r="E1477" s="36" t="n"/>
      <c r="F1477" s="36" t="n"/>
      <c r="G1477" s="36" t="n"/>
      <c r="H1477" s="36" t="n"/>
      <c r="I1477" s="36" t="n"/>
      <c r="J1477" s="37" t="n"/>
      <c r="K1477" s="32" t="n"/>
      <c r="L1477" s="36" t="n"/>
      <c r="M1477" s="41" t="n"/>
      <c r="N1477" s="41" t="n"/>
      <c r="O1477" s="36" t="n"/>
      <c r="P1477" s="33">
        <f>IF(C1477="","",Commercial_Id)</f>
        <v/>
      </c>
      <c r="Q1477" s="39">
        <f>IF(F1477="","",IFERROR(VALUE(MID(F1477,LEN(F1477)-3,3)),""))</f>
        <v/>
      </c>
      <c r="R1477" s="33">
        <f>IF(Q1477="","",P1477&amp;"|"&amp;Q1477)</f>
        <v/>
      </c>
      <c r="S1477" s="33">
        <f>IF(Q1477="","",IF(P1477="À RENSEIGNER","GIC",P1477)&amp;"-"&amp;TEXT(Q1477,"000"))</f>
        <v/>
      </c>
      <c r="T1477" s="33">
        <f>IF(R1477="","",IFERROR(INDEX(Cl_nom,MATCH(R1477,Cl_cle,0)),"(client introuvable)"))</f>
        <v/>
      </c>
      <c r="U1477" s="33">
        <f>IF(R1477="","",IFERROR(INDEX(Cl_quartier,MATCH(R1477,Cl_cle,0))&amp;"",""))</f>
        <v/>
      </c>
      <c r="V1477" s="34">
        <f>IF(C1477="","",YEAR(C1477-WEEKDAY(C1477,2)+4)&amp;"-S"&amp;TEXT(INT((C1477-DATE(YEAR(C1477-WEEKDAY(C1477,2)+4),1,3)+WEEKDAY(DATE(YEAR(C1477-WEEKDAY(C1477,2)+4),1,3),2)+5)/7),"00"))</f>
        <v/>
      </c>
    </row>
    <row r="1478" ht="18" customHeight="1">
      <c r="A1478" s="39" t="n">
        <v>1473</v>
      </c>
      <c r="B1478" s="33">
        <f>IF(C1478="","",IF(P1478="À RENSEIGNER","GIC",P1478)&amp;"-V"&amp;TEXT(A1478,"00000"))</f>
        <v/>
      </c>
      <c r="C1478" s="32" t="n"/>
      <c r="D1478" s="35" t="n"/>
      <c r="E1478" s="36" t="n"/>
      <c r="F1478" s="36" t="n"/>
      <c r="G1478" s="36" t="n"/>
      <c r="H1478" s="36" t="n"/>
      <c r="I1478" s="36" t="n"/>
      <c r="J1478" s="37" t="n"/>
      <c r="K1478" s="32" t="n"/>
      <c r="L1478" s="36" t="n"/>
      <c r="M1478" s="41" t="n"/>
      <c r="N1478" s="41" t="n"/>
      <c r="O1478" s="36" t="n"/>
      <c r="P1478" s="33">
        <f>IF(C1478="","",Commercial_Id)</f>
        <v/>
      </c>
      <c r="Q1478" s="39">
        <f>IF(F1478="","",IFERROR(VALUE(MID(F1478,LEN(F1478)-3,3)),""))</f>
        <v/>
      </c>
      <c r="R1478" s="33">
        <f>IF(Q1478="","",P1478&amp;"|"&amp;Q1478)</f>
        <v/>
      </c>
      <c r="S1478" s="33">
        <f>IF(Q1478="","",IF(P1478="À RENSEIGNER","GIC",P1478)&amp;"-"&amp;TEXT(Q1478,"000"))</f>
        <v/>
      </c>
      <c r="T1478" s="33">
        <f>IF(R1478="","",IFERROR(INDEX(Cl_nom,MATCH(R1478,Cl_cle,0)),"(client introuvable)"))</f>
        <v/>
      </c>
      <c r="U1478" s="33">
        <f>IF(R1478="","",IFERROR(INDEX(Cl_quartier,MATCH(R1478,Cl_cle,0))&amp;"",""))</f>
        <v/>
      </c>
      <c r="V1478" s="34">
        <f>IF(C1478="","",YEAR(C1478-WEEKDAY(C1478,2)+4)&amp;"-S"&amp;TEXT(INT((C1478-DATE(YEAR(C1478-WEEKDAY(C1478,2)+4),1,3)+WEEKDAY(DATE(YEAR(C1478-WEEKDAY(C1478,2)+4),1,3),2)+5)/7),"00"))</f>
        <v/>
      </c>
    </row>
    <row r="1479" ht="18" customHeight="1">
      <c r="A1479" s="39" t="n">
        <v>1474</v>
      </c>
      <c r="B1479" s="33">
        <f>IF(C1479="","",IF(P1479="À RENSEIGNER","GIC",P1479)&amp;"-V"&amp;TEXT(A1479,"00000"))</f>
        <v/>
      </c>
      <c r="C1479" s="32" t="n"/>
      <c r="D1479" s="35" t="n"/>
      <c r="E1479" s="36" t="n"/>
      <c r="F1479" s="36" t="n"/>
      <c r="G1479" s="36" t="n"/>
      <c r="H1479" s="36" t="n"/>
      <c r="I1479" s="36" t="n"/>
      <c r="J1479" s="37" t="n"/>
      <c r="K1479" s="32" t="n"/>
      <c r="L1479" s="36" t="n"/>
      <c r="M1479" s="41" t="n"/>
      <c r="N1479" s="41" t="n"/>
      <c r="O1479" s="36" t="n"/>
      <c r="P1479" s="33">
        <f>IF(C1479="","",Commercial_Id)</f>
        <v/>
      </c>
      <c r="Q1479" s="39">
        <f>IF(F1479="","",IFERROR(VALUE(MID(F1479,LEN(F1479)-3,3)),""))</f>
        <v/>
      </c>
      <c r="R1479" s="33">
        <f>IF(Q1479="","",P1479&amp;"|"&amp;Q1479)</f>
        <v/>
      </c>
      <c r="S1479" s="33">
        <f>IF(Q1479="","",IF(P1479="À RENSEIGNER","GIC",P1479)&amp;"-"&amp;TEXT(Q1479,"000"))</f>
        <v/>
      </c>
      <c r="T1479" s="33">
        <f>IF(R1479="","",IFERROR(INDEX(Cl_nom,MATCH(R1479,Cl_cle,0)),"(client introuvable)"))</f>
        <v/>
      </c>
      <c r="U1479" s="33">
        <f>IF(R1479="","",IFERROR(INDEX(Cl_quartier,MATCH(R1479,Cl_cle,0))&amp;"",""))</f>
        <v/>
      </c>
      <c r="V1479" s="34">
        <f>IF(C1479="","",YEAR(C1479-WEEKDAY(C1479,2)+4)&amp;"-S"&amp;TEXT(INT((C1479-DATE(YEAR(C1479-WEEKDAY(C1479,2)+4),1,3)+WEEKDAY(DATE(YEAR(C1479-WEEKDAY(C1479,2)+4),1,3),2)+5)/7),"00"))</f>
        <v/>
      </c>
    </row>
    <row r="1480" ht="18" customHeight="1">
      <c r="A1480" s="39" t="n">
        <v>1475</v>
      </c>
      <c r="B1480" s="33">
        <f>IF(C1480="","",IF(P1480="À RENSEIGNER","GIC",P1480)&amp;"-V"&amp;TEXT(A1480,"00000"))</f>
        <v/>
      </c>
      <c r="C1480" s="32" t="n"/>
      <c r="D1480" s="35" t="n"/>
      <c r="E1480" s="36" t="n"/>
      <c r="F1480" s="36" t="n"/>
      <c r="G1480" s="36" t="n"/>
      <c r="H1480" s="36" t="n"/>
      <c r="I1480" s="36" t="n"/>
      <c r="J1480" s="37" t="n"/>
      <c r="K1480" s="32" t="n"/>
      <c r="L1480" s="36" t="n"/>
      <c r="M1480" s="41" t="n"/>
      <c r="N1480" s="41" t="n"/>
      <c r="O1480" s="36" t="n"/>
      <c r="P1480" s="33">
        <f>IF(C1480="","",Commercial_Id)</f>
        <v/>
      </c>
      <c r="Q1480" s="39">
        <f>IF(F1480="","",IFERROR(VALUE(MID(F1480,LEN(F1480)-3,3)),""))</f>
        <v/>
      </c>
      <c r="R1480" s="33">
        <f>IF(Q1480="","",P1480&amp;"|"&amp;Q1480)</f>
        <v/>
      </c>
      <c r="S1480" s="33">
        <f>IF(Q1480="","",IF(P1480="À RENSEIGNER","GIC",P1480)&amp;"-"&amp;TEXT(Q1480,"000"))</f>
        <v/>
      </c>
      <c r="T1480" s="33">
        <f>IF(R1480="","",IFERROR(INDEX(Cl_nom,MATCH(R1480,Cl_cle,0)),"(client introuvable)"))</f>
        <v/>
      </c>
      <c r="U1480" s="33">
        <f>IF(R1480="","",IFERROR(INDEX(Cl_quartier,MATCH(R1480,Cl_cle,0))&amp;"",""))</f>
        <v/>
      </c>
      <c r="V1480" s="34">
        <f>IF(C1480="","",YEAR(C1480-WEEKDAY(C1480,2)+4)&amp;"-S"&amp;TEXT(INT((C1480-DATE(YEAR(C1480-WEEKDAY(C1480,2)+4),1,3)+WEEKDAY(DATE(YEAR(C1480-WEEKDAY(C1480,2)+4),1,3),2)+5)/7),"00"))</f>
        <v/>
      </c>
    </row>
    <row r="1481" ht="18" customHeight="1">
      <c r="A1481" s="39" t="n">
        <v>1476</v>
      </c>
      <c r="B1481" s="33">
        <f>IF(C1481="","",IF(P1481="À RENSEIGNER","GIC",P1481)&amp;"-V"&amp;TEXT(A1481,"00000"))</f>
        <v/>
      </c>
      <c r="C1481" s="32" t="n"/>
      <c r="D1481" s="35" t="n"/>
      <c r="E1481" s="36" t="n"/>
      <c r="F1481" s="36" t="n"/>
      <c r="G1481" s="36" t="n"/>
      <c r="H1481" s="36" t="n"/>
      <c r="I1481" s="36" t="n"/>
      <c r="J1481" s="37" t="n"/>
      <c r="K1481" s="32" t="n"/>
      <c r="L1481" s="36" t="n"/>
      <c r="M1481" s="41" t="n"/>
      <c r="N1481" s="41" t="n"/>
      <c r="O1481" s="36" t="n"/>
      <c r="P1481" s="33">
        <f>IF(C1481="","",Commercial_Id)</f>
        <v/>
      </c>
      <c r="Q1481" s="39">
        <f>IF(F1481="","",IFERROR(VALUE(MID(F1481,LEN(F1481)-3,3)),""))</f>
        <v/>
      </c>
      <c r="R1481" s="33">
        <f>IF(Q1481="","",P1481&amp;"|"&amp;Q1481)</f>
        <v/>
      </c>
      <c r="S1481" s="33">
        <f>IF(Q1481="","",IF(P1481="À RENSEIGNER","GIC",P1481)&amp;"-"&amp;TEXT(Q1481,"000"))</f>
        <v/>
      </c>
      <c r="T1481" s="33">
        <f>IF(R1481="","",IFERROR(INDEX(Cl_nom,MATCH(R1481,Cl_cle,0)),"(client introuvable)"))</f>
        <v/>
      </c>
      <c r="U1481" s="33">
        <f>IF(R1481="","",IFERROR(INDEX(Cl_quartier,MATCH(R1481,Cl_cle,0))&amp;"",""))</f>
        <v/>
      </c>
      <c r="V1481" s="34">
        <f>IF(C1481="","",YEAR(C1481-WEEKDAY(C1481,2)+4)&amp;"-S"&amp;TEXT(INT((C1481-DATE(YEAR(C1481-WEEKDAY(C1481,2)+4),1,3)+WEEKDAY(DATE(YEAR(C1481-WEEKDAY(C1481,2)+4),1,3),2)+5)/7),"00"))</f>
        <v/>
      </c>
    </row>
    <row r="1482" ht="18" customHeight="1">
      <c r="A1482" s="39" t="n">
        <v>1477</v>
      </c>
      <c r="B1482" s="33">
        <f>IF(C1482="","",IF(P1482="À RENSEIGNER","GIC",P1482)&amp;"-V"&amp;TEXT(A1482,"00000"))</f>
        <v/>
      </c>
      <c r="C1482" s="32" t="n"/>
      <c r="D1482" s="35" t="n"/>
      <c r="E1482" s="36" t="n"/>
      <c r="F1482" s="36" t="n"/>
      <c r="G1482" s="36" t="n"/>
      <c r="H1482" s="36" t="n"/>
      <c r="I1482" s="36" t="n"/>
      <c r="J1482" s="37" t="n"/>
      <c r="K1482" s="32" t="n"/>
      <c r="L1482" s="36" t="n"/>
      <c r="M1482" s="41" t="n"/>
      <c r="N1482" s="41" t="n"/>
      <c r="O1482" s="36" t="n"/>
      <c r="P1482" s="33">
        <f>IF(C1482="","",Commercial_Id)</f>
        <v/>
      </c>
      <c r="Q1482" s="39">
        <f>IF(F1482="","",IFERROR(VALUE(MID(F1482,LEN(F1482)-3,3)),""))</f>
        <v/>
      </c>
      <c r="R1482" s="33">
        <f>IF(Q1482="","",P1482&amp;"|"&amp;Q1482)</f>
        <v/>
      </c>
      <c r="S1482" s="33">
        <f>IF(Q1482="","",IF(P1482="À RENSEIGNER","GIC",P1482)&amp;"-"&amp;TEXT(Q1482,"000"))</f>
        <v/>
      </c>
      <c r="T1482" s="33">
        <f>IF(R1482="","",IFERROR(INDEX(Cl_nom,MATCH(R1482,Cl_cle,0)),"(client introuvable)"))</f>
        <v/>
      </c>
      <c r="U1482" s="33">
        <f>IF(R1482="","",IFERROR(INDEX(Cl_quartier,MATCH(R1482,Cl_cle,0))&amp;"",""))</f>
        <v/>
      </c>
      <c r="V1482" s="34">
        <f>IF(C1482="","",YEAR(C1482-WEEKDAY(C1482,2)+4)&amp;"-S"&amp;TEXT(INT((C1482-DATE(YEAR(C1482-WEEKDAY(C1482,2)+4),1,3)+WEEKDAY(DATE(YEAR(C1482-WEEKDAY(C1482,2)+4),1,3),2)+5)/7),"00"))</f>
        <v/>
      </c>
    </row>
    <row r="1483" ht="18" customHeight="1">
      <c r="A1483" s="39" t="n">
        <v>1478</v>
      </c>
      <c r="B1483" s="33">
        <f>IF(C1483="","",IF(P1483="À RENSEIGNER","GIC",P1483)&amp;"-V"&amp;TEXT(A1483,"00000"))</f>
        <v/>
      </c>
      <c r="C1483" s="32" t="n"/>
      <c r="D1483" s="35" t="n"/>
      <c r="E1483" s="36" t="n"/>
      <c r="F1483" s="36" t="n"/>
      <c r="G1483" s="36" t="n"/>
      <c r="H1483" s="36" t="n"/>
      <c r="I1483" s="36" t="n"/>
      <c r="J1483" s="37" t="n"/>
      <c r="K1483" s="32" t="n"/>
      <c r="L1483" s="36" t="n"/>
      <c r="M1483" s="41" t="n"/>
      <c r="N1483" s="41" t="n"/>
      <c r="O1483" s="36" t="n"/>
      <c r="P1483" s="33">
        <f>IF(C1483="","",Commercial_Id)</f>
        <v/>
      </c>
      <c r="Q1483" s="39">
        <f>IF(F1483="","",IFERROR(VALUE(MID(F1483,LEN(F1483)-3,3)),""))</f>
        <v/>
      </c>
      <c r="R1483" s="33">
        <f>IF(Q1483="","",P1483&amp;"|"&amp;Q1483)</f>
        <v/>
      </c>
      <c r="S1483" s="33">
        <f>IF(Q1483="","",IF(P1483="À RENSEIGNER","GIC",P1483)&amp;"-"&amp;TEXT(Q1483,"000"))</f>
        <v/>
      </c>
      <c r="T1483" s="33">
        <f>IF(R1483="","",IFERROR(INDEX(Cl_nom,MATCH(R1483,Cl_cle,0)),"(client introuvable)"))</f>
        <v/>
      </c>
      <c r="U1483" s="33">
        <f>IF(R1483="","",IFERROR(INDEX(Cl_quartier,MATCH(R1483,Cl_cle,0))&amp;"",""))</f>
        <v/>
      </c>
      <c r="V1483" s="34">
        <f>IF(C1483="","",YEAR(C1483-WEEKDAY(C1483,2)+4)&amp;"-S"&amp;TEXT(INT((C1483-DATE(YEAR(C1483-WEEKDAY(C1483,2)+4),1,3)+WEEKDAY(DATE(YEAR(C1483-WEEKDAY(C1483,2)+4),1,3),2)+5)/7),"00"))</f>
        <v/>
      </c>
    </row>
    <row r="1484" ht="18" customHeight="1">
      <c r="A1484" s="39" t="n">
        <v>1479</v>
      </c>
      <c r="B1484" s="33">
        <f>IF(C1484="","",IF(P1484="À RENSEIGNER","GIC",P1484)&amp;"-V"&amp;TEXT(A1484,"00000"))</f>
        <v/>
      </c>
      <c r="C1484" s="32" t="n"/>
      <c r="D1484" s="35" t="n"/>
      <c r="E1484" s="36" t="n"/>
      <c r="F1484" s="36" t="n"/>
      <c r="G1484" s="36" t="n"/>
      <c r="H1484" s="36" t="n"/>
      <c r="I1484" s="36" t="n"/>
      <c r="J1484" s="37" t="n"/>
      <c r="K1484" s="32" t="n"/>
      <c r="L1484" s="36" t="n"/>
      <c r="M1484" s="41" t="n"/>
      <c r="N1484" s="41" t="n"/>
      <c r="O1484" s="36" t="n"/>
      <c r="P1484" s="33">
        <f>IF(C1484="","",Commercial_Id)</f>
        <v/>
      </c>
      <c r="Q1484" s="39">
        <f>IF(F1484="","",IFERROR(VALUE(MID(F1484,LEN(F1484)-3,3)),""))</f>
        <v/>
      </c>
      <c r="R1484" s="33">
        <f>IF(Q1484="","",P1484&amp;"|"&amp;Q1484)</f>
        <v/>
      </c>
      <c r="S1484" s="33">
        <f>IF(Q1484="","",IF(P1484="À RENSEIGNER","GIC",P1484)&amp;"-"&amp;TEXT(Q1484,"000"))</f>
        <v/>
      </c>
      <c r="T1484" s="33">
        <f>IF(R1484="","",IFERROR(INDEX(Cl_nom,MATCH(R1484,Cl_cle,0)),"(client introuvable)"))</f>
        <v/>
      </c>
      <c r="U1484" s="33">
        <f>IF(R1484="","",IFERROR(INDEX(Cl_quartier,MATCH(R1484,Cl_cle,0))&amp;"",""))</f>
        <v/>
      </c>
      <c r="V1484" s="34">
        <f>IF(C1484="","",YEAR(C1484-WEEKDAY(C1484,2)+4)&amp;"-S"&amp;TEXT(INT((C1484-DATE(YEAR(C1484-WEEKDAY(C1484,2)+4),1,3)+WEEKDAY(DATE(YEAR(C1484-WEEKDAY(C1484,2)+4),1,3),2)+5)/7),"00"))</f>
        <v/>
      </c>
    </row>
    <row r="1485" ht="18" customHeight="1">
      <c r="A1485" s="39" t="n">
        <v>1480</v>
      </c>
      <c r="B1485" s="33">
        <f>IF(C1485="","",IF(P1485="À RENSEIGNER","GIC",P1485)&amp;"-V"&amp;TEXT(A1485,"00000"))</f>
        <v/>
      </c>
      <c r="C1485" s="32" t="n"/>
      <c r="D1485" s="35" t="n"/>
      <c r="E1485" s="36" t="n"/>
      <c r="F1485" s="36" t="n"/>
      <c r="G1485" s="36" t="n"/>
      <c r="H1485" s="36" t="n"/>
      <c r="I1485" s="36" t="n"/>
      <c r="J1485" s="37" t="n"/>
      <c r="K1485" s="32" t="n"/>
      <c r="L1485" s="36" t="n"/>
      <c r="M1485" s="41" t="n"/>
      <c r="N1485" s="41" t="n"/>
      <c r="O1485" s="36" t="n"/>
      <c r="P1485" s="33">
        <f>IF(C1485="","",Commercial_Id)</f>
        <v/>
      </c>
      <c r="Q1485" s="39">
        <f>IF(F1485="","",IFERROR(VALUE(MID(F1485,LEN(F1485)-3,3)),""))</f>
        <v/>
      </c>
      <c r="R1485" s="33">
        <f>IF(Q1485="","",P1485&amp;"|"&amp;Q1485)</f>
        <v/>
      </c>
      <c r="S1485" s="33">
        <f>IF(Q1485="","",IF(P1485="À RENSEIGNER","GIC",P1485)&amp;"-"&amp;TEXT(Q1485,"000"))</f>
        <v/>
      </c>
      <c r="T1485" s="33">
        <f>IF(R1485="","",IFERROR(INDEX(Cl_nom,MATCH(R1485,Cl_cle,0)),"(client introuvable)"))</f>
        <v/>
      </c>
      <c r="U1485" s="33">
        <f>IF(R1485="","",IFERROR(INDEX(Cl_quartier,MATCH(R1485,Cl_cle,0))&amp;"",""))</f>
        <v/>
      </c>
      <c r="V1485" s="34">
        <f>IF(C1485="","",YEAR(C1485-WEEKDAY(C1485,2)+4)&amp;"-S"&amp;TEXT(INT((C1485-DATE(YEAR(C1485-WEEKDAY(C1485,2)+4),1,3)+WEEKDAY(DATE(YEAR(C1485-WEEKDAY(C1485,2)+4),1,3),2)+5)/7),"00"))</f>
        <v/>
      </c>
    </row>
    <row r="1486" ht="18" customHeight="1">
      <c r="A1486" s="39" t="n">
        <v>1481</v>
      </c>
      <c r="B1486" s="33">
        <f>IF(C1486="","",IF(P1486="À RENSEIGNER","GIC",P1486)&amp;"-V"&amp;TEXT(A1486,"00000"))</f>
        <v/>
      </c>
      <c r="C1486" s="32" t="n"/>
      <c r="D1486" s="35" t="n"/>
      <c r="E1486" s="36" t="n"/>
      <c r="F1486" s="36" t="n"/>
      <c r="G1486" s="36" t="n"/>
      <c r="H1486" s="36" t="n"/>
      <c r="I1486" s="36" t="n"/>
      <c r="J1486" s="37" t="n"/>
      <c r="K1486" s="32" t="n"/>
      <c r="L1486" s="36" t="n"/>
      <c r="M1486" s="41" t="n"/>
      <c r="N1486" s="41" t="n"/>
      <c r="O1486" s="36" t="n"/>
      <c r="P1486" s="33">
        <f>IF(C1486="","",Commercial_Id)</f>
        <v/>
      </c>
      <c r="Q1486" s="39">
        <f>IF(F1486="","",IFERROR(VALUE(MID(F1486,LEN(F1486)-3,3)),""))</f>
        <v/>
      </c>
      <c r="R1486" s="33">
        <f>IF(Q1486="","",P1486&amp;"|"&amp;Q1486)</f>
        <v/>
      </c>
      <c r="S1486" s="33">
        <f>IF(Q1486="","",IF(P1486="À RENSEIGNER","GIC",P1486)&amp;"-"&amp;TEXT(Q1486,"000"))</f>
        <v/>
      </c>
      <c r="T1486" s="33">
        <f>IF(R1486="","",IFERROR(INDEX(Cl_nom,MATCH(R1486,Cl_cle,0)),"(client introuvable)"))</f>
        <v/>
      </c>
      <c r="U1486" s="33">
        <f>IF(R1486="","",IFERROR(INDEX(Cl_quartier,MATCH(R1486,Cl_cle,0))&amp;"",""))</f>
        <v/>
      </c>
      <c r="V1486" s="34">
        <f>IF(C1486="","",YEAR(C1486-WEEKDAY(C1486,2)+4)&amp;"-S"&amp;TEXT(INT((C1486-DATE(YEAR(C1486-WEEKDAY(C1486,2)+4),1,3)+WEEKDAY(DATE(YEAR(C1486-WEEKDAY(C1486,2)+4),1,3),2)+5)/7),"00"))</f>
        <v/>
      </c>
    </row>
    <row r="1487" ht="18" customHeight="1">
      <c r="A1487" s="39" t="n">
        <v>1482</v>
      </c>
      <c r="B1487" s="33">
        <f>IF(C1487="","",IF(P1487="À RENSEIGNER","GIC",P1487)&amp;"-V"&amp;TEXT(A1487,"00000"))</f>
        <v/>
      </c>
      <c r="C1487" s="32" t="n"/>
      <c r="D1487" s="35" t="n"/>
      <c r="E1487" s="36" t="n"/>
      <c r="F1487" s="36" t="n"/>
      <c r="G1487" s="36" t="n"/>
      <c r="H1487" s="36" t="n"/>
      <c r="I1487" s="36" t="n"/>
      <c r="J1487" s="37" t="n"/>
      <c r="K1487" s="32" t="n"/>
      <c r="L1487" s="36" t="n"/>
      <c r="M1487" s="41" t="n"/>
      <c r="N1487" s="41" t="n"/>
      <c r="O1487" s="36" t="n"/>
      <c r="P1487" s="33">
        <f>IF(C1487="","",Commercial_Id)</f>
        <v/>
      </c>
      <c r="Q1487" s="39">
        <f>IF(F1487="","",IFERROR(VALUE(MID(F1487,LEN(F1487)-3,3)),""))</f>
        <v/>
      </c>
      <c r="R1487" s="33">
        <f>IF(Q1487="","",P1487&amp;"|"&amp;Q1487)</f>
        <v/>
      </c>
      <c r="S1487" s="33">
        <f>IF(Q1487="","",IF(P1487="À RENSEIGNER","GIC",P1487)&amp;"-"&amp;TEXT(Q1487,"000"))</f>
        <v/>
      </c>
      <c r="T1487" s="33">
        <f>IF(R1487="","",IFERROR(INDEX(Cl_nom,MATCH(R1487,Cl_cle,0)),"(client introuvable)"))</f>
        <v/>
      </c>
      <c r="U1487" s="33">
        <f>IF(R1487="","",IFERROR(INDEX(Cl_quartier,MATCH(R1487,Cl_cle,0))&amp;"",""))</f>
        <v/>
      </c>
      <c r="V1487" s="34">
        <f>IF(C1487="","",YEAR(C1487-WEEKDAY(C1487,2)+4)&amp;"-S"&amp;TEXT(INT((C1487-DATE(YEAR(C1487-WEEKDAY(C1487,2)+4),1,3)+WEEKDAY(DATE(YEAR(C1487-WEEKDAY(C1487,2)+4),1,3),2)+5)/7),"00"))</f>
        <v/>
      </c>
    </row>
    <row r="1488" ht="18" customHeight="1">
      <c r="A1488" s="39" t="n">
        <v>1483</v>
      </c>
      <c r="B1488" s="33">
        <f>IF(C1488="","",IF(P1488="À RENSEIGNER","GIC",P1488)&amp;"-V"&amp;TEXT(A1488,"00000"))</f>
        <v/>
      </c>
      <c r="C1488" s="32" t="n"/>
      <c r="D1488" s="35" t="n"/>
      <c r="E1488" s="36" t="n"/>
      <c r="F1488" s="36" t="n"/>
      <c r="G1488" s="36" t="n"/>
      <c r="H1488" s="36" t="n"/>
      <c r="I1488" s="36" t="n"/>
      <c r="J1488" s="37" t="n"/>
      <c r="K1488" s="32" t="n"/>
      <c r="L1488" s="36" t="n"/>
      <c r="M1488" s="41" t="n"/>
      <c r="N1488" s="41" t="n"/>
      <c r="O1488" s="36" t="n"/>
      <c r="P1488" s="33">
        <f>IF(C1488="","",Commercial_Id)</f>
        <v/>
      </c>
      <c r="Q1488" s="39">
        <f>IF(F1488="","",IFERROR(VALUE(MID(F1488,LEN(F1488)-3,3)),""))</f>
        <v/>
      </c>
      <c r="R1488" s="33">
        <f>IF(Q1488="","",P1488&amp;"|"&amp;Q1488)</f>
        <v/>
      </c>
      <c r="S1488" s="33">
        <f>IF(Q1488="","",IF(P1488="À RENSEIGNER","GIC",P1488)&amp;"-"&amp;TEXT(Q1488,"000"))</f>
        <v/>
      </c>
      <c r="T1488" s="33">
        <f>IF(R1488="","",IFERROR(INDEX(Cl_nom,MATCH(R1488,Cl_cle,0)),"(client introuvable)"))</f>
        <v/>
      </c>
      <c r="U1488" s="33">
        <f>IF(R1488="","",IFERROR(INDEX(Cl_quartier,MATCH(R1488,Cl_cle,0))&amp;"",""))</f>
        <v/>
      </c>
      <c r="V1488" s="34">
        <f>IF(C1488="","",YEAR(C1488-WEEKDAY(C1488,2)+4)&amp;"-S"&amp;TEXT(INT((C1488-DATE(YEAR(C1488-WEEKDAY(C1488,2)+4),1,3)+WEEKDAY(DATE(YEAR(C1488-WEEKDAY(C1488,2)+4),1,3),2)+5)/7),"00"))</f>
        <v/>
      </c>
    </row>
    <row r="1489" ht="18" customHeight="1">
      <c r="A1489" s="39" t="n">
        <v>1484</v>
      </c>
      <c r="B1489" s="33">
        <f>IF(C1489="","",IF(P1489="À RENSEIGNER","GIC",P1489)&amp;"-V"&amp;TEXT(A1489,"00000"))</f>
        <v/>
      </c>
      <c r="C1489" s="32" t="n"/>
      <c r="D1489" s="35" t="n"/>
      <c r="E1489" s="36" t="n"/>
      <c r="F1489" s="36" t="n"/>
      <c r="G1489" s="36" t="n"/>
      <c r="H1489" s="36" t="n"/>
      <c r="I1489" s="36" t="n"/>
      <c r="J1489" s="37" t="n"/>
      <c r="K1489" s="32" t="n"/>
      <c r="L1489" s="36" t="n"/>
      <c r="M1489" s="41" t="n"/>
      <c r="N1489" s="41" t="n"/>
      <c r="O1489" s="36" t="n"/>
      <c r="P1489" s="33">
        <f>IF(C1489="","",Commercial_Id)</f>
        <v/>
      </c>
      <c r="Q1489" s="39">
        <f>IF(F1489="","",IFERROR(VALUE(MID(F1489,LEN(F1489)-3,3)),""))</f>
        <v/>
      </c>
      <c r="R1489" s="33">
        <f>IF(Q1489="","",P1489&amp;"|"&amp;Q1489)</f>
        <v/>
      </c>
      <c r="S1489" s="33">
        <f>IF(Q1489="","",IF(P1489="À RENSEIGNER","GIC",P1489)&amp;"-"&amp;TEXT(Q1489,"000"))</f>
        <v/>
      </c>
      <c r="T1489" s="33">
        <f>IF(R1489="","",IFERROR(INDEX(Cl_nom,MATCH(R1489,Cl_cle,0)),"(client introuvable)"))</f>
        <v/>
      </c>
      <c r="U1489" s="33">
        <f>IF(R1489="","",IFERROR(INDEX(Cl_quartier,MATCH(R1489,Cl_cle,0))&amp;"",""))</f>
        <v/>
      </c>
      <c r="V1489" s="34">
        <f>IF(C1489="","",YEAR(C1489-WEEKDAY(C1489,2)+4)&amp;"-S"&amp;TEXT(INT((C1489-DATE(YEAR(C1489-WEEKDAY(C1489,2)+4),1,3)+WEEKDAY(DATE(YEAR(C1489-WEEKDAY(C1489,2)+4),1,3),2)+5)/7),"00"))</f>
        <v/>
      </c>
    </row>
    <row r="1490" ht="18" customHeight="1">
      <c r="A1490" s="39" t="n">
        <v>1485</v>
      </c>
      <c r="B1490" s="33">
        <f>IF(C1490="","",IF(P1490="À RENSEIGNER","GIC",P1490)&amp;"-V"&amp;TEXT(A1490,"00000"))</f>
        <v/>
      </c>
      <c r="C1490" s="32" t="n"/>
      <c r="D1490" s="35" t="n"/>
      <c r="E1490" s="36" t="n"/>
      <c r="F1490" s="36" t="n"/>
      <c r="G1490" s="36" t="n"/>
      <c r="H1490" s="36" t="n"/>
      <c r="I1490" s="36" t="n"/>
      <c r="J1490" s="37" t="n"/>
      <c r="K1490" s="32" t="n"/>
      <c r="L1490" s="36" t="n"/>
      <c r="M1490" s="41" t="n"/>
      <c r="N1490" s="41" t="n"/>
      <c r="O1490" s="36" t="n"/>
      <c r="P1490" s="33">
        <f>IF(C1490="","",Commercial_Id)</f>
        <v/>
      </c>
      <c r="Q1490" s="39">
        <f>IF(F1490="","",IFERROR(VALUE(MID(F1490,LEN(F1490)-3,3)),""))</f>
        <v/>
      </c>
      <c r="R1490" s="33">
        <f>IF(Q1490="","",P1490&amp;"|"&amp;Q1490)</f>
        <v/>
      </c>
      <c r="S1490" s="33">
        <f>IF(Q1490="","",IF(P1490="À RENSEIGNER","GIC",P1490)&amp;"-"&amp;TEXT(Q1490,"000"))</f>
        <v/>
      </c>
      <c r="T1490" s="33">
        <f>IF(R1490="","",IFERROR(INDEX(Cl_nom,MATCH(R1490,Cl_cle,0)),"(client introuvable)"))</f>
        <v/>
      </c>
      <c r="U1490" s="33">
        <f>IF(R1490="","",IFERROR(INDEX(Cl_quartier,MATCH(R1490,Cl_cle,0))&amp;"",""))</f>
        <v/>
      </c>
      <c r="V1490" s="34">
        <f>IF(C1490="","",YEAR(C1490-WEEKDAY(C1490,2)+4)&amp;"-S"&amp;TEXT(INT((C1490-DATE(YEAR(C1490-WEEKDAY(C1490,2)+4),1,3)+WEEKDAY(DATE(YEAR(C1490-WEEKDAY(C1490,2)+4),1,3),2)+5)/7),"00"))</f>
        <v/>
      </c>
    </row>
    <row r="1491" ht="18" customHeight="1">
      <c r="A1491" s="39" t="n">
        <v>1486</v>
      </c>
      <c r="B1491" s="33">
        <f>IF(C1491="","",IF(P1491="À RENSEIGNER","GIC",P1491)&amp;"-V"&amp;TEXT(A1491,"00000"))</f>
        <v/>
      </c>
      <c r="C1491" s="32" t="n"/>
      <c r="D1491" s="35" t="n"/>
      <c r="E1491" s="36" t="n"/>
      <c r="F1491" s="36" t="n"/>
      <c r="G1491" s="36" t="n"/>
      <c r="H1491" s="36" t="n"/>
      <c r="I1491" s="36" t="n"/>
      <c r="J1491" s="37" t="n"/>
      <c r="K1491" s="32" t="n"/>
      <c r="L1491" s="36" t="n"/>
      <c r="M1491" s="41" t="n"/>
      <c r="N1491" s="41" t="n"/>
      <c r="O1491" s="36" t="n"/>
      <c r="P1491" s="33">
        <f>IF(C1491="","",Commercial_Id)</f>
        <v/>
      </c>
      <c r="Q1491" s="39">
        <f>IF(F1491="","",IFERROR(VALUE(MID(F1491,LEN(F1491)-3,3)),""))</f>
        <v/>
      </c>
      <c r="R1491" s="33">
        <f>IF(Q1491="","",P1491&amp;"|"&amp;Q1491)</f>
        <v/>
      </c>
      <c r="S1491" s="33">
        <f>IF(Q1491="","",IF(P1491="À RENSEIGNER","GIC",P1491)&amp;"-"&amp;TEXT(Q1491,"000"))</f>
        <v/>
      </c>
      <c r="T1491" s="33">
        <f>IF(R1491="","",IFERROR(INDEX(Cl_nom,MATCH(R1491,Cl_cle,0)),"(client introuvable)"))</f>
        <v/>
      </c>
      <c r="U1491" s="33">
        <f>IF(R1491="","",IFERROR(INDEX(Cl_quartier,MATCH(R1491,Cl_cle,0))&amp;"",""))</f>
        <v/>
      </c>
      <c r="V1491" s="34">
        <f>IF(C1491="","",YEAR(C1491-WEEKDAY(C1491,2)+4)&amp;"-S"&amp;TEXT(INT((C1491-DATE(YEAR(C1491-WEEKDAY(C1491,2)+4),1,3)+WEEKDAY(DATE(YEAR(C1491-WEEKDAY(C1491,2)+4),1,3),2)+5)/7),"00"))</f>
        <v/>
      </c>
    </row>
    <row r="1492" ht="18" customHeight="1">
      <c r="A1492" s="39" t="n">
        <v>1487</v>
      </c>
      <c r="B1492" s="33">
        <f>IF(C1492="","",IF(P1492="À RENSEIGNER","GIC",P1492)&amp;"-V"&amp;TEXT(A1492,"00000"))</f>
        <v/>
      </c>
      <c r="C1492" s="32" t="n"/>
      <c r="D1492" s="35" t="n"/>
      <c r="E1492" s="36" t="n"/>
      <c r="F1492" s="36" t="n"/>
      <c r="G1492" s="36" t="n"/>
      <c r="H1492" s="36" t="n"/>
      <c r="I1492" s="36" t="n"/>
      <c r="J1492" s="37" t="n"/>
      <c r="K1492" s="32" t="n"/>
      <c r="L1492" s="36" t="n"/>
      <c r="M1492" s="41" t="n"/>
      <c r="N1492" s="41" t="n"/>
      <c r="O1492" s="36" t="n"/>
      <c r="P1492" s="33">
        <f>IF(C1492="","",Commercial_Id)</f>
        <v/>
      </c>
      <c r="Q1492" s="39">
        <f>IF(F1492="","",IFERROR(VALUE(MID(F1492,LEN(F1492)-3,3)),""))</f>
        <v/>
      </c>
      <c r="R1492" s="33">
        <f>IF(Q1492="","",P1492&amp;"|"&amp;Q1492)</f>
        <v/>
      </c>
      <c r="S1492" s="33">
        <f>IF(Q1492="","",IF(P1492="À RENSEIGNER","GIC",P1492)&amp;"-"&amp;TEXT(Q1492,"000"))</f>
        <v/>
      </c>
      <c r="T1492" s="33">
        <f>IF(R1492="","",IFERROR(INDEX(Cl_nom,MATCH(R1492,Cl_cle,0)),"(client introuvable)"))</f>
        <v/>
      </c>
      <c r="U1492" s="33">
        <f>IF(R1492="","",IFERROR(INDEX(Cl_quartier,MATCH(R1492,Cl_cle,0))&amp;"",""))</f>
        <v/>
      </c>
      <c r="V1492" s="34">
        <f>IF(C1492="","",YEAR(C1492-WEEKDAY(C1492,2)+4)&amp;"-S"&amp;TEXT(INT((C1492-DATE(YEAR(C1492-WEEKDAY(C1492,2)+4),1,3)+WEEKDAY(DATE(YEAR(C1492-WEEKDAY(C1492,2)+4),1,3),2)+5)/7),"00"))</f>
        <v/>
      </c>
    </row>
    <row r="1493" ht="18" customHeight="1">
      <c r="A1493" s="39" t="n">
        <v>1488</v>
      </c>
      <c r="B1493" s="33">
        <f>IF(C1493="","",IF(P1493="À RENSEIGNER","GIC",P1493)&amp;"-V"&amp;TEXT(A1493,"00000"))</f>
        <v/>
      </c>
      <c r="C1493" s="32" t="n"/>
      <c r="D1493" s="35" t="n"/>
      <c r="E1493" s="36" t="n"/>
      <c r="F1493" s="36" t="n"/>
      <c r="G1493" s="36" t="n"/>
      <c r="H1493" s="36" t="n"/>
      <c r="I1493" s="36" t="n"/>
      <c r="J1493" s="37" t="n"/>
      <c r="K1493" s="32" t="n"/>
      <c r="L1493" s="36" t="n"/>
      <c r="M1493" s="41" t="n"/>
      <c r="N1493" s="41" t="n"/>
      <c r="O1493" s="36" t="n"/>
      <c r="P1493" s="33">
        <f>IF(C1493="","",Commercial_Id)</f>
        <v/>
      </c>
      <c r="Q1493" s="39">
        <f>IF(F1493="","",IFERROR(VALUE(MID(F1493,LEN(F1493)-3,3)),""))</f>
        <v/>
      </c>
      <c r="R1493" s="33">
        <f>IF(Q1493="","",P1493&amp;"|"&amp;Q1493)</f>
        <v/>
      </c>
      <c r="S1493" s="33">
        <f>IF(Q1493="","",IF(P1493="À RENSEIGNER","GIC",P1493)&amp;"-"&amp;TEXT(Q1493,"000"))</f>
        <v/>
      </c>
      <c r="T1493" s="33">
        <f>IF(R1493="","",IFERROR(INDEX(Cl_nom,MATCH(R1493,Cl_cle,0)),"(client introuvable)"))</f>
        <v/>
      </c>
      <c r="U1493" s="33">
        <f>IF(R1493="","",IFERROR(INDEX(Cl_quartier,MATCH(R1493,Cl_cle,0))&amp;"",""))</f>
        <v/>
      </c>
      <c r="V1493" s="34">
        <f>IF(C1493="","",YEAR(C1493-WEEKDAY(C1493,2)+4)&amp;"-S"&amp;TEXT(INT((C1493-DATE(YEAR(C1493-WEEKDAY(C1493,2)+4),1,3)+WEEKDAY(DATE(YEAR(C1493-WEEKDAY(C1493,2)+4),1,3),2)+5)/7),"00"))</f>
        <v/>
      </c>
    </row>
    <row r="1494" ht="18" customHeight="1">
      <c r="A1494" s="39" t="n">
        <v>1489</v>
      </c>
      <c r="B1494" s="33">
        <f>IF(C1494="","",IF(P1494="À RENSEIGNER","GIC",P1494)&amp;"-V"&amp;TEXT(A1494,"00000"))</f>
        <v/>
      </c>
      <c r="C1494" s="32" t="n"/>
      <c r="D1494" s="35" t="n"/>
      <c r="E1494" s="36" t="n"/>
      <c r="F1494" s="36" t="n"/>
      <c r="G1494" s="36" t="n"/>
      <c r="H1494" s="36" t="n"/>
      <c r="I1494" s="36" t="n"/>
      <c r="J1494" s="37" t="n"/>
      <c r="K1494" s="32" t="n"/>
      <c r="L1494" s="36" t="n"/>
      <c r="M1494" s="41" t="n"/>
      <c r="N1494" s="41" t="n"/>
      <c r="O1494" s="36" t="n"/>
      <c r="P1494" s="33">
        <f>IF(C1494="","",Commercial_Id)</f>
        <v/>
      </c>
      <c r="Q1494" s="39">
        <f>IF(F1494="","",IFERROR(VALUE(MID(F1494,LEN(F1494)-3,3)),""))</f>
        <v/>
      </c>
      <c r="R1494" s="33">
        <f>IF(Q1494="","",P1494&amp;"|"&amp;Q1494)</f>
        <v/>
      </c>
      <c r="S1494" s="33">
        <f>IF(Q1494="","",IF(P1494="À RENSEIGNER","GIC",P1494)&amp;"-"&amp;TEXT(Q1494,"000"))</f>
        <v/>
      </c>
      <c r="T1494" s="33">
        <f>IF(R1494="","",IFERROR(INDEX(Cl_nom,MATCH(R1494,Cl_cle,0)),"(client introuvable)"))</f>
        <v/>
      </c>
      <c r="U1494" s="33">
        <f>IF(R1494="","",IFERROR(INDEX(Cl_quartier,MATCH(R1494,Cl_cle,0))&amp;"",""))</f>
        <v/>
      </c>
      <c r="V1494" s="34">
        <f>IF(C1494="","",YEAR(C1494-WEEKDAY(C1494,2)+4)&amp;"-S"&amp;TEXT(INT((C1494-DATE(YEAR(C1494-WEEKDAY(C1494,2)+4),1,3)+WEEKDAY(DATE(YEAR(C1494-WEEKDAY(C1494,2)+4),1,3),2)+5)/7),"00"))</f>
        <v/>
      </c>
    </row>
    <row r="1495" ht="18" customHeight="1">
      <c r="A1495" s="39" t="n">
        <v>1490</v>
      </c>
      <c r="B1495" s="33">
        <f>IF(C1495="","",IF(P1495="À RENSEIGNER","GIC",P1495)&amp;"-V"&amp;TEXT(A1495,"00000"))</f>
        <v/>
      </c>
      <c r="C1495" s="32" t="n"/>
      <c r="D1495" s="35" t="n"/>
      <c r="E1495" s="36" t="n"/>
      <c r="F1495" s="36" t="n"/>
      <c r="G1495" s="36" t="n"/>
      <c r="H1495" s="36" t="n"/>
      <c r="I1495" s="36" t="n"/>
      <c r="J1495" s="37" t="n"/>
      <c r="K1495" s="32" t="n"/>
      <c r="L1495" s="36" t="n"/>
      <c r="M1495" s="41" t="n"/>
      <c r="N1495" s="41" t="n"/>
      <c r="O1495" s="36" t="n"/>
      <c r="P1495" s="33">
        <f>IF(C1495="","",Commercial_Id)</f>
        <v/>
      </c>
      <c r="Q1495" s="39">
        <f>IF(F1495="","",IFERROR(VALUE(MID(F1495,LEN(F1495)-3,3)),""))</f>
        <v/>
      </c>
      <c r="R1495" s="33">
        <f>IF(Q1495="","",P1495&amp;"|"&amp;Q1495)</f>
        <v/>
      </c>
      <c r="S1495" s="33">
        <f>IF(Q1495="","",IF(P1495="À RENSEIGNER","GIC",P1495)&amp;"-"&amp;TEXT(Q1495,"000"))</f>
        <v/>
      </c>
      <c r="T1495" s="33">
        <f>IF(R1495="","",IFERROR(INDEX(Cl_nom,MATCH(R1495,Cl_cle,0)),"(client introuvable)"))</f>
        <v/>
      </c>
      <c r="U1495" s="33">
        <f>IF(R1495="","",IFERROR(INDEX(Cl_quartier,MATCH(R1495,Cl_cle,0))&amp;"",""))</f>
        <v/>
      </c>
      <c r="V1495" s="34">
        <f>IF(C1495="","",YEAR(C1495-WEEKDAY(C1495,2)+4)&amp;"-S"&amp;TEXT(INT((C1495-DATE(YEAR(C1495-WEEKDAY(C1495,2)+4),1,3)+WEEKDAY(DATE(YEAR(C1495-WEEKDAY(C1495,2)+4),1,3),2)+5)/7),"00"))</f>
        <v/>
      </c>
    </row>
    <row r="1496" ht="18" customHeight="1">
      <c r="A1496" s="39" t="n">
        <v>1491</v>
      </c>
      <c r="B1496" s="33">
        <f>IF(C1496="","",IF(P1496="À RENSEIGNER","GIC",P1496)&amp;"-V"&amp;TEXT(A1496,"00000"))</f>
        <v/>
      </c>
      <c r="C1496" s="32" t="n"/>
      <c r="D1496" s="35" t="n"/>
      <c r="E1496" s="36" t="n"/>
      <c r="F1496" s="36" t="n"/>
      <c r="G1496" s="36" t="n"/>
      <c r="H1496" s="36" t="n"/>
      <c r="I1496" s="36" t="n"/>
      <c r="J1496" s="37" t="n"/>
      <c r="K1496" s="32" t="n"/>
      <c r="L1496" s="36" t="n"/>
      <c r="M1496" s="41" t="n"/>
      <c r="N1496" s="41" t="n"/>
      <c r="O1496" s="36" t="n"/>
      <c r="P1496" s="33">
        <f>IF(C1496="","",Commercial_Id)</f>
        <v/>
      </c>
      <c r="Q1496" s="39">
        <f>IF(F1496="","",IFERROR(VALUE(MID(F1496,LEN(F1496)-3,3)),""))</f>
        <v/>
      </c>
      <c r="R1496" s="33">
        <f>IF(Q1496="","",P1496&amp;"|"&amp;Q1496)</f>
        <v/>
      </c>
      <c r="S1496" s="33">
        <f>IF(Q1496="","",IF(P1496="À RENSEIGNER","GIC",P1496)&amp;"-"&amp;TEXT(Q1496,"000"))</f>
        <v/>
      </c>
      <c r="T1496" s="33">
        <f>IF(R1496="","",IFERROR(INDEX(Cl_nom,MATCH(R1496,Cl_cle,0)),"(client introuvable)"))</f>
        <v/>
      </c>
      <c r="U1496" s="33">
        <f>IF(R1496="","",IFERROR(INDEX(Cl_quartier,MATCH(R1496,Cl_cle,0))&amp;"",""))</f>
        <v/>
      </c>
      <c r="V1496" s="34">
        <f>IF(C1496="","",YEAR(C1496-WEEKDAY(C1496,2)+4)&amp;"-S"&amp;TEXT(INT((C1496-DATE(YEAR(C1496-WEEKDAY(C1496,2)+4),1,3)+WEEKDAY(DATE(YEAR(C1496-WEEKDAY(C1496,2)+4),1,3),2)+5)/7),"00"))</f>
        <v/>
      </c>
    </row>
    <row r="1497" ht="18" customHeight="1">
      <c r="A1497" s="39" t="n">
        <v>1492</v>
      </c>
      <c r="B1497" s="33">
        <f>IF(C1497="","",IF(P1497="À RENSEIGNER","GIC",P1497)&amp;"-V"&amp;TEXT(A1497,"00000"))</f>
        <v/>
      </c>
      <c r="C1497" s="32" t="n"/>
      <c r="D1497" s="35" t="n"/>
      <c r="E1497" s="36" t="n"/>
      <c r="F1497" s="36" t="n"/>
      <c r="G1497" s="36" t="n"/>
      <c r="H1497" s="36" t="n"/>
      <c r="I1497" s="36" t="n"/>
      <c r="J1497" s="37" t="n"/>
      <c r="K1497" s="32" t="n"/>
      <c r="L1497" s="36" t="n"/>
      <c r="M1497" s="41" t="n"/>
      <c r="N1497" s="41" t="n"/>
      <c r="O1497" s="36" t="n"/>
      <c r="P1497" s="33">
        <f>IF(C1497="","",Commercial_Id)</f>
        <v/>
      </c>
      <c r="Q1497" s="39">
        <f>IF(F1497="","",IFERROR(VALUE(MID(F1497,LEN(F1497)-3,3)),""))</f>
        <v/>
      </c>
      <c r="R1497" s="33">
        <f>IF(Q1497="","",P1497&amp;"|"&amp;Q1497)</f>
        <v/>
      </c>
      <c r="S1497" s="33">
        <f>IF(Q1497="","",IF(P1497="À RENSEIGNER","GIC",P1497)&amp;"-"&amp;TEXT(Q1497,"000"))</f>
        <v/>
      </c>
      <c r="T1497" s="33">
        <f>IF(R1497="","",IFERROR(INDEX(Cl_nom,MATCH(R1497,Cl_cle,0)),"(client introuvable)"))</f>
        <v/>
      </c>
      <c r="U1497" s="33">
        <f>IF(R1497="","",IFERROR(INDEX(Cl_quartier,MATCH(R1497,Cl_cle,0))&amp;"",""))</f>
        <v/>
      </c>
      <c r="V1497" s="34">
        <f>IF(C1497="","",YEAR(C1497-WEEKDAY(C1497,2)+4)&amp;"-S"&amp;TEXT(INT((C1497-DATE(YEAR(C1497-WEEKDAY(C1497,2)+4),1,3)+WEEKDAY(DATE(YEAR(C1497-WEEKDAY(C1497,2)+4),1,3),2)+5)/7),"00"))</f>
        <v/>
      </c>
    </row>
    <row r="1498" ht="18" customHeight="1">
      <c r="A1498" s="39" t="n">
        <v>1493</v>
      </c>
      <c r="B1498" s="33">
        <f>IF(C1498="","",IF(P1498="À RENSEIGNER","GIC",P1498)&amp;"-V"&amp;TEXT(A1498,"00000"))</f>
        <v/>
      </c>
      <c r="C1498" s="32" t="n"/>
      <c r="D1498" s="35" t="n"/>
      <c r="E1498" s="36" t="n"/>
      <c r="F1498" s="36" t="n"/>
      <c r="G1498" s="36" t="n"/>
      <c r="H1498" s="36" t="n"/>
      <c r="I1498" s="36" t="n"/>
      <c r="J1498" s="37" t="n"/>
      <c r="K1498" s="32" t="n"/>
      <c r="L1498" s="36" t="n"/>
      <c r="M1498" s="41" t="n"/>
      <c r="N1498" s="41" t="n"/>
      <c r="O1498" s="36" t="n"/>
      <c r="P1498" s="33">
        <f>IF(C1498="","",Commercial_Id)</f>
        <v/>
      </c>
      <c r="Q1498" s="39">
        <f>IF(F1498="","",IFERROR(VALUE(MID(F1498,LEN(F1498)-3,3)),""))</f>
        <v/>
      </c>
      <c r="R1498" s="33">
        <f>IF(Q1498="","",P1498&amp;"|"&amp;Q1498)</f>
        <v/>
      </c>
      <c r="S1498" s="33">
        <f>IF(Q1498="","",IF(P1498="À RENSEIGNER","GIC",P1498)&amp;"-"&amp;TEXT(Q1498,"000"))</f>
        <v/>
      </c>
      <c r="T1498" s="33">
        <f>IF(R1498="","",IFERROR(INDEX(Cl_nom,MATCH(R1498,Cl_cle,0)),"(client introuvable)"))</f>
        <v/>
      </c>
      <c r="U1498" s="33">
        <f>IF(R1498="","",IFERROR(INDEX(Cl_quartier,MATCH(R1498,Cl_cle,0))&amp;"",""))</f>
        <v/>
      </c>
      <c r="V1498" s="34">
        <f>IF(C1498="","",YEAR(C1498-WEEKDAY(C1498,2)+4)&amp;"-S"&amp;TEXT(INT((C1498-DATE(YEAR(C1498-WEEKDAY(C1498,2)+4),1,3)+WEEKDAY(DATE(YEAR(C1498-WEEKDAY(C1498,2)+4),1,3),2)+5)/7),"00"))</f>
        <v/>
      </c>
    </row>
    <row r="1499" ht="18" customHeight="1">
      <c r="A1499" s="39" t="n">
        <v>1494</v>
      </c>
      <c r="B1499" s="33">
        <f>IF(C1499="","",IF(P1499="À RENSEIGNER","GIC",P1499)&amp;"-V"&amp;TEXT(A1499,"00000"))</f>
        <v/>
      </c>
      <c r="C1499" s="32" t="n"/>
      <c r="D1499" s="35" t="n"/>
      <c r="E1499" s="36" t="n"/>
      <c r="F1499" s="36" t="n"/>
      <c r="G1499" s="36" t="n"/>
      <c r="H1499" s="36" t="n"/>
      <c r="I1499" s="36" t="n"/>
      <c r="J1499" s="37" t="n"/>
      <c r="K1499" s="32" t="n"/>
      <c r="L1499" s="36" t="n"/>
      <c r="M1499" s="41" t="n"/>
      <c r="N1499" s="41" t="n"/>
      <c r="O1499" s="36" t="n"/>
      <c r="P1499" s="33">
        <f>IF(C1499="","",Commercial_Id)</f>
        <v/>
      </c>
      <c r="Q1499" s="39">
        <f>IF(F1499="","",IFERROR(VALUE(MID(F1499,LEN(F1499)-3,3)),""))</f>
        <v/>
      </c>
      <c r="R1499" s="33">
        <f>IF(Q1499="","",P1499&amp;"|"&amp;Q1499)</f>
        <v/>
      </c>
      <c r="S1499" s="33">
        <f>IF(Q1499="","",IF(P1499="À RENSEIGNER","GIC",P1499)&amp;"-"&amp;TEXT(Q1499,"000"))</f>
        <v/>
      </c>
      <c r="T1499" s="33">
        <f>IF(R1499="","",IFERROR(INDEX(Cl_nom,MATCH(R1499,Cl_cle,0)),"(client introuvable)"))</f>
        <v/>
      </c>
      <c r="U1499" s="33">
        <f>IF(R1499="","",IFERROR(INDEX(Cl_quartier,MATCH(R1499,Cl_cle,0))&amp;"",""))</f>
        <v/>
      </c>
      <c r="V1499" s="34">
        <f>IF(C1499="","",YEAR(C1499-WEEKDAY(C1499,2)+4)&amp;"-S"&amp;TEXT(INT((C1499-DATE(YEAR(C1499-WEEKDAY(C1499,2)+4),1,3)+WEEKDAY(DATE(YEAR(C1499-WEEKDAY(C1499,2)+4),1,3),2)+5)/7),"00"))</f>
        <v/>
      </c>
    </row>
    <row r="1500" ht="18" customHeight="1">
      <c r="A1500" s="39" t="n">
        <v>1495</v>
      </c>
      <c r="B1500" s="33">
        <f>IF(C1500="","",IF(P1500="À RENSEIGNER","GIC",P1500)&amp;"-V"&amp;TEXT(A1500,"00000"))</f>
        <v/>
      </c>
      <c r="C1500" s="32" t="n"/>
      <c r="D1500" s="35" t="n"/>
      <c r="E1500" s="36" t="n"/>
      <c r="F1500" s="36" t="n"/>
      <c r="G1500" s="36" t="n"/>
      <c r="H1500" s="36" t="n"/>
      <c r="I1500" s="36" t="n"/>
      <c r="J1500" s="37" t="n"/>
      <c r="K1500" s="32" t="n"/>
      <c r="L1500" s="36" t="n"/>
      <c r="M1500" s="41" t="n"/>
      <c r="N1500" s="41" t="n"/>
      <c r="O1500" s="36" t="n"/>
      <c r="P1500" s="33">
        <f>IF(C1500="","",Commercial_Id)</f>
        <v/>
      </c>
      <c r="Q1500" s="39">
        <f>IF(F1500="","",IFERROR(VALUE(MID(F1500,LEN(F1500)-3,3)),""))</f>
        <v/>
      </c>
      <c r="R1500" s="33">
        <f>IF(Q1500="","",P1500&amp;"|"&amp;Q1500)</f>
        <v/>
      </c>
      <c r="S1500" s="33">
        <f>IF(Q1500="","",IF(P1500="À RENSEIGNER","GIC",P1500)&amp;"-"&amp;TEXT(Q1500,"000"))</f>
        <v/>
      </c>
      <c r="T1500" s="33">
        <f>IF(R1500="","",IFERROR(INDEX(Cl_nom,MATCH(R1500,Cl_cle,0)),"(client introuvable)"))</f>
        <v/>
      </c>
      <c r="U1500" s="33">
        <f>IF(R1500="","",IFERROR(INDEX(Cl_quartier,MATCH(R1500,Cl_cle,0))&amp;"",""))</f>
        <v/>
      </c>
      <c r="V1500" s="34">
        <f>IF(C1500="","",YEAR(C1500-WEEKDAY(C1500,2)+4)&amp;"-S"&amp;TEXT(INT((C1500-DATE(YEAR(C1500-WEEKDAY(C1500,2)+4),1,3)+WEEKDAY(DATE(YEAR(C1500-WEEKDAY(C1500,2)+4),1,3),2)+5)/7),"00"))</f>
        <v/>
      </c>
    </row>
    <row r="1501" ht="18" customHeight="1">
      <c r="A1501" s="39" t="n">
        <v>1496</v>
      </c>
      <c r="B1501" s="33">
        <f>IF(C1501="","",IF(P1501="À RENSEIGNER","GIC",P1501)&amp;"-V"&amp;TEXT(A1501,"00000"))</f>
        <v/>
      </c>
      <c r="C1501" s="32" t="n"/>
      <c r="D1501" s="35" t="n"/>
      <c r="E1501" s="36" t="n"/>
      <c r="F1501" s="36" t="n"/>
      <c r="G1501" s="36" t="n"/>
      <c r="H1501" s="36" t="n"/>
      <c r="I1501" s="36" t="n"/>
      <c r="J1501" s="37" t="n"/>
      <c r="K1501" s="32" t="n"/>
      <c r="L1501" s="36" t="n"/>
      <c r="M1501" s="41" t="n"/>
      <c r="N1501" s="41" t="n"/>
      <c r="O1501" s="36" t="n"/>
      <c r="P1501" s="33">
        <f>IF(C1501="","",Commercial_Id)</f>
        <v/>
      </c>
      <c r="Q1501" s="39">
        <f>IF(F1501="","",IFERROR(VALUE(MID(F1501,LEN(F1501)-3,3)),""))</f>
        <v/>
      </c>
      <c r="R1501" s="33">
        <f>IF(Q1501="","",P1501&amp;"|"&amp;Q1501)</f>
        <v/>
      </c>
      <c r="S1501" s="33">
        <f>IF(Q1501="","",IF(P1501="À RENSEIGNER","GIC",P1501)&amp;"-"&amp;TEXT(Q1501,"000"))</f>
        <v/>
      </c>
      <c r="T1501" s="33">
        <f>IF(R1501="","",IFERROR(INDEX(Cl_nom,MATCH(R1501,Cl_cle,0)),"(client introuvable)"))</f>
        <v/>
      </c>
      <c r="U1501" s="33">
        <f>IF(R1501="","",IFERROR(INDEX(Cl_quartier,MATCH(R1501,Cl_cle,0))&amp;"",""))</f>
        <v/>
      </c>
      <c r="V1501" s="34">
        <f>IF(C1501="","",YEAR(C1501-WEEKDAY(C1501,2)+4)&amp;"-S"&amp;TEXT(INT((C1501-DATE(YEAR(C1501-WEEKDAY(C1501,2)+4),1,3)+WEEKDAY(DATE(YEAR(C1501-WEEKDAY(C1501,2)+4),1,3),2)+5)/7),"00"))</f>
        <v/>
      </c>
    </row>
    <row r="1502" ht="18" customHeight="1">
      <c r="A1502" s="39" t="n">
        <v>1497</v>
      </c>
      <c r="B1502" s="33">
        <f>IF(C1502="","",IF(P1502="À RENSEIGNER","GIC",P1502)&amp;"-V"&amp;TEXT(A1502,"00000"))</f>
        <v/>
      </c>
      <c r="C1502" s="32" t="n"/>
      <c r="D1502" s="35" t="n"/>
      <c r="E1502" s="36" t="n"/>
      <c r="F1502" s="36" t="n"/>
      <c r="G1502" s="36" t="n"/>
      <c r="H1502" s="36" t="n"/>
      <c r="I1502" s="36" t="n"/>
      <c r="J1502" s="37" t="n"/>
      <c r="K1502" s="32" t="n"/>
      <c r="L1502" s="36" t="n"/>
      <c r="M1502" s="41" t="n"/>
      <c r="N1502" s="41" t="n"/>
      <c r="O1502" s="36" t="n"/>
      <c r="P1502" s="33">
        <f>IF(C1502="","",Commercial_Id)</f>
        <v/>
      </c>
      <c r="Q1502" s="39">
        <f>IF(F1502="","",IFERROR(VALUE(MID(F1502,LEN(F1502)-3,3)),""))</f>
        <v/>
      </c>
      <c r="R1502" s="33">
        <f>IF(Q1502="","",P1502&amp;"|"&amp;Q1502)</f>
        <v/>
      </c>
      <c r="S1502" s="33">
        <f>IF(Q1502="","",IF(P1502="À RENSEIGNER","GIC",P1502)&amp;"-"&amp;TEXT(Q1502,"000"))</f>
        <v/>
      </c>
      <c r="T1502" s="33">
        <f>IF(R1502="","",IFERROR(INDEX(Cl_nom,MATCH(R1502,Cl_cle,0)),"(client introuvable)"))</f>
        <v/>
      </c>
      <c r="U1502" s="33">
        <f>IF(R1502="","",IFERROR(INDEX(Cl_quartier,MATCH(R1502,Cl_cle,0))&amp;"",""))</f>
        <v/>
      </c>
      <c r="V1502" s="34">
        <f>IF(C1502="","",YEAR(C1502-WEEKDAY(C1502,2)+4)&amp;"-S"&amp;TEXT(INT((C1502-DATE(YEAR(C1502-WEEKDAY(C1502,2)+4),1,3)+WEEKDAY(DATE(YEAR(C1502-WEEKDAY(C1502,2)+4),1,3),2)+5)/7),"00"))</f>
        <v/>
      </c>
    </row>
    <row r="1503" ht="18" customHeight="1">
      <c r="A1503" s="39" t="n">
        <v>1498</v>
      </c>
      <c r="B1503" s="33">
        <f>IF(C1503="","",IF(P1503="À RENSEIGNER","GIC",P1503)&amp;"-V"&amp;TEXT(A1503,"00000"))</f>
        <v/>
      </c>
      <c r="C1503" s="32" t="n"/>
      <c r="D1503" s="35" t="n"/>
      <c r="E1503" s="36" t="n"/>
      <c r="F1503" s="36" t="n"/>
      <c r="G1503" s="36" t="n"/>
      <c r="H1503" s="36" t="n"/>
      <c r="I1503" s="36" t="n"/>
      <c r="J1503" s="37" t="n"/>
      <c r="K1503" s="32" t="n"/>
      <c r="L1503" s="36" t="n"/>
      <c r="M1503" s="41" t="n"/>
      <c r="N1503" s="41" t="n"/>
      <c r="O1503" s="36" t="n"/>
      <c r="P1503" s="33">
        <f>IF(C1503="","",Commercial_Id)</f>
        <v/>
      </c>
      <c r="Q1503" s="39">
        <f>IF(F1503="","",IFERROR(VALUE(MID(F1503,LEN(F1503)-3,3)),""))</f>
        <v/>
      </c>
      <c r="R1503" s="33">
        <f>IF(Q1503="","",P1503&amp;"|"&amp;Q1503)</f>
        <v/>
      </c>
      <c r="S1503" s="33">
        <f>IF(Q1503="","",IF(P1503="À RENSEIGNER","GIC",P1503)&amp;"-"&amp;TEXT(Q1503,"000"))</f>
        <v/>
      </c>
      <c r="T1503" s="33">
        <f>IF(R1503="","",IFERROR(INDEX(Cl_nom,MATCH(R1503,Cl_cle,0)),"(client introuvable)"))</f>
        <v/>
      </c>
      <c r="U1503" s="33">
        <f>IF(R1503="","",IFERROR(INDEX(Cl_quartier,MATCH(R1503,Cl_cle,0))&amp;"",""))</f>
        <v/>
      </c>
      <c r="V1503" s="34">
        <f>IF(C1503="","",YEAR(C1503-WEEKDAY(C1503,2)+4)&amp;"-S"&amp;TEXT(INT((C1503-DATE(YEAR(C1503-WEEKDAY(C1503,2)+4),1,3)+WEEKDAY(DATE(YEAR(C1503-WEEKDAY(C1503,2)+4),1,3),2)+5)/7),"00"))</f>
        <v/>
      </c>
    </row>
    <row r="1504" ht="18" customHeight="1">
      <c r="A1504" s="39" t="n">
        <v>1499</v>
      </c>
      <c r="B1504" s="33">
        <f>IF(C1504="","",IF(P1504="À RENSEIGNER","GIC",P1504)&amp;"-V"&amp;TEXT(A1504,"00000"))</f>
        <v/>
      </c>
      <c r="C1504" s="32" t="n"/>
      <c r="D1504" s="35" t="n"/>
      <c r="E1504" s="36" t="n"/>
      <c r="F1504" s="36" t="n"/>
      <c r="G1504" s="36" t="n"/>
      <c r="H1504" s="36" t="n"/>
      <c r="I1504" s="36" t="n"/>
      <c r="J1504" s="37" t="n"/>
      <c r="K1504" s="32" t="n"/>
      <c r="L1504" s="36" t="n"/>
      <c r="M1504" s="41" t="n"/>
      <c r="N1504" s="41" t="n"/>
      <c r="O1504" s="36" t="n"/>
      <c r="P1504" s="33">
        <f>IF(C1504="","",Commercial_Id)</f>
        <v/>
      </c>
      <c r="Q1504" s="39">
        <f>IF(F1504="","",IFERROR(VALUE(MID(F1504,LEN(F1504)-3,3)),""))</f>
        <v/>
      </c>
      <c r="R1504" s="33">
        <f>IF(Q1504="","",P1504&amp;"|"&amp;Q1504)</f>
        <v/>
      </c>
      <c r="S1504" s="33">
        <f>IF(Q1504="","",IF(P1504="À RENSEIGNER","GIC",P1504)&amp;"-"&amp;TEXT(Q1504,"000"))</f>
        <v/>
      </c>
      <c r="T1504" s="33">
        <f>IF(R1504="","",IFERROR(INDEX(Cl_nom,MATCH(R1504,Cl_cle,0)),"(client introuvable)"))</f>
        <v/>
      </c>
      <c r="U1504" s="33">
        <f>IF(R1504="","",IFERROR(INDEX(Cl_quartier,MATCH(R1504,Cl_cle,0))&amp;"",""))</f>
        <v/>
      </c>
      <c r="V1504" s="34">
        <f>IF(C1504="","",YEAR(C1504-WEEKDAY(C1504,2)+4)&amp;"-S"&amp;TEXT(INT((C1504-DATE(YEAR(C1504-WEEKDAY(C1504,2)+4),1,3)+WEEKDAY(DATE(YEAR(C1504-WEEKDAY(C1504,2)+4),1,3),2)+5)/7),"00"))</f>
        <v/>
      </c>
    </row>
    <row r="1505" ht="18" customHeight="1">
      <c r="A1505" s="39" t="n">
        <v>1500</v>
      </c>
      <c r="B1505" s="33">
        <f>IF(C1505="","",IF(P1505="À RENSEIGNER","GIC",P1505)&amp;"-V"&amp;TEXT(A1505,"00000"))</f>
        <v/>
      </c>
      <c r="C1505" s="32" t="n"/>
      <c r="D1505" s="35" t="n"/>
      <c r="E1505" s="36" t="n"/>
      <c r="F1505" s="36" t="n"/>
      <c r="G1505" s="36" t="n"/>
      <c r="H1505" s="36" t="n"/>
      <c r="I1505" s="36" t="n"/>
      <c r="J1505" s="37" t="n"/>
      <c r="K1505" s="32" t="n"/>
      <c r="L1505" s="36" t="n"/>
      <c r="M1505" s="41" t="n"/>
      <c r="N1505" s="41" t="n"/>
      <c r="O1505" s="36" t="n"/>
      <c r="P1505" s="33">
        <f>IF(C1505="","",Commercial_Id)</f>
        <v/>
      </c>
      <c r="Q1505" s="39">
        <f>IF(F1505="","",IFERROR(VALUE(MID(F1505,LEN(F1505)-3,3)),""))</f>
        <v/>
      </c>
      <c r="R1505" s="33">
        <f>IF(Q1505="","",P1505&amp;"|"&amp;Q1505)</f>
        <v/>
      </c>
      <c r="S1505" s="33">
        <f>IF(Q1505="","",IF(P1505="À RENSEIGNER","GIC",P1505)&amp;"-"&amp;TEXT(Q1505,"000"))</f>
        <v/>
      </c>
      <c r="T1505" s="33">
        <f>IF(R1505="","",IFERROR(INDEX(Cl_nom,MATCH(R1505,Cl_cle,0)),"(client introuvable)"))</f>
        <v/>
      </c>
      <c r="U1505" s="33">
        <f>IF(R1505="","",IFERROR(INDEX(Cl_quartier,MATCH(R1505,Cl_cle,0))&amp;"",""))</f>
        <v/>
      </c>
      <c r="V1505" s="34">
        <f>IF(C1505="","",YEAR(C1505-WEEKDAY(C1505,2)+4)&amp;"-S"&amp;TEXT(INT((C1505-DATE(YEAR(C1505-WEEKDAY(C1505,2)+4),1,3)+WEEKDAY(DATE(YEAR(C1505-WEEKDAY(C1505,2)+4),1,3),2)+5)/7),"00"))</f>
        <v/>
      </c>
    </row>
    <row r="1506" ht="18" customHeight="1">
      <c r="A1506" s="39" t="n">
        <v>1501</v>
      </c>
      <c r="B1506" s="33">
        <f>IF(C1506="","",IF(P1506="À RENSEIGNER","GIC",P1506)&amp;"-V"&amp;TEXT(A1506,"00000"))</f>
        <v/>
      </c>
      <c r="C1506" s="32" t="n"/>
      <c r="D1506" s="35" t="n"/>
      <c r="E1506" s="36" t="n"/>
      <c r="F1506" s="36" t="n"/>
      <c r="G1506" s="36" t="n"/>
      <c r="H1506" s="36" t="n"/>
      <c r="I1506" s="36" t="n"/>
      <c r="J1506" s="37" t="n"/>
      <c r="K1506" s="32" t="n"/>
      <c r="L1506" s="36" t="n"/>
      <c r="M1506" s="41" t="n"/>
      <c r="N1506" s="41" t="n"/>
      <c r="O1506" s="36" t="n"/>
      <c r="P1506" s="33">
        <f>IF(C1506="","",Commercial_Id)</f>
        <v/>
      </c>
      <c r="Q1506" s="39">
        <f>IF(F1506="","",IFERROR(VALUE(MID(F1506,LEN(F1506)-3,3)),""))</f>
        <v/>
      </c>
      <c r="R1506" s="33">
        <f>IF(Q1506="","",P1506&amp;"|"&amp;Q1506)</f>
        <v/>
      </c>
      <c r="S1506" s="33">
        <f>IF(Q1506="","",IF(P1506="À RENSEIGNER","GIC",P1506)&amp;"-"&amp;TEXT(Q1506,"000"))</f>
        <v/>
      </c>
      <c r="T1506" s="33">
        <f>IF(R1506="","",IFERROR(INDEX(Cl_nom,MATCH(R1506,Cl_cle,0)),"(client introuvable)"))</f>
        <v/>
      </c>
      <c r="U1506" s="33">
        <f>IF(R1506="","",IFERROR(INDEX(Cl_quartier,MATCH(R1506,Cl_cle,0))&amp;"",""))</f>
        <v/>
      </c>
      <c r="V1506" s="34">
        <f>IF(C1506="","",YEAR(C1506-WEEKDAY(C1506,2)+4)&amp;"-S"&amp;TEXT(INT((C1506-DATE(YEAR(C1506-WEEKDAY(C1506,2)+4),1,3)+WEEKDAY(DATE(YEAR(C1506-WEEKDAY(C1506,2)+4),1,3),2)+5)/7),"00"))</f>
        <v/>
      </c>
    </row>
    <row r="1507" ht="18" customHeight="1">
      <c r="A1507" s="39" t="n">
        <v>1502</v>
      </c>
      <c r="B1507" s="33">
        <f>IF(C1507="","",IF(P1507="À RENSEIGNER","GIC",P1507)&amp;"-V"&amp;TEXT(A1507,"00000"))</f>
        <v/>
      </c>
      <c r="C1507" s="32" t="n"/>
      <c r="D1507" s="35" t="n"/>
      <c r="E1507" s="36" t="n"/>
      <c r="F1507" s="36" t="n"/>
      <c r="G1507" s="36" t="n"/>
      <c r="H1507" s="36" t="n"/>
      <c r="I1507" s="36" t="n"/>
      <c r="J1507" s="37" t="n"/>
      <c r="K1507" s="32" t="n"/>
      <c r="L1507" s="36" t="n"/>
      <c r="M1507" s="41" t="n"/>
      <c r="N1507" s="41" t="n"/>
      <c r="O1507" s="36" t="n"/>
      <c r="P1507" s="33">
        <f>IF(C1507="","",Commercial_Id)</f>
        <v/>
      </c>
      <c r="Q1507" s="39">
        <f>IF(F1507="","",IFERROR(VALUE(MID(F1507,LEN(F1507)-3,3)),""))</f>
        <v/>
      </c>
      <c r="R1507" s="33">
        <f>IF(Q1507="","",P1507&amp;"|"&amp;Q1507)</f>
        <v/>
      </c>
      <c r="S1507" s="33">
        <f>IF(Q1507="","",IF(P1507="À RENSEIGNER","GIC",P1507)&amp;"-"&amp;TEXT(Q1507,"000"))</f>
        <v/>
      </c>
      <c r="T1507" s="33">
        <f>IF(R1507="","",IFERROR(INDEX(Cl_nom,MATCH(R1507,Cl_cle,0)),"(client introuvable)"))</f>
        <v/>
      </c>
      <c r="U1507" s="33">
        <f>IF(R1507="","",IFERROR(INDEX(Cl_quartier,MATCH(R1507,Cl_cle,0))&amp;"",""))</f>
        <v/>
      </c>
      <c r="V1507" s="34">
        <f>IF(C1507="","",YEAR(C1507-WEEKDAY(C1507,2)+4)&amp;"-S"&amp;TEXT(INT((C1507-DATE(YEAR(C1507-WEEKDAY(C1507,2)+4),1,3)+WEEKDAY(DATE(YEAR(C1507-WEEKDAY(C1507,2)+4),1,3),2)+5)/7),"00"))</f>
        <v/>
      </c>
    </row>
    <row r="1508" ht="18" customHeight="1">
      <c r="A1508" s="39" t="n">
        <v>1503</v>
      </c>
      <c r="B1508" s="33">
        <f>IF(C1508="","",IF(P1508="À RENSEIGNER","GIC",P1508)&amp;"-V"&amp;TEXT(A1508,"00000"))</f>
        <v/>
      </c>
      <c r="C1508" s="32" t="n"/>
      <c r="D1508" s="35" t="n"/>
      <c r="E1508" s="36" t="n"/>
      <c r="F1508" s="36" t="n"/>
      <c r="G1508" s="36" t="n"/>
      <c r="H1508" s="36" t="n"/>
      <c r="I1508" s="36" t="n"/>
      <c r="J1508" s="37" t="n"/>
      <c r="K1508" s="32" t="n"/>
      <c r="L1508" s="36" t="n"/>
      <c r="M1508" s="41" t="n"/>
      <c r="N1508" s="41" t="n"/>
      <c r="O1508" s="36" t="n"/>
      <c r="P1508" s="33">
        <f>IF(C1508="","",Commercial_Id)</f>
        <v/>
      </c>
      <c r="Q1508" s="39">
        <f>IF(F1508="","",IFERROR(VALUE(MID(F1508,LEN(F1508)-3,3)),""))</f>
        <v/>
      </c>
      <c r="R1508" s="33">
        <f>IF(Q1508="","",P1508&amp;"|"&amp;Q1508)</f>
        <v/>
      </c>
      <c r="S1508" s="33">
        <f>IF(Q1508="","",IF(P1508="À RENSEIGNER","GIC",P1508)&amp;"-"&amp;TEXT(Q1508,"000"))</f>
        <v/>
      </c>
      <c r="T1508" s="33">
        <f>IF(R1508="","",IFERROR(INDEX(Cl_nom,MATCH(R1508,Cl_cle,0)),"(client introuvable)"))</f>
        <v/>
      </c>
      <c r="U1508" s="33">
        <f>IF(R1508="","",IFERROR(INDEX(Cl_quartier,MATCH(R1508,Cl_cle,0))&amp;"",""))</f>
        <v/>
      </c>
      <c r="V1508" s="34">
        <f>IF(C1508="","",YEAR(C1508-WEEKDAY(C1508,2)+4)&amp;"-S"&amp;TEXT(INT((C1508-DATE(YEAR(C1508-WEEKDAY(C1508,2)+4),1,3)+WEEKDAY(DATE(YEAR(C1508-WEEKDAY(C1508,2)+4),1,3),2)+5)/7),"00"))</f>
        <v/>
      </c>
    </row>
    <row r="1509" ht="18" customHeight="1">
      <c r="A1509" s="39" t="n">
        <v>1504</v>
      </c>
      <c r="B1509" s="33">
        <f>IF(C1509="","",IF(P1509="À RENSEIGNER","GIC",P1509)&amp;"-V"&amp;TEXT(A1509,"00000"))</f>
        <v/>
      </c>
      <c r="C1509" s="32" t="n"/>
      <c r="D1509" s="35" t="n"/>
      <c r="E1509" s="36" t="n"/>
      <c r="F1509" s="36" t="n"/>
      <c r="G1509" s="36" t="n"/>
      <c r="H1509" s="36" t="n"/>
      <c r="I1509" s="36" t="n"/>
      <c r="J1509" s="37" t="n"/>
      <c r="K1509" s="32" t="n"/>
      <c r="L1509" s="36" t="n"/>
      <c r="M1509" s="41" t="n"/>
      <c r="N1509" s="41" t="n"/>
      <c r="O1509" s="36" t="n"/>
      <c r="P1509" s="33">
        <f>IF(C1509="","",Commercial_Id)</f>
        <v/>
      </c>
      <c r="Q1509" s="39">
        <f>IF(F1509="","",IFERROR(VALUE(MID(F1509,LEN(F1509)-3,3)),""))</f>
        <v/>
      </c>
      <c r="R1509" s="33">
        <f>IF(Q1509="","",P1509&amp;"|"&amp;Q1509)</f>
        <v/>
      </c>
      <c r="S1509" s="33">
        <f>IF(Q1509="","",IF(P1509="À RENSEIGNER","GIC",P1509)&amp;"-"&amp;TEXT(Q1509,"000"))</f>
        <v/>
      </c>
      <c r="T1509" s="33">
        <f>IF(R1509="","",IFERROR(INDEX(Cl_nom,MATCH(R1509,Cl_cle,0)),"(client introuvable)"))</f>
        <v/>
      </c>
      <c r="U1509" s="33">
        <f>IF(R1509="","",IFERROR(INDEX(Cl_quartier,MATCH(R1509,Cl_cle,0))&amp;"",""))</f>
        <v/>
      </c>
      <c r="V1509" s="34">
        <f>IF(C1509="","",YEAR(C1509-WEEKDAY(C1509,2)+4)&amp;"-S"&amp;TEXT(INT((C1509-DATE(YEAR(C1509-WEEKDAY(C1509,2)+4),1,3)+WEEKDAY(DATE(YEAR(C1509-WEEKDAY(C1509,2)+4),1,3),2)+5)/7),"00"))</f>
        <v/>
      </c>
    </row>
    <row r="1510" ht="18" customHeight="1">
      <c r="A1510" s="39" t="n">
        <v>1505</v>
      </c>
      <c r="B1510" s="33">
        <f>IF(C1510="","",IF(P1510="À RENSEIGNER","GIC",P1510)&amp;"-V"&amp;TEXT(A1510,"00000"))</f>
        <v/>
      </c>
      <c r="C1510" s="32" t="n"/>
      <c r="D1510" s="35" t="n"/>
      <c r="E1510" s="36" t="n"/>
      <c r="F1510" s="36" t="n"/>
      <c r="G1510" s="36" t="n"/>
      <c r="H1510" s="36" t="n"/>
      <c r="I1510" s="36" t="n"/>
      <c r="J1510" s="37" t="n"/>
      <c r="K1510" s="32" t="n"/>
      <c r="L1510" s="36" t="n"/>
      <c r="M1510" s="41" t="n"/>
      <c r="N1510" s="41" t="n"/>
      <c r="O1510" s="36" t="n"/>
      <c r="P1510" s="33">
        <f>IF(C1510="","",Commercial_Id)</f>
        <v/>
      </c>
      <c r="Q1510" s="39">
        <f>IF(F1510="","",IFERROR(VALUE(MID(F1510,LEN(F1510)-3,3)),""))</f>
        <v/>
      </c>
      <c r="R1510" s="33">
        <f>IF(Q1510="","",P1510&amp;"|"&amp;Q1510)</f>
        <v/>
      </c>
      <c r="S1510" s="33">
        <f>IF(Q1510="","",IF(P1510="À RENSEIGNER","GIC",P1510)&amp;"-"&amp;TEXT(Q1510,"000"))</f>
        <v/>
      </c>
      <c r="T1510" s="33">
        <f>IF(R1510="","",IFERROR(INDEX(Cl_nom,MATCH(R1510,Cl_cle,0)),"(client introuvable)"))</f>
        <v/>
      </c>
      <c r="U1510" s="33">
        <f>IF(R1510="","",IFERROR(INDEX(Cl_quartier,MATCH(R1510,Cl_cle,0))&amp;"",""))</f>
        <v/>
      </c>
      <c r="V1510" s="34">
        <f>IF(C1510="","",YEAR(C1510-WEEKDAY(C1510,2)+4)&amp;"-S"&amp;TEXT(INT((C1510-DATE(YEAR(C1510-WEEKDAY(C1510,2)+4),1,3)+WEEKDAY(DATE(YEAR(C1510-WEEKDAY(C1510,2)+4),1,3),2)+5)/7),"00"))</f>
        <v/>
      </c>
    </row>
    <row r="1511" ht="18" customHeight="1">
      <c r="A1511" s="39" t="n">
        <v>1506</v>
      </c>
      <c r="B1511" s="33">
        <f>IF(C1511="","",IF(P1511="À RENSEIGNER","GIC",P1511)&amp;"-V"&amp;TEXT(A1511,"00000"))</f>
        <v/>
      </c>
      <c r="C1511" s="32" t="n"/>
      <c r="D1511" s="35" t="n"/>
      <c r="E1511" s="36" t="n"/>
      <c r="F1511" s="36" t="n"/>
      <c r="G1511" s="36" t="n"/>
      <c r="H1511" s="36" t="n"/>
      <c r="I1511" s="36" t="n"/>
      <c r="J1511" s="37" t="n"/>
      <c r="K1511" s="32" t="n"/>
      <c r="L1511" s="36" t="n"/>
      <c r="M1511" s="41" t="n"/>
      <c r="N1511" s="41" t="n"/>
      <c r="O1511" s="36" t="n"/>
      <c r="P1511" s="33">
        <f>IF(C1511="","",Commercial_Id)</f>
        <v/>
      </c>
      <c r="Q1511" s="39">
        <f>IF(F1511="","",IFERROR(VALUE(MID(F1511,LEN(F1511)-3,3)),""))</f>
        <v/>
      </c>
      <c r="R1511" s="33">
        <f>IF(Q1511="","",P1511&amp;"|"&amp;Q1511)</f>
        <v/>
      </c>
      <c r="S1511" s="33">
        <f>IF(Q1511="","",IF(P1511="À RENSEIGNER","GIC",P1511)&amp;"-"&amp;TEXT(Q1511,"000"))</f>
        <v/>
      </c>
      <c r="T1511" s="33">
        <f>IF(R1511="","",IFERROR(INDEX(Cl_nom,MATCH(R1511,Cl_cle,0)),"(client introuvable)"))</f>
        <v/>
      </c>
      <c r="U1511" s="33">
        <f>IF(R1511="","",IFERROR(INDEX(Cl_quartier,MATCH(R1511,Cl_cle,0))&amp;"",""))</f>
        <v/>
      </c>
      <c r="V1511" s="34">
        <f>IF(C1511="","",YEAR(C1511-WEEKDAY(C1511,2)+4)&amp;"-S"&amp;TEXT(INT((C1511-DATE(YEAR(C1511-WEEKDAY(C1511,2)+4),1,3)+WEEKDAY(DATE(YEAR(C1511-WEEKDAY(C1511,2)+4),1,3),2)+5)/7),"00"))</f>
        <v/>
      </c>
    </row>
    <row r="1512" ht="18" customHeight="1">
      <c r="A1512" s="39" t="n">
        <v>1507</v>
      </c>
      <c r="B1512" s="33">
        <f>IF(C1512="","",IF(P1512="À RENSEIGNER","GIC",P1512)&amp;"-V"&amp;TEXT(A1512,"00000"))</f>
        <v/>
      </c>
      <c r="C1512" s="32" t="n"/>
      <c r="D1512" s="35" t="n"/>
      <c r="E1512" s="36" t="n"/>
      <c r="F1512" s="36" t="n"/>
      <c r="G1512" s="36" t="n"/>
      <c r="H1512" s="36" t="n"/>
      <c r="I1512" s="36" t="n"/>
      <c r="J1512" s="37" t="n"/>
      <c r="K1512" s="32" t="n"/>
      <c r="L1512" s="36" t="n"/>
      <c r="M1512" s="41" t="n"/>
      <c r="N1512" s="41" t="n"/>
      <c r="O1512" s="36" t="n"/>
      <c r="P1512" s="33">
        <f>IF(C1512="","",Commercial_Id)</f>
        <v/>
      </c>
      <c r="Q1512" s="39">
        <f>IF(F1512="","",IFERROR(VALUE(MID(F1512,LEN(F1512)-3,3)),""))</f>
        <v/>
      </c>
      <c r="R1512" s="33">
        <f>IF(Q1512="","",P1512&amp;"|"&amp;Q1512)</f>
        <v/>
      </c>
      <c r="S1512" s="33">
        <f>IF(Q1512="","",IF(P1512="À RENSEIGNER","GIC",P1512)&amp;"-"&amp;TEXT(Q1512,"000"))</f>
        <v/>
      </c>
      <c r="T1512" s="33">
        <f>IF(R1512="","",IFERROR(INDEX(Cl_nom,MATCH(R1512,Cl_cle,0)),"(client introuvable)"))</f>
        <v/>
      </c>
      <c r="U1512" s="33">
        <f>IF(R1512="","",IFERROR(INDEX(Cl_quartier,MATCH(R1512,Cl_cle,0))&amp;"",""))</f>
        <v/>
      </c>
      <c r="V1512" s="34">
        <f>IF(C1512="","",YEAR(C1512-WEEKDAY(C1512,2)+4)&amp;"-S"&amp;TEXT(INT((C1512-DATE(YEAR(C1512-WEEKDAY(C1512,2)+4),1,3)+WEEKDAY(DATE(YEAR(C1512-WEEKDAY(C1512,2)+4),1,3),2)+5)/7),"00"))</f>
        <v/>
      </c>
    </row>
    <row r="1513" ht="18" customHeight="1">
      <c r="A1513" s="39" t="n">
        <v>1508</v>
      </c>
      <c r="B1513" s="33">
        <f>IF(C1513="","",IF(P1513="À RENSEIGNER","GIC",P1513)&amp;"-V"&amp;TEXT(A1513,"00000"))</f>
        <v/>
      </c>
      <c r="C1513" s="32" t="n"/>
      <c r="D1513" s="35" t="n"/>
      <c r="E1513" s="36" t="n"/>
      <c r="F1513" s="36" t="n"/>
      <c r="G1513" s="36" t="n"/>
      <c r="H1513" s="36" t="n"/>
      <c r="I1513" s="36" t="n"/>
      <c r="J1513" s="37" t="n"/>
      <c r="K1513" s="32" t="n"/>
      <c r="L1513" s="36" t="n"/>
      <c r="M1513" s="41" t="n"/>
      <c r="N1513" s="41" t="n"/>
      <c r="O1513" s="36" t="n"/>
      <c r="P1513" s="33">
        <f>IF(C1513="","",Commercial_Id)</f>
        <v/>
      </c>
      <c r="Q1513" s="39">
        <f>IF(F1513="","",IFERROR(VALUE(MID(F1513,LEN(F1513)-3,3)),""))</f>
        <v/>
      </c>
      <c r="R1513" s="33">
        <f>IF(Q1513="","",P1513&amp;"|"&amp;Q1513)</f>
        <v/>
      </c>
      <c r="S1513" s="33">
        <f>IF(Q1513="","",IF(P1513="À RENSEIGNER","GIC",P1513)&amp;"-"&amp;TEXT(Q1513,"000"))</f>
        <v/>
      </c>
      <c r="T1513" s="33">
        <f>IF(R1513="","",IFERROR(INDEX(Cl_nom,MATCH(R1513,Cl_cle,0)),"(client introuvable)"))</f>
        <v/>
      </c>
      <c r="U1513" s="33">
        <f>IF(R1513="","",IFERROR(INDEX(Cl_quartier,MATCH(R1513,Cl_cle,0))&amp;"",""))</f>
        <v/>
      </c>
      <c r="V1513" s="34">
        <f>IF(C1513="","",YEAR(C1513-WEEKDAY(C1513,2)+4)&amp;"-S"&amp;TEXT(INT((C1513-DATE(YEAR(C1513-WEEKDAY(C1513,2)+4),1,3)+WEEKDAY(DATE(YEAR(C1513-WEEKDAY(C1513,2)+4),1,3),2)+5)/7),"00"))</f>
        <v/>
      </c>
    </row>
    <row r="1514" ht="18" customHeight="1">
      <c r="A1514" s="39" t="n">
        <v>1509</v>
      </c>
      <c r="B1514" s="33">
        <f>IF(C1514="","",IF(P1514="À RENSEIGNER","GIC",P1514)&amp;"-V"&amp;TEXT(A1514,"00000"))</f>
        <v/>
      </c>
      <c r="C1514" s="32" t="n"/>
      <c r="D1514" s="35" t="n"/>
      <c r="E1514" s="36" t="n"/>
      <c r="F1514" s="36" t="n"/>
      <c r="G1514" s="36" t="n"/>
      <c r="H1514" s="36" t="n"/>
      <c r="I1514" s="36" t="n"/>
      <c r="J1514" s="37" t="n"/>
      <c r="K1514" s="32" t="n"/>
      <c r="L1514" s="36" t="n"/>
      <c r="M1514" s="41" t="n"/>
      <c r="N1514" s="41" t="n"/>
      <c r="O1514" s="36" t="n"/>
      <c r="P1514" s="33">
        <f>IF(C1514="","",Commercial_Id)</f>
        <v/>
      </c>
      <c r="Q1514" s="39">
        <f>IF(F1514="","",IFERROR(VALUE(MID(F1514,LEN(F1514)-3,3)),""))</f>
        <v/>
      </c>
      <c r="R1514" s="33">
        <f>IF(Q1514="","",P1514&amp;"|"&amp;Q1514)</f>
        <v/>
      </c>
      <c r="S1514" s="33">
        <f>IF(Q1514="","",IF(P1514="À RENSEIGNER","GIC",P1514)&amp;"-"&amp;TEXT(Q1514,"000"))</f>
        <v/>
      </c>
      <c r="T1514" s="33">
        <f>IF(R1514="","",IFERROR(INDEX(Cl_nom,MATCH(R1514,Cl_cle,0)),"(client introuvable)"))</f>
        <v/>
      </c>
      <c r="U1514" s="33">
        <f>IF(R1514="","",IFERROR(INDEX(Cl_quartier,MATCH(R1514,Cl_cle,0))&amp;"",""))</f>
        <v/>
      </c>
      <c r="V1514" s="34">
        <f>IF(C1514="","",YEAR(C1514-WEEKDAY(C1514,2)+4)&amp;"-S"&amp;TEXT(INT((C1514-DATE(YEAR(C1514-WEEKDAY(C1514,2)+4),1,3)+WEEKDAY(DATE(YEAR(C1514-WEEKDAY(C1514,2)+4),1,3),2)+5)/7),"00"))</f>
        <v/>
      </c>
    </row>
    <row r="1515" ht="18" customHeight="1">
      <c r="A1515" s="39" t="n">
        <v>1510</v>
      </c>
      <c r="B1515" s="33">
        <f>IF(C1515="","",IF(P1515="À RENSEIGNER","GIC",P1515)&amp;"-V"&amp;TEXT(A1515,"00000"))</f>
        <v/>
      </c>
      <c r="C1515" s="32" t="n"/>
      <c r="D1515" s="35" t="n"/>
      <c r="E1515" s="36" t="n"/>
      <c r="F1515" s="36" t="n"/>
      <c r="G1515" s="36" t="n"/>
      <c r="H1515" s="36" t="n"/>
      <c r="I1515" s="36" t="n"/>
      <c r="J1515" s="37" t="n"/>
      <c r="K1515" s="32" t="n"/>
      <c r="L1515" s="36" t="n"/>
      <c r="M1515" s="41" t="n"/>
      <c r="N1515" s="41" t="n"/>
      <c r="O1515" s="36" t="n"/>
      <c r="P1515" s="33">
        <f>IF(C1515="","",Commercial_Id)</f>
        <v/>
      </c>
      <c r="Q1515" s="39">
        <f>IF(F1515="","",IFERROR(VALUE(MID(F1515,LEN(F1515)-3,3)),""))</f>
        <v/>
      </c>
      <c r="R1515" s="33">
        <f>IF(Q1515="","",P1515&amp;"|"&amp;Q1515)</f>
        <v/>
      </c>
      <c r="S1515" s="33">
        <f>IF(Q1515="","",IF(P1515="À RENSEIGNER","GIC",P1515)&amp;"-"&amp;TEXT(Q1515,"000"))</f>
        <v/>
      </c>
      <c r="T1515" s="33">
        <f>IF(R1515="","",IFERROR(INDEX(Cl_nom,MATCH(R1515,Cl_cle,0)),"(client introuvable)"))</f>
        <v/>
      </c>
      <c r="U1515" s="33">
        <f>IF(R1515="","",IFERROR(INDEX(Cl_quartier,MATCH(R1515,Cl_cle,0))&amp;"",""))</f>
        <v/>
      </c>
      <c r="V1515" s="34">
        <f>IF(C1515="","",YEAR(C1515-WEEKDAY(C1515,2)+4)&amp;"-S"&amp;TEXT(INT((C1515-DATE(YEAR(C1515-WEEKDAY(C1515,2)+4),1,3)+WEEKDAY(DATE(YEAR(C1515-WEEKDAY(C1515,2)+4),1,3),2)+5)/7),"00"))</f>
        <v/>
      </c>
    </row>
    <row r="1516" ht="18" customHeight="1">
      <c r="A1516" s="39" t="n">
        <v>1511</v>
      </c>
      <c r="B1516" s="33">
        <f>IF(C1516="","",IF(P1516="À RENSEIGNER","GIC",P1516)&amp;"-V"&amp;TEXT(A1516,"00000"))</f>
        <v/>
      </c>
      <c r="C1516" s="32" t="n"/>
      <c r="D1516" s="35" t="n"/>
      <c r="E1516" s="36" t="n"/>
      <c r="F1516" s="36" t="n"/>
      <c r="G1516" s="36" t="n"/>
      <c r="H1516" s="36" t="n"/>
      <c r="I1516" s="36" t="n"/>
      <c r="J1516" s="37" t="n"/>
      <c r="K1516" s="32" t="n"/>
      <c r="L1516" s="36" t="n"/>
      <c r="M1516" s="41" t="n"/>
      <c r="N1516" s="41" t="n"/>
      <c r="O1516" s="36" t="n"/>
      <c r="P1516" s="33">
        <f>IF(C1516="","",Commercial_Id)</f>
        <v/>
      </c>
      <c r="Q1516" s="39">
        <f>IF(F1516="","",IFERROR(VALUE(MID(F1516,LEN(F1516)-3,3)),""))</f>
        <v/>
      </c>
      <c r="R1516" s="33">
        <f>IF(Q1516="","",P1516&amp;"|"&amp;Q1516)</f>
        <v/>
      </c>
      <c r="S1516" s="33">
        <f>IF(Q1516="","",IF(P1516="À RENSEIGNER","GIC",P1516)&amp;"-"&amp;TEXT(Q1516,"000"))</f>
        <v/>
      </c>
      <c r="T1516" s="33">
        <f>IF(R1516="","",IFERROR(INDEX(Cl_nom,MATCH(R1516,Cl_cle,0)),"(client introuvable)"))</f>
        <v/>
      </c>
      <c r="U1516" s="33">
        <f>IF(R1516="","",IFERROR(INDEX(Cl_quartier,MATCH(R1516,Cl_cle,0))&amp;"",""))</f>
        <v/>
      </c>
      <c r="V1516" s="34">
        <f>IF(C1516="","",YEAR(C1516-WEEKDAY(C1516,2)+4)&amp;"-S"&amp;TEXT(INT((C1516-DATE(YEAR(C1516-WEEKDAY(C1516,2)+4),1,3)+WEEKDAY(DATE(YEAR(C1516-WEEKDAY(C1516,2)+4),1,3),2)+5)/7),"00"))</f>
        <v/>
      </c>
    </row>
    <row r="1517" ht="18" customHeight="1">
      <c r="A1517" s="39" t="n">
        <v>1512</v>
      </c>
      <c r="B1517" s="33">
        <f>IF(C1517="","",IF(P1517="À RENSEIGNER","GIC",P1517)&amp;"-V"&amp;TEXT(A1517,"00000"))</f>
        <v/>
      </c>
      <c r="C1517" s="32" t="n"/>
      <c r="D1517" s="35" t="n"/>
      <c r="E1517" s="36" t="n"/>
      <c r="F1517" s="36" t="n"/>
      <c r="G1517" s="36" t="n"/>
      <c r="H1517" s="36" t="n"/>
      <c r="I1517" s="36" t="n"/>
      <c r="J1517" s="37" t="n"/>
      <c r="K1517" s="32" t="n"/>
      <c r="L1517" s="36" t="n"/>
      <c r="M1517" s="41" t="n"/>
      <c r="N1517" s="41" t="n"/>
      <c r="O1517" s="36" t="n"/>
      <c r="P1517" s="33">
        <f>IF(C1517="","",Commercial_Id)</f>
        <v/>
      </c>
      <c r="Q1517" s="39">
        <f>IF(F1517="","",IFERROR(VALUE(MID(F1517,LEN(F1517)-3,3)),""))</f>
        <v/>
      </c>
      <c r="R1517" s="33">
        <f>IF(Q1517="","",P1517&amp;"|"&amp;Q1517)</f>
        <v/>
      </c>
      <c r="S1517" s="33">
        <f>IF(Q1517="","",IF(P1517="À RENSEIGNER","GIC",P1517)&amp;"-"&amp;TEXT(Q1517,"000"))</f>
        <v/>
      </c>
      <c r="T1517" s="33">
        <f>IF(R1517="","",IFERROR(INDEX(Cl_nom,MATCH(R1517,Cl_cle,0)),"(client introuvable)"))</f>
        <v/>
      </c>
      <c r="U1517" s="33">
        <f>IF(R1517="","",IFERROR(INDEX(Cl_quartier,MATCH(R1517,Cl_cle,0))&amp;"",""))</f>
        <v/>
      </c>
      <c r="V1517" s="34">
        <f>IF(C1517="","",YEAR(C1517-WEEKDAY(C1517,2)+4)&amp;"-S"&amp;TEXT(INT((C1517-DATE(YEAR(C1517-WEEKDAY(C1517,2)+4),1,3)+WEEKDAY(DATE(YEAR(C1517-WEEKDAY(C1517,2)+4),1,3),2)+5)/7),"00"))</f>
        <v/>
      </c>
    </row>
    <row r="1518" ht="18" customHeight="1">
      <c r="A1518" s="39" t="n">
        <v>1513</v>
      </c>
      <c r="B1518" s="33">
        <f>IF(C1518="","",IF(P1518="À RENSEIGNER","GIC",P1518)&amp;"-V"&amp;TEXT(A1518,"00000"))</f>
        <v/>
      </c>
      <c r="C1518" s="32" t="n"/>
      <c r="D1518" s="35" t="n"/>
      <c r="E1518" s="36" t="n"/>
      <c r="F1518" s="36" t="n"/>
      <c r="G1518" s="36" t="n"/>
      <c r="H1518" s="36" t="n"/>
      <c r="I1518" s="36" t="n"/>
      <c r="J1518" s="37" t="n"/>
      <c r="K1518" s="32" t="n"/>
      <c r="L1518" s="36" t="n"/>
      <c r="M1518" s="41" t="n"/>
      <c r="N1518" s="41" t="n"/>
      <c r="O1518" s="36" t="n"/>
      <c r="P1518" s="33">
        <f>IF(C1518="","",Commercial_Id)</f>
        <v/>
      </c>
      <c r="Q1518" s="39">
        <f>IF(F1518="","",IFERROR(VALUE(MID(F1518,LEN(F1518)-3,3)),""))</f>
        <v/>
      </c>
      <c r="R1518" s="33">
        <f>IF(Q1518="","",P1518&amp;"|"&amp;Q1518)</f>
        <v/>
      </c>
      <c r="S1518" s="33">
        <f>IF(Q1518="","",IF(P1518="À RENSEIGNER","GIC",P1518)&amp;"-"&amp;TEXT(Q1518,"000"))</f>
        <v/>
      </c>
      <c r="T1518" s="33">
        <f>IF(R1518="","",IFERROR(INDEX(Cl_nom,MATCH(R1518,Cl_cle,0)),"(client introuvable)"))</f>
        <v/>
      </c>
      <c r="U1518" s="33">
        <f>IF(R1518="","",IFERROR(INDEX(Cl_quartier,MATCH(R1518,Cl_cle,0))&amp;"",""))</f>
        <v/>
      </c>
      <c r="V1518" s="34">
        <f>IF(C1518="","",YEAR(C1518-WEEKDAY(C1518,2)+4)&amp;"-S"&amp;TEXT(INT((C1518-DATE(YEAR(C1518-WEEKDAY(C1518,2)+4),1,3)+WEEKDAY(DATE(YEAR(C1518-WEEKDAY(C1518,2)+4),1,3),2)+5)/7),"00"))</f>
        <v/>
      </c>
    </row>
    <row r="1519" ht="18" customHeight="1">
      <c r="A1519" s="39" t="n">
        <v>1514</v>
      </c>
      <c r="B1519" s="33">
        <f>IF(C1519="","",IF(P1519="À RENSEIGNER","GIC",P1519)&amp;"-V"&amp;TEXT(A1519,"00000"))</f>
        <v/>
      </c>
      <c r="C1519" s="32" t="n"/>
      <c r="D1519" s="35" t="n"/>
      <c r="E1519" s="36" t="n"/>
      <c r="F1519" s="36" t="n"/>
      <c r="G1519" s="36" t="n"/>
      <c r="H1519" s="36" t="n"/>
      <c r="I1519" s="36" t="n"/>
      <c r="J1519" s="37" t="n"/>
      <c r="K1519" s="32" t="n"/>
      <c r="L1519" s="36" t="n"/>
      <c r="M1519" s="41" t="n"/>
      <c r="N1519" s="41" t="n"/>
      <c r="O1519" s="36" t="n"/>
      <c r="P1519" s="33">
        <f>IF(C1519="","",Commercial_Id)</f>
        <v/>
      </c>
      <c r="Q1519" s="39">
        <f>IF(F1519="","",IFERROR(VALUE(MID(F1519,LEN(F1519)-3,3)),""))</f>
        <v/>
      </c>
      <c r="R1519" s="33">
        <f>IF(Q1519="","",P1519&amp;"|"&amp;Q1519)</f>
        <v/>
      </c>
      <c r="S1519" s="33">
        <f>IF(Q1519="","",IF(P1519="À RENSEIGNER","GIC",P1519)&amp;"-"&amp;TEXT(Q1519,"000"))</f>
        <v/>
      </c>
      <c r="T1519" s="33">
        <f>IF(R1519="","",IFERROR(INDEX(Cl_nom,MATCH(R1519,Cl_cle,0)),"(client introuvable)"))</f>
        <v/>
      </c>
      <c r="U1519" s="33">
        <f>IF(R1519="","",IFERROR(INDEX(Cl_quartier,MATCH(R1519,Cl_cle,0))&amp;"",""))</f>
        <v/>
      </c>
      <c r="V1519" s="34">
        <f>IF(C1519="","",YEAR(C1519-WEEKDAY(C1519,2)+4)&amp;"-S"&amp;TEXT(INT((C1519-DATE(YEAR(C1519-WEEKDAY(C1519,2)+4),1,3)+WEEKDAY(DATE(YEAR(C1519-WEEKDAY(C1519,2)+4),1,3),2)+5)/7),"00"))</f>
        <v/>
      </c>
    </row>
    <row r="1520" ht="18" customHeight="1">
      <c r="A1520" s="39" t="n">
        <v>1515</v>
      </c>
      <c r="B1520" s="33">
        <f>IF(C1520="","",IF(P1520="À RENSEIGNER","GIC",P1520)&amp;"-V"&amp;TEXT(A1520,"00000"))</f>
        <v/>
      </c>
      <c r="C1520" s="32" t="n"/>
      <c r="D1520" s="35" t="n"/>
      <c r="E1520" s="36" t="n"/>
      <c r="F1520" s="36" t="n"/>
      <c r="G1520" s="36" t="n"/>
      <c r="H1520" s="36" t="n"/>
      <c r="I1520" s="36" t="n"/>
      <c r="J1520" s="37" t="n"/>
      <c r="K1520" s="32" t="n"/>
      <c r="L1520" s="36" t="n"/>
      <c r="M1520" s="41" t="n"/>
      <c r="N1520" s="41" t="n"/>
      <c r="O1520" s="36" t="n"/>
      <c r="P1520" s="33">
        <f>IF(C1520="","",Commercial_Id)</f>
        <v/>
      </c>
      <c r="Q1520" s="39">
        <f>IF(F1520="","",IFERROR(VALUE(MID(F1520,LEN(F1520)-3,3)),""))</f>
        <v/>
      </c>
      <c r="R1520" s="33">
        <f>IF(Q1520="","",P1520&amp;"|"&amp;Q1520)</f>
        <v/>
      </c>
      <c r="S1520" s="33">
        <f>IF(Q1520="","",IF(P1520="À RENSEIGNER","GIC",P1520)&amp;"-"&amp;TEXT(Q1520,"000"))</f>
        <v/>
      </c>
      <c r="T1520" s="33">
        <f>IF(R1520="","",IFERROR(INDEX(Cl_nom,MATCH(R1520,Cl_cle,0)),"(client introuvable)"))</f>
        <v/>
      </c>
      <c r="U1520" s="33">
        <f>IF(R1520="","",IFERROR(INDEX(Cl_quartier,MATCH(R1520,Cl_cle,0))&amp;"",""))</f>
        <v/>
      </c>
      <c r="V1520" s="34">
        <f>IF(C1520="","",YEAR(C1520-WEEKDAY(C1520,2)+4)&amp;"-S"&amp;TEXT(INT((C1520-DATE(YEAR(C1520-WEEKDAY(C1520,2)+4),1,3)+WEEKDAY(DATE(YEAR(C1520-WEEKDAY(C1520,2)+4),1,3),2)+5)/7),"00"))</f>
        <v/>
      </c>
    </row>
    <row r="1521" ht="18" customHeight="1">
      <c r="A1521" s="39" t="n">
        <v>1516</v>
      </c>
      <c r="B1521" s="33">
        <f>IF(C1521="","",IF(P1521="À RENSEIGNER","GIC",P1521)&amp;"-V"&amp;TEXT(A1521,"00000"))</f>
        <v/>
      </c>
      <c r="C1521" s="32" t="n"/>
      <c r="D1521" s="35" t="n"/>
      <c r="E1521" s="36" t="n"/>
      <c r="F1521" s="36" t="n"/>
      <c r="G1521" s="36" t="n"/>
      <c r="H1521" s="36" t="n"/>
      <c r="I1521" s="36" t="n"/>
      <c r="J1521" s="37" t="n"/>
      <c r="K1521" s="32" t="n"/>
      <c r="L1521" s="36" t="n"/>
      <c r="M1521" s="41" t="n"/>
      <c r="N1521" s="41" t="n"/>
      <c r="O1521" s="36" t="n"/>
      <c r="P1521" s="33">
        <f>IF(C1521="","",Commercial_Id)</f>
        <v/>
      </c>
      <c r="Q1521" s="39">
        <f>IF(F1521="","",IFERROR(VALUE(MID(F1521,LEN(F1521)-3,3)),""))</f>
        <v/>
      </c>
      <c r="R1521" s="33">
        <f>IF(Q1521="","",P1521&amp;"|"&amp;Q1521)</f>
        <v/>
      </c>
      <c r="S1521" s="33">
        <f>IF(Q1521="","",IF(P1521="À RENSEIGNER","GIC",P1521)&amp;"-"&amp;TEXT(Q1521,"000"))</f>
        <v/>
      </c>
      <c r="T1521" s="33">
        <f>IF(R1521="","",IFERROR(INDEX(Cl_nom,MATCH(R1521,Cl_cle,0)),"(client introuvable)"))</f>
        <v/>
      </c>
      <c r="U1521" s="33">
        <f>IF(R1521="","",IFERROR(INDEX(Cl_quartier,MATCH(R1521,Cl_cle,0))&amp;"",""))</f>
        <v/>
      </c>
      <c r="V1521" s="34">
        <f>IF(C1521="","",YEAR(C1521-WEEKDAY(C1521,2)+4)&amp;"-S"&amp;TEXT(INT((C1521-DATE(YEAR(C1521-WEEKDAY(C1521,2)+4),1,3)+WEEKDAY(DATE(YEAR(C1521-WEEKDAY(C1521,2)+4),1,3),2)+5)/7),"00"))</f>
        <v/>
      </c>
    </row>
    <row r="1522" ht="18" customHeight="1">
      <c r="A1522" s="39" t="n">
        <v>1517</v>
      </c>
      <c r="B1522" s="33">
        <f>IF(C1522="","",IF(P1522="À RENSEIGNER","GIC",P1522)&amp;"-V"&amp;TEXT(A1522,"00000"))</f>
        <v/>
      </c>
      <c r="C1522" s="32" t="n"/>
      <c r="D1522" s="35" t="n"/>
      <c r="E1522" s="36" t="n"/>
      <c r="F1522" s="36" t="n"/>
      <c r="G1522" s="36" t="n"/>
      <c r="H1522" s="36" t="n"/>
      <c r="I1522" s="36" t="n"/>
      <c r="J1522" s="37" t="n"/>
      <c r="K1522" s="32" t="n"/>
      <c r="L1522" s="36" t="n"/>
      <c r="M1522" s="41" t="n"/>
      <c r="N1522" s="41" t="n"/>
      <c r="O1522" s="36" t="n"/>
      <c r="P1522" s="33">
        <f>IF(C1522="","",Commercial_Id)</f>
        <v/>
      </c>
      <c r="Q1522" s="39">
        <f>IF(F1522="","",IFERROR(VALUE(MID(F1522,LEN(F1522)-3,3)),""))</f>
        <v/>
      </c>
      <c r="R1522" s="33">
        <f>IF(Q1522="","",P1522&amp;"|"&amp;Q1522)</f>
        <v/>
      </c>
      <c r="S1522" s="33">
        <f>IF(Q1522="","",IF(P1522="À RENSEIGNER","GIC",P1522)&amp;"-"&amp;TEXT(Q1522,"000"))</f>
        <v/>
      </c>
      <c r="T1522" s="33">
        <f>IF(R1522="","",IFERROR(INDEX(Cl_nom,MATCH(R1522,Cl_cle,0)),"(client introuvable)"))</f>
        <v/>
      </c>
      <c r="U1522" s="33">
        <f>IF(R1522="","",IFERROR(INDEX(Cl_quartier,MATCH(R1522,Cl_cle,0))&amp;"",""))</f>
        <v/>
      </c>
      <c r="V1522" s="34">
        <f>IF(C1522="","",YEAR(C1522-WEEKDAY(C1522,2)+4)&amp;"-S"&amp;TEXT(INT((C1522-DATE(YEAR(C1522-WEEKDAY(C1522,2)+4),1,3)+WEEKDAY(DATE(YEAR(C1522-WEEKDAY(C1522,2)+4),1,3),2)+5)/7),"00"))</f>
        <v/>
      </c>
    </row>
    <row r="1523" ht="18" customHeight="1">
      <c r="A1523" s="39" t="n">
        <v>1518</v>
      </c>
      <c r="B1523" s="33">
        <f>IF(C1523="","",IF(P1523="À RENSEIGNER","GIC",P1523)&amp;"-V"&amp;TEXT(A1523,"00000"))</f>
        <v/>
      </c>
      <c r="C1523" s="32" t="n"/>
      <c r="D1523" s="35" t="n"/>
      <c r="E1523" s="36" t="n"/>
      <c r="F1523" s="36" t="n"/>
      <c r="G1523" s="36" t="n"/>
      <c r="H1523" s="36" t="n"/>
      <c r="I1523" s="36" t="n"/>
      <c r="J1523" s="37" t="n"/>
      <c r="K1523" s="32" t="n"/>
      <c r="L1523" s="36" t="n"/>
      <c r="M1523" s="41" t="n"/>
      <c r="N1523" s="41" t="n"/>
      <c r="O1523" s="36" t="n"/>
      <c r="P1523" s="33">
        <f>IF(C1523="","",Commercial_Id)</f>
        <v/>
      </c>
      <c r="Q1523" s="39">
        <f>IF(F1523="","",IFERROR(VALUE(MID(F1523,LEN(F1523)-3,3)),""))</f>
        <v/>
      </c>
      <c r="R1523" s="33">
        <f>IF(Q1523="","",P1523&amp;"|"&amp;Q1523)</f>
        <v/>
      </c>
      <c r="S1523" s="33">
        <f>IF(Q1523="","",IF(P1523="À RENSEIGNER","GIC",P1523)&amp;"-"&amp;TEXT(Q1523,"000"))</f>
        <v/>
      </c>
      <c r="T1523" s="33">
        <f>IF(R1523="","",IFERROR(INDEX(Cl_nom,MATCH(R1523,Cl_cle,0)),"(client introuvable)"))</f>
        <v/>
      </c>
      <c r="U1523" s="33">
        <f>IF(R1523="","",IFERROR(INDEX(Cl_quartier,MATCH(R1523,Cl_cle,0))&amp;"",""))</f>
        <v/>
      </c>
      <c r="V1523" s="34">
        <f>IF(C1523="","",YEAR(C1523-WEEKDAY(C1523,2)+4)&amp;"-S"&amp;TEXT(INT((C1523-DATE(YEAR(C1523-WEEKDAY(C1523,2)+4),1,3)+WEEKDAY(DATE(YEAR(C1523-WEEKDAY(C1523,2)+4),1,3),2)+5)/7),"00"))</f>
        <v/>
      </c>
    </row>
    <row r="1524" ht="18" customHeight="1">
      <c r="A1524" s="39" t="n">
        <v>1519</v>
      </c>
      <c r="B1524" s="33">
        <f>IF(C1524="","",IF(P1524="À RENSEIGNER","GIC",P1524)&amp;"-V"&amp;TEXT(A1524,"00000"))</f>
        <v/>
      </c>
      <c r="C1524" s="32" t="n"/>
      <c r="D1524" s="35" t="n"/>
      <c r="E1524" s="36" t="n"/>
      <c r="F1524" s="36" t="n"/>
      <c r="G1524" s="36" t="n"/>
      <c r="H1524" s="36" t="n"/>
      <c r="I1524" s="36" t="n"/>
      <c r="J1524" s="37" t="n"/>
      <c r="K1524" s="32" t="n"/>
      <c r="L1524" s="36" t="n"/>
      <c r="M1524" s="41" t="n"/>
      <c r="N1524" s="41" t="n"/>
      <c r="O1524" s="36" t="n"/>
      <c r="P1524" s="33">
        <f>IF(C1524="","",Commercial_Id)</f>
        <v/>
      </c>
      <c r="Q1524" s="39">
        <f>IF(F1524="","",IFERROR(VALUE(MID(F1524,LEN(F1524)-3,3)),""))</f>
        <v/>
      </c>
      <c r="R1524" s="33">
        <f>IF(Q1524="","",P1524&amp;"|"&amp;Q1524)</f>
        <v/>
      </c>
      <c r="S1524" s="33">
        <f>IF(Q1524="","",IF(P1524="À RENSEIGNER","GIC",P1524)&amp;"-"&amp;TEXT(Q1524,"000"))</f>
        <v/>
      </c>
      <c r="T1524" s="33">
        <f>IF(R1524="","",IFERROR(INDEX(Cl_nom,MATCH(R1524,Cl_cle,0)),"(client introuvable)"))</f>
        <v/>
      </c>
      <c r="U1524" s="33">
        <f>IF(R1524="","",IFERROR(INDEX(Cl_quartier,MATCH(R1524,Cl_cle,0))&amp;"",""))</f>
        <v/>
      </c>
      <c r="V1524" s="34">
        <f>IF(C1524="","",YEAR(C1524-WEEKDAY(C1524,2)+4)&amp;"-S"&amp;TEXT(INT((C1524-DATE(YEAR(C1524-WEEKDAY(C1524,2)+4),1,3)+WEEKDAY(DATE(YEAR(C1524-WEEKDAY(C1524,2)+4),1,3),2)+5)/7),"00"))</f>
        <v/>
      </c>
    </row>
    <row r="1525" ht="18" customHeight="1">
      <c r="A1525" s="39" t="n">
        <v>1520</v>
      </c>
      <c r="B1525" s="33">
        <f>IF(C1525="","",IF(P1525="À RENSEIGNER","GIC",P1525)&amp;"-V"&amp;TEXT(A1525,"00000"))</f>
        <v/>
      </c>
      <c r="C1525" s="32" t="n"/>
      <c r="D1525" s="35" t="n"/>
      <c r="E1525" s="36" t="n"/>
      <c r="F1525" s="36" t="n"/>
      <c r="G1525" s="36" t="n"/>
      <c r="H1525" s="36" t="n"/>
      <c r="I1525" s="36" t="n"/>
      <c r="J1525" s="37" t="n"/>
      <c r="K1525" s="32" t="n"/>
      <c r="L1525" s="36" t="n"/>
      <c r="M1525" s="41" t="n"/>
      <c r="N1525" s="41" t="n"/>
      <c r="O1525" s="36" t="n"/>
      <c r="P1525" s="33">
        <f>IF(C1525="","",Commercial_Id)</f>
        <v/>
      </c>
      <c r="Q1525" s="39">
        <f>IF(F1525="","",IFERROR(VALUE(MID(F1525,LEN(F1525)-3,3)),""))</f>
        <v/>
      </c>
      <c r="R1525" s="33">
        <f>IF(Q1525="","",P1525&amp;"|"&amp;Q1525)</f>
        <v/>
      </c>
      <c r="S1525" s="33">
        <f>IF(Q1525="","",IF(P1525="À RENSEIGNER","GIC",P1525)&amp;"-"&amp;TEXT(Q1525,"000"))</f>
        <v/>
      </c>
      <c r="T1525" s="33">
        <f>IF(R1525="","",IFERROR(INDEX(Cl_nom,MATCH(R1525,Cl_cle,0)),"(client introuvable)"))</f>
        <v/>
      </c>
      <c r="U1525" s="33">
        <f>IF(R1525="","",IFERROR(INDEX(Cl_quartier,MATCH(R1525,Cl_cle,0))&amp;"",""))</f>
        <v/>
      </c>
      <c r="V1525" s="34">
        <f>IF(C1525="","",YEAR(C1525-WEEKDAY(C1525,2)+4)&amp;"-S"&amp;TEXT(INT((C1525-DATE(YEAR(C1525-WEEKDAY(C1525,2)+4),1,3)+WEEKDAY(DATE(YEAR(C1525-WEEKDAY(C1525,2)+4),1,3),2)+5)/7),"00"))</f>
        <v/>
      </c>
    </row>
    <row r="1526" ht="18" customHeight="1">
      <c r="A1526" s="39" t="n">
        <v>1521</v>
      </c>
      <c r="B1526" s="33">
        <f>IF(C1526="","",IF(P1526="À RENSEIGNER","GIC",P1526)&amp;"-V"&amp;TEXT(A1526,"00000"))</f>
        <v/>
      </c>
      <c r="C1526" s="32" t="n"/>
      <c r="D1526" s="35" t="n"/>
      <c r="E1526" s="36" t="n"/>
      <c r="F1526" s="36" t="n"/>
      <c r="G1526" s="36" t="n"/>
      <c r="H1526" s="36" t="n"/>
      <c r="I1526" s="36" t="n"/>
      <c r="J1526" s="37" t="n"/>
      <c r="K1526" s="32" t="n"/>
      <c r="L1526" s="36" t="n"/>
      <c r="M1526" s="41" t="n"/>
      <c r="N1526" s="41" t="n"/>
      <c r="O1526" s="36" t="n"/>
      <c r="P1526" s="33">
        <f>IF(C1526="","",Commercial_Id)</f>
        <v/>
      </c>
      <c r="Q1526" s="39">
        <f>IF(F1526="","",IFERROR(VALUE(MID(F1526,LEN(F1526)-3,3)),""))</f>
        <v/>
      </c>
      <c r="R1526" s="33">
        <f>IF(Q1526="","",P1526&amp;"|"&amp;Q1526)</f>
        <v/>
      </c>
      <c r="S1526" s="33">
        <f>IF(Q1526="","",IF(P1526="À RENSEIGNER","GIC",P1526)&amp;"-"&amp;TEXT(Q1526,"000"))</f>
        <v/>
      </c>
      <c r="T1526" s="33">
        <f>IF(R1526="","",IFERROR(INDEX(Cl_nom,MATCH(R1526,Cl_cle,0)),"(client introuvable)"))</f>
        <v/>
      </c>
      <c r="U1526" s="33">
        <f>IF(R1526="","",IFERROR(INDEX(Cl_quartier,MATCH(R1526,Cl_cle,0))&amp;"",""))</f>
        <v/>
      </c>
      <c r="V1526" s="34">
        <f>IF(C1526="","",YEAR(C1526-WEEKDAY(C1526,2)+4)&amp;"-S"&amp;TEXT(INT((C1526-DATE(YEAR(C1526-WEEKDAY(C1526,2)+4),1,3)+WEEKDAY(DATE(YEAR(C1526-WEEKDAY(C1526,2)+4),1,3),2)+5)/7),"00"))</f>
        <v/>
      </c>
    </row>
    <row r="1527" ht="18" customHeight="1">
      <c r="A1527" s="39" t="n">
        <v>1522</v>
      </c>
      <c r="B1527" s="33">
        <f>IF(C1527="","",IF(P1527="À RENSEIGNER","GIC",P1527)&amp;"-V"&amp;TEXT(A1527,"00000"))</f>
        <v/>
      </c>
      <c r="C1527" s="32" t="n"/>
      <c r="D1527" s="35" t="n"/>
      <c r="E1527" s="36" t="n"/>
      <c r="F1527" s="36" t="n"/>
      <c r="G1527" s="36" t="n"/>
      <c r="H1527" s="36" t="n"/>
      <c r="I1527" s="36" t="n"/>
      <c r="J1527" s="37" t="n"/>
      <c r="K1527" s="32" t="n"/>
      <c r="L1527" s="36" t="n"/>
      <c r="M1527" s="41" t="n"/>
      <c r="N1527" s="41" t="n"/>
      <c r="O1527" s="36" t="n"/>
      <c r="P1527" s="33">
        <f>IF(C1527="","",Commercial_Id)</f>
        <v/>
      </c>
      <c r="Q1527" s="39">
        <f>IF(F1527="","",IFERROR(VALUE(MID(F1527,LEN(F1527)-3,3)),""))</f>
        <v/>
      </c>
      <c r="R1527" s="33">
        <f>IF(Q1527="","",P1527&amp;"|"&amp;Q1527)</f>
        <v/>
      </c>
      <c r="S1527" s="33">
        <f>IF(Q1527="","",IF(P1527="À RENSEIGNER","GIC",P1527)&amp;"-"&amp;TEXT(Q1527,"000"))</f>
        <v/>
      </c>
      <c r="T1527" s="33">
        <f>IF(R1527="","",IFERROR(INDEX(Cl_nom,MATCH(R1527,Cl_cle,0)),"(client introuvable)"))</f>
        <v/>
      </c>
      <c r="U1527" s="33">
        <f>IF(R1527="","",IFERROR(INDEX(Cl_quartier,MATCH(R1527,Cl_cle,0))&amp;"",""))</f>
        <v/>
      </c>
      <c r="V1527" s="34">
        <f>IF(C1527="","",YEAR(C1527-WEEKDAY(C1527,2)+4)&amp;"-S"&amp;TEXT(INT((C1527-DATE(YEAR(C1527-WEEKDAY(C1527,2)+4),1,3)+WEEKDAY(DATE(YEAR(C1527-WEEKDAY(C1527,2)+4),1,3),2)+5)/7),"00"))</f>
        <v/>
      </c>
    </row>
    <row r="1528" ht="18" customHeight="1">
      <c r="A1528" s="39" t="n">
        <v>1523</v>
      </c>
      <c r="B1528" s="33">
        <f>IF(C1528="","",IF(P1528="À RENSEIGNER","GIC",P1528)&amp;"-V"&amp;TEXT(A1528,"00000"))</f>
        <v/>
      </c>
      <c r="C1528" s="32" t="n"/>
      <c r="D1528" s="35" t="n"/>
      <c r="E1528" s="36" t="n"/>
      <c r="F1528" s="36" t="n"/>
      <c r="G1528" s="36" t="n"/>
      <c r="H1528" s="36" t="n"/>
      <c r="I1528" s="36" t="n"/>
      <c r="J1528" s="37" t="n"/>
      <c r="K1528" s="32" t="n"/>
      <c r="L1528" s="36" t="n"/>
      <c r="M1528" s="41" t="n"/>
      <c r="N1528" s="41" t="n"/>
      <c r="O1528" s="36" t="n"/>
      <c r="P1528" s="33">
        <f>IF(C1528="","",Commercial_Id)</f>
        <v/>
      </c>
      <c r="Q1528" s="39">
        <f>IF(F1528="","",IFERROR(VALUE(MID(F1528,LEN(F1528)-3,3)),""))</f>
        <v/>
      </c>
      <c r="R1528" s="33">
        <f>IF(Q1528="","",P1528&amp;"|"&amp;Q1528)</f>
        <v/>
      </c>
      <c r="S1528" s="33">
        <f>IF(Q1528="","",IF(P1528="À RENSEIGNER","GIC",P1528)&amp;"-"&amp;TEXT(Q1528,"000"))</f>
        <v/>
      </c>
      <c r="T1528" s="33">
        <f>IF(R1528="","",IFERROR(INDEX(Cl_nom,MATCH(R1528,Cl_cle,0)),"(client introuvable)"))</f>
        <v/>
      </c>
      <c r="U1528" s="33">
        <f>IF(R1528="","",IFERROR(INDEX(Cl_quartier,MATCH(R1528,Cl_cle,0))&amp;"",""))</f>
        <v/>
      </c>
      <c r="V1528" s="34">
        <f>IF(C1528="","",YEAR(C1528-WEEKDAY(C1528,2)+4)&amp;"-S"&amp;TEXT(INT((C1528-DATE(YEAR(C1528-WEEKDAY(C1528,2)+4),1,3)+WEEKDAY(DATE(YEAR(C1528-WEEKDAY(C1528,2)+4),1,3),2)+5)/7),"00"))</f>
        <v/>
      </c>
    </row>
    <row r="1529" ht="18" customHeight="1">
      <c r="A1529" s="39" t="n">
        <v>1524</v>
      </c>
      <c r="B1529" s="33">
        <f>IF(C1529="","",IF(P1529="À RENSEIGNER","GIC",P1529)&amp;"-V"&amp;TEXT(A1529,"00000"))</f>
        <v/>
      </c>
      <c r="C1529" s="32" t="n"/>
      <c r="D1529" s="35" t="n"/>
      <c r="E1529" s="36" t="n"/>
      <c r="F1529" s="36" t="n"/>
      <c r="G1529" s="36" t="n"/>
      <c r="H1529" s="36" t="n"/>
      <c r="I1529" s="36" t="n"/>
      <c r="J1529" s="37" t="n"/>
      <c r="K1529" s="32" t="n"/>
      <c r="L1529" s="36" t="n"/>
      <c r="M1529" s="41" t="n"/>
      <c r="N1529" s="41" t="n"/>
      <c r="O1529" s="36" t="n"/>
      <c r="P1529" s="33">
        <f>IF(C1529="","",Commercial_Id)</f>
        <v/>
      </c>
      <c r="Q1529" s="39">
        <f>IF(F1529="","",IFERROR(VALUE(MID(F1529,LEN(F1529)-3,3)),""))</f>
        <v/>
      </c>
      <c r="R1529" s="33">
        <f>IF(Q1529="","",P1529&amp;"|"&amp;Q1529)</f>
        <v/>
      </c>
      <c r="S1529" s="33">
        <f>IF(Q1529="","",IF(P1529="À RENSEIGNER","GIC",P1529)&amp;"-"&amp;TEXT(Q1529,"000"))</f>
        <v/>
      </c>
      <c r="T1529" s="33">
        <f>IF(R1529="","",IFERROR(INDEX(Cl_nom,MATCH(R1529,Cl_cle,0)),"(client introuvable)"))</f>
        <v/>
      </c>
      <c r="U1529" s="33">
        <f>IF(R1529="","",IFERROR(INDEX(Cl_quartier,MATCH(R1529,Cl_cle,0))&amp;"",""))</f>
        <v/>
      </c>
      <c r="V1529" s="34">
        <f>IF(C1529="","",YEAR(C1529-WEEKDAY(C1529,2)+4)&amp;"-S"&amp;TEXT(INT((C1529-DATE(YEAR(C1529-WEEKDAY(C1529,2)+4),1,3)+WEEKDAY(DATE(YEAR(C1529-WEEKDAY(C1529,2)+4),1,3),2)+5)/7),"00"))</f>
        <v/>
      </c>
    </row>
    <row r="1530" ht="18" customHeight="1">
      <c r="A1530" s="39" t="n">
        <v>1525</v>
      </c>
      <c r="B1530" s="33">
        <f>IF(C1530="","",IF(P1530="À RENSEIGNER","GIC",P1530)&amp;"-V"&amp;TEXT(A1530,"00000"))</f>
        <v/>
      </c>
      <c r="C1530" s="32" t="n"/>
      <c r="D1530" s="35" t="n"/>
      <c r="E1530" s="36" t="n"/>
      <c r="F1530" s="36" t="n"/>
      <c r="G1530" s="36" t="n"/>
      <c r="H1530" s="36" t="n"/>
      <c r="I1530" s="36" t="n"/>
      <c r="J1530" s="37" t="n"/>
      <c r="K1530" s="32" t="n"/>
      <c r="L1530" s="36" t="n"/>
      <c r="M1530" s="41" t="n"/>
      <c r="N1530" s="41" t="n"/>
      <c r="O1530" s="36" t="n"/>
      <c r="P1530" s="33">
        <f>IF(C1530="","",Commercial_Id)</f>
        <v/>
      </c>
      <c r="Q1530" s="39">
        <f>IF(F1530="","",IFERROR(VALUE(MID(F1530,LEN(F1530)-3,3)),""))</f>
        <v/>
      </c>
      <c r="R1530" s="33">
        <f>IF(Q1530="","",P1530&amp;"|"&amp;Q1530)</f>
        <v/>
      </c>
      <c r="S1530" s="33">
        <f>IF(Q1530="","",IF(P1530="À RENSEIGNER","GIC",P1530)&amp;"-"&amp;TEXT(Q1530,"000"))</f>
        <v/>
      </c>
      <c r="T1530" s="33">
        <f>IF(R1530="","",IFERROR(INDEX(Cl_nom,MATCH(R1530,Cl_cle,0)),"(client introuvable)"))</f>
        <v/>
      </c>
      <c r="U1530" s="33">
        <f>IF(R1530="","",IFERROR(INDEX(Cl_quartier,MATCH(R1530,Cl_cle,0))&amp;"",""))</f>
        <v/>
      </c>
      <c r="V1530" s="34">
        <f>IF(C1530="","",YEAR(C1530-WEEKDAY(C1530,2)+4)&amp;"-S"&amp;TEXT(INT((C1530-DATE(YEAR(C1530-WEEKDAY(C1530,2)+4),1,3)+WEEKDAY(DATE(YEAR(C1530-WEEKDAY(C1530,2)+4),1,3),2)+5)/7),"00"))</f>
        <v/>
      </c>
    </row>
    <row r="1531" ht="18" customHeight="1">
      <c r="A1531" s="39" t="n">
        <v>1526</v>
      </c>
      <c r="B1531" s="33">
        <f>IF(C1531="","",IF(P1531="À RENSEIGNER","GIC",P1531)&amp;"-V"&amp;TEXT(A1531,"00000"))</f>
        <v/>
      </c>
      <c r="C1531" s="32" t="n"/>
      <c r="D1531" s="35" t="n"/>
      <c r="E1531" s="36" t="n"/>
      <c r="F1531" s="36" t="n"/>
      <c r="G1531" s="36" t="n"/>
      <c r="H1531" s="36" t="n"/>
      <c r="I1531" s="36" t="n"/>
      <c r="J1531" s="37" t="n"/>
      <c r="K1531" s="32" t="n"/>
      <c r="L1531" s="36" t="n"/>
      <c r="M1531" s="41" t="n"/>
      <c r="N1531" s="41" t="n"/>
      <c r="O1531" s="36" t="n"/>
      <c r="P1531" s="33">
        <f>IF(C1531="","",Commercial_Id)</f>
        <v/>
      </c>
      <c r="Q1531" s="39">
        <f>IF(F1531="","",IFERROR(VALUE(MID(F1531,LEN(F1531)-3,3)),""))</f>
        <v/>
      </c>
      <c r="R1531" s="33">
        <f>IF(Q1531="","",P1531&amp;"|"&amp;Q1531)</f>
        <v/>
      </c>
      <c r="S1531" s="33">
        <f>IF(Q1531="","",IF(P1531="À RENSEIGNER","GIC",P1531)&amp;"-"&amp;TEXT(Q1531,"000"))</f>
        <v/>
      </c>
      <c r="T1531" s="33">
        <f>IF(R1531="","",IFERROR(INDEX(Cl_nom,MATCH(R1531,Cl_cle,0)),"(client introuvable)"))</f>
        <v/>
      </c>
      <c r="U1531" s="33">
        <f>IF(R1531="","",IFERROR(INDEX(Cl_quartier,MATCH(R1531,Cl_cle,0))&amp;"",""))</f>
        <v/>
      </c>
      <c r="V1531" s="34">
        <f>IF(C1531="","",YEAR(C1531-WEEKDAY(C1531,2)+4)&amp;"-S"&amp;TEXT(INT((C1531-DATE(YEAR(C1531-WEEKDAY(C1531,2)+4),1,3)+WEEKDAY(DATE(YEAR(C1531-WEEKDAY(C1531,2)+4),1,3),2)+5)/7),"00"))</f>
        <v/>
      </c>
    </row>
    <row r="1532" ht="18" customHeight="1">
      <c r="A1532" s="39" t="n">
        <v>1527</v>
      </c>
      <c r="B1532" s="33">
        <f>IF(C1532="","",IF(P1532="À RENSEIGNER","GIC",P1532)&amp;"-V"&amp;TEXT(A1532,"00000"))</f>
        <v/>
      </c>
      <c r="C1532" s="32" t="n"/>
      <c r="D1532" s="35" t="n"/>
      <c r="E1532" s="36" t="n"/>
      <c r="F1532" s="36" t="n"/>
      <c r="G1532" s="36" t="n"/>
      <c r="H1532" s="36" t="n"/>
      <c r="I1532" s="36" t="n"/>
      <c r="J1532" s="37" t="n"/>
      <c r="K1532" s="32" t="n"/>
      <c r="L1532" s="36" t="n"/>
      <c r="M1532" s="41" t="n"/>
      <c r="N1532" s="41" t="n"/>
      <c r="O1532" s="36" t="n"/>
      <c r="P1532" s="33">
        <f>IF(C1532="","",Commercial_Id)</f>
        <v/>
      </c>
      <c r="Q1532" s="39">
        <f>IF(F1532="","",IFERROR(VALUE(MID(F1532,LEN(F1532)-3,3)),""))</f>
        <v/>
      </c>
      <c r="R1532" s="33">
        <f>IF(Q1532="","",P1532&amp;"|"&amp;Q1532)</f>
        <v/>
      </c>
      <c r="S1532" s="33">
        <f>IF(Q1532="","",IF(P1532="À RENSEIGNER","GIC",P1532)&amp;"-"&amp;TEXT(Q1532,"000"))</f>
        <v/>
      </c>
      <c r="T1532" s="33">
        <f>IF(R1532="","",IFERROR(INDEX(Cl_nom,MATCH(R1532,Cl_cle,0)),"(client introuvable)"))</f>
        <v/>
      </c>
      <c r="U1532" s="33">
        <f>IF(R1532="","",IFERROR(INDEX(Cl_quartier,MATCH(R1532,Cl_cle,0))&amp;"",""))</f>
        <v/>
      </c>
      <c r="V1532" s="34">
        <f>IF(C1532="","",YEAR(C1532-WEEKDAY(C1532,2)+4)&amp;"-S"&amp;TEXT(INT((C1532-DATE(YEAR(C1532-WEEKDAY(C1532,2)+4),1,3)+WEEKDAY(DATE(YEAR(C1532-WEEKDAY(C1532,2)+4),1,3),2)+5)/7),"00"))</f>
        <v/>
      </c>
    </row>
    <row r="1533" ht="18" customHeight="1">
      <c r="A1533" s="39" t="n">
        <v>1528</v>
      </c>
      <c r="B1533" s="33">
        <f>IF(C1533="","",IF(P1533="À RENSEIGNER","GIC",P1533)&amp;"-V"&amp;TEXT(A1533,"00000"))</f>
        <v/>
      </c>
      <c r="C1533" s="32" t="n"/>
      <c r="D1533" s="35" t="n"/>
      <c r="E1533" s="36" t="n"/>
      <c r="F1533" s="36" t="n"/>
      <c r="G1533" s="36" t="n"/>
      <c r="H1533" s="36" t="n"/>
      <c r="I1533" s="36" t="n"/>
      <c r="J1533" s="37" t="n"/>
      <c r="K1533" s="32" t="n"/>
      <c r="L1533" s="36" t="n"/>
      <c r="M1533" s="41" t="n"/>
      <c r="N1533" s="41" t="n"/>
      <c r="O1533" s="36" t="n"/>
      <c r="P1533" s="33">
        <f>IF(C1533="","",Commercial_Id)</f>
        <v/>
      </c>
      <c r="Q1533" s="39">
        <f>IF(F1533="","",IFERROR(VALUE(MID(F1533,LEN(F1533)-3,3)),""))</f>
        <v/>
      </c>
      <c r="R1533" s="33">
        <f>IF(Q1533="","",P1533&amp;"|"&amp;Q1533)</f>
        <v/>
      </c>
      <c r="S1533" s="33">
        <f>IF(Q1533="","",IF(P1533="À RENSEIGNER","GIC",P1533)&amp;"-"&amp;TEXT(Q1533,"000"))</f>
        <v/>
      </c>
      <c r="T1533" s="33">
        <f>IF(R1533="","",IFERROR(INDEX(Cl_nom,MATCH(R1533,Cl_cle,0)),"(client introuvable)"))</f>
        <v/>
      </c>
      <c r="U1533" s="33">
        <f>IF(R1533="","",IFERROR(INDEX(Cl_quartier,MATCH(R1533,Cl_cle,0))&amp;"",""))</f>
        <v/>
      </c>
      <c r="V1533" s="34">
        <f>IF(C1533="","",YEAR(C1533-WEEKDAY(C1533,2)+4)&amp;"-S"&amp;TEXT(INT((C1533-DATE(YEAR(C1533-WEEKDAY(C1533,2)+4),1,3)+WEEKDAY(DATE(YEAR(C1533-WEEKDAY(C1533,2)+4),1,3),2)+5)/7),"00"))</f>
        <v/>
      </c>
    </row>
    <row r="1534" ht="18" customHeight="1">
      <c r="A1534" s="39" t="n">
        <v>1529</v>
      </c>
      <c r="B1534" s="33">
        <f>IF(C1534="","",IF(P1534="À RENSEIGNER","GIC",P1534)&amp;"-V"&amp;TEXT(A1534,"00000"))</f>
        <v/>
      </c>
      <c r="C1534" s="32" t="n"/>
      <c r="D1534" s="35" t="n"/>
      <c r="E1534" s="36" t="n"/>
      <c r="F1534" s="36" t="n"/>
      <c r="G1534" s="36" t="n"/>
      <c r="H1534" s="36" t="n"/>
      <c r="I1534" s="36" t="n"/>
      <c r="J1534" s="37" t="n"/>
      <c r="K1534" s="32" t="n"/>
      <c r="L1534" s="36" t="n"/>
      <c r="M1534" s="41" t="n"/>
      <c r="N1534" s="41" t="n"/>
      <c r="O1534" s="36" t="n"/>
      <c r="P1534" s="33">
        <f>IF(C1534="","",Commercial_Id)</f>
        <v/>
      </c>
      <c r="Q1534" s="39">
        <f>IF(F1534="","",IFERROR(VALUE(MID(F1534,LEN(F1534)-3,3)),""))</f>
        <v/>
      </c>
      <c r="R1534" s="33">
        <f>IF(Q1534="","",P1534&amp;"|"&amp;Q1534)</f>
        <v/>
      </c>
      <c r="S1534" s="33">
        <f>IF(Q1534="","",IF(P1534="À RENSEIGNER","GIC",P1534)&amp;"-"&amp;TEXT(Q1534,"000"))</f>
        <v/>
      </c>
      <c r="T1534" s="33">
        <f>IF(R1534="","",IFERROR(INDEX(Cl_nom,MATCH(R1534,Cl_cle,0)),"(client introuvable)"))</f>
        <v/>
      </c>
      <c r="U1534" s="33">
        <f>IF(R1534="","",IFERROR(INDEX(Cl_quartier,MATCH(R1534,Cl_cle,0))&amp;"",""))</f>
        <v/>
      </c>
      <c r="V1534" s="34">
        <f>IF(C1534="","",YEAR(C1534-WEEKDAY(C1534,2)+4)&amp;"-S"&amp;TEXT(INT((C1534-DATE(YEAR(C1534-WEEKDAY(C1534,2)+4),1,3)+WEEKDAY(DATE(YEAR(C1534-WEEKDAY(C1534,2)+4),1,3),2)+5)/7),"00"))</f>
        <v/>
      </c>
    </row>
    <row r="1535" ht="18" customHeight="1">
      <c r="A1535" s="39" t="n">
        <v>1530</v>
      </c>
      <c r="B1535" s="33">
        <f>IF(C1535="","",IF(P1535="À RENSEIGNER","GIC",P1535)&amp;"-V"&amp;TEXT(A1535,"00000"))</f>
        <v/>
      </c>
      <c r="C1535" s="32" t="n"/>
      <c r="D1535" s="35" t="n"/>
      <c r="E1535" s="36" t="n"/>
      <c r="F1535" s="36" t="n"/>
      <c r="G1535" s="36" t="n"/>
      <c r="H1535" s="36" t="n"/>
      <c r="I1535" s="36" t="n"/>
      <c r="J1535" s="37" t="n"/>
      <c r="K1535" s="32" t="n"/>
      <c r="L1535" s="36" t="n"/>
      <c r="M1535" s="41" t="n"/>
      <c r="N1535" s="41" t="n"/>
      <c r="O1535" s="36" t="n"/>
      <c r="P1535" s="33">
        <f>IF(C1535="","",Commercial_Id)</f>
        <v/>
      </c>
      <c r="Q1535" s="39">
        <f>IF(F1535="","",IFERROR(VALUE(MID(F1535,LEN(F1535)-3,3)),""))</f>
        <v/>
      </c>
      <c r="R1535" s="33">
        <f>IF(Q1535="","",P1535&amp;"|"&amp;Q1535)</f>
        <v/>
      </c>
      <c r="S1535" s="33">
        <f>IF(Q1535="","",IF(P1535="À RENSEIGNER","GIC",P1535)&amp;"-"&amp;TEXT(Q1535,"000"))</f>
        <v/>
      </c>
      <c r="T1535" s="33">
        <f>IF(R1535="","",IFERROR(INDEX(Cl_nom,MATCH(R1535,Cl_cle,0)),"(client introuvable)"))</f>
        <v/>
      </c>
      <c r="U1535" s="33">
        <f>IF(R1535="","",IFERROR(INDEX(Cl_quartier,MATCH(R1535,Cl_cle,0))&amp;"",""))</f>
        <v/>
      </c>
      <c r="V1535" s="34">
        <f>IF(C1535="","",YEAR(C1535-WEEKDAY(C1535,2)+4)&amp;"-S"&amp;TEXT(INT((C1535-DATE(YEAR(C1535-WEEKDAY(C1535,2)+4),1,3)+WEEKDAY(DATE(YEAR(C1535-WEEKDAY(C1535,2)+4),1,3),2)+5)/7),"00"))</f>
        <v/>
      </c>
    </row>
    <row r="1536" ht="18" customHeight="1">
      <c r="A1536" s="39" t="n">
        <v>1531</v>
      </c>
      <c r="B1536" s="33">
        <f>IF(C1536="","",IF(P1536="À RENSEIGNER","GIC",P1536)&amp;"-V"&amp;TEXT(A1536,"00000"))</f>
        <v/>
      </c>
      <c r="C1536" s="32" t="n"/>
      <c r="D1536" s="35" t="n"/>
      <c r="E1536" s="36" t="n"/>
      <c r="F1536" s="36" t="n"/>
      <c r="G1536" s="36" t="n"/>
      <c r="H1536" s="36" t="n"/>
      <c r="I1536" s="36" t="n"/>
      <c r="J1536" s="37" t="n"/>
      <c r="K1536" s="32" t="n"/>
      <c r="L1536" s="36" t="n"/>
      <c r="M1536" s="41" t="n"/>
      <c r="N1536" s="41" t="n"/>
      <c r="O1536" s="36" t="n"/>
      <c r="P1536" s="33">
        <f>IF(C1536="","",Commercial_Id)</f>
        <v/>
      </c>
      <c r="Q1536" s="39">
        <f>IF(F1536="","",IFERROR(VALUE(MID(F1536,LEN(F1536)-3,3)),""))</f>
        <v/>
      </c>
      <c r="R1536" s="33">
        <f>IF(Q1536="","",P1536&amp;"|"&amp;Q1536)</f>
        <v/>
      </c>
      <c r="S1536" s="33">
        <f>IF(Q1536="","",IF(P1536="À RENSEIGNER","GIC",P1536)&amp;"-"&amp;TEXT(Q1536,"000"))</f>
        <v/>
      </c>
      <c r="T1536" s="33">
        <f>IF(R1536="","",IFERROR(INDEX(Cl_nom,MATCH(R1536,Cl_cle,0)),"(client introuvable)"))</f>
        <v/>
      </c>
      <c r="U1536" s="33">
        <f>IF(R1536="","",IFERROR(INDEX(Cl_quartier,MATCH(R1536,Cl_cle,0))&amp;"",""))</f>
        <v/>
      </c>
      <c r="V1536" s="34">
        <f>IF(C1536="","",YEAR(C1536-WEEKDAY(C1536,2)+4)&amp;"-S"&amp;TEXT(INT((C1536-DATE(YEAR(C1536-WEEKDAY(C1536,2)+4),1,3)+WEEKDAY(DATE(YEAR(C1536-WEEKDAY(C1536,2)+4),1,3),2)+5)/7),"00"))</f>
        <v/>
      </c>
    </row>
    <row r="1537" ht="18" customHeight="1">
      <c r="A1537" s="39" t="n">
        <v>1532</v>
      </c>
      <c r="B1537" s="33">
        <f>IF(C1537="","",IF(P1537="À RENSEIGNER","GIC",P1537)&amp;"-V"&amp;TEXT(A1537,"00000"))</f>
        <v/>
      </c>
      <c r="C1537" s="32" t="n"/>
      <c r="D1537" s="35" t="n"/>
      <c r="E1537" s="36" t="n"/>
      <c r="F1537" s="36" t="n"/>
      <c r="G1537" s="36" t="n"/>
      <c r="H1537" s="36" t="n"/>
      <c r="I1537" s="36" t="n"/>
      <c r="J1537" s="37" t="n"/>
      <c r="K1537" s="32" t="n"/>
      <c r="L1537" s="36" t="n"/>
      <c r="M1537" s="41" t="n"/>
      <c r="N1537" s="41" t="n"/>
      <c r="O1537" s="36" t="n"/>
      <c r="P1537" s="33">
        <f>IF(C1537="","",Commercial_Id)</f>
        <v/>
      </c>
      <c r="Q1537" s="39">
        <f>IF(F1537="","",IFERROR(VALUE(MID(F1537,LEN(F1537)-3,3)),""))</f>
        <v/>
      </c>
      <c r="R1537" s="33">
        <f>IF(Q1537="","",P1537&amp;"|"&amp;Q1537)</f>
        <v/>
      </c>
      <c r="S1537" s="33">
        <f>IF(Q1537="","",IF(P1537="À RENSEIGNER","GIC",P1537)&amp;"-"&amp;TEXT(Q1537,"000"))</f>
        <v/>
      </c>
      <c r="T1537" s="33">
        <f>IF(R1537="","",IFERROR(INDEX(Cl_nom,MATCH(R1537,Cl_cle,0)),"(client introuvable)"))</f>
        <v/>
      </c>
      <c r="U1537" s="33">
        <f>IF(R1537="","",IFERROR(INDEX(Cl_quartier,MATCH(R1537,Cl_cle,0))&amp;"",""))</f>
        <v/>
      </c>
      <c r="V1537" s="34">
        <f>IF(C1537="","",YEAR(C1537-WEEKDAY(C1537,2)+4)&amp;"-S"&amp;TEXT(INT((C1537-DATE(YEAR(C1537-WEEKDAY(C1537,2)+4),1,3)+WEEKDAY(DATE(YEAR(C1537-WEEKDAY(C1537,2)+4),1,3),2)+5)/7),"00"))</f>
        <v/>
      </c>
    </row>
    <row r="1538" ht="18" customHeight="1">
      <c r="A1538" s="39" t="n">
        <v>1533</v>
      </c>
      <c r="B1538" s="33">
        <f>IF(C1538="","",IF(P1538="À RENSEIGNER","GIC",P1538)&amp;"-V"&amp;TEXT(A1538,"00000"))</f>
        <v/>
      </c>
      <c r="C1538" s="32" t="n"/>
      <c r="D1538" s="35" t="n"/>
      <c r="E1538" s="36" t="n"/>
      <c r="F1538" s="36" t="n"/>
      <c r="G1538" s="36" t="n"/>
      <c r="H1538" s="36" t="n"/>
      <c r="I1538" s="36" t="n"/>
      <c r="J1538" s="37" t="n"/>
      <c r="K1538" s="32" t="n"/>
      <c r="L1538" s="36" t="n"/>
      <c r="M1538" s="41" t="n"/>
      <c r="N1538" s="41" t="n"/>
      <c r="O1538" s="36" t="n"/>
      <c r="P1538" s="33">
        <f>IF(C1538="","",Commercial_Id)</f>
        <v/>
      </c>
      <c r="Q1538" s="39">
        <f>IF(F1538="","",IFERROR(VALUE(MID(F1538,LEN(F1538)-3,3)),""))</f>
        <v/>
      </c>
      <c r="R1538" s="33">
        <f>IF(Q1538="","",P1538&amp;"|"&amp;Q1538)</f>
        <v/>
      </c>
      <c r="S1538" s="33">
        <f>IF(Q1538="","",IF(P1538="À RENSEIGNER","GIC",P1538)&amp;"-"&amp;TEXT(Q1538,"000"))</f>
        <v/>
      </c>
      <c r="T1538" s="33">
        <f>IF(R1538="","",IFERROR(INDEX(Cl_nom,MATCH(R1538,Cl_cle,0)),"(client introuvable)"))</f>
        <v/>
      </c>
      <c r="U1538" s="33">
        <f>IF(R1538="","",IFERROR(INDEX(Cl_quartier,MATCH(R1538,Cl_cle,0))&amp;"",""))</f>
        <v/>
      </c>
      <c r="V1538" s="34">
        <f>IF(C1538="","",YEAR(C1538-WEEKDAY(C1538,2)+4)&amp;"-S"&amp;TEXT(INT((C1538-DATE(YEAR(C1538-WEEKDAY(C1538,2)+4),1,3)+WEEKDAY(DATE(YEAR(C1538-WEEKDAY(C1538,2)+4),1,3),2)+5)/7),"00"))</f>
        <v/>
      </c>
    </row>
    <row r="1539" ht="18" customHeight="1">
      <c r="A1539" s="39" t="n">
        <v>1534</v>
      </c>
      <c r="B1539" s="33">
        <f>IF(C1539="","",IF(P1539="À RENSEIGNER","GIC",P1539)&amp;"-V"&amp;TEXT(A1539,"00000"))</f>
        <v/>
      </c>
      <c r="C1539" s="32" t="n"/>
      <c r="D1539" s="35" t="n"/>
      <c r="E1539" s="36" t="n"/>
      <c r="F1539" s="36" t="n"/>
      <c r="G1539" s="36" t="n"/>
      <c r="H1539" s="36" t="n"/>
      <c r="I1539" s="36" t="n"/>
      <c r="J1539" s="37" t="n"/>
      <c r="K1539" s="32" t="n"/>
      <c r="L1539" s="36" t="n"/>
      <c r="M1539" s="41" t="n"/>
      <c r="N1539" s="41" t="n"/>
      <c r="O1539" s="36" t="n"/>
      <c r="P1539" s="33">
        <f>IF(C1539="","",Commercial_Id)</f>
        <v/>
      </c>
      <c r="Q1539" s="39">
        <f>IF(F1539="","",IFERROR(VALUE(MID(F1539,LEN(F1539)-3,3)),""))</f>
        <v/>
      </c>
      <c r="R1539" s="33">
        <f>IF(Q1539="","",P1539&amp;"|"&amp;Q1539)</f>
        <v/>
      </c>
      <c r="S1539" s="33">
        <f>IF(Q1539="","",IF(P1539="À RENSEIGNER","GIC",P1539)&amp;"-"&amp;TEXT(Q1539,"000"))</f>
        <v/>
      </c>
      <c r="T1539" s="33">
        <f>IF(R1539="","",IFERROR(INDEX(Cl_nom,MATCH(R1539,Cl_cle,0)),"(client introuvable)"))</f>
        <v/>
      </c>
      <c r="U1539" s="33">
        <f>IF(R1539="","",IFERROR(INDEX(Cl_quartier,MATCH(R1539,Cl_cle,0))&amp;"",""))</f>
        <v/>
      </c>
      <c r="V1539" s="34">
        <f>IF(C1539="","",YEAR(C1539-WEEKDAY(C1539,2)+4)&amp;"-S"&amp;TEXT(INT((C1539-DATE(YEAR(C1539-WEEKDAY(C1539,2)+4),1,3)+WEEKDAY(DATE(YEAR(C1539-WEEKDAY(C1539,2)+4),1,3),2)+5)/7),"00"))</f>
        <v/>
      </c>
    </row>
    <row r="1540" ht="18" customHeight="1">
      <c r="A1540" s="39" t="n">
        <v>1535</v>
      </c>
      <c r="B1540" s="33">
        <f>IF(C1540="","",IF(P1540="À RENSEIGNER","GIC",P1540)&amp;"-V"&amp;TEXT(A1540,"00000"))</f>
        <v/>
      </c>
      <c r="C1540" s="32" t="n"/>
      <c r="D1540" s="35" t="n"/>
      <c r="E1540" s="36" t="n"/>
      <c r="F1540" s="36" t="n"/>
      <c r="G1540" s="36" t="n"/>
      <c r="H1540" s="36" t="n"/>
      <c r="I1540" s="36" t="n"/>
      <c r="J1540" s="37" t="n"/>
      <c r="K1540" s="32" t="n"/>
      <c r="L1540" s="36" t="n"/>
      <c r="M1540" s="41" t="n"/>
      <c r="N1540" s="41" t="n"/>
      <c r="O1540" s="36" t="n"/>
      <c r="P1540" s="33">
        <f>IF(C1540="","",Commercial_Id)</f>
        <v/>
      </c>
      <c r="Q1540" s="39">
        <f>IF(F1540="","",IFERROR(VALUE(MID(F1540,LEN(F1540)-3,3)),""))</f>
        <v/>
      </c>
      <c r="R1540" s="33">
        <f>IF(Q1540="","",P1540&amp;"|"&amp;Q1540)</f>
        <v/>
      </c>
      <c r="S1540" s="33">
        <f>IF(Q1540="","",IF(P1540="À RENSEIGNER","GIC",P1540)&amp;"-"&amp;TEXT(Q1540,"000"))</f>
        <v/>
      </c>
      <c r="T1540" s="33">
        <f>IF(R1540="","",IFERROR(INDEX(Cl_nom,MATCH(R1540,Cl_cle,0)),"(client introuvable)"))</f>
        <v/>
      </c>
      <c r="U1540" s="33">
        <f>IF(R1540="","",IFERROR(INDEX(Cl_quartier,MATCH(R1540,Cl_cle,0))&amp;"",""))</f>
        <v/>
      </c>
      <c r="V1540" s="34">
        <f>IF(C1540="","",YEAR(C1540-WEEKDAY(C1540,2)+4)&amp;"-S"&amp;TEXT(INT((C1540-DATE(YEAR(C1540-WEEKDAY(C1540,2)+4),1,3)+WEEKDAY(DATE(YEAR(C1540-WEEKDAY(C1540,2)+4),1,3),2)+5)/7),"00"))</f>
        <v/>
      </c>
    </row>
    <row r="1541" ht="18" customHeight="1">
      <c r="A1541" s="39" t="n">
        <v>1536</v>
      </c>
      <c r="B1541" s="33">
        <f>IF(C1541="","",IF(P1541="À RENSEIGNER","GIC",P1541)&amp;"-V"&amp;TEXT(A1541,"00000"))</f>
        <v/>
      </c>
      <c r="C1541" s="32" t="n"/>
      <c r="D1541" s="35" t="n"/>
      <c r="E1541" s="36" t="n"/>
      <c r="F1541" s="36" t="n"/>
      <c r="G1541" s="36" t="n"/>
      <c r="H1541" s="36" t="n"/>
      <c r="I1541" s="36" t="n"/>
      <c r="J1541" s="37" t="n"/>
      <c r="K1541" s="32" t="n"/>
      <c r="L1541" s="36" t="n"/>
      <c r="M1541" s="41" t="n"/>
      <c r="N1541" s="41" t="n"/>
      <c r="O1541" s="36" t="n"/>
      <c r="P1541" s="33">
        <f>IF(C1541="","",Commercial_Id)</f>
        <v/>
      </c>
      <c r="Q1541" s="39">
        <f>IF(F1541="","",IFERROR(VALUE(MID(F1541,LEN(F1541)-3,3)),""))</f>
        <v/>
      </c>
      <c r="R1541" s="33">
        <f>IF(Q1541="","",P1541&amp;"|"&amp;Q1541)</f>
        <v/>
      </c>
      <c r="S1541" s="33">
        <f>IF(Q1541="","",IF(P1541="À RENSEIGNER","GIC",P1541)&amp;"-"&amp;TEXT(Q1541,"000"))</f>
        <v/>
      </c>
      <c r="T1541" s="33">
        <f>IF(R1541="","",IFERROR(INDEX(Cl_nom,MATCH(R1541,Cl_cle,0)),"(client introuvable)"))</f>
        <v/>
      </c>
      <c r="U1541" s="33">
        <f>IF(R1541="","",IFERROR(INDEX(Cl_quartier,MATCH(R1541,Cl_cle,0))&amp;"",""))</f>
        <v/>
      </c>
      <c r="V1541" s="34">
        <f>IF(C1541="","",YEAR(C1541-WEEKDAY(C1541,2)+4)&amp;"-S"&amp;TEXT(INT((C1541-DATE(YEAR(C1541-WEEKDAY(C1541,2)+4),1,3)+WEEKDAY(DATE(YEAR(C1541-WEEKDAY(C1541,2)+4),1,3),2)+5)/7),"00"))</f>
        <v/>
      </c>
    </row>
    <row r="1542" ht="18" customHeight="1">
      <c r="A1542" s="39" t="n">
        <v>1537</v>
      </c>
      <c r="B1542" s="33">
        <f>IF(C1542="","",IF(P1542="À RENSEIGNER","GIC",P1542)&amp;"-V"&amp;TEXT(A1542,"00000"))</f>
        <v/>
      </c>
      <c r="C1542" s="32" t="n"/>
      <c r="D1542" s="35" t="n"/>
      <c r="E1542" s="36" t="n"/>
      <c r="F1542" s="36" t="n"/>
      <c r="G1542" s="36" t="n"/>
      <c r="H1542" s="36" t="n"/>
      <c r="I1542" s="36" t="n"/>
      <c r="J1542" s="37" t="n"/>
      <c r="K1542" s="32" t="n"/>
      <c r="L1542" s="36" t="n"/>
      <c r="M1542" s="41" t="n"/>
      <c r="N1542" s="41" t="n"/>
      <c r="O1542" s="36" t="n"/>
      <c r="P1542" s="33">
        <f>IF(C1542="","",Commercial_Id)</f>
        <v/>
      </c>
      <c r="Q1542" s="39">
        <f>IF(F1542="","",IFERROR(VALUE(MID(F1542,LEN(F1542)-3,3)),""))</f>
        <v/>
      </c>
      <c r="R1542" s="33">
        <f>IF(Q1542="","",P1542&amp;"|"&amp;Q1542)</f>
        <v/>
      </c>
      <c r="S1542" s="33">
        <f>IF(Q1542="","",IF(P1542="À RENSEIGNER","GIC",P1542)&amp;"-"&amp;TEXT(Q1542,"000"))</f>
        <v/>
      </c>
      <c r="T1542" s="33">
        <f>IF(R1542="","",IFERROR(INDEX(Cl_nom,MATCH(R1542,Cl_cle,0)),"(client introuvable)"))</f>
        <v/>
      </c>
      <c r="U1542" s="33">
        <f>IF(R1542="","",IFERROR(INDEX(Cl_quartier,MATCH(R1542,Cl_cle,0))&amp;"",""))</f>
        <v/>
      </c>
      <c r="V1542" s="34">
        <f>IF(C1542="","",YEAR(C1542-WEEKDAY(C1542,2)+4)&amp;"-S"&amp;TEXT(INT((C1542-DATE(YEAR(C1542-WEEKDAY(C1542,2)+4),1,3)+WEEKDAY(DATE(YEAR(C1542-WEEKDAY(C1542,2)+4),1,3),2)+5)/7),"00"))</f>
        <v/>
      </c>
    </row>
    <row r="1543" ht="18" customHeight="1">
      <c r="A1543" s="39" t="n">
        <v>1538</v>
      </c>
      <c r="B1543" s="33">
        <f>IF(C1543="","",IF(P1543="À RENSEIGNER","GIC",P1543)&amp;"-V"&amp;TEXT(A1543,"00000"))</f>
        <v/>
      </c>
      <c r="C1543" s="32" t="n"/>
      <c r="D1543" s="35" t="n"/>
      <c r="E1543" s="36" t="n"/>
      <c r="F1543" s="36" t="n"/>
      <c r="G1543" s="36" t="n"/>
      <c r="H1543" s="36" t="n"/>
      <c r="I1543" s="36" t="n"/>
      <c r="J1543" s="37" t="n"/>
      <c r="K1543" s="32" t="n"/>
      <c r="L1543" s="36" t="n"/>
      <c r="M1543" s="41" t="n"/>
      <c r="N1543" s="41" t="n"/>
      <c r="O1543" s="36" t="n"/>
      <c r="P1543" s="33">
        <f>IF(C1543="","",Commercial_Id)</f>
        <v/>
      </c>
      <c r="Q1543" s="39">
        <f>IF(F1543="","",IFERROR(VALUE(MID(F1543,LEN(F1543)-3,3)),""))</f>
        <v/>
      </c>
      <c r="R1543" s="33">
        <f>IF(Q1543="","",P1543&amp;"|"&amp;Q1543)</f>
        <v/>
      </c>
      <c r="S1543" s="33">
        <f>IF(Q1543="","",IF(P1543="À RENSEIGNER","GIC",P1543)&amp;"-"&amp;TEXT(Q1543,"000"))</f>
        <v/>
      </c>
      <c r="T1543" s="33">
        <f>IF(R1543="","",IFERROR(INDEX(Cl_nom,MATCH(R1543,Cl_cle,0)),"(client introuvable)"))</f>
        <v/>
      </c>
      <c r="U1543" s="33">
        <f>IF(R1543="","",IFERROR(INDEX(Cl_quartier,MATCH(R1543,Cl_cle,0))&amp;"",""))</f>
        <v/>
      </c>
      <c r="V1543" s="34">
        <f>IF(C1543="","",YEAR(C1543-WEEKDAY(C1543,2)+4)&amp;"-S"&amp;TEXT(INT((C1543-DATE(YEAR(C1543-WEEKDAY(C1543,2)+4),1,3)+WEEKDAY(DATE(YEAR(C1543-WEEKDAY(C1543,2)+4),1,3),2)+5)/7),"00"))</f>
        <v/>
      </c>
    </row>
    <row r="1544" ht="18" customHeight="1">
      <c r="A1544" s="39" t="n">
        <v>1539</v>
      </c>
      <c r="B1544" s="33">
        <f>IF(C1544="","",IF(P1544="À RENSEIGNER","GIC",P1544)&amp;"-V"&amp;TEXT(A1544,"00000"))</f>
        <v/>
      </c>
      <c r="C1544" s="32" t="n"/>
      <c r="D1544" s="35" t="n"/>
      <c r="E1544" s="36" t="n"/>
      <c r="F1544" s="36" t="n"/>
      <c r="G1544" s="36" t="n"/>
      <c r="H1544" s="36" t="n"/>
      <c r="I1544" s="36" t="n"/>
      <c r="J1544" s="37" t="n"/>
      <c r="K1544" s="32" t="n"/>
      <c r="L1544" s="36" t="n"/>
      <c r="M1544" s="41" t="n"/>
      <c r="N1544" s="41" t="n"/>
      <c r="O1544" s="36" t="n"/>
      <c r="P1544" s="33">
        <f>IF(C1544="","",Commercial_Id)</f>
        <v/>
      </c>
      <c r="Q1544" s="39">
        <f>IF(F1544="","",IFERROR(VALUE(MID(F1544,LEN(F1544)-3,3)),""))</f>
        <v/>
      </c>
      <c r="R1544" s="33">
        <f>IF(Q1544="","",P1544&amp;"|"&amp;Q1544)</f>
        <v/>
      </c>
      <c r="S1544" s="33">
        <f>IF(Q1544="","",IF(P1544="À RENSEIGNER","GIC",P1544)&amp;"-"&amp;TEXT(Q1544,"000"))</f>
        <v/>
      </c>
      <c r="T1544" s="33">
        <f>IF(R1544="","",IFERROR(INDEX(Cl_nom,MATCH(R1544,Cl_cle,0)),"(client introuvable)"))</f>
        <v/>
      </c>
      <c r="U1544" s="33">
        <f>IF(R1544="","",IFERROR(INDEX(Cl_quartier,MATCH(R1544,Cl_cle,0))&amp;"",""))</f>
        <v/>
      </c>
      <c r="V1544" s="34">
        <f>IF(C1544="","",YEAR(C1544-WEEKDAY(C1544,2)+4)&amp;"-S"&amp;TEXT(INT((C1544-DATE(YEAR(C1544-WEEKDAY(C1544,2)+4),1,3)+WEEKDAY(DATE(YEAR(C1544-WEEKDAY(C1544,2)+4),1,3),2)+5)/7),"00"))</f>
        <v/>
      </c>
    </row>
    <row r="1545" ht="18" customHeight="1">
      <c r="A1545" s="39" t="n">
        <v>1540</v>
      </c>
      <c r="B1545" s="33">
        <f>IF(C1545="","",IF(P1545="À RENSEIGNER","GIC",P1545)&amp;"-V"&amp;TEXT(A1545,"00000"))</f>
        <v/>
      </c>
      <c r="C1545" s="32" t="n"/>
      <c r="D1545" s="35" t="n"/>
      <c r="E1545" s="36" t="n"/>
      <c r="F1545" s="36" t="n"/>
      <c r="G1545" s="36" t="n"/>
      <c r="H1545" s="36" t="n"/>
      <c r="I1545" s="36" t="n"/>
      <c r="J1545" s="37" t="n"/>
      <c r="K1545" s="32" t="n"/>
      <c r="L1545" s="36" t="n"/>
      <c r="M1545" s="41" t="n"/>
      <c r="N1545" s="41" t="n"/>
      <c r="O1545" s="36" t="n"/>
      <c r="P1545" s="33">
        <f>IF(C1545="","",Commercial_Id)</f>
        <v/>
      </c>
      <c r="Q1545" s="39">
        <f>IF(F1545="","",IFERROR(VALUE(MID(F1545,LEN(F1545)-3,3)),""))</f>
        <v/>
      </c>
      <c r="R1545" s="33">
        <f>IF(Q1545="","",P1545&amp;"|"&amp;Q1545)</f>
        <v/>
      </c>
      <c r="S1545" s="33">
        <f>IF(Q1545="","",IF(P1545="À RENSEIGNER","GIC",P1545)&amp;"-"&amp;TEXT(Q1545,"000"))</f>
        <v/>
      </c>
      <c r="T1545" s="33">
        <f>IF(R1545="","",IFERROR(INDEX(Cl_nom,MATCH(R1545,Cl_cle,0)),"(client introuvable)"))</f>
        <v/>
      </c>
      <c r="U1545" s="33">
        <f>IF(R1545="","",IFERROR(INDEX(Cl_quartier,MATCH(R1545,Cl_cle,0))&amp;"",""))</f>
        <v/>
      </c>
      <c r="V1545" s="34">
        <f>IF(C1545="","",YEAR(C1545-WEEKDAY(C1545,2)+4)&amp;"-S"&amp;TEXT(INT((C1545-DATE(YEAR(C1545-WEEKDAY(C1545,2)+4),1,3)+WEEKDAY(DATE(YEAR(C1545-WEEKDAY(C1545,2)+4),1,3),2)+5)/7),"00"))</f>
        <v/>
      </c>
    </row>
    <row r="1546" ht="18" customHeight="1">
      <c r="A1546" s="39" t="n">
        <v>1541</v>
      </c>
      <c r="B1546" s="33">
        <f>IF(C1546="","",IF(P1546="À RENSEIGNER","GIC",P1546)&amp;"-V"&amp;TEXT(A1546,"00000"))</f>
        <v/>
      </c>
      <c r="C1546" s="32" t="n"/>
      <c r="D1546" s="35" t="n"/>
      <c r="E1546" s="36" t="n"/>
      <c r="F1546" s="36" t="n"/>
      <c r="G1546" s="36" t="n"/>
      <c r="H1546" s="36" t="n"/>
      <c r="I1546" s="36" t="n"/>
      <c r="J1546" s="37" t="n"/>
      <c r="K1546" s="32" t="n"/>
      <c r="L1546" s="36" t="n"/>
      <c r="M1546" s="41" t="n"/>
      <c r="N1546" s="41" t="n"/>
      <c r="O1546" s="36" t="n"/>
      <c r="P1546" s="33">
        <f>IF(C1546="","",Commercial_Id)</f>
        <v/>
      </c>
      <c r="Q1546" s="39">
        <f>IF(F1546="","",IFERROR(VALUE(MID(F1546,LEN(F1546)-3,3)),""))</f>
        <v/>
      </c>
      <c r="R1546" s="33">
        <f>IF(Q1546="","",P1546&amp;"|"&amp;Q1546)</f>
        <v/>
      </c>
      <c r="S1546" s="33">
        <f>IF(Q1546="","",IF(P1546="À RENSEIGNER","GIC",P1546)&amp;"-"&amp;TEXT(Q1546,"000"))</f>
        <v/>
      </c>
      <c r="T1546" s="33">
        <f>IF(R1546="","",IFERROR(INDEX(Cl_nom,MATCH(R1546,Cl_cle,0)),"(client introuvable)"))</f>
        <v/>
      </c>
      <c r="U1546" s="33">
        <f>IF(R1546="","",IFERROR(INDEX(Cl_quartier,MATCH(R1546,Cl_cle,0))&amp;"",""))</f>
        <v/>
      </c>
      <c r="V1546" s="34">
        <f>IF(C1546="","",YEAR(C1546-WEEKDAY(C1546,2)+4)&amp;"-S"&amp;TEXT(INT((C1546-DATE(YEAR(C1546-WEEKDAY(C1546,2)+4),1,3)+WEEKDAY(DATE(YEAR(C1546-WEEKDAY(C1546,2)+4),1,3),2)+5)/7),"00"))</f>
        <v/>
      </c>
    </row>
    <row r="1547" ht="18" customHeight="1">
      <c r="A1547" s="39" t="n">
        <v>1542</v>
      </c>
      <c r="B1547" s="33">
        <f>IF(C1547="","",IF(P1547="À RENSEIGNER","GIC",P1547)&amp;"-V"&amp;TEXT(A1547,"00000"))</f>
        <v/>
      </c>
      <c r="C1547" s="32" t="n"/>
      <c r="D1547" s="35" t="n"/>
      <c r="E1547" s="36" t="n"/>
      <c r="F1547" s="36" t="n"/>
      <c r="G1547" s="36" t="n"/>
      <c r="H1547" s="36" t="n"/>
      <c r="I1547" s="36" t="n"/>
      <c r="J1547" s="37" t="n"/>
      <c r="K1547" s="32" t="n"/>
      <c r="L1547" s="36" t="n"/>
      <c r="M1547" s="41" t="n"/>
      <c r="N1547" s="41" t="n"/>
      <c r="O1547" s="36" t="n"/>
      <c r="P1547" s="33">
        <f>IF(C1547="","",Commercial_Id)</f>
        <v/>
      </c>
      <c r="Q1547" s="39">
        <f>IF(F1547="","",IFERROR(VALUE(MID(F1547,LEN(F1547)-3,3)),""))</f>
        <v/>
      </c>
      <c r="R1547" s="33">
        <f>IF(Q1547="","",P1547&amp;"|"&amp;Q1547)</f>
        <v/>
      </c>
      <c r="S1547" s="33">
        <f>IF(Q1547="","",IF(P1547="À RENSEIGNER","GIC",P1547)&amp;"-"&amp;TEXT(Q1547,"000"))</f>
        <v/>
      </c>
      <c r="T1547" s="33">
        <f>IF(R1547="","",IFERROR(INDEX(Cl_nom,MATCH(R1547,Cl_cle,0)),"(client introuvable)"))</f>
        <v/>
      </c>
      <c r="U1547" s="33">
        <f>IF(R1547="","",IFERROR(INDEX(Cl_quartier,MATCH(R1547,Cl_cle,0))&amp;"",""))</f>
        <v/>
      </c>
      <c r="V1547" s="34">
        <f>IF(C1547="","",YEAR(C1547-WEEKDAY(C1547,2)+4)&amp;"-S"&amp;TEXT(INT((C1547-DATE(YEAR(C1547-WEEKDAY(C1547,2)+4),1,3)+WEEKDAY(DATE(YEAR(C1547-WEEKDAY(C1547,2)+4),1,3),2)+5)/7),"00"))</f>
        <v/>
      </c>
    </row>
    <row r="1548" ht="18" customHeight="1">
      <c r="A1548" s="39" t="n">
        <v>1543</v>
      </c>
      <c r="B1548" s="33">
        <f>IF(C1548="","",IF(P1548="À RENSEIGNER","GIC",P1548)&amp;"-V"&amp;TEXT(A1548,"00000"))</f>
        <v/>
      </c>
      <c r="C1548" s="32" t="n"/>
      <c r="D1548" s="35" t="n"/>
      <c r="E1548" s="36" t="n"/>
      <c r="F1548" s="36" t="n"/>
      <c r="G1548" s="36" t="n"/>
      <c r="H1548" s="36" t="n"/>
      <c r="I1548" s="36" t="n"/>
      <c r="J1548" s="37" t="n"/>
      <c r="K1548" s="32" t="n"/>
      <c r="L1548" s="36" t="n"/>
      <c r="M1548" s="41" t="n"/>
      <c r="N1548" s="41" t="n"/>
      <c r="O1548" s="36" t="n"/>
      <c r="P1548" s="33">
        <f>IF(C1548="","",Commercial_Id)</f>
        <v/>
      </c>
      <c r="Q1548" s="39">
        <f>IF(F1548="","",IFERROR(VALUE(MID(F1548,LEN(F1548)-3,3)),""))</f>
        <v/>
      </c>
      <c r="R1548" s="33">
        <f>IF(Q1548="","",P1548&amp;"|"&amp;Q1548)</f>
        <v/>
      </c>
      <c r="S1548" s="33">
        <f>IF(Q1548="","",IF(P1548="À RENSEIGNER","GIC",P1548)&amp;"-"&amp;TEXT(Q1548,"000"))</f>
        <v/>
      </c>
      <c r="T1548" s="33">
        <f>IF(R1548="","",IFERROR(INDEX(Cl_nom,MATCH(R1548,Cl_cle,0)),"(client introuvable)"))</f>
        <v/>
      </c>
      <c r="U1548" s="33">
        <f>IF(R1548="","",IFERROR(INDEX(Cl_quartier,MATCH(R1548,Cl_cle,0))&amp;"",""))</f>
        <v/>
      </c>
      <c r="V1548" s="34">
        <f>IF(C1548="","",YEAR(C1548-WEEKDAY(C1548,2)+4)&amp;"-S"&amp;TEXT(INT((C1548-DATE(YEAR(C1548-WEEKDAY(C1548,2)+4),1,3)+WEEKDAY(DATE(YEAR(C1548-WEEKDAY(C1548,2)+4),1,3),2)+5)/7),"00"))</f>
        <v/>
      </c>
    </row>
    <row r="1549" ht="18" customHeight="1">
      <c r="A1549" s="39" t="n">
        <v>1544</v>
      </c>
      <c r="B1549" s="33">
        <f>IF(C1549="","",IF(P1549="À RENSEIGNER","GIC",P1549)&amp;"-V"&amp;TEXT(A1549,"00000"))</f>
        <v/>
      </c>
      <c r="C1549" s="32" t="n"/>
      <c r="D1549" s="35" t="n"/>
      <c r="E1549" s="36" t="n"/>
      <c r="F1549" s="36" t="n"/>
      <c r="G1549" s="36" t="n"/>
      <c r="H1549" s="36" t="n"/>
      <c r="I1549" s="36" t="n"/>
      <c r="J1549" s="37" t="n"/>
      <c r="K1549" s="32" t="n"/>
      <c r="L1549" s="36" t="n"/>
      <c r="M1549" s="41" t="n"/>
      <c r="N1549" s="41" t="n"/>
      <c r="O1549" s="36" t="n"/>
      <c r="P1549" s="33">
        <f>IF(C1549="","",Commercial_Id)</f>
        <v/>
      </c>
      <c r="Q1549" s="39">
        <f>IF(F1549="","",IFERROR(VALUE(MID(F1549,LEN(F1549)-3,3)),""))</f>
        <v/>
      </c>
      <c r="R1549" s="33">
        <f>IF(Q1549="","",P1549&amp;"|"&amp;Q1549)</f>
        <v/>
      </c>
      <c r="S1549" s="33">
        <f>IF(Q1549="","",IF(P1549="À RENSEIGNER","GIC",P1549)&amp;"-"&amp;TEXT(Q1549,"000"))</f>
        <v/>
      </c>
      <c r="T1549" s="33">
        <f>IF(R1549="","",IFERROR(INDEX(Cl_nom,MATCH(R1549,Cl_cle,0)),"(client introuvable)"))</f>
        <v/>
      </c>
      <c r="U1549" s="33">
        <f>IF(R1549="","",IFERROR(INDEX(Cl_quartier,MATCH(R1549,Cl_cle,0))&amp;"",""))</f>
        <v/>
      </c>
      <c r="V1549" s="34">
        <f>IF(C1549="","",YEAR(C1549-WEEKDAY(C1549,2)+4)&amp;"-S"&amp;TEXT(INT((C1549-DATE(YEAR(C1549-WEEKDAY(C1549,2)+4),1,3)+WEEKDAY(DATE(YEAR(C1549-WEEKDAY(C1549,2)+4),1,3),2)+5)/7),"00"))</f>
        <v/>
      </c>
    </row>
    <row r="1550" ht="18" customHeight="1">
      <c r="A1550" s="39" t="n">
        <v>1545</v>
      </c>
      <c r="B1550" s="33">
        <f>IF(C1550="","",IF(P1550="À RENSEIGNER","GIC",P1550)&amp;"-V"&amp;TEXT(A1550,"00000"))</f>
        <v/>
      </c>
      <c r="C1550" s="32" t="n"/>
      <c r="D1550" s="35" t="n"/>
      <c r="E1550" s="36" t="n"/>
      <c r="F1550" s="36" t="n"/>
      <c r="G1550" s="36" t="n"/>
      <c r="H1550" s="36" t="n"/>
      <c r="I1550" s="36" t="n"/>
      <c r="J1550" s="37" t="n"/>
      <c r="K1550" s="32" t="n"/>
      <c r="L1550" s="36" t="n"/>
      <c r="M1550" s="41" t="n"/>
      <c r="N1550" s="41" t="n"/>
      <c r="O1550" s="36" t="n"/>
      <c r="P1550" s="33">
        <f>IF(C1550="","",Commercial_Id)</f>
        <v/>
      </c>
      <c r="Q1550" s="39">
        <f>IF(F1550="","",IFERROR(VALUE(MID(F1550,LEN(F1550)-3,3)),""))</f>
        <v/>
      </c>
      <c r="R1550" s="33">
        <f>IF(Q1550="","",P1550&amp;"|"&amp;Q1550)</f>
        <v/>
      </c>
      <c r="S1550" s="33">
        <f>IF(Q1550="","",IF(P1550="À RENSEIGNER","GIC",P1550)&amp;"-"&amp;TEXT(Q1550,"000"))</f>
        <v/>
      </c>
      <c r="T1550" s="33">
        <f>IF(R1550="","",IFERROR(INDEX(Cl_nom,MATCH(R1550,Cl_cle,0)),"(client introuvable)"))</f>
        <v/>
      </c>
      <c r="U1550" s="33">
        <f>IF(R1550="","",IFERROR(INDEX(Cl_quartier,MATCH(R1550,Cl_cle,0))&amp;"",""))</f>
        <v/>
      </c>
      <c r="V1550" s="34">
        <f>IF(C1550="","",YEAR(C1550-WEEKDAY(C1550,2)+4)&amp;"-S"&amp;TEXT(INT((C1550-DATE(YEAR(C1550-WEEKDAY(C1550,2)+4),1,3)+WEEKDAY(DATE(YEAR(C1550-WEEKDAY(C1550,2)+4),1,3),2)+5)/7),"00"))</f>
        <v/>
      </c>
    </row>
    <row r="1551" ht="18" customHeight="1">
      <c r="A1551" s="39" t="n">
        <v>1546</v>
      </c>
      <c r="B1551" s="33">
        <f>IF(C1551="","",IF(P1551="À RENSEIGNER","GIC",P1551)&amp;"-V"&amp;TEXT(A1551,"00000"))</f>
        <v/>
      </c>
      <c r="C1551" s="32" t="n"/>
      <c r="D1551" s="35" t="n"/>
      <c r="E1551" s="36" t="n"/>
      <c r="F1551" s="36" t="n"/>
      <c r="G1551" s="36" t="n"/>
      <c r="H1551" s="36" t="n"/>
      <c r="I1551" s="36" t="n"/>
      <c r="J1551" s="37" t="n"/>
      <c r="K1551" s="32" t="n"/>
      <c r="L1551" s="36" t="n"/>
      <c r="M1551" s="41" t="n"/>
      <c r="N1551" s="41" t="n"/>
      <c r="O1551" s="36" t="n"/>
      <c r="P1551" s="33">
        <f>IF(C1551="","",Commercial_Id)</f>
        <v/>
      </c>
      <c r="Q1551" s="39">
        <f>IF(F1551="","",IFERROR(VALUE(MID(F1551,LEN(F1551)-3,3)),""))</f>
        <v/>
      </c>
      <c r="R1551" s="33">
        <f>IF(Q1551="","",P1551&amp;"|"&amp;Q1551)</f>
        <v/>
      </c>
      <c r="S1551" s="33">
        <f>IF(Q1551="","",IF(P1551="À RENSEIGNER","GIC",P1551)&amp;"-"&amp;TEXT(Q1551,"000"))</f>
        <v/>
      </c>
      <c r="T1551" s="33">
        <f>IF(R1551="","",IFERROR(INDEX(Cl_nom,MATCH(R1551,Cl_cle,0)),"(client introuvable)"))</f>
        <v/>
      </c>
      <c r="U1551" s="33">
        <f>IF(R1551="","",IFERROR(INDEX(Cl_quartier,MATCH(R1551,Cl_cle,0))&amp;"",""))</f>
        <v/>
      </c>
      <c r="V1551" s="34">
        <f>IF(C1551="","",YEAR(C1551-WEEKDAY(C1551,2)+4)&amp;"-S"&amp;TEXT(INT((C1551-DATE(YEAR(C1551-WEEKDAY(C1551,2)+4),1,3)+WEEKDAY(DATE(YEAR(C1551-WEEKDAY(C1551,2)+4),1,3),2)+5)/7),"00"))</f>
        <v/>
      </c>
    </row>
    <row r="1552" ht="18" customHeight="1">
      <c r="A1552" s="39" t="n">
        <v>1547</v>
      </c>
      <c r="B1552" s="33">
        <f>IF(C1552="","",IF(P1552="À RENSEIGNER","GIC",P1552)&amp;"-V"&amp;TEXT(A1552,"00000"))</f>
        <v/>
      </c>
      <c r="C1552" s="32" t="n"/>
      <c r="D1552" s="35" t="n"/>
      <c r="E1552" s="36" t="n"/>
      <c r="F1552" s="36" t="n"/>
      <c r="G1552" s="36" t="n"/>
      <c r="H1552" s="36" t="n"/>
      <c r="I1552" s="36" t="n"/>
      <c r="J1552" s="37" t="n"/>
      <c r="K1552" s="32" t="n"/>
      <c r="L1552" s="36" t="n"/>
      <c r="M1552" s="41" t="n"/>
      <c r="N1552" s="41" t="n"/>
      <c r="O1552" s="36" t="n"/>
      <c r="P1552" s="33">
        <f>IF(C1552="","",Commercial_Id)</f>
        <v/>
      </c>
      <c r="Q1552" s="39">
        <f>IF(F1552="","",IFERROR(VALUE(MID(F1552,LEN(F1552)-3,3)),""))</f>
        <v/>
      </c>
      <c r="R1552" s="33">
        <f>IF(Q1552="","",P1552&amp;"|"&amp;Q1552)</f>
        <v/>
      </c>
      <c r="S1552" s="33">
        <f>IF(Q1552="","",IF(P1552="À RENSEIGNER","GIC",P1552)&amp;"-"&amp;TEXT(Q1552,"000"))</f>
        <v/>
      </c>
      <c r="T1552" s="33">
        <f>IF(R1552="","",IFERROR(INDEX(Cl_nom,MATCH(R1552,Cl_cle,0)),"(client introuvable)"))</f>
        <v/>
      </c>
      <c r="U1552" s="33">
        <f>IF(R1552="","",IFERROR(INDEX(Cl_quartier,MATCH(R1552,Cl_cle,0))&amp;"",""))</f>
        <v/>
      </c>
      <c r="V1552" s="34">
        <f>IF(C1552="","",YEAR(C1552-WEEKDAY(C1552,2)+4)&amp;"-S"&amp;TEXT(INT((C1552-DATE(YEAR(C1552-WEEKDAY(C1552,2)+4),1,3)+WEEKDAY(DATE(YEAR(C1552-WEEKDAY(C1552,2)+4),1,3),2)+5)/7),"00"))</f>
        <v/>
      </c>
    </row>
    <row r="1553" ht="18" customHeight="1">
      <c r="A1553" s="39" t="n">
        <v>1548</v>
      </c>
      <c r="B1553" s="33">
        <f>IF(C1553="","",IF(P1553="À RENSEIGNER","GIC",P1553)&amp;"-V"&amp;TEXT(A1553,"00000"))</f>
        <v/>
      </c>
      <c r="C1553" s="32" t="n"/>
      <c r="D1553" s="35" t="n"/>
      <c r="E1553" s="36" t="n"/>
      <c r="F1553" s="36" t="n"/>
      <c r="G1553" s="36" t="n"/>
      <c r="H1553" s="36" t="n"/>
      <c r="I1553" s="36" t="n"/>
      <c r="J1553" s="37" t="n"/>
      <c r="K1553" s="32" t="n"/>
      <c r="L1553" s="36" t="n"/>
      <c r="M1553" s="41" t="n"/>
      <c r="N1553" s="41" t="n"/>
      <c r="O1553" s="36" t="n"/>
      <c r="P1553" s="33">
        <f>IF(C1553="","",Commercial_Id)</f>
        <v/>
      </c>
      <c r="Q1553" s="39">
        <f>IF(F1553="","",IFERROR(VALUE(MID(F1553,LEN(F1553)-3,3)),""))</f>
        <v/>
      </c>
      <c r="R1553" s="33">
        <f>IF(Q1553="","",P1553&amp;"|"&amp;Q1553)</f>
        <v/>
      </c>
      <c r="S1553" s="33">
        <f>IF(Q1553="","",IF(P1553="À RENSEIGNER","GIC",P1553)&amp;"-"&amp;TEXT(Q1553,"000"))</f>
        <v/>
      </c>
      <c r="T1553" s="33">
        <f>IF(R1553="","",IFERROR(INDEX(Cl_nom,MATCH(R1553,Cl_cle,0)),"(client introuvable)"))</f>
        <v/>
      </c>
      <c r="U1553" s="33">
        <f>IF(R1553="","",IFERROR(INDEX(Cl_quartier,MATCH(R1553,Cl_cle,0))&amp;"",""))</f>
        <v/>
      </c>
      <c r="V1553" s="34">
        <f>IF(C1553="","",YEAR(C1553-WEEKDAY(C1553,2)+4)&amp;"-S"&amp;TEXT(INT((C1553-DATE(YEAR(C1553-WEEKDAY(C1553,2)+4),1,3)+WEEKDAY(DATE(YEAR(C1553-WEEKDAY(C1553,2)+4),1,3),2)+5)/7),"00"))</f>
        <v/>
      </c>
    </row>
    <row r="1554" ht="18" customHeight="1">
      <c r="A1554" s="39" t="n">
        <v>1549</v>
      </c>
      <c r="B1554" s="33">
        <f>IF(C1554="","",IF(P1554="À RENSEIGNER","GIC",P1554)&amp;"-V"&amp;TEXT(A1554,"00000"))</f>
        <v/>
      </c>
      <c r="C1554" s="32" t="n"/>
      <c r="D1554" s="35" t="n"/>
      <c r="E1554" s="36" t="n"/>
      <c r="F1554" s="36" t="n"/>
      <c r="G1554" s="36" t="n"/>
      <c r="H1554" s="36" t="n"/>
      <c r="I1554" s="36" t="n"/>
      <c r="J1554" s="37" t="n"/>
      <c r="K1554" s="32" t="n"/>
      <c r="L1554" s="36" t="n"/>
      <c r="M1554" s="41" t="n"/>
      <c r="N1554" s="41" t="n"/>
      <c r="O1554" s="36" t="n"/>
      <c r="P1554" s="33">
        <f>IF(C1554="","",Commercial_Id)</f>
        <v/>
      </c>
      <c r="Q1554" s="39">
        <f>IF(F1554="","",IFERROR(VALUE(MID(F1554,LEN(F1554)-3,3)),""))</f>
        <v/>
      </c>
      <c r="R1554" s="33">
        <f>IF(Q1554="","",P1554&amp;"|"&amp;Q1554)</f>
        <v/>
      </c>
      <c r="S1554" s="33">
        <f>IF(Q1554="","",IF(P1554="À RENSEIGNER","GIC",P1554)&amp;"-"&amp;TEXT(Q1554,"000"))</f>
        <v/>
      </c>
      <c r="T1554" s="33">
        <f>IF(R1554="","",IFERROR(INDEX(Cl_nom,MATCH(R1554,Cl_cle,0)),"(client introuvable)"))</f>
        <v/>
      </c>
      <c r="U1554" s="33">
        <f>IF(R1554="","",IFERROR(INDEX(Cl_quartier,MATCH(R1554,Cl_cle,0))&amp;"",""))</f>
        <v/>
      </c>
      <c r="V1554" s="34">
        <f>IF(C1554="","",YEAR(C1554-WEEKDAY(C1554,2)+4)&amp;"-S"&amp;TEXT(INT((C1554-DATE(YEAR(C1554-WEEKDAY(C1554,2)+4),1,3)+WEEKDAY(DATE(YEAR(C1554-WEEKDAY(C1554,2)+4),1,3),2)+5)/7),"00"))</f>
        <v/>
      </c>
    </row>
    <row r="1555" ht="18" customHeight="1">
      <c r="A1555" s="39" t="n">
        <v>1550</v>
      </c>
      <c r="B1555" s="33">
        <f>IF(C1555="","",IF(P1555="À RENSEIGNER","GIC",P1555)&amp;"-V"&amp;TEXT(A1555,"00000"))</f>
        <v/>
      </c>
      <c r="C1555" s="32" t="n"/>
      <c r="D1555" s="35" t="n"/>
      <c r="E1555" s="36" t="n"/>
      <c r="F1555" s="36" t="n"/>
      <c r="G1555" s="36" t="n"/>
      <c r="H1555" s="36" t="n"/>
      <c r="I1555" s="36" t="n"/>
      <c r="J1555" s="37" t="n"/>
      <c r="K1555" s="32" t="n"/>
      <c r="L1555" s="36" t="n"/>
      <c r="M1555" s="41" t="n"/>
      <c r="N1555" s="41" t="n"/>
      <c r="O1555" s="36" t="n"/>
      <c r="P1555" s="33">
        <f>IF(C1555="","",Commercial_Id)</f>
        <v/>
      </c>
      <c r="Q1555" s="39">
        <f>IF(F1555="","",IFERROR(VALUE(MID(F1555,LEN(F1555)-3,3)),""))</f>
        <v/>
      </c>
      <c r="R1555" s="33">
        <f>IF(Q1555="","",P1555&amp;"|"&amp;Q1555)</f>
        <v/>
      </c>
      <c r="S1555" s="33">
        <f>IF(Q1555="","",IF(P1555="À RENSEIGNER","GIC",P1555)&amp;"-"&amp;TEXT(Q1555,"000"))</f>
        <v/>
      </c>
      <c r="T1555" s="33">
        <f>IF(R1555="","",IFERROR(INDEX(Cl_nom,MATCH(R1555,Cl_cle,0)),"(client introuvable)"))</f>
        <v/>
      </c>
      <c r="U1555" s="33">
        <f>IF(R1555="","",IFERROR(INDEX(Cl_quartier,MATCH(R1555,Cl_cle,0))&amp;"",""))</f>
        <v/>
      </c>
      <c r="V1555" s="34">
        <f>IF(C1555="","",YEAR(C1555-WEEKDAY(C1555,2)+4)&amp;"-S"&amp;TEXT(INT((C1555-DATE(YEAR(C1555-WEEKDAY(C1555,2)+4),1,3)+WEEKDAY(DATE(YEAR(C1555-WEEKDAY(C1555,2)+4),1,3),2)+5)/7),"00"))</f>
        <v/>
      </c>
    </row>
    <row r="1556" ht="18" customHeight="1">
      <c r="A1556" s="39" t="n">
        <v>1551</v>
      </c>
      <c r="B1556" s="33">
        <f>IF(C1556="","",IF(P1556="À RENSEIGNER","GIC",P1556)&amp;"-V"&amp;TEXT(A1556,"00000"))</f>
        <v/>
      </c>
      <c r="C1556" s="32" t="n"/>
      <c r="D1556" s="35" t="n"/>
      <c r="E1556" s="36" t="n"/>
      <c r="F1556" s="36" t="n"/>
      <c r="G1556" s="36" t="n"/>
      <c r="H1556" s="36" t="n"/>
      <c r="I1556" s="36" t="n"/>
      <c r="J1556" s="37" t="n"/>
      <c r="K1556" s="32" t="n"/>
      <c r="L1556" s="36" t="n"/>
      <c r="M1556" s="41" t="n"/>
      <c r="N1556" s="41" t="n"/>
      <c r="O1556" s="36" t="n"/>
      <c r="P1556" s="33">
        <f>IF(C1556="","",Commercial_Id)</f>
        <v/>
      </c>
      <c r="Q1556" s="39">
        <f>IF(F1556="","",IFERROR(VALUE(MID(F1556,LEN(F1556)-3,3)),""))</f>
        <v/>
      </c>
      <c r="R1556" s="33">
        <f>IF(Q1556="","",P1556&amp;"|"&amp;Q1556)</f>
        <v/>
      </c>
      <c r="S1556" s="33">
        <f>IF(Q1556="","",IF(P1556="À RENSEIGNER","GIC",P1556)&amp;"-"&amp;TEXT(Q1556,"000"))</f>
        <v/>
      </c>
      <c r="T1556" s="33">
        <f>IF(R1556="","",IFERROR(INDEX(Cl_nom,MATCH(R1556,Cl_cle,0)),"(client introuvable)"))</f>
        <v/>
      </c>
      <c r="U1556" s="33">
        <f>IF(R1556="","",IFERROR(INDEX(Cl_quartier,MATCH(R1556,Cl_cle,0))&amp;"",""))</f>
        <v/>
      </c>
      <c r="V1556" s="34">
        <f>IF(C1556="","",YEAR(C1556-WEEKDAY(C1556,2)+4)&amp;"-S"&amp;TEXT(INT((C1556-DATE(YEAR(C1556-WEEKDAY(C1556,2)+4),1,3)+WEEKDAY(DATE(YEAR(C1556-WEEKDAY(C1556,2)+4),1,3),2)+5)/7),"00"))</f>
        <v/>
      </c>
    </row>
    <row r="1557" ht="18" customHeight="1">
      <c r="A1557" s="39" t="n">
        <v>1552</v>
      </c>
      <c r="B1557" s="33">
        <f>IF(C1557="","",IF(P1557="À RENSEIGNER","GIC",P1557)&amp;"-V"&amp;TEXT(A1557,"00000"))</f>
        <v/>
      </c>
      <c r="C1557" s="32" t="n"/>
      <c r="D1557" s="35" t="n"/>
      <c r="E1557" s="36" t="n"/>
      <c r="F1557" s="36" t="n"/>
      <c r="G1557" s="36" t="n"/>
      <c r="H1557" s="36" t="n"/>
      <c r="I1557" s="36" t="n"/>
      <c r="J1557" s="37" t="n"/>
      <c r="K1557" s="32" t="n"/>
      <c r="L1557" s="36" t="n"/>
      <c r="M1557" s="41" t="n"/>
      <c r="N1557" s="41" t="n"/>
      <c r="O1557" s="36" t="n"/>
      <c r="P1557" s="33">
        <f>IF(C1557="","",Commercial_Id)</f>
        <v/>
      </c>
      <c r="Q1557" s="39">
        <f>IF(F1557="","",IFERROR(VALUE(MID(F1557,LEN(F1557)-3,3)),""))</f>
        <v/>
      </c>
      <c r="R1557" s="33">
        <f>IF(Q1557="","",P1557&amp;"|"&amp;Q1557)</f>
        <v/>
      </c>
      <c r="S1557" s="33">
        <f>IF(Q1557="","",IF(P1557="À RENSEIGNER","GIC",P1557)&amp;"-"&amp;TEXT(Q1557,"000"))</f>
        <v/>
      </c>
      <c r="T1557" s="33">
        <f>IF(R1557="","",IFERROR(INDEX(Cl_nom,MATCH(R1557,Cl_cle,0)),"(client introuvable)"))</f>
        <v/>
      </c>
      <c r="U1557" s="33">
        <f>IF(R1557="","",IFERROR(INDEX(Cl_quartier,MATCH(R1557,Cl_cle,0))&amp;"",""))</f>
        <v/>
      </c>
      <c r="V1557" s="34">
        <f>IF(C1557="","",YEAR(C1557-WEEKDAY(C1557,2)+4)&amp;"-S"&amp;TEXT(INT((C1557-DATE(YEAR(C1557-WEEKDAY(C1557,2)+4),1,3)+WEEKDAY(DATE(YEAR(C1557-WEEKDAY(C1557,2)+4),1,3),2)+5)/7),"00"))</f>
        <v/>
      </c>
    </row>
    <row r="1558" ht="18" customHeight="1">
      <c r="A1558" s="39" t="n">
        <v>1553</v>
      </c>
      <c r="B1558" s="33">
        <f>IF(C1558="","",IF(P1558="À RENSEIGNER","GIC",P1558)&amp;"-V"&amp;TEXT(A1558,"00000"))</f>
        <v/>
      </c>
      <c r="C1558" s="32" t="n"/>
      <c r="D1558" s="35" t="n"/>
      <c r="E1558" s="36" t="n"/>
      <c r="F1558" s="36" t="n"/>
      <c r="G1558" s="36" t="n"/>
      <c r="H1558" s="36" t="n"/>
      <c r="I1558" s="36" t="n"/>
      <c r="J1558" s="37" t="n"/>
      <c r="K1558" s="32" t="n"/>
      <c r="L1558" s="36" t="n"/>
      <c r="M1558" s="41" t="n"/>
      <c r="N1558" s="41" t="n"/>
      <c r="O1558" s="36" t="n"/>
      <c r="P1558" s="33">
        <f>IF(C1558="","",Commercial_Id)</f>
        <v/>
      </c>
      <c r="Q1558" s="39">
        <f>IF(F1558="","",IFERROR(VALUE(MID(F1558,LEN(F1558)-3,3)),""))</f>
        <v/>
      </c>
      <c r="R1558" s="33">
        <f>IF(Q1558="","",P1558&amp;"|"&amp;Q1558)</f>
        <v/>
      </c>
      <c r="S1558" s="33">
        <f>IF(Q1558="","",IF(P1558="À RENSEIGNER","GIC",P1558)&amp;"-"&amp;TEXT(Q1558,"000"))</f>
        <v/>
      </c>
      <c r="T1558" s="33">
        <f>IF(R1558="","",IFERROR(INDEX(Cl_nom,MATCH(R1558,Cl_cle,0)),"(client introuvable)"))</f>
        <v/>
      </c>
      <c r="U1558" s="33">
        <f>IF(R1558="","",IFERROR(INDEX(Cl_quartier,MATCH(R1558,Cl_cle,0))&amp;"",""))</f>
        <v/>
      </c>
      <c r="V1558" s="34">
        <f>IF(C1558="","",YEAR(C1558-WEEKDAY(C1558,2)+4)&amp;"-S"&amp;TEXT(INT((C1558-DATE(YEAR(C1558-WEEKDAY(C1558,2)+4),1,3)+WEEKDAY(DATE(YEAR(C1558-WEEKDAY(C1558,2)+4),1,3),2)+5)/7),"00"))</f>
        <v/>
      </c>
    </row>
    <row r="1559" ht="18" customHeight="1">
      <c r="A1559" s="39" t="n">
        <v>1554</v>
      </c>
      <c r="B1559" s="33">
        <f>IF(C1559="","",IF(P1559="À RENSEIGNER","GIC",P1559)&amp;"-V"&amp;TEXT(A1559,"00000"))</f>
        <v/>
      </c>
      <c r="C1559" s="32" t="n"/>
      <c r="D1559" s="35" t="n"/>
      <c r="E1559" s="36" t="n"/>
      <c r="F1559" s="36" t="n"/>
      <c r="G1559" s="36" t="n"/>
      <c r="H1559" s="36" t="n"/>
      <c r="I1559" s="36" t="n"/>
      <c r="J1559" s="37" t="n"/>
      <c r="K1559" s="32" t="n"/>
      <c r="L1559" s="36" t="n"/>
      <c r="M1559" s="41" t="n"/>
      <c r="N1559" s="41" t="n"/>
      <c r="O1559" s="36" t="n"/>
      <c r="P1559" s="33">
        <f>IF(C1559="","",Commercial_Id)</f>
        <v/>
      </c>
      <c r="Q1559" s="39">
        <f>IF(F1559="","",IFERROR(VALUE(MID(F1559,LEN(F1559)-3,3)),""))</f>
        <v/>
      </c>
      <c r="R1559" s="33">
        <f>IF(Q1559="","",P1559&amp;"|"&amp;Q1559)</f>
        <v/>
      </c>
      <c r="S1559" s="33">
        <f>IF(Q1559="","",IF(P1559="À RENSEIGNER","GIC",P1559)&amp;"-"&amp;TEXT(Q1559,"000"))</f>
        <v/>
      </c>
      <c r="T1559" s="33">
        <f>IF(R1559="","",IFERROR(INDEX(Cl_nom,MATCH(R1559,Cl_cle,0)),"(client introuvable)"))</f>
        <v/>
      </c>
      <c r="U1559" s="33">
        <f>IF(R1559="","",IFERROR(INDEX(Cl_quartier,MATCH(R1559,Cl_cle,0))&amp;"",""))</f>
        <v/>
      </c>
      <c r="V1559" s="34">
        <f>IF(C1559="","",YEAR(C1559-WEEKDAY(C1559,2)+4)&amp;"-S"&amp;TEXT(INT((C1559-DATE(YEAR(C1559-WEEKDAY(C1559,2)+4),1,3)+WEEKDAY(DATE(YEAR(C1559-WEEKDAY(C1559,2)+4),1,3),2)+5)/7),"00"))</f>
        <v/>
      </c>
    </row>
    <row r="1560" ht="18" customHeight="1">
      <c r="A1560" s="39" t="n">
        <v>1555</v>
      </c>
      <c r="B1560" s="33">
        <f>IF(C1560="","",IF(P1560="À RENSEIGNER","GIC",P1560)&amp;"-V"&amp;TEXT(A1560,"00000"))</f>
        <v/>
      </c>
      <c r="C1560" s="32" t="n"/>
      <c r="D1560" s="35" t="n"/>
      <c r="E1560" s="36" t="n"/>
      <c r="F1560" s="36" t="n"/>
      <c r="G1560" s="36" t="n"/>
      <c r="H1560" s="36" t="n"/>
      <c r="I1560" s="36" t="n"/>
      <c r="J1560" s="37" t="n"/>
      <c r="K1560" s="32" t="n"/>
      <c r="L1560" s="36" t="n"/>
      <c r="M1560" s="41" t="n"/>
      <c r="N1560" s="41" t="n"/>
      <c r="O1560" s="36" t="n"/>
      <c r="P1560" s="33">
        <f>IF(C1560="","",Commercial_Id)</f>
        <v/>
      </c>
      <c r="Q1560" s="39">
        <f>IF(F1560="","",IFERROR(VALUE(MID(F1560,LEN(F1560)-3,3)),""))</f>
        <v/>
      </c>
      <c r="R1560" s="33">
        <f>IF(Q1560="","",P1560&amp;"|"&amp;Q1560)</f>
        <v/>
      </c>
      <c r="S1560" s="33">
        <f>IF(Q1560="","",IF(P1560="À RENSEIGNER","GIC",P1560)&amp;"-"&amp;TEXT(Q1560,"000"))</f>
        <v/>
      </c>
      <c r="T1560" s="33">
        <f>IF(R1560="","",IFERROR(INDEX(Cl_nom,MATCH(R1560,Cl_cle,0)),"(client introuvable)"))</f>
        <v/>
      </c>
      <c r="U1560" s="33">
        <f>IF(R1560="","",IFERROR(INDEX(Cl_quartier,MATCH(R1560,Cl_cle,0))&amp;"",""))</f>
        <v/>
      </c>
      <c r="V1560" s="34">
        <f>IF(C1560="","",YEAR(C1560-WEEKDAY(C1560,2)+4)&amp;"-S"&amp;TEXT(INT((C1560-DATE(YEAR(C1560-WEEKDAY(C1560,2)+4),1,3)+WEEKDAY(DATE(YEAR(C1560-WEEKDAY(C1560,2)+4),1,3),2)+5)/7),"00"))</f>
        <v/>
      </c>
    </row>
    <row r="1561" ht="18" customHeight="1">
      <c r="A1561" s="39" t="n">
        <v>1556</v>
      </c>
      <c r="B1561" s="33">
        <f>IF(C1561="","",IF(P1561="À RENSEIGNER","GIC",P1561)&amp;"-V"&amp;TEXT(A1561,"00000"))</f>
        <v/>
      </c>
      <c r="C1561" s="32" t="n"/>
      <c r="D1561" s="35" t="n"/>
      <c r="E1561" s="36" t="n"/>
      <c r="F1561" s="36" t="n"/>
      <c r="G1561" s="36" t="n"/>
      <c r="H1561" s="36" t="n"/>
      <c r="I1561" s="36" t="n"/>
      <c r="J1561" s="37" t="n"/>
      <c r="K1561" s="32" t="n"/>
      <c r="L1561" s="36" t="n"/>
      <c r="M1561" s="41" t="n"/>
      <c r="N1561" s="41" t="n"/>
      <c r="O1561" s="36" t="n"/>
      <c r="P1561" s="33">
        <f>IF(C1561="","",Commercial_Id)</f>
        <v/>
      </c>
      <c r="Q1561" s="39">
        <f>IF(F1561="","",IFERROR(VALUE(MID(F1561,LEN(F1561)-3,3)),""))</f>
        <v/>
      </c>
      <c r="R1561" s="33">
        <f>IF(Q1561="","",P1561&amp;"|"&amp;Q1561)</f>
        <v/>
      </c>
      <c r="S1561" s="33">
        <f>IF(Q1561="","",IF(P1561="À RENSEIGNER","GIC",P1561)&amp;"-"&amp;TEXT(Q1561,"000"))</f>
        <v/>
      </c>
      <c r="T1561" s="33">
        <f>IF(R1561="","",IFERROR(INDEX(Cl_nom,MATCH(R1561,Cl_cle,0)),"(client introuvable)"))</f>
        <v/>
      </c>
      <c r="U1561" s="33">
        <f>IF(R1561="","",IFERROR(INDEX(Cl_quartier,MATCH(R1561,Cl_cle,0))&amp;"",""))</f>
        <v/>
      </c>
      <c r="V1561" s="34">
        <f>IF(C1561="","",YEAR(C1561-WEEKDAY(C1561,2)+4)&amp;"-S"&amp;TEXT(INT((C1561-DATE(YEAR(C1561-WEEKDAY(C1561,2)+4),1,3)+WEEKDAY(DATE(YEAR(C1561-WEEKDAY(C1561,2)+4),1,3),2)+5)/7),"00"))</f>
        <v/>
      </c>
    </row>
    <row r="1562" ht="18" customHeight="1">
      <c r="A1562" s="39" t="n">
        <v>1557</v>
      </c>
      <c r="B1562" s="33">
        <f>IF(C1562="","",IF(P1562="À RENSEIGNER","GIC",P1562)&amp;"-V"&amp;TEXT(A1562,"00000"))</f>
        <v/>
      </c>
      <c r="C1562" s="32" t="n"/>
      <c r="D1562" s="35" t="n"/>
      <c r="E1562" s="36" t="n"/>
      <c r="F1562" s="36" t="n"/>
      <c r="G1562" s="36" t="n"/>
      <c r="H1562" s="36" t="n"/>
      <c r="I1562" s="36" t="n"/>
      <c r="J1562" s="37" t="n"/>
      <c r="K1562" s="32" t="n"/>
      <c r="L1562" s="36" t="n"/>
      <c r="M1562" s="41" t="n"/>
      <c r="N1562" s="41" t="n"/>
      <c r="O1562" s="36" t="n"/>
      <c r="P1562" s="33">
        <f>IF(C1562="","",Commercial_Id)</f>
        <v/>
      </c>
      <c r="Q1562" s="39">
        <f>IF(F1562="","",IFERROR(VALUE(MID(F1562,LEN(F1562)-3,3)),""))</f>
        <v/>
      </c>
      <c r="R1562" s="33">
        <f>IF(Q1562="","",P1562&amp;"|"&amp;Q1562)</f>
        <v/>
      </c>
      <c r="S1562" s="33">
        <f>IF(Q1562="","",IF(P1562="À RENSEIGNER","GIC",P1562)&amp;"-"&amp;TEXT(Q1562,"000"))</f>
        <v/>
      </c>
      <c r="T1562" s="33">
        <f>IF(R1562="","",IFERROR(INDEX(Cl_nom,MATCH(R1562,Cl_cle,0)),"(client introuvable)"))</f>
        <v/>
      </c>
      <c r="U1562" s="33">
        <f>IF(R1562="","",IFERROR(INDEX(Cl_quartier,MATCH(R1562,Cl_cle,0))&amp;"",""))</f>
        <v/>
      </c>
      <c r="V1562" s="34">
        <f>IF(C1562="","",YEAR(C1562-WEEKDAY(C1562,2)+4)&amp;"-S"&amp;TEXT(INT((C1562-DATE(YEAR(C1562-WEEKDAY(C1562,2)+4),1,3)+WEEKDAY(DATE(YEAR(C1562-WEEKDAY(C1562,2)+4),1,3),2)+5)/7),"00"))</f>
        <v/>
      </c>
    </row>
    <row r="1563" ht="18" customHeight="1">
      <c r="A1563" s="39" t="n">
        <v>1558</v>
      </c>
      <c r="B1563" s="33">
        <f>IF(C1563="","",IF(P1563="À RENSEIGNER","GIC",P1563)&amp;"-V"&amp;TEXT(A1563,"00000"))</f>
        <v/>
      </c>
      <c r="C1563" s="32" t="n"/>
      <c r="D1563" s="35" t="n"/>
      <c r="E1563" s="36" t="n"/>
      <c r="F1563" s="36" t="n"/>
      <c r="G1563" s="36" t="n"/>
      <c r="H1563" s="36" t="n"/>
      <c r="I1563" s="36" t="n"/>
      <c r="J1563" s="37" t="n"/>
      <c r="K1563" s="32" t="n"/>
      <c r="L1563" s="36" t="n"/>
      <c r="M1563" s="41" t="n"/>
      <c r="N1563" s="41" t="n"/>
      <c r="O1563" s="36" t="n"/>
      <c r="P1563" s="33">
        <f>IF(C1563="","",Commercial_Id)</f>
        <v/>
      </c>
      <c r="Q1563" s="39">
        <f>IF(F1563="","",IFERROR(VALUE(MID(F1563,LEN(F1563)-3,3)),""))</f>
        <v/>
      </c>
      <c r="R1563" s="33">
        <f>IF(Q1563="","",P1563&amp;"|"&amp;Q1563)</f>
        <v/>
      </c>
      <c r="S1563" s="33">
        <f>IF(Q1563="","",IF(P1563="À RENSEIGNER","GIC",P1563)&amp;"-"&amp;TEXT(Q1563,"000"))</f>
        <v/>
      </c>
      <c r="T1563" s="33">
        <f>IF(R1563="","",IFERROR(INDEX(Cl_nom,MATCH(R1563,Cl_cle,0)),"(client introuvable)"))</f>
        <v/>
      </c>
      <c r="U1563" s="33">
        <f>IF(R1563="","",IFERROR(INDEX(Cl_quartier,MATCH(R1563,Cl_cle,0))&amp;"",""))</f>
        <v/>
      </c>
      <c r="V1563" s="34">
        <f>IF(C1563="","",YEAR(C1563-WEEKDAY(C1563,2)+4)&amp;"-S"&amp;TEXT(INT((C1563-DATE(YEAR(C1563-WEEKDAY(C1563,2)+4),1,3)+WEEKDAY(DATE(YEAR(C1563-WEEKDAY(C1563,2)+4),1,3),2)+5)/7),"00"))</f>
        <v/>
      </c>
    </row>
    <row r="1564" ht="18" customHeight="1">
      <c r="A1564" s="39" t="n">
        <v>1559</v>
      </c>
      <c r="B1564" s="33">
        <f>IF(C1564="","",IF(P1564="À RENSEIGNER","GIC",P1564)&amp;"-V"&amp;TEXT(A1564,"00000"))</f>
        <v/>
      </c>
      <c r="C1564" s="32" t="n"/>
      <c r="D1564" s="35" t="n"/>
      <c r="E1564" s="36" t="n"/>
      <c r="F1564" s="36" t="n"/>
      <c r="G1564" s="36" t="n"/>
      <c r="H1564" s="36" t="n"/>
      <c r="I1564" s="36" t="n"/>
      <c r="J1564" s="37" t="n"/>
      <c r="K1564" s="32" t="n"/>
      <c r="L1564" s="36" t="n"/>
      <c r="M1564" s="41" t="n"/>
      <c r="N1564" s="41" t="n"/>
      <c r="O1564" s="36" t="n"/>
      <c r="P1564" s="33">
        <f>IF(C1564="","",Commercial_Id)</f>
        <v/>
      </c>
      <c r="Q1564" s="39">
        <f>IF(F1564="","",IFERROR(VALUE(MID(F1564,LEN(F1564)-3,3)),""))</f>
        <v/>
      </c>
      <c r="R1564" s="33">
        <f>IF(Q1564="","",P1564&amp;"|"&amp;Q1564)</f>
        <v/>
      </c>
      <c r="S1564" s="33">
        <f>IF(Q1564="","",IF(P1564="À RENSEIGNER","GIC",P1564)&amp;"-"&amp;TEXT(Q1564,"000"))</f>
        <v/>
      </c>
      <c r="T1564" s="33">
        <f>IF(R1564="","",IFERROR(INDEX(Cl_nom,MATCH(R1564,Cl_cle,0)),"(client introuvable)"))</f>
        <v/>
      </c>
      <c r="U1564" s="33">
        <f>IF(R1564="","",IFERROR(INDEX(Cl_quartier,MATCH(R1564,Cl_cle,0))&amp;"",""))</f>
        <v/>
      </c>
      <c r="V1564" s="34">
        <f>IF(C1564="","",YEAR(C1564-WEEKDAY(C1564,2)+4)&amp;"-S"&amp;TEXT(INT((C1564-DATE(YEAR(C1564-WEEKDAY(C1564,2)+4),1,3)+WEEKDAY(DATE(YEAR(C1564-WEEKDAY(C1564,2)+4),1,3),2)+5)/7),"00"))</f>
        <v/>
      </c>
    </row>
    <row r="1565" ht="18" customHeight="1">
      <c r="A1565" s="39" t="n">
        <v>1560</v>
      </c>
      <c r="B1565" s="33">
        <f>IF(C1565="","",IF(P1565="À RENSEIGNER","GIC",P1565)&amp;"-V"&amp;TEXT(A1565,"00000"))</f>
        <v/>
      </c>
      <c r="C1565" s="32" t="n"/>
      <c r="D1565" s="35" t="n"/>
      <c r="E1565" s="36" t="n"/>
      <c r="F1565" s="36" t="n"/>
      <c r="G1565" s="36" t="n"/>
      <c r="H1565" s="36" t="n"/>
      <c r="I1565" s="36" t="n"/>
      <c r="J1565" s="37" t="n"/>
      <c r="K1565" s="32" t="n"/>
      <c r="L1565" s="36" t="n"/>
      <c r="M1565" s="41" t="n"/>
      <c r="N1565" s="41" t="n"/>
      <c r="O1565" s="36" t="n"/>
      <c r="P1565" s="33">
        <f>IF(C1565="","",Commercial_Id)</f>
        <v/>
      </c>
      <c r="Q1565" s="39">
        <f>IF(F1565="","",IFERROR(VALUE(MID(F1565,LEN(F1565)-3,3)),""))</f>
        <v/>
      </c>
      <c r="R1565" s="33">
        <f>IF(Q1565="","",P1565&amp;"|"&amp;Q1565)</f>
        <v/>
      </c>
      <c r="S1565" s="33">
        <f>IF(Q1565="","",IF(P1565="À RENSEIGNER","GIC",P1565)&amp;"-"&amp;TEXT(Q1565,"000"))</f>
        <v/>
      </c>
      <c r="T1565" s="33">
        <f>IF(R1565="","",IFERROR(INDEX(Cl_nom,MATCH(R1565,Cl_cle,0)),"(client introuvable)"))</f>
        <v/>
      </c>
      <c r="U1565" s="33">
        <f>IF(R1565="","",IFERROR(INDEX(Cl_quartier,MATCH(R1565,Cl_cle,0))&amp;"",""))</f>
        <v/>
      </c>
      <c r="V1565" s="34">
        <f>IF(C1565="","",YEAR(C1565-WEEKDAY(C1565,2)+4)&amp;"-S"&amp;TEXT(INT((C1565-DATE(YEAR(C1565-WEEKDAY(C1565,2)+4),1,3)+WEEKDAY(DATE(YEAR(C1565-WEEKDAY(C1565,2)+4),1,3),2)+5)/7),"00"))</f>
        <v/>
      </c>
    </row>
    <row r="1566" ht="18" customHeight="1">
      <c r="A1566" s="39" t="n">
        <v>1561</v>
      </c>
      <c r="B1566" s="33">
        <f>IF(C1566="","",IF(P1566="À RENSEIGNER","GIC",P1566)&amp;"-V"&amp;TEXT(A1566,"00000"))</f>
        <v/>
      </c>
      <c r="C1566" s="32" t="n"/>
      <c r="D1566" s="35" t="n"/>
      <c r="E1566" s="36" t="n"/>
      <c r="F1566" s="36" t="n"/>
      <c r="G1566" s="36" t="n"/>
      <c r="H1566" s="36" t="n"/>
      <c r="I1566" s="36" t="n"/>
      <c r="J1566" s="37" t="n"/>
      <c r="K1566" s="32" t="n"/>
      <c r="L1566" s="36" t="n"/>
      <c r="M1566" s="41" t="n"/>
      <c r="N1566" s="41" t="n"/>
      <c r="O1566" s="36" t="n"/>
      <c r="P1566" s="33">
        <f>IF(C1566="","",Commercial_Id)</f>
        <v/>
      </c>
      <c r="Q1566" s="39">
        <f>IF(F1566="","",IFERROR(VALUE(MID(F1566,LEN(F1566)-3,3)),""))</f>
        <v/>
      </c>
      <c r="R1566" s="33">
        <f>IF(Q1566="","",P1566&amp;"|"&amp;Q1566)</f>
        <v/>
      </c>
      <c r="S1566" s="33">
        <f>IF(Q1566="","",IF(P1566="À RENSEIGNER","GIC",P1566)&amp;"-"&amp;TEXT(Q1566,"000"))</f>
        <v/>
      </c>
      <c r="T1566" s="33">
        <f>IF(R1566="","",IFERROR(INDEX(Cl_nom,MATCH(R1566,Cl_cle,0)),"(client introuvable)"))</f>
        <v/>
      </c>
      <c r="U1566" s="33">
        <f>IF(R1566="","",IFERROR(INDEX(Cl_quartier,MATCH(R1566,Cl_cle,0))&amp;"",""))</f>
        <v/>
      </c>
      <c r="V1566" s="34">
        <f>IF(C1566="","",YEAR(C1566-WEEKDAY(C1566,2)+4)&amp;"-S"&amp;TEXT(INT((C1566-DATE(YEAR(C1566-WEEKDAY(C1566,2)+4),1,3)+WEEKDAY(DATE(YEAR(C1566-WEEKDAY(C1566,2)+4),1,3),2)+5)/7),"00"))</f>
        <v/>
      </c>
    </row>
    <row r="1567" ht="18" customHeight="1">
      <c r="A1567" s="39" t="n">
        <v>1562</v>
      </c>
      <c r="B1567" s="33">
        <f>IF(C1567="","",IF(P1567="À RENSEIGNER","GIC",P1567)&amp;"-V"&amp;TEXT(A1567,"00000"))</f>
        <v/>
      </c>
      <c r="C1567" s="32" t="n"/>
      <c r="D1567" s="35" t="n"/>
      <c r="E1567" s="36" t="n"/>
      <c r="F1567" s="36" t="n"/>
      <c r="G1567" s="36" t="n"/>
      <c r="H1567" s="36" t="n"/>
      <c r="I1567" s="36" t="n"/>
      <c r="J1567" s="37" t="n"/>
      <c r="K1567" s="32" t="n"/>
      <c r="L1567" s="36" t="n"/>
      <c r="M1567" s="41" t="n"/>
      <c r="N1567" s="41" t="n"/>
      <c r="O1567" s="36" t="n"/>
      <c r="P1567" s="33">
        <f>IF(C1567="","",Commercial_Id)</f>
        <v/>
      </c>
      <c r="Q1567" s="39">
        <f>IF(F1567="","",IFERROR(VALUE(MID(F1567,LEN(F1567)-3,3)),""))</f>
        <v/>
      </c>
      <c r="R1567" s="33">
        <f>IF(Q1567="","",P1567&amp;"|"&amp;Q1567)</f>
        <v/>
      </c>
      <c r="S1567" s="33">
        <f>IF(Q1567="","",IF(P1567="À RENSEIGNER","GIC",P1567)&amp;"-"&amp;TEXT(Q1567,"000"))</f>
        <v/>
      </c>
      <c r="T1567" s="33">
        <f>IF(R1567="","",IFERROR(INDEX(Cl_nom,MATCH(R1567,Cl_cle,0)),"(client introuvable)"))</f>
        <v/>
      </c>
      <c r="U1567" s="33">
        <f>IF(R1567="","",IFERROR(INDEX(Cl_quartier,MATCH(R1567,Cl_cle,0))&amp;"",""))</f>
        <v/>
      </c>
      <c r="V1567" s="34">
        <f>IF(C1567="","",YEAR(C1567-WEEKDAY(C1567,2)+4)&amp;"-S"&amp;TEXT(INT((C1567-DATE(YEAR(C1567-WEEKDAY(C1567,2)+4),1,3)+WEEKDAY(DATE(YEAR(C1567-WEEKDAY(C1567,2)+4),1,3),2)+5)/7),"00"))</f>
        <v/>
      </c>
    </row>
    <row r="1568" ht="18" customHeight="1">
      <c r="A1568" s="39" t="n">
        <v>1563</v>
      </c>
      <c r="B1568" s="33">
        <f>IF(C1568="","",IF(P1568="À RENSEIGNER","GIC",P1568)&amp;"-V"&amp;TEXT(A1568,"00000"))</f>
        <v/>
      </c>
      <c r="C1568" s="32" t="n"/>
      <c r="D1568" s="35" t="n"/>
      <c r="E1568" s="36" t="n"/>
      <c r="F1568" s="36" t="n"/>
      <c r="G1568" s="36" t="n"/>
      <c r="H1568" s="36" t="n"/>
      <c r="I1568" s="36" t="n"/>
      <c r="J1568" s="37" t="n"/>
      <c r="K1568" s="32" t="n"/>
      <c r="L1568" s="36" t="n"/>
      <c r="M1568" s="41" t="n"/>
      <c r="N1568" s="41" t="n"/>
      <c r="O1568" s="36" t="n"/>
      <c r="P1568" s="33">
        <f>IF(C1568="","",Commercial_Id)</f>
        <v/>
      </c>
      <c r="Q1568" s="39">
        <f>IF(F1568="","",IFERROR(VALUE(MID(F1568,LEN(F1568)-3,3)),""))</f>
        <v/>
      </c>
      <c r="R1568" s="33">
        <f>IF(Q1568="","",P1568&amp;"|"&amp;Q1568)</f>
        <v/>
      </c>
      <c r="S1568" s="33">
        <f>IF(Q1568="","",IF(P1568="À RENSEIGNER","GIC",P1568)&amp;"-"&amp;TEXT(Q1568,"000"))</f>
        <v/>
      </c>
      <c r="T1568" s="33">
        <f>IF(R1568="","",IFERROR(INDEX(Cl_nom,MATCH(R1568,Cl_cle,0)),"(client introuvable)"))</f>
        <v/>
      </c>
      <c r="U1568" s="33">
        <f>IF(R1568="","",IFERROR(INDEX(Cl_quartier,MATCH(R1568,Cl_cle,0))&amp;"",""))</f>
        <v/>
      </c>
      <c r="V1568" s="34">
        <f>IF(C1568="","",YEAR(C1568-WEEKDAY(C1568,2)+4)&amp;"-S"&amp;TEXT(INT((C1568-DATE(YEAR(C1568-WEEKDAY(C1568,2)+4),1,3)+WEEKDAY(DATE(YEAR(C1568-WEEKDAY(C1568,2)+4),1,3),2)+5)/7),"00"))</f>
        <v/>
      </c>
    </row>
    <row r="1569" ht="18" customHeight="1">
      <c r="A1569" s="39" t="n">
        <v>1564</v>
      </c>
      <c r="B1569" s="33">
        <f>IF(C1569="","",IF(P1569="À RENSEIGNER","GIC",P1569)&amp;"-V"&amp;TEXT(A1569,"00000"))</f>
        <v/>
      </c>
      <c r="C1569" s="32" t="n"/>
      <c r="D1569" s="35" t="n"/>
      <c r="E1569" s="36" t="n"/>
      <c r="F1569" s="36" t="n"/>
      <c r="G1569" s="36" t="n"/>
      <c r="H1569" s="36" t="n"/>
      <c r="I1569" s="36" t="n"/>
      <c r="J1569" s="37" t="n"/>
      <c r="K1569" s="32" t="n"/>
      <c r="L1569" s="36" t="n"/>
      <c r="M1569" s="41" t="n"/>
      <c r="N1569" s="41" t="n"/>
      <c r="O1569" s="36" t="n"/>
      <c r="P1569" s="33">
        <f>IF(C1569="","",Commercial_Id)</f>
        <v/>
      </c>
      <c r="Q1569" s="39">
        <f>IF(F1569="","",IFERROR(VALUE(MID(F1569,LEN(F1569)-3,3)),""))</f>
        <v/>
      </c>
      <c r="R1569" s="33">
        <f>IF(Q1569="","",P1569&amp;"|"&amp;Q1569)</f>
        <v/>
      </c>
      <c r="S1569" s="33">
        <f>IF(Q1569="","",IF(P1569="À RENSEIGNER","GIC",P1569)&amp;"-"&amp;TEXT(Q1569,"000"))</f>
        <v/>
      </c>
      <c r="T1569" s="33">
        <f>IF(R1569="","",IFERROR(INDEX(Cl_nom,MATCH(R1569,Cl_cle,0)),"(client introuvable)"))</f>
        <v/>
      </c>
      <c r="U1569" s="33">
        <f>IF(R1569="","",IFERROR(INDEX(Cl_quartier,MATCH(R1569,Cl_cle,0))&amp;"",""))</f>
        <v/>
      </c>
      <c r="V1569" s="34">
        <f>IF(C1569="","",YEAR(C1569-WEEKDAY(C1569,2)+4)&amp;"-S"&amp;TEXT(INT((C1569-DATE(YEAR(C1569-WEEKDAY(C1569,2)+4),1,3)+WEEKDAY(DATE(YEAR(C1569-WEEKDAY(C1569,2)+4),1,3),2)+5)/7),"00"))</f>
        <v/>
      </c>
    </row>
    <row r="1570" ht="18" customHeight="1">
      <c r="A1570" s="39" t="n">
        <v>1565</v>
      </c>
      <c r="B1570" s="33">
        <f>IF(C1570="","",IF(P1570="À RENSEIGNER","GIC",P1570)&amp;"-V"&amp;TEXT(A1570,"00000"))</f>
        <v/>
      </c>
      <c r="C1570" s="32" t="n"/>
      <c r="D1570" s="35" t="n"/>
      <c r="E1570" s="36" t="n"/>
      <c r="F1570" s="36" t="n"/>
      <c r="G1570" s="36" t="n"/>
      <c r="H1570" s="36" t="n"/>
      <c r="I1570" s="36" t="n"/>
      <c r="J1570" s="37" t="n"/>
      <c r="K1570" s="32" t="n"/>
      <c r="L1570" s="36" t="n"/>
      <c r="M1570" s="41" t="n"/>
      <c r="N1570" s="41" t="n"/>
      <c r="O1570" s="36" t="n"/>
      <c r="P1570" s="33">
        <f>IF(C1570="","",Commercial_Id)</f>
        <v/>
      </c>
      <c r="Q1570" s="39">
        <f>IF(F1570="","",IFERROR(VALUE(MID(F1570,LEN(F1570)-3,3)),""))</f>
        <v/>
      </c>
      <c r="R1570" s="33">
        <f>IF(Q1570="","",P1570&amp;"|"&amp;Q1570)</f>
        <v/>
      </c>
      <c r="S1570" s="33">
        <f>IF(Q1570="","",IF(P1570="À RENSEIGNER","GIC",P1570)&amp;"-"&amp;TEXT(Q1570,"000"))</f>
        <v/>
      </c>
      <c r="T1570" s="33">
        <f>IF(R1570="","",IFERROR(INDEX(Cl_nom,MATCH(R1570,Cl_cle,0)),"(client introuvable)"))</f>
        <v/>
      </c>
      <c r="U1570" s="33">
        <f>IF(R1570="","",IFERROR(INDEX(Cl_quartier,MATCH(R1570,Cl_cle,0))&amp;"",""))</f>
        <v/>
      </c>
      <c r="V1570" s="34">
        <f>IF(C1570="","",YEAR(C1570-WEEKDAY(C1570,2)+4)&amp;"-S"&amp;TEXT(INT((C1570-DATE(YEAR(C1570-WEEKDAY(C1570,2)+4),1,3)+WEEKDAY(DATE(YEAR(C1570-WEEKDAY(C1570,2)+4),1,3),2)+5)/7),"00"))</f>
        <v/>
      </c>
    </row>
    <row r="1571" ht="18" customHeight="1">
      <c r="A1571" s="39" t="n">
        <v>1566</v>
      </c>
      <c r="B1571" s="33">
        <f>IF(C1571="","",IF(P1571="À RENSEIGNER","GIC",P1571)&amp;"-V"&amp;TEXT(A1571,"00000"))</f>
        <v/>
      </c>
      <c r="C1571" s="32" t="n"/>
      <c r="D1571" s="35" t="n"/>
      <c r="E1571" s="36" t="n"/>
      <c r="F1571" s="36" t="n"/>
      <c r="G1571" s="36" t="n"/>
      <c r="H1571" s="36" t="n"/>
      <c r="I1571" s="36" t="n"/>
      <c r="J1571" s="37" t="n"/>
      <c r="K1571" s="32" t="n"/>
      <c r="L1571" s="36" t="n"/>
      <c r="M1571" s="41" t="n"/>
      <c r="N1571" s="41" t="n"/>
      <c r="O1571" s="36" t="n"/>
      <c r="P1571" s="33">
        <f>IF(C1571="","",Commercial_Id)</f>
        <v/>
      </c>
      <c r="Q1571" s="39">
        <f>IF(F1571="","",IFERROR(VALUE(MID(F1571,LEN(F1571)-3,3)),""))</f>
        <v/>
      </c>
      <c r="R1571" s="33">
        <f>IF(Q1571="","",P1571&amp;"|"&amp;Q1571)</f>
        <v/>
      </c>
      <c r="S1571" s="33">
        <f>IF(Q1571="","",IF(P1571="À RENSEIGNER","GIC",P1571)&amp;"-"&amp;TEXT(Q1571,"000"))</f>
        <v/>
      </c>
      <c r="T1571" s="33">
        <f>IF(R1571="","",IFERROR(INDEX(Cl_nom,MATCH(R1571,Cl_cle,0)),"(client introuvable)"))</f>
        <v/>
      </c>
      <c r="U1571" s="33">
        <f>IF(R1571="","",IFERROR(INDEX(Cl_quartier,MATCH(R1571,Cl_cle,0))&amp;"",""))</f>
        <v/>
      </c>
      <c r="V1571" s="34">
        <f>IF(C1571="","",YEAR(C1571-WEEKDAY(C1571,2)+4)&amp;"-S"&amp;TEXT(INT((C1571-DATE(YEAR(C1571-WEEKDAY(C1571,2)+4),1,3)+WEEKDAY(DATE(YEAR(C1571-WEEKDAY(C1571,2)+4),1,3),2)+5)/7),"00"))</f>
        <v/>
      </c>
    </row>
    <row r="1572" ht="18" customHeight="1">
      <c r="A1572" s="39" t="n">
        <v>1567</v>
      </c>
      <c r="B1572" s="33">
        <f>IF(C1572="","",IF(P1572="À RENSEIGNER","GIC",P1572)&amp;"-V"&amp;TEXT(A1572,"00000"))</f>
        <v/>
      </c>
      <c r="C1572" s="32" t="n"/>
      <c r="D1572" s="35" t="n"/>
      <c r="E1572" s="36" t="n"/>
      <c r="F1572" s="36" t="n"/>
      <c r="G1572" s="36" t="n"/>
      <c r="H1572" s="36" t="n"/>
      <c r="I1572" s="36" t="n"/>
      <c r="J1572" s="37" t="n"/>
      <c r="K1572" s="32" t="n"/>
      <c r="L1572" s="36" t="n"/>
      <c r="M1572" s="41" t="n"/>
      <c r="N1572" s="41" t="n"/>
      <c r="O1572" s="36" t="n"/>
      <c r="P1572" s="33">
        <f>IF(C1572="","",Commercial_Id)</f>
        <v/>
      </c>
      <c r="Q1572" s="39">
        <f>IF(F1572="","",IFERROR(VALUE(MID(F1572,LEN(F1572)-3,3)),""))</f>
        <v/>
      </c>
      <c r="R1572" s="33">
        <f>IF(Q1572="","",P1572&amp;"|"&amp;Q1572)</f>
        <v/>
      </c>
      <c r="S1572" s="33">
        <f>IF(Q1572="","",IF(P1572="À RENSEIGNER","GIC",P1572)&amp;"-"&amp;TEXT(Q1572,"000"))</f>
        <v/>
      </c>
      <c r="T1572" s="33">
        <f>IF(R1572="","",IFERROR(INDEX(Cl_nom,MATCH(R1572,Cl_cle,0)),"(client introuvable)"))</f>
        <v/>
      </c>
      <c r="U1572" s="33">
        <f>IF(R1572="","",IFERROR(INDEX(Cl_quartier,MATCH(R1572,Cl_cle,0))&amp;"",""))</f>
        <v/>
      </c>
      <c r="V1572" s="34">
        <f>IF(C1572="","",YEAR(C1572-WEEKDAY(C1572,2)+4)&amp;"-S"&amp;TEXT(INT((C1572-DATE(YEAR(C1572-WEEKDAY(C1572,2)+4),1,3)+WEEKDAY(DATE(YEAR(C1572-WEEKDAY(C1572,2)+4),1,3),2)+5)/7),"00"))</f>
        <v/>
      </c>
    </row>
    <row r="1573" ht="18" customHeight="1">
      <c r="A1573" s="39" t="n">
        <v>1568</v>
      </c>
      <c r="B1573" s="33">
        <f>IF(C1573="","",IF(P1573="À RENSEIGNER","GIC",P1573)&amp;"-V"&amp;TEXT(A1573,"00000"))</f>
        <v/>
      </c>
      <c r="C1573" s="32" t="n"/>
      <c r="D1573" s="35" t="n"/>
      <c r="E1573" s="36" t="n"/>
      <c r="F1573" s="36" t="n"/>
      <c r="G1573" s="36" t="n"/>
      <c r="H1573" s="36" t="n"/>
      <c r="I1573" s="36" t="n"/>
      <c r="J1573" s="37" t="n"/>
      <c r="K1573" s="32" t="n"/>
      <c r="L1573" s="36" t="n"/>
      <c r="M1573" s="41" t="n"/>
      <c r="N1573" s="41" t="n"/>
      <c r="O1573" s="36" t="n"/>
      <c r="P1573" s="33">
        <f>IF(C1573="","",Commercial_Id)</f>
        <v/>
      </c>
      <c r="Q1573" s="39">
        <f>IF(F1573="","",IFERROR(VALUE(MID(F1573,LEN(F1573)-3,3)),""))</f>
        <v/>
      </c>
      <c r="R1573" s="33">
        <f>IF(Q1573="","",P1573&amp;"|"&amp;Q1573)</f>
        <v/>
      </c>
      <c r="S1573" s="33">
        <f>IF(Q1573="","",IF(P1573="À RENSEIGNER","GIC",P1573)&amp;"-"&amp;TEXT(Q1573,"000"))</f>
        <v/>
      </c>
      <c r="T1573" s="33">
        <f>IF(R1573="","",IFERROR(INDEX(Cl_nom,MATCH(R1573,Cl_cle,0)),"(client introuvable)"))</f>
        <v/>
      </c>
      <c r="U1573" s="33">
        <f>IF(R1573="","",IFERROR(INDEX(Cl_quartier,MATCH(R1573,Cl_cle,0))&amp;"",""))</f>
        <v/>
      </c>
      <c r="V1573" s="34">
        <f>IF(C1573="","",YEAR(C1573-WEEKDAY(C1573,2)+4)&amp;"-S"&amp;TEXT(INT((C1573-DATE(YEAR(C1573-WEEKDAY(C1573,2)+4),1,3)+WEEKDAY(DATE(YEAR(C1573-WEEKDAY(C1573,2)+4),1,3),2)+5)/7),"00"))</f>
        <v/>
      </c>
    </row>
    <row r="1574" ht="18" customHeight="1">
      <c r="A1574" s="39" t="n">
        <v>1569</v>
      </c>
      <c r="B1574" s="33">
        <f>IF(C1574="","",IF(P1574="À RENSEIGNER","GIC",P1574)&amp;"-V"&amp;TEXT(A1574,"00000"))</f>
        <v/>
      </c>
      <c r="C1574" s="32" t="n"/>
      <c r="D1574" s="35" t="n"/>
      <c r="E1574" s="36" t="n"/>
      <c r="F1574" s="36" t="n"/>
      <c r="G1574" s="36" t="n"/>
      <c r="H1574" s="36" t="n"/>
      <c r="I1574" s="36" t="n"/>
      <c r="J1574" s="37" t="n"/>
      <c r="K1574" s="32" t="n"/>
      <c r="L1574" s="36" t="n"/>
      <c r="M1574" s="41" t="n"/>
      <c r="N1574" s="41" t="n"/>
      <c r="O1574" s="36" t="n"/>
      <c r="P1574" s="33">
        <f>IF(C1574="","",Commercial_Id)</f>
        <v/>
      </c>
      <c r="Q1574" s="39">
        <f>IF(F1574="","",IFERROR(VALUE(MID(F1574,LEN(F1574)-3,3)),""))</f>
        <v/>
      </c>
      <c r="R1574" s="33">
        <f>IF(Q1574="","",P1574&amp;"|"&amp;Q1574)</f>
        <v/>
      </c>
      <c r="S1574" s="33">
        <f>IF(Q1574="","",IF(P1574="À RENSEIGNER","GIC",P1574)&amp;"-"&amp;TEXT(Q1574,"000"))</f>
        <v/>
      </c>
      <c r="T1574" s="33">
        <f>IF(R1574="","",IFERROR(INDEX(Cl_nom,MATCH(R1574,Cl_cle,0)),"(client introuvable)"))</f>
        <v/>
      </c>
      <c r="U1574" s="33">
        <f>IF(R1574="","",IFERROR(INDEX(Cl_quartier,MATCH(R1574,Cl_cle,0))&amp;"",""))</f>
        <v/>
      </c>
      <c r="V1574" s="34">
        <f>IF(C1574="","",YEAR(C1574-WEEKDAY(C1574,2)+4)&amp;"-S"&amp;TEXT(INT((C1574-DATE(YEAR(C1574-WEEKDAY(C1574,2)+4),1,3)+WEEKDAY(DATE(YEAR(C1574-WEEKDAY(C1574,2)+4),1,3),2)+5)/7),"00"))</f>
        <v/>
      </c>
    </row>
    <row r="1575" ht="18" customHeight="1">
      <c r="A1575" s="39" t="n">
        <v>1570</v>
      </c>
      <c r="B1575" s="33">
        <f>IF(C1575="","",IF(P1575="À RENSEIGNER","GIC",P1575)&amp;"-V"&amp;TEXT(A1575,"00000"))</f>
        <v/>
      </c>
      <c r="C1575" s="32" t="n"/>
      <c r="D1575" s="35" t="n"/>
      <c r="E1575" s="36" t="n"/>
      <c r="F1575" s="36" t="n"/>
      <c r="G1575" s="36" t="n"/>
      <c r="H1575" s="36" t="n"/>
      <c r="I1575" s="36" t="n"/>
      <c r="J1575" s="37" t="n"/>
      <c r="K1575" s="32" t="n"/>
      <c r="L1575" s="36" t="n"/>
      <c r="M1575" s="41" t="n"/>
      <c r="N1575" s="41" t="n"/>
      <c r="O1575" s="36" t="n"/>
      <c r="P1575" s="33">
        <f>IF(C1575="","",Commercial_Id)</f>
        <v/>
      </c>
      <c r="Q1575" s="39">
        <f>IF(F1575="","",IFERROR(VALUE(MID(F1575,LEN(F1575)-3,3)),""))</f>
        <v/>
      </c>
      <c r="R1575" s="33">
        <f>IF(Q1575="","",P1575&amp;"|"&amp;Q1575)</f>
        <v/>
      </c>
      <c r="S1575" s="33">
        <f>IF(Q1575="","",IF(P1575="À RENSEIGNER","GIC",P1575)&amp;"-"&amp;TEXT(Q1575,"000"))</f>
        <v/>
      </c>
      <c r="T1575" s="33">
        <f>IF(R1575="","",IFERROR(INDEX(Cl_nom,MATCH(R1575,Cl_cle,0)),"(client introuvable)"))</f>
        <v/>
      </c>
      <c r="U1575" s="33">
        <f>IF(R1575="","",IFERROR(INDEX(Cl_quartier,MATCH(R1575,Cl_cle,0))&amp;"",""))</f>
        <v/>
      </c>
      <c r="V1575" s="34">
        <f>IF(C1575="","",YEAR(C1575-WEEKDAY(C1575,2)+4)&amp;"-S"&amp;TEXT(INT((C1575-DATE(YEAR(C1575-WEEKDAY(C1575,2)+4),1,3)+WEEKDAY(DATE(YEAR(C1575-WEEKDAY(C1575,2)+4),1,3),2)+5)/7),"00"))</f>
        <v/>
      </c>
    </row>
    <row r="1576" ht="18" customHeight="1">
      <c r="A1576" s="39" t="n">
        <v>1571</v>
      </c>
      <c r="B1576" s="33">
        <f>IF(C1576="","",IF(P1576="À RENSEIGNER","GIC",P1576)&amp;"-V"&amp;TEXT(A1576,"00000"))</f>
        <v/>
      </c>
      <c r="C1576" s="32" t="n"/>
      <c r="D1576" s="35" t="n"/>
      <c r="E1576" s="36" t="n"/>
      <c r="F1576" s="36" t="n"/>
      <c r="G1576" s="36" t="n"/>
      <c r="H1576" s="36" t="n"/>
      <c r="I1576" s="36" t="n"/>
      <c r="J1576" s="37" t="n"/>
      <c r="K1576" s="32" t="n"/>
      <c r="L1576" s="36" t="n"/>
      <c r="M1576" s="41" t="n"/>
      <c r="N1576" s="41" t="n"/>
      <c r="O1576" s="36" t="n"/>
      <c r="P1576" s="33">
        <f>IF(C1576="","",Commercial_Id)</f>
        <v/>
      </c>
      <c r="Q1576" s="39">
        <f>IF(F1576="","",IFERROR(VALUE(MID(F1576,LEN(F1576)-3,3)),""))</f>
        <v/>
      </c>
      <c r="R1576" s="33">
        <f>IF(Q1576="","",P1576&amp;"|"&amp;Q1576)</f>
        <v/>
      </c>
      <c r="S1576" s="33">
        <f>IF(Q1576="","",IF(P1576="À RENSEIGNER","GIC",P1576)&amp;"-"&amp;TEXT(Q1576,"000"))</f>
        <v/>
      </c>
      <c r="T1576" s="33">
        <f>IF(R1576="","",IFERROR(INDEX(Cl_nom,MATCH(R1576,Cl_cle,0)),"(client introuvable)"))</f>
        <v/>
      </c>
      <c r="U1576" s="33">
        <f>IF(R1576="","",IFERROR(INDEX(Cl_quartier,MATCH(R1576,Cl_cle,0))&amp;"",""))</f>
        <v/>
      </c>
      <c r="V1576" s="34">
        <f>IF(C1576="","",YEAR(C1576-WEEKDAY(C1576,2)+4)&amp;"-S"&amp;TEXT(INT((C1576-DATE(YEAR(C1576-WEEKDAY(C1576,2)+4),1,3)+WEEKDAY(DATE(YEAR(C1576-WEEKDAY(C1576,2)+4),1,3),2)+5)/7),"00"))</f>
        <v/>
      </c>
    </row>
    <row r="1577" ht="18" customHeight="1">
      <c r="A1577" s="39" t="n">
        <v>1572</v>
      </c>
      <c r="B1577" s="33">
        <f>IF(C1577="","",IF(P1577="À RENSEIGNER","GIC",P1577)&amp;"-V"&amp;TEXT(A1577,"00000"))</f>
        <v/>
      </c>
      <c r="C1577" s="32" t="n"/>
      <c r="D1577" s="35" t="n"/>
      <c r="E1577" s="36" t="n"/>
      <c r="F1577" s="36" t="n"/>
      <c r="G1577" s="36" t="n"/>
      <c r="H1577" s="36" t="n"/>
      <c r="I1577" s="36" t="n"/>
      <c r="J1577" s="37" t="n"/>
      <c r="K1577" s="32" t="n"/>
      <c r="L1577" s="36" t="n"/>
      <c r="M1577" s="41" t="n"/>
      <c r="N1577" s="41" t="n"/>
      <c r="O1577" s="36" t="n"/>
      <c r="P1577" s="33">
        <f>IF(C1577="","",Commercial_Id)</f>
        <v/>
      </c>
      <c r="Q1577" s="39">
        <f>IF(F1577="","",IFERROR(VALUE(MID(F1577,LEN(F1577)-3,3)),""))</f>
        <v/>
      </c>
      <c r="R1577" s="33">
        <f>IF(Q1577="","",P1577&amp;"|"&amp;Q1577)</f>
        <v/>
      </c>
      <c r="S1577" s="33">
        <f>IF(Q1577="","",IF(P1577="À RENSEIGNER","GIC",P1577)&amp;"-"&amp;TEXT(Q1577,"000"))</f>
        <v/>
      </c>
      <c r="T1577" s="33">
        <f>IF(R1577="","",IFERROR(INDEX(Cl_nom,MATCH(R1577,Cl_cle,0)),"(client introuvable)"))</f>
        <v/>
      </c>
      <c r="U1577" s="33">
        <f>IF(R1577="","",IFERROR(INDEX(Cl_quartier,MATCH(R1577,Cl_cle,0))&amp;"",""))</f>
        <v/>
      </c>
      <c r="V1577" s="34">
        <f>IF(C1577="","",YEAR(C1577-WEEKDAY(C1577,2)+4)&amp;"-S"&amp;TEXT(INT((C1577-DATE(YEAR(C1577-WEEKDAY(C1577,2)+4),1,3)+WEEKDAY(DATE(YEAR(C1577-WEEKDAY(C1577,2)+4),1,3),2)+5)/7),"00"))</f>
        <v/>
      </c>
    </row>
    <row r="1578" ht="18" customHeight="1">
      <c r="A1578" s="39" t="n">
        <v>1573</v>
      </c>
      <c r="B1578" s="33">
        <f>IF(C1578="","",IF(P1578="À RENSEIGNER","GIC",P1578)&amp;"-V"&amp;TEXT(A1578,"00000"))</f>
        <v/>
      </c>
      <c r="C1578" s="32" t="n"/>
      <c r="D1578" s="35" t="n"/>
      <c r="E1578" s="36" t="n"/>
      <c r="F1578" s="36" t="n"/>
      <c r="G1578" s="36" t="n"/>
      <c r="H1578" s="36" t="n"/>
      <c r="I1578" s="36" t="n"/>
      <c r="J1578" s="37" t="n"/>
      <c r="K1578" s="32" t="n"/>
      <c r="L1578" s="36" t="n"/>
      <c r="M1578" s="41" t="n"/>
      <c r="N1578" s="41" t="n"/>
      <c r="O1578" s="36" t="n"/>
      <c r="P1578" s="33">
        <f>IF(C1578="","",Commercial_Id)</f>
        <v/>
      </c>
      <c r="Q1578" s="39">
        <f>IF(F1578="","",IFERROR(VALUE(MID(F1578,LEN(F1578)-3,3)),""))</f>
        <v/>
      </c>
      <c r="R1578" s="33">
        <f>IF(Q1578="","",P1578&amp;"|"&amp;Q1578)</f>
        <v/>
      </c>
      <c r="S1578" s="33">
        <f>IF(Q1578="","",IF(P1578="À RENSEIGNER","GIC",P1578)&amp;"-"&amp;TEXT(Q1578,"000"))</f>
        <v/>
      </c>
      <c r="T1578" s="33">
        <f>IF(R1578="","",IFERROR(INDEX(Cl_nom,MATCH(R1578,Cl_cle,0)),"(client introuvable)"))</f>
        <v/>
      </c>
      <c r="U1578" s="33">
        <f>IF(R1578="","",IFERROR(INDEX(Cl_quartier,MATCH(R1578,Cl_cle,0))&amp;"",""))</f>
        <v/>
      </c>
      <c r="V1578" s="34">
        <f>IF(C1578="","",YEAR(C1578-WEEKDAY(C1578,2)+4)&amp;"-S"&amp;TEXT(INT((C1578-DATE(YEAR(C1578-WEEKDAY(C1578,2)+4),1,3)+WEEKDAY(DATE(YEAR(C1578-WEEKDAY(C1578,2)+4),1,3),2)+5)/7),"00"))</f>
        <v/>
      </c>
    </row>
    <row r="1579" ht="18" customHeight="1">
      <c r="A1579" s="39" t="n">
        <v>1574</v>
      </c>
      <c r="B1579" s="33">
        <f>IF(C1579="","",IF(P1579="À RENSEIGNER","GIC",P1579)&amp;"-V"&amp;TEXT(A1579,"00000"))</f>
        <v/>
      </c>
      <c r="C1579" s="32" t="n"/>
      <c r="D1579" s="35" t="n"/>
      <c r="E1579" s="36" t="n"/>
      <c r="F1579" s="36" t="n"/>
      <c r="G1579" s="36" t="n"/>
      <c r="H1579" s="36" t="n"/>
      <c r="I1579" s="36" t="n"/>
      <c r="J1579" s="37" t="n"/>
      <c r="K1579" s="32" t="n"/>
      <c r="L1579" s="36" t="n"/>
      <c r="M1579" s="41" t="n"/>
      <c r="N1579" s="41" t="n"/>
      <c r="O1579" s="36" t="n"/>
      <c r="P1579" s="33">
        <f>IF(C1579="","",Commercial_Id)</f>
        <v/>
      </c>
      <c r="Q1579" s="39">
        <f>IF(F1579="","",IFERROR(VALUE(MID(F1579,LEN(F1579)-3,3)),""))</f>
        <v/>
      </c>
      <c r="R1579" s="33">
        <f>IF(Q1579="","",P1579&amp;"|"&amp;Q1579)</f>
        <v/>
      </c>
      <c r="S1579" s="33">
        <f>IF(Q1579="","",IF(P1579="À RENSEIGNER","GIC",P1579)&amp;"-"&amp;TEXT(Q1579,"000"))</f>
        <v/>
      </c>
      <c r="T1579" s="33">
        <f>IF(R1579="","",IFERROR(INDEX(Cl_nom,MATCH(R1579,Cl_cle,0)),"(client introuvable)"))</f>
        <v/>
      </c>
      <c r="U1579" s="33">
        <f>IF(R1579="","",IFERROR(INDEX(Cl_quartier,MATCH(R1579,Cl_cle,0))&amp;"",""))</f>
        <v/>
      </c>
      <c r="V1579" s="34">
        <f>IF(C1579="","",YEAR(C1579-WEEKDAY(C1579,2)+4)&amp;"-S"&amp;TEXT(INT((C1579-DATE(YEAR(C1579-WEEKDAY(C1579,2)+4),1,3)+WEEKDAY(DATE(YEAR(C1579-WEEKDAY(C1579,2)+4),1,3),2)+5)/7),"00"))</f>
        <v/>
      </c>
    </row>
    <row r="1580" ht="18" customHeight="1">
      <c r="A1580" s="39" t="n">
        <v>1575</v>
      </c>
      <c r="B1580" s="33">
        <f>IF(C1580="","",IF(P1580="À RENSEIGNER","GIC",P1580)&amp;"-V"&amp;TEXT(A1580,"00000"))</f>
        <v/>
      </c>
      <c r="C1580" s="32" t="n"/>
      <c r="D1580" s="35" t="n"/>
      <c r="E1580" s="36" t="n"/>
      <c r="F1580" s="36" t="n"/>
      <c r="G1580" s="36" t="n"/>
      <c r="H1580" s="36" t="n"/>
      <c r="I1580" s="36" t="n"/>
      <c r="J1580" s="37" t="n"/>
      <c r="K1580" s="32" t="n"/>
      <c r="L1580" s="36" t="n"/>
      <c r="M1580" s="41" t="n"/>
      <c r="N1580" s="41" t="n"/>
      <c r="O1580" s="36" t="n"/>
      <c r="P1580" s="33">
        <f>IF(C1580="","",Commercial_Id)</f>
        <v/>
      </c>
      <c r="Q1580" s="39">
        <f>IF(F1580="","",IFERROR(VALUE(MID(F1580,LEN(F1580)-3,3)),""))</f>
        <v/>
      </c>
      <c r="R1580" s="33">
        <f>IF(Q1580="","",P1580&amp;"|"&amp;Q1580)</f>
        <v/>
      </c>
      <c r="S1580" s="33">
        <f>IF(Q1580="","",IF(P1580="À RENSEIGNER","GIC",P1580)&amp;"-"&amp;TEXT(Q1580,"000"))</f>
        <v/>
      </c>
      <c r="T1580" s="33">
        <f>IF(R1580="","",IFERROR(INDEX(Cl_nom,MATCH(R1580,Cl_cle,0)),"(client introuvable)"))</f>
        <v/>
      </c>
      <c r="U1580" s="33">
        <f>IF(R1580="","",IFERROR(INDEX(Cl_quartier,MATCH(R1580,Cl_cle,0))&amp;"",""))</f>
        <v/>
      </c>
      <c r="V1580" s="34">
        <f>IF(C1580="","",YEAR(C1580-WEEKDAY(C1580,2)+4)&amp;"-S"&amp;TEXT(INT((C1580-DATE(YEAR(C1580-WEEKDAY(C1580,2)+4),1,3)+WEEKDAY(DATE(YEAR(C1580-WEEKDAY(C1580,2)+4),1,3),2)+5)/7),"00"))</f>
        <v/>
      </c>
    </row>
    <row r="1581" ht="18" customHeight="1">
      <c r="A1581" s="39" t="n">
        <v>1576</v>
      </c>
      <c r="B1581" s="33">
        <f>IF(C1581="","",IF(P1581="À RENSEIGNER","GIC",P1581)&amp;"-V"&amp;TEXT(A1581,"00000"))</f>
        <v/>
      </c>
      <c r="C1581" s="32" t="n"/>
      <c r="D1581" s="35" t="n"/>
      <c r="E1581" s="36" t="n"/>
      <c r="F1581" s="36" t="n"/>
      <c r="G1581" s="36" t="n"/>
      <c r="H1581" s="36" t="n"/>
      <c r="I1581" s="36" t="n"/>
      <c r="J1581" s="37" t="n"/>
      <c r="K1581" s="32" t="n"/>
      <c r="L1581" s="36" t="n"/>
      <c r="M1581" s="41" t="n"/>
      <c r="N1581" s="41" t="n"/>
      <c r="O1581" s="36" t="n"/>
      <c r="P1581" s="33">
        <f>IF(C1581="","",Commercial_Id)</f>
        <v/>
      </c>
      <c r="Q1581" s="39">
        <f>IF(F1581="","",IFERROR(VALUE(MID(F1581,LEN(F1581)-3,3)),""))</f>
        <v/>
      </c>
      <c r="R1581" s="33">
        <f>IF(Q1581="","",P1581&amp;"|"&amp;Q1581)</f>
        <v/>
      </c>
      <c r="S1581" s="33">
        <f>IF(Q1581="","",IF(P1581="À RENSEIGNER","GIC",P1581)&amp;"-"&amp;TEXT(Q1581,"000"))</f>
        <v/>
      </c>
      <c r="T1581" s="33">
        <f>IF(R1581="","",IFERROR(INDEX(Cl_nom,MATCH(R1581,Cl_cle,0)),"(client introuvable)"))</f>
        <v/>
      </c>
      <c r="U1581" s="33">
        <f>IF(R1581="","",IFERROR(INDEX(Cl_quartier,MATCH(R1581,Cl_cle,0))&amp;"",""))</f>
        <v/>
      </c>
      <c r="V1581" s="34">
        <f>IF(C1581="","",YEAR(C1581-WEEKDAY(C1581,2)+4)&amp;"-S"&amp;TEXT(INT((C1581-DATE(YEAR(C1581-WEEKDAY(C1581,2)+4),1,3)+WEEKDAY(DATE(YEAR(C1581-WEEKDAY(C1581,2)+4),1,3),2)+5)/7),"00"))</f>
        <v/>
      </c>
    </row>
    <row r="1582" ht="18" customHeight="1">
      <c r="A1582" s="39" t="n">
        <v>1577</v>
      </c>
      <c r="B1582" s="33">
        <f>IF(C1582="","",IF(P1582="À RENSEIGNER","GIC",P1582)&amp;"-V"&amp;TEXT(A1582,"00000"))</f>
        <v/>
      </c>
      <c r="C1582" s="32" t="n"/>
      <c r="D1582" s="35" t="n"/>
      <c r="E1582" s="36" t="n"/>
      <c r="F1582" s="36" t="n"/>
      <c r="G1582" s="36" t="n"/>
      <c r="H1582" s="36" t="n"/>
      <c r="I1582" s="36" t="n"/>
      <c r="J1582" s="37" t="n"/>
      <c r="K1582" s="32" t="n"/>
      <c r="L1582" s="36" t="n"/>
      <c r="M1582" s="41" t="n"/>
      <c r="N1582" s="41" t="n"/>
      <c r="O1582" s="36" t="n"/>
      <c r="P1582" s="33">
        <f>IF(C1582="","",Commercial_Id)</f>
        <v/>
      </c>
      <c r="Q1582" s="39">
        <f>IF(F1582="","",IFERROR(VALUE(MID(F1582,LEN(F1582)-3,3)),""))</f>
        <v/>
      </c>
      <c r="R1582" s="33">
        <f>IF(Q1582="","",P1582&amp;"|"&amp;Q1582)</f>
        <v/>
      </c>
      <c r="S1582" s="33">
        <f>IF(Q1582="","",IF(P1582="À RENSEIGNER","GIC",P1582)&amp;"-"&amp;TEXT(Q1582,"000"))</f>
        <v/>
      </c>
      <c r="T1582" s="33">
        <f>IF(R1582="","",IFERROR(INDEX(Cl_nom,MATCH(R1582,Cl_cle,0)),"(client introuvable)"))</f>
        <v/>
      </c>
      <c r="U1582" s="33">
        <f>IF(R1582="","",IFERROR(INDEX(Cl_quartier,MATCH(R1582,Cl_cle,0))&amp;"",""))</f>
        <v/>
      </c>
      <c r="V1582" s="34">
        <f>IF(C1582="","",YEAR(C1582-WEEKDAY(C1582,2)+4)&amp;"-S"&amp;TEXT(INT((C1582-DATE(YEAR(C1582-WEEKDAY(C1582,2)+4),1,3)+WEEKDAY(DATE(YEAR(C1582-WEEKDAY(C1582,2)+4),1,3),2)+5)/7),"00"))</f>
        <v/>
      </c>
    </row>
    <row r="1583" ht="18" customHeight="1">
      <c r="A1583" s="39" t="n">
        <v>1578</v>
      </c>
      <c r="B1583" s="33">
        <f>IF(C1583="","",IF(P1583="À RENSEIGNER","GIC",P1583)&amp;"-V"&amp;TEXT(A1583,"00000"))</f>
        <v/>
      </c>
      <c r="C1583" s="32" t="n"/>
      <c r="D1583" s="35" t="n"/>
      <c r="E1583" s="36" t="n"/>
      <c r="F1583" s="36" t="n"/>
      <c r="G1583" s="36" t="n"/>
      <c r="H1583" s="36" t="n"/>
      <c r="I1583" s="36" t="n"/>
      <c r="J1583" s="37" t="n"/>
      <c r="K1583" s="32" t="n"/>
      <c r="L1583" s="36" t="n"/>
      <c r="M1583" s="41" t="n"/>
      <c r="N1583" s="41" t="n"/>
      <c r="O1583" s="36" t="n"/>
      <c r="P1583" s="33">
        <f>IF(C1583="","",Commercial_Id)</f>
        <v/>
      </c>
      <c r="Q1583" s="39">
        <f>IF(F1583="","",IFERROR(VALUE(MID(F1583,LEN(F1583)-3,3)),""))</f>
        <v/>
      </c>
      <c r="R1583" s="33">
        <f>IF(Q1583="","",P1583&amp;"|"&amp;Q1583)</f>
        <v/>
      </c>
      <c r="S1583" s="33">
        <f>IF(Q1583="","",IF(P1583="À RENSEIGNER","GIC",P1583)&amp;"-"&amp;TEXT(Q1583,"000"))</f>
        <v/>
      </c>
      <c r="T1583" s="33">
        <f>IF(R1583="","",IFERROR(INDEX(Cl_nom,MATCH(R1583,Cl_cle,0)),"(client introuvable)"))</f>
        <v/>
      </c>
      <c r="U1583" s="33">
        <f>IF(R1583="","",IFERROR(INDEX(Cl_quartier,MATCH(R1583,Cl_cle,0))&amp;"",""))</f>
        <v/>
      </c>
      <c r="V1583" s="34">
        <f>IF(C1583="","",YEAR(C1583-WEEKDAY(C1583,2)+4)&amp;"-S"&amp;TEXT(INT((C1583-DATE(YEAR(C1583-WEEKDAY(C1583,2)+4),1,3)+WEEKDAY(DATE(YEAR(C1583-WEEKDAY(C1583,2)+4),1,3),2)+5)/7),"00"))</f>
        <v/>
      </c>
    </row>
    <row r="1584" ht="18" customHeight="1">
      <c r="A1584" s="39" t="n">
        <v>1579</v>
      </c>
      <c r="B1584" s="33">
        <f>IF(C1584="","",IF(P1584="À RENSEIGNER","GIC",P1584)&amp;"-V"&amp;TEXT(A1584,"00000"))</f>
        <v/>
      </c>
      <c r="C1584" s="32" t="n"/>
      <c r="D1584" s="35" t="n"/>
      <c r="E1584" s="36" t="n"/>
      <c r="F1584" s="36" t="n"/>
      <c r="G1584" s="36" t="n"/>
      <c r="H1584" s="36" t="n"/>
      <c r="I1584" s="36" t="n"/>
      <c r="J1584" s="37" t="n"/>
      <c r="K1584" s="32" t="n"/>
      <c r="L1584" s="36" t="n"/>
      <c r="M1584" s="41" t="n"/>
      <c r="N1584" s="41" t="n"/>
      <c r="O1584" s="36" t="n"/>
      <c r="P1584" s="33">
        <f>IF(C1584="","",Commercial_Id)</f>
        <v/>
      </c>
      <c r="Q1584" s="39">
        <f>IF(F1584="","",IFERROR(VALUE(MID(F1584,LEN(F1584)-3,3)),""))</f>
        <v/>
      </c>
      <c r="R1584" s="33">
        <f>IF(Q1584="","",P1584&amp;"|"&amp;Q1584)</f>
        <v/>
      </c>
      <c r="S1584" s="33">
        <f>IF(Q1584="","",IF(P1584="À RENSEIGNER","GIC",P1584)&amp;"-"&amp;TEXT(Q1584,"000"))</f>
        <v/>
      </c>
      <c r="T1584" s="33">
        <f>IF(R1584="","",IFERROR(INDEX(Cl_nom,MATCH(R1584,Cl_cle,0)),"(client introuvable)"))</f>
        <v/>
      </c>
      <c r="U1584" s="33">
        <f>IF(R1584="","",IFERROR(INDEX(Cl_quartier,MATCH(R1584,Cl_cle,0))&amp;"",""))</f>
        <v/>
      </c>
      <c r="V1584" s="34">
        <f>IF(C1584="","",YEAR(C1584-WEEKDAY(C1584,2)+4)&amp;"-S"&amp;TEXT(INT((C1584-DATE(YEAR(C1584-WEEKDAY(C1584,2)+4),1,3)+WEEKDAY(DATE(YEAR(C1584-WEEKDAY(C1584,2)+4),1,3),2)+5)/7),"00"))</f>
        <v/>
      </c>
    </row>
    <row r="1585" ht="18" customHeight="1">
      <c r="A1585" s="39" t="n">
        <v>1580</v>
      </c>
      <c r="B1585" s="33">
        <f>IF(C1585="","",IF(P1585="À RENSEIGNER","GIC",P1585)&amp;"-V"&amp;TEXT(A1585,"00000"))</f>
        <v/>
      </c>
      <c r="C1585" s="32" t="n"/>
      <c r="D1585" s="35" t="n"/>
      <c r="E1585" s="36" t="n"/>
      <c r="F1585" s="36" t="n"/>
      <c r="G1585" s="36" t="n"/>
      <c r="H1585" s="36" t="n"/>
      <c r="I1585" s="36" t="n"/>
      <c r="J1585" s="37" t="n"/>
      <c r="K1585" s="32" t="n"/>
      <c r="L1585" s="36" t="n"/>
      <c r="M1585" s="41" t="n"/>
      <c r="N1585" s="41" t="n"/>
      <c r="O1585" s="36" t="n"/>
      <c r="P1585" s="33">
        <f>IF(C1585="","",Commercial_Id)</f>
        <v/>
      </c>
      <c r="Q1585" s="39">
        <f>IF(F1585="","",IFERROR(VALUE(MID(F1585,LEN(F1585)-3,3)),""))</f>
        <v/>
      </c>
      <c r="R1585" s="33">
        <f>IF(Q1585="","",P1585&amp;"|"&amp;Q1585)</f>
        <v/>
      </c>
      <c r="S1585" s="33">
        <f>IF(Q1585="","",IF(P1585="À RENSEIGNER","GIC",P1585)&amp;"-"&amp;TEXT(Q1585,"000"))</f>
        <v/>
      </c>
      <c r="T1585" s="33">
        <f>IF(R1585="","",IFERROR(INDEX(Cl_nom,MATCH(R1585,Cl_cle,0)),"(client introuvable)"))</f>
        <v/>
      </c>
      <c r="U1585" s="33">
        <f>IF(R1585="","",IFERROR(INDEX(Cl_quartier,MATCH(R1585,Cl_cle,0))&amp;"",""))</f>
        <v/>
      </c>
      <c r="V1585" s="34">
        <f>IF(C1585="","",YEAR(C1585-WEEKDAY(C1585,2)+4)&amp;"-S"&amp;TEXT(INT((C1585-DATE(YEAR(C1585-WEEKDAY(C1585,2)+4),1,3)+WEEKDAY(DATE(YEAR(C1585-WEEKDAY(C1585,2)+4),1,3),2)+5)/7),"00"))</f>
        <v/>
      </c>
    </row>
    <row r="1586" ht="18" customHeight="1">
      <c r="A1586" s="39" t="n">
        <v>1581</v>
      </c>
      <c r="B1586" s="33">
        <f>IF(C1586="","",IF(P1586="À RENSEIGNER","GIC",P1586)&amp;"-V"&amp;TEXT(A1586,"00000"))</f>
        <v/>
      </c>
      <c r="C1586" s="32" t="n"/>
      <c r="D1586" s="35" t="n"/>
      <c r="E1586" s="36" t="n"/>
      <c r="F1586" s="36" t="n"/>
      <c r="G1586" s="36" t="n"/>
      <c r="H1586" s="36" t="n"/>
      <c r="I1586" s="36" t="n"/>
      <c r="J1586" s="37" t="n"/>
      <c r="K1586" s="32" t="n"/>
      <c r="L1586" s="36" t="n"/>
      <c r="M1586" s="41" t="n"/>
      <c r="N1586" s="41" t="n"/>
      <c r="O1586" s="36" t="n"/>
      <c r="P1586" s="33">
        <f>IF(C1586="","",Commercial_Id)</f>
        <v/>
      </c>
      <c r="Q1586" s="39">
        <f>IF(F1586="","",IFERROR(VALUE(MID(F1586,LEN(F1586)-3,3)),""))</f>
        <v/>
      </c>
      <c r="R1586" s="33">
        <f>IF(Q1586="","",P1586&amp;"|"&amp;Q1586)</f>
        <v/>
      </c>
      <c r="S1586" s="33">
        <f>IF(Q1586="","",IF(P1586="À RENSEIGNER","GIC",P1586)&amp;"-"&amp;TEXT(Q1586,"000"))</f>
        <v/>
      </c>
      <c r="T1586" s="33">
        <f>IF(R1586="","",IFERROR(INDEX(Cl_nom,MATCH(R1586,Cl_cle,0)),"(client introuvable)"))</f>
        <v/>
      </c>
      <c r="U1586" s="33">
        <f>IF(R1586="","",IFERROR(INDEX(Cl_quartier,MATCH(R1586,Cl_cle,0))&amp;"",""))</f>
        <v/>
      </c>
      <c r="V1586" s="34">
        <f>IF(C1586="","",YEAR(C1586-WEEKDAY(C1586,2)+4)&amp;"-S"&amp;TEXT(INT((C1586-DATE(YEAR(C1586-WEEKDAY(C1586,2)+4),1,3)+WEEKDAY(DATE(YEAR(C1586-WEEKDAY(C1586,2)+4),1,3),2)+5)/7),"00"))</f>
        <v/>
      </c>
    </row>
    <row r="1587" ht="18" customHeight="1">
      <c r="A1587" s="39" t="n">
        <v>1582</v>
      </c>
      <c r="B1587" s="33">
        <f>IF(C1587="","",IF(P1587="À RENSEIGNER","GIC",P1587)&amp;"-V"&amp;TEXT(A1587,"00000"))</f>
        <v/>
      </c>
      <c r="C1587" s="32" t="n"/>
      <c r="D1587" s="35" t="n"/>
      <c r="E1587" s="36" t="n"/>
      <c r="F1587" s="36" t="n"/>
      <c r="G1587" s="36" t="n"/>
      <c r="H1587" s="36" t="n"/>
      <c r="I1587" s="36" t="n"/>
      <c r="J1587" s="37" t="n"/>
      <c r="K1587" s="32" t="n"/>
      <c r="L1587" s="36" t="n"/>
      <c r="M1587" s="41" t="n"/>
      <c r="N1587" s="41" t="n"/>
      <c r="O1587" s="36" t="n"/>
      <c r="P1587" s="33">
        <f>IF(C1587="","",Commercial_Id)</f>
        <v/>
      </c>
      <c r="Q1587" s="39">
        <f>IF(F1587="","",IFERROR(VALUE(MID(F1587,LEN(F1587)-3,3)),""))</f>
        <v/>
      </c>
      <c r="R1587" s="33">
        <f>IF(Q1587="","",P1587&amp;"|"&amp;Q1587)</f>
        <v/>
      </c>
      <c r="S1587" s="33">
        <f>IF(Q1587="","",IF(P1587="À RENSEIGNER","GIC",P1587)&amp;"-"&amp;TEXT(Q1587,"000"))</f>
        <v/>
      </c>
      <c r="T1587" s="33">
        <f>IF(R1587="","",IFERROR(INDEX(Cl_nom,MATCH(R1587,Cl_cle,0)),"(client introuvable)"))</f>
        <v/>
      </c>
      <c r="U1587" s="33">
        <f>IF(R1587="","",IFERROR(INDEX(Cl_quartier,MATCH(R1587,Cl_cle,0))&amp;"",""))</f>
        <v/>
      </c>
      <c r="V1587" s="34">
        <f>IF(C1587="","",YEAR(C1587-WEEKDAY(C1587,2)+4)&amp;"-S"&amp;TEXT(INT((C1587-DATE(YEAR(C1587-WEEKDAY(C1587,2)+4),1,3)+WEEKDAY(DATE(YEAR(C1587-WEEKDAY(C1587,2)+4),1,3),2)+5)/7),"00"))</f>
        <v/>
      </c>
    </row>
    <row r="1588" ht="18" customHeight="1">
      <c r="A1588" s="39" t="n">
        <v>1583</v>
      </c>
      <c r="B1588" s="33">
        <f>IF(C1588="","",IF(P1588="À RENSEIGNER","GIC",P1588)&amp;"-V"&amp;TEXT(A1588,"00000"))</f>
        <v/>
      </c>
      <c r="C1588" s="32" t="n"/>
      <c r="D1588" s="35" t="n"/>
      <c r="E1588" s="36" t="n"/>
      <c r="F1588" s="36" t="n"/>
      <c r="G1588" s="36" t="n"/>
      <c r="H1588" s="36" t="n"/>
      <c r="I1588" s="36" t="n"/>
      <c r="J1588" s="37" t="n"/>
      <c r="K1588" s="32" t="n"/>
      <c r="L1588" s="36" t="n"/>
      <c r="M1588" s="41" t="n"/>
      <c r="N1588" s="41" t="n"/>
      <c r="O1588" s="36" t="n"/>
      <c r="P1588" s="33">
        <f>IF(C1588="","",Commercial_Id)</f>
        <v/>
      </c>
      <c r="Q1588" s="39">
        <f>IF(F1588="","",IFERROR(VALUE(MID(F1588,LEN(F1588)-3,3)),""))</f>
        <v/>
      </c>
      <c r="R1588" s="33">
        <f>IF(Q1588="","",P1588&amp;"|"&amp;Q1588)</f>
        <v/>
      </c>
      <c r="S1588" s="33">
        <f>IF(Q1588="","",IF(P1588="À RENSEIGNER","GIC",P1588)&amp;"-"&amp;TEXT(Q1588,"000"))</f>
        <v/>
      </c>
      <c r="T1588" s="33">
        <f>IF(R1588="","",IFERROR(INDEX(Cl_nom,MATCH(R1588,Cl_cle,0)),"(client introuvable)"))</f>
        <v/>
      </c>
      <c r="U1588" s="33">
        <f>IF(R1588="","",IFERROR(INDEX(Cl_quartier,MATCH(R1588,Cl_cle,0))&amp;"",""))</f>
        <v/>
      </c>
      <c r="V1588" s="34">
        <f>IF(C1588="","",YEAR(C1588-WEEKDAY(C1588,2)+4)&amp;"-S"&amp;TEXT(INT((C1588-DATE(YEAR(C1588-WEEKDAY(C1588,2)+4),1,3)+WEEKDAY(DATE(YEAR(C1588-WEEKDAY(C1588,2)+4),1,3),2)+5)/7),"00"))</f>
        <v/>
      </c>
    </row>
    <row r="1589" ht="18" customHeight="1">
      <c r="A1589" s="39" t="n">
        <v>1584</v>
      </c>
      <c r="B1589" s="33">
        <f>IF(C1589="","",IF(P1589="À RENSEIGNER","GIC",P1589)&amp;"-V"&amp;TEXT(A1589,"00000"))</f>
        <v/>
      </c>
      <c r="C1589" s="32" t="n"/>
      <c r="D1589" s="35" t="n"/>
      <c r="E1589" s="36" t="n"/>
      <c r="F1589" s="36" t="n"/>
      <c r="G1589" s="36" t="n"/>
      <c r="H1589" s="36" t="n"/>
      <c r="I1589" s="36" t="n"/>
      <c r="J1589" s="37" t="n"/>
      <c r="K1589" s="32" t="n"/>
      <c r="L1589" s="36" t="n"/>
      <c r="M1589" s="41" t="n"/>
      <c r="N1589" s="41" t="n"/>
      <c r="O1589" s="36" t="n"/>
      <c r="P1589" s="33">
        <f>IF(C1589="","",Commercial_Id)</f>
        <v/>
      </c>
      <c r="Q1589" s="39">
        <f>IF(F1589="","",IFERROR(VALUE(MID(F1589,LEN(F1589)-3,3)),""))</f>
        <v/>
      </c>
      <c r="R1589" s="33">
        <f>IF(Q1589="","",P1589&amp;"|"&amp;Q1589)</f>
        <v/>
      </c>
      <c r="S1589" s="33">
        <f>IF(Q1589="","",IF(P1589="À RENSEIGNER","GIC",P1589)&amp;"-"&amp;TEXT(Q1589,"000"))</f>
        <v/>
      </c>
      <c r="T1589" s="33">
        <f>IF(R1589="","",IFERROR(INDEX(Cl_nom,MATCH(R1589,Cl_cle,0)),"(client introuvable)"))</f>
        <v/>
      </c>
      <c r="U1589" s="33">
        <f>IF(R1589="","",IFERROR(INDEX(Cl_quartier,MATCH(R1589,Cl_cle,0))&amp;"",""))</f>
        <v/>
      </c>
      <c r="V1589" s="34">
        <f>IF(C1589="","",YEAR(C1589-WEEKDAY(C1589,2)+4)&amp;"-S"&amp;TEXT(INT((C1589-DATE(YEAR(C1589-WEEKDAY(C1589,2)+4),1,3)+WEEKDAY(DATE(YEAR(C1589-WEEKDAY(C1589,2)+4),1,3),2)+5)/7),"00"))</f>
        <v/>
      </c>
    </row>
    <row r="1590" ht="18" customHeight="1">
      <c r="A1590" s="39" t="n">
        <v>1585</v>
      </c>
      <c r="B1590" s="33">
        <f>IF(C1590="","",IF(P1590="À RENSEIGNER","GIC",P1590)&amp;"-V"&amp;TEXT(A1590,"00000"))</f>
        <v/>
      </c>
      <c r="C1590" s="32" t="n"/>
      <c r="D1590" s="35" t="n"/>
      <c r="E1590" s="36" t="n"/>
      <c r="F1590" s="36" t="n"/>
      <c r="G1590" s="36" t="n"/>
      <c r="H1590" s="36" t="n"/>
      <c r="I1590" s="36" t="n"/>
      <c r="J1590" s="37" t="n"/>
      <c r="K1590" s="32" t="n"/>
      <c r="L1590" s="36" t="n"/>
      <c r="M1590" s="41" t="n"/>
      <c r="N1590" s="41" t="n"/>
      <c r="O1590" s="36" t="n"/>
      <c r="P1590" s="33">
        <f>IF(C1590="","",Commercial_Id)</f>
        <v/>
      </c>
      <c r="Q1590" s="39">
        <f>IF(F1590="","",IFERROR(VALUE(MID(F1590,LEN(F1590)-3,3)),""))</f>
        <v/>
      </c>
      <c r="R1590" s="33">
        <f>IF(Q1590="","",P1590&amp;"|"&amp;Q1590)</f>
        <v/>
      </c>
      <c r="S1590" s="33">
        <f>IF(Q1590="","",IF(P1590="À RENSEIGNER","GIC",P1590)&amp;"-"&amp;TEXT(Q1590,"000"))</f>
        <v/>
      </c>
      <c r="T1590" s="33">
        <f>IF(R1590="","",IFERROR(INDEX(Cl_nom,MATCH(R1590,Cl_cle,0)),"(client introuvable)"))</f>
        <v/>
      </c>
      <c r="U1590" s="33">
        <f>IF(R1590="","",IFERROR(INDEX(Cl_quartier,MATCH(R1590,Cl_cle,0))&amp;"",""))</f>
        <v/>
      </c>
      <c r="V1590" s="34">
        <f>IF(C1590="","",YEAR(C1590-WEEKDAY(C1590,2)+4)&amp;"-S"&amp;TEXT(INT((C1590-DATE(YEAR(C1590-WEEKDAY(C1590,2)+4),1,3)+WEEKDAY(DATE(YEAR(C1590-WEEKDAY(C1590,2)+4),1,3),2)+5)/7),"00"))</f>
        <v/>
      </c>
    </row>
    <row r="1591" ht="18" customHeight="1">
      <c r="A1591" s="39" t="n">
        <v>1586</v>
      </c>
      <c r="B1591" s="33">
        <f>IF(C1591="","",IF(P1591="À RENSEIGNER","GIC",P1591)&amp;"-V"&amp;TEXT(A1591,"00000"))</f>
        <v/>
      </c>
      <c r="C1591" s="32" t="n"/>
      <c r="D1591" s="35" t="n"/>
      <c r="E1591" s="36" t="n"/>
      <c r="F1591" s="36" t="n"/>
      <c r="G1591" s="36" t="n"/>
      <c r="H1591" s="36" t="n"/>
      <c r="I1591" s="36" t="n"/>
      <c r="J1591" s="37" t="n"/>
      <c r="K1591" s="32" t="n"/>
      <c r="L1591" s="36" t="n"/>
      <c r="M1591" s="41" t="n"/>
      <c r="N1591" s="41" t="n"/>
      <c r="O1591" s="36" t="n"/>
      <c r="P1591" s="33">
        <f>IF(C1591="","",Commercial_Id)</f>
        <v/>
      </c>
      <c r="Q1591" s="39">
        <f>IF(F1591="","",IFERROR(VALUE(MID(F1591,LEN(F1591)-3,3)),""))</f>
        <v/>
      </c>
      <c r="R1591" s="33">
        <f>IF(Q1591="","",P1591&amp;"|"&amp;Q1591)</f>
        <v/>
      </c>
      <c r="S1591" s="33">
        <f>IF(Q1591="","",IF(P1591="À RENSEIGNER","GIC",P1591)&amp;"-"&amp;TEXT(Q1591,"000"))</f>
        <v/>
      </c>
      <c r="T1591" s="33">
        <f>IF(R1591="","",IFERROR(INDEX(Cl_nom,MATCH(R1591,Cl_cle,0)),"(client introuvable)"))</f>
        <v/>
      </c>
      <c r="U1591" s="33">
        <f>IF(R1591="","",IFERROR(INDEX(Cl_quartier,MATCH(R1591,Cl_cle,0))&amp;"",""))</f>
        <v/>
      </c>
      <c r="V1591" s="34">
        <f>IF(C1591="","",YEAR(C1591-WEEKDAY(C1591,2)+4)&amp;"-S"&amp;TEXT(INT((C1591-DATE(YEAR(C1591-WEEKDAY(C1591,2)+4),1,3)+WEEKDAY(DATE(YEAR(C1591-WEEKDAY(C1591,2)+4),1,3),2)+5)/7),"00"))</f>
        <v/>
      </c>
    </row>
    <row r="1592" ht="18" customHeight="1">
      <c r="A1592" s="39" t="n">
        <v>1587</v>
      </c>
      <c r="B1592" s="33">
        <f>IF(C1592="","",IF(P1592="À RENSEIGNER","GIC",P1592)&amp;"-V"&amp;TEXT(A1592,"00000"))</f>
        <v/>
      </c>
      <c r="C1592" s="32" t="n"/>
      <c r="D1592" s="35" t="n"/>
      <c r="E1592" s="36" t="n"/>
      <c r="F1592" s="36" t="n"/>
      <c r="G1592" s="36" t="n"/>
      <c r="H1592" s="36" t="n"/>
      <c r="I1592" s="36" t="n"/>
      <c r="J1592" s="37" t="n"/>
      <c r="K1592" s="32" t="n"/>
      <c r="L1592" s="36" t="n"/>
      <c r="M1592" s="41" t="n"/>
      <c r="N1592" s="41" t="n"/>
      <c r="O1592" s="36" t="n"/>
      <c r="P1592" s="33">
        <f>IF(C1592="","",Commercial_Id)</f>
        <v/>
      </c>
      <c r="Q1592" s="39">
        <f>IF(F1592="","",IFERROR(VALUE(MID(F1592,LEN(F1592)-3,3)),""))</f>
        <v/>
      </c>
      <c r="R1592" s="33">
        <f>IF(Q1592="","",P1592&amp;"|"&amp;Q1592)</f>
        <v/>
      </c>
      <c r="S1592" s="33">
        <f>IF(Q1592="","",IF(P1592="À RENSEIGNER","GIC",P1592)&amp;"-"&amp;TEXT(Q1592,"000"))</f>
        <v/>
      </c>
      <c r="T1592" s="33">
        <f>IF(R1592="","",IFERROR(INDEX(Cl_nom,MATCH(R1592,Cl_cle,0)),"(client introuvable)"))</f>
        <v/>
      </c>
      <c r="U1592" s="33">
        <f>IF(R1592="","",IFERROR(INDEX(Cl_quartier,MATCH(R1592,Cl_cle,0))&amp;"",""))</f>
        <v/>
      </c>
      <c r="V1592" s="34">
        <f>IF(C1592="","",YEAR(C1592-WEEKDAY(C1592,2)+4)&amp;"-S"&amp;TEXT(INT((C1592-DATE(YEAR(C1592-WEEKDAY(C1592,2)+4),1,3)+WEEKDAY(DATE(YEAR(C1592-WEEKDAY(C1592,2)+4),1,3),2)+5)/7),"00"))</f>
        <v/>
      </c>
    </row>
    <row r="1593" ht="18" customHeight="1">
      <c r="A1593" s="39" t="n">
        <v>1588</v>
      </c>
      <c r="B1593" s="33">
        <f>IF(C1593="","",IF(P1593="À RENSEIGNER","GIC",P1593)&amp;"-V"&amp;TEXT(A1593,"00000"))</f>
        <v/>
      </c>
      <c r="C1593" s="32" t="n"/>
      <c r="D1593" s="35" t="n"/>
      <c r="E1593" s="36" t="n"/>
      <c r="F1593" s="36" t="n"/>
      <c r="G1593" s="36" t="n"/>
      <c r="H1593" s="36" t="n"/>
      <c r="I1593" s="36" t="n"/>
      <c r="J1593" s="37" t="n"/>
      <c r="K1593" s="32" t="n"/>
      <c r="L1593" s="36" t="n"/>
      <c r="M1593" s="41" t="n"/>
      <c r="N1593" s="41" t="n"/>
      <c r="O1593" s="36" t="n"/>
      <c r="P1593" s="33">
        <f>IF(C1593="","",Commercial_Id)</f>
        <v/>
      </c>
      <c r="Q1593" s="39">
        <f>IF(F1593="","",IFERROR(VALUE(MID(F1593,LEN(F1593)-3,3)),""))</f>
        <v/>
      </c>
      <c r="R1593" s="33">
        <f>IF(Q1593="","",P1593&amp;"|"&amp;Q1593)</f>
        <v/>
      </c>
      <c r="S1593" s="33">
        <f>IF(Q1593="","",IF(P1593="À RENSEIGNER","GIC",P1593)&amp;"-"&amp;TEXT(Q1593,"000"))</f>
        <v/>
      </c>
      <c r="T1593" s="33">
        <f>IF(R1593="","",IFERROR(INDEX(Cl_nom,MATCH(R1593,Cl_cle,0)),"(client introuvable)"))</f>
        <v/>
      </c>
      <c r="U1593" s="33">
        <f>IF(R1593="","",IFERROR(INDEX(Cl_quartier,MATCH(R1593,Cl_cle,0))&amp;"",""))</f>
        <v/>
      </c>
      <c r="V1593" s="34">
        <f>IF(C1593="","",YEAR(C1593-WEEKDAY(C1593,2)+4)&amp;"-S"&amp;TEXT(INT((C1593-DATE(YEAR(C1593-WEEKDAY(C1593,2)+4),1,3)+WEEKDAY(DATE(YEAR(C1593-WEEKDAY(C1593,2)+4),1,3),2)+5)/7),"00"))</f>
        <v/>
      </c>
    </row>
    <row r="1594" ht="18" customHeight="1">
      <c r="A1594" s="39" t="n">
        <v>1589</v>
      </c>
      <c r="B1594" s="33">
        <f>IF(C1594="","",IF(P1594="À RENSEIGNER","GIC",P1594)&amp;"-V"&amp;TEXT(A1594,"00000"))</f>
        <v/>
      </c>
      <c r="C1594" s="32" t="n"/>
      <c r="D1594" s="35" t="n"/>
      <c r="E1594" s="36" t="n"/>
      <c r="F1594" s="36" t="n"/>
      <c r="G1594" s="36" t="n"/>
      <c r="H1594" s="36" t="n"/>
      <c r="I1594" s="36" t="n"/>
      <c r="J1594" s="37" t="n"/>
      <c r="K1594" s="32" t="n"/>
      <c r="L1594" s="36" t="n"/>
      <c r="M1594" s="41" t="n"/>
      <c r="N1594" s="41" t="n"/>
      <c r="O1594" s="36" t="n"/>
      <c r="P1594" s="33">
        <f>IF(C1594="","",Commercial_Id)</f>
        <v/>
      </c>
      <c r="Q1594" s="39">
        <f>IF(F1594="","",IFERROR(VALUE(MID(F1594,LEN(F1594)-3,3)),""))</f>
        <v/>
      </c>
      <c r="R1594" s="33">
        <f>IF(Q1594="","",P1594&amp;"|"&amp;Q1594)</f>
        <v/>
      </c>
      <c r="S1594" s="33">
        <f>IF(Q1594="","",IF(P1594="À RENSEIGNER","GIC",P1594)&amp;"-"&amp;TEXT(Q1594,"000"))</f>
        <v/>
      </c>
      <c r="T1594" s="33">
        <f>IF(R1594="","",IFERROR(INDEX(Cl_nom,MATCH(R1594,Cl_cle,0)),"(client introuvable)"))</f>
        <v/>
      </c>
      <c r="U1594" s="33">
        <f>IF(R1594="","",IFERROR(INDEX(Cl_quartier,MATCH(R1594,Cl_cle,0))&amp;"",""))</f>
        <v/>
      </c>
      <c r="V1594" s="34">
        <f>IF(C1594="","",YEAR(C1594-WEEKDAY(C1594,2)+4)&amp;"-S"&amp;TEXT(INT((C1594-DATE(YEAR(C1594-WEEKDAY(C1594,2)+4),1,3)+WEEKDAY(DATE(YEAR(C1594-WEEKDAY(C1594,2)+4),1,3),2)+5)/7),"00"))</f>
        <v/>
      </c>
    </row>
    <row r="1595" ht="18" customHeight="1">
      <c r="A1595" s="39" t="n">
        <v>1590</v>
      </c>
      <c r="B1595" s="33">
        <f>IF(C1595="","",IF(P1595="À RENSEIGNER","GIC",P1595)&amp;"-V"&amp;TEXT(A1595,"00000"))</f>
        <v/>
      </c>
      <c r="C1595" s="32" t="n"/>
      <c r="D1595" s="35" t="n"/>
      <c r="E1595" s="36" t="n"/>
      <c r="F1595" s="36" t="n"/>
      <c r="G1595" s="36" t="n"/>
      <c r="H1595" s="36" t="n"/>
      <c r="I1595" s="36" t="n"/>
      <c r="J1595" s="37" t="n"/>
      <c r="K1595" s="32" t="n"/>
      <c r="L1595" s="36" t="n"/>
      <c r="M1595" s="41" t="n"/>
      <c r="N1595" s="41" t="n"/>
      <c r="O1595" s="36" t="n"/>
      <c r="P1595" s="33">
        <f>IF(C1595="","",Commercial_Id)</f>
        <v/>
      </c>
      <c r="Q1595" s="39">
        <f>IF(F1595="","",IFERROR(VALUE(MID(F1595,LEN(F1595)-3,3)),""))</f>
        <v/>
      </c>
      <c r="R1595" s="33">
        <f>IF(Q1595="","",P1595&amp;"|"&amp;Q1595)</f>
        <v/>
      </c>
      <c r="S1595" s="33">
        <f>IF(Q1595="","",IF(P1595="À RENSEIGNER","GIC",P1595)&amp;"-"&amp;TEXT(Q1595,"000"))</f>
        <v/>
      </c>
      <c r="T1595" s="33">
        <f>IF(R1595="","",IFERROR(INDEX(Cl_nom,MATCH(R1595,Cl_cle,0)),"(client introuvable)"))</f>
        <v/>
      </c>
      <c r="U1595" s="33">
        <f>IF(R1595="","",IFERROR(INDEX(Cl_quartier,MATCH(R1595,Cl_cle,0))&amp;"",""))</f>
        <v/>
      </c>
      <c r="V1595" s="34">
        <f>IF(C1595="","",YEAR(C1595-WEEKDAY(C1595,2)+4)&amp;"-S"&amp;TEXT(INT((C1595-DATE(YEAR(C1595-WEEKDAY(C1595,2)+4),1,3)+WEEKDAY(DATE(YEAR(C1595-WEEKDAY(C1595,2)+4),1,3),2)+5)/7),"00"))</f>
        <v/>
      </c>
    </row>
    <row r="1596" ht="18" customHeight="1">
      <c r="A1596" s="39" t="n">
        <v>1591</v>
      </c>
      <c r="B1596" s="33">
        <f>IF(C1596="","",IF(P1596="À RENSEIGNER","GIC",P1596)&amp;"-V"&amp;TEXT(A1596,"00000"))</f>
        <v/>
      </c>
      <c r="C1596" s="32" t="n"/>
      <c r="D1596" s="35" t="n"/>
      <c r="E1596" s="36" t="n"/>
      <c r="F1596" s="36" t="n"/>
      <c r="G1596" s="36" t="n"/>
      <c r="H1596" s="36" t="n"/>
      <c r="I1596" s="36" t="n"/>
      <c r="J1596" s="37" t="n"/>
      <c r="K1596" s="32" t="n"/>
      <c r="L1596" s="36" t="n"/>
      <c r="M1596" s="41" t="n"/>
      <c r="N1596" s="41" t="n"/>
      <c r="O1596" s="36" t="n"/>
      <c r="P1596" s="33">
        <f>IF(C1596="","",Commercial_Id)</f>
        <v/>
      </c>
      <c r="Q1596" s="39">
        <f>IF(F1596="","",IFERROR(VALUE(MID(F1596,LEN(F1596)-3,3)),""))</f>
        <v/>
      </c>
      <c r="R1596" s="33">
        <f>IF(Q1596="","",P1596&amp;"|"&amp;Q1596)</f>
        <v/>
      </c>
      <c r="S1596" s="33">
        <f>IF(Q1596="","",IF(P1596="À RENSEIGNER","GIC",P1596)&amp;"-"&amp;TEXT(Q1596,"000"))</f>
        <v/>
      </c>
      <c r="T1596" s="33">
        <f>IF(R1596="","",IFERROR(INDEX(Cl_nom,MATCH(R1596,Cl_cle,0)),"(client introuvable)"))</f>
        <v/>
      </c>
      <c r="U1596" s="33">
        <f>IF(R1596="","",IFERROR(INDEX(Cl_quartier,MATCH(R1596,Cl_cle,0))&amp;"",""))</f>
        <v/>
      </c>
      <c r="V1596" s="34">
        <f>IF(C1596="","",YEAR(C1596-WEEKDAY(C1596,2)+4)&amp;"-S"&amp;TEXT(INT((C1596-DATE(YEAR(C1596-WEEKDAY(C1596,2)+4),1,3)+WEEKDAY(DATE(YEAR(C1596-WEEKDAY(C1596,2)+4),1,3),2)+5)/7),"00"))</f>
        <v/>
      </c>
    </row>
    <row r="1597" ht="18" customHeight="1">
      <c r="A1597" s="39" t="n">
        <v>1592</v>
      </c>
      <c r="B1597" s="33">
        <f>IF(C1597="","",IF(P1597="À RENSEIGNER","GIC",P1597)&amp;"-V"&amp;TEXT(A1597,"00000"))</f>
        <v/>
      </c>
      <c r="C1597" s="32" t="n"/>
      <c r="D1597" s="35" t="n"/>
      <c r="E1597" s="36" t="n"/>
      <c r="F1597" s="36" t="n"/>
      <c r="G1597" s="36" t="n"/>
      <c r="H1597" s="36" t="n"/>
      <c r="I1597" s="36" t="n"/>
      <c r="J1597" s="37" t="n"/>
      <c r="K1597" s="32" t="n"/>
      <c r="L1597" s="36" t="n"/>
      <c r="M1597" s="41" t="n"/>
      <c r="N1597" s="41" t="n"/>
      <c r="O1597" s="36" t="n"/>
      <c r="P1597" s="33">
        <f>IF(C1597="","",Commercial_Id)</f>
        <v/>
      </c>
      <c r="Q1597" s="39">
        <f>IF(F1597="","",IFERROR(VALUE(MID(F1597,LEN(F1597)-3,3)),""))</f>
        <v/>
      </c>
      <c r="R1597" s="33">
        <f>IF(Q1597="","",P1597&amp;"|"&amp;Q1597)</f>
        <v/>
      </c>
      <c r="S1597" s="33">
        <f>IF(Q1597="","",IF(P1597="À RENSEIGNER","GIC",P1597)&amp;"-"&amp;TEXT(Q1597,"000"))</f>
        <v/>
      </c>
      <c r="T1597" s="33">
        <f>IF(R1597="","",IFERROR(INDEX(Cl_nom,MATCH(R1597,Cl_cle,0)),"(client introuvable)"))</f>
        <v/>
      </c>
      <c r="U1597" s="33">
        <f>IF(R1597="","",IFERROR(INDEX(Cl_quartier,MATCH(R1597,Cl_cle,0))&amp;"",""))</f>
        <v/>
      </c>
      <c r="V1597" s="34">
        <f>IF(C1597="","",YEAR(C1597-WEEKDAY(C1597,2)+4)&amp;"-S"&amp;TEXT(INT((C1597-DATE(YEAR(C1597-WEEKDAY(C1597,2)+4),1,3)+WEEKDAY(DATE(YEAR(C1597-WEEKDAY(C1597,2)+4),1,3),2)+5)/7),"00"))</f>
        <v/>
      </c>
    </row>
    <row r="1598" ht="18" customHeight="1">
      <c r="A1598" s="39" t="n">
        <v>1593</v>
      </c>
      <c r="B1598" s="33">
        <f>IF(C1598="","",IF(P1598="À RENSEIGNER","GIC",P1598)&amp;"-V"&amp;TEXT(A1598,"00000"))</f>
        <v/>
      </c>
      <c r="C1598" s="32" t="n"/>
      <c r="D1598" s="35" t="n"/>
      <c r="E1598" s="36" t="n"/>
      <c r="F1598" s="36" t="n"/>
      <c r="G1598" s="36" t="n"/>
      <c r="H1598" s="36" t="n"/>
      <c r="I1598" s="36" t="n"/>
      <c r="J1598" s="37" t="n"/>
      <c r="K1598" s="32" t="n"/>
      <c r="L1598" s="36" t="n"/>
      <c r="M1598" s="41" t="n"/>
      <c r="N1598" s="41" t="n"/>
      <c r="O1598" s="36" t="n"/>
      <c r="P1598" s="33">
        <f>IF(C1598="","",Commercial_Id)</f>
        <v/>
      </c>
      <c r="Q1598" s="39">
        <f>IF(F1598="","",IFERROR(VALUE(MID(F1598,LEN(F1598)-3,3)),""))</f>
        <v/>
      </c>
      <c r="R1598" s="33">
        <f>IF(Q1598="","",P1598&amp;"|"&amp;Q1598)</f>
        <v/>
      </c>
      <c r="S1598" s="33">
        <f>IF(Q1598="","",IF(P1598="À RENSEIGNER","GIC",P1598)&amp;"-"&amp;TEXT(Q1598,"000"))</f>
        <v/>
      </c>
      <c r="T1598" s="33">
        <f>IF(R1598="","",IFERROR(INDEX(Cl_nom,MATCH(R1598,Cl_cle,0)),"(client introuvable)"))</f>
        <v/>
      </c>
      <c r="U1598" s="33">
        <f>IF(R1598="","",IFERROR(INDEX(Cl_quartier,MATCH(R1598,Cl_cle,0))&amp;"",""))</f>
        <v/>
      </c>
      <c r="V1598" s="34">
        <f>IF(C1598="","",YEAR(C1598-WEEKDAY(C1598,2)+4)&amp;"-S"&amp;TEXT(INT((C1598-DATE(YEAR(C1598-WEEKDAY(C1598,2)+4),1,3)+WEEKDAY(DATE(YEAR(C1598-WEEKDAY(C1598,2)+4),1,3),2)+5)/7),"00"))</f>
        <v/>
      </c>
    </row>
    <row r="1599" ht="18" customHeight="1">
      <c r="A1599" s="39" t="n">
        <v>1594</v>
      </c>
      <c r="B1599" s="33">
        <f>IF(C1599="","",IF(P1599="À RENSEIGNER","GIC",P1599)&amp;"-V"&amp;TEXT(A1599,"00000"))</f>
        <v/>
      </c>
      <c r="C1599" s="32" t="n"/>
      <c r="D1599" s="35" t="n"/>
      <c r="E1599" s="36" t="n"/>
      <c r="F1599" s="36" t="n"/>
      <c r="G1599" s="36" t="n"/>
      <c r="H1599" s="36" t="n"/>
      <c r="I1599" s="36" t="n"/>
      <c r="J1599" s="37" t="n"/>
      <c r="K1599" s="32" t="n"/>
      <c r="L1599" s="36" t="n"/>
      <c r="M1599" s="41" t="n"/>
      <c r="N1599" s="41" t="n"/>
      <c r="O1599" s="36" t="n"/>
      <c r="P1599" s="33">
        <f>IF(C1599="","",Commercial_Id)</f>
        <v/>
      </c>
      <c r="Q1599" s="39">
        <f>IF(F1599="","",IFERROR(VALUE(MID(F1599,LEN(F1599)-3,3)),""))</f>
        <v/>
      </c>
      <c r="R1599" s="33">
        <f>IF(Q1599="","",P1599&amp;"|"&amp;Q1599)</f>
        <v/>
      </c>
      <c r="S1599" s="33">
        <f>IF(Q1599="","",IF(P1599="À RENSEIGNER","GIC",P1599)&amp;"-"&amp;TEXT(Q1599,"000"))</f>
        <v/>
      </c>
      <c r="T1599" s="33">
        <f>IF(R1599="","",IFERROR(INDEX(Cl_nom,MATCH(R1599,Cl_cle,0)),"(client introuvable)"))</f>
        <v/>
      </c>
      <c r="U1599" s="33">
        <f>IF(R1599="","",IFERROR(INDEX(Cl_quartier,MATCH(R1599,Cl_cle,0))&amp;"",""))</f>
        <v/>
      </c>
      <c r="V1599" s="34">
        <f>IF(C1599="","",YEAR(C1599-WEEKDAY(C1599,2)+4)&amp;"-S"&amp;TEXT(INT((C1599-DATE(YEAR(C1599-WEEKDAY(C1599,2)+4),1,3)+WEEKDAY(DATE(YEAR(C1599-WEEKDAY(C1599,2)+4),1,3),2)+5)/7),"00"))</f>
        <v/>
      </c>
    </row>
    <row r="1600" ht="18" customHeight="1">
      <c r="A1600" s="39" t="n">
        <v>1595</v>
      </c>
      <c r="B1600" s="33">
        <f>IF(C1600="","",IF(P1600="À RENSEIGNER","GIC",P1600)&amp;"-V"&amp;TEXT(A1600,"00000"))</f>
        <v/>
      </c>
      <c r="C1600" s="32" t="n"/>
      <c r="D1600" s="35" t="n"/>
      <c r="E1600" s="36" t="n"/>
      <c r="F1600" s="36" t="n"/>
      <c r="G1600" s="36" t="n"/>
      <c r="H1600" s="36" t="n"/>
      <c r="I1600" s="36" t="n"/>
      <c r="J1600" s="37" t="n"/>
      <c r="K1600" s="32" t="n"/>
      <c r="L1600" s="36" t="n"/>
      <c r="M1600" s="41" t="n"/>
      <c r="N1600" s="41" t="n"/>
      <c r="O1600" s="36" t="n"/>
      <c r="P1600" s="33">
        <f>IF(C1600="","",Commercial_Id)</f>
        <v/>
      </c>
      <c r="Q1600" s="39">
        <f>IF(F1600="","",IFERROR(VALUE(MID(F1600,LEN(F1600)-3,3)),""))</f>
        <v/>
      </c>
      <c r="R1600" s="33">
        <f>IF(Q1600="","",P1600&amp;"|"&amp;Q1600)</f>
        <v/>
      </c>
      <c r="S1600" s="33">
        <f>IF(Q1600="","",IF(P1600="À RENSEIGNER","GIC",P1600)&amp;"-"&amp;TEXT(Q1600,"000"))</f>
        <v/>
      </c>
      <c r="T1600" s="33">
        <f>IF(R1600="","",IFERROR(INDEX(Cl_nom,MATCH(R1600,Cl_cle,0)),"(client introuvable)"))</f>
        <v/>
      </c>
      <c r="U1600" s="33">
        <f>IF(R1600="","",IFERROR(INDEX(Cl_quartier,MATCH(R1600,Cl_cle,0))&amp;"",""))</f>
        <v/>
      </c>
      <c r="V1600" s="34">
        <f>IF(C1600="","",YEAR(C1600-WEEKDAY(C1600,2)+4)&amp;"-S"&amp;TEXT(INT((C1600-DATE(YEAR(C1600-WEEKDAY(C1600,2)+4),1,3)+WEEKDAY(DATE(YEAR(C1600-WEEKDAY(C1600,2)+4),1,3),2)+5)/7),"00"))</f>
        <v/>
      </c>
    </row>
    <row r="1601" ht="18" customHeight="1">
      <c r="A1601" s="39" t="n">
        <v>1596</v>
      </c>
      <c r="B1601" s="33">
        <f>IF(C1601="","",IF(P1601="À RENSEIGNER","GIC",P1601)&amp;"-V"&amp;TEXT(A1601,"00000"))</f>
        <v/>
      </c>
      <c r="C1601" s="32" t="n"/>
      <c r="D1601" s="35" t="n"/>
      <c r="E1601" s="36" t="n"/>
      <c r="F1601" s="36" t="n"/>
      <c r="G1601" s="36" t="n"/>
      <c r="H1601" s="36" t="n"/>
      <c r="I1601" s="36" t="n"/>
      <c r="J1601" s="37" t="n"/>
      <c r="K1601" s="32" t="n"/>
      <c r="L1601" s="36" t="n"/>
      <c r="M1601" s="41" t="n"/>
      <c r="N1601" s="41" t="n"/>
      <c r="O1601" s="36" t="n"/>
      <c r="P1601" s="33">
        <f>IF(C1601="","",Commercial_Id)</f>
        <v/>
      </c>
      <c r="Q1601" s="39">
        <f>IF(F1601="","",IFERROR(VALUE(MID(F1601,LEN(F1601)-3,3)),""))</f>
        <v/>
      </c>
      <c r="R1601" s="33">
        <f>IF(Q1601="","",P1601&amp;"|"&amp;Q1601)</f>
        <v/>
      </c>
      <c r="S1601" s="33">
        <f>IF(Q1601="","",IF(P1601="À RENSEIGNER","GIC",P1601)&amp;"-"&amp;TEXT(Q1601,"000"))</f>
        <v/>
      </c>
      <c r="T1601" s="33">
        <f>IF(R1601="","",IFERROR(INDEX(Cl_nom,MATCH(R1601,Cl_cle,0)),"(client introuvable)"))</f>
        <v/>
      </c>
      <c r="U1601" s="33">
        <f>IF(R1601="","",IFERROR(INDEX(Cl_quartier,MATCH(R1601,Cl_cle,0))&amp;"",""))</f>
        <v/>
      </c>
      <c r="V1601" s="34">
        <f>IF(C1601="","",YEAR(C1601-WEEKDAY(C1601,2)+4)&amp;"-S"&amp;TEXT(INT((C1601-DATE(YEAR(C1601-WEEKDAY(C1601,2)+4),1,3)+WEEKDAY(DATE(YEAR(C1601-WEEKDAY(C1601,2)+4),1,3),2)+5)/7),"00"))</f>
        <v/>
      </c>
    </row>
    <row r="1602" ht="18" customHeight="1">
      <c r="A1602" s="39" t="n">
        <v>1597</v>
      </c>
      <c r="B1602" s="33">
        <f>IF(C1602="","",IF(P1602="À RENSEIGNER","GIC",P1602)&amp;"-V"&amp;TEXT(A1602,"00000"))</f>
        <v/>
      </c>
      <c r="C1602" s="32" t="n"/>
      <c r="D1602" s="35" t="n"/>
      <c r="E1602" s="36" t="n"/>
      <c r="F1602" s="36" t="n"/>
      <c r="G1602" s="36" t="n"/>
      <c r="H1602" s="36" t="n"/>
      <c r="I1602" s="36" t="n"/>
      <c r="J1602" s="37" t="n"/>
      <c r="K1602" s="32" t="n"/>
      <c r="L1602" s="36" t="n"/>
      <c r="M1602" s="41" t="n"/>
      <c r="N1602" s="41" t="n"/>
      <c r="O1602" s="36" t="n"/>
      <c r="P1602" s="33">
        <f>IF(C1602="","",Commercial_Id)</f>
        <v/>
      </c>
      <c r="Q1602" s="39">
        <f>IF(F1602="","",IFERROR(VALUE(MID(F1602,LEN(F1602)-3,3)),""))</f>
        <v/>
      </c>
      <c r="R1602" s="33">
        <f>IF(Q1602="","",P1602&amp;"|"&amp;Q1602)</f>
        <v/>
      </c>
      <c r="S1602" s="33">
        <f>IF(Q1602="","",IF(P1602="À RENSEIGNER","GIC",P1602)&amp;"-"&amp;TEXT(Q1602,"000"))</f>
        <v/>
      </c>
      <c r="T1602" s="33">
        <f>IF(R1602="","",IFERROR(INDEX(Cl_nom,MATCH(R1602,Cl_cle,0)),"(client introuvable)"))</f>
        <v/>
      </c>
      <c r="U1602" s="33">
        <f>IF(R1602="","",IFERROR(INDEX(Cl_quartier,MATCH(R1602,Cl_cle,0))&amp;"",""))</f>
        <v/>
      </c>
      <c r="V1602" s="34">
        <f>IF(C1602="","",YEAR(C1602-WEEKDAY(C1602,2)+4)&amp;"-S"&amp;TEXT(INT((C1602-DATE(YEAR(C1602-WEEKDAY(C1602,2)+4),1,3)+WEEKDAY(DATE(YEAR(C1602-WEEKDAY(C1602,2)+4),1,3),2)+5)/7),"00"))</f>
        <v/>
      </c>
    </row>
    <row r="1603" ht="18" customHeight="1">
      <c r="A1603" s="39" t="n">
        <v>1598</v>
      </c>
      <c r="B1603" s="33">
        <f>IF(C1603="","",IF(P1603="À RENSEIGNER","GIC",P1603)&amp;"-V"&amp;TEXT(A1603,"00000"))</f>
        <v/>
      </c>
      <c r="C1603" s="32" t="n"/>
      <c r="D1603" s="35" t="n"/>
      <c r="E1603" s="36" t="n"/>
      <c r="F1603" s="36" t="n"/>
      <c r="G1603" s="36" t="n"/>
      <c r="H1603" s="36" t="n"/>
      <c r="I1603" s="36" t="n"/>
      <c r="J1603" s="37" t="n"/>
      <c r="K1603" s="32" t="n"/>
      <c r="L1603" s="36" t="n"/>
      <c r="M1603" s="41" t="n"/>
      <c r="N1603" s="41" t="n"/>
      <c r="O1603" s="36" t="n"/>
      <c r="P1603" s="33">
        <f>IF(C1603="","",Commercial_Id)</f>
        <v/>
      </c>
      <c r="Q1603" s="39">
        <f>IF(F1603="","",IFERROR(VALUE(MID(F1603,LEN(F1603)-3,3)),""))</f>
        <v/>
      </c>
      <c r="R1603" s="33">
        <f>IF(Q1603="","",P1603&amp;"|"&amp;Q1603)</f>
        <v/>
      </c>
      <c r="S1603" s="33">
        <f>IF(Q1603="","",IF(P1603="À RENSEIGNER","GIC",P1603)&amp;"-"&amp;TEXT(Q1603,"000"))</f>
        <v/>
      </c>
      <c r="T1603" s="33">
        <f>IF(R1603="","",IFERROR(INDEX(Cl_nom,MATCH(R1603,Cl_cle,0)),"(client introuvable)"))</f>
        <v/>
      </c>
      <c r="U1603" s="33">
        <f>IF(R1603="","",IFERROR(INDEX(Cl_quartier,MATCH(R1603,Cl_cle,0))&amp;"",""))</f>
        <v/>
      </c>
      <c r="V1603" s="34">
        <f>IF(C1603="","",YEAR(C1603-WEEKDAY(C1603,2)+4)&amp;"-S"&amp;TEXT(INT((C1603-DATE(YEAR(C1603-WEEKDAY(C1603,2)+4),1,3)+WEEKDAY(DATE(YEAR(C1603-WEEKDAY(C1603,2)+4),1,3),2)+5)/7),"00"))</f>
        <v/>
      </c>
    </row>
    <row r="1604" ht="18" customHeight="1">
      <c r="A1604" s="39" t="n">
        <v>1599</v>
      </c>
      <c r="B1604" s="33">
        <f>IF(C1604="","",IF(P1604="À RENSEIGNER","GIC",P1604)&amp;"-V"&amp;TEXT(A1604,"00000"))</f>
        <v/>
      </c>
      <c r="C1604" s="32" t="n"/>
      <c r="D1604" s="35" t="n"/>
      <c r="E1604" s="36" t="n"/>
      <c r="F1604" s="36" t="n"/>
      <c r="G1604" s="36" t="n"/>
      <c r="H1604" s="36" t="n"/>
      <c r="I1604" s="36" t="n"/>
      <c r="J1604" s="37" t="n"/>
      <c r="K1604" s="32" t="n"/>
      <c r="L1604" s="36" t="n"/>
      <c r="M1604" s="41" t="n"/>
      <c r="N1604" s="41" t="n"/>
      <c r="O1604" s="36" t="n"/>
      <c r="P1604" s="33">
        <f>IF(C1604="","",Commercial_Id)</f>
        <v/>
      </c>
      <c r="Q1604" s="39">
        <f>IF(F1604="","",IFERROR(VALUE(MID(F1604,LEN(F1604)-3,3)),""))</f>
        <v/>
      </c>
      <c r="R1604" s="33">
        <f>IF(Q1604="","",P1604&amp;"|"&amp;Q1604)</f>
        <v/>
      </c>
      <c r="S1604" s="33">
        <f>IF(Q1604="","",IF(P1604="À RENSEIGNER","GIC",P1604)&amp;"-"&amp;TEXT(Q1604,"000"))</f>
        <v/>
      </c>
      <c r="T1604" s="33">
        <f>IF(R1604="","",IFERROR(INDEX(Cl_nom,MATCH(R1604,Cl_cle,0)),"(client introuvable)"))</f>
        <v/>
      </c>
      <c r="U1604" s="33">
        <f>IF(R1604="","",IFERROR(INDEX(Cl_quartier,MATCH(R1604,Cl_cle,0))&amp;"",""))</f>
        <v/>
      </c>
      <c r="V1604" s="34">
        <f>IF(C1604="","",YEAR(C1604-WEEKDAY(C1604,2)+4)&amp;"-S"&amp;TEXT(INT((C1604-DATE(YEAR(C1604-WEEKDAY(C1604,2)+4),1,3)+WEEKDAY(DATE(YEAR(C1604-WEEKDAY(C1604,2)+4),1,3),2)+5)/7),"00"))</f>
        <v/>
      </c>
    </row>
    <row r="1605" ht="18" customHeight="1">
      <c r="A1605" s="39" t="n">
        <v>1600</v>
      </c>
      <c r="B1605" s="33">
        <f>IF(C1605="","",IF(P1605="À RENSEIGNER","GIC",P1605)&amp;"-V"&amp;TEXT(A1605,"00000"))</f>
        <v/>
      </c>
      <c r="C1605" s="32" t="n"/>
      <c r="D1605" s="35" t="n"/>
      <c r="E1605" s="36" t="n"/>
      <c r="F1605" s="36" t="n"/>
      <c r="G1605" s="36" t="n"/>
      <c r="H1605" s="36" t="n"/>
      <c r="I1605" s="36" t="n"/>
      <c r="J1605" s="37" t="n"/>
      <c r="K1605" s="32" t="n"/>
      <c r="L1605" s="36" t="n"/>
      <c r="M1605" s="41" t="n"/>
      <c r="N1605" s="41" t="n"/>
      <c r="O1605" s="36" t="n"/>
      <c r="P1605" s="33">
        <f>IF(C1605="","",Commercial_Id)</f>
        <v/>
      </c>
      <c r="Q1605" s="39">
        <f>IF(F1605="","",IFERROR(VALUE(MID(F1605,LEN(F1605)-3,3)),""))</f>
        <v/>
      </c>
      <c r="R1605" s="33">
        <f>IF(Q1605="","",P1605&amp;"|"&amp;Q1605)</f>
        <v/>
      </c>
      <c r="S1605" s="33">
        <f>IF(Q1605="","",IF(P1605="À RENSEIGNER","GIC",P1605)&amp;"-"&amp;TEXT(Q1605,"000"))</f>
        <v/>
      </c>
      <c r="T1605" s="33">
        <f>IF(R1605="","",IFERROR(INDEX(Cl_nom,MATCH(R1605,Cl_cle,0)),"(client introuvable)"))</f>
        <v/>
      </c>
      <c r="U1605" s="33">
        <f>IF(R1605="","",IFERROR(INDEX(Cl_quartier,MATCH(R1605,Cl_cle,0))&amp;"",""))</f>
        <v/>
      </c>
      <c r="V1605" s="34">
        <f>IF(C1605="","",YEAR(C1605-WEEKDAY(C1605,2)+4)&amp;"-S"&amp;TEXT(INT((C1605-DATE(YEAR(C1605-WEEKDAY(C1605,2)+4),1,3)+WEEKDAY(DATE(YEAR(C1605-WEEKDAY(C1605,2)+4),1,3),2)+5)/7),"00"))</f>
        <v/>
      </c>
    </row>
    <row r="1606" ht="18" customHeight="1">
      <c r="A1606" s="39" t="n">
        <v>1601</v>
      </c>
      <c r="B1606" s="33">
        <f>IF(C1606="","",IF(P1606="À RENSEIGNER","GIC",P1606)&amp;"-V"&amp;TEXT(A1606,"00000"))</f>
        <v/>
      </c>
      <c r="C1606" s="32" t="n"/>
      <c r="D1606" s="35" t="n"/>
      <c r="E1606" s="36" t="n"/>
      <c r="F1606" s="36" t="n"/>
      <c r="G1606" s="36" t="n"/>
      <c r="H1606" s="36" t="n"/>
      <c r="I1606" s="36" t="n"/>
      <c r="J1606" s="37" t="n"/>
      <c r="K1606" s="32" t="n"/>
      <c r="L1606" s="36" t="n"/>
      <c r="M1606" s="41" t="n"/>
      <c r="N1606" s="41" t="n"/>
      <c r="O1606" s="36" t="n"/>
      <c r="P1606" s="33">
        <f>IF(C1606="","",Commercial_Id)</f>
        <v/>
      </c>
      <c r="Q1606" s="39">
        <f>IF(F1606="","",IFERROR(VALUE(MID(F1606,LEN(F1606)-3,3)),""))</f>
        <v/>
      </c>
      <c r="R1606" s="33">
        <f>IF(Q1606="","",P1606&amp;"|"&amp;Q1606)</f>
        <v/>
      </c>
      <c r="S1606" s="33">
        <f>IF(Q1606="","",IF(P1606="À RENSEIGNER","GIC",P1606)&amp;"-"&amp;TEXT(Q1606,"000"))</f>
        <v/>
      </c>
      <c r="T1606" s="33">
        <f>IF(R1606="","",IFERROR(INDEX(Cl_nom,MATCH(R1606,Cl_cle,0)),"(client introuvable)"))</f>
        <v/>
      </c>
      <c r="U1606" s="33">
        <f>IF(R1606="","",IFERROR(INDEX(Cl_quartier,MATCH(R1606,Cl_cle,0))&amp;"",""))</f>
        <v/>
      </c>
      <c r="V1606" s="34">
        <f>IF(C1606="","",YEAR(C1606-WEEKDAY(C1606,2)+4)&amp;"-S"&amp;TEXT(INT((C1606-DATE(YEAR(C1606-WEEKDAY(C1606,2)+4),1,3)+WEEKDAY(DATE(YEAR(C1606-WEEKDAY(C1606,2)+4),1,3),2)+5)/7),"00"))</f>
        <v/>
      </c>
    </row>
    <row r="1607" ht="18" customHeight="1">
      <c r="A1607" s="39" t="n">
        <v>1602</v>
      </c>
      <c r="B1607" s="33">
        <f>IF(C1607="","",IF(P1607="À RENSEIGNER","GIC",P1607)&amp;"-V"&amp;TEXT(A1607,"00000"))</f>
        <v/>
      </c>
      <c r="C1607" s="32" t="n"/>
      <c r="D1607" s="35" t="n"/>
      <c r="E1607" s="36" t="n"/>
      <c r="F1607" s="36" t="n"/>
      <c r="G1607" s="36" t="n"/>
      <c r="H1607" s="36" t="n"/>
      <c r="I1607" s="36" t="n"/>
      <c r="J1607" s="37" t="n"/>
      <c r="K1607" s="32" t="n"/>
      <c r="L1607" s="36" t="n"/>
      <c r="M1607" s="41" t="n"/>
      <c r="N1607" s="41" t="n"/>
      <c r="O1607" s="36" t="n"/>
      <c r="P1607" s="33">
        <f>IF(C1607="","",Commercial_Id)</f>
        <v/>
      </c>
      <c r="Q1607" s="39">
        <f>IF(F1607="","",IFERROR(VALUE(MID(F1607,LEN(F1607)-3,3)),""))</f>
        <v/>
      </c>
      <c r="R1607" s="33">
        <f>IF(Q1607="","",P1607&amp;"|"&amp;Q1607)</f>
        <v/>
      </c>
      <c r="S1607" s="33">
        <f>IF(Q1607="","",IF(P1607="À RENSEIGNER","GIC",P1607)&amp;"-"&amp;TEXT(Q1607,"000"))</f>
        <v/>
      </c>
      <c r="T1607" s="33">
        <f>IF(R1607="","",IFERROR(INDEX(Cl_nom,MATCH(R1607,Cl_cle,0)),"(client introuvable)"))</f>
        <v/>
      </c>
      <c r="U1607" s="33">
        <f>IF(R1607="","",IFERROR(INDEX(Cl_quartier,MATCH(R1607,Cl_cle,0))&amp;"",""))</f>
        <v/>
      </c>
      <c r="V1607" s="34">
        <f>IF(C1607="","",YEAR(C1607-WEEKDAY(C1607,2)+4)&amp;"-S"&amp;TEXT(INT((C1607-DATE(YEAR(C1607-WEEKDAY(C1607,2)+4),1,3)+WEEKDAY(DATE(YEAR(C1607-WEEKDAY(C1607,2)+4),1,3),2)+5)/7),"00"))</f>
        <v/>
      </c>
    </row>
    <row r="1608" ht="18" customHeight="1">
      <c r="A1608" s="39" t="n">
        <v>1603</v>
      </c>
      <c r="B1608" s="33">
        <f>IF(C1608="","",IF(P1608="À RENSEIGNER","GIC",P1608)&amp;"-V"&amp;TEXT(A1608,"00000"))</f>
        <v/>
      </c>
      <c r="C1608" s="32" t="n"/>
      <c r="D1608" s="35" t="n"/>
      <c r="E1608" s="36" t="n"/>
      <c r="F1608" s="36" t="n"/>
      <c r="G1608" s="36" t="n"/>
      <c r="H1608" s="36" t="n"/>
      <c r="I1608" s="36" t="n"/>
      <c r="J1608" s="37" t="n"/>
      <c r="K1608" s="32" t="n"/>
      <c r="L1608" s="36" t="n"/>
      <c r="M1608" s="41" t="n"/>
      <c r="N1608" s="41" t="n"/>
      <c r="O1608" s="36" t="n"/>
      <c r="P1608" s="33">
        <f>IF(C1608="","",Commercial_Id)</f>
        <v/>
      </c>
      <c r="Q1608" s="39">
        <f>IF(F1608="","",IFERROR(VALUE(MID(F1608,LEN(F1608)-3,3)),""))</f>
        <v/>
      </c>
      <c r="R1608" s="33">
        <f>IF(Q1608="","",P1608&amp;"|"&amp;Q1608)</f>
        <v/>
      </c>
      <c r="S1608" s="33">
        <f>IF(Q1608="","",IF(P1608="À RENSEIGNER","GIC",P1608)&amp;"-"&amp;TEXT(Q1608,"000"))</f>
        <v/>
      </c>
      <c r="T1608" s="33">
        <f>IF(R1608="","",IFERROR(INDEX(Cl_nom,MATCH(R1608,Cl_cle,0)),"(client introuvable)"))</f>
        <v/>
      </c>
      <c r="U1608" s="33">
        <f>IF(R1608="","",IFERROR(INDEX(Cl_quartier,MATCH(R1608,Cl_cle,0))&amp;"",""))</f>
        <v/>
      </c>
      <c r="V1608" s="34">
        <f>IF(C1608="","",YEAR(C1608-WEEKDAY(C1608,2)+4)&amp;"-S"&amp;TEXT(INT((C1608-DATE(YEAR(C1608-WEEKDAY(C1608,2)+4),1,3)+WEEKDAY(DATE(YEAR(C1608-WEEKDAY(C1608,2)+4),1,3),2)+5)/7),"00"))</f>
        <v/>
      </c>
    </row>
    <row r="1609" ht="18" customHeight="1">
      <c r="A1609" s="39" t="n">
        <v>1604</v>
      </c>
      <c r="B1609" s="33">
        <f>IF(C1609="","",IF(P1609="À RENSEIGNER","GIC",P1609)&amp;"-V"&amp;TEXT(A1609,"00000"))</f>
        <v/>
      </c>
      <c r="C1609" s="32" t="n"/>
      <c r="D1609" s="35" t="n"/>
      <c r="E1609" s="36" t="n"/>
      <c r="F1609" s="36" t="n"/>
      <c r="G1609" s="36" t="n"/>
      <c r="H1609" s="36" t="n"/>
      <c r="I1609" s="36" t="n"/>
      <c r="J1609" s="37" t="n"/>
      <c r="K1609" s="32" t="n"/>
      <c r="L1609" s="36" t="n"/>
      <c r="M1609" s="41" t="n"/>
      <c r="N1609" s="41" t="n"/>
      <c r="O1609" s="36" t="n"/>
      <c r="P1609" s="33">
        <f>IF(C1609="","",Commercial_Id)</f>
        <v/>
      </c>
      <c r="Q1609" s="39">
        <f>IF(F1609="","",IFERROR(VALUE(MID(F1609,LEN(F1609)-3,3)),""))</f>
        <v/>
      </c>
      <c r="R1609" s="33">
        <f>IF(Q1609="","",P1609&amp;"|"&amp;Q1609)</f>
        <v/>
      </c>
      <c r="S1609" s="33">
        <f>IF(Q1609="","",IF(P1609="À RENSEIGNER","GIC",P1609)&amp;"-"&amp;TEXT(Q1609,"000"))</f>
        <v/>
      </c>
      <c r="T1609" s="33">
        <f>IF(R1609="","",IFERROR(INDEX(Cl_nom,MATCH(R1609,Cl_cle,0)),"(client introuvable)"))</f>
        <v/>
      </c>
      <c r="U1609" s="33">
        <f>IF(R1609="","",IFERROR(INDEX(Cl_quartier,MATCH(R1609,Cl_cle,0))&amp;"",""))</f>
        <v/>
      </c>
      <c r="V1609" s="34">
        <f>IF(C1609="","",YEAR(C1609-WEEKDAY(C1609,2)+4)&amp;"-S"&amp;TEXT(INT((C1609-DATE(YEAR(C1609-WEEKDAY(C1609,2)+4),1,3)+WEEKDAY(DATE(YEAR(C1609-WEEKDAY(C1609,2)+4),1,3),2)+5)/7),"00"))</f>
        <v/>
      </c>
    </row>
    <row r="1610" ht="18" customHeight="1">
      <c r="A1610" s="39" t="n">
        <v>1605</v>
      </c>
      <c r="B1610" s="33">
        <f>IF(C1610="","",IF(P1610="À RENSEIGNER","GIC",P1610)&amp;"-V"&amp;TEXT(A1610,"00000"))</f>
        <v/>
      </c>
      <c r="C1610" s="32" t="n"/>
      <c r="D1610" s="35" t="n"/>
      <c r="E1610" s="36" t="n"/>
      <c r="F1610" s="36" t="n"/>
      <c r="G1610" s="36" t="n"/>
      <c r="H1610" s="36" t="n"/>
      <c r="I1610" s="36" t="n"/>
      <c r="J1610" s="37" t="n"/>
      <c r="K1610" s="32" t="n"/>
      <c r="L1610" s="36" t="n"/>
      <c r="M1610" s="41" t="n"/>
      <c r="N1610" s="41" t="n"/>
      <c r="O1610" s="36" t="n"/>
      <c r="P1610" s="33">
        <f>IF(C1610="","",Commercial_Id)</f>
        <v/>
      </c>
      <c r="Q1610" s="39">
        <f>IF(F1610="","",IFERROR(VALUE(MID(F1610,LEN(F1610)-3,3)),""))</f>
        <v/>
      </c>
      <c r="R1610" s="33">
        <f>IF(Q1610="","",P1610&amp;"|"&amp;Q1610)</f>
        <v/>
      </c>
      <c r="S1610" s="33">
        <f>IF(Q1610="","",IF(P1610="À RENSEIGNER","GIC",P1610)&amp;"-"&amp;TEXT(Q1610,"000"))</f>
        <v/>
      </c>
      <c r="T1610" s="33">
        <f>IF(R1610="","",IFERROR(INDEX(Cl_nom,MATCH(R1610,Cl_cle,0)),"(client introuvable)"))</f>
        <v/>
      </c>
      <c r="U1610" s="33">
        <f>IF(R1610="","",IFERROR(INDEX(Cl_quartier,MATCH(R1610,Cl_cle,0))&amp;"",""))</f>
        <v/>
      </c>
      <c r="V1610" s="34">
        <f>IF(C1610="","",YEAR(C1610-WEEKDAY(C1610,2)+4)&amp;"-S"&amp;TEXT(INT((C1610-DATE(YEAR(C1610-WEEKDAY(C1610,2)+4),1,3)+WEEKDAY(DATE(YEAR(C1610-WEEKDAY(C1610,2)+4),1,3),2)+5)/7),"00"))</f>
        <v/>
      </c>
    </row>
    <row r="1611" ht="18" customHeight="1">
      <c r="A1611" s="39" t="n">
        <v>1606</v>
      </c>
      <c r="B1611" s="33">
        <f>IF(C1611="","",IF(P1611="À RENSEIGNER","GIC",P1611)&amp;"-V"&amp;TEXT(A1611,"00000"))</f>
        <v/>
      </c>
      <c r="C1611" s="32" t="n"/>
      <c r="D1611" s="35" t="n"/>
      <c r="E1611" s="36" t="n"/>
      <c r="F1611" s="36" t="n"/>
      <c r="G1611" s="36" t="n"/>
      <c r="H1611" s="36" t="n"/>
      <c r="I1611" s="36" t="n"/>
      <c r="J1611" s="37" t="n"/>
      <c r="K1611" s="32" t="n"/>
      <c r="L1611" s="36" t="n"/>
      <c r="M1611" s="41" t="n"/>
      <c r="N1611" s="41" t="n"/>
      <c r="O1611" s="36" t="n"/>
      <c r="P1611" s="33">
        <f>IF(C1611="","",Commercial_Id)</f>
        <v/>
      </c>
      <c r="Q1611" s="39">
        <f>IF(F1611="","",IFERROR(VALUE(MID(F1611,LEN(F1611)-3,3)),""))</f>
        <v/>
      </c>
      <c r="R1611" s="33">
        <f>IF(Q1611="","",P1611&amp;"|"&amp;Q1611)</f>
        <v/>
      </c>
      <c r="S1611" s="33">
        <f>IF(Q1611="","",IF(P1611="À RENSEIGNER","GIC",P1611)&amp;"-"&amp;TEXT(Q1611,"000"))</f>
        <v/>
      </c>
      <c r="T1611" s="33">
        <f>IF(R1611="","",IFERROR(INDEX(Cl_nom,MATCH(R1611,Cl_cle,0)),"(client introuvable)"))</f>
        <v/>
      </c>
      <c r="U1611" s="33">
        <f>IF(R1611="","",IFERROR(INDEX(Cl_quartier,MATCH(R1611,Cl_cle,0))&amp;"",""))</f>
        <v/>
      </c>
      <c r="V1611" s="34">
        <f>IF(C1611="","",YEAR(C1611-WEEKDAY(C1611,2)+4)&amp;"-S"&amp;TEXT(INT((C1611-DATE(YEAR(C1611-WEEKDAY(C1611,2)+4),1,3)+WEEKDAY(DATE(YEAR(C1611-WEEKDAY(C1611,2)+4),1,3),2)+5)/7),"00"))</f>
        <v/>
      </c>
    </row>
    <row r="1612" ht="18" customHeight="1">
      <c r="A1612" s="39" t="n">
        <v>1607</v>
      </c>
      <c r="B1612" s="33">
        <f>IF(C1612="","",IF(P1612="À RENSEIGNER","GIC",P1612)&amp;"-V"&amp;TEXT(A1612,"00000"))</f>
        <v/>
      </c>
      <c r="C1612" s="32" t="n"/>
      <c r="D1612" s="35" t="n"/>
      <c r="E1612" s="36" t="n"/>
      <c r="F1612" s="36" t="n"/>
      <c r="G1612" s="36" t="n"/>
      <c r="H1612" s="36" t="n"/>
      <c r="I1612" s="36" t="n"/>
      <c r="J1612" s="37" t="n"/>
      <c r="K1612" s="32" t="n"/>
      <c r="L1612" s="36" t="n"/>
      <c r="M1612" s="41" t="n"/>
      <c r="N1612" s="41" t="n"/>
      <c r="O1612" s="36" t="n"/>
      <c r="P1612" s="33">
        <f>IF(C1612="","",Commercial_Id)</f>
        <v/>
      </c>
      <c r="Q1612" s="39">
        <f>IF(F1612="","",IFERROR(VALUE(MID(F1612,LEN(F1612)-3,3)),""))</f>
        <v/>
      </c>
      <c r="R1612" s="33">
        <f>IF(Q1612="","",P1612&amp;"|"&amp;Q1612)</f>
        <v/>
      </c>
      <c r="S1612" s="33">
        <f>IF(Q1612="","",IF(P1612="À RENSEIGNER","GIC",P1612)&amp;"-"&amp;TEXT(Q1612,"000"))</f>
        <v/>
      </c>
      <c r="T1612" s="33">
        <f>IF(R1612="","",IFERROR(INDEX(Cl_nom,MATCH(R1612,Cl_cle,0)),"(client introuvable)"))</f>
        <v/>
      </c>
      <c r="U1612" s="33">
        <f>IF(R1612="","",IFERROR(INDEX(Cl_quartier,MATCH(R1612,Cl_cle,0))&amp;"",""))</f>
        <v/>
      </c>
      <c r="V1612" s="34">
        <f>IF(C1612="","",YEAR(C1612-WEEKDAY(C1612,2)+4)&amp;"-S"&amp;TEXT(INT((C1612-DATE(YEAR(C1612-WEEKDAY(C1612,2)+4),1,3)+WEEKDAY(DATE(YEAR(C1612-WEEKDAY(C1612,2)+4),1,3),2)+5)/7),"00"))</f>
        <v/>
      </c>
    </row>
    <row r="1613" ht="18" customHeight="1">
      <c r="A1613" s="39" t="n">
        <v>1608</v>
      </c>
      <c r="B1613" s="33">
        <f>IF(C1613="","",IF(P1613="À RENSEIGNER","GIC",P1613)&amp;"-V"&amp;TEXT(A1613,"00000"))</f>
        <v/>
      </c>
      <c r="C1613" s="32" t="n"/>
      <c r="D1613" s="35" t="n"/>
      <c r="E1613" s="36" t="n"/>
      <c r="F1613" s="36" t="n"/>
      <c r="G1613" s="36" t="n"/>
      <c r="H1613" s="36" t="n"/>
      <c r="I1613" s="36" t="n"/>
      <c r="J1613" s="37" t="n"/>
      <c r="K1613" s="32" t="n"/>
      <c r="L1613" s="36" t="n"/>
      <c r="M1613" s="41" t="n"/>
      <c r="N1613" s="41" t="n"/>
      <c r="O1613" s="36" t="n"/>
      <c r="P1613" s="33">
        <f>IF(C1613="","",Commercial_Id)</f>
        <v/>
      </c>
      <c r="Q1613" s="39">
        <f>IF(F1613="","",IFERROR(VALUE(MID(F1613,LEN(F1613)-3,3)),""))</f>
        <v/>
      </c>
      <c r="R1613" s="33">
        <f>IF(Q1613="","",P1613&amp;"|"&amp;Q1613)</f>
        <v/>
      </c>
      <c r="S1613" s="33">
        <f>IF(Q1613="","",IF(P1613="À RENSEIGNER","GIC",P1613)&amp;"-"&amp;TEXT(Q1613,"000"))</f>
        <v/>
      </c>
      <c r="T1613" s="33">
        <f>IF(R1613="","",IFERROR(INDEX(Cl_nom,MATCH(R1613,Cl_cle,0)),"(client introuvable)"))</f>
        <v/>
      </c>
      <c r="U1613" s="33">
        <f>IF(R1613="","",IFERROR(INDEX(Cl_quartier,MATCH(R1613,Cl_cle,0))&amp;"",""))</f>
        <v/>
      </c>
      <c r="V1613" s="34">
        <f>IF(C1613="","",YEAR(C1613-WEEKDAY(C1613,2)+4)&amp;"-S"&amp;TEXT(INT((C1613-DATE(YEAR(C1613-WEEKDAY(C1613,2)+4),1,3)+WEEKDAY(DATE(YEAR(C1613-WEEKDAY(C1613,2)+4),1,3),2)+5)/7),"00"))</f>
        <v/>
      </c>
    </row>
    <row r="1614" ht="18" customHeight="1">
      <c r="A1614" s="39" t="n">
        <v>1609</v>
      </c>
      <c r="B1614" s="33">
        <f>IF(C1614="","",IF(P1614="À RENSEIGNER","GIC",P1614)&amp;"-V"&amp;TEXT(A1614,"00000"))</f>
        <v/>
      </c>
      <c r="C1614" s="32" t="n"/>
      <c r="D1614" s="35" t="n"/>
      <c r="E1614" s="36" t="n"/>
      <c r="F1614" s="36" t="n"/>
      <c r="G1614" s="36" t="n"/>
      <c r="H1614" s="36" t="n"/>
      <c r="I1614" s="36" t="n"/>
      <c r="J1614" s="37" t="n"/>
      <c r="K1614" s="32" t="n"/>
      <c r="L1614" s="36" t="n"/>
      <c r="M1614" s="41" t="n"/>
      <c r="N1614" s="41" t="n"/>
      <c r="O1614" s="36" t="n"/>
      <c r="P1614" s="33">
        <f>IF(C1614="","",Commercial_Id)</f>
        <v/>
      </c>
      <c r="Q1614" s="39">
        <f>IF(F1614="","",IFERROR(VALUE(MID(F1614,LEN(F1614)-3,3)),""))</f>
        <v/>
      </c>
      <c r="R1614" s="33">
        <f>IF(Q1614="","",P1614&amp;"|"&amp;Q1614)</f>
        <v/>
      </c>
      <c r="S1614" s="33">
        <f>IF(Q1614="","",IF(P1614="À RENSEIGNER","GIC",P1614)&amp;"-"&amp;TEXT(Q1614,"000"))</f>
        <v/>
      </c>
      <c r="T1614" s="33">
        <f>IF(R1614="","",IFERROR(INDEX(Cl_nom,MATCH(R1614,Cl_cle,0)),"(client introuvable)"))</f>
        <v/>
      </c>
      <c r="U1614" s="33">
        <f>IF(R1614="","",IFERROR(INDEX(Cl_quartier,MATCH(R1614,Cl_cle,0))&amp;"",""))</f>
        <v/>
      </c>
      <c r="V1614" s="34">
        <f>IF(C1614="","",YEAR(C1614-WEEKDAY(C1614,2)+4)&amp;"-S"&amp;TEXT(INT((C1614-DATE(YEAR(C1614-WEEKDAY(C1614,2)+4),1,3)+WEEKDAY(DATE(YEAR(C1614-WEEKDAY(C1614,2)+4),1,3),2)+5)/7),"00"))</f>
        <v/>
      </c>
    </row>
    <row r="1615" ht="18" customHeight="1">
      <c r="A1615" s="39" t="n">
        <v>1610</v>
      </c>
      <c r="B1615" s="33">
        <f>IF(C1615="","",IF(P1615="À RENSEIGNER","GIC",P1615)&amp;"-V"&amp;TEXT(A1615,"00000"))</f>
        <v/>
      </c>
      <c r="C1615" s="32" t="n"/>
      <c r="D1615" s="35" t="n"/>
      <c r="E1615" s="36" t="n"/>
      <c r="F1615" s="36" t="n"/>
      <c r="G1615" s="36" t="n"/>
      <c r="H1615" s="36" t="n"/>
      <c r="I1615" s="36" t="n"/>
      <c r="J1615" s="37" t="n"/>
      <c r="K1615" s="32" t="n"/>
      <c r="L1615" s="36" t="n"/>
      <c r="M1615" s="41" t="n"/>
      <c r="N1615" s="41" t="n"/>
      <c r="O1615" s="36" t="n"/>
      <c r="P1615" s="33">
        <f>IF(C1615="","",Commercial_Id)</f>
        <v/>
      </c>
      <c r="Q1615" s="39">
        <f>IF(F1615="","",IFERROR(VALUE(MID(F1615,LEN(F1615)-3,3)),""))</f>
        <v/>
      </c>
      <c r="R1615" s="33">
        <f>IF(Q1615="","",P1615&amp;"|"&amp;Q1615)</f>
        <v/>
      </c>
      <c r="S1615" s="33">
        <f>IF(Q1615="","",IF(P1615="À RENSEIGNER","GIC",P1615)&amp;"-"&amp;TEXT(Q1615,"000"))</f>
        <v/>
      </c>
      <c r="T1615" s="33">
        <f>IF(R1615="","",IFERROR(INDEX(Cl_nom,MATCH(R1615,Cl_cle,0)),"(client introuvable)"))</f>
        <v/>
      </c>
      <c r="U1615" s="33">
        <f>IF(R1615="","",IFERROR(INDEX(Cl_quartier,MATCH(R1615,Cl_cle,0))&amp;"",""))</f>
        <v/>
      </c>
      <c r="V1615" s="34">
        <f>IF(C1615="","",YEAR(C1615-WEEKDAY(C1615,2)+4)&amp;"-S"&amp;TEXT(INT((C1615-DATE(YEAR(C1615-WEEKDAY(C1615,2)+4),1,3)+WEEKDAY(DATE(YEAR(C1615-WEEKDAY(C1615,2)+4),1,3),2)+5)/7),"00"))</f>
        <v/>
      </c>
    </row>
    <row r="1616" ht="18" customHeight="1">
      <c r="A1616" s="39" t="n">
        <v>1611</v>
      </c>
      <c r="B1616" s="33">
        <f>IF(C1616="","",IF(P1616="À RENSEIGNER","GIC",P1616)&amp;"-V"&amp;TEXT(A1616,"00000"))</f>
        <v/>
      </c>
      <c r="C1616" s="32" t="n"/>
      <c r="D1616" s="35" t="n"/>
      <c r="E1616" s="36" t="n"/>
      <c r="F1616" s="36" t="n"/>
      <c r="G1616" s="36" t="n"/>
      <c r="H1616" s="36" t="n"/>
      <c r="I1616" s="36" t="n"/>
      <c r="J1616" s="37" t="n"/>
      <c r="K1616" s="32" t="n"/>
      <c r="L1616" s="36" t="n"/>
      <c r="M1616" s="41" t="n"/>
      <c r="N1616" s="41" t="n"/>
      <c r="O1616" s="36" t="n"/>
      <c r="P1616" s="33">
        <f>IF(C1616="","",Commercial_Id)</f>
        <v/>
      </c>
      <c r="Q1616" s="39">
        <f>IF(F1616="","",IFERROR(VALUE(MID(F1616,LEN(F1616)-3,3)),""))</f>
        <v/>
      </c>
      <c r="R1616" s="33">
        <f>IF(Q1616="","",P1616&amp;"|"&amp;Q1616)</f>
        <v/>
      </c>
      <c r="S1616" s="33">
        <f>IF(Q1616="","",IF(P1616="À RENSEIGNER","GIC",P1616)&amp;"-"&amp;TEXT(Q1616,"000"))</f>
        <v/>
      </c>
      <c r="T1616" s="33">
        <f>IF(R1616="","",IFERROR(INDEX(Cl_nom,MATCH(R1616,Cl_cle,0)),"(client introuvable)"))</f>
        <v/>
      </c>
      <c r="U1616" s="33">
        <f>IF(R1616="","",IFERROR(INDEX(Cl_quartier,MATCH(R1616,Cl_cle,0))&amp;"",""))</f>
        <v/>
      </c>
      <c r="V1616" s="34">
        <f>IF(C1616="","",YEAR(C1616-WEEKDAY(C1616,2)+4)&amp;"-S"&amp;TEXT(INT((C1616-DATE(YEAR(C1616-WEEKDAY(C1616,2)+4),1,3)+WEEKDAY(DATE(YEAR(C1616-WEEKDAY(C1616,2)+4),1,3),2)+5)/7),"00"))</f>
        <v/>
      </c>
    </row>
    <row r="1617" ht="18" customHeight="1">
      <c r="A1617" s="39" t="n">
        <v>1612</v>
      </c>
      <c r="B1617" s="33">
        <f>IF(C1617="","",IF(P1617="À RENSEIGNER","GIC",P1617)&amp;"-V"&amp;TEXT(A1617,"00000"))</f>
        <v/>
      </c>
      <c r="C1617" s="32" t="n"/>
      <c r="D1617" s="35" t="n"/>
      <c r="E1617" s="36" t="n"/>
      <c r="F1617" s="36" t="n"/>
      <c r="G1617" s="36" t="n"/>
      <c r="H1617" s="36" t="n"/>
      <c r="I1617" s="36" t="n"/>
      <c r="J1617" s="37" t="n"/>
      <c r="K1617" s="32" t="n"/>
      <c r="L1617" s="36" t="n"/>
      <c r="M1617" s="41" t="n"/>
      <c r="N1617" s="41" t="n"/>
      <c r="O1617" s="36" t="n"/>
      <c r="P1617" s="33">
        <f>IF(C1617="","",Commercial_Id)</f>
        <v/>
      </c>
      <c r="Q1617" s="39">
        <f>IF(F1617="","",IFERROR(VALUE(MID(F1617,LEN(F1617)-3,3)),""))</f>
        <v/>
      </c>
      <c r="R1617" s="33">
        <f>IF(Q1617="","",P1617&amp;"|"&amp;Q1617)</f>
        <v/>
      </c>
      <c r="S1617" s="33">
        <f>IF(Q1617="","",IF(P1617="À RENSEIGNER","GIC",P1617)&amp;"-"&amp;TEXT(Q1617,"000"))</f>
        <v/>
      </c>
      <c r="T1617" s="33">
        <f>IF(R1617="","",IFERROR(INDEX(Cl_nom,MATCH(R1617,Cl_cle,0)),"(client introuvable)"))</f>
        <v/>
      </c>
      <c r="U1617" s="33">
        <f>IF(R1617="","",IFERROR(INDEX(Cl_quartier,MATCH(R1617,Cl_cle,0))&amp;"",""))</f>
        <v/>
      </c>
      <c r="V1617" s="34">
        <f>IF(C1617="","",YEAR(C1617-WEEKDAY(C1617,2)+4)&amp;"-S"&amp;TEXT(INT((C1617-DATE(YEAR(C1617-WEEKDAY(C1617,2)+4),1,3)+WEEKDAY(DATE(YEAR(C1617-WEEKDAY(C1617,2)+4),1,3),2)+5)/7),"00"))</f>
        <v/>
      </c>
    </row>
    <row r="1618" ht="18" customHeight="1">
      <c r="A1618" s="39" t="n">
        <v>1613</v>
      </c>
      <c r="B1618" s="33">
        <f>IF(C1618="","",IF(P1618="À RENSEIGNER","GIC",P1618)&amp;"-V"&amp;TEXT(A1618,"00000"))</f>
        <v/>
      </c>
      <c r="C1618" s="32" t="n"/>
      <c r="D1618" s="35" t="n"/>
      <c r="E1618" s="36" t="n"/>
      <c r="F1618" s="36" t="n"/>
      <c r="G1618" s="36" t="n"/>
      <c r="H1618" s="36" t="n"/>
      <c r="I1618" s="36" t="n"/>
      <c r="J1618" s="37" t="n"/>
      <c r="K1618" s="32" t="n"/>
      <c r="L1618" s="36" t="n"/>
      <c r="M1618" s="41" t="n"/>
      <c r="N1618" s="41" t="n"/>
      <c r="O1618" s="36" t="n"/>
      <c r="P1618" s="33">
        <f>IF(C1618="","",Commercial_Id)</f>
        <v/>
      </c>
      <c r="Q1618" s="39">
        <f>IF(F1618="","",IFERROR(VALUE(MID(F1618,LEN(F1618)-3,3)),""))</f>
        <v/>
      </c>
      <c r="R1618" s="33">
        <f>IF(Q1618="","",P1618&amp;"|"&amp;Q1618)</f>
        <v/>
      </c>
      <c r="S1618" s="33">
        <f>IF(Q1618="","",IF(P1618="À RENSEIGNER","GIC",P1618)&amp;"-"&amp;TEXT(Q1618,"000"))</f>
        <v/>
      </c>
      <c r="T1618" s="33">
        <f>IF(R1618="","",IFERROR(INDEX(Cl_nom,MATCH(R1618,Cl_cle,0)),"(client introuvable)"))</f>
        <v/>
      </c>
      <c r="U1618" s="33">
        <f>IF(R1618="","",IFERROR(INDEX(Cl_quartier,MATCH(R1618,Cl_cle,0))&amp;"",""))</f>
        <v/>
      </c>
      <c r="V1618" s="34">
        <f>IF(C1618="","",YEAR(C1618-WEEKDAY(C1618,2)+4)&amp;"-S"&amp;TEXT(INT((C1618-DATE(YEAR(C1618-WEEKDAY(C1618,2)+4),1,3)+WEEKDAY(DATE(YEAR(C1618-WEEKDAY(C1618,2)+4),1,3),2)+5)/7),"00"))</f>
        <v/>
      </c>
    </row>
    <row r="1619" ht="18" customHeight="1">
      <c r="A1619" s="39" t="n">
        <v>1614</v>
      </c>
      <c r="B1619" s="33">
        <f>IF(C1619="","",IF(P1619="À RENSEIGNER","GIC",P1619)&amp;"-V"&amp;TEXT(A1619,"00000"))</f>
        <v/>
      </c>
      <c r="C1619" s="32" t="n"/>
      <c r="D1619" s="35" t="n"/>
      <c r="E1619" s="36" t="n"/>
      <c r="F1619" s="36" t="n"/>
      <c r="G1619" s="36" t="n"/>
      <c r="H1619" s="36" t="n"/>
      <c r="I1619" s="36" t="n"/>
      <c r="J1619" s="37" t="n"/>
      <c r="K1619" s="32" t="n"/>
      <c r="L1619" s="36" t="n"/>
      <c r="M1619" s="41" t="n"/>
      <c r="N1619" s="41" t="n"/>
      <c r="O1619" s="36" t="n"/>
      <c r="P1619" s="33">
        <f>IF(C1619="","",Commercial_Id)</f>
        <v/>
      </c>
      <c r="Q1619" s="39">
        <f>IF(F1619="","",IFERROR(VALUE(MID(F1619,LEN(F1619)-3,3)),""))</f>
        <v/>
      </c>
      <c r="R1619" s="33">
        <f>IF(Q1619="","",P1619&amp;"|"&amp;Q1619)</f>
        <v/>
      </c>
      <c r="S1619" s="33">
        <f>IF(Q1619="","",IF(P1619="À RENSEIGNER","GIC",P1619)&amp;"-"&amp;TEXT(Q1619,"000"))</f>
        <v/>
      </c>
      <c r="T1619" s="33">
        <f>IF(R1619="","",IFERROR(INDEX(Cl_nom,MATCH(R1619,Cl_cle,0)),"(client introuvable)"))</f>
        <v/>
      </c>
      <c r="U1619" s="33">
        <f>IF(R1619="","",IFERROR(INDEX(Cl_quartier,MATCH(R1619,Cl_cle,0))&amp;"",""))</f>
        <v/>
      </c>
      <c r="V1619" s="34">
        <f>IF(C1619="","",YEAR(C1619-WEEKDAY(C1619,2)+4)&amp;"-S"&amp;TEXT(INT((C1619-DATE(YEAR(C1619-WEEKDAY(C1619,2)+4),1,3)+WEEKDAY(DATE(YEAR(C1619-WEEKDAY(C1619,2)+4),1,3),2)+5)/7),"00"))</f>
        <v/>
      </c>
    </row>
    <row r="1620" ht="18" customHeight="1">
      <c r="A1620" s="39" t="n">
        <v>1615</v>
      </c>
      <c r="B1620" s="33">
        <f>IF(C1620="","",IF(P1620="À RENSEIGNER","GIC",P1620)&amp;"-V"&amp;TEXT(A1620,"00000"))</f>
        <v/>
      </c>
      <c r="C1620" s="32" t="n"/>
      <c r="D1620" s="35" t="n"/>
      <c r="E1620" s="36" t="n"/>
      <c r="F1620" s="36" t="n"/>
      <c r="G1620" s="36" t="n"/>
      <c r="H1620" s="36" t="n"/>
      <c r="I1620" s="36" t="n"/>
      <c r="J1620" s="37" t="n"/>
      <c r="K1620" s="32" t="n"/>
      <c r="L1620" s="36" t="n"/>
      <c r="M1620" s="41" t="n"/>
      <c r="N1620" s="41" t="n"/>
      <c r="O1620" s="36" t="n"/>
      <c r="P1620" s="33">
        <f>IF(C1620="","",Commercial_Id)</f>
        <v/>
      </c>
      <c r="Q1620" s="39">
        <f>IF(F1620="","",IFERROR(VALUE(MID(F1620,LEN(F1620)-3,3)),""))</f>
        <v/>
      </c>
      <c r="R1620" s="33">
        <f>IF(Q1620="","",P1620&amp;"|"&amp;Q1620)</f>
        <v/>
      </c>
      <c r="S1620" s="33">
        <f>IF(Q1620="","",IF(P1620="À RENSEIGNER","GIC",P1620)&amp;"-"&amp;TEXT(Q1620,"000"))</f>
        <v/>
      </c>
      <c r="T1620" s="33">
        <f>IF(R1620="","",IFERROR(INDEX(Cl_nom,MATCH(R1620,Cl_cle,0)),"(client introuvable)"))</f>
        <v/>
      </c>
      <c r="U1620" s="33">
        <f>IF(R1620="","",IFERROR(INDEX(Cl_quartier,MATCH(R1620,Cl_cle,0))&amp;"",""))</f>
        <v/>
      </c>
      <c r="V1620" s="34">
        <f>IF(C1620="","",YEAR(C1620-WEEKDAY(C1620,2)+4)&amp;"-S"&amp;TEXT(INT((C1620-DATE(YEAR(C1620-WEEKDAY(C1620,2)+4),1,3)+WEEKDAY(DATE(YEAR(C1620-WEEKDAY(C1620,2)+4),1,3),2)+5)/7),"00"))</f>
        <v/>
      </c>
    </row>
    <row r="1621" ht="18" customHeight="1">
      <c r="A1621" s="39" t="n">
        <v>1616</v>
      </c>
      <c r="B1621" s="33">
        <f>IF(C1621="","",IF(P1621="À RENSEIGNER","GIC",P1621)&amp;"-V"&amp;TEXT(A1621,"00000"))</f>
        <v/>
      </c>
      <c r="C1621" s="32" t="n"/>
      <c r="D1621" s="35" t="n"/>
      <c r="E1621" s="36" t="n"/>
      <c r="F1621" s="36" t="n"/>
      <c r="G1621" s="36" t="n"/>
      <c r="H1621" s="36" t="n"/>
      <c r="I1621" s="36" t="n"/>
      <c r="J1621" s="37" t="n"/>
      <c r="K1621" s="32" t="n"/>
      <c r="L1621" s="36" t="n"/>
      <c r="M1621" s="41" t="n"/>
      <c r="N1621" s="41" t="n"/>
      <c r="O1621" s="36" t="n"/>
      <c r="P1621" s="33">
        <f>IF(C1621="","",Commercial_Id)</f>
        <v/>
      </c>
      <c r="Q1621" s="39">
        <f>IF(F1621="","",IFERROR(VALUE(MID(F1621,LEN(F1621)-3,3)),""))</f>
        <v/>
      </c>
      <c r="R1621" s="33">
        <f>IF(Q1621="","",P1621&amp;"|"&amp;Q1621)</f>
        <v/>
      </c>
      <c r="S1621" s="33">
        <f>IF(Q1621="","",IF(P1621="À RENSEIGNER","GIC",P1621)&amp;"-"&amp;TEXT(Q1621,"000"))</f>
        <v/>
      </c>
      <c r="T1621" s="33">
        <f>IF(R1621="","",IFERROR(INDEX(Cl_nom,MATCH(R1621,Cl_cle,0)),"(client introuvable)"))</f>
        <v/>
      </c>
      <c r="U1621" s="33">
        <f>IF(R1621="","",IFERROR(INDEX(Cl_quartier,MATCH(R1621,Cl_cle,0))&amp;"",""))</f>
        <v/>
      </c>
      <c r="V1621" s="34">
        <f>IF(C1621="","",YEAR(C1621-WEEKDAY(C1621,2)+4)&amp;"-S"&amp;TEXT(INT((C1621-DATE(YEAR(C1621-WEEKDAY(C1621,2)+4),1,3)+WEEKDAY(DATE(YEAR(C1621-WEEKDAY(C1621,2)+4),1,3),2)+5)/7),"00"))</f>
        <v/>
      </c>
    </row>
    <row r="1622" ht="18" customHeight="1">
      <c r="A1622" s="39" t="n">
        <v>1617</v>
      </c>
      <c r="B1622" s="33">
        <f>IF(C1622="","",IF(P1622="À RENSEIGNER","GIC",P1622)&amp;"-V"&amp;TEXT(A1622,"00000"))</f>
        <v/>
      </c>
      <c r="C1622" s="32" t="n"/>
      <c r="D1622" s="35" t="n"/>
      <c r="E1622" s="36" t="n"/>
      <c r="F1622" s="36" t="n"/>
      <c r="G1622" s="36" t="n"/>
      <c r="H1622" s="36" t="n"/>
      <c r="I1622" s="36" t="n"/>
      <c r="J1622" s="37" t="n"/>
      <c r="K1622" s="32" t="n"/>
      <c r="L1622" s="36" t="n"/>
      <c r="M1622" s="41" t="n"/>
      <c r="N1622" s="41" t="n"/>
      <c r="O1622" s="36" t="n"/>
      <c r="P1622" s="33">
        <f>IF(C1622="","",Commercial_Id)</f>
        <v/>
      </c>
      <c r="Q1622" s="39">
        <f>IF(F1622="","",IFERROR(VALUE(MID(F1622,LEN(F1622)-3,3)),""))</f>
        <v/>
      </c>
      <c r="R1622" s="33">
        <f>IF(Q1622="","",P1622&amp;"|"&amp;Q1622)</f>
        <v/>
      </c>
      <c r="S1622" s="33">
        <f>IF(Q1622="","",IF(P1622="À RENSEIGNER","GIC",P1622)&amp;"-"&amp;TEXT(Q1622,"000"))</f>
        <v/>
      </c>
      <c r="T1622" s="33">
        <f>IF(R1622="","",IFERROR(INDEX(Cl_nom,MATCH(R1622,Cl_cle,0)),"(client introuvable)"))</f>
        <v/>
      </c>
      <c r="U1622" s="33">
        <f>IF(R1622="","",IFERROR(INDEX(Cl_quartier,MATCH(R1622,Cl_cle,0))&amp;"",""))</f>
        <v/>
      </c>
      <c r="V1622" s="34">
        <f>IF(C1622="","",YEAR(C1622-WEEKDAY(C1622,2)+4)&amp;"-S"&amp;TEXT(INT((C1622-DATE(YEAR(C1622-WEEKDAY(C1622,2)+4),1,3)+WEEKDAY(DATE(YEAR(C1622-WEEKDAY(C1622,2)+4),1,3),2)+5)/7),"00"))</f>
        <v/>
      </c>
    </row>
    <row r="1623" ht="18" customHeight="1">
      <c r="A1623" s="39" t="n">
        <v>1618</v>
      </c>
      <c r="B1623" s="33">
        <f>IF(C1623="","",IF(P1623="À RENSEIGNER","GIC",P1623)&amp;"-V"&amp;TEXT(A1623,"00000"))</f>
        <v/>
      </c>
      <c r="C1623" s="32" t="n"/>
      <c r="D1623" s="35" t="n"/>
      <c r="E1623" s="36" t="n"/>
      <c r="F1623" s="36" t="n"/>
      <c r="G1623" s="36" t="n"/>
      <c r="H1623" s="36" t="n"/>
      <c r="I1623" s="36" t="n"/>
      <c r="J1623" s="37" t="n"/>
      <c r="K1623" s="32" t="n"/>
      <c r="L1623" s="36" t="n"/>
      <c r="M1623" s="41" t="n"/>
      <c r="N1623" s="41" t="n"/>
      <c r="O1623" s="36" t="n"/>
      <c r="P1623" s="33">
        <f>IF(C1623="","",Commercial_Id)</f>
        <v/>
      </c>
      <c r="Q1623" s="39">
        <f>IF(F1623="","",IFERROR(VALUE(MID(F1623,LEN(F1623)-3,3)),""))</f>
        <v/>
      </c>
      <c r="R1623" s="33">
        <f>IF(Q1623="","",P1623&amp;"|"&amp;Q1623)</f>
        <v/>
      </c>
      <c r="S1623" s="33">
        <f>IF(Q1623="","",IF(P1623="À RENSEIGNER","GIC",P1623)&amp;"-"&amp;TEXT(Q1623,"000"))</f>
        <v/>
      </c>
      <c r="T1623" s="33">
        <f>IF(R1623="","",IFERROR(INDEX(Cl_nom,MATCH(R1623,Cl_cle,0)),"(client introuvable)"))</f>
        <v/>
      </c>
      <c r="U1623" s="33">
        <f>IF(R1623="","",IFERROR(INDEX(Cl_quartier,MATCH(R1623,Cl_cle,0))&amp;"",""))</f>
        <v/>
      </c>
      <c r="V1623" s="34">
        <f>IF(C1623="","",YEAR(C1623-WEEKDAY(C1623,2)+4)&amp;"-S"&amp;TEXT(INT((C1623-DATE(YEAR(C1623-WEEKDAY(C1623,2)+4),1,3)+WEEKDAY(DATE(YEAR(C1623-WEEKDAY(C1623,2)+4),1,3),2)+5)/7),"00"))</f>
        <v/>
      </c>
    </row>
    <row r="1624" ht="18" customHeight="1">
      <c r="A1624" s="39" t="n">
        <v>1619</v>
      </c>
      <c r="B1624" s="33">
        <f>IF(C1624="","",IF(P1624="À RENSEIGNER","GIC",P1624)&amp;"-V"&amp;TEXT(A1624,"00000"))</f>
        <v/>
      </c>
      <c r="C1624" s="32" t="n"/>
      <c r="D1624" s="35" t="n"/>
      <c r="E1624" s="36" t="n"/>
      <c r="F1624" s="36" t="n"/>
      <c r="G1624" s="36" t="n"/>
      <c r="H1624" s="36" t="n"/>
      <c r="I1624" s="36" t="n"/>
      <c r="J1624" s="37" t="n"/>
      <c r="K1624" s="32" t="n"/>
      <c r="L1624" s="36" t="n"/>
      <c r="M1624" s="41" t="n"/>
      <c r="N1624" s="41" t="n"/>
      <c r="O1624" s="36" t="n"/>
      <c r="P1624" s="33">
        <f>IF(C1624="","",Commercial_Id)</f>
        <v/>
      </c>
      <c r="Q1624" s="39">
        <f>IF(F1624="","",IFERROR(VALUE(MID(F1624,LEN(F1624)-3,3)),""))</f>
        <v/>
      </c>
      <c r="R1624" s="33">
        <f>IF(Q1624="","",P1624&amp;"|"&amp;Q1624)</f>
        <v/>
      </c>
      <c r="S1624" s="33">
        <f>IF(Q1624="","",IF(P1624="À RENSEIGNER","GIC",P1624)&amp;"-"&amp;TEXT(Q1624,"000"))</f>
        <v/>
      </c>
      <c r="T1624" s="33">
        <f>IF(R1624="","",IFERROR(INDEX(Cl_nom,MATCH(R1624,Cl_cle,0)),"(client introuvable)"))</f>
        <v/>
      </c>
      <c r="U1624" s="33">
        <f>IF(R1624="","",IFERROR(INDEX(Cl_quartier,MATCH(R1624,Cl_cle,0))&amp;"",""))</f>
        <v/>
      </c>
      <c r="V1624" s="34">
        <f>IF(C1624="","",YEAR(C1624-WEEKDAY(C1624,2)+4)&amp;"-S"&amp;TEXT(INT((C1624-DATE(YEAR(C1624-WEEKDAY(C1624,2)+4),1,3)+WEEKDAY(DATE(YEAR(C1624-WEEKDAY(C1624,2)+4),1,3),2)+5)/7),"00"))</f>
        <v/>
      </c>
    </row>
    <row r="1625" ht="18" customHeight="1">
      <c r="A1625" s="39" t="n">
        <v>1620</v>
      </c>
      <c r="B1625" s="33">
        <f>IF(C1625="","",IF(P1625="À RENSEIGNER","GIC",P1625)&amp;"-V"&amp;TEXT(A1625,"00000"))</f>
        <v/>
      </c>
      <c r="C1625" s="32" t="n"/>
      <c r="D1625" s="35" t="n"/>
      <c r="E1625" s="36" t="n"/>
      <c r="F1625" s="36" t="n"/>
      <c r="G1625" s="36" t="n"/>
      <c r="H1625" s="36" t="n"/>
      <c r="I1625" s="36" t="n"/>
      <c r="J1625" s="37" t="n"/>
      <c r="K1625" s="32" t="n"/>
      <c r="L1625" s="36" t="n"/>
      <c r="M1625" s="41" t="n"/>
      <c r="N1625" s="41" t="n"/>
      <c r="O1625" s="36" t="n"/>
      <c r="P1625" s="33">
        <f>IF(C1625="","",Commercial_Id)</f>
        <v/>
      </c>
      <c r="Q1625" s="39">
        <f>IF(F1625="","",IFERROR(VALUE(MID(F1625,LEN(F1625)-3,3)),""))</f>
        <v/>
      </c>
      <c r="R1625" s="33">
        <f>IF(Q1625="","",P1625&amp;"|"&amp;Q1625)</f>
        <v/>
      </c>
      <c r="S1625" s="33">
        <f>IF(Q1625="","",IF(P1625="À RENSEIGNER","GIC",P1625)&amp;"-"&amp;TEXT(Q1625,"000"))</f>
        <v/>
      </c>
      <c r="T1625" s="33">
        <f>IF(R1625="","",IFERROR(INDEX(Cl_nom,MATCH(R1625,Cl_cle,0)),"(client introuvable)"))</f>
        <v/>
      </c>
      <c r="U1625" s="33">
        <f>IF(R1625="","",IFERROR(INDEX(Cl_quartier,MATCH(R1625,Cl_cle,0))&amp;"",""))</f>
        <v/>
      </c>
      <c r="V1625" s="34">
        <f>IF(C1625="","",YEAR(C1625-WEEKDAY(C1625,2)+4)&amp;"-S"&amp;TEXT(INT((C1625-DATE(YEAR(C1625-WEEKDAY(C1625,2)+4),1,3)+WEEKDAY(DATE(YEAR(C1625-WEEKDAY(C1625,2)+4),1,3),2)+5)/7),"00"))</f>
        <v/>
      </c>
    </row>
    <row r="1626" ht="18" customHeight="1">
      <c r="A1626" s="39" t="n">
        <v>1621</v>
      </c>
      <c r="B1626" s="33">
        <f>IF(C1626="","",IF(P1626="À RENSEIGNER","GIC",P1626)&amp;"-V"&amp;TEXT(A1626,"00000"))</f>
        <v/>
      </c>
      <c r="C1626" s="32" t="n"/>
      <c r="D1626" s="35" t="n"/>
      <c r="E1626" s="36" t="n"/>
      <c r="F1626" s="36" t="n"/>
      <c r="G1626" s="36" t="n"/>
      <c r="H1626" s="36" t="n"/>
      <c r="I1626" s="36" t="n"/>
      <c r="J1626" s="37" t="n"/>
      <c r="K1626" s="32" t="n"/>
      <c r="L1626" s="36" t="n"/>
      <c r="M1626" s="41" t="n"/>
      <c r="N1626" s="41" t="n"/>
      <c r="O1626" s="36" t="n"/>
      <c r="P1626" s="33">
        <f>IF(C1626="","",Commercial_Id)</f>
        <v/>
      </c>
      <c r="Q1626" s="39">
        <f>IF(F1626="","",IFERROR(VALUE(MID(F1626,LEN(F1626)-3,3)),""))</f>
        <v/>
      </c>
      <c r="R1626" s="33">
        <f>IF(Q1626="","",P1626&amp;"|"&amp;Q1626)</f>
        <v/>
      </c>
      <c r="S1626" s="33">
        <f>IF(Q1626="","",IF(P1626="À RENSEIGNER","GIC",P1626)&amp;"-"&amp;TEXT(Q1626,"000"))</f>
        <v/>
      </c>
      <c r="T1626" s="33">
        <f>IF(R1626="","",IFERROR(INDEX(Cl_nom,MATCH(R1626,Cl_cle,0)),"(client introuvable)"))</f>
        <v/>
      </c>
      <c r="U1626" s="33">
        <f>IF(R1626="","",IFERROR(INDEX(Cl_quartier,MATCH(R1626,Cl_cle,0))&amp;"",""))</f>
        <v/>
      </c>
      <c r="V1626" s="34">
        <f>IF(C1626="","",YEAR(C1626-WEEKDAY(C1626,2)+4)&amp;"-S"&amp;TEXT(INT((C1626-DATE(YEAR(C1626-WEEKDAY(C1626,2)+4),1,3)+WEEKDAY(DATE(YEAR(C1626-WEEKDAY(C1626,2)+4),1,3),2)+5)/7),"00"))</f>
        <v/>
      </c>
    </row>
    <row r="1627" ht="18" customHeight="1">
      <c r="A1627" s="39" t="n">
        <v>1622</v>
      </c>
      <c r="B1627" s="33">
        <f>IF(C1627="","",IF(P1627="À RENSEIGNER","GIC",P1627)&amp;"-V"&amp;TEXT(A1627,"00000"))</f>
        <v/>
      </c>
      <c r="C1627" s="32" t="n"/>
      <c r="D1627" s="35" t="n"/>
      <c r="E1627" s="36" t="n"/>
      <c r="F1627" s="36" t="n"/>
      <c r="G1627" s="36" t="n"/>
      <c r="H1627" s="36" t="n"/>
      <c r="I1627" s="36" t="n"/>
      <c r="J1627" s="37" t="n"/>
      <c r="K1627" s="32" t="n"/>
      <c r="L1627" s="36" t="n"/>
      <c r="M1627" s="41" t="n"/>
      <c r="N1627" s="41" t="n"/>
      <c r="O1627" s="36" t="n"/>
      <c r="P1627" s="33">
        <f>IF(C1627="","",Commercial_Id)</f>
        <v/>
      </c>
      <c r="Q1627" s="39">
        <f>IF(F1627="","",IFERROR(VALUE(MID(F1627,LEN(F1627)-3,3)),""))</f>
        <v/>
      </c>
      <c r="R1627" s="33">
        <f>IF(Q1627="","",P1627&amp;"|"&amp;Q1627)</f>
        <v/>
      </c>
      <c r="S1627" s="33">
        <f>IF(Q1627="","",IF(P1627="À RENSEIGNER","GIC",P1627)&amp;"-"&amp;TEXT(Q1627,"000"))</f>
        <v/>
      </c>
      <c r="T1627" s="33">
        <f>IF(R1627="","",IFERROR(INDEX(Cl_nom,MATCH(R1627,Cl_cle,0)),"(client introuvable)"))</f>
        <v/>
      </c>
      <c r="U1627" s="33">
        <f>IF(R1627="","",IFERROR(INDEX(Cl_quartier,MATCH(R1627,Cl_cle,0))&amp;"",""))</f>
        <v/>
      </c>
      <c r="V1627" s="34">
        <f>IF(C1627="","",YEAR(C1627-WEEKDAY(C1627,2)+4)&amp;"-S"&amp;TEXT(INT((C1627-DATE(YEAR(C1627-WEEKDAY(C1627,2)+4),1,3)+WEEKDAY(DATE(YEAR(C1627-WEEKDAY(C1627,2)+4),1,3),2)+5)/7),"00"))</f>
        <v/>
      </c>
    </row>
    <row r="1628" ht="18" customHeight="1">
      <c r="A1628" s="39" t="n">
        <v>1623</v>
      </c>
      <c r="B1628" s="33">
        <f>IF(C1628="","",IF(P1628="À RENSEIGNER","GIC",P1628)&amp;"-V"&amp;TEXT(A1628,"00000"))</f>
        <v/>
      </c>
      <c r="C1628" s="32" t="n"/>
      <c r="D1628" s="35" t="n"/>
      <c r="E1628" s="36" t="n"/>
      <c r="F1628" s="36" t="n"/>
      <c r="G1628" s="36" t="n"/>
      <c r="H1628" s="36" t="n"/>
      <c r="I1628" s="36" t="n"/>
      <c r="J1628" s="37" t="n"/>
      <c r="K1628" s="32" t="n"/>
      <c r="L1628" s="36" t="n"/>
      <c r="M1628" s="41" t="n"/>
      <c r="N1628" s="41" t="n"/>
      <c r="O1628" s="36" t="n"/>
      <c r="P1628" s="33">
        <f>IF(C1628="","",Commercial_Id)</f>
        <v/>
      </c>
      <c r="Q1628" s="39">
        <f>IF(F1628="","",IFERROR(VALUE(MID(F1628,LEN(F1628)-3,3)),""))</f>
        <v/>
      </c>
      <c r="R1628" s="33">
        <f>IF(Q1628="","",P1628&amp;"|"&amp;Q1628)</f>
        <v/>
      </c>
      <c r="S1628" s="33">
        <f>IF(Q1628="","",IF(P1628="À RENSEIGNER","GIC",P1628)&amp;"-"&amp;TEXT(Q1628,"000"))</f>
        <v/>
      </c>
      <c r="T1628" s="33">
        <f>IF(R1628="","",IFERROR(INDEX(Cl_nom,MATCH(R1628,Cl_cle,0)),"(client introuvable)"))</f>
        <v/>
      </c>
      <c r="U1628" s="33">
        <f>IF(R1628="","",IFERROR(INDEX(Cl_quartier,MATCH(R1628,Cl_cle,0))&amp;"",""))</f>
        <v/>
      </c>
      <c r="V1628" s="34">
        <f>IF(C1628="","",YEAR(C1628-WEEKDAY(C1628,2)+4)&amp;"-S"&amp;TEXT(INT((C1628-DATE(YEAR(C1628-WEEKDAY(C1628,2)+4),1,3)+WEEKDAY(DATE(YEAR(C1628-WEEKDAY(C1628,2)+4),1,3),2)+5)/7),"00"))</f>
        <v/>
      </c>
    </row>
    <row r="1629" ht="18" customHeight="1">
      <c r="A1629" s="39" t="n">
        <v>1624</v>
      </c>
      <c r="B1629" s="33">
        <f>IF(C1629="","",IF(P1629="À RENSEIGNER","GIC",P1629)&amp;"-V"&amp;TEXT(A1629,"00000"))</f>
        <v/>
      </c>
      <c r="C1629" s="32" t="n"/>
      <c r="D1629" s="35" t="n"/>
      <c r="E1629" s="36" t="n"/>
      <c r="F1629" s="36" t="n"/>
      <c r="G1629" s="36" t="n"/>
      <c r="H1629" s="36" t="n"/>
      <c r="I1629" s="36" t="n"/>
      <c r="J1629" s="37" t="n"/>
      <c r="K1629" s="32" t="n"/>
      <c r="L1629" s="36" t="n"/>
      <c r="M1629" s="41" t="n"/>
      <c r="N1629" s="41" t="n"/>
      <c r="O1629" s="36" t="n"/>
      <c r="P1629" s="33">
        <f>IF(C1629="","",Commercial_Id)</f>
        <v/>
      </c>
      <c r="Q1629" s="39">
        <f>IF(F1629="","",IFERROR(VALUE(MID(F1629,LEN(F1629)-3,3)),""))</f>
        <v/>
      </c>
      <c r="R1629" s="33">
        <f>IF(Q1629="","",P1629&amp;"|"&amp;Q1629)</f>
        <v/>
      </c>
      <c r="S1629" s="33">
        <f>IF(Q1629="","",IF(P1629="À RENSEIGNER","GIC",P1629)&amp;"-"&amp;TEXT(Q1629,"000"))</f>
        <v/>
      </c>
      <c r="T1629" s="33">
        <f>IF(R1629="","",IFERROR(INDEX(Cl_nom,MATCH(R1629,Cl_cle,0)),"(client introuvable)"))</f>
        <v/>
      </c>
      <c r="U1629" s="33">
        <f>IF(R1629="","",IFERROR(INDEX(Cl_quartier,MATCH(R1629,Cl_cle,0))&amp;"",""))</f>
        <v/>
      </c>
      <c r="V1629" s="34">
        <f>IF(C1629="","",YEAR(C1629-WEEKDAY(C1629,2)+4)&amp;"-S"&amp;TEXT(INT((C1629-DATE(YEAR(C1629-WEEKDAY(C1629,2)+4),1,3)+WEEKDAY(DATE(YEAR(C1629-WEEKDAY(C1629,2)+4),1,3),2)+5)/7),"00"))</f>
        <v/>
      </c>
    </row>
    <row r="1630" ht="18" customHeight="1">
      <c r="A1630" s="39" t="n">
        <v>1625</v>
      </c>
      <c r="B1630" s="33">
        <f>IF(C1630="","",IF(P1630="À RENSEIGNER","GIC",P1630)&amp;"-V"&amp;TEXT(A1630,"00000"))</f>
        <v/>
      </c>
      <c r="C1630" s="32" t="n"/>
      <c r="D1630" s="35" t="n"/>
      <c r="E1630" s="36" t="n"/>
      <c r="F1630" s="36" t="n"/>
      <c r="G1630" s="36" t="n"/>
      <c r="H1630" s="36" t="n"/>
      <c r="I1630" s="36" t="n"/>
      <c r="J1630" s="37" t="n"/>
      <c r="K1630" s="32" t="n"/>
      <c r="L1630" s="36" t="n"/>
      <c r="M1630" s="41" t="n"/>
      <c r="N1630" s="41" t="n"/>
      <c r="O1630" s="36" t="n"/>
      <c r="P1630" s="33">
        <f>IF(C1630="","",Commercial_Id)</f>
        <v/>
      </c>
      <c r="Q1630" s="39">
        <f>IF(F1630="","",IFERROR(VALUE(MID(F1630,LEN(F1630)-3,3)),""))</f>
        <v/>
      </c>
      <c r="R1630" s="33">
        <f>IF(Q1630="","",P1630&amp;"|"&amp;Q1630)</f>
        <v/>
      </c>
      <c r="S1630" s="33">
        <f>IF(Q1630="","",IF(P1630="À RENSEIGNER","GIC",P1630)&amp;"-"&amp;TEXT(Q1630,"000"))</f>
        <v/>
      </c>
      <c r="T1630" s="33">
        <f>IF(R1630="","",IFERROR(INDEX(Cl_nom,MATCH(R1630,Cl_cle,0)),"(client introuvable)"))</f>
        <v/>
      </c>
      <c r="U1630" s="33">
        <f>IF(R1630="","",IFERROR(INDEX(Cl_quartier,MATCH(R1630,Cl_cle,0))&amp;"",""))</f>
        <v/>
      </c>
      <c r="V1630" s="34">
        <f>IF(C1630="","",YEAR(C1630-WEEKDAY(C1630,2)+4)&amp;"-S"&amp;TEXT(INT((C1630-DATE(YEAR(C1630-WEEKDAY(C1630,2)+4),1,3)+WEEKDAY(DATE(YEAR(C1630-WEEKDAY(C1630,2)+4),1,3),2)+5)/7),"00"))</f>
        <v/>
      </c>
    </row>
    <row r="1631" ht="18" customHeight="1">
      <c r="A1631" s="39" t="n">
        <v>1626</v>
      </c>
      <c r="B1631" s="33">
        <f>IF(C1631="","",IF(P1631="À RENSEIGNER","GIC",P1631)&amp;"-V"&amp;TEXT(A1631,"00000"))</f>
        <v/>
      </c>
      <c r="C1631" s="32" t="n"/>
      <c r="D1631" s="35" t="n"/>
      <c r="E1631" s="36" t="n"/>
      <c r="F1631" s="36" t="n"/>
      <c r="G1631" s="36" t="n"/>
      <c r="H1631" s="36" t="n"/>
      <c r="I1631" s="36" t="n"/>
      <c r="J1631" s="37" t="n"/>
      <c r="K1631" s="32" t="n"/>
      <c r="L1631" s="36" t="n"/>
      <c r="M1631" s="41" t="n"/>
      <c r="N1631" s="41" t="n"/>
      <c r="O1631" s="36" t="n"/>
      <c r="P1631" s="33">
        <f>IF(C1631="","",Commercial_Id)</f>
        <v/>
      </c>
      <c r="Q1631" s="39">
        <f>IF(F1631="","",IFERROR(VALUE(MID(F1631,LEN(F1631)-3,3)),""))</f>
        <v/>
      </c>
      <c r="R1631" s="33">
        <f>IF(Q1631="","",P1631&amp;"|"&amp;Q1631)</f>
        <v/>
      </c>
      <c r="S1631" s="33">
        <f>IF(Q1631="","",IF(P1631="À RENSEIGNER","GIC",P1631)&amp;"-"&amp;TEXT(Q1631,"000"))</f>
        <v/>
      </c>
      <c r="T1631" s="33">
        <f>IF(R1631="","",IFERROR(INDEX(Cl_nom,MATCH(R1631,Cl_cle,0)),"(client introuvable)"))</f>
        <v/>
      </c>
      <c r="U1631" s="33">
        <f>IF(R1631="","",IFERROR(INDEX(Cl_quartier,MATCH(R1631,Cl_cle,0))&amp;"",""))</f>
        <v/>
      </c>
      <c r="V1631" s="34">
        <f>IF(C1631="","",YEAR(C1631-WEEKDAY(C1631,2)+4)&amp;"-S"&amp;TEXT(INT((C1631-DATE(YEAR(C1631-WEEKDAY(C1631,2)+4),1,3)+WEEKDAY(DATE(YEAR(C1631-WEEKDAY(C1631,2)+4),1,3),2)+5)/7),"00"))</f>
        <v/>
      </c>
    </row>
    <row r="1632" ht="18" customHeight="1">
      <c r="A1632" s="39" t="n">
        <v>1627</v>
      </c>
      <c r="B1632" s="33">
        <f>IF(C1632="","",IF(P1632="À RENSEIGNER","GIC",P1632)&amp;"-V"&amp;TEXT(A1632,"00000"))</f>
        <v/>
      </c>
      <c r="C1632" s="32" t="n"/>
      <c r="D1632" s="35" t="n"/>
      <c r="E1632" s="36" t="n"/>
      <c r="F1632" s="36" t="n"/>
      <c r="G1632" s="36" t="n"/>
      <c r="H1632" s="36" t="n"/>
      <c r="I1632" s="36" t="n"/>
      <c r="J1632" s="37" t="n"/>
      <c r="K1632" s="32" t="n"/>
      <c r="L1632" s="36" t="n"/>
      <c r="M1632" s="41" t="n"/>
      <c r="N1632" s="41" t="n"/>
      <c r="O1632" s="36" t="n"/>
      <c r="P1632" s="33">
        <f>IF(C1632="","",Commercial_Id)</f>
        <v/>
      </c>
      <c r="Q1632" s="39">
        <f>IF(F1632="","",IFERROR(VALUE(MID(F1632,LEN(F1632)-3,3)),""))</f>
        <v/>
      </c>
      <c r="R1632" s="33">
        <f>IF(Q1632="","",P1632&amp;"|"&amp;Q1632)</f>
        <v/>
      </c>
      <c r="S1632" s="33">
        <f>IF(Q1632="","",IF(P1632="À RENSEIGNER","GIC",P1632)&amp;"-"&amp;TEXT(Q1632,"000"))</f>
        <v/>
      </c>
      <c r="T1632" s="33">
        <f>IF(R1632="","",IFERROR(INDEX(Cl_nom,MATCH(R1632,Cl_cle,0)),"(client introuvable)"))</f>
        <v/>
      </c>
      <c r="U1632" s="33">
        <f>IF(R1632="","",IFERROR(INDEX(Cl_quartier,MATCH(R1632,Cl_cle,0))&amp;"",""))</f>
        <v/>
      </c>
      <c r="V1632" s="34">
        <f>IF(C1632="","",YEAR(C1632-WEEKDAY(C1632,2)+4)&amp;"-S"&amp;TEXT(INT((C1632-DATE(YEAR(C1632-WEEKDAY(C1632,2)+4),1,3)+WEEKDAY(DATE(YEAR(C1632-WEEKDAY(C1632,2)+4),1,3),2)+5)/7),"00"))</f>
        <v/>
      </c>
    </row>
    <row r="1633" ht="18" customHeight="1">
      <c r="A1633" s="39" t="n">
        <v>1628</v>
      </c>
      <c r="B1633" s="33">
        <f>IF(C1633="","",IF(P1633="À RENSEIGNER","GIC",P1633)&amp;"-V"&amp;TEXT(A1633,"00000"))</f>
        <v/>
      </c>
      <c r="C1633" s="32" t="n"/>
      <c r="D1633" s="35" t="n"/>
      <c r="E1633" s="36" t="n"/>
      <c r="F1633" s="36" t="n"/>
      <c r="G1633" s="36" t="n"/>
      <c r="H1633" s="36" t="n"/>
      <c r="I1633" s="36" t="n"/>
      <c r="J1633" s="37" t="n"/>
      <c r="K1633" s="32" t="n"/>
      <c r="L1633" s="36" t="n"/>
      <c r="M1633" s="41" t="n"/>
      <c r="N1633" s="41" t="n"/>
      <c r="O1633" s="36" t="n"/>
      <c r="P1633" s="33">
        <f>IF(C1633="","",Commercial_Id)</f>
        <v/>
      </c>
      <c r="Q1633" s="39">
        <f>IF(F1633="","",IFERROR(VALUE(MID(F1633,LEN(F1633)-3,3)),""))</f>
        <v/>
      </c>
      <c r="R1633" s="33">
        <f>IF(Q1633="","",P1633&amp;"|"&amp;Q1633)</f>
        <v/>
      </c>
      <c r="S1633" s="33">
        <f>IF(Q1633="","",IF(P1633="À RENSEIGNER","GIC",P1633)&amp;"-"&amp;TEXT(Q1633,"000"))</f>
        <v/>
      </c>
      <c r="T1633" s="33">
        <f>IF(R1633="","",IFERROR(INDEX(Cl_nom,MATCH(R1633,Cl_cle,0)),"(client introuvable)"))</f>
        <v/>
      </c>
      <c r="U1633" s="33">
        <f>IF(R1633="","",IFERROR(INDEX(Cl_quartier,MATCH(R1633,Cl_cle,0))&amp;"",""))</f>
        <v/>
      </c>
      <c r="V1633" s="34">
        <f>IF(C1633="","",YEAR(C1633-WEEKDAY(C1633,2)+4)&amp;"-S"&amp;TEXT(INT((C1633-DATE(YEAR(C1633-WEEKDAY(C1633,2)+4),1,3)+WEEKDAY(DATE(YEAR(C1633-WEEKDAY(C1633,2)+4),1,3),2)+5)/7),"00"))</f>
        <v/>
      </c>
    </row>
    <row r="1634" ht="18" customHeight="1">
      <c r="A1634" s="39" t="n">
        <v>1629</v>
      </c>
      <c r="B1634" s="33">
        <f>IF(C1634="","",IF(P1634="À RENSEIGNER","GIC",P1634)&amp;"-V"&amp;TEXT(A1634,"00000"))</f>
        <v/>
      </c>
      <c r="C1634" s="32" t="n"/>
      <c r="D1634" s="35" t="n"/>
      <c r="E1634" s="36" t="n"/>
      <c r="F1634" s="36" t="n"/>
      <c r="G1634" s="36" t="n"/>
      <c r="H1634" s="36" t="n"/>
      <c r="I1634" s="36" t="n"/>
      <c r="J1634" s="37" t="n"/>
      <c r="K1634" s="32" t="n"/>
      <c r="L1634" s="36" t="n"/>
      <c r="M1634" s="41" t="n"/>
      <c r="N1634" s="41" t="n"/>
      <c r="O1634" s="36" t="n"/>
      <c r="P1634" s="33">
        <f>IF(C1634="","",Commercial_Id)</f>
        <v/>
      </c>
      <c r="Q1634" s="39">
        <f>IF(F1634="","",IFERROR(VALUE(MID(F1634,LEN(F1634)-3,3)),""))</f>
        <v/>
      </c>
      <c r="R1634" s="33">
        <f>IF(Q1634="","",P1634&amp;"|"&amp;Q1634)</f>
        <v/>
      </c>
      <c r="S1634" s="33">
        <f>IF(Q1634="","",IF(P1634="À RENSEIGNER","GIC",P1634)&amp;"-"&amp;TEXT(Q1634,"000"))</f>
        <v/>
      </c>
      <c r="T1634" s="33">
        <f>IF(R1634="","",IFERROR(INDEX(Cl_nom,MATCH(R1634,Cl_cle,0)),"(client introuvable)"))</f>
        <v/>
      </c>
      <c r="U1634" s="33">
        <f>IF(R1634="","",IFERROR(INDEX(Cl_quartier,MATCH(R1634,Cl_cle,0))&amp;"",""))</f>
        <v/>
      </c>
      <c r="V1634" s="34">
        <f>IF(C1634="","",YEAR(C1634-WEEKDAY(C1634,2)+4)&amp;"-S"&amp;TEXT(INT((C1634-DATE(YEAR(C1634-WEEKDAY(C1634,2)+4),1,3)+WEEKDAY(DATE(YEAR(C1634-WEEKDAY(C1634,2)+4),1,3),2)+5)/7),"00"))</f>
        <v/>
      </c>
    </row>
    <row r="1635" ht="18" customHeight="1">
      <c r="A1635" s="39" t="n">
        <v>1630</v>
      </c>
      <c r="B1635" s="33">
        <f>IF(C1635="","",IF(P1635="À RENSEIGNER","GIC",P1635)&amp;"-V"&amp;TEXT(A1635,"00000"))</f>
        <v/>
      </c>
      <c r="C1635" s="32" t="n"/>
      <c r="D1635" s="35" t="n"/>
      <c r="E1635" s="36" t="n"/>
      <c r="F1635" s="36" t="n"/>
      <c r="G1635" s="36" t="n"/>
      <c r="H1635" s="36" t="n"/>
      <c r="I1635" s="36" t="n"/>
      <c r="J1635" s="37" t="n"/>
      <c r="K1635" s="32" t="n"/>
      <c r="L1635" s="36" t="n"/>
      <c r="M1635" s="41" t="n"/>
      <c r="N1635" s="41" t="n"/>
      <c r="O1635" s="36" t="n"/>
      <c r="P1635" s="33">
        <f>IF(C1635="","",Commercial_Id)</f>
        <v/>
      </c>
      <c r="Q1635" s="39">
        <f>IF(F1635="","",IFERROR(VALUE(MID(F1635,LEN(F1635)-3,3)),""))</f>
        <v/>
      </c>
      <c r="R1635" s="33">
        <f>IF(Q1635="","",P1635&amp;"|"&amp;Q1635)</f>
        <v/>
      </c>
      <c r="S1635" s="33">
        <f>IF(Q1635="","",IF(P1635="À RENSEIGNER","GIC",P1635)&amp;"-"&amp;TEXT(Q1635,"000"))</f>
        <v/>
      </c>
      <c r="T1635" s="33">
        <f>IF(R1635="","",IFERROR(INDEX(Cl_nom,MATCH(R1635,Cl_cle,0)),"(client introuvable)"))</f>
        <v/>
      </c>
      <c r="U1635" s="33">
        <f>IF(R1635="","",IFERROR(INDEX(Cl_quartier,MATCH(R1635,Cl_cle,0))&amp;"",""))</f>
        <v/>
      </c>
      <c r="V1635" s="34">
        <f>IF(C1635="","",YEAR(C1635-WEEKDAY(C1635,2)+4)&amp;"-S"&amp;TEXT(INT((C1635-DATE(YEAR(C1635-WEEKDAY(C1635,2)+4),1,3)+WEEKDAY(DATE(YEAR(C1635-WEEKDAY(C1635,2)+4),1,3),2)+5)/7),"00"))</f>
        <v/>
      </c>
    </row>
    <row r="1636" ht="18" customHeight="1">
      <c r="A1636" s="39" t="n">
        <v>1631</v>
      </c>
      <c r="B1636" s="33">
        <f>IF(C1636="","",IF(P1636="À RENSEIGNER","GIC",P1636)&amp;"-V"&amp;TEXT(A1636,"00000"))</f>
        <v/>
      </c>
      <c r="C1636" s="32" t="n"/>
      <c r="D1636" s="35" t="n"/>
      <c r="E1636" s="36" t="n"/>
      <c r="F1636" s="36" t="n"/>
      <c r="G1636" s="36" t="n"/>
      <c r="H1636" s="36" t="n"/>
      <c r="I1636" s="36" t="n"/>
      <c r="J1636" s="37" t="n"/>
      <c r="K1636" s="32" t="n"/>
      <c r="L1636" s="36" t="n"/>
      <c r="M1636" s="41" t="n"/>
      <c r="N1636" s="41" t="n"/>
      <c r="O1636" s="36" t="n"/>
      <c r="P1636" s="33">
        <f>IF(C1636="","",Commercial_Id)</f>
        <v/>
      </c>
      <c r="Q1636" s="39">
        <f>IF(F1636="","",IFERROR(VALUE(MID(F1636,LEN(F1636)-3,3)),""))</f>
        <v/>
      </c>
      <c r="R1636" s="33">
        <f>IF(Q1636="","",P1636&amp;"|"&amp;Q1636)</f>
        <v/>
      </c>
      <c r="S1636" s="33">
        <f>IF(Q1636="","",IF(P1636="À RENSEIGNER","GIC",P1636)&amp;"-"&amp;TEXT(Q1636,"000"))</f>
        <v/>
      </c>
      <c r="T1636" s="33">
        <f>IF(R1636="","",IFERROR(INDEX(Cl_nom,MATCH(R1636,Cl_cle,0)),"(client introuvable)"))</f>
        <v/>
      </c>
      <c r="U1636" s="33">
        <f>IF(R1636="","",IFERROR(INDEX(Cl_quartier,MATCH(R1636,Cl_cle,0))&amp;"",""))</f>
        <v/>
      </c>
      <c r="V1636" s="34">
        <f>IF(C1636="","",YEAR(C1636-WEEKDAY(C1636,2)+4)&amp;"-S"&amp;TEXT(INT((C1636-DATE(YEAR(C1636-WEEKDAY(C1636,2)+4),1,3)+WEEKDAY(DATE(YEAR(C1636-WEEKDAY(C1636,2)+4),1,3),2)+5)/7),"00"))</f>
        <v/>
      </c>
    </row>
    <row r="1637" ht="18" customHeight="1">
      <c r="A1637" s="39" t="n">
        <v>1632</v>
      </c>
      <c r="B1637" s="33">
        <f>IF(C1637="","",IF(P1637="À RENSEIGNER","GIC",P1637)&amp;"-V"&amp;TEXT(A1637,"00000"))</f>
        <v/>
      </c>
      <c r="C1637" s="32" t="n"/>
      <c r="D1637" s="35" t="n"/>
      <c r="E1637" s="36" t="n"/>
      <c r="F1637" s="36" t="n"/>
      <c r="G1637" s="36" t="n"/>
      <c r="H1637" s="36" t="n"/>
      <c r="I1637" s="36" t="n"/>
      <c r="J1637" s="37" t="n"/>
      <c r="K1637" s="32" t="n"/>
      <c r="L1637" s="36" t="n"/>
      <c r="M1637" s="41" t="n"/>
      <c r="N1637" s="41" t="n"/>
      <c r="O1637" s="36" t="n"/>
      <c r="P1637" s="33">
        <f>IF(C1637="","",Commercial_Id)</f>
        <v/>
      </c>
      <c r="Q1637" s="39">
        <f>IF(F1637="","",IFERROR(VALUE(MID(F1637,LEN(F1637)-3,3)),""))</f>
        <v/>
      </c>
      <c r="R1637" s="33">
        <f>IF(Q1637="","",P1637&amp;"|"&amp;Q1637)</f>
        <v/>
      </c>
      <c r="S1637" s="33">
        <f>IF(Q1637="","",IF(P1637="À RENSEIGNER","GIC",P1637)&amp;"-"&amp;TEXT(Q1637,"000"))</f>
        <v/>
      </c>
      <c r="T1637" s="33">
        <f>IF(R1637="","",IFERROR(INDEX(Cl_nom,MATCH(R1637,Cl_cle,0)),"(client introuvable)"))</f>
        <v/>
      </c>
      <c r="U1637" s="33">
        <f>IF(R1637="","",IFERROR(INDEX(Cl_quartier,MATCH(R1637,Cl_cle,0))&amp;"",""))</f>
        <v/>
      </c>
      <c r="V1637" s="34">
        <f>IF(C1637="","",YEAR(C1637-WEEKDAY(C1637,2)+4)&amp;"-S"&amp;TEXT(INT((C1637-DATE(YEAR(C1637-WEEKDAY(C1637,2)+4),1,3)+WEEKDAY(DATE(YEAR(C1637-WEEKDAY(C1637,2)+4),1,3),2)+5)/7),"00"))</f>
        <v/>
      </c>
    </row>
    <row r="1638" ht="18" customHeight="1">
      <c r="A1638" s="39" t="n">
        <v>1633</v>
      </c>
      <c r="B1638" s="33">
        <f>IF(C1638="","",IF(P1638="À RENSEIGNER","GIC",P1638)&amp;"-V"&amp;TEXT(A1638,"00000"))</f>
        <v/>
      </c>
      <c r="C1638" s="32" t="n"/>
      <c r="D1638" s="35" t="n"/>
      <c r="E1638" s="36" t="n"/>
      <c r="F1638" s="36" t="n"/>
      <c r="G1638" s="36" t="n"/>
      <c r="H1638" s="36" t="n"/>
      <c r="I1638" s="36" t="n"/>
      <c r="J1638" s="37" t="n"/>
      <c r="K1638" s="32" t="n"/>
      <c r="L1638" s="36" t="n"/>
      <c r="M1638" s="41" t="n"/>
      <c r="N1638" s="41" t="n"/>
      <c r="O1638" s="36" t="n"/>
      <c r="P1638" s="33">
        <f>IF(C1638="","",Commercial_Id)</f>
        <v/>
      </c>
      <c r="Q1638" s="39">
        <f>IF(F1638="","",IFERROR(VALUE(MID(F1638,LEN(F1638)-3,3)),""))</f>
        <v/>
      </c>
      <c r="R1638" s="33">
        <f>IF(Q1638="","",P1638&amp;"|"&amp;Q1638)</f>
        <v/>
      </c>
      <c r="S1638" s="33">
        <f>IF(Q1638="","",IF(P1638="À RENSEIGNER","GIC",P1638)&amp;"-"&amp;TEXT(Q1638,"000"))</f>
        <v/>
      </c>
      <c r="T1638" s="33">
        <f>IF(R1638="","",IFERROR(INDEX(Cl_nom,MATCH(R1638,Cl_cle,0)),"(client introuvable)"))</f>
        <v/>
      </c>
      <c r="U1638" s="33">
        <f>IF(R1638="","",IFERROR(INDEX(Cl_quartier,MATCH(R1638,Cl_cle,0))&amp;"",""))</f>
        <v/>
      </c>
      <c r="V1638" s="34">
        <f>IF(C1638="","",YEAR(C1638-WEEKDAY(C1638,2)+4)&amp;"-S"&amp;TEXT(INT((C1638-DATE(YEAR(C1638-WEEKDAY(C1638,2)+4),1,3)+WEEKDAY(DATE(YEAR(C1638-WEEKDAY(C1638,2)+4),1,3),2)+5)/7),"00"))</f>
        <v/>
      </c>
    </row>
    <row r="1639" ht="18" customHeight="1">
      <c r="A1639" s="39" t="n">
        <v>1634</v>
      </c>
      <c r="B1639" s="33">
        <f>IF(C1639="","",IF(P1639="À RENSEIGNER","GIC",P1639)&amp;"-V"&amp;TEXT(A1639,"00000"))</f>
        <v/>
      </c>
      <c r="C1639" s="32" t="n"/>
      <c r="D1639" s="35" t="n"/>
      <c r="E1639" s="36" t="n"/>
      <c r="F1639" s="36" t="n"/>
      <c r="G1639" s="36" t="n"/>
      <c r="H1639" s="36" t="n"/>
      <c r="I1639" s="36" t="n"/>
      <c r="J1639" s="37" t="n"/>
      <c r="K1639" s="32" t="n"/>
      <c r="L1639" s="36" t="n"/>
      <c r="M1639" s="41" t="n"/>
      <c r="N1639" s="41" t="n"/>
      <c r="O1639" s="36" t="n"/>
      <c r="P1639" s="33">
        <f>IF(C1639="","",Commercial_Id)</f>
        <v/>
      </c>
      <c r="Q1639" s="39">
        <f>IF(F1639="","",IFERROR(VALUE(MID(F1639,LEN(F1639)-3,3)),""))</f>
        <v/>
      </c>
      <c r="R1639" s="33">
        <f>IF(Q1639="","",P1639&amp;"|"&amp;Q1639)</f>
        <v/>
      </c>
      <c r="S1639" s="33">
        <f>IF(Q1639="","",IF(P1639="À RENSEIGNER","GIC",P1639)&amp;"-"&amp;TEXT(Q1639,"000"))</f>
        <v/>
      </c>
      <c r="T1639" s="33">
        <f>IF(R1639="","",IFERROR(INDEX(Cl_nom,MATCH(R1639,Cl_cle,0)),"(client introuvable)"))</f>
        <v/>
      </c>
      <c r="U1639" s="33">
        <f>IF(R1639="","",IFERROR(INDEX(Cl_quartier,MATCH(R1639,Cl_cle,0))&amp;"",""))</f>
        <v/>
      </c>
      <c r="V1639" s="34">
        <f>IF(C1639="","",YEAR(C1639-WEEKDAY(C1639,2)+4)&amp;"-S"&amp;TEXT(INT((C1639-DATE(YEAR(C1639-WEEKDAY(C1639,2)+4),1,3)+WEEKDAY(DATE(YEAR(C1639-WEEKDAY(C1639,2)+4),1,3),2)+5)/7),"00"))</f>
        <v/>
      </c>
    </row>
    <row r="1640" ht="18" customHeight="1">
      <c r="A1640" s="39" t="n">
        <v>1635</v>
      </c>
      <c r="B1640" s="33">
        <f>IF(C1640="","",IF(P1640="À RENSEIGNER","GIC",P1640)&amp;"-V"&amp;TEXT(A1640,"00000"))</f>
        <v/>
      </c>
      <c r="C1640" s="32" t="n"/>
      <c r="D1640" s="35" t="n"/>
      <c r="E1640" s="36" t="n"/>
      <c r="F1640" s="36" t="n"/>
      <c r="G1640" s="36" t="n"/>
      <c r="H1640" s="36" t="n"/>
      <c r="I1640" s="36" t="n"/>
      <c r="J1640" s="37" t="n"/>
      <c r="K1640" s="32" t="n"/>
      <c r="L1640" s="36" t="n"/>
      <c r="M1640" s="41" t="n"/>
      <c r="N1640" s="41" t="n"/>
      <c r="O1640" s="36" t="n"/>
      <c r="P1640" s="33">
        <f>IF(C1640="","",Commercial_Id)</f>
        <v/>
      </c>
      <c r="Q1640" s="39">
        <f>IF(F1640="","",IFERROR(VALUE(MID(F1640,LEN(F1640)-3,3)),""))</f>
        <v/>
      </c>
      <c r="R1640" s="33">
        <f>IF(Q1640="","",P1640&amp;"|"&amp;Q1640)</f>
        <v/>
      </c>
      <c r="S1640" s="33">
        <f>IF(Q1640="","",IF(P1640="À RENSEIGNER","GIC",P1640)&amp;"-"&amp;TEXT(Q1640,"000"))</f>
        <v/>
      </c>
      <c r="T1640" s="33">
        <f>IF(R1640="","",IFERROR(INDEX(Cl_nom,MATCH(R1640,Cl_cle,0)),"(client introuvable)"))</f>
        <v/>
      </c>
      <c r="U1640" s="33">
        <f>IF(R1640="","",IFERROR(INDEX(Cl_quartier,MATCH(R1640,Cl_cle,0))&amp;"",""))</f>
        <v/>
      </c>
      <c r="V1640" s="34">
        <f>IF(C1640="","",YEAR(C1640-WEEKDAY(C1640,2)+4)&amp;"-S"&amp;TEXT(INT((C1640-DATE(YEAR(C1640-WEEKDAY(C1640,2)+4),1,3)+WEEKDAY(DATE(YEAR(C1640-WEEKDAY(C1640,2)+4),1,3),2)+5)/7),"00"))</f>
        <v/>
      </c>
    </row>
    <row r="1641" ht="18" customHeight="1">
      <c r="A1641" s="39" t="n">
        <v>1636</v>
      </c>
      <c r="B1641" s="33">
        <f>IF(C1641="","",IF(P1641="À RENSEIGNER","GIC",P1641)&amp;"-V"&amp;TEXT(A1641,"00000"))</f>
        <v/>
      </c>
      <c r="C1641" s="32" t="n"/>
      <c r="D1641" s="35" t="n"/>
      <c r="E1641" s="36" t="n"/>
      <c r="F1641" s="36" t="n"/>
      <c r="G1641" s="36" t="n"/>
      <c r="H1641" s="36" t="n"/>
      <c r="I1641" s="36" t="n"/>
      <c r="J1641" s="37" t="n"/>
      <c r="K1641" s="32" t="n"/>
      <c r="L1641" s="36" t="n"/>
      <c r="M1641" s="41" t="n"/>
      <c r="N1641" s="41" t="n"/>
      <c r="O1641" s="36" t="n"/>
      <c r="P1641" s="33">
        <f>IF(C1641="","",Commercial_Id)</f>
        <v/>
      </c>
      <c r="Q1641" s="39">
        <f>IF(F1641="","",IFERROR(VALUE(MID(F1641,LEN(F1641)-3,3)),""))</f>
        <v/>
      </c>
      <c r="R1641" s="33">
        <f>IF(Q1641="","",P1641&amp;"|"&amp;Q1641)</f>
        <v/>
      </c>
      <c r="S1641" s="33">
        <f>IF(Q1641="","",IF(P1641="À RENSEIGNER","GIC",P1641)&amp;"-"&amp;TEXT(Q1641,"000"))</f>
        <v/>
      </c>
      <c r="T1641" s="33">
        <f>IF(R1641="","",IFERROR(INDEX(Cl_nom,MATCH(R1641,Cl_cle,0)),"(client introuvable)"))</f>
        <v/>
      </c>
      <c r="U1641" s="33">
        <f>IF(R1641="","",IFERROR(INDEX(Cl_quartier,MATCH(R1641,Cl_cle,0))&amp;"",""))</f>
        <v/>
      </c>
      <c r="V1641" s="34">
        <f>IF(C1641="","",YEAR(C1641-WEEKDAY(C1641,2)+4)&amp;"-S"&amp;TEXT(INT((C1641-DATE(YEAR(C1641-WEEKDAY(C1641,2)+4),1,3)+WEEKDAY(DATE(YEAR(C1641-WEEKDAY(C1641,2)+4),1,3),2)+5)/7),"00"))</f>
        <v/>
      </c>
    </row>
    <row r="1642" ht="18" customHeight="1">
      <c r="A1642" s="39" t="n">
        <v>1637</v>
      </c>
      <c r="B1642" s="33">
        <f>IF(C1642="","",IF(P1642="À RENSEIGNER","GIC",P1642)&amp;"-V"&amp;TEXT(A1642,"00000"))</f>
        <v/>
      </c>
      <c r="C1642" s="32" t="n"/>
      <c r="D1642" s="35" t="n"/>
      <c r="E1642" s="36" t="n"/>
      <c r="F1642" s="36" t="n"/>
      <c r="G1642" s="36" t="n"/>
      <c r="H1642" s="36" t="n"/>
      <c r="I1642" s="36" t="n"/>
      <c r="J1642" s="37" t="n"/>
      <c r="K1642" s="32" t="n"/>
      <c r="L1642" s="36" t="n"/>
      <c r="M1642" s="41" t="n"/>
      <c r="N1642" s="41" t="n"/>
      <c r="O1642" s="36" t="n"/>
      <c r="P1642" s="33">
        <f>IF(C1642="","",Commercial_Id)</f>
        <v/>
      </c>
      <c r="Q1642" s="39">
        <f>IF(F1642="","",IFERROR(VALUE(MID(F1642,LEN(F1642)-3,3)),""))</f>
        <v/>
      </c>
      <c r="R1642" s="33">
        <f>IF(Q1642="","",P1642&amp;"|"&amp;Q1642)</f>
        <v/>
      </c>
      <c r="S1642" s="33">
        <f>IF(Q1642="","",IF(P1642="À RENSEIGNER","GIC",P1642)&amp;"-"&amp;TEXT(Q1642,"000"))</f>
        <v/>
      </c>
      <c r="T1642" s="33">
        <f>IF(R1642="","",IFERROR(INDEX(Cl_nom,MATCH(R1642,Cl_cle,0)),"(client introuvable)"))</f>
        <v/>
      </c>
      <c r="U1642" s="33">
        <f>IF(R1642="","",IFERROR(INDEX(Cl_quartier,MATCH(R1642,Cl_cle,0))&amp;"",""))</f>
        <v/>
      </c>
      <c r="V1642" s="34">
        <f>IF(C1642="","",YEAR(C1642-WEEKDAY(C1642,2)+4)&amp;"-S"&amp;TEXT(INT((C1642-DATE(YEAR(C1642-WEEKDAY(C1642,2)+4),1,3)+WEEKDAY(DATE(YEAR(C1642-WEEKDAY(C1642,2)+4),1,3),2)+5)/7),"00"))</f>
        <v/>
      </c>
    </row>
    <row r="1643" ht="18" customHeight="1">
      <c r="A1643" s="39" t="n">
        <v>1638</v>
      </c>
      <c r="B1643" s="33">
        <f>IF(C1643="","",IF(P1643="À RENSEIGNER","GIC",P1643)&amp;"-V"&amp;TEXT(A1643,"00000"))</f>
        <v/>
      </c>
      <c r="C1643" s="32" t="n"/>
      <c r="D1643" s="35" t="n"/>
      <c r="E1643" s="36" t="n"/>
      <c r="F1643" s="36" t="n"/>
      <c r="G1643" s="36" t="n"/>
      <c r="H1643" s="36" t="n"/>
      <c r="I1643" s="36" t="n"/>
      <c r="J1643" s="37" t="n"/>
      <c r="K1643" s="32" t="n"/>
      <c r="L1643" s="36" t="n"/>
      <c r="M1643" s="41" t="n"/>
      <c r="N1643" s="41" t="n"/>
      <c r="O1643" s="36" t="n"/>
      <c r="P1643" s="33">
        <f>IF(C1643="","",Commercial_Id)</f>
        <v/>
      </c>
      <c r="Q1643" s="39">
        <f>IF(F1643="","",IFERROR(VALUE(MID(F1643,LEN(F1643)-3,3)),""))</f>
        <v/>
      </c>
      <c r="R1643" s="33">
        <f>IF(Q1643="","",P1643&amp;"|"&amp;Q1643)</f>
        <v/>
      </c>
      <c r="S1643" s="33">
        <f>IF(Q1643="","",IF(P1643="À RENSEIGNER","GIC",P1643)&amp;"-"&amp;TEXT(Q1643,"000"))</f>
        <v/>
      </c>
      <c r="T1643" s="33">
        <f>IF(R1643="","",IFERROR(INDEX(Cl_nom,MATCH(R1643,Cl_cle,0)),"(client introuvable)"))</f>
        <v/>
      </c>
      <c r="U1643" s="33">
        <f>IF(R1643="","",IFERROR(INDEX(Cl_quartier,MATCH(R1643,Cl_cle,0))&amp;"",""))</f>
        <v/>
      </c>
      <c r="V1643" s="34">
        <f>IF(C1643="","",YEAR(C1643-WEEKDAY(C1643,2)+4)&amp;"-S"&amp;TEXT(INT((C1643-DATE(YEAR(C1643-WEEKDAY(C1643,2)+4),1,3)+WEEKDAY(DATE(YEAR(C1643-WEEKDAY(C1643,2)+4),1,3),2)+5)/7),"00"))</f>
        <v/>
      </c>
    </row>
    <row r="1644" ht="18" customHeight="1">
      <c r="A1644" s="39" t="n">
        <v>1639</v>
      </c>
      <c r="B1644" s="33">
        <f>IF(C1644="","",IF(P1644="À RENSEIGNER","GIC",P1644)&amp;"-V"&amp;TEXT(A1644,"00000"))</f>
        <v/>
      </c>
      <c r="C1644" s="32" t="n"/>
      <c r="D1644" s="35" t="n"/>
      <c r="E1644" s="36" t="n"/>
      <c r="F1644" s="36" t="n"/>
      <c r="G1644" s="36" t="n"/>
      <c r="H1644" s="36" t="n"/>
      <c r="I1644" s="36" t="n"/>
      <c r="J1644" s="37" t="n"/>
      <c r="K1644" s="32" t="n"/>
      <c r="L1644" s="36" t="n"/>
      <c r="M1644" s="41" t="n"/>
      <c r="N1644" s="41" t="n"/>
      <c r="O1644" s="36" t="n"/>
      <c r="P1644" s="33">
        <f>IF(C1644="","",Commercial_Id)</f>
        <v/>
      </c>
      <c r="Q1644" s="39">
        <f>IF(F1644="","",IFERROR(VALUE(MID(F1644,LEN(F1644)-3,3)),""))</f>
        <v/>
      </c>
      <c r="R1644" s="33">
        <f>IF(Q1644="","",P1644&amp;"|"&amp;Q1644)</f>
        <v/>
      </c>
      <c r="S1644" s="33">
        <f>IF(Q1644="","",IF(P1644="À RENSEIGNER","GIC",P1644)&amp;"-"&amp;TEXT(Q1644,"000"))</f>
        <v/>
      </c>
      <c r="T1644" s="33">
        <f>IF(R1644="","",IFERROR(INDEX(Cl_nom,MATCH(R1644,Cl_cle,0)),"(client introuvable)"))</f>
        <v/>
      </c>
      <c r="U1644" s="33">
        <f>IF(R1644="","",IFERROR(INDEX(Cl_quartier,MATCH(R1644,Cl_cle,0))&amp;"",""))</f>
        <v/>
      </c>
      <c r="V1644" s="34">
        <f>IF(C1644="","",YEAR(C1644-WEEKDAY(C1644,2)+4)&amp;"-S"&amp;TEXT(INT((C1644-DATE(YEAR(C1644-WEEKDAY(C1644,2)+4),1,3)+WEEKDAY(DATE(YEAR(C1644-WEEKDAY(C1644,2)+4),1,3),2)+5)/7),"00"))</f>
        <v/>
      </c>
    </row>
    <row r="1645" ht="18" customHeight="1">
      <c r="A1645" s="39" t="n">
        <v>1640</v>
      </c>
      <c r="B1645" s="33">
        <f>IF(C1645="","",IF(P1645="À RENSEIGNER","GIC",P1645)&amp;"-V"&amp;TEXT(A1645,"00000"))</f>
        <v/>
      </c>
      <c r="C1645" s="32" t="n"/>
      <c r="D1645" s="35" t="n"/>
      <c r="E1645" s="36" t="n"/>
      <c r="F1645" s="36" t="n"/>
      <c r="G1645" s="36" t="n"/>
      <c r="H1645" s="36" t="n"/>
      <c r="I1645" s="36" t="n"/>
      <c r="J1645" s="37" t="n"/>
      <c r="K1645" s="32" t="n"/>
      <c r="L1645" s="36" t="n"/>
      <c r="M1645" s="41" t="n"/>
      <c r="N1645" s="41" t="n"/>
      <c r="O1645" s="36" t="n"/>
      <c r="P1645" s="33">
        <f>IF(C1645="","",Commercial_Id)</f>
        <v/>
      </c>
      <c r="Q1645" s="39">
        <f>IF(F1645="","",IFERROR(VALUE(MID(F1645,LEN(F1645)-3,3)),""))</f>
        <v/>
      </c>
      <c r="R1645" s="33">
        <f>IF(Q1645="","",P1645&amp;"|"&amp;Q1645)</f>
        <v/>
      </c>
      <c r="S1645" s="33">
        <f>IF(Q1645="","",IF(P1645="À RENSEIGNER","GIC",P1645)&amp;"-"&amp;TEXT(Q1645,"000"))</f>
        <v/>
      </c>
      <c r="T1645" s="33">
        <f>IF(R1645="","",IFERROR(INDEX(Cl_nom,MATCH(R1645,Cl_cle,0)),"(client introuvable)"))</f>
        <v/>
      </c>
      <c r="U1645" s="33">
        <f>IF(R1645="","",IFERROR(INDEX(Cl_quartier,MATCH(R1645,Cl_cle,0))&amp;"",""))</f>
        <v/>
      </c>
      <c r="V1645" s="34">
        <f>IF(C1645="","",YEAR(C1645-WEEKDAY(C1645,2)+4)&amp;"-S"&amp;TEXT(INT((C1645-DATE(YEAR(C1645-WEEKDAY(C1645,2)+4),1,3)+WEEKDAY(DATE(YEAR(C1645-WEEKDAY(C1645,2)+4),1,3),2)+5)/7),"00"))</f>
        <v/>
      </c>
    </row>
    <row r="1646" ht="18" customHeight="1">
      <c r="A1646" s="39" t="n">
        <v>1641</v>
      </c>
      <c r="B1646" s="33">
        <f>IF(C1646="","",IF(P1646="À RENSEIGNER","GIC",P1646)&amp;"-V"&amp;TEXT(A1646,"00000"))</f>
        <v/>
      </c>
      <c r="C1646" s="32" t="n"/>
      <c r="D1646" s="35" t="n"/>
      <c r="E1646" s="36" t="n"/>
      <c r="F1646" s="36" t="n"/>
      <c r="G1646" s="36" t="n"/>
      <c r="H1646" s="36" t="n"/>
      <c r="I1646" s="36" t="n"/>
      <c r="J1646" s="37" t="n"/>
      <c r="K1646" s="32" t="n"/>
      <c r="L1646" s="36" t="n"/>
      <c r="M1646" s="41" t="n"/>
      <c r="N1646" s="41" t="n"/>
      <c r="O1646" s="36" t="n"/>
      <c r="P1646" s="33">
        <f>IF(C1646="","",Commercial_Id)</f>
        <v/>
      </c>
      <c r="Q1646" s="39">
        <f>IF(F1646="","",IFERROR(VALUE(MID(F1646,LEN(F1646)-3,3)),""))</f>
        <v/>
      </c>
      <c r="R1646" s="33">
        <f>IF(Q1646="","",P1646&amp;"|"&amp;Q1646)</f>
        <v/>
      </c>
      <c r="S1646" s="33">
        <f>IF(Q1646="","",IF(P1646="À RENSEIGNER","GIC",P1646)&amp;"-"&amp;TEXT(Q1646,"000"))</f>
        <v/>
      </c>
      <c r="T1646" s="33">
        <f>IF(R1646="","",IFERROR(INDEX(Cl_nom,MATCH(R1646,Cl_cle,0)),"(client introuvable)"))</f>
        <v/>
      </c>
      <c r="U1646" s="33">
        <f>IF(R1646="","",IFERROR(INDEX(Cl_quartier,MATCH(R1646,Cl_cle,0))&amp;"",""))</f>
        <v/>
      </c>
      <c r="V1646" s="34">
        <f>IF(C1646="","",YEAR(C1646-WEEKDAY(C1646,2)+4)&amp;"-S"&amp;TEXT(INT((C1646-DATE(YEAR(C1646-WEEKDAY(C1646,2)+4),1,3)+WEEKDAY(DATE(YEAR(C1646-WEEKDAY(C1646,2)+4),1,3),2)+5)/7),"00"))</f>
        <v/>
      </c>
    </row>
    <row r="1647" ht="18" customHeight="1">
      <c r="A1647" s="39" t="n">
        <v>1642</v>
      </c>
      <c r="B1647" s="33">
        <f>IF(C1647="","",IF(P1647="À RENSEIGNER","GIC",P1647)&amp;"-V"&amp;TEXT(A1647,"00000"))</f>
        <v/>
      </c>
      <c r="C1647" s="32" t="n"/>
      <c r="D1647" s="35" t="n"/>
      <c r="E1647" s="36" t="n"/>
      <c r="F1647" s="36" t="n"/>
      <c r="G1647" s="36" t="n"/>
      <c r="H1647" s="36" t="n"/>
      <c r="I1647" s="36" t="n"/>
      <c r="J1647" s="37" t="n"/>
      <c r="K1647" s="32" t="n"/>
      <c r="L1647" s="36" t="n"/>
      <c r="M1647" s="41" t="n"/>
      <c r="N1647" s="41" t="n"/>
      <c r="O1647" s="36" t="n"/>
      <c r="P1647" s="33">
        <f>IF(C1647="","",Commercial_Id)</f>
        <v/>
      </c>
      <c r="Q1647" s="39">
        <f>IF(F1647="","",IFERROR(VALUE(MID(F1647,LEN(F1647)-3,3)),""))</f>
        <v/>
      </c>
      <c r="R1647" s="33">
        <f>IF(Q1647="","",P1647&amp;"|"&amp;Q1647)</f>
        <v/>
      </c>
      <c r="S1647" s="33">
        <f>IF(Q1647="","",IF(P1647="À RENSEIGNER","GIC",P1647)&amp;"-"&amp;TEXT(Q1647,"000"))</f>
        <v/>
      </c>
      <c r="T1647" s="33">
        <f>IF(R1647="","",IFERROR(INDEX(Cl_nom,MATCH(R1647,Cl_cle,0)),"(client introuvable)"))</f>
        <v/>
      </c>
      <c r="U1647" s="33">
        <f>IF(R1647="","",IFERROR(INDEX(Cl_quartier,MATCH(R1647,Cl_cle,0))&amp;"",""))</f>
        <v/>
      </c>
      <c r="V1647" s="34">
        <f>IF(C1647="","",YEAR(C1647-WEEKDAY(C1647,2)+4)&amp;"-S"&amp;TEXT(INT((C1647-DATE(YEAR(C1647-WEEKDAY(C1647,2)+4),1,3)+WEEKDAY(DATE(YEAR(C1647-WEEKDAY(C1647,2)+4),1,3),2)+5)/7),"00"))</f>
        <v/>
      </c>
    </row>
    <row r="1648" ht="18" customHeight="1">
      <c r="A1648" s="39" t="n">
        <v>1643</v>
      </c>
      <c r="B1648" s="33">
        <f>IF(C1648="","",IF(P1648="À RENSEIGNER","GIC",P1648)&amp;"-V"&amp;TEXT(A1648,"00000"))</f>
        <v/>
      </c>
      <c r="C1648" s="32" t="n"/>
      <c r="D1648" s="35" t="n"/>
      <c r="E1648" s="36" t="n"/>
      <c r="F1648" s="36" t="n"/>
      <c r="G1648" s="36" t="n"/>
      <c r="H1648" s="36" t="n"/>
      <c r="I1648" s="36" t="n"/>
      <c r="J1648" s="37" t="n"/>
      <c r="K1648" s="32" t="n"/>
      <c r="L1648" s="36" t="n"/>
      <c r="M1648" s="41" t="n"/>
      <c r="N1648" s="41" t="n"/>
      <c r="O1648" s="36" t="n"/>
      <c r="P1648" s="33">
        <f>IF(C1648="","",Commercial_Id)</f>
        <v/>
      </c>
      <c r="Q1648" s="39">
        <f>IF(F1648="","",IFERROR(VALUE(MID(F1648,LEN(F1648)-3,3)),""))</f>
        <v/>
      </c>
      <c r="R1648" s="33">
        <f>IF(Q1648="","",P1648&amp;"|"&amp;Q1648)</f>
        <v/>
      </c>
      <c r="S1648" s="33">
        <f>IF(Q1648="","",IF(P1648="À RENSEIGNER","GIC",P1648)&amp;"-"&amp;TEXT(Q1648,"000"))</f>
        <v/>
      </c>
      <c r="T1648" s="33">
        <f>IF(R1648="","",IFERROR(INDEX(Cl_nom,MATCH(R1648,Cl_cle,0)),"(client introuvable)"))</f>
        <v/>
      </c>
      <c r="U1648" s="33">
        <f>IF(R1648="","",IFERROR(INDEX(Cl_quartier,MATCH(R1648,Cl_cle,0))&amp;"",""))</f>
        <v/>
      </c>
      <c r="V1648" s="34">
        <f>IF(C1648="","",YEAR(C1648-WEEKDAY(C1648,2)+4)&amp;"-S"&amp;TEXT(INT((C1648-DATE(YEAR(C1648-WEEKDAY(C1648,2)+4),1,3)+WEEKDAY(DATE(YEAR(C1648-WEEKDAY(C1648,2)+4),1,3),2)+5)/7),"00"))</f>
        <v/>
      </c>
    </row>
    <row r="1649" ht="18" customHeight="1">
      <c r="A1649" s="39" t="n">
        <v>1644</v>
      </c>
      <c r="B1649" s="33">
        <f>IF(C1649="","",IF(P1649="À RENSEIGNER","GIC",P1649)&amp;"-V"&amp;TEXT(A1649,"00000"))</f>
        <v/>
      </c>
      <c r="C1649" s="32" t="n"/>
      <c r="D1649" s="35" t="n"/>
      <c r="E1649" s="36" t="n"/>
      <c r="F1649" s="36" t="n"/>
      <c r="G1649" s="36" t="n"/>
      <c r="H1649" s="36" t="n"/>
      <c r="I1649" s="36" t="n"/>
      <c r="J1649" s="37" t="n"/>
      <c r="K1649" s="32" t="n"/>
      <c r="L1649" s="36" t="n"/>
      <c r="M1649" s="41" t="n"/>
      <c r="N1649" s="41" t="n"/>
      <c r="O1649" s="36" t="n"/>
      <c r="P1649" s="33">
        <f>IF(C1649="","",Commercial_Id)</f>
        <v/>
      </c>
      <c r="Q1649" s="39">
        <f>IF(F1649="","",IFERROR(VALUE(MID(F1649,LEN(F1649)-3,3)),""))</f>
        <v/>
      </c>
      <c r="R1649" s="33">
        <f>IF(Q1649="","",P1649&amp;"|"&amp;Q1649)</f>
        <v/>
      </c>
      <c r="S1649" s="33">
        <f>IF(Q1649="","",IF(P1649="À RENSEIGNER","GIC",P1649)&amp;"-"&amp;TEXT(Q1649,"000"))</f>
        <v/>
      </c>
      <c r="T1649" s="33">
        <f>IF(R1649="","",IFERROR(INDEX(Cl_nom,MATCH(R1649,Cl_cle,0)),"(client introuvable)"))</f>
        <v/>
      </c>
      <c r="U1649" s="33">
        <f>IF(R1649="","",IFERROR(INDEX(Cl_quartier,MATCH(R1649,Cl_cle,0))&amp;"",""))</f>
        <v/>
      </c>
      <c r="V1649" s="34">
        <f>IF(C1649="","",YEAR(C1649-WEEKDAY(C1649,2)+4)&amp;"-S"&amp;TEXT(INT((C1649-DATE(YEAR(C1649-WEEKDAY(C1649,2)+4),1,3)+WEEKDAY(DATE(YEAR(C1649-WEEKDAY(C1649,2)+4),1,3),2)+5)/7),"00"))</f>
        <v/>
      </c>
    </row>
    <row r="1650" ht="18" customHeight="1">
      <c r="A1650" s="39" t="n">
        <v>1645</v>
      </c>
      <c r="B1650" s="33">
        <f>IF(C1650="","",IF(P1650="À RENSEIGNER","GIC",P1650)&amp;"-V"&amp;TEXT(A1650,"00000"))</f>
        <v/>
      </c>
      <c r="C1650" s="32" t="n"/>
      <c r="D1650" s="35" t="n"/>
      <c r="E1650" s="36" t="n"/>
      <c r="F1650" s="36" t="n"/>
      <c r="G1650" s="36" t="n"/>
      <c r="H1650" s="36" t="n"/>
      <c r="I1650" s="36" t="n"/>
      <c r="J1650" s="37" t="n"/>
      <c r="K1650" s="32" t="n"/>
      <c r="L1650" s="36" t="n"/>
      <c r="M1650" s="41" t="n"/>
      <c r="N1650" s="41" t="n"/>
      <c r="O1650" s="36" t="n"/>
      <c r="P1650" s="33">
        <f>IF(C1650="","",Commercial_Id)</f>
        <v/>
      </c>
      <c r="Q1650" s="39">
        <f>IF(F1650="","",IFERROR(VALUE(MID(F1650,LEN(F1650)-3,3)),""))</f>
        <v/>
      </c>
      <c r="R1650" s="33">
        <f>IF(Q1650="","",P1650&amp;"|"&amp;Q1650)</f>
        <v/>
      </c>
      <c r="S1650" s="33">
        <f>IF(Q1650="","",IF(P1650="À RENSEIGNER","GIC",P1650)&amp;"-"&amp;TEXT(Q1650,"000"))</f>
        <v/>
      </c>
      <c r="T1650" s="33">
        <f>IF(R1650="","",IFERROR(INDEX(Cl_nom,MATCH(R1650,Cl_cle,0)),"(client introuvable)"))</f>
        <v/>
      </c>
      <c r="U1650" s="33">
        <f>IF(R1650="","",IFERROR(INDEX(Cl_quartier,MATCH(R1650,Cl_cle,0))&amp;"",""))</f>
        <v/>
      </c>
      <c r="V1650" s="34">
        <f>IF(C1650="","",YEAR(C1650-WEEKDAY(C1650,2)+4)&amp;"-S"&amp;TEXT(INT((C1650-DATE(YEAR(C1650-WEEKDAY(C1650,2)+4),1,3)+WEEKDAY(DATE(YEAR(C1650-WEEKDAY(C1650,2)+4),1,3),2)+5)/7),"00"))</f>
        <v/>
      </c>
    </row>
    <row r="1651" ht="18" customHeight="1">
      <c r="A1651" s="39" t="n">
        <v>1646</v>
      </c>
      <c r="B1651" s="33">
        <f>IF(C1651="","",IF(P1651="À RENSEIGNER","GIC",P1651)&amp;"-V"&amp;TEXT(A1651,"00000"))</f>
        <v/>
      </c>
      <c r="C1651" s="32" t="n"/>
      <c r="D1651" s="35" t="n"/>
      <c r="E1651" s="36" t="n"/>
      <c r="F1651" s="36" t="n"/>
      <c r="G1651" s="36" t="n"/>
      <c r="H1651" s="36" t="n"/>
      <c r="I1651" s="36" t="n"/>
      <c r="J1651" s="37" t="n"/>
      <c r="K1651" s="32" t="n"/>
      <c r="L1651" s="36" t="n"/>
      <c r="M1651" s="41" t="n"/>
      <c r="N1651" s="41" t="n"/>
      <c r="O1651" s="36" t="n"/>
      <c r="P1651" s="33">
        <f>IF(C1651="","",Commercial_Id)</f>
        <v/>
      </c>
      <c r="Q1651" s="39">
        <f>IF(F1651="","",IFERROR(VALUE(MID(F1651,LEN(F1651)-3,3)),""))</f>
        <v/>
      </c>
      <c r="R1651" s="33">
        <f>IF(Q1651="","",P1651&amp;"|"&amp;Q1651)</f>
        <v/>
      </c>
      <c r="S1651" s="33">
        <f>IF(Q1651="","",IF(P1651="À RENSEIGNER","GIC",P1651)&amp;"-"&amp;TEXT(Q1651,"000"))</f>
        <v/>
      </c>
      <c r="T1651" s="33">
        <f>IF(R1651="","",IFERROR(INDEX(Cl_nom,MATCH(R1651,Cl_cle,0)),"(client introuvable)"))</f>
        <v/>
      </c>
      <c r="U1651" s="33">
        <f>IF(R1651="","",IFERROR(INDEX(Cl_quartier,MATCH(R1651,Cl_cle,0))&amp;"",""))</f>
        <v/>
      </c>
      <c r="V1651" s="34">
        <f>IF(C1651="","",YEAR(C1651-WEEKDAY(C1651,2)+4)&amp;"-S"&amp;TEXT(INT((C1651-DATE(YEAR(C1651-WEEKDAY(C1651,2)+4),1,3)+WEEKDAY(DATE(YEAR(C1651-WEEKDAY(C1651,2)+4),1,3),2)+5)/7),"00"))</f>
        <v/>
      </c>
    </row>
    <row r="1652" ht="18" customHeight="1">
      <c r="A1652" s="39" t="n">
        <v>1647</v>
      </c>
      <c r="B1652" s="33">
        <f>IF(C1652="","",IF(P1652="À RENSEIGNER","GIC",P1652)&amp;"-V"&amp;TEXT(A1652,"00000"))</f>
        <v/>
      </c>
      <c r="C1652" s="32" t="n"/>
      <c r="D1652" s="35" t="n"/>
      <c r="E1652" s="36" t="n"/>
      <c r="F1652" s="36" t="n"/>
      <c r="G1652" s="36" t="n"/>
      <c r="H1652" s="36" t="n"/>
      <c r="I1652" s="36" t="n"/>
      <c r="J1652" s="37" t="n"/>
      <c r="K1652" s="32" t="n"/>
      <c r="L1652" s="36" t="n"/>
      <c r="M1652" s="41" t="n"/>
      <c r="N1652" s="41" t="n"/>
      <c r="O1652" s="36" t="n"/>
      <c r="P1652" s="33">
        <f>IF(C1652="","",Commercial_Id)</f>
        <v/>
      </c>
      <c r="Q1652" s="39">
        <f>IF(F1652="","",IFERROR(VALUE(MID(F1652,LEN(F1652)-3,3)),""))</f>
        <v/>
      </c>
      <c r="R1652" s="33">
        <f>IF(Q1652="","",P1652&amp;"|"&amp;Q1652)</f>
        <v/>
      </c>
      <c r="S1652" s="33">
        <f>IF(Q1652="","",IF(P1652="À RENSEIGNER","GIC",P1652)&amp;"-"&amp;TEXT(Q1652,"000"))</f>
        <v/>
      </c>
      <c r="T1652" s="33">
        <f>IF(R1652="","",IFERROR(INDEX(Cl_nom,MATCH(R1652,Cl_cle,0)),"(client introuvable)"))</f>
        <v/>
      </c>
      <c r="U1652" s="33">
        <f>IF(R1652="","",IFERROR(INDEX(Cl_quartier,MATCH(R1652,Cl_cle,0))&amp;"",""))</f>
        <v/>
      </c>
      <c r="V1652" s="34">
        <f>IF(C1652="","",YEAR(C1652-WEEKDAY(C1652,2)+4)&amp;"-S"&amp;TEXT(INT((C1652-DATE(YEAR(C1652-WEEKDAY(C1652,2)+4),1,3)+WEEKDAY(DATE(YEAR(C1652-WEEKDAY(C1652,2)+4),1,3),2)+5)/7),"00"))</f>
        <v/>
      </c>
    </row>
    <row r="1653" ht="18" customHeight="1">
      <c r="A1653" s="39" t="n">
        <v>1648</v>
      </c>
      <c r="B1653" s="33">
        <f>IF(C1653="","",IF(P1653="À RENSEIGNER","GIC",P1653)&amp;"-V"&amp;TEXT(A1653,"00000"))</f>
        <v/>
      </c>
      <c r="C1653" s="32" t="n"/>
      <c r="D1653" s="35" t="n"/>
      <c r="E1653" s="36" t="n"/>
      <c r="F1653" s="36" t="n"/>
      <c r="G1653" s="36" t="n"/>
      <c r="H1653" s="36" t="n"/>
      <c r="I1653" s="36" t="n"/>
      <c r="J1653" s="37" t="n"/>
      <c r="K1653" s="32" t="n"/>
      <c r="L1653" s="36" t="n"/>
      <c r="M1653" s="41" t="n"/>
      <c r="N1653" s="41" t="n"/>
      <c r="O1653" s="36" t="n"/>
      <c r="P1653" s="33">
        <f>IF(C1653="","",Commercial_Id)</f>
        <v/>
      </c>
      <c r="Q1653" s="39">
        <f>IF(F1653="","",IFERROR(VALUE(MID(F1653,LEN(F1653)-3,3)),""))</f>
        <v/>
      </c>
      <c r="R1653" s="33">
        <f>IF(Q1653="","",P1653&amp;"|"&amp;Q1653)</f>
        <v/>
      </c>
      <c r="S1653" s="33">
        <f>IF(Q1653="","",IF(P1653="À RENSEIGNER","GIC",P1653)&amp;"-"&amp;TEXT(Q1653,"000"))</f>
        <v/>
      </c>
      <c r="T1653" s="33">
        <f>IF(R1653="","",IFERROR(INDEX(Cl_nom,MATCH(R1653,Cl_cle,0)),"(client introuvable)"))</f>
        <v/>
      </c>
      <c r="U1653" s="33">
        <f>IF(R1653="","",IFERROR(INDEX(Cl_quartier,MATCH(R1653,Cl_cle,0))&amp;"",""))</f>
        <v/>
      </c>
      <c r="V1653" s="34">
        <f>IF(C1653="","",YEAR(C1653-WEEKDAY(C1653,2)+4)&amp;"-S"&amp;TEXT(INT((C1653-DATE(YEAR(C1653-WEEKDAY(C1653,2)+4),1,3)+WEEKDAY(DATE(YEAR(C1653-WEEKDAY(C1653,2)+4),1,3),2)+5)/7),"00"))</f>
        <v/>
      </c>
    </row>
    <row r="1654" ht="18" customHeight="1">
      <c r="A1654" s="39" t="n">
        <v>1649</v>
      </c>
      <c r="B1654" s="33">
        <f>IF(C1654="","",IF(P1654="À RENSEIGNER","GIC",P1654)&amp;"-V"&amp;TEXT(A1654,"00000"))</f>
        <v/>
      </c>
      <c r="C1654" s="32" t="n"/>
      <c r="D1654" s="35" t="n"/>
      <c r="E1654" s="36" t="n"/>
      <c r="F1654" s="36" t="n"/>
      <c r="G1654" s="36" t="n"/>
      <c r="H1654" s="36" t="n"/>
      <c r="I1654" s="36" t="n"/>
      <c r="J1654" s="37" t="n"/>
      <c r="K1654" s="32" t="n"/>
      <c r="L1654" s="36" t="n"/>
      <c r="M1654" s="41" t="n"/>
      <c r="N1654" s="41" t="n"/>
      <c r="O1654" s="36" t="n"/>
      <c r="P1654" s="33">
        <f>IF(C1654="","",Commercial_Id)</f>
        <v/>
      </c>
      <c r="Q1654" s="39">
        <f>IF(F1654="","",IFERROR(VALUE(MID(F1654,LEN(F1654)-3,3)),""))</f>
        <v/>
      </c>
      <c r="R1654" s="33">
        <f>IF(Q1654="","",P1654&amp;"|"&amp;Q1654)</f>
        <v/>
      </c>
      <c r="S1654" s="33">
        <f>IF(Q1654="","",IF(P1654="À RENSEIGNER","GIC",P1654)&amp;"-"&amp;TEXT(Q1654,"000"))</f>
        <v/>
      </c>
      <c r="T1654" s="33">
        <f>IF(R1654="","",IFERROR(INDEX(Cl_nom,MATCH(R1654,Cl_cle,0)),"(client introuvable)"))</f>
        <v/>
      </c>
      <c r="U1654" s="33">
        <f>IF(R1654="","",IFERROR(INDEX(Cl_quartier,MATCH(R1654,Cl_cle,0))&amp;"",""))</f>
        <v/>
      </c>
      <c r="V1654" s="34">
        <f>IF(C1654="","",YEAR(C1654-WEEKDAY(C1654,2)+4)&amp;"-S"&amp;TEXT(INT((C1654-DATE(YEAR(C1654-WEEKDAY(C1654,2)+4),1,3)+WEEKDAY(DATE(YEAR(C1654-WEEKDAY(C1654,2)+4),1,3),2)+5)/7),"00"))</f>
        <v/>
      </c>
    </row>
    <row r="1655" ht="18" customHeight="1">
      <c r="A1655" s="39" t="n">
        <v>1650</v>
      </c>
      <c r="B1655" s="33">
        <f>IF(C1655="","",IF(P1655="À RENSEIGNER","GIC",P1655)&amp;"-V"&amp;TEXT(A1655,"00000"))</f>
        <v/>
      </c>
      <c r="C1655" s="32" t="n"/>
      <c r="D1655" s="35" t="n"/>
      <c r="E1655" s="36" t="n"/>
      <c r="F1655" s="36" t="n"/>
      <c r="G1655" s="36" t="n"/>
      <c r="H1655" s="36" t="n"/>
      <c r="I1655" s="36" t="n"/>
      <c r="J1655" s="37" t="n"/>
      <c r="K1655" s="32" t="n"/>
      <c r="L1655" s="36" t="n"/>
      <c r="M1655" s="41" t="n"/>
      <c r="N1655" s="41" t="n"/>
      <c r="O1655" s="36" t="n"/>
      <c r="P1655" s="33">
        <f>IF(C1655="","",Commercial_Id)</f>
        <v/>
      </c>
      <c r="Q1655" s="39">
        <f>IF(F1655="","",IFERROR(VALUE(MID(F1655,LEN(F1655)-3,3)),""))</f>
        <v/>
      </c>
      <c r="R1655" s="33">
        <f>IF(Q1655="","",P1655&amp;"|"&amp;Q1655)</f>
        <v/>
      </c>
      <c r="S1655" s="33">
        <f>IF(Q1655="","",IF(P1655="À RENSEIGNER","GIC",P1655)&amp;"-"&amp;TEXT(Q1655,"000"))</f>
        <v/>
      </c>
      <c r="T1655" s="33">
        <f>IF(R1655="","",IFERROR(INDEX(Cl_nom,MATCH(R1655,Cl_cle,0)),"(client introuvable)"))</f>
        <v/>
      </c>
      <c r="U1655" s="33">
        <f>IF(R1655="","",IFERROR(INDEX(Cl_quartier,MATCH(R1655,Cl_cle,0))&amp;"",""))</f>
        <v/>
      </c>
      <c r="V1655" s="34">
        <f>IF(C1655="","",YEAR(C1655-WEEKDAY(C1655,2)+4)&amp;"-S"&amp;TEXT(INT((C1655-DATE(YEAR(C1655-WEEKDAY(C1655,2)+4),1,3)+WEEKDAY(DATE(YEAR(C1655-WEEKDAY(C1655,2)+4),1,3),2)+5)/7),"00"))</f>
        <v/>
      </c>
    </row>
    <row r="1656" ht="18" customHeight="1">
      <c r="A1656" s="39" t="n">
        <v>1651</v>
      </c>
      <c r="B1656" s="33">
        <f>IF(C1656="","",IF(P1656="À RENSEIGNER","GIC",P1656)&amp;"-V"&amp;TEXT(A1656,"00000"))</f>
        <v/>
      </c>
      <c r="C1656" s="32" t="n"/>
      <c r="D1656" s="35" t="n"/>
      <c r="E1656" s="36" t="n"/>
      <c r="F1656" s="36" t="n"/>
      <c r="G1656" s="36" t="n"/>
      <c r="H1656" s="36" t="n"/>
      <c r="I1656" s="36" t="n"/>
      <c r="J1656" s="37" t="n"/>
      <c r="K1656" s="32" t="n"/>
      <c r="L1656" s="36" t="n"/>
      <c r="M1656" s="41" t="n"/>
      <c r="N1656" s="41" t="n"/>
      <c r="O1656" s="36" t="n"/>
      <c r="P1656" s="33">
        <f>IF(C1656="","",Commercial_Id)</f>
        <v/>
      </c>
      <c r="Q1656" s="39">
        <f>IF(F1656="","",IFERROR(VALUE(MID(F1656,LEN(F1656)-3,3)),""))</f>
        <v/>
      </c>
      <c r="R1656" s="33">
        <f>IF(Q1656="","",P1656&amp;"|"&amp;Q1656)</f>
        <v/>
      </c>
      <c r="S1656" s="33">
        <f>IF(Q1656="","",IF(P1656="À RENSEIGNER","GIC",P1656)&amp;"-"&amp;TEXT(Q1656,"000"))</f>
        <v/>
      </c>
      <c r="T1656" s="33">
        <f>IF(R1656="","",IFERROR(INDEX(Cl_nom,MATCH(R1656,Cl_cle,0)),"(client introuvable)"))</f>
        <v/>
      </c>
      <c r="U1656" s="33">
        <f>IF(R1656="","",IFERROR(INDEX(Cl_quartier,MATCH(R1656,Cl_cle,0))&amp;"",""))</f>
        <v/>
      </c>
      <c r="V1656" s="34">
        <f>IF(C1656="","",YEAR(C1656-WEEKDAY(C1656,2)+4)&amp;"-S"&amp;TEXT(INT((C1656-DATE(YEAR(C1656-WEEKDAY(C1656,2)+4),1,3)+WEEKDAY(DATE(YEAR(C1656-WEEKDAY(C1656,2)+4),1,3),2)+5)/7),"00"))</f>
        <v/>
      </c>
    </row>
    <row r="1657" ht="18" customHeight="1">
      <c r="A1657" s="39" t="n">
        <v>1652</v>
      </c>
      <c r="B1657" s="33">
        <f>IF(C1657="","",IF(P1657="À RENSEIGNER","GIC",P1657)&amp;"-V"&amp;TEXT(A1657,"00000"))</f>
        <v/>
      </c>
      <c r="C1657" s="32" t="n"/>
      <c r="D1657" s="35" t="n"/>
      <c r="E1657" s="36" t="n"/>
      <c r="F1657" s="36" t="n"/>
      <c r="G1657" s="36" t="n"/>
      <c r="H1657" s="36" t="n"/>
      <c r="I1657" s="36" t="n"/>
      <c r="J1657" s="37" t="n"/>
      <c r="K1657" s="32" t="n"/>
      <c r="L1657" s="36" t="n"/>
      <c r="M1657" s="41" t="n"/>
      <c r="N1657" s="41" t="n"/>
      <c r="O1657" s="36" t="n"/>
      <c r="P1657" s="33">
        <f>IF(C1657="","",Commercial_Id)</f>
        <v/>
      </c>
      <c r="Q1657" s="39">
        <f>IF(F1657="","",IFERROR(VALUE(MID(F1657,LEN(F1657)-3,3)),""))</f>
        <v/>
      </c>
      <c r="R1657" s="33">
        <f>IF(Q1657="","",P1657&amp;"|"&amp;Q1657)</f>
        <v/>
      </c>
      <c r="S1657" s="33">
        <f>IF(Q1657="","",IF(P1657="À RENSEIGNER","GIC",P1657)&amp;"-"&amp;TEXT(Q1657,"000"))</f>
        <v/>
      </c>
      <c r="T1657" s="33">
        <f>IF(R1657="","",IFERROR(INDEX(Cl_nom,MATCH(R1657,Cl_cle,0)),"(client introuvable)"))</f>
        <v/>
      </c>
      <c r="U1657" s="33">
        <f>IF(R1657="","",IFERROR(INDEX(Cl_quartier,MATCH(R1657,Cl_cle,0))&amp;"",""))</f>
        <v/>
      </c>
      <c r="V1657" s="34">
        <f>IF(C1657="","",YEAR(C1657-WEEKDAY(C1657,2)+4)&amp;"-S"&amp;TEXT(INT((C1657-DATE(YEAR(C1657-WEEKDAY(C1657,2)+4),1,3)+WEEKDAY(DATE(YEAR(C1657-WEEKDAY(C1657,2)+4),1,3),2)+5)/7),"00"))</f>
        <v/>
      </c>
    </row>
    <row r="1658" ht="18" customHeight="1">
      <c r="A1658" s="39" t="n">
        <v>1653</v>
      </c>
      <c r="B1658" s="33">
        <f>IF(C1658="","",IF(P1658="À RENSEIGNER","GIC",P1658)&amp;"-V"&amp;TEXT(A1658,"00000"))</f>
        <v/>
      </c>
      <c r="C1658" s="32" t="n"/>
      <c r="D1658" s="35" t="n"/>
      <c r="E1658" s="36" t="n"/>
      <c r="F1658" s="36" t="n"/>
      <c r="G1658" s="36" t="n"/>
      <c r="H1658" s="36" t="n"/>
      <c r="I1658" s="36" t="n"/>
      <c r="J1658" s="37" t="n"/>
      <c r="K1658" s="32" t="n"/>
      <c r="L1658" s="36" t="n"/>
      <c r="M1658" s="41" t="n"/>
      <c r="N1658" s="41" t="n"/>
      <c r="O1658" s="36" t="n"/>
      <c r="P1658" s="33">
        <f>IF(C1658="","",Commercial_Id)</f>
        <v/>
      </c>
      <c r="Q1658" s="39">
        <f>IF(F1658="","",IFERROR(VALUE(MID(F1658,LEN(F1658)-3,3)),""))</f>
        <v/>
      </c>
      <c r="R1658" s="33">
        <f>IF(Q1658="","",P1658&amp;"|"&amp;Q1658)</f>
        <v/>
      </c>
      <c r="S1658" s="33">
        <f>IF(Q1658="","",IF(P1658="À RENSEIGNER","GIC",P1658)&amp;"-"&amp;TEXT(Q1658,"000"))</f>
        <v/>
      </c>
      <c r="T1658" s="33">
        <f>IF(R1658="","",IFERROR(INDEX(Cl_nom,MATCH(R1658,Cl_cle,0)),"(client introuvable)"))</f>
        <v/>
      </c>
      <c r="U1658" s="33">
        <f>IF(R1658="","",IFERROR(INDEX(Cl_quartier,MATCH(R1658,Cl_cle,0))&amp;"",""))</f>
        <v/>
      </c>
      <c r="V1658" s="34">
        <f>IF(C1658="","",YEAR(C1658-WEEKDAY(C1658,2)+4)&amp;"-S"&amp;TEXT(INT((C1658-DATE(YEAR(C1658-WEEKDAY(C1658,2)+4),1,3)+WEEKDAY(DATE(YEAR(C1658-WEEKDAY(C1658,2)+4),1,3),2)+5)/7),"00"))</f>
        <v/>
      </c>
    </row>
    <row r="1659" ht="18" customHeight="1">
      <c r="A1659" s="39" t="n">
        <v>1654</v>
      </c>
      <c r="B1659" s="33">
        <f>IF(C1659="","",IF(P1659="À RENSEIGNER","GIC",P1659)&amp;"-V"&amp;TEXT(A1659,"00000"))</f>
        <v/>
      </c>
      <c r="C1659" s="32" t="n"/>
      <c r="D1659" s="35" t="n"/>
      <c r="E1659" s="36" t="n"/>
      <c r="F1659" s="36" t="n"/>
      <c r="G1659" s="36" t="n"/>
      <c r="H1659" s="36" t="n"/>
      <c r="I1659" s="36" t="n"/>
      <c r="J1659" s="37" t="n"/>
      <c r="K1659" s="32" t="n"/>
      <c r="L1659" s="36" t="n"/>
      <c r="M1659" s="41" t="n"/>
      <c r="N1659" s="41" t="n"/>
      <c r="O1659" s="36" t="n"/>
      <c r="P1659" s="33">
        <f>IF(C1659="","",Commercial_Id)</f>
        <v/>
      </c>
      <c r="Q1659" s="39">
        <f>IF(F1659="","",IFERROR(VALUE(MID(F1659,LEN(F1659)-3,3)),""))</f>
        <v/>
      </c>
      <c r="R1659" s="33">
        <f>IF(Q1659="","",P1659&amp;"|"&amp;Q1659)</f>
        <v/>
      </c>
      <c r="S1659" s="33">
        <f>IF(Q1659="","",IF(P1659="À RENSEIGNER","GIC",P1659)&amp;"-"&amp;TEXT(Q1659,"000"))</f>
        <v/>
      </c>
      <c r="T1659" s="33">
        <f>IF(R1659="","",IFERROR(INDEX(Cl_nom,MATCH(R1659,Cl_cle,0)),"(client introuvable)"))</f>
        <v/>
      </c>
      <c r="U1659" s="33">
        <f>IF(R1659="","",IFERROR(INDEX(Cl_quartier,MATCH(R1659,Cl_cle,0))&amp;"",""))</f>
        <v/>
      </c>
      <c r="V1659" s="34">
        <f>IF(C1659="","",YEAR(C1659-WEEKDAY(C1659,2)+4)&amp;"-S"&amp;TEXT(INT((C1659-DATE(YEAR(C1659-WEEKDAY(C1659,2)+4),1,3)+WEEKDAY(DATE(YEAR(C1659-WEEKDAY(C1659,2)+4),1,3),2)+5)/7),"00"))</f>
        <v/>
      </c>
    </row>
    <row r="1660" ht="18" customHeight="1">
      <c r="A1660" s="39" t="n">
        <v>1655</v>
      </c>
      <c r="B1660" s="33">
        <f>IF(C1660="","",IF(P1660="À RENSEIGNER","GIC",P1660)&amp;"-V"&amp;TEXT(A1660,"00000"))</f>
        <v/>
      </c>
      <c r="C1660" s="32" t="n"/>
      <c r="D1660" s="35" t="n"/>
      <c r="E1660" s="36" t="n"/>
      <c r="F1660" s="36" t="n"/>
      <c r="G1660" s="36" t="n"/>
      <c r="H1660" s="36" t="n"/>
      <c r="I1660" s="36" t="n"/>
      <c r="J1660" s="37" t="n"/>
      <c r="K1660" s="32" t="n"/>
      <c r="L1660" s="36" t="n"/>
      <c r="M1660" s="41" t="n"/>
      <c r="N1660" s="41" t="n"/>
      <c r="O1660" s="36" t="n"/>
      <c r="P1660" s="33">
        <f>IF(C1660="","",Commercial_Id)</f>
        <v/>
      </c>
      <c r="Q1660" s="39">
        <f>IF(F1660="","",IFERROR(VALUE(MID(F1660,LEN(F1660)-3,3)),""))</f>
        <v/>
      </c>
      <c r="R1660" s="33">
        <f>IF(Q1660="","",P1660&amp;"|"&amp;Q1660)</f>
        <v/>
      </c>
      <c r="S1660" s="33">
        <f>IF(Q1660="","",IF(P1660="À RENSEIGNER","GIC",P1660)&amp;"-"&amp;TEXT(Q1660,"000"))</f>
        <v/>
      </c>
      <c r="T1660" s="33">
        <f>IF(R1660="","",IFERROR(INDEX(Cl_nom,MATCH(R1660,Cl_cle,0)),"(client introuvable)"))</f>
        <v/>
      </c>
      <c r="U1660" s="33">
        <f>IF(R1660="","",IFERROR(INDEX(Cl_quartier,MATCH(R1660,Cl_cle,0))&amp;"",""))</f>
        <v/>
      </c>
      <c r="V1660" s="34">
        <f>IF(C1660="","",YEAR(C1660-WEEKDAY(C1660,2)+4)&amp;"-S"&amp;TEXT(INT((C1660-DATE(YEAR(C1660-WEEKDAY(C1660,2)+4),1,3)+WEEKDAY(DATE(YEAR(C1660-WEEKDAY(C1660,2)+4),1,3),2)+5)/7),"00"))</f>
        <v/>
      </c>
    </row>
    <row r="1661" ht="18" customHeight="1">
      <c r="A1661" s="39" t="n">
        <v>1656</v>
      </c>
      <c r="B1661" s="33">
        <f>IF(C1661="","",IF(P1661="À RENSEIGNER","GIC",P1661)&amp;"-V"&amp;TEXT(A1661,"00000"))</f>
        <v/>
      </c>
      <c r="C1661" s="32" t="n"/>
      <c r="D1661" s="35" t="n"/>
      <c r="E1661" s="36" t="n"/>
      <c r="F1661" s="36" t="n"/>
      <c r="G1661" s="36" t="n"/>
      <c r="H1661" s="36" t="n"/>
      <c r="I1661" s="36" t="n"/>
      <c r="J1661" s="37" t="n"/>
      <c r="K1661" s="32" t="n"/>
      <c r="L1661" s="36" t="n"/>
      <c r="M1661" s="41" t="n"/>
      <c r="N1661" s="41" t="n"/>
      <c r="O1661" s="36" t="n"/>
      <c r="P1661" s="33">
        <f>IF(C1661="","",Commercial_Id)</f>
        <v/>
      </c>
      <c r="Q1661" s="39">
        <f>IF(F1661="","",IFERROR(VALUE(MID(F1661,LEN(F1661)-3,3)),""))</f>
        <v/>
      </c>
      <c r="R1661" s="33">
        <f>IF(Q1661="","",P1661&amp;"|"&amp;Q1661)</f>
        <v/>
      </c>
      <c r="S1661" s="33">
        <f>IF(Q1661="","",IF(P1661="À RENSEIGNER","GIC",P1661)&amp;"-"&amp;TEXT(Q1661,"000"))</f>
        <v/>
      </c>
      <c r="T1661" s="33">
        <f>IF(R1661="","",IFERROR(INDEX(Cl_nom,MATCH(R1661,Cl_cle,0)),"(client introuvable)"))</f>
        <v/>
      </c>
      <c r="U1661" s="33">
        <f>IF(R1661="","",IFERROR(INDEX(Cl_quartier,MATCH(R1661,Cl_cle,0))&amp;"",""))</f>
        <v/>
      </c>
      <c r="V1661" s="34">
        <f>IF(C1661="","",YEAR(C1661-WEEKDAY(C1661,2)+4)&amp;"-S"&amp;TEXT(INT((C1661-DATE(YEAR(C1661-WEEKDAY(C1661,2)+4),1,3)+WEEKDAY(DATE(YEAR(C1661-WEEKDAY(C1661,2)+4),1,3),2)+5)/7),"00"))</f>
        <v/>
      </c>
    </row>
    <row r="1662" ht="18" customHeight="1">
      <c r="A1662" s="39" t="n">
        <v>1657</v>
      </c>
      <c r="B1662" s="33">
        <f>IF(C1662="","",IF(P1662="À RENSEIGNER","GIC",P1662)&amp;"-V"&amp;TEXT(A1662,"00000"))</f>
        <v/>
      </c>
      <c r="C1662" s="32" t="n"/>
      <c r="D1662" s="35" t="n"/>
      <c r="E1662" s="36" t="n"/>
      <c r="F1662" s="36" t="n"/>
      <c r="G1662" s="36" t="n"/>
      <c r="H1662" s="36" t="n"/>
      <c r="I1662" s="36" t="n"/>
      <c r="J1662" s="37" t="n"/>
      <c r="K1662" s="32" t="n"/>
      <c r="L1662" s="36" t="n"/>
      <c r="M1662" s="41" t="n"/>
      <c r="N1662" s="41" t="n"/>
      <c r="O1662" s="36" t="n"/>
      <c r="P1662" s="33">
        <f>IF(C1662="","",Commercial_Id)</f>
        <v/>
      </c>
      <c r="Q1662" s="39">
        <f>IF(F1662="","",IFERROR(VALUE(MID(F1662,LEN(F1662)-3,3)),""))</f>
        <v/>
      </c>
      <c r="R1662" s="33">
        <f>IF(Q1662="","",P1662&amp;"|"&amp;Q1662)</f>
        <v/>
      </c>
      <c r="S1662" s="33">
        <f>IF(Q1662="","",IF(P1662="À RENSEIGNER","GIC",P1662)&amp;"-"&amp;TEXT(Q1662,"000"))</f>
        <v/>
      </c>
      <c r="T1662" s="33">
        <f>IF(R1662="","",IFERROR(INDEX(Cl_nom,MATCH(R1662,Cl_cle,0)),"(client introuvable)"))</f>
        <v/>
      </c>
      <c r="U1662" s="33">
        <f>IF(R1662="","",IFERROR(INDEX(Cl_quartier,MATCH(R1662,Cl_cle,0))&amp;"",""))</f>
        <v/>
      </c>
      <c r="V1662" s="34">
        <f>IF(C1662="","",YEAR(C1662-WEEKDAY(C1662,2)+4)&amp;"-S"&amp;TEXT(INT((C1662-DATE(YEAR(C1662-WEEKDAY(C1662,2)+4),1,3)+WEEKDAY(DATE(YEAR(C1662-WEEKDAY(C1662,2)+4),1,3),2)+5)/7),"00"))</f>
        <v/>
      </c>
    </row>
    <row r="1663" ht="18" customHeight="1">
      <c r="A1663" s="39" t="n">
        <v>1658</v>
      </c>
      <c r="B1663" s="33">
        <f>IF(C1663="","",IF(P1663="À RENSEIGNER","GIC",P1663)&amp;"-V"&amp;TEXT(A1663,"00000"))</f>
        <v/>
      </c>
      <c r="C1663" s="32" t="n"/>
      <c r="D1663" s="35" t="n"/>
      <c r="E1663" s="36" t="n"/>
      <c r="F1663" s="36" t="n"/>
      <c r="G1663" s="36" t="n"/>
      <c r="H1663" s="36" t="n"/>
      <c r="I1663" s="36" t="n"/>
      <c r="J1663" s="37" t="n"/>
      <c r="K1663" s="32" t="n"/>
      <c r="L1663" s="36" t="n"/>
      <c r="M1663" s="41" t="n"/>
      <c r="N1663" s="41" t="n"/>
      <c r="O1663" s="36" t="n"/>
      <c r="P1663" s="33">
        <f>IF(C1663="","",Commercial_Id)</f>
        <v/>
      </c>
      <c r="Q1663" s="39">
        <f>IF(F1663="","",IFERROR(VALUE(MID(F1663,LEN(F1663)-3,3)),""))</f>
        <v/>
      </c>
      <c r="R1663" s="33">
        <f>IF(Q1663="","",P1663&amp;"|"&amp;Q1663)</f>
        <v/>
      </c>
      <c r="S1663" s="33">
        <f>IF(Q1663="","",IF(P1663="À RENSEIGNER","GIC",P1663)&amp;"-"&amp;TEXT(Q1663,"000"))</f>
        <v/>
      </c>
      <c r="T1663" s="33">
        <f>IF(R1663="","",IFERROR(INDEX(Cl_nom,MATCH(R1663,Cl_cle,0)),"(client introuvable)"))</f>
        <v/>
      </c>
      <c r="U1663" s="33">
        <f>IF(R1663="","",IFERROR(INDEX(Cl_quartier,MATCH(R1663,Cl_cle,0))&amp;"",""))</f>
        <v/>
      </c>
      <c r="V1663" s="34">
        <f>IF(C1663="","",YEAR(C1663-WEEKDAY(C1663,2)+4)&amp;"-S"&amp;TEXT(INT((C1663-DATE(YEAR(C1663-WEEKDAY(C1663,2)+4),1,3)+WEEKDAY(DATE(YEAR(C1663-WEEKDAY(C1663,2)+4),1,3),2)+5)/7),"00"))</f>
        <v/>
      </c>
    </row>
    <row r="1664" ht="18" customHeight="1">
      <c r="A1664" s="39" t="n">
        <v>1659</v>
      </c>
      <c r="B1664" s="33">
        <f>IF(C1664="","",IF(P1664="À RENSEIGNER","GIC",P1664)&amp;"-V"&amp;TEXT(A1664,"00000"))</f>
        <v/>
      </c>
      <c r="C1664" s="32" t="n"/>
      <c r="D1664" s="35" t="n"/>
      <c r="E1664" s="36" t="n"/>
      <c r="F1664" s="36" t="n"/>
      <c r="G1664" s="36" t="n"/>
      <c r="H1664" s="36" t="n"/>
      <c r="I1664" s="36" t="n"/>
      <c r="J1664" s="37" t="n"/>
      <c r="K1664" s="32" t="n"/>
      <c r="L1664" s="36" t="n"/>
      <c r="M1664" s="41" t="n"/>
      <c r="N1664" s="41" t="n"/>
      <c r="O1664" s="36" t="n"/>
      <c r="P1664" s="33">
        <f>IF(C1664="","",Commercial_Id)</f>
        <v/>
      </c>
      <c r="Q1664" s="39">
        <f>IF(F1664="","",IFERROR(VALUE(MID(F1664,LEN(F1664)-3,3)),""))</f>
        <v/>
      </c>
      <c r="R1664" s="33">
        <f>IF(Q1664="","",P1664&amp;"|"&amp;Q1664)</f>
        <v/>
      </c>
      <c r="S1664" s="33">
        <f>IF(Q1664="","",IF(P1664="À RENSEIGNER","GIC",P1664)&amp;"-"&amp;TEXT(Q1664,"000"))</f>
        <v/>
      </c>
      <c r="T1664" s="33">
        <f>IF(R1664="","",IFERROR(INDEX(Cl_nom,MATCH(R1664,Cl_cle,0)),"(client introuvable)"))</f>
        <v/>
      </c>
      <c r="U1664" s="33">
        <f>IF(R1664="","",IFERROR(INDEX(Cl_quartier,MATCH(R1664,Cl_cle,0))&amp;"",""))</f>
        <v/>
      </c>
      <c r="V1664" s="34">
        <f>IF(C1664="","",YEAR(C1664-WEEKDAY(C1664,2)+4)&amp;"-S"&amp;TEXT(INT((C1664-DATE(YEAR(C1664-WEEKDAY(C1664,2)+4),1,3)+WEEKDAY(DATE(YEAR(C1664-WEEKDAY(C1664,2)+4),1,3),2)+5)/7),"00"))</f>
        <v/>
      </c>
    </row>
    <row r="1665" ht="18" customHeight="1">
      <c r="A1665" s="39" t="n">
        <v>1660</v>
      </c>
      <c r="B1665" s="33">
        <f>IF(C1665="","",IF(P1665="À RENSEIGNER","GIC",P1665)&amp;"-V"&amp;TEXT(A1665,"00000"))</f>
        <v/>
      </c>
      <c r="C1665" s="32" t="n"/>
      <c r="D1665" s="35" t="n"/>
      <c r="E1665" s="36" t="n"/>
      <c r="F1665" s="36" t="n"/>
      <c r="G1665" s="36" t="n"/>
      <c r="H1665" s="36" t="n"/>
      <c r="I1665" s="36" t="n"/>
      <c r="J1665" s="37" t="n"/>
      <c r="K1665" s="32" t="n"/>
      <c r="L1665" s="36" t="n"/>
      <c r="M1665" s="41" t="n"/>
      <c r="N1665" s="41" t="n"/>
      <c r="O1665" s="36" t="n"/>
      <c r="P1665" s="33">
        <f>IF(C1665="","",Commercial_Id)</f>
        <v/>
      </c>
      <c r="Q1665" s="39">
        <f>IF(F1665="","",IFERROR(VALUE(MID(F1665,LEN(F1665)-3,3)),""))</f>
        <v/>
      </c>
      <c r="R1665" s="33">
        <f>IF(Q1665="","",P1665&amp;"|"&amp;Q1665)</f>
        <v/>
      </c>
      <c r="S1665" s="33">
        <f>IF(Q1665="","",IF(P1665="À RENSEIGNER","GIC",P1665)&amp;"-"&amp;TEXT(Q1665,"000"))</f>
        <v/>
      </c>
      <c r="T1665" s="33">
        <f>IF(R1665="","",IFERROR(INDEX(Cl_nom,MATCH(R1665,Cl_cle,0)),"(client introuvable)"))</f>
        <v/>
      </c>
      <c r="U1665" s="33">
        <f>IF(R1665="","",IFERROR(INDEX(Cl_quartier,MATCH(R1665,Cl_cle,0))&amp;"",""))</f>
        <v/>
      </c>
      <c r="V1665" s="34">
        <f>IF(C1665="","",YEAR(C1665-WEEKDAY(C1665,2)+4)&amp;"-S"&amp;TEXT(INT((C1665-DATE(YEAR(C1665-WEEKDAY(C1665,2)+4),1,3)+WEEKDAY(DATE(YEAR(C1665-WEEKDAY(C1665,2)+4),1,3),2)+5)/7),"00"))</f>
        <v/>
      </c>
    </row>
    <row r="1666" ht="18" customHeight="1">
      <c r="A1666" s="39" t="n">
        <v>1661</v>
      </c>
      <c r="B1666" s="33">
        <f>IF(C1666="","",IF(P1666="À RENSEIGNER","GIC",P1666)&amp;"-V"&amp;TEXT(A1666,"00000"))</f>
        <v/>
      </c>
      <c r="C1666" s="32" t="n"/>
      <c r="D1666" s="35" t="n"/>
      <c r="E1666" s="36" t="n"/>
      <c r="F1666" s="36" t="n"/>
      <c r="G1666" s="36" t="n"/>
      <c r="H1666" s="36" t="n"/>
      <c r="I1666" s="36" t="n"/>
      <c r="J1666" s="37" t="n"/>
      <c r="K1666" s="32" t="n"/>
      <c r="L1666" s="36" t="n"/>
      <c r="M1666" s="41" t="n"/>
      <c r="N1666" s="41" t="n"/>
      <c r="O1666" s="36" t="n"/>
      <c r="P1666" s="33">
        <f>IF(C1666="","",Commercial_Id)</f>
        <v/>
      </c>
      <c r="Q1666" s="39">
        <f>IF(F1666="","",IFERROR(VALUE(MID(F1666,LEN(F1666)-3,3)),""))</f>
        <v/>
      </c>
      <c r="R1666" s="33">
        <f>IF(Q1666="","",P1666&amp;"|"&amp;Q1666)</f>
        <v/>
      </c>
      <c r="S1666" s="33">
        <f>IF(Q1666="","",IF(P1666="À RENSEIGNER","GIC",P1666)&amp;"-"&amp;TEXT(Q1666,"000"))</f>
        <v/>
      </c>
      <c r="T1666" s="33">
        <f>IF(R1666="","",IFERROR(INDEX(Cl_nom,MATCH(R1666,Cl_cle,0)),"(client introuvable)"))</f>
        <v/>
      </c>
      <c r="U1666" s="33">
        <f>IF(R1666="","",IFERROR(INDEX(Cl_quartier,MATCH(R1666,Cl_cle,0))&amp;"",""))</f>
        <v/>
      </c>
      <c r="V1666" s="34">
        <f>IF(C1666="","",YEAR(C1666-WEEKDAY(C1666,2)+4)&amp;"-S"&amp;TEXT(INT((C1666-DATE(YEAR(C1666-WEEKDAY(C1666,2)+4),1,3)+WEEKDAY(DATE(YEAR(C1666-WEEKDAY(C1666,2)+4),1,3),2)+5)/7),"00"))</f>
        <v/>
      </c>
    </row>
    <row r="1667" ht="18" customHeight="1">
      <c r="A1667" s="39" t="n">
        <v>1662</v>
      </c>
      <c r="B1667" s="33">
        <f>IF(C1667="","",IF(P1667="À RENSEIGNER","GIC",P1667)&amp;"-V"&amp;TEXT(A1667,"00000"))</f>
        <v/>
      </c>
      <c r="C1667" s="32" t="n"/>
      <c r="D1667" s="35" t="n"/>
      <c r="E1667" s="36" t="n"/>
      <c r="F1667" s="36" t="n"/>
      <c r="G1667" s="36" t="n"/>
      <c r="H1667" s="36" t="n"/>
      <c r="I1667" s="36" t="n"/>
      <c r="J1667" s="37" t="n"/>
      <c r="K1667" s="32" t="n"/>
      <c r="L1667" s="36" t="n"/>
      <c r="M1667" s="41" t="n"/>
      <c r="N1667" s="41" t="n"/>
      <c r="O1667" s="36" t="n"/>
      <c r="P1667" s="33">
        <f>IF(C1667="","",Commercial_Id)</f>
        <v/>
      </c>
      <c r="Q1667" s="39">
        <f>IF(F1667="","",IFERROR(VALUE(MID(F1667,LEN(F1667)-3,3)),""))</f>
        <v/>
      </c>
      <c r="R1667" s="33">
        <f>IF(Q1667="","",P1667&amp;"|"&amp;Q1667)</f>
        <v/>
      </c>
      <c r="S1667" s="33">
        <f>IF(Q1667="","",IF(P1667="À RENSEIGNER","GIC",P1667)&amp;"-"&amp;TEXT(Q1667,"000"))</f>
        <v/>
      </c>
      <c r="T1667" s="33">
        <f>IF(R1667="","",IFERROR(INDEX(Cl_nom,MATCH(R1667,Cl_cle,0)),"(client introuvable)"))</f>
        <v/>
      </c>
      <c r="U1667" s="33">
        <f>IF(R1667="","",IFERROR(INDEX(Cl_quartier,MATCH(R1667,Cl_cle,0))&amp;"",""))</f>
        <v/>
      </c>
      <c r="V1667" s="34">
        <f>IF(C1667="","",YEAR(C1667-WEEKDAY(C1667,2)+4)&amp;"-S"&amp;TEXT(INT((C1667-DATE(YEAR(C1667-WEEKDAY(C1667,2)+4),1,3)+WEEKDAY(DATE(YEAR(C1667-WEEKDAY(C1667,2)+4),1,3),2)+5)/7),"00"))</f>
        <v/>
      </c>
    </row>
    <row r="1668" ht="18" customHeight="1">
      <c r="A1668" s="39" t="n">
        <v>1663</v>
      </c>
      <c r="B1668" s="33">
        <f>IF(C1668="","",IF(P1668="À RENSEIGNER","GIC",P1668)&amp;"-V"&amp;TEXT(A1668,"00000"))</f>
        <v/>
      </c>
      <c r="C1668" s="32" t="n"/>
      <c r="D1668" s="35" t="n"/>
      <c r="E1668" s="36" t="n"/>
      <c r="F1668" s="36" t="n"/>
      <c r="G1668" s="36" t="n"/>
      <c r="H1668" s="36" t="n"/>
      <c r="I1668" s="36" t="n"/>
      <c r="J1668" s="37" t="n"/>
      <c r="K1668" s="32" t="n"/>
      <c r="L1668" s="36" t="n"/>
      <c r="M1668" s="41" t="n"/>
      <c r="N1668" s="41" t="n"/>
      <c r="O1668" s="36" t="n"/>
      <c r="P1668" s="33">
        <f>IF(C1668="","",Commercial_Id)</f>
        <v/>
      </c>
      <c r="Q1668" s="39">
        <f>IF(F1668="","",IFERROR(VALUE(MID(F1668,LEN(F1668)-3,3)),""))</f>
        <v/>
      </c>
      <c r="R1668" s="33">
        <f>IF(Q1668="","",P1668&amp;"|"&amp;Q1668)</f>
        <v/>
      </c>
      <c r="S1668" s="33">
        <f>IF(Q1668="","",IF(P1668="À RENSEIGNER","GIC",P1668)&amp;"-"&amp;TEXT(Q1668,"000"))</f>
        <v/>
      </c>
      <c r="T1668" s="33">
        <f>IF(R1668="","",IFERROR(INDEX(Cl_nom,MATCH(R1668,Cl_cle,0)),"(client introuvable)"))</f>
        <v/>
      </c>
      <c r="U1668" s="33">
        <f>IF(R1668="","",IFERROR(INDEX(Cl_quartier,MATCH(R1668,Cl_cle,0))&amp;"",""))</f>
        <v/>
      </c>
      <c r="V1668" s="34">
        <f>IF(C1668="","",YEAR(C1668-WEEKDAY(C1668,2)+4)&amp;"-S"&amp;TEXT(INT((C1668-DATE(YEAR(C1668-WEEKDAY(C1668,2)+4),1,3)+WEEKDAY(DATE(YEAR(C1668-WEEKDAY(C1668,2)+4),1,3),2)+5)/7),"00"))</f>
        <v/>
      </c>
    </row>
    <row r="1669" ht="18" customHeight="1">
      <c r="A1669" s="39" t="n">
        <v>1664</v>
      </c>
      <c r="B1669" s="33">
        <f>IF(C1669="","",IF(P1669="À RENSEIGNER","GIC",P1669)&amp;"-V"&amp;TEXT(A1669,"00000"))</f>
        <v/>
      </c>
      <c r="C1669" s="32" t="n"/>
      <c r="D1669" s="35" t="n"/>
      <c r="E1669" s="36" t="n"/>
      <c r="F1669" s="36" t="n"/>
      <c r="G1669" s="36" t="n"/>
      <c r="H1669" s="36" t="n"/>
      <c r="I1669" s="36" t="n"/>
      <c r="J1669" s="37" t="n"/>
      <c r="K1669" s="32" t="n"/>
      <c r="L1669" s="36" t="n"/>
      <c r="M1669" s="41" t="n"/>
      <c r="N1669" s="41" t="n"/>
      <c r="O1669" s="36" t="n"/>
      <c r="P1669" s="33">
        <f>IF(C1669="","",Commercial_Id)</f>
        <v/>
      </c>
      <c r="Q1669" s="39">
        <f>IF(F1669="","",IFERROR(VALUE(MID(F1669,LEN(F1669)-3,3)),""))</f>
        <v/>
      </c>
      <c r="R1669" s="33">
        <f>IF(Q1669="","",P1669&amp;"|"&amp;Q1669)</f>
        <v/>
      </c>
      <c r="S1669" s="33">
        <f>IF(Q1669="","",IF(P1669="À RENSEIGNER","GIC",P1669)&amp;"-"&amp;TEXT(Q1669,"000"))</f>
        <v/>
      </c>
      <c r="T1669" s="33">
        <f>IF(R1669="","",IFERROR(INDEX(Cl_nom,MATCH(R1669,Cl_cle,0)),"(client introuvable)"))</f>
        <v/>
      </c>
      <c r="U1669" s="33">
        <f>IF(R1669="","",IFERROR(INDEX(Cl_quartier,MATCH(R1669,Cl_cle,0))&amp;"",""))</f>
        <v/>
      </c>
      <c r="V1669" s="34">
        <f>IF(C1669="","",YEAR(C1669-WEEKDAY(C1669,2)+4)&amp;"-S"&amp;TEXT(INT((C1669-DATE(YEAR(C1669-WEEKDAY(C1669,2)+4),1,3)+WEEKDAY(DATE(YEAR(C1669-WEEKDAY(C1669,2)+4),1,3),2)+5)/7),"00"))</f>
        <v/>
      </c>
    </row>
    <row r="1670" ht="18" customHeight="1">
      <c r="A1670" s="39" t="n">
        <v>1665</v>
      </c>
      <c r="B1670" s="33">
        <f>IF(C1670="","",IF(P1670="À RENSEIGNER","GIC",P1670)&amp;"-V"&amp;TEXT(A1670,"00000"))</f>
        <v/>
      </c>
      <c r="C1670" s="32" t="n"/>
      <c r="D1670" s="35" t="n"/>
      <c r="E1670" s="36" t="n"/>
      <c r="F1670" s="36" t="n"/>
      <c r="G1670" s="36" t="n"/>
      <c r="H1670" s="36" t="n"/>
      <c r="I1670" s="36" t="n"/>
      <c r="J1670" s="37" t="n"/>
      <c r="K1670" s="32" t="n"/>
      <c r="L1670" s="36" t="n"/>
      <c r="M1670" s="41" t="n"/>
      <c r="N1670" s="41" t="n"/>
      <c r="O1670" s="36" t="n"/>
      <c r="P1670" s="33">
        <f>IF(C1670="","",Commercial_Id)</f>
        <v/>
      </c>
      <c r="Q1670" s="39">
        <f>IF(F1670="","",IFERROR(VALUE(MID(F1670,LEN(F1670)-3,3)),""))</f>
        <v/>
      </c>
      <c r="R1670" s="33">
        <f>IF(Q1670="","",P1670&amp;"|"&amp;Q1670)</f>
        <v/>
      </c>
      <c r="S1670" s="33">
        <f>IF(Q1670="","",IF(P1670="À RENSEIGNER","GIC",P1670)&amp;"-"&amp;TEXT(Q1670,"000"))</f>
        <v/>
      </c>
      <c r="T1670" s="33">
        <f>IF(R1670="","",IFERROR(INDEX(Cl_nom,MATCH(R1670,Cl_cle,0)),"(client introuvable)"))</f>
        <v/>
      </c>
      <c r="U1670" s="33">
        <f>IF(R1670="","",IFERROR(INDEX(Cl_quartier,MATCH(R1670,Cl_cle,0))&amp;"",""))</f>
        <v/>
      </c>
      <c r="V1670" s="34">
        <f>IF(C1670="","",YEAR(C1670-WEEKDAY(C1670,2)+4)&amp;"-S"&amp;TEXT(INT((C1670-DATE(YEAR(C1670-WEEKDAY(C1670,2)+4),1,3)+WEEKDAY(DATE(YEAR(C1670-WEEKDAY(C1670,2)+4),1,3),2)+5)/7),"00"))</f>
        <v/>
      </c>
    </row>
    <row r="1671" ht="18" customHeight="1">
      <c r="A1671" s="39" t="n">
        <v>1666</v>
      </c>
      <c r="B1671" s="33">
        <f>IF(C1671="","",IF(P1671="À RENSEIGNER","GIC",P1671)&amp;"-V"&amp;TEXT(A1671,"00000"))</f>
        <v/>
      </c>
      <c r="C1671" s="32" t="n"/>
      <c r="D1671" s="35" t="n"/>
      <c r="E1671" s="36" t="n"/>
      <c r="F1671" s="36" t="n"/>
      <c r="G1671" s="36" t="n"/>
      <c r="H1671" s="36" t="n"/>
      <c r="I1671" s="36" t="n"/>
      <c r="J1671" s="37" t="n"/>
      <c r="K1671" s="32" t="n"/>
      <c r="L1671" s="36" t="n"/>
      <c r="M1671" s="41" t="n"/>
      <c r="N1671" s="41" t="n"/>
      <c r="O1671" s="36" t="n"/>
      <c r="P1671" s="33">
        <f>IF(C1671="","",Commercial_Id)</f>
        <v/>
      </c>
      <c r="Q1671" s="39">
        <f>IF(F1671="","",IFERROR(VALUE(MID(F1671,LEN(F1671)-3,3)),""))</f>
        <v/>
      </c>
      <c r="R1671" s="33">
        <f>IF(Q1671="","",P1671&amp;"|"&amp;Q1671)</f>
        <v/>
      </c>
      <c r="S1671" s="33">
        <f>IF(Q1671="","",IF(P1671="À RENSEIGNER","GIC",P1671)&amp;"-"&amp;TEXT(Q1671,"000"))</f>
        <v/>
      </c>
      <c r="T1671" s="33">
        <f>IF(R1671="","",IFERROR(INDEX(Cl_nom,MATCH(R1671,Cl_cle,0)),"(client introuvable)"))</f>
        <v/>
      </c>
      <c r="U1671" s="33">
        <f>IF(R1671="","",IFERROR(INDEX(Cl_quartier,MATCH(R1671,Cl_cle,0))&amp;"",""))</f>
        <v/>
      </c>
      <c r="V1671" s="34">
        <f>IF(C1671="","",YEAR(C1671-WEEKDAY(C1671,2)+4)&amp;"-S"&amp;TEXT(INT((C1671-DATE(YEAR(C1671-WEEKDAY(C1671,2)+4),1,3)+WEEKDAY(DATE(YEAR(C1671-WEEKDAY(C1671,2)+4),1,3),2)+5)/7),"00"))</f>
        <v/>
      </c>
    </row>
    <row r="1672" ht="18" customHeight="1">
      <c r="A1672" s="39" t="n">
        <v>1667</v>
      </c>
      <c r="B1672" s="33">
        <f>IF(C1672="","",IF(P1672="À RENSEIGNER","GIC",P1672)&amp;"-V"&amp;TEXT(A1672,"00000"))</f>
        <v/>
      </c>
      <c r="C1672" s="32" t="n"/>
      <c r="D1672" s="35" t="n"/>
      <c r="E1672" s="36" t="n"/>
      <c r="F1672" s="36" t="n"/>
      <c r="G1672" s="36" t="n"/>
      <c r="H1672" s="36" t="n"/>
      <c r="I1672" s="36" t="n"/>
      <c r="J1672" s="37" t="n"/>
      <c r="K1672" s="32" t="n"/>
      <c r="L1672" s="36" t="n"/>
      <c r="M1672" s="41" t="n"/>
      <c r="N1672" s="41" t="n"/>
      <c r="O1672" s="36" t="n"/>
      <c r="P1672" s="33">
        <f>IF(C1672="","",Commercial_Id)</f>
        <v/>
      </c>
      <c r="Q1672" s="39">
        <f>IF(F1672="","",IFERROR(VALUE(MID(F1672,LEN(F1672)-3,3)),""))</f>
        <v/>
      </c>
      <c r="R1672" s="33">
        <f>IF(Q1672="","",P1672&amp;"|"&amp;Q1672)</f>
        <v/>
      </c>
      <c r="S1672" s="33">
        <f>IF(Q1672="","",IF(P1672="À RENSEIGNER","GIC",P1672)&amp;"-"&amp;TEXT(Q1672,"000"))</f>
        <v/>
      </c>
      <c r="T1672" s="33">
        <f>IF(R1672="","",IFERROR(INDEX(Cl_nom,MATCH(R1672,Cl_cle,0)),"(client introuvable)"))</f>
        <v/>
      </c>
      <c r="U1672" s="33">
        <f>IF(R1672="","",IFERROR(INDEX(Cl_quartier,MATCH(R1672,Cl_cle,0))&amp;"",""))</f>
        <v/>
      </c>
      <c r="V1672" s="34">
        <f>IF(C1672="","",YEAR(C1672-WEEKDAY(C1672,2)+4)&amp;"-S"&amp;TEXT(INT((C1672-DATE(YEAR(C1672-WEEKDAY(C1672,2)+4),1,3)+WEEKDAY(DATE(YEAR(C1672-WEEKDAY(C1672,2)+4),1,3),2)+5)/7),"00"))</f>
        <v/>
      </c>
    </row>
    <row r="1673" ht="18" customHeight="1">
      <c r="A1673" s="39" t="n">
        <v>1668</v>
      </c>
      <c r="B1673" s="33">
        <f>IF(C1673="","",IF(P1673="À RENSEIGNER","GIC",P1673)&amp;"-V"&amp;TEXT(A1673,"00000"))</f>
        <v/>
      </c>
      <c r="C1673" s="32" t="n"/>
      <c r="D1673" s="35" t="n"/>
      <c r="E1673" s="36" t="n"/>
      <c r="F1673" s="36" t="n"/>
      <c r="G1673" s="36" t="n"/>
      <c r="H1673" s="36" t="n"/>
      <c r="I1673" s="36" t="n"/>
      <c r="J1673" s="37" t="n"/>
      <c r="K1673" s="32" t="n"/>
      <c r="L1673" s="36" t="n"/>
      <c r="M1673" s="41" t="n"/>
      <c r="N1673" s="41" t="n"/>
      <c r="O1673" s="36" t="n"/>
      <c r="P1673" s="33">
        <f>IF(C1673="","",Commercial_Id)</f>
        <v/>
      </c>
      <c r="Q1673" s="39">
        <f>IF(F1673="","",IFERROR(VALUE(MID(F1673,LEN(F1673)-3,3)),""))</f>
        <v/>
      </c>
      <c r="R1673" s="33">
        <f>IF(Q1673="","",P1673&amp;"|"&amp;Q1673)</f>
        <v/>
      </c>
      <c r="S1673" s="33">
        <f>IF(Q1673="","",IF(P1673="À RENSEIGNER","GIC",P1673)&amp;"-"&amp;TEXT(Q1673,"000"))</f>
        <v/>
      </c>
      <c r="T1673" s="33">
        <f>IF(R1673="","",IFERROR(INDEX(Cl_nom,MATCH(R1673,Cl_cle,0)),"(client introuvable)"))</f>
        <v/>
      </c>
      <c r="U1673" s="33">
        <f>IF(R1673="","",IFERROR(INDEX(Cl_quartier,MATCH(R1673,Cl_cle,0))&amp;"",""))</f>
        <v/>
      </c>
      <c r="V1673" s="34">
        <f>IF(C1673="","",YEAR(C1673-WEEKDAY(C1673,2)+4)&amp;"-S"&amp;TEXT(INT((C1673-DATE(YEAR(C1673-WEEKDAY(C1673,2)+4),1,3)+WEEKDAY(DATE(YEAR(C1673-WEEKDAY(C1673,2)+4),1,3),2)+5)/7),"00"))</f>
        <v/>
      </c>
    </row>
    <row r="1674" ht="18" customHeight="1">
      <c r="A1674" s="39" t="n">
        <v>1669</v>
      </c>
      <c r="B1674" s="33">
        <f>IF(C1674="","",IF(P1674="À RENSEIGNER","GIC",P1674)&amp;"-V"&amp;TEXT(A1674,"00000"))</f>
        <v/>
      </c>
      <c r="C1674" s="32" t="n"/>
      <c r="D1674" s="35" t="n"/>
      <c r="E1674" s="36" t="n"/>
      <c r="F1674" s="36" t="n"/>
      <c r="G1674" s="36" t="n"/>
      <c r="H1674" s="36" t="n"/>
      <c r="I1674" s="36" t="n"/>
      <c r="J1674" s="37" t="n"/>
      <c r="K1674" s="32" t="n"/>
      <c r="L1674" s="36" t="n"/>
      <c r="M1674" s="41" t="n"/>
      <c r="N1674" s="41" t="n"/>
      <c r="O1674" s="36" t="n"/>
      <c r="P1674" s="33">
        <f>IF(C1674="","",Commercial_Id)</f>
        <v/>
      </c>
      <c r="Q1674" s="39">
        <f>IF(F1674="","",IFERROR(VALUE(MID(F1674,LEN(F1674)-3,3)),""))</f>
        <v/>
      </c>
      <c r="R1674" s="33">
        <f>IF(Q1674="","",P1674&amp;"|"&amp;Q1674)</f>
        <v/>
      </c>
      <c r="S1674" s="33">
        <f>IF(Q1674="","",IF(P1674="À RENSEIGNER","GIC",P1674)&amp;"-"&amp;TEXT(Q1674,"000"))</f>
        <v/>
      </c>
      <c r="T1674" s="33">
        <f>IF(R1674="","",IFERROR(INDEX(Cl_nom,MATCH(R1674,Cl_cle,0)),"(client introuvable)"))</f>
        <v/>
      </c>
      <c r="U1674" s="33">
        <f>IF(R1674="","",IFERROR(INDEX(Cl_quartier,MATCH(R1674,Cl_cle,0))&amp;"",""))</f>
        <v/>
      </c>
      <c r="V1674" s="34">
        <f>IF(C1674="","",YEAR(C1674-WEEKDAY(C1674,2)+4)&amp;"-S"&amp;TEXT(INT((C1674-DATE(YEAR(C1674-WEEKDAY(C1674,2)+4),1,3)+WEEKDAY(DATE(YEAR(C1674-WEEKDAY(C1674,2)+4),1,3),2)+5)/7),"00"))</f>
        <v/>
      </c>
    </row>
    <row r="1675" ht="18" customHeight="1">
      <c r="A1675" s="39" t="n">
        <v>1670</v>
      </c>
      <c r="B1675" s="33">
        <f>IF(C1675="","",IF(P1675="À RENSEIGNER","GIC",P1675)&amp;"-V"&amp;TEXT(A1675,"00000"))</f>
        <v/>
      </c>
      <c r="C1675" s="32" t="n"/>
      <c r="D1675" s="35" t="n"/>
      <c r="E1675" s="36" t="n"/>
      <c r="F1675" s="36" t="n"/>
      <c r="G1675" s="36" t="n"/>
      <c r="H1675" s="36" t="n"/>
      <c r="I1675" s="36" t="n"/>
      <c r="J1675" s="37" t="n"/>
      <c r="K1675" s="32" t="n"/>
      <c r="L1675" s="36" t="n"/>
      <c r="M1675" s="41" t="n"/>
      <c r="N1675" s="41" t="n"/>
      <c r="O1675" s="36" t="n"/>
      <c r="P1675" s="33">
        <f>IF(C1675="","",Commercial_Id)</f>
        <v/>
      </c>
      <c r="Q1675" s="39">
        <f>IF(F1675="","",IFERROR(VALUE(MID(F1675,LEN(F1675)-3,3)),""))</f>
        <v/>
      </c>
      <c r="R1675" s="33">
        <f>IF(Q1675="","",P1675&amp;"|"&amp;Q1675)</f>
        <v/>
      </c>
      <c r="S1675" s="33">
        <f>IF(Q1675="","",IF(P1675="À RENSEIGNER","GIC",P1675)&amp;"-"&amp;TEXT(Q1675,"000"))</f>
        <v/>
      </c>
      <c r="T1675" s="33">
        <f>IF(R1675="","",IFERROR(INDEX(Cl_nom,MATCH(R1675,Cl_cle,0)),"(client introuvable)"))</f>
        <v/>
      </c>
      <c r="U1675" s="33">
        <f>IF(R1675="","",IFERROR(INDEX(Cl_quartier,MATCH(R1675,Cl_cle,0))&amp;"",""))</f>
        <v/>
      </c>
      <c r="V1675" s="34">
        <f>IF(C1675="","",YEAR(C1675-WEEKDAY(C1675,2)+4)&amp;"-S"&amp;TEXT(INT((C1675-DATE(YEAR(C1675-WEEKDAY(C1675,2)+4),1,3)+WEEKDAY(DATE(YEAR(C1675-WEEKDAY(C1675,2)+4),1,3),2)+5)/7),"00"))</f>
        <v/>
      </c>
    </row>
    <row r="1676" ht="18" customHeight="1">
      <c r="A1676" s="39" t="n">
        <v>1671</v>
      </c>
      <c r="B1676" s="33">
        <f>IF(C1676="","",IF(P1676="À RENSEIGNER","GIC",P1676)&amp;"-V"&amp;TEXT(A1676,"00000"))</f>
        <v/>
      </c>
      <c r="C1676" s="32" t="n"/>
      <c r="D1676" s="35" t="n"/>
      <c r="E1676" s="36" t="n"/>
      <c r="F1676" s="36" t="n"/>
      <c r="G1676" s="36" t="n"/>
      <c r="H1676" s="36" t="n"/>
      <c r="I1676" s="36" t="n"/>
      <c r="J1676" s="37" t="n"/>
      <c r="K1676" s="32" t="n"/>
      <c r="L1676" s="36" t="n"/>
      <c r="M1676" s="41" t="n"/>
      <c r="N1676" s="41" t="n"/>
      <c r="O1676" s="36" t="n"/>
      <c r="P1676" s="33">
        <f>IF(C1676="","",Commercial_Id)</f>
        <v/>
      </c>
      <c r="Q1676" s="39">
        <f>IF(F1676="","",IFERROR(VALUE(MID(F1676,LEN(F1676)-3,3)),""))</f>
        <v/>
      </c>
      <c r="R1676" s="33">
        <f>IF(Q1676="","",P1676&amp;"|"&amp;Q1676)</f>
        <v/>
      </c>
      <c r="S1676" s="33">
        <f>IF(Q1676="","",IF(P1676="À RENSEIGNER","GIC",P1676)&amp;"-"&amp;TEXT(Q1676,"000"))</f>
        <v/>
      </c>
      <c r="T1676" s="33">
        <f>IF(R1676="","",IFERROR(INDEX(Cl_nom,MATCH(R1676,Cl_cle,0)),"(client introuvable)"))</f>
        <v/>
      </c>
      <c r="U1676" s="33">
        <f>IF(R1676="","",IFERROR(INDEX(Cl_quartier,MATCH(R1676,Cl_cle,0))&amp;"",""))</f>
        <v/>
      </c>
      <c r="V1676" s="34">
        <f>IF(C1676="","",YEAR(C1676-WEEKDAY(C1676,2)+4)&amp;"-S"&amp;TEXT(INT((C1676-DATE(YEAR(C1676-WEEKDAY(C1676,2)+4),1,3)+WEEKDAY(DATE(YEAR(C1676-WEEKDAY(C1676,2)+4),1,3),2)+5)/7),"00"))</f>
        <v/>
      </c>
    </row>
    <row r="1677" ht="18" customHeight="1">
      <c r="A1677" s="39" t="n">
        <v>1672</v>
      </c>
      <c r="B1677" s="33">
        <f>IF(C1677="","",IF(P1677="À RENSEIGNER","GIC",P1677)&amp;"-V"&amp;TEXT(A1677,"00000"))</f>
        <v/>
      </c>
      <c r="C1677" s="32" t="n"/>
      <c r="D1677" s="35" t="n"/>
      <c r="E1677" s="36" t="n"/>
      <c r="F1677" s="36" t="n"/>
      <c r="G1677" s="36" t="n"/>
      <c r="H1677" s="36" t="n"/>
      <c r="I1677" s="36" t="n"/>
      <c r="J1677" s="37" t="n"/>
      <c r="K1677" s="32" t="n"/>
      <c r="L1677" s="36" t="n"/>
      <c r="M1677" s="41" t="n"/>
      <c r="N1677" s="41" t="n"/>
      <c r="O1677" s="36" t="n"/>
      <c r="P1677" s="33">
        <f>IF(C1677="","",Commercial_Id)</f>
        <v/>
      </c>
      <c r="Q1677" s="39">
        <f>IF(F1677="","",IFERROR(VALUE(MID(F1677,LEN(F1677)-3,3)),""))</f>
        <v/>
      </c>
      <c r="R1677" s="33">
        <f>IF(Q1677="","",P1677&amp;"|"&amp;Q1677)</f>
        <v/>
      </c>
      <c r="S1677" s="33">
        <f>IF(Q1677="","",IF(P1677="À RENSEIGNER","GIC",P1677)&amp;"-"&amp;TEXT(Q1677,"000"))</f>
        <v/>
      </c>
      <c r="T1677" s="33">
        <f>IF(R1677="","",IFERROR(INDEX(Cl_nom,MATCH(R1677,Cl_cle,0)),"(client introuvable)"))</f>
        <v/>
      </c>
      <c r="U1677" s="33">
        <f>IF(R1677="","",IFERROR(INDEX(Cl_quartier,MATCH(R1677,Cl_cle,0))&amp;"",""))</f>
        <v/>
      </c>
      <c r="V1677" s="34">
        <f>IF(C1677="","",YEAR(C1677-WEEKDAY(C1677,2)+4)&amp;"-S"&amp;TEXT(INT((C1677-DATE(YEAR(C1677-WEEKDAY(C1677,2)+4),1,3)+WEEKDAY(DATE(YEAR(C1677-WEEKDAY(C1677,2)+4),1,3),2)+5)/7),"00"))</f>
        <v/>
      </c>
    </row>
    <row r="1678" ht="18" customHeight="1">
      <c r="A1678" s="39" t="n">
        <v>1673</v>
      </c>
      <c r="B1678" s="33">
        <f>IF(C1678="","",IF(P1678="À RENSEIGNER","GIC",P1678)&amp;"-V"&amp;TEXT(A1678,"00000"))</f>
        <v/>
      </c>
      <c r="C1678" s="32" t="n"/>
      <c r="D1678" s="35" t="n"/>
      <c r="E1678" s="36" t="n"/>
      <c r="F1678" s="36" t="n"/>
      <c r="G1678" s="36" t="n"/>
      <c r="H1678" s="36" t="n"/>
      <c r="I1678" s="36" t="n"/>
      <c r="J1678" s="37" t="n"/>
      <c r="K1678" s="32" t="n"/>
      <c r="L1678" s="36" t="n"/>
      <c r="M1678" s="41" t="n"/>
      <c r="N1678" s="41" t="n"/>
      <c r="O1678" s="36" t="n"/>
      <c r="P1678" s="33">
        <f>IF(C1678="","",Commercial_Id)</f>
        <v/>
      </c>
      <c r="Q1678" s="39">
        <f>IF(F1678="","",IFERROR(VALUE(MID(F1678,LEN(F1678)-3,3)),""))</f>
        <v/>
      </c>
      <c r="R1678" s="33">
        <f>IF(Q1678="","",P1678&amp;"|"&amp;Q1678)</f>
        <v/>
      </c>
      <c r="S1678" s="33">
        <f>IF(Q1678="","",IF(P1678="À RENSEIGNER","GIC",P1678)&amp;"-"&amp;TEXT(Q1678,"000"))</f>
        <v/>
      </c>
      <c r="T1678" s="33">
        <f>IF(R1678="","",IFERROR(INDEX(Cl_nom,MATCH(R1678,Cl_cle,0)),"(client introuvable)"))</f>
        <v/>
      </c>
      <c r="U1678" s="33">
        <f>IF(R1678="","",IFERROR(INDEX(Cl_quartier,MATCH(R1678,Cl_cle,0))&amp;"",""))</f>
        <v/>
      </c>
      <c r="V1678" s="34">
        <f>IF(C1678="","",YEAR(C1678-WEEKDAY(C1678,2)+4)&amp;"-S"&amp;TEXT(INT((C1678-DATE(YEAR(C1678-WEEKDAY(C1678,2)+4),1,3)+WEEKDAY(DATE(YEAR(C1678-WEEKDAY(C1678,2)+4),1,3),2)+5)/7),"00"))</f>
        <v/>
      </c>
    </row>
    <row r="1679" ht="18" customHeight="1">
      <c r="A1679" s="39" t="n">
        <v>1674</v>
      </c>
      <c r="B1679" s="33">
        <f>IF(C1679="","",IF(P1679="À RENSEIGNER","GIC",P1679)&amp;"-V"&amp;TEXT(A1679,"00000"))</f>
        <v/>
      </c>
      <c r="C1679" s="32" t="n"/>
      <c r="D1679" s="35" t="n"/>
      <c r="E1679" s="36" t="n"/>
      <c r="F1679" s="36" t="n"/>
      <c r="G1679" s="36" t="n"/>
      <c r="H1679" s="36" t="n"/>
      <c r="I1679" s="36" t="n"/>
      <c r="J1679" s="37" t="n"/>
      <c r="K1679" s="32" t="n"/>
      <c r="L1679" s="36" t="n"/>
      <c r="M1679" s="41" t="n"/>
      <c r="N1679" s="41" t="n"/>
      <c r="O1679" s="36" t="n"/>
      <c r="P1679" s="33">
        <f>IF(C1679="","",Commercial_Id)</f>
        <v/>
      </c>
      <c r="Q1679" s="39">
        <f>IF(F1679="","",IFERROR(VALUE(MID(F1679,LEN(F1679)-3,3)),""))</f>
        <v/>
      </c>
      <c r="R1679" s="33">
        <f>IF(Q1679="","",P1679&amp;"|"&amp;Q1679)</f>
        <v/>
      </c>
      <c r="S1679" s="33">
        <f>IF(Q1679="","",IF(P1679="À RENSEIGNER","GIC",P1679)&amp;"-"&amp;TEXT(Q1679,"000"))</f>
        <v/>
      </c>
      <c r="T1679" s="33">
        <f>IF(R1679="","",IFERROR(INDEX(Cl_nom,MATCH(R1679,Cl_cle,0)),"(client introuvable)"))</f>
        <v/>
      </c>
      <c r="U1679" s="33">
        <f>IF(R1679="","",IFERROR(INDEX(Cl_quartier,MATCH(R1679,Cl_cle,0))&amp;"",""))</f>
        <v/>
      </c>
      <c r="V1679" s="34">
        <f>IF(C1679="","",YEAR(C1679-WEEKDAY(C1679,2)+4)&amp;"-S"&amp;TEXT(INT((C1679-DATE(YEAR(C1679-WEEKDAY(C1679,2)+4),1,3)+WEEKDAY(DATE(YEAR(C1679-WEEKDAY(C1679,2)+4),1,3),2)+5)/7),"00"))</f>
        <v/>
      </c>
    </row>
    <row r="1680" ht="18" customHeight="1">
      <c r="A1680" s="39" t="n">
        <v>1675</v>
      </c>
      <c r="B1680" s="33">
        <f>IF(C1680="","",IF(P1680="À RENSEIGNER","GIC",P1680)&amp;"-V"&amp;TEXT(A1680,"00000"))</f>
        <v/>
      </c>
      <c r="C1680" s="32" t="n"/>
      <c r="D1680" s="35" t="n"/>
      <c r="E1680" s="36" t="n"/>
      <c r="F1680" s="36" t="n"/>
      <c r="G1680" s="36" t="n"/>
      <c r="H1680" s="36" t="n"/>
      <c r="I1680" s="36" t="n"/>
      <c r="J1680" s="37" t="n"/>
      <c r="K1680" s="32" t="n"/>
      <c r="L1680" s="36" t="n"/>
      <c r="M1680" s="41" t="n"/>
      <c r="N1680" s="41" t="n"/>
      <c r="O1680" s="36" t="n"/>
      <c r="P1680" s="33">
        <f>IF(C1680="","",Commercial_Id)</f>
        <v/>
      </c>
      <c r="Q1680" s="39">
        <f>IF(F1680="","",IFERROR(VALUE(MID(F1680,LEN(F1680)-3,3)),""))</f>
        <v/>
      </c>
      <c r="R1680" s="33">
        <f>IF(Q1680="","",P1680&amp;"|"&amp;Q1680)</f>
        <v/>
      </c>
      <c r="S1680" s="33">
        <f>IF(Q1680="","",IF(P1680="À RENSEIGNER","GIC",P1680)&amp;"-"&amp;TEXT(Q1680,"000"))</f>
        <v/>
      </c>
      <c r="T1680" s="33">
        <f>IF(R1680="","",IFERROR(INDEX(Cl_nom,MATCH(R1680,Cl_cle,0)),"(client introuvable)"))</f>
        <v/>
      </c>
      <c r="U1680" s="33">
        <f>IF(R1680="","",IFERROR(INDEX(Cl_quartier,MATCH(R1680,Cl_cle,0))&amp;"",""))</f>
        <v/>
      </c>
      <c r="V1680" s="34">
        <f>IF(C1680="","",YEAR(C1680-WEEKDAY(C1680,2)+4)&amp;"-S"&amp;TEXT(INT((C1680-DATE(YEAR(C1680-WEEKDAY(C1680,2)+4),1,3)+WEEKDAY(DATE(YEAR(C1680-WEEKDAY(C1680,2)+4),1,3),2)+5)/7),"00"))</f>
        <v/>
      </c>
    </row>
    <row r="1681" ht="18" customHeight="1">
      <c r="A1681" s="39" t="n">
        <v>1676</v>
      </c>
      <c r="B1681" s="33">
        <f>IF(C1681="","",IF(P1681="À RENSEIGNER","GIC",P1681)&amp;"-V"&amp;TEXT(A1681,"00000"))</f>
        <v/>
      </c>
      <c r="C1681" s="32" t="n"/>
      <c r="D1681" s="35" t="n"/>
      <c r="E1681" s="36" t="n"/>
      <c r="F1681" s="36" t="n"/>
      <c r="G1681" s="36" t="n"/>
      <c r="H1681" s="36" t="n"/>
      <c r="I1681" s="36" t="n"/>
      <c r="J1681" s="37" t="n"/>
      <c r="K1681" s="32" t="n"/>
      <c r="L1681" s="36" t="n"/>
      <c r="M1681" s="41" t="n"/>
      <c r="N1681" s="41" t="n"/>
      <c r="O1681" s="36" t="n"/>
      <c r="P1681" s="33">
        <f>IF(C1681="","",Commercial_Id)</f>
        <v/>
      </c>
      <c r="Q1681" s="39">
        <f>IF(F1681="","",IFERROR(VALUE(MID(F1681,LEN(F1681)-3,3)),""))</f>
        <v/>
      </c>
      <c r="R1681" s="33">
        <f>IF(Q1681="","",P1681&amp;"|"&amp;Q1681)</f>
        <v/>
      </c>
      <c r="S1681" s="33">
        <f>IF(Q1681="","",IF(P1681="À RENSEIGNER","GIC",P1681)&amp;"-"&amp;TEXT(Q1681,"000"))</f>
        <v/>
      </c>
      <c r="T1681" s="33">
        <f>IF(R1681="","",IFERROR(INDEX(Cl_nom,MATCH(R1681,Cl_cle,0)),"(client introuvable)"))</f>
        <v/>
      </c>
      <c r="U1681" s="33">
        <f>IF(R1681="","",IFERROR(INDEX(Cl_quartier,MATCH(R1681,Cl_cle,0))&amp;"",""))</f>
        <v/>
      </c>
      <c r="V1681" s="34">
        <f>IF(C1681="","",YEAR(C1681-WEEKDAY(C1681,2)+4)&amp;"-S"&amp;TEXT(INT((C1681-DATE(YEAR(C1681-WEEKDAY(C1681,2)+4),1,3)+WEEKDAY(DATE(YEAR(C1681-WEEKDAY(C1681,2)+4),1,3),2)+5)/7),"00"))</f>
        <v/>
      </c>
    </row>
    <row r="1682" ht="18" customHeight="1">
      <c r="A1682" s="39" t="n">
        <v>1677</v>
      </c>
      <c r="B1682" s="33">
        <f>IF(C1682="","",IF(P1682="À RENSEIGNER","GIC",P1682)&amp;"-V"&amp;TEXT(A1682,"00000"))</f>
        <v/>
      </c>
      <c r="C1682" s="32" t="n"/>
      <c r="D1682" s="35" t="n"/>
      <c r="E1682" s="36" t="n"/>
      <c r="F1682" s="36" t="n"/>
      <c r="G1682" s="36" t="n"/>
      <c r="H1682" s="36" t="n"/>
      <c r="I1682" s="36" t="n"/>
      <c r="J1682" s="37" t="n"/>
      <c r="K1682" s="32" t="n"/>
      <c r="L1682" s="36" t="n"/>
      <c r="M1682" s="41" t="n"/>
      <c r="N1682" s="41" t="n"/>
      <c r="O1682" s="36" t="n"/>
      <c r="P1682" s="33">
        <f>IF(C1682="","",Commercial_Id)</f>
        <v/>
      </c>
      <c r="Q1682" s="39">
        <f>IF(F1682="","",IFERROR(VALUE(MID(F1682,LEN(F1682)-3,3)),""))</f>
        <v/>
      </c>
      <c r="R1682" s="33">
        <f>IF(Q1682="","",P1682&amp;"|"&amp;Q1682)</f>
        <v/>
      </c>
      <c r="S1682" s="33">
        <f>IF(Q1682="","",IF(P1682="À RENSEIGNER","GIC",P1682)&amp;"-"&amp;TEXT(Q1682,"000"))</f>
        <v/>
      </c>
      <c r="T1682" s="33">
        <f>IF(R1682="","",IFERROR(INDEX(Cl_nom,MATCH(R1682,Cl_cle,0)),"(client introuvable)"))</f>
        <v/>
      </c>
      <c r="U1682" s="33">
        <f>IF(R1682="","",IFERROR(INDEX(Cl_quartier,MATCH(R1682,Cl_cle,0))&amp;"",""))</f>
        <v/>
      </c>
      <c r="V1682" s="34">
        <f>IF(C1682="","",YEAR(C1682-WEEKDAY(C1682,2)+4)&amp;"-S"&amp;TEXT(INT((C1682-DATE(YEAR(C1682-WEEKDAY(C1682,2)+4),1,3)+WEEKDAY(DATE(YEAR(C1682-WEEKDAY(C1682,2)+4),1,3),2)+5)/7),"00"))</f>
        <v/>
      </c>
    </row>
    <row r="1683" ht="18" customHeight="1">
      <c r="A1683" s="39" t="n">
        <v>1678</v>
      </c>
      <c r="B1683" s="33">
        <f>IF(C1683="","",IF(P1683="À RENSEIGNER","GIC",P1683)&amp;"-V"&amp;TEXT(A1683,"00000"))</f>
        <v/>
      </c>
      <c r="C1683" s="32" t="n"/>
      <c r="D1683" s="35" t="n"/>
      <c r="E1683" s="36" t="n"/>
      <c r="F1683" s="36" t="n"/>
      <c r="G1683" s="36" t="n"/>
      <c r="H1683" s="36" t="n"/>
      <c r="I1683" s="36" t="n"/>
      <c r="J1683" s="37" t="n"/>
      <c r="K1683" s="32" t="n"/>
      <c r="L1683" s="36" t="n"/>
      <c r="M1683" s="41" t="n"/>
      <c r="N1683" s="41" t="n"/>
      <c r="O1683" s="36" t="n"/>
      <c r="P1683" s="33">
        <f>IF(C1683="","",Commercial_Id)</f>
        <v/>
      </c>
      <c r="Q1683" s="39">
        <f>IF(F1683="","",IFERROR(VALUE(MID(F1683,LEN(F1683)-3,3)),""))</f>
        <v/>
      </c>
      <c r="R1683" s="33">
        <f>IF(Q1683="","",P1683&amp;"|"&amp;Q1683)</f>
        <v/>
      </c>
      <c r="S1683" s="33">
        <f>IF(Q1683="","",IF(P1683="À RENSEIGNER","GIC",P1683)&amp;"-"&amp;TEXT(Q1683,"000"))</f>
        <v/>
      </c>
      <c r="T1683" s="33">
        <f>IF(R1683="","",IFERROR(INDEX(Cl_nom,MATCH(R1683,Cl_cle,0)),"(client introuvable)"))</f>
        <v/>
      </c>
      <c r="U1683" s="33">
        <f>IF(R1683="","",IFERROR(INDEX(Cl_quartier,MATCH(R1683,Cl_cle,0))&amp;"",""))</f>
        <v/>
      </c>
      <c r="V1683" s="34">
        <f>IF(C1683="","",YEAR(C1683-WEEKDAY(C1683,2)+4)&amp;"-S"&amp;TEXT(INT((C1683-DATE(YEAR(C1683-WEEKDAY(C1683,2)+4),1,3)+WEEKDAY(DATE(YEAR(C1683-WEEKDAY(C1683,2)+4),1,3),2)+5)/7),"00"))</f>
        <v/>
      </c>
    </row>
    <row r="1684" ht="18" customHeight="1">
      <c r="A1684" s="39" t="n">
        <v>1679</v>
      </c>
      <c r="B1684" s="33">
        <f>IF(C1684="","",IF(P1684="À RENSEIGNER","GIC",P1684)&amp;"-V"&amp;TEXT(A1684,"00000"))</f>
        <v/>
      </c>
      <c r="C1684" s="32" t="n"/>
      <c r="D1684" s="35" t="n"/>
      <c r="E1684" s="36" t="n"/>
      <c r="F1684" s="36" t="n"/>
      <c r="G1684" s="36" t="n"/>
      <c r="H1684" s="36" t="n"/>
      <c r="I1684" s="36" t="n"/>
      <c r="J1684" s="37" t="n"/>
      <c r="K1684" s="32" t="n"/>
      <c r="L1684" s="36" t="n"/>
      <c r="M1684" s="41" t="n"/>
      <c r="N1684" s="41" t="n"/>
      <c r="O1684" s="36" t="n"/>
      <c r="P1684" s="33">
        <f>IF(C1684="","",Commercial_Id)</f>
        <v/>
      </c>
      <c r="Q1684" s="39">
        <f>IF(F1684="","",IFERROR(VALUE(MID(F1684,LEN(F1684)-3,3)),""))</f>
        <v/>
      </c>
      <c r="R1684" s="33">
        <f>IF(Q1684="","",P1684&amp;"|"&amp;Q1684)</f>
        <v/>
      </c>
      <c r="S1684" s="33">
        <f>IF(Q1684="","",IF(P1684="À RENSEIGNER","GIC",P1684)&amp;"-"&amp;TEXT(Q1684,"000"))</f>
        <v/>
      </c>
      <c r="T1684" s="33">
        <f>IF(R1684="","",IFERROR(INDEX(Cl_nom,MATCH(R1684,Cl_cle,0)),"(client introuvable)"))</f>
        <v/>
      </c>
      <c r="U1684" s="33">
        <f>IF(R1684="","",IFERROR(INDEX(Cl_quartier,MATCH(R1684,Cl_cle,0))&amp;"",""))</f>
        <v/>
      </c>
      <c r="V1684" s="34">
        <f>IF(C1684="","",YEAR(C1684-WEEKDAY(C1684,2)+4)&amp;"-S"&amp;TEXT(INT((C1684-DATE(YEAR(C1684-WEEKDAY(C1684,2)+4),1,3)+WEEKDAY(DATE(YEAR(C1684-WEEKDAY(C1684,2)+4),1,3),2)+5)/7),"00"))</f>
        <v/>
      </c>
    </row>
    <row r="1685" ht="18" customHeight="1">
      <c r="A1685" s="39" t="n">
        <v>1680</v>
      </c>
      <c r="B1685" s="33">
        <f>IF(C1685="","",IF(P1685="À RENSEIGNER","GIC",P1685)&amp;"-V"&amp;TEXT(A1685,"00000"))</f>
        <v/>
      </c>
      <c r="C1685" s="32" t="n"/>
      <c r="D1685" s="35" t="n"/>
      <c r="E1685" s="36" t="n"/>
      <c r="F1685" s="36" t="n"/>
      <c r="G1685" s="36" t="n"/>
      <c r="H1685" s="36" t="n"/>
      <c r="I1685" s="36" t="n"/>
      <c r="J1685" s="37" t="n"/>
      <c r="K1685" s="32" t="n"/>
      <c r="L1685" s="36" t="n"/>
      <c r="M1685" s="41" t="n"/>
      <c r="N1685" s="41" t="n"/>
      <c r="O1685" s="36" t="n"/>
      <c r="P1685" s="33">
        <f>IF(C1685="","",Commercial_Id)</f>
        <v/>
      </c>
      <c r="Q1685" s="39">
        <f>IF(F1685="","",IFERROR(VALUE(MID(F1685,LEN(F1685)-3,3)),""))</f>
        <v/>
      </c>
      <c r="R1685" s="33">
        <f>IF(Q1685="","",P1685&amp;"|"&amp;Q1685)</f>
        <v/>
      </c>
      <c r="S1685" s="33">
        <f>IF(Q1685="","",IF(P1685="À RENSEIGNER","GIC",P1685)&amp;"-"&amp;TEXT(Q1685,"000"))</f>
        <v/>
      </c>
      <c r="T1685" s="33">
        <f>IF(R1685="","",IFERROR(INDEX(Cl_nom,MATCH(R1685,Cl_cle,0)),"(client introuvable)"))</f>
        <v/>
      </c>
      <c r="U1685" s="33">
        <f>IF(R1685="","",IFERROR(INDEX(Cl_quartier,MATCH(R1685,Cl_cle,0))&amp;"",""))</f>
        <v/>
      </c>
      <c r="V1685" s="34">
        <f>IF(C1685="","",YEAR(C1685-WEEKDAY(C1685,2)+4)&amp;"-S"&amp;TEXT(INT((C1685-DATE(YEAR(C1685-WEEKDAY(C1685,2)+4),1,3)+WEEKDAY(DATE(YEAR(C1685-WEEKDAY(C1685,2)+4),1,3),2)+5)/7),"00"))</f>
        <v/>
      </c>
    </row>
    <row r="1686" ht="18" customHeight="1">
      <c r="A1686" s="39" t="n">
        <v>1681</v>
      </c>
      <c r="B1686" s="33">
        <f>IF(C1686="","",IF(P1686="À RENSEIGNER","GIC",P1686)&amp;"-V"&amp;TEXT(A1686,"00000"))</f>
        <v/>
      </c>
      <c r="C1686" s="32" t="n"/>
      <c r="D1686" s="35" t="n"/>
      <c r="E1686" s="36" t="n"/>
      <c r="F1686" s="36" t="n"/>
      <c r="G1686" s="36" t="n"/>
      <c r="H1686" s="36" t="n"/>
      <c r="I1686" s="36" t="n"/>
      <c r="J1686" s="37" t="n"/>
      <c r="K1686" s="32" t="n"/>
      <c r="L1686" s="36" t="n"/>
      <c r="M1686" s="41" t="n"/>
      <c r="N1686" s="41" t="n"/>
      <c r="O1686" s="36" t="n"/>
      <c r="P1686" s="33">
        <f>IF(C1686="","",Commercial_Id)</f>
        <v/>
      </c>
      <c r="Q1686" s="39">
        <f>IF(F1686="","",IFERROR(VALUE(MID(F1686,LEN(F1686)-3,3)),""))</f>
        <v/>
      </c>
      <c r="R1686" s="33">
        <f>IF(Q1686="","",P1686&amp;"|"&amp;Q1686)</f>
        <v/>
      </c>
      <c r="S1686" s="33">
        <f>IF(Q1686="","",IF(P1686="À RENSEIGNER","GIC",P1686)&amp;"-"&amp;TEXT(Q1686,"000"))</f>
        <v/>
      </c>
      <c r="T1686" s="33">
        <f>IF(R1686="","",IFERROR(INDEX(Cl_nom,MATCH(R1686,Cl_cle,0)),"(client introuvable)"))</f>
        <v/>
      </c>
      <c r="U1686" s="33">
        <f>IF(R1686="","",IFERROR(INDEX(Cl_quartier,MATCH(R1686,Cl_cle,0))&amp;"",""))</f>
        <v/>
      </c>
      <c r="V1686" s="34">
        <f>IF(C1686="","",YEAR(C1686-WEEKDAY(C1686,2)+4)&amp;"-S"&amp;TEXT(INT((C1686-DATE(YEAR(C1686-WEEKDAY(C1686,2)+4),1,3)+WEEKDAY(DATE(YEAR(C1686-WEEKDAY(C1686,2)+4),1,3),2)+5)/7),"00"))</f>
        <v/>
      </c>
    </row>
    <row r="1687" ht="18" customHeight="1">
      <c r="A1687" s="39" t="n">
        <v>1682</v>
      </c>
      <c r="B1687" s="33">
        <f>IF(C1687="","",IF(P1687="À RENSEIGNER","GIC",P1687)&amp;"-V"&amp;TEXT(A1687,"00000"))</f>
        <v/>
      </c>
      <c r="C1687" s="32" t="n"/>
      <c r="D1687" s="35" t="n"/>
      <c r="E1687" s="36" t="n"/>
      <c r="F1687" s="36" t="n"/>
      <c r="G1687" s="36" t="n"/>
      <c r="H1687" s="36" t="n"/>
      <c r="I1687" s="36" t="n"/>
      <c r="J1687" s="37" t="n"/>
      <c r="K1687" s="32" t="n"/>
      <c r="L1687" s="36" t="n"/>
      <c r="M1687" s="41" t="n"/>
      <c r="N1687" s="41" t="n"/>
      <c r="O1687" s="36" t="n"/>
      <c r="P1687" s="33">
        <f>IF(C1687="","",Commercial_Id)</f>
        <v/>
      </c>
      <c r="Q1687" s="39">
        <f>IF(F1687="","",IFERROR(VALUE(MID(F1687,LEN(F1687)-3,3)),""))</f>
        <v/>
      </c>
      <c r="R1687" s="33">
        <f>IF(Q1687="","",P1687&amp;"|"&amp;Q1687)</f>
        <v/>
      </c>
      <c r="S1687" s="33">
        <f>IF(Q1687="","",IF(P1687="À RENSEIGNER","GIC",P1687)&amp;"-"&amp;TEXT(Q1687,"000"))</f>
        <v/>
      </c>
      <c r="T1687" s="33">
        <f>IF(R1687="","",IFERROR(INDEX(Cl_nom,MATCH(R1687,Cl_cle,0)),"(client introuvable)"))</f>
        <v/>
      </c>
      <c r="U1687" s="33">
        <f>IF(R1687="","",IFERROR(INDEX(Cl_quartier,MATCH(R1687,Cl_cle,0))&amp;"",""))</f>
        <v/>
      </c>
      <c r="V1687" s="34">
        <f>IF(C1687="","",YEAR(C1687-WEEKDAY(C1687,2)+4)&amp;"-S"&amp;TEXT(INT((C1687-DATE(YEAR(C1687-WEEKDAY(C1687,2)+4),1,3)+WEEKDAY(DATE(YEAR(C1687-WEEKDAY(C1687,2)+4),1,3),2)+5)/7),"00"))</f>
        <v/>
      </c>
    </row>
    <row r="1688" ht="18" customHeight="1">
      <c r="A1688" s="39" t="n">
        <v>1683</v>
      </c>
      <c r="B1688" s="33">
        <f>IF(C1688="","",IF(P1688="À RENSEIGNER","GIC",P1688)&amp;"-V"&amp;TEXT(A1688,"00000"))</f>
        <v/>
      </c>
      <c r="C1688" s="32" t="n"/>
      <c r="D1688" s="35" t="n"/>
      <c r="E1688" s="36" t="n"/>
      <c r="F1688" s="36" t="n"/>
      <c r="G1688" s="36" t="n"/>
      <c r="H1688" s="36" t="n"/>
      <c r="I1688" s="36" t="n"/>
      <c r="J1688" s="37" t="n"/>
      <c r="K1688" s="32" t="n"/>
      <c r="L1688" s="36" t="n"/>
      <c r="M1688" s="41" t="n"/>
      <c r="N1688" s="41" t="n"/>
      <c r="O1688" s="36" t="n"/>
      <c r="P1688" s="33">
        <f>IF(C1688="","",Commercial_Id)</f>
        <v/>
      </c>
      <c r="Q1688" s="39">
        <f>IF(F1688="","",IFERROR(VALUE(MID(F1688,LEN(F1688)-3,3)),""))</f>
        <v/>
      </c>
      <c r="R1688" s="33">
        <f>IF(Q1688="","",P1688&amp;"|"&amp;Q1688)</f>
        <v/>
      </c>
      <c r="S1688" s="33">
        <f>IF(Q1688="","",IF(P1688="À RENSEIGNER","GIC",P1688)&amp;"-"&amp;TEXT(Q1688,"000"))</f>
        <v/>
      </c>
      <c r="T1688" s="33">
        <f>IF(R1688="","",IFERROR(INDEX(Cl_nom,MATCH(R1688,Cl_cle,0)),"(client introuvable)"))</f>
        <v/>
      </c>
      <c r="U1688" s="33">
        <f>IF(R1688="","",IFERROR(INDEX(Cl_quartier,MATCH(R1688,Cl_cle,0))&amp;"",""))</f>
        <v/>
      </c>
      <c r="V1688" s="34">
        <f>IF(C1688="","",YEAR(C1688-WEEKDAY(C1688,2)+4)&amp;"-S"&amp;TEXT(INT((C1688-DATE(YEAR(C1688-WEEKDAY(C1688,2)+4),1,3)+WEEKDAY(DATE(YEAR(C1688-WEEKDAY(C1688,2)+4),1,3),2)+5)/7),"00"))</f>
        <v/>
      </c>
    </row>
    <row r="1689" ht="18" customHeight="1">
      <c r="A1689" s="39" t="n">
        <v>1684</v>
      </c>
      <c r="B1689" s="33">
        <f>IF(C1689="","",IF(P1689="À RENSEIGNER","GIC",P1689)&amp;"-V"&amp;TEXT(A1689,"00000"))</f>
        <v/>
      </c>
      <c r="C1689" s="32" t="n"/>
      <c r="D1689" s="35" t="n"/>
      <c r="E1689" s="36" t="n"/>
      <c r="F1689" s="36" t="n"/>
      <c r="G1689" s="36" t="n"/>
      <c r="H1689" s="36" t="n"/>
      <c r="I1689" s="36" t="n"/>
      <c r="J1689" s="37" t="n"/>
      <c r="K1689" s="32" t="n"/>
      <c r="L1689" s="36" t="n"/>
      <c r="M1689" s="41" t="n"/>
      <c r="N1689" s="41" t="n"/>
      <c r="O1689" s="36" t="n"/>
      <c r="P1689" s="33">
        <f>IF(C1689="","",Commercial_Id)</f>
        <v/>
      </c>
      <c r="Q1689" s="39">
        <f>IF(F1689="","",IFERROR(VALUE(MID(F1689,LEN(F1689)-3,3)),""))</f>
        <v/>
      </c>
      <c r="R1689" s="33">
        <f>IF(Q1689="","",P1689&amp;"|"&amp;Q1689)</f>
        <v/>
      </c>
      <c r="S1689" s="33">
        <f>IF(Q1689="","",IF(P1689="À RENSEIGNER","GIC",P1689)&amp;"-"&amp;TEXT(Q1689,"000"))</f>
        <v/>
      </c>
      <c r="T1689" s="33">
        <f>IF(R1689="","",IFERROR(INDEX(Cl_nom,MATCH(R1689,Cl_cle,0)),"(client introuvable)"))</f>
        <v/>
      </c>
      <c r="U1689" s="33">
        <f>IF(R1689="","",IFERROR(INDEX(Cl_quartier,MATCH(R1689,Cl_cle,0))&amp;"",""))</f>
        <v/>
      </c>
      <c r="V1689" s="34">
        <f>IF(C1689="","",YEAR(C1689-WEEKDAY(C1689,2)+4)&amp;"-S"&amp;TEXT(INT((C1689-DATE(YEAR(C1689-WEEKDAY(C1689,2)+4),1,3)+WEEKDAY(DATE(YEAR(C1689-WEEKDAY(C1689,2)+4),1,3),2)+5)/7),"00"))</f>
        <v/>
      </c>
    </row>
    <row r="1690" ht="18" customHeight="1">
      <c r="A1690" s="39" t="n">
        <v>1685</v>
      </c>
      <c r="B1690" s="33">
        <f>IF(C1690="","",IF(P1690="À RENSEIGNER","GIC",P1690)&amp;"-V"&amp;TEXT(A1690,"00000"))</f>
        <v/>
      </c>
      <c r="C1690" s="32" t="n"/>
      <c r="D1690" s="35" t="n"/>
      <c r="E1690" s="36" t="n"/>
      <c r="F1690" s="36" t="n"/>
      <c r="G1690" s="36" t="n"/>
      <c r="H1690" s="36" t="n"/>
      <c r="I1690" s="36" t="n"/>
      <c r="J1690" s="37" t="n"/>
      <c r="K1690" s="32" t="n"/>
      <c r="L1690" s="36" t="n"/>
      <c r="M1690" s="41" t="n"/>
      <c r="N1690" s="41" t="n"/>
      <c r="O1690" s="36" t="n"/>
      <c r="P1690" s="33">
        <f>IF(C1690="","",Commercial_Id)</f>
        <v/>
      </c>
      <c r="Q1690" s="39">
        <f>IF(F1690="","",IFERROR(VALUE(MID(F1690,LEN(F1690)-3,3)),""))</f>
        <v/>
      </c>
      <c r="R1690" s="33">
        <f>IF(Q1690="","",P1690&amp;"|"&amp;Q1690)</f>
        <v/>
      </c>
      <c r="S1690" s="33">
        <f>IF(Q1690="","",IF(P1690="À RENSEIGNER","GIC",P1690)&amp;"-"&amp;TEXT(Q1690,"000"))</f>
        <v/>
      </c>
      <c r="T1690" s="33">
        <f>IF(R1690="","",IFERROR(INDEX(Cl_nom,MATCH(R1690,Cl_cle,0)),"(client introuvable)"))</f>
        <v/>
      </c>
      <c r="U1690" s="33">
        <f>IF(R1690="","",IFERROR(INDEX(Cl_quartier,MATCH(R1690,Cl_cle,0))&amp;"",""))</f>
        <v/>
      </c>
      <c r="V1690" s="34">
        <f>IF(C1690="","",YEAR(C1690-WEEKDAY(C1690,2)+4)&amp;"-S"&amp;TEXT(INT((C1690-DATE(YEAR(C1690-WEEKDAY(C1690,2)+4),1,3)+WEEKDAY(DATE(YEAR(C1690-WEEKDAY(C1690,2)+4),1,3),2)+5)/7),"00"))</f>
        <v/>
      </c>
    </row>
    <row r="1691" ht="18" customHeight="1">
      <c r="A1691" s="39" t="n">
        <v>1686</v>
      </c>
      <c r="B1691" s="33">
        <f>IF(C1691="","",IF(P1691="À RENSEIGNER","GIC",P1691)&amp;"-V"&amp;TEXT(A1691,"00000"))</f>
        <v/>
      </c>
      <c r="C1691" s="32" t="n"/>
      <c r="D1691" s="35" t="n"/>
      <c r="E1691" s="36" t="n"/>
      <c r="F1691" s="36" t="n"/>
      <c r="G1691" s="36" t="n"/>
      <c r="H1691" s="36" t="n"/>
      <c r="I1691" s="36" t="n"/>
      <c r="J1691" s="37" t="n"/>
      <c r="K1691" s="32" t="n"/>
      <c r="L1691" s="36" t="n"/>
      <c r="M1691" s="41" t="n"/>
      <c r="N1691" s="41" t="n"/>
      <c r="O1691" s="36" t="n"/>
      <c r="P1691" s="33">
        <f>IF(C1691="","",Commercial_Id)</f>
        <v/>
      </c>
      <c r="Q1691" s="39">
        <f>IF(F1691="","",IFERROR(VALUE(MID(F1691,LEN(F1691)-3,3)),""))</f>
        <v/>
      </c>
      <c r="R1691" s="33">
        <f>IF(Q1691="","",P1691&amp;"|"&amp;Q1691)</f>
        <v/>
      </c>
      <c r="S1691" s="33">
        <f>IF(Q1691="","",IF(P1691="À RENSEIGNER","GIC",P1691)&amp;"-"&amp;TEXT(Q1691,"000"))</f>
        <v/>
      </c>
      <c r="T1691" s="33">
        <f>IF(R1691="","",IFERROR(INDEX(Cl_nom,MATCH(R1691,Cl_cle,0)),"(client introuvable)"))</f>
        <v/>
      </c>
      <c r="U1691" s="33">
        <f>IF(R1691="","",IFERROR(INDEX(Cl_quartier,MATCH(R1691,Cl_cle,0))&amp;"",""))</f>
        <v/>
      </c>
      <c r="V1691" s="34">
        <f>IF(C1691="","",YEAR(C1691-WEEKDAY(C1691,2)+4)&amp;"-S"&amp;TEXT(INT((C1691-DATE(YEAR(C1691-WEEKDAY(C1691,2)+4),1,3)+WEEKDAY(DATE(YEAR(C1691-WEEKDAY(C1691,2)+4),1,3),2)+5)/7),"00"))</f>
        <v/>
      </c>
    </row>
    <row r="1692" ht="18" customHeight="1">
      <c r="A1692" s="39" t="n">
        <v>1687</v>
      </c>
      <c r="B1692" s="33">
        <f>IF(C1692="","",IF(P1692="À RENSEIGNER","GIC",P1692)&amp;"-V"&amp;TEXT(A1692,"00000"))</f>
        <v/>
      </c>
      <c r="C1692" s="32" t="n"/>
      <c r="D1692" s="35" t="n"/>
      <c r="E1692" s="36" t="n"/>
      <c r="F1692" s="36" t="n"/>
      <c r="G1692" s="36" t="n"/>
      <c r="H1692" s="36" t="n"/>
      <c r="I1692" s="36" t="n"/>
      <c r="J1692" s="37" t="n"/>
      <c r="K1692" s="32" t="n"/>
      <c r="L1692" s="36" t="n"/>
      <c r="M1692" s="41" t="n"/>
      <c r="N1692" s="41" t="n"/>
      <c r="O1692" s="36" t="n"/>
      <c r="P1692" s="33">
        <f>IF(C1692="","",Commercial_Id)</f>
        <v/>
      </c>
      <c r="Q1692" s="39">
        <f>IF(F1692="","",IFERROR(VALUE(MID(F1692,LEN(F1692)-3,3)),""))</f>
        <v/>
      </c>
      <c r="R1692" s="33">
        <f>IF(Q1692="","",P1692&amp;"|"&amp;Q1692)</f>
        <v/>
      </c>
      <c r="S1692" s="33">
        <f>IF(Q1692="","",IF(P1692="À RENSEIGNER","GIC",P1692)&amp;"-"&amp;TEXT(Q1692,"000"))</f>
        <v/>
      </c>
      <c r="T1692" s="33">
        <f>IF(R1692="","",IFERROR(INDEX(Cl_nom,MATCH(R1692,Cl_cle,0)),"(client introuvable)"))</f>
        <v/>
      </c>
      <c r="U1692" s="33">
        <f>IF(R1692="","",IFERROR(INDEX(Cl_quartier,MATCH(R1692,Cl_cle,0))&amp;"",""))</f>
        <v/>
      </c>
      <c r="V1692" s="34">
        <f>IF(C1692="","",YEAR(C1692-WEEKDAY(C1692,2)+4)&amp;"-S"&amp;TEXT(INT((C1692-DATE(YEAR(C1692-WEEKDAY(C1692,2)+4),1,3)+WEEKDAY(DATE(YEAR(C1692-WEEKDAY(C1692,2)+4),1,3),2)+5)/7),"00"))</f>
        <v/>
      </c>
    </row>
    <row r="1693" ht="18" customHeight="1">
      <c r="A1693" s="39" t="n">
        <v>1688</v>
      </c>
      <c r="B1693" s="33">
        <f>IF(C1693="","",IF(P1693="À RENSEIGNER","GIC",P1693)&amp;"-V"&amp;TEXT(A1693,"00000"))</f>
        <v/>
      </c>
      <c r="C1693" s="32" t="n"/>
      <c r="D1693" s="35" t="n"/>
      <c r="E1693" s="36" t="n"/>
      <c r="F1693" s="36" t="n"/>
      <c r="G1693" s="36" t="n"/>
      <c r="H1693" s="36" t="n"/>
      <c r="I1693" s="36" t="n"/>
      <c r="J1693" s="37" t="n"/>
      <c r="K1693" s="32" t="n"/>
      <c r="L1693" s="36" t="n"/>
      <c r="M1693" s="41" t="n"/>
      <c r="N1693" s="41" t="n"/>
      <c r="O1693" s="36" t="n"/>
      <c r="P1693" s="33">
        <f>IF(C1693="","",Commercial_Id)</f>
        <v/>
      </c>
      <c r="Q1693" s="39">
        <f>IF(F1693="","",IFERROR(VALUE(MID(F1693,LEN(F1693)-3,3)),""))</f>
        <v/>
      </c>
      <c r="R1693" s="33">
        <f>IF(Q1693="","",P1693&amp;"|"&amp;Q1693)</f>
        <v/>
      </c>
      <c r="S1693" s="33">
        <f>IF(Q1693="","",IF(P1693="À RENSEIGNER","GIC",P1693)&amp;"-"&amp;TEXT(Q1693,"000"))</f>
        <v/>
      </c>
      <c r="T1693" s="33">
        <f>IF(R1693="","",IFERROR(INDEX(Cl_nom,MATCH(R1693,Cl_cle,0)),"(client introuvable)"))</f>
        <v/>
      </c>
      <c r="U1693" s="33">
        <f>IF(R1693="","",IFERROR(INDEX(Cl_quartier,MATCH(R1693,Cl_cle,0))&amp;"",""))</f>
        <v/>
      </c>
      <c r="V1693" s="34">
        <f>IF(C1693="","",YEAR(C1693-WEEKDAY(C1693,2)+4)&amp;"-S"&amp;TEXT(INT((C1693-DATE(YEAR(C1693-WEEKDAY(C1693,2)+4),1,3)+WEEKDAY(DATE(YEAR(C1693-WEEKDAY(C1693,2)+4),1,3),2)+5)/7),"00"))</f>
        <v/>
      </c>
    </row>
    <row r="1694" ht="18" customHeight="1">
      <c r="A1694" s="39" t="n">
        <v>1689</v>
      </c>
      <c r="B1694" s="33">
        <f>IF(C1694="","",IF(P1694="À RENSEIGNER","GIC",P1694)&amp;"-V"&amp;TEXT(A1694,"00000"))</f>
        <v/>
      </c>
      <c r="C1694" s="32" t="n"/>
      <c r="D1694" s="35" t="n"/>
      <c r="E1694" s="36" t="n"/>
      <c r="F1694" s="36" t="n"/>
      <c r="G1694" s="36" t="n"/>
      <c r="H1694" s="36" t="n"/>
      <c r="I1694" s="36" t="n"/>
      <c r="J1694" s="37" t="n"/>
      <c r="K1694" s="32" t="n"/>
      <c r="L1694" s="36" t="n"/>
      <c r="M1694" s="41" t="n"/>
      <c r="N1694" s="41" t="n"/>
      <c r="O1694" s="36" t="n"/>
      <c r="P1694" s="33">
        <f>IF(C1694="","",Commercial_Id)</f>
        <v/>
      </c>
      <c r="Q1694" s="39">
        <f>IF(F1694="","",IFERROR(VALUE(MID(F1694,LEN(F1694)-3,3)),""))</f>
        <v/>
      </c>
      <c r="R1694" s="33">
        <f>IF(Q1694="","",P1694&amp;"|"&amp;Q1694)</f>
        <v/>
      </c>
      <c r="S1694" s="33">
        <f>IF(Q1694="","",IF(P1694="À RENSEIGNER","GIC",P1694)&amp;"-"&amp;TEXT(Q1694,"000"))</f>
        <v/>
      </c>
      <c r="T1694" s="33">
        <f>IF(R1694="","",IFERROR(INDEX(Cl_nom,MATCH(R1694,Cl_cle,0)),"(client introuvable)"))</f>
        <v/>
      </c>
      <c r="U1694" s="33">
        <f>IF(R1694="","",IFERROR(INDEX(Cl_quartier,MATCH(R1694,Cl_cle,0))&amp;"",""))</f>
        <v/>
      </c>
      <c r="V1694" s="34">
        <f>IF(C1694="","",YEAR(C1694-WEEKDAY(C1694,2)+4)&amp;"-S"&amp;TEXT(INT((C1694-DATE(YEAR(C1694-WEEKDAY(C1694,2)+4),1,3)+WEEKDAY(DATE(YEAR(C1694-WEEKDAY(C1694,2)+4),1,3),2)+5)/7),"00"))</f>
        <v/>
      </c>
    </row>
    <row r="1695" ht="18" customHeight="1">
      <c r="A1695" s="39" t="n">
        <v>1690</v>
      </c>
      <c r="B1695" s="33">
        <f>IF(C1695="","",IF(P1695="À RENSEIGNER","GIC",P1695)&amp;"-V"&amp;TEXT(A1695,"00000"))</f>
        <v/>
      </c>
      <c r="C1695" s="32" t="n"/>
      <c r="D1695" s="35" t="n"/>
      <c r="E1695" s="36" t="n"/>
      <c r="F1695" s="36" t="n"/>
      <c r="G1695" s="36" t="n"/>
      <c r="H1695" s="36" t="n"/>
      <c r="I1695" s="36" t="n"/>
      <c r="J1695" s="37" t="n"/>
      <c r="K1695" s="32" t="n"/>
      <c r="L1695" s="36" t="n"/>
      <c r="M1695" s="41" t="n"/>
      <c r="N1695" s="41" t="n"/>
      <c r="O1695" s="36" t="n"/>
      <c r="P1695" s="33">
        <f>IF(C1695="","",Commercial_Id)</f>
        <v/>
      </c>
      <c r="Q1695" s="39">
        <f>IF(F1695="","",IFERROR(VALUE(MID(F1695,LEN(F1695)-3,3)),""))</f>
        <v/>
      </c>
      <c r="R1695" s="33">
        <f>IF(Q1695="","",P1695&amp;"|"&amp;Q1695)</f>
        <v/>
      </c>
      <c r="S1695" s="33">
        <f>IF(Q1695="","",IF(P1695="À RENSEIGNER","GIC",P1695)&amp;"-"&amp;TEXT(Q1695,"000"))</f>
        <v/>
      </c>
      <c r="T1695" s="33">
        <f>IF(R1695="","",IFERROR(INDEX(Cl_nom,MATCH(R1695,Cl_cle,0)),"(client introuvable)"))</f>
        <v/>
      </c>
      <c r="U1695" s="33">
        <f>IF(R1695="","",IFERROR(INDEX(Cl_quartier,MATCH(R1695,Cl_cle,0))&amp;"",""))</f>
        <v/>
      </c>
      <c r="V1695" s="34">
        <f>IF(C1695="","",YEAR(C1695-WEEKDAY(C1695,2)+4)&amp;"-S"&amp;TEXT(INT((C1695-DATE(YEAR(C1695-WEEKDAY(C1695,2)+4),1,3)+WEEKDAY(DATE(YEAR(C1695-WEEKDAY(C1695,2)+4),1,3),2)+5)/7),"00"))</f>
        <v/>
      </c>
    </row>
    <row r="1696" ht="18" customHeight="1">
      <c r="A1696" s="39" t="n">
        <v>1691</v>
      </c>
      <c r="B1696" s="33">
        <f>IF(C1696="","",IF(P1696="À RENSEIGNER","GIC",P1696)&amp;"-V"&amp;TEXT(A1696,"00000"))</f>
        <v/>
      </c>
      <c r="C1696" s="32" t="n"/>
      <c r="D1696" s="35" t="n"/>
      <c r="E1696" s="36" t="n"/>
      <c r="F1696" s="36" t="n"/>
      <c r="G1696" s="36" t="n"/>
      <c r="H1696" s="36" t="n"/>
      <c r="I1696" s="36" t="n"/>
      <c r="J1696" s="37" t="n"/>
      <c r="K1696" s="32" t="n"/>
      <c r="L1696" s="36" t="n"/>
      <c r="M1696" s="41" t="n"/>
      <c r="N1696" s="41" t="n"/>
      <c r="O1696" s="36" t="n"/>
      <c r="P1696" s="33">
        <f>IF(C1696="","",Commercial_Id)</f>
        <v/>
      </c>
      <c r="Q1696" s="39">
        <f>IF(F1696="","",IFERROR(VALUE(MID(F1696,LEN(F1696)-3,3)),""))</f>
        <v/>
      </c>
      <c r="R1696" s="33">
        <f>IF(Q1696="","",P1696&amp;"|"&amp;Q1696)</f>
        <v/>
      </c>
      <c r="S1696" s="33">
        <f>IF(Q1696="","",IF(P1696="À RENSEIGNER","GIC",P1696)&amp;"-"&amp;TEXT(Q1696,"000"))</f>
        <v/>
      </c>
      <c r="T1696" s="33">
        <f>IF(R1696="","",IFERROR(INDEX(Cl_nom,MATCH(R1696,Cl_cle,0)),"(client introuvable)"))</f>
        <v/>
      </c>
      <c r="U1696" s="33">
        <f>IF(R1696="","",IFERROR(INDEX(Cl_quartier,MATCH(R1696,Cl_cle,0))&amp;"",""))</f>
        <v/>
      </c>
      <c r="V1696" s="34">
        <f>IF(C1696="","",YEAR(C1696-WEEKDAY(C1696,2)+4)&amp;"-S"&amp;TEXT(INT((C1696-DATE(YEAR(C1696-WEEKDAY(C1696,2)+4),1,3)+WEEKDAY(DATE(YEAR(C1696-WEEKDAY(C1696,2)+4),1,3),2)+5)/7),"00"))</f>
        <v/>
      </c>
    </row>
    <row r="1697" ht="18" customHeight="1">
      <c r="A1697" s="39" t="n">
        <v>1692</v>
      </c>
      <c r="B1697" s="33">
        <f>IF(C1697="","",IF(P1697="À RENSEIGNER","GIC",P1697)&amp;"-V"&amp;TEXT(A1697,"00000"))</f>
        <v/>
      </c>
      <c r="C1697" s="32" t="n"/>
      <c r="D1697" s="35" t="n"/>
      <c r="E1697" s="36" t="n"/>
      <c r="F1697" s="36" t="n"/>
      <c r="G1697" s="36" t="n"/>
      <c r="H1697" s="36" t="n"/>
      <c r="I1697" s="36" t="n"/>
      <c r="J1697" s="37" t="n"/>
      <c r="K1697" s="32" t="n"/>
      <c r="L1697" s="36" t="n"/>
      <c r="M1697" s="41" t="n"/>
      <c r="N1697" s="41" t="n"/>
      <c r="O1697" s="36" t="n"/>
      <c r="P1697" s="33">
        <f>IF(C1697="","",Commercial_Id)</f>
        <v/>
      </c>
      <c r="Q1697" s="39">
        <f>IF(F1697="","",IFERROR(VALUE(MID(F1697,LEN(F1697)-3,3)),""))</f>
        <v/>
      </c>
      <c r="R1697" s="33">
        <f>IF(Q1697="","",P1697&amp;"|"&amp;Q1697)</f>
        <v/>
      </c>
      <c r="S1697" s="33">
        <f>IF(Q1697="","",IF(P1697="À RENSEIGNER","GIC",P1697)&amp;"-"&amp;TEXT(Q1697,"000"))</f>
        <v/>
      </c>
      <c r="T1697" s="33">
        <f>IF(R1697="","",IFERROR(INDEX(Cl_nom,MATCH(R1697,Cl_cle,0)),"(client introuvable)"))</f>
        <v/>
      </c>
      <c r="U1697" s="33">
        <f>IF(R1697="","",IFERROR(INDEX(Cl_quartier,MATCH(R1697,Cl_cle,0))&amp;"",""))</f>
        <v/>
      </c>
      <c r="V1697" s="34">
        <f>IF(C1697="","",YEAR(C1697-WEEKDAY(C1697,2)+4)&amp;"-S"&amp;TEXT(INT((C1697-DATE(YEAR(C1697-WEEKDAY(C1697,2)+4),1,3)+WEEKDAY(DATE(YEAR(C1697-WEEKDAY(C1697,2)+4),1,3),2)+5)/7),"00"))</f>
        <v/>
      </c>
    </row>
    <row r="1698" ht="18" customHeight="1">
      <c r="A1698" s="39" t="n">
        <v>1693</v>
      </c>
      <c r="B1698" s="33">
        <f>IF(C1698="","",IF(P1698="À RENSEIGNER","GIC",P1698)&amp;"-V"&amp;TEXT(A1698,"00000"))</f>
        <v/>
      </c>
      <c r="C1698" s="32" t="n"/>
      <c r="D1698" s="35" t="n"/>
      <c r="E1698" s="36" t="n"/>
      <c r="F1698" s="36" t="n"/>
      <c r="G1698" s="36" t="n"/>
      <c r="H1698" s="36" t="n"/>
      <c r="I1698" s="36" t="n"/>
      <c r="J1698" s="37" t="n"/>
      <c r="K1698" s="32" t="n"/>
      <c r="L1698" s="36" t="n"/>
      <c r="M1698" s="41" t="n"/>
      <c r="N1698" s="41" t="n"/>
      <c r="O1698" s="36" t="n"/>
      <c r="P1698" s="33">
        <f>IF(C1698="","",Commercial_Id)</f>
        <v/>
      </c>
      <c r="Q1698" s="39">
        <f>IF(F1698="","",IFERROR(VALUE(MID(F1698,LEN(F1698)-3,3)),""))</f>
        <v/>
      </c>
      <c r="R1698" s="33">
        <f>IF(Q1698="","",P1698&amp;"|"&amp;Q1698)</f>
        <v/>
      </c>
      <c r="S1698" s="33">
        <f>IF(Q1698="","",IF(P1698="À RENSEIGNER","GIC",P1698)&amp;"-"&amp;TEXT(Q1698,"000"))</f>
        <v/>
      </c>
      <c r="T1698" s="33">
        <f>IF(R1698="","",IFERROR(INDEX(Cl_nom,MATCH(R1698,Cl_cle,0)),"(client introuvable)"))</f>
        <v/>
      </c>
      <c r="U1698" s="33">
        <f>IF(R1698="","",IFERROR(INDEX(Cl_quartier,MATCH(R1698,Cl_cle,0))&amp;"",""))</f>
        <v/>
      </c>
      <c r="V1698" s="34">
        <f>IF(C1698="","",YEAR(C1698-WEEKDAY(C1698,2)+4)&amp;"-S"&amp;TEXT(INT((C1698-DATE(YEAR(C1698-WEEKDAY(C1698,2)+4),1,3)+WEEKDAY(DATE(YEAR(C1698-WEEKDAY(C1698,2)+4),1,3),2)+5)/7),"00"))</f>
        <v/>
      </c>
    </row>
    <row r="1699" ht="18" customHeight="1">
      <c r="A1699" s="39" t="n">
        <v>1694</v>
      </c>
      <c r="B1699" s="33">
        <f>IF(C1699="","",IF(P1699="À RENSEIGNER","GIC",P1699)&amp;"-V"&amp;TEXT(A1699,"00000"))</f>
        <v/>
      </c>
      <c r="C1699" s="32" t="n"/>
      <c r="D1699" s="35" t="n"/>
      <c r="E1699" s="36" t="n"/>
      <c r="F1699" s="36" t="n"/>
      <c r="G1699" s="36" t="n"/>
      <c r="H1699" s="36" t="n"/>
      <c r="I1699" s="36" t="n"/>
      <c r="J1699" s="37" t="n"/>
      <c r="K1699" s="32" t="n"/>
      <c r="L1699" s="36" t="n"/>
      <c r="M1699" s="41" t="n"/>
      <c r="N1699" s="41" t="n"/>
      <c r="O1699" s="36" t="n"/>
      <c r="P1699" s="33">
        <f>IF(C1699="","",Commercial_Id)</f>
        <v/>
      </c>
      <c r="Q1699" s="39">
        <f>IF(F1699="","",IFERROR(VALUE(MID(F1699,LEN(F1699)-3,3)),""))</f>
        <v/>
      </c>
      <c r="R1699" s="33">
        <f>IF(Q1699="","",P1699&amp;"|"&amp;Q1699)</f>
        <v/>
      </c>
      <c r="S1699" s="33">
        <f>IF(Q1699="","",IF(P1699="À RENSEIGNER","GIC",P1699)&amp;"-"&amp;TEXT(Q1699,"000"))</f>
        <v/>
      </c>
      <c r="T1699" s="33">
        <f>IF(R1699="","",IFERROR(INDEX(Cl_nom,MATCH(R1699,Cl_cle,0)),"(client introuvable)"))</f>
        <v/>
      </c>
      <c r="U1699" s="33">
        <f>IF(R1699="","",IFERROR(INDEX(Cl_quartier,MATCH(R1699,Cl_cle,0))&amp;"",""))</f>
        <v/>
      </c>
      <c r="V1699" s="34">
        <f>IF(C1699="","",YEAR(C1699-WEEKDAY(C1699,2)+4)&amp;"-S"&amp;TEXT(INT((C1699-DATE(YEAR(C1699-WEEKDAY(C1699,2)+4),1,3)+WEEKDAY(DATE(YEAR(C1699-WEEKDAY(C1699,2)+4),1,3),2)+5)/7),"00"))</f>
        <v/>
      </c>
    </row>
    <row r="1700" ht="18" customHeight="1">
      <c r="A1700" s="39" t="n">
        <v>1695</v>
      </c>
      <c r="B1700" s="33">
        <f>IF(C1700="","",IF(P1700="À RENSEIGNER","GIC",P1700)&amp;"-V"&amp;TEXT(A1700,"00000"))</f>
        <v/>
      </c>
      <c r="C1700" s="32" t="n"/>
      <c r="D1700" s="35" t="n"/>
      <c r="E1700" s="36" t="n"/>
      <c r="F1700" s="36" t="n"/>
      <c r="G1700" s="36" t="n"/>
      <c r="H1700" s="36" t="n"/>
      <c r="I1700" s="36" t="n"/>
      <c r="J1700" s="37" t="n"/>
      <c r="K1700" s="32" t="n"/>
      <c r="L1700" s="36" t="n"/>
      <c r="M1700" s="41" t="n"/>
      <c r="N1700" s="41" t="n"/>
      <c r="O1700" s="36" t="n"/>
      <c r="P1700" s="33">
        <f>IF(C1700="","",Commercial_Id)</f>
        <v/>
      </c>
      <c r="Q1700" s="39">
        <f>IF(F1700="","",IFERROR(VALUE(MID(F1700,LEN(F1700)-3,3)),""))</f>
        <v/>
      </c>
      <c r="R1700" s="33">
        <f>IF(Q1700="","",P1700&amp;"|"&amp;Q1700)</f>
        <v/>
      </c>
      <c r="S1700" s="33">
        <f>IF(Q1700="","",IF(P1700="À RENSEIGNER","GIC",P1700)&amp;"-"&amp;TEXT(Q1700,"000"))</f>
        <v/>
      </c>
      <c r="T1700" s="33">
        <f>IF(R1700="","",IFERROR(INDEX(Cl_nom,MATCH(R1700,Cl_cle,0)),"(client introuvable)"))</f>
        <v/>
      </c>
      <c r="U1700" s="33">
        <f>IF(R1700="","",IFERROR(INDEX(Cl_quartier,MATCH(R1700,Cl_cle,0))&amp;"",""))</f>
        <v/>
      </c>
      <c r="V1700" s="34">
        <f>IF(C1700="","",YEAR(C1700-WEEKDAY(C1700,2)+4)&amp;"-S"&amp;TEXT(INT((C1700-DATE(YEAR(C1700-WEEKDAY(C1700,2)+4),1,3)+WEEKDAY(DATE(YEAR(C1700-WEEKDAY(C1700,2)+4),1,3),2)+5)/7),"00"))</f>
        <v/>
      </c>
    </row>
    <row r="1701" ht="18" customHeight="1">
      <c r="A1701" s="39" t="n">
        <v>1696</v>
      </c>
      <c r="B1701" s="33">
        <f>IF(C1701="","",IF(P1701="À RENSEIGNER","GIC",P1701)&amp;"-V"&amp;TEXT(A1701,"00000"))</f>
        <v/>
      </c>
      <c r="C1701" s="32" t="n"/>
      <c r="D1701" s="35" t="n"/>
      <c r="E1701" s="36" t="n"/>
      <c r="F1701" s="36" t="n"/>
      <c r="G1701" s="36" t="n"/>
      <c r="H1701" s="36" t="n"/>
      <c r="I1701" s="36" t="n"/>
      <c r="J1701" s="37" t="n"/>
      <c r="K1701" s="32" t="n"/>
      <c r="L1701" s="36" t="n"/>
      <c r="M1701" s="41" t="n"/>
      <c r="N1701" s="41" t="n"/>
      <c r="O1701" s="36" t="n"/>
      <c r="P1701" s="33">
        <f>IF(C1701="","",Commercial_Id)</f>
        <v/>
      </c>
      <c r="Q1701" s="39">
        <f>IF(F1701="","",IFERROR(VALUE(MID(F1701,LEN(F1701)-3,3)),""))</f>
        <v/>
      </c>
      <c r="R1701" s="33">
        <f>IF(Q1701="","",P1701&amp;"|"&amp;Q1701)</f>
        <v/>
      </c>
      <c r="S1701" s="33">
        <f>IF(Q1701="","",IF(P1701="À RENSEIGNER","GIC",P1701)&amp;"-"&amp;TEXT(Q1701,"000"))</f>
        <v/>
      </c>
      <c r="T1701" s="33">
        <f>IF(R1701="","",IFERROR(INDEX(Cl_nom,MATCH(R1701,Cl_cle,0)),"(client introuvable)"))</f>
        <v/>
      </c>
      <c r="U1701" s="33">
        <f>IF(R1701="","",IFERROR(INDEX(Cl_quartier,MATCH(R1701,Cl_cle,0))&amp;"",""))</f>
        <v/>
      </c>
      <c r="V1701" s="34">
        <f>IF(C1701="","",YEAR(C1701-WEEKDAY(C1701,2)+4)&amp;"-S"&amp;TEXT(INT((C1701-DATE(YEAR(C1701-WEEKDAY(C1701,2)+4),1,3)+WEEKDAY(DATE(YEAR(C1701-WEEKDAY(C1701,2)+4),1,3),2)+5)/7),"00"))</f>
        <v/>
      </c>
    </row>
    <row r="1702" ht="18" customHeight="1">
      <c r="A1702" s="39" t="n">
        <v>1697</v>
      </c>
      <c r="B1702" s="33">
        <f>IF(C1702="","",IF(P1702="À RENSEIGNER","GIC",P1702)&amp;"-V"&amp;TEXT(A1702,"00000"))</f>
        <v/>
      </c>
      <c r="C1702" s="32" t="n"/>
      <c r="D1702" s="35" t="n"/>
      <c r="E1702" s="36" t="n"/>
      <c r="F1702" s="36" t="n"/>
      <c r="G1702" s="36" t="n"/>
      <c r="H1702" s="36" t="n"/>
      <c r="I1702" s="36" t="n"/>
      <c r="J1702" s="37" t="n"/>
      <c r="K1702" s="32" t="n"/>
      <c r="L1702" s="36" t="n"/>
      <c r="M1702" s="41" t="n"/>
      <c r="N1702" s="41" t="n"/>
      <c r="O1702" s="36" t="n"/>
      <c r="P1702" s="33">
        <f>IF(C1702="","",Commercial_Id)</f>
        <v/>
      </c>
      <c r="Q1702" s="39">
        <f>IF(F1702="","",IFERROR(VALUE(MID(F1702,LEN(F1702)-3,3)),""))</f>
        <v/>
      </c>
      <c r="R1702" s="33">
        <f>IF(Q1702="","",P1702&amp;"|"&amp;Q1702)</f>
        <v/>
      </c>
      <c r="S1702" s="33">
        <f>IF(Q1702="","",IF(P1702="À RENSEIGNER","GIC",P1702)&amp;"-"&amp;TEXT(Q1702,"000"))</f>
        <v/>
      </c>
      <c r="T1702" s="33">
        <f>IF(R1702="","",IFERROR(INDEX(Cl_nom,MATCH(R1702,Cl_cle,0)),"(client introuvable)"))</f>
        <v/>
      </c>
      <c r="U1702" s="33">
        <f>IF(R1702="","",IFERROR(INDEX(Cl_quartier,MATCH(R1702,Cl_cle,0))&amp;"",""))</f>
        <v/>
      </c>
      <c r="V1702" s="34">
        <f>IF(C1702="","",YEAR(C1702-WEEKDAY(C1702,2)+4)&amp;"-S"&amp;TEXT(INT((C1702-DATE(YEAR(C1702-WEEKDAY(C1702,2)+4),1,3)+WEEKDAY(DATE(YEAR(C1702-WEEKDAY(C1702,2)+4),1,3),2)+5)/7),"00"))</f>
        <v/>
      </c>
    </row>
    <row r="1703" ht="18" customHeight="1">
      <c r="A1703" s="39" t="n">
        <v>1698</v>
      </c>
      <c r="B1703" s="33">
        <f>IF(C1703="","",IF(P1703="À RENSEIGNER","GIC",P1703)&amp;"-V"&amp;TEXT(A1703,"00000"))</f>
        <v/>
      </c>
      <c r="C1703" s="32" t="n"/>
      <c r="D1703" s="35" t="n"/>
      <c r="E1703" s="36" t="n"/>
      <c r="F1703" s="36" t="n"/>
      <c r="G1703" s="36" t="n"/>
      <c r="H1703" s="36" t="n"/>
      <c r="I1703" s="36" t="n"/>
      <c r="J1703" s="37" t="n"/>
      <c r="K1703" s="32" t="n"/>
      <c r="L1703" s="36" t="n"/>
      <c r="M1703" s="41" t="n"/>
      <c r="N1703" s="41" t="n"/>
      <c r="O1703" s="36" t="n"/>
      <c r="P1703" s="33">
        <f>IF(C1703="","",Commercial_Id)</f>
        <v/>
      </c>
      <c r="Q1703" s="39">
        <f>IF(F1703="","",IFERROR(VALUE(MID(F1703,LEN(F1703)-3,3)),""))</f>
        <v/>
      </c>
      <c r="R1703" s="33">
        <f>IF(Q1703="","",P1703&amp;"|"&amp;Q1703)</f>
        <v/>
      </c>
      <c r="S1703" s="33">
        <f>IF(Q1703="","",IF(P1703="À RENSEIGNER","GIC",P1703)&amp;"-"&amp;TEXT(Q1703,"000"))</f>
        <v/>
      </c>
      <c r="T1703" s="33">
        <f>IF(R1703="","",IFERROR(INDEX(Cl_nom,MATCH(R1703,Cl_cle,0)),"(client introuvable)"))</f>
        <v/>
      </c>
      <c r="U1703" s="33">
        <f>IF(R1703="","",IFERROR(INDEX(Cl_quartier,MATCH(R1703,Cl_cle,0))&amp;"",""))</f>
        <v/>
      </c>
      <c r="V1703" s="34">
        <f>IF(C1703="","",YEAR(C1703-WEEKDAY(C1703,2)+4)&amp;"-S"&amp;TEXT(INT((C1703-DATE(YEAR(C1703-WEEKDAY(C1703,2)+4),1,3)+WEEKDAY(DATE(YEAR(C1703-WEEKDAY(C1703,2)+4),1,3),2)+5)/7),"00"))</f>
        <v/>
      </c>
    </row>
    <row r="1704" ht="18" customHeight="1">
      <c r="A1704" s="39" t="n">
        <v>1699</v>
      </c>
      <c r="B1704" s="33">
        <f>IF(C1704="","",IF(P1704="À RENSEIGNER","GIC",P1704)&amp;"-V"&amp;TEXT(A1704,"00000"))</f>
        <v/>
      </c>
      <c r="C1704" s="32" t="n"/>
      <c r="D1704" s="35" t="n"/>
      <c r="E1704" s="36" t="n"/>
      <c r="F1704" s="36" t="n"/>
      <c r="G1704" s="36" t="n"/>
      <c r="H1704" s="36" t="n"/>
      <c r="I1704" s="36" t="n"/>
      <c r="J1704" s="37" t="n"/>
      <c r="K1704" s="32" t="n"/>
      <c r="L1704" s="36" t="n"/>
      <c r="M1704" s="41" t="n"/>
      <c r="N1704" s="41" t="n"/>
      <c r="O1704" s="36" t="n"/>
      <c r="P1704" s="33">
        <f>IF(C1704="","",Commercial_Id)</f>
        <v/>
      </c>
      <c r="Q1704" s="39">
        <f>IF(F1704="","",IFERROR(VALUE(MID(F1704,LEN(F1704)-3,3)),""))</f>
        <v/>
      </c>
      <c r="R1704" s="33">
        <f>IF(Q1704="","",P1704&amp;"|"&amp;Q1704)</f>
        <v/>
      </c>
      <c r="S1704" s="33">
        <f>IF(Q1704="","",IF(P1704="À RENSEIGNER","GIC",P1704)&amp;"-"&amp;TEXT(Q1704,"000"))</f>
        <v/>
      </c>
      <c r="T1704" s="33">
        <f>IF(R1704="","",IFERROR(INDEX(Cl_nom,MATCH(R1704,Cl_cle,0)),"(client introuvable)"))</f>
        <v/>
      </c>
      <c r="U1704" s="33">
        <f>IF(R1704="","",IFERROR(INDEX(Cl_quartier,MATCH(R1704,Cl_cle,0))&amp;"",""))</f>
        <v/>
      </c>
      <c r="V1704" s="34">
        <f>IF(C1704="","",YEAR(C1704-WEEKDAY(C1704,2)+4)&amp;"-S"&amp;TEXT(INT((C1704-DATE(YEAR(C1704-WEEKDAY(C1704,2)+4),1,3)+WEEKDAY(DATE(YEAR(C1704-WEEKDAY(C1704,2)+4),1,3),2)+5)/7),"00"))</f>
        <v/>
      </c>
    </row>
    <row r="1705" ht="18" customHeight="1">
      <c r="A1705" s="39" t="n">
        <v>1700</v>
      </c>
      <c r="B1705" s="33">
        <f>IF(C1705="","",IF(P1705="À RENSEIGNER","GIC",P1705)&amp;"-V"&amp;TEXT(A1705,"00000"))</f>
        <v/>
      </c>
      <c r="C1705" s="32" t="n"/>
      <c r="D1705" s="35" t="n"/>
      <c r="E1705" s="36" t="n"/>
      <c r="F1705" s="36" t="n"/>
      <c r="G1705" s="36" t="n"/>
      <c r="H1705" s="36" t="n"/>
      <c r="I1705" s="36" t="n"/>
      <c r="J1705" s="37" t="n"/>
      <c r="K1705" s="32" t="n"/>
      <c r="L1705" s="36" t="n"/>
      <c r="M1705" s="41" t="n"/>
      <c r="N1705" s="41" t="n"/>
      <c r="O1705" s="36" t="n"/>
      <c r="P1705" s="33">
        <f>IF(C1705="","",Commercial_Id)</f>
        <v/>
      </c>
      <c r="Q1705" s="39">
        <f>IF(F1705="","",IFERROR(VALUE(MID(F1705,LEN(F1705)-3,3)),""))</f>
        <v/>
      </c>
      <c r="R1705" s="33">
        <f>IF(Q1705="","",P1705&amp;"|"&amp;Q1705)</f>
        <v/>
      </c>
      <c r="S1705" s="33">
        <f>IF(Q1705="","",IF(P1705="À RENSEIGNER","GIC",P1705)&amp;"-"&amp;TEXT(Q1705,"000"))</f>
        <v/>
      </c>
      <c r="T1705" s="33">
        <f>IF(R1705="","",IFERROR(INDEX(Cl_nom,MATCH(R1705,Cl_cle,0)),"(client introuvable)"))</f>
        <v/>
      </c>
      <c r="U1705" s="33">
        <f>IF(R1705="","",IFERROR(INDEX(Cl_quartier,MATCH(R1705,Cl_cle,0))&amp;"",""))</f>
        <v/>
      </c>
      <c r="V1705" s="34">
        <f>IF(C1705="","",YEAR(C1705-WEEKDAY(C1705,2)+4)&amp;"-S"&amp;TEXT(INT((C1705-DATE(YEAR(C1705-WEEKDAY(C1705,2)+4),1,3)+WEEKDAY(DATE(YEAR(C1705-WEEKDAY(C1705,2)+4),1,3),2)+5)/7),"00"))</f>
        <v/>
      </c>
    </row>
    <row r="1706" ht="18" customHeight="1">
      <c r="A1706" s="39" t="n">
        <v>1701</v>
      </c>
      <c r="B1706" s="33">
        <f>IF(C1706="","",IF(P1706="À RENSEIGNER","GIC",P1706)&amp;"-V"&amp;TEXT(A1706,"00000"))</f>
        <v/>
      </c>
      <c r="C1706" s="32" t="n"/>
      <c r="D1706" s="35" t="n"/>
      <c r="E1706" s="36" t="n"/>
      <c r="F1706" s="36" t="n"/>
      <c r="G1706" s="36" t="n"/>
      <c r="H1706" s="36" t="n"/>
      <c r="I1706" s="36" t="n"/>
      <c r="J1706" s="37" t="n"/>
      <c r="K1706" s="32" t="n"/>
      <c r="L1706" s="36" t="n"/>
      <c r="M1706" s="41" t="n"/>
      <c r="N1706" s="41" t="n"/>
      <c r="O1706" s="36" t="n"/>
      <c r="P1706" s="33">
        <f>IF(C1706="","",Commercial_Id)</f>
        <v/>
      </c>
      <c r="Q1706" s="39">
        <f>IF(F1706="","",IFERROR(VALUE(MID(F1706,LEN(F1706)-3,3)),""))</f>
        <v/>
      </c>
      <c r="R1706" s="33">
        <f>IF(Q1706="","",P1706&amp;"|"&amp;Q1706)</f>
        <v/>
      </c>
      <c r="S1706" s="33">
        <f>IF(Q1706="","",IF(P1706="À RENSEIGNER","GIC",P1706)&amp;"-"&amp;TEXT(Q1706,"000"))</f>
        <v/>
      </c>
      <c r="T1706" s="33">
        <f>IF(R1706="","",IFERROR(INDEX(Cl_nom,MATCH(R1706,Cl_cle,0)),"(client introuvable)"))</f>
        <v/>
      </c>
      <c r="U1706" s="33">
        <f>IF(R1706="","",IFERROR(INDEX(Cl_quartier,MATCH(R1706,Cl_cle,0))&amp;"",""))</f>
        <v/>
      </c>
      <c r="V1706" s="34">
        <f>IF(C1706="","",YEAR(C1706-WEEKDAY(C1706,2)+4)&amp;"-S"&amp;TEXT(INT((C1706-DATE(YEAR(C1706-WEEKDAY(C1706,2)+4),1,3)+WEEKDAY(DATE(YEAR(C1706-WEEKDAY(C1706,2)+4),1,3),2)+5)/7),"00"))</f>
        <v/>
      </c>
    </row>
    <row r="1707" ht="18" customHeight="1">
      <c r="A1707" s="39" t="n">
        <v>1702</v>
      </c>
      <c r="B1707" s="33">
        <f>IF(C1707="","",IF(P1707="À RENSEIGNER","GIC",P1707)&amp;"-V"&amp;TEXT(A1707,"00000"))</f>
        <v/>
      </c>
      <c r="C1707" s="32" t="n"/>
      <c r="D1707" s="35" t="n"/>
      <c r="E1707" s="36" t="n"/>
      <c r="F1707" s="36" t="n"/>
      <c r="G1707" s="36" t="n"/>
      <c r="H1707" s="36" t="n"/>
      <c r="I1707" s="36" t="n"/>
      <c r="J1707" s="37" t="n"/>
      <c r="K1707" s="32" t="n"/>
      <c r="L1707" s="36" t="n"/>
      <c r="M1707" s="41" t="n"/>
      <c r="N1707" s="41" t="n"/>
      <c r="O1707" s="36" t="n"/>
      <c r="P1707" s="33">
        <f>IF(C1707="","",Commercial_Id)</f>
        <v/>
      </c>
      <c r="Q1707" s="39">
        <f>IF(F1707="","",IFERROR(VALUE(MID(F1707,LEN(F1707)-3,3)),""))</f>
        <v/>
      </c>
      <c r="R1707" s="33">
        <f>IF(Q1707="","",P1707&amp;"|"&amp;Q1707)</f>
        <v/>
      </c>
      <c r="S1707" s="33">
        <f>IF(Q1707="","",IF(P1707="À RENSEIGNER","GIC",P1707)&amp;"-"&amp;TEXT(Q1707,"000"))</f>
        <v/>
      </c>
      <c r="T1707" s="33">
        <f>IF(R1707="","",IFERROR(INDEX(Cl_nom,MATCH(R1707,Cl_cle,0)),"(client introuvable)"))</f>
        <v/>
      </c>
      <c r="U1707" s="33">
        <f>IF(R1707="","",IFERROR(INDEX(Cl_quartier,MATCH(R1707,Cl_cle,0))&amp;"",""))</f>
        <v/>
      </c>
      <c r="V1707" s="34">
        <f>IF(C1707="","",YEAR(C1707-WEEKDAY(C1707,2)+4)&amp;"-S"&amp;TEXT(INT((C1707-DATE(YEAR(C1707-WEEKDAY(C1707,2)+4),1,3)+WEEKDAY(DATE(YEAR(C1707-WEEKDAY(C1707,2)+4),1,3),2)+5)/7),"00"))</f>
        <v/>
      </c>
    </row>
    <row r="1708" ht="18" customHeight="1">
      <c r="A1708" s="39" t="n">
        <v>1703</v>
      </c>
      <c r="B1708" s="33">
        <f>IF(C1708="","",IF(P1708="À RENSEIGNER","GIC",P1708)&amp;"-V"&amp;TEXT(A1708,"00000"))</f>
        <v/>
      </c>
      <c r="C1708" s="32" t="n"/>
      <c r="D1708" s="35" t="n"/>
      <c r="E1708" s="36" t="n"/>
      <c r="F1708" s="36" t="n"/>
      <c r="G1708" s="36" t="n"/>
      <c r="H1708" s="36" t="n"/>
      <c r="I1708" s="36" t="n"/>
      <c r="J1708" s="37" t="n"/>
      <c r="K1708" s="32" t="n"/>
      <c r="L1708" s="36" t="n"/>
      <c r="M1708" s="41" t="n"/>
      <c r="N1708" s="41" t="n"/>
      <c r="O1708" s="36" t="n"/>
      <c r="P1708" s="33">
        <f>IF(C1708="","",Commercial_Id)</f>
        <v/>
      </c>
      <c r="Q1708" s="39">
        <f>IF(F1708="","",IFERROR(VALUE(MID(F1708,LEN(F1708)-3,3)),""))</f>
        <v/>
      </c>
      <c r="R1708" s="33">
        <f>IF(Q1708="","",P1708&amp;"|"&amp;Q1708)</f>
        <v/>
      </c>
      <c r="S1708" s="33">
        <f>IF(Q1708="","",IF(P1708="À RENSEIGNER","GIC",P1708)&amp;"-"&amp;TEXT(Q1708,"000"))</f>
        <v/>
      </c>
      <c r="T1708" s="33">
        <f>IF(R1708="","",IFERROR(INDEX(Cl_nom,MATCH(R1708,Cl_cle,0)),"(client introuvable)"))</f>
        <v/>
      </c>
      <c r="U1708" s="33">
        <f>IF(R1708="","",IFERROR(INDEX(Cl_quartier,MATCH(R1708,Cl_cle,0))&amp;"",""))</f>
        <v/>
      </c>
      <c r="V1708" s="34">
        <f>IF(C1708="","",YEAR(C1708-WEEKDAY(C1708,2)+4)&amp;"-S"&amp;TEXT(INT((C1708-DATE(YEAR(C1708-WEEKDAY(C1708,2)+4),1,3)+WEEKDAY(DATE(YEAR(C1708-WEEKDAY(C1708,2)+4),1,3),2)+5)/7),"00"))</f>
        <v/>
      </c>
    </row>
    <row r="1709" ht="18" customHeight="1">
      <c r="A1709" s="39" t="n">
        <v>1704</v>
      </c>
      <c r="B1709" s="33">
        <f>IF(C1709="","",IF(P1709="À RENSEIGNER","GIC",P1709)&amp;"-V"&amp;TEXT(A1709,"00000"))</f>
        <v/>
      </c>
      <c r="C1709" s="32" t="n"/>
      <c r="D1709" s="35" t="n"/>
      <c r="E1709" s="36" t="n"/>
      <c r="F1709" s="36" t="n"/>
      <c r="G1709" s="36" t="n"/>
      <c r="H1709" s="36" t="n"/>
      <c r="I1709" s="36" t="n"/>
      <c r="J1709" s="37" t="n"/>
      <c r="K1709" s="32" t="n"/>
      <c r="L1709" s="36" t="n"/>
      <c r="M1709" s="41" t="n"/>
      <c r="N1709" s="41" t="n"/>
      <c r="O1709" s="36" t="n"/>
      <c r="P1709" s="33">
        <f>IF(C1709="","",Commercial_Id)</f>
        <v/>
      </c>
      <c r="Q1709" s="39">
        <f>IF(F1709="","",IFERROR(VALUE(MID(F1709,LEN(F1709)-3,3)),""))</f>
        <v/>
      </c>
      <c r="R1709" s="33">
        <f>IF(Q1709="","",P1709&amp;"|"&amp;Q1709)</f>
        <v/>
      </c>
      <c r="S1709" s="33">
        <f>IF(Q1709="","",IF(P1709="À RENSEIGNER","GIC",P1709)&amp;"-"&amp;TEXT(Q1709,"000"))</f>
        <v/>
      </c>
      <c r="T1709" s="33">
        <f>IF(R1709="","",IFERROR(INDEX(Cl_nom,MATCH(R1709,Cl_cle,0)),"(client introuvable)"))</f>
        <v/>
      </c>
      <c r="U1709" s="33">
        <f>IF(R1709="","",IFERROR(INDEX(Cl_quartier,MATCH(R1709,Cl_cle,0))&amp;"",""))</f>
        <v/>
      </c>
      <c r="V1709" s="34">
        <f>IF(C1709="","",YEAR(C1709-WEEKDAY(C1709,2)+4)&amp;"-S"&amp;TEXT(INT((C1709-DATE(YEAR(C1709-WEEKDAY(C1709,2)+4),1,3)+WEEKDAY(DATE(YEAR(C1709-WEEKDAY(C1709,2)+4),1,3),2)+5)/7),"00"))</f>
        <v/>
      </c>
    </row>
    <row r="1710" ht="18" customHeight="1">
      <c r="A1710" s="39" t="n">
        <v>1705</v>
      </c>
      <c r="B1710" s="33">
        <f>IF(C1710="","",IF(P1710="À RENSEIGNER","GIC",P1710)&amp;"-V"&amp;TEXT(A1710,"00000"))</f>
        <v/>
      </c>
      <c r="C1710" s="32" t="n"/>
      <c r="D1710" s="35" t="n"/>
      <c r="E1710" s="36" t="n"/>
      <c r="F1710" s="36" t="n"/>
      <c r="G1710" s="36" t="n"/>
      <c r="H1710" s="36" t="n"/>
      <c r="I1710" s="36" t="n"/>
      <c r="J1710" s="37" t="n"/>
      <c r="K1710" s="32" t="n"/>
      <c r="L1710" s="36" t="n"/>
      <c r="M1710" s="41" t="n"/>
      <c r="N1710" s="41" t="n"/>
      <c r="O1710" s="36" t="n"/>
      <c r="P1710" s="33">
        <f>IF(C1710="","",Commercial_Id)</f>
        <v/>
      </c>
      <c r="Q1710" s="39">
        <f>IF(F1710="","",IFERROR(VALUE(MID(F1710,LEN(F1710)-3,3)),""))</f>
        <v/>
      </c>
      <c r="R1710" s="33">
        <f>IF(Q1710="","",P1710&amp;"|"&amp;Q1710)</f>
        <v/>
      </c>
      <c r="S1710" s="33">
        <f>IF(Q1710="","",IF(P1710="À RENSEIGNER","GIC",P1710)&amp;"-"&amp;TEXT(Q1710,"000"))</f>
        <v/>
      </c>
      <c r="T1710" s="33">
        <f>IF(R1710="","",IFERROR(INDEX(Cl_nom,MATCH(R1710,Cl_cle,0)),"(client introuvable)"))</f>
        <v/>
      </c>
      <c r="U1710" s="33">
        <f>IF(R1710="","",IFERROR(INDEX(Cl_quartier,MATCH(R1710,Cl_cle,0))&amp;"",""))</f>
        <v/>
      </c>
      <c r="V1710" s="34">
        <f>IF(C1710="","",YEAR(C1710-WEEKDAY(C1710,2)+4)&amp;"-S"&amp;TEXT(INT((C1710-DATE(YEAR(C1710-WEEKDAY(C1710,2)+4),1,3)+WEEKDAY(DATE(YEAR(C1710-WEEKDAY(C1710,2)+4),1,3),2)+5)/7),"00"))</f>
        <v/>
      </c>
    </row>
    <row r="1711" ht="18" customHeight="1">
      <c r="A1711" s="39" t="n">
        <v>1706</v>
      </c>
      <c r="B1711" s="33">
        <f>IF(C1711="","",IF(P1711="À RENSEIGNER","GIC",P1711)&amp;"-V"&amp;TEXT(A1711,"00000"))</f>
        <v/>
      </c>
      <c r="C1711" s="32" t="n"/>
      <c r="D1711" s="35" t="n"/>
      <c r="E1711" s="36" t="n"/>
      <c r="F1711" s="36" t="n"/>
      <c r="G1711" s="36" t="n"/>
      <c r="H1711" s="36" t="n"/>
      <c r="I1711" s="36" t="n"/>
      <c r="J1711" s="37" t="n"/>
      <c r="K1711" s="32" t="n"/>
      <c r="L1711" s="36" t="n"/>
      <c r="M1711" s="41" t="n"/>
      <c r="N1711" s="41" t="n"/>
      <c r="O1711" s="36" t="n"/>
      <c r="P1711" s="33">
        <f>IF(C1711="","",Commercial_Id)</f>
        <v/>
      </c>
      <c r="Q1711" s="39">
        <f>IF(F1711="","",IFERROR(VALUE(MID(F1711,LEN(F1711)-3,3)),""))</f>
        <v/>
      </c>
      <c r="R1711" s="33">
        <f>IF(Q1711="","",P1711&amp;"|"&amp;Q1711)</f>
        <v/>
      </c>
      <c r="S1711" s="33">
        <f>IF(Q1711="","",IF(P1711="À RENSEIGNER","GIC",P1711)&amp;"-"&amp;TEXT(Q1711,"000"))</f>
        <v/>
      </c>
      <c r="T1711" s="33">
        <f>IF(R1711="","",IFERROR(INDEX(Cl_nom,MATCH(R1711,Cl_cle,0)),"(client introuvable)"))</f>
        <v/>
      </c>
      <c r="U1711" s="33">
        <f>IF(R1711="","",IFERROR(INDEX(Cl_quartier,MATCH(R1711,Cl_cle,0))&amp;"",""))</f>
        <v/>
      </c>
      <c r="V1711" s="34">
        <f>IF(C1711="","",YEAR(C1711-WEEKDAY(C1711,2)+4)&amp;"-S"&amp;TEXT(INT((C1711-DATE(YEAR(C1711-WEEKDAY(C1711,2)+4),1,3)+WEEKDAY(DATE(YEAR(C1711-WEEKDAY(C1711,2)+4),1,3),2)+5)/7),"00"))</f>
        <v/>
      </c>
    </row>
    <row r="1712" ht="18" customHeight="1">
      <c r="A1712" s="39" t="n">
        <v>1707</v>
      </c>
      <c r="B1712" s="33">
        <f>IF(C1712="","",IF(P1712="À RENSEIGNER","GIC",P1712)&amp;"-V"&amp;TEXT(A1712,"00000"))</f>
        <v/>
      </c>
      <c r="C1712" s="32" t="n"/>
      <c r="D1712" s="35" t="n"/>
      <c r="E1712" s="36" t="n"/>
      <c r="F1712" s="36" t="n"/>
      <c r="G1712" s="36" t="n"/>
      <c r="H1712" s="36" t="n"/>
      <c r="I1712" s="36" t="n"/>
      <c r="J1712" s="37" t="n"/>
      <c r="K1712" s="32" t="n"/>
      <c r="L1712" s="36" t="n"/>
      <c r="M1712" s="41" t="n"/>
      <c r="N1712" s="41" t="n"/>
      <c r="O1712" s="36" t="n"/>
      <c r="P1712" s="33">
        <f>IF(C1712="","",Commercial_Id)</f>
        <v/>
      </c>
      <c r="Q1712" s="39">
        <f>IF(F1712="","",IFERROR(VALUE(MID(F1712,LEN(F1712)-3,3)),""))</f>
        <v/>
      </c>
      <c r="R1712" s="33">
        <f>IF(Q1712="","",P1712&amp;"|"&amp;Q1712)</f>
        <v/>
      </c>
      <c r="S1712" s="33">
        <f>IF(Q1712="","",IF(P1712="À RENSEIGNER","GIC",P1712)&amp;"-"&amp;TEXT(Q1712,"000"))</f>
        <v/>
      </c>
      <c r="T1712" s="33">
        <f>IF(R1712="","",IFERROR(INDEX(Cl_nom,MATCH(R1712,Cl_cle,0)),"(client introuvable)"))</f>
        <v/>
      </c>
      <c r="U1712" s="33">
        <f>IF(R1712="","",IFERROR(INDEX(Cl_quartier,MATCH(R1712,Cl_cle,0))&amp;"",""))</f>
        <v/>
      </c>
      <c r="V1712" s="34">
        <f>IF(C1712="","",YEAR(C1712-WEEKDAY(C1712,2)+4)&amp;"-S"&amp;TEXT(INT((C1712-DATE(YEAR(C1712-WEEKDAY(C1712,2)+4),1,3)+WEEKDAY(DATE(YEAR(C1712-WEEKDAY(C1712,2)+4),1,3),2)+5)/7),"00"))</f>
        <v/>
      </c>
    </row>
    <row r="1713" ht="18" customHeight="1">
      <c r="A1713" s="39" t="n">
        <v>1708</v>
      </c>
      <c r="B1713" s="33">
        <f>IF(C1713="","",IF(P1713="À RENSEIGNER","GIC",P1713)&amp;"-V"&amp;TEXT(A1713,"00000"))</f>
        <v/>
      </c>
      <c r="C1713" s="32" t="n"/>
      <c r="D1713" s="35" t="n"/>
      <c r="E1713" s="36" t="n"/>
      <c r="F1713" s="36" t="n"/>
      <c r="G1713" s="36" t="n"/>
      <c r="H1713" s="36" t="n"/>
      <c r="I1713" s="36" t="n"/>
      <c r="J1713" s="37" t="n"/>
      <c r="K1713" s="32" t="n"/>
      <c r="L1713" s="36" t="n"/>
      <c r="M1713" s="41" t="n"/>
      <c r="N1713" s="41" t="n"/>
      <c r="O1713" s="36" t="n"/>
      <c r="P1713" s="33">
        <f>IF(C1713="","",Commercial_Id)</f>
        <v/>
      </c>
      <c r="Q1713" s="39">
        <f>IF(F1713="","",IFERROR(VALUE(MID(F1713,LEN(F1713)-3,3)),""))</f>
        <v/>
      </c>
      <c r="R1713" s="33">
        <f>IF(Q1713="","",P1713&amp;"|"&amp;Q1713)</f>
        <v/>
      </c>
      <c r="S1713" s="33">
        <f>IF(Q1713="","",IF(P1713="À RENSEIGNER","GIC",P1713)&amp;"-"&amp;TEXT(Q1713,"000"))</f>
        <v/>
      </c>
      <c r="T1713" s="33">
        <f>IF(R1713="","",IFERROR(INDEX(Cl_nom,MATCH(R1713,Cl_cle,0)),"(client introuvable)"))</f>
        <v/>
      </c>
      <c r="U1713" s="33">
        <f>IF(R1713="","",IFERROR(INDEX(Cl_quartier,MATCH(R1713,Cl_cle,0))&amp;"",""))</f>
        <v/>
      </c>
      <c r="V1713" s="34">
        <f>IF(C1713="","",YEAR(C1713-WEEKDAY(C1713,2)+4)&amp;"-S"&amp;TEXT(INT((C1713-DATE(YEAR(C1713-WEEKDAY(C1713,2)+4),1,3)+WEEKDAY(DATE(YEAR(C1713-WEEKDAY(C1713,2)+4),1,3),2)+5)/7),"00"))</f>
        <v/>
      </c>
    </row>
    <row r="1714" ht="18" customHeight="1">
      <c r="A1714" s="39" t="n">
        <v>1709</v>
      </c>
      <c r="B1714" s="33">
        <f>IF(C1714="","",IF(P1714="À RENSEIGNER","GIC",P1714)&amp;"-V"&amp;TEXT(A1714,"00000"))</f>
        <v/>
      </c>
      <c r="C1714" s="32" t="n"/>
      <c r="D1714" s="35" t="n"/>
      <c r="E1714" s="36" t="n"/>
      <c r="F1714" s="36" t="n"/>
      <c r="G1714" s="36" t="n"/>
      <c r="H1714" s="36" t="n"/>
      <c r="I1714" s="36" t="n"/>
      <c r="J1714" s="37" t="n"/>
      <c r="K1714" s="32" t="n"/>
      <c r="L1714" s="36" t="n"/>
      <c r="M1714" s="41" t="n"/>
      <c r="N1714" s="41" t="n"/>
      <c r="O1714" s="36" t="n"/>
      <c r="P1714" s="33">
        <f>IF(C1714="","",Commercial_Id)</f>
        <v/>
      </c>
      <c r="Q1714" s="39">
        <f>IF(F1714="","",IFERROR(VALUE(MID(F1714,LEN(F1714)-3,3)),""))</f>
        <v/>
      </c>
      <c r="R1714" s="33">
        <f>IF(Q1714="","",P1714&amp;"|"&amp;Q1714)</f>
        <v/>
      </c>
      <c r="S1714" s="33">
        <f>IF(Q1714="","",IF(P1714="À RENSEIGNER","GIC",P1714)&amp;"-"&amp;TEXT(Q1714,"000"))</f>
        <v/>
      </c>
      <c r="T1714" s="33">
        <f>IF(R1714="","",IFERROR(INDEX(Cl_nom,MATCH(R1714,Cl_cle,0)),"(client introuvable)"))</f>
        <v/>
      </c>
      <c r="U1714" s="33">
        <f>IF(R1714="","",IFERROR(INDEX(Cl_quartier,MATCH(R1714,Cl_cle,0))&amp;"",""))</f>
        <v/>
      </c>
      <c r="V1714" s="34">
        <f>IF(C1714="","",YEAR(C1714-WEEKDAY(C1714,2)+4)&amp;"-S"&amp;TEXT(INT((C1714-DATE(YEAR(C1714-WEEKDAY(C1714,2)+4),1,3)+WEEKDAY(DATE(YEAR(C1714-WEEKDAY(C1714,2)+4),1,3),2)+5)/7),"00"))</f>
        <v/>
      </c>
    </row>
    <row r="1715" ht="18" customHeight="1">
      <c r="A1715" s="39" t="n">
        <v>1710</v>
      </c>
      <c r="B1715" s="33">
        <f>IF(C1715="","",IF(P1715="À RENSEIGNER","GIC",P1715)&amp;"-V"&amp;TEXT(A1715,"00000"))</f>
        <v/>
      </c>
      <c r="C1715" s="32" t="n"/>
      <c r="D1715" s="35" t="n"/>
      <c r="E1715" s="36" t="n"/>
      <c r="F1715" s="36" t="n"/>
      <c r="G1715" s="36" t="n"/>
      <c r="H1715" s="36" t="n"/>
      <c r="I1715" s="36" t="n"/>
      <c r="J1715" s="37" t="n"/>
      <c r="K1715" s="32" t="n"/>
      <c r="L1715" s="36" t="n"/>
      <c r="M1715" s="41" t="n"/>
      <c r="N1715" s="41" t="n"/>
      <c r="O1715" s="36" t="n"/>
      <c r="P1715" s="33">
        <f>IF(C1715="","",Commercial_Id)</f>
        <v/>
      </c>
      <c r="Q1715" s="39">
        <f>IF(F1715="","",IFERROR(VALUE(MID(F1715,LEN(F1715)-3,3)),""))</f>
        <v/>
      </c>
      <c r="R1715" s="33">
        <f>IF(Q1715="","",P1715&amp;"|"&amp;Q1715)</f>
        <v/>
      </c>
      <c r="S1715" s="33">
        <f>IF(Q1715="","",IF(P1715="À RENSEIGNER","GIC",P1715)&amp;"-"&amp;TEXT(Q1715,"000"))</f>
        <v/>
      </c>
      <c r="T1715" s="33">
        <f>IF(R1715="","",IFERROR(INDEX(Cl_nom,MATCH(R1715,Cl_cle,0)),"(client introuvable)"))</f>
        <v/>
      </c>
      <c r="U1715" s="33">
        <f>IF(R1715="","",IFERROR(INDEX(Cl_quartier,MATCH(R1715,Cl_cle,0))&amp;"",""))</f>
        <v/>
      </c>
      <c r="V1715" s="34">
        <f>IF(C1715="","",YEAR(C1715-WEEKDAY(C1715,2)+4)&amp;"-S"&amp;TEXT(INT((C1715-DATE(YEAR(C1715-WEEKDAY(C1715,2)+4),1,3)+WEEKDAY(DATE(YEAR(C1715-WEEKDAY(C1715,2)+4),1,3),2)+5)/7),"00"))</f>
        <v/>
      </c>
    </row>
    <row r="1716" ht="18" customHeight="1">
      <c r="A1716" s="39" t="n">
        <v>1711</v>
      </c>
      <c r="B1716" s="33">
        <f>IF(C1716="","",IF(P1716="À RENSEIGNER","GIC",P1716)&amp;"-V"&amp;TEXT(A1716,"00000"))</f>
        <v/>
      </c>
      <c r="C1716" s="32" t="n"/>
      <c r="D1716" s="35" t="n"/>
      <c r="E1716" s="36" t="n"/>
      <c r="F1716" s="36" t="n"/>
      <c r="G1716" s="36" t="n"/>
      <c r="H1716" s="36" t="n"/>
      <c r="I1716" s="36" t="n"/>
      <c r="J1716" s="37" t="n"/>
      <c r="K1716" s="32" t="n"/>
      <c r="L1716" s="36" t="n"/>
      <c r="M1716" s="41" t="n"/>
      <c r="N1716" s="41" t="n"/>
      <c r="O1716" s="36" t="n"/>
      <c r="P1716" s="33">
        <f>IF(C1716="","",Commercial_Id)</f>
        <v/>
      </c>
      <c r="Q1716" s="39">
        <f>IF(F1716="","",IFERROR(VALUE(MID(F1716,LEN(F1716)-3,3)),""))</f>
        <v/>
      </c>
      <c r="R1716" s="33">
        <f>IF(Q1716="","",P1716&amp;"|"&amp;Q1716)</f>
        <v/>
      </c>
      <c r="S1716" s="33">
        <f>IF(Q1716="","",IF(P1716="À RENSEIGNER","GIC",P1716)&amp;"-"&amp;TEXT(Q1716,"000"))</f>
        <v/>
      </c>
      <c r="T1716" s="33">
        <f>IF(R1716="","",IFERROR(INDEX(Cl_nom,MATCH(R1716,Cl_cle,0)),"(client introuvable)"))</f>
        <v/>
      </c>
      <c r="U1716" s="33">
        <f>IF(R1716="","",IFERROR(INDEX(Cl_quartier,MATCH(R1716,Cl_cle,0))&amp;"",""))</f>
        <v/>
      </c>
      <c r="V1716" s="34">
        <f>IF(C1716="","",YEAR(C1716-WEEKDAY(C1716,2)+4)&amp;"-S"&amp;TEXT(INT((C1716-DATE(YEAR(C1716-WEEKDAY(C1716,2)+4),1,3)+WEEKDAY(DATE(YEAR(C1716-WEEKDAY(C1716,2)+4),1,3),2)+5)/7),"00"))</f>
        <v/>
      </c>
    </row>
    <row r="1717" ht="18" customHeight="1">
      <c r="A1717" s="39" t="n">
        <v>1712</v>
      </c>
      <c r="B1717" s="33">
        <f>IF(C1717="","",IF(P1717="À RENSEIGNER","GIC",P1717)&amp;"-V"&amp;TEXT(A1717,"00000"))</f>
        <v/>
      </c>
      <c r="C1717" s="32" t="n"/>
      <c r="D1717" s="35" t="n"/>
      <c r="E1717" s="36" t="n"/>
      <c r="F1717" s="36" t="n"/>
      <c r="G1717" s="36" t="n"/>
      <c r="H1717" s="36" t="n"/>
      <c r="I1717" s="36" t="n"/>
      <c r="J1717" s="37" t="n"/>
      <c r="K1717" s="32" t="n"/>
      <c r="L1717" s="36" t="n"/>
      <c r="M1717" s="41" t="n"/>
      <c r="N1717" s="41" t="n"/>
      <c r="O1717" s="36" t="n"/>
      <c r="P1717" s="33">
        <f>IF(C1717="","",Commercial_Id)</f>
        <v/>
      </c>
      <c r="Q1717" s="39">
        <f>IF(F1717="","",IFERROR(VALUE(MID(F1717,LEN(F1717)-3,3)),""))</f>
        <v/>
      </c>
      <c r="R1717" s="33">
        <f>IF(Q1717="","",P1717&amp;"|"&amp;Q1717)</f>
        <v/>
      </c>
      <c r="S1717" s="33">
        <f>IF(Q1717="","",IF(P1717="À RENSEIGNER","GIC",P1717)&amp;"-"&amp;TEXT(Q1717,"000"))</f>
        <v/>
      </c>
      <c r="T1717" s="33">
        <f>IF(R1717="","",IFERROR(INDEX(Cl_nom,MATCH(R1717,Cl_cle,0)),"(client introuvable)"))</f>
        <v/>
      </c>
      <c r="U1717" s="33">
        <f>IF(R1717="","",IFERROR(INDEX(Cl_quartier,MATCH(R1717,Cl_cle,0))&amp;"",""))</f>
        <v/>
      </c>
      <c r="V1717" s="34">
        <f>IF(C1717="","",YEAR(C1717-WEEKDAY(C1717,2)+4)&amp;"-S"&amp;TEXT(INT((C1717-DATE(YEAR(C1717-WEEKDAY(C1717,2)+4),1,3)+WEEKDAY(DATE(YEAR(C1717-WEEKDAY(C1717,2)+4),1,3),2)+5)/7),"00"))</f>
        <v/>
      </c>
    </row>
    <row r="1718" ht="18" customHeight="1">
      <c r="A1718" s="39" t="n">
        <v>1713</v>
      </c>
      <c r="B1718" s="33">
        <f>IF(C1718="","",IF(P1718="À RENSEIGNER","GIC",P1718)&amp;"-V"&amp;TEXT(A1718,"00000"))</f>
        <v/>
      </c>
      <c r="C1718" s="32" t="n"/>
      <c r="D1718" s="35" t="n"/>
      <c r="E1718" s="36" t="n"/>
      <c r="F1718" s="36" t="n"/>
      <c r="G1718" s="36" t="n"/>
      <c r="H1718" s="36" t="n"/>
      <c r="I1718" s="36" t="n"/>
      <c r="J1718" s="37" t="n"/>
      <c r="K1718" s="32" t="n"/>
      <c r="L1718" s="36" t="n"/>
      <c r="M1718" s="41" t="n"/>
      <c r="N1718" s="41" t="n"/>
      <c r="O1718" s="36" t="n"/>
      <c r="P1718" s="33">
        <f>IF(C1718="","",Commercial_Id)</f>
        <v/>
      </c>
      <c r="Q1718" s="39">
        <f>IF(F1718="","",IFERROR(VALUE(MID(F1718,LEN(F1718)-3,3)),""))</f>
        <v/>
      </c>
      <c r="R1718" s="33">
        <f>IF(Q1718="","",P1718&amp;"|"&amp;Q1718)</f>
        <v/>
      </c>
      <c r="S1718" s="33">
        <f>IF(Q1718="","",IF(P1718="À RENSEIGNER","GIC",P1718)&amp;"-"&amp;TEXT(Q1718,"000"))</f>
        <v/>
      </c>
      <c r="T1718" s="33">
        <f>IF(R1718="","",IFERROR(INDEX(Cl_nom,MATCH(R1718,Cl_cle,0)),"(client introuvable)"))</f>
        <v/>
      </c>
      <c r="U1718" s="33">
        <f>IF(R1718="","",IFERROR(INDEX(Cl_quartier,MATCH(R1718,Cl_cle,0))&amp;"",""))</f>
        <v/>
      </c>
      <c r="V1718" s="34">
        <f>IF(C1718="","",YEAR(C1718-WEEKDAY(C1718,2)+4)&amp;"-S"&amp;TEXT(INT((C1718-DATE(YEAR(C1718-WEEKDAY(C1718,2)+4),1,3)+WEEKDAY(DATE(YEAR(C1718-WEEKDAY(C1718,2)+4),1,3),2)+5)/7),"00"))</f>
        <v/>
      </c>
    </row>
    <row r="1719" ht="18" customHeight="1">
      <c r="A1719" s="39" t="n">
        <v>1714</v>
      </c>
      <c r="B1719" s="33">
        <f>IF(C1719="","",IF(P1719="À RENSEIGNER","GIC",P1719)&amp;"-V"&amp;TEXT(A1719,"00000"))</f>
        <v/>
      </c>
      <c r="C1719" s="32" t="n"/>
      <c r="D1719" s="35" t="n"/>
      <c r="E1719" s="36" t="n"/>
      <c r="F1719" s="36" t="n"/>
      <c r="G1719" s="36" t="n"/>
      <c r="H1719" s="36" t="n"/>
      <c r="I1719" s="36" t="n"/>
      <c r="J1719" s="37" t="n"/>
      <c r="K1719" s="32" t="n"/>
      <c r="L1719" s="36" t="n"/>
      <c r="M1719" s="41" t="n"/>
      <c r="N1719" s="41" t="n"/>
      <c r="O1719" s="36" t="n"/>
      <c r="P1719" s="33">
        <f>IF(C1719="","",Commercial_Id)</f>
        <v/>
      </c>
      <c r="Q1719" s="39">
        <f>IF(F1719="","",IFERROR(VALUE(MID(F1719,LEN(F1719)-3,3)),""))</f>
        <v/>
      </c>
      <c r="R1719" s="33">
        <f>IF(Q1719="","",P1719&amp;"|"&amp;Q1719)</f>
        <v/>
      </c>
      <c r="S1719" s="33">
        <f>IF(Q1719="","",IF(P1719="À RENSEIGNER","GIC",P1719)&amp;"-"&amp;TEXT(Q1719,"000"))</f>
        <v/>
      </c>
      <c r="T1719" s="33">
        <f>IF(R1719="","",IFERROR(INDEX(Cl_nom,MATCH(R1719,Cl_cle,0)),"(client introuvable)"))</f>
        <v/>
      </c>
      <c r="U1719" s="33">
        <f>IF(R1719="","",IFERROR(INDEX(Cl_quartier,MATCH(R1719,Cl_cle,0))&amp;"",""))</f>
        <v/>
      </c>
      <c r="V1719" s="34">
        <f>IF(C1719="","",YEAR(C1719-WEEKDAY(C1719,2)+4)&amp;"-S"&amp;TEXT(INT((C1719-DATE(YEAR(C1719-WEEKDAY(C1719,2)+4),1,3)+WEEKDAY(DATE(YEAR(C1719-WEEKDAY(C1719,2)+4),1,3),2)+5)/7),"00"))</f>
        <v/>
      </c>
    </row>
    <row r="1720" ht="18" customHeight="1">
      <c r="A1720" s="39" t="n">
        <v>1715</v>
      </c>
      <c r="B1720" s="33">
        <f>IF(C1720="","",IF(P1720="À RENSEIGNER","GIC",P1720)&amp;"-V"&amp;TEXT(A1720,"00000"))</f>
        <v/>
      </c>
      <c r="C1720" s="32" t="n"/>
      <c r="D1720" s="35" t="n"/>
      <c r="E1720" s="36" t="n"/>
      <c r="F1720" s="36" t="n"/>
      <c r="G1720" s="36" t="n"/>
      <c r="H1720" s="36" t="n"/>
      <c r="I1720" s="36" t="n"/>
      <c r="J1720" s="37" t="n"/>
      <c r="K1720" s="32" t="n"/>
      <c r="L1720" s="36" t="n"/>
      <c r="M1720" s="41" t="n"/>
      <c r="N1720" s="41" t="n"/>
      <c r="O1720" s="36" t="n"/>
      <c r="P1720" s="33">
        <f>IF(C1720="","",Commercial_Id)</f>
        <v/>
      </c>
      <c r="Q1720" s="39">
        <f>IF(F1720="","",IFERROR(VALUE(MID(F1720,LEN(F1720)-3,3)),""))</f>
        <v/>
      </c>
      <c r="R1720" s="33">
        <f>IF(Q1720="","",P1720&amp;"|"&amp;Q1720)</f>
        <v/>
      </c>
      <c r="S1720" s="33">
        <f>IF(Q1720="","",IF(P1720="À RENSEIGNER","GIC",P1720)&amp;"-"&amp;TEXT(Q1720,"000"))</f>
        <v/>
      </c>
      <c r="T1720" s="33">
        <f>IF(R1720="","",IFERROR(INDEX(Cl_nom,MATCH(R1720,Cl_cle,0)),"(client introuvable)"))</f>
        <v/>
      </c>
      <c r="U1720" s="33">
        <f>IF(R1720="","",IFERROR(INDEX(Cl_quartier,MATCH(R1720,Cl_cle,0))&amp;"",""))</f>
        <v/>
      </c>
      <c r="V1720" s="34">
        <f>IF(C1720="","",YEAR(C1720-WEEKDAY(C1720,2)+4)&amp;"-S"&amp;TEXT(INT((C1720-DATE(YEAR(C1720-WEEKDAY(C1720,2)+4),1,3)+WEEKDAY(DATE(YEAR(C1720-WEEKDAY(C1720,2)+4),1,3),2)+5)/7),"00"))</f>
        <v/>
      </c>
    </row>
    <row r="1721" ht="18" customHeight="1">
      <c r="A1721" s="39" t="n">
        <v>1716</v>
      </c>
      <c r="B1721" s="33">
        <f>IF(C1721="","",IF(P1721="À RENSEIGNER","GIC",P1721)&amp;"-V"&amp;TEXT(A1721,"00000"))</f>
        <v/>
      </c>
      <c r="C1721" s="32" t="n"/>
      <c r="D1721" s="35" t="n"/>
      <c r="E1721" s="36" t="n"/>
      <c r="F1721" s="36" t="n"/>
      <c r="G1721" s="36" t="n"/>
      <c r="H1721" s="36" t="n"/>
      <c r="I1721" s="36" t="n"/>
      <c r="J1721" s="37" t="n"/>
      <c r="K1721" s="32" t="n"/>
      <c r="L1721" s="36" t="n"/>
      <c r="M1721" s="41" t="n"/>
      <c r="N1721" s="41" t="n"/>
      <c r="O1721" s="36" t="n"/>
      <c r="P1721" s="33">
        <f>IF(C1721="","",Commercial_Id)</f>
        <v/>
      </c>
      <c r="Q1721" s="39">
        <f>IF(F1721="","",IFERROR(VALUE(MID(F1721,LEN(F1721)-3,3)),""))</f>
        <v/>
      </c>
      <c r="R1721" s="33">
        <f>IF(Q1721="","",P1721&amp;"|"&amp;Q1721)</f>
        <v/>
      </c>
      <c r="S1721" s="33">
        <f>IF(Q1721="","",IF(P1721="À RENSEIGNER","GIC",P1721)&amp;"-"&amp;TEXT(Q1721,"000"))</f>
        <v/>
      </c>
      <c r="T1721" s="33">
        <f>IF(R1721="","",IFERROR(INDEX(Cl_nom,MATCH(R1721,Cl_cle,0)),"(client introuvable)"))</f>
        <v/>
      </c>
      <c r="U1721" s="33">
        <f>IF(R1721="","",IFERROR(INDEX(Cl_quartier,MATCH(R1721,Cl_cle,0))&amp;"",""))</f>
        <v/>
      </c>
      <c r="V1721" s="34">
        <f>IF(C1721="","",YEAR(C1721-WEEKDAY(C1721,2)+4)&amp;"-S"&amp;TEXT(INT((C1721-DATE(YEAR(C1721-WEEKDAY(C1721,2)+4),1,3)+WEEKDAY(DATE(YEAR(C1721-WEEKDAY(C1721,2)+4),1,3),2)+5)/7),"00"))</f>
        <v/>
      </c>
    </row>
    <row r="1722" ht="18" customHeight="1">
      <c r="A1722" s="39" t="n">
        <v>1717</v>
      </c>
      <c r="B1722" s="33">
        <f>IF(C1722="","",IF(P1722="À RENSEIGNER","GIC",P1722)&amp;"-V"&amp;TEXT(A1722,"00000"))</f>
        <v/>
      </c>
      <c r="C1722" s="32" t="n"/>
      <c r="D1722" s="35" t="n"/>
      <c r="E1722" s="36" t="n"/>
      <c r="F1722" s="36" t="n"/>
      <c r="G1722" s="36" t="n"/>
      <c r="H1722" s="36" t="n"/>
      <c r="I1722" s="36" t="n"/>
      <c r="J1722" s="37" t="n"/>
      <c r="K1722" s="32" t="n"/>
      <c r="L1722" s="36" t="n"/>
      <c r="M1722" s="41" t="n"/>
      <c r="N1722" s="41" t="n"/>
      <c r="O1722" s="36" t="n"/>
      <c r="P1722" s="33">
        <f>IF(C1722="","",Commercial_Id)</f>
        <v/>
      </c>
      <c r="Q1722" s="39">
        <f>IF(F1722="","",IFERROR(VALUE(MID(F1722,LEN(F1722)-3,3)),""))</f>
        <v/>
      </c>
      <c r="R1722" s="33">
        <f>IF(Q1722="","",P1722&amp;"|"&amp;Q1722)</f>
        <v/>
      </c>
      <c r="S1722" s="33">
        <f>IF(Q1722="","",IF(P1722="À RENSEIGNER","GIC",P1722)&amp;"-"&amp;TEXT(Q1722,"000"))</f>
        <v/>
      </c>
      <c r="T1722" s="33">
        <f>IF(R1722="","",IFERROR(INDEX(Cl_nom,MATCH(R1722,Cl_cle,0)),"(client introuvable)"))</f>
        <v/>
      </c>
      <c r="U1722" s="33">
        <f>IF(R1722="","",IFERROR(INDEX(Cl_quartier,MATCH(R1722,Cl_cle,0))&amp;"",""))</f>
        <v/>
      </c>
      <c r="V1722" s="34">
        <f>IF(C1722="","",YEAR(C1722-WEEKDAY(C1722,2)+4)&amp;"-S"&amp;TEXT(INT((C1722-DATE(YEAR(C1722-WEEKDAY(C1722,2)+4),1,3)+WEEKDAY(DATE(YEAR(C1722-WEEKDAY(C1722,2)+4),1,3),2)+5)/7),"00"))</f>
        <v/>
      </c>
    </row>
    <row r="1723" ht="18" customHeight="1">
      <c r="A1723" s="39" t="n">
        <v>1718</v>
      </c>
      <c r="B1723" s="33">
        <f>IF(C1723="","",IF(P1723="À RENSEIGNER","GIC",P1723)&amp;"-V"&amp;TEXT(A1723,"00000"))</f>
        <v/>
      </c>
      <c r="C1723" s="32" t="n"/>
      <c r="D1723" s="35" t="n"/>
      <c r="E1723" s="36" t="n"/>
      <c r="F1723" s="36" t="n"/>
      <c r="G1723" s="36" t="n"/>
      <c r="H1723" s="36" t="n"/>
      <c r="I1723" s="36" t="n"/>
      <c r="J1723" s="37" t="n"/>
      <c r="K1723" s="32" t="n"/>
      <c r="L1723" s="36" t="n"/>
      <c r="M1723" s="41" t="n"/>
      <c r="N1723" s="41" t="n"/>
      <c r="O1723" s="36" t="n"/>
      <c r="P1723" s="33">
        <f>IF(C1723="","",Commercial_Id)</f>
        <v/>
      </c>
      <c r="Q1723" s="39">
        <f>IF(F1723="","",IFERROR(VALUE(MID(F1723,LEN(F1723)-3,3)),""))</f>
        <v/>
      </c>
      <c r="R1723" s="33">
        <f>IF(Q1723="","",P1723&amp;"|"&amp;Q1723)</f>
        <v/>
      </c>
      <c r="S1723" s="33">
        <f>IF(Q1723="","",IF(P1723="À RENSEIGNER","GIC",P1723)&amp;"-"&amp;TEXT(Q1723,"000"))</f>
        <v/>
      </c>
      <c r="T1723" s="33">
        <f>IF(R1723="","",IFERROR(INDEX(Cl_nom,MATCH(R1723,Cl_cle,0)),"(client introuvable)"))</f>
        <v/>
      </c>
      <c r="U1723" s="33">
        <f>IF(R1723="","",IFERROR(INDEX(Cl_quartier,MATCH(R1723,Cl_cle,0))&amp;"",""))</f>
        <v/>
      </c>
      <c r="V1723" s="34">
        <f>IF(C1723="","",YEAR(C1723-WEEKDAY(C1723,2)+4)&amp;"-S"&amp;TEXT(INT((C1723-DATE(YEAR(C1723-WEEKDAY(C1723,2)+4),1,3)+WEEKDAY(DATE(YEAR(C1723-WEEKDAY(C1723,2)+4),1,3),2)+5)/7),"00"))</f>
        <v/>
      </c>
    </row>
    <row r="1724" ht="18" customHeight="1">
      <c r="A1724" s="39" t="n">
        <v>1719</v>
      </c>
      <c r="B1724" s="33">
        <f>IF(C1724="","",IF(P1724="À RENSEIGNER","GIC",P1724)&amp;"-V"&amp;TEXT(A1724,"00000"))</f>
        <v/>
      </c>
      <c r="C1724" s="32" t="n"/>
      <c r="D1724" s="35" t="n"/>
      <c r="E1724" s="36" t="n"/>
      <c r="F1724" s="36" t="n"/>
      <c r="G1724" s="36" t="n"/>
      <c r="H1724" s="36" t="n"/>
      <c r="I1724" s="36" t="n"/>
      <c r="J1724" s="37" t="n"/>
      <c r="K1724" s="32" t="n"/>
      <c r="L1724" s="36" t="n"/>
      <c r="M1724" s="41" t="n"/>
      <c r="N1724" s="41" t="n"/>
      <c r="O1724" s="36" t="n"/>
      <c r="P1724" s="33">
        <f>IF(C1724="","",Commercial_Id)</f>
        <v/>
      </c>
      <c r="Q1724" s="39">
        <f>IF(F1724="","",IFERROR(VALUE(MID(F1724,LEN(F1724)-3,3)),""))</f>
        <v/>
      </c>
      <c r="R1724" s="33">
        <f>IF(Q1724="","",P1724&amp;"|"&amp;Q1724)</f>
        <v/>
      </c>
      <c r="S1724" s="33">
        <f>IF(Q1724="","",IF(P1724="À RENSEIGNER","GIC",P1724)&amp;"-"&amp;TEXT(Q1724,"000"))</f>
        <v/>
      </c>
      <c r="T1724" s="33">
        <f>IF(R1724="","",IFERROR(INDEX(Cl_nom,MATCH(R1724,Cl_cle,0)),"(client introuvable)"))</f>
        <v/>
      </c>
      <c r="U1724" s="33">
        <f>IF(R1724="","",IFERROR(INDEX(Cl_quartier,MATCH(R1724,Cl_cle,0))&amp;"",""))</f>
        <v/>
      </c>
      <c r="V1724" s="34">
        <f>IF(C1724="","",YEAR(C1724-WEEKDAY(C1724,2)+4)&amp;"-S"&amp;TEXT(INT((C1724-DATE(YEAR(C1724-WEEKDAY(C1724,2)+4),1,3)+WEEKDAY(DATE(YEAR(C1724-WEEKDAY(C1724,2)+4),1,3),2)+5)/7),"00"))</f>
        <v/>
      </c>
    </row>
    <row r="1725" ht="18" customHeight="1">
      <c r="A1725" s="39" t="n">
        <v>1720</v>
      </c>
      <c r="B1725" s="33">
        <f>IF(C1725="","",IF(P1725="À RENSEIGNER","GIC",P1725)&amp;"-V"&amp;TEXT(A1725,"00000"))</f>
        <v/>
      </c>
      <c r="C1725" s="32" t="n"/>
      <c r="D1725" s="35" t="n"/>
      <c r="E1725" s="36" t="n"/>
      <c r="F1725" s="36" t="n"/>
      <c r="G1725" s="36" t="n"/>
      <c r="H1725" s="36" t="n"/>
      <c r="I1725" s="36" t="n"/>
      <c r="J1725" s="37" t="n"/>
      <c r="K1725" s="32" t="n"/>
      <c r="L1725" s="36" t="n"/>
      <c r="M1725" s="41" t="n"/>
      <c r="N1725" s="41" t="n"/>
      <c r="O1725" s="36" t="n"/>
      <c r="P1725" s="33">
        <f>IF(C1725="","",Commercial_Id)</f>
        <v/>
      </c>
      <c r="Q1725" s="39">
        <f>IF(F1725="","",IFERROR(VALUE(MID(F1725,LEN(F1725)-3,3)),""))</f>
        <v/>
      </c>
      <c r="R1725" s="33">
        <f>IF(Q1725="","",P1725&amp;"|"&amp;Q1725)</f>
        <v/>
      </c>
      <c r="S1725" s="33">
        <f>IF(Q1725="","",IF(P1725="À RENSEIGNER","GIC",P1725)&amp;"-"&amp;TEXT(Q1725,"000"))</f>
        <v/>
      </c>
      <c r="T1725" s="33">
        <f>IF(R1725="","",IFERROR(INDEX(Cl_nom,MATCH(R1725,Cl_cle,0)),"(client introuvable)"))</f>
        <v/>
      </c>
      <c r="U1725" s="33">
        <f>IF(R1725="","",IFERROR(INDEX(Cl_quartier,MATCH(R1725,Cl_cle,0))&amp;"",""))</f>
        <v/>
      </c>
      <c r="V1725" s="34">
        <f>IF(C1725="","",YEAR(C1725-WEEKDAY(C1725,2)+4)&amp;"-S"&amp;TEXT(INT((C1725-DATE(YEAR(C1725-WEEKDAY(C1725,2)+4),1,3)+WEEKDAY(DATE(YEAR(C1725-WEEKDAY(C1725,2)+4),1,3),2)+5)/7),"00"))</f>
        <v/>
      </c>
    </row>
    <row r="1726" ht="18" customHeight="1">
      <c r="A1726" s="39" t="n">
        <v>1721</v>
      </c>
      <c r="B1726" s="33">
        <f>IF(C1726="","",IF(P1726="À RENSEIGNER","GIC",P1726)&amp;"-V"&amp;TEXT(A1726,"00000"))</f>
        <v/>
      </c>
      <c r="C1726" s="32" t="n"/>
      <c r="D1726" s="35" t="n"/>
      <c r="E1726" s="36" t="n"/>
      <c r="F1726" s="36" t="n"/>
      <c r="G1726" s="36" t="n"/>
      <c r="H1726" s="36" t="n"/>
      <c r="I1726" s="36" t="n"/>
      <c r="J1726" s="37" t="n"/>
      <c r="K1726" s="32" t="n"/>
      <c r="L1726" s="36" t="n"/>
      <c r="M1726" s="41" t="n"/>
      <c r="N1726" s="41" t="n"/>
      <c r="O1726" s="36" t="n"/>
      <c r="P1726" s="33">
        <f>IF(C1726="","",Commercial_Id)</f>
        <v/>
      </c>
      <c r="Q1726" s="39">
        <f>IF(F1726="","",IFERROR(VALUE(MID(F1726,LEN(F1726)-3,3)),""))</f>
        <v/>
      </c>
      <c r="R1726" s="33">
        <f>IF(Q1726="","",P1726&amp;"|"&amp;Q1726)</f>
        <v/>
      </c>
      <c r="S1726" s="33">
        <f>IF(Q1726="","",IF(P1726="À RENSEIGNER","GIC",P1726)&amp;"-"&amp;TEXT(Q1726,"000"))</f>
        <v/>
      </c>
      <c r="T1726" s="33">
        <f>IF(R1726="","",IFERROR(INDEX(Cl_nom,MATCH(R1726,Cl_cle,0)),"(client introuvable)"))</f>
        <v/>
      </c>
      <c r="U1726" s="33">
        <f>IF(R1726="","",IFERROR(INDEX(Cl_quartier,MATCH(R1726,Cl_cle,0))&amp;"",""))</f>
        <v/>
      </c>
      <c r="V1726" s="34">
        <f>IF(C1726="","",YEAR(C1726-WEEKDAY(C1726,2)+4)&amp;"-S"&amp;TEXT(INT((C1726-DATE(YEAR(C1726-WEEKDAY(C1726,2)+4),1,3)+WEEKDAY(DATE(YEAR(C1726-WEEKDAY(C1726,2)+4),1,3),2)+5)/7),"00"))</f>
        <v/>
      </c>
    </row>
    <row r="1727" ht="18" customHeight="1">
      <c r="A1727" s="39" t="n">
        <v>1722</v>
      </c>
      <c r="B1727" s="33">
        <f>IF(C1727="","",IF(P1727="À RENSEIGNER","GIC",P1727)&amp;"-V"&amp;TEXT(A1727,"00000"))</f>
        <v/>
      </c>
      <c r="C1727" s="32" t="n"/>
      <c r="D1727" s="35" t="n"/>
      <c r="E1727" s="36" t="n"/>
      <c r="F1727" s="36" t="n"/>
      <c r="G1727" s="36" t="n"/>
      <c r="H1727" s="36" t="n"/>
      <c r="I1727" s="36" t="n"/>
      <c r="J1727" s="37" t="n"/>
      <c r="K1727" s="32" t="n"/>
      <c r="L1727" s="36" t="n"/>
      <c r="M1727" s="41" t="n"/>
      <c r="N1727" s="41" t="n"/>
      <c r="O1727" s="36" t="n"/>
      <c r="P1727" s="33">
        <f>IF(C1727="","",Commercial_Id)</f>
        <v/>
      </c>
      <c r="Q1727" s="39">
        <f>IF(F1727="","",IFERROR(VALUE(MID(F1727,LEN(F1727)-3,3)),""))</f>
        <v/>
      </c>
      <c r="R1727" s="33">
        <f>IF(Q1727="","",P1727&amp;"|"&amp;Q1727)</f>
        <v/>
      </c>
      <c r="S1727" s="33">
        <f>IF(Q1727="","",IF(P1727="À RENSEIGNER","GIC",P1727)&amp;"-"&amp;TEXT(Q1727,"000"))</f>
        <v/>
      </c>
      <c r="T1727" s="33">
        <f>IF(R1727="","",IFERROR(INDEX(Cl_nom,MATCH(R1727,Cl_cle,0)),"(client introuvable)"))</f>
        <v/>
      </c>
      <c r="U1727" s="33">
        <f>IF(R1727="","",IFERROR(INDEX(Cl_quartier,MATCH(R1727,Cl_cle,0))&amp;"",""))</f>
        <v/>
      </c>
      <c r="V1727" s="34">
        <f>IF(C1727="","",YEAR(C1727-WEEKDAY(C1727,2)+4)&amp;"-S"&amp;TEXT(INT((C1727-DATE(YEAR(C1727-WEEKDAY(C1727,2)+4),1,3)+WEEKDAY(DATE(YEAR(C1727-WEEKDAY(C1727,2)+4),1,3),2)+5)/7),"00"))</f>
        <v/>
      </c>
    </row>
    <row r="1728" ht="18" customHeight="1">
      <c r="A1728" s="39" t="n">
        <v>1723</v>
      </c>
      <c r="B1728" s="33">
        <f>IF(C1728="","",IF(P1728="À RENSEIGNER","GIC",P1728)&amp;"-V"&amp;TEXT(A1728,"00000"))</f>
        <v/>
      </c>
      <c r="C1728" s="32" t="n"/>
      <c r="D1728" s="35" t="n"/>
      <c r="E1728" s="36" t="n"/>
      <c r="F1728" s="36" t="n"/>
      <c r="G1728" s="36" t="n"/>
      <c r="H1728" s="36" t="n"/>
      <c r="I1728" s="36" t="n"/>
      <c r="J1728" s="37" t="n"/>
      <c r="K1728" s="32" t="n"/>
      <c r="L1728" s="36" t="n"/>
      <c r="M1728" s="41" t="n"/>
      <c r="N1728" s="41" t="n"/>
      <c r="O1728" s="36" t="n"/>
      <c r="P1728" s="33">
        <f>IF(C1728="","",Commercial_Id)</f>
        <v/>
      </c>
      <c r="Q1728" s="39">
        <f>IF(F1728="","",IFERROR(VALUE(MID(F1728,LEN(F1728)-3,3)),""))</f>
        <v/>
      </c>
      <c r="R1728" s="33">
        <f>IF(Q1728="","",P1728&amp;"|"&amp;Q1728)</f>
        <v/>
      </c>
      <c r="S1728" s="33">
        <f>IF(Q1728="","",IF(P1728="À RENSEIGNER","GIC",P1728)&amp;"-"&amp;TEXT(Q1728,"000"))</f>
        <v/>
      </c>
      <c r="T1728" s="33">
        <f>IF(R1728="","",IFERROR(INDEX(Cl_nom,MATCH(R1728,Cl_cle,0)),"(client introuvable)"))</f>
        <v/>
      </c>
      <c r="U1728" s="33">
        <f>IF(R1728="","",IFERROR(INDEX(Cl_quartier,MATCH(R1728,Cl_cle,0))&amp;"",""))</f>
        <v/>
      </c>
      <c r="V1728" s="34">
        <f>IF(C1728="","",YEAR(C1728-WEEKDAY(C1728,2)+4)&amp;"-S"&amp;TEXT(INT((C1728-DATE(YEAR(C1728-WEEKDAY(C1728,2)+4),1,3)+WEEKDAY(DATE(YEAR(C1728-WEEKDAY(C1728,2)+4),1,3),2)+5)/7),"00"))</f>
        <v/>
      </c>
    </row>
    <row r="1729" ht="18" customHeight="1">
      <c r="A1729" s="39" t="n">
        <v>1724</v>
      </c>
      <c r="B1729" s="33">
        <f>IF(C1729="","",IF(P1729="À RENSEIGNER","GIC",P1729)&amp;"-V"&amp;TEXT(A1729,"00000"))</f>
        <v/>
      </c>
      <c r="C1729" s="32" t="n"/>
      <c r="D1729" s="35" t="n"/>
      <c r="E1729" s="36" t="n"/>
      <c r="F1729" s="36" t="n"/>
      <c r="G1729" s="36" t="n"/>
      <c r="H1729" s="36" t="n"/>
      <c r="I1729" s="36" t="n"/>
      <c r="J1729" s="37" t="n"/>
      <c r="K1729" s="32" t="n"/>
      <c r="L1729" s="36" t="n"/>
      <c r="M1729" s="41" t="n"/>
      <c r="N1729" s="41" t="n"/>
      <c r="O1729" s="36" t="n"/>
      <c r="P1729" s="33">
        <f>IF(C1729="","",Commercial_Id)</f>
        <v/>
      </c>
      <c r="Q1729" s="39">
        <f>IF(F1729="","",IFERROR(VALUE(MID(F1729,LEN(F1729)-3,3)),""))</f>
        <v/>
      </c>
      <c r="R1729" s="33">
        <f>IF(Q1729="","",P1729&amp;"|"&amp;Q1729)</f>
        <v/>
      </c>
      <c r="S1729" s="33">
        <f>IF(Q1729="","",IF(P1729="À RENSEIGNER","GIC",P1729)&amp;"-"&amp;TEXT(Q1729,"000"))</f>
        <v/>
      </c>
      <c r="T1729" s="33">
        <f>IF(R1729="","",IFERROR(INDEX(Cl_nom,MATCH(R1729,Cl_cle,0)),"(client introuvable)"))</f>
        <v/>
      </c>
      <c r="U1729" s="33">
        <f>IF(R1729="","",IFERROR(INDEX(Cl_quartier,MATCH(R1729,Cl_cle,0))&amp;"",""))</f>
        <v/>
      </c>
      <c r="V1729" s="34">
        <f>IF(C1729="","",YEAR(C1729-WEEKDAY(C1729,2)+4)&amp;"-S"&amp;TEXT(INT((C1729-DATE(YEAR(C1729-WEEKDAY(C1729,2)+4),1,3)+WEEKDAY(DATE(YEAR(C1729-WEEKDAY(C1729,2)+4),1,3),2)+5)/7),"00"))</f>
        <v/>
      </c>
    </row>
    <row r="1730" ht="18" customHeight="1">
      <c r="A1730" s="39" t="n">
        <v>1725</v>
      </c>
      <c r="B1730" s="33">
        <f>IF(C1730="","",IF(P1730="À RENSEIGNER","GIC",P1730)&amp;"-V"&amp;TEXT(A1730,"00000"))</f>
        <v/>
      </c>
      <c r="C1730" s="32" t="n"/>
      <c r="D1730" s="35" t="n"/>
      <c r="E1730" s="36" t="n"/>
      <c r="F1730" s="36" t="n"/>
      <c r="G1730" s="36" t="n"/>
      <c r="H1730" s="36" t="n"/>
      <c r="I1730" s="36" t="n"/>
      <c r="J1730" s="37" t="n"/>
      <c r="K1730" s="32" t="n"/>
      <c r="L1730" s="36" t="n"/>
      <c r="M1730" s="41" t="n"/>
      <c r="N1730" s="41" t="n"/>
      <c r="O1730" s="36" t="n"/>
      <c r="P1730" s="33">
        <f>IF(C1730="","",Commercial_Id)</f>
        <v/>
      </c>
      <c r="Q1730" s="39">
        <f>IF(F1730="","",IFERROR(VALUE(MID(F1730,LEN(F1730)-3,3)),""))</f>
        <v/>
      </c>
      <c r="R1730" s="33">
        <f>IF(Q1730="","",P1730&amp;"|"&amp;Q1730)</f>
        <v/>
      </c>
      <c r="S1730" s="33">
        <f>IF(Q1730="","",IF(P1730="À RENSEIGNER","GIC",P1730)&amp;"-"&amp;TEXT(Q1730,"000"))</f>
        <v/>
      </c>
      <c r="T1730" s="33">
        <f>IF(R1730="","",IFERROR(INDEX(Cl_nom,MATCH(R1730,Cl_cle,0)),"(client introuvable)"))</f>
        <v/>
      </c>
      <c r="U1730" s="33">
        <f>IF(R1730="","",IFERROR(INDEX(Cl_quartier,MATCH(R1730,Cl_cle,0))&amp;"",""))</f>
        <v/>
      </c>
      <c r="V1730" s="34">
        <f>IF(C1730="","",YEAR(C1730-WEEKDAY(C1730,2)+4)&amp;"-S"&amp;TEXT(INT((C1730-DATE(YEAR(C1730-WEEKDAY(C1730,2)+4),1,3)+WEEKDAY(DATE(YEAR(C1730-WEEKDAY(C1730,2)+4),1,3),2)+5)/7),"00"))</f>
        <v/>
      </c>
    </row>
    <row r="1731" ht="18" customHeight="1">
      <c r="A1731" s="39" t="n">
        <v>1726</v>
      </c>
      <c r="B1731" s="33">
        <f>IF(C1731="","",IF(P1731="À RENSEIGNER","GIC",P1731)&amp;"-V"&amp;TEXT(A1731,"00000"))</f>
        <v/>
      </c>
      <c r="C1731" s="32" t="n"/>
      <c r="D1731" s="35" t="n"/>
      <c r="E1731" s="36" t="n"/>
      <c r="F1731" s="36" t="n"/>
      <c r="G1731" s="36" t="n"/>
      <c r="H1731" s="36" t="n"/>
      <c r="I1731" s="36" t="n"/>
      <c r="J1731" s="37" t="n"/>
      <c r="K1731" s="32" t="n"/>
      <c r="L1731" s="36" t="n"/>
      <c r="M1731" s="41" t="n"/>
      <c r="N1731" s="41" t="n"/>
      <c r="O1731" s="36" t="n"/>
      <c r="P1731" s="33">
        <f>IF(C1731="","",Commercial_Id)</f>
        <v/>
      </c>
      <c r="Q1731" s="39">
        <f>IF(F1731="","",IFERROR(VALUE(MID(F1731,LEN(F1731)-3,3)),""))</f>
        <v/>
      </c>
      <c r="R1731" s="33">
        <f>IF(Q1731="","",P1731&amp;"|"&amp;Q1731)</f>
        <v/>
      </c>
      <c r="S1731" s="33">
        <f>IF(Q1731="","",IF(P1731="À RENSEIGNER","GIC",P1731)&amp;"-"&amp;TEXT(Q1731,"000"))</f>
        <v/>
      </c>
      <c r="T1731" s="33">
        <f>IF(R1731="","",IFERROR(INDEX(Cl_nom,MATCH(R1731,Cl_cle,0)),"(client introuvable)"))</f>
        <v/>
      </c>
      <c r="U1731" s="33">
        <f>IF(R1731="","",IFERROR(INDEX(Cl_quartier,MATCH(R1731,Cl_cle,0))&amp;"",""))</f>
        <v/>
      </c>
      <c r="V1731" s="34">
        <f>IF(C1731="","",YEAR(C1731-WEEKDAY(C1731,2)+4)&amp;"-S"&amp;TEXT(INT((C1731-DATE(YEAR(C1731-WEEKDAY(C1731,2)+4),1,3)+WEEKDAY(DATE(YEAR(C1731-WEEKDAY(C1731,2)+4),1,3),2)+5)/7),"00"))</f>
        <v/>
      </c>
    </row>
    <row r="1732" ht="18" customHeight="1">
      <c r="A1732" s="39" t="n">
        <v>1727</v>
      </c>
      <c r="B1732" s="33">
        <f>IF(C1732="","",IF(P1732="À RENSEIGNER","GIC",P1732)&amp;"-V"&amp;TEXT(A1732,"00000"))</f>
        <v/>
      </c>
      <c r="C1732" s="32" t="n"/>
      <c r="D1732" s="35" t="n"/>
      <c r="E1732" s="36" t="n"/>
      <c r="F1732" s="36" t="n"/>
      <c r="G1732" s="36" t="n"/>
      <c r="H1732" s="36" t="n"/>
      <c r="I1732" s="36" t="n"/>
      <c r="J1732" s="37" t="n"/>
      <c r="K1732" s="32" t="n"/>
      <c r="L1732" s="36" t="n"/>
      <c r="M1732" s="41" t="n"/>
      <c r="N1732" s="41" t="n"/>
      <c r="O1732" s="36" t="n"/>
      <c r="P1732" s="33">
        <f>IF(C1732="","",Commercial_Id)</f>
        <v/>
      </c>
      <c r="Q1732" s="39">
        <f>IF(F1732="","",IFERROR(VALUE(MID(F1732,LEN(F1732)-3,3)),""))</f>
        <v/>
      </c>
      <c r="R1732" s="33">
        <f>IF(Q1732="","",P1732&amp;"|"&amp;Q1732)</f>
        <v/>
      </c>
      <c r="S1732" s="33">
        <f>IF(Q1732="","",IF(P1732="À RENSEIGNER","GIC",P1732)&amp;"-"&amp;TEXT(Q1732,"000"))</f>
        <v/>
      </c>
      <c r="T1732" s="33">
        <f>IF(R1732="","",IFERROR(INDEX(Cl_nom,MATCH(R1732,Cl_cle,0)),"(client introuvable)"))</f>
        <v/>
      </c>
      <c r="U1732" s="33">
        <f>IF(R1732="","",IFERROR(INDEX(Cl_quartier,MATCH(R1732,Cl_cle,0))&amp;"",""))</f>
        <v/>
      </c>
      <c r="V1732" s="34">
        <f>IF(C1732="","",YEAR(C1732-WEEKDAY(C1732,2)+4)&amp;"-S"&amp;TEXT(INT((C1732-DATE(YEAR(C1732-WEEKDAY(C1732,2)+4),1,3)+WEEKDAY(DATE(YEAR(C1732-WEEKDAY(C1732,2)+4),1,3),2)+5)/7),"00"))</f>
        <v/>
      </c>
    </row>
    <row r="1733" ht="18" customHeight="1">
      <c r="A1733" s="39" t="n">
        <v>1728</v>
      </c>
      <c r="B1733" s="33">
        <f>IF(C1733="","",IF(P1733="À RENSEIGNER","GIC",P1733)&amp;"-V"&amp;TEXT(A1733,"00000"))</f>
        <v/>
      </c>
      <c r="C1733" s="32" t="n"/>
      <c r="D1733" s="35" t="n"/>
      <c r="E1733" s="36" t="n"/>
      <c r="F1733" s="36" t="n"/>
      <c r="G1733" s="36" t="n"/>
      <c r="H1733" s="36" t="n"/>
      <c r="I1733" s="36" t="n"/>
      <c r="J1733" s="37" t="n"/>
      <c r="K1733" s="32" t="n"/>
      <c r="L1733" s="36" t="n"/>
      <c r="M1733" s="41" t="n"/>
      <c r="N1733" s="41" t="n"/>
      <c r="O1733" s="36" t="n"/>
      <c r="P1733" s="33">
        <f>IF(C1733="","",Commercial_Id)</f>
        <v/>
      </c>
      <c r="Q1733" s="39">
        <f>IF(F1733="","",IFERROR(VALUE(MID(F1733,LEN(F1733)-3,3)),""))</f>
        <v/>
      </c>
      <c r="R1733" s="33">
        <f>IF(Q1733="","",P1733&amp;"|"&amp;Q1733)</f>
        <v/>
      </c>
      <c r="S1733" s="33">
        <f>IF(Q1733="","",IF(P1733="À RENSEIGNER","GIC",P1733)&amp;"-"&amp;TEXT(Q1733,"000"))</f>
        <v/>
      </c>
      <c r="T1733" s="33">
        <f>IF(R1733="","",IFERROR(INDEX(Cl_nom,MATCH(R1733,Cl_cle,0)),"(client introuvable)"))</f>
        <v/>
      </c>
      <c r="U1733" s="33">
        <f>IF(R1733="","",IFERROR(INDEX(Cl_quartier,MATCH(R1733,Cl_cle,0))&amp;"",""))</f>
        <v/>
      </c>
      <c r="V1733" s="34">
        <f>IF(C1733="","",YEAR(C1733-WEEKDAY(C1733,2)+4)&amp;"-S"&amp;TEXT(INT((C1733-DATE(YEAR(C1733-WEEKDAY(C1733,2)+4),1,3)+WEEKDAY(DATE(YEAR(C1733-WEEKDAY(C1733,2)+4),1,3),2)+5)/7),"00"))</f>
        <v/>
      </c>
    </row>
    <row r="1734" ht="18" customHeight="1">
      <c r="A1734" s="39" t="n">
        <v>1729</v>
      </c>
      <c r="B1734" s="33">
        <f>IF(C1734="","",IF(P1734="À RENSEIGNER","GIC",P1734)&amp;"-V"&amp;TEXT(A1734,"00000"))</f>
        <v/>
      </c>
      <c r="C1734" s="32" t="n"/>
      <c r="D1734" s="35" t="n"/>
      <c r="E1734" s="36" t="n"/>
      <c r="F1734" s="36" t="n"/>
      <c r="G1734" s="36" t="n"/>
      <c r="H1734" s="36" t="n"/>
      <c r="I1734" s="36" t="n"/>
      <c r="J1734" s="37" t="n"/>
      <c r="K1734" s="32" t="n"/>
      <c r="L1734" s="36" t="n"/>
      <c r="M1734" s="41" t="n"/>
      <c r="N1734" s="41" t="n"/>
      <c r="O1734" s="36" t="n"/>
      <c r="P1734" s="33">
        <f>IF(C1734="","",Commercial_Id)</f>
        <v/>
      </c>
      <c r="Q1734" s="39">
        <f>IF(F1734="","",IFERROR(VALUE(MID(F1734,LEN(F1734)-3,3)),""))</f>
        <v/>
      </c>
      <c r="R1734" s="33">
        <f>IF(Q1734="","",P1734&amp;"|"&amp;Q1734)</f>
        <v/>
      </c>
      <c r="S1734" s="33">
        <f>IF(Q1734="","",IF(P1734="À RENSEIGNER","GIC",P1734)&amp;"-"&amp;TEXT(Q1734,"000"))</f>
        <v/>
      </c>
      <c r="T1734" s="33">
        <f>IF(R1734="","",IFERROR(INDEX(Cl_nom,MATCH(R1734,Cl_cle,0)),"(client introuvable)"))</f>
        <v/>
      </c>
      <c r="U1734" s="33">
        <f>IF(R1734="","",IFERROR(INDEX(Cl_quartier,MATCH(R1734,Cl_cle,0))&amp;"",""))</f>
        <v/>
      </c>
      <c r="V1734" s="34">
        <f>IF(C1734="","",YEAR(C1734-WEEKDAY(C1734,2)+4)&amp;"-S"&amp;TEXT(INT((C1734-DATE(YEAR(C1734-WEEKDAY(C1734,2)+4),1,3)+WEEKDAY(DATE(YEAR(C1734-WEEKDAY(C1734,2)+4),1,3),2)+5)/7),"00"))</f>
        <v/>
      </c>
    </row>
    <row r="1735" ht="18" customHeight="1">
      <c r="A1735" s="39" t="n">
        <v>1730</v>
      </c>
      <c r="B1735" s="33">
        <f>IF(C1735="","",IF(P1735="À RENSEIGNER","GIC",P1735)&amp;"-V"&amp;TEXT(A1735,"00000"))</f>
        <v/>
      </c>
      <c r="C1735" s="32" t="n"/>
      <c r="D1735" s="35" t="n"/>
      <c r="E1735" s="36" t="n"/>
      <c r="F1735" s="36" t="n"/>
      <c r="G1735" s="36" t="n"/>
      <c r="H1735" s="36" t="n"/>
      <c r="I1735" s="36" t="n"/>
      <c r="J1735" s="37" t="n"/>
      <c r="K1735" s="32" t="n"/>
      <c r="L1735" s="36" t="n"/>
      <c r="M1735" s="41" t="n"/>
      <c r="N1735" s="41" t="n"/>
      <c r="O1735" s="36" t="n"/>
      <c r="P1735" s="33">
        <f>IF(C1735="","",Commercial_Id)</f>
        <v/>
      </c>
      <c r="Q1735" s="39">
        <f>IF(F1735="","",IFERROR(VALUE(MID(F1735,LEN(F1735)-3,3)),""))</f>
        <v/>
      </c>
      <c r="R1735" s="33">
        <f>IF(Q1735="","",P1735&amp;"|"&amp;Q1735)</f>
        <v/>
      </c>
      <c r="S1735" s="33">
        <f>IF(Q1735="","",IF(P1735="À RENSEIGNER","GIC",P1735)&amp;"-"&amp;TEXT(Q1735,"000"))</f>
        <v/>
      </c>
      <c r="T1735" s="33">
        <f>IF(R1735="","",IFERROR(INDEX(Cl_nom,MATCH(R1735,Cl_cle,0)),"(client introuvable)"))</f>
        <v/>
      </c>
      <c r="U1735" s="33">
        <f>IF(R1735="","",IFERROR(INDEX(Cl_quartier,MATCH(R1735,Cl_cle,0))&amp;"",""))</f>
        <v/>
      </c>
      <c r="V1735" s="34">
        <f>IF(C1735="","",YEAR(C1735-WEEKDAY(C1735,2)+4)&amp;"-S"&amp;TEXT(INT((C1735-DATE(YEAR(C1735-WEEKDAY(C1735,2)+4),1,3)+WEEKDAY(DATE(YEAR(C1735-WEEKDAY(C1735,2)+4),1,3),2)+5)/7),"00"))</f>
        <v/>
      </c>
    </row>
    <row r="1736" ht="18" customHeight="1">
      <c r="A1736" s="39" t="n">
        <v>1731</v>
      </c>
      <c r="B1736" s="33">
        <f>IF(C1736="","",IF(P1736="À RENSEIGNER","GIC",P1736)&amp;"-V"&amp;TEXT(A1736,"00000"))</f>
        <v/>
      </c>
      <c r="C1736" s="32" t="n"/>
      <c r="D1736" s="35" t="n"/>
      <c r="E1736" s="36" t="n"/>
      <c r="F1736" s="36" t="n"/>
      <c r="G1736" s="36" t="n"/>
      <c r="H1736" s="36" t="n"/>
      <c r="I1736" s="36" t="n"/>
      <c r="J1736" s="37" t="n"/>
      <c r="K1736" s="32" t="n"/>
      <c r="L1736" s="36" t="n"/>
      <c r="M1736" s="41" t="n"/>
      <c r="N1736" s="41" t="n"/>
      <c r="O1736" s="36" t="n"/>
      <c r="P1736" s="33">
        <f>IF(C1736="","",Commercial_Id)</f>
        <v/>
      </c>
      <c r="Q1736" s="39">
        <f>IF(F1736="","",IFERROR(VALUE(MID(F1736,LEN(F1736)-3,3)),""))</f>
        <v/>
      </c>
      <c r="R1736" s="33">
        <f>IF(Q1736="","",P1736&amp;"|"&amp;Q1736)</f>
        <v/>
      </c>
      <c r="S1736" s="33">
        <f>IF(Q1736="","",IF(P1736="À RENSEIGNER","GIC",P1736)&amp;"-"&amp;TEXT(Q1736,"000"))</f>
        <v/>
      </c>
      <c r="T1736" s="33">
        <f>IF(R1736="","",IFERROR(INDEX(Cl_nom,MATCH(R1736,Cl_cle,0)),"(client introuvable)"))</f>
        <v/>
      </c>
      <c r="U1736" s="33">
        <f>IF(R1736="","",IFERROR(INDEX(Cl_quartier,MATCH(R1736,Cl_cle,0))&amp;"",""))</f>
        <v/>
      </c>
      <c r="V1736" s="34">
        <f>IF(C1736="","",YEAR(C1736-WEEKDAY(C1736,2)+4)&amp;"-S"&amp;TEXT(INT((C1736-DATE(YEAR(C1736-WEEKDAY(C1736,2)+4),1,3)+WEEKDAY(DATE(YEAR(C1736-WEEKDAY(C1736,2)+4),1,3),2)+5)/7),"00"))</f>
        <v/>
      </c>
    </row>
    <row r="1737" ht="18" customHeight="1">
      <c r="A1737" s="39" t="n">
        <v>1732</v>
      </c>
      <c r="B1737" s="33">
        <f>IF(C1737="","",IF(P1737="À RENSEIGNER","GIC",P1737)&amp;"-V"&amp;TEXT(A1737,"00000"))</f>
        <v/>
      </c>
      <c r="C1737" s="32" t="n"/>
      <c r="D1737" s="35" t="n"/>
      <c r="E1737" s="36" t="n"/>
      <c r="F1737" s="36" t="n"/>
      <c r="G1737" s="36" t="n"/>
      <c r="H1737" s="36" t="n"/>
      <c r="I1737" s="36" t="n"/>
      <c r="J1737" s="37" t="n"/>
      <c r="K1737" s="32" t="n"/>
      <c r="L1737" s="36" t="n"/>
      <c r="M1737" s="41" t="n"/>
      <c r="N1737" s="41" t="n"/>
      <c r="O1737" s="36" t="n"/>
      <c r="P1737" s="33">
        <f>IF(C1737="","",Commercial_Id)</f>
        <v/>
      </c>
      <c r="Q1737" s="39">
        <f>IF(F1737="","",IFERROR(VALUE(MID(F1737,LEN(F1737)-3,3)),""))</f>
        <v/>
      </c>
      <c r="R1737" s="33">
        <f>IF(Q1737="","",P1737&amp;"|"&amp;Q1737)</f>
        <v/>
      </c>
      <c r="S1737" s="33">
        <f>IF(Q1737="","",IF(P1737="À RENSEIGNER","GIC",P1737)&amp;"-"&amp;TEXT(Q1737,"000"))</f>
        <v/>
      </c>
      <c r="T1737" s="33">
        <f>IF(R1737="","",IFERROR(INDEX(Cl_nom,MATCH(R1737,Cl_cle,0)),"(client introuvable)"))</f>
        <v/>
      </c>
      <c r="U1737" s="33">
        <f>IF(R1737="","",IFERROR(INDEX(Cl_quartier,MATCH(R1737,Cl_cle,0))&amp;"",""))</f>
        <v/>
      </c>
      <c r="V1737" s="34">
        <f>IF(C1737="","",YEAR(C1737-WEEKDAY(C1737,2)+4)&amp;"-S"&amp;TEXT(INT((C1737-DATE(YEAR(C1737-WEEKDAY(C1737,2)+4),1,3)+WEEKDAY(DATE(YEAR(C1737-WEEKDAY(C1737,2)+4),1,3),2)+5)/7),"00"))</f>
        <v/>
      </c>
    </row>
    <row r="1738" ht="18" customHeight="1">
      <c r="A1738" s="39" t="n">
        <v>1733</v>
      </c>
      <c r="B1738" s="33">
        <f>IF(C1738="","",IF(P1738="À RENSEIGNER","GIC",P1738)&amp;"-V"&amp;TEXT(A1738,"00000"))</f>
        <v/>
      </c>
      <c r="C1738" s="32" t="n"/>
      <c r="D1738" s="35" t="n"/>
      <c r="E1738" s="36" t="n"/>
      <c r="F1738" s="36" t="n"/>
      <c r="G1738" s="36" t="n"/>
      <c r="H1738" s="36" t="n"/>
      <c r="I1738" s="36" t="n"/>
      <c r="J1738" s="37" t="n"/>
      <c r="K1738" s="32" t="n"/>
      <c r="L1738" s="36" t="n"/>
      <c r="M1738" s="41" t="n"/>
      <c r="N1738" s="41" t="n"/>
      <c r="O1738" s="36" t="n"/>
      <c r="P1738" s="33">
        <f>IF(C1738="","",Commercial_Id)</f>
        <v/>
      </c>
      <c r="Q1738" s="39">
        <f>IF(F1738="","",IFERROR(VALUE(MID(F1738,LEN(F1738)-3,3)),""))</f>
        <v/>
      </c>
      <c r="R1738" s="33">
        <f>IF(Q1738="","",P1738&amp;"|"&amp;Q1738)</f>
        <v/>
      </c>
      <c r="S1738" s="33">
        <f>IF(Q1738="","",IF(P1738="À RENSEIGNER","GIC",P1738)&amp;"-"&amp;TEXT(Q1738,"000"))</f>
        <v/>
      </c>
      <c r="T1738" s="33">
        <f>IF(R1738="","",IFERROR(INDEX(Cl_nom,MATCH(R1738,Cl_cle,0)),"(client introuvable)"))</f>
        <v/>
      </c>
      <c r="U1738" s="33">
        <f>IF(R1738="","",IFERROR(INDEX(Cl_quartier,MATCH(R1738,Cl_cle,0))&amp;"",""))</f>
        <v/>
      </c>
      <c r="V1738" s="34">
        <f>IF(C1738="","",YEAR(C1738-WEEKDAY(C1738,2)+4)&amp;"-S"&amp;TEXT(INT((C1738-DATE(YEAR(C1738-WEEKDAY(C1738,2)+4),1,3)+WEEKDAY(DATE(YEAR(C1738-WEEKDAY(C1738,2)+4),1,3),2)+5)/7),"00"))</f>
        <v/>
      </c>
    </row>
    <row r="1739" ht="18" customHeight="1">
      <c r="A1739" s="39" t="n">
        <v>1734</v>
      </c>
      <c r="B1739" s="33">
        <f>IF(C1739="","",IF(P1739="À RENSEIGNER","GIC",P1739)&amp;"-V"&amp;TEXT(A1739,"00000"))</f>
        <v/>
      </c>
      <c r="C1739" s="32" t="n"/>
      <c r="D1739" s="35" t="n"/>
      <c r="E1739" s="36" t="n"/>
      <c r="F1739" s="36" t="n"/>
      <c r="G1739" s="36" t="n"/>
      <c r="H1739" s="36" t="n"/>
      <c r="I1739" s="36" t="n"/>
      <c r="J1739" s="37" t="n"/>
      <c r="K1739" s="32" t="n"/>
      <c r="L1739" s="36" t="n"/>
      <c r="M1739" s="41" t="n"/>
      <c r="N1739" s="41" t="n"/>
      <c r="O1739" s="36" t="n"/>
      <c r="P1739" s="33">
        <f>IF(C1739="","",Commercial_Id)</f>
        <v/>
      </c>
      <c r="Q1739" s="39">
        <f>IF(F1739="","",IFERROR(VALUE(MID(F1739,LEN(F1739)-3,3)),""))</f>
        <v/>
      </c>
      <c r="R1739" s="33">
        <f>IF(Q1739="","",P1739&amp;"|"&amp;Q1739)</f>
        <v/>
      </c>
      <c r="S1739" s="33">
        <f>IF(Q1739="","",IF(P1739="À RENSEIGNER","GIC",P1739)&amp;"-"&amp;TEXT(Q1739,"000"))</f>
        <v/>
      </c>
      <c r="T1739" s="33">
        <f>IF(R1739="","",IFERROR(INDEX(Cl_nom,MATCH(R1739,Cl_cle,0)),"(client introuvable)"))</f>
        <v/>
      </c>
      <c r="U1739" s="33">
        <f>IF(R1739="","",IFERROR(INDEX(Cl_quartier,MATCH(R1739,Cl_cle,0))&amp;"",""))</f>
        <v/>
      </c>
      <c r="V1739" s="34">
        <f>IF(C1739="","",YEAR(C1739-WEEKDAY(C1739,2)+4)&amp;"-S"&amp;TEXT(INT((C1739-DATE(YEAR(C1739-WEEKDAY(C1739,2)+4),1,3)+WEEKDAY(DATE(YEAR(C1739-WEEKDAY(C1739,2)+4),1,3),2)+5)/7),"00"))</f>
        <v/>
      </c>
    </row>
    <row r="1740" ht="18" customHeight="1">
      <c r="A1740" s="39" t="n">
        <v>1735</v>
      </c>
      <c r="B1740" s="33">
        <f>IF(C1740="","",IF(P1740="À RENSEIGNER","GIC",P1740)&amp;"-V"&amp;TEXT(A1740,"00000"))</f>
        <v/>
      </c>
      <c r="C1740" s="32" t="n"/>
      <c r="D1740" s="35" t="n"/>
      <c r="E1740" s="36" t="n"/>
      <c r="F1740" s="36" t="n"/>
      <c r="G1740" s="36" t="n"/>
      <c r="H1740" s="36" t="n"/>
      <c r="I1740" s="36" t="n"/>
      <c r="J1740" s="37" t="n"/>
      <c r="K1740" s="32" t="n"/>
      <c r="L1740" s="36" t="n"/>
      <c r="M1740" s="41" t="n"/>
      <c r="N1740" s="41" t="n"/>
      <c r="O1740" s="36" t="n"/>
      <c r="P1740" s="33">
        <f>IF(C1740="","",Commercial_Id)</f>
        <v/>
      </c>
      <c r="Q1740" s="39">
        <f>IF(F1740="","",IFERROR(VALUE(MID(F1740,LEN(F1740)-3,3)),""))</f>
        <v/>
      </c>
      <c r="R1740" s="33">
        <f>IF(Q1740="","",P1740&amp;"|"&amp;Q1740)</f>
        <v/>
      </c>
      <c r="S1740" s="33">
        <f>IF(Q1740="","",IF(P1740="À RENSEIGNER","GIC",P1740)&amp;"-"&amp;TEXT(Q1740,"000"))</f>
        <v/>
      </c>
      <c r="T1740" s="33">
        <f>IF(R1740="","",IFERROR(INDEX(Cl_nom,MATCH(R1740,Cl_cle,0)),"(client introuvable)"))</f>
        <v/>
      </c>
      <c r="U1740" s="33">
        <f>IF(R1740="","",IFERROR(INDEX(Cl_quartier,MATCH(R1740,Cl_cle,0))&amp;"",""))</f>
        <v/>
      </c>
      <c r="V1740" s="34">
        <f>IF(C1740="","",YEAR(C1740-WEEKDAY(C1740,2)+4)&amp;"-S"&amp;TEXT(INT((C1740-DATE(YEAR(C1740-WEEKDAY(C1740,2)+4),1,3)+WEEKDAY(DATE(YEAR(C1740-WEEKDAY(C1740,2)+4),1,3),2)+5)/7),"00"))</f>
        <v/>
      </c>
    </row>
    <row r="1741" ht="18" customHeight="1">
      <c r="A1741" s="39" t="n">
        <v>1736</v>
      </c>
      <c r="B1741" s="33">
        <f>IF(C1741="","",IF(P1741="À RENSEIGNER","GIC",P1741)&amp;"-V"&amp;TEXT(A1741,"00000"))</f>
        <v/>
      </c>
      <c r="C1741" s="32" t="n"/>
      <c r="D1741" s="35" t="n"/>
      <c r="E1741" s="36" t="n"/>
      <c r="F1741" s="36" t="n"/>
      <c r="G1741" s="36" t="n"/>
      <c r="H1741" s="36" t="n"/>
      <c r="I1741" s="36" t="n"/>
      <c r="J1741" s="37" t="n"/>
      <c r="K1741" s="32" t="n"/>
      <c r="L1741" s="36" t="n"/>
      <c r="M1741" s="41" t="n"/>
      <c r="N1741" s="41" t="n"/>
      <c r="O1741" s="36" t="n"/>
      <c r="P1741" s="33">
        <f>IF(C1741="","",Commercial_Id)</f>
        <v/>
      </c>
      <c r="Q1741" s="39">
        <f>IF(F1741="","",IFERROR(VALUE(MID(F1741,LEN(F1741)-3,3)),""))</f>
        <v/>
      </c>
      <c r="R1741" s="33">
        <f>IF(Q1741="","",P1741&amp;"|"&amp;Q1741)</f>
        <v/>
      </c>
      <c r="S1741" s="33">
        <f>IF(Q1741="","",IF(P1741="À RENSEIGNER","GIC",P1741)&amp;"-"&amp;TEXT(Q1741,"000"))</f>
        <v/>
      </c>
      <c r="T1741" s="33">
        <f>IF(R1741="","",IFERROR(INDEX(Cl_nom,MATCH(R1741,Cl_cle,0)),"(client introuvable)"))</f>
        <v/>
      </c>
      <c r="U1741" s="33">
        <f>IF(R1741="","",IFERROR(INDEX(Cl_quartier,MATCH(R1741,Cl_cle,0))&amp;"",""))</f>
        <v/>
      </c>
      <c r="V1741" s="34">
        <f>IF(C1741="","",YEAR(C1741-WEEKDAY(C1741,2)+4)&amp;"-S"&amp;TEXT(INT((C1741-DATE(YEAR(C1741-WEEKDAY(C1741,2)+4),1,3)+WEEKDAY(DATE(YEAR(C1741-WEEKDAY(C1741,2)+4),1,3),2)+5)/7),"00"))</f>
        <v/>
      </c>
    </row>
    <row r="1742" ht="18" customHeight="1">
      <c r="A1742" s="39" t="n">
        <v>1737</v>
      </c>
      <c r="B1742" s="33">
        <f>IF(C1742="","",IF(P1742="À RENSEIGNER","GIC",P1742)&amp;"-V"&amp;TEXT(A1742,"00000"))</f>
        <v/>
      </c>
      <c r="C1742" s="32" t="n"/>
      <c r="D1742" s="35" t="n"/>
      <c r="E1742" s="36" t="n"/>
      <c r="F1742" s="36" t="n"/>
      <c r="G1742" s="36" t="n"/>
      <c r="H1742" s="36" t="n"/>
      <c r="I1742" s="36" t="n"/>
      <c r="J1742" s="37" t="n"/>
      <c r="K1742" s="32" t="n"/>
      <c r="L1742" s="36" t="n"/>
      <c r="M1742" s="41" t="n"/>
      <c r="N1742" s="41" t="n"/>
      <c r="O1742" s="36" t="n"/>
      <c r="P1742" s="33">
        <f>IF(C1742="","",Commercial_Id)</f>
        <v/>
      </c>
      <c r="Q1742" s="39">
        <f>IF(F1742="","",IFERROR(VALUE(MID(F1742,LEN(F1742)-3,3)),""))</f>
        <v/>
      </c>
      <c r="R1742" s="33">
        <f>IF(Q1742="","",P1742&amp;"|"&amp;Q1742)</f>
        <v/>
      </c>
      <c r="S1742" s="33">
        <f>IF(Q1742="","",IF(P1742="À RENSEIGNER","GIC",P1742)&amp;"-"&amp;TEXT(Q1742,"000"))</f>
        <v/>
      </c>
      <c r="T1742" s="33">
        <f>IF(R1742="","",IFERROR(INDEX(Cl_nom,MATCH(R1742,Cl_cle,0)),"(client introuvable)"))</f>
        <v/>
      </c>
      <c r="U1742" s="33">
        <f>IF(R1742="","",IFERROR(INDEX(Cl_quartier,MATCH(R1742,Cl_cle,0))&amp;"",""))</f>
        <v/>
      </c>
      <c r="V1742" s="34">
        <f>IF(C1742="","",YEAR(C1742-WEEKDAY(C1742,2)+4)&amp;"-S"&amp;TEXT(INT((C1742-DATE(YEAR(C1742-WEEKDAY(C1742,2)+4),1,3)+WEEKDAY(DATE(YEAR(C1742-WEEKDAY(C1742,2)+4),1,3),2)+5)/7),"00"))</f>
        <v/>
      </c>
    </row>
    <row r="1743" ht="18" customHeight="1">
      <c r="A1743" s="39" t="n">
        <v>1738</v>
      </c>
      <c r="B1743" s="33">
        <f>IF(C1743="","",IF(P1743="À RENSEIGNER","GIC",P1743)&amp;"-V"&amp;TEXT(A1743,"00000"))</f>
        <v/>
      </c>
      <c r="C1743" s="32" t="n"/>
      <c r="D1743" s="35" t="n"/>
      <c r="E1743" s="36" t="n"/>
      <c r="F1743" s="36" t="n"/>
      <c r="G1743" s="36" t="n"/>
      <c r="H1743" s="36" t="n"/>
      <c r="I1743" s="36" t="n"/>
      <c r="J1743" s="37" t="n"/>
      <c r="K1743" s="32" t="n"/>
      <c r="L1743" s="36" t="n"/>
      <c r="M1743" s="41" t="n"/>
      <c r="N1743" s="41" t="n"/>
      <c r="O1743" s="36" t="n"/>
      <c r="P1743" s="33">
        <f>IF(C1743="","",Commercial_Id)</f>
        <v/>
      </c>
      <c r="Q1743" s="39">
        <f>IF(F1743="","",IFERROR(VALUE(MID(F1743,LEN(F1743)-3,3)),""))</f>
        <v/>
      </c>
      <c r="R1743" s="33">
        <f>IF(Q1743="","",P1743&amp;"|"&amp;Q1743)</f>
        <v/>
      </c>
      <c r="S1743" s="33">
        <f>IF(Q1743="","",IF(P1743="À RENSEIGNER","GIC",P1743)&amp;"-"&amp;TEXT(Q1743,"000"))</f>
        <v/>
      </c>
      <c r="T1743" s="33">
        <f>IF(R1743="","",IFERROR(INDEX(Cl_nom,MATCH(R1743,Cl_cle,0)),"(client introuvable)"))</f>
        <v/>
      </c>
      <c r="U1743" s="33">
        <f>IF(R1743="","",IFERROR(INDEX(Cl_quartier,MATCH(R1743,Cl_cle,0))&amp;"",""))</f>
        <v/>
      </c>
      <c r="V1743" s="34">
        <f>IF(C1743="","",YEAR(C1743-WEEKDAY(C1743,2)+4)&amp;"-S"&amp;TEXT(INT((C1743-DATE(YEAR(C1743-WEEKDAY(C1743,2)+4),1,3)+WEEKDAY(DATE(YEAR(C1743-WEEKDAY(C1743,2)+4),1,3),2)+5)/7),"00"))</f>
        <v/>
      </c>
    </row>
    <row r="1744" ht="18" customHeight="1">
      <c r="A1744" s="39" t="n">
        <v>1739</v>
      </c>
      <c r="B1744" s="33">
        <f>IF(C1744="","",IF(P1744="À RENSEIGNER","GIC",P1744)&amp;"-V"&amp;TEXT(A1744,"00000"))</f>
        <v/>
      </c>
      <c r="C1744" s="32" t="n"/>
      <c r="D1744" s="35" t="n"/>
      <c r="E1744" s="36" t="n"/>
      <c r="F1744" s="36" t="n"/>
      <c r="G1744" s="36" t="n"/>
      <c r="H1744" s="36" t="n"/>
      <c r="I1744" s="36" t="n"/>
      <c r="J1744" s="37" t="n"/>
      <c r="K1744" s="32" t="n"/>
      <c r="L1744" s="36" t="n"/>
      <c r="M1744" s="41" t="n"/>
      <c r="N1744" s="41" t="n"/>
      <c r="O1744" s="36" t="n"/>
      <c r="P1744" s="33">
        <f>IF(C1744="","",Commercial_Id)</f>
        <v/>
      </c>
      <c r="Q1744" s="39">
        <f>IF(F1744="","",IFERROR(VALUE(MID(F1744,LEN(F1744)-3,3)),""))</f>
        <v/>
      </c>
      <c r="R1744" s="33">
        <f>IF(Q1744="","",P1744&amp;"|"&amp;Q1744)</f>
        <v/>
      </c>
      <c r="S1744" s="33">
        <f>IF(Q1744="","",IF(P1744="À RENSEIGNER","GIC",P1744)&amp;"-"&amp;TEXT(Q1744,"000"))</f>
        <v/>
      </c>
      <c r="T1744" s="33">
        <f>IF(R1744="","",IFERROR(INDEX(Cl_nom,MATCH(R1744,Cl_cle,0)),"(client introuvable)"))</f>
        <v/>
      </c>
      <c r="U1744" s="33">
        <f>IF(R1744="","",IFERROR(INDEX(Cl_quartier,MATCH(R1744,Cl_cle,0))&amp;"",""))</f>
        <v/>
      </c>
      <c r="V1744" s="34">
        <f>IF(C1744="","",YEAR(C1744-WEEKDAY(C1744,2)+4)&amp;"-S"&amp;TEXT(INT((C1744-DATE(YEAR(C1744-WEEKDAY(C1744,2)+4),1,3)+WEEKDAY(DATE(YEAR(C1744-WEEKDAY(C1744,2)+4),1,3),2)+5)/7),"00"))</f>
        <v/>
      </c>
    </row>
    <row r="1745" ht="18" customHeight="1">
      <c r="A1745" s="39" t="n">
        <v>1740</v>
      </c>
      <c r="B1745" s="33">
        <f>IF(C1745="","",IF(P1745="À RENSEIGNER","GIC",P1745)&amp;"-V"&amp;TEXT(A1745,"00000"))</f>
        <v/>
      </c>
      <c r="C1745" s="32" t="n"/>
      <c r="D1745" s="35" t="n"/>
      <c r="E1745" s="36" t="n"/>
      <c r="F1745" s="36" t="n"/>
      <c r="G1745" s="36" t="n"/>
      <c r="H1745" s="36" t="n"/>
      <c r="I1745" s="36" t="n"/>
      <c r="J1745" s="37" t="n"/>
      <c r="K1745" s="32" t="n"/>
      <c r="L1745" s="36" t="n"/>
      <c r="M1745" s="41" t="n"/>
      <c r="N1745" s="41" t="n"/>
      <c r="O1745" s="36" t="n"/>
      <c r="P1745" s="33">
        <f>IF(C1745="","",Commercial_Id)</f>
        <v/>
      </c>
      <c r="Q1745" s="39">
        <f>IF(F1745="","",IFERROR(VALUE(MID(F1745,LEN(F1745)-3,3)),""))</f>
        <v/>
      </c>
      <c r="R1745" s="33">
        <f>IF(Q1745="","",P1745&amp;"|"&amp;Q1745)</f>
        <v/>
      </c>
      <c r="S1745" s="33">
        <f>IF(Q1745="","",IF(P1745="À RENSEIGNER","GIC",P1745)&amp;"-"&amp;TEXT(Q1745,"000"))</f>
        <v/>
      </c>
      <c r="T1745" s="33">
        <f>IF(R1745="","",IFERROR(INDEX(Cl_nom,MATCH(R1745,Cl_cle,0)),"(client introuvable)"))</f>
        <v/>
      </c>
      <c r="U1745" s="33">
        <f>IF(R1745="","",IFERROR(INDEX(Cl_quartier,MATCH(R1745,Cl_cle,0))&amp;"",""))</f>
        <v/>
      </c>
      <c r="V1745" s="34">
        <f>IF(C1745="","",YEAR(C1745-WEEKDAY(C1745,2)+4)&amp;"-S"&amp;TEXT(INT((C1745-DATE(YEAR(C1745-WEEKDAY(C1745,2)+4),1,3)+WEEKDAY(DATE(YEAR(C1745-WEEKDAY(C1745,2)+4),1,3),2)+5)/7),"00"))</f>
        <v/>
      </c>
    </row>
    <row r="1746" ht="18" customHeight="1">
      <c r="A1746" s="39" t="n">
        <v>1741</v>
      </c>
      <c r="B1746" s="33">
        <f>IF(C1746="","",IF(P1746="À RENSEIGNER","GIC",P1746)&amp;"-V"&amp;TEXT(A1746,"00000"))</f>
        <v/>
      </c>
      <c r="C1746" s="32" t="n"/>
      <c r="D1746" s="35" t="n"/>
      <c r="E1746" s="36" t="n"/>
      <c r="F1746" s="36" t="n"/>
      <c r="G1746" s="36" t="n"/>
      <c r="H1746" s="36" t="n"/>
      <c r="I1746" s="36" t="n"/>
      <c r="J1746" s="37" t="n"/>
      <c r="K1746" s="32" t="n"/>
      <c r="L1746" s="36" t="n"/>
      <c r="M1746" s="41" t="n"/>
      <c r="N1746" s="41" t="n"/>
      <c r="O1746" s="36" t="n"/>
      <c r="P1746" s="33">
        <f>IF(C1746="","",Commercial_Id)</f>
        <v/>
      </c>
      <c r="Q1746" s="39">
        <f>IF(F1746="","",IFERROR(VALUE(MID(F1746,LEN(F1746)-3,3)),""))</f>
        <v/>
      </c>
      <c r="R1746" s="33">
        <f>IF(Q1746="","",P1746&amp;"|"&amp;Q1746)</f>
        <v/>
      </c>
      <c r="S1746" s="33">
        <f>IF(Q1746="","",IF(P1746="À RENSEIGNER","GIC",P1746)&amp;"-"&amp;TEXT(Q1746,"000"))</f>
        <v/>
      </c>
      <c r="T1746" s="33">
        <f>IF(R1746="","",IFERROR(INDEX(Cl_nom,MATCH(R1746,Cl_cle,0)),"(client introuvable)"))</f>
        <v/>
      </c>
      <c r="U1746" s="33">
        <f>IF(R1746="","",IFERROR(INDEX(Cl_quartier,MATCH(R1746,Cl_cle,0))&amp;"",""))</f>
        <v/>
      </c>
      <c r="V1746" s="34">
        <f>IF(C1746="","",YEAR(C1746-WEEKDAY(C1746,2)+4)&amp;"-S"&amp;TEXT(INT((C1746-DATE(YEAR(C1746-WEEKDAY(C1746,2)+4),1,3)+WEEKDAY(DATE(YEAR(C1746-WEEKDAY(C1746,2)+4),1,3),2)+5)/7),"00"))</f>
        <v/>
      </c>
    </row>
    <row r="1747" ht="18" customHeight="1">
      <c r="A1747" s="39" t="n">
        <v>1742</v>
      </c>
      <c r="B1747" s="33">
        <f>IF(C1747="","",IF(P1747="À RENSEIGNER","GIC",P1747)&amp;"-V"&amp;TEXT(A1747,"00000"))</f>
        <v/>
      </c>
      <c r="C1747" s="32" t="n"/>
      <c r="D1747" s="35" t="n"/>
      <c r="E1747" s="36" t="n"/>
      <c r="F1747" s="36" t="n"/>
      <c r="G1747" s="36" t="n"/>
      <c r="H1747" s="36" t="n"/>
      <c r="I1747" s="36" t="n"/>
      <c r="J1747" s="37" t="n"/>
      <c r="K1747" s="32" t="n"/>
      <c r="L1747" s="36" t="n"/>
      <c r="M1747" s="41" t="n"/>
      <c r="N1747" s="41" t="n"/>
      <c r="O1747" s="36" t="n"/>
      <c r="P1747" s="33">
        <f>IF(C1747="","",Commercial_Id)</f>
        <v/>
      </c>
      <c r="Q1747" s="39">
        <f>IF(F1747="","",IFERROR(VALUE(MID(F1747,LEN(F1747)-3,3)),""))</f>
        <v/>
      </c>
      <c r="R1747" s="33">
        <f>IF(Q1747="","",P1747&amp;"|"&amp;Q1747)</f>
        <v/>
      </c>
      <c r="S1747" s="33">
        <f>IF(Q1747="","",IF(P1747="À RENSEIGNER","GIC",P1747)&amp;"-"&amp;TEXT(Q1747,"000"))</f>
        <v/>
      </c>
      <c r="T1747" s="33">
        <f>IF(R1747="","",IFERROR(INDEX(Cl_nom,MATCH(R1747,Cl_cle,0)),"(client introuvable)"))</f>
        <v/>
      </c>
      <c r="U1747" s="33">
        <f>IF(R1747="","",IFERROR(INDEX(Cl_quartier,MATCH(R1747,Cl_cle,0))&amp;"",""))</f>
        <v/>
      </c>
      <c r="V1747" s="34">
        <f>IF(C1747="","",YEAR(C1747-WEEKDAY(C1747,2)+4)&amp;"-S"&amp;TEXT(INT((C1747-DATE(YEAR(C1747-WEEKDAY(C1747,2)+4),1,3)+WEEKDAY(DATE(YEAR(C1747-WEEKDAY(C1747,2)+4),1,3),2)+5)/7),"00"))</f>
        <v/>
      </c>
    </row>
    <row r="1748" ht="18" customHeight="1">
      <c r="A1748" s="39" t="n">
        <v>1743</v>
      </c>
      <c r="B1748" s="33">
        <f>IF(C1748="","",IF(P1748="À RENSEIGNER","GIC",P1748)&amp;"-V"&amp;TEXT(A1748,"00000"))</f>
        <v/>
      </c>
      <c r="C1748" s="32" t="n"/>
      <c r="D1748" s="35" t="n"/>
      <c r="E1748" s="36" t="n"/>
      <c r="F1748" s="36" t="n"/>
      <c r="G1748" s="36" t="n"/>
      <c r="H1748" s="36" t="n"/>
      <c r="I1748" s="36" t="n"/>
      <c r="J1748" s="37" t="n"/>
      <c r="K1748" s="32" t="n"/>
      <c r="L1748" s="36" t="n"/>
      <c r="M1748" s="41" t="n"/>
      <c r="N1748" s="41" t="n"/>
      <c r="O1748" s="36" t="n"/>
      <c r="P1748" s="33">
        <f>IF(C1748="","",Commercial_Id)</f>
        <v/>
      </c>
      <c r="Q1748" s="39">
        <f>IF(F1748="","",IFERROR(VALUE(MID(F1748,LEN(F1748)-3,3)),""))</f>
        <v/>
      </c>
      <c r="R1748" s="33">
        <f>IF(Q1748="","",P1748&amp;"|"&amp;Q1748)</f>
        <v/>
      </c>
      <c r="S1748" s="33">
        <f>IF(Q1748="","",IF(P1748="À RENSEIGNER","GIC",P1748)&amp;"-"&amp;TEXT(Q1748,"000"))</f>
        <v/>
      </c>
      <c r="T1748" s="33">
        <f>IF(R1748="","",IFERROR(INDEX(Cl_nom,MATCH(R1748,Cl_cle,0)),"(client introuvable)"))</f>
        <v/>
      </c>
      <c r="U1748" s="33">
        <f>IF(R1748="","",IFERROR(INDEX(Cl_quartier,MATCH(R1748,Cl_cle,0))&amp;"",""))</f>
        <v/>
      </c>
      <c r="V1748" s="34">
        <f>IF(C1748="","",YEAR(C1748-WEEKDAY(C1748,2)+4)&amp;"-S"&amp;TEXT(INT((C1748-DATE(YEAR(C1748-WEEKDAY(C1748,2)+4),1,3)+WEEKDAY(DATE(YEAR(C1748-WEEKDAY(C1748,2)+4),1,3),2)+5)/7),"00"))</f>
        <v/>
      </c>
    </row>
    <row r="1749" ht="18" customHeight="1">
      <c r="A1749" s="39" t="n">
        <v>1744</v>
      </c>
      <c r="B1749" s="33">
        <f>IF(C1749="","",IF(P1749="À RENSEIGNER","GIC",P1749)&amp;"-V"&amp;TEXT(A1749,"00000"))</f>
        <v/>
      </c>
      <c r="C1749" s="32" t="n"/>
      <c r="D1749" s="35" t="n"/>
      <c r="E1749" s="36" t="n"/>
      <c r="F1749" s="36" t="n"/>
      <c r="G1749" s="36" t="n"/>
      <c r="H1749" s="36" t="n"/>
      <c r="I1749" s="36" t="n"/>
      <c r="J1749" s="37" t="n"/>
      <c r="K1749" s="32" t="n"/>
      <c r="L1749" s="36" t="n"/>
      <c r="M1749" s="41" t="n"/>
      <c r="N1749" s="41" t="n"/>
      <c r="O1749" s="36" t="n"/>
      <c r="P1749" s="33">
        <f>IF(C1749="","",Commercial_Id)</f>
        <v/>
      </c>
      <c r="Q1749" s="39">
        <f>IF(F1749="","",IFERROR(VALUE(MID(F1749,LEN(F1749)-3,3)),""))</f>
        <v/>
      </c>
      <c r="R1749" s="33">
        <f>IF(Q1749="","",P1749&amp;"|"&amp;Q1749)</f>
        <v/>
      </c>
      <c r="S1749" s="33">
        <f>IF(Q1749="","",IF(P1749="À RENSEIGNER","GIC",P1749)&amp;"-"&amp;TEXT(Q1749,"000"))</f>
        <v/>
      </c>
      <c r="T1749" s="33">
        <f>IF(R1749="","",IFERROR(INDEX(Cl_nom,MATCH(R1749,Cl_cle,0)),"(client introuvable)"))</f>
        <v/>
      </c>
      <c r="U1749" s="33">
        <f>IF(R1749="","",IFERROR(INDEX(Cl_quartier,MATCH(R1749,Cl_cle,0))&amp;"",""))</f>
        <v/>
      </c>
      <c r="V1749" s="34">
        <f>IF(C1749="","",YEAR(C1749-WEEKDAY(C1749,2)+4)&amp;"-S"&amp;TEXT(INT((C1749-DATE(YEAR(C1749-WEEKDAY(C1749,2)+4),1,3)+WEEKDAY(DATE(YEAR(C1749-WEEKDAY(C1749,2)+4),1,3),2)+5)/7),"00"))</f>
        <v/>
      </c>
    </row>
    <row r="1750" ht="18" customHeight="1">
      <c r="A1750" s="39" t="n">
        <v>1745</v>
      </c>
      <c r="B1750" s="33">
        <f>IF(C1750="","",IF(P1750="À RENSEIGNER","GIC",P1750)&amp;"-V"&amp;TEXT(A1750,"00000"))</f>
        <v/>
      </c>
      <c r="C1750" s="32" t="n"/>
      <c r="D1750" s="35" t="n"/>
      <c r="E1750" s="36" t="n"/>
      <c r="F1750" s="36" t="n"/>
      <c r="G1750" s="36" t="n"/>
      <c r="H1750" s="36" t="n"/>
      <c r="I1750" s="36" t="n"/>
      <c r="J1750" s="37" t="n"/>
      <c r="K1750" s="32" t="n"/>
      <c r="L1750" s="36" t="n"/>
      <c r="M1750" s="41" t="n"/>
      <c r="N1750" s="41" t="n"/>
      <c r="O1750" s="36" t="n"/>
      <c r="P1750" s="33">
        <f>IF(C1750="","",Commercial_Id)</f>
        <v/>
      </c>
      <c r="Q1750" s="39">
        <f>IF(F1750="","",IFERROR(VALUE(MID(F1750,LEN(F1750)-3,3)),""))</f>
        <v/>
      </c>
      <c r="R1750" s="33">
        <f>IF(Q1750="","",P1750&amp;"|"&amp;Q1750)</f>
        <v/>
      </c>
      <c r="S1750" s="33">
        <f>IF(Q1750="","",IF(P1750="À RENSEIGNER","GIC",P1750)&amp;"-"&amp;TEXT(Q1750,"000"))</f>
        <v/>
      </c>
      <c r="T1750" s="33">
        <f>IF(R1750="","",IFERROR(INDEX(Cl_nom,MATCH(R1750,Cl_cle,0)),"(client introuvable)"))</f>
        <v/>
      </c>
      <c r="U1750" s="33">
        <f>IF(R1750="","",IFERROR(INDEX(Cl_quartier,MATCH(R1750,Cl_cle,0))&amp;"",""))</f>
        <v/>
      </c>
      <c r="V1750" s="34">
        <f>IF(C1750="","",YEAR(C1750-WEEKDAY(C1750,2)+4)&amp;"-S"&amp;TEXT(INT((C1750-DATE(YEAR(C1750-WEEKDAY(C1750,2)+4),1,3)+WEEKDAY(DATE(YEAR(C1750-WEEKDAY(C1750,2)+4),1,3),2)+5)/7),"00"))</f>
        <v/>
      </c>
    </row>
    <row r="1751" ht="18" customHeight="1">
      <c r="A1751" s="39" t="n">
        <v>1746</v>
      </c>
      <c r="B1751" s="33">
        <f>IF(C1751="","",IF(P1751="À RENSEIGNER","GIC",P1751)&amp;"-V"&amp;TEXT(A1751,"00000"))</f>
        <v/>
      </c>
      <c r="C1751" s="32" t="n"/>
      <c r="D1751" s="35" t="n"/>
      <c r="E1751" s="36" t="n"/>
      <c r="F1751" s="36" t="n"/>
      <c r="G1751" s="36" t="n"/>
      <c r="H1751" s="36" t="n"/>
      <c r="I1751" s="36" t="n"/>
      <c r="J1751" s="37" t="n"/>
      <c r="K1751" s="32" t="n"/>
      <c r="L1751" s="36" t="n"/>
      <c r="M1751" s="41" t="n"/>
      <c r="N1751" s="41" t="n"/>
      <c r="O1751" s="36" t="n"/>
      <c r="P1751" s="33">
        <f>IF(C1751="","",Commercial_Id)</f>
        <v/>
      </c>
      <c r="Q1751" s="39">
        <f>IF(F1751="","",IFERROR(VALUE(MID(F1751,LEN(F1751)-3,3)),""))</f>
        <v/>
      </c>
      <c r="R1751" s="33">
        <f>IF(Q1751="","",P1751&amp;"|"&amp;Q1751)</f>
        <v/>
      </c>
      <c r="S1751" s="33">
        <f>IF(Q1751="","",IF(P1751="À RENSEIGNER","GIC",P1751)&amp;"-"&amp;TEXT(Q1751,"000"))</f>
        <v/>
      </c>
      <c r="T1751" s="33">
        <f>IF(R1751="","",IFERROR(INDEX(Cl_nom,MATCH(R1751,Cl_cle,0)),"(client introuvable)"))</f>
        <v/>
      </c>
      <c r="U1751" s="33">
        <f>IF(R1751="","",IFERROR(INDEX(Cl_quartier,MATCH(R1751,Cl_cle,0))&amp;"",""))</f>
        <v/>
      </c>
      <c r="V1751" s="34">
        <f>IF(C1751="","",YEAR(C1751-WEEKDAY(C1751,2)+4)&amp;"-S"&amp;TEXT(INT((C1751-DATE(YEAR(C1751-WEEKDAY(C1751,2)+4),1,3)+WEEKDAY(DATE(YEAR(C1751-WEEKDAY(C1751,2)+4),1,3),2)+5)/7),"00"))</f>
        <v/>
      </c>
    </row>
    <row r="1752" ht="18" customHeight="1">
      <c r="A1752" s="39" t="n">
        <v>1747</v>
      </c>
      <c r="B1752" s="33">
        <f>IF(C1752="","",IF(P1752="À RENSEIGNER","GIC",P1752)&amp;"-V"&amp;TEXT(A1752,"00000"))</f>
        <v/>
      </c>
      <c r="C1752" s="32" t="n"/>
      <c r="D1752" s="35" t="n"/>
      <c r="E1752" s="36" t="n"/>
      <c r="F1752" s="36" t="n"/>
      <c r="G1752" s="36" t="n"/>
      <c r="H1752" s="36" t="n"/>
      <c r="I1752" s="36" t="n"/>
      <c r="J1752" s="37" t="n"/>
      <c r="K1752" s="32" t="n"/>
      <c r="L1752" s="36" t="n"/>
      <c r="M1752" s="41" t="n"/>
      <c r="N1752" s="41" t="n"/>
      <c r="O1752" s="36" t="n"/>
      <c r="P1752" s="33">
        <f>IF(C1752="","",Commercial_Id)</f>
        <v/>
      </c>
      <c r="Q1752" s="39">
        <f>IF(F1752="","",IFERROR(VALUE(MID(F1752,LEN(F1752)-3,3)),""))</f>
        <v/>
      </c>
      <c r="R1752" s="33">
        <f>IF(Q1752="","",P1752&amp;"|"&amp;Q1752)</f>
        <v/>
      </c>
      <c r="S1752" s="33">
        <f>IF(Q1752="","",IF(P1752="À RENSEIGNER","GIC",P1752)&amp;"-"&amp;TEXT(Q1752,"000"))</f>
        <v/>
      </c>
      <c r="T1752" s="33">
        <f>IF(R1752="","",IFERROR(INDEX(Cl_nom,MATCH(R1752,Cl_cle,0)),"(client introuvable)"))</f>
        <v/>
      </c>
      <c r="U1752" s="33">
        <f>IF(R1752="","",IFERROR(INDEX(Cl_quartier,MATCH(R1752,Cl_cle,0))&amp;"",""))</f>
        <v/>
      </c>
      <c r="V1752" s="34">
        <f>IF(C1752="","",YEAR(C1752-WEEKDAY(C1752,2)+4)&amp;"-S"&amp;TEXT(INT((C1752-DATE(YEAR(C1752-WEEKDAY(C1752,2)+4),1,3)+WEEKDAY(DATE(YEAR(C1752-WEEKDAY(C1752,2)+4),1,3),2)+5)/7),"00"))</f>
        <v/>
      </c>
    </row>
    <row r="1753" ht="18" customHeight="1">
      <c r="A1753" s="39" t="n">
        <v>1748</v>
      </c>
      <c r="B1753" s="33">
        <f>IF(C1753="","",IF(P1753="À RENSEIGNER","GIC",P1753)&amp;"-V"&amp;TEXT(A1753,"00000"))</f>
        <v/>
      </c>
      <c r="C1753" s="32" t="n"/>
      <c r="D1753" s="35" t="n"/>
      <c r="E1753" s="36" t="n"/>
      <c r="F1753" s="36" t="n"/>
      <c r="G1753" s="36" t="n"/>
      <c r="H1753" s="36" t="n"/>
      <c r="I1753" s="36" t="n"/>
      <c r="J1753" s="37" t="n"/>
      <c r="K1753" s="32" t="n"/>
      <c r="L1753" s="36" t="n"/>
      <c r="M1753" s="41" t="n"/>
      <c r="N1753" s="41" t="n"/>
      <c r="O1753" s="36" t="n"/>
      <c r="P1753" s="33">
        <f>IF(C1753="","",Commercial_Id)</f>
        <v/>
      </c>
      <c r="Q1753" s="39">
        <f>IF(F1753="","",IFERROR(VALUE(MID(F1753,LEN(F1753)-3,3)),""))</f>
        <v/>
      </c>
      <c r="R1753" s="33">
        <f>IF(Q1753="","",P1753&amp;"|"&amp;Q1753)</f>
        <v/>
      </c>
      <c r="S1753" s="33">
        <f>IF(Q1753="","",IF(P1753="À RENSEIGNER","GIC",P1753)&amp;"-"&amp;TEXT(Q1753,"000"))</f>
        <v/>
      </c>
      <c r="T1753" s="33">
        <f>IF(R1753="","",IFERROR(INDEX(Cl_nom,MATCH(R1753,Cl_cle,0)),"(client introuvable)"))</f>
        <v/>
      </c>
      <c r="U1753" s="33">
        <f>IF(R1753="","",IFERROR(INDEX(Cl_quartier,MATCH(R1753,Cl_cle,0))&amp;"",""))</f>
        <v/>
      </c>
      <c r="V1753" s="34">
        <f>IF(C1753="","",YEAR(C1753-WEEKDAY(C1753,2)+4)&amp;"-S"&amp;TEXT(INT((C1753-DATE(YEAR(C1753-WEEKDAY(C1753,2)+4),1,3)+WEEKDAY(DATE(YEAR(C1753-WEEKDAY(C1753,2)+4),1,3),2)+5)/7),"00"))</f>
        <v/>
      </c>
    </row>
    <row r="1754" ht="18" customHeight="1">
      <c r="A1754" s="39" t="n">
        <v>1749</v>
      </c>
      <c r="B1754" s="33">
        <f>IF(C1754="","",IF(P1754="À RENSEIGNER","GIC",P1754)&amp;"-V"&amp;TEXT(A1754,"00000"))</f>
        <v/>
      </c>
      <c r="C1754" s="32" t="n"/>
      <c r="D1754" s="35" t="n"/>
      <c r="E1754" s="36" t="n"/>
      <c r="F1754" s="36" t="n"/>
      <c r="G1754" s="36" t="n"/>
      <c r="H1754" s="36" t="n"/>
      <c r="I1754" s="36" t="n"/>
      <c r="J1754" s="37" t="n"/>
      <c r="K1754" s="32" t="n"/>
      <c r="L1754" s="36" t="n"/>
      <c r="M1754" s="41" t="n"/>
      <c r="N1754" s="41" t="n"/>
      <c r="O1754" s="36" t="n"/>
      <c r="P1754" s="33">
        <f>IF(C1754="","",Commercial_Id)</f>
        <v/>
      </c>
      <c r="Q1754" s="39">
        <f>IF(F1754="","",IFERROR(VALUE(MID(F1754,LEN(F1754)-3,3)),""))</f>
        <v/>
      </c>
      <c r="R1754" s="33">
        <f>IF(Q1754="","",P1754&amp;"|"&amp;Q1754)</f>
        <v/>
      </c>
      <c r="S1754" s="33">
        <f>IF(Q1754="","",IF(P1754="À RENSEIGNER","GIC",P1754)&amp;"-"&amp;TEXT(Q1754,"000"))</f>
        <v/>
      </c>
      <c r="T1754" s="33">
        <f>IF(R1754="","",IFERROR(INDEX(Cl_nom,MATCH(R1754,Cl_cle,0)),"(client introuvable)"))</f>
        <v/>
      </c>
      <c r="U1754" s="33">
        <f>IF(R1754="","",IFERROR(INDEX(Cl_quartier,MATCH(R1754,Cl_cle,0))&amp;"",""))</f>
        <v/>
      </c>
      <c r="V1754" s="34">
        <f>IF(C1754="","",YEAR(C1754-WEEKDAY(C1754,2)+4)&amp;"-S"&amp;TEXT(INT((C1754-DATE(YEAR(C1754-WEEKDAY(C1754,2)+4),1,3)+WEEKDAY(DATE(YEAR(C1754-WEEKDAY(C1754,2)+4),1,3),2)+5)/7),"00"))</f>
        <v/>
      </c>
    </row>
    <row r="1755" ht="18" customHeight="1">
      <c r="A1755" s="39" t="n">
        <v>1750</v>
      </c>
      <c r="B1755" s="33">
        <f>IF(C1755="","",IF(P1755="À RENSEIGNER","GIC",P1755)&amp;"-V"&amp;TEXT(A1755,"00000"))</f>
        <v/>
      </c>
      <c r="C1755" s="32" t="n"/>
      <c r="D1755" s="35" t="n"/>
      <c r="E1755" s="36" t="n"/>
      <c r="F1755" s="36" t="n"/>
      <c r="G1755" s="36" t="n"/>
      <c r="H1755" s="36" t="n"/>
      <c r="I1755" s="36" t="n"/>
      <c r="J1755" s="37" t="n"/>
      <c r="K1755" s="32" t="n"/>
      <c r="L1755" s="36" t="n"/>
      <c r="M1755" s="41" t="n"/>
      <c r="N1755" s="41" t="n"/>
      <c r="O1755" s="36" t="n"/>
      <c r="P1755" s="33">
        <f>IF(C1755="","",Commercial_Id)</f>
        <v/>
      </c>
      <c r="Q1755" s="39">
        <f>IF(F1755="","",IFERROR(VALUE(MID(F1755,LEN(F1755)-3,3)),""))</f>
        <v/>
      </c>
      <c r="R1755" s="33">
        <f>IF(Q1755="","",P1755&amp;"|"&amp;Q1755)</f>
        <v/>
      </c>
      <c r="S1755" s="33">
        <f>IF(Q1755="","",IF(P1755="À RENSEIGNER","GIC",P1755)&amp;"-"&amp;TEXT(Q1755,"000"))</f>
        <v/>
      </c>
      <c r="T1755" s="33">
        <f>IF(R1755="","",IFERROR(INDEX(Cl_nom,MATCH(R1755,Cl_cle,0)),"(client introuvable)"))</f>
        <v/>
      </c>
      <c r="U1755" s="33">
        <f>IF(R1755="","",IFERROR(INDEX(Cl_quartier,MATCH(R1755,Cl_cle,0))&amp;"",""))</f>
        <v/>
      </c>
      <c r="V1755" s="34">
        <f>IF(C1755="","",YEAR(C1755-WEEKDAY(C1755,2)+4)&amp;"-S"&amp;TEXT(INT((C1755-DATE(YEAR(C1755-WEEKDAY(C1755,2)+4),1,3)+WEEKDAY(DATE(YEAR(C1755-WEEKDAY(C1755,2)+4),1,3),2)+5)/7),"00"))</f>
        <v/>
      </c>
    </row>
    <row r="1756" ht="18" customHeight="1">
      <c r="A1756" s="39" t="n">
        <v>1751</v>
      </c>
      <c r="B1756" s="33">
        <f>IF(C1756="","",IF(P1756="À RENSEIGNER","GIC",P1756)&amp;"-V"&amp;TEXT(A1756,"00000"))</f>
        <v/>
      </c>
      <c r="C1756" s="32" t="n"/>
      <c r="D1756" s="35" t="n"/>
      <c r="E1756" s="36" t="n"/>
      <c r="F1756" s="36" t="n"/>
      <c r="G1756" s="36" t="n"/>
      <c r="H1756" s="36" t="n"/>
      <c r="I1756" s="36" t="n"/>
      <c r="J1756" s="37" t="n"/>
      <c r="K1756" s="32" t="n"/>
      <c r="L1756" s="36" t="n"/>
      <c r="M1756" s="41" t="n"/>
      <c r="N1756" s="41" t="n"/>
      <c r="O1756" s="36" t="n"/>
      <c r="P1756" s="33">
        <f>IF(C1756="","",Commercial_Id)</f>
        <v/>
      </c>
      <c r="Q1756" s="39">
        <f>IF(F1756="","",IFERROR(VALUE(MID(F1756,LEN(F1756)-3,3)),""))</f>
        <v/>
      </c>
      <c r="R1756" s="33">
        <f>IF(Q1756="","",P1756&amp;"|"&amp;Q1756)</f>
        <v/>
      </c>
      <c r="S1756" s="33">
        <f>IF(Q1756="","",IF(P1756="À RENSEIGNER","GIC",P1756)&amp;"-"&amp;TEXT(Q1756,"000"))</f>
        <v/>
      </c>
      <c r="T1756" s="33">
        <f>IF(R1756="","",IFERROR(INDEX(Cl_nom,MATCH(R1756,Cl_cle,0)),"(client introuvable)"))</f>
        <v/>
      </c>
      <c r="U1756" s="33">
        <f>IF(R1756="","",IFERROR(INDEX(Cl_quartier,MATCH(R1756,Cl_cle,0))&amp;"",""))</f>
        <v/>
      </c>
      <c r="V1756" s="34">
        <f>IF(C1756="","",YEAR(C1756-WEEKDAY(C1756,2)+4)&amp;"-S"&amp;TEXT(INT((C1756-DATE(YEAR(C1756-WEEKDAY(C1756,2)+4),1,3)+WEEKDAY(DATE(YEAR(C1756-WEEKDAY(C1756,2)+4),1,3),2)+5)/7),"00"))</f>
        <v/>
      </c>
    </row>
    <row r="1757" ht="18" customHeight="1">
      <c r="A1757" s="39" t="n">
        <v>1752</v>
      </c>
      <c r="B1757" s="33">
        <f>IF(C1757="","",IF(P1757="À RENSEIGNER","GIC",P1757)&amp;"-V"&amp;TEXT(A1757,"00000"))</f>
        <v/>
      </c>
      <c r="C1757" s="32" t="n"/>
      <c r="D1757" s="35" t="n"/>
      <c r="E1757" s="36" t="n"/>
      <c r="F1757" s="36" t="n"/>
      <c r="G1757" s="36" t="n"/>
      <c r="H1757" s="36" t="n"/>
      <c r="I1757" s="36" t="n"/>
      <c r="J1757" s="37" t="n"/>
      <c r="K1757" s="32" t="n"/>
      <c r="L1757" s="36" t="n"/>
      <c r="M1757" s="41" t="n"/>
      <c r="N1757" s="41" t="n"/>
      <c r="O1757" s="36" t="n"/>
      <c r="P1757" s="33">
        <f>IF(C1757="","",Commercial_Id)</f>
        <v/>
      </c>
      <c r="Q1757" s="39">
        <f>IF(F1757="","",IFERROR(VALUE(MID(F1757,LEN(F1757)-3,3)),""))</f>
        <v/>
      </c>
      <c r="R1757" s="33">
        <f>IF(Q1757="","",P1757&amp;"|"&amp;Q1757)</f>
        <v/>
      </c>
      <c r="S1757" s="33">
        <f>IF(Q1757="","",IF(P1757="À RENSEIGNER","GIC",P1757)&amp;"-"&amp;TEXT(Q1757,"000"))</f>
        <v/>
      </c>
      <c r="T1757" s="33">
        <f>IF(R1757="","",IFERROR(INDEX(Cl_nom,MATCH(R1757,Cl_cle,0)),"(client introuvable)"))</f>
        <v/>
      </c>
      <c r="U1757" s="33">
        <f>IF(R1757="","",IFERROR(INDEX(Cl_quartier,MATCH(R1757,Cl_cle,0))&amp;"",""))</f>
        <v/>
      </c>
      <c r="V1757" s="34">
        <f>IF(C1757="","",YEAR(C1757-WEEKDAY(C1757,2)+4)&amp;"-S"&amp;TEXT(INT((C1757-DATE(YEAR(C1757-WEEKDAY(C1757,2)+4),1,3)+WEEKDAY(DATE(YEAR(C1757-WEEKDAY(C1757,2)+4),1,3),2)+5)/7),"00"))</f>
        <v/>
      </c>
    </row>
    <row r="1758" ht="18" customHeight="1">
      <c r="A1758" s="39" t="n">
        <v>1753</v>
      </c>
      <c r="B1758" s="33">
        <f>IF(C1758="","",IF(P1758="À RENSEIGNER","GIC",P1758)&amp;"-V"&amp;TEXT(A1758,"00000"))</f>
        <v/>
      </c>
      <c r="C1758" s="32" t="n"/>
      <c r="D1758" s="35" t="n"/>
      <c r="E1758" s="36" t="n"/>
      <c r="F1758" s="36" t="n"/>
      <c r="G1758" s="36" t="n"/>
      <c r="H1758" s="36" t="n"/>
      <c r="I1758" s="36" t="n"/>
      <c r="J1758" s="37" t="n"/>
      <c r="K1758" s="32" t="n"/>
      <c r="L1758" s="36" t="n"/>
      <c r="M1758" s="41" t="n"/>
      <c r="N1758" s="41" t="n"/>
      <c r="O1758" s="36" t="n"/>
      <c r="P1758" s="33">
        <f>IF(C1758="","",Commercial_Id)</f>
        <v/>
      </c>
      <c r="Q1758" s="39">
        <f>IF(F1758="","",IFERROR(VALUE(MID(F1758,LEN(F1758)-3,3)),""))</f>
        <v/>
      </c>
      <c r="R1758" s="33">
        <f>IF(Q1758="","",P1758&amp;"|"&amp;Q1758)</f>
        <v/>
      </c>
      <c r="S1758" s="33">
        <f>IF(Q1758="","",IF(P1758="À RENSEIGNER","GIC",P1758)&amp;"-"&amp;TEXT(Q1758,"000"))</f>
        <v/>
      </c>
      <c r="T1758" s="33">
        <f>IF(R1758="","",IFERROR(INDEX(Cl_nom,MATCH(R1758,Cl_cle,0)),"(client introuvable)"))</f>
        <v/>
      </c>
      <c r="U1758" s="33">
        <f>IF(R1758="","",IFERROR(INDEX(Cl_quartier,MATCH(R1758,Cl_cle,0))&amp;"",""))</f>
        <v/>
      </c>
      <c r="V1758" s="34">
        <f>IF(C1758="","",YEAR(C1758-WEEKDAY(C1758,2)+4)&amp;"-S"&amp;TEXT(INT((C1758-DATE(YEAR(C1758-WEEKDAY(C1758,2)+4),1,3)+WEEKDAY(DATE(YEAR(C1758-WEEKDAY(C1758,2)+4),1,3),2)+5)/7),"00"))</f>
        <v/>
      </c>
    </row>
    <row r="1759" ht="18" customHeight="1">
      <c r="A1759" s="39" t="n">
        <v>1754</v>
      </c>
      <c r="B1759" s="33">
        <f>IF(C1759="","",IF(P1759="À RENSEIGNER","GIC",P1759)&amp;"-V"&amp;TEXT(A1759,"00000"))</f>
        <v/>
      </c>
      <c r="C1759" s="32" t="n"/>
      <c r="D1759" s="35" t="n"/>
      <c r="E1759" s="36" t="n"/>
      <c r="F1759" s="36" t="n"/>
      <c r="G1759" s="36" t="n"/>
      <c r="H1759" s="36" t="n"/>
      <c r="I1759" s="36" t="n"/>
      <c r="J1759" s="37" t="n"/>
      <c r="K1759" s="32" t="n"/>
      <c r="L1759" s="36" t="n"/>
      <c r="M1759" s="41" t="n"/>
      <c r="N1759" s="41" t="n"/>
      <c r="O1759" s="36" t="n"/>
      <c r="P1759" s="33">
        <f>IF(C1759="","",Commercial_Id)</f>
        <v/>
      </c>
      <c r="Q1759" s="39">
        <f>IF(F1759="","",IFERROR(VALUE(MID(F1759,LEN(F1759)-3,3)),""))</f>
        <v/>
      </c>
      <c r="R1759" s="33">
        <f>IF(Q1759="","",P1759&amp;"|"&amp;Q1759)</f>
        <v/>
      </c>
      <c r="S1759" s="33">
        <f>IF(Q1759="","",IF(P1759="À RENSEIGNER","GIC",P1759)&amp;"-"&amp;TEXT(Q1759,"000"))</f>
        <v/>
      </c>
      <c r="T1759" s="33">
        <f>IF(R1759="","",IFERROR(INDEX(Cl_nom,MATCH(R1759,Cl_cle,0)),"(client introuvable)"))</f>
        <v/>
      </c>
      <c r="U1759" s="33">
        <f>IF(R1759="","",IFERROR(INDEX(Cl_quartier,MATCH(R1759,Cl_cle,0))&amp;"",""))</f>
        <v/>
      </c>
      <c r="V1759" s="34">
        <f>IF(C1759="","",YEAR(C1759-WEEKDAY(C1759,2)+4)&amp;"-S"&amp;TEXT(INT((C1759-DATE(YEAR(C1759-WEEKDAY(C1759,2)+4),1,3)+WEEKDAY(DATE(YEAR(C1759-WEEKDAY(C1759,2)+4),1,3),2)+5)/7),"00"))</f>
        <v/>
      </c>
    </row>
    <row r="1760" ht="18" customHeight="1">
      <c r="A1760" s="39" t="n">
        <v>1755</v>
      </c>
      <c r="B1760" s="33">
        <f>IF(C1760="","",IF(P1760="À RENSEIGNER","GIC",P1760)&amp;"-V"&amp;TEXT(A1760,"00000"))</f>
        <v/>
      </c>
      <c r="C1760" s="32" t="n"/>
      <c r="D1760" s="35" t="n"/>
      <c r="E1760" s="36" t="n"/>
      <c r="F1760" s="36" t="n"/>
      <c r="G1760" s="36" t="n"/>
      <c r="H1760" s="36" t="n"/>
      <c r="I1760" s="36" t="n"/>
      <c r="J1760" s="37" t="n"/>
      <c r="K1760" s="32" t="n"/>
      <c r="L1760" s="36" t="n"/>
      <c r="M1760" s="41" t="n"/>
      <c r="N1760" s="41" t="n"/>
      <c r="O1760" s="36" t="n"/>
      <c r="P1760" s="33">
        <f>IF(C1760="","",Commercial_Id)</f>
        <v/>
      </c>
      <c r="Q1760" s="39">
        <f>IF(F1760="","",IFERROR(VALUE(MID(F1760,LEN(F1760)-3,3)),""))</f>
        <v/>
      </c>
      <c r="R1760" s="33">
        <f>IF(Q1760="","",P1760&amp;"|"&amp;Q1760)</f>
        <v/>
      </c>
      <c r="S1760" s="33">
        <f>IF(Q1760="","",IF(P1760="À RENSEIGNER","GIC",P1760)&amp;"-"&amp;TEXT(Q1760,"000"))</f>
        <v/>
      </c>
      <c r="T1760" s="33">
        <f>IF(R1760="","",IFERROR(INDEX(Cl_nom,MATCH(R1760,Cl_cle,0)),"(client introuvable)"))</f>
        <v/>
      </c>
      <c r="U1760" s="33">
        <f>IF(R1760="","",IFERROR(INDEX(Cl_quartier,MATCH(R1760,Cl_cle,0))&amp;"",""))</f>
        <v/>
      </c>
      <c r="V1760" s="34">
        <f>IF(C1760="","",YEAR(C1760-WEEKDAY(C1760,2)+4)&amp;"-S"&amp;TEXT(INT((C1760-DATE(YEAR(C1760-WEEKDAY(C1760,2)+4),1,3)+WEEKDAY(DATE(YEAR(C1760-WEEKDAY(C1760,2)+4),1,3),2)+5)/7),"00"))</f>
        <v/>
      </c>
    </row>
    <row r="1761" ht="18" customHeight="1">
      <c r="A1761" s="39" t="n">
        <v>1756</v>
      </c>
      <c r="B1761" s="33">
        <f>IF(C1761="","",IF(P1761="À RENSEIGNER","GIC",P1761)&amp;"-V"&amp;TEXT(A1761,"00000"))</f>
        <v/>
      </c>
      <c r="C1761" s="32" t="n"/>
      <c r="D1761" s="35" t="n"/>
      <c r="E1761" s="36" t="n"/>
      <c r="F1761" s="36" t="n"/>
      <c r="G1761" s="36" t="n"/>
      <c r="H1761" s="36" t="n"/>
      <c r="I1761" s="36" t="n"/>
      <c r="J1761" s="37" t="n"/>
      <c r="K1761" s="32" t="n"/>
      <c r="L1761" s="36" t="n"/>
      <c r="M1761" s="41" t="n"/>
      <c r="N1761" s="41" t="n"/>
      <c r="O1761" s="36" t="n"/>
      <c r="P1761" s="33">
        <f>IF(C1761="","",Commercial_Id)</f>
        <v/>
      </c>
      <c r="Q1761" s="39">
        <f>IF(F1761="","",IFERROR(VALUE(MID(F1761,LEN(F1761)-3,3)),""))</f>
        <v/>
      </c>
      <c r="R1761" s="33">
        <f>IF(Q1761="","",P1761&amp;"|"&amp;Q1761)</f>
        <v/>
      </c>
      <c r="S1761" s="33">
        <f>IF(Q1761="","",IF(P1761="À RENSEIGNER","GIC",P1761)&amp;"-"&amp;TEXT(Q1761,"000"))</f>
        <v/>
      </c>
      <c r="T1761" s="33">
        <f>IF(R1761="","",IFERROR(INDEX(Cl_nom,MATCH(R1761,Cl_cle,0)),"(client introuvable)"))</f>
        <v/>
      </c>
      <c r="U1761" s="33">
        <f>IF(R1761="","",IFERROR(INDEX(Cl_quartier,MATCH(R1761,Cl_cle,0))&amp;"",""))</f>
        <v/>
      </c>
      <c r="V1761" s="34">
        <f>IF(C1761="","",YEAR(C1761-WEEKDAY(C1761,2)+4)&amp;"-S"&amp;TEXT(INT((C1761-DATE(YEAR(C1761-WEEKDAY(C1761,2)+4),1,3)+WEEKDAY(DATE(YEAR(C1761-WEEKDAY(C1761,2)+4),1,3),2)+5)/7),"00"))</f>
        <v/>
      </c>
    </row>
    <row r="1762" ht="18" customHeight="1">
      <c r="A1762" s="39" t="n">
        <v>1757</v>
      </c>
      <c r="B1762" s="33">
        <f>IF(C1762="","",IF(P1762="À RENSEIGNER","GIC",P1762)&amp;"-V"&amp;TEXT(A1762,"00000"))</f>
        <v/>
      </c>
      <c r="C1762" s="32" t="n"/>
      <c r="D1762" s="35" t="n"/>
      <c r="E1762" s="36" t="n"/>
      <c r="F1762" s="36" t="n"/>
      <c r="G1762" s="36" t="n"/>
      <c r="H1762" s="36" t="n"/>
      <c r="I1762" s="36" t="n"/>
      <c r="J1762" s="37" t="n"/>
      <c r="K1762" s="32" t="n"/>
      <c r="L1762" s="36" t="n"/>
      <c r="M1762" s="41" t="n"/>
      <c r="N1762" s="41" t="n"/>
      <c r="O1762" s="36" t="n"/>
      <c r="P1762" s="33">
        <f>IF(C1762="","",Commercial_Id)</f>
        <v/>
      </c>
      <c r="Q1762" s="39">
        <f>IF(F1762="","",IFERROR(VALUE(MID(F1762,LEN(F1762)-3,3)),""))</f>
        <v/>
      </c>
      <c r="R1762" s="33">
        <f>IF(Q1762="","",P1762&amp;"|"&amp;Q1762)</f>
        <v/>
      </c>
      <c r="S1762" s="33">
        <f>IF(Q1762="","",IF(P1762="À RENSEIGNER","GIC",P1762)&amp;"-"&amp;TEXT(Q1762,"000"))</f>
        <v/>
      </c>
      <c r="T1762" s="33">
        <f>IF(R1762="","",IFERROR(INDEX(Cl_nom,MATCH(R1762,Cl_cle,0)),"(client introuvable)"))</f>
        <v/>
      </c>
      <c r="U1762" s="33">
        <f>IF(R1762="","",IFERROR(INDEX(Cl_quartier,MATCH(R1762,Cl_cle,0))&amp;"",""))</f>
        <v/>
      </c>
      <c r="V1762" s="34">
        <f>IF(C1762="","",YEAR(C1762-WEEKDAY(C1762,2)+4)&amp;"-S"&amp;TEXT(INT((C1762-DATE(YEAR(C1762-WEEKDAY(C1762,2)+4),1,3)+WEEKDAY(DATE(YEAR(C1762-WEEKDAY(C1762,2)+4),1,3),2)+5)/7),"00"))</f>
        <v/>
      </c>
    </row>
    <row r="1763" ht="18" customHeight="1">
      <c r="A1763" s="39" t="n">
        <v>1758</v>
      </c>
      <c r="B1763" s="33">
        <f>IF(C1763="","",IF(P1763="À RENSEIGNER","GIC",P1763)&amp;"-V"&amp;TEXT(A1763,"00000"))</f>
        <v/>
      </c>
      <c r="C1763" s="32" t="n"/>
      <c r="D1763" s="35" t="n"/>
      <c r="E1763" s="36" t="n"/>
      <c r="F1763" s="36" t="n"/>
      <c r="G1763" s="36" t="n"/>
      <c r="H1763" s="36" t="n"/>
      <c r="I1763" s="36" t="n"/>
      <c r="J1763" s="37" t="n"/>
      <c r="K1763" s="32" t="n"/>
      <c r="L1763" s="36" t="n"/>
      <c r="M1763" s="41" t="n"/>
      <c r="N1763" s="41" t="n"/>
      <c r="O1763" s="36" t="n"/>
      <c r="P1763" s="33">
        <f>IF(C1763="","",Commercial_Id)</f>
        <v/>
      </c>
      <c r="Q1763" s="39">
        <f>IF(F1763="","",IFERROR(VALUE(MID(F1763,LEN(F1763)-3,3)),""))</f>
        <v/>
      </c>
      <c r="R1763" s="33">
        <f>IF(Q1763="","",P1763&amp;"|"&amp;Q1763)</f>
        <v/>
      </c>
      <c r="S1763" s="33">
        <f>IF(Q1763="","",IF(P1763="À RENSEIGNER","GIC",P1763)&amp;"-"&amp;TEXT(Q1763,"000"))</f>
        <v/>
      </c>
      <c r="T1763" s="33">
        <f>IF(R1763="","",IFERROR(INDEX(Cl_nom,MATCH(R1763,Cl_cle,0)),"(client introuvable)"))</f>
        <v/>
      </c>
      <c r="U1763" s="33">
        <f>IF(R1763="","",IFERROR(INDEX(Cl_quartier,MATCH(R1763,Cl_cle,0))&amp;"",""))</f>
        <v/>
      </c>
      <c r="V1763" s="34">
        <f>IF(C1763="","",YEAR(C1763-WEEKDAY(C1763,2)+4)&amp;"-S"&amp;TEXT(INT((C1763-DATE(YEAR(C1763-WEEKDAY(C1763,2)+4),1,3)+WEEKDAY(DATE(YEAR(C1763-WEEKDAY(C1763,2)+4),1,3),2)+5)/7),"00"))</f>
        <v/>
      </c>
    </row>
    <row r="1764" ht="18" customHeight="1">
      <c r="A1764" s="39" t="n">
        <v>1759</v>
      </c>
      <c r="B1764" s="33">
        <f>IF(C1764="","",IF(P1764="À RENSEIGNER","GIC",P1764)&amp;"-V"&amp;TEXT(A1764,"00000"))</f>
        <v/>
      </c>
      <c r="C1764" s="32" t="n"/>
      <c r="D1764" s="35" t="n"/>
      <c r="E1764" s="36" t="n"/>
      <c r="F1764" s="36" t="n"/>
      <c r="G1764" s="36" t="n"/>
      <c r="H1764" s="36" t="n"/>
      <c r="I1764" s="36" t="n"/>
      <c r="J1764" s="37" t="n"/>
      <c r="K1764" s="32" t="n"/>
      <c r="L1764" s="36" t="n"/>
      <c r="M1764" s="41" t="n"/>
      <c r="N1764" s="41" t="n"/>
      <c r="O1764" s="36" t="n"/>
      <c r="P1764" s="33">
        <f>IF(C1764="","",Commercial_Id)</f>
        <v/>
      </c>
      <c r="Q1764" s="39">
        <f>IF(F1764="","",IFERROR(VALUE(MID(F1764,LEN(F1764)-3,3)),""))</f>
        <v/>
      </c>
      <c r="R1764" s="33">
        <f>IF(Q1764="","",P1764&amp;"|"&amp;Q1764)</f>
        <v/>
      </c>
      <c r="S1764" s="33">
        <f>IF(Q1764="","",IF(P1764="À RENSEIGNER","GIC",P1764)&amp;"-"&amp;TEXT(Q1764,"000"))</f>
        <v/>
      </c>
      <c r="T1764" s="33">
        <f>IF(R1764="","",IFERROR(INDEX(Cl_nom,MATCH(R1764,Cl_cle,0)),"(client introuvable)"))</f>
        <v/>
      </c>
      <c r="U1764" s="33">
        <f>IF(R1764="","",IFERROR(INDEX(Cl_quartier,MATCH(R1764,Cl_cle,0))&amp;"",""))</f>
        <v/>
      </c>
      <c r="V1764" s="34">
        <f>IF(C1764="","",YEAR(C1764-WEEKDAY(C1764,2)+4)&amp;"-S"&amp;TEXT(INT((C1764-DATE(YEAR(C1764-WEEKDAY(C1764,2)+4),1,3)+WEEKDAY(DATE(YEAR(C1764-WEEKDAY(C1764,2)+4),1,3),2)+5)/7),"00"))</f>
        <v/>
      </c>
    </row>
    <row r="1765" ht="18" customHeight="1">
      <c r="A1765" s="39" t="n">
        <v>1760</v>
      </c>
      <c r="B1765" s="33">
        <f>IF(C1765="","",IF(P1765="À RENSEIGNER","GIC",P1765)&amp;"-V"&amp;TEXT(A1765,"00000"))</f>
        <v/>
      </c>
      <c r="C1765" s="32" t="n"/>
      <c r="D1765" s="35" t="n"/>
      <c r="E1765" s="36" t="n"/>
      <c r="F1765" s="36" t="n"/>
      <c r="G1765" s="36" t="n"/>
      <c r="H1765" s="36" t="n"/>
      <c r="I1765" s="36" t="n"/>
      <c r="J1765" s="37" t="n"/>
      <c r="K1765" s="32" t="n"/>
      <c r="L1765" s="36" t="n"/>
      <c r="M1765" s="41" t="n"/>
      <c r="N1765" s="41" t="n"/>
      <c r="O1765" s="36" t="n"/>
      <c r="P1765" s="33">
        <f>IF(C1765="","",Commercial_Id)</f>
        <v/>
      </c>
      <c r="Q1765" s="39">
        <f>IF(F1765="","",IFERROR(VALUE(MID(F1765,LEN(F1765)-3,3)),""))</f>
        <v/>
      </c>
      <c r="R1765" s="33">
        <f>IF(Q1765="","",P1765&amp;"|"&amp;Q1765)</f>
        <v/>
      </c>
      <c r="S1765" s="33">
        <f>IF(Q1765="","",IF(P1765="À RENSEIGNER","GIC",P1765)&amp;"-"&amp;TEXT(Q1765,"000"))</f>
        <v/>
      </c>
      <c r="T1765" s="33">
        <f>IF(R1765="","",IFERROR(INDEX(Cl_nom,MATCH(R1765,Cl_cle,0)),"(client introuvable)"))</f>
        <v/>
      </c>
      <c r="U1765" s="33">
        <f>IF(R1765="","",IFERROR(INDEX(Cl_quartier,MATCH(R1765,Cl_cle,0))&amp;"",""))</f>
        <v/>
      </c>
      <c r="V1765" s="34">
        <f>IF(C1765="","",YEAR(C1765-WEEKDAY(C1765,2)+4)&amp;"-S"&amp;TEXT(INT((C1765-DATE(YEAR(C1765-WEEKDAY(C1765,2)+4),1,3)+WEEKDAY(DATE(YEAR(C1765-WEEKDAY(C1765,2)+4),1,3),2)+5)/7),"00"))</f>
        <v/>
      </c>
    </row>
    <row r="1766" ht="18" customHeight="1">
      <c r="A1766" s="39" t="n">
        <v>1761</v>
      </c>
      <c r="B1766" s="33">
        <f>IF(C1766="","",IF(P1766="À RENSEIGNER","GIC",P1766)&amp;"-V"&amp;TEXT(A1766,"00000"))</f>
        <v/>
      </c>
      <c r="C1766" s="32" t="n"/>
      <c r="D1766" s="35" t="n"/>
      <c r="E1766" s="36" t="n"/>
      <c r="F1766" s="36" t="n"/>
      <c r="G1766" s="36" t="n"/>
      <c r="H1766" s="36" t="n"/>
      <c r="I1766" s="36" t="n"/>
      <c r="J1766" s="37" t="n"/>
      <c r="K1766" s="32" t="n"/>
      <c r="L1766" s="36" t="n"/>
      <c r="M1766" s="41" t="n"/>
      <c r="N1766" s="41" t="n"/>
      <c r="O1766" s="36" t="n"/>
      <c r="P1766" s="33">
        <f>IF(C1766="","",Commercial_Id)</f>
        <v/>
      </c>
      <c r="Q1766" s="39">
        <f>IF(F1766="","",IFERROR(VALUE(MID(F1766,LEN(F1766)-3,3)),""))</f>
        <v/>
      </c>
      <c r="R1766" s="33">
        <f>IF(Q1766="","",P1766&amp;"|"&amp;Q1766)</f>
        <v/>
      </c>
      <c r="S1766" s="33">
        <f>IF(Q1766="","",IF(P1766="À RENSEIGNER","GIC",P1766)&amp;"-"&amp;TEXT(Q1766,"000"))</f>
        <v/>
      </c>
      <c r="T1766" s="33">
        <f>IF(R1766="","",IFERROR(INDEX(Cl_nom,MATCH(R1766,Cl_cle,0)),"(client introuvable)"))</f>
        <v/>
      </c>
      <c r="U1766" s="33">
        <f>IF(R1766="","",IFERROR(INDEX(Cl_quartier,MATCH(R1766,Cl_cle,0))&amp;"",""))</f>
        <v/>
      </c>
      <c r="V1766" s="34">
        <f>IF(C1766="","",YEAR(C1766-WEEKDAY(C1766,2)+4)&amp;"-S"&amp;TEXT(INT((C1766-DATE(YEAR(C1766-WEEKDAY(C1766,2)+4),1,3)+WEEKDAY(DATE(YEAR(C1766-WEEKDAY(C1766,2)+4),1,3),2)+5)/7),"00"))</f>
        <v/>
      </c>
    </row>
    <row r="1767" ht="18" customHeight="1">
      <c r="A1767" s="39" t="n">
        <v>1762</v>
      </c>
      <c r="B1767" s="33">
        <f>IF(C1767="","",IF(P1767="À RENSEIGNER","GIC",P1767)&amp;"-V"&amp;TEXT(A1767,"00000"))</f>
        <v/>
      </c>
      <c r="C1767" s="32" t="n"/>
      <c r="D1767" s="35" t="n"/>
      <c r="E1767" s="36" t="n"/>
      <c r="F1767" s="36" t="n"/>
      <c r="G1767" s="36" t="n"/>
      <c r="H1767" s="36" t="n"/>
      <c r="I1767" s="36" t="n"/>
      <c r="J1767" s="37" t="n"/>
      <c r="K1767" s="32" t="n"/>
      <c r="L1767" s="36" t="n"/>
      <c r="M1767" s="41" t="n"/>
      <c r="N1767" s="41" t="n"/>
      <c r="O1767" s="36" t="n"/>
      <c r="P1767" s="33">
        <f>IF(C1767="","",Commercial_Id)</f>
        <v/>
      </c>
      <c r="Q1767" s="39">
        <f>IF(F1767="","",IFERROR(VALUE(MID(F1767,LEN(F1767)-3,3)),""))</f>
        <v/>
      </c>
      <c r="R1767" s="33">
        <f>IF(Q1767="","",P1767&amp;"|"&amp;Q1767)</f>
        <v/>
      </c>
      <c r="S1767" s="33">
        <f>IF(Q1767="","",IF(P1767="À RENSEIGNER","GIC",P1767)&amp;"-"&amp;TEXT(Q1767,"000"))</f>
        <v/>
      </c>
      <c r="T1767" s="33">
        <f>IF(R1767="","",IFERROR(INDEX(Cl_nom,MATCH(R1767,Cl_cle,0)),"(client introuvable)"))</f>
        <v/>
      </c>
      <c r="U1767" s="33">
        <f>IF(R1767="","",IFERROR(INDEX(Cl_quartier,MATCH(R1767,Cl_cle,0))&amp;"",""))</f>
        <v/>
      </c>
      <c r="V1767" s="34">
        <f>IF(C1767="","",YEAR(C1767-WEEKDAY(C1767,2)+4)&amp;"-S"&amp;TEXT(INT((C1767-DATE(YEAR(C1767-WEEKDAY(C1767,2)+4),1,3)+WEEKDAY(DATE(YEAR(C1767-WEEKDAY(C1767,2)+4),1,3),2)+5)/7),"00"))</f>
        <v/>
      </c>
    </row>
    <row r="1768" ht="18" customHeight="1">
      <c r="A1768" s="39" t="n">
        <v>1763</v>
      </c>
      <c r="B1768" s="33">
        <f>IF(C1768="","",IF(P1768="À RENSEIGNER","GIC",P1768)&amp;"-V"&amp;TEXT(A1768,"00000"))</f>
        <v/>
      </c>
      <c r="C1768" s="32" t="n"/>
      <c r="D1768" s="35" t="n"/>
      <c r="E1768" s="36" t="n"/>
      <c r="F1768" s="36" t="n"/>
      <c r="G1768" s="36" t="n"/>
      <c r="H1768" s="36" t="n"/>
      <c r="I1768" s="36" t="n"/>
      <c r="J1768" s="37" t="n"/>
      <c r="K1768" s="32" t="n"/>
      <c r="L1768" s="36" t="n"/>
      <c r="M1768" s="41" t="n"/>
      <c r="N1768" s="41" t="n"/>
      <c r="O1768" s="36" t="n"/>
      <c r="P1768" s="33">
        <f>IF(C1768="","",Commercial_Id)</f>
        <v/>
      </c>
      <c r="Q1768" s="39">
        <f>IF(F1768="","",IFERROR(VALUE(MID(F1768,LEN(F1768)-3,3)),""))</f>
        <v/>
      </c>
      <c r="R1768" s="33">
        <f>IF(Q1768="","",P1768&amp;"|"&amp;Q1768)</f>
        <v/>
      </c>
      <c r="S1768" s="33">
        <f>IF(Q1768="","",IF(P1768="À RENSEIGNER","GIC",P1768)&amp;"-"&amp;TEXT(Q1768,"000"))</f>
        <v/>
      </c>
      <c r="T1768" s="33">
        <f>IF(R1768="","",IFERROR(INDEX(Cl_nom,MATCH(R1768,Cl_cle,0)),"(client introuvable)"))</f>
        <v/>
      </c>
      <c r="U1768" s="33">
        <f>IF(R1768="","",IFERROR(INDEX(Cl_quartier,MATCH(R1768,Cl_cle,0))&amp;"",""))</f>
        <v/>
      </c>
      <c r="V1768" s="34">
        <f>IF(C1768="","",YEAR(C1768-WEEKDAY(C1768,2)+4)&amp;"-S"&amp;TEXT(INT((C1768-DATE(YEAR(C1768-WEEKDAY(C1768,2)+4),1,3)+WEEKDAY(DATE(YEAR(C1768-WEEKDAY(C1768,2)+4),1,3),2)+5)/7),"00"))</f>
        <v/>
      </c>
    </row>
    <row r="1769" ht="18" customHeight="1">
      <c r="A1769" s="39" t="n">
        <v>1764</v>
      </c>
      <c r="B1769" s="33">
        <f>IF(C1769="","",IF(P1769="À RENSEIGNER","GIC",P1769)&amp;"-V"&amp;TEXT(A1769,"00000"))</f>
        <v/>
      </c>
      <c r="C1769" s="32" t="n"/>
      <c r="D1769" s="35" t="n"/>
      <c r="E1769" s="36" t="n"/>
      <c r="F1769" s="36" t="n"/>
      <c r="G1769" s="36" t="n"/>
      <c r="H1769" s="36" t="n"/>
      <c r="I1769" s="36" t="n"/>
      <c r="J1769" s="37" t="n"/>
      <c r="K1769" s="32" t="n"/>
      <c r="L1769" s="36" t="n"/>
      <c r="M1769" s="41" t="n"/>
      <c r="N1769" s="41" t="n"/>
      <c r="O1769" s="36" t="n"/>
      <c r="P1769" s="33">
        <f>IF(C1769="","",Commercial_Id)</f>
        <v/>
      </c>
      <c r="Q1769" s="39">
        <f>IF(F1769="","",IFERROR(VALUE(MID(F1769,LEN(F1769)-3,3)),""))</f>
        <v/>
      </c>
      <c r="R1769" s="33">
        <f>IF(Q1769="","",P1769&amp;"|"&amp;Q1769)</f>
        <v/>
      </c>
      <c r="S1769" s="33">
        <f>IF(Q1769="","",IF(P1769="À RENSEIGNER","GIC",P1769)&amp;"-"&amp;TEXT(Q1769,"000"))</f>
        <v/>
      </c>
      <c r="T1769" s="33">
        <f>IF(R1769="","",IFERROR(INDEX(Cl_nom,MATCH(R1769,Cl_cle,0)),"(client introuvable)"))</f>
        <v/>
      </c>
      <c r="U1769" s="33">
        <f>IF(R1769="","",IFERROR(INDEX(Cl_quartier,MATCH(R1769,Cl_cle,0))&amp;"",""))</f>
        <v/>
      </c>
      <c r="V1769" s="34">
        <f>IF(C1769="","",YEAR(C1769-WEEKDAY(C1769,2)+4)&amp;"-S"&amp;TEXT(INT((C1769-DATE(YEAR(C1769-WEEKDAY(C1769,2)+4),1,3)+WEEKDAY(DATE(YEAR(C1769-WEEKDAY(C1769,2)+4),1,3),2)+5)/7),"00"))</f>
        <v/>
      </c>
    </row>
    <row r="1770" ht="18" customHeight="1">
      <c r="A1770" s="39" t="n">
        <v>1765</v>
      </c>
      <c r="B1770" s="33">
        <f>IF(C1770="","",IF(P1770="À RENSEIGNER","GIC",P1770)&amp;"-V"&amp;TEXT(A1770,"00000"))</f>
        <v/>
      </c>
      <c r="C1770" s="32" t="n"/>
      <c r="D1770" s="35" t="n"/>
      <c r="E1770" s="36" t="n"/>
      <c r="F1770" s="36" t="n"/>
      <c r="G1770" s="36" t="n"/>
      <c r="H1770" s="36" t="n"/>
      <c r="I1770" s="36" t="n"/>
      <c r="J1770" s="37" t="n"/>
      <c r="K1770" s="32" t="n"/>
      <c r="L1770" s="36" t="n"/>
      <c r="M1770" s="41" t="n"/>
      <c r="N1770" s="41" t="n"/>
      <c r="O1770" s="36" t="n"/>
      <c r="P1770" s="33">
        <f>IF(C1770="","",Commercial_Id)</f>
        <v/>
      </c>
      <c r="Q1770" s="39">
        <f>IF(F1770="","",IFERROR(VALUE(MID(F1770,LEN(F1770)-3,3)),""))</f>
        <v/>
      </c>
      <c r="R1770" s="33">
        <f>IF(Q1770="","",P1770&amp;"|"&amp;Q1770)</f>
        <v/>
      </c>
      <c r="S1770" s="33">
        <f>IF(Q1770="","",IF(P1770="À RENSEIGNER","GIC",P1770)&amp;"-"&amp;TEXT(Q1770,"000"))</f>
        <v/>
      </c>
      <c r="T1770" s="33">
        <f>IF(R1770="","",IFERROR(INDEX(Cl_nom,MATCH(R1770,Cl_cle,0)),"(client introuvable)"))</f>
        <v/>
      </c>
      <c r="U1770" s="33">
        <f>IF(R1770="","",IFERROR(INDEX(Cl_quartier,MATCH(R1770,Cl_cle,0))&amp;"",""))</f>
        <v/>
      </c>
      <c r="V1770" s="34">
        <f>IF(C1770="","",YEAR(C1770-WEEKDAY(C1770,2)+4)&amp;"-S"&amp;TEXT(INT((C1770-DATE(YEAR(C1770-WEEKDAY(C1770,2)+4),1,3)+WEEKDAY(DATE(YEAR(C1770-WEEKDAY(C1770,2)+4),1,3),2)+5)/7),"00"))</f>
        <v/>
      </c>
    </row>
    <row r="1771" ht="18" customHeight="1">
      <c r="A1771" s="39" t="n">
        <v>1766</v>
      </c>
      <c r="B1771" s="33">
        <f>IF(C1771="","",IF(P1771="À RENSEIGNER","GIC",P1771)&amp;"-V"&amp;TEXT(A1771,"00000"))</f>
        <v/>
      </c>
      <c r="C1771" s="32" t="n"/>
      <c r="D1771" s="35" t="n"/>
      <c r="E1771" s="36" t="n"/>
      <c r="F1771" s="36" t="n"/>
      <c r="G1771" s="36" t="n"/>
      <c r="H1771" s="36" t="n"/>
      <c r="I1771" s="36" t="n"/>
      <c r="J1771" s="37" t="n"/>
      <c r="K1771" s="32" t="n"/>
      <c r="L1771" s="36" t="n"/>
      <c r="M1771" s="41" t="n"/>
      <c r="N1771" s="41" t="n"/>
      <c r="O1771" s="36" t="n"/>
      <c r="P1771" s="33">
        <f>IF(C1771="","",Commercial_Id)</f>
        <v/>
      </c>
      <c r="Q1771" s="39">
        <f>IF(F1771="","",IFERROR(VALUE(MID(F1771,LEN(F1771)-3,3)),""))</f>
        <v/>
      </c>
      <c r="R1771" s="33">
        <f>IF(Q1771="","",P1771&amp;"|"&amp;Q1771)</f>
        <v/>
      </c>
      <c r="S1771" s="33">
        <f>IF(Q1771="","",IF(P1771="À RENSEIGNER","GIC",P1771)&amp;"-"&amp;TEXT(Q1771,"000"))</f>
        <v/>
      </c>
      <c r="T1771" s="33">
        <f>IF(R1771="","",IFERROR(INDEX(Cl_nom,MATCH(R1771,Cl_cle,0)),"(client introuvable)"))</f>
        <v/>
      </c>
      <c r="U1771" s="33">
        <f>IF(R1771="","",IFERROR(INDEX(Cl_quartier,MATCH(R1771,Cl_cle,0))&amp;"",""))</f>
        <v/>
      </c>
      <c r="V1771" s="34">
        <f>IF(C1771="","",YEAR(C1771-WEEKDAY(C1771,2)+4)&amp;"-S"&amp;TEXT(INT((C1771-DATE(YEAR(C1771-WEEKDAY(C1771,2)+4),1,3)+WEEKDAY(DATE(YEAR(C1771-WEEKDAY(C1771,2)+4),1,3),2)+5)/7),"00"))</f>
        <v/>
      </c>
    </row>
    <row r="1772" ht="18" customHeight="1">
      <c r="A1772" s="39" t="n">
        <v>1767</v>
      </c>
      <c r="B1772" s="33">
        <f>IF(C1772="","",IF(P1772="À RENSEIGNER","GIC",P1772)&amp;"-V"&amp;TEXT(A1772,"00000"))</f>
        <v/>
      </c>
      <c r="C1772" s="32" t="n"/>
      <c r="D1772" s="35" t="n"/>
      <c r="E1772" s="36" t="n"/>
      <c r="F1772" s="36" t="n"/>
      <c r="G1772" s="36" t="n"/>
      <c r="H1772" s="36" t="n"/>
      <c r="I1772" s="36" t="n"/>
      <c r="J1772" s="37" t="n"/>
      <c r="K1772" s="32" t="n"/>
      <c r="L1772" s="36" t="n"/>
      <c r="M1772" s="41" t="n"/>
      <c r="N1772" s="41" t="n"/>
      <c r="O1772" s="36" t="n"/>
      <c r="P1772" s="33">
        <f>IF(C1772="","",Commercial_Id)</f>
        <v/>
      </c>
      <c r="Q1772" s="39">
        <f>IF(F1772="","",IFERROR(VALUE(MID(F1772,LEN(F1772)-3,3)),""))</f>
        <v/>
      </c>
      <c r="R1772" s="33">
        <f>IF(Q1772="","",P1772&amp;"|"&amp;Q1772)</f>
        <v/>
      </c>
      <c r="S1772" s="33">
        <f>IF(Q1772="","",IF(P1772="À RENSEIGNER","GIC",P1772)&amp;"-"&amp;TEXT(Q1772,"000"))</f>
        <v/>
      </c>
      <c r="T1772" s="33">
        <f>IF(R1772="","",IFERROR(INDEX(Cl_nom,MATCH(R1772,Cl_cle,0)),"(client introuvable)"))</f>
        <v/>
      </c>
      <c r="U1772" s="33">
        <f>IF(R1772="","",IFERROR(INDEX(Cl_quartier,MATCH(R1772,Cl_cle,0))&amp;"",""))</f>
        <v/>
      </c>
      <c r="V1772" s="34">
        <f>IF(C1772="","",YEAR(C1772-WEEKDAY(C1772,2)+4)&amp;"-S"&amp;TEXT(INT((C1772-DATE(YEAR(C1772-WEEKDAY(C1772,2)+4),1,3)+WEEKDAY(DATE(YEAR(C1772-WEEKDAY(C1772,2)+4),1,3),2)+5)/7),"00"))</f>
        <v/>
      </c>
    </row>
    <row r="1773" ht="18" customHeight="1">
      <c r="A1773" s="39" t="n">
        <v>1768</v>
      </c>
      <c r="B1773" s="33">
        <f>IF(C1773="","",IF(P1773="À RENSEIGNER","GIC",P1773)&amp;"-V"&amp;TEXT(A1773,"00000"))</f>
        <v/>
      </c>
      <c r="C1773" s="32" t="n"/>
      <c r="D1773" s="35" t="n"/>
      <c r="E1773" s="36" t="n"/>
      <c r="F1773" s="36" t="n"/>
      <c r="G1773" s="36" t="n"/>
      <c r="H1773" s="36" t="n"/>
      <c r="I1773" s="36" t="n"/>
      <c r="J1773" s="37" t="n"/>
      <c r="K1773" s="32" t="n"/>
      <c r="L1773" s="36" t="n"/>
      <c r="M1773" s="41" t="n"/>
      <c r="N1773" s="41" t="n"/>
      <c r="O1773" s="36" t="n"/>
      <c r="P1773" s="33">
        <f>IF(C1773="","",Commercial_Id)</f>
        <v/>
      </c>
      <c r="Q1773" s="39">
        <f>IF(F1773="","",IFERROR(VALUE(MID(F1773,LEN(F1773)-3,3)),""))</f>
        <v/>
      </c>
      <c r="R1773" s="33">
        <f>IF(Q1773="","",P1773&amp;"|"&amp;Q1773)</f>
        <v/>
      </c>
      <c r="S1773" s="33">
        <f>IF(Q1773="","",IF(P1773="À RENSEIGNER","GIC",P1773)&amp;"-"&amp;TEXT(Q1773,"000"))</f>
        <v/>
      </c>
      <c r="T1773" s="33">
        <f>IF(R1773="","",IFERROR(INDEX(Cl_nom,MATCH(R1773,Cl_cle,0)),"(client introuvable)"))</f>
        <v/>
      </c>
      <c r="U1773" s="33">
        <f>IF(R1773="","",IFERROR(INDEX(Cl_quartier,MATCH(R1773,Cl_cle,0))&amp;"",""))</f>
        <v/>
      </c>
      <c r="V1773" s="34">
        <f>IF(C1773="","",YEAR(C1773-WEEKDAY(C1773,2)+4)&amp;"-S"&amp;TEXT(INT((C1773-DATE(YEAR(C1773-WEEKDAY(C1773,2)+4),1,3)+WEEKDAY(DATE(YEAR(C1773-WEEKDAY(C1773,2)+4),1,3),2)+5)/7),"00"))</f>
        <v/>
      </c>
    </row>
    <row r="1774" ht="18" customHeight="1">
      <c r="A1774" s="39" t="n">
        <v>1769</v>
      </c>
      <c r="B1774" s="33">
        <f>IF(C1774="","",IF(P1774="À RENSEIGNER","GIC",P1774)&amp;"-V"&amp;TEXT(A1774,"00000"))</f>
        <v/>
      </c>
      <c r="C1774" s="32" t="n"/>
      <c r="D1774" s="35" t="n"/>
      <c r="E1774" s="36" t="n"/>
      <c r="F1774" s="36" t="n"/>
      <c r="G1774" s="36" t="n"/>
      <c r="H1774" s="36" t="n"/>
      <c r="I1774" s="36" t="n"/>
      <c r="J1774" s="37" t="n"/>
      <c r="K1774" s="32" t="n"/>
      <c r="L1774" s="36" t="n"/>
      <c r="M1774" s="41" t="n"/>
      <c r="N1774" s="41" t="n"/>
      <c r="O1774" s="36" t="n"/>
      <c r="P1774" s="33">
        <f>IF(C1774="","",Commercial_Id)</f>
        <v/>
      </c>
      <c r="Q1774" s="39">
        <f>IF(F1774="","",IFERROR(VALUE(MID(F1774,LEN(F1774)-3,3)),""))</f>
        <v/>
      </c>
      <c r="R1774" s="33">
        <f>IF(Q1774="","",P1774&amp;"|"&amp;Q1774)</f>
        <v/>
      </c>
      <c r="S1774" s="33">
        <f>IF(Q1774="","",IF(P1774="À RENSEIGNER","GIC",P1774)&amp;"-"&amp;TEXT(Q1774,"000"))</f>
        <v/>
      </c>
      <c r="T1774" s="33">
        <f>IF(R1774="","",IFERROR(INDEX(Cl_nom,MATCH(R1774,Cl_cle,0)),"(client introuvable)"))</f>
        <v/>
      </c>
      <c r="U1774" s="33">
        <f>IF(R1774="","",IFERROR(INDEX(Cl_quartier,MATCH(R1774,Cl_cle,0))&amp;"",""))</f>
        <v/>
      </c>
      <c r="V1774" s="34">
        <f>IF(C1774="","",YEAR(C1774-WEEKDAY(C1774,2)+4)&amp;"-S"&amp;TEXT(INT((C1774-DATE(YEAR(C1774-WEEKDAY(C1774,2)+4),1,3)+WEEKDAY(DATE(YEAR(C1774-WEEKDAY(C1774,2)+4),1,3),2)+5)/7),"00"))</f>
        <v/>
      </c>
    </row>
    <row r="1775" ht="18" customHeight="1">
      <c r="A1775" s="39" t="n">
        <v>1770</v>
      </c>
      <c r="B1775" s="33">
        <f>IF(C1775="","",IF(P1775="À RENSEIGNER","GIC",P1775)&amp;"-V"&amp;TEXT(A1775,"00000"))</f>
        <v/>
      </c>
      <c r="C1775" s="32" t="n"/>
      <c r="D1775" s="35" t="n"/>
      <c r="E1775" s="36" t="n"/>
      <c r="F1775" s="36" t="n"/>
      <c r="G1775" s="36" t="n"/>
      <c r="H1775" s="36" t="n"/>
      <c r="I1775" s="36" t="n"/>
      <c r="J1775" s="37" t="n"/>
      <c r="K1775" s="32" t="n"/>
      <c r="L1775" s="36" t="n"/>
      <c r="M1775" s="41" t="n"/>
      <c r="N1775" s="41" t="n"/>
      <c r="O1775" s="36" t="n"/>
      <c r="P1775" s="33">
        <f>IF(C1775="","",Commercial_Id)</f>
        <v/>
      </c>
      <c r="Q1775" s="39">
        <f>IF(F1775="","",IFERROR(VALUE(MID(F1775,LEN(F1775)-3,3)),""))</f>
        <v/>
      </c>
      <c r="R1775" s="33">
        <f>IF(Q1775="","",P1775&amp;"|"&amp;Q1775)</f>
        <v/>
      </c>
      <c r="S1775" s="33">
        <f>IF(Q1775="","",IF(P1775="À RENSEIGNER","GIC",P1775)&amp;"-"&amp;TEXT(Q1775,"000"))</f>
        <v/>
      </c>
      <c r="T1775" s="33">
        <f>IF(R1775="","",IFERROR(INDEX(Cl_nom,MATCH(R1775,Cl_cle,0)),"(client introuvable)"))</f>
        <v/>
      </c>
      <c r="U1775" s="33">
        <f>IF(R1775="","",IFERROR(INDEX(Cl_quartier,MATCH(R1775,Cl_cle,0))&amp;"",""))</f>
        <v/>
      </c>
      <c r="V1775" s="34">
        <f>IF(C1775="","",YEAR(C1775-WEEKDAY(C1775,2)+4)&amp;"-S"&amp;TEXT(INT((C1775-DATE(YEAR(C1775-WEEKDAY(C1775,2)+4),1,3)+WEEKDAY(DATE(YEAR(C1775-WEEKDAY(C1775,2)+4),1,3),2)+5)/7),"00"))</f>
        <v/>
      </c>
    </row>
    <row r="1776" ht="18" customHeight="1">
      <c r="A1776" s="39" t="n">
        <v>1771</v>
      </c>
      <c r="B1776" s="33">
        <f>IF(C1776="","",IF(P1776="À RENSEIGNER","GIC",P1776)&amp;"-V"&amp;TEXT(A1776,"00000"))</f>
        <v/>
      </c>
      <c r="C1776" s="32" t="n"/>
      <c r="D1776" s="35" t="n"/>
      <c r="E1776" s="36" t="n"/>
      <c r="F1776" s="36" t="n"/>
      <c r="G1776" s="36" t="n"/>
      <c r="H1776" s="36" t="n"/>
      <c r="I1776" s="36" t="n"/>
      <c r="J1776" s="37" t="n"/>
      <c r="K1776" s="32" t="n"/>
      <c r="L1776" s="36" t="n"/>
      <c r="M1776" s="41" t="n"/>
      <c r="N1776" s="41" t="n"/>
      <c r="O1776" s="36" t="n"/>
      <c r="P1776" s="33">
        <f>IF(C1776="","",Commercial_Id)</f>
        <v/>
      </c>
      <c r="Q1776" s="39">
        <f>IF(F1776="","",IFERROR(VALUE(MID(F1776,LEN(F1776)-3,3)),""))</f>
        <v/>
      </c>
      <c r="R1776" s="33">
        <f>IF(Q1776="","",P1776&amp;"|"&amp;Q1776)</f>
        <v/>
      </c>
      <c r="S1776" s="33">
        <f>IF(Q1776="","",IF(P1776="À RENSEIGNER","GIC",P1776)&amp;"-"&amp;TEXT(Q1776,"000"))</f>
        <v/>
      </c>
      <c r="T1776" s="33">
        <f>IF(R1776="","",IFERROR(INDEX(Cl_nom,MATCH(R1776,Cl_cle,0)),"(client introuvable)"))</f>
        <v/>
      </c>
      <c r="U1776" s="33">
        <f>IF(R1776="","",IFERROR(INDEX(Cl_quartier,MATCH(R1776,Cl_cle,0))&amp;"",""))</f>
        <v/>
      </c>
      <c r="V1776" s="34">
        <f>IF(C1776="","",YEAR(C1776-WEEKDAY(C1776,2)+4)&amp;"-S"&amp;TEXT(INT((C1776-DATE(YEAR(C1776-WEEKDAY(C1776,2)+4),1,3)+WEEKDAY(DATE(YEAR(C1776-WEEKDAY(C1776,2)+4),1,3),2)+5)/7),"00"))</f>
        <v/>
      </c>
    </row>
    <row r="1777" ht="18" customHeight="1">
      <c r="A1777" s="39" t="n">
        <v>1772</v>
      </c>
      <c r="B1777" s="33">
        <f>IF(C1777="","",IF(P1777="À RENSEIGNER","GIC",P1777)&amp;"-V"&amp;TEXT(A1777,"00000"))</f>
        <v/>
      </c>
      <c r="C1777" s="32" t="n"/>
      <c r="D1777" s="35" t="n"/>
      <c r="E1777" s="36" t="n"/>
      <c r="F1777" s="36" t="n"/>
      <c r="G1777" s="36" t="n"/>
      <c r="H1777" s="36" t="n"/>
      <c r="I1777" s="36" t="n"/>
      <c r="J1777" s="37" t="n"/>
      <c r="K1777" s="32" t="n"/>
      <c r="L1777" s="36" t="n"/>
      <c r="M1777" s="41" t="n"/>
      <c r="N1777" s="41" t="n"/>
      <c r="O1777" s="36" t="n"/>
      <c r="P1777" s="33">
        <f>IF(C1777="","",Commercial_Id)</f>
        <v/>
      </c>
      <c r="Q1777" s="39">
        <f>IF(F1777="","",IFERROR(VALUE(MID(F1777,LEN(F1777)-3,3)),""))</f>
        <v/>
      </c>
      <c r="R1777" s="33">
        <f>IF(Q1777="","",P1777&amp;"|"&amp;Q1777)</f>
        <v/>
      </c>
      <c r="S1777" s="33">
        <f>IF(Q1777="","",IF(P1777="À RENSEIGNER","GIC",P1777)&amp;"-"&amp;TEXT(Q1777,"000"))</f>
        <v/>
      </c>
      <c r="T1777" s="33">
        <f>IF(R1777="","",IFERROR(INDEX(Cl_nom,MATCH(R1777,Cl_cle,0)),"(client introuvable)"))</f>
        <v/>
      </c>
      <c r="U1777" s="33">
        <f>IF(R1777="","",IFERROR(INDEX(Cl_quartier,MATCH(R1777,Cl_cle,0))&amp;"",""))</f>
        <v/>
      </c>
      <c r="V1777" s="34">
        <f>IF(C1777="","",YEAR(C1777-WEEKDAY(C1777,2)+4)&amp;"-S"&amp;TEXT(INT((C1777-DATE(YEAR(C1777-WEEKDAY(C1777,2)+4),1,3)+WEEKDAY(DATE(YEAR(C1777-WEEKDAY(C1777,2)+4),1,3),2)+5)/7),"00"))</f>
        <v/>
      </c>
    </row>
    <row r="1778" ht="18" customHeight="1">
      <c r="A1778" s="39" t="n">
        <v>1773</v>
      </c>
      <c r="B1778" s="33">
        <f>IF(C1778="","",IF(P1778="À RENSEIGNER","GIC",P1778)&amp;"-V"&amp;TEXT(A1778,"00000"))</f>
        <v/>
      </c>
      <c r="C1778" s="32" t="n"/>
      <c r="D1778" s="35" t="n"/>
      <c r="E1778" s="36" t="n"/>
      <c r="F1778" s="36" t="n"/>
      <c r="G1778" s="36" t="n"/>
      <c r="H1778" s="36" t="n"/>
      <c r="I1778" s="36" t="n"/>
      <c r="J1778" s="37" t="n"/>
      <c r="K1778" s="32" t="n"/>
      <c r="L1778" s="36" t="n"/>
      <c r="M1778" s="41" t="n"/>
      <c r="N1778" s="41" t="n"/>
      <c r="O1778" s="36" t="n"/>
      <c r="P1778" s="33">
        <f>IF(C1778="","",Commercial_Id)</f>
        <v/>
      </c>
      <c r="Q1778" s="39">
        <f>IF(F1778="","",IFERROR(VALUE(MID(F1778,LEN(F1778)-3,3)),""))</f>
        <v/>
      </c>
      <c r="R1778" s="33">
        <f>IF(Q1778="","",P1778&amp;"|"&amp;Q1778)</f>
        <v/>
      </c>
      <c r="S1778" s="33">
        <f>IF(Q1778="","",IF(P1778="À RENSEIGNER","GIC",P1778)&amp;"-"&amp;TEXT(Q1778,"000"))</f>
        <v/>
      </c>
      <c r="T1778" s="33">
        <f>IF(R1778="","",IFERROR(INDEX(Cl_nom,MATCH(R1778,Cl_cle,0)),"(client introuvable)"))</f>
        <v/>
      </c>
      <c r="U1778" s="33">
        <f>IF(R1778="","",IFERROR(INDEX(Cl_quartier,MATCH(R1778,Cl_cle,0))&amp;"",""))</f>
        <v/>
      </c>
      <c r="V1778" s="34">
        <f>IF(C1778="","",YEAR(C1778-WEEKDAY(C1778,2)+4)&amp;"-S"&amp;TEXT(INT((C1778-DATE(YEAR(C1778-WEEKDAY(C1778,2)+4),1,3)+WEEKDAY(DATE(YEAR(C1778-WEEKDAY(C1778,2)+4),1,3),2)+5)/7),"00"))</f>
        <v/>
      </c>
    </row>
    <row r="1779" ht="18" customHeight="1">
      <c r="A1779" s="39" t="n">
        <v>1774</v>
      </c>
      <c r="B1779" s="33">
        <f>IF(C1779="","",IF(P1779="À RENSEIGNER","GIC",P1779)&amp;"-V"&amp;TEXT(A1779,"00000"))</f>
        <v/>
      </c>
      <c r="C1779" s="32" t="n"/>
      <c r="D1779" s="35" t="n"/>
      <c r="E1779" s="36" t="n"/>
      <c r="F1779" s="36" t="n"/>
      <c r="G1779" s="36" t="n"/>
      <c r="H1779" s="36" t="n"/>
      <c r="I1779" s="36" t="n"/>
      <c r="J1779" s="37" t="n"/>
      <c r="K1779" s="32" t="n"/>
      <c r="L1779" s="36" t="n"/>
      <c r="M1779" s="41" t="n"/>
      <c r="N1779" s="41" t="n"/>
      <c r="O1779" s="36" t="n"/>
      <c r="P1779" s="33">
        <f>IF(C1779="","",Commercial_Id)</f>
        <v/>
      </c>
      <c r="Q1779" s="39">
        <f>IF(F1779="","",IFERROR(VALUE(MID(F1779,LEN(F1779)-3,3)),""))</f>
        <v/>
      </c>
      <c r="R1779" s="33">
        <f>IF(Q1779="","",P1779&amp;"|"&amp;Q1779)</f>
        <v/>
      </c>
      <c r="S1779" s="33">
        <f>IF(Q1779="","",IF(P1779="À RENSEIGNER","GIC",P1779)&amp;"-"&amp;TEXT(Q1779,"000"))</f>
        <v/>
      </c>
      <c r="T1779" s="33">
        <f>IF(R1779="","",IFERROR(INDEX(Cl_nom,MATCH(R1779,Cl_cle,0)),"(client introuvable)"))</f>
        <v/>
      </c>
      <c r="U1779" s="33">
        <f>IF(R1779="","",IFERROR(INDEX(Cl_quartier,MATCH(R1779,Cl_cle,0))&amp;"",""))</f>
        <v/>
      </c>
      <c r="V1779" s="34">
        <f>IF(C1779="","",YEAR(C1779-WEEKDAY(C1779,2)+4)&amp;"-S"&amp;TEXT(INT((C1779-DATE(YEAR(C1779-WEEKDAY(C1779,2)+4),1,3)+WEEKDAY(DATE(YEAR(C1779-WEEKDAY(C1779,2)+4),1,3),2)+5)/7),"00"))</f>
        <v/>
      </c>
    </row>
    <row r="1780" ht="18" customHeight="1">
      <c r="A1780" s="39" t="n">
        <v>1775</v>
      </c>
      <c r="B1780" s="33">
        <f>IF(C1780="","",IF(P1780="À RENSEIGNER","GIC",P1780)&amp;"-V"&amp;TEXT(A1780,"00000"))</f>
        <v/>
      </c>
      <c r="C1780" s="32" t="n"/>
      <c r="D1780" s="35" t="n"/>
      <c r="E1780" s="36" t="n"/>
      <c r="F1780" s="36" t="n"/>
      <c r="G1780" s="36" t="n"/>
      <c r="H1780" s="36" t="n"/>
      <c r="I1780" s="36" t="n"/>
      <c r="J1780" s="37" t="n"/>
      <c r="K1780" s="32" t="n"/>
      <c r="L1780" s="36" t="n"/>
      <c r="M1780" s="41" t="n"/>
      <c r="N1780" s="41" t="n"/>
      <c r="O1780" s="36" t="n"/>
      <c r="P1780" s="33">
        <f>IF(C1780="","",Commercial_Id)</f>
        <v/>
      </c>
      <c r="Q1780" s="39">
        <f>IF(F1780="","",IFERROR(VALUE(MID(F1780,LEN(F1780)-3,3)),""))</f>
        <v/>
      </c>
      <c r="R1780" s="33">
        <f>IF(Q1780="","",P1780&amp;"|"&amp;Q1780)</f>
        <v/>
      </c>
      <c r="S1780" s="33">
        <f>IF(Q1780="","",IF(P1780="À RENSEIGNER","GIC",P1780)&amp;"-"&amp;TEXT(Q1780,"000"))</f>
        <v/>
      </c>
      <c r="T1780" s="33">
        <f>IF(R1780="","",IFERROR(INDEX(Cl_nom,MATCH(R1780,Cl_cle,0)),"(client introuvable)"))</f>
        <v/>
      </c>
      <c r="U1780" s="33">
        <f>IF(R1780="","",IFERROR(INDEX(Cl_quartier,MATCH(R1780,Cl_cle,0))&amp;"",""))</f>
        <v/>
      </c>
      <c r="V1780" s="34">
        <f>IF(C1780="","",YEAR(C1780-WEEKDAY(C1780,2)+4)&amp;"-S"&amp;TEXT(INT((C1780-DATE(YEAR(C1780-WEEKDAY(C1780,2)+4),1,3)+WEEKDAY(DATE(YEAR(C1780-WEEKDAY(C1780,2)+4),1,3),2)+5)/7),"00"))</f>
        <v/>
      </c>
    </row>
    <row r="1781" ht="18" customHeight="1">
      <c r="A1781" s="39" t="n">
        <v>1776</v>
      </c>
      <c r="B1781" s="33">
        <f>IF(C1781="","",IF(P1781="À RENSEIGNER","GIC",P1781)&amp;"-V"&amp;TEXT(A1781,"00000"))</f>
        <v/>
      </c>
      <c r="C1781" s="32" t="n"/>
      <c r="D1781" s="35" t="n"/>
      <c r="E1781" s="36" t="n"/>
      <c r="F1781" s="36" t="n"/>
      <c r="G1781" s="36" t="n"/>
      <c r="H1781" s="36" t="n"/>
      <c r="I1781" s="36" t="n"/>
      <c r="J1781" s="37" t="n"/>
      <c r="K1781" s="32" t="n"/>
      <c r="L1781" s="36" t="n"/>
      <c r="M1781" s="41" t="n"/>
      <c r="N1781" s="41" t="n"/>
      <c r="O1781" s="36" t="n"/>
      <c r="P1781" s="33">
        <f>IF(C1781="","",Commercial_Id)</f>
        <v/>
      </c>
      <c r="Q1781" s="39">
        <f>IF(F1781="","",IFERROR(VALUE(MID(F1781,LEN(F1781)-3,3)),""))</f>
        <v/>
      </c>
      <c r="R1781" s="33">
        <f>IF(Q1781="","",P1781&amp;"|"&amp;Q1781)</f>
        <v/>
      </c>
      <c r="S1781" s="33">
        <f>IF(Q1781="","",IF(P1781="À RENSEIGNER","GIC",P1781)&amp;"-"&amp;TEXT(Q1781,"000"))</f>
        <v/>
      </c>
      <c r="T1781" s="33">
        <f>IF(R1781="","",IFERROR(INDEX(Cl_nom,MATCH(R1781,Cl_cle,0)),"(client introuvable)"))</f>
        <v/>
      </c>
      <c r="U1781" s="33">
        <f>IF(R1781="","",IFERROR(INDEX(Cl_quartier,MATCH(R1781,Cl_cle,0))&amp;"",""))</f>
        <v/>
      </c>
      <c r="V1781" s="34">
        <f>IF(C1781="","",YEAR(C1781-WEEKDAY(C1781,2)+4)&amp;"-S"&amp;TEXT(INT((C1781-DATE(YEAR(C1781-WEEKDAY(C1781,2)+4),1,3)+WEEKDAY(DATE(YEAR(C1781-WEEKDAY(C1781,2)+4),1,3),2)+5)/7),"00"))</f>
        <v/>
      </c>
    </row>
    <row r="1782" ht="18" customHeight="1">
      <c r="A1782" s="39" t="n">
        <v>1777</v>
      </c>
      <c r="B1782" s="33">
        <f>IF(C1782="","",IF(P1782="À RENSEIGNER","GIC",P1782)&amp;"-V"&amp;TEXT(A1782,"00000"))</f>
        <v/>
      </c>
      <c r="C1782" s="32" t="n"/>
      <c r="D1782" s="35" t="n"/>
      <c r="E1782" s="36" t="n"/>
      <c r="F1782" s="36" t="n"/>
      <c r="G1782" s="36" t="n"/>
      <c r="H1782" s="36" t="n"/>
      <c r="I1782" s="36" t="n"/>
      <c r="J1782" s="37" t="n"/>
      <c r="K1782" s="32" t="n"/>
      <c r="L1782" s="36" t="n"/>
      <c r="M1782" s="41" t="n"/>
      <c r="N1782" s="41" t="n"/>
      <c r="O1782" s="36" t="n"/>
      <c r="P1782" s="33">
        <f>IF(C1782="","",Commercial_Id)</f>
        <v/>
      </c>
      <c r="Q1782" s="39">
        <f>IF(F1782="","",IFERROR(VALUE(MID(F1782,LEN(F1782)-3,3)),""))</f>
        <v/>
      </c>
      <c r="R1782" s="33">
        <f>IF(Q1782="","",P1782&amp;"|"&amp;Q1782)</f>
        <v/>
      </c>
      <c r="S1782" s="33">
        <f>IF(Q1782="","",IF(P1782="À RENSEIGNER","GIC",P1782)&amp;"-"&amp;TEXT(Q1782,"000"))</f>
        <v/>
      </c>
      <c r="T1782" s="33">
        <f>IF(R1782="","",IFERROR(INDEX(Cl_nom,MATCH(R1782,Cl_cle,0)),"(client introuvable)"))</f>
        <v/>
      </c>
      <c r="U1782" s="33">
        <f>IF(R1782="","",IFERROR(INDEX(Cl_quartier,MATCH(R1782,Cl_cle,0))&amp;"",""))</f>
        <v/>
      </c>
      <c r="V1782" s="34">
        <f>IF(C1782="","",YEAR(C1782-WEEKDAY(C1782,2)+4)&amp;"-S"&amp;TEXT(INT((C1782-DATE(YEAR(C1782-WEEKDAY(C1782,2)+4),1,3)+WEEKDAY(DATE(YEAR(C1782-WEEKDAY(C1782,2)+4),1,3),2)+5)/7),"00"))</f>
        <v/>
      </c>
    </row>
    <row r="1783" ht="18" customHeight="1">
      <c r="A1783" s="39" t="n">
        <v>1778</v>
      </c>
      <c r="B1783" s="33">
        <f>IF(C1783="","",IF(P1783="À RENSEIGNER","GIC",P1783)&amp;"-V"&amp;TEXT(A1783,"00000"))</f>
        <v/>
      </c>
      <c r="C1783" s="32" t="n"/>
      <c r="D1783" s="35" t="n"/>
      <c r="E1783" s="36" t="n"/>
      <c r="F1783" s="36" t="n"/>
      <c r="G1783" s="36" t="n"/>
      <c r="H1783" s="36" t="n"/>
      <c r="I1783" s="36" t="n"/>
      <c r="J1783" s="37" t="n"/>
      <c r="K1783" s="32" t="n"/>
      <c r="L1783" s="36" t="n"/>
      <c r="M1783" s="41" t="n"/>
      <c r="N1783" s="41" t="n"/>
      <c r="O1783" s="36" t="n"/>
      <c r="P1783" s="33">
        <f>IF(C1783="","",Commercial_Id)</f>
        <v/>
      </c>
      <c r="Q1783" s="39">
        <f>IF(F1783="","",IFERROR(VALUE(MID(F1783,LEN(F1783)-3,3)),""))</f>
        <v/>
      </c>
      <c r="R1783" s="33">
        <f>IF(Q1783="","",P1783&amp;"|"&amp;Q1783)</f>
        <v/>
      </c>
      <c r="S1783" s="33">
        <f>IF(Q1783="","",IF(P1783="À RENSEIGNER","GIC",P1783)&amp;"-"&amp;TEXT(Q1783,"000"))</f>
        <v/>
      </c>
      <c r="T1783" s="33">
        <f>IF(R1783="","",IFERROR(INDEX(Cl_nom,MATCH(R1783,Cl_cle,0)),"(client introuvable)"))</f>
        <v/>
      </c>
      <c r="U1783" s="33">
        <f>IF(R1783="","",IFERROR(INDEX(Cl_quartier,MATCH(R1783,Cl_cle,0))&amp;"",""))</f>
        <v/>
      </c>
      <c r="V1783" s="34">
        <f>IF(C1783="","",YEAR(C1783-WEEKDAY(C1783,2)+4)&amp;"-S"&amp;TEXT(INT((C1783-DATE(YEAR(C1783-WEEKDAY(C1783,2)+4),1,3)+WEEKDAY(DATE(YEAR(C1783-WEEKDAY(C1783,2)+4),1,3),2)+5)/7),"00"))</f>
        <v/>
      </c>
    </row>
    <row r="1784" ht="18" customHeight="1">
      <c r="A1784" s="39" t="n">
        <v>1779</v>
      </c>
      <c r="B1784" s="33">
        <f>IF(C1784="","",IF(P1784="À RENSEIGNER","GIC",P1784)&amp;"-V"&amp;TEXT(A1784,"00000"))</f>
        <v/>
      </c>
      <c r="C1784" s="32" t="n"/>
      <c r="D1784" s="35" t="n"/>
      <c r="E1784" s="36" t="n"/>
      <c r="F1784" s="36" t="n"/>
      <c r="G1784" s="36" t="n"/>
      <c r="H1784" s="36" t="n"/>
      <c r="I1784" s="36" t="n"/>
      <c r="J1784" s="37" t="n"/>
      <c r="K1784" s="32" t="n"/>
      <c r="L1784" s="36" t="n"/>
      <c r="M1784" s="41" t="n"/>
      <c r="N1784" s="41" t="n"/>
      <c r="O1784" s="36" t="n"/>
      <c r="P1784" s="33">
        <f>IF(C1784="","",Commercial_Id)</f>
        <v/>
      </c>
      <c r="Q1784" s="39">
        <f>IF(F1784="","",IFERROR(VALUE(MID(F1784,LEN(F1784)-3,3)),""))</f>
        <v/>
      </c>
      <c r="R1784" s="33">
        <f>IF(Q1784="","",P1784&amp;"|"&amp;Q1784)</f>
        <v/>
      </c>
      <c r="S1784" s="33">
        <f>IF(Q1784="","",IF(P1784="À RENSEIGNER","GIC",P1784)&amp;"-"&amp;TEXT(Q1784,"000"))</f>
        <v/>
      </c>
      <c r="T1784" s="33">
        <f>IF(R1784="","",IFERROR(INDEX(Cl_nom,MATCH(R1784,Cl_cle,0)),"(client introuvable)"))</f>
        <v/>
      </c>
      <c r="U1784" s="33">
        <f>IF(R1784="","",IFERROR(INDEX(Cl_quartier,MATCH(R1784,Cl_cle,0))&amp;"",""))</f>
        <v/>
      </c>
      <c r="V1784" s="34">
        <f>IF(C1784="","",YEAR(C1784-WEEKDAY(C1784,2)+4)&amp;"-S"&amp;TEXT(INT((C1784-DATE(YEAR(C1784-WEEKDAY(C1784,2)+4),1,3)+WEEKDAY(DATE(YEAR(C1784-WEEKDAY(C1784,2)+4),1,3),2)+5)/7),"00"))</f>
        <v/>
      </c>
    </row>
    <row r="1785" ht="18" customHeight="1">
      <c r="A1785" s="39" t="n">
        <v>1780</v>
      </c>
      <c r="B1785" s="33">
        <f>IF(C1785="","",IF(P1785="À RENSEIGNER","GIC",P1785)&amp;"-V"&amp;TEXT(A1785,"00000"))</f>
        <v/>
      </c>
      <c r="C1785" s="32" t="n"/>
      <c r="D1785" s="35" t="n"/>
      <c r="E1785" s="36" t="n"/>
      <c r="F1785" s="36" t="n"/>
      <c r="G1785" s="36" t="n"/>
      <c r="H1785" s="36" t="n"/>
      <c r="I1785" s="36" t="n"/>
      <c r="J1785" s="37" t="n"/>
      <c r="K1785" s="32" t="n"/>
      <c r="L1785" s="36" t="n"/>
      <c r="M1785" s="41" t="n"/>
      <c r="N1785" s="41" t="n"/>
      <c r="O1785" s="36" t="n"/>
      <c r="P1785" s="33">
        <f>IF(C1785="","",Commercial_Id)</f>
        <v/>
      </c>
      <c r="Q1785" s="39">
        <f>IF(F1785="","",IFERROR(VALUE(MID(F1785,LEN(F1785)-3,3)),""))</f>
        <v/>
      </c>
      <c r="R1785" s="33">
        <f>IF(Q1785="","",P1785&amp;"|"&amp;Q1785)</f>
        <v/>
      </c>
      <c r="S1785" s="33">
        <f>IF(Q1785="","",IF(P1785="À RENSEIGNER","GIC",P1785)&amp;"-"&amp;TEXT(Q1785,"000"))</f>
        <v/>
      </c>
      <c r="T1785" s="33">
        <f>IF(R1785="","",IFERROR(INDEX(Cl_nom,MATCH(R1785,Cl_cle,0)),"(client introuvable)"))</f>
        <v/>
      </c>
      <c r="U1785" s="33">
        <f>IF(R1785="","",IFERROR(INDEX(Cl_quartier,MATCH(R1785,Cl_cle,0))&amp;"",""))</f>
        <v/>
      </c>
      <c r="V1785" s="34">
        <f>IF(C1785="","",YEAR(C1785-WEEKDAY(C1785,2)+4)&amp;"-S"&amp;TEXT(INT((C1785-DATE(YEAR(C1785-WEEKDAY(C1785,2)+4),1,3)+WEEKDAY(DATE(YEAR(C1785-WEEKDAY(C1785,2)+4),1,3),2)+5)/7),"00"))</f>
        <v/>
      </c>
    </row>
    <row r="1786" ht="18" customHeight="1">
      <c r="A1786" s="39" t="n">
        <v>1781</v>
      </c>
      <c r="B1786" s="33">
        <f>IF(C1786="","",IF(P1786="À RENSEIGNER","GIC",P1786)&amp;"-V"&amp;TEXT(A1786,"00000"))</f>
        <v/>
      </c>
      <c r="C1786" s="32" t="n"/>
      <c r="D1786" s="35" t="n"/>
      <c r="E1786" s="36" t="n"/>
      <c r="F1786" s="36" t="n"/>
      <c r="G1786" s="36" t="n"/>
      <c r="H1786" s="36" t="n"/>
      <c r="I1786" s="36" t="n"/>
      <c r="J1786" s="37" t="n"/>
      <c r="K1786" s="32" t="n"/>
      <c r="L1786" s="36" t="n"/>
      <c r="M1786" s="41" t="n"/>
      <c r="N1786" s="41" t="n"/>
      <c r="O1786" s="36" t="n"/>
      <c r="P1786" s="33">
        <f>IF(C1786="","",Commercial_Id)</f>
        <v/>
      </c>
      <c r="Q1786" s="39">
        <f>IF(F1786="","",IFERROR(VALUE(MID(F1786,LEN(F1786)-3,3)),""))</f>
        <v/>
      </c>
      <c r="R1786" s="33">
        <f>IF(Q1786="","",P1786&amp;"|"&amp;Q1786)</f>
        <v/>
      </c>
      <c r="S1786" s="33">
        <f>IF(Q1786="","",IF(P1786="À RENSEIGNER","GIC",P1786)&amp;"-"&amp;TEXT(Q1786,"000"))</f>
        <v/>
      </c>
      <c r="T1786" s="33">
        <f>IF(R1786="","",IFERROR(INDEX(Cl_nom,MATCH(R1786,Cl_cle,0)),"(client introuvable)"))</f>
        <v/>
      </c>
      <c r="U1786" s="33">
        <f>IF(R1786="","",IFERROR(INDEX(Cl_quartier,MATCH(R1786,Cl_cle,0))&amp;"",""))</f>
        <v/>
      </c>
      <c r="V1786" s="34">
        <f>IF(C1786="","",YEAR(C1786-WEEKDAY(C1786,2)+4)&amp;"-S"&amp;TEXT(INT((C1786-DATE(YEAR(C1786-WEEKDAY(C1786,2)+4),1,3)+WEEKDAY(DATE(YEAR(C1786-WEEKDAY(C1786,2)+4),1,3),2)+5)/7),"00"))</f>
        <v/>
      </c>
    </row>
    <row r="1787" ht="18" customHeight="1">
      <c r="A1787" s="39" t="n">
        <v>1782</v>
      </c>
      <c r="B1787" s="33">
        <f>IF(C1787="","",IF(P1787="À RENSEIGNER","GIC",P1787)&amp;"-V"&amp;TEXT(A1787,"00000"))</f>
        <v/>
      </c>
      <c r="C1787" s="32" t="n"/>
      <c r="D1787" s="35" t="n"/>
      <c r="E1787" s="36" t="n"/>
      <c r="F1787" s="36" t="n"/>
      <c r="G1787" s="36" t="n"/>
      <c r="H1787" s="36" t="n"/>
      <c r="I1787" s="36" t="n"/>
      <c r="J1787" s="37" t="n"/>
      <c r="K1787" s="32" t="n"/>
      <c r="L1787" s="36" t="n"/>
      <c r="M1787" s="41" t="n"/>
      <c r="N1787" s="41" t="n"/>
      <c r="O1787" s="36" t="n"/>
      <c r="P1787" s="33">
        <f>IF(C1787="","",Commercial_Id)</f>
        <v/>
      </c>
      <c r="Q1787" s="39">
        <f>IF(F1787="","",IFERROR(VALUE(MID(F1787,LEN(F1787)-3,3)),""))</f>
        <v/>
      </c>
      <c r="R1787" s="33">
        <f>IF(Q1787="","",P1787&amp;"|"&amp;Q1787)</f>
        <v/>
      </c>
      <c r="S1787" s="33">
        <f>IF(Q1787="","",IF(P1787="À RENSEIGNER","GIC",P1787)&amp;"-"&amp;TEXT(Q1787,"000"))</f>
        <v/>
      </c>
      <c r="T1787" s="33">
        <f>IF(R1787="","",IFERROR(INDEX(Cl_nom,MATCH(R1787,Cl_cle,0)),"(client introuvable)"))</f>
        <v/>
      </c>
      <c r="U1787" s="33">
        <f>IF(R1787="","",IFERROR(INDEX(Cl_quartier,MATCH(R1787,Cl_cle,0))&amp;"",""))</f>
        <v/>
      </c>
      <c r="V1787" s="34">
        <f>IF(C1787="","",YEAR(C1787-WEEKDAY(C1787,2)+4)&amp;"-S"&amp;TEXT(INT((C1787-DATE(YEAR(C1787-WEEKDAY(C1787,2)+4),1,3)+WEEKDAY(DATE(YEAR(C1787-WEEKDAY(C1787,2)+4),1,3),2)+5)/7),"00"))</f>
        <v/>
      </c>
    </row>
    <row r="1788" ht="18" customHeight="1">
      <c r="A1788" s="39" t="n">
        <v>1783</v>
      </c>
      <c r="B1788" s="33">
        <f>IF(C1788="","",IF(P1788="À RENSEIGNER","GIC",P1788)&amp;"-V"&amp;TEXT(A1788,"00000"))</f>
        <v/>
      </c>
      <c r="C1788" s="32" t="n"/>
      <c r="D1788" s="35" t="n"/>
      <c r="E1788" s="36" t="n"/>
      <c r="F1788" s="36" t="n"/>
      <c r="G1788" s="36" t="n"/>
      <c r="H1788" s="36" t="n"/>
      <c r="I1788" s="36" t="n"/>
      <c r="J1788" s="37" t="n"/>
      <c r="K1788" s="32" t="n"/>
      <c r="L1788" s="36" t="n"/>
      <c r="M1788" s="41" t="n"/>
      <c r="N1788" s="41" t="n"/>
      <c r="O1788" s="36" t="n"/>
      <c r="P1788" s="33">
        <f>IF(C1788="","",Commercial_Id)</f>
        <v/>
      </c>
      <c r="Q1788" s="39">
        <f>IF(F1788="","",IFERROR(VALUE(MID(F1788,LEN(F1788)-3,3)),""))</f>
        <v/>
      </c>
      <c r="R1788" s="33">
        <f>IF(Q1788="","",P1788&amp;"|"&amp;Q1788)</f>
        <v/>
      </c>
      <c r="S1788" s="33">
        <f>IF(Q1788="","",IF(P1788="À RENSEIGNER","GIC",P1788)&amp;"-"&amp;TEXT(Q1788,"000"))</f>
        <v/>
      </c>
      <c r="T1788" s="33">
        <f>IF(R1788="","",IFERROR(INDEX(Cl_nom,MATCH(R1788,Cl_cle,0)),"(client introuvable)"))</f>
        <v/>
      </c>
      <c r="U1788" s="33">
        <f>IF(R1788="","",IFERROR(INDEX(Cl_quartier,MATCH(R1788,Cl_cle,0))&amp;"",""))</f>
        <v/>
      </c>
      <c r="V1788" s="34">
        <f>IF(C1788="","",YEAR(C1788-WEEKDAY(C1788,2)+4)&amp;"-S"&amp;TEXT(INT((C1788-DATE(YEAR(C1788-WEEKDAY(C1788,2)+4),1,3)+WEEKDAY(DATE(YEAR(C1788-WEEKDAY(C1788,2)+4),1,3),2)+5)/7),"00"))</f>
        <v/>
      </c>
    </row>
    <row r="1789" ht="18" customHeight="1">
      <c r="A1789" s="39" t="n">
        <v>1784</v>
      </c>
      <c r="B1789" s="33">
        <f>IF(C1789="","",IF(P1789="À RENSEIGNER","GIC",P1789)&amp;"-V"&amp;TEXT(A1789,"00000"))</f>
        <v/>
      </c>
      <c r="C1789" s="32" t="n"/>
      <c r="D1789" s="35" t="n"/>
      <c r="E1789" s="36" t="n"/>
      <c r="F1789" s="36" t="n"/>
      <c r="G1789" s="36" t="n"/>
      <c r="H1789" s="36" t="n"/>
      <c r="I1789" s="36" t="n"/>
      <c r="J1789" s="37" t="n"/>
      <c r="K1789" s="32" t="n"/>
      <c r="L1789" s="36" t="n"/>
      <c r="M1789" s="41" t="n"/>
      <c r="N1789" s="41" t="n"/>
      <c r="O1789" s="36" t="n"/>
      <c r="P1789" s="33">
        <f>IF(C1789="","",Commercial_Id)</f>
        <v/>
      </c>
      <c r="Q1789" s="39">
        <f>IF(F1789="","",IFERROR(VALUE(MID(F1789,LEN(F1789)-3,3)),""))</f>
        <v/>
      </c>
      <c r="R1789" s="33">
        <f>IF(Q1789="","",P1789&amp;"|"&amp;Q1789)</f>
        <v/>
      </c>
      <c r="S1789" s="33">
        <f>IF(Q1789="","",IF(P1789="À RENSEIGNER","GIC",P1789)&amp;"-"&amp;TEXT(Q1789,"000"))</f>
        <v/>
      </c>
      <c r="T1789" s="33">
        <f>IF(R1789="","",IFERROR(INDEX(Cl_nom,MATCH(R1789,Cl_cle,0)),"(client introuvable)"))</f>
        <v/>
      </c>
      <c r="U1789" s="33">
        <f>IF(R1789="","",IFERROR(INDEX(Cl_quartier,MATCH(R1789,Cl_cle,0))&amp;"",""))</f>
        <v/>
      </c>
      <c r="V1789" s="34">
        <f>IF(C1789="","",YEAR(C1789-WEEKDAY(C1789,2)+4)&amp;"-S"&amp;TEXT(INT((C1789-DATE(YEAR(C1789-WEEKDAY(C1789,2)+4),1,3)+WEEKDAY(DATE(YEAR(C1789-WEEKDAY(C1789,2)+4),1,3),2)+5)/7),"00"))</f>
        <v/>
      </c>
    </row>
    <row r="1790" ht="18" customHeight="1">
      <c r="A1790" s="39" t="n">
        <v>1785</v>
      </c>
      <c r="B1790" s="33">
        <f>IF(C1790="","",IF(P1790="À RENSEIGNER","GIC",P1790)&amp;"-V"&amp;TEXT(A1790,"00000"))</f>
        <v/>
      </c>
      <c r="C1790" s="32" t="n"/>
      <c r="D1790" s="35" t="n"/>
      <c r="E1790" s="36" t="n"/>
      <c r="F1790" s="36" t="n"/>
      <c r="G1790" s="36" t="n"/>
      <c r="H1790" s="36" t="n"/>
      <c r="I1790" s="36" t="n"/>
      <c r="J1790" s="37" t="n"/>
      <c r="K1790" s="32" t="n"/>
      <c r="L1790" s="36" t="n"/>
      <c r="M1790" s="41" t="n"/>
      <c r="N1790" s="41" t="n"/>
      <c r="O1790" s="36" t="n"/>
      <c r="P1790" s="33">
        <f>IF(C1790="","",Commercial_Id)</f>
        <v/>
      </c>
      <c r="Q1790" s="39">
        <f>IF(F1790="","",IFERROR(VALUE(MID(F1790,LEN(F1790)-3,3)),""))</f>
        <v/>
      </c>
      <c r="R1790" s="33">
        <f>IF(Q1790="","",P1790&amp;"|"&amp;Q1790)</f>
        <v/>
      </c>
      <c r="S1790" s="33">
        <f>IF(Q1790="","",IF(P1790="À RENSEIGNER","GIC",P1790)&amp;"-"&amp;TEXT(Q1790,"000"))</f>
        <v/>
      </c>
      <c r="T1790" s="33">
        <f>IF(R1790="","",IFERROR(INDEX(Cl_nom,MATCH(R1790,Cl_cle,0)),"(client introuvable)"))</f>
        <v/>
      </c>
      <c r="U1790" s="33">
        <f>IF(R1790="","",IFERROR(INDEX(Cl_quartier,MATCH(R1790,Cl_cle,0))&amp;"",""))</f>
        <v/>
      </c>
      <c r="V1790" s="34">
        <f>IF(C1790="","",YEAR(C1790-WEEKDAY(C1790,2)+4)&amp;"-S"&amp;TEXT(INT((C1790-DATE(YEAR(C1790-WEEKDAY(C1790,2)+4),1,3)+WEEKDAY(DATE(YEAR(C1790-WEEKDAY(C1790,2)+4),1,3),2)+5)/7),"00"))</f>
        <v/>
      </c>
    </row>
    <row r="1791" ht="18" customHeight="1">
      <c r="A1791" s="39" t="n">
        <v>1786</v>
      </c>
      <c r="B1791" s="33">
        <f>IF(C1791="","",IF(P1791="À RENSEIGNER","GIC",P1791)&amp;"-V"&amp;TEXT(A1791,"00000"))</f>
        <v/>
      </c>
      <c r="C1791" s="32" t="n"/>
      <c r="D1791" s="35" t="n"/>
      <c r="E1791" s="36" t="n"/>
      <c r="F1791" s="36" t="n"/>
      <c r="G1791" s="36" t="n"/>
      <c r="H1791" s="36" t="n"/>
      <c r="I1791" s="36" t="n"/>
      <c r="J1791" s="37" t="n"/>
      <c r="K1791" s="32" t="n"/>
      <c r="L1791" s="36" t="n"/>
      <c r="M1791" s="41" t="n"/>
      <c r="N1791" s="41" t="n"/>
      <c r="O1791" s="36" t="n"/>
      <c r="P1791" s="33">
        <f>IF(C1791="","",Commercial_Id)</f>
        <v/>
      </c>
      <c r="Q1791" s="39">
        <f>IF(F1791="","",IFERROR(VALUE(MID(F1791,LEN(F1791)-3,3)),""))</f>
        <v/>
      </c>
      <c r="R1791" s="33">
        <f>IF(Q1791="","",P1791&amp;"|"&amp;Q1791)</f>
        <v/>
      </c>
      <c r="S1791" s="33">
        <f>IF(Q1791="","",IF(P1791="À RENSEIGNER","GIC",P1791)&amp;"-"&amp;TEXT(Q1791,"000"))</f>
        <v/>
      </c>
      <c r="T1791" s="33">
        <f>IF(R1791="","",IFERROR(INDEX(Cl_nom,MATCH(R1791,Cl_cle,0)),"(client introuvable)"))</f>
        <v/>
      </c>
      <c r="U1791" s="33">
        <f>IF(R1791="","",IFERROR(INDEX(Cl_quartier,MATCH(R1791,Cl_cle,0))&amp;"",""))</f>
        <v/>
      </c>
      <c r="V1791" s="34">
        <f>IF(C1791="","",YEAR(C1791-WEEKDAY(C1791,2)+4)&amp;"-S"&amp;TEXT(INT((C1791-DATE(YEAR(C1791-WEEKDAY(C1791,2)+4),1,3)+WEEKDAY(DATE(YEAR(C1791-WEEKDAY(C1791,2)+4),1,3),2)+5)/7),"00"))</f>
        <v/>
      </c>
    </row>
    <row r="1792" ht="18" customHeight="1">
      <c r="A1792" s="39" t="n">
        <v>1787</v>
      </c>
      <c r="B1792" s="33">
        <f>IF(C1792="","",IF(P1792="À RENSEIGNER","GIC",P1792)&amp;"-V"&amp;TEXT(A1792,"00000"))</f>
        <v/>
      </c>
      <c r="C1792" s="32" t="n"/>
      <c r="D1792" s="35" t="n"/>
      <c r="E1792" s="36" t="n"/>
      <c r="F1792" s="36" t="n"/>
      <c r="G1792" s="36" t="n"/>
      <c r="H1792" s="36" t="n"/>
      <c r="I1792" s="36" t="n"/>
      <c r="J1792" s="37" t="n"/>
      <c r="K1792" s="32" t="n"/>
      <c r="L1792" s="36" t="n"/>
      <c r="M1792" s="41" t="n"/>
      <c r="N1792" s="41" t="n"/>
      <c r="O1792" s="36" t="n"/>
      <c r="P1792" s="33">
        <f>IF(C1792="","",Commercial_Id)</f>
        <v/>
      </c>
      <c r="Q1792" s="39">
        <f>IF(F1792="","",IFERROR(VALUE(MID(F1792,LEN(F1792)-3,3)),""))</f>
        <v/>
      </c>
      <c r="R1792" s="33">
        <f>IF(Q1792="","",P1792&amp;"|"&amp;Q1792)</f>
        <v/>
      </c>
      <c r="S1792" s="33">
        <f>IF(Q1792="","",IF(P1792="À RENSEIGNER","GIC",P1792)&amp;"-"&amp;TEXT(Q1792,"000"))</f>
        <v/>
      </c>
      <c r="T1792" s="33">
        <f>IF(R1792="","",IFERROR(INDEX(Cl_nom,MATCH(R1792,Cl_cle,0)),"(client introuvable)"))</f>
        <v/>
      </c>
      <c r="U1792" s="33">
        <f>IF(R1792="","",IFERROR(INDEX(Cl_quartier,MATCH(R1792,Cl_cle,0))&amp;"",""))</f>
        <v/>
      </c>
      <c r="V1792" s="34">
        <f>IF(C1792="","",YEAR(C1792-WEEKDAY(C1792,2)+4)&amp;"-S"&amp;TEXT(INT((C1792-DATE(YEAR(C1792-WEEKDAY(C1792,2)+4),1,3)+WEEKDAY(DATE(YEAR(C1792-WEEKDAY(C1792,2)+4),1,3),2)+5)/7),"00"))</f>
        <v/>
      </c>
    </row>
    <row r="1793" ht="18" customHeight="1">
      <c r="A1793" s="39" t="n">
        <v>1788</v>
      </c>
      <c r="B1793" s="33">
        <f>IF(C1793="","",IF(P1793="À RENSEIGNER","GIC",P1793)&amp;"-V"&amp;TEXT(A1793,"00000"))</f>
        <v/>
      </c>
      <c r="C1793" s="32" t="n"/>
      <c r="D1793" s="35" t="n"/>
      <c r="E1793" s="36" t="n"/>
      <c r="F1793" s="36" t="n"/>
      <c r="G1793" s="36" t="n"/>
      <c r="H1793" s="36" t="n"/>
      <c r="I1793" s="36" t="n"/>
      <c r="J1793" s="37" t="n"/>
      <c r="K1793" s="32" t="n"/>
      <c r="L1793" s="36" t="n"/>
      <c r="M1793" s="41" t="n"/>
      <c r="N1793" s="41" t="n"/>
      <c r="O1793" s="36" t="n"/>
      <c r="P1793" s="33">
        <f>IF(C1793="","",Commercial_Id)</f>
        <v/>
      </c>
      <c r="Q1793" s="39">
        <f>IF(F1793="","",IFERROR(VALUE(MID(F1793,LEN(F1793)-3,3)),""))</f>
        <v/>
      </c>
      <c r="R1793" s="33">
        <f>IF(Q1793="","",P1793&amp;"|"&amp;Q1793)</f>
        <v/>
      </c>
      <c r="S1793" s="33">
        <f>IF(Q1793="","",IF(P1793="À RENSEIGNER","GIC",P1793)&amp;"-"&amp;TEXT(Q1793,"000"))</f>
        <v/>
      </c>
      <c r="T1793" s="33">
        <f>IF(R1793="","",IFERROR(INDEX(Cl_nom,MATCH(R1793,Cl_cle,0)),"(client introuvable)"))</f>
        <v/>
      </c>
      <c r="U1793" s="33">
        <f>IF(R1793="","",IFERROR(INDEX(Cl_quartier,MATCH(R1793,Cl_cle,0))&amp;"",""))</f>
        <v/>
      </c>
      <c r="V1793" s="34">
        <f>IF(C1793="","",YEAR(C1793-WEEKDAY(C1793,2)+4)&amp;"-S"&amp;TEXT(INT((C1793-DATE(YEAR(C1793-WEEKDAY(C1793,2)+4),1,3)+WEEKDAY(DATE(YEAR(C1793-WEEKDAY(C1793,2)+4),1,3),2)+5)/7),"00"))</f>
        <v/>
      </c>
    </row>
    <row r="1794" ht="18" customHeight="1">
      <c r="A1794" s="39" t="n">
        <v>1789</v>
      </c>
      <c r="B1794" s="33">
        <f>IF(C1794="","",IF(P1794="À RENSEIGNER","GIC",P1794)&amp;"-V"&amp;TEXT(A1794,"00000"))</f>
        <v/>
      </c>
      <c r="C1794" s="32" t="n"/>
      <c r="D1794" s="35" t="n"/>
      <c r="E1794" s="36" t="n"/>
      <c r="F1794" s="36" t="n"/>
      <c r="G1794" s="36" t="n"/>
      <c r="H1794" s="36" t="n"/>
      <c r="I1794" s="36" t="n"/>
      <c r="J1794" s="37" t="n"/>
      <c r="K1794" s="32" t="n"/>
      <c r="L1794" s="36" t="n"/>
      <c r="M1794" s="41" t="n"/>
      <c r="N1794" s="41" t="n"/>
      <c r="O1794" s="36" t="n"/>
      <c r="P1794" s="33">
        <f>IF(C1794="","",Commercial_Id)</f>
        <v/>
      </c>
      <c r="Q1794" s="39">
        <f>IF(F1794="","",IFERROR(VALUE(MID(F1794,LEN(F1794)-3,3)),""))</f>
        <v/>
      </c>
      <c r="R1794" s="33">
        <f>IF(Q1794="","",P1794&amp;"|"&amp;Q1794)</f>
        <v/>
      </c>
      <c r="S1794" s="33">
        <f>IF(Q1794="","",IF(P1794="À RENSEIGNER","GIC",P1794)&amp;"-"&amp;TEXT(Q1794,"000"))</f>
        <v/>
      </c>
      <c r="T1794" s="33">
        <f>IF(R1794="","",IFERROR(INDEX(Cl_nom,MATCH(R1794,Cl_cle,0)),"(client introuvable)"))</f>
        <v/>
      </c>
      <c r="U1794" s="33">
        <f>IF(R1794="","",IFERROR(INDEX(Cl_quartier,MATCH(R1794,Cl_cle,0))&amp;"",""))</f>
        <v/>
      </c>
      <c r="V1794" s="34">
        <f>IF(C1794="","",YEAR(C1794-WEEKDAY(C1794,2)+4)&amp;"-S"&amp;TEXT(INT((C1794-DATE(YEAR(C1794-WEEKDAY(C1794,2)+4),1,3)+WEEKDAY(DATE(YEAR(C1794-WEEKDAY(C1794,2)+4),1,3),2)+5)/7),"00"))</f>
        <v/>
      </c>
    </row>
    <row r="1795" ht="18" customHeight="1">
      <c r="A1795" s="39" t="n">
        <v>1790</v>
      </c>
      <c r="B1795" s="33">
        <f>IF(C1795="","",IF(P1795="À RENSEIGNER","GIC",P1795)&amp;"-V"&amp;TEXT(A1795,"00000"))</f>
        <v/>
      </c>
      <c r="C1795" s="32" t="n"/>
      <c r="D1795" s="35" t="n"/>
      <c r="E1795" s="36" t="n"/>
      <c r="F1795" s="36" t="n"/>
      <c r="G1795" s="36" t="n"/>
      <c r="H1795" s="36" t="n"/>
      <c r="I1795" s="36" t="n"/>
      <c r="J1795" s="37" t="n"/>
      <c r="K1795" s="32" t="n"/>
      <c r="L1795" s="36" t="n"/>
      <c r="M1795" s="41" t="n"/>
      <c r="N1795" s="41" t="n"/>
      <c r="O1795" s="36" t="n"/>
      <c r="P1795" s="33">
        <f>IF(C1795="","",Commercial_Id)</f>
        <v/>
      </c>
      <c r="Q1795" s="39">
        <f>IF(F1795="","",IFERROR(VALUE(MID(F1795,LEN(F1795)-3,3)),""))</f>
        <v/>
      </c>
      <c r="R1795" s="33">
        <f>IF(Q1795="","",P1795&amp;"|"&amp;Q1795)</f>
        <v/>
      </c>
      <c r="S1795" s="33">
        <f>IF(Q1795="","",IF(P1795="À RENSEIGNER","GIC",P1795)&amp;"-"&amp;TEXT(Q1795,"000"))</f>
        <v/>
      </c>
      <c r="T1795" s="33">
        <f>IF(R1795="","",IFERROR(INDEX(Cl_nom,MATCH(R1795,Cl_cle,0)),"(client introuvable)"))</f>
        <v/>
      </c>
      <c r="U1795" s="33">
        <f>IF(R1795="","",IFERROR(INDEX(Cl_quartier,MATCH(R1795,Cl_cle,0))&amp;"",""))</f>
        <v/>
      </c>
      <c r="V1795" s="34">
        <f>IF(C1795="","",YEAR(C1795-WEEKDAY(C1795,2)+4)&amp;"-S"&amp;TEXT(INT((C1795-DATE(YEAR(C1795-WEEKDAY(C1795,2)+4),1,3)+WEEKDAY(DATE(YEAR(C1795-WEEKDAY(C1795,2)+4),1,3),2)+5)/7),"00"))</f>
        <v/>
      </c>
    </row>
    <row r="1796" ht="18" customHeight="1">
      <c r="A1796" s="39" t="n">
        <v>1791</v>
      </c>
      <c r="B1796" s="33">
        <f>IF(C1796="","",IF(P1796="À RENSEIGNER","GIC",P1796)&amp;"-V"&amp;TEXT(A1796,"00000"))</f>
        <v/>
      </c>
      <c r="C1796" s="32" t="n"/>
      <c r="D1796" s="35" t="n"/>
      <c r="E1796" s="36" t="n"/>
      <c r="F1796" s="36" t="n"/>
      <c r="G1796" s="36" t="n"/>
      <c r="H1796" s="36" t="n"/>
      <c r="I1796" s="36" t="n"/>
      <c r="J1796" s="37" t="n"/>
      <c r="K1796" s="32" t="n"/>
      <c r="L1796" s="36" t="n"/>
      <c r="M1796" s="41" t="n"/>
      <c r="N1796" s="41" t="n"/>
      <c r="O1796" s="36" t="n"/>
      <c r="P1796" s="33">
        <f>IF(C1796="","",Commercial_Id)</f>
        <v/>
      </c>
      <c r="Q1796" s="39">
        <f>IF(F1796="","",IFERROR(VALUE(MID(F1796,LEN(F1796)-3,3)),""))</f>
        <v/>
      </c>
      <c r="R1796" s="33">
        <f>IF(Q1796="","",P1796&amp;"|"&amp;Q1796)</f>
        <v/>
      </c>
      <c r="S1796" s="33">
        <f>IF(Q1796="","",IF(P1796="À RENSEIGNER","GIC",P1796)&amp;"-"&amp;TEXT(Q1796,"000"))</f>
        <v/>
      </c>
      <c r="T1796" s="33">
        <f>IF(R1796="","",IFERROR(INDEX(Cl_nom,MATCH(R1796,Cl_cle,0)),"(client introuvable)"))</f>
        <v/>
      </c>
      <c r="U1796" s="33">
        <f>IF(R1796="","",IFERROR(INDEX(Cl_quartier,MATCH(R1796,Cl_cle,0))&amp;"",""))</f>
        <v/>
      </c>
      <c r="V1796" s="34">
        <f>IF(C1796="","",YEAR(C1796-WEEKDAY(C1796,2)+4)&amp;"-S"&amp;TEXT(INT((C1796-DATE(YEAR(C1796-WEEKDAY(C1796,2)+4),1,3)+WEEKDAY(DATE(YEAR(C1796-WEEKDAY(C1796,2)+4),1,3),2)+5)/7),"00"))</f>
        <v/>
      </c>
    </row>
    <row r="1797" ht="18" customHeight="1">
      <c r="A1797" s="39" t="n">
        <v>1792</v>
      </c>
      <c r="B1797" s="33">
        <f>IF(C1797="","",IF(P1797="À RENSEIGNER","GIC",P1797)&amp;"-V"&amp;TEXT(A1797,"00000"))</f>
        <v/>
      </c>
      <c r="C1797" s="32" t="n"/>
      <c r="D1797" s="35" t="n"/>
      <c r="E1797" s="36" t="n"/>
      <c r="F1797" s="36" t="n"/>
      <c r="G1797" s="36" t="n"/>
      <c r="H1797" s="36" t="n"/>
      <c r="I1797" s="36" t="n"/>
      <c r="J1797" s="37" t="n"/>
      <c r="K1797" s="32" t="n"/>
      <c r="L1797" s="36" t="n"/>
      <c r="M1797" s="41" t="n"/>
      <c r="N1797" s="41" t="n"/>
      <c r="O1797" s="36" t="n"/>
      <c r="P1797" s="33">
        <f>IF(C1797="","",Commercial_Id)</f>
        <v/>
      </c>
      <c r="Q1797" s="39">
        <f>IF(F1797="","",IFERROR(VALUE(MID(F1797,LEN(F1797)-3,3)),""))</f>
        <v/>
      </c>
      <c r="R1797" s="33">
        <f>IF(Q1797="","",P1797&amp;"|"&amp;Q1797)</f>
        <v/>
      </c>
      <c r="S1797" s="33">
        <f>IF(Q1797="","",IF(P1797="À RENSEIGNER","GIC",P1797)&amp;"-"&amp;TEXT(Q1797,"000"))</f>
        <v/>
      </c>
      <c r="T1797" s="33">
        <f>IF(R1797="","",IFERROR(INDEX(Cl_nom,MATCH(R1797,Cl_cle,0)),"(client introuvable)"))</f>
        <v/>
      </c>
      <c r="U1797" s="33">
        <f>IF(R1797="","",IFERROR(INDEX(Cl_quartier,MATCH(R1797,Cl_cle,0))&amp;"",""))</f>
        <v/>
      </c>
      <c r="V1797" s="34">
        <f>IF(C1797="","",YEAR(C1797-WEEKDAY(C1797,2)+4)&amp;"-S"&amp;TEXT(INT((C1797-DATE(YEAR(C1797-WEEKDAY(C1797,2)+4),1,3)+WEEKDAY(DATE(YEAR(C1797-WEEKDAY(C1797,2)+4),1,3),2)+5)/7),"00"))</f>
        <v/>
      </c>
    </row>
    <row r="1798" ht="18" customHeight="1">
      <c r="A1798" s="39" t="n">
        <v>1793</v>
      </c>
      <c r="B1798" s="33">
        <f>IF(C1798="","",IF(P1798="À RENSEIGNER","GIC",P1798)&amp;"-V"&amp;TEXT(A1798,"00000"))</f>
        <v/>
      </c>
      <c r="C1798" s="32" t="n"/>
      <c r="D1798" s="35" t="n"/>
      <c r="E1798" s="36" t="n"/>
      <c r="F1798" s="36" t="n"/>
      <c r="G1798" s="36" t="n"/>
      <c r="H1798" s="36" t="n"/>
      <c r="I1798" s="36" t="n"/>
      <c r="J1798" s="37" t="n"/>
      <c r="K1798" s="32" t="n"/>
      <c r="L1798" s="36" t="n"/>
      <c r="M1798" s="41" t="n"/>
      <c r="N1798" s="41" t="n"/>
      <c r="O1798" s="36" t="n"/>
      <c r="P1798" s="33">
        <f>IF(C1798="","",Commercial_Id)</f>
        <v/>
      </c>
      <c r="Q1798" s="39">
        <f>IF(F1798="","",IFERROR(VALUE(MID(F1798,LEN(F1798)-3,3)),""))</f>
        <v/>
      </c>
      <c r="R1798" s="33">
        <f>IF(Q1798="","",P1798&amp;"|"&amp;Q1798)</f>
        <v/>
      </c>
      <c r="S1798" s="33">
        <f>IF(Q1798="","",IF(P1798="À RENSEIGNER","GIC",P1798)&amp;"-"&amp;TEXT(Q1798,"000"))</f>
        <v/>
      </c>
      <c r="T1798" s="33">
        <f>IF(R1798="","",IFERROR(INDEX(Cl_nom,MATCH(R1798,Cl_cle,0)),"(client introuvable)"))</f>
        <v/>
      </c>
      <c r="U1798" s="33">
        <f>IF(R1798="","",IFERROR(INDEX(Cl_quartier,MATCH(R1798,Cl_cle,0))&amp;"",""))</f>
        <v/>
      </c>
      <c r="V1798" s="34">
        <f>IF(C1798="","",YEAR(C1798-WEEKDAY(C1798,2)+4)&amp;"-S"&amp;TEXT(INT((C1798-DATE(YEAR(C1798-WEEKDAY(C1798,2)+4),1,3)+WEEKDAY(DATE(YEAR(C1798-WEEKDAY(C1798,2)+4),1,3),2)+5)/7),"00"))</f>
        <v/>
      </c>
    </row>
    <row r="1799" ht="18" customHeight="1">
      <c r="A1799" s="39" t="n">
        <v>1794</v>
      </c>
      <c r="B1799" s="33">
        <f>IF(C1799="","",IF(P1799="À RENSEIGNER","GIC",P1799)&amp;"-V"&amp;TEXT(A1799,"00000"))</f>
        <v/>
      </c>
      <c r="C1799" s="32" t="n"/>
      <c r="D1799" s="35" t="n"/>
      <c r="E1799" s="36" t="n"/>
      <c r="F1799" s="36" t="n"/>
      <c r="G1799" s="36" t="n"/>
      <c r="H1799" s="36" t="n"/>
      <c r="I1799" s="36" t="n"/>
      <c r="J1799" s="37" t="n"/>
      <c r="K1799" s="32" t="n"/>
      <c r="L1799" s="36" t="n"/>
      <c r="M1799" s="41" t="n"/>
      <c r="N1799" s="41" t="n"/>
      <c r="O1799" s="36" t="n"/>
      <c r="P1799" s="33">
        <f>IF(C1799="","",Commercial_Id)</f>
        <v/>
      </c>
      <c r="Q1799" s="39">
        <f>IF(F1799="","",IFERROR(VALUE(MID(F1799,LEN(F1799)-3,3)),""))</f>
        <v/>
      </c>
      <c r="R1799" s="33">
        <f>IF(Q1799="","",P1799&amp;"|"&amp;Q1799)</f>
        <v/>
      </c>
      <c r="S1799" s="33">
        <f>IF(Q1799="","",IF(P1799="À RENSEIGNER","GIC",P1799)&amp;"-"&amp;TEXT(Q1799,"000"))</f>
        <v/>
      </c>
      <c r="T1799" s="33">
        <f>IF(R1799="","",IFERROR(INDEX(Cl_nom,MATCH(R1799,Cl_cle,0)),"(client introuvable)"))</f>
        <v/>
      </c>
      <c r="U1799" s="33">
        <f>IF(R1799="","",IFERROR(INDEX(Cl_quartier,MATCH(R1799,Cl_cle,0))&amp;"",""))</f>
        <v/>
      </c>
      <c r="V1799" s="34">
        <f>IF(C1799="","",YEAR(C1799-WEEKDAY(C1799,2)+4)&amp;"-S"&amp;TEXT(INT((C1799-DATE(YEAR(C1799-WEEKDAY(C1799,2)+4),1,3)+WEEKDAY(DATE(YEAR(C1799-WEEKDAY(C1799,2)+4),1,3),2)+5)/7),"00"))</f>
        <v/>
      </c>
    </row>
    <row r="1800" ht="18" customHeight="1">
      <c r="A1800" s="39" t="n">
        <v>1795</v>
      </c>
      <c r="B1800" s="33">
        <f>IF(C1800="","",IF(P1800="À RENSEIGNER","GIC",P1800)&amp;"-V"&amp;TEXT(A1800,"00000"))</f>
        <v/>
      </c>
      <c r="C1800" s="32" t="n"/>
      <c r="D1800" s="35" t="n"/>
      <c r="E1800" s="36" t="n"/>
      <c r="F1800" s="36" t="n"/>
      <c r="G1800" s="36" t="n"/>
      <c r="H1800" s="36" t="n"/>
      <c r="I1800" s="36" t="n"/>
      <c r="J1800" s="37" t="n"/>
      <c r="K1800" s="32" t="n"/>
      <c r="L1800" s="36" t="n"/>
      <c r="M1800" s="41" t="n"/>
      <c r="N1800" s="41" t="n"/>
      <c r="O1800" s="36" t="n"/>
      <c r="P1800" s="33">
        <f>IF(C1800="","",Commercial_Id)</f>
        <v/>
      </c>
      <c r="Q1800" s="39">
        <f>IF(F1800="","",IFERROR(VALUE(MID(F1800,LEN(F1800)-3,3)),""))</f>
        <v/>
      </c>
      <c r="R1800" s="33">
        <f>IF(Q1800="","",P1800&amp;"|"&amp;Q1800)</f>
        <v/>
      </c>
      <c r="S1800" s="33">
        <f>IF(Q1800="","",IF(P1800="À RENSEIGNER","GIC",P1800)&amp;"-"&amp;TEXT(Q1800,"000"))</f>
        <v/>
      </c>
      <c r="T1800" s="33">
        <f>IF(R1800="","",IFERROR(INDEX(Cl_nom,MATCH(R1800,Cl_cle,0)),"(client introuvable)"))</f>
        <v/>
      </c>
      <c r="U1800" s="33">
        <f>IF(R1800="","",IFERROR(INDEX(Cl_quartier,MATCH(R1800,Cl_cle,0))&amp;"",""))</f>
        <v/>
      </c>
      <c r="V1800" s="34">
        <f>IF(C1800="","",YEAR(C1800-WEEKDAY(C1800,2)+4)&amp;"-S"&amp;TEXT(INT((C1800-DATE(YEAR(C1800-WEEKDAY(C1800,2)+4),1,3)+WEEKDAY(DATE(YEAR(C1800-WEEKDAY(C1800,2)+4),1,3),2)+5)/7),"00"))</f>
        <v/>
      </c>
    </row>
    <row r="1801" ht="18" customHeight="1">
      <c r="A1801" s="39" t="n">
        <v>1796</v>
      </c>
      <c r="B1801" s="33">
        <f>IF(C1801="","",IF(P1801="À RENSEIGNER","GIC",P1801)&amp;"-V"&amp;TEXT(A1801,"00000"))</f>
        <v/>
      </c>
      <c r="C1801" s="32" t="n"/>
      <c r="D1801" s="35" t="n"/>
      <c r="E1801" s="36" t="n"/>
      <c r="F1801" s="36" t="n"/>
      <c r="G1801" s="36" t="n"/>
      <c r="H1801" s="36" t="n"/>
      <c r="I1801" s="36" t="n"/>
      <c r="J1801" s="37" t="n"/>
      <c r="K1801" s="32" t="n"/>
      <c r="L1801" s="36" t="n"/>
      <c r="M1801" s="41" t="n"/>
      <c r="N1801" s="41" t="n"/>
      <c r="O1801" s="36" t="n"/>
      <c r="P1801" s="33">
        <f>IF(C1801="","",Commercial_Id)</f>
        <v/>
      </c>
      <c r="Q1801" s="39">
        <f>IF(F1801="","",IFERROR(VALUE(MID(F1801,LEN(F1801)-3,3)),""))</f>
        <v/>
      </c>
      <c r="R1801" s="33">
        <f>IF(Q1801="","",P1801&amp;"|"&amp;Q1801)</f>
        <v/>
      </c>
      <c r="S1801" s="33">
        <f>IF(Q1801="","",IF(P1801="À RENSEIGNER","GIC",P1801)&amp;"-"&amp;TEXT(Q1801,"000"))</f>
        <v/>
      </c>
      <c r="T1801" s="33">
        <f>IF(R1801="","",IFERROR(INDEX(Cl_nom,MATCH(R1801,Cl_cle,0)),"(client introuvable)"))</f>
        <v/>
      </c>
      <c r="U1801" s="33">
        <f>IF(R1801="","",IFERROR(INDEX(Cl_quartier,MATCH(R1801,Cl_cle,0))&amp;"",""))</f>
        <v/>
      </c>
      <c r="V1801" s="34">
        <f>IF(C1801="","",YEAR(C1801-WEEKDAY(C1801,2)+4)&amp;"-S"&amp;TEXT(INT((C1801-DATE(YEAR(C1801-WEEKDAY(C1801,2)+4),1,3)+WEEKDAY(DATE(YEAR(C1801-WEEKDAY(C1801,2)+4),1,3),2)+5)/7),"00"))</f>
        <v/>
      </c>
    </row>
    <row r="1802" ht="18" customHeight="1">
      <c r="A1802" s="39" t="n">
        <v>1797</v>
      </c>
      <c r="B1802" s="33">
        <f>IF(C1802="","",IF(P1802="À RENSEIGNER","GIC",P1802)&amp;"-V"&amp;TEXT(A1802,"00000"))</f>
        <v/>
      </c>
      <c r="C1802" s="32" t="n"/>
      <c r="D1802" s="35" t="n"/>
      <c r="E1802" s="36" t="n"/>
      <c r="F1802" s="36" t="n"/>
      <c r="G1802" s="36" t="n"/>
      <c r="H1802" s="36" t="n"/>
      <c r="I1802" s="36" t="n"/>
      <c r="J1802" s="37" t="n"/>
      <c r="K1802" s="32" t="n"/>
      <c r="L1802" s="36" t="n"/>
      <c r="M1802" s="41" t="n"/>
      <c r="N1802" s="41" t="n"/>
      <c r="O1802" s="36" t="n"/>
      <c r="P1802" s="33">
        <f>IF(C1802="","",Commercial_Id)</f>
        <v/>
      </c>
      <c r="Q1802" s="39">
        <f>IF(F1802="","",IFERROR(VALUE(MID(F1802,LEN(F1802)-3,3)),""))</f>
        <v/>
      </c>
      <c r="R1802" s="33">
        <f>IF(Q1802="","",P1802&amp;"|"&amp;Q1802)</f>
        <v/>
      </c>
      <c r="S1802" s="33">
        <f>IF(Q1802="","",IF(P1802="À RENSEIGNER","GIC",P1802)&amp;"-"&amp;TEXT(Q1802,"000"))</f>
        <v/>
      </c>
      <c r="T1802" s="33">
        <f>IF(R1802="","",IFERROR(INDEX(Cl_nom,MATCH(R1802,Cl_cle,0)),"(client introuvable)"))</f>
        <v/>
      </c>
      <c r="U1802" s="33">
        <f>IF(R1802="","",IFERROR(INDEX(Cl_quartier,MATCH(R1802,Cl_cle,0))&amp;"",""))</f>
        <v/>
      </c>
      <c r="V1802" s="34">
        <f>IF(C1802="","",YEAR(C1802-WEEKDAY(C1802,2)+4)&amp;"-S"&amp;TEXT(INT((C1802-DATE(YEAR(C1802-WEEKDAY(C1802,2)+4),1,3)+WEEKDAY(DATE(YEAR(C1802-WEEKDAY(C1802,2)+4),1,3),2)+5)/7),"00"))</f>
        <v/>
      </c>
    </row>
    <row r="1803" ht="18" customHeight="1">
      <c r="A1803" s="39" t="n">
        <v>1798</v>
      </c>
      <c r="B1803" s="33">
        <f>IF(C1803="","",IF(P1803="À RENSEIGNER","GIC",P1803)&amp;"-V"&amp;TEXT(A1803,"00000"))</f>
        <v/>
      </c>
      <c r="C1803" s="32" t="n"/>
      <c r="D1803" s="35" t="n"/>
      <c r="E1803" s="36" t="n"/>
      <c r="F1803" s="36" t="n"/>
      <c r="G1803" s="36" t="n"/>
      <c r="H1803" s="36" t="n"/>
      <c r="I1803" s="36" t="n"/>
      <c r="J1803" s="37" t="n"/>
      <c r="K1803" s="32" t="n"/>
      <c r="L1803" s="36" t="n"/>
      <c r="M1803" s="41" t="n"/>
      <c r="N1803" s="41" t="n"/>
      <c r="O1803" s="36" t="n"/>
      <c r="P1803" s="33">
        <f>IF(C1803="","",Commercial_Id)</f>
        <v/>
      </c>
      <c r="Q1803" s="39">
        <f>IF(F1803="","",IFERROR(VALUE(MID(F1803,LEN(F1803)-3,3)),""))</f>
        <v/>
      </c>
      <c r="R1803" s="33">
        <f>IF(Q1803="","",P1803&amp;"|"&amp;Q1803)</f>
        <v/>
      </c>
      <c r="S1803" s="33">
        <f>IF(Q1803="","",IF(P1803="À RENSEIGNER","GIC",P1803)&amp;"-"&amp;TEXT(Q1803,"000"))</f>
        <v/>
      </c>
      <c r="T1803" s="33">
        <f>IF(R1803="","",IFERROR(INDEX(Cl_nom,MATCH(R1803,Cl_cle,0)),"(client introuvable)"))</f>
        <v/>
      </c>
      <c r="U1803" s="33">
        <f>IF(R1803="","",IFERROR(INDEX(Cl_quartier,MATCH(R1803,Cl_cle,0))&amp;"",""))</f>
        <v/>
      </c>
      <c r="V1803" s="34">
        <f>IF(C1803="","",YEAR(C1803-WEEKDAY(C1803,2)+4)&amp;"-S"&amp;TEXT(INT((C1803-DATE(YEAR(C1803-WEEKDAY(C1803,2)+4),1,3)+WEEKDAY(DATE(YEAR(C1803-WEEKDAY(C1803,2)+4),1,3),2)+5)/7),"00"))</f>
        <v/>
      </c>
    </row>
    <row r="1804" ht="18" customHeight="1">
      <c r="A1804" s="39" t="n">
        <v>1799</v>
      </c>
      <c r="B1804" s="33">
        <f>IF(C1804="","",IF(P1804="À RENSEIGNER","GIC",P1804)&amp;"-V"&amp;TEXT(A1804,"00000"))</f>
        <v/>
      </c>
      <c r="C1804" s="32" t="n"/>
      <c r="D1804" s="35" t="n"/>
      <c r="E1804" s="36" t="n"/>
      <c r="F1804" s="36" t="n"/>
      <c r="G1804" s="36" t="n"/>
      <c r="H1804" s="36" t="n"/>
      <c r="I1804" s="36" t="n"/>
      <c r="J1804" s="37" t="n"/>
      <c r="K1804" s="32" t="n"/>
      <c r="L1804" s="36" t="n"/>
      <c r="M1804" s="41" t="n"/>
      <c r="N1804" s="41" t="n"/>
      <c r="O1804" s="36" t="n"/>
      <c r="P1804" s="33">
        <f>IF(C1804="","",Commercial_Id)</f>
        <v/>
      </c>
      <c r="Q1804" s="39">
        <f>IF(F1804="","",IFERROR(VALUE(MID(F1804,LEN(F1804)-3,3)),""))</f>
        <v/>
      </c>
      <c r="R1804" s="33">
        <f>IF(Q1804="","",P1804&amp;"|"&amp;Q1804)</f>
        <v/>
      </c>
      <c r="S1804" s="33">
        <f>IF(Q1804="","",IF(P1804="À RENSEIGNER","GIC",P1804)&amp;"-"&amp;TEXT(Q1804,"000"))</f>
        <v/>
      </c>
      <c r="T1804" s="33">
        <f>IF(R1804="","",IFERROR(INDEX(Cl_nom,MATCH(R1804,Cl_cle,0)),"(client introuvable)"))</f>
        <v/>
      </c>
      <c r="U1804" s="33">
        <f>IF(R1804="","",IFERROR(INDEX(Cl_quartier,MATCH(R1804,Cl_cle,0))&amp;"",""))</f>
        <v/>
      </c>
      <c r="V1804" s="34">
        <f>IF(C1804="","",YEAR(C1804-WEEKDAY(C1804,2)+4)&amp;"-S"&amp;TEXT(INT((C1804-DATE(YEAR(C1804-WEEKDAY(C1804,2)+4),1,3)+WEEKDAY(DATE(YEAR(C1804-WEEKDAY(C1804,2)+4),1,3),2)+5)/7),"00"))</f>
        <v/>
      </c>
    </row>
    <row r="1805" ht="18" customHeight="1">
      <c r="A1805" s="39" t="n">
        <v>1800</v>
      </c>
      <c r="B1805" s="33">
        <f>IF(C1805="","",IF(P1805="À RENSEIGNER","GIC",P1805)&amp;"-V"&amp;TEXT(A1805,"00000"))</f>
        <v/>
      </c>
      <c r="C1805" s="32" t="n"/>
      <c r="D1805" s="35" t="n"/>
      <c r="E1805" s="36" t="n"/>
      <c r="F1805" s="36" t="n"/>
      <c r="G1805" s="36" t="n"/>
      <c r="H1805" s="36" t="n"/>
      <c r="I1805" s="36" t="n"/>
      <c r="J1805" s="37" t="n"/>
      <c r="K1805" s="32" t="n"/>
      <c r="L1805" s="36" t="n"/>
      <c r="M1805" s="41" t="n"/>
      <c r="N1805" s="41" t="n"/>
      <c r="O1805" s="36" t="n"/>
      <c r="P1805" s="33">
        <f>IF(C1805="","",Commercial_Id)</f>
        <v/>
      </c>
      <c r="Q1805" s="39">
        <f>IF(F1805="","",IFERROR(VALUE(MID(F1805,LEN(F1805)-3,3)),""))</f>
        <v/>
      </c>
      <c r="R1805" s="33">
        <f>IF(Q1805="","",P1805&amp;"|"&amp;Q1805)</f>
        <v/>
      </c>
      <c r="S1805" s="33">
        <f>IF(Q1805="","",IF(P1805="À RENSEIGNER","GIC",P1805)&amp;"-"&amp;TEXT(Q1805,"000"))</f>
        <v/>
      </c>
      <c r="T1805" s="33">
        <f>IF(R1805="","",IFERROR(INDEX(Cl_nom,MATCH(R1805,Cl_cle,0)),"(client introuvable)"))</f>
        <v/>
      </c>
      <c r="U1805" s="33">
        <f>IF(R1805="","",IFERROR(INDEX(Cl_quartier,MATCH(R1805,Cl_cle,0))&amp;"",""))</f>
        <v/>
      </c>
      <c r="V1805" s="34">
        <f>IF(C1805="","",YEAR(C1805-WEEKDAY(C1805,2)+4)&amp;"-S"&amp;TEXT(INT((C1805-DATE(YEAR(C1805-WEEKDAY(C1805,2)+4),1,3)+WEEKDAY(DATE(YEAR(C1805-WEEKDAY(C1805,2)+4),1,3),2)+5)/7),"00"))</f>
        <v/>
      </c>
    </row>
    <row r="1806" ht="18" customHeight="1">
      <c r="A1806" s="39" t="n">
        <v>1801</v>
      </c>
      <c r="B1806" s="33">
        <f>IF(C1806="","",IF(P1806="À RENSEIGNER","GIC",P1806)&amp;"-V"&amp;TEXT(A1806,"00000"))</f>
        <v/>
      </c>
      <c r="C1806" s="32" t="n"/>
      <c r="D1806" s="35" t="n"/>
      <c r="E1806" s="36" t="n"/>
      <c r="F1806" s="36" t="n"/>
      <c r="G1806" s="36" t="n"/>
      <c r="H1806" s="36" t="n"/>
      <c r="I1806" s="36" t="n"/>
      <c r="J1806" s="37" t="n"/>
      <c r="K1806" s="32" t="n"/>
      <c r="L1806" s="36" t="n"/>
      <c r="M1806" s="41" t="n"/>
      <c r="N1806" s="41" t="n"/>
      <c r="O1806" s="36" t="n"/>
      <c r="P1806" s="33">
        <f>IF(C1806="","",Commercial_Id)</f>
        <v/>
      </c>
      <c r="Q1806" s="39">
        <f>IF(F1806="","",IFERROR(VALUE(MID(F1806,LEN(F1806)-3,3)),""))</f>
        <v/>
      </c>
      <c r="R1806" s="33">
        <f>IF(Q1806="","",P1806&amp;"|"&amp;Q1806)</f>
        <v/>
      </c>
      <c r="S1806" s="33">
        <f>IF(Q1806="","",IF(P1806="À RENSEIGNER","GIC",P1806)&amp;"-"&amp;TEXT(Q1806,"000"))</f>
        <v/>
      </c>
      <c r="T1806" s="33">
        <f>IF(R1806="","",IFERROR(INDEX(Cl_nom,MATCH(R1806,Cl_cle,0)),"(client introuvable)"))</f>
        <v/>
      </c>
      <c r="U1806" s="33">
        <f>IF(R1806="","",IFERROR(INDEX(Cl_quartier,MATCH(R1806,Cl_cle,0))&amp;"",""))</f>
        <v/>
      </c>
      <c r="V1806" s="34">
        <f>IF(C1806="","",YEAR(C1806-WEEKDAY(C1806,2)+4)&amp;"-S"&amp;TEXT(INT((C1806-DATE(YEAR(C1806-WEEKDAY(C1806,2)+4),1,3)+WEEKDAY(DATE(YEAR(C1806-WEEKDAY(C1806,2)+4),1,3),2)+5)/7),"00"))</f>
        <v/>
      </c>
    </row>
    <row r="1807" ht="18" customHeight="1">
      <c r="A1807" s="39" t="n">
        <v>1802</v>
      </c>
      <c r="B1807" s="33">
        <f>IF(C1807="","",IF(P1807="À RENSEIGNER","GIC",P1807)&amp;"-V"&amp;TEXT(A1807,"00000"))</f>
        <v/>
      </c>
      <c r="C1807" s="32" t="n"/>
      <c r="D1807" s="35" t="n"/>
      <c r="E1807" s="36" t="n"/>
      <c r="F1807" s="36" t="n"/>
      <c r="G1807" s="36" t="n"/>
      <c r="H1807" s="36" t="n"/>
      <c r="I1807" s="36" t="n"/>
      <c r="J1807" s="37" t="n"/>
      <c r="K1807" s="32" t="n"/>
      <c r="L1807" s="36" t="n"/>
      <c r="M1807" s="41" t="n"/>
      <c r="N1807" s="41" t="n"/>
      <c r="O1807" s="36" t="n"/>
      <c r="P1807" s="33">
        <f>IF(C1807="","",Commercial_Id)</f>
        <v/>
      </c>
      <c r="Q1807" s="39">
        <f>IF(F1807="","",IFERROR(VALUE(MID(F1807,LEN(F1807)-3,3)),""))</f>
        <v/>
      </c>
      <c r="R1807" s="33">
        <f>IF(Q1807="","",P1807&amp;"|"&amp;Q1807)</f>
        <v/>
      </c>
      <c r="S1807" s="33">
        <f>IF(Q1807="","",IF(P1807="À RENSEIGNER","GIC",P1807)&amp;"-"&amp;TEXT(Q1807,"000"))</f>
        <v/>
      </c>
      <c r="T1807" s="33">
        <f>IF(R1807="","",IFERROR(INDEX(Cl_nom,MATCH(R1807,Cl_cle,0)),"(client introuvable)"))</f>
        <v/>
      </c>
      <c r="U1807" s="33">
        <f>IF(R1807="","",IFERROR(INDEX(Cl_quartier,MATCH(R1807,Cl_cle,0))&amp;"",""))</f>
        <v/>
      </c>
      <c r="V1807" s="34">
        <f>IF(C1807="","",YEAR(C1807-WEEKDAY(C1807,2)+4)&amp;"-S"&amp;TEXT(INT((C1807-DATE(YEAR(C1807-WEEKDAY(C1807,2)+4),1,3)+WEEKDAY(DATE(YEAR(C1807-WEEKDAY(C1807,2)+4),1,3),2)+5)/7),"00"))</f>
        <v/>
      </c>
    </row>
    <row r="1808" ht="18" customHeight="1">
      <c r="A1808" s="39" t="n">
        <v>1803</v>
      </c>
      <c r="B1808" s="33">
        <f>IF(C1808="","",IF(P1808="À RENSEIGNER","GIC",P1808)&amp;"-V"&amp;TEXT(A1808,"00000"))</f>
        <v/>
      </c>
      <c r="C1808" s="32" t="n"/>
      <c r="D1808" s="35" t="n"/>
      <c r="E1808" s="36" t="n"/>
      <c r="F1808" s="36" t="n"/>
      <c r="G1808" s="36" t="n"/>
      <c r="H1808" s="36" t="n"/>
      <c r="I1808" s="36" t="n"/>
      <c r="J1808" s="37" t="n"/>
      <c r="K1808" s="32" t="n"/>
      <c r="L1808" s="36" t="n"/>
      <c r="M1808" s="41" t="n"/>
      <c r="N1808" s="41" t="n"/>
      <c r="O1808" s="36" t="n"/>
      <c r="P1808" s="33">
        <f>IF(C1808="","",Commercial_Id)</f>
        <v/>
      </c>
      <c r="Q1808" s="39">
        <f>IF(F1808="","",IFERROR(VALUE(MID(F1808,LEN(F1808)-3,3)),""))</f>
        <v/>
      </c>
      <c r="R1808" s="33">
        <f>IF(Q1808="","",P1808&amp;"|"&amp;Q1808)</f>
        <v/>
      </c>
      <c r="S1808" s="33">
        <f>IF(Q1808="","",IF(P1808="À RENSEIGNER","GIC",P1808)&amp;"-"&amp;TEXT(Q1808,"000"))</f>
        <v/>
      </c>
      <c r="T1808" s="33">
        <f>IF(R1808="","",IFERROR(INDEX(Cl_nom,MATCH(R1808,Cl_cle,0)),"(client introuvable)"))</f>
        <v/>
      </c>
      <c r="U1808" s="33">
        <f>IF(R1808="","",IFERROR(INDEX(Cl_quartier,MATCH(R1808,Cl_cle,0))&amp;"",""))</f>
        <v/>
      </c>
      <c r="V1808" s="34">
        <f>IF(C1808="","",YEAR(C1808-WEEKDAY(C1808,2)+4)&amp;"-S"&amp;TEXT(INT((C1808-DATE(YEAR(C1808-WEEKDAY(C1808,2)+4),1,3)+WEEKDAY(DATE(YEAR(C1808-WEEKDAY(C1808,2)+4),1,3),2)+5)/7),"00"))</f>
        <v/>
      </c>
    </row>
    <row r="1809" ht="18" customHeight="1">
      <c r="A1809" s="39" t="n">
        <v>1804</v>
      </c>
      <c r="B1809" s="33">
        <f>IF(C1809="","",IF(P1809="À RENSEIGNER","GIC",P1809)&amp;"-V"&amp;TEXT(A1809,"00000"))</f>
        <v/>
      </c>
      <c r="C1809" s="32" t="n"/>
      <c r="D1809" s="35" t="n"/>
      <c r="E1809" s="36" t="n"/>
      <c r="F1809" s="36" t="n"/>
      <c r="G1809" s="36" t="n"/>
      <c r="H1809" s="36" t="n"/>
      <c r="I1809" s="36" t="n"/>
      <c r="J1809" s="37" t="n"/>
      <c r="K1809" s="32" t="n"/>
      <c r="L1809" s="36" t="n"/>
      <c r="M1809" s="41" t="n"/>
      <c r="N1809" s="41" t="n"/>
      <c r="O1809" s="36" t="n"/>
      <c r="P1809" s="33">
        <f>IF(C1809="","",Commercial_Id)</f>
        <v/>
      </c>
      <c r="Q1809" s="39">
        <f>IF(F1809="","",IFERROR(VALUE(MID(F1809,LEN(F1809)-3,3)),""))</f>
        <v/>
      </c>
      <c r="R1809" s="33">
        <f>IF(Q1809="","",P1809&amp;"|"&amp;Q1809)</f>
        <v/>
      </c>
      <c r="S1809" s="33">
        <f>IF(Q1809="","",IF(P1809="À RENSEIGNER","GIC",P1809)&amp;"-"&amp;TEXT(Q1809,"000"))</f>
        <v/>
      </c>
      <c r="T1809" s="33">
        <f>IF(R1809="","",IFERROR(INDEX(Cl_nom,MATCH(R1809,Cl_cle,0)),"(client introuvable)"))</f>
        <v/>
      </c>
      <c r="U1809" s="33">
        <f>IF(R1809="","",IFERROR(INDEX(Cl_quartier,MATCH(R1809,Cl_cle,0))&amp;"",""))</f>
        <v/>
      </c>
      <c r="V1809" s="34">
        <f>IF(C1809="","",YEAR(C1809-WEEKDAY(C1809,2)+4)&amp;"-S"&amp;TEXT(INT((C1809-DATE(YEAR(C1809-WEEKDAY(C1809,2)+4),1,3)+WEEKDAY(DATE(YEAR(C1809-WEEKDAY(C1809,2)+4),1,3),2)+5)/7),"00"))</f>
        <v/>
      </c>
    </row>
    <row r="1810" ht="18" customHeight="1">
      <c r="A1810" s="39" t="n">
        <v>1805</v>
      </c>
      <c r="B1810" s="33">
        <f>IF(C1810="","",IF(P1810="À RENSEIGNER","GIC",P1810)&amp;"-V"&amp;TEXT(A1810,"00000"))</f>
        <v/>
      </c>
      <c r="C1810" s="32" t="n"/>
      <c r="D1810" s="35" t="n"/>
      <c r="E1810" s="36" t="n"/>
      <c r="F1810" s="36" t="n"/>
      <c r="G1810" s="36" t="n"/>
      <c r="H1810" s="36" t="n"/>
      <c r="I1810" s="36" t="n"/>
      <c r="J1810" s="37" t="n"/>
      <c r="K1810" s="32" t="n"/>
      <c r="L1810" s="36" t="n"/>
      <c r="M1810" s="41" t="n"/>
      <c r="N1810" s="41" t="n"/>
      <c r="O1810" s="36" t="n"/>
      <c r="P1810" s="33">
        <f>IF(C1810="","",Commercial_Id)</f>
        <v/>
      </c>
      <c r="Q1810" s="39">
        <f>IF(F1810="","",IFERROR(VALUE(MID(F1810,LEN(F1810)-3,3)),""))</f>
        <v/>
      </c>
      <c r="R1810" s="33">
        <f>IF(Q1810="","",P1810&amp;"|"&amp;Q1810)</f>
        <v/>
      </c>
      <c r="S1810" s="33">
        <f>IF(Q1810="","",IF(P1810="À RENSEIGNER","GIC",P1810)&amp;"-"&amp;TEXT(Q1810,"000"))</f>
        <v/>
      </c>
      <c r="T1810" s="33">
        <f>IF(R1810="","",IFERROR(INDEX(Cl_nom,MATCH(R1810,Cl_cle,0)),"(client introuvable)"))</f>
        <v/>
      </c>
      <c r="U1810" s="33">
        <f>IF(R1810="","",IFERROR(INDEX(Cl_quartier,MATCH(R1810,Cl_cle,0))&amp;"",""))</f>
        <v/>
      </c>
      <c r="V1810" s="34">
        <f>IF(C1810="","",YEAR(C1810-WEEKDAY(C1810,2)+4)&amp;"-S"&amp;TEXT(INT((C1810-DATE(YEAR(C1810-WEEKDAY(C1810,2)+4),1,3)+WEEKDAY(DATE(YEAR(C1810-WEEKDAY(C1810,2)+4),1,3),2)+5)/7),"00"))</f>
        <v/>
      </c>
    </row>
    <row r="1811" ht="18" customHeight="1">
      <c r="A1811" s="39" t="n">
        <v>1806</v>
      </c>
      <c r="B1811" s="33">
        <f>IF(C1811="","",IF(P1811="À RENSEIGNER","GIC",P1811)&amp;"-V"&amp;TEXT(A1811,"00000"))</f>
        <v/>
      </c>
      <c r="C1811" s="32" t="n"/>
      <c r="D1811" s="35" t="n"/>
      <c r="E1811" s="36" t="n"/>
      <c r="F1811" s="36" t="n"/>
      <c r="G1811" s="36" t="n"/>
      <c r="H1811" s="36" t="n"/>
      <c r="I1811" s="36" t="n"/>
      <c r="J1811" s="37" t="n"/>
      <c r="K1811" s="32" t="n"/>
      <c r="L1811" s="36" t="n"/>
      <c r="M1811" s="41" t="n"/>
      <c r="N1811" s="41" t="n"/>
      <c r="O1811" s="36" t="n"/>
      <c r="P1811" s="33">
        <f>IF(C1811="","",Commercial_Id)</f>
        <v/>
      </c>
      <c r="Q1811" s="39">
        <f>IF(F1811="","",IFERROR(VALUE(MID(F1811,LEN(F1811)-3,3)),""))</f>
        <v/>
      </c>
      <c r="R1811" s="33">
        <f>IF(Q1811="","",P1811&amp;"|"&amp;Q1811)</f>
        <v/>
      </c>
      <c r="S1811" s="33">
        <f>IF(Q1811="","",IF(P1811="À RENSEIGNER","GIC",P1811)&amp;"-"&amp;TEXT(Q1811,"000"))</f>
        <v/>
      </c>
      <c r="T1811" s="33">
        <f>IF(R1811="","",IFERROR(INDEX(Cl_nom,MATCH(R1811,Cl_cle,0)),"(client introuvable)"))</f>
        <v/>
      </c>
      <c r="U1811" s="33">
        <f>IF(R1811="","",IFERROR(INDEX(Cl_quartier,MATCH(R1811,Cl_cle,0))&amp;"",""))</f>
        <v/>
      </c>
      <c r="V1811" s="34">
        <f>IF(C1811="","",YEAR(C1811-WEEKDAY(C1811,2)+4)&amp;"-S"&amp;TEXT(INT((C1811-DATE(YEAR(C1811-WEEKDAY(C1811,2)+4),1,3)+WEEKDAY(DATE(YEAR(C1811-WEEKDAY(C1811,2)+4),1,3),2)+5)/7),"00"))</f>
        <v/>
      </c>
    </row>
    <row r="1812" ht="18" customHeight="1">
      <c r="A1812" s="39" t="n">
        <v>1807</v>
      </c>
      <c r="B1812" s="33">
        <f>IF(C1812="","",IF(P1812="À RENSEIGNER","GIC",P1812)&amp;"-V"&amp;TEXT(A1812,"00000"))</f>
        <v/>
      </c>
      <c r="C1812" s="32" t="n"/>
      <c r="D1812" s="35" t="n"/>
      <c r="E1812" s="36" t="n"/>
      <c r="F1812" s="36" t="n"/>
      <c r="G1812" s="36" t="n"/>
      <c r="H1812" s="36" t="n"/>
      <c r="I1812" s="36" t="n"/>
      <c r="J1812" s="37" t="n"/>
      <c r="K1812" s="32" t="n"/>
      <c r="L1812" s="36" t="n"/>
      <c r="M1812" s="41" t="n"/>
      <c r="N1812" s="41" t="n"/>
      <c r="O1812" s="36" t="n"/>
      <c r="P1812" s="33">
        <f>IF(C1812="","",Commercial_Id)</f>
        <v/>
      </c>
      <c r="Q1812" s="39">
        <f>IF(F1812="","",IFERROR(VALUE(MID(F1812,LEN(F1812)-3,3)),""))</f>
        <v/>
      </c>
      <c r="R1812" s="33">
        <f>IF(Q1812="","",P1812&amp;"|"&amp;Q1812)</f>
        <v/>
      </c>
      <c r="S1812" s="33">
        <f>IF(Q1812="","",IF(P1812="À RENSEIGNER","GIC",P1812)&amp;"-"&amp;TEXT(Q1812,"000"))</f>
        <v/>
      </c>
      <c r="T1812" s="33">
        <f>IF(R1812="","",IFERROR(INDEX(Cl_nom,MATCH(R1812,Cl_cle,0)),"(client introuvable)"))</f>
        <v/>
      </c>
      <c r="U1812" s="33">
        <f>IF(R1812="","",IFERROR(INDEX(Cl_quartier,MATCH(R1812,Cl_cle,0))&amp;"",""))</f>
        <v/>
      </c>
      <c r="V1812" s="34">
        <f>IF(C1812="","",YEAR(C1812-WEEKDAY(C1812,2)+4)&amp;"-S"&amp;TEXT(INT((C1812-DATE(YEAR(C1812-WEEKDAY(C1812,2)+4),1,3)+WEEKDAY(DATE(YEAR(C1812-WEEKDAY(C1812,2)+4),1,3),2)+5)/7),"00"))</f>
        <v/>
      </c>
    </row>
    <row r="1813" ht="18" customHeight="1">
      <c r="A1813" s="39" t="n">
        <v>1808</v>
      </c>
      <c r="B1813" s="33">
        <f>IF(C1813="","",IF(P1813="À RENSEIGNER","GIC",P1813)&amp;"-V"&amp;TEXT(A1813,"00000"))</f>
        <v/>
      </c>
      <c r="C1813" s="32" t="n"/>
      <c r="D1813" s="35" t="n"/>
      <c r="E1813" s="36" t="n"/>
      <c r="F1813" s="36" t="n"/>
      <c r="G1813" s="36" t="n"/>
      <c r="H1813" s="36" t="n"/>
      <c r="I1813" s="36" t="n"/>
      <c r="J1813" s="37" t="n"/>
      <c r="K1813" s="32" t="n"/>
      <c r="L1813" s="36" t="n"/>
      <c r="M1813" s="41" t="n"/>
      <c r="N1813" s="41" t="n"/>
      <c r="O1813" s="36" t="n"/>
      <c r="P1813" s="33">
        <f>IF(C1813="","",Commercial_Id)</f>
        <v/>
      </c>
      <c r="Q1813" s="39">
        <f>IF(F1813="","",IFERROR(VALUE(MID(F1813,LEN(F1813)-3,3)),""))</f>
        <v/>
      </c>
      <c r="R1813" s="33">
        <f>IF(Q1813="","",P1813&amp;"|"&amp;Q1813)</f>
        <v/>
      </c>
      <c r="S1813" s="33">
        <f>IF(Q1813="","",IF(P1813="À RENSEIGNER","GIC",P1813)&amp;"-"&amp;TEXT(Q1813,"000"))</f>
        <v/>
      </c>
      <c r="T1813" s="33">
        <f>IF(R1813="","",IFERROR(INDEX(Cl_nom,MATCH(R1813,Cl_cle,0)),"(client introuvable)"))</f>
        <v/>
      </c>
      <c r="U1813" s="33">
        <f>IF(R1813="","",IFERROR(INDEX(Cl_quartier,MATCH(R1813,Cl_cle,0))&amp;"",""))</f>
        <v/>
      </c>
      <c r="V1813" s="34">
        <f>IF(C1813="","",YEAR(C1813-WEEKDAY(C1813,2)+4)&amp;"-S"&amp;TEXT(INT((C1813-DATE(YEAR(C1813-WEEKDAY(C1813,2)+4),1,3)+WEEKDAY(DATE(YEAR(C1813-WEEKDAY(C1813,2)+4),1,3),2)+5)/7),"00"))</f>
        <v/>
      </c>
    </row>
    <row r="1814" ht="18" customHeight="1">
      <c r="A1814" s="39" t="n">
        <v>1809</v>
      </c>
      <c r="B1814" s="33">
        <f>IF(C1814="","",IF(P1814="À RENSEIGNER","GIC",P1814)&amp;"-V"&amp;TEXT(A1814,"00000"))</f>
        <v/>
      </c>
      <c r="C1814" s="32" t="n"/>
      <c r="D1814" s="35" t="n"/>
      <c r="E1814" s="36" t="n"/>
      <c r="F1814" s="36" t="n"/>
      <c r="G1814" s="36" t="n"/>
      <c r="H1814" s="36" t="n"/>
      <c r="I1814" s="36" t="n"/>
      <c r="J1814" s="37" t="n"/>
      <c r="K1814" s="32" t="n"/>
      <c r="L1814" s="36" t="n"/>
      <c r="M1814" s="41" t="n"/>
      <c r="N1814" s="41" t="n"/>
      <c r="O1814" s="36" t="n"/>
      <c r="P1814" s="33">
        <f>IF(C1814="","",Commercial_Id)</f>
        <v/>
      </c>
      <c r="Q1814" s="39">
        <f>IF(F1814="","",IFERROR(VALUE(MID(F1814,LEN(F1814)-3,3)),""))</f>
        <v/>
      </c>
      <c r="R1814" s="33">
        <f>IF(Q1814="","",P1814&amp;"|"&amp;Q1814)</f>
        <v/>
      </c>
      <c r="S1814" s="33">
        <f>IF(Q1814="","",IF(P1814="À RENSEIGNER","GIC",P1814)&amp;"-"&amp;TEXT(Q1814,"000"))</f>
        <v/>
      </c>
      <c r="T1814" s="33">
        <f>IF(R1814="","",IFERROR(INDEX(Cl_nom,MATCH(R1814,Cl_cle,0)),"(client introuvable)"))</f>
        <v/>
      </c>
      <c r="U1814" s="33">
        <f>IF(R1814="","",IFERROR(INDEX(Cl_quartier,MATCH(R1814,Cl_cle,0))&amp;"",""))</f>
        <v/>
      </c>
      <c r="V1814" s="34">
        <f>IF(C1814="","",YEAR(C1814-WEEKDAY(C1814,2)+4)&amp;"-S"&amp;TEXT(INT((C1814-DATE(YEAR(C1814-WEEKDAY(C1814,2)+4),1,3)+WEEKDAY(DATE(YEAR(C1814-WEEKDAY(C1814,2)+4),1,3),2)+5)/7),"00"))</f>
        <v/>
      </c>
    </row>
    <row r="1815" ht="18" customHeight="1">
      <c r="A1815" s="39" t="n">
        <v>1810</v>
      </c>
      <c r="B1815" s="33">
        <f>IF(C1815="","",IF(P1815="À RENSEIGNER","GIC",P1815)&amp;"-V"&amp;TEXT(A1815,"00000"))</f>
        <v/>
      </c>
      <c r="C1815" s="32" t="n"/>
      <c r="D1815" s="35" t="n"/>
      <c r="E1815" s="36" t="n"/>
      <c r="F1815" s="36" t="n"/>
      <c r="G1815" s="36" t="n"/>
      <c r="H1815" s="36" t="n"/>
      <c r="I1815" s="36" t="n"/>
      <c r="J1815" s="37" t="n"/>
      <c r="K1815" s="32" t="n"/>
      <c r="L1815" s="36" t="n"/>
      <c r="M1815" s="41" t="n"/>
      <c r="N1815" s="41" t="n"/>
      <c r="O1815" s="36" t="n"/>
      <c r="P1815" s="33">
        <f>IF(C1815="","",Commercial_Id)</f>
        <v/>
      </c>
      <c r="Q1815" s="39">
        <f>IF(F1815="","",IFERROR(VALUE(MID(F1815,LEN(F1815)-3,3)),""))</f>
        <v/>
      </c>
      <c r="R1815" s="33">
        <f>IF(Q1815="","",P1815&amp;"|"&amp;Q1815)</f>
        <v/>
      </c>
      <c r="S1815" s="33">
        <f>IF(Q1815="","",IF(P1815="À RENSEIGNER","GIC",P1815)&amp;"-"&amp;TEXT(Q1815,"000"))</f>
        <v/>
      </c>
      <c r="T1815" s="33">
        <f>IF(R1815="","",IFERROR(INDEX(Cl_nom,MATCH(R1815,Cl_cle,0)),"(client introuvable)"))</f>
        <v/>
      </c>
      <c r="U1815" s="33">
        <f>IF(R1815="","",IFERROR(INDEX(Cl_quartier,MATCH(R1815,Cl_cle,0))&amp;"",""))</f>
        <v/>
      </c>
      <c r="V1815" s="34">
        <f>IF(C1815="","",YEAR(C1815-WEEKDAY(C1815,2)+4)&amp;"-S"&amp;TEXT(INT((C1815-DATE(YEAR(C1815-WEEKDAY(C1815,2)+4),1,3)+WEEKDAY(DATE(YEAR(C1815-WEEKDAY(C1815,2)+4),1,3),2)+5)/7),"00"))</f>
        <v/>
      </c>
    </row>
    <row r="1816" ht="18" customHeight="1">
      <c r="A1816" s="39" t="n">
        <v>1811</v>
      </c>
      <c r="B1816" s="33">
        <f>IF(C1816="","",IF(P1816="À RENSEIGNER","GIC",P1816)&amp;"-V"&amp;TEXT(A1816,"00000"))</f>
        <v/>
      </c>
      <c r="C1816" s="32" t="n"/>
      <c r="D1816" s="35" t="n"/>
      <c r="E1816" s="36" t="n"/>
      <c r="F1816" s="36" t="n"/>
      <c r="G1816" s="36" t="n"/>
      <c r="H1816" s="36" t="n"/>
      <c r="I1816" s="36" t="n"/>
      <c r="J1816" s="37" t="n"/>
      <c r="K1816" s="32" t="n"/>
      <c r="L1816" s="36" t="n"/>
      <c r="M1816" s="41" t="n"/>
      <c r="N1816" s="41" t="n"/>
      <c r="O1816" s="36" t="n"/>
      <c r="P1816" s="33">
        <f>IF(C1816="","",Commercial_Id)</f>
        <v/>
      </c>
      <c r="Q1816" s="39">
        <f>IF(F1816="","",IFERROR(VALUE(MID(F1816,LEN(F1816)-3,3)),""))</f>
        <v/>
      </c>
      <c r="R1816" s="33">
        <f>IF(Q1816="","",P1816&amp;"|"&amp;Q1816)</f>
        <v/>
      </c>
      <c r="S1816" s="33">
        <f>IF(Q1816="","",IF(P1816="À RENSEIGNER","GIC",P1816)&amp;"-"&amp;TEXT(Q1816,"000"))</f>
        <v/>
      </c>
      <c r="T1816" s="33">
        <f>IF(R1816="","",IFERROR(INDEX(Cl_nom,MATCH(R1816,Cl_cle,0)),"(client introuvable)"))</f>
        <v/>
      </c>
      <c r="U1816" s="33">
        <f>IF(R1816="","",IFERROR(INDEX(Cl_quartier,MATCH(R1816,Cl_cle,0))&amp;"",""))</f>
        <v/>
      </c>
      <c r="V1816" s="34">
        <f>IF(C1816="","",YEAR(C1816-WEEKDAY(C1816,2)+4)&amp;"-S"&amp;TEXT(INT((C1816-DATE(YEAR(C1816-WEEKDAY(C1816,2)+4),1,3)+WEEKDAY(DATE(YEAR(C1816-WEEKDAY(C1816,2)+4),1,3),2)+5)/7),"00"))</f>
        <v/>
      </c>
    </row>
    <row r="1817" ht="18" customHeight="1">
      <c r="A1817" s="39" t="n">
        <v>1812</v>
      </c>
      <c r="B1817" s="33">
        <f>IF(C1817="","",IF(P1817="À RENSEIGNER","GIC",P1817)&amp;"-V"&amp;TEXT(A1817,"00000"))</f>
        <v/>
      </c>
      <c r="C1817" s="32" t="n"/>
      <c r="D1817" s="35" t="n"/>
      <c r="E1817" s="36" t="n"/>
      <c r="F1817" s="36" t="n"/>
      <c r="G1817" s="36" t="n"/>
      <c r="H1817" s="36" t="n"/>
      <c r="I1817" s="36" t="n"/>
      <c r="J1817" s="37" t="n"/>
      <c r="K1817" s="32" t="n"/>
      <c r="L1817" s="36" t="n"/>
      <c r="M1817" s="41" t="n"/>
      <c r="N1817" s="41" t="n"/>
      <c r="O1817" s="36" t="n"/>
      <c r="P1817" s="33">
        <f>IF(C1817="","",Commercial_Id)</f>
        <v/>
      </c>
      <c r="Q1817" s="39">
        <f>IF(F1817="","",IFERROR(VALUE(MID(F1817,LEN(F1817)-3,3)),""))</f>
        <v/>
      </c>
      <c r="R1817" s="33">
        <f>IF(Q1817="","",P1817&amp;"|"&amp;Q1817)</f>
        <v/>
      </c>
      <c r="S1817" s="33">
        <f>IF(Q1817="","",IF(P1817="À RENSEIGNER","GIC",P1817)&amp;"-"&amp;TEXT(Q1817,"000"))</f>
        <v/>
      </c>
      <c r="T1817" s="33">
        <f>IF(R1817="","",IFERROR(INDEX(Cl_nom,MATCH(R1817,Cl_cle,0)),"(client introuvable)"))</f>
        <v/>
      </c>
      <c r="U1817" s="33">
        <f>IF(R1817="","",IFERROR(INDEX(Cl_quartier,MATCH(R1817,Cl_cle,0))&amp;"",""))</f>
        <v/>
      </c>
      <c r="V1817" s="34">
        <f>IF(C1817="","",YEAR(C1817-WEEKDAY(C1817,2)+4)&amp;"-S"&amp;TEXT(INT((C1817-DATE(YEAR(C1817-WEEKDAY(C1817,2)+4),1,3)+WEEKDAY(DATE(YEAR(C1817-WEEKDAY(C1817,2)+4),1,3),2)+5)/7),"00"))</f>
        <v/>
      </c>
    </row>
    <row r="1818" ht="18" customHeight="1">
      <c r="A1818" s="39" t="n">
        <v>1813</v>
      </c>
      <c r="B1818" s="33">
        <f>IF(C1818="","",IF(P1818="À RENSEIGNER","GIC",P1818)&amp;"-V"&amp;TEXT(A1818,"00000"))</f>
        <v/>
      </c>
      <c r="C1818" s="32" t="n"/>
      <c r="D1818" s="35" t="n"/>
      <c r="E1818" s="36" t="n"/>
      <c r="F1818" s="36" t="n"/>
      <c r="G1818" s="36" t="n"/>
      <c r="H1818" s="36" t="n"/>
      <c r="I1818" s="36" t="n"/>
      <c r="J1818" s="37" t="n"/>
      <c r="K1818" s="32" t="n"/>
      <c r="L1818" s="36" t="n"/>
      <c r="M1818" s="41" t="n"/>
      <c r="N1818" s="41" t="n"/>
      <c r="O1818" s="36" t="n"/>
      <c r="P1818" s="33">
        <f>IF(C1818="","",Commercial_Id)</f>
        <v/>
      </c>
      <c r="Q1818" s="39">
        <f>IF(F1818="","",IFERROR(VALUE(MID(F1818,LEN(F1818)-3,3)),""))</f>
        <v/>
      </c>
      <c r="R1818" s="33">
        <f>IF(Q1818="","",P1818&amp;"|"&amp;Q1818)</f>
        <v/>
      </c>
      <c r="S1818" s="33">
        <f>IF(Q1818="","",IF(P1818="À RENSEIGNER","GIC",P1818)&amp;"-"&amp;TEXT(Q1818,"000"))</f>
        <v/>
      </c>
      <c r="T1818" s="33">
        <f>IF(R1818="","",IFERROR(INDEX(Cl_nom,MATCH(R1818,Cl_cle,0)),"(client introuvable)"))</f>
        <v/>
      </c>
      <c r="U1818" s="33">
        <f>IF(R1818="","",IFERROR(INDEX(Cl_quartier,MATCH(R1818,Cl_cle,0))&amp;"",""))</f>
        <v/>
      </c>
      <c r="V1818" s="34">
        <f>IF(C1818="","",YEAR(C1818-WEEKDAY(C1818,2)+4)&amp;"-S"&amp;TEXT(INT((C1818-DATE(YEAR(C1818-WEEKDAY(C1818,2)+4),1,3)+WEEKDAY(DATE(YEAR(C1818-WEEKDAY(C1818,2)+4),1,3),2)+5)/7),"00"))</f>
        <v/>
      </c>
    </row>
    <row r="1819" ht="18" customHeight="1">
      <c r="A1819" s="39" t="n">
        <v>1814</v>
      </c>
      <c r="B1819" s="33">
        <f>IF(C1819="","",IF(P1819="À RENSEIGNER","GIC",P1819)&amp;"-V"&amp;TEXT(A1819,"00000"))</f>
        <v/>
      </c>
      <c r="C1819" s="32" t="n"/>
      <c r="D1819" s="35" t="n"/>
      <c r="E1819" s="36" t="n"/>
      <c r="F1819" s="36" t="n"/>
      <c r="G1819" s="36" t="n"/>
      <c r="H1819" s="36" t="n"/>
      <c r="I1819" s="36" t="n"/>
      <c r="J1819" s="37" t="n"/>
      <c r="K1819" s="32" t="n"/>
      <c r="L1819" s="36" t="n"/>
      <c r="M1819" s="41" t="n"/>
      <c r="N1819" s="41" t="n"/>
      <c r="O1819" s="36" t="n"/>
      <c r="P1819" s="33">
        <f>IF(C1819="","",Commercial_Id)</f>
        <v/>
      </c>
      <c r="Q1819" s="39">
        <f>IF(F1819="","",IFERROR(VALUE(MID(F1819,LEN(F1819)-3,3)),""))</f>
        <v/>
      </c>
      <c r="R1819" s="33">
        <f>IF(Q1819="","",P1819&amp;"|"&amp;Q1819)</f>
        <v/>
      </c>
      <c r="S1819" s="33">
        <f>IF(Q1819="","",IF(P1819="À RENSEIGNER","GIC",P1819)&amp;"-"&amp;TEXT(Q1819,"000"))</f>
        <v/>
      </c>
      <c r="T1819" s="33">
        <f>IF(R1819="","",IFERROR(INDEX(Cl_nom,MATCH(R1819,Cl_cle,0)),"(client introuvable)"))</f>
        <v/>
      </c>
      <c r="U1819" s="33">
        <f>IF(R1819="","",IFERROR(INDEX(Cl_quartier,MATCH(R1819,Cl_cle,0))&amp;"",""))</f>
        <v/>
      </c>
      <c r="V1819" s="34">
        <f>IF(C1819="","",YEAR(C1819-WEEKDAY(C1819,2)+4)&amp;"-S"&amp;TEXT(INT((C1819-DATE(YEAR(C1819-WEEKDAY(C1819,2)+4),1,3)+WEEKDAY(DATE(YEAR(C1819-WEEKDAY(C1819,2)+4),1,3),2)+5)/7),"00"))</f>
        <v/>
      </c>
    </row>
    <row r="1820" ht="18" customHeight="1">
      <c r="A1820" s="39" t="n">
        <v>1815</v>
      </c>
      <c r="B1820" s="33">
        <f>IF(C1820="","",IF(P1820="À RENSEIGNER","GIC",P1820)&amp;"-V"&amp;TEXT(A1820,"00000"))</f>
        <v/>
      </c>
      <c r="C1820" s="32" t="n"/>
      <c r="D1820" s="35" t="n"/>
      <c r="E1820" s="36" t="n"/>
      <c r="F1820" s="36" t="n"/>
      <c r="G1820" s="36" t="n"/>
      <c r="H1820" s="36" t="n"/>
      <c r="I1820" s="36" t="n"/>
      <c r="J1820" s="37" t="n"/>
      <c r="K1820" s="32" t="n"/>
      <c r="L1820" s="36" t="n"/>
      <c r="M1820" s="41" t="n"/>
      <c r="N1820" s="41" t="n"/>
      <c r="O1820" s="36" t="n"/>
      <c r="P1820" s="33">
        <f>IF(C1820="","",Commercial_Id)</f>
        <v/>
      </c>
      <c r="Q1820" s="39">
        <f>IF(F1820="","",IFERROR(VALUE(MID(F1820,LEN(F1820)-3,3)),""))</f>
        <v/>
      </c>
      <c r="R1820" s="33">
        <f>IF(Q1820="","",P1820&amp;"|"&amp;Q1820)</f>
        <v/>
      </c>
      <c r="S1820" s="33">
        <f>IF(Q1820="","",IF(P1820="À RENSEIGNER","GIC",P1820)&amp;"-"&amp;TEXT(Q1820,"000"))</f>
        <v/>
      </c>
      <c r="T1820" s="33">
        <f>IF(R1820="","",IFERROR(INDEX(Cl_nom,MATCH(R1820,Cl_cle,0)),"(client introuvable)"))</f>
        <v/>
      </c>
      <c r="U1820" s="33">
        <f>IF(R1820="","",IFERROR(INDEX(Cl_quartier,MATCH(R1820,Cl_cle,0))&amp;"",""))</f>
        <v/>
      </c>
      <c r="V1820" s="34">
        <f>IF(C1820="","",YEAR(C1820-WEEKDAY(C1820,2)+4)&amp;"-S"&amp;TEXT(INT((C1820-DATE(YEAR(C1820-WEEKDAY(C1820,2)+4),1,3)+WEEKDAY(DATE(YEAR(C1820-WEEKDAY(C1820,2)+4),1,3),2)+5)/7),"00"))</f>
        <v/>
      </c>
    </row>
    <row r="1821" ht="18" customHeight="1">
      <c r="A1821" s="39" t="n">
        <v>1816</v>
      </c>
      <c r="B1821" s="33">
        <f>IF(C1821="","",IF(P1821="À RENSEIGNER","GIC",P1821)&amp;"-V"&amp;TEXT(A1821,"00000"))</f>
        <v/>
      </c>
      <c r="C1821" s="32" t="n"/>
      <c r="D1821" s="35" t="n"/>
      <c r="E1821" s="36" t="n"/>
      <c r="F1821" s="36" t="n"/>
      <c r="G1821" s="36" t="n"/>
      <c r="H1821" s="36" t="n"/>
      <c r="I1821" s="36" t="n"/>
      <c r="J1821" s="37" t="n"/>
      <c r="K1821" s="32" t="n"/>
      <c r="L1821" s="36" t="n"/>
      <c r="M1821" s="41" t="n"/>
      <c r="N1821" s="41" t="n"/>
      <c r="O1821" s="36" t="n"/>
      <c r="P1821" s="33">
        <f>IF(C1821="","",Commercial_Id)</f>
        <v/>
      </c>
      <c r="Q1821" s="39">
        <f>IF(F1821="","",IFERROR(VALUE(MID(F1821,LEN(F1821)-3,3)),""))</f>
        <v/>
      </c>
      <c r="R1821" s="33">
        <f>IF(Q1821="","",P1821&amp;"|"&amp;Q1821)</f>
        <v/>
      </c>
      <c r="S1821" s="33">
        <f>IF(Q1821="","",IF(P1821="À RENSEIGNER","GIC",P1821)&amp;"-"&amp;TEXT(Q1821,"000"))</f>
        <v/>
      </c>
      <c r="T1821" s="33">
        <f>IF(R1821="","",IFERROR(INDEX(Cl_nom,MATCH(R1821,Cl_cle,0)),"(client introuvable)"))</f>
        <v/>
      </c>
      <c r="U1821" s="33">
        <f>IF(R1821="","",IFERROR(INDEX(Cl_quartier,MATCH(R1821,Cl_cle,0))&amp;"",""))</f>
        <v/>
      </c>
      <c r="V1821" s="34">
        <f>IF(C1821="","",YEAR(C1821-WEEKDAY(C1821,2)+4)&amp;"-S"&amp;TEXT(INT((C1821-DATE(YEAR(C1821-WEEKDAY(C1821,2)+4),1,3)+WEEKDAY(DATE(YEAR(C1821-WEEKDAY(C1821,2)+4),1,3),2)+5)/7),"00"))</f>
        <v/>
      </c>
    </row>
    <row r="1822" ht="18" customHeight="1">
      <c r="A1822" s="39" t="n">
        <v>1817</v>
      </c>
      <c r="B1822" s="33">
        <f>IF(C1822="","",IF(P1822="À RENSEIGNER","GIC",P1822)&amp;"-V"&amp;TEXT(A1822,"00000"))</f>
        <v/>
      </c>
      <c r="C1822" s="32" t="n"/>
      <c r="D1822" s="35" t="n"/>
      <c r="E1822" s="36" t="n"/>
      <c r="F1822" s="36" t="n"/>
      <c r="G1822" s="36" t="n"/>
      <c r="H1822" s="36" t="n"/>
      <c r="I1822" s="36" t="n"/>
      <c r="J1822" s="37" t="n"/>
      <c r="K1822" s="32" t="n"/>
      <c r="L1822" s="36" t="n"/>
      <c r="M1822" s="41" t="n"/>
      <c r="N1822" s="41" t="n"/>
      <c r="O1822" s="36" t="n"/>
      <c r="P1822" s="33">
        <f>IF(C1822="","",Commercial_Id)</f>
        <v/>
      </c>
      <c r="Q1822" s="39">
        <f>IF(F1822="","",IFERROR(VALUE(MID(F1822,LEN(F1822)-3,3)),""))</f>
        <v/>
      </c>
      <c r="R1822" s="33">
        <f>IF(Q1822="","",P1822&amp;"|"&amp;Q1822)</f>
        <v/>
      </c>
      <c r="S1822" s="33">
        <f>IF(Q1822="","",IF(P1822="À RENSEIGNER","GIC",P1822)&amp;"-"&amp;TEXT(Q1822,"000"))</f>
        <v/>
      </c>
      <c r="T1822" s="33">
        <f>IF(R1822="","",IFERROR(INDEX(Cl_nom,MATCH(R1822,Cl_cle,0)),"(client introuvable)"))</f>
        <v/>
      </c>
      <c r="U1822" s="33">
        <f>IF(R1822="","",IFERROR(INDEX(Cl_quartier,MATCH(R1822,Cl_cle,0))&amp;"",""))</f>
        <v/>
      </c>
      <c r="V1822" s="34">
        <f>IF(C1822="","",YEAR(C1822-WEEKDAY(C1822,2)+4)&amp;"-S"&amp;TEXT(INT((C1822-DATE(YEAR(C1822-WEEKDAY(C1822,2)+4),1,3)+WEEKDAY(DATE(YEAR(C1822-WEEKDAY(C1822,2)+4),1,3),2)+5)/7),"00"))</f>
        <v/>
      </c>
    </row>
    <row r="1823" ht="18" customHeight="1">
      <c r="A1823" s="39" t="n">
        <v>1818</v>
      </c>
      <c r="B1823" s="33">
        <f>IF(C1823="","",IF(P1823="À RENSEIGNER","GIC",P1823)&amp;"-V"&amp;TEXT(A1823,"00000"))</f>
        <v/>
      </c>
      <c r="C1823" s="32" t="n"/>
      <c r="D1823" s="35" t="n"/>
      <c r="E1823" s="36" t="n"/>
      <c r="F1823" s="36" t="n"/>
      <c r="G1823" s="36" t="n"/>
      <c r="H1823" s="36" t="n"/>
      <c r="I1823" s="36" t="n"/>
      <c r="J1823" s="37" t="n"/>
      <c r="K1823" s="32" t="n"/>
      <c r="L1823" s="36" t="n"/>
      <c r="M1823" s="41" t="n"/>
      <c r="N1823" s="41" t="n"/>
      <c r="O1823" s="36" t="n"/>
      <c r="P1823" s="33">
        <f>IF(C1823="","",Commercial_Id)</f>
        <v/>
      </c>
      <c r="Q1823" s="39">
        <f>IF(F1823="","",IFERROR(VALUE(MID(F1823,LEN(F1823)-3,3)),""))</f>
        <v/>
      </c>
      <c r="R1823" s="33">
        <f>IF(Q1823="","",P1823&amp;"|"&amp;Q1823)</f>
        <v/>
      </c>
      <c r="S1823" s="33">
        <f>IF(Q1823="","",IF(P1823="À RENSEIGNER","GIC",P1823)&amp;"-"&amp;TEXT(Q1823,"000"))</f>
        <v/>
      </c>
      <c r="T1823" s="33">
        <f>IF(R1823="","",IFERROR(INDEX(Cl_nom,MATCH(R1823,Cl_cle,0)),"(client introuvable)"))</f>
        <v/>
      </c>
      <c r="U1823" s="33">
        <f>IF(R1823="","",IFERROR(INDEX(Cl_quartier,MATCH(R1823,Cl_cle,0))&amp;"",""))</f>
        <v/>
      </c>
      <c r="V1823" s="34">
        <f>IF(C1823="","",YEAR(C1823-WEEKDAY(C1823,2)+4)&amp;"-S"&amp;TEXT(INT((C1823-DATE(YEAR(C1823-WEEKDAY(C1823,2)+4),1,3)+WEEKDAY(DATE(YEAR(C1823-WEEKDAY(C1823,2)+4),1,3),2)+5)/7),"00"))</f>
        <v/>
      </c>
    </row>
    <row r="1824" ht="18" customHeight="1">
      <c r="A1824" s="39" t="n">
        <v>1819</v>
      </c>
      <c r="B1824" s="33">
        <f>IF(C1824="","",IF(P1824="À RENSEIGNER","GIC",P1824)&amp;"-V"&amp;TEXT(A1824,"00000"))</f>
        <v/>
      </c>
      <c r="C1824" s="32" t="n"/>
      <c r="D1824" s="35" t="n"/>
      <c r="E1824" s="36" t="n"/>
      <c r="F1824" s="36" t="n"/>
      <c r="G1824" s="36" t="n"/>
      <c r="H1824" s="36" t="n"/>
      <c r="I1824" s="36" t="n"/>
      <c r="J1824" s="37" t="n"/>
      <c r="K1824" s="32" t="n"/>
      <c r="L1824" s="36" t="n"/>
      <c r="M1824" s="41" t="n"/>
      <c r="N1824" s="41" t="n"/>
      <c r="O1824" s="36" t="n"/>
      <c r="P1824" s="33">
        <f>IF(C1824="","",Commercial_Id)</f>
        <v/>
      </c>
      <c r="Q1824" s="39">
        <f>IF(F1824="","",IFERROR(VALUE(MID(F1824,LEN(F1824)-3,3)),""))</f>
        <v/>
      </c>
      <c r="R1824" s="33">
        <f>IF(Q1824="","",P1824&amp;"|"&amp;Q1824)</f>
        <v/>
      </c>
      <c r="S1824" s="33">
        <f>IF(Q1824="","",IF(P1824="À RENSEIGNER","GIC",P1824)&amp;"-"&amp;TEXT(Q1824,"000"))</f>
        <v/>
      </c>
      <c r="T1824" s="33">
        <f>IF(R1824="","",IFERROR(INDEX(Cl_nom,MATCH(R1824,Cl_cle,0)),"(client introuvable)"))</f>
        <v/>
      </c>
      <c r="U1824" s="33">
        <f>IF(R1824="","",IFERROR(INDEX(Cl_quartier,MATCH(R1824,Cl_cle,0))&amp;"",""))</f>
        <v/>
      </c>
      <c r="V1824" s="34">
        <f>IF(C1824="","",YEAR(C1824-WEEKDAY(C1824,2)+4)&amp;"-S"&amp;TEXT(INT((C1824-DATE(YEAR(C1824-WEEKDAY(C1824,2)+4),1,3)+WEEKDAY(DATE(YEAR(C1824-WEEKDAY(C1824,2)+4),1,3),2)+5)/7),"00"))</f>
        <v/>
      </c>
    </row>
    <row r="1825" ht="18" customHeight="1">
      <c r="A1825" s="39" t="n">
        <v>1820</v>
      </c>
      <c r="B1825" s="33">
        <f>IF(C1825="","",IF(P1825="À RENSEIGNER","GIC",P1825)&amp;"-V"&amp;TEXT(A1825,"00000"))</f>
        <v/>
      </c>
      <c r="C1825" s="32" t="n"/>
      <c r="D1825" s="35" t="n"/>
      <c r="E1825" s="36" t="n"/>
      <c r="F1825" s="36" t="n"/>
      <c r="G1825" s="36" t="n"/>
      <c r="H1825" s="36" t="n"/>
      <c r="I1825" s="36" t="n"/>
      <c r="J1825" s="37" t="n"/>
      <c r="K1825" s="32" t="n"/>
      <c r="L1825" s="36" t="n"/>
      <c r="M1825" s="41" t="n"/>
      <c r="N1825" s="41" t="n"/>
      <c r="O1825" s="36" t="n"/>
      <c r="P1825" s="33">
        <f>IF(C1825="","",Commercial_Id)</f>
        <v/>
      </c>
      <c r="Q1825" s="39">
        <f>IF(F1825="","",IFERROR(VALUE(MID(F1825,LEN(F1825)-3,3)),""))</f>
        <v/>
      </c>
      <c r="R1825" s="33">
        <f>IF(Q1825="","",P1825&amp;"|"&amp;Q1825)</f>
        <v/>
      </c>
      <c r="S1825" s="33">
        <f>IF(Q1825="","",IF(P1825="À RENSEIGNER","GIC",P1825)&amp;"-"&amp;TEXT(Q1825,"000"))</f>
        <v/>
      </c>
      <c r="T1825" s="33">
        <f>IF(R1825="","",IFERROR(INDEX(Cl_nom,MATCH(R1825,Cl_cle,0)),"(client introuvable)"))</f>
        <v/>
      </c>
      <c r="U1825" s="33">
        <f>IF(R1825="","",IFERROR(INDEX(Cl_quartier,MATCH(R1825,Cl_cle,0))&amp;"",""))</f>
        <v/>
      </c>
      <c r="V1825" s="34">
        <f>IF(C1825="","",YEAR(C1825-WEEKDAY(C1825,2)+4)&amp;"-S"&amp;TEXT(INT((C1825-DATE(YEAR(C1825-WEEKDAY(C1825,2)+4),1,3)+WEEKDAY(DATE(YEAR(C1825-WEEKDAY(C1825,2)+4),1,3),2)+5)/7),"00"))</f>
        <v/>
      </c>
    </row>
    <row r="1826" ht="18" customHeight="1">
      <c r="A1826" s="39" t="n">
        <v>1821</v>
      </c>
      <c r="B1826" s="33">
        <f>IF(C1826="","",IF(P1826="À RENSEIGNER","GIC",P1826)&amp;"-V"&amp;TEXT(A1826,"00000"))</f>
        <v/>
      </c>
      <c r="C1826" s="32" t="n"/>
      <c r="D1826" s="35" t="n"/>
      <c r="E1826" s="36" t="n"/>
      <c r="F1826" s="36" t="n"/>
      <c r="G1826" s="36" t="n"/>
      <c r="H1826" s="36" t="n"/>
      <c r="I1826" s="36" t="n"/>
      <c r="J1826" s="37" t="n"/>
      <c r="K1826" s="32" t="n"/>
      <c r="L1826" s="36" t="n"/>
      <c r="M1826" s="41" t="n"/>
      <c r="N1826" s="41" t="n"/>
      <c r="O1826" s="36" t="n"/>
      <c r="P1826" s="33">
        <f>IF(C1826="","",Commercial_Id)</f>
        <v/>
      </c>
      <c r="Q1826" s="39">
        <f>IF(F1826="","",IFERROR(VALUE(MID(F1826,LEN(F1826)-3,3)),""))</f>
        <v/>
      </c>
      <c r="R1826" s="33">
        <f>IF(Q1826="","",P1826&amp;"|"&amp;Q1826)</f>
        <v/>
      </c>
      <c r="S1826" s="33">
        <f>IF(Q1826="","",IF(P1826="À RENSEIGNER","GIC",P1826)&amp;"-"&amp;TEXT(Q1826,"000"))</f>
        <v/>
      </c>
      <c r="T1826" s="33">
        <f>IF(R1826="","",IFERROR(INDEX(Cl_nom,MATCH(R1826,Cl_cle,0)),"(client introuvable)"))</f>
        <v/>
      </c>
      <c r="U1826" s="33">
        <f>IF(R1826="","",IFERROR(INDEX(Cl_quartier,MATCH(R1826,Cl_cle,0))&amp;"",""))</f>
        <v/>
      </c>
      <c r="V1826" s="34">
        <f>IF(C1826="","",YEAR(C1826-WEEKDAY(C1826,2)+4)&amp;"-S"&amp;TEXT(INT((C1826-DATE(YEAR(C1826-WEEKDAY(C1826,2)+4),1,3)+WEEKDAY(DATE(YEAR(C1826-WEEKDAY(C1826,2)+4),1,3),2)+5)/7),"00"))</f>
        <v/>
      </c>
    </row>
    <row r="1827" ht="18" customHeight="1">
      <c r="A1827" s="39" t="n">
        <v>1822</v>
      </c>
      <c r="B1827" s="33">
        <f>IF(C1827="","",IF(P1827="À RENSEIGNER","GIC",P1827)&amp;"-V"&amp;TEXT(A1827,"00000"))</f>
        <v/>
      </c>
      <c r="C1827" s="32" t="n"/>
      <c r="D1827" s="35" t="n"/>
      <c r="E1827" s="36" t="n"/>
      <c r="F1827" s="36" t="n"/>
      <c r="G1827" s="36" t="n"/>
      <c r="H1827" s="36" t="n"/>
      <c r="I1827" s="36" t="n"/>
      <c r="J1827" s="37" t="n"/>
      <c r="K1827" s="32" t="n"/>
      <c r="L1827" s="36" t="n"/>
      <c r="M1827" s="41" t="n"/>
      <c r="N1827" s="41" t="n"/>
      <c r="O1827" s="36" t="n"/>
      <c r="P1827" s="33">
        <f>IF(C1827="","",Commercial_Id)</f>
        <v/>
      </c>
      <c r="Q1827" s="39">
        <f>IF(F1827="","",IFERROR(VALUE(MID(F1827,LEN(F1827)-3,3)),""))</f>
        <v/>
      </c>
      <c r="R1827" s="33">
        <f>IF(Q1827="","",P1827&amp;"|"&amp;Q1827)</f>
        <v/>
      </c>
      <c r="S1827" s="33">
        <f>IF(Q1827="","",IF(P1827="À RENSEIGNER","GIC",P1827)&amp;"-"&amp;TEXT(Q1827,"000"))</f>
        <v/>
      </c>
      <c r="T1827" s="33">
        <f>IF(R1827="","",IFERROR(INDEX(Cl_nom,MATCH(R1827,Cl_cle,0)),"(client introuvable)"))</f>
        <v/>
      </c>
      <c r="U1827" s="33">
        <f>IF(R1827="","",IFERROR(INDEX(Cl_quartier,MATCH(R1827,Cl_cle,0))&amp;"",""))</f>
        <v/>
      </c>
      <c r="V1827" s="34">
        <f>IF(C1827="","",YEAR(C1827-WEEKDAY(C1827,2)+4)&amp;"-S"&amp;TEXT(INT((C1827-DATE(YEAR(C1827-WEEKDAY(C1827,2)+4),1,3)+WEEKDAY(DATE(YEAR(C1827-WEEKDAY(C1827,2)+4),1,3),2)+5)/7),"00"))</f>
        <v/>
      </c>
    </row>
    <row r="1828" ht="18" customHeight="1">
      <c r="A1828" s="39" t="n">
        <v>1823</v>
      </c>
      <c r="B1828" s="33">
        <f>IF(C1828="","",IF(P1828="À RENSEIGNER","GIC",P1828)&amp;"-V"&amp;TEXT(A1828,"00000"))</f>
        <v/>
      </c>
      <c r="C1828" s="32" t="n"/>
      <c r="D1828" s="35" t="n"/>
      <c r="E1828" s="36" t="n"/>
      <c r="F1828" s="36" t="n"/>
      <c r="G1828" s="36" t="n"/>
      <c r="H1828" s="36" t="n"/>
      <c r="I1828" s="36" t="n"/>
      <c r="J1828" s="37" t="n"/>
      <c r="K1828" s="32" t="n"/>
      <c r="L1828" s="36" t="n"/>
      <c r="M1828" s="41" t="n"/>
      <c r="N1828" s="41" t="n"/>
      <c r="O1828" s="36" t="n"/>
      <c r="P1828" s="33">
        <f>IF(C1828="","",Commercial_Id)</f>
        <v/>
      </c>
      <c r="Q1828" s="39">
        <f>IF(F1828="","",IFERROR(VALUE(MID(F1828,LEN(F1828)-3,3)),""))</f>
        <v/>
      </c>
      <c r="R1828" s="33">
        <f>IF(Q1828="","",P1828&amp;"|"&amp;Q1828)</f>
        <v/>
      </c>
      <c r="S1828" s="33">
        <f>IF(Q1828="","",IF(P1828="À RENSEIGNER","GIC",P1828)&amp;"-"&amp;TEXT(Q1828,"000"))</f>
        <v/>
      </c>
      <c r="T1828" s="33">
        <f>IF(R1828="","",IFERROR(INDEX(Cl_nom,MATCH(R1828,Cl_cle,0)),"(client introuvable)"))</f>
        <v/>
      </c>
      <c r="U1828" s="33">
        <f>IF(R1828="","",IFERROR(INDEX(Cl_quartier,MATCH(R1828,Cl_cle,0))&amp;"",""))</f>
        <v/>
      </c>
      <c r="V1828" s="34">
        <f>IF(C1828="","",YEAR(C1828-WEEKDAY(C1828,2)+4)&amp;"-S"&amp;TEXT(INT((C1828-DATE(YEAR(C1828-WEEKDAY(C1828,2)+4),1,3)+WEEKDAY(DATE(YEAR(C1828-WEEKDAY(C1828,2)+4),1,3),2)+5)/7),"00"))</f>
        <v/>
      </c>
    </row>
    <row r="1829" ht="18" customHeight="1">
      <c r="A1829" s="39" t="n">
        <v>1824</v>
      </c>
      <c r="B1829" s="33">
        <f>IF(C1829="","",IF(P1829="À RENSEIGNER","GIC",P1829)&amp;"-V"&amp;TEXT(A1829,"00000"))</f>
        <v/>
      </c>
      <c r="C1829" s="32" t="n"/>
      <c r="D1829" s="35" t="n"/>
      <c r="E1829" s="36" t="n"/>
      <c r="F1829" s="36" t="n"/>
      <c r="G1829" s="36" t="n"/>
      <c r="H1829" s="36" t="n"/>
      <c r="I1829" s="36" t="n"/>
      <c r="J1829" s="37" t="n"/>
      <c r="K1829" s="32" t="n"/>
      <c r="L1829" s="36" t="n"/>
      <c r="M1829" s="41" t="n"/>
      <c r="N1829" s="41" t="n"/>
      <c r="O1829" s="36" t="n"/>
      <c r="P1829" s="33">
        <f>IF(C1829="","",Commercial_Id)</f>
        <v/>
      </c>
      <c r="Q1829" s="39">
        <f>IF(F1829="","",IFERROR(VALUE(MID(F1829,LEN(F1829)-3,3)),""))</f>
        <v/>
      </c>
      <c r="R1829" s="33">
        <f>IF(Q1829="","",P1829&amp;"|"&amp;Q1829)</f>
        <v/>
      </c>
      <c r="S1829" s="33">
        <f>IF(Q1829="","",IF(P1829="À RENSEIGNER","GIC",P1829)&amp;"-"&amp;TEXT(Q1829,"000"))</f>
        <v/>
      </c>
      <c r="T1829" s="33">
        <f>IF(R1829="","",IFERROR(INDEX(Cl_nom,MATCH(R1829,Cl_cle,0)),"(client introuvable)"))</f>
        <v/>
      </c>
      <c r="U1829" s="33">
        <f>IF(R1829="","",IFERROR(INDEX(Cl_quartier,MATCH(R1829,Cl_cle,0))&amp;"",""))</f>
        <v/>
      </c>
      <c r="V1829" s="34">
        <f>IF(C1829="","",YEAR(C1829-WEEKDAY(C1829,2)+4)&amp;"-S"&amp;TEXT(INT((C1829-DATE(YEAR(C1829-WEEKDAY(C1829,2)+4),1,3)+WEEKDAY(DATE(YEAR(C1829-WEEKDAY(C1829,2)+4),1,3),2)+5)/7),"00"))</f>
        <v/>
      </c>
    </row>
    <row r="1830" ht="18" customHeight="1">
      <c r="A1830" s="39" t="n">
        <v>1825</v>
      </c>
      <c r="B1830" s="33">
        <f>IF(C1830="","",IF(P1830="À RENSEIGNER","GIC",P1830)&amp;"-V"&amp;TEXT(A1830,"00000"))</f>
        <v/>
      </c>
      <c r="C1830" s="32" t="n"/>
      <c r="D1830" s="35" t="n"/>
      <c r="E1830" s="36" t="n"/>
      <c r="F1830" s="36" t="n"/>
      <c r="G1830" s="36" t="n"/>
      <c r="H1830" s="36" t="n"/>
      <c r="I1830" s="36" t="n"/>
      <c r="J1830" s="37" t="n"/>
      <c r="K1830" s="32" t="n"/>
      <c r="L1830" s="36" t="n"/>
      <c r="M1830" s="41" t="n"/>
      <c r="N1830" s="41" t="n"/>
      <c r="O1830" s="36" t="n"/>
      <c r="P1830" s="33">
        <f>IF(C1830="","",Commercial_Id)</f>
        <v/>
      </c>
      <c r="Q1830" s="39">
        <f>IF(F1830="","",IFERROR(VALUE(MID(F1830,LEN(F1830)-3,3)),""))</f>
        <v/>
      </c>
      <c r="R1830" s="33">
        <f>IF(Q1830="","",P1830&amp;"|"&amp;Q1830)</f>
        <v/>
      </c>
      <c r="S1830" s="33">
        <f>IF(Q1830="","",IF(P1830="À RENSEIGNER","GIC",P1830)&amp;"-"&amp;TEXT(Q1830,"000"))</f>
        <v/>
      </c>
      <c r="T1830" s="33">
        <f>IF(R1830="","",IFERROR(INDEX(Cl_nom,MATCH(R1830,Cl_cle,0)),"(client introuvable)"))</f>
        <v/>
      </c>
      <c r="U1830" s="33">
        <f>IF(R1830="","",IFERROR(INDEX(Cl_quartier,MATCH(R1830,Cl_cle,0))&amp;"",""))</f>
        <v/>
      </c>
      <c r="V1830" s="34">
        <f>IF(C1830="","",YEAR(C1830-WEEKDAY(C1830,2)+4)&amp;"-S"&amp;TEXT(INT((C1830-DATE(YEAR(C1830-WEEKDAY(C1830,2)+4),1,3)+WEEKDAY(DATE(YEAR(C1830-WEEKDAY(C1830,2)+4),1,3),2)+5)/7),"00"))</f>
        <v/>
      </c>
    </row>
    <row r="1831" ht="18" customHeight="1">
      <c r="A1831" s="39" t="n">
        <v>1826</v>
      </c>
      <c r="B1831" s="33">
        <f>IF(C1831="","",IF(P1831="À RENSEIGNER","GIC",P1831)&amp;"-V"&amp;TEXT(A1831,"00000"))</f>
        <v/>
      </c>
      <c r="C1831" s="32" t="n"/>
      <c r="D1831" s="35" t="n"/>
      <c r="E1831" s="36" t="n"/>
      <c r="F1831" s="36" t="n"/>
      <c r="G1831" s="36" t="n"/>
      <c r="H1831" s="36" t="n"/>
      <c r="I1831" s="36" t="n"/>
      <c r="J1831" s="37" t="n"/>
      <c r="K1831" s="32" t="n"/>
      <c r="L1831" s="36" t="n"/>
      <c r="M1831" s="41" t="n"/>
      <c r="N1831" s="41" t="n"/>
      <c r="O1831" s="36" t="n"/>
      <c r="P1831" s="33">
        <f>IF(C1831="","",Commercial_Id)</f>
        <v/>
      </c>
      <c r="Q1831" s="39">
        <f>IF(F1831="","",IFERROR(VALUE(MID(F1831,LEN(F1831)-3,3)),""))</f>
        <v/>
      </c>
      <c r="R1831" s="33">
        <f>IF(Q1831="","",P1831&amp;"|"&amp;Q1831)</f>
        <v/>
      </c>
      <c r="S1831" s="33">
        <f>IF(Q1831="","",IF(P1831="À RENSEIGNER","GIC",P1831)&amp;"-"&amp;TEXT(Q1831,"000"))</f>
        <v/>
      </c>
      <c r="T1831" s="33">
        <f>IF(R1831="","",IFERROR(INDEX(Cl_nom,MATCH(R1831,Cl_cle,0)),"(client introuvable)"))</f>
        <v/>
      </c>
      <c r="U1831" s="33">
        <f>IF(R1831="","",IFERROR(INDEX(Cl_quartier,MATCH(R1831,Cl_cle,0))&amp;"",""))</f>
        <v/>
      </c>
      <c r="V1831" s="34">
        <f>IF(C1831="","",YEAR(C1831-WEEKDAY(C1831,2)+4)&amp;"-S"&amp;TEXT(INT((C1831-DATE(YEAR(C1831-WEEKDAY(C1831,2)+4),1,3)+WEEKDAY(DATE(YEAR(C1831-WEEKDAY(C1831,2)+4),1,3),2)+5)/7),"00"))</f>
        <v/>
      </c>
    </row>
    <row r="1832" ht="18" customHeight="1">
      <c r="A1832" s="39" t="n">
        <v>1827</v>
      </c>
      <c r="B1832" s="33">
        <f>IF(C1832="","",IF(P1832="À RENSEIGNER","GIC",P1832)&amp;"-V"&amp;TEXT(A1832,"00000"))</f>
        <v/>
      </c>
      <c r="C1832" s="32" t="n"/>
      <c r="D1832" s="35" t="n"/>
      <c r="E1832" s="36" t="n"/>
      <c r="F1832" s="36" t="n"/>
      <c r="G1832" s="36" t="n"/>
      <c r="H1832" s="36" t="n"/>
      <c r="I1832" s="36" t="n"/>
      <c r="J1832" s="37" t="n"/>
      <c r="K1832" s="32" t="n"/>
      <c r="L1832" s="36" t="n"/>
      <c r="M1832" s="41" t="n"/>
      <c r="N1832" s="41" t="n"/>
      <c r="O1832" s="36" t="n"/>
      <c r="P1832" s="33">
        <f>IF(C1832="","",Commercial_Id)</f>
        <v/>
      </c>
      <c r="Q1832" s="39">
        <f>IF(F1832="","",IFERROR(VALUE(MID(F1832,LEN(F1832)-3,3)),""))</f>
        <v/>
      </c>
      <c r="R1832" s="33">
        <f>IF(Q1832="","",P1832&amp;"|"&amp;Q1832)</f>
        <v/>
      </c>
      <c r="S1832" s="33">
        <f>IF(Q1832="","",IF(P1832="À RENSEIGNER","GIC",P1832)&amp;"-"&amp;TEXT(Q1832,"000"))</f>
        <v/>
      </c>
      <c r="T1832" s="33">
        <f>IF(R1832="","",IFERROR(INDEX(Cl_nom,MATCH(R1832,Cl_cle,0)),"(client introuvable)"))</f>
        <v/>
      </c>
      <c r="U1832" s="33">
        <f>IF(R1832="","",IFERROR(INDEX(Cl_quartier,MATCH(R1832,Cl_cle,0))&amp;"",""))</f>
        <v/>
      </c>
      <c r="V1832" s="34">
        <f>IF(C1832="","",YEAR(C1832-WEEKDAY(C1832,2)+4)&amp;"-S"&amp;TEXT(INT((C1832-DATE(YEAR(C1832-WEEKDAY(C1832,2)+4),1,3)+WEEKDAY(DATE(YEAR(C1832-WEEKDAY(C1832,2)+4),1,3),2)+5)/7),"00"))</f>
        <v/>
      </c>
    </row>
    <row r="1833" ht="18" customHeight="1">
      <c r="A1833" s="39" t="n">
        <v>1828</v>
      </c>
      <c r="B1833" s="33">
        <f>IF(C1833="","",IF(P1833="À RENSEIGNER","GIC",P1833)&amp;"-V"&amp;TEXT(A1833,"00000"))</f>
        <v/>
      </c>
      <c r="C1833" s="32" t="n"/>
      <c r="D1833" s="35" t="n"/>
      <c r="E1833" s="36" t="n"/>
      <c r="F1833" s="36" t="n"/>
      <c r="G1833" s="36" t="n"/>
      <c r="H1833" s="36" t="n"/>
      <c r="I1833" s="36" t="n"/>
      <c r="J1833" s="37" t="n"/>
      <c r="K1833" s="32" t="n"/>
      <c r="L1833" s="36" t="n"/>
      <c r="M1833" s="41" t="n"/>
      <c r="N1833" s="41" t="n"/>
      <c r="O1833" s="36" t="n"/>
      <c r="P1833" s="33">
        <f>IF(C1833="","",Commercial_Id)</f>
        <v/>
      </c>
      <c r="Q1833" s="39">
        <f>IF(F1833="","",IFERROR(VALUE(MID(F1833,LEN(F1833)-3,3)),""))</f>
        <v/>
      </c>
      <c r="R1833" s="33">
        <f>IF(Q1833="","",P1833&amp;"|"&amp;Q1833)</f>
        <v/>
      </c>
      <c r="S1833" s="33">
        <f>IF(Q1833="","",IF(P1833="À RENSEIGNER","GIC",P1833)&amp;"-"&amp;TEXT(Q1833,"000"))</f>
        <v/>
      </c>
      <c r="T1833" s="33">
        <f>IF(R1833="","",IFERROR(INDEX(Cl_nom,MATCH(R1833,Cl_cle,0)),"(client introuvable)"))</f>
        <v/>
      </c>
      <c r="U1833" s="33">
        <f>IF(R1833="","",IFERROR(INDEX(Cl_quartier,MATCH(R1833,Cl_cle,0))&amp;"",""))</f>
        <v/>
      </c>
      <c r="V1833" s="34">
        <f>IF(C1833="","",YEAR(C1833-WEEKDAY(C1833,2)+4)&amp;"-S"&amp;TEXT(INT((C1833-DATE(YEAR(C1833-WEEKDAY(C1833,2)+4),1,3)+WEEKDAY(DATE(YEAR(C1833-WEEKDAY(C1833,2)+4),1,3),2)+5)/7),"00"))</f>
        <v/>
      </c>
    </row>
    <row r="1834" ht="18" customHeight="1">
      <c r="A1834" s="39" t="n">
        <v>1829</v>
      </c>
      <c r="B1834" s="33">
        <f>IF(C1834="","",IF(P1834="À RENSEIGNER","GIC",P1834)&amp;"-V"&amp;TEXT(A1834,"00000"))</f>
        <v/>
      </c>
      <c r="C1834" s="32" t="n"/>
      <c r="D1834" s="35" t="n"/>
      <c r="E1834" s="36" t="n"/>
      <c r="F1834" s="36" t="n"/>
      <c r="G1834" s="36" t="n"/>
      <c r="H1834" s="36" t="n"/>
      <c r="I1834" s="36" t="n"/>
      <c r="J1834" s="37" t="n"/>
      <c r="K1834" s="32" t="n"/>
      <c r="L1834" s="36" t="n"/>
      <c r="M1834" s="41" t="n"/>
      <c r="N1834" s="41" t="n"/>
      <c r="O1834" s="36" t="n"/>
      <c r="P1834" s="33">
        <f>IF(C1834="","",Commercial_Id)</f>
        <v/>
      </c>
      <c r="Q1834" s="39">
        <f>IF(F1834="","",IFERROR(VALUE(MID(F1834,LEN(F1834)-3,3)),""))</f>
        <v/>
      </c>
      <c r="R1834" s="33">
        <f>IF(Q1834="","",P1834&amp;"|"&amp;Q1834)</f>
        <v/>
      </c>
      <c r="S1834" s="33">
        <f>IF(Q1834="","",IF(P1834="À RENSEIGNER","GIC",P1834)&amp;"-"&amp;TEXT(Q1834,"000"))</f>
        <v/>
      </c>
      <c r="T1834" s="33">
        <f>IF(R1834="","",IFERROR(INDEX(Cl_nom,MATCH(R1834,Cl_cle,0)),"(client introuvable)"))</f>
        <v/>
      </c>
      <c r="U1834" s="33">
        <f>IF(R1834="","",IFERROR(INDEX(Cl_quartier,MATCH(R1834,Cl_cle,0))&amp;"",""))</f>
        <v/>
      </c>
      <c r="V1834" s="34">
        <f>IF(C1834="","",YEAR(C1834-WEEKDAY(C1834,2)+4)&amp;"-S"&amp;TEXT(INT((C1834-DATE(YEAR(C1834-WEEKDAY(C1834,2)+4),1,3)+WEEKDAY(DATE(YEAR(C1834-WEEKDAY(C1834,2)+4),1,3),2)+5)/7),"00"))</f>
        <v/>
      </c>
    </row>
    <row r="1835" ht="18" customHeight="1">
      <c r="A1835" s="39" t="n">
        <v>1830</v>
      </c>
      <c r="B1835" s="33">
        <f>IF(C1835="","",IF(P1835="À RENSEIGNER","GIC",P1835)&amp;"-V"&amp;TEXT(A1835,"00000"))</f>
        <v/>
      </c>
      <c r="C1835" s="32" t="n"/>
      <c r="D1835" s="35" t="n"/>
      <c r="E1835" s="36" t="n"/>
      <c r="F1835" s="36" t="n"/>
      <c r="G1835" s="36" t="n"/>
      <c r="H1835" s="36" t="n"/>
      <c r="I1835" s="36" t="n"/>
      <c r="J1835" s="37" t="n"/>
      <c r="K1835" s="32" t="n"/>
      <c r="L1835" s="36" t="n"/>
      <c r="M1835" s="41" t="n"/>
      <c r="N1835" s="41" t="n"/>
      <c r="O1835" s="36" t="n"/>
      <c r="P1835" s="33">
        <f>IF(C1835="","",Commercial_Id)</f>
        <v/>
      </c>
      <c r="Q1835" s="39">
        <f>IF(F1835="","",IFERROR(VALUE(MID(F1835,LEN(F1835)-3,3)),""))</f>
        <v/>
      </c>
      <c r="R1835" s="33">
        <f>IF(Q1835="","",P1835&amp;"|"&amp;Q1835)</f>
        <v/>
      </c>
      <c r="S1835" s="33">
        <f>IF(Q1835="","",IF(P1835="À RENSEIGNER","GIC",P1835)&amp;"-"&amp;TEXT(Q1835,"000"))</f>
        <v/>
      </c>
      <c r="T1835" s="33">
        <f>IF(R1835="","",IFERROR(INDEX(Cl_nom,MATCH(R1835,Cl_cle,0)),"(client introuvable)"))</f>
        <v/>
      </c>
      <c r="U1835" s="33">
        <f>IF(R1835="","",IFERROR(INDEX(Cl_quartier,MATCH(R1835,Cl_cle,0))&amp;"",""))</f>
        <v/>
      </c>
      <c r="V1835" s="34">
        <f>IF(C1835="","",YEAR(C1835-WEEKDAY(C1835,2)+4)&amp;"-S"&amp;TEXT(INT((C1835-DATE(YEAR(C1835-WEEKDAY(C1835,2)+4),1,3)+WEEKDAY(DATE(YEAR(C1835-WEEKDAY(C1835,2)+4),1,3),2)+5)/7),"00"))</f>
        <v/>
      </c>
    </row>
    <row r="1836" ht="18" customHeight="1">
      <c r="A1836" s="39" t="n">
        <v>1831</v>
      </c>
      <c r="B1836" s="33">
        <f>IF(C1836="","",IF(P1836="À RENSEIGNER","GIC",P1836)&amp;"-V"&amp;TEXT(A1836,"00000"))</f>
        <v/>
      </c>
      <c r="C1836" s="32" t="n"/>
      <c r="D1836" s="35" t="n"/>
      <c r="E1836" s="36" t="n"/>
      <c r="F1836" s="36" t="n"/>
      <c r="G1836" s="36" t="n"/>
      <c r="H1836" s="36" t="n"/>
      <c r="I1836" s="36" t="n"/>
      <c r="J1836" s="37" t="n"/>
      <c r="K1836" s="32" t="n"/>
      <c r="L1836" s="36" t="n"/>
      <c r="M1836" s="41" t="n"/>
      <c r="N1836" s="41" t="n"/>
      <c r="O1836" s="36" t="n"/>
      <c r="P1836" s="33">
        <f>IF(C1836="","",Commercial_Id)</f>
        <v/>
      </c>
      <c r="Q1836" s="39">
        <f>IF(F1836="","",IFERROR(VALUE(MID(F1836,LEN(F1836)-3,3)),""))</f>
        <v/>
      </c>
      <c r="R1836" s="33">
        <f>IF(Q1836="","",P1836&amp;"|"&amp;Q1836)</f>
        <v/>
      </c>
      <c r="S1836" s="33">
        <f>IF(Q1836="","",IF(P1836="À RENSEIGNER","GIC",P1836)&amp;"-"&amp;TEXT(Q1836,"000"))</f>
        <v/>
      </c>
      <c r="T1836" s="33">
        <f>IF(R1836="","",IFERROR(INDEX(Cl_nom,MATCH(R1836,Cl_cle,0)),"(client introuvable)"))</f>
        <v/>
      </c>
      <c r="U1836" s="33">
        <f>IF(R1836="","",IFERROR(INDEX(Cl_quartier,MATCH(R1836,Cl_cle,0))&amp;"",""))</f>
        <v/>
      </c>
      <c r="V1836" s="34">
        <f>IF(C1836="","",YEAR(C1836-WEEKDAY(C1836,2)+4)&amp;"-S"&amp;TEXT(INT((C1836-DATE(YEAR(C1836-WEEKDAY(C1836,2)+4),1,3)+WEEKDAY(DATE(YEAR(C1836-WEEKDAY(C1836,2)+4),1,3),2)+5)/7),"00"))</f>
        <v/>
      </c>
    </row>
    <row r="1837" ht="18" customHeight="1">
      <c r="A1837" s="39" t="n">
        <v>1832</v>
      </c>
      <c r="B1837" s="33">
        <f>IF(C1837="","",IF(P1837="À RENSEIGNER","GIC",P1837)&amp;"-V"&amp;TEXT(A1837,"00000"))</f>
        <v/>
      </c>
      <c r="C1837" s="32" t="n"/>
      <c r="D1837" s="35" t="n"/>
      <c r="E1837" s="36" t="n"/>
      <c r="F1837" s="36" t="n"/>
      <c r="G1837" s="36" t="n"/>
      <c r="H1837" s="36" t="n"/>
      <c r="I1837" s="36" t="n"/>
      <c r="J1837" s="37" t="n"/>
      <c r="K1837" s="32" t="n"/>
      <c r="L1837" s="36" t="n"/>
      <c r="M1837" s="41" t="n"/>
      <c r="N1837" s="41" t="n"/>
      <c r="O1837" s="36" t="n"/>
      <c r="P1837" s="33">
        <f>IF(C1837="","",Commercial_Id)</f>
        <v/>
      </c>
      <c r="Q1837" s="39">
        <f>IF(F1837="","",IFERROR(VALUE(MID(F1837,LEN(F1837)-3,3)),""))</f>
        <v/>
      </c>
      <c r="R1837" s="33">
        <f>IF(Q1837="","",P1837&amp;"|"&amp;Q1837)</f>
        <v/>
      </c>
      <c r="S1837" s="33">
        <f>IF(Q1837="","",IF(P1837="À RENSEIGNER","GIC",P1837)&amp;"-"&amp;TEXT(Q1837,"000"))</f>
        <v/>
      </c>
      <c r="T1837" s="33">
        <f>IF(R1837="","",IFERROR(INDEX(Cl_nom,MATCH(R1837,Cl_cle,0)),"(client introuvable)"))</f>
        <v/>
      </c>
      <c r="U1837" s="33">
        <f>IF(R1837="","",IFERROR(INDEX(Cl_quartier,MATCH(R1837,Cl_cle,0))&amp;"",""))</f>
        <v/>
      </c>
      <c r="V1837" s="34">
        <f>IF(C1837="","",YEAR(C1837-WEEKDAY(C1837,2)+4)&amp;"-S"&amp;TEXT(INT((C1837-DATE(YEAR(C1837-WEEKDAY(C1837,2)+4),1,3)+WEEKDAY(DATE(YEAR(C1837-WEEKDAY(C1837,2)+4),1,3),2)+5)/7),"00"))</f>
        <v/>
      </c>
    </row>
    <row r="1838" ht="18" customHeight="1">
      <c r="A1838" s="39" t="n">
        <v>1833</v>
      </c>
      <c r="B1838" s="33">
        <f>IF(C1838="","",IF(P1838="À RENSEIGNER","GIC",P1838)&amp;"-V"&amp;TEXT(A1838,"00000"))</f>
        <v/>
      </c>
      <c r="C1838" s="32" t="n"/>
      <c r="D1838" s="35" t="n"/>
      <c r="E1838" s="36" t="n"/>
      <c r="F1838" s="36" t="n"/>
      <c r="G1838" s="36" t="n"/>
      <c r="H1838" s="36" t="n"/>
      <c r="I1838" s="36" t="n"/>
      <c r="J1838" s="37" t="n"/>
      <c r="K1838" s="32" t="n"/>
      <c r="L1838" s="36" t="n"/>
      <c r="M1838" s="41" t="n"/>
      <c r="N1838" s="41" t="n"/>
      <c r="O1838" s="36" t="n"/>
      <c r="P1838" s="33">
        <f>IF(C1838="","",Commercial_Id)</f>
        <v/>
      </c>
      <c r="Q1838" s="39">
        <f>IF(F1838="","",IFERROR(VALUE(MID(F1838,LEN(F1838)-3,3)),""))</f>
        <v/>
      </c>
      <c r="R1838" s="33">
        <f>IF(Q1838="","",P1838&amp;"|"&amp;Q1838)</f>
        <v/>
      </c>
      <c r="S1838" s="33">
        <f>IF(Q1838="","",IF(P1838="À RENSEIGNER","GIC",P1838)&amp;"-"&amp;TEXT(Q1838,"000"))</f>
        <v/>
      </c>
      <c r="T1838" s="33">
        <f>IF(R1838="","",IFERROR(INDEX(Cl_nom,MATCH(R1838,Cl_cle,0)),"(client introuvable)"))</f>
        <v/>
      </c>
      <c r="U1838" s="33">
        <f>IF(R1838="","",IFERROR(INDEX(Cl_quartier,MATCH(R1838,Cl_cle,0))&amp;"",""))</f>
        <v/>
      </c>
      <c r="V1838" s="34">
        <f>IF(C1838="","",YEAR(C1838-WEEKDAY(C1838,2)+4)&amp;"-S"&amp;TEXT(INT((C1838-DATE(YEAR(C1838-WEEKDAY(C1838,2)+4),1,3)+WEEKDAY(DATE(YEAR(C1838-WEEKDAY(C1838,2)+4),1,3),2)+5)/7),"00"))</f>
        <v/>
      </c>
    </row>
    <row r="1839" ht="18" customHeight="1">
      <c r="A1839" s="39" t="n">
        <v>1834</v>
      </c>
      <c r="B1839" s="33">
        <f>IF(C1839="","",IF(P1839="À RENSEIGNER","GIC",P1839)&amp;"-V"&amp;TEXT(A1839,"00000"))</f>
        <v/>
      </c>
      <c r="C1839" s="32" t="n"/>
      <c r="D1839" s="35" t="n"/>
      <c r="E1839" s="36" t="n"/>
      <c r="F1839" s="36" t="n"/>
      <c r="G1839" s="36" t="n"/>
      <c r="H1839" s="36" t="n"/>
      <c r="I1839" s="36" t="n"/>
      <c r="J1839" s="37" t="n"/>
      <c r="K1839" s="32" t="n"/>
      <c r="L1839" s="36" t="n"/>
      <c r="M1839" s="41" t="n"/>
      <c r="N1839" s="41" t="n"/>
      <c r="O1839" s="36" t="n"/>
      <c r="P1839" s="33">
        <f>IF(C1839="","",Commercial_Id)</f>
        <v/>
      </c>
      <c r="Q1839" s="39">
        <f>IF(F1839="","",IFERROR(VALUE(MID(F1839,LEN(F1839)-3,3)),""))</f>
        <v/>
      </c>
      <c r="R1839" s="33">
        <f>IF(Q1839="","",P1839&amp;"|"&amp;Q1839)</f>
        <v/>
      </c>
      <c r="S1839" s="33">
        <f>IF(Q1839="","",IF(P1839="À RENSEIGNER","GIC",P1839)&amp;"-"&amp;TEXT(Q1839,"000"))</f>
        <v/>
      </c>
      <c r="T1839" s="33">
        <f>IF(R1839="","",IFERROR(INDEX(Cl_nom,MATCH(R1839,Cl_cle,0)),"(client introuvable)"))</f>
        <v/>
      </c>
      <c r="U1839" s="33">
        <f>IF(R1839="","",IFERROR(INDEX(Cl_quartier,MATCH(R1839,Cl_cle,0))&amp;"",""))</f>
        <v/>
      </c>
      <c r="V1839" s="34">
        <f>IF(C1839="","",YEAR(C1839-WEEKDAY(C1839,2)+4)&amp;"-S"&amp;TEXT(INT((C1839-DATE(YEAR(C1839-WEEKDAY(C1839,2)+4),1,3)+WEEKDAY(DATE(YEAR(C1839-WEEKDAY(C1839,2)+4),1,3),2)+5)/7),"00"))</f>
        <v/>
      </c>
    </row>
    <row r="1840" ht="18" customHeight="1">
      <c r="A1840" s="39" t="n">
        <v>1835</v>
      </c>
      <c r="B1840" s="33">
        <f>IF(C1840="","",IF(P1840="À RENSEIGNER","GIC",P1840)&amp;"-V"&amp;TEXT(A1840,"00000"))</f>
        <v/>
      </c>
      <c r="C1840" s="32" t="n"/>
      <c r="D1840" s="35" t="n"/>
      <c r="E1840" s="36" t="n"/>
      <c r="F1840" s="36" t="n"/>
      <c r="G1840" s="36" t="n"/>
      <c r="H1840" s="36" t="n"/>
      <c r="I1840" s="36" t="n"/>
      <c r="J1840" s="37" t="n"/>
      <c r="K1840" s="32" t="n"/>
      <c r="L1840" s="36" t="n"/>
      <c r="M1840" s="41" t="n"/>
      <c r="N1840" s="41" t="n"/>
      <c r="O1840" s="36" t="n"/>
      <c r="P1840" s="33">
        <f>IF(C1840="","",Commercial_Id)</f>
        <v/>
      </c>
      <c r="Q1840" s="39">
        <f>IF(F1840="","",IFERROR(VALUE(MID(F1840,LEN(F1840)-3,3)),""))</f>
        <v/>
      </c>
      <c r="R1840" s="33">
        <f>IF(Q1840="","",P1840&amp;"|"&amp;Q1840)</f>
        <v/>
      </c>
      <c r="S1840" s="33">
        <f>IF(Q1840="","",IF(P1840="À RENSEIGNER","GIC",P1840)&amp;"-"&amp;TEXT(Q1840,"000"))</f>
        <v/>
      </c>
      <c r="T1840" s="33">
        <f>IF(R1840="","",IFERROR(INDEX(Cl_nom,MATCH(R1840,Cl_cle,0)),"(client introuvable)"))</f>
        <v/>
      </c>
      <c r="U1840" s="33">
        <f>IF(R1840="","",IFERROR(INDEX(Cl_quartier,MATCH(R1840,Cl_cle,0))&amp;"",""))</f>
        <v/>
      </c>
      <c r="V1840" s="34">
        <f>IF(C1840="","",YEAR(C1840-WEEKDAY(C1840,2)+4)&amp;"-S"&amp;TEXT(INT((C1840-DATE(YEAR(C1840-WEEKDAY(C1840,2)+4),1,3)+WEEKDAY(DATE(YEAR(C1840-WEEKDAY(C1840,2)+4),1,3),2)+5)/7),"00"))</f>
        <v/>
      </c>
    </row>
    <row r="1841" ht="18" customHeight="1">
      <c r="A1841" s="39" t="n">
        <v>1836</v>
      </c>
      <c r="B1841" s="33">
        <f>IF(C1841="","",IF(P1841="À RENSEIGNER","GIC",P1841)&amp;"-V"&amp;TEXT(A1841,"00000"))</f>
        <v/>
      </c>
      <c r="C1841" s="32" t="n"/>
      <c r="D1841" s="35" t="n"/>
      <c r="E1841" s="36" t="n"/>
      <c r="F1841" s="36" t="n"/>
      <c r="G1841" s="36" t="n"/>
      <c r="H1841" s="36" t="n"/>
      <c r="I1841" s="36" t="n"/>
      <c r="J1841" s="37" t="n"/>
      <c r="K1841" s="32" t="n"/>
      <c r="L1841" s="36" t="n"/>
      <c r="M1841" s="41" t="n"/>
      <c r="N1841" s="41" t="n"/>
      <c r="O1841" s="36" t="n"/>
      <c r="P1841" s="33">
        <f>IF(C1841="","",Commercial_Id)</f>
        <v/>
      </c>
      <c r="Q1841" s="39">
        <f>IF(F1841="","",IFERROR(VALUE(MID(F1841,LEN(F1841)-3,3)),""))</f>
        <v/>
      </c>
      <c r="R1841" s="33">
        <f>IF(Q1841="","",P1841&amp;"|"&amp;Q1841)</f>
        <v/>
      </c>
      <c r="S1841" s="33">
        <f>IF(Q1841="","",IF(P1841="À RENSEIGNER","GIC",P1841)&amp;"-"&amp;TEXT(Q1841,"000"))</f>
        <v/>
      </c>
      <c r="T1841" s="33">
        <f>IF(R1841="","",IFERROR(INDEX(Cl_nom,MATCH(R1841,Cl_cle,0)),"(client introuvable)"))</f>
        <v/>
      </c>
      <c r="U1841" s="33">
        <f>IF(R1841="","",IFERROR(INDEX(Cl_quartier,MATCH(R1841,Cl_cle,0))&amp;"",""))</f>
        <v/>
      </c>
      <c r="V1841" s="34">
        <f>IF(C1841="","",YEAR(C1841-WEEKDAY(C1841,2)+4)&amp;"-S"&amp;TEXT(INT((C1841-DATE(YEAR(C1841-WEEKDAY(C1841,2)+4),1,3)+WEEKDAY(DATE(YEAR(C1841-WEEKDAY(C1841,2)+4),1,3),2)+5)/7),"00"))</f>
        <v/>
      </c>
    </row>
    <row r="1842" ht="18" customHeight="1">
      <c r="A1842" s="39" t="n">
        <v>1837</v>
      </c>
      <c r="B1842" s="33">
        <f>IF(C1842="","",IF(P1842="À RENSEIGNER","GIC",P1842)&amp;"-V"&amp;TEXT(A1842,"00000"))</f>
        <v/>
      </c>
      <c r="C1842" s="32" t="n"/>
      <c r="D1842" s="35" t="n"/>
      <c r="E1842" s="36" t="n"/>
      <c r="F1842" s="36" t="n"/>
      <c r="G1842" s="36" t="n"/>
      <c r="H1842" s="36" t="n"/>
      <c r="I1842" s="36" t="n"/>
      <c r="J1842" s="37" t="n"/>
      <c r="K1842" s="32" t="n"/>
      <c r="L1842" s="36" t="n"/>
      <c r="M1842" s="41" t="n"/>
      <c r="N1842" s="41" t="n"/>
      <c r="O1842" s="36" t="n"/>
      <c r="P1842" s="33">
        <f>IF(C1842="","",Commercial_Id)</f>
        <v/>
      </c>
      <c r="Q1842" s="39">
        <f>IF(F1842="","",IFERROR(VALUE(MID(F1842,LEN(F1842)-3,3)),""))</f>
        <v/>
      </c>
      <c r="R1842" s="33">
        <f>IF(Q1842="","",P1842&amp;"|"&amp;Q1842)</f>
        <v/>
      </c>
      <c r="S1842" s="33">
        <f>IF(Q1842="","",IF(P1842="À RENSEIGNER","GIC",P1842)&amp;"-"&amp;TEXT(Q1842,"000"))</f>
        <v/>
      </c>
      <c r="T1842" s="33">
        <f>IF(R1842="","",IFERROR(INDEX(Cl_nom,MATCH(R1842,Cl_cle,0)),"(client introuvable)"))</f>
        <v/>
      </c>
      <c r="U1842" s="33">
        <f>IF(R1842="","",IFERROR(INDEX(Cl_quartier,MATCH(R1842,Cl_cle,0))&amp;"",""))</f>
        <v/>
      </c>
      <c r="V1842" s="34">
        <f>IF(C1842="","",YEAR(C1842-WEEKDAY(C1842,2)+4)&amp;"-S"&amp;TEXT(INT((C1842-DATE(YEAR(C1842-WEEKDAY(C1842,2)+4),1,3)+WEEKDAY(DATE(YEAR(C1842-WEEKDAY(C1842,2)+4),1,3),2)+5)/7),"00"))</f>
        <v/>
      </c>
    </row>
    <row r="1843" ht="18" customHeight="1">
      <c r="A1843" s="39" t="n">
        <v>1838</v>
      </c>
      <c r="B1843" s="33">
        <f>IF(C1843="","",IF(P1843="À RENSEIGNER","GIC",P1843)&amp;"-V"&amp;TEXT(A1843,"00000"))</f>
        <v/>
      </c>
      <c r="C1843" s="32" t="n"/>
      <c r="D1843" s="35" t="n"/>
      <c r="E1843" s="36" t="n"/>
      <c r="F1843" s="36" t="n"/>
      <c r="G1843" s="36" t="n"/>
      <c r="H1843" s="36" t="n"/>
      <c r="I1843" s="36" t="n"/>
      <c r="J1843" s="37" t="n"/>
      <c r="K1843" s="32" t="n"/>
      <c r="L1843" s="36" t="n"/>
      <c r="M1843" s="41" t="n"/>
      <c r="N1843" s="41" t="n"/>
      <c r="O1843" s="36" t="n"/>
      <c r="P1843" s="33">
        <f>IF(C1843="","",Commercial_Id)</f>
        <v/>
      </c>
      <c r="Q1843" s="39">
        <f>IF(F1843="","",IFERROR(VALUE(MID(F1843,LEN(F1843)-3,3)),""))</f>
        <v/>
      </c>
      <c r="R1843" s="33">
        <f>IF(Q1843="","",P1843&amp;"|"&amp;Q1843)</f>
        <v/>
      </c>
      <c r="S1843" s="33">
        <f>IF(Q1843="","",IF(P1843="À RENSEIGNER","GIC",P1843)&amp;"-"&amp;TEXT(Q1843,"000"))</f>
        <v/>
      </c>
      <c r="T1843" s="33">
        <f>IF(R1843="","",IFERROR(INDEX(Cl_nom,MATCH(R1843,Cl_cle,0)),"(client introuvable)"))</f>
        <v/>
      </c>
      <c r="U1843" s="33">
        <f>IF(R1843="","",IFERROR(INDEX(Cl_quartier,MATCH(R1843,Cl_cle,0))&amp;"",""))</f>
        <v/>
      </c>
      <c r="V1843" s="34">
        <f>IF(C1843="","",YEAR(C1843-WEEKDAY(C1843,2)+4)&amp;"-S"&amp;TEXT(INT((C1843-DATE(YEAR(C1843-WEEKDAY(C1843,2)+4),1,3)+WEEKDAY(DATE(YEAR(C1843-WEEKDAY(C1843,2)+4),1,3),2)+5)/7),"00"))</f>
        <v/>
      </c>
    </row>
    <row r="1844" ht="18" customHeight="1">
      <c r="A1844" s="39" t="n">
        <v>1839</v>
      </c>
      <c r="B1844" s="33">
        <f>IF(C1844="","",IF(P1844="À RENSEIGNER","GIC",P1844)&amp;"-V"&amp;TEXT(A1844,"00000"))</f>
        <v/>
      </c>
      <c r="C1844" s="32" t="n"/>
      <c r="D1844" s="35" t="n"/>
      <c r="E1844" s="36" t="n"/>
      <c r="F1844" s="36" t="n"/>
      <c r="G1844" s="36" t="n"/>
      <c r="H1844" s="36" t="n"/>
      <c r="I1844" s="36" t="n"/>
      <c r="J1844" s="37" t="n"/>
      <c r="K1844" s="32" t="n"/>
      <c r="L1844" s="36" t="n"/>
      <c r="M1844" s="41" t="n"/>
      <c r="N1844" s="41" t="n"/>
      <c r="O1844" s="36" t="n"/>
      <c r="P1844" s="33">
        <f>IF(C1844="","",Commercial_Id)</f>
        <v/>
      </c>
      <c r="Q1844" s="39">
        <f>IF(F1844="","",IFERROR(VALUE(MID(F1844,LEN(F1844)-3,3)),""))</f>
        <v/>
      </c>
      <c r="R1844" s="33">
        <f>IF(Q1844="","",P1844&amp;"|"&amp;Q1844)</f>
        <v/>
      </c>
      <c r="S1844" s="33">
        <f>IF(Q1844="","",IF(P1844="À RENSEIGNER","GIC",P1844)&amp;"-"&amp;TEXT(Q1844,"000"))</f>
        <v/>
      </c>
      <c r="T1844" s="33">
        <f>IF(R1844="","",IFERROR(INDEX(Cl_nom,MATCH(R1844,Cl_cle,0)),"(client introuvable)"))</f>
        <v/>
      </c>
      <c r="U1844" s="33">
        <f>IF(R1844="","",IFERROR(INDEX(Cl_quartier,MATCH(R1844,Cl_cle,0))&amp;"",""))</f>
        <v/>
      </c>
      <c r="V1844" s="34">
        <f>IF(C1844="","",YEAR(C1844-WEEKDAY(C1844,2)+4)&amp;"-S"&amp;TEXT(INT((C1844-DATE(YEAR(C1844-WEEKDAY(C1844,2)+4),1,3)+WEEKDAY(DATE(YEAR(C1844-WEEKDAY(C1844,2)+4),1,3),2)+5)/7),"00"))</f>
        <v/>
      </c>
    </row>
    <row r="1845" ht="18" customHeight="1">
      <c r="A1845" s="39" t="n">
        <v>1840</v>
      </c>
      <c r="B1845" s="33">
        <f>IF(C1845="","",IF(P1845="À RENSEIGNER","GIC",P1845)&amp;"-V"&amp;TEXT(A1845,"00000"))</f>
        <v/>
      </c>
      <c r="C1845" s="32" t="n"/>
      <c r="D1845" s="35" t="n"/>
      <c r="E1845" s="36" t="n"/>
      <c r="F1845" s="36" t="n"/>
      <c r="G1845" s="36" t="n"/>
      <c r="H1845" s="36" t="n"/>
      <c r="I1845" s="36" t="n"/>
      <c r="J1845" s="37" t="n"/>
      <c r="K1845" s="32" t="n"/>
      <c r="L1845" s="36" t="n"/>
      <c r="M1845" s="41" t="n"/>
      <c r="N1845" s="41" t="n"/>
      <c r="O1845" s="36" t="n"/>
      <c r="P1845" s="33">
        <f>IF(C1845="","",Commercial_Id)</f>
        <v/>
      </c>
      <c r="Q1845" s="39">
        <f>IF(F1845="","",IFERROR(VALUE(MID(F1845,LEN(F1845)-3,3)),""))</f>
        <v/>
      </c>
      <c r="R1845" s="33">
        <f>IF(Q1845="","",P1845&amp;"|"&amp;Q1845)</f>
        <v/>
      </c>
      <c r="S1845" s="33">
        <f>IF(Q1845="","",IF(P1845="À RENSEIGNER","GIC",P1845)&amp;"-"&amp;TEXT(Q1845,"000"))</f>
        <v/>
      </c>
      <c r="T1845" s="33">
        <f>IF(R1845="","",IFERROR(INDEX(Cl_nom,MATCH(R1845,Cl_cle,0)),"(client introuvable)"))</f>
        <v/>
      </c>
      <c r="U1845" s="33">
        <f>IF(R1845="","",IFERROR(INDEX(Cl_quartier,MATCH(R1845,Cl_cle,0))&amp;"",""))</f>
        <v/>
      </c>
      <c r="V1845" s="34">
        <f>IF(C1845="","",YEAR(C1845-WEEKDAY(C1845,2)+4)&amp;"-S"&amp;TEXT(INT((C1845-DATE(YEAR(C1845-WEEKDAY(C1845,2)+4),1,3)+WEEKDAY(DATE(YEAR(C1845-WEEKDAY(C1845,2)+4),1,3),2)+5)/7),"00"))</f>
        <v/>
      </c>
    </row>
    <row r="1846" ht="18" customHeight="1">
      <c r="A1846" s="39" t="n">
        <v>1841</v>
      </c>
      <c r="B1846" s="33">
        <f>IF(C1846="","",IF(P1846="À RENSEIGNER","GIC",P1846)&amp;"-V"&amp;TEXT(A1846,"00000"))</f>
        <v/>
      </c>
      <c r="C1846" s="32" t="n"/>
      <c r="D1846" s="35" t="n"/>
      <c r="E1846" s="36" t="n"/>
      <c r="F1846" s="36" t="n"/>
      <c r="G1846" s="36" t="n"/>
      <c r="H1846" s="36" t="n"/>
      <c r="I1846" s="36" t="n"/>
      <c r="J1846" s="37" t="n"/>
      <c r="K1846" s="32" t="n"/>
      <c r="L1846" s="36" t="n"/>
      <c r="M1846" s="41" t="n"/>
      <c r="N1846" s="41" t="n"/>
      <c r="O1846" s="36" t="n"/>
      <c r="P1846" s="33">
        <f>IF(C1846="","",Commercial_Id)</f>
        <v/>
      </c>
      <c r="Q1846" s="39">
        <f>IF(F1846="","",IFERROR(VALUE(MID(F1846,LEN(F1846)-3,3)),""))</f>
        <v/>
      </c>
      <c r="R1846" s="33">
        <f>IF(Q1846="","",P1846&amp;"|"&amp;Q1846)</f>
        <v/>
      </c>
      <c r="S1846" s="33">
        <f>IF(Q1846="","",IF(P1846="À RENSEIGNER","GIC",P1846)&amp;"-"&amp;TEXT(Q1846,"000"))</f>
        <v/>
      </c>
      <c r="T1846" s="33">
        <f>IF(R1846="","",IFERROR(INDEX(Cl_nom,MATCH(R1846,Cl_cle,0)),"(client introuvable)"))</f>
        <v/>
      </c>
      <c r="U1846" s="33">
        <f>IF(R1846="","",IFERROR(INDEX(Cl_quartier,MATCH(R1846,Cl_cle,0))&amp;"",""))</f>
        <v/>
      </c>
      <c r="V1846" s="34">
        <f>IF(C1846="","",YEAR(C1846-WEEKDAY(C1846,2)+4)&amp;"-S"&amp;TEXT(INT((C1846-DATE(YEAR(C1846-WEEKDAY(C1846,2)+4),1,3)+WEEKDAY(DATE(YEAR(C1846-WEEKDAY(C1846,2)+4),1,3),2)+5)/7),"00"))</f>
        <v/>
      </c>
    </row>
    <row r="1847" ht="18" customHeight="1">
      <c r="A1847" s="39" t="n">
        <v>1842</v>
      </c>
      <c r="B1847" s="33">
        <f>IF(C1847="","",IF(P1847="À RENSEIGNER","GIC",P1847)&amp;"-V"&amp;TEXT(A1847,"00000"))</f>
        <v/>
      </c>
      <c r="C1847" s="32" t="n"/>
      <c r="D1847" s="35" t="n"/>
      <c r="E1847" s="36" t="n"/>
      <c r="F1847" s="36" t="n"/>
      <c r="G1847" s="36" t="n"/>
      <c r="H1847" s="36" t="n"/>
      <c r="I1847" s="36" t="n"/>
      <c r="J1847" s="37" t="n"/>
      <c r="K1847" s="32" t="n"/>
      <c r="L1847" s="36" t="n"/>
      <c r="M1847" s="41" t="n"/>
      <c r="N1847" s="41" t="n"/>
      <c r="O1847" s="36" t="n"/>
      <c r="P1847" s="33">
        <f>IF(C1847="","",Commercial_Id)</f>
        <v/>
      </c>
      <c r="Q1847" s="39">
        <f>IF(F1847="","",IFERROR(VALUE(MID(F1847,LEN(F1847)-3,3)),""))</f>
        <v/>
      </c>
      <c r="R1847" s="33">
        <f>IF(Q1847="","",P1847&amp;"|"&amp;Q1847)</f>
        <v/>
      </c>
      <c r="S1847" s="33">
        <f>IF(Q1847="","",IF(P1847="À RENSEIGNER","GIC",P1847)&amp;"-"&amp;TEXT(Q1847,"000"))</f>
        <v/>
      </c>
      <c r="T1847" s="33">
        <f>IF(R1847="","",IFERROR(INDEX(Cl_nom,MATCH(R1847,Cl_cle,0)),"(client introuvable)"))</f>
        <v/>
      </c>
      <c r="U1847" s="33">
        <f>IF(R1847="","",IFERROR(INDEX(Cl_quartier,MATCH(R1847,Cl_cle,0))&amp;"",""))</f>
        <v/>
      </c>
      <c r="V1847" s="34">
        <f>IF(C1847="","",YEAR(C1847-WEEKDAY(C1847,2)+4)&amp;"-S"&amp;TEXT(INT((C1847-DATE(YEAR(C1847-WEEKDAY(C1847,2)+4),1,3)+WEEKDAY(DATE(YEAR(C1847-WEEKDAY(C1847,2)+4),1,3),2)+5)/7),"00"))</f>
        <v/>
      </c>
    </row>
    <row r="1848" ht="18" customHeight="1">
      <c r="A1848" s="39" t="n">
        <v>1843</v>
      </c>
      <c r="B1848" s="33">
        <f>IF(C1848="","",IF(P1848="À RENSEIGNER","GIC",P1848)&amp;"-V"&amp;TEXT(A1848,"00000"))</f>
        <v/>
      </c>
      <c r="C1848" s="32" t="n"/>
      <c r="D1848" s="35" t="n"/>
      <c r="E1848" s="36" t="n"/>
      <c r="F1848" s="36" t="n"/>
      <c r="G1848" s="36" t="n"/>
      <c r="H1848" s="36" t="n"/>
      <c r="I1848" s="36" t="n"/>
      <c r="J1848" s="37" t="n"/>
      <c r="K1848" s="32" t="n"/>
      <c r="L1848" s="36" t="n"/>
      <c r="M1848" s="41" t="n"/>
      <c r="N1848" s="41" t="n"/>
      <c r="O1848" s="36" t="n"/>
      <c r="P1848" s="33">
        <f>IF(C1848="","",Commercial_Id)</f>
        <v/>
      </c>
      <c r="Q1848" s="39">
        <f>IF(F1848="","",IFERROR(VALUE(MID(F1848,LEN(F1848)-3,3)),""))</f>
        <v/>
      </c>
      <c r="R1848" s="33">
        <f>IF(Q1848="","",P1848&amp;"|"&amp;Q1848)</f>
        <v/>
      </c>
      <c r="S1848" s="33">
        <f>IF(Q1848="","",IF(P1848="À RENSEIGNER","GIC",P1848)&amp;"-"&amp;TEXT(Q1848,"000"))</f>
        <v/>
      </c>
      <c r="T1848" s="33">
        <f>IF(R1848="","",IFERROR(INDEX(Cl_nom,MATCH(R1848,Cl_cle,0)),"(client introuvable)"))</f>
        <v/>
      </c>
      <c r="U1848" s="33">
        <f>IF(R1848="","",IFERROR(INDEX(Cl_quartier,MATCH(R1848,Cl_cle,0))&amp;"",""))</f>
        <v/>
      </c>
      <c r="V1848" s="34">
        <f>IF(C1848="","",YEAR(C1848-WEEKDAY(C1848,2)+4)&amp;"-S"&amp;TEXT(INT((C1848-DATE(YEAR(C1848-WEEKDAY(C1848,2)+4),1,3)+WEEKDAY(DATE(YEAR(C1848-WEEKDAY(C1848,2)+4),1,3),2)+5)/7),"00"))</f>
        <v/>
      </c>
    </row>
    <row r="1849" ht="18" customHeight="1">
      <c r="A1849" s="39" t="n">
        <v>1844</v>
      </c>
      <c r="B1849" s="33">
        <f>IF(C1849="","",IF(P1849="À RENSEIGNER","GIC",P1849)&amp;"-V"&amp;TEXT(A1849,"00000"))</f>
        <v/>
      </c>
      <c r="C1849" s="32" t="n"/>
      <c r="D1849" s="35" t="n"/>
      <c r="E1849" s="36" t="n"/>
      <c r="F1849" s="36" t="n"/>
      <c r="G1849" s="36" t="n"/>
      <c r="H1849" s="36" t="n"/>
      <c r="I1849" s="36" t="n"/>
      <c r="J1849" s="37" t="n"/>
      <c r="K1849" s="32" t="n"/>
      <c r="L1849" s="36" t="n"/>
      <c r="M1849" s="41" t="n"/>
      <c r="N1849" s="41" t="n"/>
      <c r="O1849" s="36" t="n"/>
      <c r="P1849" s="33">
        <f>IF(C1849="","",Commercial_Id)</f>
        <v/>
      </c>
      <c r="Q1849" s="39">
        <f>IF(F1849="","",IFERROR(VALUE(MID(F1849,LEN(F1849)-3,3)),""))</f>
        <v/>
      </c>
      <c r="R1849" s="33">
        <f>IF(Q1849="","",P1849&amp;"|"&amp;Q1849)</f>
        <v/>
      </c>
      <c r="S1849" s="33">
        <f>IF(Q1849="","",IF(P1849="À RENSEIGNER","GIC",P1849)&amp;"-"&amp;TEXT(Q1849,"000"))</f>
        <v/>
      </c>
      <c r="T1849" s="33">
        <f>IF(R1849="","",IFERROR(INDEX(Cl_nom,MATCH(R1849,Cl_cle,0)),"(client introuvable)"))</f>
        <v/>
      </c>
      <c r="U1849" s="33">
        <f>IF(R1849="","",IFERROR(INDEX(Cl_quartier,MATCH(R1849,Cl_cle,0))&amp;"",""))</f>
        <v/>
      </c>
      <c r="V1849" s="34">
        <f>IF(C1849="","",YEAR(C1849-WEEKDAY(C1849,2)+4)&amp;"-S"&amp;TEXT(INT((C1849-DATE(YEAR(C1849-WEEKDAY(C1849,2)+4),1,3)+WEEKDAY(DATE(YEAR(C1849-WEEKDAY(C1849,2)+4),1,3),2)+5)/7),"00"))</f>
        <v/>
      </c>
    </row>
    <row r="1850" ht="18" customHeight="1">
      <c r="A1850" s="39" t="n">
        <v>1845</v>
      </c>
      <c r="B1850" s="33">
        <f>IF(C1850="","",IF(P1850="À RENSEIGNER","GIC",P1850)&amp;"-V"&amp;TEXT(A1850,"00000"))</f>
        <v/>
      </c>
      <c r="C1850" s="32" t="n"/>
      <c r="D1850" s="35" t="n"/>
      <c r="E1850" s="36" t="n"/>
      <c r="F1850" s="36" t="n"/>
      <c r="G1850" s="36" t="n"/>
      <c r="H1850" s="36" t="n"/>
      <c r="I1850" s="36" t="n"/>
      <c r="J1850" s="37" t="n"/>
      <c r="K1850" s="32" t="n"/>
      <c r="L1850" s="36" t="n"/>
      <c r="M1850" s="41" t="n"/>
      <c r="N1850" s="41" t="n"/>
      <c r="O1850" s="36" t="n"/>
      <c r="P1850" s="33">
        <f>IF(C1850="","",Commercial_Id)</f>
        <v/>
      </c>
      <c r="Q1850" s="39">
        <f>IF(F1850="","",IFERROR(VALUE(MID(F1850,LEN(F1850)-3,3)),""))</f>
        <v/>
      </c>
      <c r="R1850" s="33">
        <f>IF(Q1850="","",P1850&amp;"|"&amp;Q1850)</f>
        <v/>
      </c>
      <c r="S1850" s="33">
        <f>IF(Q1850="","",IF(P1850="À RENSEIGNER","GIC",P1850)&amp;"-"&amp;TEXT(Q1850,"000"))</f>
        <v/>
      </c>
      <c r="T1850" s="33">
        <f>IF(R1850="","",IFERROR(INDEX(Cl_nom,MATCH(R1850,Cl_cle,0)),"(client introuvable)"))</f>
        <v/>
      </c>
      <c r="U1850" s="33">
        <f>IF(R1850="","",IFERROR(INDEX(Cl_quartier,MATCH(R1850,Cl_cle,0))&amp;"",""))</f>
        <v/>
      </c>
      <c r="V1850" s="34">
        <f>IF(C1850="","",YEAR(C1850-WEEKDAY(C1850,2)+4)&amp;"-S"&amp;TEXT(INT((C1850-DATE(YEAR(C1850-WEEKDAY(C1850,2)+4),1,3)+WEEKDAY(DATE(YEAR(C1850-WEEKDAY(C1850,2)+4),1,3),2)+5)/7),"00"))</f>
        <v/>
      </c>
    </row>
    <row r="1851" ht="18" customHeight="1">
      <c r="A1851" s="39" t="n">
        <v>1846</v>
      </c>
      <c r="B1851" s="33">
        <f>IF(C1851="","",IF(P1851="À RENSEIGNER","GIC",P1851)&amp;"-V"&amp;TEXT(A1851,"00000"))</f>
        <v/>
      </c>
      <c r="C1851" s="32" t="n"/>
      <c r="D1851" s="35" t="n"/>
      <c r="E1851" s="36" t="n"/>
      <c r="F1851" s="36" t="n"/>
      <c r="G1851" s="36" t="n"/>
      <c r="H1851" s="36" t="n"/>
      <c r="I1851" s="36" t="n"/>
      <c r="J1851" s="37" t="n"/>
      <c r="K1851" s="32" t="n"/>
      <c r="L1851" s="36" t="n"/>
      <c r="M1851" s="41" t="n"/>
      <c r="N1851" s="41" t="n"/>
      <c r="O1851" s="36" t="n"/>
      <c r="P1851" s="33">
        <f>IF(C1851="","",Commercial_Id)</f>
        <v/>
      </c>
      <c r="Q1851" s="39">
        <f>IF(F1851="","",IFERROR(VALUE(MID(F1851,LEN(F1851)-3,3)),""))</f>
        <v/>
      </c>
      <c r="R1851" s="33">
        <f>IF(Q1851="","",P1851&amp;"|"&amp;Q1851)</f>
        <v/>
      </c>
      <c r="S1851" s="33">
        <f>IF(Q1851="","",IF(P1851="À RENSEIGNER","GIC",P1851)&amp;"-"&amp;TEXT(Q1851,"000"))</f>
        <v/>
      </c>
      <c r="T1851" s="33">
        <f>IF(R1851="","",IFERROR(INDEX(Cl_nom,MATCH(R1851,Cl_cle,0)),"(client introuvable)"))</f>
        <v/>
      </c>
      <c r="U1851" s="33">
        <f>IF(R1851="","",IFERROR(INDEX(Cl_quartier,MATCH(R1851,Cl_cle,0))&amp;"",""))</f>
        <v/>
      </c>
      <c r="V1851" s="34">
        <f>IF(C1851="","",YEAR(C1851-WEEKDAY(C1851,2)+4)&amp;"-S"&amp;TEXT(INT((C1851-DATE(YEAR(C1851-WEEKDAY(C1851,2)+4),1,3)+WEEKDAY(DATE(YEAR(C1851-WEEKDAY(C1851,2)+4),1,3),2)+5)/7),"00"))</f>
        <v/>
      </c>
    </row>
    <row r="1852" ht="18" customHeight="1">
      <c r="A1852" s="39" t="n">
        <v>1847</v>
      </c>
      <c r="B1852" s="33">
        <f>IF(C1852="","",IF(P1852="À RENSEIGNER","GIC",P1852)&amp;"-V"&amp;TEXT(A1852,"00000"))</f>
        <v/>
      </c>
      <c r="C1852" s="32" t="n"/>
      <c r="D1852" s="35" t="n"/>
      <c r="E1852" s="36" t="n"/>
      <c r="F1852" s="36" t="n"/>
      <c r="G1852" s="36" t="n"/>
      <c r="H1852" s="36" t="n"/>
      <c r="I1852" s="36" t="n"/>
      <c r="J1852" s="37" t="n"/>
      <c r="K1852" s="32" t="n"/>
      <c r="L1852" s="36" t="n"/>
      <c r="M1852" s="41" t="n"/>
      <c r="N1852" s="41" t="n"/>
      <c r="O1852" s="36" t="n"/>
      <c r="P1852" s="33">
        <f>IF(C1852="","",Commercial_Id)</f>
        <v/>
      </c>
      <c r="Q1852" s="39">
        <f>IF(F1852="","",IFERROR(VALUE(MID(F1852,LEN(F1852)-3,3)),""))</f>
        <v/>
      </c>
      <c r="R1852" s="33">
        <f>IF(Q1852="","",P1852&amp;"|"&amp;Q1852)</f>
        <v/>
      </c>
      <c r="S1852" s="33">
        <f>IF(Q1852="","",IF(P1852="À RENSEIGNER","GIC",P1852)&amp;"-"&amp;TEXT(Q1852,"000"))</f>
        <v/>
      </c>
      <c r="T1852" s="33">
        <f>IF(R1852="","",IFERROR(INDEX(Cl_nom,MATCH(R1852,Cl_cle,0)),"(client introuvable)"))</f>
        <v/>
      </c>
      <c r="U1852" s="33">
        <f>IF(R1852="","",IFERROR(INDEX(Cl_quartier,MATCH(R1852,Cl_cle,0))&amp;"",""))</f>
        <v/>
      </c>
      <c r="V1852" s="34">
        <f>IF(C1852="","",YEAR(C1852-WEEKDAY(C1852,2)+4)&amp;"-S"&amp;TEXT(INT((C1852-DATE(YEAR(C1852-WEEKDAY(C1852,2)+4),1,3)+WEEKDAY(DATE(YEAR(C1852-WEEKDAY(C1852,2)+4),1,3),2)+5)/7),"00"))</f>
        <v/>
      </c>
    </row>
    <row r="1853" ht="18" customHeight="1">
      <c r="A1853" s="39" t="n">
        <v>1848</v>
      </c>
      <c r="B1853" s="33">
        <f>IF(C1853="","",IF(P1853="À RENSEIGNER","GIC",P1853)&amp;"-V"&amp;TEXT(A1853,"00000"))</f>
        <v/>
      </c>
      <c r="C1853" s="32" t="n"/>
      <c r="D1853" s="35" t="n"/>
      <c r="E1853" s="36" t="n"/>
      <c r="F1853" s="36" t="n"/>
      <c r="G1853" s="36" t="n"/>
      <c r="H1853" s="36" t="n"/>
      <c r="I1853" s="36" t="n"/>
      <c r="J1853" s="37" t="n"/>
      <c r="K1853" s="32" t="n"/>
      <c r="L1853" s="36" t="n"/>
      <c r="M1853" s="41" t="n"/>
      <c r="N1853" s="41" t="n"/>
      <c r="O1853" s="36" t="n"/>
      <c r="P1853" s="33">
        <f>IF(C1853="","",Commercial_Id)</f>
        <v/>
      </c>
      <c r="Q1853" s="39">
        <f>IF(F1853="","",IFERROR(VALUE(MID(F1853,LEN(F1853)-3,3)),""))</f>
        <v/>
      </c>
      <c r="R1853" s="33">
        <f>IF(Q1853="","",P1853&amp;"|"&amp;Q1853)</f>
        <v/>
      </c>
      <c r="S1853" s="33">
        <f>IF(Q1853="","",IF(P1853="À RENSEIGNER","GIC",P1853)&amp;"-"&amp;TEXT(Q1853,"000"))</f>
        <v/>
      </c>
      <c r="T1853" s="33">
        <f>IF(R1853="","",IFERROR(INDEX(Cl_nom,MATCH(R1853,Cl_cle,0)),"(client introuvable)"))</f>
        <v/>
      </c>
      <c r="U1853" s="33">
        <f>IF(R1853="","",IFERROR(INDEX(Cl_quartier,MATCH(R1853,Cl_cle,0))&amp;"",""))</f>
        <v/>
      </c>
      <c r="V1853" s="34">
        <f>IF(C1853="","",YEAR(C1853-WEEKDAY(C1853,2)+4)&amp;"-S"&amp;TEXT(INT((C1853-DATE(YEAR(C1853-WEEKDAY(C1853,2)+4),1,3)+WEEKDAY(DATE(YEAR(C1853-WEEKDAY(C1853,2)+4),1,3),2)+5)/7),"00"))</f>
        <v/>
      </c>
    </row>
    <row r="1854" ht="18" customHeight="1">
      <c r="A1854" s="39" t="n">
        <v>1849</v>
      </c>
      <c r="B1854" s="33">
        <f>IF(C1854="","",IF(P1854="À RENSEIGNER","GIC",P1854)&amp;"-V"&amp;TEXT(A1854,"00000"))</f>
        <v/>
      </c>
      <c r="C1854" s="32" t="n"/>
      <c r="D1854" s="35" t="n"/>
      <c r="E1854" s="36" t="n"/>
      <c r="F1854" s="36" t="n"/>
      <c r="G1854" s="36" t="n"/>
      <c r="H1854" s="36" t="n"/>
      <c r="I1854" s="36" t="n"/>
      <c r="J1854" s="37" t="n"/>
      <c r="K1854" s="32" t="n"/>
      <c r="L1854" s="36" t="n"/>
      <c r="M1854" s="41" t="n"/>
      <c r="N1854" s="41" t="n"/>
      <c r="O1854" s="36" t="n"/>
      <c r="P1854" s="33">
        <f>IF(C1854="","",Commercial_Id)</f>
        <v/>
      </c>
      <c r="Q1854" s="39">
        <f>IF(F1854="","",IFERROR(VALUE(MID(F1854,LEN(F1854)-3,3)),""))</f>
        <v/>
      </c>
      <c r="R1854" s="33">
        <f>IF(Q1854="","",P1854&amp;"|"&amp;Q1854)</f>
        <v/>
      </c>
      <c r="S1854" s="33">
        <f>IF(Q1854="","",IF(P1854="À RENSEIGNER","GIC",P1854)&amp;"-"&amp;TEXT(Q1854,"000"))</f>
        <v/>
      </c>
      <c r="T1854" s="33">
        <f>IF(R1854="","",IFERROR(INDEX(Cl_nom,MATCH(R1854,Cl_cle,0)),"(client introuvable)"))</f>
        <v/>
      </c>
      <c r="U1854" s="33">
        <f>IF(R1854="","",IFERROR(INDEX(Cl_quartier,MATCH(R1854,Cl_cle,0))&amp;"",""))</f>
        <v/>
      </c>
      <c r="V1854" s="34">
        <f>IF(C1854="","",YEAR(C1854-WEEKDAY(C1854,2)+4)&amp;"-S"&amp;TEXT(INT((C1854-DATE(YEAR(C1854-WEEKDAY(C1854,2)+4),1,3)+WEEKDAY(DATE(YEAR(C1854-WEEKDAY(C1854,2)+4),1,3),2)+5)/7),"00"))</f>
        <v/>
      </c>
    </row>
    <row r="1855" ht="18" customHeight="1">
      <c r="A1855" s="39" t="n">
        <v>1850</v>
      </c>
      <c r="B1855" s="33">
        <f>IF(C1855="","",IF(P1855="À RENSEIGNER","GIC",P1855)&amp;"-V"&amp;TEXT(A1855,"00000"))</f>
        <v/>
      </c>
      <c r="C1855" s="32" t="n"/>
      <c r="D1855" s="35" t="n"/>
      <c r="E1855" s="36" t="n"/>
      <c r="F1855" s="36" t="n"/>
      <c r="G1855" s="36" t="n"/>
      <c r="H1855" s="36" t="n"/>
      <c r="I1855" s="36" t="n"/>
      <c r="J1855" s="37" t="n"/>
      <c r="K1855" s="32" t="n"/>
      <c r="L1855" s="36" t="n"/>
      <c r="M1855" s="41" t="n"/>
      <c r="N1855" s="41" t="n"/>
      <c r="O1855" s="36" t="n"/>
      <c r="P1855" s="33">
        <f>IF(C1855="","",Commercial_Id)</f>
        <v/>
      </c>
      <c r="Q1855" s="39">
        <f>IF(F1855="","",IFERROR(VALUE(MID(F1855,LEN(F1855)-3,3)),""))</f>
        <v/>
      </c>
      <c r="R1855" s="33">
        <f>IF(Q1855="","",P1855&amp;"|"&amp;Q1855)</f>
        <v/>
      </c>
      <c r="S1855" s="33">
        <f>IF(Q1855="","",IF(P1855="À RENSEIGNER","GIC",P1855)&amp;"-"&amp;TEXT(Q1855,"000"))</f>
        <v/>
      </c>
      <c r="T1855" s="33">
        <f>IF(R1855="","",IFERROR(INDEX(Cl_nom,MATCH(R1855,Cl_cle,0)),"(client introuvable)"))</f>
        <v/>
      </c>
      <c r="U1855" s="33">
        <f>IF(R1855="","",IFERROR(INDEX(Cl_quartier,MATCH(R1855,Cl_cle,0))&amp;"",""))</f>
        <v/>
      </c>
      <c r="V1855" s="34">
        <f>IF(C1855="","",YEAR(C1855-WEEKDAY(C1855,2)+4)&amp;"-S"&amp;TEXT(INT((C1855-DATE(YEAR(C1855-WEEKDAY(C1855,2)+4),1,3)+WEEKDAY(DATE(YEAR(C1855-WEEKDAY(C1855,2)+4),1,3),2)+5)/7),"00"))</f>
        <v/>
      </c>
    </row>
    <row r="1856" ht="18" customHeight="1">
      <c r="A1856" s="39" t="n">
        <v>1851</v>
      </c>
      <c r="B1856" s="33">
        <f>IF(C1856="","",IF(P1856="À RENSEIGNER","GIC",P1856)&amp;"-V"&amp;TEXT(A1856,"00000"))</f>
        <v/>
      </c>
      <c r="C1856" s="32" t="n"/>
      <c r="D1856" s="35" t="n"/>
      <c r="E1856" s="36" t="n"/>
      <c r="F1856" s="36" t="n"/>
      <c r="G1856" s="36" t="n"/>
      <c r="H1856" s="36" t="n"/>
      <c r="I1856" s="36" t="n"/>
      <c r="J1856" s="37" t="n"/>
      <c r="K1856" s="32" t="n"/>
      <c r="L1856" s="36" t="n"/>
      <c r="M1856" s="41" t="n"/>
      <c r="N1856" s="41" t="n"/>
      <c r="O1856" s="36" t="n"/>
      <c r="P1856" s="33">
        <f>IF(C1856="","",Commercial_Id)</f>
        <v/>
      </c>
      <c r="Q1856" s="39">
        <f>IF(F1856="","",IFERROR(VALUE(MID(F1856,LEN(F1856)-3,3)),""))</f>
        <v/>
      </c>
      <c r="R1856" s="33">
        <f>IF(Q1856="","",P1856&amp;"|"&amp;Q1856)</f>
        <v/>
      </c>
      <c r="S1856" s="33">
        <f>IF(Q1856="","",IF(P1856="À RENSEIGNER","GIC",P1856)&amp;"-"&amp;TEXT(Q1856,"000"))</f>
        <v/>
      </c>
      <c r="T1856" s="33">
        <f>IF(R1856="","",IFERROR(INDEX(Cl_nom,MATCH(R1856,Cl_cle,0)),"(client introuvable)"))</f>
        <v/>
      </c>
      <c r="U1856" s="33">
        <f>IF(R1856="","",IFERROR(INDEX(Cl_quartier,MATCH(R1856,Cl_cle,0))&amp;"",""))</f>
        <v/>
      </c>
      <c r="V1856" s="34">
        <f>IF(C1856="","",YEAR(C1856-WEEKDAY(C1856,2)+4)&amp;"-S"&amp;TEXT(INT((C1856-DATE(YEAR(C1856-WEEKDAY(C1856,2)+4),1,3)+WEEKDAY(DATE(YEAR(C1856-WEEKDAY(C1856,2)+4),1,3),2)+5)/7),"00"))</f>
        <v/>
      </c>
    </row>
    <row r="1857" ht="18" customHeight="1">
      <c r="A1857" s="39" t="n">
        <v>1852</v>
      </c>
      <c r="B1857" s="33">
        <f>IF(C1857="","",IF(P1857="À RENSEIGNER","GIC",P1857)&amp;"-V"&amp;TEXT(A1857,"00000"))</f>
        <v/>
      </c>
      <c r="C1857" s="32" t="n"/>
      <c r="D1857" s="35" t="n"/>
      <c r="E1857" s="36" t="n"/>
      <c r="F1857" s="36" t="n"/>
      <c r="G1857" s="36" t="n"/>
      <c r="H1857" s="36" t="n"/>
      <c r="I1857" s="36" t="n"/>
      <c r="J1857" s="37" t="n"/>
      <c r="K1857" s="32" t="n"/>
      <c r="L1857" s="36" t="n"/>
      <c r="M1857" s="41" t="n"/>
      <c r="N1857" s="41" t="n"/>
      <c r="O1857" s="36" t="n"/>
      <c r="P1857" s="33">
        <f>IF(C1857="","",Commercial_Id)</f>
        <v/>
      </c>
      <c r="Q1857" s="39">
        <f>IF(F1857="","",IFERROR(VALUE(MID(F1857,LEN(F1857)-3,3)),""))</f>
        <v/>
      </c>
      <c r="R1857" s="33">
        <f>IF(Q1857="","",P1857&amp;"|"&amp;Q1857)</f>
        <v/>
      </c>
      <c r="S1857" s="33">
        <f>IF(Q1857="","",IF(P1857="À RENSEIGNER","GIC",P1857)&amp;"-"&amp;TEXT(Q1857,"000"))</f>
        <v/>
      </c>
      <c r="T1857" s="33">
        <f>IF(R1857="","",IFERROR(INDEX(Cl_nom,MATCH(R1857,Cl_cle,0)),"(client introuvable)"))</f>
        <v/>
      </c>
      <c r="U1857" s="33">
        <f>IF(R1857="","",IFERROR(INDEX(Cl_quartier,MATCH(R1857,Cl_cle,0))&amp;"",""))</f>
        <v/>
      </c>
      <c r="V1857" s="34">
        <f>IF(C1857="","",YEAR(C1857-WEEKDAY(C1857,2)+4)&amp;"-S"&amp;TEXT(INT((C1857-DATE(YEAR(C1857-WEEKDAY(C1857,2)+4),1,3)+WEEKDAY(DATE(YEAR(C1857-WEEKDAY(C1857,2)+4),1,3),2)+5)/7),"00"))</f>
        <v/>
      </c>
    </row>
    <row r="1858" ht="18" customHeight="1">
      <c r="A1858" s="39" t="n">
        <v>1853</v>
      </c>
      <c r="B1858" s="33">
        <f>IF(C1858="","",IF(P1858="À RENSEIGNER","GIC",P1858)&amp;"-V"&amp;TEXT(A1858,"00000"))</f>
        <v/>
      </c>
      <c r="C1858" s="32" t="n"/>
      <c r="D1858" s="35" t="n"/>
      <c r="E1858" s="36" t="n"/>
      <c r="F1858" s="36" t="n"/>
      <c r="G1858" s="36" t="n"/>
      <c r="H1858" s="36" t="n"/>
      <c r="I1858" s="36" t="n"/>
      <c r="J1858" s="37" t="n"/>
      <c r="K1858" s="32" t="n"/>
      <c r="L1858" s="36" t="n"/>
      <c r="M1858" s="41" t="n"/>
      <c r="N1858" s="41" t="n"/>
      <c r="O1858" s="36" t="n"/>
      <c r="P1858" s="33">
        <f>IF(C1858="","",Commercial_Id)</f>
        <v/>
      </c>
      <c r="Q1858" s="39">
        <f>IF(F1858="","",IFERROR(VALUE(MID(F1858,LEN(F1858)-3,3)),""))</f>
        <v/>
      </c>
      <c r="R1858" s="33">
        <f>IF(Q1858="","",P1858&amp;"|"&amp;Q1858)</f>
        <v/>
      </c>
      <c r="S1858" s="33">
        <f>IF(Q1858="","",IF(P1858="À RENSEIGNER","GIC",P1858)&amp;"-"&amp;TEXT(Q1858,"000"))</f>
        <v/>
      </c>
      <c r="T1858" s="33">
        <f>IF(R1858="","",IFERROR(INDEX(Cl_nom,MATCH(R1858,Cl_cle,0)),"(client introuvable)"))</f>
        <v/>
      </c>
      <c r="U1858" s="33">
        <f>IF(R1858="","",IFERROR(INDEX(Cl_quartier,MATCH(R1858,Cl_cle,0))&amp;"",""))</f>
        <v/>
      </c>
      <c r="V1858" s="34">
        <f>IF(C1858="","",YEAR(C1858-WEEKDAY(C1858,2)+4)&amp;"-S"&amp;TEXT(INT((C1858-DATE(YEAR(C1858-WEEKDAY(C1858,2)+4),1,3)+WEEKDAY(DATE(YEAR(C1858-WEEKDAY(C1858,2)+4),1,3),2)+5)/7),"00"))</f>
        <v/>
      </c>
    </row>
    <row r="1859" ht="18" customHeight="1">
      <c r="A1859" s="39" t="n">
        <v>1854</v>
      </c>
      <c r="B1859" s="33">
        <f>IF(C1859="","",IF(P1859="À RENSEIGNER","GIC",P1859)&amp;"-V"&amp;TEXT(A1859,"00000"))</f>
        <v/>
      </c>
      <c r="C1859" s="32" t="n"/>
      <c r="D1859" s="35" t="n"/>
      <c r="E1859" s="36" t="n"/>
      <c r="F1859" s="36" t="n"/>
      <c r="G1859" s="36" t="n"/>
      <c r="H1859" s="36" t="n"/>
      <c r="I1859" s="36" t="n"/>
      <c r="J1859" s="37" t="n"/>
      <c r="K1859" s="32" t="n"/>
      <c r="L1859" s="36" t="n"/>
      <c r="M1859" s="41" t="n"/>
      <c r="N1859" s="41" t="n"/>
      <c r="O1859" s="36" t="n"/>
      <c r="P1859" s="33">
        <f>IF(C1859="","",Commercial_Id)</f>
        <v/>
      </c>
      <c r="Q1859" s="39">
        <f>IF(F1859="","",IFERROR(VALUE(MID(F1859,LEN(F1859)-3,3)),""))</f>
        <v/>
      </c>
      <c r="R1859" s="33">
        <f>IF(Q1859="","",P1859&amp;"|"&amp;Q1859)</f>
        <v/>
      </c>
      <c r="S1859" s="33">
        <f>IF(Q1859="","",IF(P1859="À RENSEIGNER","GIC",P1859)&amp;"-"&amp;TEXT(Q1859,"000"))</f>
        <v/>
      </c>
      <c r="T1859" s="33">
        <f>IF(R1859="","",IFERROR(INDEX(Cl_nom,MATCH(R1859,Cl_cle,0)),"(client introuvable)"))</f>
        <v/>
      </c>
      <c r="U1859" s="33">
        <f>IF(R1859="","",IFERROR(INDEX(Cl_quartier,MATCH(R1859,Cl_cle,0))&amp;"",""))</f>
        <v/>
      </c>
      <c r="V1859" s="34">
        <f>IF(C1859="","",YEAR(C1859-WEEKDAY(C1859,2)+4)&amp;"-S"&amp;TEXT(INT((C1859-DATE(YEAR(C1859-WEEKDAY(C1859,2)+4),1,3)+WEEKDAY(DATE(YEAR(C1859-WEEKDAY(C1859,2)+4),1,3),2)+5)/7),"00"))</f>
        <v/>
      </c>
    </row>
    <row r="1860" ht="18" customHeight="1">
      <c r="A1860" s="39" t="n">
        <v>1855</v>
      </c>
      <c r="B1860" s="33">
        <f>IF(C1860="","",IF(P1860="À RENSEIGNER","GIC",P1860)&amp;"-V"&amp;TEXT(A1860,"00000"))</f>
        <v/>
      </c>
      <c r="C1860" s="32" t="n"/>
      <c r="D1860" s="35" t="n"/>
      <c r="E1860" s="36" t="n"/>
      <c r="F1860" s="36" t="n"/>
      <c r="G1860" s="36" t="n"/>
      <c r="H1860" s="36" t="n"/>
      <c r="I1860" s="36" t="n"/>
      <c r="J1860" s="37" t="n"/>
      <c r="K1860" s="32" t="n"/>
      <c r="L1860" s="36" t="n"/>
      <c r="M1860" s="41" t="n"/>
      <c r="N1860" s="41" t="n"/>
      <c r="O1860" s="36" t="n"/>
      <c r="P1860" s="33">
        <f>IF(C1860="","",Commercial_Id)</f>
        <v/>
      </c>
      <c r="Q1860" s="39">
        <f>IF(F1860="","",IFERROR(VALUE(MID(F1860,LEN(F1860)-3,3)),""))</f>
        <v/>
      </c>
      <c r="R1860" s="33">
        <f>IF(Q1860="","",P1860&amp;"|"&amp;Q1860)</f>
        <v/>
      </c>
      <c r="S1860" s="33">
        <f>IF(Q1860="","",IF(P1860="À RENSEIGNER","GIC",P1860)&amp;"-"&amp;TEXT(Q1860,"000"))</f>
        <v/>
      </c>
      <c r="T1860" s="33">
        <f>IF(R1860="","",IFERROR(INDEX(Cl_nom,MATCH(R1860,Cl_cle,0)),"(client introuvable)"))</f>
        <v/>
      </c>
      <c r="U1860" s="33">
        <f>IF(R1860="","",IFERROR(INDEX(Cl_quartier,MATCH(R1860,Cl_cle,0))&amp;"",""))</f>
        <v/>
      </c>
      <c r="V1860" s="34">
        <f>IF(C1860="","",YEAR(C1860-WEEKDAY(C1860,2)+4)&amp;"-S"&amp;TEXT(INT((C1860-DATE(YEAR(C1860-WEEKDAY(C1860,2)+4),1,3)+WEEKDAY(DATE(YEAR(C1860-WEEKDAY(C1860,2)+4),1,3),2)+5)/7),"00"))</f>
        <v/>
      </c>
    </row>
    <row r="1861" ht="18" customHeight="1">
      <c r="A1861" s="39" t="n">
        <v>1856</v>
      </c>
      <c r="B1861" s="33">
        <f>IF(C1861="","",IF(P1861="À RENSEIGNER","GIC",P1861)&amp;"-V"&amp;TEXT(A1861,"00000"))</f>
        <v/>
      </c>
      <c r="C1861" s="32" t="n"/>
      <c r="D1861" s="35" t="n"/>
      <c r="E1861" s="36" t="n"/>
      <c r="F1861" s="36" t="n"/>
      <c r="G1861" s="36" t="n"/>
      <c r="H1861" s="36" t="n"/>
      <c r="I1861" s="36" t="n"/>
      <c r="J1861" s="37" t="n"/>
      <c r="K1861" s="32" t="n"/>
      <c r="L1861" s="36" t="n"/>
      <c r="M1861" s="41" t="n"/>
      <c r="N1861" s="41" t="n"/>
      <c r="O1861" s="36" t="n"/>
      <c r="P1861" s="33">
        <f>IF(C1861="","",Commercial_Id)</f>
        <v/>
      </c>
      <c r="Q1861" s="39">
        <f>IF(F1861="","",IFERROR(VALUE(MID(F1861,LEN(F1861)-3,3)),""))</f>
        <v/>
      </c>
      <c r="R1861" s="33">
        <f>IF(Q1861="","",P1861&amp;"|"&amp;Q1861)</f>
        <v/>
      </c>
      <c r="S1861" s="33">
        <f>IF(Q1861="","",IF(P1861="À RENSEIGNER","GIC",P1861)&amp;"-"&amp;TEXT(Q1861,"000"))</f>
        <v/>
      </c>
      <c r="T1861" s="33">
        <f>IF(R1861="","",IFERROR(INDEX(Cl_nom,MATCH(R1861,Cl_cle,0)),"(client introuvable)"))</f>
        <v/>
      </c>
      <c r="U1861" s="33">
        <f>IF(R1861="","",IFERROR(INDEX(Cl_quartier,MATCH(R1861,Cl_cle,0))&amp;"",""))</f>
        <v/>
      </c>
      <c r="V1861" s="34">
        <f>IF(C1861="","",YEAR(C1861-WEEKDAY(C1861,2)+4)&amp;"-S"&amp;TEXT(INT((C1861-DATE(YEAR(C1861-WEEKDAY(C1861,2)+4),1,3)+WEEKDAY(DATE(YEAR(C1861-WEEKDAY(C1861,2)+4),1,3),2)+5)/7),"00"))</f>
        <v/>
      </c>
    </row>
    <row r="1862" ht="18" customHeight="1">
      <c r="A1862" s="39" t="n">
        <v>1857</v>
      </c>
      <c r="B1862" s="33">
        <f>IF(C1862="","",IF(P1862="À RENSEIGNER","GIC",P1862)&amp;"-V"&amp;TEXT(A1862,"00000"))</f>
        <v/>
      </c>
      <c r="C1862" s="32" t="n"/>
      <c r="D1862" s="35" t="n"/>
      <c r="E1862" s="36" t="n"/>
      <c r="F1862" s="36" t="n"/>
      <c r="G1862" s="36" t="n"/>
      <c r="H1862" s="36" t="n"/>
      <c r="I1862" s="36" t="n"/>
      <c r="J1862" s="37" t="n"/>
      <c r="K1862" s="32" t="n"/>
      <c r="L1862" s="36" t="n"/>
      <c r="M1862" s="41" t="n"/>
      <c r="N1862" s="41" t="n"/>
      <c r="O1862" s="36" t="n"/>
      <c r="P1862" s="33">
        <f>IF(C1862="","",Commercial_Id)</f>
        <v/>
      </c>
      <c r="Q1862" s="39">
        <f>IF(F1862="","",IFERROR(VALUE(MID(F1862,LEN(F1862)-3,3)),""))</f>
        <v/>
      </c>
      <c r="R1862" s="33">
        <f>IF(Q1862="","",P1862&amp;"|"&amp;Q1862)</f>
        <v/>
      </c>
      <c r="S1862" s="33">
        <f>IF(Q1862="","",IF(P1862="À RENSEIGNER","GIC",P1862)&amp;"-"&amp;TEXT(Q1862,"000"))</f>
        <v/>
      </c>
      <c r="T1862" s="33">
        <f>IF(R1862="","",IFERROR(INDEX(Cl_nom,MATCH(R1862,Cl_cle,0)),"(client introuvable)"))</f>
        <v/>
      </c>
      <c r="U1862" s="33">
        <f>IF(R1862="","",IFERROR(INDEX(Cl_quartier,MATCH(R1862,Cl_cle,0))&amp;"",""))</f>
        <v/>
      </c>
      <c r="V1862" s="34">
        <f>IF(C1862="","",YEAR(C1862-WEEKDAY(C1862,2)+4)&amp;"-S"&amp;TEXT(INT((C1862-DATE(YEAR(C1862-WEEKDAY(C1862,2)+4),1,3)+WEEKDAY(DATE(YEAR(C1862-WEEKDAY(C1862,2)+4),1,3),2)+5)/7),"00"))</f>
        <v/>
      </c>
    </row>
    <row r="1863" ht="18" customHeight="1">
      <c r="A1863" s="39" t="n">
        <v>1858</v>
      </c>
      <c r="B1863" s="33">
        <f>IF(C1863="","",IF(P1863="À RENSEIGNER","GIC",P1863)&amp;"-V"&amp;TEXT(A1863,"00000"))</f>
        <v/>
      </c>
      <c r="C1863" s="32" t="n"/>
      <c r="D1863" s="35" t="n"/>
      <c r="E1863" s="36" t="n"/>
      <c r="F1863" s="36" t="n"/>
      <c r="G1863" s="36" t="n"/>
      <c r="H1863" s="36" t="n"/>
      <c r="I1863" s="36" t="n"/>
      <c r="J1863" s="37" t="n"/>
      <c r="K1863" s="32" t="n"/>
      <c r="L1863" s="36" t="n"/>
      <c r="M1863" s="41" t="n"/>
      <c r="N1863" s="41" t="n"/>
      <c r="O1863" s="36" t="n"/>
      <c r="P1863" s="33">
        <f>IF(C1863="","",Commercial_Id)</f>
        <v/>
      </c>
      <c r="Q1863" s="39">
        <f>IF(F1863="","",IFERROR(VALUE(MID(F1863,LEN(F1863)-3,3)),""))</f>
        <v/>
      </c>
      <c r="R1863" s="33">
        <f>IF(Q1863="","",P1863&amp;"|"&amp;Q1863)</f>
        <v/>
      </c>
      <c r="S1863" s="33">
        <f>IF(Q1863="","",IF(P1863="À RENSEIGNER","GIC",P1863)&amp;"-"&amp;TEXT(Q1863,"000"))</f>
        <v/>
      </c>
      <c r="T1863" s="33">
        <f>IF(R1863="","",IFERROR(INDEX(Cl_nom,MATCH(R1863,Cl_cle,0)),"(client introuvable)"))</f>
        <v/>
      </c>
      <c r="U1863" s="33">
        <f>IF(R1863="","",IFERROR(INDEX(Cl_quartier,MATCH(R1863,Cl_cle,0))&amp;"",""))</f>
        <v/>
      </c>
      <c r="V1863" s="34">
        <f>IF(C1863="","",YEAR(C1863-WEEKDAY(C1863,2)+4)&amp;"-S"&amp;TEXT(INT((C1863-DATE(YEAR(C1863-WEEKDAY(C1863,2)+4),1,3)+WEEKDAY(DATE(YEAR(C1863-WEEKDAY(C1863,2)+4),1,3),2)+5)/7),"00"))</f>
        <v/>
      </c>
    </row>
    <row r="1864" ht="18" customHeight="1">
      <c r="A1864" s="39" t="n">
        <v>1859</v>
      </c>
      <c r="B1864" s="33">
        <f>IF(C1864="","",IF(P1864="À RENSEIGNER","GIC",P1864)&amp;"-V"&amp;TEXT(A1864,"00000"))</f>
        <v/>
      </c>
      <c r="C1864" s="32" t="n"/>
      <c r="D1864" s="35" t="n"/>
      <c r="E1864" s="36" t="n"/>
      <c r="F1864" s="36" t="n"/>
      <c r="G1864" s="36" t="n"/>
      <c r="H1864" s="36" t="n"/>
      <c r="I1864" s="36" t="n"/>
      <c r="J1864" s="37" t="n"/>
      <c r="K1864" s="32" t="n"/>
      <c r="L1864" s="36" t="n"/>
      <c r="M1864" s="41" t="n"/>
      <c r="N1864" s="41" t="n"/>
      <c r="O1864" s="36" t="n"/>
      <c r="P1864" s="33">
        <f>IF(C1864="","",Commercial_Id)</f>
        <v/>
      </c>
      <c r="Q1864" s="39">
        <f>IF(F1864="","",IFERROR(VALUE(MID(F1864,LEN(F1864)-3,3)),""))</f>
        <v/>
      </c>
      <c r="R1864" s="33">
        <f>IF(Q1864="","",P1864&amp;"|"&amp;Q1864)</f>
        <v/>
      </c>
      <c r="S1864" s="33">
        <f>IF(Q1864="","",IF(P1864="À RENSEIGNER","GIC",P1864)&amp;"-"&amp;TEXT(Q1864,"000"))</f>
        <v/>
      </c>
      <c r="T1864" s="33">
        <f>IF(R1864="","",IFERROR(INDEX(Cl_nom,MATCH(R1864,Cl_cle,0)),"(client introuvable)"))</f>
        <v/>
      </c>
      <c r="U1864" s="33">
        <f>IF(R1864="","",IFERROR(INDEX(Cl_quartier,MATCH(R1864,Cl_cle,0))&amp;"",""))</f>
        <v/>
      </c>
      <c r="V1864" s="34">
        <f>IF(C1864="","",YEAR(C1864-WEEKDAY(C1864,2)+4)&amp;"-S"&amp;TEXT(INT((C1864-DATE(YEAR(C1864-WEEKDAY(C1864,2)+4),1,3)+WEEKDAY(DATE(YEAR(C1864-WEEKDAY(C1864,2)+4),1,3),2)+5)/7),"00"))</f>
        <v/>
      </c>
    </row>
    <row r="1865" ht="18" customHeight="1">
      <c r="A1865" s="39" t="n">
        <v>1860</v>
      </c>
      <c r="B1865" s="33">
        <f>IF(C1865="","",IF(P1865="À RENSEIGNER","GIC",P1865)&amp;"-V"&amp;TEXT(A1865,"00000"))</f>
        <v/>
      </c>
      <c r="C1865" s="32" t="n"/>
      <c r="D1865" s="35" t="n"/>
      <c r="E1865" s="36" t="n"/>
      <c r="F1865" s="36" t="n"/>
      <c r="G1865" s="36" t="n"/>
      <c r="H1865" s="36" t="n"/>
      <c r="I1865" s="36" t="n"/>
      <c r="J1865" s="37" t="n"/>
      <c r="K1865" s="32" t="n"/>
      <c r="L1865" s="36" t="n"/>
      <c r="M1865" s="41" t="n"/>
      <c r="N1865" s="41" t="n"/>
      <c r="O1865" s="36" t="n"/>
      <c r="P1865" s="33">
        <f>IF(C1865="","",Commercial_Id)</f>
        <v/>
      </c>
      <c r="Q1865" s="39">
        <f>IF(F1865="","",IFERROR(VALUE(MID(F1865,LEN(F1865)-3,3)),""))</f>
        <v/>
      </c>
      <c r="R1865" s="33">
        <f>IF(Q1865="","",P1865&amp;"|"&amp;Q1865)</f>
        <v/>
      </c>
      <c r="S1865" s="33">
        <f>IF(Q1865="","",IF(P1865="À RENSEIGNER","GIC",P1865)&amp;"-"&amp;TEXT(Q1865,"000"))</f>
        <v/>
      </c>
      <c r="T1865" s="33">
        <f>IF(R1865="","",IFERROR(INDEX(Cl_nom,MATCH(R1865,Cl_cle,0)),"(client introuvable)"))</f>
        <v/>
      </c>
      <c r="U1865" s="33">
        <f>IF(R1865="","",IFERROR(INDEX(Cl_quartier,MATCH(R1865,Cl_cle,0))&amp;"",""))</f>
        <v/>
      </c>
      <c r="V1865" s="34">
        <f>IF(C1865="","",YEAR(C1865-WEEKDAY(C1865,2)+4)&amp;"-S"&amp;TEXT(INT((C1865-DATE(YEAR(C1865-WEEKDAY(C1865,2)+4),1,3)+WEEKDAY(DATE(YEAR(C1865-WEEKDAY(C1865,2)+4),1,3),2)+5)/7),"00"))</f>
        <v/>
      </c>
    </row>
    <row r="1866" ht="18" customHeight="1">
      <c r="A1866" s="39" t="n">
        <v>1861</v>
      </c>
      <c r="B1866" s="33">
        <f>IF(C1866="","",IF(P1866="À RENSEIGNER","GIC",P1866)&amp;"-V"&amp;TEXT(A1866,"00000"))</f>
        <v/>
      </c>
      <c r="C1866" s="32" t="n"/>
      <c r="D1866" s="35" t="n"/>
      <c r="E1866" s="36" t="n"/>
      <c r="F1866" s="36" t="n"/>
      <c r="G1866" s="36" t="n"/>
      <c r="H1866" s="36" t="n"/>
      <c r="I1866" s="36" t="n"/>
      <c r="J1866" s="37" t="n"/>
      <c r="K1866" s="32" t="n"/>
      <c r="L1866" s="36" t="n"/>
      <c r="M1866" s="41" t="n"/>
      <c r="N1866" s="41" t="n"/>
      <c r="O1866" s="36" t="n"/>
      <c r="P1866" s="33">
        <f>IF(C1866="","",Commercial_Id)</f>
        <v/>
      </c>
      <c r="Q1866" s="39">
        <f>IF(F1866="","",IFERROR(VALUE(MID(F1866,LEN(F1866)-3,3)),""))</f>
        <v/>
      </c>
      <c r="R1866" s="33">
        <f>IF(Q1866="","",P1866&amp;"|"&amp;Q1866)</f>
        <v/>
      </c>
      <c r="S1866" s="33">
        <f>IF(Q1866="","",IF(P1866="À RENSEIGNER","GIC",P1866)&amp;"-"&amp;TEXT(Q1866,"000"))</f>
        <v/>
      </c>
      <c r="T1866" s="33">
        <f>IF(R1866="","",IFERROR(INDEX(Cl_nom,MATCH(R1866,Cl_cle,0)),"(client introuvable)"))</f>
        <v/>
      </c>
      <c r="U1866" s="33">
        <f>IF(R1866="","",IFERROR(INDEX(Cl_quartier,MATCH(R1866,Cl_cle,0))&amp;"",""))</f>
        <v/>
      </c>
      <c r="V1866" s="34">
        <f>IF(C1866="","",YEAR(C1866-WEEKDAY(C1866,2)+4)&amp;"-S"&amp;TEXT(INT((C1866-DATE(YEAR(C1866-WEEKDAY(C1866,2)+4),1,3)+WEEKDAY(DATE(YEAR(C1866-WEEKDAY(C1866,2)+4),1,3),2)+5)/7),"00"))</f>
        <v/>
      </c>
    </row>
    <row r="1867" ht="18" customHeight="1">
      <c r="A1867" s="39" t="n">
        <v>1862</v>
      </c>
      <c r="B1867" s="33">
        <f>IF(C1867="","",IF(P1867="À RENSEIGNER","GIC",P1867)&amp;"-V"&amp;TEXT(A1867,"00000"))</f>
        <v/>
      </c>
      <c r="C1867" s="32" t="n"/>
      <c r="D1867" s="35" t="n"/>
      <c r="E1867" s="36" t="n"/>
      <c r="F1867" s="36" t="n"/>
      <c r="G1867" s="36" t="n"/>
      <c r="H1867" s="36" t="n"/>
      <c r="I1867" s="36" t="n"/>
      <c r="J1867" s="37" t="n"/>
      <c r="K1867" s="32" t="n"/>
      <c r="L1867" s="36" t="n"/>
      <c r="M1867" s="41" t="n"/>
      <c r="N1867" s="41" t="n"/>
      <c r="O1867" s="36" t="n"/>
      <c r="P1867" s="33">
        <f>IF(C1867="","",Commercial_Id)</f>
        <v/>
      </c>
      <c r="Q1867" s="39">
        <f>IF(F1867="","",IFERROR(VALUE(MID(F1867,LEN(F1867)-3,3)),""))</f>
        <v/>
      </c>
      <c r="R1867" s="33">
        <f>IF(Q1867="","",P1867&amp;"|"&amp;Q1867)</f>
        <v/>
      </c>
      <c r="S1867" s="33">
        <f>IF(Q1867="","",IF(P1867="À RENSEIGNER","GIC",P1867)&amp;"-"&amp;TEXT(Q1867,"000"))</f>
        <v/>
      </c>
      <c r="T1867" s="33">
        <f>IF(R1867="","",IFERROR(INDEX(Cl_nom,MATCH(R1867,Cl_cle,0)),"(client introuvable)"))</f>
        <v/>
      </c>
      <c r="U1867" s="33">
        <f>IF(R1867="","",IFERROR(INDEX(Cl_quartier,MATCH(R1867,Cl_cle,0))&amp;"",""))</f>
        <v/>
      </c>
      <c r="V1867" s="34">
        <f>IF(C1867="","",YEAR(C1867-WEEKDAY(C1867,2)+4)&amp;"-S"&amp;TEXT(INT((C1867-DATE(YEAR(C1867-WEEKDAY(C1867,2)+4),1,3)+WEEKDAY(DATE(YEAR(C1867-WEEKDAY(C1867,2)+4),1,3),2)+5)/7),"00"))</f>
        <v/>
      </c>
    </row>
    <row r="1868" ht="18" customHeight="1">
      <c r="A1868" s="39" t="n">
        <v>1863</v>
      </c>
      <c r="B1868" s="33">
        <f>IF(C1868="","",IF(P1868="À RENSEIGNER","GIC",P1868)&amp;"-V"&amp;TEXT(A1868,"00000"))</f>
        <v/>
      </c>
      <c r="C1868" s="32" t="n"/>
      <c r="D1868" s="35" t="n"/>
      <c r="E1868" s="36" t="n"/>
      <c r="F1868" s="36" t="n"/>
      <c r="G1868" s="36" t="n"/>
      <c r="H1868" s="36" t="n"/>
      <c r="I1868" s="36" t="n"/>
      <c r="J1868" s="37" t="n"/>
      <c r="K1868" s="32" t="n"/>
      <c r="L1868" s="36" t="n"/>
      <c r="M1868" s="41" t="n"/>
      <c r="N1868" s="41" t="n"/>
      <c r="O1868" s="36" t="n"/>
      <c r="P1868" s="33">
        <f>IF(C1868="","",Commercial_Id)</f>
        <v/>
      </c>
      <c r="Q1868" s="39">
        <f>IF(F1868="","",IFERROR(VALUE(MID(F1868,LEN(F1868)-3,3)),""))</f>
        <v/>
      </c>
      <c r="R1868" s="33">
        <f>IF(Q1868="","",P1868&amp;"|"&amp;Q1868)</f>
        <v/>
      </c>
      <c r="S1868" s="33">
        <f>IF(Q1868="","",IF(P1868="À RENSEIGNER","GIC",P1868)&amp;"-"&amp;TEXT(Q1868,"000"))</f>
        <v/>
      </c>
      <c r="T1868" s="33">
        <f>IF(R1868="","",IFERROR(INDEX(Cl_nom,MATCH(R1868,Cl_cle,0)),"(client introuvable)"))</f>
        <v/>
      </c>
      <c r="U1868" s="33">
        <f>IF(R1868="","",IFERROR(INDEX(Cl_quartier,MATCH(R1868,Cl_cle,0))&amp;"",""))</f>
        <v/>
      </c>
      <c r="V1868" s="34">
        <f>IF(C1868="","",YEAR(C1868-WEEKDAY(C1868,2)+4)&amp;"-S"&amp;TEXT(INT((C1868-DATE(YEAR(C1868-WEEKDAY(C1868,2)+4),1,3)+WEEKDAY(DATE(YEAR(C1868-WEEKDAY(C1868,2)+4),1,3),2)+5)/7),"00"))</f>
        <v/>
      </c>
    </row>
    <row r="1869" ht="18" customHeight="1">
      <c r="A1869" s="39" t="n">
        <v>1864</v>
      </c>
      <c r="B1869" s="33">
        <f>IF(C1869="","",IF(P1869="À RENSEIGNER","GIC",P1869)&amp;"-V"&amp;TEXT(A1869,"00000"))</f>
        <v/>
      </c>
      <c r="C1869" s="32" t="n"/>
      <c r="D1869" s="35" t="n"/>
      <c r="E1869" s="36" t="n"/>
      <c r="F1869" s="36" t="n"/>
      <c r="G1869" s="36" t="n"/>
      <c r="H1869" s="36" t="n"/>
      <c r="I1869" s="36" t="n"/>
      <c r="J1869" s="37" t="n"/>
      <c r="K1869" s="32" t="n"/>
      <c r="L1869" s="36" t="n"/>
      <c r="M1869" s="41" t="n"/>
      <c r="N1869" s="41" t="n"/>
      <c r="O1869" s="36" t="n"/>
      <c r="P1869" s="33">
        <f>IF(C1869="","",Commercial_Id)</f>
        <v/>
      </c>
      <c r="Q1869" s="39">
        <f>IF(F1869="","",IFERROR(VALUE(MID(F1869,LEN(F1869)-3,3)),""))</f>
        <v/>
      </c>
      <c r="R1869" s="33">
        <f>IF(Q1869="","",P1869&amp;"|"&amp;Q1869)</f>
        <v/>
      </c>
      <c r="S1869" s="33">
        <f>IF(Q1869="","",IF(P1869="À RENSEIGNER","GIC",P1869)&amp;"-"&amp;TEXT(Q1869,"000"))</f>
        <v/>
      </c>
      <c r="T1869" s="33">
        <f>IF(R1869="","",IFERROR(INDEX(Cl_nom,MATCH(R1869,Cl_cle,0)),"(client introuvable)"))</f>
        <v/>
      </c>
      <c r="U1869" s="33">
        <f>IF(R1869="","",IFERROR(INDEX(Cl_quartier,MATCH(R1869,Cl_cle,0))&amp;"",""))</f>
        <v/>
      </c>
      <c r="V1869" s="34">
        <f>IF(C1869="","",YEAR(C1869-WEEKDAY(C1869,2)+4)&amp;"-S"&amp;TEXT(INT((C1869-DATE(YEAR(C1869-WEEKDAY(C1869,2)+4),1,3)+WEEKDAY(DATE(YEAR(C1869-WEEKDAY(C1869,2)+4),1,3),2)+5)/7),"00"))</f>
        <v/>
      </c>
    </row>
    <row r="1870" ht="18" customHeight="1">
      <c r="A1870" s="39" t="n">
        <v>1865</v>
      </c>
      <c r="B1870" s="33">
        <f>IF(C1870="","",IF(P1870="À RENSEIGNER","GIC",P1870)&amp;"-V"&amp;TEXT(A1870,"00000"))</f>
        <v/>
      </c>
      <c r="C1870" s="32" t="n"/>
      <c r="D1870" s="35" t="n"/>
      <c r="E1870" s="36" t="n"/>
      <c r="F1870" s="36" t="n"/>
      <c r="G1870" s="36" t="n"/>
      <c r="H1870" s="36" t="n"/>
      <c r="I1870" s="36" t="n"/>
      <c r="J1870" s="37" t="n"/>
      <c r="K1870" s="32" t="n"/>
      <c r="L1870" s="36" t="n"/>
      <c r="M1870" s="41" t="n"/>
      <c r="N1870" s="41" t="n"/>
      <c r="O1870" s="36" t="n"/>
      <c r="P1870" s="33">
        <f>IF(C1870="","",Commercial_Id)</f>
        <v/>
      </c>
      <c r="Q1870" s="39">
        <f>IF(F1870="","",IFERROR(VALUE(MID(F1870,LEN(F1870)-3,3)),""))</f>
        <v/>
      </c>
      <c r="R1870" s="33">
        <f>IF(Q1870="","",P1870&amp;"|"&amp;Q1870)</f>
        <v/>
      </c>
      <c r="S1870" s="33">
        <f>IF(Q1870="","",IF(P1870="À RENSEIGNER","GIC",P1870)&amp;"-"&amp;TEXT(Q1870,"000"))</f>
        <v/>
      </c>
      <c r="T1870" s="33">
        <f>IF(R1870="","",IFERROR(INDEX(Cl_nom,MATCH(R1870,Cl_cle,0)),"(client introuvable)"))</f>
        <v/>
      </c>
      <c r="U1870" s="33">
        <f>IF(R1870="","",IFERROR(INDEX(Cl_quartier,MATCH(R1870,Cl_cle,0))&amp;"",""))</f>
        <v/>
      </c>
      <c r="V1870" s="34">
        <f>IF(C1870="","",YEAR(C1870-WEEKDAY(C1870,2)+4)&amp;"-S"&amp;TEXT(INT((C1870-DATE(YEAR(C1870-WEEKDAY(C1870,2)+4),1,3)+WEEKDAY(DATE(YEAR(C1870-WEEKDAY(C1870,2)+4),1,3),2)+5)/7),"00"))</f>
        <v/>
      </c>
    </row>
    <row r="1871" ht="18" customHeight="1">
      <c r="A1871" s="39" t="n">
        <v>1866</v>
      </c>
      <c r="B1871" s="33">
        <f>IF(C1871="","",IF(P1871="À RENSEIGNER","GIC",P1871)&amp;"-V"&amp;TEXT(A1871,"00000"))</f>
        <v/>
      </c>
      <c r="C1871" s="32" t="n"/>
      <c r="D1871" s="35" t="n"/>
      <c r="E1871" s="36" t="n"/>
      <c r="F1871" s="36" t="n"/>
      <c r="G1871" s="36" t="n"/>
      <c r="H1871" s="36" t="n"/>
      <c r="I1871" s="36" t="n"/>
      <c r="J1871" s="37" t="n"/>
      <c r="K1871" s="32" t="n"/>
      <c r="L1871" s="36" t="n"/>
      <c r="M1871" s="41" t="n"/>
      <c r="N1871" s="41" t="n"/>
      <c r="O1871" s="36" t="n"/>
      <c r="P1871" s="33">
        <f>IF(C1871="","",Commercial_Id)</f>
        <v/>
      </c>
      <c r="Q1871" s="39">
        <f>IF(F1871="","",IFERROR(VALUE(MID(F1871,LEN(F1871)-3,3)),""))</f>
        <v/>
      </c>
      <c r="R1871" s="33">
        <f>IF(Q1871="","",P1871&amp;"|"&amp;Q1871)</f>
        <v/>
      </c>
      <c r="S1871" s="33">
        <f>IF(Q1871="","",IF(P1871="À RENSEIGNER","GIC",P1871)&amp;"-"&amp;TEXT(Q1871,"000"))</f>
        <v/>
      </c>
      <c r="T1871" s="33">
        <f>IF(R1871="","",IFERROR(INDEX(Cl_nom,MATCH(R1871,Cl_cle,0)),"(client introuvable)"))</f>
        <v/>
      </c>
      <c r="U1871" s="33">
        <f>IF(R1871="","",IFERROR(INDEX(Cl_quartier,MATCH(R1871,Cl_cle,0))&amp;"",""))</f>
        <v/>
      </c>
      <c r="V1871" s="34">
        <f>IF(C1871="","",YEAR(C1871-WEEKDAY(C1871,2)+4)&amp;"-S"&amp;TEXT(INT((C1871-DATE(YEAR(C1871-WEEKDAY(C1871,2)+4),1,3)+WEEKDAY(DATE(YEAR(C1871-WEEKDAY(C1871,2)+4),1,3),2)+5)/7),"00"))</f>
        <v/>
      </c>
    </row>
    <row r="1872" ht="18" customHeight="1">
      <c r="A1872" s="39" t="n">
        <v>1867</v>
      </c>
      <c r="B1872" s="33">
        <f>IF(C1872="","",IF(P1872="À RENSEIGNER","GIC",P1872)&amp;"-V"&amp;TEXT(A1872,"00000"))</f>
        <v/>
      </c>
      <c r="C1872" s="32" t="n"/>
      <c r="D1872" s="35" t="n"/>
      <c r="E1872" s="36" t="n"/>
      <c r="F1872" s="36" t="n"/>
      <c r="G1872" s="36" t="n"/>
      <c r="H1872" s="36" t="n"/>
      <c r="I1872" s="36" t="n"/>
      <c r="J1872" s="37" t="n"/>
      <c r="K1872" s="32" t="n"/>
      <c r="L1872" s="36" t="n"/>
      <c r="M1872" s="41" t="n"/>
      <c r="N1872" s="41" t="n"/>
      <c r="O1872" s="36" t="n"/>
      <c r="P1872" s="33">
        <f>IF(C1872="","",Commercial_Id)</f>
        <v/>
      </c>
      <c r="Q1872" s="39">
        <f>IF(F1872="","",IFERROR(VALUE(MID(F1872,LEN(F1872)-3,3)),""))</f>
        <v/>
      </c>
      <c r="R1872" s="33">
        <f>IF(Q1872="","",P1872&amp;"|"&amp;Q1872)</f>
        <v/>
      </c>
      <c r="S1872" s="33">
        <f>IF(Q1872="","",IF(P1872="À RENSEIGNER","GIC",P1872)&amp;"-"&amp;TEXT(Q1872,"000"))</f>
        <v/>
      </c>
      <c r="T1872" s="33">
        <f>IF(R1872="","",IFERROR(INDEX(Cl_nom,MATCH(R1872,Cl_cle,0)),"(client introuvable)"))</f>
        <v/>
      </c>
      <c r="U1872" s="33">
        <f>IF(R1872="","",IFERROR(INDEX(Cl_quartier,MATCH(R1872,Cl_cle,0))&amp;"",""))</f>
        <v/>
      </c>
      <c r="V1872" s="34">
        <f>IF(C1872="","",YEAR(C1872-WEEKDAY(C1872,2)+4)&amp;"-S"&amp;TEXT(INT((C1872-DATE(YEAR(C1872-WEEKDAY(C1872,2)+4),1,3)+WEEKDAY(DATE(YEAR(C1872-WEEKDAY(C1872,2)+4),1,3),2)+5)/7),"00"))</f>
        <v/>
      </c>
    </row>
    <row r="1873" ht="18" customHeight="1">
      <c r="A1873" s="39" t="n">
        <v>1868</v>
      </c>
      <c r="B1873" s="33">
        <f>IF(C1873="","",IF(P1873="À RENSEIGNER","GIC",P1873)&amp;"-V"&amp;TEXT(A1873,"00000"))</f>
        <v/>
      </c>
      <c r="C1873" s="32" t="n"/>
      <c r="D1873" s="35" t="n"/>
      <c r="E1873" s="36" t="n"/>
      <c r="F1873" s="36" t="n"/>
      <c r="G1873" s="36" t="n"/>
      <c r="H1873" s="36" t="n"/>
      <c r="I1873" s="36" t="n"/>
      <c r="J1873" s="37" t="n"/>
      <c r="K1873" s="32" t="n"/>
      <c r="L1873" s="36" t="n"/>
      <c r="M1873" s="41" t="n"/>
      <c r="N1873" s="41" t="n"/>
      <c r="O1873" s="36" t="n"/>
      <c r="P1873" s="33">
        <f>IF(C1873="","",Commercial_Id)</f>
        <v/>
      </c>
      <c r="Q1873" s="39">
        <f>IF(F1873="","",IFERROR(VALUE(MID(F1873,LEN(F1873)-3,3)),""))</f>
        <v/>
      </c>
      <c r="R1873" s="33">
        <f>IF(Q1873="","",P1873&amp;"|"&amp;Q1873)</f>
        <v/>
      </c>
      <c r="S1873" s="33">
        <f>IF(Q1873="","",IF(P1873="À RENSEIGNER","GIC",P1873)&amp;"-"&amp;TEXT(Q1873,"000"))</f>
        <v/>
      </c>
      <c r="T1873" s="33">
        <f>IF(R1873="","",IFERROR(INDEX(Cl_nom,MATCH(R1873,Cl_cle,0)),"(client introuvable)"))</f>
        <v/>
      </c>
      <c r="U1873" s="33">
        <f>IF(R1873="","",IFERROR(INDEX(Cl_quartier,MATCH(R1873,Cl_cle,0))&amp;"",""))</f>
        <v/>
      </c>
      <c r="V1873" s="34">
        <f>IF(C1873="","",YEAR(C1873-WEEKDAY(C1873,2)+4)&amp;"-S"&amp;TEXT(INT((C1873-DATE(YEAR(C1873-WEEKDAY(C1873,2)+4),1,3)+WEEKDAY(DATE(YEAR(C1873-WEEKDAY(C1873,2)+4),1,3),2)+5)/7),"00"))</f>
        <v/>
      </c>
    </row>
    <row r="1874" ht="18" customHeight="1">
      <c r="A1874" s="39" t="n">
        <v>1869</v>
      </c>
      <c r="B1874" s="33">
        <f>IF(C1874="","",IF(P1874="À RENSEIGNER","GIC",P1874)&amp;"-V"&amp;TEXT(A1874,"00000"))</f>
        <v/>
      </c>
      <c r="C1874" s="32" t="n"/>
      <c r="D1874" s="35" t="n"/>
      <c r="E1874" s="36" t="n"/>
      <c r="F1874" s="36" t="n"/>
      <c r="G1874" s="36" t="n"/>
      <c r="H1874" s="36" t="n"/>
      <c r="I1874" s="36" t="n"/>
      <c r="J1874" s="37" t="n"/>
      <c r="K1874" s="32" t="n"/>
      <c r="L1874" s="36" t="n"/>
      <c r="M1874" s="41" t="n"/>
      <c r="N1874" s="41" t="n"/>
      <c r="O1874" s="36" t="n"/>
      <c r="P1874" s="33">
        <f>IF(C1874="","",Commercial_Id)</f>
        <v/>
      </c>
      <c r="Q1874" s="39">
        <f>IF(F1874="","",IFERROR(VALUE(MID(F1874,LEN(F1874)-3,3)),""))</f>
        <v/>
      </c>
      <c r="R1874" s="33">
        <f>IF(Q1874="","",P1874&amp;"|"&amp;Q1874)</f>
        <v/>
      </c>
      <c r="S1874" s="33">
        <f>IF(Q1874="","",IF(P1874="À RENSEIGNER","GIC",P1874)&amp;"-"&amp;TEXT(Q1874,"000"))</f>
        <v/>
      </c>
      <c r="T1874" s="33">
        <f>IF(R1874="","",IFERROR(INDEX(Cl_nom,MATCH(R1874,Cl_cle,0)),"(client introuvable)"))</f>
        <v/>
      </c>
      <c r="U1874" s="33">
        <f>IF(R1874="","",IFERROR(INDEX(Cl_quartier,MATCH(R1874,Cl_cle,0))&amp;"",""))</f>
        <v/>
      </c>
      <c r="V1874" s="34">
        <f>IF(C1874="","",YEAR(C1874-WEEKDAY(C1874,2)+4)&amp;"-S"&amp;TEXT(INT((C1874-DATE(YEAR(C1874-WEEKDAY(C1874,2)+4),1,3)+WEEKDAY(DATE(YEAR(C1874-WEEKDAY(C1874,2)+4),1,3),2)+5)/7),"00"))</f>
        <v/>
      </c>
    </row>
    <row r="1875" ht="18" customHeight="1">
      <c r="A1875" s="39" t="n">
        <v>1870</v>
      </c>
      <c r="B1875" s="33">
        <f>IF(C1875="","",IF(P1875="À RENSEIGNER","GIC",P1875)&amp;"-V"&amp;TEXT(A1875,"00000"))</f>
        <v/>
      </c>
      <c r="C1875" s="32" t="n"/>
      <c r="D1875" s="35" t="n"/>
      <c r="E1875" s="36" t="n"/>
      <c r="F1875" s="36" t="n"/>
      <c r="G1875" s="36" t="n"/>
      <c r="H1875" s="36" t="n"/>
      <c r="I1875" s="36" t="n"/>
      <c r="J1875" s="37" t="n"/>
      <c r="K1875" s="32" t="n"/>
      <c r="L1875" s="36" t="n"/>
      <c r="M1875" s="41" t="n"/>
      <c r="N1875" s="41" t="n"/>
      <c r="O1875" s="36" t="n"/>
      <c r="P1875" s="33">
        <f>IF(C1875="","",Commercial_Id)</f>
        <v/>
      </c>
      <c r="Q1875" s="39">
        <f>IF(F1875="","",IFERROR(VALUE(MID(F1875,LEN(F1875)-3,3)),""))</f>
        <v/>
      </c>
      <c r="R1875" s="33">
        <f>IF(Q1875="","",P1875&amp;"|"&amp;Q1875)</f>
        <v/>
      </c>
      <c r="S1875" s="33">
        <f>IF(Q1875="","",IF(P1875="À RENSEIGNER","GIC",P1875)&amp;"-"&amp;TEXT(Q1875,"000"))</f>
        <v/>
      </c>
      <c r="T1875" s="33">
        <f>IF(R1875="","",IFERROR(INDEX(Cl_nom,MATCH(R1875,Cl_cle,0)),"(client introuvable)"))</f>
        <v/>
      </c>
      <c r="U1875" s="33">
        <f>IF(R1875="","",IFERROR(INDEX(Cl_quartier,MATCH(R1875,Cl_cle,0))&amp;"",""))</f>
        <v/>
      </c>
      <c r="V1875" s="34">
        <f>IF(C1875="","",YEAR(C1875-WEEKDAY(C1875,2)+4)&amp;"-S"&amp;TEXT(INT((C1875-DATE(YEAR(C1875-WEEKDAY(C1875,2)+4),1,3)+WEEKDAY(DATE(YEAR(C1875-WEEKDAY(C1875,2)+4),1,3),2)+5)/7),"00"))</f>
        <v/>
      </c>
    </row>
    <row r="1876" ht="18" customHeight="1">
      <c r="A1876" s="39" t="n">
        <v>1871</v>
      </c>
      <c r="B1876" s="33">
        <f>IF(C1876="","",IF(P1876="À RENSEIGNER","GIC",P1876)&amp;"-V"&amp;TEXT(A1876,"00000"))</f>
        <v/>
      </c>
      <c r="C1876" s="32" t="n"/>
      <c r="D1876" s="35" t="n"/>
      <c r="E1876" s="36" t="n"/>
      <c r="F1876" s="36" t="n"/>
      <c r="G1876" s="36" t="n"/>
      <c r="H1876" s="36" t="n"/>
      <c r="I1876" s="36" t="n"/>
      <c r="J1876" s="37" t="n"/>
      <c r="K1876" s="32" t="n"/>
      <c r="L1876" s="36" t="n"/>
      <c r="M1876" s="41" t="n"/>
      <c r="N1876" s="41" t="n"/>
      <c r="O1876" s="36" t="n"/>
      <c r="P1876" s="33">
        <f>IF(C1876="","",Commercial_Id)</f>
        <v/>
      </c>
      <c r="Q1876" s="39">
        <f>IF(F1876="","",IFERROR(VALUE(MID(F1876,LEN(F1876)-3,3)),""))</f>
        <v/>
      </c>
      <c r="R1876" s="33">
        <f>IF(Q1876="","",P1876&amp;"|"&amp;Q1876)</f>
        <v/>
      </c>
      <c r="S1876" s="33">
        <f>IF(Q1876="","",IF(P1876="À RENSEIGNER","GIC",P1876)&amp;"-"&amp;TEXT(Q1876,"000"))</f>
        <v/>
      </c>
      <c r="T1876" s="33">
        <f>IF(R1876="","",IFERROR(INDEX(Cl_nom,MATCH(R1876,Cl_cle,0)),"(client introuvable)"))</f>
        <v/>
      </c>
      <c r="U1876" s="33">
        <f>IF(R1876="","",IFERROR(INDEX(Cl_quartier,MATCH(R1876,Cl_cle,0))&amp;"",""))</f>
        <v/>
      </c>
      <c r="V1876" s="34">
        <f>IF(C1876="","",YEAR(C1876-WEEKDAY(C1876,2)+4)&amp;"-S"&amp;TEXT(INT((C1876-DATE(YEAR(C1876-WEEKDAY(C1876,2)+4),1,3)+WEEKDAY(DATE(YEAR(C1876-WEEKDAY(C1876,2)+4),1,3),2)+5)/7),"00"))</f>
        <v/>
      </c>
    </row>
    <row r="1877" ht="18" customHeight="1">
      <c r="A1877" s="39" t="n">
        <v>1872</v>
      </c>
      <c r="B1877" s="33">
        <f>IF(C1877="","",IF(P1877="À RENSEIGNER","GIC",P1877)&amp;"-V"&amp;TEXT(A1877,"00000"))</f>
        <v/>
      </c>
      <c r="C1877" s="32" t="n"/>
      <c r="D1877" s="35" t="n"/>
      <c r="E1877" s="36" t="n"/>
      <c r="F1877" s="36" t="n"/>
      <c r="G1877" s="36" t="n"/>
      <c r="H1877" s="36" t="n"/>
      <c r="I1877" s="36" t="n"/>
      <c r="J1877" s="37" t="n"/>
      <c r="K1877" s="32" t="n"/>
      <c r="L1877" s="36" t="n"/>
      <c r="M1877" s="41" t="n"/>
      <c r="N1877" s="41" t="n"/>
      <c r="O1877" s="36" t="n"/>
      <c r="P1877" s="33">
        <f>IF(C1877="","",Commercial_Id)</f>
        <v/>
      </c>
      <c r="Q1877" s="39">
        <f>IF(F1877="","",IFERROR(VALUE(MID(F1877,LEN(F1877)-3,3)),""))</f>
        <v/>
      </c>
      <c r="R1877" s="33">
        <f>IF(Q1877="","",P1877&amp;"|"&amp;Q1877)</f>
        <v/>
      </c>
      <c r="S1877" s="33">
        <f>IF(Q1877="","",IF(P1877="À RENSEIGNER","GIC",P1877)&amp;"-"&amp;TEXT(Q1877,"000"))</f>
        <v/>
      </c>
      <c r="T1877" s="33">
        <f>IF(R1877="","",IFERROR(INDEX(Cl_nom,MATCH(R1877,Cl_cle,0)),"(client introuvable)"))</f>
        <v/>
      </c>
      <c r="U1877" s="33">
        <f>IF(R1877="","",IFERROR(INDEX(Cl_quartier,MATCH(R1877,Cl_cle,0))&amp;"",""))</f>
        <v/>
      </c>
      <c r="V1877" s="34">
        <f>IF(C1877="","",YEAR(C1877-WEEKDAY(C1877,2)+4)&amp;"-S"&amp;TEXT(INT((C1877-DATE(YEAR(C1877-WEEKDAY(C1877,2)+4),1,3)+WEEKDAY(DATE(YEAR(C1877-WEEKDAY(C1877,2)+4),1,3),2)+5)/7),"00"))</f>
        <v/>
      </c>
    </row>
    <row r="1878" ht="18" customHeight="1">
      <c r="A1878" s="39" t="n">
        <v>1873</v>
      </c>
      <c r="B1878" s="33">
        <f>IF(C1878="","",IF(P1878="À RENSEIGNER","GIC",P1878)&amp;"-V"&amp;TEXT(A1878,"00000"))</f>
        <v/>
      </c>
      <c r="C1878" s="32" t="n"/>
      <c r="D1878" s="35" t="n"/>
      <c r="E1878" s="36" t="n"/>
      <c r="F1878" s="36" t="n"/>
      <c r="G1878" s="36" t="n"/>
      <c r="H1878" s="36" t="n"/>
      <c r="I1878" s="36" t="n"/>
      <c r="J1878" s="37" t="n"/>
      <c r="K1878" s="32" t="n"/>
      <c r="L1878" s="36" t="n"/>
      <c r="M1878" s="41" t="n"/>
      <c r="N1878" s="41" t="n"/>
      <c r="O1878" s="36" t="n"/>
      <c r="P1878" s="33">
        <f>IF(C1878="","",Commercial_Id)</f>
        <v/>
      </c>
      <c r="Q1878" s="39">
        <f>IF(F1878="","",IFERROR(VALUE(MID(F1878,LEN(F1878)-3,3)),""))</f>
        <v/>
      </c>
      <c r="R1878" s="33">
        <f>IF(Q1878="","",P1878&amp;"|"&amp;Q1878)</f>
        <v/>
      </c>
      <c r="S1878" s="33">
        <f>IF(Q1878="","",IF(P1878="À RENSEIGNER","GIC",P1878)&amp;"-"&amp;TEXT(Q1878,"000"))</f>
        <v/>
      </c>
      <c r="T1878" s="33">
        <f>IF(R1878="","",IFERROR(INDEX(Cl_nom,MATCH(R1878,Cl_cle,0)),"(client introuvable)"))</f>
        <v/>
      </c>
      <c r="U1878" s="33">
        <f>IF(R1878="","",IFERROR(INDEX(Cl_quartier,MATCH(R1878,Cl_cle,0))&amp;"",""))</f>
        <v/>
      </c>
      <c r="V1878" s="34">
        <f>IF(C1878="","",YEAR(C1878-WEEKDAY(C1878,2)+4)&amp;"-S"&amp;TEXT(INT((C1878-DATE(YEAR(C1878-WEEKDAY(C1878,2)+4),1,3)+WEEKDAY(DATE(YEAR(C1878-WEEKDAY(C1878,2)+4),1,3),2)+5)/7),"00"))</f>
        <v/>
      </c>
    </row>
    <row r="1879" ht="18" customHeight="1">
      <c r="A1879" s="39" t="n">
        <v>1874</v>
      </c>
      <c r="B1879" s="33">
        <f>IF(C1879="","",IF(P1879="À RENSEIGNER","GIC",P1879)&amp;"-V"&amp;TEXT(A1879,"00000"))</f>
        <v/>
      </c>
      <c r="C1879" s="32" t="n"/>
      <c r="D1879" s="35" t="n"/>
      <c r="E1879" s="36" t="n"/>
      <c r="F1879" s="36" t="n"/>
      <c r="G1879" s="36" t="n"/>
      <c r="H1879" s="36" t="n"/>
      <c r="I1879" s="36" t="n"/>
      <c r="J1879" s="37" t="n"/>
      <c r="K1879" s="32" t="n"/>
      <c r="L1879" s="36" t="n"/>
      <c r="M1879" s="41" t="n"/>
      <c r="N1879" s="41" t="n"/>
      <c r="O1879" s="36" t="n"/>
      <c r="P1879" s="33">
        <f>IF(C1879="","",Commercial_Id)</f>
        <v/>
      </c>
      <c r="Q1879" s="39">
        <f>IF(F1879="","",IFERROR(VALUE(MID(F1879,LEN(F1879)-3,3)),""))</f>
        <v/>
      </c>
      <c r="R1879" s="33">
        <f>IF(Q1879="","",P1879&amp;"|"&amp;Q1879)</f>
        <v/>
      </c>
      <c r="S1879" s="33">
        <f>IF(Q1879="","",IF(P1879="À RENSEIGNER","GIC",P1879)&amp;"-"&amp;TEXT(Q1879,"000"))</f>
        <v/>
      </c>
      <c r="T1879" s="33">
        <f>IF(R1879="","",IFERROR(INDEX(Cl_nom,MATCH(R1879,Cl_cle,0)),"(client introuvable)"))</f>
        <v/>
      </c>
      <c r="U1879" s="33">
        <f>IF(R1879="","",IFERROR(INDEX(Cl_quartier,MATCH(R1879,Cl_cle,0))&amp;"",""))</f>
        <v/>
      </c>
      <c r="V1879" s="34">
        <f>IF(C1879="","",YEAR(C1879-WEEKDAY(C1879,2)+4)&amp;"-S"&amp;TEXT(INT((C1879-DATE(YEAR(C1879-WEEKDAY(C1879,2)+4),1,3)+WEEKDAY(DATE(YEAR(C1879-WEEKDAY(C1879,2)+4),1,3),2)+5)/7),"00"))</f>
        <v/>
      </c>
    </row>
    <row r="1880" ht="18" customHeight="1">
      <c r="A1880" s="39" t="n">
        <v>1875</v>
      </c>
      <c r="B1880" s="33">
        <f>IF(C1880="","",IF(P1880="À RENSEIGNER","GIC",P1880)&amp;"-V"&amp;TEXT(A1880,"00000"))</f>
        <v/>
      </c>
      <c r="C1880" s="32" t="n"/>
      <c r="D1880" s="35" t="n"/>
      <c r="E1880" s="36" t="n"/>
      <c r="F1880" s="36" t="n"/>
      <c r="G1880" s="36" t="n"/>
      <c r="H1880" s="36" t="n"/>
      <c r="I1880" s="36" t="n"/>
      <c r="J1880" s="37" t="n"/>
      <c r="K1880" s="32" t="n"/>
      <c r="L1880" s="36" t="n"/>
      <c r="M1880" s="41" t="n"/>
      <c r="N1880" s="41" t="n"/>
      <c r="O1880" s="36" t="n"/>
      <c r="P1880" s="33">
        <f>IF(C1880="","",Commercial_Id)</f>
        <v/>
      </c>
      <c r="Q1880" s="39">
        <f>IF(F1880="","",IFERROR(VALUE(MID(F1880,LEN(F1880)-3,3)),""))</f>
        <v/>
      </c>
      <c r="R1880" s="33">
        <f>IF(Q1880="","",P1880&amp;"|"&amp;Q1880)</f>
        <v/>
      </c>
      <c r="S1880" s="33">
        <f>IF(Q1880="","",IF(P1880="À RENSEIGNER","GIC",P1880)&amp;"-"&amp;TEXT(Q1880,"000"))</f>
        <v/>
      </c>
      <c r="T1880" s="33">
        <f>IF(R1880="","",IFERROR(INDEX(Cl_nom,MATCH(R1880,Cl_cle,0)),"(client introuvable)"))</f>
        <v/>
      </c>
      <c r="U1880" s="33">
        <f>IF(R1880="","",IFERROR(INDEX(Cl_quartier,MATCH(R1880,Cl_cle,0))&amp;"",""))</f>
        <v/>
      </c>
      <c r="V1880" s="34">
        <f>IF(C1880="","",YEAR(C1880-WEEKDAY(C1880,2)+4)&amp;"-S"&amp;TEXT(INT((C1880-DATE(YEAR(C1880-WEEKDAY(C1880,2)+4),1,3)+WEEKDAY(DATE(YEAR(C1880-WEEKDAY(C1880,2)+4),1,3),2)+5)/7),"00"))</f>
        <v/>
      </c>
    </row>
    <row r="1881" ht="18" customHeight="1">
      <c r="A1881" s="39" t="n">
        <v>1876</v>
      </c>
      <c r="B1881" s="33">
        <f>IF(C1881="","",IF(P1881="À RENSEIGNER","GIC",P1881)&amp;"-V"&amp;TEXT(A1881,"00000"))</f>
        <v/>
      </c>
      <c r="C1881" s="32" t="n"/>
      <c r="D1881" s="35" t="n"/>
      <c r="E1881" s="36" t="n"/>
      <c r="F1881" s="36" t="n"/>
      <c r="G1881" s="36" t="n"/>
      <c r="H1881" s="36" t="n"/>
      <c r="I1881" s="36" t="n"/>
      <c r="J1881" s="37" t="n"/>
      <c r="K1881" s="32" t="n"/>
      <c r="L1881" s="36" t="n"/>
      <c r="M1881" s="41" t="n"/>
      <c r="N1881" s="41" t="n"/>
      <c r="O1881" s="36" t="n"/>
      <c r="P1881" s="33">
        <f>IF(C1881="","",Commercial_Id)</f>
        <v/>
      </c>
      <c r="Q1881" s="39">
        <f>IF(F1881="","",IFERROR(VALUE(MID(F1881,LEN(F1881)-3,3)),""))</f>
        <v/>
      </c>
      <c r="R1881" s="33">
        <f>IF(Q1881="","",P1881&amp;"|"&amp;Q1881)</f>
        <v/>
      </c>
      <c r="S1881" s="33">
        <f>IF(Q1881="","",IF(P1881="À RENSEIGNER","GIC",P1881)&amp;"-"&amp;TEXT(Q1881,"000"))</f>
        <v/>
      </c>
      <c r="T1881" s="33">
        <f>IF(R1881="","",IFERROR(INDEX(Cl_nom,MATCH(R1881,Cl_cle,0)),"(client introuvable)"))</f>
        <v/>
      </c>
      <c r="U1881" s="33">
        <f>IF(R1881="","",IFERROR(INDEX(Cl_quartier,MATCH(R1881,Cl_cle,0))&amp;"",""))</f>
        <v/>
      </c>
      <c r="V1881" s="34">
        <f>IF(C1881="","",YEAR(C1881-WEEKDAY(C1881,2)+4)&amp;"-S"&amp;TEXT(INT((C1881-DATE(YEAR(C1881-WEEKDAY(C1881,2)+4),1,3)+WEEKDAY(DATE(YEAR(C1881-WEEKDAY(C1881,2)+4),1,3),2)+5)/7),"00"))</f>
        <v/>
      </c>
    </row>
    <row r="1882" ht="18" customHeight="1">
      <c r="A1882" s="39" t="n">
        <v>1877</v>
      </c>
      <c r="B1882" s="33">
        <f>IF(C1882="","",IF(P1882="À RENSEIGNER","GIC",P1882)&amp;"-V"&amp;TEXT(A1882,"00000"))</f>
        <v/>
      </c>
      <c r="C1882" s="32" t="n"/>
      <c r="D1882" s="35" t="n"/>
      <c r="E1882" s="36" t="n"/>
      <c r="F1882" s="36" t="n"/>
      <c r="G1882" s="36" t="n"/>
      <c r="H1882" s="36" t="n"/>
      <c r="I1882" s="36" t="n"/>
      <c r="J1882" s="37" t="n"/>
      <c r="K1882" s="32" t="n"/>
      <c r="L1882" s="36" t="n"/>
      <c r="M1882" s="41" t="n"/>
      <c r="N1882" s="41" t="n"/>
      <c r="O1882" s="36" t="n"/>
      <c r="P1882" s="33">
        <f>IF(C1882="","",Commercial_Id)</f>
        <v/>
      </c>
      <c r="Q1882" s="39">
        <f>IF(F1882="","",IFERROR(VALUE(MID(F1882,LEN(F1882)-3,3)),""))</f>
        <v/>
      </c>
      <c r="R1882" s="33">
        <f>IF(Q1882="","",P1882&amp;"|"&amp;Q1882)</f>
        <v/>
      </c>
      <c r="S1882" s="33">
        <f>IF(Q1882="","",IF(P1882="À RENSEIGNER","GIC",P1882)&amp;"-"&amp;TEXT(Q1882,"000"))</f>
        <v/>
      </c>
      <c r="T1882" s="33">
        <f>IF(R1882="","",IFERROR(INDEX(Cl_nom,MATCH(R1882,Cl_cle,0)),"(client introuvable)"))</f>
        <v/>
      </c>
      <c r="U1882" s="33">
        <f>IF(R1882="","",IFERROR(INDEX(Cl_quartier,MATCH(R1882,Cl_cle,0))&amp;"",""))</f>
        <v/>
      </c>
      <c r="V1882" s="34">
        <f>IF(C1882="","",YEAR(C1882-WEEKDAY(C1882,2)+4)&amp;"-S"&amp;TEXT(INT((C1882-DATE(YEAR(C1882-WEEKDAY(C1882,2)+4),1,3)+WEEKDAY(DATE(YEAR(C1882-WEEKDAY(C1882,2)+4),1,3),2)+5)/7),"00"))</f>
        <v/>
      </c>
    </row>
    <row r="1883" ht="18" customHeight="1">
      <c r="A1883" s="39" t="n">
        <v>1878</v>
      </c>
      <c r="B1883" s="33">
        <f>IF(C1883="","",IF(P1883="À RENSEIGNER","GIC",P1883)&amp;"-V"&amp;TEXT(A1883,"00000"))</f>
        <v/>
      </c>
      <c r="C1883" s="32" t="n"/>
      <c r="D1883" s="35" t="n"/>
      <c r="E1883" s="36" t="n"/>
      <c r="F1883" s="36" t="n"/>
      <c r="G1883" s="36" t="n"/>
      <c r="H1883" s="36" t="n"/>
      <c r="I1883" s="36" t="n"/>
      <c r="J1883" s="37" t="n"/>
      <c r="K1883" s="32" t="n"/>
      <c r="L1883" s="36" t="n"/>
      <c r="M1883" s="41" t="n"/>
      <c r="N1883" s="41" t="n"/>
      <c r="O1883" s="36" t="n"/>
      <c r="P1883" s="33">
        <f>IF(C1883="","",Commercial_Id)</f>
        <v/>
      </c>
      <c r="Q1883" s="39">
        <f>IF(F1883="","",IFERROR(VALUE(MID(F1883,LEN(F1883)-3,3)),""))</f>
        <v/>
      </c>
      <c r="R1883" s="33">
        <f>IF(Q1883="","",P1883&amp;"|"&amp;Q1883)</f>
        <v/>
      </c>
      <c r="S1883" s="33">
        <f>IF(Q1883="","",IF(P1883="À RENSEIGNER","GIC",P1883)&amp;"-"&amp;TEXT(Q1883,"000"))</f>
        <v/>
      </c>
      <c r="T1883" s="33">
        <f>IF(R1883="","",IFERROR(INDEX(Cl_nom,MATCH(R1883,Cl_cle,0)),"(client introuvable)"))</f>
        <v/>
      </c>
      <c r="U1883" s="33">
        <f>IF(R1883="","",IFERROR(INDEX(Cl_quartier,MATCH(R1883,Cl_cle,0))&amp;"",""))</f>
        <v/>
      </c>
      <c r="V1883" s="34">
        <f>IF(C1883="","",YEAR(C1883-WEEKDAY(C1883,2)+4)&amp;"-S"&amp;TEXT(INT((C1883-DATE(YEAR(C1883-WEEKDAY(C1883,2)+4),1,3)+WEEKDAY(DATE(YEAR(C1883-WEEKDAY(C1883,2)+4),1,3),2)+5)/7),"00"))</f>
        <v/>
      </c>
    </row>
    <row r="1884" ht="18" customHeight="1">
      <c r="A1884" s="39" t="n">
        <v>1879</v>
      </c>
      <c r="B1884" s="33">
        <f>IF(C1884="","",IF(P1884="À RENSEIGNER","GIC",P1884)&amp;"-V"&amp;TEXT(A1884,"00000"))</f>
        <v/>
      </c>
      <c r="C1884" s="32" t="n"/>
      <c r="D1884" s="35" t="n"/>
      <c r="E1884" s="36" t="n"/>
      <c r="F1884" s="36" t="n"/>
      <c r="G1884" s="36" t="n"/>
      <c r="H1884" s="36" t="n"/>
      <c r="I1884" s="36" t="n"/>
      <c r="J1884" s="37" t="n"/>
      <c r="K1884" s="32" t="n"/>
      <c r="L1884" s="36" t="n"/>
      <c r="M1884" s="41" t="n"/>
      <c r="N1884" s="41" t="n"/>
      <c r="O1884" s="36" t="n"/>
      <c r="P1884" s="33">
        <f>IF(C1884="","",Commercial_Id)</f>
        <v/>
      </c>
      <c r="Q1884" s="39">
        <f>IF(F1884="","",IFERROR(VALUE(MID(F1884,LEN(F1884)-3,3)),""))</f>
        <v/>
      </c>
      <c r="R1884" s="33">
        <f>IF(Q1884="","",P1884&amp;"|"&amp;Q1884)</f>
        <v/>
      </c>
      <c r="S1884" s="33">
        <f>IF(Q1884="","",IF(P1884="À RENSEIGNER","GIC",P1884)&amp;"-"&amp;TEXT(Q1884,"000"))</f>
        <v/>
      </c>
      <c r="T1884" s="33">
        <f>IF(R1884="","",IFERROR(INDEX(Cl_nom,MATCH(R1884,Cl_cle,0)),"(client introuvable)"))</f>
        <v/>
      </c>
      <c r="U1884" s="33">
        <f>IF(R1884="","",IFERROR(INDEX(Cl_quartier,MATCH(R1884,Cl_cle,0))&amp;"",""))</f>
        <v/>
      </c>
      <c r="V1884" s="34">
        <f>IF(C1884="","",YEAR(C1884-WEEKDAY(C1884,2)+4)&amp;"-S"&amp;TEXT(INT((C1884-DATE(YEAR(C1884-WEEKDAY(C1884,2)+4),1,3)+WEEKDAY(DATE(YEAR(C1884-WEEKDAY(C1884,2)+4),1,3),2)+5)/7),"00"))</f>
        <v/>
      </c>
    </row>
    <row r="1885" ht="18" customHeight="1">
      <c r="A1885" s="39" t="n">
        <v>1880</v>
      </c>
      <c r="B1885" s="33">
        <f>IF(C1885="","",IF(P1885="À RENSEIGNER","GIC",P1885)&amp;"-V"&amp;TEXT(A1885,"00000"))</f>
        <v/>
      </c>
      <c r="C1885" s="32" t="n"/>
      <c r="D1885" s="35" t="n"/>
      <c r="E1885" s="36" t="n"/>
      <c r="F1885" s="36" t="n"/>
      <c r="G1885" s="36" t="n"/>
      <c r="H1885" s="36" t="n"/>
      <c r="I1885" s="36" t="n"/>
      <c r="J1885" s="37" t="n"/>
      <c r="K1885" s="32" t="n"/>
      <c r="L1885" s="36" t="n"/>
      <c r="M1885" s="41" t="n"/>
      <c r="N1885" s="41" t="n"/>
      <c r="O1885" s="36" t="n"/>
      <c r="P1885" s="33">
        <f>IF(C1885="","",Commercial_Id)</f>
        <v/>
      </c>
      <c r="Q1885" s="39">
        <f>IF(F1885="","",IFERROR(VALUE(MID(F1885,LEN(F1885)-3,3)),""))</f>
        <v/>
      </c>
      <c r="R1885" s="33">
        <f>IF(Q1885="","",P1885&amp;"|"&amp;Q1885)</f>
        <v/>
      </c>
      <c r="S1885" s="33">
        <f>IF(Q1885="","",IF(P1885="À RENSEIGNER","GIC",P1885)&amp;"-"&amp;TEXT(Q1885,"000"))</f>
        <v/>
      </c>
      <c r="T1885" s="33">
        <f>IF(R1885="","",IFERROR(INDEX(Cl_nom,MATCH(R1885,Cl_cle,0)),"(client introuvable)"))</f>
        <v/>
      </c>
      <c r="U1885" s="33">
        <f>IF(R1885="","",IFERROR(INDEX(Cl_quartier,MATCH(R1885,Cl_cle,0))&amp;"",""))</f>
        <v/>
      </c>
      <c r="V1885" s="34">
        <f>IF(C1885="","",YEAR(C1885-WEEKDAY(C1885,2)+4)&amp;"-S"&amp;TEXT(INT((C1885-DATE(YEAR(C1885-WEEKDAY(C1885,2)+4),1,3)+WEEKDAY(DATE(YEAR(C1885-WEEKDAY(C1885,2)+4),1,3),2)+5)/7),"00"))</f>
        <v/>
      </c>
    </row>
    <row r="1886" ht="18" customHeight="1">
      <c r="A1886" s="39" t="n">
        <v>1881</v>
      </c>
      <c r="B1886" s="33">
        <f>IF(C1886="","",IF(P1886="À RENSEIGNER","GIC",P1886)&amp;"-V"&amp;TEXT(A1886,"00000"))</f>
        <v/>
      </c>
      <c r="C1886" s="32" t="n"/>
      <c r="D1886" s="35" t="n"/>
      <c r="E1886" s="36" t="n"/>
      <c r="F1886" s="36" t="n"/>
      <c r="G1886" s="36" t="n"/>
      <c r="H1886" s="36" t="n"/>
      <c r="I1886" s="36" t="n"/>
      <c r="J1886" s="37" t="n"/>
      <c r="K1886" s="32" t="n"/>
      <c r="L1886" s="36" t="n"/>
      <c r="M1886" s="41" t="n"/>
      <c r="N1886" s="41" t="n"/>
      <c r="O1886" s="36" t="n"/>
      <c r="P1886" s="33">
        <f>IF(C1886="","",Commercial_Id)</f>
        <v/>
      </c>
      <c r="Q1886" s="39">
        <f>IF(F1886="","",IFERROR(VALUE(MID(F1886,LEN(F1886)-3,3)),""))</f>
        <v/>
      </c>
      <c r="R1886" s="33">
        <f>IF(Q1886="","",P1886&amp;"|"&amp;Q1886)</f>
        <v/>
      </c>
      <c r="S1886" s="33">
        <f>IF(Q1886="","",IF(P1886="À RENSEIGNER","GIC",P1886)&amp;"-"&amp;TEXT(Q1886,"000"))</f>
        <v/>
      </c>
      <c r="T1886" s="33">
        <f>IF(R1886="","",IFERROR(INDEX(Cl_nom,MATCH(R1886,Cl_cle,0)),"(client introuvable)"))</f>
        <v/>
      </c>
      <c r="U1886" s="33">
        <f>IF(R1886="","",IFERROR(INDEX(Cl_quartier,MATCH(R1886,Cl_cle,0))&amp;"",""))</f>
        <v/>
      </c>
      <c r="V1886" s="34">
        <f>IF(C1886="","",YEAR(C1886-WEEKDAY(C1886,2)+4)&amp;"-S"&amp;TEXT(INT((C1886-DATE(YEAR(C1886-WEEKDAY(C1886,2)+4),1,3)+WEEKDAY(DATE(YEAR(C1886-WEEKDAY(C1886,2)+4),1,3),2)+5)/7),"00"))</f>
        <v/>
      </c>
    </row>
    <row r="1887" ht="18" customHeight="1">
      <c r="A1887" s="39" t="n">
        <v>1882</v>
      </c>
      <c r="B1887" s="33">
        <f>IF(C1887="","",IF(P1887="À RENSEIGNER","GIC",P1887)&amp;"-V"&amp;TEXT(A1887,"00000"))</f>
        <v/>
      </c>
      <c r="C1887" s="32" t="n"/>
      <c r="D1887" s="35" t="n"/>
      <c r="E1887" s="36" t="n"/>
      <c r="F1887" s="36" t="n"/>
      <c r="G1887" s="36" t="n"/>
      <c r="H1887" s="36" t="n"/>
      <c r="I1887" s="36" t="n"/>
      <c r="J1887" s="37" t="n"/>
      <c r="K1887" s="32" t="n"/>
      <c r="L1887" s="36" t="n"/>
      <c r="M1887" s="41" t="n"/>
      <c r="N1887" s="41" t="n"/>
      <c r="O1887" s="36" t="n"/>
      <c r="P1887" s="33">
        <f>IF(C1887="","",Commercial_Id)</f>
        <v/>
      </c>
      <c r="Q1887" s="39">
        <f>IF(F1887="","",IFERROR(VALUE(MID(F1887,LEN(F1887)-3,3)),""))</f>
        <v/>
      </c>
      <c r="R1887" s="33">
        <f>IF(Q1887="","",P1887&amp;"|"&amp;Q1887)</f>
        <v/>
      </c>
      <c r="S1887" s="33">
        <f>IF(Q1887="","",IF(P1887="À RENSEIGNER","GIC",P1887)&amp;"-"&amp;TEXT(Q1887,"000"))</f>
        <v/>
      </c>
      <c r="T1887" s="33">
        <f>IF(R1887="","",IFERROR(INDEX(Cl_nom,MATCH(R1887,Cl_cle,0)),"(client introuvable)"))</f>
        <v/>
      </c>
      <c r="U1887" s="33">
        <f>IF(R1887="","",IFERROR(INDEX(Cl_quartier,MATCH(R1887,Cl_cle,0))&amp;"",""))</f>
        <v/>
      </c>
      <c r="V1887" s="34">
        <f>IF(C1887="","",YEAR(C1887-WEEKDAY(C1887,2)+4)&amp;"-S"&amp;TEXT(INT((C1887-DATE(YEAR(C1887-WEEKDAY(C1887,2)+4),1,3)+WEEKDAY(DATE(YEAR(C1887-WEEKDAY(C1887,2)+4),1,3),2)+5)/7),"00"))</f>
        <v/>
      </c>
    </row>
    <row r="1888" ht="18" customHeight="1">
      <c r="A1888" s="39" t="n">
        <v>1883</v>
      </c>
      <c r="B1888" s="33">
        <f>IF(C1888="","",IF(P1888="À RENSEIGNER","GIC",P1888)&amp;"-V"&amp;TEXT(A1888,"00000"))</f>
        <v/>
      </c>
      <c r="C1888" s="32" t="n"/>
      <c r="D1888" s="35" t="n"/>
      <c r="E1888" s="36" t="n"/>
      <c r="F1888" s="36" t="n"/>
      <c r="G1888" s="36" t="n"/>
      <c r="H1888" s="36" t="n"/>
      <c r="I1888" s="36" t="n"/>
      <c r="J1888" s="37" t="n"/>
      <c r="K1888" s="32" t="n"/>
      <c r="L1888" s="36" t="n"/>
      <c r="M1888" s="41" t="n"/>
      <c r="N1888" s="41" t="n"/>
      <c r="O1888" s="36" t="n"/>
      <c r="P1888" s="33">
        <f>IF(C1888="","",Commercial_Id)</f>
        <v/>
      </c>
      <c r="Q1888" s="39">
        <f>IF(F1888="","",IFERROR(VALUE(MID(F1888,LEN(F1888)-3,3)),""))</f>
        <v/>
      </c>
      <c r="R1888" s="33">
        <f>IF(Q1888="","",P1888&amp;"|"&amp;Q1888)</f>
        <v/>
      </c>
      <c r="S1888" s="33">
        <f>IF(Q1888="","",IF(P1888="À RENSEIGNER","GIC",P1888)&amp;"-"&amp;TEXT(Q1888,"000"))</f>
        <v/>
      </c>
      <c r="T1888" s="33">
        <f>IF(R1888="","",IFERROR(INDEX(Cl_nom,MATCH(R1888,Cl_cle,0)),"(client introuvable)"))</f>
        <v/>
      </c>
      <c r="U1888" s="33">
        <f>IF(R1888="","",IFERROR(INDEX(Cl_quartier,MATCH(R1888,Cl_cle,0))&amp;"",""))</f>
        <v/>
      </c>
      <c r="V1888" s="34">
        <f>IF(C1888="","",YEAR(C1888-WEEKDAY(C1888,2)+4)&amp;"-S"&amp;TEXT(INT((C1888-DATE(YEAR(C1888-WEEKDAY(C1888,2)+4),1,3)+WEEKDAY(DATE(YEAR(C1888-WEEKDAY(C1888,2)+4),1,3),2)+5)/7),"00"))</f>
        <v/>
      </c>
    </row>
    <row r="1889" ht="18" customHeight="1">
      <c r="A1889" s="39" t="n">
        <v>1884</v>
      </c>
      <c r="B1889" s="33">
        <f>IF(C1889="","",IF(P1889="À RENSEIGNER","GIC",P1889)&amp;"-V"&amp;TEXT(A1889,"00000"))</f>
        <v/>
      </c>
      <c r="C1889" s="32" t="n"/>
      <c r="D1889" s="35" t="n"/>
      <c r="E1889" s="36" t="n"/>
      <c r="F1889" s="36" t="n"/>
      <c r="G1889" s="36" t="n"/>
      <c r="H1889" s="36" t="n"/>
      <c r="I1889" s="36" t="n"/>
      <c r="J1889" s="37" t="n"/>
      <c r="K1889" s="32" t="n"/>
      <c r="L1889" s="36" t="n"/>
      <c r="M1889" s="41" t="n"/>
      <c r="N1889" s="41" t="n"/>
      <c r="O1889" s="36" t="n"/>
      <c r="P1889" s="33">
        <f>IF(C1889="","",Commercial_Id)</f>
        <v/>
      </c>
      <c r="Q1889" s="39">
        <f>IF(F1889="","",IFERROR(VALUE(MID(F1889,LEN(F1889)-3,3)),""))</f>
        <v/>
      </c>
      <c r="R1889" s="33">
        <f>IF(Q1889="","",P1889&amp;"|"&amp;Q1889)</f>
        <v/>
      </c>
      <c r="S1889" s="33">
        <f>IF(Q1889="","",IF(P1889="À RENSEIGNER","GIC",P1889)&amp;"-"&amp;TEXT(Q1889,"000"))</f>
        <v/>
      </c>
      <c r="T1889" s="33">
        <f>IF(R1889="","",IFERROR(INDEX(Cl_nom,MATCH(R1889,Cl_cle,0)),"(client introuvable)"))</f>
        <v/>
      </c>
      <c r="U1889" s="33">
        <f>IF(R1889="","",IFERROR(INDEX(Cl_quartier,MATCH(R1889,Cl_cle,0))&amp;"",""))</f>
        <v/>
      </c>
      <c r="V1889" s="34">
        <f>IF(C1889="","",YEAR(C1889-WEEKDAY(C1889,2)+4)&amp;"-S"&amp;TEXT(INT((C1889-DATE(YEAR(C1889-WEEKDAY(C1889,2)+4),1,3)+WEEKDAY(DATE(YEAR(C1889-WEEKDAY(C1889,2)+4),1,3),2)+5)/7),"00"))</f>
        <v/>
      </c>
    </row>
    <row r="1890" ht="18" customHeight="1">
      <c r="A1890" s="39" t="n">
        <v>1885</v>
      </c>
      <c r="B1890" s="33">
        <f>IF(C1890="","",IF(P1890="À RENSEIGNER","GIC",P1890)&amp;"-V"&amp;TEXT(A1890,"00000"))</f>
        <v/>
      </c>
      <c r="C1890" s="32" t="n"/>
      <c r="D1890" s="35" t="n"/>
      <c r="E1890" s="36" t="n"/>
      <c r="F1890" s="36" t="n"/>
      <c r="G1890" s="36" t="n"/>
      <c r="H1890" s="36" t="n"/>
      <c r="I1890" s="36" t="n"/>
      <c r="J1890" s="37" t="n"/>
      <c r="K1890" s="32" t="n"/>
      <c r="L1890" s="36" t="n"/>
      <c r="M1890" s="41" t="n"/>
      <c r="N1890" s="41" t="n"/>
      <c r="O1890" s="36" t="n"/>
      <c r="P1890" s="33">
        <f>IF(C1890="","",Commercial_Id)</f>
        <v/>
      </c>
      <c r="Q1890" s="39">
        <f>IF(F1890="","",IFERROR(VALUE(MID(F1890,LEN(F1890)-3,3)),""))</f>
        <v/>
      </c>
      <c r="R1890" s="33">
        <f>IF(Q1890="","",P1890&amp;"|"&amp;Q1890)</f>
        <v/>
      </c>
      <c r="S1890" s="33">
        <f>IF(Q1890="","",IF(P1890="À RENSEIGNER","GIC",P1890)&amp;"-"&amp;TEXT(Q1890,"000"))</f>
        <v/>
      </c>
      <c r="T1890" s="33">
        <f>IF(R1890="","",IFERROR(INDEX(Cl_nom,MATCH(R1890,Cl_cle,0)),"(client introuvable)"))</f>
        <v/>
      </c>
      <c r="U1890" s="33">
        <f>IF(R1890="","",IFERROR(INDEX(Cl_quartier,MATCH(R1890,Cl_cle,0))&amp;"",""))</f>
        <v/>
      </c>
      <c r="V1890" s="34">
        <f>IF(C1890="","",YEAR(C1890-WEEKDAY(C1890,2)+4)&amp;"-S"&amp;TEXT(INT((C1890-DATE(YEAR(C1890-WEEKDAY(C1890,2)+4),1,3)+WEEKDAY(DATE(YEAR(C1890-WEEKDAY(C1890,2)+4),1,3),2)+5)/7),"00"))</f>
        <v/>
      </c>
    </row>
    <row r="1891" ht="18" customHeight="1">
      <c r="A1891" s="39" t="n">
        <v>1886</v>
      </c>
      <c r="B1891" s="33">
        <f>IF(C1891="","",IF(P1891="À RENSEIGNER","GIC",P1891)&amp;"-V"&amp;TEXT(A1891,"00000"))</f>
        <v/>
      </c>
      <c r="C1891" s="32" t="n"/>
      <c r="D1891" s="35" t="n"/>
      <c r="E1891" s="36" t="n"/>
      <c r="F1891" s="36" t="n"/>
      <c r="G1891" s="36" t="n"/>
      <c r="H1891" s="36" t="n"/>
      <c r="I1891" s="36" t="n"/>
      <c r="J1891" s="37" t="n"/>
      <c r="K1891" s="32" t="n"/>
      <c r="L1891" s="36" t="n"/>
      <c r="M1891" s="41" t="n"/>
      <c r="N1891" s="41" t="n"/>
      <c r="O1891" s="36" t="n"/>
      <c r="P1891" s="33">
        <f>IF(C1891="","",Commercial_Id)</f>
        <v/>
      </c>
      <c r="Q1891" s="39">
        <f>IF(F1891="","",IFERROR(VALUE(MID(F1891,LEN(F1891)-3,3)),""))</f>
        <v/>
      </c>
      <c r="R1891" s="33">
        <f>IF(Q1891="","",P1891&amp;"|"&amp;Q1891)</f>
        <v/>
      </c>
      <c r="S1891" s="33">
        <f>IF(Q1891="","",IF(P1891="À RENSEIGNER","GIC",P1891)&amp;"-"&amp;TEXT(Q1891,"000"))</f>
        <v/>
      </c>
      <c r="T1891" s="33">
        <f>IF(R1891="","",IFERROR(INDEX(Cl_nom,MATCH(R1891,Cl_cle,0)),"(client introuvable)"))</f>
        <v/>
      </c>
      <c r="U1891" s="33">
        <f>IF(R1891="","",IFERROR(INDEX(Cl_quartier,MATCH(R1891,Cl_cle,0))&amp;"",""))</f>
        <v/>
      </c>
      <c r="V1891" s="34">
        <f>IF(C1891="","",YEAR(C1891-WEEKDAY(C1891,2)+4)&amp;"-S"&amp;TEXT(INT((C1891-DATE(YEAR(C1891-WEEKDAY(C1891,2)+4),1,3)+WEEKDAY(DATE(YEAR(C1891-WEEKDAY(C1891,2)+4),1,3),2)+5)/7),"00"))</f>
        <v/>
      </c>
    </row>
    <row r="1892" ht="18" customHeight="1">
      <c r="A1892" s="39" t="n">
        <v>1887</v>
      </c>
      <c r="B1892" s="33">
        <f>IF(C1892="","",IF(P1892="À RENSEIGNER","GIC",P1892)&amp;"-V"&amp;TEXT(A1892,"00000"))</f>
        <v/>
      </c>
      <c r="C1892" s="32" t="n"/>
      <c r="D1892" s="35" t="n"/>
      <c r="E1892" s="36" t="n"/>
      <c r="F1892" s="36" t="n"/>
      <c r="G1892" s="36" t="n"/>
      <c r="H1892" s="36" t="n"/>
      <c r="I1892" s="36" t="n"/>
      <c r="J1892" s="37" t="n"/>
      <c r="K1892" s="32" t="n"/>
      <c r="L1892" s="36" t="n"/>
      <c r="M1892" s="41" t="n"/>
      <c r="N1892" s="41" t="n"/>
      <c r="O1892" s="36" t="n"/>
      <c r="P1892" s="33">
        <f>IF(C1892="","",Commercial_Id)</f>
        <v/>
      </c>
      <c r="Q1892" s="39">
        <f>IF(F1892="","",IFERROR(VALUE(MID(F1892,LEN(F1892)-3,3)),""))</f>
        <v/>
      </c>
      <c r="R1892" s="33">
        <f>IF(Q1892="","",P1892&amp;"|"&amp;Q1892)</f>
        <v/>
      </c>
      <c r="S1892" s="33">
        <f>IF(Q1892="","",IF(P1892="À RENSEIGNER","GIC",P1892)&amp;"-"&amp;TEXT(Q1892,"000"))</f>
        <v/>
      </c>
      <c r="T1892" s="33">
        <f>IF(R1892="","",IFERROR(INDEX(Cl_nom,MATCH(R1892,Cl_cle,0)),"(client introuvable)"))</f>
        <v/>
      </c>
      <c r="U1892" s="33">
        <f>IF(R1892="","",IFERROR(INDEX(Cl_quartier,MATCH(R1892,Cl_cle,0))&amp;"",""))</f>
        <v/>
      </c>
      <c r="V1892" s="34">
        <f>IF(C1892="","",YEAR(C1892-WEEKDAY(C1892,2)+4)&amp;"-S"&amp;TEXT(INT((C1892-DATE(YEAR(C1892-WEEKDAY(C1892,2)+4),1,3)+WEEKDAY(DATE(YEAR(C1892-WEEKDAY(C1892,2)+4),1,3),2)+5)/7),"00"))</f>
        <v/>
      </c>
    </row>
    <row r="1893" ht="18" customHeight="1">
      <c r="A1893" s="39" t="n">
        <v>1888</v>
      </c>
      <c r="B1893" s="33">
        <f>IF(C1893="","",IF(P1893="À RENSEIGNER","GIC",P1893)&amp;"-V"&amp;TEXT(A1893,"00000"))</f>
        <v/>
      </c>
      <c r="C1893" s="32" t="n"/>
      <c r="D1893" s="35" t="n"/>
      <c r="E1893" s="36" t="n"/>
      <c r="F1893" s="36" t="n"/>
      <c r="G1893" s="36" t="n"/>
      <c r="H1893" s="36" t="n"/>
      <c r="I1893" s="36" t="n"/>
      <c r="J1893" s="37" t="n"/>
      <c r="K1893" s="32" t="n"/>
      <c r="L1893" s="36" t="n"/>
      <c r="M1893" s="41" t="n"/>
      <c r="N1893" s="41" t="n"/>
      <c r="O1893" s="36" t="n"/>
      <c r="P1893" s="33">
        <f>IF(C1893="","",Commercial_Id)</f>
        <v/>
      </c>
      <c r="Q1893" s="39">
        <f>IF(F1893="","",IFERROR(VALUE(MID(F1893,LEN(F1893)-3,3)),""))</f>
        <v/>
      </c>
      <c r="R1893" s="33">
        <f>IF(Q1893="","",P1893&amp;"|"&amp;Q1893)</f>
        <v/>
      </c>
      <c r="S1893" s="33">
        <f>IF(Q1893="","",IF(P1893="À RENSEIGNER","GIC",P1893)&amp;"-"&amp;TEXT(Q1893,"000"))</f>
        <v/>
      </c>
      <c r="T1893" s="33">
        <f>IF(R1893="","",IFERROR(INDEX(Cl_nom,MATCH(R1893,Cl_cle,0)),"(client introuvable)"))</f>
        <v/>
      </c>
      <c r="U1893" s="33">
        <f>IF(R1893="","",IFERROR(INDEX(Cl_quartier,MATCH(R1893,Cl_cle,0))&amp;"",""))</f>
        <v/>
      </c>
      <c r="V1893" s="34">
        <f>IF(C1893="","",YEAR(C1893-WEEKDAY(C1893,2)+4)&amp;"-S"&amp;TEXT(INT((C1893-DATE(YEAR(C1893-WEEKDAY(C1893,2)+4),1,3)+WEEKDAY(DATE(YEAR(C1893-WEEKDAY(C1893,2)+4),1,3),2)+5)/7),"00"))</f>
        <v/>
      </c>
    </row>
    <row r="1894" ht="18" customHeight="1">
      <c r="A1894" s="39" t="n">
        <v>1889</v>
      </c>
      <c r="B1894" s="33">
        <f>IF(C1894="","",IF(P1894="À RENSEIGNER","GIC",P1894)&amp;"-V"&amp;TEXT(A1894,"00000"))</f>
        <v/>
      </c>
      <c r="C1894" s="32" t="n"/>
      <c r="D1894" s="35" t="n"/>
      <c r="E1894" s="36" t="n"/>
      <c r="F1894" s="36" t="n"/>
      <c r="G1894" s="36" t="n"/>
      <c r="H1894" s="36" t="n"/>
      <c r="I1894" s="36" t="n"/>
      <c r="J1894" s="37" t="n"/>
      <c r="K1894" s="32" t="n"/>
      <c r="L1894" s="36" t="n"/>
      <c r="M1894" s="41" t="n"/>
      <c r="N1894" s="41" t="n"/>
      <c r="O1894" s="36" t="n"/>
      <c r="P1894" s="33">
        <f>IF(C1894="","",Commercial_Id)</f>
        <v/>
      </c>
      <c r="Q1894" s="39">
        <f>IF(F1894="","",IFERROR(VALUE(MID(F1894,LEN(F1894)-3,3)),""))</f>
        <v/>
      </c>
      <c r="R1894" s="33">
        <f>IF(Q1894="","",P1894&amp;"|"&amp;Q1894)</f>
        <v/>
      </c>
      <c r="S1894" s="33">
        <f>IF(Q1894="","",IF(P1894="À RENSEIGNER","GIC",P1894)&amp;"-"&amp;TEXT(Q1894,"000"))</f>
        <v/>
      </c>
      <c r="T1894" s="33">
        <f>IF(R1894="","",IFERROR(INDEX(Cl_nom,MATCH(R1894,Cl_cle,0)),"(client introuvable)"))</f>
        <v/>
      </c>
      <c r="U1894" s="33">
        <f>IF(R1894="","",IFERROR(INDEX(Cl_quartier,MATCH(R1894,Cl_cle,0))&amp;"",""))</f>
        <v/>
      </c>
      <c r="V1894" s="34">
        <f>IF(C1894="","",YEAR(C1894-WEEKDAY(C1894,2)+4)&amp;"-S"&amp;TEXT(INT((C1894-DATE(YEAR(C1894-WEEKDAY(C1894,2)+4),1,3)+WEEKDAY(DATE(YEAR(C1894-WEEKDAY(C1894,2)+4),1,3),2)+5)/7),"00"))</f>
        <v/>
      </c>
    </row>
    <row r="1895" ht="18" customHeight="1">
      <c r="A1895" s="39" t="n">
        <v>1890</v>
      </c>
      <c r="B1895" s="33">
        <f>IF(C1895="","",IF(P1895="À RENSEIGNER","GIC",P1895)&amp;"-V"&amp;TEXT(A1895,"00000"))</f>
        <v/>
      </c>
      <c r="C1895" s="32" t="n"/>
      <c r="D1895" s="35" t="n"/>
      <c r="E1895" s="36" t="n"/>
      <c r="F1895" s="36" t="n"/>
      <c r="G1895" s="36" t="n"/>
      <c r="H1895" s="36" t="n"/>
      <c r="I1895" s="36" t="n"/>
      <c r="J1895" s="37" t="n"/>
      <c r="K1895" s="32" t="n"/>
      <c r="L1895" s="36" t="n"/>
      <c r="M1895" s="41" t="n"/>
      <c r="N1895" s="41" t="n"/>
      <c r="O1895" s="36" t="n"/>
      <c r="P1895" s="33">
        <f>IF(C1895="","",Commercial_Id)</f>
        <v/>
      </c>
      <c r="Q1895" s="39">
        <f>IF(F1895="","",IFERROR(VALUE(MID(F1895,LEN(F1895)-3,3)),""))</f>
        <v/>
      </c>
      <c r="R1895" s="33">
        <f>IF(Q1895="","",P1895&amp;"|"&amp;Q1895)</f>
        <v/>
      </c>
      <c r="S1895" s="33">
        <f>IF(Q1895="","",IF(P1895="À RENSEIGNER","GIC",P1895)&amp;"-"&amp;TEXT(Q1895,"000"))</f>
        <v/>
      </c>
      <c r="T1895" s="33">
        <f>IF(R1895="","",IFERROR(INDEX(Cl_nom,MATCH(R1895,Cl_cle,0)),"(client introuvable)"))</f>
        <v/>
      </c>
      <c r="U1895" s="33">
        <f>IF(R1895="","",IFERROR(INDEX(Cl_quartier,MATCH(R1895,Cl_cle,0))&amp;"",""))</f>
        <v/>
      </c>
      <c r="V1895" s="34">
        <f>IF(C1895="","",YEAR(C1895-WEEKDAY(C1895,2)+4)&amp;"-S"&amp;TEXT(INT((C1895-DATE(YEAR(C1895-WEEKDAY(C1895,2)+4),1,3)+WEEKDAY(DATE(YEAR(C1895-WEEKDAY(C1895,2)+4),1,3),2)+5)/7),"00"))</f>
        <v/>
      </c>
    </row>
    <row r="1896" ht="18" customHeight="1">
      <c r="A1896" s="39" t="n">
        <v>1891</v>
      </c>
      <c r="B1896" s="33">
        <f>IF(C1896="","",IF(P1896="À RENSEIGNER","GIC",P1896)&amp;"-V"&amp;TEXT(A1896,"00000"))</f>
        <v/>
      </c>
      <c r="C1896" s="32" t="n"/>
      <c r="D1896" s="35" t="n"/>
      <c r="E1896" s="36" t="n"/>
      <c r="F1896" s="36" t="n"/>
      <c r="G1896" s="36" t="n"/>
      <c r="H1896" s="36" t="n"/>
      <c r="I1896" s="36" t="n"/>
      <c r="J1896" s="37" t="n"/>
      <c r="K1896" s="32" t="n"/>
      <c r="L1896" s="36" t="n"/>
      <c r="M1896" s="41" t="n"/>
      <c r="N1896" s="41" t="n"/>
      <c r="O1896" s="36" t="n"/>
      <c r="P1896" s="33">
        <f>IF(C1896="","",Commercial_Id)</f>
        <v/>
      </c>
      <c r="Q1896" s="39">
        <f>IF(F1896="","",IFERROR(VALUE(MID(F1896,LEN(F1896)-3,3)),""))</f>
        <v/>
      </c>
      <c r="R1896" s="33">
        <f>IF(Q1896="","",P1896&amp;"|"&amp;Q1896)</f>
        <v/>
      </c>
      <c r="S1896" s="33">
        <f>IF(Q1896="","",IF(P1896="À RENSEIGNER","GIC",P1896)&amp;"-"&amp;TEXT(Q1896,"000"))</f>
        <v/>
      </c>
      <c r="T1896" s="33">
        <f>IF(R1896="","",IFERROR(INDEX(Cl_nom,MATCH(R1896,Cl_cle,0)),"(client introuvable)"))</f>
        <v/>
      </c>
      <c r="U1896" s="33">
        <f>IF(R1896="","",IFERROR(INDEX(Cl_quartier,MATCH(R1896,Cl_cle,0))&amp;"",""))</f>
        <v/>
      </c>
      <c r="V1896" s="34">
        <f>IF(C1896="","",YEAR(C1896-WEEKDAY(C1896,2)+4)&amp;"-S"&amp;TEXT(INT((C1896-DATE(YEAR(C1896-WEEKDAY(C1896,2)+4),1,3)+WEEKDAY(DATE(YEAR(C1896-WEEKDAY(C1896,2)+4),1,3),2)+5)/7),"00"))</f>
        <v/>
      </c>
    </row>
    <row r="1897" ht="18" customHeight="1">
      <c r="A1897" s="39" t="n">
        <v>1892</v>
      </c>
      <c r="B1897" s="33">
        <f>IF(C1897="","",IF(P1897="À RENSEIGNER","GIC",P1897)&amp;"-V"&amp;TEXT(A1897,"00000"))</f>
        <v/>
      </c>
      <c r="C1897" s="32" t="n"/>
      <c r="D1897" s="35" t="n"/>
      <c r="E1897" s="36" t="n"/>
      <c r="F1897" s="36" t="n"/>
      <c r="G1897" s="36" t="n"/>
      <c r="H1897" s="36" t="n"/>
      <c r="I1897" s="36" t="n"/>
      <c r="J1897" s="37" t="n"/>
      <c r="K1897" s="32" t="n"/>
      <c r="L1897" s="36" t="n"/>
      <c r="M1897" s="41" t="n"/>
      <c r="N1897" s="41" t="n"/>
      <c r="O1897" s="36" t="n"/>
      <c r="P1897" s="33">
        <f>IF(C1897="","",Commercial_Id)</f>
        <v/>
      </c>
      <c r="Q1897" s="39">
        <f>IF(F1897="","",IFERROR(VALUE(MID(F1897,LEN(F1897)-3,3)),""))</f>
        <v/>
      </c>
      <c r="R1897" s="33">
        <f>IF(Q1897="","",P1897&amp;"|"&amp;Q1897)</f>
        <v/>
      </c>
      <c r="S1897" s="33">
        <f>IF(Q1897="","",IF(P1897="À RENSEIGNER","GIC",P1897)&amp;"-"&amp;TEXT(Q1897,"000"))</f>
        <v/>
      </c>
      <c r="T1897" s="33">
        <f>IF(R1897="","",IFERROR(INDEX(Cl_nom,MATCH(R1897,Cl_cle,0)),"(client introuvable)"))</f>
        <v/>
      </c>
      <c r="U1897" s="33">
        <f>IF(R1897="","",IFERROR(INDEX(Cl_quartier,MATCH(R1897,Cl_cle,0))&amp;"",""))</f>
        <v/>
      </c>
      <c r="V1897" s="34">
        <f>IF(C1897="","",YEAR(C1897-WEEKDAY(C1897,2)+4)&amp;"-S"&amp;TEXT(INT((C1897-DATE(YEAR(C1897-WEEKDAY(C1897,2)+4),1,3)+WEEKDAY(DATE(YEAR(C1897-WEEKDAY(C1897,2)+4),1,3),2)+5)/7),"00"))</f>
        <v/>
      </c>
    </row>
    <row r="1898" ht="18" customHeight="1">
      <c r="A1898" s="39" t="n">
        <v>1893</v>
      </c>
      <c r="B1898" s="33">
        <f>IF(C1898="","",IF(P1898="À RENSEIGNER","GIC",P1898)&amp;"-V"&amp;TEXT(A1898,"00000"))</f>
        <v/>
      </c>
      <c r="C1898" s="32" t="n"/>
      <c r="D1898" s="35" t="n"/>
      <c r="E1898" s="36" t="n"/>
      <c r="F1898" s="36" t="n"/>
      <c r="G1898" s="36" t="n"/>
      <c r="H1898" s="36" t="n"/>
      <c r="I1898" s="36" t="n"/>
      <c r="J1898" s="37" t="n"/>
      <c r="K1898" s="32" t="n"/>
      <c r="L1898" s="36" t="n"/>
      <c r="M1898" s="41" t="n"/>
      <c r="N1898" s="41" t="n"/>
      <c r="O1898" s="36" t="n"/>
      <c r="P1898" s="33">
        <f>IF(C1898="","",Commercial_Id)</f>
        <v/>
      </c>
      <c r="Q1898" s="39">
        <f>IF(F1898="","",IFERROR(VALUE(MID(F1898,LEN(F1898)-3,3)),""))</f>
        <v/>
      </c>
      <c r="R1898" s="33">
        <f>IF(Q1898="","",P1898&amp;"|"&amp;Q1898)</f>
        <v/>
      </c>
      <c r="S1898" s="33">
        <f>IF(Q1898="","",IF(P1898="À RENSEIGNER","GIC",P1898)&amp;"-"&amp;TEXT(Q1898,"000"))</f>
        <v/>
      </c>
      <c r="T1898" s="33">
        <f>IF(R1898="","",IFERROR(INDEX(Cl_nom,MATCH(R1898,Cl_cle,0)),"(client introuvable)"))</f>
        <v/>
      </c>
      <c r="U1898" s="33">
        <f>IF(R1898="","",IFERROR(INDEX(Cl_quartier,MATCH(R1898,Cl_cle,0))&amp;"",""))</f>
        <v/>
      </c>
      <c r="V1898" s="34">
        <f>IF(C1898="","",YEAR(C1898-WEEKDAY(C1898,2)+4)&amp;"-S"&amp;TEXT(INT((C1898-DATE(YEAR(C1898-WEEKDAY(C1898,2)+4),1,3)+WEEKDAY(DATE(YEAR(C1898-WEEKDAY(C1898,2)+4),1,3),2)+5)/7),"00"))</f>
        <v/>
      </c>
    </row>
    <row r="1899" ht="18" customHeight="1">
      <c r="A1899" s="39" t="n">
        <v>1894</v>
      </c>
      <c r="B1899" s="33">
        <f>IF(C1899="","",IF(P1899="À RENSEIGNER","GIC",P1899)&amp;"-V"&amp;TEXT(A1899,"00000"))</f>
        <v/>
      </c>
      <c r="C1899" s="32" t="n"/>
      <c r="D1899" s="35" t="n"/>
      <c r="E1899" s="36" t="n"/>
      <c r="F1899" s="36" t="n"/>
      <c r="G1899" s="36" t="n"/>
      <c r="H1899" s="36" t="n"/>
      <c r="I1899" s="36" t="n"/>
      <c r="J1899" s="37" t="n"/>
      <c r="K1899" s="32" t="n"/>
      <c r="L1899" s="36" t="n"/>
      <c r="M1899" s="41" t="n"/>
      <c r="N1899" s="41" t="n"/>
      <c r="O1899" s="36" t="n"/>
      <c r="P1899" s="33">
        <f>IF(C1899="","",Commercial_Id)</f>
        <v/>
      </c>
      <c r="Q1899" s="39">
        <f>IF(F1899="","",IFERROR(VALUE(MID(F1899,LEN(F1899)-3,3)),""))</f>
        <v/>
      </c>
      <c r="R1899" s="33">
        <f>IF(Q1899="","",P1899&amp;"|"&amp;Q1899)</f>
        <v/>
      </c>
      <c r="S1899" s="33">
        <f>IF(Q1899="","",IF(P1899="À RENSEIGNER","GIC",P1899)&amp;"-"&amp;TEXT(Q1899,"000"))</f>
        <v/>
      </c>
      <c r="T1899" s="33">
        <f>IF(R1899="","",IFERROR(INDEX(Cl_nom,MATCH(R1899,Cl_cle,0)),"(client introuvable)"))</f>
        <v/>
      </c>
      <c r="U1899" s="33">
        <f>IF(R1899="","",IFERROR(INDEX(Cl_quartier,MATCH(R1899,Cl_cle,0))&amp;"",""))</f>
        <v/>
      </c>
      <c r="V1899" s="34">
        <f>IF(C1899="","",YEAR(C1899-WEEKDAY(C1899,2)+4)&amp;"-S"&amp;TEXT(INT((C1899-DATE(YEAR(C1899-WEEKDAY(C1899,2)+4),1,3)+WEEKDAY(DATE(YEAR(C1899-WEEKDAY(C1899,2)+4),1,3),2)+5)/7),"00"))</f>
        <v/>
      </c>
    </row>
    <row r="1900" ht="18" customHeight="1">
      <c r="A1900" s="39" t="n">
        <v>1895</v>
      </c>
      <c r="B1900" s="33">
        <f>IF(C1900="","",IF(P1900="À RENSEIGNER","GIC",P1900)&amp;"-V"&amp;TEXT(A1900,"00000"))</f>
        <v/>
      </c>
      <c r="C1900" s="32" t="n"/>
      <c r="D1900" s="35" t="n"/>
      <c r="E1900" s="36" t="n"/>
      <c r="F1900" s="36" t="n"/>
      <c r="G1900" s="36" t="n"/>
      <c r="H1900" s="36" t="n"/>
      <c r="I1900" s="36" t="n"/>
      <c r="J1900" s="37" t="n"/>
      <c r="K1900" s="32" t="n"/>
      <c r="L1900" s="36" t="n"/>
      <c r="M1900" s="41" t="n"/>
      <c r="N1900" s="41" t="n"/>
      <c r="O1900" s="36" t="n"/>
      <c r="P1900" s="33">
        <f>IF(C1900="","",Commercial_Id)</f>
        <v/>
      </c>
      <c r="Q1900" s="39">
        <f>IF(F1900="","",IFERROR(VALUE(MID(F1900,LEN(F1900)-3,3)),""))</f>
        <v/>
      </c>
      <c r="R1900" s="33">
        <f>IF(Q1900="","",P1900&amp;"|"&amp;Q1900)</f>
        <v/>
      </c>
      <c r="S1900" s="33">
        <f>IF(Q1900="","",IF(P1900="À RENSEIGNER","GIC",P1900)&amp;"-"&amp;TEXT(Q1900,"000"))</f>
        <v/>
      </c>
      <c r="T1900" s="33">
        <f>IF(R1900="","",IFERROR(INDEX(Cl_nom,MATCH(R1900,Cl_cle,0)),"(client introuvable)"))</f>
        <v/>
      </c>
      <c r="U1900" s="33">
        <f>IF(R1900="","",IFERROR(INDEX(Cl_quartier,MATCH(R1900,Cl_cle,0))&amp;"",""))</f>
        <v/>
      </c>
      <c r="V1900" s="34">
        <f>IF(C1900="","",YEAR(C1900-WEEKDAY(C1900,2)+4)&amp;"-S"&amp;TEXT(INT((C1900-DATE(YEAR(C1900-WEEKDAY(C1900,2)+4),1,3)+WEEKDAY(DATE(YEAR(C1900-WEEKDAY(C1900,2)+4),1,3),2)+5)/7),"00"))</f>
        <v/>
      </c>
    </row>
    <row r="1901" ht="18" customHeight="1">
      <c r="A1901" s="39" t="n">
        <v>1896</v>
      </c>
      <c r="B1901" s="33">
        <f>IF(C1901="","",IF(P1901="À RENSEIGNER","GIC",P1901)&amp;"-V"&amp;TEXT(A1901,"00000"))</f>
        <v/>
      </c>
      <c r="C1901" s="32" t="n"/>
      <c r="D1901" s="35" t="n"/>
      <c r="E1901" s="36" t="n"/>
      <c r="F1901" s="36" t="n"/>
      <c r="G1901" s="36" t="n"/>
      <c r="H1901" s="36" t="n"/>
      <c r="I1901" s="36" t="n"/>
      <c r="J1901" s="37" t="n"/>
      <c r="K1901" s="32" t="n"/>
      <c r="L1901" s="36" t="n"/>
      <c r="M1901" s="41" t="n"/>
      <c r="N1901" s="41" t="n"/>
      <c r="O1901" s="36" t="n"/>
      <c r="P1901" s="33">
        <f>IF(C1901="","",Commercial_Id)</f>
        <v/>
      </c>
      <c r="Q1901" s="39">
        <f>IF(F1901="","",IFERROR(VALUE(MID(F1901,LEN(F1901)-3,3)),""))</f>
        <v/>
      </c>
      <c r="R1901" s="33">
        <f>IF(Q1901="","",P1901&amp;"|"&amp;Q1901)</f>
        <v/>
      </c>
      <c r="S1901" s="33">
        <f>IF(Q1901="","",IF(P1901="À RENSEIGNER","GIC",P1901)&amp;"-"&amp;TEXT(Q1901,"000"))</f>
        <v/>
      </c>
      <c r="T1901" s="33">
        <f>IF(R1901="","",IFERROR(INDEX(Cl_nom,MATCH(R1901,Cl_cle,0)),"(client introuvable)"))</f>
        <v/>
      </c>
      <c r="U1901" s="33">
        <f>IF(R1901="","",IFERROR(INDEX(Cl_quartier,MATCH(R1901,Cl_cle,0))&amp;"",""))</f>
        <v/>
      </c>
      <c r="V1901" s="34">
        <f>IF(C1901="","",YEAR(C1901-WEEKDAY(C1901,2)+4)&amp;"-S"&amp;TEXT(INT((C1901-DATE(YEAR(C1901-WEEKDAY(C1901,2)+4),1,3)+WEEKDAY(DATE(YEAR(C1901-WEEKDAY(C1901,2)+4),1,3),2)+5)/7),"00"))</f>
        <v/>
      </c>
    </row>
    <row r="1902" ht="18" customHeight="1">
      <c r="A1902" s="39" t="n">
        <v>1897</v>
      </c>
      <c r="B1902" s="33">
        <f>IF(C1902="","",IF(P1902="À RENSEIGNER","GIC",P1902)&amp;"-V"&amp;TEXT(A1902,"00000"))</f>
        <v/>
      </c>
      <c r="C1902" s="32" t="n"/>
      <c r="D1902" s="35" t="n"/>
      <c r="E1902" s="36" t="n"/>
      <c r="F1902" s="36" t="n"/>
      <c r="G1902" s="36" t="n"/>
      <c r="H1902" s="36" t="n"/>
      <c r="I1902" s="36" t="n"/>
      <c r="J1902" s="37" t="n"/>
      <c r="K1902" s="32" t="n"/>
      <c r="L1902" s="36" t="n"/>
      <c r="M1902" s="41" t="n"/>
      <c r="N1902" s="41" t="n"/>
      <c r="O1902" s="36" t="n"/>
      <c r="P1902" s="33">
        <f>IF(C1902="","",Commercial_Id)</f>
        <v/>
      </c>
      <c r="Q1902" s="39">
        <f>IF(F1902="","",IFERROR(VALUE(MID(F1902,LEN(F1902)-3,3)),""))</f>
        <v/>
      </c>
      <c r="R1902" s="33">
        <f>IF(Q1902="","",P1902&amp;"|"&amp;Q1902)</f>
        <v/>
      </c>
      <c r="S1902" s="33">
        <f>IF(Q1902="","",IF(P1902="À RENSEIGNER","GIC",P1902)&amp;"-"&amp;TEXT(Q1902,"000"))</f>
        <v/>
      </c>
      <c r="T1902" s="33">
        <f>IF(R1902="","",IFERROR(INDEX(Cl_nom,MATCH(R1902,Cl_cle,0)),"(client introuvable)"))</f>
        <v/>
      </c>
      <c r="U1902" s="33">
        <f>IF(R1902="","",IFERROR(INDEX(Cl_quartier,MATCH(R1902,Cl_cle,0))&amp;"",""))</f>
        <v/>
      </c>
      <c r="V1902" s="34">
        <f>IF(C1902="","",YEAR(C1902-WEEKDAY(C1902,2)+4)&amp;"-S"&amp;TEXT(INT((C1902-DATE(YEAR(C1902-WEEKDAY(C1902,2)+4),1,3)+WEEKDAY(DATE(YEAR(C1902-WEEKDAY(C1902,2)+4),1,3),2)+5)/7),"00"))</f>
        <v/>
      </c>
    </row>
    <row r="1903" ht="18" customHeight="1">
      <c r="A1903" s="39" t="n">
        <v>1898</v>
      </c>
      <c r="B1903" s="33">
        <f>IF(C1903="","",IF(P1903="À RENSEIGNER","GIC",P1903)&amp;"-V"&amp;TEXT(A1903,"00000"))</f>
        <v/>
      </c>
      <c r="C1903" s="32" t="n"/>
      <c r="D1903" s="35" t="n"/>
      <c r="E1903" s="36" t="n"/>
      <c r="F1903" s="36" t="n"/>
      <c r="G1903" s="36" t="n"/>
      <c r="H1903" s="36" t="n"/>
      <c r="I1903" s="36" t="n"/>
      <c r="J1903" s="37" t="n"/>
      <c r="K1903" s="32" t="n"/>
      <c r="L1903" s="36" t="n"/>
      <c r="M1903" s="41" t="n"/>
      <c r="N1903" s="41" t="n"/>
      <c r="O1903" s="36" t="n"/>
      <c r="P1903" s="33">
        <f>IF(C1903="","",Commercial_Id)</f>
        <v/>
      </c>
      <c r="Q1903" s="39">
        <f>IF(F1903="","",IFERROR(VALUE(MID(F1903,LEN(F1903)-3,3)),""))</f>
        <v/>
      </c>
      <c r="R1903" s="33">
        <f>IF(Q1903="","",P1903&amp;"|"&amp;Q1903)</f>
        <v/>
      </c>
      <c r="S1903" s="33">
        <f>IF(Q1903="","",IF(P1903="À RENSEIGNER","GIC",P1903)&amp;"-"&amp;TEXT(Q1903,"000"))</f>
        <v/>
      </c>
      <c r="T1903" s="33">
        <f>IF(R1903="","",IFERROR(INDEX(Cl_nom,MATCH(R1903,Cl_cle,0)),"(client introuvable)"))</f>
        <v/>
      </c>
      <c r="U1903" s="33">
        <f>IF(R1903="","",IFERROR(INDEX(Cl_quartier,MATCH(R1903,Cl_cle,0))&amp;"",""))</f>
        <v/>
      </c>
      <c r="V1903" s="34">
        <f>IF(C1903="","",YEAR(C1903-WEEKDAY(C1903,2)+4)&amp;"-S"&amp;TEXT(INT((C1903-DATE(YEAR(C1903-WEEKDAY(C1903,2)+4),1,3)+WEEKDAY(DATE(YEAR(C1903-WEEKDAY(C1903,2)+4),1,3),2)+5)/7),"00"))</f>
        <v/>
      </c>
    </row>
    <row r="1904" ht="18" customHeight="1">
      <c r="A1904" s="39" t="n">
        <v>1899</v>
      </c>
      <c r="B1904" s="33">
        <f>IF(C1904="","",IF(P1904="À RENSEIGNER","GIC",P1904)&amp;"-V"&amp;TEXT(A1904,"00000"))</f>
        <v/>
      </c>
      <c r="C1904" s="32" t="n"/>
      <c r="D1904" s="35" t="n"/>
      <c r="E1904" s="36" t="n"/>
      <c r="F1904" s="36" t="n"/>
      <c r="G1904" s="36" t="n"/>
      <c r="H1904" s="36" t="n"/>
      <c r="I1904" s="36" t="n"/>
      <c r="J1904" s="37" t="n"/>
      <c r="K1904" s="32" t="n"/>
      <c r="L1904" s="36" t="n"/>
      <c r="M1904" s="41" t="n"/>
      <c r="N1904" s="41" t="n"/>
      <c r="O1904" s="36" t="n"/>
      <c r="P1904" s="33">
        <f>IF(C1904="","",Commercial_Id)</f>
        <v/>
      </c>
      <c r="Q1904" s="39">
        <f>IF(F1904="","",IFERROR(VALUE(MID(F1904,LEN(F1904)-3,3)),""))</f>
        <v/>
      </c>
      <c r="R1904" s="33">
        <f>IF(Q1904="","",P1904&amp;"|"&amp;Q1904)</f>
        <v/>
      </c>
      <c r="S1904" s="33">
        <f>IF(Q1904="","",IF(P1904="À RENSEIGNER","GIC",P1904)&amp;"-"&amp;TEXT(Q1904,"000"))</f>
        <v/>
      </c>
      <c r="T1904" s="33">
        <f>IF(R1904="","",IFERROR(INDEX(Cl_nom,MATCH(R1904,Cl_cle,0)),"(client introuvable)"))</f>
        <v/>
      </c>
      <c r="U1904" s="33">
        <f>IF(R1904="","",IFERROR(INDEX(Cl_quartier,MATCH(R1904,Cl_cle,0))&amp;"",""))</f>
        <v/>
      </c>
      <c r="V1904" s="34">
        <f>IF(C1904="","",YEAR(C1904-WEEKDAY(C1904,2)+4)&amp;"-S"&amp;TEXT(INT((C1904-DATE(YEAR(C1904-WEEKDAY(C1904,2)+4),1,3)+WEEKDAY(DATE(YEAR(C1904-WEEKDAY(C1904,2)+4),1,3),2)+5)/7),"00"))</f>
        <v/>
      </c>
    </row>
    <row r="1905" ht="18" customHeight="1">
      <c r="A1905" s="39" t="n">
        <v>1900</v>
      </c>
      <c r="B1905" s="33">
        <f>IF(C1905="","",IF(P1905="À RENSEIGNER","GIC",P1905)&amp;"-V"&amp;TEXT(A1905,"00000"))</f>
        <v/>
      </c>
      <c r="C1905" s="32" t="n"/>
      <c r="D1905" s="35" t="n"/>
      <c r="E1905" s="36" t="n"/>
      <c r="F1905" s="36" t="n"/>
      <c r="G1905" s="36" t="n"/>
      <c r="H1905" s="36" t="n"/>
      <c r="I1905" s="36" t="n"/>
      <c r="J1905" s="37" t="n"/>
      <c r="K1905" s="32" t="n"/>
      <c r="L1905" s="36" t="n"/>
      <c r="M1905" s="41" t="n"/>
      <c r="N1905" s="41" t="n"/>
      <c r="O1905" s="36" t="n"/>
      <c r="P1905" s="33">
        <f>IF(C1905="","",Commercial_Id)</f>
        <v/>
      </c>
      <c r="Q1905" s="39">
        <f>IF(F1905="","",IFERROR(VALUE(MID(F1905,LEN(F1905)-3,3)),""))</f>
        <v/>
      </c>
      <c r="R1905" s="33">
        <f>IF(Q1905="","",P1905&amp;"|"&amp;Q1905)</f>
        <v/>
      </c>
      <c r="S1905" s="33">
        <f>IF(Q1905="","",IF(P1905="À RENSEIGNER","GIC",P1905)&amp;"-"&amp;TEXT(Q1905,"000"))</f>
        <v/>
      </c>
      <c r="T1905" s="33">
        <f>IF(R1905="","",IFERROR(INDEX(Cl_nom,MATCH(R1905,Cl_cle,0)),"(client introuvable)"))</f>
        <v/>
      </c>
      <c r="U1905" s="33">
        <f>IF(R1905="","",IFERROR(INDEX(Cl_quartier,MATCH(R1905,Cl_cle,0))&amp;"",""))</f>
        <v/>
      </c>
      <c r="V1905" s="34">
        <f>IF(C1905="","",YEAR(C1905-WEEKDAY(C1905,2)+4)&amp;"-S"&amp;TEXT(INT((C1905-DATE(YEAR(C1905-WEEKDAY(C1905,2)+4),1,3)+WEEKDAY(DATE(YEAR(C1905-WEEKDAY(C1905,2)+4),1,3),2)+5)/7),"00"))</f>
        <v/>
      </c>
    </row>
    <row r="1906" ht="18" customHeight="1">
      <c r="A1906" s="39" t="n">
        <v>1901</v>
      </c>
      <c r="B1906" s="33">
        <f>IF(C1906="","",IF(P1906="À RENSEIGNER","GIC",P1906)&amp;"-V"&amp;TEXT(A1906,"00000"))</f>
        <v/>
      </c>
      <c r="C1906" s="32" t="n"/>
      <c r="D1906" s="35" t="n"/>
      <c r="E1906" s="36" t="n"/>
      <c r="F1906" s="36" t="n"/>
      <c r="G1906" s="36" t="n"/>
      <c r="H1906" s="36" t="n"/>
      <c r="I1906" s="36" t="n"/>
      <c r="J1906" s="37" t="n"/>
      <c r="K1906" s="32" t="n"/>
      <c r="L1906" s="36" t="n"/>
      <c r="M1906" s="41" t="n"/>
      <c r="N1906" s="41" t="n"/>
      <c r="O1906" s="36" t="n"/>
      <c r="P1906" s="33">
        <f>IF(C1906="","",Commercial_Id)</f>
        <v/>
      </c>
      <c r="Q1906" s="39">
        <f>IF(F1906="","",IFERROR(VALUE(MID(F1906,LEN(F1906)-3,3)),""))</f>
        <v/>
      </c>
      <c r="R1906" s="33">
        <f>IF(Q1906="","",P1906&amp;"|"&amp;Q1906)</f>
        <v/>
      </c>
      <c r="S1906" s="33">
        <f>IF(Q1906="","",IF(P1906="À RENSEIGNER","GIC",P1906)&amp;"-"&amp;TEXT(Q1906,"000"))</f>
        <v/>
      </c>
      <c r="T1906" s="33">
        <f>IF(R1906="","",IFERROR(INDEX(Cl_nom,MATCH(R1906,Cl_cle,0)),"(client introuvable)"))</f>
        <v/>
      </c>
      <c r="U1906" s="33">
        <f>IF(R1906="","",IFERROR(INDEX(Cl_quartier,MATCH(R1906,Cl_cle,0))&amp;"",""))</f>
        <v/>
      </c>
      <c r="V1906" s="34">
        <f>IF(C1906="","",YEAR(C1906-WEEKDAY(C1906,2)+4)&amp;"-S"&amp;TEXT(INT((C1906-DATE(YEAR(C1906-WEEKDAY(C1906,2)+4),1,3)+WEEKDAY(DATE(YEAR(C1906-WEEKDAY(C1906,2)+4),1,3),2)+5)/7),"00"))</f>
        <v/>
      </c>
    </row>
    <row r="1907" ht="18" customHeight="1">
      <c r="A1907" s="39" t="n">
        <v>1902</v>
      </c>
      <c r="B1907" s="33">
        <f>IF(C1907="","",IF(P1907="À RENSEIGNER","GIC",P1907)&amp;"-V"&amp;TEXT(A1907,"00000"))</f>
        <v/>
      </c>
      <c r="C1907" s="32" t="n"/>
      <c r="D1907" s="35" t="n"/>
      <c r="E1907" s="36" t="n"/>
      <c r="F1907" s="36" t="n"/>
      <c r="G1907" s="36" t="n"/>
      <c r="H1907" s="36" t="n"/>
      <c r="I1907" s="36" t="n"/>
      <c r="J1907" s="37" t="n"/>
      <c r="K1907" s="32" t="n"/>
      <c r="L1907" s="36" t="n"/>
      <c r="M1907" s="41" t="n"/>
      <c r="N1907" s="41" t="n"/>
      <c r="O1907" s="36" t="n"/>
      <c r="P1907" s="33">
        <f>IF(C1907="","",Commercial_Id)</f>
        <v/>
      </c>
      <c r="Q1907" s="39">
        <f>IF(F1907="","",IFERROR(VALUE(MID(F1907,LEN(F1907)-3,3)),""))</f>
        <v/>
      </c>
      <c r="R1907" s="33">
        <f>IF(Q1907="","",P1907&amp;"|"&amp;Q1907)</f>
        <v/>
      </c>
      <c r="S1907" s="33">
        <f>IF(Q1907="","",IF(P1907="À RENSEIGNER","GIC",P1907)&amp;"-"&amp;TEXT(Q1907,"000"))</f>
        <v/>
      </c>
      <c r="T1907" s="33">
        <f>IF(R1907="","",IFERROR(INDEX(Cl_nom,MATCH(R1907,Cl_cle,0)),"(client introuvable)"))</f>
        <v/>
      </c>
      <c r="U1907" s="33">
        <f>IF(R1907="","",IFERROR(INDEX(Cl_quartier,MATCH(R1907,Cl_cle,0))&amp;"",""))</f>
        <v/>
      </c>
      <c r="V1907" s="34">
        <f>IF(C1907="","",YEAR(C1907-WEEKDAY(C1907,2)+4)&amp;"-S"&amp;TEXT(INT((C1907-DATE(YEAR(C1907-WEEKDAY(C1907,2)+4),1,3)+WEEKDAY(DATE(YEAR(C1907-WEEKDAY(C1907,2)+4),1,3),2)+5)/7),"00"))</f>
        <v/>
      </c>
    </row>
    <row r="1908" ht="18" customHeight="1">
      <c r="A1908" s="39" t="n">
        <v>1903</v>
      </c>
      <c r="B1908" s="33">
        <f>IF(C1908="","",IF(P1908="À RENSEIGNER","GIC",P1908)&amp;"-V"&amp;TEXT(A1908,"00000"))</f>
        <v/>
      </c>
      <c r="C1908" s="32" t="n"/>
      <c r="D1908" s="35" t="n"/>
      <c r="E1908" s="36" t="n"/>
      <c r="F1908" s="36" t="n"/>
      <c r="G1908" s="36" t="n"/>
      <c r="H1908" s="36" t="n"/>
      <c r="I1908" s="36" t="n"/>
      <c r="J1908" s="37" t="n"/>
      <c r="K1908" s="32" t="n"/>
      <c r="L1908" s="36" t="n"/>
      <c r="M1908" s="41" t="n"/>
      <c r="N1908" s="41" t="n"/>
      <c r="O1908" s="36" t="n"/>
      <c r="P1908" s="33">
        <f>IF(C1908="","",Commercial_Id)</f>
        <v/>
      </c>
      <c r="Q1908" s="39">
        <f>IF(F1908="","",IFERROR(VALUE(MID(F1908,LEN(F1908)-3,3)),""))</f>
        <v/>
      </c>
      <c r="R1908" s="33">
        <f>IF(Q1908="","",P1908&amp;"|"&amp;Q1908)</f>
        <v/>
      </c>
      <c r="S1908" s="33">
        <f>IF(Q1908="","",IF(P1908="À RENSEIGNER","GIC",P1908)&amp;"-"&amp;TEXT(Q1908,"000"))</f>
        <v/>
      </c>
      <c r="T1908" s="33">
        <f>IF(R1908="","",IFERROR(INDEX(Cl_nom,MATCH(R1908,Cl_cle,0)),"(client introuvable)"))</f>
        <v/>
      </c>
      <c r="U1908" s="33">
        <f>IF(R1908="","",IFERROR(INDEX(Cl_quartier,MATCH(R1908,Cl_cle,0))&amp;"",""))</f>
        <v/>
      </c>
      <c r="V1908" s="34">
        <f>IF(C1908="","",YEAR(C1908-WEEKDAY(C1908,2)+4)&amp;"-S"&amp;TEXT(INT((C1908-DATE(YEAR(C1908-WEEKDAY(C1908,2)+4),1,3)+WEEKDAY(DATE(YEAR(C1908-WEEKDAY(C1908,2)+4),1,3),2)+5)/7),"00"))</f>
        <v/>
      </c>
    </row>
    <row r="1909" ht="18" customHeight="1">
      <c r="A1909" s="39" t="n">
        <v>1904</v>
      </c>
      <c r="B1909" s="33">
        <f>IF(C1909="","",IF(P1909="À RENSEIGNER","GIC",P1909)&amp;"-V"&amp;TEXT(A1909,"00000"))</f>
        <v/>
      </c>
      <c r="C1909" s="32" t="n"/>
      <c r="D1909" s="35" t="n"/>
      <c r="E1909" s="36" t="n"/>
      <c r="F1909" s="36" t="n"/>
      <c r="G1909" s="36" t="n"/>
      <c r="H1909" s="36" t="n"/>
      <c r="I1909" s="36" t="n"/>
      <c r="J1909" s="37" t="n"/>
      <c r="K1909" s="32" t="n"/>
      <c r="L1909" s="36" t="n"/>
      <c r="M1909" s="41" t="n"/>
      <c r="N1909" s="41" t="n"/>
      <c r="O1909" s="36" t="n"/>
      <c r="P1909" s="33">
        <f>IF(C1909="","",Commercial_Id)</f>
        <v/>
      </c>
      <c r="Q1909" s="39">
        <f>IF(F1909="","",IFERROR(VALUE(MID(F1909,LEN(F1909)-3,3)),""))</f>
        <v/>
      </c>
      <c r="R1909" s="33">
        <f>IF(Q1909="","",P1909&amp;"|"&amp;Q1909)</f>
        <v/>
      </c>
      <c r="S1909" s="33">
        <f>IF(Q1909="","",IF(P1909="À RENSEIGNER","GIC",P1909)&amp;"-"&amp;TEXT(Q1909,"000"))</f>
        <v/>
      </c>
      <c r="T1909" s="33">
        <f>IF(R1909="","",IFERROR(INDEX(Cl_nom,MATCH(R1909,Cl_cle,0)),"(client introuvable)"))</f>
        <v/>
      </c>
      <c r="U1909" s="33">
        <f>IF(R1909="","",IFERROR(INDEX(Cl_quartier,MATCH(R1909,Cl_cle,0))&amp;"",""))</f>
        <v/>
      </c>
      <c r="V1909" s="34">
        <f>IF(C1909="","",YEAR(C1909-WEEKDAY(C1909,2)+4)&amp;"-S"&amp;TEXT(INT((C1909-DATE(YEAR(C1909-WEEKDAY(C1909,2)+4),1,3)+WEEKDAY(DATE(YEAR(C1909-WEEKDAY(C1909,2)+4),1,3),2)+5)/7),"00"))</f>
        <v/>
      </c>
    </row>
    <row r="1910" ht="18" customHeight="1">
      <c r="A1910" s="39" t="n">
        <v>1905</v>
      </c>
      <c r="B1910" s="33">
        <f>IF(C1910="","",IF(P1910="À RENSEIGNER","GIC",P1910)&amp;"-V"&amp;TEXT(A1910,"00000"))</f>
        <v/>
      </c>
      <c r="C1910" s="32" t="n"/>
      <c r="D1910" s="35" t="n"/>
      <c r="E1910" s="36" t="n"/>
      <c r="F1910" s="36" t="n"/>
      <c r="G1910" s="36" t="n"/>
      <c r="H1910" s="36" t="n"/>
      <c r="I1910" s="36" t="n"/>
      <c r="J1910" s="37" t="n"/>
      <c r="K1910" s="32" t="n"/>
      <c r="L1910" s="36" t="n"/>
      <c r="M1910" s="41" t="n"/>
      <c r="N1910" s="41" t="n"/>
      <c r="O1910" s="36" t="n"/>
      <c r="P1910" s="33">
        <f>IF(C1910="","",Commercial_Id)</f>
        <v/>
      </c>
      <c r="Q1910" s="39">
        <f>IF(F1910="","",IFERROR(VALUE(MID(F1910,LEN(F1910)-3,3)),""))</f>
        <v/>
      </c>
      <c r="R1910" s="33">
        <f>IF(Q1910="","",P1910&amp;"|"&amp;Q1910)</f>
        <v/>
      </c>
      <c r="S1910" s="33">
        <f>IF(Q1910="","",IF(P1910="À RENSEIGNER","GIC",P1910)&amp;"-"&amp;TEXT(Q1910,"000"))</f>
        <v/>
      </c>
      <c r="T1910" s="33">
        <f>IF(R1910="","",IFERROR(INDEX(Cl_nom,MATCH(R1910,Cl_cle,0)),"(client introuvable)"))</f>
        <v/>
      </c>
      <c r="U1910" s="33">
        <f>IF(R1910="","",IFERROR(INDEX(Cl_quartier,MATCH(R1910,Cl_cle,0))&amp;"",""))</f>
        <v/>
      </c>
      <c r="V1910" s="34">
        <f>IF(C1910="","",YEAR(C1910-WEEKDAY(C1910,2)+4)&amp;"-S"&amp;TEXT(INT((C1910-DATE(YEAR(C1910-WEEKDAY(C1910,2)+4),1,3)+WEEKDAY(DATE(YEAR(C1910-WEEKDAY(C1910,2)+4),1,3),2)+5)/7),"00"))</f>
        <v/>
      </c>
    </row>
    <row r="1911" ht="18" customHeight="1">
      <c r="A1911" s="39" t="n">
        <v>1906</v>
      </c>
      <c r="B1911" s="33">
        <f>IF(C1911="","",IF(P1911="À RENSEIGNER","GIC",P1911)&amp;"-V"&amp;TEXT(A1911,"00000"))</f>
        <v/>
      </c>
      <c r="C1911" s="32" t="n"/>
      <c r="D1911" s="35" t="n"/>
      <c r="E1911" s="36" t="n"/>
      <c r="F1911" s="36" t="n"/>
      <c r="G1911" s="36" t="n"/>
      <c r="H1911" s="36" t="n"/>
      <c r="I1911" s="36" t="n"/>
      <c r="J1911" s="37" t="n"/>
      <c r="K1911" s="32" t="n"/>
      <c r="L1911" s="36" t="n"/>
      <c r="M1911" s="41" t="n"/>
      <c r="N1911" s="41" t="n"/>
      <c r="O1911" s="36" t="n"/>
      <c r="P1911" s="33">
        <f>IF(C1911="","",Commercial_Id)</f>
        <v/>
      </c>
      <c r="Q1911" s="39">
        <f>IF(F1911="","",IFERROR(VALUE(MID(F1911,LEN(F1911)-3,3)),""))</f>
        <v/>
      </c>
      <c r="R1911" s="33">
        <f>IF(Q1911="","",P1911&amp;"|"&amp;Q1911)</f>
        <v/>
      </c>
      <c r="S1911" s="33">
        <f>IF(Q1911="","",IF(P1911="À RENSEIGNER","GIC",P1911)&amp;"-"&amp;TEXT(Q1911,"000"))</f>
        <v/>
      </c>
      <c r="T1911" s="33">
        <f>IF(R1911="","",IFERROR(INDEX(Cl_nom,MATCH(R1911,Cl_cle,0)),"(client introuvable)"))</f>
        <v/>
      </c>
      <c r="U1911" s="33">
        <f>IF(R1911="","",IFERROR(INDEX(Cl_quartier,MATCH(R1911,Cl_cle,0))&amp;"",""))</f>
        <v/>
      </c>
      <c r="V1911" s="34">
        <f>IF(C1911="","",YEAR(C1911-WEEKDAY(C1911,2)+4)&amp;"-S"&amp;TEXT(INT((C1911-DATE(YEAR(C1911-WEEKDAY(C1911,2)+4),1,3)+WEEKDAY(DATE(YEAR(C1911-WEEKDAY(C1911,2)+4),1,3),2)+5)/7),"00"))</f>
        <v/>
      </c>
    </row>
    <row r="1912" ht="18" customHeight="1">
      <c r="A1912" s="39" t="n">
        <v>1907</v>
      </c>
      <c r="B1912" s="33">
        <f>IF(C1912="","",IF(P1912="À RENSEIGNER","GIC",P1912)&amp;"-V"&amp;TEXT(A1912,"00000"))</f>
        <v/>
      </c>
      <c r="C1912" s="32" t="n"/>
      <c r="D1912" s="35" t="n"/>
      <c r="E1912" s="36" t="n"/>
      <c r="F1912" s="36" t="n"/>
      <c r="G1912" s="36" t="n"/>
      <c r="H1912" s="36" t="n"/>
      <c r="I1912" s="36" t="n"/>
      <c r="J1912" s="37" t="n"/>
      <c r="K1912" s="32" t="n"/>
      <c r="L1912" s="36" t="n"/>
      <c r="M1912" s="41" t="n"/>
      <c r="N1912" s="41" t="n"/>
      <c r="O1912" s="36" t="n"/>
      <c r="P1912" s="33">
        <f>IF(C1912="","",Commercial_Id)</f>
        <v/>
      </c>
      <c r="Q1912" s="39">
        <f>IF(F1912="","",IFERROR(VALUE(MID(F1912,LEN(F1912)-3,3)),""))</f>
        <v/>
      </c>
      <c r="R1912" s="33">
        <f>IF(Q1912="","",P1912&amp;"|"&amp;Q1912)</f>
        <v/>
      </c>
      <c r="S1912" s="33">
        <f>IF(Q1912="","",IF(P1912="À RENSEIGNER","GIC",P1912)&amp;"-"&amp;TEXT(Q1912,"000"))</f>
        <v/>
      </c>
      <c r="T1912" s="33">
        <f>IF(R1912="","",IFERROR(INDEX(Cl_nom,MATCH(R1912,Cl_cle,0)),"(client introuvable)"))</f>
        <v/>
      </c>
      <c r="U1912" s="33">
        <f>IF(R1912="","",IFERROR(INDEX(Cl_quartier,MATCH(R1912,Cl_cle,0))&amp;"",""))</f>
        <v/>
      </c>
      <c r="V1912" s="34">
        <f>IF(C1912="","",YEAR(C1912-WEEKDAY(C1912,2)+4)&amp;"-S"&amp;TEXT(INT((C1912-DATE(YEAR(C1912-WEEKDAY(C1912,2)+4),1,3)+WEEKDAY(DATE(YEAR(C1912-WEEKDAY(C1912,2)+4),1,3),2)+5)/7),"00"))</f>
        <v/>
      </c>
    </row>
    <row r="1913" ht="18" customHeight="1">
      <c r="A1913" s="39" t="n">
        <v>1908</v>
      </c>
      <c r="B1913" s="33">
        <f>IF(C1913="","",IF(P1913="À RENSEIGNER","GIC",P1913)&amp;"-V"&amp;TEXT(A1913,"00000"))</f>
        <v/>
      </c>
      <c r="C1913" s="32" t="n"/>
      <c r="D1913" s="35" t="n"/>
      <c r="E1913" s="36" t="n"/>
      <c r="F1913" s="36" t="n"/>
      <c r="G1913" s="36" t="n"/>
      <c r="H1913" s="36" t="n"/>
      <c r="I1913" s="36" t="n"/>
      <c r="J1913" s="37" t="n"/>
      <c r="K1913" s="32" t="n"/>
      <c r="L1913" s="36" t="n"/>
      <c r="M1913" s="41" t="n"/>
      <c r="N1913" s="41" t="n"/>
      <c r="O1913" s="36" t="n"/>
      <c r="P1913" s="33">
        <f>IF(C1913="","",Commercial_Id)</f>
        <v/>
      </c>
      <c r="Q1913" s="39">
        <f>IF(F1913="","",IFERROR(VALUE(MID(F1913,LEN(F1913)-3,3)),""))</f>
        <v/>
      </c>
      <c r="R1913" s="33">
        <f>IF(Q1913="","",P1913&amp;"|"&amp;Q1913)</f>
        <v/>
      </c>
      <c r="S1913" s="33">
        <f>IF(Q1913="","",IF(P1913="À RENSEIGNER","GIC",P1913)&amp;"-"&amp;TEXT(Q1913,"000"))</f>
        <v/>
      </c>
      <c r="T1913" s="33">
        <f>IF(R1913="","",IFERROR(INDEX(Cl_nom,MATCH(R1913,Cl_cle,0)),"(client introuvable)"))</f>
        <v/>
      </c>
      <c r="U1913" s="33">
        <f>IF(R1913="","",IFERROR(INDEX(Cl_quartier,MATCH(R1913,Cl_cle,0))&amp;"",""))</f>
        <v/>
      </c>
      <c r="V1913" s="34">
        <f>IF(C1913="","",YEAR(C1913-WEEKDAY(C1913,2)+4)&amp;"-S"&amp;TEXT(INT((C1913-DATE(YEAR(C1913-WEEKDAY(C1913,2)+4),1,3)+WEEKDAY(DATE(YEAR(C1913-WEEKDAY(C1913,2)+4),1,3),2)+5)/7),"00"))</f>
        <v/>
      </c>
    </row>
    <row r="1914" ht="18" customHeight="1">
      <c r="A1914" s="39" t="n">
        <v>1909</v>
      </c>
      <c r="B1914" s="33">
        <f>IF(C1914="","",IF(P1914="À RENSEIGNER","GIC",P1914)&amp;"-V"&amp;TEXT(A1914,"00000"))</f>
        <v/>
      </c>
      <c r="C1914" s="32" t="n"/>
      <c r="D1914" s="35" t="n"/>
      <c r="E1914" s="36" t="n"/>
      <c r="F1914" s="36" t="n"/>
      <c r="G1914" s="36" t="n"/>
      <c r="H1914" s="36" t="n"/>
      <c r="I1914" s="36" t="n"/>
      <c r="J1914" s="37" t="n"/>
      <c r="K1914" s="32" t="n"/>
      <c r="L1914" s="36" t="n"/>
      <c r="M1914" s="41" t="n"/>
      <c r="N1914" s="41" t="n"/>
      <c r="O1914" s="36" t="n"/>
      <c r="P1914" s="33">
        <f>IF(C1914="","",Commercial_Id)</f>
        <v/>
      </c>
      <c r="Q1914" s="39">
        <f>IF(F1914="","",IFERROR(VALUE(MID(F1914,LEN(F1914)-3,3)),""))</f>
        <v/>
      </c>
      <c r="R1914" s="33">
        <f>IF(Q1914="","",P1914&amp;"|"&amp;Q1914)</f>
        <v/>
      </c>
      <c r="S1914" s="33">
        <f>IF(Q1914="","",IF(P1914="À RENSEIGNER","GIC",P1914)&amp;"-"&amp;TEXT(Q1914,"000"))</f>
        <v/>
      </c>
      <c r="T1914" s="33">
        <f>IF(R1914="","",IFERROR(INDEX(Cl_nom,MATCH(R1914,Cl_cle,0)),"(client introuvable)"))</f>
        <v/>
      </c>
      <c r="U1914" s="33">
        <f>IF(R1914="","",IFERROR(INDEX(Cl_quartier,MATCH(R1914,Cl_cle,0))&amp;"",""))</f>
        <v/>
      </c>
      <c r="V1914" s="34">
        <f>IF(C1914="","",YEAR(C1914-WEEKDAY(C1914,2)+4)&amp;"-S"&amp;TEXT(INT((C1914-DATE(YEAR(C1914-WEEKDAY(C1914,2)+4),1,3)+WEEKDAY(DATE(YEAR(C1914-WEEKDAY(C1914,2)+4),1,3),2)+5)/7),"00"))</f>
        <v/>
      </c>
    </row>
    <row r="1915" ht="18" customHeight="1">
      <c r="A1915" s="39" t="n">
        <v>1910</v>
      </c>
      <c r="B1915" s="33">
        <f>IF(C1915="","",IF(P1915="À RENSEIGNER","GIC",P1915)&amp;"-V"&amp;TEXT(A1915,"00000"))</f>
        <v/>
      </c>
      <c r="C1915" s="32" t="n"/>
      <c r="D1915" s="35" t="n"/>
      <c r="E1915" s="36" t="n"/>
      <c r="F1915" s="36" t="n"/>
      <c r="G1915" s="36" t="n"/>
      <c r="H1915" s="36" t="n"/>
      <c r="I1915" s="36" t="n"/>
      <c r="J1915" s="37" t="n"/>
      <c r="K1915" s="32" t="n"/>
      <c r="L1915" s="36" t="n"/>
      <c r="M1915" s="41" t="n"/>
      <c r="N1915" s="41" t="n"/>
      <c r="O1915" s="36" t="n"/>
      <c r="P1915" s="33">
        <f>IF(C1915="","",Commercial_Id)</f>
        <v/>
      </c>
      <c r="Q1915" s="39">
        <f>IF(F1915="","",IFERROR(VALUE(MID(F1915,LEN(F1915)-3,3)),""))</f>
        <v/>
      </c>
      <c r="R1915" s="33">
        <f>IF(Q1915="","",P1915&amp;"|"&amp;Q1915)</f>
        <v/>
      </c>
      <c r="S1915" s="33">
        <f>IF(Q1915="","",IF(P1915="À RENSEIGNER","GIC",P1915)&amp;"-"&amp;TEXT(Q1915,"000"))</f>
        <v/>
      </c>
      <c r="T1915" s="33">
        <f>IF(R1915="","",IFERROR(INDEX(Cl_nom,MATCH(R1915,Cl_cle,0)),"(client introuvable)"))</f>
        <v/>
      </c>
      <c r="U1915" s="33">
        <f>IF(R1915="","",IFERROR(INDEX(Cl_quartier,MATCH(R1915,Cl_cle,0))&amp;"",""))</f>
        <v/>
      </c>
      <c r="V1915" s="34">
        <f>IF(C1915="","",YEAR(C1915-WEEKDAY(C1915,2)+4)&amp;"-S"&amp;TEXT(INT((C1915-DATE(YEAR(C1915-WEEKDAY(C1915,2)+4),1,3)+WEEKDAY(DATE(YEAR(C1915-WEEKDAY(C1915,2)+4),1,3),2)+5)/7),"00"))</f>
        <v/>
      </c>
    </row>
    <row r="1916" ht="18" customHeight="1">
      <c r="A1916" s="39" t="n">
        <v>1911</v>
      </c>
      <c r="B1916" s="33">
        <f>IF(C1916="","",IF(P1916="À RENSEIGNER","GIC",P1916)&amp;"-V"&amp;TEXT(A1916,"00000"))</f>
        <v/>
      </c>
      <c r="C1916" s="32" t="n"/>
      <c r="D1916" s="35" t="n"/>
      <c r="E1916" s="36" t="n"/>
      <c r="F1916" s="36" t="n"/>
      <c r="G1916" s="36" t="n"/>
      <c r="H1916" s="36" t="n"/>
      <c r="I1916" s="36" t="n"/>
      <c r="J1916" s="37" t="n"/>
      <c r="K1916" s="32" t="n"/>
      <c r="L1916" s="36" t="n"/>
      <c r="M1916" s="41" t="n"/>
      <c r="N1916" s="41" t="n"/>
      <c r="O1916" s="36" t="n"/>
      <c r="P1916" s="33">
        <f>IF(C1916="","",Commercial_Id)</f>
        <v/>
      </c>
      <c r="Q1916" s="39">
        <f>IF(F1916="","",IFERROR(VALUE(MID(F1916,LEN(F1916)-3,3)),""))</f>
        <v/>
      </c>
      <c r="R1916" s="33">
        <f>IF(Q1916="","",P1916&amp;"|"&amp;Q1916)</f>
        <v/>
      </c>
      <c r="S1916" s="33">
        <f>IF(Q1916="","",IF(P1916="À RENSEIGNER","GIC",P1916)&amp;"-"&amp;TEXT(Q1916,"000"))</f>
        <v/>
      </c>
      <c r="T1916" s="33">
        <f>IF(R1916="","",IFERROR(INDEX(Cl_nom,MATCH(R1916,Cl_cle,0)),"(client introuvable)"))</f>
        <v/>
      </c>
      <c r="U1916" s="33">
        <f>IF(R1916="","",IFERROR(INDEX(Cl_quartier,MATCH(R1916,Cl_cle,0))&amp;"",""))</f>
        <v/>
      </c>
      <c r="V1916" s="34">
        <f>IF(C1916="","",YEAR(C1916-WEEKDAY(C1916,2)+4)&amp;"-S"&amp;TEXT(INT((C1916-DATE(YEAR(C1916-WEEKDAY(C1916,2)+4),1,3)+WEEKDAY(DATE(YEAR(C1916-WEEKDAY(C1916,2)+4),1,3),2)+5)/7),"00"))</f>
        <v/>
      </c>
    </row>
    <row r="1917" ht="18" customHeight="1">
      <c r="A1917" s="39" t="n">
        <v>1912</v>
      </c>
      <c r="B1917" s="33">
        <f>IF(C1917="","",IF(P1917="À RENSEIGNER","GIC",P1917)&amp;"-V"&amp;TEXT(A1917,"00000"))</f>
        <v/>
      </c>
      <c r="C1917" s="32" t="n"/>
      <c r="D1917" s="35" t="n"/>
      <c r="E1917" s="36" t="n"/>
      <c r="F1917" s="36" t="n"/>
      <c r="G1917" s="36" t="n"/>
      <c r="H1917" s="36" t="n"/>
      <c r="I1917" s="36" t="n"/>
      <c r="J1917" s="37" t="n"/>
      <c r="K1917" s="32" t="n"/>
      <c r="L1917" s="36" t="n"/>
      <c r="M1917" s="41" t="n"/>
      <c r="N1917" s="41" t="n"/>
      <c r="O1917" s="36" t="n"/>
      <c r="P1917" s="33">
        <f>IF(C1917="","",Commercial_Id)</f>
        <v/>
      </c>
      <c r="Q1917" s="39">
        <f>IF(F1917="","",IFERROR(VALUE(MID(F1917,LEN(F1917)-3,3)),""))</f>
        <v/>
      </c>
      <c r="R1917" s="33">
        <f>IF(Q1917="","",P1917&amp;"|"&amp;Q1917)</f>
        <v/>
      </c>
      <c r="S1917" s="33">
        <f>IF(Q1917="","",IF(P1917="À RENSEIGNER","GIC",P1917)&amp;"-"&amp;TEXT(Q1917,"000"))</f>
        <v/>
      </c>
      <c r="T1917" s="33">
        <f>IF(R1917="","",IFERROR(INDEX(Cl_nom,MATCH(R1917,Cl_cle,0)),"(client introuvable)"))</f>
        <v/>
      </c>
      <c r="U1917" s="33">
        <f>IF(R1917="","",IFERROR(INDEX(Cl_quartier,MATCH(R1917,Cl_cle,0))&amp;"",""))</f>
        <v/>
      </c>
      <c r="V1917" s="34">
        <f>IF(C1917="","",YEAR(C1917-WEEKDAY(C1917,2)+4)&amp;"-S"&amp;TEXT(INT((C1917-DATE(YEAR(C1917-WEEKDAY(C1917,2)+4),1,3)+WEEKDAY(DATE(YEAR(C1917-WEEKDAY(C1917,2)+4),1,3),2)+5)/7),"00"))</f>
        <v/>
      </c>
    </row>
    <row r="1918" ht="18" customHeight="1">
      <c r="A1918" s="39" t="n">
        <v>1913</v>
      </c>
      <c r="B1918" s="33">
        <f>IF(C1918="","",IF(P1918="À RENSEIGNER","GIC",P1918)&amp;"-V"&amp;TEXT(A1918,"00000"))</f>
        <v/>
      </c>
      <c r="C1918" s="32" t="n"/>
      <c r="D1918" s="35" t="n"/>
      <c r="E1918" s="36" t="n"/>
      <c r="F1918" s="36" t="n"/>
      <c r="G1918" s="36" t="n"/>
      <c r="H1918" s="36" t="n"/>
      <c r="I1918" s="36" t="n"/>
      <c r="J1918" s="37" t="n"/>
      <c r="K1918" s="32" t="n"/>
      <c r="L1918" s="36" t="n"/>
      <c r="M1918" s="41" t="n"/>
      <c r="N1918" s="41" t="n"/>
      <c r="O1918" s="36" t="n"/>
      <c r="P1918" s="33">
        <f>IF(C1918="","",Commercial_Id)</f>
        <v/>
      </c>
      <c r="Q1918" s="39">
        <f>IF(F1918="","",IFERROR(VALUE(MID(F1918,LEN(F1918)-3,3)),""))</f>
        <v/>
      </c>
      <c r="R1918" s="33">
        <f>IF(Q1918="","",P1918&amp;"|"&amp;Q1918)</f>
        <v/>
      </c>
      <c r="S1918" s="33">
        <f>IF(Q1918="","",IF(P1918="À RENSEIGNER","GIC",P1918)&amp;"-"&amp;TEXT(Q1918,"000"))</f>
        <v/>
      </c>
      <c r="T1918" s="33">
        <f>IF(R1918="","",IFERROR(INDEX(Cl_nom,MATCH(R1918,Cl_cle,0)),"(client introuvable)"))</f>
        <v/>
      </c>
      <c r="U1918" s="33">
        <f>IF(R1918="","",IFERROR(INDEX(Cl_quartier,MATCH(R1918,Cl_cle,0))&amp;"",""))</f>
        <v/>
      </c>
      <c r="V1918" s="34">
        <f>IF(C1918="","",YEAR(C1918-WEEKDAY(C1918,2)+4)&amp;"-S"&amp;TEXT(INT((C1918-DATE(YEAR(C1918-WEEKDAY(C1918,2)+4),1,3)+WEEKDAY(DATE(YEAR(C1918-WEEKDAY(C1918,2)+4),1,3),2)+5)/7),"00"))</f>
        <v/>
      </c>
    </row>
    <row r="1919" ht="18" customHeight="1">
      <c r="A1919" s="39" t="n">
        <v>1914</v>
      </c>
      <c r="B1919" s="33">
        <f>IF(C1919="","",IF(P1919="À RENSEIGNER","GIC",P1919)&amp;"-V"&amp;TEXT(A1919,"00000"))</f>
        <v/>
      </c>
      <c r="C1919" s="32" t="n"/>
      <c r="D1919" s="35" t="n"/>
      <c r="E1919" s="36" t="n"/>
      <c r="F1919" s="36" t="n"/>
      <c r="G1919" s="36" t="n"/>
      <c r="H1919" s="36" t="n"/>
      <c r="I1919" s="36" t="n"/>
      <c r="J1919" s="37" t="n"/>
      <c r="K1919" s="32" t="n"/>
      <c r="L1919" s="36" t="n"/>
      <c r="M1919" s="41" t="n"/>
      <c r="N1919" s="41" t="n"/>
      <c r="O1919" s="36" t="n"/>
      <c r="P1919" s="33">
        <f>IF(C1919="","",Commercial_Id)</f>
        <v/>
      </c>
      <c r="Q1919" s="39">
        <f>IF(F1919="","",IFERROR(VALUE(MID(F1919,LEN(F1919)-3,3)),""))</f>
        <v/>
      </c>
      <c r="R1919" s="33">
        <f>IF(Q1919="","",P1919&amp;"|"&amp;Q1919)</f>
        <v/>
      </c>
      <c r="S1919" s="33">
        <f>IF(Q1919="","",IF(P1919="À RENSEIGNER","GIC",P1919)&amp;"-"&amp;TEXT(Q1919,"000"))</f>
        <v/>
      </c>
      <c r="T1919" s="33">
        <f>IF(R1919="","",IFERROR(INDEX(Cl_nom,MATCH(R1919,Cl_cle,0)),"(client introuvable)"))</f>
        <v/>
      </c>
      <c r="U1919" s="33">
        <f>IF(R1919="","",IFERROR(INDEX(Cl_quartier,MATCH(R1919,Cl_cle,0))&amp;"",""))</f>
        <v/>
      </c>
      <c r="V1919" s="34">
        <f>IF(C1919="","",YEAR(C1919-WEEKDAY(C1919,2)+4)&amp;"-S"&amp;TEXT(INT((C1919-DATE(YEAR(C1919-WEEKDAY(C1919,2)+4),1,3)+WEEKDAY(DATE(YEAR(C1919-WEEKDAY(C1919,2)+4),1,3),2)+5)/7),"00"))</f>
        <v/>
      </c>
    </row>
    <row r="1920" ht="18" customHeight="1">
      <c r="A1920" s="39" t="n">
        <v>1915</v>
      </c>
      <c r="B1920" s="33">
        <f>IF(C1920="","",IF(P1920="À RENSEIGNER","GIC",P1920)&amp;"-V"&amp;TEXT(A1920,"00000"))</f>
        <v/>
      </c>
      <c r="C1920" s="32" t="n"/>
      <c r="D1920" s="35" t="n"/>
      <c r="E1920" s="36" t="n"/>
      <c r="F1920" s="36" t="n"/>
      <c r="G1920" s="36" t="n"/>
      <c r="H1920" s="36" t="n"/>
      <c r="I1920" s="36" t="n"/>
      <c r="J1920" s="37" t="n"/>
      <c r="K1920" s="32" t="n"/>
      <c r="L1920" s="36" t="n"/>
      <c r="M1920" s="41" t="n"/>
      <c r="N1920" s="41" t="n"/>
      <c r="O1920" s="36" t="n"/>
      <c r="P1920" s="33">
        <f>IF(C1920="","",Commercial_Id)</f>
        <v/>
      </c>
      <c r="Q1920" s="39">
        <f>IF(F1920="","",IFERROR(VALUE(MID(F1920,LEN(F1920)-3,3)),""))</f>
        <v/>
      </c>
      <c r="R1920" s="33">
        <f>IF(Q1920="","",P1920&amp;"|"&amp;Q1920)</f>
        <v/>
      </c>
      <c r="S1920" s="33">
        <f>IF(Q1920="","",IF(P1920="À RENSEIGNER","GIC",P1920)&amp;"-"&amp;TEXT(Q1920,"000"))</f>
        <v/>
      </c>
      <c r="T1920" s="33">
        <f>IF(R1920="","",IFERROR(INDEX(Cl_nom,MATCH(R1920,Cl_cle,0)),"(client introuvable)"))</f>
        <v/>
      </c>
      <c r="U1920" s="33">
        <f>IF(R1920="","",IFERROR(INDEX(Cl_quartier,MATCH(R1920,Cl_cle,0))&amp;"",""))</f>
        <v/>
      </c>
      <c r="V1920" s="34">
        <f>IF(C1920="","",YEAR(C1920-WEEKDAY(C1920,2)+4)&amp;"-S"&amp;TEXT(INT((C1920-DATE(YEAR(C1920-WEEKDAY(C1920,2)+4),1,3)+WEEKDAY(DATE(YEAR(C1920-WEEKDAY(C1920,2)+4),1,3),2)+5)/7),"00"))</f>
        <v/>
      </c>
    </row>
    <row r="1921" ht="18" customHeight="1">
      <c r="A1921" s="39" t="n">
        <v>1916</v>
      </c>
      <c r="B1921" s="33">
        <f>IF(C1921="","",IF(P1921="À RENSEIGNER","GIC",P1921)&amp;"-V"&amp;TEXT(A1921,"00000"))</f>
        <v/>
      </c>
      <c r="C1921" s="32" t="n"/>
      <c r="D1921" s="35" t="n"/>
      <c r="E1921" s="36" t="n"/>
      <c r="F1921" s="36" t="n"/>
      <c r="G1921" s="36" t="n"/>
      <c r="H1921" s="36" t="n"/>
      <c r="I1921" s="36" t="n"/>
      <c r="J1921" s="37" t="n"/>
      <c r="K1921" s="32" t="n"/>
      <c r="L1921" s="36" t="n"/>
      <c r="M1921" s="41" t="n"/>
      <c r="N1921" s="41" t="n"/>
      <c r="O1921" s="36" t="n"/>
      <c r="P1921" s="33">
        <f>IF(C1921="","",Commercial_Id)</f>
        <v/>
      </c>
      <c r="Q1921" s="39">
        <f>IF(F1921="","",IFERROR(VALUE(MID(F1921,LEN(F1921)-3,3)),""))</f>
        <v/>
      </c>
      <c r="R1921" s="33">
        <f>IF(Q1921="","",P1921&amp;"|"&amp;Q1921)</f>
        <v/>
      </c>
      <c r="S1921" s="33">
        <f>IF(Q1921="","",IF(P1921="À RENSEIGNER","GIC",P1921)&amp;"-"&amp;TEXT(Q1921,"000"))</f>
        <v/>
      </c>
      <c r="T1921" s="33">
        <f>IF(R1921="","",IFERROR(INDEX(Cl_nom,MATCH(R1921,Cl_cle,0)),"(client introuvable)"))</f>
        <v/>
      </c>
      <c r="U1921" s="33">
        <f>IF(R1921="","",IFERROR(INDEX(Cl_quartier,MATCH(R1921,Cl_cle,0))&amp;"",""))</f>
        <v/>
      </c>
      <c r="V1921" s="34">
        <f>IF(C1921="","",YEAR(C1921-WEEKDAY(C1921,2)+4)&amp;"-S"&amp;TEXT(INT((C1921-DATE(YEAR(C1921-WEEKDAY(C1921,2)+4),1,3)+WEEKDAY(DATE(YEAR(C1921-WEEKDAY(C1921,2)+4),1,3),2)+5)/7),"00"))</f>
        <v/>
      </c>
    </row>
    <row r="1922" ht="18" customHeight="1">
      <c r="A1922" s="39" t="n">
        <v>1917</v>
      </c>
      <c r="B1922" s="33">
        <f>IF(C1922="","",IF(P1922="À RENSEIGNER","GIC",P1922)&amp;"-V"&amp;TEXT(A1922,"00000"))</f>
        <v/>
      </c>
      <c r="C1922" s="32" t="n"/>
      <c r="D1922" s="35" t="n"/>
      <c r="E1922" s="36" t="n"/>
      <c r="F1922" s="36" t="n"/>
      <c r="G1922" s="36" t="n"/>
      <c r="H1922" s="36" t="n"/>
      <c r="I1922" s="36" t="n"/>
      <c r="J1922" s="37" t="n"/>
      <c r="K1922" s="32" t="n"/>
      <c r="L1922" s="36" t="n"/>
      <c r="M1922" s="41" t="n"/>
      <c r="N1922" s="41" t="n"/>
      <c r="O1922" s="36" t="n"/>
      <c r="P1922" s="33">
        <f>IF(C1922="","",Commercial_Id)</f>
        <v/>
      </c>
      <c r="Q1922" s="39">
        <f>IF(F1922="","",IFERROR(VALUE(MID(F1922,LEN(F1922)-3,3)),""))</f>
        <v/>
      </c>
      <c r="R1922" s="33">
        <f>IF(Q1922="","",P1922&amp;"|"&amp;Q1922)</f>
        <v/>
      </c>
      <c r="S1922" s="33">
        <f>IF(Q1922="","",IF(P1922="À RENSEIGNER","GIC",P1922)&amp;"-"&amp;TEXT(Q1922,"000"))</f>
        <v/>
      </c>
      <c r="T1922" s="33">
        <f>IF(R1922="","",IFERROR(INDEX(Cl_nom,MATCH(R1922,Cl_cle,0)),"(client introuvable)"))</f>
        <v/>
      </c>
      <c r="U1922" s="33">
        <f>IF(R1922="","",IFERROR(INDEX(Cl_quartier,MATCH(R1922,Cl_cle,0))&amp;"",""))</f>
        <v/>
      </c>
      <c r="V1922" s="34">
        <f>IF(C1922="","",YEAR(C1922-WEEKDAY(C1922,2)+4)&amp;"-S"&amp;TEXT(INT((C1922-DATE(YEAR(C1922-WEEKDAY(C1922,2)+4),1,3)+WEEKDAY(DATE(YEAR(C1922-WEEKDAY(C1922,2)+4),1,3),2)+5)/7),"00"))</f>
        <v/>
      </c>
    </row>
    <row r="1923" ht="18" customHeight="1">
      <c r="A1923" s="39" t="n">
        <v>1918</v>
      </c>
      <c r="B1923" s="33">
        <f>IF(C1923="","",IF(P1923="À RENSEIGNER","GIC",P1923)&amp;"-V"&amp;TEXT(A1923,"00000"))</f>
        <v/>
      </c>
      <c r="C1923" s="32" t="n"/>
      <c r="D1923" s="35" t="n"/>
      <c r="E1923" s="36" t="n"/>
      <c r="F1923" s="36" t="n"/>
      <c r="G1923" s="36" t="n"/>
      <c r="H1923" s="36" t="n"/>
      <c r="I1923" s="36" t="n"/>
      <c r="J1923" s="37" t="n"/>
      <c r="K1923" s="32" t="n"/>
      <c r="L1923" s="36" t="n"/>
      <c r="M1923" s="41" t="n"/>
      <c r="N1923" s="41" t="n"/>
      <c r="O1923" s="36" t="n"/>
      <c r="P1923" s="33">
        <f>IF(C1923="","",Commercial_Id)</f>
        <v/>
      </c>
      <c r="Q1923" s="39">
        <f>IF(F1923="","",IFERROR(VALUE(MID(F1923,LEN(F1923)-3,3)),""))</f>
        <v/>
      </c>
      <c r="R1923" s="33">
        <f>IF(Q1923="","",P1923&amp;"|"&amp;Q1923)</f>
        <v/>
      </c>
      <c r="S1923" s="33">
        <f>IF(Q1923="","",IF(P1923="À RENSEIGNER","GIC",P1923)&amp;"-"&amp;TEXT(Q1923,"000"))</f>
        <v/>
      </c>
      <c r="T1923" s="33">
        <f>IF(R1923="","",IFERROR(INDEX(Cl_nom,MATCH(R1923,Cl_cle,0)),"(client introuvable)"))</f>
        <v/>
      </c>
      <c r="U1923" s="33">
        <f>IF(R1923="","",IFERROR(INDEX(Cl_quartier,MATCH(R1923,Cl_cle,0))&amp;"",""))</f>
        <v/>
      </c>
      <c r="V1923" s="34">
        <f>IF(C1923="","",YEAR(C1923-WEEKDAY(C1923,2)+4)&amp;"-S"&amp;TEXT(INT((C1923-DATE(YEAR(C1923-WEEKDAY(C1923,2)+4),1,3)+WEEKDAY(DATE(YEAR(C1923-WEEKDAY(C1923,2)+4),1,3),2)+5)/7),"00"))</f>
        <v/>
      </c>
    </row>
    <row r="1924" ht="18" customHeight="1">
      <c r="A1924" s="39" t="n">
        <v>1919</v>
      </c>
      <c r="B1924" s="33">
        <f>IF(C1924="","",IF(P1924="À RENSEIGNER","GIC",P1924)&amp;"-V"&amp;TEXT(A1924,"00000"))</f>
        <v/>
      </c>
      <c r="C1924" s="32" t="n"/>
      <c r="D1924" s="35" t="n"/>
      <c r="E1924" s="36" t="n"/>
      <c r="F1924" s="36" t="n"/>
      <c r="G1924" s="36" t="n"/>
      <c r="H1924" s="36" t="n"/>
      <c r="I1924" s="36" t="n"/>
      <c r="J1924" s="37" t="n"/>
      <c r="K1924" s="32" t="n"/>
      <c r="L1924" s="36" t="n"/>
      <c r="M1924" s="41" t="n"/>
      <c r="N1924" s="41" t="n"/>
      <c r="O1924" s="36" t="n"/>
      <c r="P1924" s="33">
        <f>IF(C1924="","",Commercial_Id)</f>
        <v/>
      </c>
      <c r="Q1924" s="39">
        <f>IF(F1924="","",IFERROR(VALUE(MID(F1924,LEN(F1924)-3,3)),""))</f>
        <v/>
      </c>
      <c r="R1924" s="33">
        <f>IF(Q1924="","",P1924&amp;"|"&amp;Q1924)</f>
        <v/>
      </c>
      <c r="S1924" s="33">
        <f>IF(Q1924="","",IF(P1924="À RENSEIGNER","GIC",P1924)&amp;"-"&amp;TEXT(Q1924,"000"))</f>
        <v/>
      </c>
      <c r="T1924" s="33">
        <f>IF(R1924="","",IFERROR(INDEX(Cl_nom,MATCH(R1924,Cl_cle,0)),"(client introuvable)"))</f>
        <v/>
      </c>
      <c r="U1924" s="33">
        <f>IF(R1924="","",IFERROR(INDEX(Cl_quartier,MATCH(R1924,Cl_cle,0))&amp;"",""))</f>
        <v/>
      </c>
      <c r="V1924" s="34">
        <f>IF(C1924="","",YEAR(C1924-WEEKDAY(C1924,2)+4)&amp;"-S"&amp;TEXT(INT((C1924-DATE(YEAR(C1924-WEEKDAY(C1924,2)+4),1,3)+WEEKDAY(DATE(YEAR(C1924-WEEKDAY(C1924,2)+4),1,3),2)+5)/7),"00"))</f>
        <v/>
      </c>
    </row>
    <row r="1925" ht="18" customHeight="1">
      <c r="A1925" s="39" t="n">
        <v>1920</v>
      </c>
      <c r="B1925" s="33">
        <f>IF(C1925="","",IF(P1925="À RENSEIGNER","GIC",P1925)&amp;"-V"&amp;TEXT(A1925,"00000"))</f>
        <v/>
      </c>
      <c r="C1925" s="32" t="n"/>
      <c r="D1925" s="35" t="n"/>
      <c r="E1925" s="36" t="n"/>
      <c r="F1925" s="36" t="n"/>
      <c r="G1925" s="36" t="n"/>
      <c r="H1925" s="36" t="n"/>
      <c r="I1925" s="36" t="n"/>
      <c r="J1925" s="37" t="n"/>
      <c r="K1925" s="32" t="n"/>
      <c r="L1925" s="36" t="n"/>
      <c r="M1925" s="41" t="n"/>
      <c r="N1925" s="41" t="n"/>
      <c r="O1925" s="36" t="n"/>
      <c r="P1925" s="33">
        <f>IF(C1925="","",Commercial_Id)</f>
        <v/>
      </c>
      <c r="Q1925" s="39">
        <f>IF(F1925="","",IFERROR(VALUE(MID(F1925,LEN(F1925)-3,3)),""))</f>
        <v/>
      </c>
      <c r="R1925" s="33">
        <f>IF(Q1925="","",P1925&amp;"|"&amp;Q1925)</f>
        <v/>
      </c>
      <c r="S1925" s="33">
        <f>IF(Q1925="","",IF(P1925="À RENSEIGNER","GIC",P1925)&amp;"-"&amp;TEXT(Q1925,"000"))</f>
        <v/>
      </c>
      <c r="T1925" s="33">
        <f>IF(R1925="","",IFERROR(INDEX(Cl_nom,MATCH(R1925,Cl_cle,0)),"(client introuvable)"))</f>
        <v/>
      </c>
      <c r="U1925" s="33">
        <f>IF(R1925="","",IFERROR(INDEX(Cl_quartier,MATCH(R1925,Cl_cle,0))&amp;"",""))</f>
        <v/>
      </c>
      <c r="V1925" s="34">
        <f>IF(C1925="","",YEAR(C1925-WEEKDAY(C1925,2)+4)&amp;"-S"&amp;TEXT(INT((C1925-DATE(YEAR(C1925-WEEKDAY(C1925,2)+4),1,3)+WEEKDAY(DATE(YEAR(C1925-WEEKDAY(C1925,2)+4),1,3),2)+5)/7),"00"))</f>
        <v/>
      </c>
    </row>
    <row r="1926" ht="18" customHeight="1">
      <c r="A1926" s="39" t="n">
        <v>1921</v>
      </c>
      <c r="B1926" s="33">
        <f>IF(C1926="","",IF(P1926="À RENSEIGNER","GIC",P1926)&amp;"-V"&amp;TEXT(A1926,"00000"))</f>
        <v/>
      </c>
      <c r="C1926" s="32" t="n"/>
      <c r="D1926" s="35" t="n"/>
      <c r="E1926" s="36" t="n"/>
      <c r="F1926" s="36" t="n"/>
      <c r="G1926" s="36" t="n"/>
      <c r="H1926" s="36" t="n"/>
      <c r="I1926" s="36" t="n"/>
      <c r="J1926" s="37" t="n"/>
      <c r="K1926" s="32" t="n"/>
      <c r="L1926" s="36" t="n"/>
      <c r="M1926" s="41" t="n"/>
      <c r="N1926" s="41" t="n"/>
      <c r="O1926" s="36" t="n"/>
      <c r="P1926" s="33">
        <f>IF(C1926="","",Commercial_Id)</f>
        <v/>
      </c>
      <c r="Q1926" s="39">
        <f>IF(F1926="","",IFERROR(VALUE(MID(F1926,LEN(F1926)-3,3)),""))</f>
        <v/>
      </c>
      <c r="R1926" s="33">
        <f>IF(Q1926="","",P1926&amp;"|"&amp;Q1926)</f>
        <v/>
      </c>
      <c r="S1926" s="33">
        <f>IF(Q1926="","",IF(P1926="À RENSEIGNER","GIC",P1926)&amp;"-"&amp;TEXT(Q1926,"000"))</f>
        <v/>
      </c>
      <c r="T1926" s="33">
        <f>IF(R1926="","",IFERROR(INDEX(Cl_nom,MATCH(R1926,Cl_cle,0)),"(client introuvable)"))</f>
        <v/>
      </c>
      <c r="U1926" s="33">
        <f>IF(R1926="","",IFERROR(INDEX(Cl_quartier,MATCH(R1926,Cl_cle,0))&amp;"",""))</f>
        <v/>
      </c>
      <c r="V1926" s="34">
        <f>IF(C1926="","",YEAR(C1926-WEEKDAY(C1926,2)+4)&amp;"-S"&amp;TEXT(INT((C1926-DATE(YEAR(C1926-WEEKDAY(C1926,2)+4),1,3)+WEEKDAY(DATE(YEAR(C1926-WEEKDAY(C1926,2)+4),1,3),2)+5)/7),"00"))</f>
        <v/>
      </c>
    </row>
    <row r="1927" ht="18" customHeight="1">
      <c r="A1927" s="39" t="n">
        <v>1922</v>
      </c>
      <c r="B1927" s="33">
        <f>IF(C1927="","",IF(P1927="À RENSEIGNER","GIC",P1927)&amp;"-V"&amp;TEXT(A1927,"00000"))</f>
        <v/>
      </c>
      <c r="C1927" s="32" t="n"/>
      <c r="D1927" s="35" t="n"/>
      <c r="E1927" s="36" t="n"/>
      <c r="F1927" s="36" t="n"/>
      <c r="G1927" s="36" t="n"/>
      <c r="H1927" s="36" t="n"/>
      <c r="I1927" s="36" t="n"/>
      <c r="J1927" s="37" t="n"/>
      <c r="K1927" s="32" t="n"/>
      <c r="L1927" s="36" t="n"/>
      <c r="M1927" s="41" t="n"/>
      <c r="N1927" s="41" t="n"/>
      <c r="O1927" s="36" t="n"/>
      <c r="P1927" s="33">
        <f>IF(C1927="","",Commercial_Id)</f>
        <v/>
      </c>
      <c r="Q1927" s="39">
        <f>IF(F1927="","",IFERROR(VALUE(MID(F1927,LEN(F1927)-3,3)),""))</f>
        <v/>
      </c>
      <c r="R1927" s="33">
        <f>IF(Q1927="","",P1927&amp;"|"&amp;Q1927)</f>
        <v/>
      </c>
      <c r="S1927" s="33">
        <f>IF(Q1927="","",IF(P1927="À RENSEIGNER","GIC",P1927)&amp;"-"&amp;TEXT(Q1927,"000"))</f>
        <v/>
      </c>
      <c r="T1927" s="33">
        <f>IF(R1927="","",IFERROR(INDEX(Cl_nom,MATCH(R1927,Cl_cle,0)),"(client introuvable)"))</f>
        <v/>
      </c>
      <c r="U1927" s="33">
        <f>IF(R1927="","",IFERROR(INDEX(Cl_quartier,MATCH(R1927,Cl_cle,0))&amp;"",""))</f>
        <v/>
      </c>
      <c r="V1927" s="34">
        <f>IF(C1927="","",YEAR(C1927-WEEKDAY(C1927,2)+4)&amp;"-S"&amp;TEXT(INT((C1927-DATE(YEAR(C1927-WEEKDAY(C1927,2)+4),1,3)+WEEKDAY(DATE(YEAR(C1927-WEEKDAY(C1927,2)+4),1,3),2)+5)/7),"00"))</f>
        <v/>
      </c>
    </row>
    <row r="1928" ht="18" customHeight="1">
      <c r="A1928" s="39" t="n">
        <v>1923</v>
      </c>
      <c r="B1928" s="33">
        <f>IF(C1928="","",IF(P1928="À RENSEIGNER","GIC",P1928)&amp;"-V"&amp;TEXT(A1928,"00000"))</f>
        <v/>
      </c>
      <c r="C1928" s="32" t="n"/>
      <c r="D1928" s="35" t="n"/>
      <c r="E1928" s="36" t="n"/>
      <c r="F1928" s="36" t="n"/>
      <c r="G1928" s="36" t="n"/>
      <c r="H1928" s="36" t="n"/>
      <c r="I1928" s="36" t="n"/>
      <c r="J1928" s="37" t="n"/>
      <c r="K1928" s="32" t="n"/>
      <c r="L1928" s="36" t="n"/>
      <c r="M1928" s="41" t="n"/>
      <c r="N1928" s="41" t="n"/>
      <c r="O1928" s="36" t="n"/>
      <c r="P1928" s="33">
        <f>IF(C1928="","",Commercial_Id)</f>
        <v/>
      </c>
      <c r="Q1928" s="39">
        <f>IF(F1928="","",IFERROR(VALUE(MID(F1928,LEN(F1928)-3,3)),""))</f>
        <v/>
      </c>
      <c r="R1928" s="33">
        <f>IF(Q1928="","",P1928&amp;"|"&amp;Q1928)</f>
        <v/>
      </c>
      <c r="S1928" s="33">
        <f>IF(Q1928="","",IF(P1928="À RENSEIGNER","GIC",P1928)&amp;"-"&amp;TEXT(Q1928,"000"))</f>
        <v/>
      </c>
      <c r="T1928" s="33">
        <f>IF(R1928="","",IFERROR(INDEX(Cl_nom,MATCH(R1928,Cl_cle,0)),"(client introuvable)"))</f>
        <v/>
      </c>
      <c r="U1928" s="33">
        <f>IF(R1928="","",IFERROR(INDEX(Cl_quartier,MATCH(R1928,Cl_cle,0))&amp;"",""))</f>
        <v/>
      </c>
      <c r="V1928" s="34">
        <f>IF(C1928="","",YEAR(C1928-WEEKDAY(C1928,2)+4)&amp;"-S"&amp;TEXT(INT((C1928-DATE(YEAR(C1928-WEEKDAY(C1928,2)+4),1,3)+WEEKDAY(DATE(YEAR(C1928-WEEKDAY(C1928,2)+4),1,3),2)+5)/7),"00"))</f>
        <v/>
      </c>
    </row>
    <row r="1929" ht="18" customHeight="1">
      <c r="A1929" s="39" t="n">
        <v>1924</v>
      </c>
      <c r="B1929" s="33">
        <f>IF(C1929="","",IF(P1929="À RENSEIGNER","GIC",P1929)&amp;"-V"&amp;TEXT(A1929,"00000"))</f>
        <v/>
      </c>
      <c r="C1929" s="32" t="n"/>
      <c r="D1929" s="35" t="n"/>
      <c r="E1929" s="36" t="n"/>
      <c r="F1929" s="36" t="n"/>
      <c r="G1929" s="36" t="n"/>
      <c r="H1929" s="36" t="n"/>
      <c r="I1929" s="36" t="n"/>
      <c r="J1929" s="37" t="n"/>
      <c r="K1929" s="32" t="n"/>
      <c r="L1929" s="36" t="n"/>
      <c r="M1929" s="41" t="n"/>
      <c r="N1929" s="41" t="n"/>
      <c r="O1929" s="36" t="n"/>
      <c r="P1929" s="33">
        <f>IF(C1929="","",Commercial_Id)</f>
        <v/>
      </c>
      <c r="Q1929" s="39">
        <f>IF(F1929="","",IFERROR(VALUE(MID(F1929,LEN(F1929)-3,3)),""))</f>
        <v/>
      </c>
      <c r="R1929" s="33">
        <f>IF(Q1929="","",P1929&amp;"|"&amp;Q1929)</f>
        <v/>
      </c>
      <c r="S1929" s="33">
        <f>IF(Q1929="","",IF(P1929="À RENSEIGNER","GIC",P1929)&amp;"-"&amp;TEXT(Q1929,"000"))</f>
        <v/>
      </c>
      <c r="T1929" s="33">
        <f>IF(R1929="","",IFERROR(INDEX(Cl_nom,MATCH(R1929,Cl_cle,0)),"(client introuvable)"))</f>
        <v/>
      </c>
      <c r="U1929" s="33">
        <f>IF(R1929="","",IFERROR(INDEX(Cl_quartier,MATCH(R1929,Cl_cle,0))&amp;"",""))</f>
        <v/>
      </c>
      <c r="V1929" s="34">
        <f>IF(C1929="","",YEAR(C1929-WEEKDAY(C1929,2)+4)&amp;"-S"&amp;TEXT(INT((C1929-DATE(YEAR(C1929-WEEKDAY(C1929,2)+4),1,3)+WEEKDAY(DATE(YEAR(C1929-WEEKDAY(C1929,2)+4),1,3),2)+5)/7),"00"))</f>
        <v/>
      </c>
    </row>
    <row r="1930" ht="18" customHeight="1">
      <c r="A1930" s="39" t="n">
        <v>1925</v>
      </c>
      <c r="B1930" s="33">
        <f>IF(C1930="","",IF(P1930="À RENSEIGNER","GIC",P1930)&amp;"-V"&amp;TEXT(A1930,"00000"))</f>
        <v/>
      </c>
      <c r="C1930" s="32" t="n"/>
      <c r="D1930" s="35" t="n"/>
      <c r="E1930" s="36" t="n"/>
      <c r="F1930" s="36" t="n"/>
      <c r="G1930" s="36" t="n"/>
      <c r="H1930" s="36" t="n"/>
      <c r="I1930" s="36" t="n"/>
      <c r="J1930" s="37" t="n"/>
      <c r="K1930" s="32" t="n"/>
      <c r="L1930" s="36" t="n"/>
      <c r="M1930" s="41" t="n"/>
      <c r="N1930" s="41" t="n"/>
      <c r="O1930" s="36" t="n"/>
      <c r="P1930" s="33">
        <f>IF(C1930="","",Commercial_Id)</f>
        <v/>
      </c>
      <c r="Q1930" s="39">
        <f>IF(F1930="","",IFERROR(VALUE(MID(F1930,LEN(F1930)-3,3)),""))</f>
        <v/>
      </c>
      <c r="R1930" s="33">
        <f>IF(Q1930="","",P1930&amp;"|"&amp;Q1930)</f>
        <v/>
      </c>
      <c r="S1930" s="33">
        <f>IF(Q1930="","",IF(P1930="À RENSEIGNER","GIC",P1930)&amp;"-"&amp;TEXT(Q1930,"000"))</f>
        <v/>
      </c>
      <c r="T1930" s="33">
        <f>IF(R1930="","",IFERROR(INDEX(Cl_nom,MATCH(R1930,Cl_cle,0)),"(client introuvable)"))</f>
        <v/>
      </c>
      <c r="U1930" s="33">
        <f>IF(R1930="","",IFERROR(INDEX(Cl_quartier,MATCH(R1930,Cl_cle,0))&amp;"",""))</f>
        <v/>
      </c>
      <c r="V1930" s="34">
        <f>IF(C1930="","",YEAR(C1930-WEEKDAY(C1930,2)+4)&amp;"-S"&amp;TEXT(INT((C1930-DATE(YEAR(C1930-WEEKDAY(C1930,2)+4),1,3)+WEEKDAY(DATE(YEAR(C1930-WEEKDAY(C1930,2)+4),1,3),2)+5)/7),"00"))</f>
        <v/>
      </c>
    </row>
    <row r="1931" ht="18" customHeight="1">
      <c r="A1931" s="39" t="n">
        <v>1926</v>
      </c>
      <c r="B1931" s="33">
        <f>IF(C1931="","",IF(P1931="À RENSEIGNER","GIC",P1931)&amp;"-V"&amp;TEXT(A1931,"00000"))</f>
        <v/>
      </c>
      <c r="C1931" s="32" t="n"/>
      <c r="D1931" s="35" t="n"/>
      <c r="E1931" s="36" t="n"/>
      <c r="F1931" s="36" t="n"/>
      <c r="G1931" s="36" t="n"/>
      <c r="H1931" s="36" t="n"/>
      <c r="I1931" s="36" t="n"/>
      <c r="J1931" s="37" t="n"/>
      <c r="K1931" s="32" t="n"/>
      <c r="L1931" s="36" t="n"/>
      <c r="M1931" s="41" t="n"/>
      <c r="N1931" s="41" t="n"/>
      <c r="O1931" s="36" t="n"/>
      <c r="P1931" s="33">
        <f>IF(C1931="","",Commercial_Id)</f>
        <v/>
      </c>
      <c r="Q1931" s="39">
        <f>IF(F1931="","",IFERROR(VALUE(MID(F1931,LEN(F1931)-3,3)),""))</f>
        <v/>
      </c>
      <c r="R1931" s="33">
        <f>IF(Q1931="","",P1931&amp;"|"&amp;Q1931)</f>
        <v/>
      </c>
      <c r="S1931" s="33">
        <f>IF(Q1931="","",IF(P1931="À RENSEIGNER","GIC",P1931)&amp;"-"&amp;TEXT(Q1931,"000"))</f>
        <v/>
      </c>
      <c r="T1931" s="33">
        <f>IF(R1931="","",IFERROR(INDEX(Cl_nom,MATCH(R1931,Cl_cle,0)),"(client introuvable)"))</f>
        <v/>
      </c>
      <c r="U1931" s="33">
        <f>IF(R1931="","",IFERROR(INDEX(Cl_quartier,MATCH(R1931,Cl_cle,0))&amp;"",""))</f>
        <v/>
      </c>
      <c r="V1931" s="34">
        <f>IF(C1931="","",YEAR(C1931-WEEKDAY(C1931,2)+4)&amp;"-S"&amp;TEXT(INT((C1931-DATE(YEAR(C1931-WEEKDAY(C1931,2)+4),1,3)+WEEKDAY(DATE(YEAR(C1931-WEEKDAY(C1931,2)+4),1,3),2)+5)/7),"00"))</f>
        <v/>
      </c>
    </row>
    <row r="1932" ht="18" customHeight="1">
      <c r="A1932" s="39" t="n">
        <v>1927</v>
      </c>
      <c r="B1932" s="33">
        <f>IF(C1932="","",IF(P1932="À RENSEIGNER","GIC",P1932)&amp;"-V"&amp;TEXT(A1932,"00000"))</f>
        <v/>
      </c>
      <c r="C1932" s="32" t="n"/>
      <c r="D1932" s="35" t="n"/>
      <c r="E1932" s="36" t="n"/>
      <c r="F1932" s="36" t="n"/>
      <c r="G1932" s="36" t="n"/>
      <c r="H1932" s="36" t="n"/>
      <c r="I1932" s="36" t="n"/>
      <c r="J1932" s="37" t="n"/>
      <c r="K1932" s="32" t="n"/>
      <c r="L1932" s="36" t="n"/>
      <c r="M1932" s="41" t="n"/>
      <c r="N1932" s="41" t="n"/>
      <c r="O1932" s="36" t="n"/>
      <c r="P1932" s="33">
        <f>IF(C1932="","",Commercial_Id)</f>
        <v/>
      </c>
      <c r="Q1932" s="39">
        <f>IF(F1932="","",IFERROR(VALUE(MID(F1932,LEN(F1932)-3,3)),""))</f>
        <v/>
      </c>
      <c r="R1932" s="33">
        <f>IF(Q1932="","",P1932&amp;"|"&amp;Q1932)</f>
        <v/>
      </c>
      <c r="S1932" s="33">
        <f>IF(Q1932="","",IF(P1932="À RENSEIGNER","GIC",P1932)&amp;"-"&amp;TEXT(Q1932,"000"))</f>
        <v/>
      </c>
      <c r="T1932" s="33">
        <f>IF(R1932="","",IFERROR(INDEX(Cl_nom,MATCH(R1932,Cl_cle,0)),"(client introuvable)"))</f>
        <v/>
      </c>
      <c r="U1932" s="33">
        <f>IF(R1932="","",IFERROR(INDEX(Cl_quartier,MATCH(R1932,Cl_cle,0))&amp;"",""))</f>
        <v/>
      </c>
      <c r="V1932" s="34">
        <f>IF(C1932="","",YEAR(C1932-WEEKDAY(C1932,2)+4)&amp;"-S"&amp;TEXT(INT((C1932-DATE(YEAR(C1932-WEEKDAY(C1932,2)+4),1,3)+WEEKDAY(DATE(YEAR(C1932-WEEKDAY(C1932,2)+4),1,3),2)+5)/7),"00"))</f>
        <v/>
      </c>
    </row>
    <row r="1933" ht="18" customHeight="1">
      <c r="A1933" s="39" t="n">
        <v>1928</v>
      </c>
      <c r="B1933" s="33">
        <f>IF(C1933="","",IF(P1933="À RENSEIGNER","GIC",P1933)&amp;"-V"&amp;TEXT(A1933,"00000"))</f>
        <v/>
      </c>
      <c r="C1933" s="32" t="n"/>
      <c r="D1933" s="35" t="n"/>
      <c r="E1933" s="36" t="n"/>
      <c r="F1933" s="36" t="n"/>
      <c r="G1933" s="36" t="n"/>
      <c r="H1933" s="36" t="n"/>
      <c r="I1933" s="36" t="n"/>
      <c r="J1933" s="37" t="n"/>
      <c r="K1933" s="32" t="n"/>
      <c r="L1933" s="36" t="n"/>
      <c r="M1933" s="41" t="n"/>
      <c r="N1933" s="41" t="n"/>
      <c r="O1933" s="36" t="n"/>
      <c r="P1933" s="33">
        <f>IF(C1933="","",Commercial_Id)</f>
        <v/>
      </c>
      <c r="Q1933" s="39">
        <f>IF(F1933="","",IFERROR(VALUE(MID(F1933,LEN(F1933)-3,3)),""))</f>
        <v/>
      </c>
      <c r="R1933" s="33">
        <f>IF(Q1933="","",P1933&amp;"|"&amp;Q1933)</f>
        <v/>
      </c>
      <c r="S1933" s="33">
        <f>IF(Q1933="","",IF(P1933="À RENSEIGNER","GIC",P1933)&amp;"-"&amp;TEXT(Q1933,"000"))</f>
        <v/>
      </c>
      <c r="T1933" s="33">
        <f>IF(R1933="","",IFERROR(INDEX(Cl_nom,MATCH(R1933,Cl_cle,0)),"(client introuvable)"))</f>
        <v/>
      </c>
      <c r="U1933" s="33">
        <f>IF(R1933="","",IFERROR(INDEX(Cl_quartier,MATCH(R1933,Cl_cle,0))&amp;"",""))</f>
        <v/>
      </c>
      <c r="V1933" s="34">
        <f>IF(C1933="","",YEAR(C1933-WEEKDAY(C1933,2)+4)&amp;"-S"&amp;TEXT(INT((C1933-DATE(YEAR(C1933-WEEKDAY(C1933,2)+4),1,3)+WEEKDAY(DATE(YEAR(C1933-WEEKDAY(C1933,2)+4),1,3),2)+5)/7),"00"))</f>
        <v/>
      </c>
    </row>
    <row r="1934" ht="18" customHeight="1">
      <c r="A1934" s="39" t="n">
        <v>1929</v>
      </c>
      <c r="B1934" s="33">
        <f>IF(C1934="","",IF(P1934="À RENSEIGNER","GIC",P1934)&amp;"-V"&amp;TEXT(A1934,"00000"))</f>
        <v/>
      </c>
      <c r="C1934" s="32" t="n"/>
      <c r="D1934" s="35" t="n"/>
      <c r="E1934" s="36" t="n"/>
      <c r="F1934" s="36" t="n"/>
      <c r="G1934" s="36" t="n"/>
      <c r="H1934" s="36" t="n"/>
      <c r="I1934" s="36" t="n"/>
      <c r="J1934" s="37" t="n"/>
      <c r="K1934" s="32" t="n"/>
      <c r="L1934" s="36" t="n"/>
      <c r="M1934" s="41" t="n"/>
      <c r="N1934" s="41" t="n"/>
      <c r="O1934" s="36" t="n"/>
      <c r="P1934" s="33">
        <f>IF(C1934="","",Commercial_Id)</f>
        <v/>
      </c>
      <c r="Q1934" s="39">
        <f>IF(F1934="","",IFERROR(VALUE(MID(F1934,LEN(F1934)-3,3)),""))</f>
        <v/>
      </c>
      <c r="R1934" s="33">
        <f>IF(Q1934="","",P1934&amp;"|"&amp;Q1934)</f>
        <v/>
      </c>
      <c r="S1934" s="33">
        <f>IF(Q1934="","",IF(P1934="À RENSEIGNER","GIC",P1934)&amp;"-"&amp;TEXT(Q1934,"000"))</f>
        <v/>
      </c>
      <c r="T1934" s="33">
        <f>IF(R1934="","",IFERROR(INDEX(Cl_nom,MATCH(R1934,Cl_cle,0)),"(client introuvable)"))</f>
        <v/>
      </c>
      <c r="U1934" s="33">
        <f>IF(R1934="","",IFERROR(INDEX(Cl_quartier,MATCH(R1934,Cl_cle,0))&amp;"",""))</f>
        <v/>
      </c>
      <c r="V1934" s="34">
        <f>IF(C1934="","",YEAR(C1934-WEEKDAY(C1934,2)+4)&amp;"-S"&amp;TEXT(INT((C1934-DATE(YEAR(C1934-WEEKDAY(C1934,2)+4),1,3)+WEEKDAY(DATE(YEAR(C1934-WEEKDAY(C1934,2)+4),1,3),2)+5)/7),"00"))</f>
        <v/>
      </c>
    </row>
    <row r="1935" ht="18" customHeight="1">
      <c r="A1935" s="39" t="n">
        <v>1930</v>
      </c>
      <c r="B1935" s="33">
        <f>IF(C1935="","",IF(P1935="À RENSEIGNER","GIC",P1935)&amp;"-V"&amp;TEXT(A1935,"00000"))</f>
        <v/>
      </c>
      <c r="C1935" s="32" t="n"/>
      <c r="D1935" s="35" t="n"/>
      <c r="E1935" s="36" t="n"/>
      <c r="F1935" s="36" t="n"/>
      <c r="G1935" s="36" t="n"/>
      <c r="H1935" s="36" t="n"/>
      <c r="I1935" s="36" t="n"/>
      <c r="J1935" s="37" t="n"/>
      <c r="K1935" s="32" t="n"/>
      <c r="L1935" s="36" t="n"/>
      <c r="M1935" s="41" t="n"/>
      <c r="N1935" s="41" t="n"/>
      <c r="O1935" s="36" t="n"/>
      <c r="P1935" s="33">
        <f>IF(C1935="","",Commercial_Id)</f>
        <v/>
      </c>
      <c r="Q1935" s="39">
        <f>IF(F1935="","",IFERROR(VALUE(MID(F1935,LEN(F1935)-3,3)),""))</f>
        <v/>
      </c>
      <c r="R1935" s="33">
        <f>IF(Q1935="","",P1935&amp;"|"&amp;Q1935)</f>
        <v/>
      </c>
      <c r="S1935" s="33">
        <f>IF(Q1935="","",IF(P1935="À RENSEIGNER","GIC",P1935)&amp;"-"&amp;TEXT(Q1935,"000"))</f>
        <v/>
      </c>
      <c r="T1935" s="33">
        <f>IF(R1935="","",IFERROR(INDEX(Cl_nom,MATCH(R1935,Cl_cle,0)),"(client introuvable)"))</f>
        <v/>
      </c>
      <c r="U1935" s="33">
        <f>IF(R1935="","",IFERROR(INDEX(Cl_quartier,MATCH(R1935,Cl_cle,0))&amp;"",""))</f>
        <v/>
      </c>
      <c r="V1935" s="34">
        <f>IF(C1935="","",YEAR(C1935-WEEKDAY(C1935,2)+4)&amp;"-S"&amp;TEXT(INT((C1935-DATE(YEAR(C1935-WEEKDAY(C1935,2)+4),1,3)+WEEKDAY(DATE(YEAR(C1935-WEEKDAY(C1935,2)+4),1,3),2)+5)/7),"00"))</f>
        <v/>
      </c>
    </row>
    <row r="1936" ht="18" customHeight="1">
      <c r="A1936" s="39" t="n">
        <v>1931</v>
      </c>
      <c r="B1936" s="33">
        <f>IF(C1936="","",IF(P1936="À RENSEIGNER","GIC",P1936)&amp;"-V"&amp;TEXT(A1936,"00000"))</f>
        <v/>
      </c>
      <c r="C1936" s="32" t="n"/>
      <c r="D1936" s="35" t="n"/>
      <c r="E1936" s="36" t="n"/>
      <c r="F1936" s="36" t="n"/>
      <c r="G1936" s="36" t="n"/>
      <c r="H1936" s="36" t="n"/>
      <c r="I1936" s="36" t="n"/>
      <c r="J1936" s="37" t="n"/>
      <c r="K1936" s="32" t="n"/>
      <c r="L1936" s="36" t="n"/>
      <c r="M1936" s="41" t="n"/>
      <c r="N1936" s="41" t="n"/>
      <c r="O1936" s="36" t="n"/>
      <c r="P1936" s="33">
        <f>IF(C1936="","",Commercial_Id)</f>
        <v/>
      </c>
      <c r="Q1936" s="39">
        <f>IF(F1936="","",IFERROR(VALUE(MID(F1936,LEN(F1936)-3,3)),""))</f>
        <v/>
      </c>
      <c r="R1936" s="33">
        <f>IF(Q1936="","",P1936&amp;"|"&amp;Q1936)</f>
        <v/>
      </c>
      <c r="S1936" s="33">
        <f>IF(Q1936="","",IF(P1936="À RENSEIGNER","GIC",P1936)&amp;"-"&amp;TEXT(Q1936,"000"))</f>
        <v/>
      </c>
      <c r="T1936" s="33">
        <f>IF(R1936="","",IFERROR(INDEX(Cl_nom,MATCH(R1936,Cl_cle,0)),"(client introuvable)"))</f>
        <v/>
      </c>
      <c r="U1936" s="33">
        <f>IF(R1936="","",IFERROR(INDEX(Cl_quartier,MATCH(R1936,Cl_cle,0))&amp;"",""))</f>
        <v/>
      </c>
      <c r="V1936" s="34">
        <f>IF(C1936="","",YEAR(C1936-WEEKDAY(C1936,2)+4)&amp;"-S"&amp;TEXT(INT((C1936-DATE(YEAR(C1936-WEEKDAY(C1936,2)+4),1,3)+WEEKDAY(DATE(YEAR(C1936-WEEKDAY(C1936,2)+4),1,3),2)+5)/7),"00"))</f>
        <v/>
      </c>
    </row>
    <row r="1937" ht="18" customHeight="1">
      <c r="A1937" s="39" t="n">
        <v>1932</v>
      </c>
      <c r="B1937" s="33">
        <f>IF(C1937="","",IF(P1937="À RENSEIGNER","GIC",P1937)&amp;"-V"&amp;TEXT(A1937,"00000"))</f>
        <v/>
      </c>
      <c r="C1937" s="32" t="n"/>
      <c r="D1937" s="35" t="n"/>
      <c r="E1937" s="36" t="n"/>
      <c r="F1937" s="36" t="n"/>
      <c r="G1937" s="36" t="n"/>
      <c r="H1937" s="36" t="n"/>
      <c r="I1937" s="36" t="n"/>
      <c r="J1937" s="37" t="n"/>
      <c r="K1937" s="32" t="n"/>
      <c r="L1937" s="36" t="n"/>
      <c r="M1937" s="41" t="n"/>
      <c r="N1937" s="41" t="n"/>
      <c r="O1937" s="36" t="n"/>
      <c r="P1937" s="33">
        <f>IF(C1937="","",Commercial_Id)</f>
        <v/>
      </c>
      <c r="Q1937" s="39">
        <f>IF(F1937="","",IFERROR(VALUE(MID(F1937,LEN(F1937)-3,3)),""))</f>
        <v/>
      </c>
      <c r="R1937" s="33">
        <f>IF(Q1937="","",P1937&amp;"|"&amp;Q1937)</f>
        <v/>
      </c>
      <c r="S1937" s="33">
        <f>IF(Q1937="","",IF(P1937="À RENSEIGNER","GIC",P1937)&amp;"-"&amp;TEXT(Q1937,"000"))</f>
        <v/>
      </c>
      <c r="T1937" s="33">
        <f>IF(R1937="","",IFERROR(INDEX(Cl_nom,MATCH(R1937,Cl_cle,0)),"(client introuvable)"))</f>
        <v/>
      </c>
      <c r="U1937" s="33">
        <f>IF(R1937="","",IFERROR(INDEX(Cl_quartier,MATCH(R1937,Cl_cle,0))&amp;"",""))</f>
        <v/>
      </c>
      <c r="V1937" s="34">
        <f>IF(C1937="","",YEAR(C1937-WEEKDAY(C1937,2)+4)&amp;"-S"&amp;TEXT(INT((C1937-DATE(YEAR(C1937-WEEKDAY(C1937,2)+4),1,3)+WEEKDAY(DATE(YEAR(C1937-WEEKDAY(C1937,2)+4),1,3),2)+5)/7),"00"))</f>
        <v/>
      </c>
    </row>
    <row r="1938" ht="18" customHeight="1">
      <c r="A1938" s="39" t="n">
        <v>1933</v>
      </c>
      <c r="B1938" s="33">
        <f>IF(C1938="","",IF(P1938="À RENSEIGNER","GIC",P1938)&amp;"-V"&amp;TEXT(A1938,"00000"))</f>
        <v/>
      </c>
      <c r="C1938" s="32" t="n"/>
      <c r="D1938" s="35" t="n"/>
      <c r="E1938" s="36" t="n"/>
      <c r="F1938" s="36" t="n"/>
      <c r="G1938" s="36" t="n"/>
      <c r="H1938" s="36" t="n"/>
      <c r="I1938" s="36" t="n"/>
      <c r="J1938" s="37" t="n"/>
      <c r="K1938" s="32" t="n"/>
      <c r="L1938" s="36" t="n"/>
      <c r="M1938" s="41" t="n"/>
      <c r="N1938" s="41" t="n"/>
      <c r="O1938" s="36" t="n"/>
      <c r="P1938" s="33">
        <f>IF(C1938="","",Commercial_Id)</f>
        <v/>
      </c>
      <c r="Q1938" s="39">
        <f>IF(F1938="","",IFERROR(VALUE(MID(F1938,LEN(F1938)-3,3)),""))</f>
        <v/>
      </c>
      <c r="R1938" s="33">
        <f>IF(Q1938="","",P1938&amp;"|"&amp;Q1938)</f>
        <v/>
      </c>
      <c r="S1938" s="33">
        <f>IF(Q1938="","",IF(P1938="À RENSEIGNER","GIC",P1938)&amp;"-"&amp;TEXT(Q1938,"000"))</f>
        <v/>
      </c>
      <c r="T1938" s="33">
        <f>IF(R1938="","",IFERROR(INDEX(Cl_nom,MATCH(R1938,Cl_cle,0)),"(client introuvable)"))</f>
        <v/>
      </c>
      <c r="U1938" s="33">
        <f>IF(R1938="","",IFERROR(INDEX(Cl_quartier,MATCH(R1938,Cl_cle,0))&amp;"",""))</f>
        <v/>
      </c>
      <c r="V1938" s="34">
        <f>IF(C1938="","",YEAR(C1938-WEEKDAY(C1938,2)+4)&amp;"-S"&amp;TEXT(INT((C1938-DATE(YEAR(C1938-WEEKDAY(C1938,2)+4),1,3)+WEEKDAY(DATE(YEAR(C1938-WEEKDAY(C1938,2)+4),1,3),2)+5)/7),"00"))</f>
        <v/>
      </c>
    </row>
    <row r="1939" ht="18" customHeight="1">
      <c r="A1939" s="39" t="n">
        <v>1934</v>
      </c>
      <c r="B1939" s="33">
        <f>IF(C1939="","",IF(P1939="À RENSEIGNER","GIC",P1939)&amp;"-V"&amp;TEXT(A1939,"00000"))</f>
        <v/>
      </c>
      <c r="C1939" s="32" t="n"/>
      <c r="D1939" s="35" t="n"/>
      <c r="E1939" s="36" t="n"/>
      <c r="F1939" s="36" t="n"/>
      <c r="G1939" s="36" t="n"/>
      <c r="H1939" s="36" t="n"/>
      <c r="I1939" s="36" t="n"/>
      <c r="J1939" s="37" t="n"/>
      <c r="K1939" s="32" t="n"/>
      <c r="L1939" s="36" t="n"/>
      <c r="M1939" s="41" t="n"/>
      <c r="N1939" s="41" t="n"/>
      <c r="O1939" s="36" t="n"/>
      <c r="P1939" s="33">
        <f>IF(C1939="","",Commercial_Id)</f>
        <v/>
      </c>
      <c r="Q1939" s="39">
        <f>IF(F1939="","",IFERROR(VALUE(MID(F1939,LEN(F1939)-3,3)),""))</f>
        <v/>
      </c>
      <c r="R1939" s="33">
        <f>IF(Q1939="","",P1939&amp;"|"&amp;Q1939)</f>
        <v/>
      </c>
      <c r="S1939" s="33">
        <f>IF(Q1939="","",IF(P1939="À RENSEIGNER","GIC",P1939)&amp;"-"&amp;TEXT(Q1939,"000"))</f>
        <v/>
      </c>
      <c r="T1939" s="33">
        <f>IF(R1939="","",IFERROR(INDEX(Cl_nom,MATCH(R1939,Cl_cle,0)),"(client introuvable)"))</f>
        <v/>
      </c>
      <c r="U1939" s="33">
        <f>IF(R1939="","",IFERROR(INDEX(Cl_quartier,MATCH(R1939,Cl_cle,0))&amp;"",""))</f>
        <v/>
      </c>
      <c r="V1939" s="34">
        <f>IF(C1939="","",YEAR(C1939-WEEKDAY(C1939,2)+4)&amp;"-S"&amp;TEXT(INT((C1939-DATE(YEAR(C1939-WEEKDAY(C1939,2)+4),1,3)+WEEKDAY(DATE(YEAR(C1939-WEEKDAY(C1939,2)+4),1,3),2)+5)/7),"00"))</f>
        <v/>
      </c>
    </row>
    <row r="1940" ht="18" customHeight="1">
      <c r="A1940" s="39" t="n">
        <v>1935</v>
      </c>
      <c r="B1940" s="33">
        <f>IF(C1940="","",IF(P1940="À RENSEIGNER","GIC",P1940)&amp;"-V"&amp;TEXT(A1940,"00000"))</f>
        <v/>
      </c>
      <c r="C1940" s="32" t="n"/>
      <c r="D1940" s="35" t="n"/>
      <c r="E1940" s="36" t="n"/>
      <c r="F1940" s="36" t="n"/>
      <c r="G1940" s="36" t="n"/>
      <c r="H1940" s="36" t="n"/>
      <c r="I1940" s="36" t="n"/>
      <c r="J1940" s="37" t="n"/>
      <c r="K1940" s="32" t="n"/>
      <c r="L1940" s="36" t="n"/>
      <c r="M1940" s="41" t="n"/>
      <c r="N1940" s="41" t="n"/>
      <c r="O1940" s="36" t="n"/>
      <c r="P1940" s="33">
        <f>IF(C1940="","",Commercial_Id)</f>
        <v/>
      </c>
      <c r="Q1940" s="39">
        <f>IF(F1940="","",IFERROR(VALUE(MID(F1940,LEN(F1940)-3,3)),""))</f>
        <v/>
      </c>
      <c r="R1940" s="33">
        <f>IF(Q1940="","",P1940&amp;"|"&amp;Q1940)</f>
        <v/>
      </c>
      <c r="S1940" s="33">
        <f>IF(Q1940="","",IF(P1940="À RENSEIGNER","GIC",P1940)&amp;"-"&amp;TEXT(Q1940,"000"))</f>
        <v/>
      </c>
      <c r="T1940" s="33">
        <f>IF(R1940="","",IFERROR(INDEX(Cl_nom,MATCH(R1940,Cl_cle,0)),"(client introuvable)"))</f>
        <v/>
      </c>
      <c r="U1940" s="33">
        <f>IF(R1940="","",IFERROR(INDEX(Cl_quartier,MATCH(R1940,Cl_cle,0))&amp;"",""))</f>
        <v/>
      </c>
      <c r="V1940" s="34">
        <f>IF(C1940="","",YEAR(C1940-WEEKDAY(C1940,2)+4)&amp;"-S"&amp;TEXT(INT((C1940-DATE(YEAR(C1940-WEEKDAY(C1940,2)+4),1,3)+WEEKDAY(DATE(YEAR(C1940-WEEKDAY(C1940,2)+4),1,3),2)+5)/7),"00"))</f>
        <v/>
      </c>
    </row>
    <row r="1941" ht="18" customHeight="1">
      <c r="A1941" s="39" t="n">
        <v>1936</v>
      </c>
      <c r="B1941" s="33">
        <f>IF(C1941="","",IF(P1941="À RENSEIGNER","GIC",P1941)&amp;"-V"&amp;TEXT(A1941,"00000"))</f>
        <v/>
      </c>
      <c r="C1941" s="32" t="n"/>
      <c r="D1941" s="35" t="n"/>
      <c r="E1941" s="36" t="n"/>
      <c r="F1941" s="36" t="n"/>
      <c r="G1941" s="36" t="n"/>
      <c r="H1941" s="36" t="n"/>
      <c r="I1941" s="36" t="n"/>
      <c r="J1941" s="37" t="n"/>
      <c r="K1941" s="32" t="n"/>
      <c r="L1941" s="36" t="n"/>
      <c r="M1941" s="41" t="n"/>
      <c r="N1941" s="41" t="n"/>
      <c r="O1941" s="36" t="n"/>
      <c r="P1941" s="33">
        <f>IF(C1941="","",Commercial_Id)</f>
        <v/>
      </c>
      <c r="Q1941" s="39">
        <f>IF(F1941="","",IFERROR(VALUE(MID(F1941,LEN(F1941)-3,3)),""))</f>
        <v/>
      </c>
      <c r="R1941" s="33">
        <f>IF(Q1941="","",P1941&amp;"|"&amp;Q1941)</f>
        <v/>
      </c>
      <c r="S1941" s="33">
        <f>IF(Q1941="","",IF(P1941="À RENSEIGNER","GIC",P1941)&amp;"-"&amp;TEXT(Q1941,"000"))</f>
        <v/>
      </c>
      <c r="T1941" s="33">
        <f>IF(R1941="","",IFERROR(INDEX(Cl_nom,MATCH(R1941,Cl_cle,0)),"(client introuvable)"))</f>
        <v/>
      </c>
      <c r="U1941" s="33">
        <f>IF(R1941="","",IFERROR(INDEX(Cl_quartier,MATCH(R1941,Cl_cle,0))&amp;"",""))</f>
        <v/>
      </c>
      <c r="V1941" s="34">
        <f>IF(C1941="","",YEAR(C1941-WEEKDAY(C1941,2)+4)&amp;"-S"&amp;TEXT(INT((C1941-DATE(YEAR(C1941-WEEKDAY(C1941,2)+4),1,3)+WEEKDAY(DATE(YEAR(C1941-WEEKDAY(C1941,2)+4),1,3),2)+5)/7),"00"))</f>
        <v/>
      </c>
    </row>
    <row r="1942" ht="18" customHeight="1">
      <c r="A1942" s="39" t="n">
        <v>1937</v>
      </c>
      <c r="B1942" s="33">
        <f>IF(C1942="","",IF(P1942="À RENSEIGNER","GIC",P1942)&amp;"-V"&amp;TEXT(A1942,"00000"))</f>
        <v/>
      </c>
      <c r="C1942" s="32" t="n"/>
      <c r="D1942" s="35" t="n"/>
      <c r="E1942" s="36" t="n"/>
      <c r="F1942" s="36" t="n"/>
      <c r="G1942" s="36" t="n"/>
      <c r="H1942" s="36" t="n"/>
      <c r="I1942" s="36" t="n"/>
      <c r="J1942" s="37" t="n"/>
      <c r="K1942" s="32" t="n"/>
      <c r="L1942" s="36" t="n"/>
      <c r="M1942" s="41" t="n"/>
      <c r="N1942" s="41" t="n"/>
      <c r="O1942" s="36" t="n"/>
      <c r="P1942" s="33">
        <f>IF(C1942="","",Commercial_Id)</f>
        <v/>
      </c>
      <c r="Q1942" s="39">
        <f>IF(F1942="","",IFERROR(VALUE(MID(F1942,LEN(F1942)-3,3)),""))</f>
        <v/>
      </c>
      <c r="R1942" s="33">
        <f>IF(Q1942="","",P1942&amp;"|"&amp;Q1942)</f>
        <v/>
      </c>
      <c r="S1942" s="33">
        <f>IF(Q1942="","",IF(P1942="À RENSEIGNER","GIC",P1942)&amp;"-"&amp;TEXT(Q1942,"000"))</f>
        <v/>
      </c>
      <c r="T1942" s="33">
        <f>IF(R1942="","",IFERROR(INDEX(Cl_nom,MATCH(R1942,Cl_cle,0)),"(client introuvable)"))</f>
        <v/>
      </c>
      <c r="U1942" s="33">
        <f>IF(R1942="","",IFERROR(INDEX(Cl_quartier,MATCH(R1942,Cl_cle,0))&amp;"",""))</f>
        <v/>
      </c>
      <c r="V1942" s="34">
        <f>IF(C1942="","",YEAR(C1942-WEEKDAY(C1942,2)+4)&amp;"-S"&amp;TEXT(INT((C1942-DATE(YEAR(C1942-WEEKDAY(C1942,2)+4),1,3)+WEEKDAY(DATE(YEAR(C1942-WEEKDAY(C1942,2)+4),1,3),2)+5)/7),"00"))</f>
        <v/>
      </c>
    </row>
    <row r="1943" ht="18" customHeight="1">
      <c r="A1943" s="39" t="n">
        <v>1938</v>
      </c>
      <c r="B1943" s="33">
        <f>IF(C1943="","",IF(P1943="À RENSEIGNER","GIC",P1943)&amp;"-V"&amp;TEXT(A1943,"00000"))</f>
        <v/>
      </c>
      <c r="C1943" s="32" t="n"/>
      <c r="D1943" s="35" t="n"/>
      <c r="E1943" s="36" t="n"/>
      <c r="F1943" s="36" t="n"/>
      <c r="G1943" s="36" t="n"/>
      <c r="H1943" s="36" t="n"/>
      <c r="I1943" s="36" t="n"/>
      <c r="J1943" s="37" t="n"/>
      <c r="K1943" s="32" t="n"/>
      <c r="L1943" s="36" t="n"/>
      <c r="M1943" s="41" t="n"/>
      <c r="N1943" s="41" t="n"/>
      <c r="O1943" s="36" t="n"/>
      <c r="P1943" s="33">
        <f>IF(C1943="","",Commercial_Id)</f>
        <v/>
      </c>
      <c r="Q1943" s="39">
        <f>IF(F1943="","",IFERROR(VALUE(MID(F1943,LEN(F1943)-3,3)),""))</f>
        <v/>
      </c>
      <c r="R1943" s="33">
        <f>IF(Q1943="","",P1943&amp;"|"&amp;Q1943)</f>
        <v/>
      </c>
      <c r="S1943" s="33">
        <f>IF(Q1943="","",IF(P1943="À RENSEIGNER","GIC",P1943)&amp;"-"&amp;TEXT(Q1943,"000"))</f>
        <v/>
      </c>
      <c r="T1943" s="33">
        <f>IF(R1943="","",IFERROR(INDEX(Cl_nom,MATCH(R1943,Cl_cle,0)),"(client introuvable)"))</f>
        <v/>
      </c>
      <c r="U1943" s="33">
        <f>IF(R1943="","",IFERROR(INDEX(Cl_quartier,MATCH(R1943,Cl_cle,0))&amp;"",""))</f>
        <v/>
      </c>
      <c r="V1943" s="34">
        <f>IF(C1943="","",YEAR(C1943-WEEKDAY(C1943,2)+4)&amp;"-S"&amp;TEXT(INT((C1943-DATE(YEAR(C1943-WEEKDAY(C1943,2)+4),1,3)+WEEKDAY(DATE(YEAR(C1943-WEEKDAY(C1943,2)+4),1,3),2)+5)/7),"00"))</f>
        <v/>
      </c>
    </row>
    <row r="1944" ht="18" customHeight="1">
      <c r="A1944" s="39" t="n">
        <v>1939</v>
      </c>
      <c r="B1944" s="33">
        <f>IF(C1944="","",IF(P1944="À RENSEIGNER","GIC",P1944)&amp;"-V"&amp;TEXT(A1944,"00000"))</f>
        <v/>
      </c>
      <c r="C1944" s="32" t="n"/>
      <c r="D1944" s="35" t="n"/>
      <c r="E1944" s="36" t="n"/>
      <c r="F1944" s="36" t="n"/>
      <c r="G1944" s="36" t="n"/>
      <c r="H1944" s="36" t="n"/>
      <c r="I1944" s="36" t="n"/>
      <c r="J1944" s="37" t="n"/>
      <c r="K1944" s="32" t="n"/>
      <c r="L1944" s="36" t="n"/>
      <c r="M1944" s="41" t="n"/>
      <c r="N1944" s="41" t="n"/>
      <c r="O1944" s="36" t="n"/>
      <c r="P1944" s="33">
        <f>IF(C1944="","",Commercial_Id)</f>
        <v/>
      </c>
      <c r="Q1944" s="39">
        <f>IF(F1944="","",IFERROR(VALUE(MID(F1944,LEN(F1944)-3,3)),""))</f>
        <v/>
      </c>
      <c r="R1944" s="33">
        <f>IF(Q1944="","",P1944&amp;"|"&amp;Q1944)</f>
        <v/>
      </c>
      <c r="S1944" s="33">
        <f>IF(Q1944="","",IF(P1944="À RENSEIGNER","GIC",P1944)&amp;"-"&amp;TEXT(Q1944,"000"))</f>
        <v/>
      </c>
      <c r="T1944" s="33">
        <f>IF(R1944="","",IFERROR(INDEX(Cl_nom,MATCH(R1944,Cl_cle,0)),"(client introuvable)"))</f>
        <v/>
      </c>
      <c r="U1944" s="33">
        <f>IF(R1944="","",IFERROR(INDEX(Cl_quartier,MATCH(R1944,Cl_cle,0))&amp;"",""))</f>
        <v/>
      </c>
      <c r="V1944" s="34">
        <f>IF(C1944="","",YEAR(C1944-WEEKDAY(C1944,2)+4)&amp;"-S"&amp;TEXT(INT((C1944-DATE(YEAR(C1944-WEEKDAY(C1944,2)+4),1,3)+WEEKDAY(DATE(YEAR(C1944-WEEKDAY(C1944,2)+4),1,3),2)+5)/7),"00"))</f>
        <v/>
      </c>
    </row>
    <row r="1945" ht="18" customHeight="1">
      <c r="A1945" s="39" t="n">
        <v>1940</v>
      </c>
      <c r="B1945" s="33">
        <f>IF(C1945="","",IF(P1945="À RENSEIGNER","GIC",P1945)&amp;"-V"&amp;TEXT(A1945,"00000"))</f>
        <v/>
      </c>
      <c r="C1945" s="32" t="n"/>
      <c r="D1945" s="35" t="n"/>
      <c r="E1945" s="36" t="n"/>
      <c r="F1945" s="36" t="n"/>
      <c r="G1945" s="36" t="n"/>
      <c r="H1945" s="36" t="n"/>
      <c r="I1945" s="36" t="n"/>
      <c r="J1945" s="37" t="n"/>
      <c r="K1945" s="32" t="n"/>
      <c r="L1945" s="36" t="n"/>
      <c r="M1945" s="41" t="n"/>
      <c r="N1945" s="41" t="n"/>
      <c r="O1945" s="36" t="n"/>
      <c r="P1945" s="33">
        <f>IF(C1945="","",Commercial_Id)</f>
        <v/>
      </c>
      <c r="Q1945" s="39">
        <f>IF(F1945="","",IFERROR(VALUE(MID(F1945,LEN(F1945)-3,3)),""))</f>
        <v/>
      </c>
      <c r="R1945" s="33">
        <f>IF(Q1945="","",P1945&amp;"|"&amp;Q1945)</f>
        <v/>
      </c>
      <c r="S1945" s="33">
        <f>IF(Q1945="","",IF(P1945="À RENSEIGNER","GIC",P1945)&amp;"-"&amp;TEXT(Q1945,"000"))</f>
        <v/>
      </c>
      <c r="T1945" s="33">
        <f>IF(R1945="","",IFERROR(INDEX(Cl_nom,MATCH(R1945,Cl_cle,0)),"(client introuvable)"))</f>
        <v/>
      </c>
      <c r="U1945" s="33">
        <f>IF(R1945="","",IFERROR(INDEX(Cl_quartier,MATCH(R1945,Cl_cle,0))&amp;"",""))</f>
        <v/>
      </c>
      <c r="V1945" s="34">
        <f>IF(C1945="","",YEAR(C1945-WEEKDAY(C1945,2)+4)&amp;"-S"&amp;TEXT(INT((C1945-DATE(YEAR(C1945-WEEKDAY(C1945,2)+4),1,3)+WEEKDAY(DATE(YEAR(C1945-WEEKDAY(C1945,2)+4),1,3),2)+5)/7),"00"))</f>
        <v/>
      </c>
    </row>
    <row r="1946" ht="18" customHeight="1">
      <c r="A1946" s="39" t="n">
        <v>1941</v>
      </c>
      <c r="B1946" s="33">
        <f>IF(C1946="","",IF(P1946="À RENSEIGNER","GIC",P1946)&amp;"-V"&amp;TEXT(A1946,"00000"))</f>
        <v/>
      </c>
      <c r="C1946" s="32" t="n"/>
      <c r="D1946" s="35" t="n"/>
      <c r="E1946" s="36" t="n"/>
      <c r="F1946" s="36" t="n"/>
      <c r="G1946" s="36" t="n"/>
      <c r="H1946" s="36" t="n"/>
      <c r="I1946" s="36" t="n"/>
      <c r="J1946" s="37" t="n"/>
      <c r="K1946" s="32" t="n"/>
      <c r="L1946" s="36" t="n"/>
      <c r="M1946" s="41" t="n"/>
      <c r="N1946" s="41" t="n"/>
      <c r="O1946" s="36" t="n"/>
      <c r="P1946" s="33">
        <f>IF(C1946="","",Commercial_Id)</f>
        <v/>
      </c>
      <c r="Q1946" s="39">
        <f>IF(F1946="","",IFERROR(VALUE(MID(F1946,LEN(F1946)-3,3)),""))</f>
        <v/>
      </c>
      <c r="R1946" s="33">
        <f>IF(Q1946="","",P1946&amp;"|"&amp;Q1946)</f>
        <v/>
      </c>
      <c r="S1946" s="33">
        <f>IF(Q1946="","",IF(P1946="À RENSEIGNER","GIC",P1946)&amp;"-"&amp;TEXT(Q1946,"000"))</f>
        <v/>
      </c>
      <c r="T1946" s="33">
        <f>IF(R1946="","",IFERROR(INDEX(Cl_nom,MATCH(R1946,Cl_cle,0)),"(client introuvable)"))</f>
        <v/>
      </c>
      <c r="U1946" s="33">
        <f>IF(R1946="","",IFERROR(INDEX(Cl_quartier,MATCH(R1946,Cl_cle,0))&amp;"",""))</f>
        <v/>
      </c>
      <c r="V1946" s="34">
        <f>IF(C1946="","",YEAR(C1946-WEEKDAY(C1946,2)+4)&amp;"-S"&amp;TEXT(INT((C1946-DATE(YEAR(C1946-WEEKDAY(C1946,2)+4),1,3)+WEEKDAY(DATE(YEAR(C1946-WEEKDAY(C1946,2)+4),1,3),2)+5)/7),"00"))</f>
        <v/>
      </c>
    </row>
    <row r="1947" ht="18" customHeight="1">
      <c r="A1947" s="39" t="n">
        <v>1942</v>
      </c>
      <c r="B1947" s="33">
        <f>IF(C1947="","",IF(P1947="À RENSEIGNER","GIC",P1947)&amp;"-V"&amp;TEXT(A1947,"00000"))</f>
        <v/>
      </c>
      <c r="C1947" s="32" t="n"/>
      <c r="D1947" s="35" t="n"/>
      <c r="E1947" s="36" t="n"/>
      <c r="F1947" s="36" t="n"/>
      <c r="G1947" s="36" t="n"/>
      <c r="H1947" s="36" t="n"/>
      <c r="I1947" s="36" t="n"/>
      <c r="J1947" s="37" t="n"/>
      <c r="K1947" s="32" t="n"/>
      <c r="L1947" s="36" t="n"/>
      <c r="M1947" s="41" t="n"/>
      <c r="N1947" s="41" t="n"/>
      <c r="O1947" s="36" t="n"/>
      <c r="P1947" s="33">
        <f>IF(C1947="","",Commercial_Id)</f>
        <v/>
      </c>
      <c r="Q1947" s="39">
        <f>IF(F1947="","",IFERROR(VALUE(MID(F1947,LEN(F1947)-3,3)),""))</f>
        <v/>
      </c>
      <c r="R1947" s="33">
        <f>IF(Q1947="","",P1947&amp;"|"&amp;Q1947)</f>
        <v/>
      </c>
      <c r="S1947" s="33">
        <f>IF(Q1947="","",IF(P1947="À RENSEIGNER","GIC",P1947)&amp;"-"&amp;TEXT(Q1947,"000"))</f>
        <v/>
      </c>
      <c r="T1947" s="33">
        <f>IF(R1947="","",IFERROR(INDEX(Cl_nom,MATCH(R1947,Cl_cle,0)),"(client introuvable)"))</f>
        <v/>
      </c>
      <c r="U1947" s="33">
        <f>IF(R1947="","",IFERROR(INDEX(Cl_quartier,MATCH(R1947,Cl_cle,0))&amp;"",""))</f>
        <v/>
      </c>
      <c r="V1947" s="34">
        <f>IF(C1947="","",YEAR(C1947-WEEKDAY(C1947,2)+4)&amp;"-S"&amp;TEXT(INT((C1947-DATE(YEAR(C1947-WEEKDAY(C1947,2)+4),1,3)+WEEKDAY(DATE(YEAR(C1947-WEEKDAY(C1947,2)+4),1,3),2)+5)/7),"00"))</f>
        <v/>
      </c>
    </row>
    <row r="1948" ht="18" customHeight="1">
      <c r="A1948" s="39" t="n">
        <v>1943</v>
      </c>
      <c r="B1948" s="33">
        <f>IF(C1948="","",IF(P1948="À RENSEIGNER","GIC",P1948)&amp;"-V"&amp;TEXT(A1948,"00000"))</f>
        <v/>
      </c>
      <c r="C1948" s="32" t="n"/>
      <c r="D1948" s="35" t="n"/>
      <c r="E1948" s="36" t="n"/>
      <c r="F1948" s="36" t="n"/>
      <c r="G1948" s="36" t="n"/>
      <c r="H1948" s="36" t="n"/>
      <c r="I1948" s="36" t="n"/>
      <c r="J1948" s="37" t="n"/>
      <c r="K1948" s="32" t="n"/>
      <c r="L1948" s="36" t="n"/>
      <c r="M1948" s="41" t="n"/>
      <c r="N1948" s="41" t="n"/>
      <c r="O1948" s="36" t="n"/>
      <c r="P1948" s="33">
        <f>IF(C1948="","",Commercial_Id)</f>
        <v/>
      </c>
      <c r="Q1948" s="39">
        <f>IF(F1948="","",IFERROR(VALUE(MID(F1948,LEN(F1948)-3,3)),""))</f>
        <v/>
      </c>
      <c r="R1948" s="33">
        <f>IF(Q1948="","",P1948&amp;"|"&amp;Q1948)</f>
        <v/>
      </c>
      <c r="S1948" s="33">
        <f>IF(Q1948="","",IF(P1948="À RENSEIGNER","GIC",P1948)&amp;"-"&amp;TEXT(Q1948,"000"))</f>
        <v/>
      </c>
      <c r="T1948" s="33">
        <f>IF(R1948="","",IFERROR(INDEX(Cl_nom,MATCH(R1948,Cl_cle,0)),"(client introuvable)"))</f>
        <v/>
      </c>
      <c r="U1948" s="33">
        <f>IF(R1948="","",IFERROR(INDEX(Cl_quartier,MATCH(R1948,Cl_cle,0))&amp;"",""))</f>
        <v/>
      </c>
      <c r="V1948" s="34">
        <f>IF(C1948="","",YEAR(C1948-WEEKDAY(C1948,2)+4)&amp;"-S"&amp;TEXT(INT((C1948-DATE(YEAR(C1948-WEEKDAY(C1948,2)+4),1,3)+WEEKDAY(DATE(YEAR(C1948-WEEKDAY(C1948,2)+4),1,3),2)+5)/7),"00"))</f>
        <v/>
      </c>
    </row>
    <row r="1949" ht="18" customHeight="1">
      <c r="A1949" s="39" t="n">
        <v>1944</v>
      </c>
      <c r="B1949" s="33">
        <f>IF(C1949="","",IF(P1949="À RENSEIGNER","GIC",P1949)&amp;"-V"&amp;TEXT(A1949,"00000"))</f>
        <v/>
      </c>
      <c r="C1949" s="32" t="n"/>
      <c r="D1949" s="35" t="n"/>
      <c r="E1949" s="36" t="n"/>
      <c r="F1949" s="36" t="n"/>
      <c r="G1949" s="36" t="n"/>
      <c r="H1949" s="36" t="n"/>
      <c r="I1949" s="36" t="n"/>
      <c r="J1949" s="37" t="n"/>
      <c r="K1949" s="32" t="n"/>
      <c r="L1949" s="36" t="n"/>
      <c r="M1949" s="41" t="n"/>
      <c r="N1949" s="41" t="n"/>
      <c r="O1949" s="36" t="n"/>
      <c r="P1949" s="33">
        <f>IF(C1949="","",Commercial_Id)</f>
        <v/>
      </c>
      <c r="Q1949" s="39">
        <f>IF(F1949="","",IFERROR(VALUE(MID(F1949,LEN(F1949)-3,3)),""))</f>
        <v/>
      </c>
      <c r="R1949" s="33">
        <f>IF(Q1949="","",P1949&amp;"|"&amp;Q1949)</f>
        <v/>
      </c>
      <c r="S1949" s="33">
        <f>IF(Q1949="","",IF(P1949="À RENSEIGNER","GIC",P1949)&amp;"-"&amp;TEXT(Q1949,"000"))</f>
        <v/>
      </c>
      <c r="T1949" s="33">
        <f>IF(R1949="","",IFERROR(INDEX(Cl_nom,MATCH(R1949,Cl_cle,0)),"(client introuvable)"))</f>
        <v/>
      </c>
      <c r="U1949" s="33">
        <f>IF(R1949="","",IFERROR(INDEX(Cl_quartier,MATCH(R1949,Cl_cle,0))&amp;"",""))</f>
        <v/>
      </c>
      <c r="V1949" s="34">
        <f>IF(C1949="","",YEAR(C1949-WEEKDAY(C1949,2)+4)&amp;"-S"&amp;TEXT(INT((C1949-DATE(YEAR(C1949-WEEKDAY(C1949,2)+4),1,3)+WEEKDAY(DATE(YEAR(C1949-WEEKDAY(C1949,2)+4),1,3),2)+5)/7),"00"))</f>
        <v/>
      </c>
    </row>
    <row r="1950" ht="18" customHeight="1">
      <c r="A1950" s="39" t="n">
        <v>1945</v>
      </c>
      <c r="B1950" s="33">
        <f>IF(C1950="","",IF(P1950="À RENSEIGNER","GIC",P1950)&amp;"-V"&amp;TEXT(A1950,"00000"))</f>
        <v/>
      </c>
      <c r="C1950" s="32" t="n"/>
      <c r="D1950" s="35" t="n"/>
      <c r="E1950" s="36" t="n"/>
      <c r="F1950" s="36" t="n"/>
      <c r="G1950" s="36" t="n"/>
      <c r="H1950" s="36" t="n"/>
      <c r="I1950" s="36" t="n"/>
      <c r="J1950" s="37" t="n"/>
      <c r="K1950" s="32" t="n"/>
      <c r="L1950" s="36" t="n"/>
      <c r="M1950" s="41" t="n"/>
      <c r="N1950" s="41" t="n"/>
      <c r="O1950" s="36" t="n"/>
      <c r="P1950" s="33">
        <f>IF(C1950="","",Commercial_Id)</f>
        <v/>
      </c>
      <c r="Q1950" s="39">
        <f>IF(F1950="","",IFERROR(VALUE(MID(F1950,LEN(F1950)-3,3)),""))</f>
        <v/>
      </c>
      <c r="R1950" s="33">
        <f>IF(Q1950="","",P1950&amp;"|"&amp;Q1950)</f>
        <v/>
      </c>
      <c r="S1950" s="33">
        <f>IF(Q1950="","",IF(P1950="À RENSEIGNER","GIC",P1950)&amp;"-"&amp;TEXT(Q1950,"000"))</f>
        <v/>
      </c>
      <c r="T1950" s="33">
        <f>IF(R1950="","",IFERROR(INDEX(Cl_nom,MATCH(R1950,Cl_cle,0)),"(client introuvable)"))</f>
        <v/>
      </c>
      <c r="U1950" s="33">
        <f>IF(R1950="","",IFERROR(INDEX(Cl_quartier,MATCH(R1950,Cl_cle,0))&amp;"",""))</f>
        <v/>
      </c>
      <c r="V1950" s="34">
        <f>IF(C1950="","",YEAR(C1950-WEEKDAY(C1950,2)+4)&amp;"-S"&amp;TEXT(INT((C1950-DATE(YEAR(C1950-WEEKDAY(C1950,2)+4),1,3)+WEEKDAY(DATE(YEAR(C1950-WEEKDAY(C1950,2)+4),1,3),2)+5)/7),"00"))</f>
        <v/>
      </c>
    </row>
    <row r="1951" ht="18" customHeight="1">
      <c r="A1951" s="39" t="n">
        <v>1946</v>
      </c>
      <c r="B1951" s="33">
        <f>IF(C1951="","",IF(P1951="À RENSEIGNER","GIC",P1951)&amp;"-V"&amp;TEXT(A1951,"00000"))</f>
        <v/>
      </c>
      <c r="C1951" s="32" t="n"/>
      <c r="D1951" s="35" t="n"/>
      <c r="E1951" s="36" t="n"/>
      <c r="F1951" s="36" t="n"/>
      <c r="G1951" s="36" t="n"/>
      <c r="H1951" s="36" t="n"/>
      <c r="I1951" s="36" t="n"/>
      <c r="J1951" s="37" t="n"/>
      <c r="K1951" s="32" t="n"/>
      <c r="L1951" s="36" t="n"/>
      <c r="M1951" s="41" t="n"/>
      <c r="N1951" s="41" t="n"/>
      <c r="O1951" s="36" t="n"/>
      <c r="P1951" s="33">
        <f>IF(C1951="","",Commercial_Id)</f>
        <v/>
      </c>
      <c r="Q1951" s="39">
        <f>IF(F1951="","",IFERROR(VALUE(MID(F1951,LEN(F1951)-3,3)),""))</f>
        <v/>
      </c>
      <c r="R1951" s="33">
        <f>IF(Q1951="","",P1951&amp;"|"&amp;Q1951)</f>
        <v/>
      </c>
      <c r="S1951" s="33">
        <f>IF(Q1951="","",IF(P1951="À RENSEIGNER","GIC",P1951)&amp;"-"&amp;TEXT(Q1951,"000"))</f>
        <v/>
      </c>
      <c r="T1951" s="33">
        <f>IF(R1951="","",IFERROR(INDEX(Cl_nom,MATCH(R1951,Cl_cle,0)),"(client introuvable)"))</f>
        <v/>
      </c>
      <c r="U1951" s="33">
        <f>IF(R1951="","",IFERROR(INDEX(Cl_quartier,MATCH(R1951,Cl_cle,0))&amp;"",""))</f>
        <v/>
      </c>
      <c r="V1951" s="34">
        <f>IF(C1951="","",YEAR(C1951-WEEKDAY(C1951,2)+4)&amp;"-S"&amp;TEXT(INT((C1951-DATE(YEAR(C1951-WEEKDAY(C1951,2)+4),1,3)+WEEKDAY(DATE(YEAR(C1951-WEEKDAY(C1951,2)+4),1,3),2)+5)/7),"00"))</f>
        <v/>
      </c>
    </row>
    <row r="1952" ht="18" customHeight="1">
      <c r="A1952" s="39" t="n">
        <v>1947</v>
      </c>
      <c r="B1952" s="33">
        <f>IF(C1952="","",IF(P1952="À RENSEIGNER","GIC",P1952)&amp;"-V"&amp;TEXT(A1952,"00000"))</f>
        <v/>
      </c>
      <c r="C1952" s="32" t="n"/>
      <c r="D1952" s="35" t="n"/>
      <c r="E1952" s="36" t="n"/>
      <c r="F1952" s="36" t="n"/>
      <c r="G1952" s="36" t="n"/>
      <c r="H1952" s="36" t="n"/>
      <c r="I1952" s="36" t="n"/>
      <c r="J1952" s="37" t="n"/>
      <c r="K1952" s="32" t="n"/>
      <c r="L1952" s="36" t="n"/>
      <c r="M1952" s="41" t="n"/>
      <c r="N1952" s="41" t="n"/>
      <c r="O1952" s="36" t="n"/>
      <c r="P1952" s="33">
        <f>IF(C1952="","",Commercial_Id)</f>
        <v/>
      </c>
      <c r="Q1952" s="39">
        <f>IF(F1952="","",IFERROR(VALUE(MID(F1952,LEN(F1952)-3,3)),""))</f>
        <v/>
      </c>
      <c r="R1952" s="33">
        <f>IF(Q1952="","",P1952&amp;"|"&amp;Q1952)</f>
        <v/>
      </c>
      <c r="S1952" s="33">
        <f>IF(Q1952="","",IF(P1952="À RENSEIGNER","GIC",P1952)&amp;"-"&amp;TEXT(Q1952,"000"))</f>
        <v/>
      </c>
      <c r="T1952" s="33">
        <f>IF(R1952="","",IFERROR(INDEX(Cl_nom,MATCH(R1952,Cl_cle,0)),"(client introuvable)"))</f>
        <v/>
      </c>
      <c r="U1952" s="33">
        <f>IF(R1952="","",IFERROR(INDEX(Cl_quartier,MATCH(R1952,Cl_cle,0))&amp;"",""))</f>
        <v/>
      </c>
      <c r="V1952" s="34">
        <f>IF(C1952="","",YEAR(C1952-WEEKDAY(C1952,2)+4)&amp;"-S"&amp;TEXT(INT((C1952-DATE(YEAR(C1952-WEEKDAY(C1952,2)+4),1,3)+WEEKDAY(DATE(YEAR(C1952-WEEKDAY(C1952,2)+4),1,3),2)+5)/7),"00"))</f>
        <v/>
      </c>
    </row>
    <row r="1953" ht="18" customHeight="1">
      <c r="A1953" s="39" t="n">
        <v>1948</v>
      </c>
      <c r="B1953" s="33">
        <f>IF(C1953="","",IF(P1953="À RENSEIGNER","GIC",P1953)&amp;"-V"&amp;TEXT(A1953,"00000"))</f>
        <v/>
      </c>
      <c r="C1953" s="32" t="n"/>
      <c r="D1953" s="35" t="n"/>
      <c r="E1953" s="36" t="n"/>
      <c r="F1953" s="36" t="n"/>
      <c r="G1953" s="36" t="n"/>
      <c r="H1953" s="36" t="n"/>
      <c r="I1953" s="36" t="n"/>
      <c r="J1953" s="37" t="n"/>
      <c r="K1953" s="32" t="n"/>
      <c r="L1953" s="36" t="n"/>
      <c r="M1953" s="41" t="n"/>
      <c r="N1953" s="41" t="n"/>
      <c r="O1953" s="36" t="n"/>
      <c r="P1953" s="33">
        <f>IF(C1953="","",Commercial_Id)</f>
        <v/>
      </c>
      <c r="Q1953" s="39">
        <f>IF(F1953="","",IFERROR(VALUE(MID(F1953,LEN(F1953)-3,3)),""))</f>
        <v/>
      </c>
      <c r="R1953" s="33">
        <f>IF(Q1953="","",P1953&amp;"|"&amp;Q1953)</f>
        <v/>
      </c>
      <c r="S1953" s="33">
        <f>IF(Q1953="","",IF(P1953="À RENSEIGNER","GIC",P1953)&amp;"-"&amp;TEXT(Q1953,"000"))</f>
        <v/>
      </c>
      <c r="T1953" s="33">
        <f>IF(R1953="","",IFERROR(INDEX(Cl_nom,MATCH(R1953,Cl_cle,0)),"(client introuvable)"))</f>
        <v/>
      </c>
      <c r="U1953" s="33">
        <f>IF(R1953="","",IFERROR(INDEX(Cl_quartier,MATCH(R1953,Cl_cle,0))&amp;"",""))</f>
        <v/>
      </c>
      <c r="V1953" s="34">
        <f>IF(C1953="","",YEAR(C1953-WEEKDAY(C1953,2)+4)&amp;"-S"&amp;TEXT(INT((C1953-DATE(YEAR(C1953-WEEKDAY(C1953,2)+4),1,3)+WEEKDAY(DATE(YEAR(C1953-WEEKDAY(C1953,2)+4),1,3),2)+5)/7),"00"))</f>
        <v/>
      </c>
    </row>
    <row r="1954" ht="18" customHeight="1">
      <c r="A1954" s="39" t="n">
        <v>1949</v>
      </c>
      <c r="B1954" s="33">
        <f>IF(C1954="","",IF(P1954="À RENSEIGNER","GIC",P1954)&amp;"-V"&amp;TEXT(A1954,"00000"))</f>
        <v/>
      </c>
      <c r="C1954" s="32" t="n"/>
      <c r="D1954" s="35" t="n"/>
      <c r="E1954" s="36" t="n"/>
      <c r="F1954" s="36" t="n"/>
      <c r="G1954" s="36" t="n"/>
      <c r="H1954" s="36" t="n"/>
      <c r="I1954" s="36" t="n"/>
      <c r="J1954" s="37" t="n"/>
      <c r="K1954" s="32" t="n"/>
      <c r="L1954" s="36" t="n"/>
      <c r="M1954" s="41" t="n"/>
      <c r="N1954" s="41" t="n"/>
      <c r="O1954" s="36" t="n"/>
      <c r="P1954" s="33">
        <f>IF(C1954="","",Commercial_Id)</f>
        <v/>
      </c>
      <c r="Q1954" s="39">
        <f>IF(F1954="","",IFERROR(VALUE(MID(F1954,LEN(F1954)-3,3)),""))</f>
        <v/>
      </c>
      <c r="R1954" s="33">
        <f>IF(Q1954="","",P1954&amp;"|"&amp;Q1954)</f>
        <v/>
      </c>
      <c r="S1954" s="33">
        <f>IF(Q1954="","",IF(P1954="À RENSEIGNER","GIC",P1954)&amp;"-"&amp;TEXT(Q1954,"000"))</f>
        <v/>
      </c>
      <c r="T1954" s="33">
        <f>IF(R1954="","",IFERROR(INDEX(Cl_nom,MATCH(R1954,Cl_cle,0)),"(client introuvable)"))</f>
        <v/>
      </c>
      <c r="U1954" s="33">
        <f>IF(R1954="","",IFERROR(INDEX(Cl_quartier,MATCH(R1954,Cl_cle,0))&amp;"",""))</f>
        <v/>
      </c>
      <c r="V1954" s="34">
        <f>IF(C1954="","",YEAR(C1954-WEEKDAY(C1954,2)+4)&amp;"-S"&amp;TEXT(INT((C1954-DATE(YEAR(C1954-WEEKDAY(C1954,2)+4),1,3)+WEEKDAY(DATE(YEAR(C1954-WEEKDAY(C1954,2)+4),1,3),2)+5)/7),"00"))</f>
        <v/>
      </c>
    </row>
    <row r="1955" ht="18" customHeight="1">
      <c r="A1955" s="39" t="n">
        <v>1950</v>
      </c>
      <c r="B1955" s="33">
        <f>IF(C1955="","",IF(P1955="À RENSEIGNER","GIC",P1955)&amp;"-V"&amp;TEXT(A1955,"00000"))</f>
        <v/>
      </c>
      <c r="C1955" s="32" t="n"/>
      <c r="D1955" s="35" t="n"/>
      <c r="E1955" s="36" t="n"/>
      <c r="F1955" s="36" t="n"/>
      <c r="G1955" s="36" t="n"/>
      <c r="H1955" s="36" t="n"/>
      <c r="I1955" s="36" t="n"/>
      <c r="J1955" s="37" t="n"/>
      <c r="K1955" s="32" t="n"/>
      <c r="L1955" s="36" t="n"/>
      <c r="M1955" s="41" t="n"/>
      <c r="N1955" s="41" t="n"/>
      <c r="O1955" s="36" t="n"/>
      <c r="P1955" s="33">
        <f>IF(C1955="","",Commercial_Id)</f>
        <v/>
      </c>
      <c r="Q1955" s="39">
        <f>IF(F1955="","",IFERROR(VALUE(MID(F1955,LEN(F1955)-3,3)),""))</f>
        <v/>
      </c>
      <c r="R1955" s="33">
        <f>IF(Q1955="","",P1955&amp;"|"&amp;Q1955)</f>
        <v/>
      </c>
      <c r="S1955" s="33">
        <f>IF(Q1955="","",IF(P1955="À RENSEIGNER","GIC",P1955)&amp;"-"&amp;TEXT(Q1955,"000"))</f>
        <v/>
      </c>
      <c r="T1955" s="33">
        <f>IF(R1955="","",IFERROR(INDEX(Cl_nom,MATCH(R1955,Cl_cle,0)),"(client introuvable)"))</f>
        <v/>
      </c>
      <c r="U1955" s="33">
        <f>IF(R1955="","",IFERROR(INDEX(Cl_quartier,MATCH(R1955,Cl_cle,0))&amp;"",""))</f>
        <v/>
      </c>
      <c r="V1955" s="34">
        <f>IF(C1955="","",YEAR(C1955-WEEKDAY(C1955,2)+4)&amp;"-S"&amp;TEXT(INT((C1955-DATE(YEAR(C1955-WEEKDAY(C1955,2)+4),1,3)+WEEKDAY(DATE(YEAR(C1955-WEEKDAY(C1955,2)+4),1,3),2)+5)/7),"00"))</f>
        <v/>
      </c>
    </row>
    <row r="1956" ht="18" customHeight="1">
      <c r="A1956" s="39" t="n">
        <v>1951</v>
      </c>
      <c r="B1956" s="33">
        <f>IF(C1956="","",IF(P1956="À RENSEIGNER","GIC",P1956)&amp;"-V"&amp;TEXT(A1956,"00000"))</f>
        <v/>
      </c>
      <c r="C1956" s="32" t="n"/>
      <c r="D1956" s="35" t="n"/>
      <c r="E1956" s="36" t="n"/>
      <c r="F1956" s="36" t="n"/>
      <c r="G1956" s="36" t="n"/>
      <c r="H1956" s="36" t="n"/>
      <c r="I1956" s="36" t="n"/>
      <c r="J1956" s="37" t="n"/>
      <c r="K1956" s="32" t="n"/>
      <c r="L1956" s="36" t="n"/>
      <c r="M1956" s="41" t="n"/>
      <c r="N1956" s="41" t="n"/>
      <c r="O1956" s="36" t="n"/>
      <c r="P1956" s="33">
        <f>IF(C1956="","",Commercial_Id)</f>
        <v/>
      </c>
      <c r="Q1956" s="39">
        <f>IF(F1956="","",IFERROR(VALUE(MID(F1956,LEN(F1956)-3,3)),""))</f>
        <v/>
      </c>
      <c r="R1956" s="33">
        <f>IF(Q1956="","",P1956&amp;"|"&amp;Q1956)</f>
        <v/>
      </c>
      <c r="S1956" s="33">
        <f>IF(Q1956="","",IF(P1956="À RENSEIGNER","GIC",P1956)&amp;"-"&amp;TEXT(Q1956,"000"))</f>
        <v/>
      </c>
      <c r="T1956" s="33">
        <f>IF(R1956="","",IFERROR(INDEX(Cl_nom,MATCH(R1956,Cl_cle,0)),"(client introuvable)"))</f>
        <v/>
      </c>
      <c r="U1956" s="33">
        <f>IF(R1956="","",IFERROR(INDEX(Cl_quartier,MATCH(R1956,Cl_cle,0))&amp;"",""))</f>
        <v/>
      </c>
      <c r="V1956" s="34">
        <f>IF(C1956="","",YEAR(C1956-WEEKDAY(C1956,2)+4)&amp;"-S"&amp;TEXT(INT((C1956-DATE(YEAR(C1956-WEEKDAY(C1956,2)+4),1,3)+WEEKDAY(DATE(YEAR(C1956-WEEKDAY(C1956,2)+4),1,3),2)+5)/7),"00"))</f>
        <v/>
      </c>
    </row>
    <row r="1957" ht="18" customHeight="1">
      <c r="A1957" s="39" t="n">
        <v>1952</v>
      </c>
      <c r="B1957" s="33">
        <f>IF(C1957="","",IF(P1957="À RENSEIGNER","GIC",P1957)&amp;"-V"&amp;TEXT(A1957,"00000"))</f>
        <v/>
      </c>
      <c r="C1957" s="32" t="n"/>
      <c r="D1957" s="35" t="n"/>
      <c r="E1957" s="36" t="n"/>
      <c r="F1957" s="36" t="n"/>
      <c r="G1957" s="36" t="n"/>
      <c r="H1957" s="36" t="n"/>
      <c r="I1957" s="36" t="n"/>
      <c r="J1957" s="37" t="n"/>
      <c r="K1957" s="32" t="n"/>
      <c r="L1957" s="36" t="n"/>
      <c r="M1957" s="41" t="n"/>
      <c r="N1957" s="41" t="n"/>
      <c r="O1957" s="36" t="n"/>
      <c r="P1957" s="33">
        <f>IF(C1957="","",Commercial_Id)</f>
        <v/>
      </c>
      <c r="Q1957" s="39">
        <f>IF(F1957="","",IFERROR(VALUE(MID(F1957,LEN(F1957)-3,3)),""))</f>
        <v/>
      </c>
      <c r="R1957" s="33">
        <f>IF(Q1957="","",P1957&amp;"|"&amp;Q1957)</f>
        <v/>
      </c>
      <c r="S1957" s="33">
        <f>IF(Q1957="","",IF(P1957="À RENSEIGNER","GIC",P1957)&amp;"-"&amp;TEXT(Q1957,"000"))</f>
        <v/>
      </c>
      <c r="T1957" s="33">
        <f>IF(R1957="","",IFERROR(INDEX(Cl_nom,MATCH(R1957,Cl_cle,0)),"(client introuvable)"))</f>
        <v/>
      </c>
      <c r="U1957" s="33">
        <f>IF(R1957="","",IFERROR(INDEX(Cl_quartier,MATCH(R1957,Cl_cle,0))&amp;"",""))</f>
        <v/>
      </c>
      <c r="V1957" s="34">
        <f>IF(C1957="","",YEAR(C1957-WEEKDAY(C1957,2)+4)&amp;"-S"&amp;TEXT(INT((C1957-DATE(YEAR(C1957-WEEKDAY(C1957,2)+4),1,3)+WEEKDAY(DATE(YEAR(C1957-WEEKDAY(C1957,2)+4),1,3),2)+5)/7),"00"))</f>
        <v/>
      </c>
    </row>
    <row r="1958" ht="18" customHeight="1">
      <c r="A1958" s="39" t="n">
        <v>1953</v>
      </c>
      <c r="B1958" s="33">
        <f>IF(C1958="","",IF(P1958="À RENSEIGNER","GIC",P1958)&amp;"-V"&amp;TEXT(A1958,"00000"))</f>
        <v/>
      </c>
      <c r="C1958" s="32" t="n"/>
      <c r="D1958" s="35" t="n"/>
      <c r="E1958" s="36" t="n"/>
      <c r="F1958" s="36" t="n"/>
      <c r="G1958" s="36" t="n"/>
      <c r="H1958" s="36" t="n"/>
      <c r="I1958" s="36" t="n"/>
      <c r="J1958" s="37" t="n"/>
      <c r="K1958" s="32" t="n"/>
      <c r="L1958" s="36" t="n"/>
      <c r="M1958" s="41" t="n"/>
      <c r="N1958" s="41" t="n"/>
      <c r="O1958" s="36" t="n"/>
      <c r="P1958" s="33">
        <f>IF(C1958="","",Commercial_Id)</f>
        <v/>
      </c>
      <c r="Q1958" s="39">
        <f>IF(F1958="","",IFERROR(VALUE(MID(F1958,LEN(F1958)-3,3)),""))</f>
        <v/>
      </c>
      <c r="R1958" s="33">
        <f>IF(Q1958="","",P1958&amp;"|"&amp;Q1958)</f>
        <v/>
      </c>
      <c r="S1958" s="33">
        <f>IF(Q1958="","",IF(P1958="À RENSEIGNER","GIC",P1958)&amp;"-"&amp;TEXT(Q1958,"000"))</f>
        <v/>
      </c>
      <c r="T1958" s="33">
        <f>IF(R1958="","",IFERROR(INDEX(Cl_nom,MATCH(R1958,Cl_cle,0)),"(client introuvable)"))</f>
        <v/>
      </c>
      <c r="U1958" s="33">
        <f>IF(R1958="","",IFERROR(INDEX(Cl_quartier,MATCH(R1958,Cl_cle,0))&amp;"",""))</f>
        <v/>
      </c>
      <c r="V1958" s="34">
        <f>IF(C1958="","",YEAR(C1958-WEEKDAY(C1958,2)+4)&amp;"-S"&amp;TEXT(INT((C1958-DATE(YEAR(C1958-WEEKDAY(C1958,2)+4),1,3)+WEEKDAY(DATE(YEAR(C1958-WEEKDAY(C1958,2)+4),1,3),2)+5)/7),"00"))</f>
        <v/>
      </c>
    </row>
    <row r="1959" ht="18" customHeight="1">
      <c r="A1959" s="39" t="n">
        <v>1954</v>
      </c>
      <c r="B1959" s="33">
        <f>IF(C1959="","",IF(P1959="À RENSEIGNER","GIC",P1959)&amp;"-V"&amp;TEXT(A1959,"00000"))</f>
        <v/>
      </c>
      <c r="C1959" s="32" t="n"/>
      <c r="D1959" s="35" t="n"/>
      <c r="E1959" s="36" t="n"/>
      <c r="F1959" s="36" t="n"/>
      <c r="G1959" s="36" t="n"/>
      <c r="H1959" s="36" t="n"/>
      <c r="I1959" s="36" t="n"/>
      <c r="J1959" s="37" t="n"/>
      <c r="K1959" s="32" t="n"/>
      <c r="L1959" s="36" t="n"/>
      <c r="M1959" s="41" t="n"/>
      <c r="N1959" s="41" t="n"/>
      <c r="O1959" s="36" t="n"/>
      <c r="P1959" s="33">
        <f>IF(C1959="","",Commercial_Id)</f>
        <v/>
      </c>
      <c r="Q1959" s="39">
        <f>IF(F1959="","",IFERROR(VALUE(MID(F1959,LEN(F1959)-3,3)),""))</f>
        <v/>
      </c>
      <c r="R1959" s="33">
        <f>IF(Q1959="","",P1959&amp;"|"&amp;Q1959)</f>
        <v/>
      </c>
      <c r="S1959" s="33">
        <f>IF(Q1959="","",IF(P1959="À RENSEIGNER","GIC",P1959)&amp;"-"&amp;TEXT(Q1959,"000"))</f>
        <v/>
      </c>
      <c r="T1959" s="33">
        <f>IF(R1959="","",IFERROR(INDEX(Cl_nom,MATCH(R1959,Cl_cle,0)),"(client introuvable)"))</f>
        <v/>
      </c>
      <c r="U1959" s="33">
        <f>IF(R1959="","",IFERROR(INDEX(Cl_quartier,MATCH(R1959,Cl_cle,0))&amp;"",""))</f>
        <v/>
      </c>
      <c r="V1959" s="34">
        <f>IF(C1959="","",YEAR(C1959-WEEKDAY(C1959,2)+4)&amp;"-S"&amp;TEXT(INT((C1959-DATE(YEAR(C1959-WEEKDAY(C1959,2)+4),1,3)+WEEKDAY(DATE(YEAR(C1959-WEEKDAY(C1959,2)+4),1,3),2)+5)/7),"00"))</f>
        <v/>
      </c>
    </row>
    <row r="1960" ht="18" customHeight="1">
      <c r="A1960" s="39" t="n">
        <v>1955</v>
      </c>
      <c r="B1960" s="33">
        <f>IF(C1960="","",IF(P1960="À RENSEIGNER","GIC",P1960)&amp;"-V"&amp;TEXT(A1960,"00000"))</f>
        <v/>
      </c>
      <c r="C1960" s="32" t="n"/>
      <c r="D1960" s="35" t="n"/>
      <c r="E1960" s="36" t="n"/>
      <c r="F1960" s="36" t="n"/>
      <c r="G1960" s="36" t="n"/>
      <c r="H1960" s="36" t="n"/>
      <c r="I1960" s="36" t="n"/>
      <c r="J1960" s="37" t="n"/>
      <c r="K1960" s="32" t="n"/>
      <c r="L1960" s="36" t="n"/>
      <c r="M1960" s="41" t="n"/>
      <c r="N1960" s="41" t="n"/>
      <c r="O1960" s="36" t="n"/>
      <c r="P1960" s="33">
        <f>IF(C1960="","",Commercial_Id)</f>
        <v/>
      </c>
      <c r="Q1960" s="39">
        <f>IF(F1960="","",IFERROR(VALUE(MID(F1960,LEN(F1960)-3,3)),""))</f>
        <v/>
      </c>
      <c r="R1960" s="33">
        <f>IF(Q1960="","",P1960&amp;"|"&amp;Q1960)</f>
        <v/>
      </c>
      <c r="S1960" s="33">
        <f>IF(Q1960="","",IF(P1960="À RENSEIGNER","GIC",P1960)&amp;"-"&amp;TEXT(Q1960,"000"))</f>
        <v/>
      </c>
      <c r="T1960" s="33">
        <f>IF(R1960="","",IFERROR(INDEX(Cl_nom,MATCH(R1960,Cl_cle,0)),"(client introuvable)"))</f>
        <v/>
      </c>
      <c r="U1960" s="33">
        <f>IF(R1960="","",IFERROR(INDEX(Cl_quartier,MATCH(R1960,Cl_cle,0))&amp;"",""))</f>
        <v/>
      </c>
      <c r="V1960" s="34">
        <f>IF(C1960="","",YEAR(C1960-WEEKDAY(C1960,2)+4)&amp;"-S"&amp;TEXT(INT((C1960-DATE(YEAR(C1960-WEEKDAY(C1960,2)+4),1,3)+WEEKDAY(DATE(YEAR(C1960-WEEKDAY(C1960,2)+4),1,3),2)+5)/7),"00"))</f>
        <v/>
      </c>
    </row>
    <row r="1961" ht="18" customHeight="1">
      <c r="A1961" s="39" t="n">
        <v>1956</v>
      </c>
      <c r="B1961" s="33">
        <f>IF(C1961="","",IF(P1961="À RENSEIGNER","GIC",P1961)&amp;"-V"&amp;TEXT(A1961,"00000"))</f>
        <v/>
      </c>
      <c r="C1961" s="32" t="n"/>
      <c r="D1961" s="35" t="n"/>
      <c r="E1961" s="36" t="n"/>
      <c r="F1961" s="36" t="n"/>
      <c r="G1961" s="36" t="n"/>
      <c r="H1961" s="36" t="n"/>
      <c r="I1961" s="36" t="n"/>
      <c r="J1961" s="37" t="n"/>
      <c r="K1961" s="32" t="n"/>
      <c r="L1961" s="36" t="n"/>
      <c r="M1961" s="41" t="n"/>
      <c r="N1961" s="41" t="n"/>
      <c r="O1961" s="36" t="n"/>
      <c r="P1961" s="33">
        <f>IF(C1961="","",Commercial_Id)</f>
        <v/>
      </c>
      <c r="Q1961" s="39">
        <f>IF(F1961="","",IFERROR(VALUE(MID(F1961,LEN(F1961)-3,3)),""))</f>
        <v/>
      </c>
      <c r="R1961" s="33">
        <f>IF(Q1961="","",P1961&amp;"|"&amp;Q1961)</f>
        <v/>
      </c>
      <c r="S1961" s="33">
        <f>IF(Q1961="","",IF(P1961="À RENSEIGNER","GIC",P1961)&amp;"-"&amp;TEXT(Q1961,"000"))</f>
        <v/>
      </c>
      <c r="T1961" s="33">
        <f>IF(R1961="","",IFERROR(INDEX(Cl_nom,MATCH(R1961,Cl_cle,0)),"(client introuvable)"))</f>
        <v/>
      </c>
      <c r="U1961" s="33">
        <f>IF(R1961="","",IFERROR(INDEX(Cl_quartier,MATCH(R1961,Cl_cle,0))&amp;"",""))</f>
        <v/>
      </c>
      <c r="V1961" s="34">
        <f>IF(C1961="","",YEAR(C1961-WEEKDAY(C1961,2)+4)&amp;"-S"&amp;TEXT(INT((C1961-DATE(YEAR(C1961-WEEKDAY(C1961,2)+4),1,3)+WEEKDAY(DATE(YEAR(C1961-WEEKDAY(C1961,2)+4),1,3),2)+5)/7),"00"))</f>
        <v/>
      </c>
    </row>
    <row r="1962" ht="18" customHeight="1">
      <c r="A1962" s="39" t="n">
        <v>1957</v>
      </c>
      <c r="B1962" s="33">
        <f>IF(C1962="","",IF(P1962="À RENSEIGNER","GIC",P1962)&amp;"-V"&amp;TEXT(A1962,"00000"))</f>
        <v/>
      </c>
      <c r="C1962" s="32" t="n"/>
      <c r="D1962" s="35" t="n"/>
      <c r="E1962" s="36" t="n"/>
      <c r="F1962" s="36" t="n"/>
      <c r="G1962" s="36" t="n"/>
      <c r="H1962" s="36" t="n"/>
      <c r="I1962" s="36" t="n"/>
      <c r="J1962" s="37" t="n"/>
      <c r="K1962" s="32" t="n"/>
      <c r="L1962" s="36" t="n"/>
      <c r="M1962" s="41" t="n"/>
      <c r="N1962" s="41" t="n"/>
      <c r="O1962" s="36" t="n"/>
      <c r="P1962" s="33">
        <f>IF(C1962="","",Commercial_Id)</f>
        <v/>
      </c>
      <c r="Q1962" s="39">
        <f>IF(F1962="","",IFERROR(VALUE(MID(F1962,LEN(F1962)-3,3)),""))</f>
        <v/>
      </c>
      <c r="R1962" s="33">
        <f>IF(Q1962="","",P1962&amp;"|"&amp;Q1962)</f>
        <v/>
      </c>
      <c r="S1962" s="33">
        <f>IF(Q1962="","",IF(P1962="À RENSEIGNER","GIC",P1962)&amp;"-"&amp;TEXT(Q1962,"000"))</f>
        <v/>
      </c>
      <c r="T1962" s="33">
        <f>IF(R1962="","",IFERROR(INDEX(Cl_nom,MATCH(R1962,Cl_cle,0)),"(client introuvable)"))</f>
        <v/>
      </c>
      <c r="U1962" s="33">
        <f>IF(R1962="","",IFERROR(INDEX(Cl_quartier,MATCH(R1962,Cl_cle,0))&amp;"",""))</f>
        <v/>
      </c>
      <c r="V1962" s="34">
        <f>IF(C1962="","",YEAR(C1962-WEEKDAY(C1962,2)+4)&amp;"-S"&amp;TEXT(INT((C1962-DATE(YEAR(C1962-WEEKDAY(C1962,2)+4),1,3)+WEEKDAY(DATE(YEAR(C1962-WEEKDAY(C1962,2)+4),1,3),2)+5)/7),"00"))</f>
        <v/>
      </c>
    </row>
    <row r="1963" ht="18" customHeight="1">
      <c r="A1963" s="39" t="n">
        <v>1958</v>
      </c>
      <c r="B1963" s="33">
        <f>IF(C1963="","",IF(P1963="À RENSEIGNER","GIC",P1963)&amp;"-V"&amp;TEXT(A1963,"00000"))</f>
        <v/>
      </c>
      <c r="C1963" s="32" t="n"/>
      <c r="D1963" s="35" t="n"/>
      <c r="E1963" s="36" t="n"/>
      <c r="F1963" s="36" t="n"/>
      <c r="G1963" s="36" t="n"/>
      <c r="H1963" s="36" t="n"/>
      <c r="I1963" s="36" t="n"/>
      <c r="J1963" s="37" t="n"/>
      <c r="K1963" s="32" t="n"/>
      <c r="L1963" s="36" t="n"/>
      <c r="M1963" s="41" t="n"/>
      <c r="N1963" s="41" t="n"/>
      <c r="O1963" s="36" t="n"/>
      <c r="P1963" s="33">
        <f>IF(C1963="","",Commercial_Id)</f>
        <v/>
      </c>
      <c r="Q1963" s="39">
        <f>IF(F1963="","",IFERROR(VALUE(MID(F1963,LEN(F1963)-3,3)),""))</f>
        <v/>
      </c>
      <c r="R1963" s="33">
        <f>IF(Q1963="","",P1963&amp;"|"&amp;Q1963)</f>
        <v/>
      </c>
      <c r="S1963" s="33">
        <f>IF(Q1963="","",IF(P1963="À RENSEIGNER","GIC",P1963)&amp;"-"&amp;TEXT(Q1963,"000"))</f>
        <v/>
      </c>
      <c r="T1963" s="33">
        <f>IF(R1963="","",IFERROR(INDEX(Cl_nom,MATCH(R1963,Cl_cle,0)),"(client introuvable)"))</f>
        <v/>
      </c>
      <c r="U1963" s="33">
        <f>IF(R1963="","",IFERROR(INDEX(Cl_quartier,MATCH(R1963,Cl_cle,0))&amp;"",""))</f>
        <v/>
      </c>
      <c r="V1963" s="34">
        <f>IF(C1963="","",YEAR(C1963-WEEKDAY(C1963,2)+4)&amp;"-S"&amp;TEXT(INT((C1963-DATE(YEAR(C1963-WEEKDAY(C1963,2)+4),1,3)+WEEKDAY(DATE(YEAR(C1963-WEEKDAY(C1963,2)+4),1,3),2)+5)/7),"00"))</f>
        <v/>
      </c>
    </row>
    <row r="1964" ht="18" customHeight="1">
      <c r="A1964" s="39" t="n">
        <v>1959</v>
      </c>
      <c r="B1964" s="33">
        <f>IF(C1964="","",IF(P1964="À RENSEIGNER","GIC",P1964)&amp;"-V"&amp;TEXT(A1964,"00000"))</f>
        <v/>
      </c>
      <c r="C1964" s="32" t="n"/>
      <c r="D1964" s="35" t="n"/>
      <c r="E1964" s="36" t="n"/>
      <c r="F1964" s="36" t="n"/>
      <c r="G1964" s="36" t="n"/>
      <c r="H1964" s="36" t="n"/>
      <c r="I1964" s="36" t="n"/>
      <c r="J1964" s="37" t="n"/>
      <c r="K1964" s="32" t="n"/>
      <c r="L1964" s="36" t="n"/>
      <c r="M1964" s="41" t="n"/>
      <c r="N1964" s="41" t="n"/>
      <c r="O1964" s="36" t="n"/>
      <c r="P1964" s="33">
        <f>IF(C1964="","",Commercial_Id)</f>
        <v/>
      </c>
      <c r="Q1964" s="39">
        <f>IF(F1964="","",IFERROR(VALUE(MID(F1964,LEN(F1964)-3,3)),""))</f>
        <v/>
      </c>
      <c r="R1964" s="33">
        <f>IF(Q1964="","",P1964&amp;"|"&amp;Q1964)</f>
        <v/>
      </c>
      <c r="S1964" s="33">
        <f>IF(Q1964="","",IF(P1964="À RENSEIGNER","GIC",P1964)&amp;"-"&amp;TEXT(Q1964,"000"))</f>
        <v/>
      </c>
      <c r="T1964" s="33">
        <f>IF(R1964="","",IFERROR(INDEX(Cl_nom,MATCH(R1964,Cl_cle,0)),"(client introuvable)"))</f>
        <v/>
      </c>
      <c r="U1964" s="33">
        <f>IF(R1964="","",IFERROR(INDEX(Cl_quartier,MATCH(R1964,Cl_cle,0))&amp;"",""))</f>
        <v/>
      </c>
      <c r="V1964" s="34">
        <f>IF(C1964="","",YEAR(C1964-WEEKDAY(C1964,2)+4)&amp;"-S"&amp;TEXT(INT((C1964-DATE(YEAR(C1964-WEEKDAY(C1964,2)+4),1,3)+WEEKDAY(DATE(YEAR(C1964-WEEKDAY(C1964,2)+4),1,3),2)+5)/7),"00"))</f>
        <v/>
      </c>
    </row>
    <row r="1965" ht="18" customHeight="1">
      <c r="A1965" s="39" t="n">
        <v>1960</v>
      </c>
      <c r="B1965" s="33">
        <f>IF(C1965="","",IF(P1965="À RENSEIGNER","GIC",P1965)&amp;"-V"&amp;TEXT(A1965,"00000"))</f>
        <v/>
      </c>
      <c r="C1965" s="32" t="n"/>
      <c r="D1965" s="35" t="n"/>
      <c r="E1965" s="36" t="n"/>
      <c r="F1965" s="36" t="n"/>
      <c r="G1965" s="36" t="n"/>
      <c r="H1965" s="36" t="n"/>
      <c r="I1965" s="36" t="n"/>
      <c r="J1965" s="37" t="n"/>
      <c r="K1965" s="32" t="n"/>
      <c r="L1965" s="36" t="n"/>
      <c r="M1965" s="41" t="n"/>
      <c r="N1965" s="41" t="n"/>
      <c r="O1965" s="36" t="n"/>
      <c r="P1965" s="33">
        <f>IF(C1965="","",Commercial_Id)</f>
        <v/>
      </c>
      <c r="Q1965" s="39">
        <f>IF(F1965="","",IFERROR(VALUE(MID(F1965,LEN(F1965)-3,3)),""))</f>
        <v/>
      </c>
      <c r="R1965" s="33">
        <f>IF(Q1965="","",P1965&amp;"|"&amp;Q1965)</f>
        <v/>
      </c>
      <c r="S1965" s="33">
        <f>IF(Q1965="","",IF(P1965="À RENSEIGNER","GIC",P1965)&amp;"-"&amp;TEXT(Q1965,"000"))</f>
        <v/>
      </c>
      <c r="T1965" s="33">
        <f>IF(R1965="","",IFERROR(INDEX(Cl_nom,MATCH(R1965,Cl_cle,0)),"(client introuvable)"))</f>
        <v/>
      </c>
      <c r="U1965" s="33">
        <f>IF(R1965="","",IFERROR(INDEX(Cl_quartier,MATCH(R1965,Cl_cle,0))&amp;"",""))</f>
        <v/>
      </c>
      <c r="V1965" s="34">
        <f>IF(C1965="","",YEAR(C1965-WEEKDAY(C1965,2)+4)&amp;"-S"&amp;TEXT(INT((C1965-DATE(YEAR(C1965-WEEKDAY(C1965,2)+4),1,3)+WEEKDAY(DATE(YEAR(C1965-WEEKDAY(C1965,2)+4),1,3),2)+5)/7),"00"))</f>
        <v/>
      </c>
    </row>
    <row r="1966" ht="18" customHeight="1">
      <c r="A1966" s="39" t="n">
        <v>1961</v>
      </c>
      <c r="B1966" s="33">
        <f>IF(C1966="","",IF(P1966="À RENSEIGNER","GIC",P1966)&amp;"-V"&amp;TEXT(A1966,"00000"))</f>
        <v/>
      </c>
      <c r="C1966" s="32" t="n"/>
      <c r="D1966" s="35" t="n"/>
      <c r="E1966" s="36" t="n"/>
      <c r="F1966" s="36" t="n"/>
      <c r="G1966" s="36" t="n"/>
      <c r="H1966" s="36" t="n"/>
      <c r="I1966" s="36" t="n"/>
      <c r="J1966" s="37" t="n"/>
      <c r="K1966" s="32" t="n"/>
      <c r="L1966" s="36" t="n"/>
      <c r="M1966" s="41" t="n"/>
      <c r="N1966" s="41" t="n"/>
      <c r="O1966" s="36" t="n"/>
      <c r="P1966" s="33">
        <f>IF(C1966="","",Commercial_Id)</f>
        <v/>
      </c>
      <c r="Q1966" s="39">
        <f>IF(F1966="","",IFERROR(VALUE(MID(F1966,LEN(F1966)-3,3)),""))</f>
        <v/>
      </c>
      <c r="R1966" s="33">
        <f>IF(Q1966="","",P1966&amp;"|"&amp;Q1966)</f>
        <v/>
      </c>
      <c r="S1966" s="33">
        <f>IF(Q1966="","",IF(P1966="À RENSEIGNER","GIC",P1966)&amp;"-"&amp;TEXT(Q1966,"000"))</f>
        <v/>
      </c>
      <c r="T1966" s="33">
        <f>IF(R1966="","",IFERROR(INDEX(Cl_nom,MATCH(R1966,Cl_cle,0)),"(client introuvable)"))</f>
        <v/>
      </c>
      <c r="U1966" s="33">
        <f>IF(R1966="","",IFERROR(INDEX(Cl_quartier,MATCH(R1966,Cl_cle,0))&amp;"",""))</f>
        <v/>
      </c>
      <c r="V1966" s="34">
        <f>IF(C1966="","",YEAR(C1966-WEEKDAY(C1966,2)+4)&amp;"-S"&amp;TEXT(INT((C1966-DATE(YEAR(C1966-WEEKDAY(C1966,2)+4),1,3)+WEEKDAY(DATE(YEAR(C1966-WEEKDAY(C1966,2)+4),1,3),2)+5)/7),"00"))</f>
        <v/>
      </c>
    </row>
    <row r="1967" ht="18" customHeight="1">
      <c r="A1967" s="39" t="n">
        <v>1962</v>
      </c>
      <c r="B1967" s="33">
        <f>IF(C1967="","",IF(P1967="À RENSEIGNER","GIC",P1967)&amp;"-V"&amp;TEXT(A1967,"00000"))</f>
        <v/>
      </c>
      <c r="C1967" s="32" t="n"/>
      <c r="D1967" s="35" t="n"/>
      <c r="E1967" s="36" t="n"/>
      <c r="F1967" s="36" t="n"/>
      <c r="G1967" s="36" t="n"/>
      <c r="H1967" s="36" t="n"/>
      <c r="I1967" s="36" t="n"/>
      <c r="J1967" s="37" t="n"/>
      <c r="K1967" s="32" t="n"/>
      <c r="L1967" s="36" t="n"/>
      <c r="M1967" s="41" t="n"/>
      <c r="N1967" s="41" t="n"/>
      <c r="O1967" s="36" t="n"/>
      <c r="P1967" s="33">
        <f>IF(C1967="","",Commercial_Id)</f>
        <v/>
      </c>
      <c r="Q1967" s="39">
        <f>IF(F1967="","",IFERROR(VALUE(MID(F1967,LEN(F1967)-3,3)),""))</f>
        <v/>
      </c>
      <c r="R1967" s="33">
        <f>IF(Q1967="","",P1967&amp;"|"&amp;Q1967)</f>
        <v/>
      </c>
      <c r="S1967" s="33">
        <f>IF(Q1967="","",IF(P1967="À RENSEIGNER","GIC",P1967)&amp;"-"&amp;TEXT(Q1967,"000"))</f>
        <v/>
      </c>
      <c r="T1967" s="33">
        <f>IF(R1967="","",IFERROR(INDEX(Cl_nom,MATCH(R1967,Cl_cle,0)),"(client introuvable)"))</f>
        <v/>
      </c>
      <c r="U1967" s="33">
        <f>IF(R1967="","",IFERROR(INDEX(Cl_quartier,MATCH(R1967,Cl_cle,0))&amp;"",""))</f>
        <v/>
      </c>
      <c r="V1967" s="34">
        <f>IF(C1967="","",YEAR(C1967-WEEKDAY(C1967,2)+4)&amp;"-S"&amp;TEXT(INT((C1967-DATE(YEAR(C1967-WEEKDAY(C1967,2)+4),1,3)+WEEKDAY(DATE(YEAR(C1967-WEEKDAY(C1967,2)+4),1,3),2)+5)/7),"00"))</f>
        <v/>
      </c>
    </row>
    <row r="1968" ht="18" customHeight="1">
      <c r="A1968" s="39" t="n">
        <v>1963</v>
      </c>
      <c r="B1968" s="33">
        <f>IF(C1968="","",IF(P1968="À RENSEIGNER","GIC",P1968)&amp;"-V"&amp;TEXT(A1968,"00000"))</f>
        <v/>
      </c>
      <c r="C1968" s="32" t="n"/>
      <c r="D1968" s="35" t="n"/>
      <c r="E1968" s="36" t="n"/>
      <c r="F1968" s="36" t="n"/>
      <c r="G1968" s="36" t="n"/>
      <c r="H1968" s="36" t="n"/>
      <c r="I1968" s="36" t="n"/>
      <c r="J1968" s="37" t="n"/>
      <c r="K1968" s="32" t="n"/>
      <c r="L1968" s="36" t="n"/>
      <c r="M1968" s="41" t="n"/>
      <c r="N1968" s="41" t="n"/>
      <c r="O1968" s="36" t="n"/>
      <c r="P1968" s="33">
        <f>IF(C1968="","",Commercial_Id)</f>
        <v/>
      </c>
      <c r="Q1968" s="39">
        <f>IF(F1968="","",IFERROR(VALUE(MID(F1968,LEN(F1968)-3,3)),""))</f>
        <v/>
      </c>
      <c r="R1968" s="33">
        <f>IF(Q1968="","",P1968&amp;"|"&amp;Q1968)</f>
        <v/>
      </c>
      <c r="S1968" s="33">
        <f>IF(Q1968="","",IF(P1968="À RENSEIGNER","GIC",P1968)&amp;"-"&amp;TEXT(Q1968,"000"))</f>
        <v/>
      </c>
      <c r="T1968" s="33">
        <f>IF(R1968="","",IFERROR(INDEX(Cl_nom,MATCH(R1968,Cl_cle,0)),"(client introuvable)"))</f>
        <v/>
      </c>
      <c r="U1968" s="33">
        <f>IF(R1968="","",IFERROR(INDEX(Cl_quartier,MATCH(R1968,Cl_cle,0))&amp;"",""))</f>
        <v/>
      </c>
      <c r="V1968" s="34">
        <f>IF(C1968="","",YEAR(C1968-WEEKDAY(C1968,2)+4)&amp;"-S"&amp;TEXT(INT((C1968-DATE(YEAR(C1968-WEEKDAY(C1968,2)+4),1,3)+WEEKDAY(DATE(YEAR(C1968-WEEKDAY(C1968,2)+4),1,3),2)+5)/7),"00"))</f>
        <v/>
      </c>
    </row>
    <row r="1969" ht="18" customHeight="1">
      <c r="A1969" s="39" t="n">
        <v>1964</v>
      </c>
      <c r="B1969" s="33">
        <f>IF(C1969="","",IF(P1969="À RENSEIGNER","GIC",P1969)&amp;"-V"&amp;TEXT(A1969,"00000"))</f>
        <v/>
      </c>
      <c r="C1969" s="32" t="n"/>
      <c r="D1969" s="35" t="n"/>
      <c r="E1969" s="36" t="n"/>
      <c r="F1969" s="36" t="n"/>
      <c r="G1969" s="36" t="n"/>
      <c r="H1969" s="36" t="n"/>
      <c r="I1969" s="36" t="n"/>
      <c r="J1969" s="37" t="n"/>
      <c r="K1969" s="32" t="n"/>
      <c r="L1969" s="36" t="n"/>
      <c r="M1969" s="41" t="n"/>
      <c r="N1969" s="41" t="n"/>
      <c r="O1969" s="36" t="n"/>
      <c r="P1969" s="33">
        <f>IF(C1969="","",Commercial_Id)</f>
        <v/>
      </c>
      <c r="Q1969" s="39">
        <f>IF(F1969="","",IFERROR(VALUE(MID(F1969,LEN(F1969)-3,3)),""))</f>
        <v/>
      </c>
      <c r="R1969" s="33">
        <f>IF(Q1969="","",P1969&amp;"|"&amp;Q1969)</f>
        <v/>
      </c>
      <c r="S1969" s="33">
        <f>IF(Q1969="","",IF(P1969="À RENSEIGNER","GIC",P1969)&amp;"-"&amp;TEXT(Q1969,"000"))</f>
        <v/>
      </c>
      <c r="T1969" s="33">
        <f>IF(R1969="","",IFERROR(INDEX(Cl_nom,MATCH(R1969,Cl_cle,0)),"(client introuvable)"))</f>
        <v/>
      </c>
      <c r="U1969" s="33">
        <f>IF(R1969="","",IFERROR(INDEX(Cl_quartier,MATCH(R1969,Cl_cle,0))&amp;"",""))</f>
        <v/>
      </c>
      <c r="V1969" s="34">
        <f>IF(C1969="","",YEAR(C1969-WEEKDAY(C1969,2)+4)&amp;"-S"&amp;TEXT(INT((C1969-DATE(YEAR(C1969-WEEKDAY(C1969,2)+4),1,3)+WEEKDAY(DATE(YEAR(C1969-WEEKDAY(C1969,2)+4),1,3),2)+5)/7),"00"))</f>
        <v/>
      </c>
    </row>
    <row r="1970" ht="18" customHeight="1">
      <c r="A1970" s="39" t="n">
        <v>1965</v>
      </c>
      <c r="B1970" s="33">
        <f>IF(C1970="","",IF(P1970="À RENSEIGNER","GIC",P1970)&amp;"-V"&amp;TEXT(A1970,"00000"))</f>
        <v/>
      </c>
      <c r="C1970" s="32" t="n"/>
      <c r="D1970" s="35" t="n"/>
      <c r="E1970" s="36" t="n"/>
      <c r="F1970" s="36" t="n"/>
      <c r="G1970" s="36" t="n"/>
      <c r="H1970" s="36" t="n"/>
      <c r="I1970" s="36" t="n"/>
      <c r="J1970" s="37" t="n"/>
      <c r="K1970" s="32" t="n"/>
      <c r="L1970" s="36" t="n"/>
      <c r="M1970" s="41" t="n"/>
      <c r="N1970" s="41" t="n"/>
      <c r="O1970" s="36" t="n"/>
      <c r="P1970" s="33">
        <f>IF(C1970="","",Commercial_Id)</f>
        <v/>
      </c>
      <c r="Q1970" s="39">
        <f>IF(F1970="","",IFERROR(VALUE(MID(F1970,LEN(F1970)-3,3)),""))</f>
        <v/>
      </c>
      <c r="R1970" s="33">
        <f>IF(Q1970="","",P1970&amp;"|"&amp;Q1970)</f>
        <v/>
      </c>
      <c r="S1970" s="33">
        <f>IF(Q1970="","",IF(P1970="À RENSEIGNER","GIC",P1970)&amp;"-"&amp;TEXT(Q1970,"000"))</f>
        <v/>
      </c>
      <c r="T1970" s="33">
        <f>IF(R1970="","",IFERROR(INDEX(Cl_nom,MATCH(R1970,Cl_cle,0)),"(client introuvable)"))</f>
        <v/>
      </c>
      <c r="U1970" s="33">
        <f>IF(R1970="","",IFERROR(INDEX(Cl_quartier,MATCH(R1970,Cl_cle,0))&amp;"",""))</f>
        <v/>
      </c>
      <c r="V1970" s="34">
        <f>IF(C1970="","",YEAR(C1970-WEEKDAY(C1970,2)+4)&amp;"-S"&amp;TEXT(INT((C1970-DATE(YEAR(C1970-WEEKDAY(C1970,2)+4),1,3)+WEEKDAY(DATE(YEAR(C1970-WEEKDAY(C1970,2)+4),1,3),2)+5)/7),"00"))</f>
        <v/>
      </c>
    </row>
    <row r="1971" ht="18" customHeight="1">
      <c r="A1971" s="39" t="n">
        <v>1966</v>
      </c>
      <c r="B1971" s="33">
        <f>IF(C1971="","",IF(P1971="À RENSEIGNER","GIC",P1971)&amp;"-V"&amp;TEXT(A1971,"00000"))</f>
        <v/>
      </c>
      <c r="C1971" s="32" t="n"/>
      <c r="D1971" s="35" t="n"/>
      <c r="E1971" s="36" t="n"/>
      <c r="F1971" s="36" t="n"/>
      <c r="G1971" s="36" t="n"/>
      <c r="H1971" s="36" t="n"/>
      <c r="I1971" s="36" t="n"/>
      <c r="J1971" s="37" t="n"/>
      <c r="K1971" s="32" t="n"/>
      <c r="L1971" s="36" t="n"/>
      <c r="M1971" s="41" t="n"/>
      <c r="N1971" s="41" t="n"/>
      <c r="O1971" s="36" t="n"/>
      <c r="P1971" s="33">
        <f>IF(C1971="","",Commercial_Id)</f>
        <v/>
      </c>
      <c r="Q1971" s="39">
        <f>IF(F1971="","",IFERROR(VALUE(MID(F1971,LEN(F1971)-3,3)),""))</f>
        <v/>
      </c>
      <c r="R1971" s="33">
        <f>IF(Q1971="","",P1971&amp;"|"&amp;Q1971)</f>
        <v/>
      </c>
      <c r="S1971" s="33">
        <f>IF(Q1971="","",IF(P1971="À RENSEIGNER","GIC",P1971)&amp;"-"&amp;TEXT(Q1971,"000"))</f>
        <v/>
      </c>
      <c r="T1971" s="33">
        <f>IF(R1971="","",IFERROR(INDEX(Cl_nom,MATCH(R1971,Cl_cle,0)),"(client introuvable)"))</f>
        <v/>
      </c>
      <c r="U1971" s="33">
        <f>IF(R1971="","",IFERROR(INDEX(Cl_quartier,MATCH(R1971,Cl_cle,0))&amp;"",""))</f>
        <v/>
      </c>
      <c r="V1971" s="34">
        <f>IF(C1971="","",YEAR(C1971-WEEKDAY(C1971,2)+4)&amp;"-S"&amp;TEXT(INT((C1971-DATE(YEAR(C1971-WEEKDAY(C1971,2)+4),1,3)+WEEKDAY(DATE(YEAR(C1971-WEEKDAY(C1971,2)+4),1,3),2)+5)/7),"00"))</f>
        <v/>
      </c>
    </row>
    <row r="1972" ht="18" customHeight="1">
      <c r="A1972" s="39" t="n">
        <v>1967</v>
      </c>
      <c r="B1972" s="33">
        <f>IF(C1972="","",IF(P1972="À RENSEIGNER","GIC",P1972)&amp;"-V"&amp;TEXT(A1972,"00000"))</f>
        <v/>
      </c>
      <c r="C1972" s="32" t="n"/>
      <c r="D1972" s="35" t="n"/>
      <c r="E1972" s="36" t="n"/>
      <c r="F1972" s="36" t="n"/>
      <c r="G1972" s="36" t="n"/>
      <c r="H1972" s="36" t="n"/>
      <c r="I1972" s="36" t="n"/>
      <c r="J1972" s="37" t="n"/>
      <c r="K1972" s="32" t="n"/>
      <c r="L1972" s="36" t="n"/>
      <c r="M1972" s="41" t="n"/>
      <c r="N1972" s="41" t="n"/>
      <c r="O1972" s="36" t="n"/>
      <c r="P1972" s="33">
        <f>IF(C1972="","",Commercial_Id)</f>
        <v/>
      </c>
      <c r="Q1972" s="39">
        <f>IF(F1972="","",IFERROR(VALUE(MID(F1972,LEN(F1972)-3,3)),""))</f>
        <v/>
      </c>
      <c r="R1972" s="33">
        <f>IF(Q1972="","",P1972&amp;"|"&amp;Q1972)</f>
        <v/>
      </c>
      <c r="S1972" s="33">
        <f>IF(Q1972="","",IF(P1972="À RENSEIGNER","GIC",P1972)&amp;"-"&amp;TEXT(Q1972,"000"))</f>
        <v/>
      </c>
      <c r="T1972" s="33">
        <f>IF(R1972="","",IFERROR(INDEX(Cl_nom,MATCH(R1972,Cl_cle,0)),"(client introuvable)"))</f>
        <v/>
      </c>
      <c r="U1972" s="33">
        <f>IF(R1972="","",IFERROR(INDEX(Cl_quartier,MATCH(R1972,Cl_cle,0))&amp;"",""))</f>
        <v/>
      </c>
      <c r="V1972" s="34">
        <f>IF(C1972="","",YEAR(C1972-WEEKDAY(C1972,2)+4)&amp;"-S"&amp;TEXT(INT((C1972-DATE(YEAR(C1972-WEEKDAY(C1972,2)+4),1,3)+WEEKDAY(DATE(YEAR(C1972-WEEKDAY(C1972,2)+4),1,3),2)+5)/7),"00"))</f>
        <v/>
      </c>
    </row>
    <row r="1973" ht="18" customHeight="1">
      <c r="A1973" s="39" t="n">
        <v>1968</v>
      </c>
      <c r="B1973" s="33">
        <f>IF(C1973="","",IF(P1973="À RENSEIGNER","GIC",P1973)&amp;"-V"&amp;TEXT(A1973,"00000"))</f>
        <v/>
      </c>
      <c r="C1973" s="32" t="n"/>
      <c r="D1973" s="35" t="n"/>
      <c r="E1973" s="36" t="n"/>
      <c r="F1973" s="36" t="n"/>
      <c r="G1973" s="36" t="n"/>
      <c r="H1973" s="36" t="n"/>
      <c r="I1973" s="36" t="n"/>
      <c r="J1973" s="37" t="n"/>
      <c r="K1973" s="32" t="n"/>
      <c r="L1973" s="36" t="n"/>
      <c r="M1973" s="41" t="n"/>
      <c r="N1973" s="41" t="n"/>
      <c r="O1973" s="36" t="n"/>
      <c r="P1973" s="33">
        <f>IF(C1973="","",Commercial_Id)</f>
        <v/>
      </c>
      <c r="Q1973" s="39">
        <f>IF(F1973="","",IFERROR(VALUE(MID(F1973,LEN(F1973)-3,3)),""))</f>
        <v/>
      </c>
      <c r="R1973" s="33">
        <f>IF(Q1973="","",P1973&amp;"|"&amp;Q1973)</f>
        <v/>
      </c>
      <c r="S1973" s="33">
        <f>IF(Q1973="","",IF(P1973="À RENSEIGNER","GIC",P1973)&amp;"-"&amp;TEXT(Q1973,"000"))</f>
        <v/>
      </c>
      <c r="T1973" s="33">
        <f>IF(R1973="","",IFERROR(INDEX(Cl_nom,MATCH(R1973,Cl_cle,0)),"(client introuvable)"))</f>
        <v/>
      </c>
      <c r="U1973" s="33">
        <f>IF(R1973="","",IFERROR(INDEX(Cl_quartier,MATCH(R1973,Cl_cle,0))&amp;"",""))</f>
        <v/>
      </c>
      <c r="V1973" s="34">
        <f>IF(C1973="","",YEAR(C1973-WEEKDAY(C1973,2)+4)&amp;"-S"&amp;TEXT(INT((C1973-DATE(YEAR(C1973-WEEKDAY(C1973,2)+4),1,3)+WEEKDAY(DATE(YEAR(C1973-WEEKDAY(C1973,2)+4),1,3),2)+5)/7),"00"))</f>
        <v/>
      </c>
    </row>
    <row r="1974" ht="18" customHeight="1">
      <c r="A1974" s="39" t="n">
        <v>1969</v>
      </c>
      <c r="B1974" s="33">
        <f>IF(C1974="","",IF(P1974="À RENSEIGNER","GIC",P1974)&amp;"-V"&amp;TEXT(A1974,"00000"))</f>
        <v/>
      </c>
      <c r="C1974" s="32" t="n"/>
      <c r="D1974" s="35" t="n"/>
      <c r="E1974" s="36" t="n"/>
      <c r="F1974" s="36" t="n"/>
      <c r="G1974" s="36" t="n"/>
      <c r="H1974" s="36" t="n"/>
      <c r="I1974" s="36" t="n"/>
      <c r="J1974" s="37" t="n"/>
      <c r="K1974" s="32" t="n"/>
      <c r="L1974" s="36" t="n"/>
      <c r="M1974" s="41" t="n"/>
      <c r="N1974" s="41" t="n"/>
      <c r="O1974" s="36" t="n"/>
      <c r="P1974" s="33">
        <f>IF(C1974="","",Commercial_Id)</f>
        <v/>
      </c>
      <c r="Q1974" s="39">
        <f>IF(F1974="","",IFERROR(VALUE(MID(F1974,LEN(F1974)-3,3)),""))</f>
        <v/>
      </c>
      <c r="R1974" s="33">
        <f>IF(Q1974="","",P1974&amp;"|"&amp;Q1974)</f>
        <v/>
      </c>
      <c r="S1974" s="33">
        <f>IF(Q1974="","",IF(P1974="À RENSEIGNER","GIC",P1974)&amp;"-"&amp;TEXT(Q1974,"000"))</f>
        <v/>
      </c>
      <c r="T1974" s="33">
        <f>IF(R1974="","",IFERROR(INDEX(Cl_nom,MATCH(R1974,Cl_cle,0)),"(client introuvable)"))</f>
        <v/>
      </c>
      <c r="U1974" s="33">
        <f>IF(R1974="","",IFERROR(INDEX(Cl_quartier,MATCH(R1974,Cl_cle,0))&amp;"",""))</f>
        <v/>
      </c>
      <c r="V1974" s="34">
        <f>IF(C1974="","",YEAR(C1974-WEEKDAY(C1974,2)+4)&amp;"-S"&amp;TEXT(INT((C1974-DATE(YEAR(C1974-WEEKDAY(C1974,2)+4),1,3)+WEEKDAY(DATE(YEAR(C1974-WEEKDAY(C1974,2)+4),1,3),2)+5)/7),"00"))</f>
        <v/>
      </c>
    </row>
    <row r="1975" ht="18" customHeight="1">
      <c r="A1975" s="39" t="n">
        <v>1970</v>
      </c>
      <c r="B1975" s="33">
        <f>IF(C1975="","",IF(P1975="À RENSEIGNER","GIC",P1975)&amp;"-V"&amp;TEXT(A1975,"00000"))</f>
        <v/>
      </c>
      <c r="C1975" s="32" t="n"/>
      <c r="D1975" s="35" t="n"/>
      <c r="E1975" s="36" t="n"/>
      <c r="F1975" s="36" t="n"/>
      <c r="G1975" s="36" t="n"/>
      <c r="H1975" s="36" t="n"/>
      <c r="I1975" s="36" t="n"/>
      <c r="J1975" s="37" t="n"/>
      <c r="K1975" s="32" t="n"/>
      <c r="L1975" s="36" t="n"/>
      <c r="M1975" s="41" t="n"/>
      <c r="N1975" s="41" t="n"/>
      <c r="O1975" s="36" t="n"/>
      <c r="P1975" s="33">
        <f>IF(C1975="","",Commercial_Id)</f>
        <v/>
      </c>
      <c r="Q1975" s="39">
        <f>IF(F1975="","",IFERROR(VALUE(MID(F1975,LEN(F1975)-3,3)),""))</f>
        <v/>
      </c>
      <c r="R1975" s="33">
        <f>IF(Q1975="","",P1975&amp;"|"&amp;Q1975)</f>
        <v/>
      </c>
      <c r="S1975" s="33">
        <f>IF(Q1975="","",IF(P1975="À RENSEIGNER","GIC",P1975)&amp;"-"&amp;TEXT(Q1975,"000"))</f>
        <v/>
      </c>
      <c r="T1975" s="33">
        <f>IF(R1975="","",IFERROR(INDEX(Cl_nom,MATCH(R1975,Cl_cle,0)),"(client introuvable)"))</f>
        <v/>
      </c>
      <c r="U1975" s="33">
        <f>IF(R1975="","",IFERROR(INDEX(Cl_quartier,MATCH(R1975,Cl_cle,0))&amp;"",""))</f>
        <v/>
      </c>
      <c r="V1975" s="34">
        <f>IF(C1975="","",YEAR(C1975-WEEKDAY(C1975,2)+4)&amp;"-S"&amp;TEXT(INT((C1975-DATE(YEAR(C1975-WEEKDAY(C1975,2)+4),1,3)+WEEKDAY(DATE(YEAR(C1975-WEEKDAY(C1975,2)+4),1,3),2)+5)/7),"00"))</f>
        <v/>
      </c>
    </row>
    <row r="1976" ht="18" customHeight="1">
      <c r="A1976" s="39" t="n">
        <v>1971</v>
      </c>
      <c r="B1976" s="33">
        <f>IF(C1976="","",IF(P1976="À RENSEIGNER","GIC",P1976)&amp;"-V"&amp;TEXT(A1976,"00000"))</f>
        <v/>
      </c>
      <c r="C1976" s="32" t="n"/>
      <c r="D1976" s="35" t="n"/>
      <c r="E1976" s="36" t="n"/>
      <c r="F1976" s="36" t="n"/>
      <c r="G1976" s="36" t="n"/>
      <c r="H1976" s="36" t="n"/>
      <c r="I1976" s="36" t="n"/>
      <c r="J1976" s="37" t="n"/>
      <c r="K1976" s="32" t="n"/>
      <c r="L1976" s="36" t="n"/>
      <c r="M1976" s="41" t="n"/>
      <c r="N1976" s="41" t="n"/>
      <c r="O1976" s="36" t="n"/>
      <c r="P1976" s="33">
        <f>IF(C1976="","",Commercial_Id)</f>
        <v/>
      </c>
      <c r="Q1976" s="39">
        <f>IF(F1976="","",IFERROR(VALUE(MID(F1976,LEN(F1976)-3,3)),""))</f>
        <v/>
      </c>
      <c r="R1976" s="33">
        <f>IF(Q1976="","",P1976&amp;"|"&amp;Q1976)</f>
        <v/>
      </c>
      <c r="S1976" s="33">
        <f>IF(Q1976="","",IF(P1976="À RENSEIGNER","GIC",P1976)&amp;"-"&amp;TEXT(Q1976,"000"))</f>
        <v/>
      </c>
      <c r="T1976" s="33">
        <f>IF(R1976="","",IFERROR(INDEX(Cl_nom,MATCH(R1976,Cl_cle,0)),"(client introuvable)"))</f>
        <v/>
      </c>
      <c r="U1976" s="33">
        <f>IF(R1976="","",IFERROR(INDEX(Cl_quartier,MATCH(R1976,Cl_cle,0))&amp;"",""))</f>
        <v/>
      </c>
      <c r="V1976" s="34">
        <f>IF(C1976="","",YEAR(C1976-WEEKDAY(C1976,2)+4)&amp;"-S"&amp;TEXT(INT((C1976-DATE(YEAR(C1976-WEEKDAY(C1976,2)+4),1,3)+WEEKDAY(DATE(YEAR(C1976-WEEKDAY(C1976,2)+4),1,3),2)+5)/7),"00"))</f>
        <v/>
      </c>
    </row>
    <row r="1977" ht="18" customHeight="1">
      <c r="A1977" s="39" t="n">
        <v>1972</v>
      </c>
      <c r="B1977" s="33">
        <f>IF(C1977="","",IF(P1977="À RENSEIGNER","GIC",P1977)&amp;"-V"&amp;TEXT(A1977,"00000"))</f>
        <v/>
      </c>
      <c r="C1977" s="32" t="n"/>
      <c r="D1977" s="35" t="n"/>
      <c r="E1977" s="36" t="n"/>
      <c r="F1977" s="36" t="n"/>
      <c r="G1977" s="36" t="n"/>
      <c r="H1977" s="36" t="n"/>
      <c r="I1977" s="36" t="n"/>
      <c r="J1977" s="37" t="n"/>
      <c r="K1977" s="32" t="n"/>
      <c r="L1977" s="36" t="n"/>
      <c r="M1977" s="41" t="n"/>
      <c r="N1977" s="41" t="n"/>
      <c r="O1977" s="36" t="n"/>
      <c r="P1977" s="33">
        <f>IF(C1977="","",Commercial_Id)</f>
        <v/>
      </c>
      <c r="Q1977" s="39">
        <f>IF(F1977="","",IFERROR(VALUE(MID(F1977,LEN(F1977)-3,3)),""))</f>
        <v/>
      </c>
      <c r="R1977" s="33">
        <f>IF(Q1977="","",P1977&amp;"|"&amp;Q1977)</f>
        <v/>
      </c>
      <c r="S1977" s="33">
        <f>IF(Q1977="","",IF(P1977="À RENSEIGNER","GIC",P1977)&amp;"-"&amp;TEXT(Q1977,"000"))</f>
        <v/>
      </c>
      <c r="T1977" s="33">
        <f>IF(R1977="","",IFERROR(INDEX(Cl_nom,MATCH(R1977,Cl_cle,0)),"(client introuvable)"))</f>
        <v/>
      </c>
      <c r="U1977" s="33">
        <f>IF(R1977="","",IFERROR(INDEX(Cl_quartier,MATCH(R1977,Cl_cle,0))&amp;"",""))</f>
        <v/>
      </c>
      <c r="V1977" s="34">
        <f>IF(C1977="","",YEAR(C1977-WEEKDAY(C1977,2)+4)&amp;"-S"&amp;TEXT(INT((C1977-DATE(YEAR(C1977-WEEKDAY(C1977,2)+4),1,3)+WEEKDAY(DATE(YEAR(C1977-WEEKDAY(C1977,2)+4),1,3),2)+5)/7),"00"))</f>
        <v/>
      </c>
    </row>
    <row r="1978" ht="18" customHeight="1">
      <c r="A1978" s="39" t="n">
        <v>1973</v>
      </c>
      <c r="B1978" s="33">
        <f>IF(C1978="","",IF(P1978="À RENSEIGNER","GIC",P1978)&amp;"-V"&amp;TEXT(A1978,"00000"))</f>
        <v/>
      </c>
      <c r="C1978" s="32" t="n"/>
      <c r="D1978" s="35" t="n"/>
      <c r="E1978" s="36" t="n"/>
      <c r="F1978" s="36" t="n"/>
      <c r="G1978" s="36" t="n"/>
      <c r="H1978" s="36" t="n"/>
      <c r="I1978" s="36" t="n"/>
      <c r="J1978" s="37" t="n"/>
      <c r="K1978" s="32" t="n"/>
      <c r="L1978" s="36" t="n"/>
      <c r="M1978" s="41" t="n"/>
      <c r="N1978" s="41" t="n"/>
      <c r="O1978" s="36" t="n"/>
      <c r="P1978" s="33">
        <f>IF(C1978="","",Commercial_Id)</f>
        <v/>
      </c>
      <c r="Q1978" s="39">
        <f>IF(F1978="","",IFERROR(VALUE(MID(F1978,LEN(F1978)-3,3)),""))</f>
        <v/>
      </c>
      <c r="R1978" s="33">
        <f>IF(Q1978="","",P1978&amp;"|"&amp;Q1978)</f>
        <v/>
      </c>
      <c r="S1978" s="33">
        <f>IF(Q1978="","",IF(P1978="À RENSEIGNER","GIC",P1978)&amp;"-"&amp;TEXT(Q1978,"000"))</f>
        <v/>
      </c>
      <c r="T1978" s="33">
        <f>IF(R1978="","",IFERROR(INDEX(Cl_nom,MATCH(R1978,Cl_cle,0)),"(client introuvable)"))</f>
        <v/>
      </c>
      <c r="U1978" s="33">
        <f>IF(R1978="","",IFERROR(INDEX(Cl_quartier,MATCH(R1978,Cl_cle,0))&amp;"",""))</f>
        <v/>
      </c>
      <c r="V1978" s="34">
        <f>IF(C1978="","",YEAR(C1978-WEEKDAY(C1978,2)+4)&amp;"-S"&amp;TEXT(INT((C1978-DATE(YEAR(C1978-WEEKDAY(C1978,2)+4),1,3)+WEEKDAY(DATE(YEAR(C1978-WEEKDAY(C1978,2)+4),1,3),2)+5)/7),"00"))</f>
        <v/>
      </c>
    </row>
    <row r="1979" ht="18" customHeight="1">
      <c r="A1979" s="39" t="n">
        <v>1974</v>
      </c>
      <c r="B1979" s="33">
        <f>IF(C1979="","",IF(P1979="À RENSEIGNER","GIC",P1979)&amp;"-V"&amp;TEXT(A1979,"00000"))</f>
        <v/>
      </c>
      <c r="C1979" s="32" t="n"/>
      <c r="D1979" s="35" t="n"/>
      <c r="E1979" s="36" t="n"/>
      <c r="F1979" s="36" t="n"/>
      <c r="G1979" s="36" t="n"/>
      <c r="H1979" s="36" t="n"/>
      <c r="I1979" s="36" t="n"/>
      <c r="J1979" s="37" t="n"/>
      <c r="K1979" s="32" t="n"/>
      <c r="L1979" s="36" t="n"/>
      <c r="M1979" s="41" t="n"/>
      <c r="N1979" s="41" t="n"/>
      <c r="O1979" s="36" t="n"/>
      <c r="P1979" s="33">
        <f>IF(C1979="","",Commercial_Id)</f>
        <v/>
      </c>
      <c r="Q1979" s="39">
        <f>IF(F1979="","",IFERROR(VALUE(MID(F1979,LEN(F1979)-3,3)),""))</f>
        <v/>
      </c>
      <c r="R1979" s="33">
        <f>IF(Q1979="","",P1979&amp;"|"&amp;Q1979)</f>
        <v/>
      </c>
      <c r="S1979" s="33">
        <f>IF(Q1979="","",IF(P1979="À RENSEIGNER","GIC",P1979)&amp;"-"&amp;TEXT(Q1979,"000"))</f>
        <v/>
      </c>
      <c r="T1979" s="33">
        <f>IF(R1979="","",IFERROR(INDEX(Cl_nom,MATCH(R1979,Cl_cle,0)),"(client introuvable)"))</f>
        <v/>
      </c>
      <c r="U1979" s="33">
        <f>IF(R1979="","",IFERROR(INDEX(Cl_quartier,MATCH(R1979,Cl_cle,0))&amp;"",""))</f>
        <v/>
      </c>
      <c r="V1979" s="34">
        <f>IF(C1979="","",YEAR(C1979-WEEKDAY(C1979,2)+4)&amp;"-S"&amp;TEXT(INT((C1979-DATE(YEAR(C1979-WEEKDAY(C1979,2)+4),1,3)+WEEKDAY(DATE(YEAR(C1979-WEEKDAY(C1979,2)+4),1,3),2)+5)/7),"00"))</f>
        <v/>
      </c>
    </row>
    <row r="1980" ht="18" customHeight="1">
      <c r="A1980" s="39" t="n">
        <v>1975</v>
      </c>
      <c r="B1980" s="33">
        <f>IF(C1980="","",IF(P1980="À RENSEIGNER","GIC",P1980)&amp;"-V"&amp;TEXT(A1980,"00000"))</f>
        <v/>
      </c>
      <c r="C1980" s="32" t="n"/>
      <c r="D1980" s="35" t="n"/>
      <c r="E1980" s="36" t="n"/>
      <c r="F1980" s="36" t="n"/>
      <c r="G1980" s="36" t="n"/>
      <c r="H1980" s="36" t="n"/>
      <c r="I1980" s="36" t="n"/>
      <c r="J1980" s="37" t="n"/>
      <c r="K1980" s="32" t="n"/>
      <c r="L1980" s="36" t="n"/>
      <c r="M1980" s="41" t="n"/>
      <c r="N1980" s="41" t="n"/>
      <c r="O1980" s="36" t="n"/>
      <c r="P1980" s="33">
        <f>IF(C1980="","",Commercial_Id)</f>
        <v/>
      </c>
      <c r="Q1980" s="39">
        <f>IF(F1980="","",IFERROR(VALUE(MID(F1980,LEN(F1980)-3,3)),""))</f>
        <v/>
      </c>
      <c r="R1980" s="33">
        <f>IF(Q1980="","",P1980&amp;"|"&amp;Q1980)</f>
        <v/>
      </c>
      <c r="S1980" s="33">
        <f>IF(Q1980="","",IF(P1980="À RENSEIGNER","GIC",P1980)&amp;"-"&amp;TEXT(Q1980,"000"))</f>
        <v/>
      </c>
      <c r="T1980" s="33">
        <f>IF(R1980="","",IFERROR(INDEX(Cl_nom,MATCH(R1980,Cl_cle,0)),"(client introuvable)"))</f>
        <v/>
      </c>
      <c r="U1980" s="33">
        <f>IF(R1980="","",IFERROR(INDEX(Cl_quartier,MATCH(R1980,Cl_cle,0))&amp;"",""))</f>
        <v/>
      </c>
      <c r="V1980" s="34">
        <f>IF(C1980="","",YEAR(C1980-WEEKDAY(C1980,2)+4)&amp;"-S"&amp;TEXT(INT((C1980-DATE(YEAR(C1980-WEEKDAY(C1980,2)+4),1,3)+WEEKDAY(DATE(YEAR(C1980-WEEKDAY(C1980,2)+4),1,3),2)+5)/7),"00"))</f>
        <v/>
      </c>
    </row>
    <row r="1981" ht="18" customHeight="1">
      <c r="A1981" s="39" t="n">
        <v>1976</v>
      </c>
      <c r="B1981" s="33">
        <f>IF(C1981="","",IF(P1981="À RENSEIGNER","GIC",P1981)&amp;"-V"&amp;TEXT(A1981,"00000"))</f>
        <v/>
      </c>
      <c r="C1981" s="32" t="n"/>
      <c r="D1981" s="35" t="n"/>
      <c r="E1981" s="36" t="n"/>
      <c r="F1981" s="36" t="n"/>
      <c r="G1981" s="36" t="n"/>
      <c r="H1981" s="36" t="n"/>
      <c r="I1981" s="36" t="n"/>
      <c r="J1981" s="37" t="n"/>
      <c r="K1981" s="32" t="n"/>
      <c r="L1981" s="36" t="n"/>
      <c r="M1981" s="41" t="n"/>
      <c r="N1981" s="41" t="n"/>
      <c r="O1981" s="36" t="n"/>
      <c r="P1981" s="33">
        <f>IF(C1981="","",Commercial_Id)</f>
        <v/>
      </c>
      <c r="Q1981" s="39">
        <f>IF(F1981="","",IFERROR(VALUE(MID(F1981,LEN(F1981)-3,3)),""))</f>
        <v/>
      </c>
      <c r="R1981" s="33">
        <f>IF(Q1981="","",P1981&amp;"|"&amp;Q1981)</f>
        <v/>
      </c>
      <c r="S1981" s="33">
        <f>IF(Q1981="","",IF(P1981="À RENSEIGNER","GIC",P1981)&amp;"-"&amp;TEXT(Q1981,"000"))</f>
        <v/>
      </c>
      <c r="T1981" s="33">
        <f>IF(R1981="","",IFERROR(INDEX(Cl_nom,MATCH(R1981,Cl_cle,0)),"(client introuvable)"))</f>
        <v/>
      </c>
      <c r="U1981" s="33">
        <f>IF(R1981="","",IFERROR(INDEX(Cl_quartier,MATCH(R1981,Cl_cle,0))&amp;"",""))</f>
        <v/>
      </c>
      <c r="V1981" s="34">
        <f>IF(C1981="","",YEAR(C1981-WEEKDAY(C1981,2)+4)&amp;"-S"&amp;TEXT(INT((C1981-DATE(YEAR(C1981-WEEKDAY(C1981,2)+4),1,3)+WEEKDAY(DATE(YEAR(C1981-WEEKDAY(C1981,2)+4),1,3),2)+5)/7),"00"))</f>
        <v/>
      </c>
    </row>
    <row r="1982" ht="18" customHeight="1">
      <c r="A1982" s="39" t="n">
        <v>1977</v>
      </c>
      <c r="B1982" s="33">
        <f>IF(C1982="","",IF(P1982="À RENSEIGNER","GIC",P1982)&amp;"-V"&amp;TEXT(A1982,"00000"))</f>
        <v/>
      </c>
      <c r="C1982" s="32" t="n"/>
      <c r="D1982" s="35" t="n"/>
      <c r="E1982" s="36" t="n"/>
      <c r="F1982" s="36" t="n"/>
      <c r="G1982" s="36" t="n"/>
      <c r="H1982" s="36" t="n"/>
      <c r="I1982" s="36" t="n"/>
      <c r="J1982" s="37" t="n"/>
      <c r="K1982" s="32" t="n"/>
      <c r="L1982" s="36" t="n"/>
      <c r="M1982" s="41" t="n"/>
      <c r="N1982" s="41" t="n"/>
      <c r="O1982" s="36" t="n"/>
      <c r="P1982" s="33">
        <f>IF(C1982="","",Commercial_Id)</f>
        <v/>
      </c>
      <c r="Q1982" s="39">
        <f>IF(F1982="","",IFERROR(VALUE(MID(F1982,LEN(F1982)-3,3)),""))</f>
        <v/>
      </c>
      <c r="R1982" s="33">
        <f>IF(Q1982="","",P1982&amp;"|"&amp;Q1982)</f>
        <v/>
      </c>
      <c r="S1982" s="33">
        <f>IF(Q1982="","",IF(P1982="À RENSEIGNER","GIC",P1982)&amp;"-"&amp;TEXT(Q1982,"000"))</f>
        <v/>
      </c>
      <c r="T1982" s="33">
        <f>IF(R1982="","",IFERROR(INDEX(Cl_nom,MATCH(R1982,Cl_cle,0)),"(client introuvable)"))</f>
        <v/>
      </c>
      <c r="U1982" s="33">
        <f>IF(R1982="","",IFERROR(INDEX(Cl_quartier,MATCH(R1982,Cl_cle,0))&amp;"",""))</f>
        <v/>
      </c>
      <c r="V1982" s="34">
        <f>IF(C1982="","",YEAR(C1982-WEEKDAY(C1982,2)+4)&amp;"-S"&amp;TEXT(INT((C1982-DATE(YEAR(C1982-WEEKDAY(C1982,2)+4),1,3)+WEEKDAY(DATE(YEAR(C1982-WEEKDAY(C1982,2)+4),1,3),2)+5)/7),"00"))</f>
        <v/>
      </c>
    </row>
    <row r="1983" ht="18" customHeight="1">
      <c r="A1983" s="39" t="n">
        <v>1978</v>
      </c>
      <c r="B1983" s="33">
        <f>IF(C1983="","",IF(P1983="À RENSEIGNER","GIC",P1983)&amp;"-V"&amp;TEXT(A1983,"00000"))</f>
        <v/>
      </c>
      <c r="C1983" s="32" t="n"/>
      <c r="D1983" s="35" t="n"/>
      <c r="E1983" s="36" t="n"/>
      <c r="F1983" s="36" t="n"/>
      <c r="G1983" s="36" t="n"/>
      <c r="H1983" s="36" t="n"/>
      <c r="I1983" s="36" t="n"/>
      <c r="J1983" s="37" t="n"/>
      <c r="K1983" s="32" t="n"/>
      <c r="L1983" s="36" t="n"/>
      <c r="M1983" s="41" t="n"/>
      <c r="N1983" s="41" t="n"/>
      <c r="O1983" s="36" t="n"/>
      <c r="P1983" s="33">
        <f>IF(C1983="","",Commercial_Id)</f>
        <v/>
      </c>
      <c r="Q1983" s="39">
        <f>IF(F1983="","",IFERROR(VALUE(MID(F1983,LEN(F1983)-3,3)),""))</f>
        <v/>
      </c>
      <c r="R1983" s="33">
        <f>IF(Q1983="","",P1983&amp;"|"&amp;Q1983)</f>
        <v/>
      </c>
      <c r="S1983" s="33">
        <f>IF(Q1983="","",IF(P1983="À RENSEIGNER","GIC",P1983)&amp;"-"&amp;TEXT(Q1983,"000"))</f>
        <v/>
      </c>
      <c r="T1983" s="33">
        <f>IF(R1983="","",IFERROR(INDEX(Cl_nom,MATCH(R1983,Cl_cle,0)),"(client introuvable)"))</f>
        <v/>
      </c>
      <c r="U1983" s="33">
        <f>IF(R1983="","",IFERROR(INDEX(Cl_quartier,MATCH(R1983,Cl_cle,0))&amp;"",""))</f>
        <v/>
      </c>
      <c r="V1983" s="34">
        <f>IF(C1983="","",YEAR(C1983-WEEKDAY(C1983,2)+4)&amp;"-S"&amp;TEXT(INT((C1983-DATE(YEAR(C1983-WEEKDAY(C1983,2)+4),1,3)+WEEKDAY(DATE(YEAR(C1983-WEEKDAY(C1983,2)+4),1,3),2)+5)/7),"00"))</f>
        <v/>
      </c>
    </row>
    <row r="1984" ht="18" customHeight="1">
      <c r="A1984" s="39" t="n">
        <v>1979</v>
      </c>
      <c r="B1984" s="33">
        <f>IF(C1984="","",IF(P1984="À RENSEIGNER","GIC",P1984)&amp;"-V"&amp;TEXT(A1984,"00000"))</f>
        <v/>
      </c>
      <c r="C1984" s="32" t="n"/>
      <c r="D1984" s="35" t="n"/>
      <c r="E1984" s="36" t="n"/>
      <c r="F1984" s="36" t="n"/>
      <c r="G1984" s="36" t="n"/>
      <c r="H1984" s="36" t="n"/>
      <c r="I1984" s="36" t="n"/>
      <c r="J1984" s="37" t="n"/>
      <c r="K1984" s="32" t="n"/>
      <c r="L1984" s="36" t="n"/>
      <c r="M1984" s="41" t="n"/>
      <c r="N1984" s="41" t="n"/>
      <c r="O1984" s="36" t="n"/>
      <c r="P1984" s="33">
        <f>IF(C1984="","",Commercial_Id)</f>
        <v/>
      </c>
      <c r="Q1984" s="39">
        <f>IF(F1984="","",IFERROR(VALUE(MID(F1984,LEN(F1984)-3,3)),""))</f>
        <v/>
      </c>
      <c r="R1984" s="33">
        <f>IF(Q1984="","",P1984&amp;"|"&amp;Q1984)</f>
        <v/>
      </c>
      <c r="S1984" s="33">
        <f>IF(Q1984="","",IF(P1984="À RENSEIGNER","GIC",P1984)&amp;"-"&amp;TEXT(Q1984,"000"))</f>
        <v/>
      </c>
      <c r="T1984" s="33">
        <f>IF(R1984="","",IFERROR(INDEX(Cl_nom,MATCH(R1984,Cl_cle,0)),"(client introuvable)"))</f>
        <v/>
      </c>
      <c r="U1984" s="33">
        <f>IF(R1984="","",IFERROR(INDEX(Cl_quartier,MATCH(R1984,Cl_cle,0))&amp;"",""))</f>
        <v/>
      </c>
      <c r="V1984" s="34">
        <f>IF(C1984="","",YEAR(C1984-WEEKDAY(C1984,2)+4)&amp;"-S"&amp;TEXT(INT((C1984-DATE(YEAR(C1984-WEEKDAY(C1984,2)+4),1,3)+WEEKDAY(DATE(YEAR(C1984-WEEKDAY(C1984,2)+4),1,3),2)+5)/7),"00"))</f>
        <v/>
      </c>
    </row>
    <row r="1985" ht="18" customHeight="1">
      <c r="A1985" s="39" t="n">
        <v>1980</v>
      </c>
      <c r="B1985" s="33">
        <f>IF(C1985="","",IF(P1985="À RENSEIGNER","GIC",P1985)&amp;"-V"&amp;TEXT(A1985,"00000"))</f>
        <v/>
      </c>
      <c r="C1985" s="32" t="n"/>
      <c r="D1985" s="35" t="n"/>
      <c r="E1985" s="36" t="n"/>
      <c r="F1985" s="36" t="n"/>
      <c r="G1985" s="36" t="n"/>
      <c r="H1985" s="36" t="n"/>
      <c r="I1985" s="36" t="n"/>
      <c r="J1985" s="37" t="n"/>
      <c r="K1985" s="32" t="n"/>
      <c r="L1985" s="36" t="n"/>
      <c r="M1985" s="41" t="n"/>
      <c r="N1985" s="41" t="n"/>
      <c r="O1985" s="36" t="n"/>
      <c r="P1985" s="33">
        <f>IF(C1985="","",Commercial_Id)</f>
        <v/>
      </c>
      <c r="Q1985" s="39">
        <f>IF(F1985="","",IFERROR(VALUE(MID(F1985,LEN(F1985)-3,3)),""))</f>
        <v/>
      </c>
      <c r="R1985" s="33">
        <f>IF(Q1985="","",P1985&amp;"|"&amp;Q1985)</f>
        <v/>
      </c>
      <c r="S1985" s="33">
        <f>IF(Q1985="","",IF(P1985="À RENSEIGNER","GIC",P1985)&amp;"-"&amp;TEXT(Q1985,"000"))</f>
        <v/>
      </c>
      <c r="T1985" s="33">
        <f>IF(R1985="","",IFERROR(INDEX(Cl_nom,MATCH(R1985,Cl_cle,0)),"(client introuvable)"))</f>
        <v/>
      </c>
      <c r="U1985" s="33">
        <f>IF(R1985="","",IFERROR(INDEX(Cl_quartier,MATCH(R1985,Cl_cle,0))&amp;"",""))</f>
        <v/>
      </c>
      <c r="V1985" s="34">
        <f>IF(C1985="","",YEAR(C1985-WEEKDAY(C1985,2)+4)&amp;"-S"&amp;TEXT(INT((C1985-DATE(YEAR(C1985-WEEKDAY(C1985,2)+4),1,3)+WEEKDAY(DATE(YEAR(C1985-WEEKDAY(C1985,2)+4),1,3),2)+5)/7),"00"))</f>
        <v/>
      </c>
    </row>
    <row r="1986" ht="18" customHeight="1">
      <c r="A1986" s="39" t="n">
        <v>1981</v>
      </c>
      <c r="B1986" s="33">
        <f>IF(C1986="","",IF(P1986="À RENSEIGNER","GIC",P1986)&amp;"-V"&amp;TEXT(A1986,"00000"))</f>
        <v/>
      </c>
      <c r="C1986" s="32" t="n"/>
      <c r="D1986" s="35" t="n"/>
      <c r="E1986" s="36" t="n"/>
      <c r="F1986" s="36" t="n"/>
      <c r="G1986" s="36" t="n"/>
      <c r="H1986" s="36" t="n"/>
      <c r="I1986" s="36" t="n"/>
      <c r="J1986" s="37" t="n"/>
      <c r="K1986" s="32" t="n"/>
      <c r="L1986" s="36" t="n"/>
      <c r="M1986" s="41" t="n"/>
      <c r="N1986" s="41" t="n"/>
      <c r="O1986" s="36" t="n"/>
      <c r="P1986" s="33">
        <f>IF(C1986="","",Commercial_Id)</f>
        <v/>
      </c>
      <c r="Q1986" s="39">
        <f>IF(F1986="","",IFERROR(VALUE(MID(F1986,LEN(F1986)-3,3)),""))</f>
        <v/>
      </c>
      <c r="R1986" s="33">
        <f>IF(Q1986="","",P1986&amp;"|"&amp;Q1986)</f>
        <v/>
      </c>
      <c r="S1986" s="33">
        <f>IF(Q1986="","",IF(P1986="À RENSEIGNER","GIC",P1986)&amp;"-"&amp;TEXT(Q1986,"000"))</f>
        <v/>
      </c>
      <c r="T1986" s="33">
        <f>IF(R1986="","",IFERROR(INDEX(Cl_nom,MATCH(R1986,Cl_cle,0)),"(client introuvable)"))</f>
        <v/>
      </c>
      <c r="U1986" s="33">
        <f>IF(R1986="","",IFERROR(INDEX(Cl_quartier,MATCH(R1986,Cl_cle,0))&amp;"",""))</f>
        <v/>
      </c>
      <c r="V1986" s="34">
        <f>IF(C1986="","",YEAR(C1986-WEEKDAY(C1986,2)+4)&amp;"-S"&amp;TEXT(INT((C1986-DATE(YEAR(C1986-WEEKDAY(C1986,2)+4),1,3)+WEEKDAY(DATE(YEAR(C1986-WEEKDAY(C1986,2)+4),1,3),2)+5)/7),"00"))</f>
        <v/>
      </c>
    </row>
    <row r="1987" ht="18" customHeight="1">
      <c r="A1987" s="39" t="n">
        <v>1982</v>
      </c>
      <c r="B1987" s="33">
        <f>IF(C1987="","",IF(P1987="À RENSEIGNER","GIC",P1987)&amp;"-V"&amp;TEXT(A1987,"00000"))</f>
        <v/>
      </c>
      <c r="C1987" s="32" t="n"/>
      <c r="D1987" s="35" t="n"/>
      <c r="E1987" s="36" t="n"/>
      <c r="F1987" s="36" t="n"/>
      <c r="G1987" s="36" t="n"/>
      <c r="H1987" s="36" t="n"/>
      <c r="I1987" s="36" t="n"/>
      <c r="J1987" s="37" t="n"/>
      <c r="K1987" s="32" t="n"/>
      <c r="L1987" s="36" t="n"/>
      <c r="M1987" s="41" t="n"/>
      <c r="N1987" s="41" t="n"/>
      <c r="O1987" s="36" t="n"/>
      <c r="P1987" s="33">
        <f>IF(C1987="","",Commercial_Id)</f>
        <v/>
      </c>
      <c r="Q1987" s="39">
        <f>IF(F1987="","",IFERROR(VALUE(MID(F1987,LEN(F1987)-3,3)),""))</f>
        <v/>
      </c>
      <c r="R1987" s="33">
        <f>IF(Q1987="","",P1987&amp;"|"&amp;Q1987)</f>
        <v/>
      </c>
      <c r="S1987" s="33">
        <f>IF(Q1987="","",IF(P1987="À RENSEIGNER","GIC",P1987)&amp;"-"&amp;TEXT(Q1987,"000"))</f>
        <v/>
      </c>
      <c r="T1987" s="33">
        <f>IF(R1987="","",IFERROR(INDEX(Cl_nom,MATCH(R1987,Cl_cle,0)),"(client introuvable)"))</f>
        <v/>
      </c>
      <c r="U1987" s="33">
        <f>IF(R1987="","",IFERROR(INDEX(Cl_quartier,MATCH(R1987,Cl_cle,0))&amp;"",""))</f>
        <v/>
      </c>
      <c r="V1987" s="34">
        <f>IF(C1987="","",YEAR(C1987-WEEKDAY(C1987,2)+4)&amp;"-S"&amp;TEXT(INT((C1987-DATE(YEAR(C1987-WEEKDAY(C1987,2)+4),1,3)+WEEKDAY(DATE(YEAR(C1987-WEEKDAY(C1987,2)+4),1,3),2)+5)/7),"00"))</f>
        <v/>
      </c>
    </row>
    <row r="1988" ht="18" customHeight="1">
      <c r="A1988" s="39" t="n">
        <v>1983</v>
      </c>
      <c r="B1988" s="33">
        <f>IF(C1988="","",IF(P1988="À RENSEIGNER","GIC",P1988)&amp;"-V"&amp;TEXT(A1988,"00000"))</f>
        <v/>
      </c>
      <c r="C1988" s="32" t="n"/>
      <c r="D1988" s="35" t="n"/>
      <c r="E1988" s="36" t="n"/>
      <c r="F1988" s="36" t="n"/>
      <c r="G1988" s="36" t="n"/>
      <c r="H1988" s="36" t="n"/>
      <c r="I1988" s="36" t="n"/>
      <c r="J1988" s="37" t="n"/>
      <c r="K1988" s="32" t="n"/>
      <c r="L1988" s="36" t="n"/>
      <c r="M1988" s="41" t="n"/>
      <c r="N1988" s="41" t="n"/>
      <c r="O1988" s="36" t="n"/>
      <c r="P1988" s="33">
        <f>IF(C1988="","",Commercial_Id)</f>
        <v/>
      </c>
      <c r="Q1988" s="39">
        <f>IF(F1988="","",IFERROR(VALUE(MID(F1988,LEN(F1988)-3,3)),""))</f>
        <v/>
      </c>
      <c r="R1988" s="33">
        <f>IF(Q1988="","",P1988&amp;"|"&amp;Q1988)</f>
        <v/>
      </c>
      <c r="S1988" s="33">
        <f>IF(Q1988="","",IF(P1988="À RENSEIGNER","GIC",P1988)&amp;"-"&amp;TEXT(Q1988,"000"))</f>
        <v/>
      </c>
      <c r="T1988" s="33">
        <f>IF(R1988="","",IFERROR(INDEX(Cl_nom,MATCH(R1988,Cl_cle,0)),"(client introuvable)"))</f>
        <v/>
      </c>
      <c r="U1988" s="33">
        <f>IF(R1988="","",IFERROR(INDEX(Cl_quartier,MATCH(R1988,Cl_cle,0))&amp;"",""))</f>
        <v/>
      </c>
      <c r="V1988" s="34">
        <f>IF(C1988="","",YEAR(C1988-WEEKDAY(C1988,2)+4)&amp;"-S"&amp;TEXT(INT((C1988-DATE(YEAR(C1988-WEEKDAY(C1988,2)+4),1,3)+WEEKDAY(DATE(YEAR(C1988-WEEKDAY(C1988,2)+4),1,3),2)+5)/7),"00"))</f>
        <v/>
      </c>
    </row>
    <row r="1989" ht="18" customHeight="1">
      <c r="A1989" s="39" t="n">
        <v>1984</v>
      </c>
      <c r="B1989" s="33">
        <f>IF(C1989="","",IF(P1989="À RENSEIGNER","GIC",P1989)&amp;"-V"&amp;TEXT(A1989,"00000"))</f>
        <v/>
      </c>
      <c r="C1989" s="32" t="n"/>
      <c r="D1989" s="35" t="n"/>
      <c r="E1989" s="36" t="n"/>
      <c r="F1989" s="36" t="n"/>
      <c r="G1989" s="36" t="n"/>
      <c r="H1989" s="36" t="n"/>
      <c r="I1989" s="36" t="n"/>
      <c r="J1989" s="37" t="n"/>
      <c r="K1989" s="32" t="n"/>
      <c r="L1989" s="36" t="n"/>
      <c r="M1989" s="41" t="n"/>
      <c r="N1989" s="41" t="n"/>
      <c r="O1989" s="36" t="n"/>
      <c r="P1989" s="33">
        <f>IF(C1989="","",Commercial_Id)</f>
        <v/>
      </c>
      <c r="Q1989" s="39">
        <f>IF(F1989="","",IFERROR(VALUE(MID(F1989,LEN(F1989)-3,3)),""))</f>
        <v/>
      </c>
      <c r="R1989" s="33">
        <f>IF(Q1989="","",P1989&amp;"|"&amp;Q1989)</f>
        <v/>
      </c>
      <c r="S1989" s="33">
        <f>IF(Q1989="","",IF(P1989="À RENSEIGNER","GIC",P1989)&amp;"-"&amp;TEXT(Q1989,"000"))</f>
        <v/>
      </c>
      <c r="T1989" s="33">
        <f>IF(R1989="","",IFERROR(INDEX(Cl_nom,MATCH(R1989,Cl_cle,0)),"(client introuvable)"))</f>
        <v/>
      </c>
      <c r="U1989" s="33">
        <f>IF(R1989="","",IFERROR(INDEX(Cl_quartier,MATCH(R1989,Cl_cle,0))&amp;"",""))</f>
        <v/>
      </c>
      <c r="V1989" s="34">
        <f>IF(C1989="","",YEAR(C1989-WEEKDAY(C1989,2)+4)&amp;"-S"&amp;TEXT(INT((C1989-DATE(YEAR(C1989-WEEKDAY(C1989,2)+4),1,3)+WEEKDAY(DATE(YEAR(C1989-WEEKDAY(C1989,2)+4),1,3),2)+5)/7),"00"))</f>
        <v/>
      </c>
    </row>
    <row r="1990" ht="18" customHeight="1">
      <c r="A1990" s="39" t="n">
        <v>1985</v>
      </c>
      <c r="B1990" s="33">
        <f>IF(C1990="","",IF(P1990="À RENSEIGNER","GIC",P1990)&amp;"-V"&amp;TEXT(A1990,"00000"))</f>
        <v/>
      </c>
      <c r="C1990" s="32" t="n"/>
      <c r="D1990" s="35" t="n"/>
      <c r="E1990" s="36" t="n"/>
      <c r="F1990" s="36" t="n"/>
      <c r="G1990" s="36" t="n"/>
      <c r="H1990" s="36" t="n"/>
      <c r="I1990" s="36" t="n"/>
      <c r="J1990" s="37" t="n"/>
      <c r="K1990" s="32" t="n"/>
      <c r="L1990" s="36" t="n"/>
      <c r="M1990" s="41" t="n"/>
      <c r="N1990" s="41" t="n"/>
      <c r="O1990" s="36" t="n"/>
      <c r="P1990" s="33">
        <f>IF(C1990="","",Commercial_Id)</f>
        <v/>
      </c>
      <c r="Q1990" s="39">
        <f>IF(F1990="","",IFERROR(VALUE(MID(F1990,LEN(F1990)-3,3)),""))</f>
        <v/>
      </c>
      <c r="R1990" s="33">
        <f>IF(Q1990="","",P1990&amp;"|"&amp;Q1990)</f>
        <v/>
      </c>
      <c r="S1990" s="33">
        <f>IF(Q1990="","",IF(P1990="À RENSEIGNER","GIC",P1990)&amp;"-"&amp;TEXT(Q1990,"000"))</f>
        <v/>
      </c>
      <c r="T1990" s="33">
        <f>IF(R1990="","",IFERROR(INDEX(Cl_nom,MATCH(R1990,Cl_cle,0)),"(client introuvable)"))</f>
        <v/>
      </c>
      <c r="U1990" s="33">
        <f>IF(R1990="","",IFERROR(INDEX(Cl_quartier,MATCH(R1990,Cl_cle,0))&amp;"",""))</f>
        <v/>
      </c>
      <c r="V1990" s="34">
        <f>IF(C1990="","",YEAR(C1990-WEEKDAY(C1990,2)+4)&amp;"-S"&amp;TEXT(INT((C1990-DATE(YEAR(C1990-WEEKDAY(C1990,2)+4),1,3)+WEEKDAY(DATE(YEAR(C1990-WEEKDAY(C1990,2)+4),1,3),2)+5)/7),"00"))</f>
        <v/>
      </c>
    </row>
    <row r="1991" ht="18" customHeight="1">
      <c r="A1991" s="39" t="n">
        <v>1986</v>
      </c>
      <c r="B1991" s="33">
        <f>IF(C1991="","",IF(P1991="À RENSEIGNER","GIC",P1991)&amp;"-V"&amp;TEXT(A1991,"00000"))</f>
        <v/>
      </c>
      <c r="C1991" s="32" t="n"/>
      <c r="D1991" s="35" t="n"/>
      <c r="E1991" s="36" t="n"/>
      <c r="F1991" s="36" t="n"/>
      <c r="G1991" s="36" t="n"/>
      <c r="H1991" s="36" t="n"/>
      <c r="I1991" s="36" t="n"/>
      <c r="J1991" s="37" t="n"/>
      <c r="K1991" s="32" t="n"/>
      <c r="L1991" s="36" t="n"/>
      <c r="M1991" s="41" t="n"/>
      <c r="N1991" s="41" t="n"/>
      <c r="O1991" s="36" t="n"/>
      <c r="P1991" s="33">
        <f>IF(C1991="","",Commercial_Id)</f>
        <v/>
      </c>
      <c r="Q1991" s="39">
        <f>IF(F1991="","",IFERROR(VALUE(MID(F1991,LEN(F1991)-3,3)),""))</f>
        <v/>
      </c>
      <c r="R1991" s="33">
        <f>IF(Q1991="","",P1991&amp;"|"&amp;Q1991)</f>
        <v/>
      </c>
      <c r="S1991" s="33">
        <f>IF(Q1991="","",IF(P1991="À RENSEIGNER","GIC",P1991)&amp;"-"&amp;TEXT(Q1991,"000"))</f>
        <v/>
      </c>
      <c r="T1991" s="33">
        <f>IF(R1991="","",IFERROR(INDEX(Cl_nom,MATCH(R1991,Cl_cle,0)),"(client introuvable)"))</f>
        <v/>
      </c>
      <c r="U1991" s="33">
        <f>IF(R1991="","",IFERROR(INDEX(Cl_quartier,MATCH(R1991,Cl_cle,0))&amp;"",""))</f>
        <v/>
      </c>
      <c r="V1991" s="34">
        <f>IF(C1991="","",YEAR(C1991-WEEKDAY(C1991,2)+4)&amp;"-S"&amp;TEXT(INT((C1991-DATE(YEAR(C1991-WEEKDAY(C1991,2)+4),1,3)+WEEKDAY(DATE(YEAR(C1991-WEEKDAY(C1991,2)+4),1,3),2)+5)/7),"00"))</f>
        <v/>
      </c>
    </row>
    <row r="1992" ht="18" customHeight="1">
      <c r="A1992" s="39" t="n">
        <v>1987</v>
      </c>
      <c r="B1992" s="33">
        <f>IF(C1992="","",IF(P1992="À RENSEIGNER","GIC",P1992)&amp;"-V"&amp;TEXT(A1992,"00000"))</f>
        <v/>
      </c>
      <c r="C1992" s="32" t="n"/>
      <c r="D1992" s="35" t="n"/>
      <c r="E1992" s="36" t="n"/>
      <c r="F1992" s="36" t="n"/>
      <c r="G1992" s="36" t="n"/>
      <c r="H1992" s="36" t="n"/>
      <c r="I1992" s="36" t="n"/>
      <c r="J1992" s="37" t="n"/>
      <c r="K1992" s="32" t="n"/>
      <c r="L1992" s="36" t="n"/>
      <c r="M1992" s="41" t="n"/>
      <c r="N1992" s="41" t="n"/>
      <c r="O1992" s="36" t="n"/>
      <c r="P1992" s="33">
        <f>IF(C1992="","",Commercial_Id)</f>
        <v/>
      </c>
      <c r="Q1992" s="39">
        <f>IF(F1992="","",IFERROR(VALUE(MID(F1992,LEN(F1992)-3,3)),""))</f>
        <v/>
      </c>
      <c r="R1992" s="33">
        <f>IF(Q1992="","",P1992&amp;"|"&amp;Q1992)</f>
        <v/>
      </c>
      <c r="S1992" s="33">
        <f>IF(Q1992="","",IF(P1992="À RENSEIGNER","GIC",P1992)&amp;"-"&amp;TEXT(Q1992,"000"))</f>
        <v/>
      </c>
      <c r="T1992" s="33">
        <f>IF(R1992="","",IFERROR(INDEX(Cl_nom,MATCH(R1992,Cl_cle,0)),"(client introuvable)"))</f>
        <v/>
      </c>
      <c r="U1992" s="33">
        <f>IF(R1992="","",IFERROR(INDEX(Cl_quartier,MATCH(R1992,Cl_cle,0))&amp;"",""))</f>
        <v/>
      </c>
      <c r="V1992" s="34">
        <f>IF(C1992="","",YEAR(C1992-WEEKDAY(C1992,2)+4)&amp;"-S"&amp;TEXT(INT((C1992-DATE(YEAR(C1992-WEEKDAY(C1992,2)+4),1,3)+WEEKDAY(DATE(YEAR(C1992-WEEKDAY(C1992,2)+4),1,3),2)+5)/7),"00"))</f>
        <v/>
      </c>
    </row>
    <row r="1993" ht="18" customHeight="1">
      <c r="A1993" s="39" t="n">
        <v>1988</v>
      </c>
      <c r="B1993" s="33">
        <f>IF(C1993="","",IF(P1993="À RENSEIGNER","GIC",P1993)&amp;"-V"&amp;TEXT(A1993,"00000"))</f>
        <v/>
      </c>
      <c r="C1993" s="32" t="n"/>
      <c r="D1993" s="35" t="n"/>
      <c r="E1993" s="36" t="n"/>
      <c r="F1993" s="36" t="n"/>
      <c r="G1993" s="36" t="n"/>
      <c r="H1993" s="36" t="n"/>
      <c r="I1993" s="36" t="n"/>
      <c r="J1993" s="37" t="n"/>
      <c r="K1993" s="32" t="n"/>
      <c r="L1993" s="36" t="n"/>
      <c r="M1993" s="41" t="n"/>
      <c r="N1993" s="41" t="n"/>
      <c r="O1993" s="36" t="n"/>
      <c r="P1993" s="33">
        <f>IF(C1993="","",Commercial_Id)</f>
        <v/>
      </c>
      <c r="Q1993" s="39">
        <f>IF(F1993="","",IFERROR(VALUE(MID(F1993,LEN(F1993)-3,3)),""))</f>
        <v/>
      </c>
      <c r="R1993" s="33">
        <f>IF(Q1993="","",P1993&amp;"|"&amp;Q1993)</f>
        <v/>
      </c>
      <c r="S1993" s="33">
        <f>IF(Q1993="","",IF(P1993="À RENSEIGNER","GIC",P1993)&amp;"-"&amp;TEXT(Q1993,"000"))</f>
        <v/>
      </c>
      <c r="T1993" s="33">
        <f>IF(R1993="","",IFERROR(INDEX(Cl_nom,MATCH(R1993,Cl_cle,0)),"(client introuvable)"))</f>
        <v/>
      </c>
      <c r="U1993" s="33">
        <f>IF(R1993="","",IFERROR(INDEX(Cl_quartier,MATCH(R1993,Cl_cle,0))&amp;"",""))</f>
        <v/>
      </c>
      <c r="V1993" s="34">
        <f>IF(C1993="","",YEAR(C1993-WEEKDAY(C1993,2)+4)&amp;"-S"&amp;TEXT(INT((C1993-DATE(YEAR(C1993-WEEKDAY(C1993,2)+4),1,3)+WEEKDAY(DATE(YEAR(C1993-WEEKDAY(C1993,2)+4),1,3),2)+5)/7),"00"))</f>
        <v/>
      </c>
    </row>
    <row r="1994" ht="18" customHeight="1">
      <c r="A1994" s="39" t="n">
        <v>1989</v>
      </c>
      <c r="B1994" s="33">
        <f>IF(C1994="","",IF(P1994="À RENSEIGNER","GIC",P1994)&amp;"-V"&amp;TEXT(A1994,"00000"))</f>
        <v/>
      </c>
      <c r="C1994" s="32" t="n"/>
      <c r="D1994" s="35" t="n"/>
      <c r="E1994" s="36" t="n"/>
      <c r="F1994" s="36" t="n"/>
      <c r="G1994" s="36" t="n"/>
      <c r="H1994" s="36" t="n"/>
      <c r="I1994" s="36" t="n"/>
      <c r="J1994" s="37" t="n"/>
      <c r="K1994" s="32" t="n"/>
      <c r="L1994" s="36" t="n"/>
      <c r="M1994" s="41" t="n"/>
      <c r="N1994" s="41" t="n"/>
      <c r="O1994" s="36" t="n"/>
      <c r="P1994" s="33">
        <f>IF(C1994="","",Commercial_Id)</f>
        <v/>
      </c>
      <c r="Q1994" s="39">
        <f>IF(F1994="","",IFERROR(VALUE(MID(F1994,LEN(F1994)-3,3)),""))</f>
        <v/>
      </c>
      <c r="R1994" s="33">
        <f>IF(Q1994="","",P1994&amp;"|"&amp;Q1994)</f>
        <v/>
      </c>
      <c r="S1994" s="33">
        <f>IF(Q1994="","",IF(P1994="À RENSEIGNER","GIC",P1994)&amp;"-"&amp;TEXT(Q1994,"000"))</f>
        <v/>
      </c>
      <c r="T1994" s="33">
        <f>IF(R1994="","",IFERROR(INDEX(Cl_nom,MATCH(R1994,Cl_cle,0)),"(client introuvable)"))</f>
        <v/>
      </c>
      <c r="U1994" s="33">
        <f>IF(R1994="","",IFERROR(INDEX(Cl_quartier,MATCH(R1994,Cl_cle,0))&amp;"",""))</f>
        <v/>
      </c>
      <c r="V1994" s="34">
        <f>IF(C1994="","",YEAR(C1994-WEEKDAY(C1994,2)+4)&amp;"-S"&amp;TEXT(INT((C1994-DATE(YEAR(C1994-WEEKDAY(C1994,2)+4),1,3)+WEEKDAY(DATE(YEAR(C1994-WEEKDAY(C1994,2)+4),1,3),2)+5)/7),"00"))</f>
        <v/>
      </c>
    </row>
    <row r="1995" ht="18" customHeight="1">
      <c r="A1995" s="39" t="n">
        <v>1990</v>
      </c>
      <c r="B1995" s="33">
        <f>IF(C1995="","",IF(P1995="À RENSEIGNER","GIC",P1995)&amp;"-V"&amp;TEXT(A1995,"00000"))</f>
        <v/>
      </c>
      <c r="C1995" s="32" t="n"/>
      <c r="D1995" s="35" t="n"/>
      <c r="E1995" s="36" t="n"/>
      <c r="F1995" s="36" t="n"/>
      <c r="G1995" s="36" t="n"/>
      <c r="H1995" s="36" t="n"/>
      <c r="I1995" s="36" t="n"/>
      <c r="J1995" s="37" t="n"/>
      <c r="K1995" s="32" t="n"/>
      <c r="L1995" s="36" t="n"/>
      <c r="M1995" s="41" t="n"/>
      <c r="N1995" s="41" t="n"/>
      <c r="O1995" s="36" t="n"/>
      <c r="P1995" s="33">
        <f>IF(C1995="","",Commercial_Id)</f>
        <v/>
      </c>
      <c r="Q1995" s="39">
        <f>IF(F1995="","",IFERROR(VALUE(MID(F1995,LEN(F1995)-3,3)),""))</f>
        <v/>
      </c>
      <c r="R1995" s="33">
        <f>IF(Q1995="","",P1995&amp;"|"&amp;Q1995)</f>
        <v/>
      </c>
      <c r="S1995" s="33">
        <f>IF(Q1995="","",IF(P1995="À RENSEIGNER","GIC",P1995)&amp;"-"&amp;TEXT(Q1995,"000"))</f>
        <v/>
      </c>
      <c r="T1995" s="33">
        <f>IF(R1995="","",IFERROR(INDEX(Cl_nom,MATCH(R1995,Cl_cle,0)),"(client introuvable)"))</f>
        <v/>
      </c>
      <c r="U1995" s="33">
        <f>IF(R1995="","",IFERROR(INDEX(Cl_quartier,MATCH(R1995,Cl_cle,0))&amp;"",""))</f>
        <v/>
      </c>
      <c r="V1995" s="34">
        <f>IF(C1995="","",YEAR(C1995-WEEKDAY(C1995,2)+4)&amp;"-S"&amp;TEXT(INT((C1995-DATE(YEAR(C1995-WEEKDAY(C1995,2)+4),1,3)+WEEKDAY(DATE(YEAR(C1995-WEEKDAY(C1995,2)+4),1,3),2)+5)/7),"00"))</f>
        <v/>
      </c>
    </row>
    <row r="1996" ht="18" customHeight="1">
      <c r="A1996" s="39" t="n">
        <v>1991</v>
      </c>
      <c r="B1996" s="33">
        <f>IF(C1996="","",IF(P1996="À RENSEIGNER","GIC",P1996)&amp;"-V"&amp;TEXT(A1996,"00000"))</f>
        <v/>
      </c>
      <c r="C1996" s="32" t="n"/>
      <c r="D1996" s="35" t="n"/>
      <c r="E1996" s="36" t="n"/>
      <c r="F1996" s="36" t="n"/>
      <c r="G1996" s="36" t="n"/>
      <c r="H1996" s="36" t="n"/>
      <c r="I1996" s="36" t="n"/>
      <c r="J1996" s="37" t="n"/>
      <c r="K1996" s="32" t="n"/>
      <c r="L1996" s="36" t="n"/>
      <c r="M1996" s="41" t="n"/>
      <c r="N1996" s="41" t="n"/>
      <c r="O1996" s="36" t="n"/>
      <c r="P1996" s="33">
        <f>IF(C1996="","",Commercial_Id)</f>
        <v/>
      </c>
      <c r="Q1996" s="39">
        <f>IF(F1996="","",IFERROR(VALUE(MID(F1996,LEN(F1996)-3,3)),""))</f>
        <v/>
      </c>
      <c r="R1996" s="33">
        <f>IF(Q1996="","",P1996&amp;"|"&amp;Q1996)</f>
        <v/>
      </c>
      <c r="S1996" s="33">
        <f>IF(Q1996="","",IF(P1996="À RENSEIGNER","GIC",P1996)&amp;"-"&amp;TEXT(Q1996,"000"))</f>
        <v/>
      </c>
      <c r="T1996" s="33">
        <f>IF(R1996="","",IFERROR(INDEX(Cl_nom,MATCH(R1996,Cl_cle,0)),"(client introuvable)"))</f>
        <v/>
      </c>
      <c r="U1996" s="33">
        <f>IF(R1996="","",IFERROR(INDEX(Cl_quartier,MATCH(R1996,Cl_cle,0))&amp;"",""))</f>
        <v/>
      </c>
      <c r="V1996" s="34">
        <f>IF(C1996="","",YEAR(C1996-WEEKDAY(C1996,2)+4)&amp;"-S"&amp;TEXT(INT((C1996-DATE(YEAR(C1996-WEEKDAY(C1996,2)+4),1,3)+WEEKDAY(DATE(YEAR(C1996-WEEKDAY(C1996,2)+4),1,3),2)+5)/7),"00"))</f>
        <v/>
      </c>
    </row>
    <row r="1997" ht="18" customHeight="1">
      <c r="A1997" s="39" t="n">
        <v>1992</v>
      </c>
      <c r="B1997" s="33">
        <f>IF(C1997="","",IF(P1997="À RENSEIGNER","GIC",P1997)&amp;"-V"&amp;TEXT(A1997,"00000"))</f>
        <v/>
      </c>
      <c r="C1997" s="32" t="n"/>
      <c r="D1997" s="35" t="n"/>
      <c r="E1997" s="36" t="n"/>
      <c r="F1997" s="36" t="n"/>
      <c r="G1997" s="36" t="n"/>
      <c r="H1997" s="36" t="n"/>
      <c r="I1997" s="36" t="n"/>
      <c r="J1997" s="37" t="n"/>
      <c r="K1997" s="32" t="n"/>
      <c r="L1997" s="36" t="n"/>
      <c r="M1997" s="41" t="n"/>
      <c r="N1997" s="41" t="n"/>
      <c r="O1997" s="36" t="n"/>
      <c r="P1997" s="33">
        <f>IF(C1997="","",Commercial_Id)</f>
        <v/>
      </c>
      <c r="Q1997" s="39">
        <f>IF(F1997="","",IFERROR(VALUE(MID(F1997,LEN(F1997)-3,3)),""))</f>
        <v/>
      </c>
      <c r="R1997" s="33">
        <f>IF(Q1997="","",P1997&amp;"|"&amp;Q1997)</f>
        <v/>
      </c>
      <c r="S1997" s="33">
        <f>IF(Q1997="","",IF(P1997="À RENSEIGNER","GIC",P1997)&amp;"-"&amp;TEXT(Q1997,"000"))</f>
        <v/>
      </c>
      <c r="T1997" s="33">
        <f>IF(R1997="","",IFERROR(INDEX(Cl_nom,MATCH(R1997,Cl_cle,0)),"(client introuvable)"))</f>
        <v/>
      </c>
      <c r="U1997" s="33">
        <f>IF(R1997="","",IFERROR(INDEX(Cl_quartier,MATCH(R1997,Cl_cle,0))&amp;"",""))</f>
        <v/>
      </c>
      <c r="V1997" s="34">
        <f>IF(C1997="","",YEAR(C1997-WEEKDAY(C1997,2)+4)&amp;"-S"&amp;TEXT(INT((C1997-DATE(YEAR(C1997-WEEKDAY(C1997,2)+4),1,3)+WEEKDAY(DATE(YEAR(C1997-WEEKDAY(C1997,2)+4),1,3),2)+5)/7),"00"))</f>
        <v/>
      </c>
    </row>
    <row r="1998" ht="18" customHeight="1">
      <c r="A1998" s="39" t="n">
        <v>1993</v>
      </c>
      <c r="B1998" s="33">
        <f>IF(C1998="","",IF(P1998="À RENSEIGNER","GIC",P1998)&amp;"-V"&amp;TEXT(A1998,"00000"))</f>
        <v/>
      </c>
      <c r="C1998" s="32" t="n"/>
      <c r="D1998" s="35" t="n"/>
      <c r="E1998" s="36" t="n"/>
      <c r="F1998" s="36" t="n"/>
      <c r="G1998" s="36" t="n"/>
      <c r="H1998" s="36" t="n"/>
      <c r="I1998" s="36" t="n"/>
      <c r="J1998" s="37" t="n"/>
      <c r="K1998" s="32" t="n"/>
      <c r="L1998" s="36" t="n"/>
      <c r="M1998" s="41" t="n"/>
      <c r="N1998" s="41" t="n"/>
      <c r="O1998" s="36" t="n"/>
      <c r="P1998" s="33">
        <f>IF(C1998="","",Commercial_Id)</f>
        <v/>
      </c>
      <c r="Q1998" s="39">
        <f>IF(F1998="","",IFERROR(VALUE(MID(F1998,LEN(F1998)-3,3)),""))</f>
        <v/>
      </c>
      <c r="R1998" s="33">
        <f>IF(Q1998="","",P1998&amp;"|"&amp;Q1998)</f>
        <v/>
      </c>
      <c r="S1998" s="33">
        <f>IF(Q1998="","",IF(P1998="À RENSEIGNER","GIC",P1998)&amp;"-"&amp;TEXT(Q1998,"000"))</f>
        <v/>
      </c>
      <c r="T1998" s="33">
        <f>IF(R1998="","",IFERROR(INDEX(Cl_nom,MATCH(R1998,Cl_cle,0)),"(client introuvable)"))</f>
        <v/>
      </c>
      <c r="U1998" s="33">
        <f>IF(R1998="","",IFERROR(INDEX(Cl_quartier,MATCH(R1998,Cl_cle,0))&amp;"",""))</f>
        <v/>
      </c>
      <c r="V1998" s="34">
        <f>IF(C1998="","",YEAR(C1998-WEEKDAY(C1998,2)+4)&amp;"-S"&amp;TEXT(INT((C1998-DATE(YEAR(C1998-WEEKDAY(C1998,2)+4),1,3)+WEEKDAY(DATE(YEAR(C1998-WEEKDAY(C1998,2)+4),1,3),2)+5)/7),"00"))</f>
        <v/>
      </c>
    </row>
    <row r="1999" ht="18" customHeight="1">
      <c r="A1999" s="39" t="n">
        <v>1994</v>
      </c>
      <c r="B1999" s="33">
        <f>IF(C1999="","",IF(P1999="À RENSEIGNER","GIC",P1999)&amp;"-V"&amp;TEXT(A1999,"00000"))</f>
        <v/>
      </c>
      <c r="C1999" s="32" t="n"/>
      <c r="D1999" s="35" t="n"/>
      <c r="E1999" s="36" t="n"/>
      <c r="F1999" s="36" t="n"/>
      <c r="G1999" s="36" t="n"/>
      <c r="H1999" s="36" t="n"/>
      <c r="I1999" s="36" t="n"/>
      <c r="J1999" s="37" t="n"/>
      <c r="K1999" s="32" t="n"/>
      <c r="L1999" s="36" t="n"/>
      <c r="M1999" s="41" t="n"/>
      <c r="N1999" s="41" t="n"/>
      <c r="O1999" s="36" t="n"/>
      <c r="P1999" s="33">
        <f>IF(C1999="","",Commercial_Id)</f>
        <v/>
      </c>
      <c r="Q1999" s="39">
        <f>IF(F1999="","",IFERROR(VALUE(MID(F1999,LEN(F1999)-3,3)),""))</f>
        <v/>
      </c>
      <c r="R1999" s="33">
        <f>IF(Q1999="","",P1999&amp;"|"&amp;Q1999)</f>
        <v/>
      </c>
      <c r="S1999" s="33">
        <f>IF(Q1999="","",IF(P1999="À RENSEIGNER","GIC",P1999)&amp;"-"&amp;TEXT(Q1999,"000"))</f>
        <v/>
      </c>
      <c r="T1999" s="33">
        <f>IF(R1999="","",IFERROR(INDEX(Cl_nom,MATCH(R1999,Cl_cle,0)),"(client introuvable)"))</f>
        <v/>
      </c>
      <c r="U1999" s="33">
        <f>IF(R1999="","",IFERROR(INDEX(Cl_quartier,MATCH(R1999,Cl_cle,0))&amp;"",""))</f>
        <v/>
      </c>
      <c r="V1999" s="34">
        <f>IF(C1999="","",YEAR(C1999-WEEKDAY(C1999,2)+4)&amp;"-S"&amp;TEXT(INT((C1999-DATE(YEAR(C1999-WEEKDAY(C1999,2)+4),1,3)+WEEKDAY(DATE(YEAR(C1999-WEEKDAY(C1999,2)+4),1,3),2)+5)/7),"00"))</f>
        <v/>
      </c>
    </row>
    <row r="2000" ht="18" customHeight="1">
      <c r="A2000" s="39" t="n">
        <v>1995</v>
      </c>
      <c r="B2000" s="33">
        <f>IF(C2000="","",IF(P2000="À RENSEIGNER","GIC",P2000)&amp;"-V"&amp;TEXT(A2000,"00000"))</f>
        <v/>
      </c>
      <c r="C2000" s="32" t="n"/>
      <c r="D2000" s="35" t="n"/>
      <c r="E2000" s="36" t="n"/>
      <c r="F2000" s="36" t="n"/>
      <c r="G2000" s="36" t="n"/>
      <c r="H2000" s="36" t="n"/>
      <c r="I2000" s="36" t="n"/>
      <c r="J2000" s="37" t="n"/>
      <c r="K2000" s="32" t="n"/>
      <c r="L2000" s="36" t="n"/>
      <c r="M2000" s="41" t="n"/>
      <c r="N2000" s="41" t="n"/>
      <c r="O2000" s="36" t="n"/>
      <c r="P2000" s="33">
        <f>IF(C2000="","",Commercial_Id)</f>
        <v/>
      </c>
      <c r="Q2000" s="39">
        <f>IF(F2000="","",IFERROR(VALUE(MID(F2000,LEN(F2000)-3,3)),""))</f>
        <v/>
      </c>
      <c r="R2000" s="33">
        <f>IF(Q2000="","",P2000&amp;"|"&amp;Q2000)</f>
        <v/>
      </c>
      <c r="S2000" s="33">
        <f>IF(Q2000="","",IF(P2000="À RENSEIGNER","GIC",P2000)&amp;"-"&amp;TEXT(Q2000,"000"))</f>
        <v/>
      </c>
      <c r="T2000" s="33">
        <f>IF(R2000="","",IFERROR(INDEX(Cl_nom,MATCH(R2000,Cl_cle,0)),"(client introuvable)"))</f>
        <v/>
      </c>
      <c r="U2000" s="33">
        <f>IF(R2000="","",IFERROR(INDEX(Cl_quartier,MATCH(R2000,Cl_cle,0))&amp;"",""))</f>
        <v/>
      </c>
      <c r="V2000" s="34">
        <f>IF(C2000="","",YEAR(C2000-WEEKDAY(C2000,2)+4)&amp;"-S"&amp;TEXT(INT((C2000-DATE(YEAR(C2000-WEEKDAY(C2000,2)+4),1,3)+WEEKDAY(DATE(YEAR(C2000-WEEKDAY(C2000,2)+4),1,3),2)+5)/7),"00"))</f>
        <v/>
      </c>
    </row>
    <row r="2001" ht="18" customHeight="1">
      <c r="A2001" s="39" t="n">
        <v>1996</v>
      </c>
      <c r="B2001" s="33">
        <f>IF(C2001="","",IF(P2001="À RENSEIGNER","GIC",P2001)&amp;"-V"&amp;TEXT(A2001,"00000"))</f>
        <v/>
      </c>
      <c r="C2001" s="32" t="n"/>
      <c r="D2001" s="35" t="n"/>
      <c r="E2001" s="36" t="n"/>
      <c r="F2001" s="36" t="n"/>
      <c r="G2001" s="36" t="n"/>
      <c r="H2001" s="36" t="n"/>
      <c r="I2001" s="36" t="n"/>
      <c r="J2001" s="37" t="n"/>
      <c r="K2001" s="32" t="n"/>
      <c r="L2001" s="36" t="n"/>
      <c r="M2001" s="41" t="n"/>
      <c r="N2001" s="41" t="n"/>
      <c r="O2001" s="36" t="n"/>
      <c r="P2001" s="33">
        <f>IF(C2001="","",Commercial_Id)</f>
        <v/>
      </c>
      <c r="Q2001" s="39">
        <f>IF(F2001="","",IFERROR(VALUE(MID(F2001,LEN(F2001)-3,3)),""))</f>
        <v/>
      </c>
      <c r="R2001" s="33">
        <f>IF(Q2001="","",P2001&amp;"|"&amp;Q2001)</f>
        <v/>
      </c>
      <c r="S2001" s="33">
        <f>IF(Q2001="","",IF(P2001="À RENSEIGNER","GIC",P2001)&amp;"-"&amp;TEXT(Q2001,"000"))</f>
        <v/>
      </c>
      <c r="T2001" s="33">
        <f>IF(R2001="","",IFERROR(INDEX(Cl_nom,MATCH(R2001,Cl_cle,0)),"(client introuvable)"))</f>
        <v/>
      </c>
      <c r="U2001" s="33">
        <f>IF(R2001="","",IFERROR(INDEX(Cl_quartier,MATCH(R2001,Cl_cle,0))&amp;"",""))</f>
        <v/>
      </c>
      <c r="V2001" s="34">
        <f>IF(C2001="","",YEAR(C2001-WEEKDAY(C2001,2)+4)&amp;"-S"&amp;TEXT(INT((C2001-DATE(YEAR(C2001-WEEKDAY(C2001,2)+4),1,3)+WEEKDAY(DATE(YEAR(C2001-WEEKDAY(C2001,2)+4),1,3),2)+5)/7),"00"))</f>
        <v/>
      </c>
    </row>
    <row r="2002" ht="18" customHeight="1">
      <c r="A2002" s="39" t="n">
        <v>1997</v>
      </c>
      <c r="B2002" s="33">
        <f>IF(C2002="","",IF(P2002="À RENSEIGNER","GIC",P2002)&amp;"-V"&amp;TEXT(A2002,"00000"))</f>
        <v/>
      </c>
      <c r="C2002" s="32" t="n"/>
      <c r="D2002" s="35" t="n"/>
      <c r="E2002" s="36" t="n"/>
      <c r="F2002" s="36" t="n"/>
      <c r="G2002" s="36" t="n"/>
      <c r="H2002" s="36" t="n"/>
      <c r="I2002" s="36" t="n"/>
      <c r="J2002" s="37" t="n"/>
      <c r="K2002" s="32" t="n"/>
      <c r="L2002" s="36" t="n"/>
      <c r="M2002" s="41" t="n"/>
      <c r="N2002" s="41" t="n"/>
      <c r="O2002" s="36" t="n"/>
      <c r="P2002" s="33">
        <f>IF(C2002="","",Commercial_Id)</f>
        <v/>
      </c>
      <c r="Q2002" s="39">
        <f>IF(F2002="","",IFERROR(VALUE(MID(F2002,LEN(F2002)-3,3)),""))</f>
        <v/>
      </c>
      <c r="R2002" s="33">
        <f>IF(Q2002="","",P2002&amp;"|"&amp;Q2002)</f>
        <v/>
      </c>
      <c r="S2002" s="33">
        <f>IF(Q2002="","",IF(P2002="À RENSEIGNER","GIC",P2002)&amp;"-"&amp;TEXT(Q2002,"000"))</f>
        <v/>
      </c>
      <c r="T2002" s="33">
        <f>IF(R2002="","",IFERROR(INDEX(Cl_nom,MATCH(R2002,Cl_cle,0)),"(client introuvable)"))</f>
        <v/>
      </c>
      <c r="U2002" s="33">
        <f>IF(R2002="","",IFERROR(INDEX(Cl_quartier,MATCH(R2002,Cl_cle,0))&amp;"",""))</f>
        <v/>
      </c>
      <c r="V2002" s="34">
        <f>IF(C2002="","",YEAR(C2002-WEEKDAY(C2002,2)+4)&amp;"-S"&amp;TEXT(INT((C2002-DATE(YEAR(C2002-WEEKDAY(C2002,2)+4),1,3)+WEEKDAY(DATE(YEAR(C2002-WEEKDAY(C2002,2)+4),1,3),2)+5)/7),"00"))</f>
        <v/>
      </c>
    </row>
    <row r="2003" ht="18" customHeight="1">
      <c r="A2003" s="39" t="n">
        <v>1998</v>
      </c>
      <c r="B2003" s="33">
        <f>IF(C2003="","",IF(P2003="À RENSEIGNER","GIC",P2003)&amp;"-V"&amp;TEXT(A2003,"00000"))</f>
        <v/>
      </c>
      <c r="C2003" s="32" t="n"/>
      <c r="D2003" s="35" t="n"/>
      <c r="E2003" s="36" t="n"/>
      <c r="F2003" s="36" t="n"/>
      <c r="G2003" s="36" t="n"/>
      <c r="H2003" s="36" t="n"/>
      <c r="I2003" s="36" t="n"/>
      <c r="J2003" s="37" t="n"/>
      <c r="K2003" s="32" t="n"/>
      <c r="L2003" s="36" t="n"/>
      <c r="M2003" s="41" t="n"/>
      <c r="N2003" s="41" t="n"/>
      <c r="O2003" s="36" t="n"/>
      <c r="P2003" s="33">
        <f>IF(C2003="","",Commercial_Id)</f>
        <v/>
      </c>
      <c r="Q2003" s="39">
        <f>IF(F2003="","",IFERROR(VALUE(MID(F2003,LEN(F2003)-3,3)),""))</f>
        <v/>
      </c>
      <c r="R2003" s="33">
        <f>IF(Q2003="","",P2003&amp;"|"&amp;Q2003)</f>
        <v/>
      </c>
      <c r="S2003" s="33">
        <f>IF(Q2003="","",IF(P2003="À RENSEIGNER","GIC",P2003)&amp;"-"&amp;TEXT(Q2003,"000"))</f>
        <v/>
      </c>
      <c r="T2003" s="33">
        <f>IF(R2003="","",IFERROR(INDEX(Cl_nom,MATCH(R2003,Cl_cle,0)),"(client introuvable)"))</f>
        <v/>
      </c>
      <c r="U2003" s="33">
        <f>IF(R2003="","",IFERROR(INDEX(Cl_quartier,MATCH(R2003,Cl_cle,0))&amp;"",""))</f>
        <v/>
      </c>
      <c r="V2003" s="34">
        <f>IF(C2003="","",YEAR(C2003-WEEKDAY(C2003,2)+4)&amp;"-S"&amp;TEXT(INT((C2003-DATE(YEAR(C2003-WEEKDAY(C2003,2)+4),1,3)+WEEKDAY(DATE(YEAR(C2003-WEEKDAY(C2003,2)+4),1,3),2)+5)/7),"00"))</f>
        <v/>
      </c>
    </row>
    <row r="2004" ht="18" customHeight="1">
      <c r="A2004" s="39" t="n">
        <v>1999</v>
      </c>
      <c r="B2004" s="33">
        <f>IF(C2004="","",IF(P2004="À RENSEIGNER","GIC",P2004)&amp;"-V"&amp;TEXT(A2004,"00000"))</f>
        <v/>
      </c>
      <c r="C2004" s="32" t="n"/>
      <c r="D2004" s="35" t="n"/>
      <c r="E2004" s="36" t="n"/>
      <c r="F2004" s="36" t="n"/>
      <c r="G2004" s="36" t="n"/>
      <c r="H2004" s="36" t="n"/>
      <c r="I2004" s="36" t="n"/>
      <c r="J2004" s="37" t="n"/>
      <c r="K2004" s="32" t="n"/>
      <c r="L2004" s="36" t="n"/>
      <c r="M2004" s="41" t="n"/>
      <c r="N2004" s="41" t="n"/>
      <c r="O2004" s="36" t="n"/>
      <c r="P2004" s="33">
        <f>IF(C2004="","",Commercial_Id)</f>
        <v/>
      </c>
      <c r="Q2004" s="39">
        <f>IF(F2004="","",IFERROR(VALUE(MID(F2004,LEN(F2004)-3,3)),""))</f>
        <v/>
      </c>
      <c r="R2004" s="33">
        <f>IF(Q2004="","",P2004&amp;"|"&amp;Q2004)</f>
        <v/>
      </c>
      <c r="S2004" s="33">
        <f>IF(Q2004="","",IF(P2004="À RENSEIGNER","GIC",P2004)&amp;"-"&amp;TEXT(Q2004,"000"))</f>
        <v/>
      </c>
      <c r="T2004" s="33">
        <f>IF(R2004="","",IFERROR(INDEX(Cl_nom,MATCH(R2004,Cl_cle,0)),"(client introuvable)"))</f>
        <v/>
      </c>
      <c r="U2004" s="33">
        <f>IF(R2004="","",IFERROR(INDEX(Cl_quartier,MATCH(R2004,Cl_cle,0))&amp;"",""))</f>
        <v/>
      </c>
      <c r="V2004" s="34">
        <f>IF(C2004="","",YEAR(C2004-WEEKDAY(C2004,2)+4)&amp;"-S"&amp;TEXT(INT((C2004-DATE(YEAR(C2004-WEEKDAY(C2004,2)+4),1,3)+WEEKDAY(DATE(YEAR(C2004-WEEKDAY(C2004,2)+4),1,3),2)+5)/7),"00"))</f>
        <v/>
      </c>
    </row>
    <row r="2005" ht="18" customHeight="1">
      <c r="A2005" s="39" t="n">
        <v>2000</v>
      </c>
      <c r="B2005" s="33">
        <f>IF(C2005="","",IF(P2005="À RENSEIGNER","GIC",P2005)&amp;"-V"&amp;TEXT(A2005,"00000"))</f>
        <v/>
      </c>
      <c r="C2005" s="32" t="n"/>
      <c r="D2005" s="35" t="n"/>
      <c r="E2005" s="36" t="n"/>
      <c r="F2005" s="36" t="n"/>
      <c r="G2005" s="36" t="n"/>
      <c r="H2005" s="36" t="n"/>
      <c r="I2005" s="36" t="n"/>
      <c r="J2005" s="37" t="n"/>
      <c r="K2005" s="32" t="n"/>
      <c r="L2005" s="36" t="n"/>
      <c r="M2005" s="41" t="n"/>
      <c r="N2005" s="41" t="n"/>
      <c r="O2005" s="36" t="n"/>
      <c r="P2005" s="33">
        <f>IF(C2005="","",Commercial_Id)</f>
        <v/>
      </c>
      <c r="Q2005" s="39">
        <f>IF(F2005="","",IFERROR(VALUE(MID(F2005,LEN(F2005)-3,3)),""))</f>
        <v/>
      </c>
      <c r="R2005" s="33">
        <f>IF(Q2005="","",P2005&amp;"|"&amp;Q2005)</f>
        <v/>
      </c>
      <c r="S2005" s="33">
        <f>IF(Q2005="","",IF(P2005="À RENSEIGNER","GIC",P2005)&amp;"-"&amp;TEXT(Q2005,"000"))</f>
        <v/>
      </c>
      <c r="T2005" s="33">
        <f>IF(R2005="","",IFERROR(INDEX(Cl_nom,MATCH(R2005,Cl_cle,0)),"(client introuvable)"))</f>
        <v/>
      </c>
      <c r="U2005" s="33">
        <f>IF(R2005="","",IFERROR(INDEX(Cl_quartier,MATCH(R2005,Cl_cle,0))&amp;"",""))</f>
        <v/>
      </c>
      <c r="V2005" s="34">
        <f>IF(C2005="","",YEAR(C2005-WEEKDAY(C2005,2)+4)&amp;"-S"&amp;TEXT(INT((C2005-DATE(YEAR(C2005-WEEKDAY(C2005,2)+4),1,3)+WEEKDAY(DATE(YEAR(C2005-WEEKDAY(C2005,2)+4),1,3),2)+5)/7),"00"))</f>
        <v/>
      </c>
    </row>
  </sheetData>
  <autoFilter ref="A5:V2005"/>
  <mergeCells count="1">
    <mergeCell ref="A3:B3"/>
  </mergeCells>
  <conditionalFormatting sqref="C6:C2005">
    <cfRule type="expression" priority="1" dxfId="0">
      <formula>AND(COUNTA($C6:$O6)&gt;0,C6="")</formula>
    </cfRule>
    <cfRule type="expression" priority="2" dxfId="0">
      <formula>AND(C6&lt;&gt;"",NOT(ISNUMBER(C6)))</formula>
    </cfRule>
  </conditionalFormatting>
  <conditionalFormatting sqref="E6:E2005">
    <cfRule type="expression" priority="3" dxfId="0">
      <formula>AND(COUNTA($C6:$O6)&gt;0,E6="")</formula>
    </cfRule>
  </conditionalFormatting>
  <conditionalFormatting sqref="F6:F2005">
    <cfRule type="expression" priority="4" dxfId="0">
      <formula>AND(COUNTA($C6:$O6)&gt;0,F6="")</formula>
    </cfRule>
  </conditionalFormatting>
  <conditionalFormatting sqref="G6:G2005">
    <cfRule type="expression" priority="5" dxfId="0">
      <formula>AND(COUNTA($C6:$O6)&gt;0,G6="")</formula>
    </cfRule>
  </conditionalFormatting>
  <conditionalFormatting sqref="H6:H2005">
    <cfRule type="expression" priority="6" dxfId="0">
      <formula>AND(COUNTA($C6:$O6)&gt;0,H6="")</formula>
    </cfRule>
  </conditionalFormatting>
  <conditionalFormatting sqref="K6:K2005">
    <cfRule type="expression" priority="7" dxfId="0">
      <formula>AND(K6&lt;&gt;"",NOT(ISNUMBER(K6)))</formula>
    </cfRule>
  </conditionalFormatting>
  <dataValidations count="8">
    <dataValidation sqref="C6:C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2005" showDropDown="0" showInputMessage="0" showErrorMessage="1" allowBlank="1" errorTitle="Valeur hors liste" error="Choisissez l'heure dans la liste (tous les quarts d'heure). Vous pouvez aussi taper une autre heure, au format hh:mm. Cliquez sur OK pour la garder telle quelle." type="list" errorStyle="information">
      <formula1>=L_Heures</formula1>
    </dataValidation>
    <dataValidation sqref="E6:E2005" showDropDown="0" showInputMessage="0" showErrorMessage="1" allowBlank="1" errorTitle="Valeur hors liste" error="Cette valeur n'est pas dans la liste. Choisissez-la avec la flèche à droite de la cellule." type="list" errorStyle="stop">
      <formula1>=L_TypeContact</formula1>
    </dataValidation>
    <dataValidation sqref="F6:F2005" showDropDown="0" showInputMessage="0" showErrorMessage="1" allowBlank="1" errorTitle="Valeur hors liste" error="Cette valeur n'est pas dans la liste. Choisissez-la avec la flèche à droite de la cellule." type="list" errorStyle="stop">
      <formula1>=L_Clients</formula1>
    </dataValidation>
    <dataValidation sqref="G6:G2005" showDropDown="0" showInputMessage="0" showErrorMessage="1" allowBlank="1" errorTitle="Valeur hors liste" error="Cette valeur n'est pas dans la liste. Choisissez-la avec la flèche à droite de la cellule." type="list" errorStyle="stop">
      <formula1>=L_ObjetVisite</formula1>
    </dataValidation>
    <dataValidation sqref="H6:H2005" showDropDown="0" showInputMessage="0" showErrorMessage="1" allowBlank="1" errorTitle="Valeur hors liste" error="Cette valeur n'est pas dans la liste. Choisissez-la avec la flèche à droite de la cellule." type="list" errorStyle="stop">
      <formula1>=L_Resultat</formula1>
    </dataValidation>
    <dataValidation sqref="J6:J2005" showDropDown="0" showInputMessage="0" showErrorMessage="1" allowBlank="1" errorTitle="Nombre invalide" error="Saisissez un nombre supérieur ou égal à 0." type="decimal" errorStyle="stop" operator="greaterThanOrEqual">
      <formula1>0</formula1>
    </dataValidation>
    <dataValidation sqref="K6:K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=L_DatesAvenir</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5.xml><?xml version="1.0" encoding="utf-8"?>
<worksheet xmlns="http://schemas.openxmlformats.org/spreadsheetml/2006/main">
  <sheetPr>
    <tabColor rgb="002F6EBA"/>
    <outlinePr summaryBelow="1" summaryRight="1"/>
    <pageSetUpPr fitToPage="1"/>
  </sheetPr>
  <dimension ref="A1:AF20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38" customWidth="1" min="4" max="4"/>
    <col width="14" customWidth="1" min="5" max="5"/>
    <col width="30" customWidth="1" min="6" max="6"/>
    <col width="10" customWidth="1" min="7" max="7"/>
    <col width="15" customWidth="1" min="8" max="8"/>
    <col width="11" customWidth="1" min="9" max="9"/>
    <col width="16" customWidth="1" min="10" max="10"/>
    <col width="16" customWidth="1" min="11" max="11"/>
    <col width="11" customWidth="1" min="12" max="12"/>
    <col width="16" customWidth="1" min="13" max="13"/>
    <col width="18" customWidth="1" min="14" max="14"/>
    <col width="32" customWidth="1" min="15" max="15"/>
    <col width="13" customWidth="1" min="16" max="16"/>
    <col width="13" customWidth="1" min="17" max="17"/>
    <col width="13" customWidth="1" min="18" max="18"/>
    <col width="10" customWidth="1" min="19" max="19"/>
    <col width="13" customWidth="1" min="20" max="20"/>
    <col width="13" customWidth="1" min="21" max="21"/>
    <col width="15" customWidth="1" min="22" max="22"/>
    <col width="9" customWidth="1" min="23" max="23"/>
    <col hidden="1" width="14" customWidth="1" min="24" max="24"/>
    <col width="12" customWidth="1" min="25" max="25"/>
    <col width="30" customWidth="1" min="26" max="26"/>
    <col width="18" customWidth="1" min="27" max="27"/>
    <col width="12" customWidth="1" min="28" max="28"/>
    <col hidden="1" width="14" customWidth="1" min="29" max="29"/>
    <col hidden="1" width="11" customWidth="1" min="30" max="30"/>
    <col hidden="1" width="11" customWidth="1" min="31" max="31"/>
    <col width="10" customWidth="1" min="32" max="32"/>
  </cols>
  <sheetData>
    <row r="1" ht="26" customHeight="1">
      <c r="A1" s="15" t="inlineStr">
        <is>
          <t>COMMANDES ET VENTES — une ligne par produit</t>
        </is>
      </c>
    </row>
    <row r="2" ht="18" customHeight="1">
      <c r="A2" s="2" t="inlineStr">
        <is>
          <t>Précommandes, commandes et ventes directes. Une commande de 3 produits = 3 lignes (mêmes client, date et type) : le numéro, le statut, le prix et le montant se calculent seuls.</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Tapez les premières lettres ou ouvrez la liste</t>
        </is>
      </c>
      <c r="E4" s="30" t="inlineStr">
        <is>
          <t>Précommande, commande, vente directe</t>
        </is>
      </c>
      <c r="F4" s="30" t="inlineStr">
        <is>
          <t>Liste</t>
        </is>
      </c>
      <c r="G4" s="30" t="inlineStr">
        <is>
          <t>Liste (ou autre nombre)</t>
        </is>
      </c>
      <c r="H4" s="30" t="inlineStr">
        <is>
          <t>Laisser vide = prix de référence</t>
        </is>
      </c>
      <c r="I4" s="30" t="inlineStr">
        <is>
          <t>Sur la ligne</t>
        </is>
      </c>
      <c r="J4" s="30" t="inlineStr">
        <is>
          <t>Liste de dates</t>
        </is>
      </c>
      <c r="K4" s="30" t="inlineStr">
        <is>
          <t>Liste de dates</t>
        </is>
      </c>
      <c r="L4" s="30" t="inlineStr">
        <is>
          <t>Liste</t>
        </is>
      </c>
      <c r="M4" s="30" t="inlineStr">
        <is>
          <t>Liste</t>
        </is>
      </c>
      <c r="N4" s="30" t="inlineStr">
        <is>
          <t>Facultatif</t>
        </is>
      </c>
      <c r="O4" s="30" t="inlineStr">
        <is>
          <t>Libre</t>
        </is>
      </c>
      <c r="P4" s="30" t="inlineStr">
        <is>
          <t>Rempli seul (Paramètres) ; remplaçable</t>
        </is>
      </c>
      <c r="Q4" s="30" t="inlineStr">
        <is>
          <t>Mêmes client + date + type = même commande</t>
        </is>
      </c>
      <c r="R4" s="30" t="inlineStr">
        <is>
          <t>Calculé d'après les dates</t>
        </is>
      </c>
      <c r="S4" s="30" t="inlineStr">
        <is>
          <t>Selon le produit</t>
        </is>
      </c>
      <c r="T4" s="30" t="inlineStr">
        <is>
          <t>Vient de la feuille Listes</t>
        </is>
      </c>
      <c r="U4" s="30" t="inlineStr">
        <is>
          <t>Prix convenu, sinon référence</t>
        </is>
      </c>
      <c r="V4" s="30" t="inlineStr">
        <is>
          <t>Quantité × prix − remise</t>
        </is>
      </c>
      <c r="W4" s="30" t="inlineStr">
        <is>
          <t>Calculé</t>
        </is>
      </c>
      <c r="X4" s="30" t="inlineStr">
        <is>
          <t>Technique</t>
        </is>
      </c>
      <c r="Y4" s="30" t="inlineStr">
        <is>
          <t>Calculé</t>
        </is>
      </c>
      <c r="Z4" s="30" t="inlineStr">
        <is>
          <t>Calculé</t>
        </is>
      </c>
      <c r="AA4" s="30" t="inlineStr">
        <is>
          <t>Calculé</t>
        </is>
      </c>
      <c r="AB4" s="30" t="inlineStr">
        <is>
          <t>Quand la vente est réalisée</t>
        </is>
      </c>
      <c r="AC4" s="30" t="inlineStr">
        <is>
          <t>Technique</t>
        </is>
      </c>
      <c r="AD4" s="30" t="inlineStr">
        <is>
          <t>Technique</t>
        </is>
      </c>
      <c r="AE4" s="30" t="inlineStr">
        <is>
          <t>Technique</t>
        </is>
      </c>
      <c r="AF4" s="30" t="inlineStr">
        <is>
          <t>Calculé (ISO)</t>
        </is>
      </c>
    </row>
    <row r="5" ht="44" customHeight="1">
      <c r="A5" s="7" t="inlineStr">
        <is>
          <t>N°</t>
        </is>
      </c>
      <c r="B5" s="7" t="inlineStr">
        <is>
          <t>Réf. de la ligne</t>
        </is>
      </c>
      <c r="C5" s="31" t="inlineStr">
        <is>
          <t>Date de la commande</t>
        </is>
      </c>
      <c r="D5" s="31" t="inlineStr">
        <is>
          <t>Client</t>
        </is>
      </c>
      <c r="E5" s="31" t="inlineStr">
        <is>
          <t>Type</t>
        </is>
      </c>
      <c r="F5" s="31" t="inlineStr">
        <is>
          <t>Produit</t>
        </is>
      </c>
      <c r="G5" s="31" t="inlineStr">
        <is>
          <t>Quantité</t>
        </is>
      </c>
      <c r="H5" s="31" t="inlineStr">
        <is>
          <t>Prix convenu (XAF) si différent du prix de référence</t>
        </is>
      </c>
      <c r="I5" s="31" t="inlineStr">
        <is>
          <t>Remise (XAF)</t>
        </is>
      </c>
      <c r="J5" s="31" t="inlineStr">
        <is>
          <t>Livraison prévue</t>
        </is>
      </c>
      <c r="K5" s="31" t="inlineStr">
        <is>
          <t>Livraison réelle</t>
        </is>
      </c>
      <c r="L5" s="31" t="inlineStr">
        <is>
          <t>Annulée ?</t>
        </is>
      </c>
      <c r="M5" s="31" t="inlineStr">
        <is>
          <t>Paiement prévu</t>
        </is>
      </c>
      <c r="N5" s="31" t="inlineStr">
        <is>
          <t>Réf. du bon ou de la facture papier</t>
        </is>
      </c>
      <c r="O5" s="31" t="inlineStr">
        <is>
          <t>Observations</t>
        </is>
      </c>
      <c r="P5" s="7" t="inlineStr">
        <is>
          <t>Commercial</t>
        </is>
      </c>
      <c r="Q5" s="7" t="inlineStr">
        <is>
          <t>N° de commande (automatique)</t>
        </is>
      </c>
      <c r="R5" s="7" t="inlineStr">
        <is>
          <t>Statut (automatique)</t>
        </is>
      </c>
      <c r="S5" s="7" t="inlineStr">
        <is>
          <t>Unité</t>
        </is>
      </c>
      <c r="T5" s="7" t="inlineStr">
        <is>
          <t>Prix de référence (XAF)</t>
        </is>
      </c>
      <c r="U5" s="7" t="inlineStr">
        <is>
          <t>Prix appliqué (XAF)</t>
        </is>
      </c>
      <c r="V5" s="7" t="inlineStr">
        <is>
          <t>Montant de la ligne (XAF)</t>
        </is>
      </c>
      <c r="W5" s="7" t="inlineStr">
        <is>
          <t>N° client</t>
        </is>
      </c>
      <c r="X5" s="7" t="inlineStr">
        <is>
          <t>Clé client</t>
        </is>
      </c>
      <c r="Y5" s="7" t="inlineStr">
        <is>
          <t>Code client</t>
        </is>
      </c>
      <c r="Z5" s="7" t="inlineStr">
        <is>
          <t>Nom du client</t>
        </is>
      </c>
      <c r="AA5" s="7" t="inlineStr">
        <is>
          <t>Quartier</t>
        </is>
      </c>
      <c r="AB5" s="7" t="inlineStr">
        <is>
          <t>Date du CA</t>
        </is>
      </c>
      <c r="AC5" s="7" t="inlineStr">
        <is>
          <t>Regroupement</t>
        </is>
      </c>
      <c r="AD5" s="7" t="inlineStr">
        <is>
          <t>1re ligne de la commande</t>
        </is>
      </c>
      <c r="AE5" s="7" t="inlineStr">
        <is>
          <t>1re ligne de la vente</t>
        </is>
      </c>
      <c r="AF5" s="7" t="inlineStr">
        <is>
          <t>Semaine</t>
        </is>
      </c>
    </row>
    <row r="6" ht="18" customHeight="1">
      <c r="A6" s="39" t="n">
        <v>1</v>
      </c>
      <c r="B6" s="33">
        <f>IF(C6="","",IF(P6="À RENSEIGNER","GIC",P6)&amp;"-C"&amp;TEXT(A6,"00000"))</f>
        <v/>
      </c>
      <c r="C6" s="32" t="n"/>
      <c r="D6" s="36" t="n"/>
      <c r="E6" s="36" t="n"/>
      <c r="F6" s="36" t="n"/>
      <c r="G6" s="42" t="n"/>
      <c r="H6" s="37" t="n"/>
      <c r="I6" s="37" t="n"/>
      <c r="J6" s="32" t="n"/>
      <c r="K6" s="32" t="n"/>
      <c r="L6" s="43" t="n"/>
      <c r="M6" s="36" t="n"/>
      <c r="N6" s="44" t="n"/>
      <c r="O6" s="36" t="n"/>
      <c r="P6" s="33">
        <f>IF(C6="","",Commercial_Id)</f>
        <v/>
      </c>
      <c r="Q6" s="34">
        <f>IF(AC6="","","C"&amp;TEXT(1,"0000"))</f>
        <v/>
      </c>
      <c r="R6" s="34">
        <f>IF(C6="","",IF(L6="☑ Oui","Annulée",IF(OR(E6="Vente directe",K6&lt;&gt;""),"Livrée",IF(J6&lt;&gt;"","Confirmée","En attente"))))</f>
        <v/>
      </c>
      <c r="S6" s="34">
        <f>IF(F6="","",IFERROR(VLOOKUP(F6,T_Produits,2,FALSE),""))</f>
        <v/>
      </c>
      <c r="T6" s="40">
        <f>IF(F6="","",IFERROR(1/(1/VLOOKUP(F6,T_Produits,3,FALSE)),""))</f>
        <v/>
      </c>
      <c r="U6" s="40">
        <f>IF(H6&lt;&gt;"",H6,T6)</f>
        <v/>
      </c>
      <c r="V6" s="40">
        <f>IF(OR(G6="",U6=""),"",G6*U6-N(I6))</f>
        <v/>
      </c>
      <c r="W6" s="39">
        <f>IF(D6="","",IFERROR(VALUE(MID(D6,LEN(D6)-3,3)),""))</f>
        <v/>
      </c>
      <c r="X6" s="33">
        <f>IF(W6="","",P6&amp;"|"&amp;W6)</f>
        <v/>
      </c>
      <c r="Y6" s="33">
        <f>IF(W6="","",IF(P6="À RENSEIGNER","GIC",P6)&amp;"-"&amp;TEXT(W6,"000"))</f>
        <v/>
      </c>
      <c r="Z6" s="33">
        <f>IF(X6="","",IFERROR(INDEX(Cl_nom,MATCH(X6,Cl_cle,0)),"(client introuvable)"))</f>
        <v/>
      </c>
      <c r="AA6" s="33">
        <f>IF(X6="","",IFERROR(INDEX(Cl_quartier,MATCH(X6,Cl_cle,0))&amp;"",""))</f>
        <v/>
      </c>
      <c r="AB6" s="45">
        <f>IF(R6&lt;&gt;"Livrée",0,IF(K6&lt;&gt;"",K6,C6))</f>
        <v/>
      </c>
      <c r="AC6" s="33">
        <f>IF(OR(C6="",W6=""),"",P6&amp;"|"&amp;W6&amp;"|"&amp;C6&amp;"|"&amp;E6)</f>
        <v/>
      </c>
      <c r="AD6" s="39">
        <f>IF(AC6="","",IF(COUNTIF(AC$6:AC6,AC6)=1,1,0))</f>
        <v/>
      </c>
      <c r="AE6" s="39">
        <f>IF(AB6=0,"",IF(COUNTIFS(X$6:X6,X6,AB$6:AB6,AB6)=1,1,0))</f>
        <v/>
      </c>
      <c r="AF6" s="34">
        <f>IF(C6="","",YEAR(C6-WEEKDAY(C6,2)+4)&amp;"-S"&amp;TEXT(INT((C6-DATE(YEAR(C6-WEEKDAY(C6,2)+4),1,3)+WEEKDAY(DATE(YEAR(C6-WEEKDAY(C6,2)+4),1,3),2)+5)/7),"00"))</f>
        <v/>
      </c>
    </row>
    <row r="7" ht="18" customHeight="1">
      <c r="A7" s="39" t="n">
        <v>2</v>
      </c>
      <c r="B7" s="33">
        <f>IF(C7="","",IF(P7="À RENSEIGNER","GIC",P7)&amp;"-C"&amp;TEXT(A7,"00000"))</f>
        <v/>
      </c>
      <c r="C7" s="32" t="n"/>
      <c r="D7" s="36" t="n"/>
      <c r="E7" s="36" t="n"/>
      <c r="F7" s="36" t="n"/>
      <c r="G7" s="42" t="n"/>
      <c r="H7" s="37" t="n"/>
      <c r="I7" s="37" t="n"/>
      <c r="J7" s="32" t="n"/>
      <c r="K7" s="32" t="n"/>
      <c r="L7" s="43" t="n"/>
      <c r="M7" s="36" t="n"/>
      <c r="N7" s="44" t="n"/>
      <c r="O7" s="36" t="n"/>
      <c r="P7" s="33">
        <f>IF(C7="","",Commercial_Id)</f>
        <v/>
      </c>
      <c r="Q7" s="34">
        <f>IF(AC7="","",IF(AD7=1,"C"&amp;TEXT(SUM(AD$6:AD7),"0000"),INDEX(Q$6:Q6,MATCH(AC7,AC$6:AC6,0))))</f>
        <v/>
      </c>
      <c r="R7" s="34">
        <f>IF(C7="","",IF(L7="☑ Oui","Annulée",IF(OR(E7="Vente directe",K7&lt;&gt;""),"Livrée",IF(J7&lt;&gt;"","Confirmée","En attente"))))</f>
        <v/>
      </c>
      <c r="S7" s="34">
        <f>IF(F7="","",IFERROR(VLOOKUP(F7,T_Produits,2,FALSE),""))</f>
        <v/>
      </c>
      <c r="T7" s="40">
        <f>IF(F7="","",IFERROR(1/(1/VLOOKUP(F7,T_Produits,3,FALSE)),""))</f>
        <v/>
      </c>
      <c r="U7" s="40">
        <f>IF(H7&lt;&gt;"",H7,T7)</f>
        <v/>
      </c>
      <c r="V7" s="40">
        <f>IF(OR(G7="",U7=""),"",G7*U7-N(I7))</f>
        <v/>
      </c>
      <c r="W7" s="39">
        <f>IF(D7="","",IFERROR(VALUE(MID(D7,LEN(D7)-3,3)),""))</f>
        <v/>
      </c>
      <c r="X7" s="33">
        <f>IF(W7="","",P7&amp;"|"&amp;W7)</f>
        <v/>
      </c>
      <c r="Y7" s="33">
        <f>IF(W7="","",IF(P7="À RENSEIGNER","GIC",P7)&amp;"-"&amp;TEXT(W7,"000"))</f>
        <v/>
      </c>
      <c r="Z7" s="33">
        <f>IF(X7="","",IFERROR(INDEX(Cl_nom,MATCH(X7,Cl_cle,0)),"(client introuvable)"))</f>
        <v/>
      </c>
      <c r="AA7" s="33">
        <f>IF(X7="","",IFERROR(INDEX(Cl_quartier,MATCH(X7,Cl_cle,0))&amp;"",""))</f>
        <v/>
      </c>
      <c r="AB7" s="45">
        <f>IF(R7&lt;&gt;"Livrée",0,IF(K7&lt;&gt;"",K7,C7))</f>
        <v/>
      </c>
      <c r="AC7" s="33">
        <f>IF(OR(C7="",W7=""),"",P7&amp;"|"&amp;W7&amp;"|"&amp;C7&amp;"|"&amp;E7)</f>
        <v/>
      </c>
      <c r="AD7" s="39">
        <f>IF(AC7="","",IF(COUNTIF(AC$6:AC7,AC7)=1,1,0))</f>
        <v/>
      </c>
      <c r="AE7" s="39">
        <f>IF(AB7=0,"",IF(COUNTIFS(X$6:X7,X7,AB$6:AB7,AB7)=1,1,0))</f>
        <v/>
      </c>
      <c r="AF7" s="34">
        <f>IF(C7="","",YEAR(C7-WEEKDAY(C7,2)+4)&amp;"-S"&amp;TEXT(INT((C7-DATE(YEAR(C7-WEEKDAY(C7,2)+4),1,3)+WEEKDAY(DATE(YEAR(C7-WEEKDAY(C7,2)+4),1,3),2)+5)/7),"00"))</f>
        <v/>
      </c>
    </row>
    <row r="8" ht="18" customHeight="1">
      <c r="A8" s="39" t="n">
        <v>3</v>
      </c>
      <c r="B8" s="33">
        <f>IF(C8="","",IF(P8="À RENSEIGNER","GIC",P8)&amp;"-C"&amp;TEXT(A8,"00000"))</f>
        <v/>
      </c>
      <c r="C8" s="32" t="n"/>
      <c r="D8" s="36" t="n"/>
      <c r="E8" s="36" t="n"/>
      <c r="F8" s="36" t="n"/>
      <c r="G8" s="42" t="n"/>
      <c r="H8" s="37" t="n"/>
      <c r="I8" s="37" t="n"/>
      <c r="J8" s="32" t="n"/>
      <c r="K8" s="32" t="n"/>
      <c r="L8" s="43" t="n"/>
      <c r="M8" s="36" t="n"/>
      <c r="N8" s="44" t="n"/>
      <c r="O8" s="36" t="n"/>
      <c r="P8" s="33">
        <f>IF(C8="","",Commercial_Id)</f>
        <v/>
      </c>
      <c r="Q8" s="34">
        <f>IF(AC8="","",IF(AD8=1,"C"&amp;TEXT(SUM(AD$6:AD8),"0000"),INDEX(Q$6:Q7,MATCH(AC8,AC$6:AC7,0))))</f>
        <v/>
      </c>
      <c r="R8" s="34">
        <f>IF(C8="","",IF(L8="☑ Oui","Annulée",IF(OR(E8="Vente directe",K8&lt;&gt;""),"Livrée",IF(J8&lt;&gt;"","Confirmée","En attente"))))</f>
        <v/>
      </c>
      <c r="S8" s="34">
        <f>IF(F8="","",IFERROR(VLOOKUP(F8,T_Produits,2,FALSE),""))</f>
        <v/>
      </c>
      <c r="T8" s="40">
        <f>IF(F8="","",IFERROR(1/(1/VLOOKUP(F8,T_Produits,3,FALSE)),""))</f>
        <v/>
      </c>
      <c r="U8" s="40">
        <f>IF(H8&lt;&gt;"",H8,T8)</f>
        <v/>
      </c>
      <c r="V8" s="40">
        <f>IF(OR(G8="",U8=""),"",G8*U8-N(I8))</f>
        <v/>
      </c>
      <c r="W8" s="39">
        <f>IF(D8="","",IFERROR(VALUE(MID(D8,LEN(D8)-3,3)),""))</f>
        <v/>
      </c>
      <c r="X8" s="33">
        <f>IF(W8="","",P8&amp;"|"&amp;W8)</f>
        <v/>
      </c>
      <c r="Y8" s="33">
        <f>IF(W8="","",IF(P8="À RENSEIGNER","GIC",P8)&amp;"-"&amp;TEXT(W8,"000"))</f>
        <v/>
      </c>
      <c r="Z8" s="33">
        <f>IF(X8="","",IFERROR(INDEX(Cl_nom,MATCH(X8,Cl_cle,0)),"(client introuvable)"))</f>
        <v/>
      </c>
      <c r="AA8" s="33">
        <f>IF(X8="","",IFERROR(INDEX(Cl_quartier,MATCH(X8,Cl_cle,0))&amp;"",""))</f>
        <v/>
      </c>
      <c r="AB8" s="45">
        <f>IF(R8&lt;&gt;"Livrée",0,IF(K8&lt;&gt;"",K8,C8))</f>
        <v/>
      </c>
      <c r="AC8" s="33">
        <f>IF(OR(C8="",W8=""),"",P8&amp;"|"&amp;W8&amp;"|"&amp;C8&amp;"|"&amp;E8)</f>
        <v/>
      </c>
      <c r="AD8" s="39">
        <f>IF(AC8="","",IF(COUNTIF(AC$6:AC8,AC8)=1,1,0))</f>
        <v/>
      </c>
      <c r="AE8" s="39">
        <f>IF(AB8=0,"",IF(COUNTIFS(X$6:X8,X8,AB$6:AB8,AB8)=1,1,0))</f>
        <v/>
      </c>
      <c r="AF8" s="34">
        <f>IF(C8="","",YEAR(C8-WEEKDAY(C8,2)+4)&amp;"-S"&amp;TEXT(INT((C8-DATE(YEAR(C8-WEEKDAY(C8,2)+4),1,3)+WEEKDAY(DATE(YEAR(C8-WEEKDAY(C8,2)+4),1,3),2)+5)/7),"00"))</f>
        <v/>
      </c>
    </row>
    <row r="9" ht="18" customHeight="1">
      <c r="A9" s="39" t="n">
        <v>4</v>
      </c>
      <c r="B9" s="33">
        <f>IF(C9="","",IF(P9="À RENSEIGNER","GIC",P9)&amp;"-C"&amp;TEXT(A9,"00000"))</f>
        <v/>
      </c>
      <c r="C9" s="32" t="n"/>
      <c r="D9" s="36" t="n"/>
      <c r="E9" s="36" t="n"/>
      <c r="F9" s="36" t="n"/>
      <c r="G9" s="42" t="n"/>
      <c r="H9" s="37" t="n"/>
      <c r="I9" s="37" t="n"/>
      <c r="J9" s="32" t="n"/>
      <c r="K9" s="32" t="n"/>
      <c r="L9" s="43" t="n"/>
      <c r="M9" s="36" t="n"/>
      <c r="N9" s="44" t="n"/>
      <c r="O9" s="36" t="n"/>
      <c r="P9" s="33">
        <f>IF(C9="","",Commercial_Id)</f>
        <v/>
      </c>
      <c r="Q9" s="34">
        <f>IF(AC9="","",IF(AD9=1,"C"&amp;TEXT(SUM(AD$6:AD9),"0000"),INDEX(Q$6:Q8,MATCH(AC9,AC$6:AC8,0))))</f>
        <v/>
      </c>
      <c r="R9" s="34">
        <f>IF(C9="","",IF(L9="☑ Oui","Annulée",IF(OR(E9="Vente directe",K9&lt;&gt;""),"Livrée",IF(J9&lt;&gt;"","Confirmée","En attente"))))</f>
        <v/>
      </c>
      <c r="S9" s="34">
        <f>IF(F9="","",IFERROR(VLOOKUP(F9,T_Produits,2,FALSE),""))</f>
        <v/>
      </c>
      <c r="T9" s="40">
        <f>IF(F9="","",IFERROR(1/(1/VLOOKUP(F9,T_Produits,3,FALSE)),""))</f>
        <v/>
      </c>
      <c r="U9" s="40">
        <f>IF(H9&lt;&gt;"",H9,T9)</f>
        <v/>
      </c>
      <c r="V9" s="40">
        <f>IF(OR(G9="",U9=""),"",G9*U9-N(I9))</f>
        <v/>
      </c>
      <c r="W9" s="39">
        <f>IF(D9="","",IFERROR(VALUE(MID(D9,LEN(D9)-3,3)),""))</f>
        <v/>
      </c>
      <c r="X9" s="33">
        <f>IF(W9="","",P9&amp;"|"&amp;W9)</f>
        <v/>
      </c>
      <c r="Y9" s="33">
        <f>IF(W9="","",IF(P9="À RENSEIGNER","GIC",P9)&amp;"-"&amp;TEXT(W9,"000"))</f>
        <v/>
      </c>
      <c r="Z9" s="33">
        <f>IF(X9="","",IFERROR(INDEX(Cl_nom,MATCH(X9,Cl_cle,0)),"(client introuvable)"))</f>
        <v/>
      </c>
      <c r="AA9" s="33">
        <f>IF(X9="","",IFERROR(INDEX(Cl_quartier,MATCH(X9,Cl_cle,0))&amp;"",""))</f>
        <v/>
      </c>
      <c r="AB9" s="45">
        <f>IF(R9&lt;&gt;"Livrée",0,IF(K9&lt;&gt;"",K9,C9))</f>
        <v/>
      </c>
      <c r="AC9" s="33">
        <f>IF(OR(C9="",W9=""),"",P9&amp;"|"&amp;W9&amp;"|"&amp;C9&amp;"|"&amp;E9)</f>
        <v/>
      </c>
      <c r="AD9" s="39">
        <f>IF(AC9="","",IF(COUNTIF(AC$6:AC9,AC9)=1,1,0))</f>
        <v/>
      </c>
      <c r="AE9" s="39">
        <f>IF(AB9=0,"",IF(COUNTIFS(X$6:X9,X9,AB$6:AB9,AB9)=1,1,0))</f>
        <v/>
      </c>
      <c r="AF9" s="34">
        <f>IF(C9="","",YEAR(C9-WEEKDAY(C9,2)+4)&amp;"-S"&amp;TEXT(INT((C9-DATE(YEAR(C9-WEEKDAY(C9,2)+4),1,3)+WEEKDAY(DATE(YEAR(C9-WEEKDAY(C9,2)+4),1,3),2)+5)/7),"00"))</f>
        <v/>
      </c>
    </row>
    <row r="10" ht="18" customHeight="1">
      <c r="A10" s="39" t="n">
        <v>5</v>
      </c>
      <c r="B10" s="33">
        <f>IF(C10="","",IF(P10="À RENSEIGNER","GIC",P10)&amp;"-C"&amp;TEXT(A10,"00000"))</f>
        <v/>
      </c>
      <c r="C10" s="32" t="n"/>
      <c r="D10" s="36" t="n"/>
      <c r="E10" s="36" t="n"/>
      <c r="F10" s="36" t="n"/>
      <c r="G10" s="42" t="n"/>
      <c r="H10" s="37" t="n"/>
      <c r="I10" s="37" t="n"/>
      <c r="J10" s="32" t="n"/>
      <c r="K10" s="32" t="n"/>
      <c r="L10" s="43" t="n"/>
      <c r="M10" s="36" t="n"/>
      <c r="N10" s="44" t="n"/>
      <c r="O10" s="36" t="n"/>
      <c r="P10" s="33">
        <f>IF(C10="","",Commercial_Id)</f>
        <v/>
      </c>
      <c r="Q10" s="34">
        <f>IF(AC10="","",IF(AD10=1,"C"&amp;TEXT(SUM(AD$6:AD10),"0000"),INDEX(Q$6:Q9,MATCH(AC10,AC$6:AC9,0))))</f>
        <v/>
      </c>
      <c r="R10" s="34">
        <f>IF(C10="","",IF(L10="☑ Oui","Annulée",IF(OR(E10="Vente directe",K10&lt;&gt;""),"Livrée",IF(J10&lt;&gt;"","Confirmée","En attente"))))</f>
        <v/>
      </c>
      <c r="S10" s="34">
        <f>IF(F10="","",IFERROR(VLOOKUP(F10,T_Produits,2,FALSE),""))</f>
        <v/>
      </c>
      <c r="T10" s="40">
        <f>IF(F10="","",IFERROR(1/(1/VLOOKUP(F10,T_Produits,3,FALSE)),""))</f>
        <v/>
      </c>
      <c r="U10" s="40">
        <f>IF(H10&lt;&gt;"",H10,T10)</f>
        <v/>
      </c>
      <c r="V10" s="40">
        <f>IF(OR(G10="",U10=""),"",G10*U10-N(I10))</f>
        <v/>
      </c>
      <c r="W10" s="39">
        <f>IF(D10="","",IFERROR(VALUE(MID(D10,LEN(D10)-3,3)),""))</f>
        <v/>
      </c>
      <c r="X10" s="33">
        <f>IF(W10="","",P10&amp;"|"&amp;W10)</f>
        <v/>
      </c>
      <c r="Y10" s="33">
        <f>IF(W10="","",IF(P10="À RENSEIGNER","GIC",P10)&amp;"-"&amp;TEXT(W10,"000"))</f>
        <v/>
      </c>
      <c r="Z10" s="33">
        <f>IF(X10="","",IFERROR(INDEX(Cl_nom,MATCH(X10,Cl_cle,0)),"(client introuvable)"))</f>
        <v/>
      </c>
      <c r="AA10" s="33">
        <f>IF(X10="","",IFERROR(INDEX(Cl_quartier,MATCH(X10,Cl_cle,0))&amp;"",""))</f>
        <v/>
      </c>
      <c r="AB10" s="45">
        <f>IF(R10&lt;&gt;"Livrée",0,IF(K10&lt;&gt;"",K10,C10))</f>
        <v/>
      </c>
      <c r="AC10" s="33">
        <f>IF(OR(C10="",W10=""),"",P10&amp;"|"&amp;W10&amp;"|"&amp;C10&amp;"|"&amp;E10)</f>
        <v/>
      </c>
      <c r="AD10" s="39">
        <f>IF(AC10="","",IF(COUNTIF(AC$6:AC10,AC10)=1,1,0))</f>
        <v/>
      </c>
      <c r="AE10" s="39">
        <f>IF(AB10=0,"",IF(COUNTIFS(X$6:X10,X10,AB$6:AB10,AB10)=1,1,0))</f>
        <v/>
      </c>
      <c r="AF10" s="34">
        <f>IF(C10="","",YEAR(C10-WEEKDAY(C10,2)+4)&amp;"-S"&amp;TEXT(INT((C10-DATE(YEAR(C10-WEEKDAY(C10,2)+4),1,3)+WEEKDAY(DATE(YEAR(C10-WEEKDAY(C10,2)+4),1,3),2)+5)/7),"00"))</f>
        <v/>
      </c>
    </row>
    <row r="11" ht="18" customHeight="1">
      <c r="A11" s="39" t="n">
        <v>6</v>
      </c>
      <c r="B11" s="33">
        <f>IF(C11="","",IF(P11="À RENSEIGNER","GIC",P11)&amp;"-C"&amp;TEXT(A11,"00000"))</f>
        <v/>
      </c>
      <c r="C11" s="32" t="n"/>
      <c r="D11" s="36" t="n"/>
      <c r="E11" s="36" t="n"/>
      <c r="F11" s="36" t="n"/>
      <c r="G11" s="42" t="n"/>
      <c r="H11" s="37" t="n"/>
      <c r="I11" s="37" t="n"/>
      <c r="J11" s="32" t="n"/>
      <c r="K11" s="32" t="n"/>
      <c r="L11" s="43" t="n"/>
      <c r="M11" s="36" t="n"/>
      <c r="N11" s="44" t="n"/>
      <c r="O11" s="36" t="n"/>
      <c r="P11" s="33">
        <f>IF(C11="","",Commercial_Id)</f>
        <v/>
      </c>
      <c r="Q11" s="34">
        <f>IF(AC11="","",IF(AD11=1,"C"&amp;TEXT(SUM(AD$6:AD11),"0000"),INDEX(Q$6:Q10,MATCH(AC11,AC$6:AC10,0))))</f>
        <v/>
      </c>
      <c r="R11" s="34">
        <f>IF(C11="","",IF(L11="☑ Oui","Annulée",IF(OR(E11="Vente directe",K11&lt;&gt;""),"Livrée",IF(J11&lt;&gt;"","Confirmée","En attente"))))</f>
        <v/>
      </c>
      <c r="S11" s="34">
        <f>IF(F11="","",IFERROR(VLOOKUP(F11,T_Produits,2,FALSE),""))</f>
        <v/>
      </c>
      <c r="T11" s="40">
        <f>IF(F11="","",IFERROR(1/(1/VLOOKUP(F11,T_Produits,3,FALSE)),""))</f>
        <v/>
      </c>
      <c r="U11" s="40">
        <f>IF(H11&lt;&gt;"",H11,T11)</f>
        <v/>
      </c>
      <c r="V11" s="40">
        <f>IF(OR(G11="",U11=""),"",G11*U11-N(I11))</f>
        <v/>
      </c>
      <c r="W11" s="39">
        <f>IF(D11="","",IFERROR(VALUE(MID(D11,LEN(D11)-3,3)),""))</f>
        <v/>
      </c>
      <c r="X11" s="33">
        <f>IF(W11="","",P11&amp;"|"&amp;W11)</f>
        <v/>
      </c>
      <c r="Y11" s="33">
        <f>IF(W11="","",IF(P11="À RENSEIGNER","GIC",P11)&amp;"-"&amp;TEXT(W11,"000"))</f>
        <v/>
      </c>
      <c r="Z11" s="33">
        <f>IF(X11="","",IFERROR(INDEX(Cl_nom,MATCH(X11,Cl_cle,0)),"(client introuvable)"))</f>
        <v/>
      </c>
      <c r="AA11" s="33">
        <f>IF(X11="","",IFERROR(INDEX(Cl_quartier,MATCH(X11,Cl_cle,0))&amp;"",""))</f>
        <v/>
      </c>
      <c r="AB11" s="45">
        <f>IF(R11&lt;&gt;"Livrée",0,IF(K11&lt;&gt;"",K11,C11))</f>
        <v/>
      </c>
      <c r="AC11" s="33">
        <f>IF(OR(C11="",W11=""),"",P11&amp;"|"&amp;W11&amp;"|"&amp;C11&amp;"|"&amp;E11)</f>
        <v/>
      </c>
      <c r="AD11" s="39">
        <f>IF(AC11="","",IF(COUNTIF(AC$6:AC11,AC11)=1,1,0))</f>
        <v/>
      </c>
      <c r="AE11" s="39">
        <f>IF(AB11=0,"",IF(COUNTIFS(X$6:X11,X11,AB$6:AB11,AB11)=1,1,0))</f>
        <v/>
      </c>
      <c r="AF11" s="34">
        <f>IF(C11="","",YEAR(C11-WEEKDAY(C11,2)+4)&amp;"-S"&amp;TEXT(INT((C11-DATE(YEAR(C11-WEEKDAY(C11,2)+4),1,3)+WEEKDAY(DATE(YEAR(C11-WEEKDAY(C11,2)+4),1,3),2)+5)/7),"00"))</f>
        <v/>
      </c>
    </row>
    <row r="12" ht="18" customHeight="1">
      <c r="A12" s="39" t="n">
        <v>7</v>
      </c>
      <c r="B12" s="33">
        <f>IF(C12="","",IF(P12="À RENSEIGNER","GIC",P12)&amp;"-C"&amp;TEXT(A12,"00000"))</f>
        <v/>
      </c>
      <c r="C12" s="32" t="n"/>
      <c r="D12" s="36" t="n"/>
      <c r="E12" s="36" t="n"/>
      <c r="F12" s="36" t="n"/>
      <c r="G12" s="42" t="n"/>
      <c r="H12" s="37" t="n"/>
      <c r="I12" s="37" t="n"/>
      <c r="J12" s="32" t="n"/>
      <c r="K12" s="32" t="n"/>
      <c r="L12" s="43" t="n"/>
      <c r="M12" s="36" t="n"/>
      <c r="N12" s="44" t="n"/>
      <c r="O12" s="36" t="n"/>
      <c r="P12" s="33">
        <f>IF(C12="","",Commercial_Id)</f>
        <v/>
      </c>
      <c r="Q12" s="34">
        <f>IF(AC12="","",IF(AD12=1,"C"&amp;TEXT(SUM(AD$6:AD12),"0000"),INDEX(Q$6:Q11,MATCH(AC12,AC$6:AC11,0))))</f>
        <v/>
      </c>
      <c r="R12" s="34">
        <f>IF(C12="","",IF(L12="☑ Oui","Annulée",IF(OR(E12="Vente directe",K12&lt;&gt;""),"Livrée",IF(J12&lt;&gt;"","Confirmée","En attente"))))</f>
        <v/>
      </c>
      <c r="S12" s="34">
        <f>IF(F12="","",IFERROR(VLOOKUP(F12,T_Produits,2,FALSE),""))</f>
        <v/>
      </c>
      <c r="T12" s="40">
        <f>IF(F12="","",IFERROR(1/(1/VLOOKUP(F12,T_Produits,3,FALSE)),""))</f>
        <v/>
      </c>
      <c r="U12" s="40">
        <f>IF(H12&lt;&gt;"",H12,T12)</f>
        <v/>
      </c>
      <c r="V12" s="40">
        <f>IF(OR(G12="",U12=""),"",G12*U12-N(I12))</f>
        <v/>
      </c>
      <c r="W12" s="39">
        <f>IF(D12="","",IFERROR(VALUE(MID(D12,LEN(D12)-3,3)),""))</f>
        <v/>
      </c>
      <c r="X12" s="33">
        <f>IF(W12="","",P12&amp;"|"&amp;W12)</f>
        <v/>
      </c>
      <c r="Y12" s="33">
        <f>IF(W12="","",IF(P12="À RENSEIGNER","GIC",P12)&amp;"-"&amp;TEXT(W12,"000"))</f>
        <v/>
      </c>
      <c r="Z12" s="33">
        <f>IF(X12="","",IFERROR(INDEX(Cl_nom,MATCH(X12,Cl_cle,0)),"(client introuvable)"))</f>
        <v/>
      </c>
      <c r="AA12" s="33">
        <f>IF(X12="","",IFERROR(INDEX(Cl_quartier,MATCH(X12,Cl_cle,0))&amp;"",""))</f>
        <v/>
      </c>
      <c r="AB12" s="45">
        <f>IF(R12&lt;&gt;"Livrée",0,IF(K12&lt;&gt;"",K12,C12))</f>
        <v/>
      </c>
      <c r="AC12" s="33">
        <f>IF(OR(C12="",W12=""),"",P12&amp;"|"&amp;W12&amp;"|"&amp;C12&amp;"|"&amp;E12)</f>
        <v/>
      </c>
      <c r="AD12" s="39">
        <f>IF(AC12="","",IF(COUNTIF(AC$6:AC12,AC12)=1,1,0))</f>
        <v/>
      </c>
      <c r="AE12" s="39">
        <f>IF(AB12=0,"",IF(COUNTIFS(X$6:X12,X12,AB$6:AB12,AB12)=1,1,0))</f>
        <v/>
      </c>
      <c r="AF12" s="34">
        <f>IF(C12="","",YEAR(C12-WEEKDAY(C12,2)+4)&amp;"-S"&amp;TEXT(INT((C12-DATE(YEAR(C12-WEEKDAY(C12,2)+4),1,3)+WEEKDAY(DATE(YEAR(C12-WEEKDAY(C12,2)+4),1,3),2)+5)/7),"00"))</f>
        <v/>
      </c>
    </row>
    <row r="13" ht="18" customHeight="1">
      <c r="A13" s="39" t="n">
        <v>8</v>
      </c>
      <c r="B13" s="33">
        <f>IF(C13="","",IF(P13="À RENSEIGNER","GIC",P13)&amp;"-C"&amp;TEXT(A13,"00000"))</f>
        <v/>
      </c>
      <c r="C13" s="32" t="n"/>
      <c r="D13" s="36" t="n"/>
      <c r="E13" s="36" t="n"/>
      <c r="F13" s="36" t="n"/>
      <c r="G13" s="42" t="n"/>
      <c r="H13" s="37" t="n"/>
      <c r="I13" s="37" t="n"/>
      <c r="J13" s="32" t="n"/>
      <c r="K13" s="32" t="n"/>
      <c r="L13" s="43" t="n"/>
      <c r="M13" s="36" t="n"/>
      <c r="N13" s="44" t="n"/>
      <c r="O13" s="36" t="n"/>
      <c r="P13" s="33">
        <f>IF(C13="","",Commercial_Id)</f>
        <v/>
      </c>
      <c r="Q13" s="34">
        <f>IF(AC13="","",IF(AD13=1,"C"&amp;TEXT(SUM(AD$6:AD13),"0000"),INDEX(Q$6:Q12,MATCH(AC13,AC$6:AC12,0))))</f>
        <v/>
      </c>
      <c r="R13" s="34">
        <f>IF(C13="","",IF(L13="☑ Oui","Annulée",IF(OR(E13="Vente directe",K13&lt;&gt;""),"Livrée",IF(J13&lt;&gt;"","Confirmée","En attente"))))</f>
        <v/>
      </c>
      <c r="S13" s="34">
        <f>IF(F13="","",IFERROR(VLOOKUP(F13,T_Produits,2,FALSE),""))</f>
        <v/>
      </c>
      <c r="T13" s="40">
        <f>IF(F13="","",IFERROR(1/(1/VLOOKUP(F13,T_Produits,3,FALSE)),""))</f>
        <v/>
      </c>
      <c r="U13" s="40">
        <f>IF(H13&lt;&gt;"",H13,T13)</f>
        <v/>
      </c>
      <c r="V13" s="40">
        <f>IF(OR(G13="",U13=""),"",G13*U13-N(I13))</f>
        <v/>
      </c>
      <c r="W13" s="39">
        <f>IF(D13="","",IFERROR(VALUE(MID(D13,LEN(D13)-3,3)),""))</f>
        <v/>
      </c>
      <c r="X13" s="33">
        <f>IF(W13="","",P13&amp;"|"&amp;W13)</f>
        <v/>
      </c>
      <c r="Y13" s="33">
        <f>IF(W13="","",IF(P13="À RENSEIGNER","GIC",P13)&amp;"-"&amp;TEXT(W13,"000"))</f>
        <v/>
      </c>
      <c r="Z13" s="33">
        <f>IF(X13="","",IFERROR(INDEX(Cl_nom,MATCH(X13,Cl_cle,0)),"(client introuvable)"))</f>
        <v/>
      </c>
      <c r="AA13" s="33">
        <f>IF(X13="","",IFERROR(INDEX(Cl_quartier,MATCH(X13,Cl_cle,0))&amp;"",""))</f>
        <v/>
      </c>
      <c r="AB13" s="45">
        <f>IF(R13&lt;&gt;"Livrée",0,IF(K13&lt;&gt;"",K13,C13))</f>
        <v/>
      </c>
      <c r="AC13" s="33">
        <f>IF(OR(C13="",W13=""),"",P13&amp;"|"&amp;W13&amp;"|"&amp;C13&amp;"|"&amp;E13)</f>
        <v/>
      </c>
      <c r="AD13" s="39">
        <f>IF(AC13="","",IF(COUNTIF(AC$6:AC13,AC13)=1,1,0))</f>
        <v/>
      </c>
      <c r="AE13" s="39">
        <f>IF(AB13=0,"",IF(COUNTIFS(X$6:X13,X13,AB$6:AB13,AB13)=1,1,0))</f>
        <v/>
      </c>
      <c r="AF13" s="34">
        <f>IF(C13="","",YEAR(C13-WEEKDAY(C13,2)+4)&amp;"-S"&amp;TEXT(INT((C13-DATE(YEAR(C13-WEEKDAY(C13,2)+4),1,3)+WEEKDAY(DATE(YEAR(C13-WEEKDAY(C13,2)+4),1,3),2)+5)/7),"00"))</f>
        <v/>
      </c>
    </row>
    <row r="14" ht="18" customHeight="1">
      <c r="A14" s="39" t="n">
        <v>9</v>
      </c>
      <c r="B14" s="33">
        <f>IF(C14="","",IF(P14="À RENSEIGNER","GIC",P14)&amp;"-C"&amp;TEXT(A14,"00000"))</f>
        <v/>
      </c>
      <c r="C14" s="32" t="n"/>
      <c r="D14" s="36" t="n"/>
      <c r="E14" s="36" t="n"/>
      <c r="F14" s="36" t="n"/>
      <c r="G14" s="42" t="n"/>
      <c r="H14" s="37" t="n"/>
      <c r="I14" s="37" t="n"/>
      <c r="J14" s="32" t="n"/>
      <c r="K14" s="32" t="n"/>
      <c r="L14" s="43" t="n"/>
      <c r="M14" s="36" t="n"/>
      <c r="N14" s="44" t="n"/>
      <c r="O14" s="36" t="n"/>
      <c r="P14" s="33">
        <f>IF(C14="","",Commercial_Id)</f>
        <v/>
      </c>
      <c r="Q14" s="34">
        <f>IF(AC14="","",IF(AD14=1,"C"&amp;TEXT(SUM(AD$6:AD14),"0000"),INDEX(Q$6:Q13,MATCH(AC14,AC$6:AC13,0))))</f>
        <v/>
      </c>
      <c r="R14" s="34">
        <f>IF(C14="","",IF(L14="☑ Oui","Annulée",IF(OR(E14="Vente directe",K14&lt;&gt;""),"Livrée",IF(J14&lt;&gt;"","Confirmée","En attente"))))</f>
        <v/>
      </c>
      <c r="S14" s="34">
        <f>IF(F14="","",IFERROR(VLOOKUP(F14,T_Produits,2,FALSE),""))</f>
        <v/>
      </c>
      <c r="T14" s="40">
        <f>IF(F14="","",IFERROR(1/(1/VLOOKUP(F14,T_Produits,3,FALSE)),""))</f>
        <v/>
      </c>
      <c r="U14" s="40">
        <f>IF(H14&lt;&gt;"",H14,T14)</f>
        <v/>
      </c>
      <c r="V14" s="40">
        <f>IF(OR(G14="",U14=""),"",G14*U14-N(I14))</f>
        <v/>
      </c>
      <c r="W14" s="39">
        <f>IF(D14="","",IFERROR(VALUE(MID(D14,LEN(D14)-3,3)),""))</f>
        <v/>
      </c>
      <c r="X14" s="33">
        <f>IF(W14="","",P14&amp;"|"&amp;W14)</f>
        <v/>
      </c>
      <c r="Y14" s="33">
        <f>IF(W14="","",IF(P14="À RENSEIGNER","GIC",P14)&amp;"-"&amp;TEXT(W14,"000"))</f>
        <v/>
      </c>
      <c r="Z14" s="33">
        <f>IF(X14="","",IFERROR(INDEX(Cl_nom,MATCH(X14,Cl_cle,0)),"(client introuvable)"))</f>
        <v/>
      </c>
      <c r="AA14" s="33">
        <f>IF(X14="","",IFERROR(INDEX(Cl_quartier,MATCH(X14,Cl_cle,0))&amp;"",""))</f>
        <v/>
      </c>
      <c r="AB14" s="45">
        <f>IF(R14&lt;&gt;"Livrée",0,IF(K14&lt;&gt;"",K14,C14))</f>
        <v/>
      </c>
      <c r="AC14" s="33">
        <f>IF(OR(C14="",W14=""),"",P14&amp;"|"&amp;W14&amp;"|"&amp;C14&amp;"|"&amp;E14)</f>
        <v/>
      </c>
      <c r="AD14" s="39">
        <f>IF(AC14="","",IF(COUNTIF(AC$6:AC14,AC14)=1,1,0))</f>
        <v/>
      </c>
      <c r="AE14" s="39">
        <f>IF(AB14=0,"",IF(COUNTIFS(X$6:X14,X14,AB$6:AB14,AB14)=1,1,0))</f>
        <v/>
      </c>
      <c r="AF14" s="34">
        <f>IF(C14="","",YEAR(C14-WEEKDAY(C14,2)+4)&amp;"-S"&amp;TEXT(INT((C14-DATE(YEAR(C14-WEEKDAY(C14,2)+4),1,3)+WEEKDAY(DATE(YEAR(C14-WEEKDAY(C14,2)+4),1,3),2)+5)/7),"00"))</f>
        <v/>
      </c>
    </row>
    <row r="15" ht="18" customHeight="1">
      <c r="A15" s="39" t="n">
        <v>10</v>
      </c>
      <c r="B15" s="33">
        <f>IF(C15="","",IF(P15="À RENSEIGNER","GIC",P15)&amp;"-C"&amp;TEXT(A15,"00000"))</f>
        <v/>
      </c>
      <c r="C15" s="32" t="n"/>
      <c r="D15" s="36" t="n"/>
      <c r="E15" s="36" t="n"/>
      <c r="F15" s="36" t="n"/>
      <c r="G15" s="42" t="n"/>
      <c r="H15" s="37" t="n"/>
      <c r="I15" s="37" t="n"/>
      <c r="J15" s="32" t="n"/>
      <c r="K15" s="32" t="n"/>
      <c r="L15" s="43" t="n"/>
      <c r="M15" s="36" t="n"/>
      <c r="N15" s="44" t="n"/>
      <c r="O15" s="36" t="n"/>
      <c r="P15" s="33">
        <f>IF(C15="","",Commercial_Id)</f>
        <v/>
      </c>
      <c r="Q15" s="34">
        <f>IF(AC15="","",IF(AD15=1,"C"&amp;TEXT(SUM(AD$6:AD15),"0000"),INDEX(Q$6:Q14,MATCH(AC15,AC$6:AC14,0))))</f>
        <v/>
      </c>
      <c r="R15" s="34">
        <f>IF(C15="","",IF(L15="☑ Oui","Annulée",IF(OR(E15="Vente directe",K15&lt;&gt;""),"Livrée",IF(J15&lt;&gt;"","Confirmée","En attente"))))</f>
        <v/>
      </c>
      <c r="S15" s="34">
        <f>IF(F15="","",IFERROR(VLOOKUP(F15,T_Produits,2,FALSE),""))</f>
        <v/>
      </c>
      <c r="T15" s="40">
        <f>IF(F15="","",IFERROR(1/(1/VLOOKUP(F15,T_Produits,3,FALSE)),""))</f>
        <v/>
      </c>
      <c r="U15" s="40">
        <f>IF(H15&lt;&gt;"",H15,T15)</f>
        <v/>
      </c>
      <c r="V15" s="40">
        <f>IF(OR(G15="",U15=""),"",G15*U15-N(I15))</f>
        <v/>
      </c>
      <c r="W15" s="39">
        <f>IF(D15="","",IFERROR(VALUE(MID(D15,LEN(D15)-3,3)),""))</f>
        <v/>
      </c>
      <c r="X15" s="33">
        <f>IF(W15="","",P15&amp;"|"&amp;W15)</f>
        <v/>
      </c>
      <c r="Y15" s="33">
        <f>IF(W15="","",IF(P15="À RENSEIGNER","GIC",P15)&amp;"-"&amp;TEXT(W15,"000"))</f>
        <v/>
      </c>
      <c r="Z15" s="33">
        <f>IF(X15="","",IFERROR(INDEX(Cl_nom,MATCH(X15,Cl_cle,0)),"(client introuvable)"))</f>
        <v/>
      </c>
      <c r="AA15" s="33">
        <f>IF(X15="","",IFERROR(INDEX(Cl_quartier,MATCH(X15,Cl_cle,0))&amp;"",""))</f>
        <v/>
      </c>
      <c r="AB15" s="45">
        <f>IF(R15&lt;&gt;"Livrée",0,IF(K15&lt;&gt;"",K15,C15))</f>
        <v/>
      </c>
      <c r="AC15" s="33">
        <f>IF(OR(C15="",W15=""),"",P15&amp;"|"&amp;W15&amp;"|"&amp;C15&amp;"|"&amp;E15)</f>
        <v/>
      </c>
      <c r="AD15" s="39">
        <f>IF(AC15="","",IF(COUNTIF(AC$6:AC15,AC15)=1,1,0))</f>
        <v/>
      </c>
      <c r="AE15" s="39">
        <f>IF(AB15=0,"",IF(COUNTIFS(X$6:X15,X15,AB$6:AB15,AB15)=1,1,0))</f>
        <v/>
      </c>
      <c r="AF15" s="34">
        <f>IF(C15="","",YEAR(C15-WEEKDAY(C15,2)+4)&amp;"-S"&amp;TEXT(INT((C15-DATE(YEAR(C15-WEEKDAY(C15,2)+4),1,3)+WEEKDAY(DATE(YEAR(C15-WEEKDAY(C15,2)+4),1,3),2)+5)/7),"00"))</f>
        <v/>
      </c>
    </row>
    <row r="16" ht="18" customHeight="1">
      <c r="A16" s="39" t="n">
        <v>11</v>
      </c>
      <c r="B16" s="33">
        <f>IF(C16="","",IF(P16="À RENSEIGNER","GIC",P16)&amp;"-C"&amp;TEXT(A16,"00000"))</f>
        <v/>
      </c>
      <c r="C16" s="32" t="n"/>
      <c r="D16" s="36" t="n"/>
      <c r="E16" s="36" t="n"/>
      <c r="F16" s="36" t="n"/>
      <c r="G16" s="42" t="n"/>
      <c r="H16" s="37" t="n"/>
      <c r="I16" s="37" t="n"/>
      <c r="J16" s="32" t="n"/>
      <c r="K16" s="32" t="n"/>
      <c r="L16" s="43" t="n"/>
      <c r="M16" s="36" t="n"/>
      <c r="N16" s="44" t="n"/>
      <c r="O16" s="36" t="n"/>
      <c r="P16" s="33">
        <f>IF(C16="","",Commercial_Id)</f>
        <v/>
      </c>
      <c r="Q16" s="34">
        <f>IF(AC16="","",IF(AD16=1,"C"&amp;TEXT(SUM(AD$6:AD16),"0000"),INDEX(Q$6:Q15,MATCH(AC16,AC$6:AC15,0))))</f>
        <v/>
      </c>
      <c r="R16" s="34">
        <f>IF(C16="","",IF(L16="☑ Oui","Annulée",IF(OR(E16="Vente directe",K16&lt;&gt;""),"Livrée",IF(J16&lt;&gt;"","Confirmée","En attente"))))</f>
        <v/>
      </c>
      <c r="S16" s="34">
        <f>IF(F16="","",IFERROR(VLOOKUP(F16,T_Produits,2,FALSE),""))</f>
        <v/>
      </c>
      <c r="T16" s="40">
        <f>IF(F16="","",IFERROR(1/(1/VLOOKUP(F16,T_Produits,3,FALSE)),""))</f>
        <v/>
      </c>
      <c r="U16" s="40">
        <f>IF(H16&lt;&gt;"",H16,T16)</f>
        <v/>
      </c>
      <c r="V16" s="40">
        <f>IF(OR(G16="",U16=""),"",G16*U16-N(I16))</f>
        <v/>
      </c>
      <c r="W16" s="39">
        <f>IF(D16="","",IFERROR(VALUE(MID(D16,LEN(D16)-3,3)),""))</f>
        <v/>
      </c>
      <c r="X16" s="33">
        <f>IF(W16="","",P16&amp;"|"&amp;W16)</f>
        <v/>
      </c>
      <c r="Y16" s="33">
        <f>IF(W16="","",IF(P16="À RENSEIGNER","GIC",P16)&amp;"-"&amp;TEXT(W16,"000"))</f>
        <v/>
      </c>
      <c r="Z16" s="33">
        <f>IF(X16="","",IFERROR(INDEX(Cl_nom,MATCH(X16,Cl_cle,0)),"(client introuvable)"))</f>
        <v/>
      </c>
      <c r="AA16" s="33">
        <f>IF(X16="","",IFERROR(INDEX(Cl_quartier,MATCH(X16,Cl_cle,0))&amp;"",""))</f>
        <v/>
      </c>
      <c r="AB16" s="45">
        <f>IF(R16&lt;&gt;"Livrée",0,IF(K16&lt;&gt;"",K16,C16))</f>
        <v/>
      </c>
      <c r="AC16" s="33">
        <f>IF(OR(C16="",W16=""),"",P16&amp;"|"&amp;W16&amp;"|"&amp;C16&amp;"|"&amp;E16)</f>
        <v/>
      </c>
      <c r="AD16" s="39">
        <f>IF(AC16="","",IF(COUNTIF(AC$6:AC16,AC16)=1,1,0))</f>
        <v/>
      </c>
      <c r="AE16" s="39">
        <f>IF(AB16=0,"",IF(COUNTIFS(X$6:X16,X16,AB$6:AB16,AB16)=1,1,0))</f>
        <v/>
      </c>
      <c r="AF16" s="34">
        <f>IF(C16="","",YEAR(C16-WEEKDAY(C16,2)+4)&amp;"-S"&amp;TEXT(INT((C16-DATE(YEAR(C16-WEEKDAY(C16,2)+4),1,3)+WEEKDAY(DATE(YEAR(C16-WEEKDAY(C16,2)+4),1,3),2)+5)/7),"00"))</f>
        <v/>
      </c>
    </row>
    <row r="17" ht="18" customHeight="1">
      <c r="A17" s="39" t="n">
        <v>12</v>
      </c>
      <c r="B17" s="33">
        <f>IF(C17="","",IF(P17="À RENSEIGNER","GIC",P17)&amp;"-C"&amp;TEXT(A17,"00000"))</f>
        <v/>
      </c>
      <c r="C17" s="32" t="n"/>
      <c r="D17" s="36" t="n"/>
      <c r="E17" s="36" t="n"/>
      <c r="F17" s="36" t="n"/>
      <c r="G17" s="42" t="n"/>
      <c r="H17" s="37" t="n"/>
      <c r="I17" s="37" t="n"/>
      <c r="J17" s="32" t="n"/>
      <c r="K17" s="32" t="n"/>
      <c r="L17" s="43" t="n"/>
      <c r="M17" s="36" t="n"/>
      <c r="N17" s="44" t="n"/>
      <c r="O17" s="36" t="n"/>
      <c r="P17" s="33">
        <f>IF(C17="","",Commercial_Id)</f>
        <v/>
      </c>
      <c r="Q17" s="34">
        <f>IF(AC17="","",IF(AD17=1,"C"&amp;TEXT(SUM(AD$6:AD17),"0000"),INDEX(Q$6:Q16,MATCH(AC17,AC$6:AC16,0))))</f>
        <v/>
      </c>
      <c r="R17" s="34">
        <f>IF(C17="","",IF(L17="☑ Oui","Annulée",IF(OR(E17="Vente directe",K17&lt;&gt;""),"Livrée",IF(J17&lt;&gt;"","Confirmée","En attente"))))</f>
        <v/>
      </c>
      <c r="S17" s="34">
        <f>IF(F17="","",IFERROR(VLOOKUP(F17,T_Produits,2,FALSE),""))</f>
        <v/>
      </c>
      <c r="T17" s="40">
        <f>IF(F17="","",IFERROR(1/(1/VLOOKUP(F17,T_Produits,3,FALSE)),""))</f>
        <v/>
      </c>
      <c r="U17" s="40">
        <f>IF(H17&lt;&gt;"",H17,T17)</f>
        <v/>
      </c>
      <c r="V17" s="40">
        <f>IF(OR(G17="",U17=""),"",G17*U17-N(I17))</f>
        <v/>
      </c>
      <c r="W17" s="39">
        <f>IF(D17="","",IFERROR(VALUE(MID(D17,LEN(D17)-3,3)),""))</f>
        <v/>
      </c>
      <c r="X17" s="33">
        <f>IF(W17="","",P17&amp;"|"&amp;W17)</f>
        <v/>
      </c>
      <c r="Y17" s="33">
        <f>IF(W17="","",IF(P17="À RENSEIGNER","GIC",P17)&amp;"-"&amp;TEXT(W17,"000"))</f>
        <v/>
      </c>
      <c r="Z17" s="33">
        <f>IF(X17="","",IFERROR(INDEX(Cl_nom,MATCH(X17,Cl_cle,0)),"(client introuvable)"))</f>
        <v/>
      </c>
      <c r="AA17" s="33">
        <f>IF(X17="","",IFERROR(INDEX(Cl_quartier,MATCH(X17,Cl_cle,0))&amp;"",""))</f>
        <v/>
      </c>
      <c r="AB17" s="45">
        <f>IF(R17&lt;&gt;"Livrée",0,IF(K17&lt;&gt;"",K17,C17))</f>
        <v/>
      </c>
      <c r="AC17" s="33">
        <f>IF(OR(C17="",W17=""),"",P17&amp;"|"&amp;W17&amp;"|"&amp;C17&amp;"|"&amp;E17)</f>
        <v/>
      </c>
      <c r="AD17" s="39">
        <f>IF(AC17="","",IF(COUNTIF(AC$6:AC17,AC17)=1,1,0))</f>
        <v/>
      </c>
      <c r="AE17" s="39">
        <f>IF(AB17=0,"",IF(COUNTIFS(X$6:X17,X17,AB$6:AB17,AB17)=1,1,0))</f>
        <v/>
      </c>
      <c r="AF17" s="34">
        <f>IF(C17="","",YEAR(C17-WEEKDAY(C17,2)+4)&amp;"-S"&amp;TEXT(INT((C17-DATE(YEAR(C17-WEEKDAY(C17,2)+4),1,3)+WEEKDAY(DATE(YEAR(C17-WEEKDAY(C17,2)+4),1,3),2)+5)/7),"00"))</f>
        <v/>
      </c>
    </row>
    <row r="18" ht="18" customHeight="1">
      <c r="A18" s="39" t="n">
        <v>13</v>
      </c>
      <c r="B18" s="33">
        <f>IF(C18="","",IF(P18="À RENSEIGNER","GIC",P18)&amp;"-C"&amp;TEXT(A18,"00000"))</f>
        <v/>
      </c>
      <c r="C18" s="32" t="n"/>
      <c r="D18" s="36" t="n"/>
      <c r="E18" s="36" t="n"/>
      <c r="F18" s="36" t="n"/>
      <c r="G18" s="42" t="n"/>
      <c r="H18" s="37" t="n"/>
      <c r="I18" s="37" t="n"/>
      <c r="J18" s="32" t="n"/>
      <c r="K18" s="32" t="n"/>
      <c r="L18" s="43" t="n"/>
      <c r="M18" s="36" t="n"/>
      <c r="N18" s="44" t="n"/>
      <c r="O18" s="36" t="n"/>
      <c r="P18" s="33">
        <f>IF(C18="","",Commercial_Id)</f>
        <v/>
      </c>
      <c r="Q18" s="34">
        <f>IF(AC18="","",IF(AD18=1,"C"&amp;TEXT(SUM(AD$6:AD18),"0000"),INDEX(Q$6:Q17,MATCH(AC18,AC$6:AC17,0))))</f>
        <v/>
      </c>
      <c r="R18" s="34">
        <f>IF(C18="","",IF(L18="☑ Oui","Annulée",IF(OR(E18="Vente directe",K18&lt;&gt;""),"Livrée",IF(J18&lt;&gt;"","Confirmée","En attente"))))</f>
        <v/>
      </c>
      <c r="S18" s="34">
        <f>IF(F18="","",IFERROR(VLOOKUP(F18,T_Produits,2,FALSE),""))</f>
        <v/>
      </c>
      <c r="T18" s="40">
        <f>IF(F18="","",IFERROR(1/(1/VLOOKUP(F18,T_Produits,3,FALSE)),""))</f>
        <v/>
      </c>
      <c r="U18" s="40">
        <f>IF(H18&lt;&gt;"",H18,T18)</f>
        <v/>
      </c>
      <c r="V18" s="40">
        <f>IF(OR(G18="",U18=""),"",G18*U18-N(I18))</f>
        <v/>
      </c>
      <c r="W18" s="39">
        <f>IF(D18="","",IFERROR(VALUE(MID(D18,LEN(D18)-3,3)),""))</f>
        <v/>
      </c>
      <c r="X18" s="33">
        <f>IF(W18="","",P18&amp;"|"&amp;W18)</f>
        <v/>
      </c>
      <c r="Y18" s="33">
        <f>IF(W18="","",IF(P18="À RENSEIGNER","GIC",P18)&amp;"-"&amp;TEXT(W18,"000"))</f>
        <v/>
      </c>
      <c r="Z18" s="33">
        <f>IF(X18="","",IFERROR(INDEX(Cl_nom,MATCH(X18,Cl_cle,0)),"(client introuvable)"))</f>
        <v/>
      </c>
      <c r="AA18" s="33">
        <f>IF(X18="","",IFERROR(INDEX(Cl_quartier,MATCH(X18,Cl_cle,0))&amp;"",""))</f>
        <v/>
      </c>
      <c r="AB18" s="45">
        <f>IF(R18&lt;&gt;"Livrée",0,IF(K18&lt;&gt;"",K18,C18))</f>
        <v/>
      </c>
      <c r="AC18" s="33">
        <f>IF(OR(C18="",W18=""),"",P18&amp;"|"&amp;W18&amp;"|"&amp;C18&amp;"|"&amp;E18)</f>
        <v/>
      </c>
      <c r="AD18" s="39">
        <f>IF(AC18="","",IF(COUNTIF(AC$6:AC18,AC18)=1,1,0))</f>
        <v/>
      </c>
      <c r="AE18" s="39">
        <f>IF(AB18=0,"",IF(COUNTIFS(X$6:X18,X18,AB$6:AB18,AB18)=1,1,0))</f>
        <v/>
      </c>
      <c r="AF18" s="34">
        <f>IF(C18="","",YEAR(C18-WEEKDAY(C18,2)+4)&amp;"-S"&amp;TEXT(INT((C18-DATE(YEAR(C18-WEEKDAY(C18,2)+4),1,3)+WEEKDAY(DATE(YEAR(C18-WEEKDAY(C18,2)+4),1,3),2)+5)/7),"00"))</f>
        <v/>
      </c>
    </row>
    <row r="19" ht="18" customHeight="1">
      <c r="A19" s="39" t="n">
        <v>14</v>
      </c>
      <c r="B19" s="33">
        <f>IF(C19="","",IF(P19="À RENSEIGNER","GIC",P19)&amp;"-C"&amp;TEXT(A19,"00000"))</f>
        <v/>
      </c>
      <c r="C19" s="32" t="n"/>
      <c r="D19" s="36" t="n"/>
      <c r="E19" s="36" t="n"/>
      <c r="F19" s="36" t="n"/>
      <c r="G19" s="42" t="n"/>
      <c r="H19" s="37" t="n"/>
      <c r="I19" s="37" t="n"/>
      <c r="J19" s="32" t="n"/>
      <c r="K19" s="32" t="n"/>
      <c r="L19" s="43" t="n"/>
      <c r="M19" s="36" t="n"/>
      <c r="N19" s="44" t="n"/>
      <c r="O19" s="36" t="n"/>
      <c r="P19" s="33">
        <f>IF(C19="","",Commercial_Id)</f>
        <v/>
      </c>
      <c r="Q19" s="34">
        <f>IF(AC19="","",IF(AD19=1,"C"&amp;TEXT(SUM(AD$6:AD19),"0000"),INDEX(Q$6:Q18,MATCH(AC19,AC$6:AC18,0))))</f>
        <v/>
      </c>
      <c r="R19" s="34">
        <f>IF(C19="","",IF(L19="☑ Oui","Annulée",IF(OR(E19="Vente directe",K19&lt;&gt;""),"Livrée",IF(J19&lt;&gt;"","Confirmée","En attente"))))</f>
        <v/>
      </c>
      <c r="S19" s="34">
        <f>IF(F19="","",IFERROR(VLOOKUP(F19,T_Produits,2,FALSE),""))</f>
        <v/>
      </c>
      <c r="T19" s="40">
        <f>IF(F19="","",IFERROR(1/(1/VLOOKUP(F19,T_Produits,3,FALSE)),""))</f>
        <v/>
      </c>
      <c r="U19" s="40">
        <f>IF(H19&lt;&gt;"",H19,T19)</f>
        <v/>
      </c>
      <c r="V19" s="40">
        <f>IF(OR(G19="",U19=""),"",G19*U19-N(I19))</f>
        <v/>
      </c>
      <c r="W19" s="39">
        <f>IF(D19="","",IFERROR(VALUE(MID(D19,LEN(D19)-3,3)),""))</f>
        <v/>
      </c>
      <c r="X19" s="33">
        <f>IF(W19="","",P19&amp;"|"&amp;W19)</f>
        <v/>
      </c>
      <c r="Y19" s="33">
        <f>IF(W19="","",IF(P19="À RENSEIGNER","GIC",P19)&amp;"-"&amp;TEXT(W19,"000"))</f>
        <v/>
      </c>
      <c r="Z19" s="33">
        <f>IF(X19="","",IFERROR(INDEX(Cl_nom,MATCH(X19,Cl_cle,0)),"(client introuvable)"))</f>
        <v/>
      </c>
      <c r="AA19" s="33">
        <f>IF(X19="","",IFERROR(INDEX(Cl_quartier,MATCH(X19,Cl_cle,0))&amp;"",""))</f>
        <v/>
      </c>
      <c r="AB19" s="45">
        <f>IF(R19&lt;&gt;"Livrée",0,IF(K19&lt;&gt;"",K19,C19))</f>
        <v/>
      </c>
      <c r="AC19" s="33">
        <f>IF(OR(C19="",W19=""),"",P19&amp;"|"&amp;W19&amp;"|"&amp;C19&amp;"|"&amp;E19)</f>
        <v/>
      </c>
      <c r="AD19" s="39">
        <f>IF(AC19="","",IF(COUNTIF(AC$6:AC19,AC19)=1,1,0))</f>
        <v/>
      </c>
      <c r="AE19" s="39">
        <f>IF(AB19=0,"",IF(COUNTIFS(X$6:X19,X19,AB$6:AB19,AB19)=1,1,0))</f>
        <v/>
      </c>
      <c r="AF19" s="34">
        <f>IF(C19="","",YEAR(C19-WEEKDAY(C19,2)+4)&amp;"-S"&amp;TEXT(INT((C19-DATE(YEAR(C19-WEEKDAY(C19,2)+4),1,3)+WEEKDAY(DATE(YEAR(C19-WEEKDAY(C19,2)+4),1,3),2)+5)/7),"00"))</f>
        <v/>
      </c>
    </row>
    <row r="20" ht="18" customHeight="1">
      <c r="A20" s="39" t="n">
        <v>15</v>
      </c>
      <c r="B20" s="33">
        <f>IF(C20="","",IF(P20="À RENSEIGNER","GIC",P20)&amp;"-C"&amp;TEXT(A20,"00000"))</f>
        <v/>
      </c>
      <c r="C20" s="32" t="n"/>
      <c r="D20" s="36" t="n"/>
      <c r="E20" s="36" t="n"/>
      <c r="F20" s="36" t="n"/>
      <c r="G20" s="42" t="n"/>
      <c r="H20" s="37" t="n"/>
      <c r="I20" s="37" t="n"/>
      <c r="J20" s="32" t="n"/>
      <c r="K20" s="32" t="n"/>
      <c r="L20" s="43" t="n"/>
      <c r="M20" s="36" t="n"/>
      <c r="N20" s="44" t="n"/>
      <c r="O20" s="36" t="n"/>
      <c r="P20" s="33">
        <f>IF(C20="","",Commercial_Id)</f>
        <v/>
      </c>
      <c r="Q20" s="34">
        <f>IF(AC20="","",IF(AD20=1,"C"&amp;TEXT(SUM(AD$6:AD20),"0000"),INDEX(Q$6:Q19,MATCH(AC20,AC$6:AC19,0))))</f>
        <v/>
      </c>
      <c r="R20" s="34">
        <f>IF(C20="","",IF(L20="☑ Oui","Annulée",IF(OR(E20="Vente directe",K20&lt;&gt;""),"Livrée",IF(J20&lt;&gt;"","Confirmée","En attente"))))</f>
        <v/>
      </c>
      <c r="S20" s="34">
        <f>IF(F20="","",IFERROR(VLOOKUP(F20,T_Produits,2,FALSE),""))</f>
        <v/>
      </c>
      <c r="T20" s="40">
        <f>IF(F20="","",IFERROR(1/(1/VLOOKUP(F20,T_Produits,3,FALSE)),""))</f>
        <v/>
      </c>
      <c r="U20" s="40">
        <f>IF(H20&lt;&gt;"",H20,T20)</f>
        <v/>
      </c>
      <c r="V20" s="40">
        <f>IF(OR(G20="",U20=""),"",G20*U20-N(I20))</f>
        <v/>
      </c>
      <c r="W20" s="39">
        <f>IF(D20="","",IFERROR(VALUE(MID(D20,LEN(D20)-3,3)),""))</f>
        <v/>
      </c>
      <c r="X20" s="33">
        <f>IF(W20="","",P20&amp;"|"&amp;W20)</f>
        <v/>
      </c>
      <c r="Y20" s="33">
        <f>IF(W20="","",IF(P20="À RENSEIGNER","GIC",P20)&amp;"-"&amp;TEXT(W20,"000"))</f>
        <v/>
      </c>
      <c r="Z20" s="33">
        <f>IF(X20="","",IFERROR(INDEX(Cl_nom,MATCH(X20,Cl_cle,0)),"(client introuvable)"))</f>
        <v/>
      </c>
      <c r="AA20" s="33">
        <f>IF(X20="","",IFERROR(INDEX(Cl_quartier,MATCH(X20,Cl_cle,0))&amp;"",""))</f>
        <v/>
      </c>
      <c r="AB20" s="45">
        <f>IF(R20&lt;&gt;"Livrée",0,IF(K20&lt;&gt;"",K20,C20))</f>
        <v/>
      </c>
      <c r="AC20" s="33">
        <f>IF(OR(C20="",W20=""),"",P20&amp;"|"&amp;W20&amp;"|"&amp;C20&amp;"|"&amp;E20)</f>
        <v/>
      </c>
      <c r="AD20" s="39">
        <f>IF(AC20="","",IF(COUNTIF(AC$6:AC20,AC20)=1,1,0))</f>
        <v/>
      </c>
      <c r="AE20" s="39">
        <f>IF(AB20=0,"",IF(COUNTIFS(X$6:X20,X20,AB$6:AB20,AB20)=1,1,0))</f>
        <v/>
      </c>
      <c r="AF20" s="34">
        <f>IF(C20="","",YEAR(C20-WEEKDAY(C20,2)+4)&amp;"-S"&amp;TEXT(INT((C20-DATE(YEAR(C20-WEEKDAY(C20,2)+4),1,3)+WEEKDAY(DATE(YEAR(C20-WEEKDAY(C20,2)+4),1,3),2)+5)/7),"00"))</f>
        <v/>
      </c>
    </row>
    <row r="21" ht="18" customHeight="1">
      <c r="A21" s="39" t="n">
        <v>16</v>
      </c>
      <c r="B21" s="33">
        <f>IF(C21="","",IF(P21="À RENSEIGNER","GIC",P21)&amp;"-C"&amp;TEXT(A21,"00000"))</f>
        <v/>
      </c>
      <c r="C21" s="32" t="n"/>
      <c r="D21" s="36" t="n"/>
      <c r="E21" s="36" t="n"/>
      <c r="F21" s="36" t="n"/>
      <c r="G21" s="42" t="n"/>
      <c r="H21" s="37" t="n"/>
      <c r="I21" s="37" t="n"/>
      <c r="J21" s="32" t="n"/>
      <c r="K21" s="32" t="n"/>
      <c r="L21" s="43" t="n"/>
      <c r="M21" s="36" t="n"/>
      <c r="N21" s="44" t="n"/>
      <c r="O21" s="36" t="n"/>
      <c r="P21" s="33">
        <f>IF(C21="","",Commercial_Id)</f>
        <v/>
      </c>
      <c r="Q21" s="34">
        <f>IF(AC21="","",IF(AD21=1,"C"&amp;TEXT(SUM(AD$6:AD21),"0000"),INDEX(Q$6:Q20,MATCH(AC21,AC$6:AC20,0))))</f>
        <v/>
      </c>
      <c r="R21" s="34">
        <f>IF(C21="","",IF(L21="☑ Oui","Annulée",IF(OR(E21="Vente directe",K21&lt;&gt;""),"Livrée",IF(J21&lt;&gt;"","Confirmée","En attente"))))</f>
        <v/>
      </c>
      <c r="S21" s="34">
        <f>IF(F21="","",IFERROR(VLOOKUP(F21,T_Produits,2,FALSE),""))</f>
        <v/>
      </c>
      <c r="T21" s="40">
        <f>IF(F21="","",IFERROR(1/(1/VLOOKUP(F21,T_Produits,3,FALSE)),""))</f>
        <v/>
      </c>
      <c r="U21" s="40">
        <f>IF(H21&lt;&gt;"",H21,T21)</f>
        <v/>
      </c>
      <c r="V21" s="40">
        <f>IF(OR(G21="",U21=""),"",G21*U21-N(I21))</f>
        <v/>
      </c>
      <c r="W21" s="39">
        <f>IF(D21="","",IFERROR(VALUE(MID(D21,LEN(D21)-3,3)),""))</f>
        <v/>
      </c>
      <c r="X21" s="33">
        <f>IF(W21="","",P21&amp;"|"&amp;W21)</f>
        <v/>
      </c>
      <c r="Y21" s="33">
        <f>IF(W21="","",IF(P21="À RENSEIGNER","GIC",P21)&amp;"-"&amp;TEXT(W21,"000"))</f>
        <v/>
      </c>
      <c r="Z21" s="33">
        <f>IF(X21="","",IFERROR(INDEX(Cl_nom,MATCH(X21,Cl_cle,0)),"(client introuvable)"))</f>
        <v/>
      </c>
      <c r="AA21" s="33">
        <f>IF(X21="","",IFERROR(INDEX(Cl_quartier,MATCH(X21,Cl_cle,0))&amp;"",""))</f>
        <v/>
      </c>
      <c r="AB21" s="45">
        <f>IF(R21&lt;&gt;"Livrée",0,IF(K21&lt;&gt;"",K21,C21))</f>
        <v/>
      </c>
      <c r="AC21" s="33">
        <f>IF(OR(C21="",W21=""),"",P21&amp;"|"&amp;W21&amp;"|"&amp;C21&amp;"|"&amp;E21)</f>
        <v/>
      </c>
      <c r="AD21" s="39">
        <f>IF(AC21="","",IF(COUNTIF(AC$6:AC21,AC21)=1,1,0))</f>
        <v/>
      </c>
      <c r="AE21" s="39">
        <f>IF(AB21=0,"",IF(COUNTIFS(X$6:X21,X21,AB$6:AB21,AB21)=1,1,0))</f>
        <v/>
      </c>
      <c r="AF21" s="34">
        <f>IF(C21="","",YEAR(C21-WEEKDAY(C21,2)+4)&amp;"-S"&amp;TEXT(INT((C21-DATE(YEAR(C21-WEEKDAY(C21,2)+4),1,3)+WEEKDAY(DATE(YEAR(C21-WEEKDAY(C21,2)+4),1,3),2)+5)/7),"00"))</f>
        <v/>
      </c>
    </row>
    <row r="22" ht="18" customHeight="1">
      <c r="A22" s="39" t="n">
        <v>17</v>
      </c>
      <c r="B22" s="33">
        <f>IF(C22="","",IF(P22="À RENSEIGNER","GIC",P22)&amp;"-C"&amp;TEXT(A22,"00000"))</f>
        <v/>
      </c>
      <c r="C22" s="32" t="n"/>
      <c r="D22" s="36" t="n"/>
      <c r="E22" s="36" t="n"/>
      <c r="F22" s="36" t="n"/>
      <c r="G22" s="42" t="n"/>
      <c r="H22" s="37" t="n"/>
      <c r="I22" s="37" t="n"/>
      <c r="J22" s="32" t="n"/>
      <c r="K22" s="32" t="n"/>
      <c r="L22" s="43" t="n"/>
      <c r="M22" s="36" t="n"/>
      <c r="N22" s="44" t="n"/>
      <c r="O22" s="36" t="n"/>
      <c r="P22" s="33">
        <f>IF(C22="","",Commercial_Id)</f>
        <v/>
      </c>
      <c r="Q22" s="34">
        <f>IF(AC22="","",IF(AD22=1,"C"&amp;TEXT(SUM(AD$6:AD22),"0000"),INDEX(Q$6:Q21,MATCH(AC22,AC$6:AC21,0))))</f>
        <v/>
      </c>
      <c r="R22" s="34">
        <f>IF(C22="","",IF(L22="☑ Oui","Annulée",IF(OR(E22="Vente directe",K22&lt;&gt;""),"Livrée",IF(J22&lt;&gt;"","Confirmée","En attente"))))</f>
        <v/>
      </c>
      <c r="S22" s="34">
        <f>IF(F22="","",IFERROR(VLOOKUP(F22,T_Produits,2,FALSE),""))</f>
        <v/>
      </c>
      <c r="T22" s="40">
        <f>IF(F22="","",IFERROR(1/(1/VLOOKUP(F22,T_Produits,3,FALSE)),""))</f>
        <v/>
      </c>
      <c r="U22" s="40">
        <f>IF(H22&lt;&gt;"",H22,T22)</f>
        <v/>
      </c>
      <c r="V22" s="40">
        <f>IF(OR(G22="",U22=""),"",G22*U22-N(I22))</f>
        <v/>
      </c>
      <c r="W22" s="39">
        <f>IF(D22="","",IFERROR(VALUE(MID(D22,LEN(D22)-3,3)),""))</f>
        <v/>
      </c>
      <c r="X22" s="33">
        <f>IF(W22="","",P22&amp;"|"&amp;W22)</f>
        <v/>
      </c>
      <c r="Y22" s="33">
        <f>IF(W22="","",IF(P22="À RENSEIGNER","GIC",P22)&amp;"-"&amp;TEXT(W22,"000"))</f>
        <v/>
      </c>
      <c r="Z22" s="33">
        <f>IF(X22="","",IFERROR(INDEX(Cl_nom,MATCH(X22,Cl_cle,0)),"(client introuvable)"))</f>
        <v/>
      </c>
      <c r="AA22" s="33">
        <f>IF(X22="","",IFERROR(INDEX(Cl_quartier,MATCH(X22,Cl_cle,0))&amp;"",""))</f>
        <v/>
      </c>
      <c r="AB22" s="45">
        <f>IF(R22&lt;&gt;"Livrée",0,IF(K22&lt;&gt;"",K22,C22))</f>
        <v/>
      </c>
      <c r="AC22" s="33">
        <f>IF(OR(C22="",W22=""),"",P22&amp;"|"&amp;W22&amp;"|"&amp;C22&amp;"|"&amp;E22)</f>
        <v/>
      </c>
      <c r="AD22" s="39">
        <f>IF(AC22="","",IF(COUNTIF(AC$6:AC22,AC22)=1,1,0))</f>
        <v/>
      </c>
      <c r="AE22" s="39">
        <f>IF(AB22=0,"",IF(COUNTIFS(X$6:X22,X22,AB$6:AB22,AB22)=1,1,0))</f>
        <v/>
      </c>
      <c r="AF22" s="34">
        <f>IF(C22="","",YEAR(C22-WEEKDAY(C22,2)+4)&amp;"-S"&amp;TEXT(INT((C22-DATE(YEAR(C22-WEEKDAY(C22,2)+4),1,3)+WEEKDAY(DATE(YEAR(C22-WEEKDAY(C22,2)+4),1,3),2)+5)/7),"00"))</f>
        <v/>
      </c>
    </row>
    <row r="23" ht="18" customHeight="1">
      <c r="A23" s="39" t="n">
        <v>18</v>
      </c>
      <c r="B23" s="33">
        <f>IF(C23="","",IF(P23="À RENSEIGNER","GIC",P23)&amp;"-C"&amp;TEXT(A23,"00000"))</f>
        <v/>
      </c>
      <c r="C23" s="32" t="n"/>
      <c r="D23" s="36" t="n"/>
      <c r="E23" s="36" t="n"/>
      <c r="F23" s="36" t="n"/>
      <c r="G23" s="42" t="n"/>
      <c r="H23" s="37" t="n"/>
      <c r="I23" s="37" t="n"/>
      <c r="J23" s="32" t="n"/>
      <c r="K23" s="32" t="n"/>
      <c r="L23" s="43" t="n"/>
      <c r="M23" s="36" t="n"/>
      <c r="N23" s="44" t="n"/>
      <c r="O23" s="36" t="n"/>
      <c r="P23" s="33">
        <f>IF(C23="","",Commercial_Id)</f>
        <v/>
      </c>
      <c r="Q23" s="34">
        <f>IF(AC23="","",IF(AD23=1,"C"&amp;TEXT(SUM(AD$6:AD23),"0000"),INDEX(Q$6:Q22,MATCH(AC23,AC$6:AC22,0))))</f>
        <v/>
      </c>
      <c r="R23" s="34">
        <f>IF(C23="","",IF(L23="☑ Oui","Annulée",IF(OR(E23="Vente directe",K23&lt;&gt;""),"Livrée",IF(J23&lt;&gt;"","Confirmée","En attente"))))</f>
        <v/>
      </c>
      <c r="S23" s="34">
        <f>IF(F23="","",IFERROR(VLOOKUP(F23,T_Produits,2,FALSE),""))</f>
        <v/>
      </c>
      <c r="T23" s="40">
        <f>IF(F23="","",IFERROR(1/(1/VLOOKUP(F23,T_Produits,3,FALSE)),""))</f>
        <v/>
      </c>
      <c r="U23" s="40">
        <f>IF(H23&lt;&gt;"",H23,T23)</f>
        <v/>
      </c>
      <c r="V23" s="40">
        <f>IF(OR(G23="",U23=""),"",G23*U23-N(I23))</f>
        <v/>
      </c>
      <c r="W23" s="39">
        <f>IF(D23="","",IFERROR(VALUE(MID(D23,LEN(D23)-3,3)),""))</f>
        <v/>
      </c>
      <c r="X23" s="33">
        <f>IF(W23="","",P23&amp;"|"&amp;W23)</f>
        <v/>
      </c>
      <c r="Y23" s="33">
        <f>IF(W23="","",IF(P23="À RENSEIGNER","GIC",P23)&amp;"-"&amp;TEXT(W23,"000"))</f>
        <v/>
      </c>
      <c r="Z23" s="33">
        <f>IF(X23="","",IFERROR(INDEX(Cl_nom,MATCH(X23,Cl_cle,0)),"(client introuvable)"))</f>
        <v/>
      </c>
      <c r="AA23" s="33">
        <f>IF(X23="","",IFERROR(INDEX(Cl_quartier,MATCH(X23,Cl_cle,0))&amp;"",""))</f>
        <v/>
      </c>
      <c r="AB23" s="45">
        <f>IF(R23&lt;&gt;"Livrée",0,IF(K23&lt;&gt;"",K23,C23))</f>
        <v/>
      </c>
      <c r="AC23" s="33">
        <f>IF(OR(C23="",W23=""),"",P23&amp;"|"&amp;W23&amp;"|"&amp;C23&amp;"|"&amp;E23)</f>
        <v/>
      </c>
      <c r="AD23" s="39">
        <f>IF(AC23="","",IF(COUNTIF(AC$6:AC23,AC23)=1,1,0))</f>
        <v/>
      </c>
      <c r="AE23" s="39">
        <f>IF(AB23=0,"",IF(COUNTIFS(X$6:X23,X23,AB$6:AB23,AB23)=1,1,0))</f>
        <v/>
      </c>
      <c r="AF23" s="34">
        <f>IF(C23="","",YEAR(C23-WEEKDAY(C23,2)+4)&amp;"-S"&amp;TEXT(INT((C23-DATE(YEAR(C23-WEEKDAY(C23,2)+4),1,3)+WEEKDAY(DATE(YEAR(C23-WEEKDAY(C23,2)+4),1,3),2)+5)/7),"00"))</f>
        <v/>
      </c>
    </row>
    <row r="24" ht="18" customHeight="1">
      <c r="A24" s="39" t="n">
        <v>19</v>
      </c>
      <c r="B24" s="33">
        <f>IF(C24="","",IF(P24="À RENSEIGNER","GIC",P24)&amp;"-C"&amp;TEXT(A24,"00000"))</f>
        <v/>
      </c>
      <c r="C24" s="32" t="n"/>
      <c r="D24" s="36" t="n"/>
      <c r="E24" s="36" t="n"/>
      <c r="F24" s="36" t="n"/>
      <c r="G24" s="42" t="n"/>
      <c r="H24" s="37" t="n"/>
      <c r="I24" s="37" t="n"/>
      <c r="J24" s="32" t="n"/>
      <c r="K24" s="32" t="n"/>
      <c r="L24" s="43" t="n"/>
      <c r="M24" s="36" t="n"/>
      <c r="N24" s="44" t="n"/>
      <c r="O24" s="36" t="n"/>
      <c r="P24" s="33">
        <f>IF(C24="","",Commercial_Id)</f>
        <v/>
      </c>
      <c r="Q24" s="34">
        <f>IF(AC24="","",IF(AD24=1,"C"&amp;TEXT(SUM(AD$6:AD24),"0000"),INDEX(Q$6:Q23,MATCH(AC24,AC$6:AC23,0))))</f>
        <v/>
      </c>
      <c r="R24" s="34">
        <f>IF(C24="","",IF(L24="☑ Oui","Annulée",IF(OR(E24="Vente directe",K24&lt;&gt;""),"Livrée",IF(J24&lt;&gt;"","Confirmée","En attente"))))</f>
        <v/>
      </c>
      <c r="S24" s="34">
        <f>IF(F24="","",IFERROR(VLOOKUP(F24,T_Produits,2,FALSE),""))</f>
        <v/>
      </c>
      <c r="T24" s="40">
        <f>IF(F24="","",IFERROR(1/(1/VLOOKUP(F24,T_Produits,3,FALSE)),""))</f>
        <v/>
      </c>
      <c r="U24" s="40">
        <f>IF(H24&lt;&gt;"",H24,T24)</f>
        <v/>
      </c>
      <c r="V24" s="40">
        <f>IF(OR(G24="",U24=""),"",G24*U24-N(I24))</f>
        <v/>
      </c>
      <c r="W24" s="39">
        <f>IF(D24="","",IFERROR(VALUE(MID(D24,LEN(D24)-3,3)),""))</f>
        <v/>
      </c>
      <c r="X24" s="33">
        <f>IF(W24="","",P24&amp;"|"&amp;W24)</f>
        <v/>
      </c>
      <c r="Y24" s="33">
        <f>IF(W24="","",IF(P24="À RENSEIGNER","GIC",P24)&amp;"-"&amp;TEXT(W24,"000"))</f>
        <v/>
      </c>
      <c r="Z24" s="33">
        <f>IF(X24="","",IFERROR(INDEX(Cl_nom,MATCH(X24,Cl_cle,0)),"(client introuvable)"))</f>
        <v/>
      </c>
      <c r="AA24" s="33">
        <f>IF(X24="","",IFERROR(INDEX(Cl_quartier,MATCH(X24,Cl_cle,0))&amp;"",""))</f>
        <v/>
      </c>
      <c r="AB24" s="45">
        <f>IF(R24&lt;&gt;"Livrée",0,IF(K24&lt;&gt;"",K24,C24))</f>
        <v/>
      </c>
      <c r="AC24" s="33">
        <f>IF(OR(C24="",W24=""),"",P24&amp;"|"&amp;W24&amp;"|"&amp;C24&amp;"|"&amp;E24)</f>
        <v/>
      </c>
      <c r="AD24" s="39">
        <f>IF(AC24="","",IF(COUNTIF(AC$6:AC24,AC24)=1,1,0))</f>
        <v/>
      </c>
      <c r="AE24" s="39">
        <f>IF(AB24=0,"",IF(COUNTIFS(X$6:X24,X24,AB$6:AB24,AB24)=1,1,0))</f>
        <v/>
      </c>
      <c r="AF24" s="34">
        <f>IF(C24="","",YEAR(C24-WEEKDAY(C24,2)+4)&amp;"-S"&amp;TEXT(INT((C24-DATE(YEAR(C24-WEEKDAY(C24,2)+4),1,3)+WEEKDAY(DATE(YEAR(C24-WEEKDAY(C24,2)+4),1,3),2)+5)/7),"00"))</f>
        <v/>
      </c>
    </row>
    <row r="25" ht="18" customHeight="1">
      <c r="A25" s="39" t="n">
        <v>20</v>
      </c>
      <c r="B25" s="33">
        <f>IF(C25="","",IF(P25="À RENSEIGNER","GIC",P25)&amp;"-C"&amp;TEXT(A25,"00000"))</f>
        <v/>
      </c>
      <c r="C25" s="32" t="n"/>
      <c r="D25" s="36" t="n"/>
      <c r="E25" s="36" t="n"/>
      <c r="F25" s="36" t="n"/>
      <c r="G25" s="42" t="n"/>
      <c r="H25" s="37" t="n"/>
      <c r="I25" s="37" t="n"/>
      <c r="J25" s="32" t="n"/>
      <c r="K25" s="32" t="n"/>
      <c r="L25" s="43" t="n"/>
      <c r="M25" s="36" t="n"/>
      <c r="N25" s="44" t="n"/>
      <c r="O25" s="36" t="n"/>
      <c r="P25" s="33">
        <f>IF(C25="","",Commercial_Id)</f>
        <v/>
      </c>
      <c r="Q25" s="34">
        <f>IF(AC25="","",IF(AD25=1,"C"&amp;TEXT(SUM(AD$6:AD25),"0000"),INDEX(Q$6:Q24,MATCH(AC25,AC$6:AC24,0))))</f>
        <v/>
      </c>
      <c r="R25" s="34">
        <f>IF(C25="","",IF(L25="☑ Oui","Annulée",IF(OR(E25="Vente directe",K25&lt;&gt;""),"Livrée",IF(J25&lt;&gt;"","Confirmée","En attente"))))</f>
        <v/>
      </c>
      <c r="S25" s="34">
        <f>IF(F25="","",IFERROR(VLOOKUP(F25,T_Produits,2,FALSE),""))</f>
        <v/>
      </c>
      <c r="T25" s="40">
        <f>IF(F25="","",IFERROR(1/(1/VLOOKUP(F25,T_Produits,3,FALSE)),""))</f>
        <v/>
      </c>
      <c r="U25" s="40">
        <f>IF(H25&lt;&gt;"",H25,T25)</f>
        <v/>
      </c>
      <c r="V25" s="40">
        <f>IF(OR(G25="",U25=""),"",G25*U25-N(I25))</f>
        <v/>
      </c>
      <c r="W25" s="39">
        <f>IF(D25="","",IFERROR(VALUE(MID(D25,LEN(D25)-3,3)),""))</f>
        <v/>
      </c>
      <c r="X25" s="33">
        <f>IF(W25="","",P25&amp;"|"&amp;W25)</f>
        <v/>
      </c>
      <c r="Y25" s="33">
        <f>IF(W25="","",IF(P25="À RENSEIGNER","GIC",P25)&amp;"-"&amp;TEXT(W25,"000"))</f>
        <v/>
      </c>
      <c r="Z25" s="33">
        <f>IF(X25="","",IFERROR(INDEX(Cl_nom,MATCH(X25,Cl_cle,0)),"(client introuvable)"))</f>
        <v/>
      </c>
      <c r="AA25" s="33">
        <f>IF(X25="","",IFERROR(INDEX(Cl_quartier,MATCH(X25,Cl_cle,0))&amp;"",""))</f>
        <v/>
      </c>
      <c r="AB25" s="45">
        <f>IF(R25&lt;&gt;"Livrée",0,IF(K25&lt;&gt;"",K25,C25))</f>
        <v/>
      </c>
      <c r="AC25" s="33">
        <f>IF(OR(C25="",W25=""),"",P25&amp;"|"&amp;W25&amp;"|"&amp;C25&amp;"|"&amp;E25)</f>
        <v/>
      </c>
      <c r="AD25" s="39">
        <f>IF(AC25="","",IF(COUNTIF(AC$6:AC25,AC25)=1,1,0))</f>
        <v/>
      </c>
      <c r="AE25" s="39">
        <f>IF(AB25=0,"",IF(COUNTIFS(X$6:X25,X25,AB$6:AB25,AB25)=1,1,0))</f>
        <v/>
      </c>
      <c r="AF25" s="34">
        <f>IF(C25="","",YEAR(C25-WEEKDAY(C25,2)+4)&amp;"-S"&amp;TEXT(INT((C25-DATE(YEAR(C25-WEEKDAY(C25,2)+4),1,3)+WEEKDAY(DATE(YEAR(C25-WEEKDAY(C25,2)+4),1,3),2)+5)/7),"00"))</f>
        <v/>
      </c>
    </row>
    <row r="26" ht="18" customHeight="1">
      <c r="A26" s="39" t="n">
        <v>21</v>
      </c>
      <c r="B26" s="33">
        <f>IF(C26="","",IF(P26="À RENSEIGNER","GIC",P26)&amp;"-C"&amp;TEXT(A26,"00000"))</f>
        <v/>
      </c>
      <c r="C26" s="32" t="n"/>
      <c r="D26" s="36" t="n"/>
      <c r="E26" s="36" t="n"/>
      <c r="F26" s="36" t="n"/>
      <c r="G26" s="42" t="n"/>
      <c r="H26" s="37" t="n"/>
      <c r="I26" s="37" t="n"/>
      <c r="J26" s="32" t="n"/>
      <c r="K26" s="32" t="n"/>
      <c r="L26" s="43" t="n"/>
      <c r="M26" s="36" t="n"/>
      <c r="N26" s="44" t="n"/>
      <c r="O26" s="36" t="n"/>
      <c r="P26" s="33">
        <f>IF(C26="","",Commercial_Id)</f>
        <v/>
      </c>
      <c r="Q26" s="34">
        <f>IF(AC26="","",IF(AD26=1,"C"&amp;TEXT(SUM(AD$6:AD26),"0000"),INDEX(Q$6:Q25,MATCH(AC26,AC$6:AC25,0))))</f>
        <v/>
      </c>
      <c r="R26" s="34">
        <f>IF(C26="","",IF(L26="☑ Oui","Annulée",IF(OR(E26="Vente directe",K26&lt;&gt;""),"Livrée",IF(J26&lt;&gt;"","Confirmée","En attente"))))</f>
        <v/>
      </c>
      <c r="S26" s="34">
        <f>IF(F26="","",IFERROR(VLOOKUP(F26,T_Produits,2,FALSE),""))</f>
        <v/>
      </c>
      <c r="T26" s="40">
        <f>IF(F26="","",IFERROR(1/(1/VLOOKUP(F26,T_Produits,3,FALSE)),""))</f>
        <v/>
      </c>
      <c r="U26" s="40">
        <f>IF(H26&lt;&gt;"",H26,T26)</f>
        <v/>
      </c>
      <c r="V26" s="40">
        <f>IF(OR(G26="",U26=""),"",G26*U26-N(I26))</f>
        <v/>
      </c>
      <c r="W26" s="39">
        <f>IF(D26="","",IFERROR(VALUE(MID(D26,LEN(D26)-3,3)),""))</f>
        <v/>
      </c>
      <c r="X26" s="33">
        <f>IF(W26="","",P26&amp;"|"&amp;W26)</f>
        <v/>
      </c>
      <c r="Y26" s="33">
        <f>IF(W26="","",IF(P26="À RENSEIGNER","GIC",P26)&amp;"-"&amp;TEXT(W26,"000"))</f>
        <v/>
      </c>
      <c r="Z26" s="33">
        <f>IF(X26="","",IFERROR(INDEX(Cl_nom,MATCH(X26,Cl_cle,0)),"(client introuvable)"))</f>
        <v/>
      </c>
      <c r="AA26" s="33">
        <f>IF(X26="","",IFERROR(INDEX(Cl_quartier,MATCH(X26,Cl_cle,0))&amp;"",""))</f>
        <v/>
      </c>
      <c r="AB26" s="45">
        <f>IF(R26&lt;&gt;"Livrée",0,IF(K26&lt;&gt;"",K26,C26))</f>
        <v/>
      </c>
      <c r="AC26" s="33">
        <f>IF(OR(C26="",W26=""),"",P26&amp;"|"&amp;W26&amp;"|"&amp;C26&amp;"|"&amp;E26)</f>
        <v/>
      </c>
      <c r="AD26" s="39">
        <f>IF(AC26="","",IF(COUNTIF(AC$6:AC26,AC26)=1,1,0))</f>
        <v/>
      </c>
      <c r="AE26" s="39">
        <f>IF(AB26=0,"",IF(COUNTIFS(X$6:X26,X26,AB$6:AB26,AB26)=1,1,0))</f>
        <v/>
      </c>
      <c r="AF26" s="34">
        <f>IF(C26="","",YEAR(C26-WEEKDAY(C26,2)+4)&amp;"-S"&amp;TEXT(INT((C26-DATE(YEAR(C26-WEEKDAY(C26,2)+4),1,3)+WEEKDAY(DATE(YEAR(C26-WEEKDAY(C26,2)+4),1,3),2)+5)/7),"00"))</f>
        <v/>
      </c>
    </row>
    <row r="27" ht="18" customHeight="1">
      <c r="A27" s="39" t="n">
        <v>22</v>
      </c>
      <c r="B27" s="33">
        <f>IF(C27="","",IF(P27="À RENSEIGNER","GIC",P27)&amp;"-C"&amp;TEXT(A27,"00000"))</f>
        <v/>
      </c>
      <c r="C27" s="32" t="n"/>
      <c r="D27" s="36" t="n"/>
      <c r="E27" s="36" t="n"/>
      <c r="F27" s="36" t="n"/>
      <c r="G27" s="42" t="n"/>
      <c r="H27" s="37" t="n"/>
      <c r="I27" s="37" t="n"/>
      <c r="J27" s="32" t="n"/>
      <c r="K27" s="32" t="n"/>
      <c r="L27" s="43" t="n"/>
      <c r="M27" s="36" t="n"/>
      <c r="N27" s="44" t="n"/>
      <c r="O27" s="36" t="n"/>
      <c r="P27" s="33">
        <f>IF(C27="","",Commercial_Id)</f>
        <v/>
      </c>
      <c r="Q27" s="34">
        <f>IF(AC27="","",IF(AD27=1,"C"&amp;TEXT(SUM(AD$6:AD27),"0000"),INDEX(Q$6:Q26,MATCH(AC27,AC$6:AC26,0))))</f>
        <v/>
      </c>
      <c r="R27" s="34">
        <f>IF(C27="","",IF(L27="☑ Oui","Annulée",IF(OR(E27="Vente directe",K27&lt;&gt;""),"Livrée",IF(J27&lt;&gt;"","Confirmée","En attente"))))</f>
        <v/>
      </c>
      <c r="S27" s="34">
        <f>IF(F27="","",IFERROR(VLOOKUP(F27,T_Produits,2,FALSE),""))</f>
        <v/>
      </c>
      <c r="T27" s="40">
        <f>IF(F27="","",IFERROR(1/(1/VLOOKUP(F27,T_Produits,3,FALSE)),""))</f>
        <v/>
      </c>
      <c r="U27" s="40">
        <f>IF(H27&lt;&gt;"",H27,T27)</f>
        <v/>
      </c>
      <c r="V27" s="40">
        <f>IF(OR(G27="",U27=""),"",G27*U27-N(I27))</f>
        <v/>
      </c>
      <c r="W27" s="39">
        <f>IF(D27="","",IFERROR(VALUE(MID(D27,LEN(D27)-3,3)),""))</f>
        <v/>
      </c>
      <c r="X27" s="33">
        <f>IF(W27="","",P27&amp;"|"&amp;W27)</f>
        <v/>
      </c>
      <c r="Y27" s="33">
        <f>IF(W27="","",IF(P27="À RENSEIGNER","GIC",P27)&amp;"-"&amp;TEXT(W27,"000"))</f>
        <v/>
      </c>
      <c r="Z27" s="33">
        <f>IF(X27="","",IFERROR(INDEX(Cl_nom,MATCH(X27,Cl_cle,0)),"(client introuvable)"))</f>
        <v/>
      </c>
      <c r="AA27" s="33">
        <f>IF(X27="","",IFERROR(INDEX(Cl_quartier,MATCH(X27,Cl_cle,0))&amp;"",""))</f>
        <v/>
      </c>
      <c r="AB27" s="45">
        <f>IF(R27&lt;&gt;"Livrée",0,IF(K27&lt;&gt;"",K27,C27))</f>
        <v/>
      </c>
      <c r="AC27" s="33">
        <f>IF(OR(C27="",W27=""),"",P27&amp;"|"&amp;W27&amp;"|"&amp;C27&amp;"|"&amp;E27)</f>
        <v/>
      </c>
      <c r="AD27" s="39">
        <f>IF(AC27="","",IF(COUNTIF(AC$6:AC27,AC27)=1,1,0))</f>
        <v/>
      </c>
      <c r="AE27" s="39">
        <f>IF(AB27=0,"",IF(COUNTIFS(X$6:X27,X27,AB$6:AB27,AB27)=1,1,0))</f>
        <v/>
      </c>
      <c r="AF27" s="34">
        <f>IF(C27="","",YEAR(C27-WEEKDAY(C27,2)+4)&amp;"-S"&amp;TEXT(INT((C27-DATE(YEAR(C27-WEEKDAY(C27,2)+4),1,3)+WEEKDAY(DATE(YEAR(C27-WEEKDAY(C27,2)+4),1,3),2)+5)/7),"00"))</f>
        <v/>
      </c>
    </row>
    <row r="28" ht="18" customHeight="1">
      <c r="A28" s="39" t="n">
        <v>23</v>
      </c>
      <c r="B28" s="33">
        <f>IF(C28="","",IF(P28="À RENSEIGNER","GIC",P28)&amp;"-C"&amp;TEXT(A28,"00000"))</f>
        <v/>
      </c>
      <c r="C28" s="32" t="n"/>
      <c r="D28" s="36" t="n"/>
      <c r="E28" s="36" t="n"/>
      <c r="F28" s="36" t="n"/>
      <c r="G28" s="42" t="n"/>
      <c r="H28" s="37" t="n"/>
      <c r="I28" s="37" t="n"/>
      <c r="J28" s="32" t="n"/>
      <c r="K28" s="32" t="n"/>
      <c r="L28" s="43" t="n"/>
      <c r="M28" s="36" t="n"/>
      <c r="N28" s="44" t="n"/>
      <c r="O28" s="36" t="n"/>
      <c r="P28" s="33">
        <f>IF(C28="","",Commercial_Id)</f>
        <v/>
      </c>
      <c r="Q28" s="34">
        <f>IF(AC28="","",IF(AD28=1,"C"&amp;TEXT(SUM(AD$6:AD28),"0000"),INDEX(Q$6:Q27,MATCH(AC28,AC$6:AC27,0))))</f>
        <v/>
      </c>
      <c r="R28" s="34">
        <f>IF(C28="","",IF(L28="☑ Oui","Annulée",IF(OR(E28="Vente directe",K28&lt;&gt;""),"Livrée",IF(J28&lt;&gt;"","Confirmée","En attente"))))</f>
        <v/>
      </c>
      <c r="S28" s="34">
        <f>IF(F28="","",IFERROR(VLOOKUP(F28,T_Produits,2,FALSE),""))</f>
        <v/>
      </c>
      <c r="T28" s="40">
        <f>IF(F28="","",IFERROR(1/(1/VLOOKUP(F28,T_Produits,3,FALSE)),""))</f>
        <v/>
      </c>
      <c r="U28" s="40">
        <f>IF(H28&lt;&gt;"",H28,T28)</f>
        <v/>
      </c>
      <c r="V28" s="40">
        <f>IF(OR(G28="",U28=""),"",G28*U28-N(I28))</f>
        <v/>
      </c>
      <c r="W28" s="39">
        <f>IF(D28="","",IFERROR(VALUE(MID(D28,LEN(D28)-3,3)),""))</f>
        <v/>
      </c>
      <c r="X28" s="33">
        <f>IF(W28="","",P28&amp;"|"&amp;W28)</f>
        <v/>
      </c>
      <c r="Y28" s="33">
        <f>IF(W28="","",IF(P28="À RENSEIGNER","GIC",P28)&amp;"-"&amp;TEXT(W28,"000"))</f>
        <v/>
      </c>
      <c r="Z28" s="33">
        <f>IF(X28="","",IFERROR(INDEX(Cl_nom,MATCH(X28,Cl_cle,0)),"(client introuvable)"))</f>
        <v/>
      </c>
      <c r="AA28" s="33">
        <f>IF(X28="","",IFERROR(INDEX(Cl_quartier,MATCH(X28,Cl_cle,0))&amp;"",""))</f>
        <v/>
      </c>
      <c r="AB28" s="45">
        <f>IF(R28&lt;&gt;"Livrée",0,IF(K28&lt;&gt;"",K28,C28))</f>
        <v/>
      </c>
      <c r="AC28" s="33">
        <f>IF(OR(C28="",W28=""),"",P28&amp;"|"&amp;W28&amp;"|"&amp;C28&amp;"|"&amp;E28)</f>
        <v/>
      </c>
      <c r="AD28" s="39">
        <f>IF(AC28="","",IF(COUNTIF(AC$6:AC28,AC28)=1,1,0))</f>
        <v/>
      </c>
      <c r="AE28" s="39">
        <f>IF(AB28=0,"",IF(COUNTIFS(X$6:X28,X28,AB$6:AB28,AB28)=1,1,0))</f>
        <v/>
      </c>
      <c r="AF28" s="34">
        <f>IF(C28="","",YEAR(C28-WEEKDAY(C28,2)+4)&amp;"-S"&amp;TEXT(INT((C28-DATE(YEAR(C28-WEEKDAY(C28,2)+4),1,3)+WEEKDAY(DATE(YEAR(C28-WEEKDAY(C28,2)+4),1,3),2)+5)/7),"00"))</f>
        <v/>
      </c>
    </row>
    <row r="29" ht="18" customHeight="1">
      <c r="A29" s="39" t="n">
        <v>24</v>
      </c>
      <c r="B29" s="33">
        <f>IF(C29="","",IF(P29="À RENSEIGNER","GIC",P29)&amp;"-C"&amp;TEXT(A29,"00000"))</f>
        <v/>
      </c>
      <c r="C29" s="32" t="n"/>
      <c r="D29" s="36" t="n"/>
      <c r="E29" s="36" t="n"/>
      <c r="F29" s="36" t="n"/>
      <c r="G29" s="42" t="n"/>
      <c r="H29" s="37" t="n"/>
      <c r="I29" s="37" t="n"/>
      <c r="J29" s="32" t="n"/>
      <c r="K29" s="32" t="n"/>
      <c r="L29" s="43" t="n"/>
      <c r="M29" s="36" t="n"/>
      <c r="N29" s="44" t="n"/>
      <c r="O29" s="36" t="n"/>
      <c r="P29" s="33">
        <f>IF(C29="","",Commercial_Id)</f>
        <v/>
      </c>
      <c r="Q29" s="34">
        <f>IF(AC29="","",IF(AD29=1,"C"&amp;TEXT(SUM(AD$6:AD29),"0000"),INDEX(Q$6:Q28,MATCH(AC29,AC$6:AC28,0))))</f>
        <v/>
      </c>
      <c r="R29" s="34">
        <f>IF(C29="","",IF(L29="☑ Oui","Annulée",IF(OR(E29="Vente directe",K29&lt;&gt;""),"Livrée",IF(J29&lt;&gt;"","Confirmée","En attente"))))</f>
        <v/>
      </c>
      <c r="S29" s="34">
        <f>IF(F29="","",IFERROR(VLOOKUP(F29,T_Produits,2,FALSE),""))</f>
        <v/>
      </c>
      <c r="T29" s="40">
        <f>IF(F29="","",IFERROR(1/(1/VLOOKUP(F29,T_Produits,3,FALSE)),""))</f>
        <v/>
      </c>
      <c r="U29" s="40">
        <f>IF(H29&lt;&gt;"",H29,T29)</f>
        <v/>
      </c>
      <c r="V29" s="40">
        <f>IF(OR(G29="",U29=""),"",G29*U29-N(I29))</f>
        <v/>
      </c>
      <c r="W29" s="39">
        <f>IF(D29="","",IFERROR(VALUE(MID(D29,LEN(D29)-3,3)),""))</f>
        <v/>
      </c>
      <c r="X29" s="33">
        <f>IF(W29="","",P29&amp;"|"&amp;W29)</f>
        <v/>
      </c>
      <c r="Y29" s="33">
        <f>IF(W29="","",IF(P29="À RENSEIGNER","GIC",P29)&amp;"-"&amp;TEXT(W29,"000"))</f>
        <v/>
      </c>
      <c r="Z29" s="33">
        <f>IF(X29="","",IFERROR(INDEX(Cl_nom,MATCH(X29,Cl_cle,0)),"(client introuvable)"))</f>
        <v/>
      </c>
      <c r="AA29" s="33">
        <f>IF(X29="","",IFERROR(INDEX(Cl_quartier,MATCH(X29,Cl_cle,0))&amp;"",""))</f>
        <v/>
      </c>
      <c r="AB29" s="45">
        <f>IF(R29&lt;&gt;"Livrée",0,IF(K29&lt;&gt;"",K29,C29))</f>
        <v/>
      </c>
      <c r="AC29" s="33">
        <f>IF(OR(C29="",W29=""),"",P29&amp;"|"&amp;W29&amp;"|"&amp;C29&amp;"|"&amp;E29)</f>
        <v/>
      </c>
      <c r="AD29" s="39">
        <f>IF(AC29="","",IF(COUNTIF(AC$6:AC29,AC29)=1,1,0))</f>
        <v/>
      </c>
      <c r="AE29" s="39">
        <f>IF(AB29=0,"",IF(COUNTIFS(X$6:X29,X29,AB$6:AB29,AB29)=1,1,0))</f>
        <v/>
      </c>
      <c r="AF29" s="34">
        <f>IF(C29="","",YEAR(C29-WEEKDAY(C29,2)+4)&amp;"-S"&amp;TEXT(INT((C29-DATE(YEAR(C29-WEEKDAY(C29,2)+4),1,3)+WEEKDAY(DATE(YEAR(C29-WEEKDAY(C29,2)+4),1,3),2)+5)/7),"00"))</f>
        <v/>
      </c>
    </row>
    <row r="30" ht="18" customHeight="1">
      <c r="A30" s="39" t="n">
        <v>25</v>
      </c>
      <c r="B30" s="33">
        <f>IF(C30="","",IF(P30="À RENSEIGNER","GIC",P30)&amp;"-C"&amp;TEXT(A30,"00000"))</f>
        <v/>
      </c>
      <c r="C30" s="32" t="n"/>
      <c r="D30" s="36" t="n"/>
      <c r="E30" s="36" t="n"/>
      <c r="F30" s="36" t="n"/>
      <c r="G30" s="42" t="n"/>
      <c r="H30" s="37" t="n"/>
      <c r="I30" s="37" t="n"/>
      <c r="J30" s="32" t="n"/>
      <c r="K30" s="32" t="n"/>
      <c r="L30" s="43" t="n"/>
      <c r="M30" s="36" t="n"/>
      <c r="N30" s="44" t="n"/>
      <c r="O30" s="36" t="n"/>
      <c r="P30" s="33">
        <f>IF(C30="","",Commercial_Id)</f>
        <v/>
      </c>
      <c r="Q30" s="34">
        <f>IF(AC30="","",IF(AD30=1,"C"&amp;TEXT(SUM(AD$6:AD30),"0000"),INDEX(Q$6:Q29,MATCH(AC30,AC$6:AC29,0))))</f>
        <v/>
      </c>
      <c r="R30" s="34">
        <f>IF(C30="","",IF(L30="☑ Oui","Annulée",IF(OR(E30="Vente directe",K30&lt;&gt;""),"Livrée",IF(J30&lt;&gt;"","Confirmée","En attente"))))</f>
        <v/>
      </c>
      <c r="S30" s="34">
        <f>IF(F30="","",IFERROR(VLOOKUP(F30,T_Produits,2,FALSE),""))</f>
        <v/>
      </c>
      <c r="T30" s="40">
        <f>IF(F30="","",IFERROR(1/(1/VLOOKUP(F30,T_Produits,3,FALSE)),""))</f>
        <v/>
      </c>
      <c r="U30" s="40">
        <f>IF(H30&lt;&gt;"",H30,T30)</f>
        <v/>
      </c>
      <c r="V30" s="40">
        <f>IF(OR(G30="",U30=""),"",G30*U30-N(I30))</f>
        <v/>
      </c>
      <c r="W30" s="39">
        <f>IF(D30="","",IFERROR(VALUE(MID(D30,LEN(D30)-3,3)),""))</f>
        <v/>
      </c>
      <c r="X30" s="33">
        <f>IF(W30="","",P30&amp;"|"&amp;W30)</f>
        <v/>
      </c>
      <c r="Y30" s="33">
        <f>IF(W30="","",IF(P30="À RENSEIGNER","GIC",P30)&amp;"-"&amp;TEXT(W30,"000"))</f>
        <v/>
      </c>
      <c r="Z30" s="33">
        <f>IF(X30="","",IFERROR(INDEX(Cl_nom,MATCH(X30,Cl_cle,0)),"(client introuvable)"))</f>
        <v/>
      </c>
      <c r="AA30" s="33">
        <f>IF(X30="","",IFERROR(INDEX(Cl_quartier,MATCH(X30,Cl_cle,0))&amp;"",""))</f>
        <v/>
      </c>
      <c r="AB30" s="45">
        <f>IF(R30&lt;&gt;"Livrée",0,IF(K30&lt;&gt;"",K30,C30))</f>
        <v/>
      </c>
      <c r="AC30" s="33">
        <f>IF(OR(C30="",W30=""),"",P30&amp;"|"&amp;W30&amp;"|"&amp;C30&amp;"|"&amp;E30)</f>
        <v/>
      </c>
      <c r="AD30" s="39">
        <f>IF(AC30="","",IF(COUNTIF(AC$6:AC30,AC30)=1,1,0))</f>
        <v/>
      </c>
      <c r="AE30" s="39">
        <f>IF(AB30=0,"",IF(COUNTIFS(X$6:X30,X30,AB$6:AB30,AB30)=1,1,0))</f>
        <v/>
      </c>
      <c r="AF30" s="34">
        <f>IF(C30="","",YEAR(C30-WEEKDAY(C30,2)+4)&amp;"-S"&amp;TEXT(INT((C30-DATE(YEAR(C30-WEEKDAY(C30,2)+4),1,3)+WEEKDAY(DATE(YEAR(C30-WEEKDAY(C30,2)+4),1,3),2)+5)/7),"00"))</f>
        <v/>
      </c>
    </row>
    <row r="31" ht="18" customHeight="1">
      <c r="A31" s="39" t="n">
        <v>26</v>
      </c>
      <c r="B31" s="33">
        <f>IF(C31="","",IF(P31="À RENSEIGNER","GIC",P31)&amp;"-C"&amp;TEXT(A31,"00000"))</f>
        <v/>
      </c>
      <c r="C31" s="32" t="n"/>
      <c r="D31" s="36" t="n"/>
      <c r="E31" s="36" t="n"/>
      <c r="F31" s="36" t="n"/>
      <c r="G31" s="42" t="n"/>
      <c r="H31" s="37" t="n"/>
      <c r="I31" s="37" t="n"/>
      <c r="J31" s="32" t="n"/>
      <c r="K31" s="32" t="n"/>
      <c r="L31" s="43" t="n"/>
      <c r="M31" s="36" t="n"/>
      <c r="N31" s="44" t="n"/>
      <c r="O31" s="36" t="n"/>
      <c r="P31" s="33">
        <f>IF(C31="","",Commercial_Id)</f>
        <v/>
      </c>
      <c r="Q31" s="34">
        <f>IF(AC31="","",IF(AD31=1,"C"&amp;TEXT(SUM(AD$6:AD31),"0000"),INDEX(Q$6:Q30,MATCH(AC31,AC$6:AC30,0))))</f>
        <v/>
      </c>
      <c r="R31" s="34">
        <f>IF(C31="","",IF(L31="☑ Oui","Annulée",IF(OR(E31="Vente directe",K31&lt;&gt;""),"Livrée",IF(J31&lt;&gt;"","Confirmée","En attente"))))</f>
        <v/>
      </c>
      <c r="S31" s="34">
        <f>IF(F31="","",IFERROR(VLOOKUP(F31,T_Produits,2,FALSE),""))</f>
        <v/>
      </c>
      <c r="T31" s="40">
        <f>IF(F31="","",IFERROR(1/(1/VLOOKUP(F31,T_Produits,3,FALSE)),""))</f>
        <v/>
      </c>
      <c r="U31" s="40">
        <f>IF(H31&lt;&gt;"",H31,T31)</f>
        <v/>
      </c>
      <c r="V31" s="40">
        <f>IF(OR(G31="",U31=""),"",G31*U31-N(I31))</f>
        <v/>
      </c>
      <c r="W31" s="39">
        <f>IF(D31="","",IFERROR(VALUE(MID(D31,LEN(D31)-3,3)),""))</f>
        <v/>
      </c>
      <c r="X31" s="33">
        <f>IF(W31="","",P31&amp;"|"&amp;W31)</f>
        <v/>
      </c>
      <c r="Y31" s="33">
        <f>IF(W31="","",IF(P31="À RENSEIGNER","GIC",P31)&amp;"-"&amp;TEXT(W31,"000"))</f>
        <v/>
      </c>
      <c r="Z31" s="33">
        <f>IF(X31="","",IFERROR(INDEX(Cl_nom,MATCH(X31,Cl_cle,0)),"(client introuvable)"))</f>
        <v/>
      </c>
      <c r="AA31" s="33">
        <f>IF(X31="","",IFERROR(INDEX(Cl_quartier,MATCH(X31,Cl_cle,0))&amp;"",""))</f>
        <v/>
      </c>
      <c r="AB31" s="45">
        <f>IF(R31&lt;&gt;"Livrée",0,IF(K31&lt;&gt;"",K31,C31))</f>
        <v/>
      </c>
      <c r="AC31" s="33">
        <f>IF(OR(C31="",W31=""),"",P31&amp;"|"&amp;W31&amp;"|"&amp;C31&amp;"|"&amp;E31)</f>
        <v/>
      </c>
      <c r="AD31" s="39">
        <f>IF(AC31="","",IF(COUNTIF(AC$6:AC31,AC31)=1,1,0))</f>
        <v/>
      </c>
      <c r="AE31" s="39">
        <f>IF(AB31=0,"",IF(COUNTIFS(X$6:X31,X31,AB$6:AB31,AB31)=1,1,0))</f>
        <v/>
      </c>
      <c r="AF31" s="34">
        <f>IF(C31="","",YEAR(C31-WEEKDAY(C31,2)+4)&amp;"-S"&amp;TEXT(INT((C31-DATE(YEAR(C31-WEEKDAY(C31,2)+4),1,3)+WEEKDAY(DATE(YEAR(C31-WEEKDAY(C31,2)+4),1,3),2)+5)/7),"00"))</f>
        <v/>
      </c>
    </row>
    <row r="32" ht="18" customHeight="1">
      <c r="A32" s="39" t="n">
        <v>27</v>
      </c>
      <c r="B32" s="33">
        <f>IF(C32="","",IF(P32="À RENSEIGNER","GIC",P32)&amp;"-C"&amp;TEXT(A32,"00000"))</f>
        <v/>
      </c>
      <c r="C32" s="32" t="n"/>
      <c r="D32" s="36" t="n"/>
      <c r="E32" s="36" t="n"/>
      <c r="F32" s="36" t="n"/>
      <c r="G32" s="42" t="n"/>
      <c r="H32" s="37" t="n"/>
      <c r="I32" s="37" t="n"/>
      <c r="J32" s="32" t="n"/>
      <c r="K32" s="32" t="n"/>
      <c r="L32" s="43" t="n"/>
      <c r="M32" s="36" t="n"/>
      <c r="N32" s="44" t="n"/>
      <c r="O32" s="36" t="n"/>
      <c r="P32" s="33">
        <f>IF(C32="","",Commercial_Id)</f>
        <v/>
      </c>
      <c r="Q32" s="34">
        <f>IF(AC32="","",IF(AD32=1,"C"&amp;TEXT(SUM(AD$6:AD32),"0000"),INDEX(Q$6:Q31,MATCH(AC32,AC$6:AC31,0))))</f>
        <v/>
      </c>
      <c r="R32" s="34">
        <f>IF(C32="","",IF(L32="☑ Oui","Annulée",IF(OR(E32="Vente directe",K32&lt;&gt;""),"Livrée",IF(J32&lt;&gt;"","Confirmée","En attente"))))</f>
        <v/>
      </c>
      <c r="S32" s="34">
        <f>IF(F32="","",IFERROR(VLOOKUP(F32,T_Produits,2,FALSE),""))</f>
        <v/>
      </c>
      <c r="T32" s="40">
        <f>IF(F32="","",IFERROR(1/(1/VLOOKUP(F32,T_Produits,3,FALSE)),""))</f>
        <v/>
      </c>
      <c r="U32" s="40">
        <f>IF(H32&lt;&gt;"",H32,T32)</f>
        <v/>
      </c>
      <c r="V32" s="40">
        <f>IF(OR(G32="",U32=""),"",G32*U32-N(I32))</f>
        <v/>
      </c>
      <c r="W32" s="39">
        <f>IF(D32="","",IFERROR(VALUE(MID(D32,LEN(D32)-3,3)),""))</f>
        <v/>
      </c>
      <c r="X32" s="33">
        <f>IF(W32="","",P32&amp;"|"&amp;W32)</f>
        <v/>
      </c>
      <c r="Y32" s="33">
        <f>IF(W32="","",IF(P32="À RENSEIGNER","GIC",P32)&amp;"-"&amp;TEXT(W32,"000"))</f>
        <v/>
      </c>
      <c r="Z32" s="33">
        <f>IF(X32="","",IFERROR(INDEX(Cl_nom,MATCH(X32,Cl_cle,0)),"(client introuvable)"))</f>
        <v/>
      </c>
      <c r="AA32" s="33">
        <f>IF(X32="","",IFERROR(INDEX(Cl_quartier,MATCH(X32,Cl_cle,0))&amp;"",""))</f>
        <v/>
      </c>
      <c r="AB32" s="45">
        <f>IF(R32&lt;&gt;"Livrée",0,IF(K32&lt;&gt;"",K32,C32))</f>
        <v/>
      </c>
      <c r="AC32" s="33">
        <f>IF(OR(C32="",W32=""),"",P32&amp;"|"&amp;W32&amp;"|"&amp;C32&amp;"|"&amp;E32)</f>
        <v/>
      </c>
      <c r="AD32" s="39">
        <f>IF(AC32="","",IF(COUNTIF(AC$6:AC32,AC32)=1,1,0))</f>
        <v/>
      </c>
      <c r="AE32" s="39">
        <f>IF(AB32=0,"",IF(COUNTIFS(X$6:X32,X32,AB$6:AB32,AB32)=1,1,0))</f>
        <v/>
      </c>
      <c r="AF32" s="34">
        <f>IF(C32="","",YEAR(C32-WEEKDAY(C32,2)+4)&amp;"-S"&amp;TEXT(INT((C32-DATE(YEAR(C32-WEEKDAY(C32,2)+4),1,3)+WEEKDAY(DATE(YEAR(C32-WEEKDAY(C32,2)+4),1,3),2)+5)/7),"00"))</f>
        <v/>
      </c>
    </row>
    <row r="33" ht="18" customHeight="1">
      <c r="A33" s="39" t="n">
        <v>28</v>
      </c>
      <c r="B33" s="33">
        <f>IF(C33="","",IF(P33="À RENSEIGNER","GIC",P33)&amp;"-C"&amp;TEXT(A33,"00000"))</f>
        <v/>
      </c>
      <c r="C33" s="32" t="n"/>
      <c r="D33" s="36" t="n"/>
      <c r="E33" s="36" t="n"/>
      <c r="F33" s="36" t="n"/>
      <c r="G33" s="42" t="n"/>
      <c r="H33" s="37" t="n"/>
      <c r="I33" s="37" t="n"/>
      <c r="J33" s="32" t="n"/>
      <c r="K33" s="32" t="n"/>
      <c r="L33" s="43" t="n"/>
      <c r="M33" s="36" t="n"/>
      <c r="N33" s="44" t="n"/>
      <c r="O33" s="36" t="n"/>
      <c r="P33" s="33">
        <f>IF(C33="","",Commercial_Id)</f>
        <v/>
      </c>
      <c r="Q33" s="34">
        <f>IF(AC33="","",IF(AD33=1,"C"&amp;TEXT(SUM(AD$6:AD33),"0000"),INDEX(Q$6:Q32,MATCH(AC33,AC$6:AC32,0))))</f>
        <v/>
      </c>
      <c r="R33" s="34">
        <f>IF(C33="","",IF(L33="☑ Oui","Annulée",IF(OR(E33="Vente directe",K33&lt;&gt;""),"Livrée",IF(J33&lt;&gt;"","Confirmée","En attente"))))</f>
        <v/>
      </c>
      <c r="S33" s="34">
        <f>IF(F33="","",IFERROR(VLOOKUP(F33,T_Produits,2,FALSE),""))</f>
        <v/>
      </c>
      <c r="T33" s="40">
        <f>IF(F33="","",IFERROR(1/(1/VLOOKUP(F33,T_Produits,3,FALSE)),""))</f>
        <v/>
      </c>
      <c r="U33" s="40">
        <f>IF(H33&lt;&gt;"",H33,T33)</f>
        <v/>
      </c>
      <c r="V33" s="40">
        <f>IF(OR(G33="",U33=""),"",G33*U33-N(I33))</f>
        <v/>
      </c>
      <c r="W33" s="39">
        <f>IF(D33="","",IFERROR(VALUE(MID(D33,LEN(D33)-3,3)),""))</f>
        <v/>
      </c>
      <c r="X33" s="33">
        <f>IF(W33="","",P33&amp;"|"&amp;W33)</f>
        <v/>
      </c>
      <c r="Y33" s="33">
        <f>IF(W33="","",IF(P33="À RENSEIGNER","GIC",P33)&amp;"-"&amp;TEXT(W33,"000"))</f>
        <v/>
      </c>
      <c r="Z33" s="33">
        <f>IF(X33="","",IFERROR(INDEX(Cl_nom,MATCH(X33,Cl_cle,0)),"(client introuvable)"))</f>
        <v/>
      </c>
      <c r="AA33" s="33">
        <f>IF(X33="","",IFERROR(INDEX(Cl_quartier,MATCH(X33,Cl_cle,0))&amp;"",""))</f>
        <v/>
      </c>
      <c r="AB33" s="45">
        <f>IF(R33&lt;&gt;"Livrée",0,IF(K33&lt;&gt;"",K33,C33))</f>
        <v/>
      </c>
      <c r="AC33" s="33">
        <f>IF(OR(C33="",W33=""),"",P33&amp;"|"&amp;W33&amp;"|"&amp;C33&amp;"|"&amp;E33)</f>
        <v/>
      </c>
      <c r="AD33" s="39">
        <f>IF(AC33="","",IF(COUNTIF(AC$6:AC33,AC33)=1,1,0))</f>
        <v/>
      </c>
      <c r="AE33" s="39">
        <f>IF(AB33=0,"",IF(COUNTIFS(X$6:X33,X33,AB$6:AB33,AB33)=1,1,0))</f>
        <v/>
      </c>
      <c r="AF33" s="34">
        <f>IF(C33="","",YEAR(C33-WEEKDAY(C33,2)+4)&amp;"-S"&amp;TEXT(INT((C33-DATE(YEAR(C33-WEEKDAY(C33,2)+4),1,3)+WEEKDAY(DATE(YEAR(C33-WEEKDAY(C33,2)+4),1,3),2)+5)/7),"00"))</f>
        <v/>
      </c>
    </row>
    <row r="34" ht="18" customHeight="1">
      <c r="A34" s="39" t="n">
        <v>29</v>
      </c>
      <c r="B34" s="33">
        <f>IF(C34="","",IF(P34="À RENSEIGNER","GIC",P34)&amp;"-C"&amp;TEXT(A34,"00000"))</f>
        <v/>
      </c>
      <c r="C34" s="32" t="n"/>
      <c r="D34" s="36" t="n"/>
      <c r="E34" s="36" t="n"/>
      <c r="F34" s="36" t="n"/>
      <c r="G34" s="42" t="n"/>
      <c r="H34" s="37" t="n"/>
      <c r="I34" s="37" t="n"/>
      <c r="J34" s="32" t="n"/>
      <c r="K34" s="32" t="n"/>
      <c r="L34" s="43" t="n"/>
      <c r="M34" s="36" t="n"/>
      <c r="N34" s="44" t="n"/>
      <c r="O34" s="36" t="n"/>
      <c r="P34" s="33">
        <f>IF(C34="","",Commercial_Id)</f>
        <v/>
      </c>
      <c r="Q34" s="34">
        <f>IF(AC34="","",IF(AD34=1,"C"&amp;TEXT(SUM(AD$6:AD34),"0000"),INDEX(Q$6:Q33,MATCH(AC34,AC$6:AC33,0))))</f>
        <v/>
      </c>
      <c r="R34" s="34">
        <f>IF(C34="","",IF(L34="☑ Oui","Annulée",IF(OR(E34="Vente directe",K34&lt;&gt;""),"Livrée",IF(J34&lt;&gt;"","Confirmée","En attente"))))</f>
        <v/>
      </c>
      <c r="S34" s="34">
        <f>IF(F34="","",IFERROR(VLOOKUP(F34,T_Produits,2,FALSE),""))</f>
        <v/>
      </c>
      <c r="T34" s="40">
        <f>IF(F34="","",IFERROR(1/(1/VLOOKUP(F34,T_Produits,3,FALSE)),""))</f>
        <v/>
      </c>
      <c r="U34" s="40">
        <f>IF(H34&lt;&gt;"",H34,T34)</f>
        <v/>
      </c>
      <c r="V34" s="40">
        <f>IF(OR(G34="",U34=""),"",G34*U34-N(I34))</f>
        <v/>
      </c>
      <c r="W34" s="39">
        <f>IF(D34="","",IFERROR(VALUE(MID(D34,LEN(D34)-3,3)),""))</f>
        <v/>
      </c>
      <c r="X34" s="33">
        <f>IF(W34="","",P34&amp;"|"&amp;W34)</f>
        <v/>
      </c>
      <c r="Y34" s="33">
        <f>IF(W34="","",IF(P34="À RENSEIGNER","GIC",P34)&amp;"-"&amp;TEXT(W34,"000"))</f>
        <v/>
      </c>
      <c r="Z34" s="33">
        <f>IF(X34="","",IFERROR(INDEX(Cl_nom,MATCH(X34,Cl_cle,0)),"(client introuvable)"))</f>
        <v/>
      </c>
      <c r="AA34" s="33">
        <f>IF(X34="","",IFERROR(INDEX(Cl_quartier,MATCH(X34,Cl_cle,0))&amp;"",""))</f>
        <v/>
      </c>
      <c r="AB34" s="45">
        <f>IF(R34&lt;&gt;"Livrée",0,IF(K34&lt;&gt;"",K34,C34))</f>
        <v/>
      </c>
      <c r="AC34" s="33">
        <f>IF(OR(C34="",W34=""),"",P34&amp;"|"&amp;W34&amp;"|"&amp;C34&amp;"|"&amp;E34)</f>
        <v/>
      </c>
      <c r="AD34" s="39">
        <f>IF(AC34="","",IF(COUNTIF(AC$6:AC34,AC34)=1,1,0))</f>
        <v/>
      </c>
      <c r="AE34" s="39">
        <f>IF(AB34=0,"",IF(COUNTIFS(X$6:X34,X34,AB$6:AB34,AB34)=1,1,0))</f>
        <v/>
      </c>
      <c r="AF34" s="34">
        <f>IF(C34="","",YEAR(C34-WEEKDAY(C34,2)+4)&amp;"-S"&amp;TEXT(INT((C34-DATE(YEAR(C34-WEEKDAY(C34,2)+4),1,3)+WEEKDAY(DATE(YEAR(C34-WEEKDAY(C34,2)+4),1,3),2)+5)/7),"00"))</f>
        <v/>
      </c>
    </row>
    <row r="35" ht="18" customHeight="1">
      <c r="A35" s="39" t="n">
        <v>30</v>
      </c>
      <c r="B35" s="33">
        <f>IF(C35="","",IF(P35="À RENSEIGNER","GIC",P35)&amp;"-C"&amp;TEXT(A35,"00000"))</f>
        <v/>
      </c>
      <c r="C35" s="32" t="n"/>
      <c r="D35" s="36" t="n"/>
      <c r="E35" s="36" t="n"/>
      <c r="F35" s="36" t="n"/>
      <c r="G35" s="42" t="n"/>
      <c r="H35" s="37" t="n"/>
      <c r="I35" s="37" t="n"/>
      <c r="J35" s="32" t="n"/>
      <c r="K35" s="32" t="n"/>
      <c r="L35" s="43" t="n"/>
      <c r="M35" s="36" t="n"/>
      <c r="N35" s="44" t="n"/>
      <c r="O35" s="36" t="n"/>
      <c r="P35" s="33">
        <f>IF(C35="","",Commercial_Id)</f>
        <v/>
      </c>
      <c r="Q35" s="34">
        <f>IF(AC35="","",IF(AD35=1,"C"&amp;TEXT(SUM(AD$6:AD35),"0000"),INDEX(Q$6:Q34,MATCH(AC35,AC$6:AC34,0))))</f>
        <v/>
      </c>
      <c r="R35" s="34">
        <f>IF(C35="","",IF(L35="☑ Oui","Annulée",IF(OR(E35="Vente directe",K35&lt;&gt;""),"Livrée",IF(J35&lt;&gt;"","Confirmée","En attente"))))</f>
        <v/>
      </c>
      <c r="S35" s="34">
        <f>IF(F35="","",IFERROR(VLOOKUP(F35,T_Produits,2,FALSE),""))</f>
        <v/>
      </c>
      <c r="T35" s="40">
        <f>IF(F35="","",IFERROR(1/(1/VLOOKUP(F35,T_Produits,3,FALSE)),""))</f>
        <v/>
      </c>
      <c r="U35" s="40">
        <f>IF(H35&lt;&gt;"",H35,T35)</f>
        <v/>
      </c>
      <c r="V35" s="40">
        <f>IF(OR(G35="",U35=""),"",G35*U35-N(I35))</f>
        <v/>
      </c>
      <c r="W35" s="39">
        <f>IF(D35="","",IFERROR(VALUE(MID(D35,LEN(D35)-3,3)),""))</f>
        <v/>
      </c>
      <c r="X35" s="33">
        <f>IF(W35="","",P35&amp;"|"&amp;W35)</f>
        <v/>
      </c>
      <c r="Y35" s="33">
        <f>IF(W35="","",IF(P35="À RENSEIGNER","GIC",P35)&amp;"-"&amp;TEXT(W35,"000"))</f>
        <v/>
      </c>
      <c r="Z35" s="33">
        <f>IF(X35="","",IFERROR(INDEX(Cl_nom,MATCH(X35,Cl_cle,0)),"(client introuvable)"))</f>
        <v/>
      </c>
      <c r="AA35" s="33">
        <f>IF(X35="","",IFERROR(INDEX(Cl_quartier,MATCH(X35,Cl_cle,0))&amp;"",""))</f>
        <v/>
      </c>
      <c r="AB35" s="45">
        <f>IF(R35&lt;&gt;"Livrée",0,IF(K35&lt;&gt;"",K35,C35))</f>
        <v/>
      </c>
      <c r="AC35" s="33">
        <f>IF(OR(C35="",W35=""),"",P35&amp;"|"&amp;W35&amp;"|"&amp;C35&amp;"|"&amp;E35)</f>
        <v/>
      </c>
      <c r="AD35" s="39">
        <f>IF(AC35="","",IF(COUNTIF(AC$6:AC35,AC35)=1,1,0))</f>
        <v/>
      </c>
      <c r="AE35" s="39">
        <f>IF(AB35=0,"",IF(COUNTIFS(X$6:X35,X35,AB$6:AB35,AB35)=1,1,0))</f>
        <v/>
      </c>
      <c r="AF35" s="34">
        <f>IF(C35="","",YEAR(C35-WEEKDAY(C35,2)+4)&amp;"-S"&amp;TEXT(INT((C35-DATE(YEAR(C35-WEEKDAY(C35,2)+4),1,3)+WEEKDAY(DATE(YEAR(C35-WEEKDAY(C35,2)+4),1,3),2)+5)/7),"00"))</f>
        <v/>
      </c>
    </row>
    <row r="36" ht="18" customHeight="1">
      <c r="A36" s="39" t="n">
        <v>31</v>
      </c>
      <c r="B36" s="33">
        <f>IF(C36="","",IF(P36="À RENSEIGNER","GIC",P36)&amp;"-C"&amp;TEXT(A36,"00000"))</f>
        <v/>
      </c>
      <c r="C36" s="32" t="n"/>
      <c r="D36" s="36" t="n"/>
      <c r="E36" s="36" t="n"/>
      <c r="F36" s="36" t="n"/>
      <c r="G36" s="42" t="n"/>
      <c r="H36" s="37" t="n"/>
      <c r="I36" s="37" t="n"/>
      <c r="J36" s="32" t="n"/>
      <c r="K36" s="32" t="n"/>
      <c r="L36" s="43" t="n"/>
      <c r="M36" s="36" t="n"/>
      <c r="N36" s="44" t="n"/>
      <c r="O36" s="36" t="n"/>
      <c r="P36" s="33">
        <f>IF(C36="","",Commercial_Id)</f>
        <v/>
      </c>
      <c r="Q36" s="34">
        <f>IF(AC36="","",IF(AD36=1,"C"&amp;TEXT(SUM(AD$6:AD36),"0000"),INDEX(Q$6:Q35,MATCH(AC36,AC$6:AC35,0))))</f>
        <v/>
      </c>
      <c r="R36" s="34">
        <f>IF(C36="","",IF(L36="☑ Oui","Annulée",IF(OR(E36="Vente directe",K36&lt;&gt;""),"Livrée",IF(J36&lt;&gt;"","Confirmée","En attente"))))</f>
        <v/>
      </c>
      <c r="S36" s="34">
        <f>IF(F36="","",IFERROR(VLOOKUP(F36,T_Produits,2,FALSE),""))</f>
        <v/>
      </c>
      <c r="T36" s="40">
        <f>IF(F36="","",IFERROR(1/(1/VLOOKUP(F36,T_Produits,3,FALSE)),""))</f>
        <v/>
      </c>
      <c r="U36" s="40">
        <f>IF(H36&lt;&gt;"",H36,T36)</f>
        <v/>
      </c>
      <c r="V36" s="40">
        <f>IF(OR(G36="",U36=""),"",G36*U36-N(I36))</f>
        <v/>
      </c>
      <c r="W36" s="39">
        <f>IF(D36="","",IFERROR(VALUE(MID(D36,LEN(D36)-3,3)),""))</f>
        <v/>
      </c>
      <c r="X36" s="33">
        <f>IF(W36="","",P36&amp;"|"&amp;W36)</f>
        <v/>
      </c>
      <c r="Y36" s="33">
        <f>IF(W36="","",IF(P36="À RENSEIGNER","GIC",P36)&amp;"-"&amp;TEXT(W36,"000"))</f>
        <v/>
      </c>
      <c r="Z36" s="33">
        <f>IF(X36="","",IFERROR(INDEX(Cl_nom,MATCH(X36,Cl_cle,0)),"(client introuvable)"))</f>
        <v/>
      </c>
      <c r="AA36" s="33">
        <f>IF(X36="","",IFERROR(INDEX(Cl_quartier,MATCH(X36,Cl_cle,0))&amp;"",""))</f>
        <v/>
      </c>
      <c r="AB36" s="45">
        <f>IF(R36&lt;&gt;"Livrée",0,IF(K36&lt;&gt;"",K36,C36))</f>
        <v/>
      </c>
      <c r="AC36" s="33">
        <f>IF(OR(C36="",W36=""),"",P36&amp;"|"&amp;W36&amp;"|"&amp;C36&amp;"|"&amp;E36)</f>
        <v/>
      </c>
      <c r="AD36" s="39">
        <f>IF(AC36="","",IF(COUNTIF(AC$6:AC36,AC36)=1,1,0))</f>
        <v/>
      </c>
      <c r="AE36" s="39">
        <f>IF(AB36=0,"",IF(COUNTIFS(X$6:X36,X36,AB$6:AB36,AB36)=1,1,0))</f>
        <v/>
      </c>
      <c r="AF36" s="34">
        <f>IF(C36="","",YEAR(C36-WEEKDAY(C36,2)+4)&amp;"-S"&amp;TEXT(INT((C36-DATE(YEAR(C36-WEEKDAY(C36,2)+4),1,3)+WEEKDAY(DATE(YEAR(C36-WEEKDAY(C36,2)+4),1,3),2)+5)/7),"00"))</f>
        <v/>
      </c>
    </row>
    <row r="37" ht="18" customHeight="1">
      <c r="A37" s="39" t="n">
        <v>32</v>
      </c>
      <c r="B37" s="33">
        <f>IF(C37="","",IF(P37="À RENSEIGNER","GIC",P37)&amp;"-C"&amp;TEXT(A37,"00000"))</f>
        <v/>
      </c>
      <c r="C37" s="32" t="n"/>
      <c r="D37" s="36" t="n"/>
      <c r="E37" s="36" t="n"/>
      <c r="F37" s="36" t="n"/>
      <c r="G37" s="42" t="n"/>
      <c r="H37" s="37" t="n"/>
      <c r="I37" s="37" t="n"/>
      <c r="J37" s="32" t="n"/>
      <c r="K37" s="32" t="n"/>
      <c r="L37" s="43" t="n"/>
      <c r="M37" s="36" t="n"/>
      <c r="N37" s="44" t="n"/>
      <c r="O37" s="36" t="n"/>
      <c r="P37" s="33">
        <f>IF(C37="","",Commercial_Id)</f>
        <v/>
      </c>
      <c r="Q37" s="34">
        <f>IF(AC37="","",IF(AD37=1,"C"&amp;TEXT(SUM(AD$6:AD37),"0000"),INDEX(Q$6:Q36,MATCH(AC37,AC$6:AC36,0))))</f>
        <v/>
      </c>
      <c r="R37" s="34">
        <f>IF(C37="","",IF(L37="☑ Oui","Annulée",IF(OR(E37="Vente directe",K37&lt;&gt;""),"Livrée",IF(J37&lt;&gt;"","Confirmée","En attente"))))</f>
        <v/>
      </c>
      <c r="S37" s="34">
        <f>IF(F37="","",IFERROR(VLOOKUP(F37,T_Produits,2,FALSE),""))</f>
        <v/>
      </c>
      <c r="T37" s="40">
        <f>IF(F37="","",IFERROR(1/(1/VLOOKUP(F37,T_Produits,3,FALSE)),""))</f>
        <v/>
      </c>
      <c r="U37" s="40">
        <f>IF(H37&lt;&gt;"",H37,T37)</f>
        <v/>
      </c>
      <c r="V37" s="40">
        <f>IF(OR(G37="",U37=""),"",G37*U37-N(I37))</f>
        <v/>
      </c>
      <c r="W37" s="39">
        <f>IF(D37="","",IFERROR(VALUE(MID(D37,LEN(D37)-3,3)),""))</f>
        <v/>
      </c>
      <c r="X37" s="33">
        <f>IF(W37="","",P37&amp;"|"&amp;W37)</f>
        <v/>
      </c>
      <c r="Y37" s="33">
        <f>IF(W37="","",IF(P37="À RENSEIGNER","GIC",P37)&amp;"-"&amp;TEXT(W37,"000"))</f>
        <v/>
      </c>
      <c r="Z37" s="33">
        <f>IF(X37="","",IFERROR(INDEX(Cl_nom,MATCH(X37,Cl_cle,0)),"(client introuvable)"))</f>
        <v/>
      </c>
      <c r="AA37" s="33">
        <f>IF(X37="","",IFERROR(INDEX(Cl_quartier,MATCH(X37,Cl_cle,0))&amp;"",""))</f>
        <v/>
      </c>
      <c r="AB37" s="45">
        <f>IF(R37&lt;&gt;"Livrée",0,IF(K37&lt;&gt;"",K37,C37))</f>
        <v/>
      </c>
      <c r="AC37" s="33">
        <f>IF(OR(C37="",W37=""),"",P37&amp;"|"&amp;W37&amp;"|"&amp;C37&amp;"|"&amp;E37)</f>
        <v/>
      </c>
      <c r="AD37" s="39">
        <f>IF(AC37="","",IF(COUNTIF(AC$6:AC37,AC37)=1,1,0))</f>
        <v/>
      </c>
      <c r="AE37" s="39">
        <f>IF(AB37=0,"",IF(COUNTIFS(X$6:X37,X37,AB$6:AB37,AB37)=1,1,0))</f>
        <v/>
      </c>
      <c r="AF37" s="34">
        <f>IF(C37="","",YEAR(C37-WEEKDAY(C37,2)+4)&amp;"-S"&amp;TEXT(INT((C37-DATE(YEAR(C37-WEEKDAY(C37,2)+4),1,3)+WEEKDAY(DATE(YEAR(C37-WEEKDAY(C37,2)+4),1,3),2)+5)/7),"00"))</f>
        <v/>
      </c>
    </row>
    <row r="38" ht="18" customHeight="1">
      <c r="A38" s="39" t="n">
        <v>33</v>
      </c>
      <c r="B38" s="33">
        <f>IF(C38="","",IF(P38="À RENSEIGNER","GIC",P38)&amp;"-C"&amp;TEXT(A38,"00000"))</f>
        <v/>
      </c>
      <c r="C38" s="32" t="n"/>
      <c r="D38" s="36" t="n"/>
      <c r="E38" s="36" t="n"/>
      <c r="F38" s="36" t="n"/>
      <c r="G38" s="42" t="n"/>
      <c r="H38" s="37" t="n"/>
      <c r="I38" s="37" t="n"/>
      <c r="J38" s="32" t="n"/>
      <c r="K38" s="32" t="n"/>
      <c r="L38" s="43" t="n"/>
      <c r="M38" s="36" t="n"/>
      <c r="N38" s="44" t="n"/>
      <c r="O38" s="36" t="n"/>
      <c r="P38" s="33">
        <f>IF(C38="","",Commercial_Id)</f>
        <v/>
      </c>
      <c r="Q38" s="34">
        <f>IF(AC38="","",IF(AD38=1,"C"&amp;TEXT(SUM(AD$6:AD38),"0000"),INDEX(Q$6:Q37,MATCH(AC38,AC$6:AC37,0))))</f>
        <v/>
      </c>
      <c r="R38" s="34">
        <f>IF(C38="","",IF(L38="☑ Oui","Annulée",IF(OR(E38="Vente directe",K38&lt;&gt;""),"Livrée",IF(J38&lt;&gt;"","Confirmée","En attente"))))</f>
        <v/>
      </c>
      <c r="S38" s="34">
        <f>IF(F38="","",IFERROR(VLOOKUP(F38,T_Produits,2,FALSE),""))</f>
        <v/>
      </c>
      <c r="T38" s="40">
        <f>IF(F38="","",IFERROR(1/(1/VLOOKUP(F38,T_Produits,3,FALSE)),""))</f>
        <v/>
      </c>
      <c r="U38" s="40">
        <f>IF(H38&lt;&gt;"",H38,T38)</f>
        <v/>
      </c>
      <c r="V38" s="40">
        <f>IF(OR(G38="",U38=""),"",G38*U38-N(I38))</f>
        <v/>
      </c>
      <c r="W38" s="39">
        <f>IF(D38="","",IFERROR(VALUE(MID(D38,LEN(D38)-3,3)),""))</f>
        <v/>
      </c>
      <c r="X38" s="33">
        <f>IF(W38="","",P38&amp;"|"&amp;W38)</f>
        <v/>
      </c>
      <c r="Y38" s="33">
        <f>IF(W38="","",IF(P38="À RENSEIGNER","GIC",P38)&amp;"-"&amp;TEXT(W38,"000"))</f>
        <v/>
      </c>
      <c r="Z38" s="33">
        <f>IF(X38="","",IFERROR(INDEX(Cl_nom,MATCH(X38,Cl_cle,0)),"(client introuvable)"))</f>
        <v/>
      </c>
      <c r="AA38" s="33">
        <f>IF(X38="","",IFERROR(INDEX(Cl_quartier,MATCH(X38,Cl_cle,0))&amp;"",""))</f>
        <v/>
      </c>
      <c r="AB38" s="45">
        <f>IF(R38&lt;&gt;"Livrée",0,IF(K38&lt;&gt;"",K38,C38))</f>
        <v/>
      </c>
      <c r="AC38" s="33">
        <f>IF(OR(C38="",W38=""),"",P38&amp;"|"&amp;W38&amp;"|"&amp;C38&amp;"|"&amp;E38)</f>
        <v/>
      </c>
      <c r="AD38" s="39">
        <f>IF(AC38="","",IF(COUNTIF(AC$6:AC38,AC38)=1,1,0))</f>
        <v/>
      </c>
      <c r="AE38" s="39">
        <f>IF(AB38=0,"",IF(COUNTIFS(X$6:X38,X38,AB$6:AB38,AB38)=1,1,0))</f>
        <v/>
      </c>
      <c r="AF38" s="34">
        <f>IF(C38="","",YEAR(C38-WEEKDAY(C38,2)+4)&amp;"-S"&amp;TEXT(INT((C38-DATE(YEAR(C38-WEEKDAY(C38,2)+4),1,3)+WEEKDAY(DATE(YEAR(C38-WEEKDAY(C38,2)+4),1,3),2)+5)/7),"00"))</f>
        <v/>
      </c>
    </row>
    <row r="39" ht="18" customHeight="1">
      <c r="A39" s="39" t="n">
        <v>34</v>
      </c>
      <c r="B39" s="33">
        <f>IF(C39="","",IF(P39="À RENSEIGNER","GIC",P39)&amp;"-C"&amp;TEXT(A39,"00000"))</f>
        <v/>
      </c>
      <c r="C39" s="32" t="n"/>
      <c r="D39" s="36" t="n"/>
      <c r="E39" s="36" t="n"/>
      <c r="F39" s="36" t="n"/>
      <c r="G39" s="42" t="n"/>
      <c r="H39" s="37" t="n"/>
      <c r="I39" s="37" t="n"/>
      <c r="J39" s="32" t="n"/>
      <c r="K39" s="32" t="n"/>
      <c r="L39" s="43" t="n"/>
      <c r="M39" s="36" t="n"/>
      <c r="N39" s="44" t="n"/>
      <c r="O39" s="36" t="n"/>
      <c r="P39" s="33">
        <f>IF(C39="","",Commercial_Id)</f>
        <v/>
      </c>
      <c r="Q39" s="34">
        <f>IF(AC39="","",IF(AD39=1,"C"&amp;TEXT(SUM(AD$6:AD39),"0000"),INDEX(Q$6:Q38,MATCH(AC39,AC$6:AC38,0))))</f>
        <v/>
      </c>
      <c r="R39" s="34">
        <f>IF(C39="","",IF(L39="☑ Oui","Annulée",IF(OR(E39="Vente directe",K39&lt;&gt;""),"Livrée",IF(J39&lt;&gt;"","Confirmée","En attente"))))</f>
        <v/>
      </c>
      <c r="S39" s="34">
        <f>IF(F39="","",IFERROR(VLOOKUP(F39,T_Produits,2,FALSE),""))</f>
        <v/>
      </c>
      <c r="T39" s="40">
        <f>IF(F39="","",IFERROR(1/(1/VLOOKUP(F39,T_Produits,3,FALSE)),""))</f>
        <v/>
      </c>
      <c r="U39" s="40">
        <f>IF(H39&lt;&gt;"",H39,T39)</f>
        <v/>
      </c>
      <c r="V39" s="40">
        <f>IF(OR(G39="",U39=""),"",G39*U39-N(I39))</f>
        <v/>
      </c>
      <c r="W39" s="39">
        <f>IF(D39="","",IFERROR(VALUE(MID(D39,LEN(D39)-3,3)),""))</f>
        <v/>
      </c>
      <c r="X39" s="33">
        <f>IF(W39="","",P39&amp;"|"&amp;W39)</f>
        <v/>
      </c>
      <c r="Y39" s="33">
        <f>IF(W39="","",IF(P39="À RENSEIGNER","GIC",P39)&amp;"-"&amp;TEXT(W39,"000"))</f>
        <v/>
      </c>
      <c r="Z39" s="33">
        <f>IF(X39="","",IFERROR(INDEX(Cl_nom,MATCH(X39,Cl_cle,0)),"(client introuvable)"))</f>
        <v/>
      </c>
      <c r="AA39" s="33">
        <f>IF(X39="","",IFERROR(INDEX(Cl_quartier,MATCH(X39,Cl_cle,0))&amp;"",""))</f>
        <v/>
      </c>
      <c r="AB39" s="45">
        <f>IF(R39&lt;&gt;"Livrée",0,IF(K39&lt;&gt;"",K39,C39))</f>
        <v/>
      </c>
      <c r="AC39" s="33">
        <f>IF(OR(C39="",W39=""),"",P39&amp;"|"&amp;W39&amp;"|"&amp;C39&amp;"|"&amp;E39)</f>
        <v/>
      </c>
      <c r="AD39" s="39">
        <f>IF(AC39="","",IF(COUNTIF(AC$6:AC39,AC39)=1,1,0))</f>
        <v/>
      </c>
      <c r="AE39" s="39">
        <f>IF(AB39=0,"",IF(COUNTIFS(X$6:X39,X39,AB$6:AB39,AB39)=1,1,0))</f>
        <v/>
      </c>
      <c r="AF39" s="34">
        <f>IF(C39="","",YEAR(C39-WEEKDAY(C39,2)+4)&amp;"-S"&amp;TEXT(INT((C39-DATE(YEAR(C39-WEEKDAY(C39,2)+4),1,3)+WEEKDAY(DATE(YEAR(C39-WEEKDAY(C39,2)+4),1,3),2)+5)/7),"00"))</f>
        <v/>
      </c>
    </row>
    <row r="40" ht="18" customHeight="1">
      <c r="A40" s="39" t="n">
        <v>35</v>
      </c>
      <c r="B40" s="33">
        <f>IF(C40="","",IF(P40="À RENSEIGNER","GIC",P40)&amp;"-C"&amp;TEXT(A40,"00000"))</f>
        <v/>
      </c>
      <c r="C40" s="32" t="n"/>
      <c r="D40" s="36" t="n"/>
      <c r="E40" s="36" t="n"/>
      <c r="F40" s="36" t="n"/>
      <c r="G40" s="42" t="n"/>
      <c r="H40" s="37" t="n"/>
      <c r="I40" s="37" t="n"/>
      <c r="J40" s="32" t="n"/>
      <c r="K40" s="32" t="n"/>
      <c r="L40" s="43" t="n"/>
      <c r="M40" s="36" t="n"/>
      <c r="N40" s="44" t="n"/>
      <c r="O40" s="36" t="n"/>
      <c r="P40" s="33">
        <f>IF(C40="","",Commercial_Id)</f>
        <v/>
      </c>
      <c r="Q40" s="34">
        <f>IF(AC40="","",IF(AD40=1,"C"&amp;TEXT(SUM(AD$6:AD40),"0000"),INDEX(Q$6:Q39,MATCH(AC40,AC$6:AC39,0))))</f>
        <v/>
      </c>
      <c r="R40" s="34">
        <f>IF(C40="","",IF(L40="☑ Oui","Annulée",IF(OR(E40="Vente directe",K40&lt;&gt;""),"Livrée",IF(J40&lt;&gt;"","Confirmée","En attente"))))</f>
        <v/>
      </c>
      <c r="S40" s="34">
        <f>IF(F40="","",IFERROR(VLOOKUP(F40,T_Produits,2,FALSE),""))</f>
        <v/>
      </c>
      <c r="T40" s="40">
        <f>IF(F40="","",IFERROR(1/(1/VLOOKUP(F40,T_Produits,3,FALSE)),""))</f>
        <v/>
      </c>
      <c r="U40" s="40">
        <f>IF(H40&lt;&gt;"",H40,T40)</f>
        <v/>
      </c>
      <c r="V40" s="40">
        <f>IF(OR(G40="",U40=""),"",G40*U40-N(I40))</f>
        <v/>
      </c>
      <c r="W40" s="39">
        <f>IF(D40="","",IFERROR(VALUE(MID(D40,LEN(D40)-3,3)),""))</f>
        <v/>
      </c>
      <c r="X40" s="33">
        <f>IF(W40="","",P40&amp;"|"&amp;W40)</f>
        <v/>
      </c>
      <c r="Y40" s="33">
        <f>IF(W40="","",IF(P40="À RENSEIGNER","GIC",P40)&amp;"-"&amp;TEXT(W40,"000"))</f>
        <v/>
      </c>
      <c r="Z40" s="33">
        <f>IF(X40="","",IFERROR(INDEX(Cl_nom,MATCH(X40,Cl_cle,0)),"(client introuvable)"))</f>
        <v/>
      </c>
      <c r="AA40" s="33">
        <f>IF(X40="","",IFERROR(INDEX(Cl_quartier,MATCH(X40,Cl_cle,0))&amp;"",""))</f>
        <v/>
      </c>
      <c r="AB40" s="45">
        <f>IF(R40&lt;&gt;"Livrée",0,IF(K40&lt;&gt;"",K40,C40))</f>
        <v/>
      </c>
      <c r="AC40" s="33">
        <f>IF(OR(C40="",W40=""),"",P40&amp;"|"&amp;W40&amp;"|"&amp;C40&amp;"|"&amp;E40)</f>
        <v/>
      </c>
      <c r="AD40" s="39">
        <f>IF(AC40="","",IF(COUNTIF(AC$6:AC40,AC40)=1,1,0))</f>
        <v/>
      </c>
      <c r="AE40" s="39">
        <f>IF(AB40=0,"",IF(COUNTIFS(X$6:X40,X40,AB$6:AB40,AB40)=1,1,0))</f>
        <v/>
      </c>
      <c r="AF40" s="34">
        <f>IF(C40="","",YEAR(C40-WEEKDAY(C40,2)+4)&amp;"-S"&amp;TEXT(INT((C40-DATE(YEAR(C40-WEEKDAY(C40,2)+4),1,3)+WEEKDAY(DATE(YEAR(C40-WEEKDAY(C40,2)+4),1,3),2)+5)/7),"00"))</f>
        <v/>
      </c>
    </row>
    <row r="41" ht="18" customHeight="1">
      <c r="A41" s="39" t="n">
        <v>36</v>
      </c>
      <c r="B41" s="33">
        <f>IF(C41="","",IF(P41="À RENSEIGNER","GIC",P41)&amp;"-C"&amp;TEXT(A41,"00000"))</f>
        <v/>
      </c>
      <c r="C41" s="32" t="n"/>
      <c r="D41" s="36" t="n"/>
      <c r="E41" s="36" t="n"/>
      <c r="F41" s="36" t="n"/>
      <c r="G41" s="42" t="n"/>
      <c r="H41" s="37" t="n"/>
      <c r="I41" s="37" t="n"/>
      <c r="J41" s="32" t="n"/>
      <c r="K41" s="32" t="n"/>
      <c r="L41" s="43" t="n"/>
      <c r="M41" s="36" t="n"/>
      <c r="N41" s="44" t="n"/>
      <c r="O41" s="36" t="n"/>
      <c r="P41" s="33">
        <f>IF(C41="","",Commercial_Id)</f>
        <v/>
      </c>
      <c r="Q41" s="34">
        <f>IF(AC41="","",IF(AD41=1,"C"&amp;TEXT(SUM(AD$6:AD41),"0000"),INDEX(Q$6:Q40,MATCH(AC41,AC$6:AC40,0))))</f>
        <v/>
      </c>
      <c r="R41" s="34">
        <f>IF(C41="","",IF(L41="☑ Oui","Annulée",IF(OR(E41="Vente directe",K41&lt;&gt;""),"Livrée",IF(J41&lt;&gt;"","Confirmée","En attente"))))</f>
        <v/>
      </c>
      <c r="S41" s="34">
        <f>IF(F41="","",IFERROR(VLOOKUP(F41,T_Produits,2,FALSE),""))</f>
        <v/>
      </c>
      <c r="T41" s="40">
        <f>IF(F41="","",IFERROR(1/(1/VLOOKUP(F41,T_Produits,3,FALSE)),""))</f>
        <v/>
      </c>
      <c r="U41" s="40">
        <f>IF(H41&lt;&gt;"",H41,T41)</f>
        <v/>
      </c>
      <c r="V41" s="40">
        <f>IF(OR(G41="",U41=""),"",G41*U41-N(I41))</f>
        <v/>
      </c>
      <c r="W41" s="39">
        <f>IF(D41="","",IFERROR(VALUE(MID(D41,LEN(D41)-3,3)),""))</f>
        <v/>
      </c>
      <c r="X41" s="33">
        <f>IF(W41="","",P41&amp;"|"&amp;W41)</f>
        <v/>
      </c>
      <c r="Y41" s="33">
        <f>IF(W41="","",IF(P41="À RENSEIGNER","GIC",P41)&amp;"-"&amp;TEXT(W41,"000"))</f>
        <v/>
      </c>
      <c r="Z41" s="33">
        <f>IF(X41="","",IFERROR(INDEX(Cl_nom,MATCH(X41,Cl_cle,0)),"(client introuvable)"))</f>
        <v/>
      </c>
      <c r="AA41" s="33">
        <f>IF(X41="","",IFERROR(INDEX(Cl_quartier,MATCH(X41,Cl_cle,0))&amp;"",""))</f>
        <v/>
      </c>
      <c r="AB41" s="45">
        <f>IF(R41&lt;&gt;"Livrée",0,IF(K41&lt;&gt;"",K41,C41))</f>
        <v/>
      </c>
      <c r="AC41" s="33">
        <f>IF(OR(C41="",W41=""),"",P41&amp;"|"&amp;W41&amp;"|"&amp;C41&amp;"|"&amp;E41)</f>
        <v/>
      </c>
      <c r="AD41" s="39">
        <f>IF(AC41="","",IF(COUNTIF(AC$6:AC41,AC41)=1,1,0))</f>
        <v/>
      </c>
      <c r="AE41" s="39">
        <f>IF(AB41=0,"",IF(COUNTIFS(X$6:X41,X41,AB$6:AB41,AB41)=1,1,0))</f>
        <v/>
      </c>
      <c r="AF41" s="34">
        <f>IF(C41="","",YEAR(C41-WEEKDAY(C41,2)+4)&amp;"-S"&amp;TEXT(INT((C41-DATE(YEAR(C41-WEEKDAY(C41,2)+4),1,3)+WEEKDAY(DATE(YEAR(C41-WEEKDAY(C41,2)+4),1,3),2)+5)/7),"00"))</f>
        <v/>
      </c>
    </row>
    <row r="42" ht="18" customHeight="1">
      <c r="A42" s="39" t="n">
        <v>37</v>
      </c>
      <c r="B42" s="33">
        <f>IF(C42="","",IF(P42="À RENSEIGNER","GIC",P42)&amp;"-C"&amp;TEXT(A42,"00000"))</f>
        <v/>
      </c>
      <c r="C42" s="32" t="n"/>
      <c r="D42" s="36" t="n"/>
      <c r="E42" s="36" t="n"/>
      <c r="F42" s="36" t="n"/>
      <c r="G42" s="42" t="n"/>
      <c r="H42" s="37" t="n"/>
      <c r="I42" s="37" t="n"/>
      <c r="J42" s="32" t="n"/>
      <c r="K42" s="32" t="n"/>
      <c r="L42" s="43" t="n"/>
      <c r="M42" s="36" t="n"/>
      <c r="N42" s="44" t="n"/>
      <c r="O42" s="36" t="n"/>
      <c r="P42" s="33">
        <f>IF(C42="","",Commercial_Id)</f>
        <v/>
      </c>
      <c r="Q42" s="34">
        <f>IF(AC42="","",IF(AD42=1,"C"&amp;TEXT(SUM(AD$6:AD42),"0000"),INDEX(Q$6:Q41,MATCH(AC42,AC$6:AC41,0))))</f>
        <v/>
      </c>
      <c r="R42" s="34">
        <f>IF(C42="","",IF(L42="☑ Oui","Annulée",IF(OR(E42="Vente directe",K42&lt;&gt;""),"Livrée",IF(J42&lt;&gt;"","Confirmée","En attente"))))</f>
        <v/>
      </c>
      <c r="S42" s="34">
        <f>IF(F42="","",IFERROR(VLOOKUP(F42,T_Produits,2,FALSE),""))</f>
        <v/>
      </c>
      <c r="T42" s="40">
        <f>IF(F42="","",IFERROR(1/(1/VLOOKUP(F42,T_Produits,3,FALSE)),""))</f>
        <v/>
      </c>
      <c r="U42" s="40">
        <f>IF(H42&lt;&gt;"",H42,T42)</f>
        <v/>
      </c>
      <c r="V42" s="40">
        <f>IF(OR(G42="",U42=""),"",G42*U42-N(I42))</f>
        <v/>
      </c>
      <c r="W42" s="39">
        <f>IF(D42="","",IFERROR(VALUE(MID(D42,LEN(D42)-3,3)),""))</f>
        <v/>
      </c>
      <c r="X42" s="33">
        <f>IF(W42="","",P42&amp;"|"&amp;W42)</f>
        <v/>
      </c>
      <c r="Y42" s="33">
        <f>IF(W42="","",IF(P42="À RENSEIGNER","GIC",P42)&amp;"-"&amp;TEXT(W42,"000"))</f>
        <v/>
      </c>
      <c r="Z42" s="33">
        <f>IF(X42="","",IFERROR(INDEX(Cl_nom,MATCH(X42,Cl_cle,0)),"(client introuvable)"))</f>
        <v/>
      </c>
      <c r="AA42" s="33">
        <f>IF(X42="","",IFERROR(INDEX(Cl_quartier,MATCH(X42,Cl_cle,0))&amp;"",""))</f>
        <v/>
      </c>
      <c r="AB42" s="45">
        <f>IF(R42&lt;&gt;"Livrée",0,IF(K42&lt;&gt;"",K42,C42))</f>
        <v/>
      </c>
      <c r="AC42" s="33">
        <f>IF(OR(C42="",W42=""),"",P42&amp;"|"&amp;W42&amp;"|"&amp;C42&amp;"|"&amp;E42)</f>
        <v/>
      </c>
      <c r="AD42" s="39">
        <f>IF(AC42="","",IF(COUNTIF(AC$6:AC42,AC42)=1,1,0))</f>
        <v/>
      </c>
      <c r="AE42" s="39">
        <f>IF(AB42=0,"",IF(COUNTIFS(X$6:X42,X42,AB$6:AB42,AB42)=1,1,0))</f>
        <v/>
      </c>
      <c r="AF42" s="34">
        <f>IF(C42="","",YEAR(C42-WEEKDAY(C42,2)+4)&amp;"-S"&amp;TEXT(INT((C42-DATE(YEAR(C42-WEEKDAY(C42,2)+4),1,3)+WEEKDAY(DATE(YEAR(C42-WEEKDAY(C42,2)+4),1,3),2)+5)/7),"00"))</f>
        <v/>
      </c>
    </row>
    <row r="43" ht="18" customHeight="1">
      <c r="A43" s="39" t="n">
        <v>38</v>
      </c>
      <c r="B43" s="33">
        <f>IF(C43="","",IF(P43="À RENSEIGNER","GIC",P43)&amp;"-C"&amp;TEXT(A43,"00000"))</f>
        <v/>
      </c>
      <c r="C43" s="32" t="n"/>
      <c r="D43" s="36" t="n"/>
      <c r="E43" s="36" t="n"/>
      <c r="F43" s="36" t="n"/>
      <c r="G43" s="42" t="n"/>
      <c r="H43" s="37" t="n"/>
      <c r="I43" s="37" t="n"/>
      <c r="J43" s="32" t="n"/>
      <c r="K43" s="32" t="n"/>
      <c r="L43" s="43" t="n"/>
      <c r="M43" s="36" t="n"/>
      <c r="N43" s="44" t="n"/>
      <c r="O43" s="36" t="n"/>
      <c r="P43" s="33">
        <f>IF(C43="","",Commercial_Id)</f>
        <v/>
      </c>
      <c r="Q43" s="34">
        <f>IF(AC43="","",IF(AD43=1,"C"&amp;TEXT(SUM(AD$6:AD43),"0000"),INDEX(Q$6:Q42,MATCH(AC43,AC$6:AC42,0))))</f>
        <v/>
      </c>
      <c r="R43" s="34">
        <f>IF(C43="","",IF(L43="☑ Oui","Annulée",IF(OR(E43="Vente directe",K43&lt;&gt;""),"Livrée",IF(J43&lt;&gt;"","Confirmée","En attente"))))</f>
        <v/>
      </c>
      <c r="S43" s="34">
        <f>IF(F43="","",IFERROR(VLOOKUP(F43,T_Produits,2,FALSE),""))</f>
        <v/>
      </c>
      <c r="T43" s="40">
        <f>IF(F43="","",IFERROR(1/(1/VLOOKUP(F43,T_Produits,3,FALSE)),""))</f>
        <v/>
      </c>
      <c r="U43" s="40">
        <f>IF(H43&lt;&gt;"",H43,T43)</f>
        <v/>
      </c>
      <c r="V43" s="40">
        <f>IF(OR(G43="",U43=""),"",G43*U43-N(I43))</f>
        <v/>
      </c>
      <c r="W43" s="39">
        <f>IF(D43="","",IFERROR(VALUE(MID(D43,LEN(D43)-3,3)),""))</f>
        <v/>
      </c>
      <c r="X43" s="33">
        <f>IF(W43="","",P43&amp;"|"&amp;W43)</f>
        <v/>
      </c>
      <c r="Y43" s="33">
        <f>IF(W43="","",IF(P43="À RENSEIGNER","GIC",P43)&amp;"-"&amp;TEXT(W43,"000"))</f>
        <v/>
      </c>
      <c r="Z43" s="33">
        <f>IF(X43="","",IFERROR(INDEX(Cl_nom,MATCH(X43,Cl_cle,0)),"(client introuvable)"))</f>
        <v/>
      </c>
      <c r="AA43" s="33">
        <f>IF(X43="","",IFERROR(INDEX(Cl_quartier,MATCH(X43,Cl_cle,0))&amp;"",""))</f>
        <v/>
      </c>
      <c r="AB43" s="45">
        <f>IF(R43&lt;&gt;"Livrée",0,IF(K43&lt;&gt;"",K43,C43))</f>
        <v/>
      </c>
      <c r="AC43" s="33">
        <f>IF(OR(C43="",W43=""),"",P43&amp;"|"&amp;W43&amp;"|"&amp;C43&amp;"|"&amp;E43)</f>
        <v/>
      </c>
      <c r="AD43" s="39">
        <f>IF(AC43="","",IF(COUNTIF(AC$6:AC43,AC43)=1,1,0))</f>
        <v/>
      </c>
      <c r="AE43" s="39">
        <f>IF(AB43=0,"",IF(COUNTIFS(X$6:X43,X43,AB$6:AB43,AB43)=1,1,0))</f>
        <v/>
      </c>
      <c r="AF43" s="34">
        <f>IF(C43="","",YEAR(C43-WEEKDAY(C43,2)+4)&amp;"-S"&amp;TEXT(INT((C43-DATE(YEAR(C43-WEEKDAY(C43,2)+4),1,3)+WEEKDAY(DATE(YEAR(C43-WEEKDAY(C43,2)+4),1,3),2)+5)/7),"00"))</f>
        <v/>
      </c>
    </row>
    <row r="44" ht="18" customHeight="1">
      <c r="A44" s="39" t="n">
        <v>39</v>
      </c>
      <c r="B44" s="33">
        <f>IF(C44="","",IF(P44="À RENSEIGNER","GIC",P44)&amp;"-C"&amp;TEXT(A44,"00000"))</f>
        <v/>
      </c>
      <c r="C44" s="32" t="n"/>
      <c r="D44" s="36" t="n"/>
      <c r="E44" s="36" t="n"/>
      <c r="F44" s="36" t="n"/>
      <c r="G44" s="42" t="n"/>
      <c r="H44" s="37" t="n"/>
      <c r="I44" s="37" t="n"/>
      <c r="J44" s="32" t="n"/>
      <c r="K44" s="32" t="n"/>
      <c r="L44" s="43" t="n"/>
      <c r="M44" s="36" t="n"/>
      <c r="N44" s="44" t="n"/>
      <c r="O44" s="36" t="n"/>
      <c r="P44" s="33">
        <f>IF(C44="","",Commercial_Id)</f>
        <v/>
      </c>
      <c r="Q44" s="34">
        <f>IF(AC44="","",IF(AD44=1,"C"&amp;TEXT(SUM(AD$6:AD44),"0000"),INDEX(Q$6:Q43,MATCH(AC44,AC$6:AC43,0))))</f>
        <v/>
      </c>
      <c r="R44" s="34">
        <f>IF(C44="","",IF(L44="☑ Oui","Annulée",IF(OR(E44="Vente directe",K44&lt;&gt;""),"Livrée",IF(J44&lt;&gt;"","Confirmée","En attente"))))</f>
        <v/>
      </c>
      <c r="S44" s="34">
        <f>IF(F44="","",IFERROR(VLOOKUP(F44,T_Produits,2,FALSE),""))</f>
        <v/>
      </c>
      <c r="T44" s="40">
        <f>IF(F44="","",IFERROR(1/(1/VLOOKUP(F44,T_Produits,3,FALSE)),""))</f>
        <v/>
      </c>
      <c r="U44" s="40">
        <f>IF(H44&lt;&gt;"",H44,T44)</f>
        <v/>
      </c>
      <c r="V44" s="40">
        <f>IF(OR(G44="",U44=""),"",G44*U44-N(I44))</f>
        <v/>
      </c>
      <c r="W44" s="39">
        <f>IF(D44="","",IFERROR(VALUE(MID(D44,LEN(D44)-3,3)),""))</f>
        <v/>
      </c>
      <c r="X44" s="33">
        <f>IF(W44="","",P44&amp;"|"&amp;W44)</f>
        <v/>
      </c>
      <c r="Y44" s="33">
        <f>IF(W44="","",IF(P44="À RENSEIGNER","GIC",P44)&amp;"-"&amp;TEXT(W44,"000"))</f>
        <v/>
      </c>
      <c r="Z44" s="33">
        <f>IF(X44="","",IFERROR(INDEX(Cl_nom,MATCH(X44,Cl_cle,0)),"(client introuvable)"))</f>
        <v/>
      </c>
      <c r="AA44" s="33">
        <f>IF(X44="","",IFERROR(INDEX(Cl_quartier,MATCH(X44,Cl_cle,0))&amp;"",""))</f>
        <v/>
      </c>
      <c r="AB44" s="45">
        <f>IF(R44&lt;&gt;"Livrée",0,IF(K44&lt;&gt;"",K44,C44))</f>
        <v/>
      </c>
      <c r="AC44" s="33">
        <f>IF(OR(C44="",W44=""),"",P44&amp;"|"&amp;W44&amp;"|"&amp;C44&amp;"|"&amp;E44)</f>
        <v/>
      </c>
      <c r="AD44" s="39">
        <f>IF(AC44="","",IF(COUNTIF(AC$6:AC44,AC44)=1,1,0))</f>
        <v/>
      </c>
      <c r="AE44" s="39">
        <f>IF(AB44=0,"",IF(COUNTIFS(X$6:X44,X44,AB$6:AB44,AB44)=1,1,0))</f>
        <v/>
      </c>
      <c r="AF44" s="34">
        <f>IF(C44="","",YEAR(C44-WEEKDAY(C44,2)+4)&amp;"-S"&amp;TEXT(INT((C44-DATE(YEAR(C44-WEEKDAY(C44,2)+4),1,3)+WEEKDAY(DATE(YEAR(C44-WEEKDAY(C44,2)+4),1,3),2)+5)/7),"00"))</f>
        <v/>
      </c>
    </row>
    <row r="45" ht="18" customHeight="1">
      <c r="A45" s="39" t="n">
        <v>40</v>
      </c>
      <c r="B45" s="33">
        <f>IF(C45="","",IF(P45="À RENSEIGNER","GIC",P45)&amp;"-C"&amp;TEXT(A45,"00000"))</f>
        <v/>
      </c>
      <c r="C45" s="32" t="n"/>
      <c r="D45" s="36" t="n"/>
      <c r="E45" s="36" t="n"/>
      <c r="F45" s="36" t="n"/>
      <c r="G45" s="42" t="n"/>
      <c r="H45" s="37" t="n"/>
      <c r="I45" s="37" t="n"/>
      <c r="J45" s="32" t="n"/>
      <c r="K45" s="32" t="n"/>
      <c r="L45" s="43" t="n"/>
      <c r="M45" s="36" t="n"/>
      <c r="N45" s="44" t="n"/>
      <c r="O45" s="36" t="n"/>
      <c r="P45" s="33">
        <f>IF(C45="","",Commercial_Id)</f>
        <v/>
      </c>
      <c r="Q45" s="34">
        <f>IF(AC45="","",IF(AD45=1,"C"&amp;TEXT(SUM(AD$6:AD45),"0000"),INDEX(Q$6:Q44,MATCH(AC45,AC$6:AC44,0))))</f>
        <v/>
      </c>
      <c r="R45" s="34">
        <f>IF(C45="","",IF(L45="☑ Oui","Annulée",IF(OR(E45="Vente directe",K45&lt;&gt;""),"Livrée",IF(J45&lt;&gt;"","Confirmée","En attente"))))</f>
        <v/>
      </c>
      <c r="S45" s="34">
        <f>IF(F45="","",IFERROR(VLOOKUP(F45,T_Produits,2,FALSE),""))</f>
        <v/>
      </c>
      <c r="T45" s="40">
        <f>IF(F45="","",IFERROR(1/(1/VLOOKUP(F45,T_Produits,3,FALSE)),""))</f>
        <v/>
      </c>
      <c r="U45" s="40">
        <f>IF(H45&lt;&gt;"",H45,T45)</f>
        <v/>
      </c>
      <c r="V45" s="40">
        <f>IF(OR(G45="",U45=""),"",G45*U45-N(I45))</f>
        <v/>
      </c>
      <c r="W45" s="39">
        <f>IF(D45="","",IFERROR(VALUE(MID(D45,LEN(D45)-3,3)),""))</f>
        <v/>
      </c>
      <c r="X45" s="33">
        <f>IF(W45="","",P45&amp;"|"&amp;W45)</f>
        <v/>
      </c>
      <c r="Y45" s="33">
        <f>IF(W45="","",IF(P45="À RENSEIGNER","GIC",P45)&amp;"-"&amp;TEXT(W45,"000"))</f>
        <v/>
      </c>
      <c r="Z45" s="33">
        <f>IF(X45="","",IFERROR(INDEX(Cl_nom,MATCH(X45,Cl_cle,0)),"(client introuvable)"))</f>
        <v/>
      </c>
      <c r="AA45" s="33">
        <f>IF(X45="","",IFERROR(INDEX(Cl_quartier,MATCH(X45,Cl_cle,0))&amp;"",""))</f>
        <v/>
      </c>
      <c r="AB45" s="45">
        <f>IF(R45&lt;&gt;"Livrée",0,IF(K45&lt;&gt;"",K45,C45))</f>
        <v/>
      </c>
      <c r="AC45" s="33">
        <f>IF(OR(C45="",W45=""),"",P45&amp;"|"&amp;W45&amp;"|"&amp;C45&amp;"|"&amp;E45)</f>
        <v/>
      </c>
      <c r="AD45" s="39">
        <f>IF(AC45="","",IF(COUNTIF(AC$6:AC45,AC45)=1,1,0))</f>
        <v/>
      </c>
      <c r="AE45" s="39">
        <f>IF(AB45=0,"",IF(COUNTIFS(X$6:X45,X45,AB$6:AB45,AB45)=1,1,0))</f>
        <v/>
      </c>
      <c r="AF45" s="34">
        <f>IF(C45="","",YEAR(C45-WEEKDAY(C45,2)+4)&amp;"-S"&amp;TEXT(INT((C45-DATE(YEAR(C45-WEEKDAY(C45,2)+4),1,3)+WEEKDAY(DATE(YEAR(C45-WEEKDAY(C45,2)+4),1,3),2)+5)/7),"00"))</f>
        <v/>
      </c>
    </row>
    <row r="46" ht="18" customHeight="1">
      <c r="A46" s="39" t="n">
        <v>41</v>
      </c>
      <c r="B46" s="33">
        <f>IF(C46="","",IF(P46="À RENSEIGNER","GIC",P46)&amp;"-C"&amp;TEXT(A46,"00000"))</f>
        <v/>
      </c>
      <c r="C46" s="32" t="n"/>
      <c r="D46" s="36" t="n"/>
      <c r="E46" s="36" t="n"/>
      <c r="F46" s="36" t="n"/>
      <c r="G46" s="42" t="n"/>
      <c r="H46" s="37" t="n"/>
      <c r="I46" s="37" t="n"/>
      <c r="J46" s="32" t="n"/>
      <c r="K46" s="32" t="n"/>
      <c r="L46" s="43" t="n"/>
      <c r="M46" s="36" t="n"/>
      <c r="N46" s="44" t="n"/>
      <c r="O46" s="36" t="n"/>
      <c r="P46" s="33">
        <f>IF(C46="","",Commercial_Id)</f>
        <v/>
      </c>
      <c r="Q46" s="34">
        <f>IF(AC46="","",IF(AD46=1,"C"&amp;TEXT(SUM(AD$6:AD46),"0000"),INDEX(Q$6:Q45,MATCH(AC46,AC$6:AC45,0))))</f>
        <v/>
      </c>
      <c r="R46" s="34">
        <f>IF(C46="","",IF(L46="☑ Oui","Annulée",IF(OR(E46="Vente directe",K46&lt;&gt;""),"Livrée",IF(J46&lt;&gt;"","Confirmée","En attente"))))</f>
        <v/>
      </c>
      <c r="S46" s="34">
        <f>IF(F46="","",IFERROR(VLOOKUP(F46,T_Produits,2,FALSE),""))</f>
        <v/>
      </c>
      <c r="T46" s="40">
        <f>IF(F46="","",IFERROR(1/(1/VLOOKUP(F46,T_Produits,3,FALSE)),""))</f>
        <v/>
      </c>
      <c r="U46" s="40">
        <f>IF(H46&lt;&gt;"",H46,T46)</f>
        <v/>
      </c>
      <c r="V46" s="40">
        <f>IF(OR(G46="",U46=""),"",G46*U46-N(I46))</f>
        <v/>
      </c>
      <c r="W46" s="39">
        <f>IF(D46="","",IFERROR(VALUE(MID(D46,LEN(D46)-3,3)),""))</f>
        <v/>
      </c>
      <c r="X46" s="33">
        <f>IF(W46="","",P46&amp;"|"&amp;W46)</f>
        <v/>
      </c>
      <c r="Y46" s="33">
        <f>IF(W46="","",IF(P46="À RENSEIGNER","GIC",P46)&amp;"-"&amp;TEXT(W46,"000"))</f>
        <v/>
      </c>
      <c r="Z46" s="33">
        <f>IF(X46="","",IFERROR(INDEX(Cl_nom,MATCH(X46,Cl_cle,0)),"(client introuvable)"))</f>
        <v/>
      </c>
      <c r="AA46" s="33">
        <f>IF(X46="","",IFERROR(INDEX(Cl_quartier,MATCH(X46,Cl_cle,0))&amp;"",""))</f>
        <v/>
      </c>
      <c r="AB46" s="45">
        <f>IF(R46&lt;&gt;"Livrée",0,IF(K46&lt;&gt;"",K46,C46))</f>
        <v/>
      </c>
      <c r="AC46" s="33">
        <f>IF(OR(C46="",W46=""),"",P46&amp;"|"&amp;W46&amp;"|"&amp;C46&amp;"|"&amp;E46)</f>
        <v/>
      </c>
      <c r="AD46" s="39">
        <f>IF(AC46="","",IF(COUNTIF(AC$6:AC46,AC46)=1,1,0))</f>
        <v/>
      </c>
      <c r="AE46" s="39">
        <f>IF(AB46=0,"",IF(COUNTIFS(X$6:X46,X46,AB$6:AB46,AB46)=1,1,0))</f>
        <v/>
      </c>
      <c r="AF46" s="34">
        <f>IF(C46="","",YEAR(C46-WEEKDAY(C46,2)+4)&amp;"-S"&amp;TEXT(INT((C46-DATE(YEAR(C46-WEEKDAY(C46,2)+4),1,3)+WEEKDAY(DATE(YEAR(C46-WEEKDAY(C46,2)+4),1,3),2)+5)/7),"00"))</f>
        <v/>
      </c>
    </row>
    <row r="47" ht="18" customHeight="1">
      <c r="A47" s="39" t="n">
        <v>42</v>
      </c>
      <c r="B47" s="33">
        <f>IF(C47="","",IF(P47="À RENSEIGNER","GIC",P47)&amp;"-C"&amp;TEXT(A47,"00000"))</f>
        <v/>
      </c>
      <c r="C47" s="32" t="n"/>
      <c r="D47" s="36" t="n"/>
      <c r="E47" s="36" t="n"/>
      <c r="F47" s="36" t="n"/>
      <c r="G47" s="42" t="n"/>
      <c r="H47" s="37" t="n"/>
      <c r="I47" s="37" t="n"/>
      <c r="J47" s="32" t="n"/>
      <c r="K47" s="32" t="n"/>
      <c r="L47" s="43" t="n"/>
      <c r="M47" s="36" t="n"/>
      <c r="N47" s="44" t="n"/>
      <c r="O47" s="36" t="n"/>
      <c r="P47" s="33">
        <f>IF(C47="","",Commercial_Id)</f>
        <v/>
      </c>
      <c r="Q47" s="34">
        <f>IF(AC47="","",IF(AD47=1,"C"&amp;TEXT(SUM(AD$6:AD47),"0000"),INDEX(Q$6:Q46,MATCH(AC47,AC$6:AC46,0))))</f>
        <v/>
      </c>
      <c r="R47" s="34">
        <f>IF(C47="","",IF(L47="☑ Oui","Annulée",IF(OR(E47="Vente directe",K47&lt;&gt;""),"Livrée",IF(J47&lt;&gt;"","Confirmée","En attente"))))</f>
        <v/>
      </c>
      <c r="S47" s="34">
        <f>IF(F47="","",IFERROR(VLOOKUP(F47,T_Produits,2,FALSE),""))</f>
        <v/>
      </c>
      <c r="T47" s="40">
        <f>IF(F47="","",IFERROR(1/(1/VLOOKUP(F47,T_Produits,3,FALSE)),""))</f>
        <v/>
      </c>
      <c r="U47" s="40">
        <f>IF(H47&lt;&gt;"",H47,T47)</f>
        <v/>
      </c>
      <c r="V47" s="40">
        <f>IF(OR(G47="",U47=""),"",G47*U47-N(I47))</f>
        <v/>
      </c>
      <c r="W47" s="39">
        <f>IF(D47="","",IFERROR(VALUE(MID(D47,LEN(D47)-3,3)),""))</f>
        <v/>
      </c>
      <c r="X47" s="33">
        <f>IF(W47="","",P47&amp;"|"&amp;W47)</f>
        <v/>
      </c>
      <c r="Y47" s="33">
        <f>IF(W47="","",IF(P47="À RENSEIGNER","GIC",P47)&amp;"-"&amp;TEXT(W47,"000"))</f>
        <v/>
      </c>
      <c r="Z47" s="33">
        <f>IF(X47="","",IFERROR(INDEX(Cl_nom,MATCH(X47,Cl_cle,0)),"(client introuvable)"))</f>
        <v/>
      </c>
      <c r="AA47" s="33">
        <f>IF(X47="","",IFERROR(INDEX(Cl_quartier,MATCH(X47,Cl_cle,0))&amp;"",""))</f>
        <v/>
      </c>
      <c r="AB47" s="45">
        <f>IF(R47&lt;&gt;"Livrée",0,IF(K47&lt;&gt;"",K47,C47))</f>
        <v/>
      </c>
      <c r="AC47" s="33">
        <f>IF(OR(C47="",W47=""),"",P47&amp;"|"&amp;W47&amp;"|"&amp;C47&amp;"|"&amp;E47)</f>
        <v/>
      </c>
      <c r="AD47" s="39">
        <f>IF(AC47="","",IF(COUNTIF(AC$6:AC47,AC47)=1,1,0))</f>
        <v/>
      </c>
      <c r="AE47" s="39">
        <f>IF(AB47=0,"",IF(COUNTIFS(X$6:X47,X47,AB$6:AB47,AB47)=1,1,0))</f>
        <v/>
      </c>
      <c r="AF47" s="34">
        <f>IF(C47="","",YEAR(C47-WEEKDAY(C47,2)+4)&amp;"-S"&amp;TEXT(INT((C47-DATE(YEAR(C47-WEEKDAY(C47,2)+4),1,3)+WEEKDAY(DATE(YEAR(C47-WEEKDAY(C47,2)+4),1,3),2)+5)/7),"00"))</f>
        <v/>
      </c>
    </row>
    <row r="48" ht="18" customHeight="1">
      <c r="A48" s="39" t="n">
        <v>43</v>
      </c>
      <c r="B48" s="33">
        <f>IF(C48="","",IF(P48="À RENSEIGNER","GIC",P48)&amp;"-C"&amp;TEXT(A48,"00000"))</f>
        <v/>
      </c>
      <c r="C48" s="32" t="n"/>
      <c r="D48" s="36" t="n"/>
      <c r="E48" s="36" t="n"/>
      <c r="F48" s="36" t="n"/>
      <c r="G48" s="42" t="n"/>
      <c r="H48" s="37" t="n"/>
      <c r="I48" s="37" t="n"/>
      <c r="J48" s="32" t="n"/>
      <c r="K48" s="32" t="n"/>
      <c r="L48" s="43" t="n"/>
      <c r="M48" s="36" t="n"/>
      <c r="N48" s="44" t="n"/>
      <c r="O48" s="36" t="n"/>
      <c r="P48" s="33">
        <f>IF(C48="","",Commercial_Id)</f>
        <v/>
      </c>
      <c r="Q48" s="34">
        <f>IF(AC48="","",IF(AD48=1,"C"&amp;TEXT(SUM(AD$6:AD48),"0000"),INDEX(Q$6:Q47,MATCH(AC48,AC$6:AC47,0))))</f>
        <v/>
      </c>
      <c r="R48" s="34">
        <f>IF(C48="","",IF(L48="☑ Oui","Annulée",IF(OR(E48="Vente directe",K48&lt;&gt;""),"Livrée",IF(J48&lt;&gt;"","Confirmée","En attente"))))</f>
        <v/>
      </c>
      <c r="S48" s="34">
        <f>IF(F48="","",IFERROR(VLOOKUP(F48,T_Produits,2,FALSE),""))</f>
        <v/>
      </c>
      <c r="T48" s="40">
        <f>IF(F48="","",IFERROR(1/(1/VLOOKUP(F48,T_Produits,3,FALSE)),""))</f>
        <v/>
      </c>
      <c r="U48" s="40">
        <f>IF(H48&lt;&gt;"",H48,T48)</f>
        <v/>
      </c>
      <c r="V48" s="40">
        <f>IF(OR(G48="",U48=""),"",G48*U48-N(I48))</f>
        <v/>
      </c>
      <c r="W48" s="39">
        <f>IF(D48="","",IFERROR(VALUE(MID(D48,LEN(D48)-3,3)),""))</f>
        <v/>
      </c>
      <c r="X48" s="33">
        <f>IF(W48="","",P48&amp;"|"&amp;W48)</f>
        <v/>
      </c>
      <c r="Y48" s="33">
        <f>IF(W48="","",IF(P48="À RENSEIGNER","GIC",P48)&amp;"-"&amp;TEXT(W48,"000"))</f>
        <v/>
      </c>
      <c r="Z48" s="33">
        <f>IF(X48="","",IFERROR(INDEX(Cl_nom,MATCH(X48,Cl_cle,0)),"(client introuvable)"))</f>
        <v/>
      </c>
      <c r="AA48" s="33">
        <f>IF(X48="","",IFERROR(INDEX(Cl_quartier,MATCH(X48,Cl_cle,0))&amp;"",""))</f>
        <v/>
      </c>
      <c r="AB48" s="45">
        <f>IF(R48&lt;&gt;"Livrée",0,IF(K48&lt;&gt;"",K48,C48))</f>
        <v/>
      </c>
      <c r="AC48" s="33">
        <f>IF(OR(C48="",W48=""),"",P48&amp;"|"&amp;W48&amp;"|"&amp;C48&amp;"|"&amp;E48)</f>
        <v/>
      </c>
      <c r="AD48" s="39">
        <f>IF(AC48="","",IF(COUNTIF(AC$6:AC48,AC48)=1,1,0))</f>
        <v/>
      </c>
      <c r="AE48" s="39">
        <f>IF(AB48=0,"",IF(COUNTIFS(X$6:X48,X48,AB$6:AB48,AB48)=1,1,0))</f>
        <v/>
      </c>
      <c r="AF48" s="34">
        <f>IF(C48="","",YEAR(C48-WEEKDAY(C48,2)+4)&amp;"-S"&amp;TEXT(INT((C48-DATE(YEAR(C48-WEEKDAY(C48,2)+4),1,3)+WEEKDAY(DATE(YEAR(C48-WEEKDAY(C48,2)+4),1,3),2)+5)/7),"00"))</f>
        <v/>
      </c>
    </row>
    <row r="49" ht="18" customHeight="1">
      <c r="A49" s="39" t="n">
        <v>44</v>
      </c>
      <c r="B49" s="33">
        <f>IF(C49="","",IF(P49="À RENSEIGNER","GIC",P49)&amp;"-C"&amp;TEXT(A49,"00000"))</f>
        <v/>
      </c>
      <c r="C49" s="32" t="n"/>
      <c r="D49" s="36" t="n"/>
      <c r="E49" s="36" t="n"/>
      <c r="F49" s="36" t="n"/>
      <c r="G49" s="42" t="n"/>
      <c r="H49" s="37" t="n"/>
      <c r="I49" s="37" t="n"/>
      <c r="J49" s="32" t="n"/>
      <c r="K49" s="32" t="n"/>
      <c r="L49" s="43" t="n"/>
      <c r="M49" s="36" t="n"/>
      <c r="N49" s="44" t="n"/>
      <c r="O49" s="36" t="n"/>
      <c r="P49" s="33">
        <f>IF(C49="","",Commercial_Id)</f>
        <v/>
      </c>
      <c r="Q49" s="34">
        <f>IF(AC49="","",IF(AD49=1,"C"&amp;TEXT(SUM(AD$6:AD49),"0000"),INDEX(Q$6:Q48,MATCH(AC49,AC$6:AC48,0))))</f>
        <v/>
      </c>
      <c r="R49" s="34">
        <f>IF(C49="","",IF(L49="☑ Oui","Annulée",IF(OR(E49="Vente directe",K49&lt;&gt;""),"Livrée",IF(J49&lt;&gt;"","Confirmée","En attente"))))</f>
        <v/>
      </c>
      <c r="S49" s="34">
        <f>IF(F49="","",IFERROR(VLOOKUP(F49,T_Produits,2,FALSE),""))</f>
        <v/>
      </c>
      <c r="T49" s="40">
        <f>IF(F49="","",IFERROR(1/(1/VLOOKUP(F49,T_Produits,3,FALSE)),""))</f>
        <v/>
      </c>
      <c r="U49" s="40">
        <f>IF(H49&lt;&gt;"",H49,T49)</f>
        <v/>
      </c>
      <c r="V49" s="40">
        <f>IF(OR(G49="",U49=""),"",G49*U49-N(I49))</f>
        <v/>
      </c>
      <c r="W49" s="39">
        <f>IF(D49="","",IFERROR(VALUE(MID(D49,LEN(D49)-3,3)),""))</f>
        <v/>
      </c>
      <c r="X49" s="33">
        <f>IF(W49="","",P49&amp;"|"&amp;W49)</f>
        <v/>
      </c>
      <c r="Y49" s="33">
        <f>IF(W49="","",IF(P49="À RENSEIGNER","GIC",P49)&amp;"-"&amp;TEXT(W49,"000"))</f>
        <v/>
      </c>
      <c r="Z49" s="33">
        <f>IF(X49="","",IFERROR(INDEX(Cl_nom,MATCH(X49,Cl_cle,0)),"(client introuvable)"))</f>
        <v/>
      </c>
      <c r="AA49" s="33">
        <f>IF(X49="","",IFERROR(INDEX(Cl_quartier,MATCH(X49,Cl_cle,0))&amp;"",""))</f>
        <v/>
      </c>
      <c r="AB49" s="45">
        <f>IF(R49&lt;&gt;"Livrée",0,IF(K49&lt;&gt;"",K49,C49))</f>
        <v/>
      </c>
      <c r="AC49" s="33">
        <f>IF(OR(C49="",W49=""),"",P49&amp;"|"&amp;W49&amp;"|"&amp;C49&amp;"|"&amp;E49)</f>
        <v/>
      </c>
      <c r="AD49" s="39">
        <f>IF(AC49="","",IF(COUNTIF(AC$6:AC49,AC49)=1,1,0))</f>
        <v/>
      </c>
      <c r="AE49" s="39">
        <f>IF(AB49=0,"",IF(COUNTIFS(X$6:X49,X49,AB$6:AB49,AB49)=1,1,0))</f>
        <v/>
      </c>
      <c r="AF49" s="34">
        <f>IF(C49="","",YEAR(C49-WEEKDAY(C49,2)+4)&amp;"-S"&amp;TEXT(INT((C49-DATE(YEAR(C49-WEEKDAY(C49,2)+4),1,3)+WEEKDAY(DATE(YEAR(C49-WEEKDAY(C49,2)+4),1,3),2)+5)/7),"00"))</f>
        <v/>
      </c>
    </row>
    <row r="50" ht="18" customHeight="1">
      <c r="A50" s="39" t="n">
        <v>45</v>
      </c>
      <c r="B50" s="33">
        <f>IF(C50="","",IF(P50="À RENSEIGNER","GIC",P50)&amp;"-C"&amp;TEXT(A50,"00000"))</f>
        <v/>
      </c>
      <c r="C50" s="32" t="n"/>
      <c r="D50" s="36" t="n"/>
      <c r="E50" s="36" t="n"/>
      <c r="F50" s="36" t="n"/>
      <c r="G50" s="42" t="n"/>
      <c r="H50" s="37" t="n"/>
      <c r="I50" s="37" t="n"/>
      <c r="J50" s="32" t="n"/>
      <c r="K50" s="32" t="n"/>
      <c r="L50" s="43" t="n"/>
      <c r="M50" s="36" t="n"/>
      <c r="N50" s="44" t="n"/>
      <c r="O50" s="36" t="n"/>
      <c r="P50" s="33">
        <f>IF(C50="","",Commercial_Id)</f>
        <v/>
      </c>
      <c r="Q50" s="34">
        <f>IF(AC50="","",IF(AD50=1,"C"&amp;TEXT(SUM(AD$6:AD50),"0000"),INDEX(Q$6:Q49,MATCH(AC50,AC$6:AC49,0))))</f>
        <v/>
      </c>
      <c r="R50" s="34">
        <f>IF(C50="","",IF(L50="☑ Oui","Annulée",IF(OR(E50="Vente directe",K50&lt;&gt;""),"Livrée",IF(J50&lt;&gt;"","Confirmée","En attente"))))</f>
        <v/>
      </c>
      <c r="S50" s="34">
        <f>IF(F50="","",IFERROR(VLOOKUP(F50,T_Produits,2,FALSE),""))</f>
        <v/>
      </c>
      <c r="T50" s="40">
        <f>IF(F50="","",IFERROR(1/(1/VLOOKUP(F50,T_Produits,3,FALSE)),""))</f>
        <v/>
      </c>
      <c r="U50" s="40">
        <f>IF(H50&lt;&gt;"",H50,T50)</f>
        <v/>
      </c>
      <c r="V50" s="40">
        <f>IF(OR(G50="",U50=""),"",G50*U50-N(I50))</f>
        <v/>
      </c>
      <c r="W50" s="39">
        <f>IF(D50="","",IFERROR(VALUE(MID(D50,LEN(D50)-3,3)),""))</f>
        <v/>
      </c>
      <c r="X50" s="33">
        <f>IF(W50="","",P50&amp;"|"&amp;W50)</f>
        <v/>
      </c>
      <c r="Y50" s="33">
        <f>IF(W50="","",IF(P50="À RENSEIGNER","GIC",P50)&amp;"-"&amp;TEXT(W50,"000"))</f>
        <v/>
      </c>
      <c r="Z50" s="33">
        <f>IF(X50="","",IFERROR(INDEX(Cl_nom,MATCH(X50,Cl_cle,0)),"(client introuvable)"))</f>
        <v/>
      </c>
      <c r="AA50" s="33">
        <f>IF(X50="","",IFERROR(INDEX(Cl_quartier,MATCH(X50,Cl_cle,0))&amp;"",""))</f>
        <v/>
      </c>
      <c r="AB50" s="45">
        <f>IF(R50&lt;&gt;"Livrée",0,IF(K50&lt;&gt;"",K50,C50))</f>
        <v/>
      </c>
      <c r="AC50" s="33">
        <f>IF(OR(C50="",W50=""),"",P50&amp;"|"&amp;W50&amp;"|"&amp;C50&amp;"|"&amp;E50)</f>
        <v/>
      </c>
      <c r="AD50" s="39">
        <f>IF(AC50="","",IF(COUNTIF(AC$6:AC50,AC50)=1,1,0))</f>
        <v/>
      </c>
      <c r="AE50" s="39">
        <f>IF(AB50=0,"",IF(COUNTIFS(X$6:X50,X50,AB$6:AB50,AB50)=1,1,0))</f>
        <v/>
      </c>
      <c r="AF50" s="34">
        <f>IF(C50="","",YEAR(C50-WEEKDAY(C50,2)+4)&amp;"-S"&amp;TEXT(INT((C50-DATE(YEAR(C50-WEEKDAY(C50,2)+4),1,3)+WEEKDAY(DATE(YEAR(C50-WEEKDAY(C50,2)+4),1,3),2)+5)/7),"00"))</f>
        <v/>
      </c>
    </row>
    <row r="51" ht="18" customHeight="1">
      <c r="A51" s="39" t="n">
        <v>46</v>
      </c>
      <c r="B51" s="33">
        <f>IF(C51="","",IF(P51="À RENSEIGNER","GIC",P51)&amp;"-C"&amp;TEXT(A51,"00000"))</f>
        <v/>
      </c>
      <c r="C51" s="32" t="n"/>
      <c r="D51" s="36" t="n"/>
      <c r="E51" s="36" t="n"/>
      <c r="F51" s="36" t="n"/>
      <c r="G51" s="42" t="n"/>
      <c r="H51" s="37" t="n"/>
      <c r="I51" s="37" t="n"/>
      <c r="J51" s="32" t="n"/>
      <c r="K51" s="32" t="n"/>
      <c r="L51" s="43" t="n"/>
      <c r="M51" s="36" t="n"/>
      <c r="N51" s="44" t="n"/>
      <c r="O51" s="36" t="n"/>
      <c r="P51" s="33">
        <f>IF(C51="","",Commercial_Id)</f>
        <v/>
      </c>
      <c r="Q51" s="34">
        <f>IF(AC51="","",IF(AD51=1,"C"&amp;TEXT(SUM(AD$6:AD51),"0000"),INDEX(Q$6:Q50,MATCH(AC51,AC$6:AC50,0))))</f>
        <v/>
      </c>
      <c r="R51" s="34">
        <f>IF(C51="","",IF(L51="☑ Oui","Annulée",IF(OR(E51="Vente directe",K51&lt;&gt;""),"Livrée",IF(J51&lt;&gt;"","Confirmée","En attente"))))</f>
        <v/>
      </c>
      <c r="S51" s="34">
        <f>IF(F51="","",IFERROR(VLOOKUP(F51,T_Produits,2,FALSE),""))</f>
        <v/>
      </c>
      <c r="T51" s="40">
        <f>IF(F51="","",IFERROR(1/(1/VLOOKUP(F51,T_Produits,3,FALSE)),""))</f>
        <v/>
      </c>
      <c r="U51" s="40">
        <f>IF(H51&lt;&gt;"",H51,T51)</f>
        <v/>
      </c>
      <c r="V51" s="40">
        <f>IF(OR(G51="",U51=""),"",G51*U51-N(I51))</f>
        <v/>
      </c>
      <c r="W51" s="39">
        <f>IF(D51="","",IFERROR(VALUE(MID(D51,LEN(D51)-3,3)),""))</f>
        <v/>
      </c>
      <c r="X51" s="33">
        <f>IF(W51="","",P51&amp;"|"&amp;W51)</f>
        <v/>
      </c>
      <c r="Y51" s="33">
        <f>IF(W51="","",IF(P51="À RENSEIGNER","GIC",P51)&amp;"-"&amp;TEXT(W51,"000"))</f>
        <v/>
      </c>
      <c r="Z51" s="33">
        <f>IF(X51="","",IFERROR(INDEX(Cl_nom,MATCH(X51,Cl_cle,0)),"(client introuvable)"))</f>
        <v/>
      </c>
      <c r="AA51" s="33">
        <f>IF(X51="","",IFERROR(INDEX(Cl_quartier,MATCH(X51,Cl_cle,0))&amp;"",""))</f>
        <v/>
      </c>
      <c r="AB51" s="45">
        <f>IF(R51&lt;&gt;"Livrée",0,IF(K51&lt;&gt;"",K51,C51))</f>
        <v/>
      </c>
      <c r="AC51" s="33">
        <f>IF(OR(C51="",W51=""),"",P51&amp;"|"&amp;W51&amp;"|"&amp;C51&amp;"|"&amp;E51)</f>
        <v/>
      </c>
      <c r="AD51" s="39">
        <f>IF(AC51="","",IF(COUNTIF(AC$6:AC51,AC51)=1,1,0))</f>
        <v/>
      </c>
      <c r="AE51" s="39">
        <f>IF(AB51=0,"",IF(COUNTIFS(X$6:X51,X51,AB$6:AB51,AB51)=1,1,0))</f>
        <v/>
      </c>
      <c r="AF51" s="34">
        <f>IF(C51="","",YEAR(C51-WEEKDAY(C51,2)+4)&amp;"-S"&amp;TEXT(INT((C51-DATE(YEAR(C51-WEEKDAY(C51,2)+4),1,3)+WEEKDAY(DATE(YEAR(C51-WEEKDAY(C51,2)+4),1,3),2)+5)/7),"00"))</f>
        <v/>
      </c>
    </row>
    <row r="52" ht="18" customHeight="1">
      <c r="A52" s="39" t="n">
        <v>47</v>
      </c>
      <c r="B52" s="33">
        <f>IF(C52="","",IF(P52="À RENSEIGNER","GIC",P52)&amp;"-C"&amp;TEXT(A52,"00000"))</f>
        <v/>
      </c>
      <c r="C52" s="32" t="n"/>
      <c r="D52" s="36" t="n"/>
      <c r="E52" s="36" t="n"/>
      <c r="F52" s="36" t="n"/>
      <c r="G52" s="42" t="n"/>
      <c r="H52" s="37" t="n"/>
      <c r="I52" s="37" t="n"/>
      <c r="J52" s="32" t="n"/>
      <c r="K52" s="32" t="n"/>
      <c r="L52" s="43" t="n"/>
      <c r="M52" s="36" t="n"/>
      <c r="N52" s="44" t="n"/>
      <c r="O52" s="36" t="n"/>
      <c r="P52" s="33">
        <f>IF(C52="","",Commercial_Id)</f>
        <v/>
      </c>
      <c r="Q52" s="34">
        <f>IF(AC52="","",IF(AD52=1,"C"&amp;TEXT(SUM(AD$6:AD52),"0000"),INDEX(Q$6:Q51,MATCH(AC52,AC$6:AC51,0))))</f>
        <v/>
      </c>
      <c r="R52" s="34">
        <f>IF(C52="","",IF(L52="☑ Oui","Annulée",IF(OR(E52="Vente directe",K52&lt;&gt;""),"Livrée",IF(J52&lt;&gt;"","Confirmée","En attente"))))</f>
        <v/>
      </c>
      <c r="S52" s="34">
        <f>IF(F52="","",IFERROR(VLOOKUP(F52,T_Produits,2,FALSE),""))</f>
        <v/>
      </c>
      <c r="T52" s="40">
        <f>IF(F52="","",IFERROR(1/(1/VLOOKUP(F52,T_Produits,3,FALSE)),""))</f>
        <v/>
      </c>
      <c r="U52" s="40">
        <f>IF(H52&lt;&gt;"",H52,T52)</f>
        <v/>
      </c>
      <c r="V52" s="40">
        <f>IF(OR(G52="",U52=""),"",G52*U52-N(I52))</f>
        <v/>
      </c>
      <c r="W52" s="39">
        <f>IF(D52="","",IFERROR(VALUE(MID(D52,LEN(D52)-3,3)),""))</f>
        <v/>
      </c>
      <c r="X52" s="33">
        <f>IF(W52="","",P52&amp;"|"&amp;W52)</f>
        <v/>
      </c>
      <c r="Y52" s="33">
        <f>IF(W52="","",IF(P52="À RENSEIGNER","GIC",P52)&amp;"-"&amp;TEXT(W52,"000"))</f>
        <v/>
      </c>
      <c r="Z52" s="33">
        <f>IF(X52="","",IFERROR(INDEX(Cl_nom,MATCH(X52,Cl_cle,0)),"(client introuvable)"))</f>
        <v/>
      </c>
      <c r="AA52" s="33">
        <f>IF(X52="","",IFERROR(INDEX(Cl_quartier,MATCH(X52,Cl_cle,0))&amp;"",""))</f>
        <v/>
      </c>
      <c r="AB52" s="45">
        <f>IF(R52&lt;&gt;"Livrée",0,IF(K52&lt;&gt;"",K52,C52))</f>
        <v/>
      </c>
      <c r="AC52" s="33">
        <f>IF(OR(C52="",W52=""),"",P52&amp;"|"&amp;W52&amp;"|"&amp;C52&amp;"|"&amp;E52)</f>
        <v/>
      </c>
      <c r="AD52" s="39">
        <f>IF(AC52="","",IF(COUNTIF(AC$6:AC52,AC52)=1,1,0))</f>
        <v/>
      </c>
      <c r="AE52" s="39">
        <f>IF(AB52=0,"",IF(COUNTIFS(X$6:X52,X52,AB$6:AB52,AB52)=1,1,0))</f>
        <v/>
      </c>
      <c r="AF52" s="34">
        <f>IF(C52="","",YEAR(C52-WEEKDAY(C52,2)+4)&amp;"-S"&amp;TEXT(INT((C52-DATE(YEAR(C52-WEEKDAY(C52,2)+4),1,3)+WEEKDAY(DATE(YEAR(C52-WEEKDAY(C52,2)+4),1,3),2)+5)/7),"00"))</f>
        <v/>
      </c>
    </row>
    <row r="53" ht="18" customHeight="1">
      <c r="A53" s="39" t="n">
        <v>48</v>
      </c>
      <c r="B53" s="33">
        <f>IF(C53="","",IF(P53="À RENSEIGNER","GIC",P53)&amp;"-C"&amp;TEXT(A53,"00000"))</f>
        <v/>
      </c>
      <c r="C53" s="32" t="n"/>
      <c r="D53" s="36" t="n"/>
      <c r="E53" s="36" t="n"/>
      <c r="F53" s="36" t="n"/>
      <c r="G53" s="42" t="n"/>
      <c r="H53" s="37" t="n"/>
      <c r="I53" s="37" t="n"/>
      <c r="J53" s="32" t="n"/>
      <c r="K53" s="32" t="n"/>
      <c r="L53" s="43" t="n"/>
      <c r="M53" s="36" t="n"/>
      <c r="N53" s="44" t="n"/>
      <c r="O53" s="36" t="n"/>
      <c r="P53" s="33">
        <f>IF(C53="","",Commercial_Id)</f>
        <v/>
      </c>
      <c r="Q53" s="34">
        <f>IF(AC53="","",IF(AD53=1,"C"&amp;TEXT(SUM(AD$6:AD53),"0000"),INDEX(Q$6:Q52,MATCH(AC53,AC$6:AC52,0))))</f>
        <v/>
      </c>
      <c r="R53" s="34">
        <f>IF(C53="","",IF(L53="☑ Oui","Annulée",IF(OR(E53="Vente directe",K53&lt;&gt;""),"Livrée",IF(J53&lt;&gt;"","Confirmée","En attente"))))</f>
        <v/>
      </c>
      <c r="S53" s="34">
        <f>IF(F53="","",IFERROR(VLOOKUP(F53,T_Produits,2,FALSE),""))</f>
        <v/>
      </c>
      <c r="T53" s="40">
        <f>IF(F53="","",IFERROR(1/(1/VLOOKUP(F53,T_Produits,3,FALSE)),""))</f>
        <v/>
      </c>
      <c r="U53" s="40">
        <f>IF(H53&lt;&gt;"",H53,T53)</f>
        <v/>
      </c>
      <c r="V53" s="40">
        <f>IF(OR(G53="",U53=""),"",G53*U53-N(I53))</f>
        <v/>
      </c>
      <c r="W53" s="39">
        <f>IF(D53="","",IFERROR(VALUE(MID(D53,LEN(D53)-3,3)),""))</f>
        <v/>
      </c>
      <c r="X53" s="33">
        <f>IF(W53="","",P53&amp;"|"&amp;W53)</f>
        <v/>
      </c>
      <c r="Y53" s="33">
        <f>IF(W53="","",IF(P53="À RENSEIGNER","GIC",P53)&amp;"-"&amp;TEXT(W53,"000"))</f>
        <v/>
      </c>
      <c r="Z53" s="33">
        <f>IF(X53="","",IFERROR(INDEX(Cl_nom,MATCH(X53,Cl_cle,0)),"(client introuvable)"))</f>
        <v/>
      </c>
      <c r="AA53" s="33">
        <f>IF(X53="","",IFERROR(INDEX(Cl_quartier,MATCH(X53,Cl_cle,0))&amp;"",""))</f>
        <v/>
      </c>
      <c r="AB53" s="45">
        <f>IF(R53&lt;&gt;"Livrée",0,IF(K53&lt;&gt;"",K53,C53))</f>
        <v/>
      </c>
      <c r="AC53" s="33">
        <f>IF(OR(C53="",W53=""),"",P53&amp;"|"&amp;W53&amp;"|"&amp;C53&amp;"|"&amp;E53)</f>
        <v/>
      </c>
      <c r="AD53" s="39">
        <f>IF(AC53="","",IF(COUNTIF(AC$6:AC53,AC53)=1,1,0))</f>
        <v/>
      </c>
      <c r="AE53" s="39">
        <f>IF(AB53=0,"",IF(COUNTIFS(X$6:X53,X53,AB$6:AB53,AB53)=1,1,0))</f>
        <v/>
      </c>
      <c r="AF53" s="34">
        <f>IF(C53="","",YEAR(C53-WEEKDAY(C53,2)+4)&amp;"-S"&amp;TEXT(INT((C53-DATE(YEAR(C53-WEEKDAY(C53,2)+4),1,3)+WEEKDAY(DATE(YEAR(C53-WEEKDAY(C53,2)+4),1,3),2)+5)/7),"00"))</f>
        <v/>
      </c>
    </row>
    <row r="54" ht="18" customHeight="1">
      <c r="A54" s="39" t="n">
        <v>49</v>
      </c>
      <c r="B54" s="33">
        <f>IF(C54="","",IF(P54="À RENSEIGNER","GIC",P54)&amp;"-C"&amp;TEXT(A54,"00000"))</f>
        <v/>
      </c>
      <c r="C54" s="32" t="n"/>
      <c r="D54" s="36" t="n"/>
      <c r="E54" s="36" t="n"/>
      <c r="F54" s="36" t="n"/>
      <c r="G54" s="42" t="n"/>
      <c r="H54" s="37" t="n"/>
      <c r="I54" s="37" t="n"/>
      <c r="J54" s="32" t="n"/>
      <c r="K54" s="32" t="n"/>
      <c r="L54" s="43" t="n"/>
      <c r="M54" s="36" t="n"/>
      <c r="N54" s="44" t="n"/>
      <c r="O54" s="36" t="n"/>
      <c r="P54" s="33">
        <f>IF(C54="","",Commercial_Id)</f>
        <v/>
      </c>
      <c r="Q54" s="34">
        <f>IF(AC54="","",IF(AD54=1,"C"&amp;TEXT(SUM(AD$6:AD54),"0000"),INDEX(Q$6:Q53,MATCH(AC54,AC$6:AC53,0))))</f>
        <v/>
      </c>
      <c r="R54" s="34">
        <f>IF(C54="","",IF(L54="☑ Oui","Annulée",IF(OR(E54="Vente directe",K54&lt;&gt;""),"Livrée",IF(J54&lt;&gt;"","Confirmée","En attente"))))</f>
        <v/>
      </c>
      <c r="S54" s="34">
        <f>IF(F54="","",IFERROR(VLOOKUP(F54,T_Produits,2,FALSE),""))</f>
        <v/>
      </c>
      <c r="T54" s="40">
        <f>IF(F54="","",IFERROR(1/(1/VLOOKUP(F54,T_Produits,3,FALSE)),""))</f>
        <v/>
      </c>
      <c r="U54" s="40">
        <f>IF(H54&lt;&gt;"",H54,T54)</f>
        <v/>
      </c>
      <c r="V54" s="40">
        <f>IF(OR(G54="",U54=""),"",G54*U54-N(I54))</f>
        <v/>
      </c>
      <c r="W54" s="39">
        <f>IF(D54="","",IFERROR(VALUE(MID(D54,LEN(D54)-3,3)),""))</f>
        <v/>
      </c>
      <c r="X54" s="33">
        <f>IF(W54="","",P54&amp;"|"&amp;W54)</f>
        <v/>
      </c>
      <c r="Y54" s="33">
        <f>IF(W54="","",IF(P54="À RENSEIGNER","GIC",P54)&amp;"-"&amp;TEXT(W54,"000"))</f>
        <v/>
      </c>
      <c r="Z54" s="33">
        <f>IF(X54="","",IFERROR(INDEX(Cl_nom,MATCH(X54,Cl_cle,0)),"(client introuvable)"))</f>
        <v/>
      </c>
      <c r="AA54" s="33">
        <f>IF(X54="","",IFERROR(INDEX(Cl_quartier,MATCH(X54,Cl_cle,0))&amp;"",""))</f>
        <v/>
      </c>
      <c r="AB54" s="45">
        <f>IF(R54&lt;&gt;"Livrée",0,IF(K54&lt;&gt;"",K54,C54))</f>
        <v/>
      </c>
      <c r="AC54" s="33">
        <f>IF(OR(C54="",W54=""),"",P54&amp;"|"&amp;W54&amp;"|"&amp;C54&amp;"|"&amp;E54)</f>
        <v/>
      </c>
      <c r="AD54" s="39">
        <f>IF(AC54="","",IF(COUNTIF(AC$6:AC54,AC54)=1,1,0))</f>
        <v/>
      </c>
      <c r="AE54" s="39">
        <f>IF(AB54=0,"",IF(COUNTIFS(X$6:X54,X54,AB$6:AB54,AB54)=1,1,0))</f>
        <v/>
      </c>
      <c r="AF54" s="34">
        <f>IF(C54="","",YEAR(C54-WEEKDAY(C54,2)+4)&amp;"-S"&amp;TEXT(INT((C54-DATE(YEAR(C54-WEEKDAY(C54,2)+4),1,3)+WEEKDAY(DATE(YEAR(C54-WEEKDAY(C54,2)+4),1,3),2)+5)/7),"00"))</f>
        <v/>
      </c>
    </row>
    <row r="55" ht="18" customHeight="1">
      <c r="A55" s="39" t="n">
        <v>50</v>
      </c>
      <c r="B55" s="33">
        <f>IF(C55="","",IF(P55="À RENSEIGNER","GIC",P55)&amp;"-C"&amp;TEXT(A55,"00000"))</f>
        <v/>
      </c>
      <c r="C55" s="32" t="n"/>
      <c r="D55" s="36" t="n"/>
      <c r="E55" s="36" t="n"/>
      <c r="F55" s="36" t="n"/>
      <c r="G55" s="42" t="n"/>
      <c r="H55" s="37" t="n"/>
      <c r="I55" s="37" t="n"/>
      <c r="J55" s="32" t="n"/>
      <c r="K55" s="32" t="n"/>
      <c r="L55" s="43" t="n"/>
      <c r="M55" s="36" t="n"/>
      <c r="N55" s="44" t="n"/>
      <c r="O55" s="36" t="n"/>
      <c r="P55" s="33">
        <f>IF(C55="","",Commercial_Id)</f>
        <v/>
      </c>
      <c r="Q55" s="34">
        <f>IF(AC55="","",IF(AD55=1,"C"&amp;TEXT(SUM(AD$6:AD55),"0000"),INDEX(Q$6:Q54,MATCH(AC55,AC$6:AC54,0))))</f>
        <v/>
      </c>
      <c r="R55" s="34">
        <f>IF(C55="","",IF(L55="☑ Oui","Annulée",IF(OR(E55="Vente directe",K55&lt;&gt;""),"Livrée",IF(J55&lt;&gt;"","Confirmée","En attente"))))</f>
        <v/>
      </c>
      <c r="S55" s="34">
        <f>IF(F55="","",IFERROR(VLOOKUP(F55,T_Produits,2,FALSE),""))</f>
        <v/>
      </c>
      <c r="T55" s="40">
        <f>IF(F55="","",IFERROR(1/(1/VLOOKUP(F55,T_Produits,3,FALSE)),""))</f>
        <v/>
      </c>
      <c r="U55" s="40">
        <f>IF(H55&lt;&gt;"",H55,T55)</f>
        <v/>
      </c>
      <c r="V55" s="40">
        <f>IF(OR(G55="",U55=""),"",G55*U55-N(I55))</f>
        <v/>
      </c>
      <c r="W55" s="39">
        <f>IF(D55="","",IFERROR(VALUE(MID(D55,LEN(D55)-3,3)),""))</f>
        <v/>
      </c>
      <c r="X55" s="33">
        <f>IF(W55="","",P55&amp;"|"&amp;W55)</f>
        <v/>
      </c>
      <c r="Y55" s="33">
        <f>IF(W55="","",IF(P55="À RENSEIGNER","GIC",P55)&amp;"-"&amp;TEXT(W55,"000"))</f>
        <v/>
      </c>
      <c r="Z55" s="33">
        <f>IF(X55="","",IFERROR(INDEX(Cl_nom,MATCH(X55,Cl_cle,0)),"(client introuvable)"))</f>
        <v/>
      </c>
      <c r="AA55" s="33">
        <f>IF(X55="","",IFERROR(INDEX(Cl_quartier,MATCH(X55,Cl_cle,0))&amp;"",""))</f>
        <v/>
      </c>
      <c r="AB55" s="45">
        <f>IF(R55&lt;&gt;"Livrée",0,IF(K55&lt;&gt;"",K55,C55))</f>
        <v/>
      </c>
      <c r="AC55" s="33">
        <f>IF(OR(C55="",W55=""),"",P55&amp;"|"&amp;W55&amp;"|"&amp;C55&amp;"|"&amp;E55)</f>
        <v/>
      </c>
      <c r="AD55" s="39">
        <f>IF(AC55="","",IF(COUNTIF(AC$6:AC55,AC55)=1,1,0))</f>
        <v/>
      </c>
      <c r="AE55" s="39">
        <f>IF(AB55=0,"",IF(COUNTIFS(X$6:X55,X55,AB$6:AB55,AB55)=1,1,0))</f>
        <v/>
      </c>
      <c r="AF55" s="34">
        <f>IF(C55="","",YEAR(C55-WEEKDAY(C55,2)+4)&amp;"-S"&amp;TEXT(INT((C55-DATE(YEAR(C55-WEEKDAY(C55,2)+4),1,3)+WEEKDAY(DATE(YEAR(C55-WEEKDAY(C55,2)+4),1,3),2)+5)/7),"00"))</f>
        <v/>
      </c>
    </row>
    <row r="56" ht="18" customHeight="1">
      <c r="A56" s="39" t="n">
        <v>51</v>
      </c>
      <c r="B56" s="33">
        <f>IF(C56="","",IF(P56="À RENSEIGNER","GIC",P56)&amp;"-C"&amp;TEXT(A56,"00000"))</f>
        <v/>
      </c>
      <c r="C56" s="32" t="n"/>
      <c r="D56" s="36" t="n"/>
      <c r="E56" s="36" t="n"/>
      <c r="F56" s="36" t="n"/>
      <c r="G56" s="42" t="n"/>
      <c r="H56" s="37" t="n"/>
      <c r="I56" s="37" t="n"/>
      <c r="J56" s="32" t="n"/>
      <c r="K56" s="32" t="n"/>
      <c r="L56" s="43" t="n"/>
      <c r="M56" s="36" t="n"/>
      <c r="N56" s="44" t="n"/>
      <c r="O56" s="36" t="n"/>
      <c r="P56" s="33">
        <f>IF(C56="","",Commercial_Id)</f>
        <v/>
      </c>
      <c r="Q56" s="34">
        <f>IF(AC56="","",IF(AD56=1,"C"&amp;TEXT(SUM(AD$6:AD56),"0000"),INDEX(Q$6:Q55,MATCH(AC56,AC$6:AC55,0))))</f>
        <v/>
      </c>
      <c r="R56" s="34">
        <f>IF(C56="","",IF(L56="☑ Oui","Annulée",IF(OR(E56="Vente directe",K56&lt;&gt;""),"Livrée",IF(J56&lt;&gt;"","Confirmée","En attente"))))</f>
        <v/>
      </c>
      <c r="S56" s="34">
        <f>IF(F56="","",IFERROR(VLOOKUP(F56,T_Produits,2,FALSE),""))</f>
        <v/>
      </c>
      <c r="T56" s="40">
        <f>IF(F56="","",IFERROR(1/(1/VLOOKUP(F56,T_Produits,3,FALSE)),""))</f>
        <v/>
      </c>
      <c r="U56" s="40">
        <f>IF(H56&lt;&gt;"",H56,T56)</f>
        <v/>
      </c>
      <c r="V56" s="40">
        <f>IF(OR(G56="",U56=""),"",G56*U56-N(I56))</f>
        <v/>
      </c>
      <c r="W56" s="39">
        <f>IF(D56="","",IFERROR(VALUE(MID(D56,LEN(D56)-3,3)),""))</f>
        <v/>
      </c>
      <c r="X56" s="33">
        <f>IF(W56="","",P56&amp;"|"&amp;W56)</f>
        <v/>
      </c>
      <c r="Y56" s="33">
        <f>IF(W56="","",IF(P56="À RENSEIGNER","GIC",P56)&amp;"-"&amp;TEXT(W56,"000"))</f>
        <v/>
      </c>
      <c r="Z56" s="33">
        <f>IF(X56="","",IFERROR(INDEX(Cl_nom,MATCH(X56,Cl_cle,0)),"(client introuvable)"))</f>
        <v/>
      </c>
      <c r="AA56" s="33">
        <f>IF(X56="","",IFERROR(INDEX(Cl_quartier,MATCH(X56,Cl_cle,0))&amp;"",""))</f>
        <v/>
      </c>
      <c r="AB56" s="45">
        <f>IF(R56&lt;&gt;"Livrée",0,IF(K56&lt;&gt;"",K56,C56))</f>
        <v/>
      </c>
      <c r="AC56" s="33">
        <f>IF(OR(C56="",W56=""),"",P56&amp;"|"&amp;W56&amp;"|"&amp;C56&amp;"|"&amp;E56)</f>
        <v/>
      </c>
      <c r="AD56" s="39">
        <f>IF(AC56="","",IF(COUNTIF(AC$6:AC56,AC56)=1,1,0))</f>
        <v/>
      </c>
      <c r="AE56" s="39">
        <f>IF(AB56=0,"",IF(COUNTIFS(X$6:X56,X56,AB$6:AB56,AB56)=1,1,0))</f>
        <v/>
      </c>
      <c r="AF56" s="34">
        <f>IF(C56="","",YEAR(C56-WEEKDAY(C56,2)+4)&amp;"-S"&amp;TEXT(INT((C56-DATE(YEAR(C56-WEEKDAY(C56,2)+4),1,3)+WEEKDAY(DATE(YEAR(C56-WEEKDAY(C56,2)+4),1,3),2)+5)/7),"00"))</f>
        <v/>
      </c>
    </row>
    <row r="57" ht="18" customHeight="1">
      <c r="A57" s="39" t="n">
        <v>52</v>
      </c>
      <c r="B57" s="33">
        <f>IF(C57="","",IF(P57="À RENSEIGNER","GIC",P57)&amp;"-C"&amp;TEXT(A57,"00000"))</f>
        <v/>
      </c>
      <c r="C57" s="32" t="n"/>
      <c r="D57" s="36" t="n"/>
      <c r="E57" s="36" t="n"/>
      <c r="F57" s="36" t="n"/>
      <c r="G57" s="42" t="n"/>
      <c r="H57" s="37" t="n"/>
      <c r="I57" s="37" t="n"/>
      <c r="J57" s="32" t="n"/>
      <c r="K57" s="32" t="n"/>
      <c r="L57" s="43" t="n"/>
      <c r="M57" s="36" t="n"/>
      <c r="N57" s="44" t="n"/>
      <c r="O57" s="36" t="n"/>
      <c r="P57" s="33">
        <f>IF(C57="","",Commercial_Id)</f>
        <v/>
      </c>
      <c r="Q57" s="34">
        <f>IF(AC57="","",IF(AD57=1,"C"&amp;TEXT(SUM(AD$6:AD57),"0000"),INDEX(Q$6:Q56,MATCH(AC57,AC$6:AC56,0))))</f>
        <v/>
      </c>
      <c r="R57" s="34">
        <f>IF(C57="","",IF(L57="☑ Oui","Annulée",IF(OR(E57="Vente directe",K57&lt;&gt;""),"Livrée",IF(J57&lt;&gt;"","Confirmée","En attente"))))</f>
        <v/>
      </c>
      <c r="S57" s="34">
        <f>IF(F57="","",IFERROR(VLOOKUP(F57,T_Produits,2,FALSE),""))</f>
        <v/>
      </c>
      <c r="T57" s="40">
        <f>IF(F57="","",IFERROR(1/(1/VLOOKUP(F57,T_Produits,3,FALSE)),""))</f>
        <v/>
      </c>
      <c r="U57" s="40">
        <f>IF(H57&lt;&gt;"",H57,T57)</f>
        <v/>
      </c>
      <c r="V57" s="40">
        <f>IF(OR(G57="",U57=""),"",G57*U57-N(I57))</f>
        <v/>
      </c>
      <c r="W57" s="39">
        <f>IF(D57="","",IFERROR(VALUE(MID(D57,LEN(D57)-3,3)),""))</f>
        <v/>
      </c>
      <c r="X57" s="33">
        <f>IF(W57="","",P57&amp;"|"&amp;W57)</f>
        <v/>
      </c>
      <c r="Y57" s="33">
        <f>IF(W57="","",IF(P57="À RENSEIGNER","GIC",P57)&amp;"-"&amp;TEXT(W57,"000"))</f>
        <v/>
      </c>
      <c r="Z57" s="33">
        <f>IF(X57="","",IFERROR(INDEX(Cl_nom,MATCH(X57,Cl_cle,0)),"(client introuvable)"))</f>
        <v/>
      </c>
      <c r="AA57" s="33">
        <f>IF(X57="","",IFERROR(INDEX(Cl_quartier,MATCH(X57,Cl_cle,0))&amp;"",""))</f>
        <v/>
      </c>
      <c r="AB57" s="45">
        <f>IF(R57&lt;&gt;"Livrée",0,IF(K57&lt;&gt;"",K57,C57))</f>
        <v/>
      </c>
      <c r="AC57" s="33">
        <f>IF(OR(C57="",W57=""),"",P57&amp;"|"&amp;W57&amp;"|"&amp;C57&amp;"|"&amp;E57)</f>
        <v/>
      </c>
      <c r="AD57" s="39">
        <f>IF(AC57="","",IF(COUNTIF(AC$6:AC57,AC57)=1,1,0))</f>
        <v/>
      </c>
      <c r="AE57" s="39">
        <f>IF(AB57=0,"",IF(COUNTIFS(X$6:X57,X57,AB$6:AB57,AB57)=1,1,0))</f>
        <v/>
      </c>
      <c r="AF57" s="34">
        <f>IF(C57="","",YEAR(C57-WEEKDAY(C57,2)+4)&amp;"-S"&amp;TEXT(INT((C57-DATE(YEAR(C57-WEEKDAY(C57,2)+4),1,3)+WEEKDAY(DATE(YEAR(C57-WEEKDAY(C57,2)+4),1,3),2)+5)/7),"00"))</f>
        <v/>
      </c>
    </row>
    <row r="58" ht="18" customHeight="1">
      <c r="A58" s="39" t="n">
        <v>53</v>
      </c>
      <c r="B58" s="33">
        <f>IF(C58="","",IF(P58="À RENSEIGNER","GIC",P58)&amp;"-C"&amp;TEXT(A58,"00000"))</f>
        <v/>
      </c>
      <c r="C58" s="32" t="n"/>
      <c r="D58" s="36" t="n"/>
      <c r="E58" s="36" t="n"/>
      <c r="F58" s="36" t="n"/>
      <c r="G58" s="42" t="n"/>
      <c r="H58" s="37" t="n"/>
      <c r="I58" s="37" t="n"/>
      <c r="J58" s="32" t="n"/>
      <c r="K58" s="32" t="n"/>
      <c r="L58" s="43" t="n"/>
      <c r="M58" s="36" t="n"/>
      <c r="N58" s="44" t="n"/>
      <c r="O58" s="36" t="n"/>
      <c r="P58" s="33">
        <f>IF(C58="","",Commercial_Id)</f>
        <v/>
      </c>
      <c r="Q58" s="34">
        <f>IF(AC58="","",IF(AD58=1,"C"&amp;TEXT(SUM(AD$6:AD58),"0000"),INDEX(Q$6:Q57,MATCH(AC58,AC$6:AC57,0))))</f>
        <v/>
      </c>
      <c r="R58" s="34">
        <f>IF(C58="","",IF(L58="☑ Oui","Annulée",IF(OR(E58="Vente directe",K58&lt;&gt;""),"Livrée",IF(J58&lt;&gt;"","Confirmée","En attente"))))</f>
        <v/>
      </c>
      <c r="S58" s="34">
        <f>IF(F58="","",IFERROR(VLOOKUP(F58,T_Produits,2,FALSE),""))</f>
        <v/>
      </c>
      <c r="T58" s="40">
        <f>IF(F58="","",IFERROR(1/(1/VLOOKUP(F58,T_Produits,3,FALSE)),""))</f>
        <v/>
      </c>
      <c r="U58" s="40">
        <f>IF(H58&lt;&gt;"",H58,T58)</f>
        <v/>
      </c>
      <c r="V58" s="40">
        <f>IF(OR(G58="",U58=""),"",G58*U58-N(I58))</f>
        <v/>
      </c>
      <c r="W58" s="39">
        <f>IF(D58="","",IFERROR(VALUE(MID(D58,LEN(D58)-3,3)),""))</f>
        <v/>
      </c>
      <c r="X58" s="33">
        <f>IF(W58="","",P58&amp;"|"&amp;W58)</f>
        <v/>
      </c>
      <c r="Y58" s="33">
        <f>IF(W58="","",IF(P58="À RENSEIGNER","GIC",P58)&amp;"-"&amp;TEXT(W58,"000"))</f>
        <v/>
      </c>
      <c r="Z58" s="33">
        <f>IF(X58="","",IFERROR(INDEX(Cl_nom,MATCH(X58,Cl_cle,0)),"(client introuvable)"))</f>
        <v/>
      </c>
      <c r="AA58" s="33">
        <f>IF(X58="","",IFERROR(INDEX(Cl_quartier,MATCH(X58,Cl_cle,0))&amp;"",""))</f>
        <v/>
      </c>
      <c r="AB58" s="45">
        <f>IF(R58&lt;&gt;"Livrée",0,IF(K58&lt;&gt;"",K58,C58))</f>
        <v/>
      </c>
      <c r="AC58" s="33">
        <f>IF(OR(C58="",W58=""),"",P58&amp;"|"&amp;W58&amp;"|"&amp;C58&amp;"|"&amp;E58)</f>
        <v/>
      </c>
      <c r="AD58" s="39">
        <f>IF(AC58="","",IF(COUNTIF(AC$6:AC58,AC58)=1,1,0))</f>
        <v/>
      </c>
      <c r="AE58" s="39">
        <f>IF(AB58=0,"",IF(COUNTIFS(X$6:X58,X58,AB$6:AB58,AB58)=1,1,0))</f>
        <v/>
      </c>
      <c r="AF58" s="34">
        <f>IF(C58="","",YEAR(C58-WEEKDAY(C58,2)+4)&amp;"-S"&amp;TEXT(INT((C58-DATE(YEAR(C58-WEEKDAY(C58,2)+4),1,3)+WEEKDAY(DATE(YEAR(C58-WEEKDAY(C58,2)+4),1,3),2)+5)/7),"00"))</f>
        <v/>
      </c>
    </row>
    <row r="59" ht="18" customHeight="1">
      <c r="A59" s="39" t="n">
        <v>54</v>
      </c>
      <c r="B59" s="33">
        <f>IF(C59="","",IF(P59="À RENSEIGNER","GIC",P59)&amp;"-C"&amp;TEXT(A59,"00000"))</f>
        <v/>
      </c>
      <c r="C59" s="32" t="n"/>
      <c r="D59" s="36" t="n"/>
      <c r="E59" s="36" t="n"/>
      <c r="F59" s="36" t="n"/>
      <c r="G59" s="42" t="n"/>
      <c r="H59" s="37" t="n"/>
      <c r="I59" s="37" t="n"/>
      <c r="J59" s="32" t="n"/>
      <c r="K59" s="32" t="n"/>
      <c r="L59" s="43" t="n"/>
      <c r="M59" s="36" t="n"/>
      <c r="N59" s="44" t="n"/>
      <c r="O59" s="36" t="n"/>
      <c r="P59" s="33">
        <f>IF(C59="","",Commercial_Id)</f>
        <v/>
      </c>
      <c r="Q59" s="34">
        <f>IF(AC59="","",IF(AD59=1,"C"&amp;TEXT(SUM(AD$6:AD59),"0000"),INDEX(Q$6:Q58,MATCH(AC59,AC$6:AC58,0))))</f>
        <v/>
      </c>
      <c r="R59" s="34">
        <f>IF(C59="","",IF(L59="☑ Oui","Annulée",IF(OR(E59="Vente directe",K59&lt;&gt;""),"Livrée",IF(J59&lt;&gt;"","Confirmée","En attente"))))</f>
        <v/>
      </c>
      <c r="S59" s="34">
        <f>IF(F59="","",IFERROR(VLOOKUP(F59,T_Produits,2,FALSE),""))</f>
        <v/>
      </c>
      <c r="T59" s="40">
        <f>IF(F59="","",IFERROR(1/(1/VLOOKUP(F59,T_Produits,3,FALSE)),""))</f>
        <v/>
      </c>
      <c r="U59" s="40">
        <f>IF(H59&lt;&gt;"",H59,T59)</f>
        <v/>
      </c>
      <c r="V59" s="40">
        <f>IF(OR(G59="",U59=""),"",G59*U59-N(I59))</f>
        <v/>
      </c>
      <c r="W59" s="39">
        <f>IF(D59="","",IFERROR(VALUE(MID(D59,LEN(D59)-3,3)),""))</f>
        <v/>
      </c>
      <c r="X59" s="33">
        <f>IF(W59="","",P59&amp;"|"&amp;W59)</f>
        <v/>
      </c>
      <c r="Y59" s="33">
        <f>IF(W59="","",IF(P59="À RENSEIGNER","GIC",P59)&amp;"-"&amp;TEXT(W59,"000"))</f>
        <v/>
      </c>
      <c r="Z59" s="33">
        <f>IF(X59="","",IFERROR(INDEX(Cl_nom,MATCH(X59,Cl_cle,0)),"(client introuvable)"))</f>
        <v/>
      </c>
      <c r="AA59" s="33">
        <f>IF(X59="","",IFERROR(INDEX(Cl_quartier,MATCH(X59,Cl_cle,0))&amp;"",""))</f>
        <v/>
      </c>
      <c r="AB59" s="45">
        <f>IF(R59&lt;&gt;"Livrée",0,IF(K59&lt;&gt;"",K59,C59))</f>
        <v/>
      </c>
      <c r="AC59" s="33">
        <f>IF(OR(C59="",W59=""),"",P59&amp;"|"&amp;W59&amp;"|"&amp;C59&amp;"|"&amp;E59)</f>
        <v/>
      </c>
      <c r="AD59" s="39">
        <f>IF(AC59="","",IF(COUNTIF(AC$6:AC59,AC59)=1,1,0))</f>
        <v/>
      </c>
      <c r="AE59" s="39">
        <f>IF(AB59=0,"",IF(COUNTIFS(X$6:X59,X59,AB$6:AB59,AB59)=1,1,0))</f>
        <v/>
      </c>
      <c r="AF59" s="34">
        <f>IF(C59="","",YEAR(C59-WEEKDAY(C59,2)+4)&amp;"-S"&amp;TEXT(INT((C59-DATE(YEAR(C59-WEEKDAY(C59,2)+4),1,3)+WEEKDAY(DATE(YEAR(C59-WEEKDAY(C59,2)+4),1,3),2)+5)/7),"00"))</f>
        <v/>
      </c>
    </row>
    <row r="60" ht="18" customHeight="1">
      <c r="A60" s="39" t="n">
        <v>55</v>
      </c>
      <c r="B60" s="33">
        <f>IF(C60="","",IF(P60="À RENSEIGNER","GIC",P60)&amp;"-C"&amp;TEXT(A60,"00000"))</f>
        <v/>
      </c>
      <c r="C60" s="32" t="n"/>
      <c r="D60" s="36" t="n"/>
      <c r="E60" s="36" t="n"/>
      <c r="F60" s="36" t="n"/>
      <c r="G60" s="42" t="n"/>
      <c r="H60" s="37" t="n"/>
      <c r="I60" s="37" t="n"/>
      <c r="J60" s="32" t="n"/>
      <c r="K60" s="32" t="n"/>
      <c r="L60" s="43" t="n"/>
      <c r="M60" s="36" t="n"/>
      <c r="N60" s="44" t="n"/>
      <c r="O60" s="36" t="n"/>
      <c r="P60" s="33">
        <f>IF(C60="","",Commercial_Id)</f>
        <v/>
      </c>
      <c r="Q60" s="34">
        <f>IF(AC60="","",IF(AD60=1,"C"&amp;TEXT(SUM(AD$6:AD60),"0000"),INDEX(Q$6:Q59,MATCH(AC60,AC$6:AC59,0))))</f>
        <v/>
      </c>
      <c r="R60" s="34">
        <f>IF(C60="","",IF(L60="☑ Oui","Annulée",IF(OR(E60="Vente directe",K60&lt;&gt;""),"Livrée",IF(J60&lt;&gt;"","Confirmée","En attente"))))</f>
        <v/>
      </c>
      <c r="S60" s="34">
        <f>IF(F60="","",IFERROR(VLOOKUP(F60,T_Produits,2,FALSE),""))</f>
        <v/>
      </c>
      <c r="T60" s="40">
        <f>IF(F60="","",IFERROR(1/(1/VLOOKUP(F60,T_Produits,3,FALSE)),""))</f>
        <v/>
      </c>
      <c r="U60" s="40">
        <f>IF(H60&lt;&gt;"",H60,T60)</f>
        <v/>
      </c>
      <c r="V60" s="40">
        <f>IF(OR(G60="",U60=""),"",G60*U60-N(I60))</f>
        <v/>
      </c>
      <c r="W60" s="39">
        <f>IF(D60="","",IFERROR(VALUE(MID(D60,LEN(D60)-3,3)),""))</f>
        <v/>
      </c>
      <c r="X60" s="33">
        <f>IF(W60="","",P60&amp;"|"&amp;W60)</f>
        <v/>
      </c>
      <c r="Y60" s="33">
        <f>IF(W60="","",IF(P60="À RENSEIGNER","GIC",P60)&amp;"-"&amp;TEXT(W60,"000"))</f>
        <v/>
      </c>
      <c r="Z60" s="33">
        <f>IF(X60="","",IFERROR(INDEX(Cl_nom,MATCH(X60,Cl_cle,0)),"(client introuvable)"))</f>
        <v/>
      </c>
      <c r="AA60" s="33">
        <f>IF(X60="","",IFERROR(INDEX(Cl_quartier,MATCH(X60,Cl_cle,0))&amp;"",""))</f>
        <v/>
      </c>
      <c r="AB60" s="45">
        <f>IF(R60&lt;&gt;"Livrée",0,IF(K60&lt;&gt;"",K60,C60))</f>
        <v/>
      </c>
      <c r="AC60" s="33">
        <f>IF(OR(C60="",W60=""),"",P60&amp;"|"&amp;W60&amp;"|"&amp;C60&amp;"|"&amp;E60)</f>
        <v/>
      </c>
      <c r="AD60" s="39">
        <f>IF(AC60="","",IF(COUNTIF(AC$6:AC60,AC60)=1,1,0))</f>
        <v/>
      </c>
      <c r="AE60" s="39">
        <f>IF(AB60=0,"",IF(COUNTIFS(X$6:X60,X60,AB$6:AB60,AB60)=1,1,0))</f>
        <v/>
      </c>
      <c r="AF60" s="34">
        <f>IF(C60="","",YEAR(C60-WEEKDAY(C60,2)+4)&amp;"-S"&amp;TEXT(INT((C60-DATE(YEAR(C60-WEEKDAY(C60,2)+4),1,3)+WEEKDAY(DATE(YEAR(C60-WEEKDAY(C60,2)+4),1,3),2)+5)/7),"00"))</f>
        <v/>
      </c>
    </row>
    <row r="61" ht="18" customHeight="1">
      <c r="A61" s="39" t="n">
        <v>56</v>
      </c>
      <c r="B61" s="33">
        <f>IF(C61="","",IF(P61="À RENSEIGNER","GIC",P61)&amp;"-C"&amp;TEXT(A61,"00000"))</f>
        <v/>
      </c>
      <c r="C61" s="32" t="n"/>
      <c r="D61" s="36" t="n"/>
      <c r="E61" s="36" t="n"/>
      <c r="F61" s="36" t="n"/>
      <c r="G61" s="42" t="n"/>
      <c r="H61" s="37" t="n"/>
      <c r="I61" s="37" t="n"/>
      <c r="J61" s="32" t="n"/>
      <c r="K61" s="32" t="n"/>
      <c r="L61" s="43" t="n"/>
      <c r="M61" s="36" t="n"/>
      <c r="N61" s="44" t="n"/>
      <c r="O61" s="36" t="n"/>
      <c r="P61" s="33">
        <f>IF(C61="","",Commercial_Id)</f>
        <v/>
      </c>
      <c r="Q61" s="34">
        <f>IF(AC61="","",IF(AD61=1,"C"&amp;TEXT(SUM(AD$6:AD61),"0000"),INDEX(Q$6:Q60,MATCH(AC61,AC$6:AC60,0))))</f>
        <v/>
      </c>
      <c r="R61" s="34">
        <f>IF(C61="","",IF(L61="☑ Oui","Annulée",IF(OR(E61="Vente directe",K61&lt;&gt;""),"Livrée",IF(J61&lt;&gt;"","Confirmée","En attente"))))</f>
        <v/>
      </c>
      <c r="S61" s="34">
        <f>IF(F61="","",IFERROR(VLOOKUP(F61,T_Produits,2,FALSE),""))</f>
        <v/>
      </c>
      <c r="T61" s="40">
        <f>IF(F61="","",IFERROR(1/(1/VLOOKUP(F61,T_Produits,3,FALSE)),""))</f>
        <v/>
      </c>
      <c r="U61" s="40">
        <f>IF(H61&lt;&gt;"",H61,T61)</f>
        <v/>
      </c>
      <c r="V61" s="40">
        <f>IF(OR(G61="",U61=""),"",G61*U61-N(I61))</f>
        <v/>
      </c>
      <c r="W61" s="39">
        <f>IF(D61="","",IFERROR(VALUE(MID(D61,LEN(D61)-3,3)),""))</f>
        <v/>
      </c>
      <c r="X61" s="33">
        <f>IF(W61="","",P61&amp;"|"&amp;W61)</f>
        <v/>
      </c>
      <c r="Y61" s="33">
        <f>IF(W61="","",IF(P61="À RENSEIGNER","GIC",P61)&amp;"-"&amp;TEXT(W61,"000"))</f>
        <v/>
      </c>
      <c r="Z61" s="33">
        <f>IF(X61="","",IFERROR(INDEX(Cl_nom,MATCH(X61,Cl_cle,0)),"(client introuvable)"))</f>
        <v/>
      </c>
      <c r="AA61" s="33">
        <f>IF(X61="","",IFERROR(INDEX(Cl_quartier,MATCH(X61,Cl_cle,0))&amp;"",""))</f>
        <v/>
      </c>
      <c r="AB61" s="45">
        <f>IF(R61&lt;&gt;"Livrée",0,IF(K61&lt;&gt;"",K61,C61))</f>
        <v/>
      </c>
      <c r="AC61" s="33">
        <f>IF(OR(C61="",W61=""),"",P61&amp;"|"&amp;W61&amp;"|"&amp;C61&amp;"|"&amp;E61)</f>
        <v/>
      </c>
      <c r="AD61" s="39">
        <f>IF(AC61="","",IF(COUNTIF(AC$6:AC61,AC61)=1,1,0))</f>
        <v/>
      </c>
      <c r="AE61" s="39">
        <f>IF(AB61=0,"",IF(COUNTIFS(X$6:X61,X61,AB$6:AB61,AB61)=1,1,0))</f>
        <v/>
      </c>
      <c r="AF61" s="34">
        <f>IF(C61="","",YEAR(C61-WEEKDAY(C61,2)+4)&amp;"-S"&amp;TEXT(INT((C61-DATE(YEAR(C61-WEEKDAY(C61,2)+4),1,3)+WEEKDAY(DATE(YEAR(C61-WEEKDAY(C61,2)+4),1,3),2)+5)/7),"00"))</f>
        <v/>
      </c>
    </row>
    <row r="62" ht="18" customHeight="1">
      <c r="A62" s="39" t="n">
        <v>57</v>
      </c>
      <c r="B62" s="33">
        <f>IF(C62="","",IF(P62="À RENSEIGNER","GIC",P62)&amp;"-C"&amp;TEXT(A62,"00000"))</f>
        <v/>
      </c>
      <c r="C62" s="32" t="n"/>
      <c r="D62" s="36" t="n"/>
      <c r="E62" s="36" t="n"/>
      <c r="F62" s="36" t="n"/>
      <c r="G62" s="42" t="n"/>
      <c r="H62" s="37" t="n"/>
      <c r="I62" s="37" t="n"/>
      <c r="J62" s="32" t="n"/>
      <c r="K62" s="32" t="n"/>
      <c r="L62" s="43" t="n"/>
      <c r="M62" s="36" t="n"/>
      <c r="N62" s="44" t="n"/>
      <c r="O62" s="36" t="n"/>
      <c r="P62" s="33">
        <f>IF(C62="","",Commercial_Id)</f>
        <v/>
      </c>
      <c r="Q62" s="34">
        <f>IF(AC62="","",IF(AD62=1,"C"&amp;TEXT(SUM(AD$6:AD62),"0000"),INDEX(Q$6:Q61,MATCH(AC62,AC$6:AC61,0))))</f>
        <v/>
      </c>
      <c r="R62" s="34">
        <f>IF(C62="","",IF(L62="☑ Oui","Annulée",IF(OR(E62="Vente directe",K62&lt;&gt;""),"Livrée",IF(J62&lt;&gt;"","Confirmée","En attente"))))</f>
        <v/>
      </c>
      <c r="S62" s="34">
        <f>IF(F62="","",IFERROR(VLOOKUP(F62,T_Produits,2,FALSE),""))</f>
        <v/>
      </c>
      <c r="T62" s="40">
        <f>IF(F62="","",IFERROR(1/(1/VLOOKUP(F62,T_Produits,3,FALSE)),""))</f>
        <v/>
      </c>
      <c r="U62" s="40">
        <f>IF(H62&lt;&gt;"",H62,T62)</f>
        <v/>
      </c>
      <c r="V62" s="40">
        <f>IF(OR(G62="",U62=""),"",G62*U62-N(I62))</f>
        <v/>
      </c>
      <c r="W62" s="39">
        <f>IF(D62="","",IFERROR(VALUE(MID(D62,LEN(D62)-3,3)),""))</f>
        <v/>
      </c>
      <c r="X62" s="33">
        <f>IF(W62="","",P62&amp;"|"&amp;W62)</f>
        <v/>
      </c>
      <c r="Y62" s="33">
        <f>IF(W62="","",IF(P62="À RENSEIGNER","GIC",P62)&amp;"-"&amp;TEXT(W62,"000"))</f>
        <v/>
      </c>
      <c r="Z62" s="33">
        <f>IF(X62="","",IFERROR(INDEX(Cl_nom,MATCH(X62,Cl_cle,0)),"(client introuvable)"))</f>
        <v/>
      </c>
      <c r="AA62" s="33">
        <f>IF(X62="","",IFERROR(INDEX(Cl_quartier,MATCH(X62,Cl_cle,0))&amp;"",""))</f>
        <v/>
      </c>
      <c r="AB62" s="45">
        <f>IF(R62&lt;&gt;"Livrée",0,IF(K62&lt;&gt;"",K62,C62))</f>
        <v/>
      </c>
      <c r="AC62" s="33">
        <f>IF(OR(C62="",W62=""),"",P62&amp;"|"&amp;W62&amp;"|"&amp;C62&amp;"|"&amp;E62)</f>
        <v/>
      </c>
      <c r="AD62" s="39">
        <f>IF(AC62="","",IF(COUNTIF(AC$6:AC62,AC62)=1,1,0))</f>
        <v/>
      </c>
      <c r="AE62" s="39">
        <f>IF(AB62=0,"",IF(COUNTIFS(X$6:X62,X62,AB$6:AB62,AB62)=1,1,0))</f>
        <v/>
      </c>
      <c r="AF62" s="34">
        <f>IF(C62="","",YEAR(C62-WEEKDAY(C62,2)+4)&amp;"-S"&amp;TEXT(INT((C62-DATE(YEAR(C62-WEEKDAY(C62,2)+4),1,3)+WEEKDAY(DATE(YEAR(C62-WEEKDAY(C62,2)+4),1,3),2)+5)/7),"00"))</f>
        <v/>
      </c>
    </row>
    <row r="63" ht="18" customHeight="1">
      <c r="A63" s="39" t="n">
        <v>58</v>
      </c>
      <c r="B63" s="33">
        <f>IF(C63="","",IF(P63="À RENSEIGNER","GIC",P63)&amp;"-C"&amp;TEXT(A63,"00000"))</f>
        <v/>
      </c>
      <c r="C63" s="32" t="n"/>
      <c r="D63" s="36" t="n"/>
      <c r="E63" s="36" t="n"/>
      <c r="F63" s="36" t="n"/>
      <c r="G63" s="42" t="n"/>
      <c r="H63" s="37" t="n"/>
      <c r="I63" s="37" t="n"/>
      <c r="J63" s="32" t="n"/>
      <c r="K63" s="32" t="n"/>
      <c r="L63" s="43" t="n"/>
      <c r="M63" s="36" t="n"/>
      <c r="N63" s="44" t="n"/>
      <c r="O63" s="36" t="n"/>
      <c r="P63" s="33">
        <f>IF(C63="","",Commercial_Id)</f>
        <v/>
      </c>
      <c r="Q63" s="34">
        <f>IF(AC63="","",IF(AD63=1,"C"&amp;TEXT(SUM(AD$6:AD63),"0000"),INDEX(Q$6:Q62,MATCH(AC63,AC$6:AC62,0))))</f>
        <v/>
      </c>
      <c r="R63" s="34">
        <f>IF(C63="","",IF(L63="☑ Oui","Annulée",IF(OR(E63="Vente directe",K63&lt;&gt;""),"Livrée",IF(J63&lt;&gt;"","Confirmée","En attente"))))</f>
        <v/>
      </c>
      <c r="S63" s="34">
        <f>IF(F63="","",IFERROR(VLOOKUP(F63,T_Produits,2,FALSE),""))</f>
        <v/>
      </c>
      <c r="T63" s="40">
        <f>IF(F63="","",IFERROR(1/(1/VLOOKUP(F63,T_Produits,3,FALSE)),""))</f>
        <v/>
      </c>
      <c r="U63" s="40">
        <f>IF(H63&lt;&gt;"",H63,T63)</f>
        <v/>
      </c>
      <c r="V63" s="40">
        <f>IF(OR(G63="",U63=""),"",G63*U63-N(I63))</f>
        <v/>
      </c>
      <c r="W63" s="39">
        <f>IF(D63="","",IFERROR(VALUE(MID(D63,LEN(D63)-3,3)),""))</f>
        <v/>
      </c>
      <c r="X63" s="33">
        <f>IF(W63="","",P63&amp;"|"&amp;W63)</f>
        <v/>
      </c>
      <c r="Y63" s="33">
        <f>IF(W63="","",IF(P63="À RENSEIGNER","GIC",P63)&amp;"-"&amp;TEXT(W63,"000"))</f>
        <v/>
      </c>
      <c r="Z63" s="33">
        <f>IF(X63="","",IFERROR(INDEX(Cl_nom,MATCH(X63,Cl_cle,0)),"(client introuvable)"))</f>
        <v/>
      </c>
      <c r="AA63" s="33">
        <f>IF(X63="","",IFERROR(INDEX(Cl_quartier,MATCH(X63,Cl_cle,0))&amp;"",""))</f>
        <v/>
      </c>
      <c r="AB63" s="45">
        <f>IF(R63&lt;&gt;"Livrée",0,IF(K63&lt;&gt;"",K63,C63))</f>
        <v/>
      </c>
      <c r="AC63" s="33">
        <f>IF(OR(C63="",W63=""),"",P63&amp;"|"&amp;W63&amp;"|"&amp;C63&amp;"|"&amp;E63)</f>
        <v/>
      </c>
      <c r="AD63" s="39">
        <f>IF(AC63="","",IF(COUNTIF(AC$6:AC63,AC63)=1,1,0))</f>
        <v/>
      </c>
      <c r="AE63" s="39">
        <f>IF(AB63=0,"",IF(COUNTIFS(X$6:X63,X63,AB$6:AB63,AB63)=1,1,0))</f>
        <v/>
      </c>
      <c r="AF63" s="34">
        <f>IF(C63="","",YEAR(C63-WEEKDAY(C63,2)+4)&amp;"-S"&amp;TEXT(INT((C63-DATE(YEAR(C63-WEEKDAY(C63,2)+4),1,3)+WEEKDAY(DATE(YEAR(C63-WEEKDAY(C63,2)+4),1,3),2)+5)/7),"00"))</f>
        <v/>
      </c>
    </row>
    <row r="64" ht="18" customHeight="1">
      <c r="A64" s="39" t="n">
        <v>59</v>
      </c>
      <c r="B64" s="33">
        <f>IF(C64="","",IF(P64="À RENSEIGNER","GIC",P64)&amp;"-C"&amp;TEXT(A64,"00000"))</f>
        <v/>
      </c>
      <c r="C64" s="32" t="n"/>
      <c r="D64" s="36" t="n"/>
      <c r="E64" s="36" t="n"/>
      <c r="F64" s="36" t="n"/>
      <c r="G64" s="42" t="n"/>
      <c r="H64" s="37" t="n"/>
      <c r="I64" s="37" t="n"/>
      <c r="J64" s="32" t="n"/>
      <c r="K64" s="32" t="n"/>
      <c r="L64" s="43" t="n"/>
      <c r="M64" s="36" t="n"/>
      <c r="N64" s="44" t="n"/>
      <c r="O64" s="36" t="n"/>
      <c r="P64" s="33">
        <f>IF(C64="","",Commercial_Id)</f>
        <v/>
      </c>
      <c r="Q64" s="34">
        <f>IF(AC64="","",IF(AD64=1,"C"&amp;TEXT(SUM(AD$6:AD64),"0000"),INDEX(Q$6:Q63,MATCH(AC64,AC$6:AC63,0))))</f>
        <v/>
      </c>
      <c r="R64" s="34">
        <f>IF(C64="","",IF(L64="☑ Oui","Annulée",IF(OR(E64="Vente directe",K64&lt;&gt;""),"Livrée",IF(J64&lt;&gt;"","Confirmée","En attente"))))</f>
        <v/>
      </c>
      <c r="S64" s="34">
        <f>IF(F64="","",IFERROR(VLOOKUP(F64,T_Produits,2,FALSE),""))</f>
        <v/>
      </c>
      <c r="T64" s="40">
        <f>IF(F64="","",IFERROR(1/(1/VLOOKUP(F64,T_Produits,3,FALSE)),""))</f>
        <v/>
      </c>
      <c r="U64" s="40">
        <f>IF(H64&lt;&gt;"",H64,T64)</f>
        <v/>
      </c>
      <c r="V64" s="40">
        <f>IF(OR(G64="",U64=""),"",G64*U64-N(I64))</f>
        <v/>
      </c>
      <c r="W64" s="39">
        <f>IF(D64="","",IFERROR(VALUE(MID(D64,LEN(D64)-3,3)),""))</f>
        <v/>
      </c>
      <c r="X64" s="33">
        <f>IF(W64="","",P64&amp;"|"&amp;W64)</f>
        <v/>
      </c>
      <c r="Y64" s="33">
        <f>IF(W64="","",IF(P64="À RENSEIGNER","GIC",P64)&amp;"-"&amp;TEXT(W64,"000"))</f>
        <v/>
      </c>
      <c r="Z64" s="33">
        <f>IF(X64="","",IFERROR(INDEX(Cl_nom,MATCH(X64,Cl_cle,0)),"(client introuvable)"))</f>
        <v/>
      </c>
      <c r="AA64" s="33">
        <f>IF(X64="","",IFERROR(INDEX(Cl_quartier,MATCH(X64,Cl_cle,0))&amp;"",""))</f>
        <v/>
      </c>
      <c r="AB64" s="45">
        <f>IF(R64&lt;&gt;"Livrée",0,IF(K64&lt;&gt;"",K64,C64))</f>
        <v/>
      </c>
      <c r="AC64" s="33">
        <f>IF(OR(C64="",W64=""),"",P64&amp;"|"&amp;W64&amp;"|"&amp;C64&amp;"|"&amp;E64)</f>
        <v/>
      </c>
      <c r="AD64" s="39">
        <f>IF(AC64="","",IF(COUNTIF(AC$6:AC64,AC64)=1,1,0))</f>
        <v/>
      </c>
      <c r="AE64" s="39">
        <f>IF(AB64=0,"",IF(COUNTIFS(X$6:X64,X64,AB$6:AB64,AB64)=1,1,0))</f>
        <v/>
      </c>
      <c r="AF64" s="34">
        <f>IF(C64="","",YEAR(C64-WEEKDAY(C64,2)+4)&amp;"-S"&amp;TEXT(INT((C64-DATE(YEAR(C64-WEEKDAY(C64,2)+4),1,3)+WEEKDAY(DATE(YEAR(C64-WEEKDAY(C64,2)+4),1,3),2)+5)/7),"00"))</f>
        <v/>
      </c>
    </row>
    <row r="65" ht="18" customHeight="1">
      <c r="A65" s="39" t="n">
        <v>60</v>
      </c>
      <c r="B65" s="33">
        <f>IF(C65="","",IF(P65="À RENSEIGNER","GIC",P65)&amp;"-C"&amp;TEXT(A65,"00000"))</f>
        <v/>
      </c>
      <c r="C65" s="32" t="n"/>
      <c r="D65" s="36" t="n"/>
      <c r="E65" s="36" t="n"/>
      <c r="F65" s="36" t="n"/>
      <c r="G65" s="42" t="n"/>
      <c r="H65" s="37" t="n"/>
      <c r="I65" s="37" t="n"/>
      <c r="J65" s="32" t="n"/>
      <c r="K65" s="32" t="n"/>
      <c r="L65" s="43" t="n"/>
      <c r="M65" s="36" t="n"/>
      <c r="N65" s="44" t="n"/>
      <c r="O65" s="36" t="n"/>
      <c r="P65" s="33">
        <f>IF(C65="","",Commercial_Id)</f>
        <v/>
      </c>
      <c r="Q65" s="34">
        <f>IF(AC65="","",IF(AD65=1,"C"&amp;TEXT(SUM(AD$6:AD65),"0000"),INDEX(Q$6:Q64,MATCH(AC65,AC$6:AC64,0))))</f>
        <v/>
      </c>
      <c r="R65" s="34">
        <f>IF(C65="","",IF(L65="☑ Oui","Annulée",IF(OR(E65="Vente directe",K65&lt;&gt;""),"Livrée",IF(J65&lt;&gt;"","Confirmée","En attente"))))</f>
        <v/>
      </c>
      <c r="S65" s="34">
        <f>IF(F65="","",IFERROR(VLOOKUP(F65,T_Produits,2,FALSE),""))</f>
        <v/>
      </c>
      <c r="T65" s="40">
        <f>IF(F65="","",IFERROR(1/(1/VLOOKUP(F65,T_Produits,3,FALSE)),""))</f>
        <v/>
      </c>
      <c r="U65" s="40">
        <f>IF(H65&lt;&gt;"",H65,T65)</f>
        <v/>
      </c>
      <c r="V65" s="40">
        <f>IF(OR(G65="",U65=""),"",G65*U65-N(I65))</f>
        <v/>
      </c>
      <c r="W65" s="39">
        <f>IF(D65="","",IFERROR(VALUE(MID(D65,LEN(D65)-3,3)),""))</f>
        <v/>
      </c>
      <c r="X65" s="33">
        <f>IF(W65="","",P65&amp;"|"&amp;W65)</f>
        <v/>
      </c>
      <c r="Y65" s="33">
        <f>IF(W65="","",IF(P65="À RENSEIGNER","GIC",P65)&amp;"-"&amp;TEXT(W65,"000"))</f>
        <v/>
      </c>
      <c r="Z65" s="33">
        <f>IF(X65="","",IFERROR(INDEX(Cl_nom,MATCH(X65,Cl_cle,0)),"(client introuvable)"))</f>
        <v/>
      </c>
      <c r="AA65" s="33">
        <f>IF(X65="","",IFERROR(INDEX(Cl_quartier,MATCH(X65,Cl_cle,0))&amp;"",""))</f>
        <v/>
      </c>
      <c r="AB65" s="45">
        <f>IF(R65&lt;&gt;"Livrée",0,IF(K65&lt;&gt;"",K65,C65))</f>
        <v/>
      </c>
      <c r="AC65" s="33">
        <f>IF(OR(C65="",W65=""),"",P65&amp;"|"&amp;W65&amp;"|"&amp;C65&amp;"|"&amp;E65)</f>
        <v/>
      </c>
      <c r="AD65" s="39">
        <f>IF(AC65="","",IF(COUNTIF(AC$6:AC65,AC65)=1,1,0))</f>
        <v/>
      </c>
      <c r="AE65" s="39">
        <f>IF(AB65=0,"",IF(COUNTIFS(X$6:X65,X65,AB$6:AB65,AB65)=1,1,0))</f>
        <v/>
      </c>
      <c r="AF65" s="34">
        <f>IF(C65="","",YEAR(C65-WEEKDAY(C65,2)+4)&amp;"-S"&amp;TEXT(INT((C65-DATE(YEAR(C65-WEEKDAY(C65,2)+4),1,3)+WEEKDAY(DATE(YEAR(C65-WEEKDAY(C65,2)+4),1,3),2)+5)/7),"00"))</f>
        <v/>
      </c>
    </row>
    <row r="66" ht="18" customHeight="1">
      <c r="A66" s="39" t="n">
        <v>61</v>
      </c>
      <c r="B66" s="33">
        <f>IF(C66="","",IF(P66="À RENSEIGNER","GIC",P66)&amp;"-C"&amp;TEXT(A66,"00000"))</f>
        <v/>
      </c>
      <c r="C66" s="32" t="n"/>
      <c r="D66" s="36" t="n"/>
      <c r="E66" s="36" t="n"/>
      <c r="F66" s="36" t="n"/>
      <c r="G66" s="42" t="n"/>
      <c r="H66" s="37" t="n"/>
      <c r="I66" s="37" t="n"/>
      <c r="J66" s="32" t="n"/>
      <c r="K66" s="32" t="n"/>
      <c r="L66" s="43" t="n"/>
      <c r="M66" s="36" t="n"/>
      <c r="N66" s="44" t="n"/>
      <c r="O66" s="36" t="n"/>
      <c r="P66" s="33">
        <f>IF(C66="","",Commercial_Id)</f>
        <v/>
      </c>
      <c r="Q66" s="34">
        <f>IF(AC66="","",IF(AD66=1,"C"&amp;TEXT(SUM(AD$6:AD66),"0000"),INDEX(Q$6:Q65,MATCH(AC66,AC$6:AC65,0))))</f>
        <v/>
      </c>
      <c r="R66" s="34">
        <f>IF(C66="","",IF(L66="☑ Oui","Annulée",IF(OR(E66="Vente directe",K66&lt;&gt;""),"Livrée",IF(J66&lt;&gt;"","Confirmée","En attente"))))</f>
        <v/>
      </c>
      <c r="S66" s="34">
        <f>IF(F66="","",IFERROR(VLOOKUP(F66,T_Produits,2,FALSE),""))</f>
        <v/>
      </c>
      <c r="T66" s="40">
        <f>IF(F66="","",IFERROR(1/(1/VLOOKUP(F66,T_Produits,3,FALSE)),""))</f>
        <v/>
      </c>
      <c r="U66" s="40">
        <f>IF(H66&lt;&gt;"",H66,T66)</f>
        <v/>
      </c>
      <c r="V66" s="40">
        <f>IF(OR(G66="",U66=""),"",G66*U66-N(I66))</f>
        <v/>
      </c>
      <c r="W66" s="39">
        <f>IF(D66="","",IFERROR(VALUE(MID(D66,LEN(D66)-3,3)),""))</f>
        <v/>
      </c>
      <c r="X66" s="33">
        <f>IF(W66="","",P66&amp;"|"&amp;W66)</f>
        <v/>
      </c>
      <c r="Y66" s="33">
        <f>IF(W66="","",IF(P66="À RENSEIGNER","GIC",P66)&amp;"-"&amp;TEXT(W66,"000"))</f>
        <v/>
      </c>
      <c r="Z66" s="33">
        <f>IF(X66="","",IFERROR(INDEX(Cl_nom,MATCH(X66,Cl_cle,0)),"(client introuvable)"))</f>
        <v/>
      </c>
      <c r="AA66" s="33">
        <f>IF(X66="","",IFERROR(INDEX(Cl_quartier,MATCH(X66,Cl_cle,0))&amp;"",""))</f>
        <v/>
      </c>
      <c r="AB66" s="45">
        <f>IF(R66&lt;&gt;"Livrée",0,IF(K66&lt;&gt;"",K66,C66))</f>
        <v/>
      </c>
      <c r="AC66" s="33">
        <f>IF(OR(C66="",W66=""),"",P66&amp;"|"&amp;W66&amp;"|"&amp;C66&amp;"|"&amp;E66)</f>
        <v/>
      </c>
      <c r="AD66" s="39">
        <f>IF(AC66="","",IF(COUNTIF(AC$6:AC66,AC66)=1,1,0))</f>
        <v/>
      </c>
      <c r="AE66" s="39">
        <f>IF(AB66=0,"",IF(COUNTIFS(X$6:X66,X66,AB$6:AB66,AB66)=1,1,0))</f>
        <v/>
      </c>
      <c r="AF66" s="34">
        <f>IF(C66="","",YEAR(C66-WEEKDAY(C66,2)+4)&amp;"-S"&amp;TEXT(INT((C66-DATE(YEAR(C66-WEEKDAY(C66,2)+4),1,3)+WEEKDAY(DATE(YEAR(C66-WEEKDAY(C66,2)+4),1,3),2)+5)/7),"00"))</f>
        <v/>
      </c>
    </row>
    <row r="67" ht="18" customHeight="1">
      <c r="A67" s="39" t="n">
        <v>62</v>
      </c>
      <c r="B67" s="33">
        <f>IF(C67="","",IF(P67="À RENSEIGNER","GIC",P67)&amp;"-C"&amp;TEXT(A67,"00000"))</f>
        <v/>
      </c>
      <c r="C67" s="32" t="n"/>
      <c r="D67" s="36" t="n"/>
      <c r="E67" s="36" t="n"/>
      <c r="F67" s="36" t="n"/>
      <c r="G67" s="42" t="n"/>
      <c r="H67" s="37" t="n"/>
      <c r="I67" s="37" t="n"/>
      <c r="J67" s="32" t="n"/>
      <c r="K67" s="32" t="n"/>
      <c r="L67" s="43" t="n"/>
      <c r="M67" s="36" t="n"/>
      <c r="N67" s="44" t="n"/>
      <c r="O67" s="36" t="n"/>
      <c r="P67" s="33">
        <f>IF(C67="","",Commercial_Id)</f>
        <v/>
      </c>
      <c r="Q67" s="34">
        <f>IF(AC67="","",IF(AD67=1,"C"&amp;TEXT(SUM(AD$6:AD67),"0000"),INDEX(Q$6:Q66,MATCH(AC67,AC$6:AC66,0))))</f>
        <v/>
      </c>
      <c r="R67" s="34">
        <f>IF(C67="","",IF(L67="☑ Oui","Annulée",IF(OR(E67="Vente directe",K67&lt;&gt;""),"Livrée",IF(J67&lt;&gt;"","Confirmée","En attente"))))</f>
        <v/>
      </c>
      <c r="S67" s="34">
        <f>IF(F67="","",IFERROR(VLOOKUP(F67,T_Produits,2,FALSE),""))</f>
        <v/>
      </c>
      <c r="T67" s="40">
        <f>IF(F67="","",IFERROR(1/(1/VLOOKUP(F67,T_Produits,3,FALSE)),""))</f>
        <v/>
      </c>
      <c r="U67" s="40">
        <f>IF(H67&lt;&gt;"",H67,T67)</f>
        <v/>
      </c>
      <c r="V67" s="40">
        <f>IF(OR(G67="",U67=""),"",G67*U67-N(I67))</f>
        <v/>
      </c>
      <c r="W67" s="39">
        <f>IF(D67="","",IFERROR(VALUE(MID(D67,LEN(D67)-3,3)),""))</f>
        <v/>
      </c>
      <c r="X67" s="33">
        <f>IF(W67="","",P67&amp;"|"&amp;W67)</f>
        <v/>
      </c>
      <c r="Y67" s="33">
        <f>IF(W67="","",IF(P67="À RENSEIGNER","GIC",P67)&amp;"-"&amp;TEXT(W67,"000"))</f>
        <v/>
      </c>
      <c r="Z67" s="33">
        <f>IF(X67="","",IFERROR(INDEX(Cl_nom,MATCH(X67,Cl_cle,0)),"(client introuvable)"))</f>
        <v/>
      </c>
      <c r="AA67" s="33">
        <f>IF(X67="","",IFERROR(INDEX(Cl_quartier,MATCH(X67,Cl_cle,0))&amp;"",""))</f>
        <v/>
      </c>
      <c r="AB67" s="45">
        <f>IF(R67&lt;&gt;"Livrée",0,IF(K67&lt;&gt;"",K67,C67))</f>
        <v/>
      </c>
      <c r="AC67" s="33">
        <f>IF(OR(C67="",W67=""),"",P67&amp;"|"&amp;W67&amp;"|"&amp;C67&amp;"|"&amp;E67)</f>
        <v/>
      </c>
      <c r="AD67" s="39">
        <f>IF(AC67="","",IF(COUNTIF(AC$6:AC67,AC67)=1,1,0))</f>
        <v/>
      </c>
      <c r="AE67" s="39">
        <f>IF(AB67=0,"",IF(COUNTIFS(X$6:X67,X67,AB$6:AB67,AB67)=1,1,0))</f>
        <v/>
      </c>
      <c r="AF67" s="34">
        <f>IF(C67="","",YEAR(C67-WEEKDAY(C67,2)+4)&amp;"-S"&amp;TEXT(INT((C67-DATE(YEAR(C67-WEEKDAY(C67,2)+4),1,3)+WEEKDAY(DATE(YEAR(C67-WEEKDAY(C67,2)+4),1,3),2)+5)/7),"00"))</f>
        <v/>
      </c>
    </row>
    <row r="68" ht="18" customHeight="1">
      <c r="A68" s="39" t="n">
        <v>63</v>
      </c>
      <c r="B68" s="33">
        <f>IF(C68="","",IF(P68="À RENSEIGNER","GIC",P68)&amp;"-C"&amp;TEXT(A68,"00000"))</f>
        <v/>
      </c>
      <c r="C68" s="32" t="n"/>
      <c r="D68" s="36" t="n"/>
      <c r="E68" s="36" t="n"/>
      <c r="F68" s="36" t="n"/>
      <c r="G68" s="42" t="n"/>
      <c r="H68" s="37" t="n"/>
      <c r="I68" s="37" t="n"/>
      <c r="J68" s="32" t="n"/>
      <c r="K68" s="32" t="n"/>
      <c r="L68" s="43" t="n"/>
      <c r="M68" s="36" t="n"/>
      <c r="N68" s="44" t="n"/>
      <c r="O68" s="36" t="n"/>
      <c r="P68" s="33">
        <f>IF(C68="","",Commercial_Id)</f>
        <v/>
      </c>
      <c r="Q68" s="34">
        <f>IF(AC68="","",IF(AD68=1,"C"&amp;TEXT(SUM(AD$6:AD68),"0000"),INDEX(Q$6:Q67,MATCH(AC68,AC$6:AC67,0))))</f>
        <v/>
      </c>
      <c r="R68" s="34">
        <f>IF(C68="","",IF(L68="☑ Oui","Annulée",IF(OR(E68="Vente directe",K68&lt;&gt;""),"Livrée",IF(J68&lt;&gt;"","Confirmée","En attente"))))</f>
        <v/>
      </c>
      <c r="S68" s="34">
        <f>IF(F68="","",IFERROR(VLOOKUP(F68,T_Produits,2,FALSE),""))</f>
        <v/>
      </c>
      <c r="T68" s="40">
        <f>IF(F68="","",IFERROR(1/(1/VLOOKUP(F68,T_Produits,3,FALSE)),""))</f>
        <v/>
      </c>
      <c r="U68" s="40">
        <f>IF(H68&lt;&gt;"",H68,T68)</f>
        <v/>
      </c>
      <c r="V68" s="40">
        <f>IF(OR(G68="",U68=""),"",G68*U68-N(I68))</f>
        <v/>
      </c>
      <c r="W68" s="39">
        <f>IF(D68="","",IFERROR(VALUE(MID(D68,LEN(D68)-3,3)),""))</f>
        <v/>
      </c>
      <c r="X68" s="33">
        <f>IF(W68="","",P68&amp;"|"&amp;W68)</f>
        <v/>
      </c>
      <c r="Y68" s="33">
        <f>IF(W68="","",IF(P68="À RENSEIGNER","GIC",P68)&amp;"-"&amp;TEXT(W68,"000"))</f>
        <v/>
      </c>
      <c r="Z68" s="33">
        <f>IF(X68="","",IFERROR(INDEX(Cl_nom,MATCH(X68,Cl_cle,0)),"(client introuvable)"))</f>
        <v/>
      </c>
      <c r="AA68" s="33">
        <f>IF(X68="","",IFERROR(INDEX(Cl_quartier,MATCH(X68,Cl_cle,0))&amp;"",""))</f>
        <v/>
      </c>
      <c r="AB68" s="45">
        <f>IF(R68&lt;&gt;"Livrée",0,IF(K68&lt;&gt;"",K68,C68))</f>
        <v/>
      </c>
      <c r="AC68" s="33">
        <f>IF(OR(C68="",W68=""),"",P68&amp;"|"&amp;W68&amp;"|"&amp;C68&amp;"|"&amp;E68)</f>
        <v/>
      </c>
      <c r="AD68" s="39">
        <f>IF(AC68="","",IF(COUNTIF(AC$6:AC68,AC68)=1,1,0))</f>
        <v/>
      </c>
      <c r="AE68" s="39">
        <f>IF(AB68=0,"",IF(COUNTIFS(X$6:X68,X68,AB$6:AB68,AB68)=1,1,0))</f>
        <v/>
      </c>
      <c r="AF68" s="34">
        <f>IF(C68="","",YEAR(C68-WEEKDAY(C68,2)+4)&amp;"-S"&amp;TEXT(INT((C68-DATE(YEAR(C68-WEEKDAY(C68,2)+4),1,3)+WEEKDAY(DATE(YEAR(C68-WEEKDAY(C68,2)+4),1,3),2)+5)/7),"00"))</f>
        <v/>
      </c>
    </row>
    <row r="69" ht="18" customHeight="1">
      <c r="A69" s="39" t="n">
        <v>64</v>
      </c>
      <c r="B69" s="33">
        <f>IF(C69="","",IF(P69="À RENSEIGNER","GIC",P69)&amp;"-C"&amp;TEXT(A69,"00000"))</f>
        <v/>
      </c>
      <c r="C69" s="32" t="n"/>
      <c r="D69" s="36" t="n"/>
      <c r="E69" s="36" t="n"/>
      <c r="F69" s="36" t="n"/>
      <c r="G69" s="42" t="n"/>
      <c r="H69" s="37" t="n"/>
      <c r="I69" s="37" t="n"/>
      <c r="J69" s="32" t="n"/>
      <c r="K69" s="32" t="n"/>
      <c r="L69" s="43" t="n"/>
      <c r="M69" s="36" t="n"/>
      <c r="N69" s="44" t="n"/>
      <c r="O69" s="36" t="n"/>
      <c r="P69" s="33">
        <f>IF(C69="","",Commercial_Id)</f>
        <v/>
      </c>
      <c r="Q69" s="34">
        <f>IF(AC69="","",IF(AD69=1,"C"&amp;TEXT(SUM(AD$6:AD69),"0000"),INDEX(Q$6:Q68,MATCH(AC69,AC$6:AC68,0))))</f>
        <v/>
      </c>
      <c r="R69" s="34">
        <f>IF(C69="","",IF(L69="☑ Oui","Annulée",IF(OR(E69="Vente directe",K69&lt;&gt;""),"Livrée",IF(J69&lt;&gt;"","Confirmée","En attente"))))</f>
        <v/>
      </c>
      <c r="S69" s="34">
        <f>IF(F69="","",IFERROR(VLOOKUP(F69,T_Produits,2,FALSE),""))</f>
        <v/>
      </c>
      <c r="T69" s="40">
        <f>IF(F69="","",IFERROR(1/(1/VLOOKUP(F69,T_Produits,3,FALSE)),""))</f>
        <v/>
      </c>
      <c r="U69" s="40">
        <f>IF(H69&lt;&gt;"",H69,T69)</f>
        <v/>
      </c>
      <c r="V69" s="40">
        <f>IF(OR(G69="",U69=""),"",G69*U69-N(I69))</f>
        <v/>
      </c>
      <c r="W69" s="39">
        <f>IF(D69="","",IFERROR(VALUE(MID(D69,LEN(D69)-3,3)),""))</f>
        <v/>
      </c>
      <c r="X69" s="33">
        <f>IF(W69="","",P69&amp;"|"&amp;W69)</f>
        <v/>
      </c>
      <c r="Y69" s="33">
        <f>IF(W69="","",IF(P69="À RENSEIGNER","GIC",P69)&amp;"-"&amp;TEXT(W69,"000"))</f>
        <v/>
      </c>
      <c r="Z69" s="33">
        <f>IF(X69="","",IFERROR(INDEX(Cl_nom,MATCH(X69,Cl_cle,0)),"(client introuvable)"))</f>
        <v/>
      </c>
      <c r="AA69" s="33">
        <f>IF(X69="","",IFERROR(INDEX(Cl_quartier,MATCH(X69,Cl_cle,0))&amp;"",""))</f>
        <v/>
      </c>
      <c r="AB69" s="45">
        <f>IF(R69&lt;&gt;"Livrée",0,IF(K69&lt;&gt;"",K69,C69))</f>
        <v/>
      </c>
      <c r="AC69" s="33">
        <f>IF(OR(C69="",W69=""),"",P69&amp;"|"&amp;W69&amp;"|"&amp;C69&amp;"|"&amp;E69)</f>
        <v/>
      </c>
      <c r="AD69" s="39">
        <f>IF(AC69="","",IF(COUNTIF(AC$6:AC69,AC69)=1,1,0))</f>
        <v/>
      </c>
      <c r="AE69" s="39">
        <f>IF(AB69=0,"",IF(COUNTIFS(X$6:X69,X69,AB$6:AB69,AB69)=1,1,0))</f>
        <v/>
      </c>
      <c r="AF69" s="34">
        <f>IF(C69="","",YEAR(C69-WEEKDAY(C69,2)+4)&amp;"-S"&amp;TEXT(INT((C69-DATE(YEAR(C69-WEEKDAY(C69,2)+4),1,3)+WEEKDAY(DATE(YEAR(C69-WEEKDAY(C69,2)+4),1,3),2)+5)/7),"00"))</f>
        <v/>
      </c>
    </row>
    <row r="70" ht="18" customHeight="1">
      <c r="A70" s="39" t="n">
        <v>65</v>
      </c>
      <c r="B70" s="33">
        <f>IF(C70="","",IF(P70="À RENSEIGNER","GIC",P70)&amp;"-C"&amp;TEXT(A70,"00000"))</f>
        <v/>
      </c>
      <c r="C70" s="32" t="n"/>
      <c r="D70" s="36" t="n"/>
      <c r="E70" s="36" t="n"/>
      <c r="F70" s="36" t="n"/>
      <c r="G70" s="42" t="n"/>
      <c r="H70" s="37" t="n"/>
      <c r="I70" s="37" t="n"/>
      <c r="J70" s="32" t="n"/>
      <c r="K70" s="32" t="n"/>
      <c r="L70" s="43" t="n"/>
      <c r="M70" s="36" t="n"/>
      <c r="N70" s="44" t="n"/>
      <c r="O70" s="36" t="n"/>
      <c r="P70" s="33">
        <f>IF(C70="","",Commercial_Id)</f>
        <v/>
      </c>
      <c r="Q70" s="34">
        <f>IF(AC70="","",IF(AD70=1,"C"&amp;TEXT(SUM(AD$6:AD70),"0000"),INDEX(Q$6:Q69,MATCH(AC70,AC$6:AC69,0))))</f>
        <v/>
      </c>
      <c r="R70" s="34">
        <f>IF(C70="","",IF(L70="☑ Oui","Annulée",IF(OR(E70="Vente directe",K70&lt;&gt;""),"Livrée",IF(J70&lt;&gt;"","Confirmée","En attente"))))</f>
        <v/>
      </c>
      <c r="S70" s="34">
        <f>IF(F70="","",IFERROR(VLOOKUP(F70,T_Produits,2,FALSE),""))</f>
        <v/>
      </c>
      <c r="T70" s="40">
        <f>IF(F70="","",IFERROR(1/(1/VLOOKUP(F70,T_Produits,3,FALSE)),""))</f>
        <v/>
      </c>
      <c r="U70" s="40">
        <f>IF(H70&lt;&gt;"",H70,T70)</f>
        <v/>
      </c>
      <c r="V70" s="40">
        <f>IF(OR(G70="",U70=""),"",G70*U70-N(I70))</f>
        <v/>
      </c>
      <c r="W70" s="39">
        <f>IF(D70="","",IFERROR(VALUE(MID(D70,LEN(D70)-3,3)),""))</f>
        <v/>
      </c>
      <c r="X70" s="33">
        <f>IF(W70="","",P70&amp;"|"&amp;W70)</f>
        <v/>
      </c>
      <c r="Y70" s="33">
        <f>IF(W70="","",IF(P70="À RENSEIGNER","GIC",P70)&amp;"-"&amp;TEXT(W70,"000"))</f>
        <v/>
      </c>
      <c r="Z70" s="33">
        <f>IF(X70="","",IFERROR(INDEX(Cl_nom,MATCH(X70,Cl_cle,0)),"(client introuvable)"))</f>
        <v/>
      </c>
      <c r="AA70" s="33">
        <f>IF(X70="","",IFERROR(INDEX(Cl_quartier,MATCH(X70,Cl_cle,0))&amp;"",""))</f>
        <v/>
      </c>
      <c r="AB70" s="45">
        <f>IF(R70&lt;&gt;"Livrée",0,IF(K70&lt;&gt;"",K70,C70))</f>
        <v/>
      </c>
      <c r="AC70" s="33">
        <f>IF(OR(C70="",W70=""),"",P70&amp;"|"&amp;W70&amp;"|"&amp;C70&amp;"|"&amp;E70)</f>
        <v/>
      </c>
      <c r="AD70" s="39">
        <f>IF(AC70="","",IF(COUNTIF(AC$6:AC70,AC70)=1,1,0))</f>
        <v/>
      </c>
      <c r="AE70" s="39">
        <f>IF(AB70=0,"",IF(COUNTIFS(X$6:X70,X70,AB$6:AB70,AB70)=1,1,0))</f>
        <v/>
      </c>
      <c r="AF70" s="34">
        <f>IF(C70="","",YEAR(C70-WEEKDAY(C70,2)+4)&amp;"-S"&amp;TEXT(INT((C70-DATE(YEAR(C70-WEEKDAY(C70,2)+4),1,3)+WEEKDAY(DATE(YEAR(C70-WEEKDAY(C70,2)+4),1,3),2)+5)/7),"00"))</f>
        <v/>
      </c>
    </row>
    <row r="71" ht="18" customHeight="1">
      <c r="A71" s="39" t="n">
        <v>66</v>
      </c>
      <c r="B71" s="33">
        <f>IF(C71="","",IF(P71="À RENSEIGNER","GIC",P71)&amp;"-C"&amp;TEXT(A71,"00000"))</f>
        <v/>
      </c>
      <c r="C71" s="32" t="n"/>
      <c r="D71" s="36" t="n"/>
      <c r="E71" s="36" t="n"/>
      <c r="F71" s="36" t="n"/>
      <c r="G71" s="42" t="n"/>
      <c r="H71" s="37" t="n"/>
      <c r="I71" s="37" t="n"/>
      <c r="J71" s="32" t="n"/>
      <c r="K71" s="32" t="n"/>
      <c r="L71" s="43" t="n"/>
      <c r="M71" s="36" t="n"/>
      <c r="N71" s="44" t="n"/>
      <c r="O71" s="36" t="n"/>
      <c r="P71" s="33">
        <f>IF(C71="","",Commercial_Id)</f>
        <v/>
      </c>
      <c r="Q71" s="34">
        <f>IF(AC71="","",IF(AD71=1,"C"&amp;TEXT(SUM(AD$6:AD71),"0000"),INDEX(Q$6:Q70,MATCH(AC71,AC$6:AC70,0))))</f>
        <v/>
      </c>
      <c r="R71" s="34">
        <f>IF(C71="","",IF(L71="☑ Oui","Annulée",IF(OR(E71="Vente directe",K71&lt;&gt;""),"Livrée",IF(J71&lt;&gt;"","Confirmée","En attente"))))</f>
        <v/>
      </c>
      <c r="S71" s="34">
        <f>IF(F71="","",IFERROR(VLOOKUP(F71,T_Produits,2,FALSE),""))</f>
        <v/>
      </c>
      <c r="T71" s="40">
        <f>IF(F71="","",IFERROR(1/(1/VLOOKUP(F71,T_Produits,3,FALSE)),""))</f>
        <v/>
      </c>
      <c r="U71" s="40">
        <f>IF(H71&lt;&gt;"",H71,T71)</f>
        <v/>
      </c>
      <c r="V71" s="40">
        <f>IF(OR(G71="",U71=""),"",G71*U71-N(I71))</f>
        <v/>
      </c>
      <c r="W71" s="39">
        <f>IF(D71="","",IFERROR(VALUE(MID(D71,LEN(D71)-3,3)),""))</f>
        <v/>
      </c>
      <c r="X71" s="33">
        <f>IF(W71="","",P71&amp;"|"&amp;W71)</f>
        <v/>
      </c>
      <c r="Y71" s="33">
        <f>IF(W71="","",IF(P71="À RENSEIGNER","GIC",P71)&amp;"-"&amp;TEXT(W71,"000"))</f>
        <v/>
      </c>
      <c r="Z71" s="33">
        <f>IF(X71="","",IFERROR(INDEX(Cl_nom,MATCH(X71,Cl_cle,0)),"(client introuvable)"))</f>
        <v/>
      </c>
      <c r="AA71" s="33">
        <f>IF(X71="","",IFERROR(INDEX(Cl_quartier,MATCH(X71,Cl_cle,0))&amp;"",""))</f>
        <v/>
      </c>
      <c r="AB71" s="45">
        <f>IF(R71&lt;&gt;"Livrée",0,IF(K71&lt;&gt;"",K71,C71))</f>
        <v/>
      </c>
      <c r="AC71" s="33">
        <f>IF(OR(C71="",W71=""),"",P71&amp;"|"&amp;W71&amp;"|"&amp;C71&amp;"|"&amp;E71)</f>
        <v/>
      </c>
      <c r="AD71" s="39">
        <f>IF(AC71="","",IF(COUNTIF(AC$6:AC71,AC71)=1,1,0))</f>
        <v/>
      </c>
      <c r="AE71" s="39">
        <f>IF(AB71=0,"",IF(COUNTIFS(X$6:X71,X71,AB$6:AB71,AB71)=1,1,0))</f>
        <v/>
      </c>
      <c r="AF71" s="34">
        <f>IF(C71="","",YEAR(C71-WEEKDAY(C71,2)+4)&amp;"-S"&amp;TEXT(INT((C71-DATE(YEAR(C71-WEEKDAY(C71,2)+4),1,3)+WEEKDAY(DATE(YEAR(C71-WEEKDAY(C71,2)+4),1,3),2)+5)/7),"00"))</f>
        <v/>
      </c>
    </row>
    <row r="72" ht="18" customHeight="1">
      <c r="A72" s="39" t="n">
        <v>67</v>
      </c>
      <c r="B72" s="33">
        <f>IF(C72="","",IF(P72="À RENSEIGNER","GIC",P72)&amp;"-C"&amp;TEXT(A72,"00000"))</f>
        <v/>
      </c>
      <c r="C72" s="32" t="n"/>
      <c r="D72" s="36" t="n"/>
      <c r="E72" s="36" t="n"/>
      <c r="F72" s="36" t="n"/>
      <c r="G72" s="42" t="n"/>
      <c r="H72" s="37" t="n"/>
      <c r="I72" s="37" t="n"/>
      <c r="J72" s="32" t="n"/>
      <c r="K72" s="32" t="n"/>
      <c r="L72" s="43" t="n"/>
      <c r="M72" s="36" t="n"/>
      <c r="N72" s="44" t="n"/>
      <c r="O72" s="36" t="n"/>
      <c r="P72" s="33">
        <f>IF(C72="","",Commercial_Id)</f>
        <v/>
      </c>
      <c r="Q72" s="34">
        <f>IF(AC72="","",IF(AD72=1,"C"&amp;TEXT(SUM(AD$6:AD72),"0000"),INDEX(Q$6:Q71,MATCH(AC72,AC$6:AC71,0))))</f>
        <v/>
      </c>
      <c r="R72" s="34">
        <f>IF(C72="","",IF(L72="☑ Oui","Annulée",IF(OR(E72="Vente directe",K72&lt;&gt;""),"Livrée",IF(J72&lt;&gt;"","Confirmée","En attente"))))</f>
        <v/>
      </c>
      <c r="S72" s="34">
        <f>IF(F72="","",IFERROR(VLOOKUP(F72,T_Produits,2,FALSE),""))</f>
        <v/>
      </c>
      <c r="T72" s="40">
        <f>IF(F72="","",IFERROR(1/(1/VLOOKUP(F72,T_Produits,3,FALSE)),""))</f>
        <v/>
      </c>
      <c r="U72" s="40">
        <f>IF(H72&lt;&gt;"",H72,T72)</f>
        <v/>
      </c>
      <c r="V72" s="40">
        <f>IF(OR(G72="",U72=""),"",G72*U72-N(I72))</f>
        <v/>
      </c>
      <c r="W72" s="39">
        <f>IF(D72="","",IFERROR(VALUE(MID(D72,LEN(D72)-3,3)),""))</f>
        <v/>
      </c>
      <c r="X72" s="33">
        <f>IF(W72="","",P72&amp;"|"&amp;W72)</f>
        <v/>
      </c>
      <c r="Y72" s="33">
        <f>IF(W72="","",IF(P72="À RENSEIGNER","GIC",P72)&amp;"-"&amp;TEXT(W72,"000"))</f>
        <v/>
      </c>
      <c r="Z72" s="33">
        <f>IF(X72="","",IFERROR(INDEX(Cl_nom,MATCH(X72,Cl_cle,0)),"(client introuvable)"))</f>
        <v/>
      </c>
      <c r="AA72" s="33">
        <f>IF(X72="","",IFERROR(INDEX(Cl_quartier,MATCH(X72,Cl_cle,0))&amp;"",""))</f>
        <v/>
      </c>
      <c r="AB72" s="45">
        <f>IF(R72&lt;&gt;"Livrée",0,IF(K72&lt;&gt;"",K72,C72))</f>
        <v/>
      </c>
      <c r="AC72" s="33">
        <f>IF(OR(C72="",W72=""),"",P72&amp;"|"&amp;W72&amp;"|"&amp;C72&amp;"|"&amp;E72)</f>
        <v/>
      </c>
      <c r="AD72" s="39">
        <f>IF(AC72="","",IF(COUNTIF(AC$6:AC72,AC72)=1,1,0))</f>
        <v/>
      </c>
      <c r="AE72" s="39">
        <f>IF(AB72=0,"",IF(COUNTIFS(X$6:X72,X72,AB$6:AB72,AB72)=1,1,0))</f>
        <v/>
      </c>
      <c r="AF72" s="34">
        <f>IF(C72="","",YEAR(C72-WEEKDAY(C72,2)+4)&amp;"-S"&amp;TEXT(INT((C72-DATE(YEAR(C72-WEEKDAY(C72,2)+4),1,3)+WEEKDAY(DATE(YEAR(C72-WEEKDAY(C72,2)+4),1,3),2)+5)/7),"00"))</f>
        <v/>
      </c>
    </row>
    <row r="73" ht="18" customHeight="1">
      <c r="A73" s="39" t="n">
        <v>68</v>
      </c>
      <c r="B73" s="33">
        <f>IF(C73="","",IF(P73="À RENSEIGNER","GIC",P73)&amp;"-C"&amp;TEXT(A73,"00000"))</f>
        <v/>
      </c>
      <c r="C73" s="32" t="n"/>
      <c r="D73" s="36" t="n"/>
      <c r="E73" s="36" t="n"/>
      <c r="F73" s="36" t="n"/>
      <c r="G73" s="42" t="n"/>
      <c r="H73" s="37" t="n"/>
      <c r="I73" s="37" t="n"/>
      <c r="J73" s="32" t="n"/>
      <c r="K73" s="32" t="n"/>
      <c r="L73" s="43" t="n"/>
      <c r="M73" s="36" t="n"/>
      <c r="N73" s="44" t="n"/>
      <c r="O73" s="36" t="n"/>
      <c r="P73" s="33">
        <f>IF(C73="","",Commercial_Id)</f>
        <v/>
      </c>
      <c r="Q73" s="34">
        <f>IF(AC73="","",IF(AD73=1,"C"&amp;TEXT(SUM(AD$6:AD73),"0000"),INDEX(Q$6:Q72,MATCH(AC73,AC$6:AC72,0))))</f>
        <v/>
      </c>
      <c r="R73" s="34">
        <f>IF(C73="","",IF(L73="☑ Oui","Annulée",IF(OR(E73="Vente directe",K73&lt;&gt;""),"Livrée",IF(J73&lt;&gt;"","Confirmée","En attente"))))</f>
        <v/>
      </c>
      <c r="S73" s="34">
        <f>IF(F73="","",IFERROR(VLOOKUP(F73,T_Produits,2,FALSE),""))</f>
        <v/>
      </c>
      <c r="T73" s="40">
        <f>IF(F73="","",IFERROR(1/(1/VLOOKUP(F73,T_Produits,3,FALSE)),""))</f>
        <v/>
      </c>
      <c r="U73" s="40">
        <f>IF(H73&lt;&gt;"",H73,T73)</f>
        <v/>
      </c>
      <c r="V73" s="40">
        <f>IF(OR(G73="",U73=""),"",G73*U73-N(I73))</f>
        <v/>
      </c>
      <c r="W73" s="39">
        <f>IF(D73="","",IFERROR(VALUE(MID(D73,LEN(D73)-3,3)),""))</f>
        <v/>
      </c>
      <c r="X73" s="33">
        <f>IF(W73="","",P73&amp;"|"&amp;W73)</f>
        <v/>
      </c>
      <c r="Y73" s="33">
        <f>IF(W73="","",IF(P73="À RENSEIGNER","GIC",P73)&amp;"-"&amp;TEXT(W73,"000"))</f>
        <v/>
      </c>
      <c r="Z73" s="33">
        <f>IF(X73="","",IFERROR(INDEX(Cl_nom,MATCH(X73,Cl_cle,0)),"(client introuvable)"))</f>
        <v/>
      </c>
      <c r="AA73" s="33">
        <f>IF(X73="","",IFERROR(INDEX(Cl_quartier,MATCH(X73,Cl_cle,0))&amp;"",""))</f>
        <v/>
      </c>
      <c r="AB73" s="45">
        <f>IF(R73&lt;&gt;"Livrée",0,IF(K73&lt;&gt;"",K73,C73))</f>
        <v/>
      </c>
      <c r="AC73" s="33">
        <f>IF(OR(C73="",W73=""),"",P73&amp;"|"&amp;W73&amp;"|"&amp;C73&amp;"|"&amp;E73)</f>
        <v/>
      </c>
      <c r="AD73" s="39">
        <f>IF(AC73="","",IF(COUNTIF(AC$6:AC73,AC73)=1,1,0))</f>
        <v/>
      </c>
      <c r="AE73" s="39">
        <f>IF(AB73=0,"",IF(COUNTIFS(X$6:X73,X73,AB$6:AB73,AB73)=1,1,0))</f>
        <v/>
      </c>
      <c r="AF73" s="34">
        <f>IF(C73="","",YEAR(C73-WEEKDAY(C73,2)+4)&amp;"-S"&amp;TEXT(INT((C73-DATE(YEAR(C73-WEEKDAY(C73,2)+4),1,3)+WEEKDAY(DATE(YEAR(C73-WEEKDAY(C73,2)+4),1,3),2)+5)/7),"00"))</f>
        <v/>
      </c>
    </row>
    <row r="74" ht="18" customHeight="1">
      <c r="A74" s="39" t="n">
        <v>69</v>
      </c>
      <c r="B74" s="33">
        <f>IF(C74="","",IF(P74="À RENSEIGNER","GIC",P74)&amp;"-C"&amp;TEXT(A74,"00000"))</f>
        <v/>
      </c>
      <c r="C74" s="32" t="n"/>
      <c r="D74" s="36" t="n"/>
      <c r="E74" s="36" t="n"/>
      <c r="F74" s="36" t="n"/>
      <c r="G74" s="42" t="n"/>
      <c r="H74" s="37" t="n"/>
      <c r="I74" s="37" t="n"/>
      <c r="J74" s="32" t="n"/>
      <c r="K74" s="32" t="n"/>
      <c r="L74" s="43" t="n"/>
      <c r="M74" s="36" t="n"/>
      <c r="N74" s="44" t="n"/>
      <c r="O74" s="36" t="n"/>
      <c r="P74" s="33">
        <f>IF(C74="","",Commercial_Id)</f>
        <v/>
      </c>
      <c r="Q74" s="34">
        <f>IF(AC74="","",IF(AD74=1,"C"&amp;TEXT(SUM(AD$6:AD74),"0000"),INDEX(Q$6:Q73,MATCH(AC74,AC$6:AC73,0))))</f>
        <v/>
      </c>
      <c r="R74" s="34">
        <f>IF(C74="","",IF(L74="☑ Oui","Annulée",IF(OR(E74="Vente directe",K74&lt;&gt;""),"Livrée",IF(J74&lt;&gt;"","Confirmée","En attente"))))</f>
        <v/>
      </c>
      <c r="S74" s="34">
        <f>IF(F74="","",IFERROR(VLOOKUP(F74,T_Produits,2,FALSE),""))</f>
        <v/>
      </c>
      <c r="T74" s="40">
        <f>IF(F74="","",IFERROR(1/(1/VLOOKUP(F74,T_Produits,3,FALSE)),""))</f>
        <v/>
      </c>
      <c r="U74" s="40">
        <f>IF(H74&lt;&gt;"",H74,T74)</f>
        <v/>
      </c>
      <c r="V74" s="40">
        <f>IF(OR(G74="",U74=""),"",G74*U74-N(I74))</f>
        <v/>
      </c>
      <c r="W74" s="39">
        <f>IF(D74="","",IFERROR(VALUE(MID(D74,LEN(D74)-3,3)),""))</f>
        <v/>
      </c>
      <c r="X74" s="33">
        <f>IF(W74="","",P74&amp;"|"&amp;W74)</f>
        <v/>
      </c>
      <c r="Y74" s="33">
        <f>IF(W74="","",IF(P74="À RENSEIGNER","GIC",P74)&amp;"-"&amp;TEXT(W74,"000"))</f>
        <v/>
      </c>
      <c r="Z74" s="33">
        <f>IF(X74="","",IFERROR(INDEX(Cl_nom,MATCH(X74,Cl_cle,0)),"(client introuvable)"))</f>
        <v/>
      </c>
      <c r="AA74" s="33">
        <f>IF(X74="","",IFERROR(INDEX(Cl_quartier,MATCH(X74,Cl_cle,0))&amp;"",""))</f>
        <v/>
      </c>
      <c r="AB74" s="45">
        <f>IF(R74&lt;&gt;"Livrée",0,IF(K74&lt;&gt;"",K74,C74))</f>
        <v/>
      </c>
      <c r="AC74" s="33">
        <f>IF(OR(C74="",W74=""),"",P74&amp;"|"&amp;W74&amp;"|"&amp;C74&amp;"|"&amp;E74)</f>
        <v/>
      </c>
      <c r="AD74" s="39">
        <f>IF(AC74="","",IF(COUNTIF(AC$6:AC74,AC74)=1,1,0))</f>
        <v/>
      </c>
      <c r="AE74" s="39">
        <f>IF(AB74=0,"",IF(COUNTIFS(X$6:X74,X74,AB$6:AB74,AB74)=1,1,0))</f>
        <v/>
      </c>
      <c r="AF74" s="34">
        <f>IF(C74="","",YEAR(C74-WEEKDAY(C74,2)+4)&amp;"-S"&amp;TEXT(INT((C74-DATE(YEAR(C74-WEEKDAY(C74,2)+4),1,3)+WEEKDAY(DATE(YEAR(C74-WEEKDAY(C74,2)+4),1,3),2)+5)/7),"00"))</f>
        <v/>
      </c>
    </row>
    <row r="75" ht="18" customHeight="1">
      <c r="A75" s="39" t="n">
        <v>70</v>
      </c>
      <c r="B75" s="33">
        <f>IF(C75="","",IF(P75="À RENSEIGNER","GIC",P75)&amp;"-C"&amp;TEXT(A75,"00000"))</f>
        <v/>
      </c>
      <c r="C75" s="32" t="n"/>
      <c r="D75" s="36" t="n"/>
      <c r="E75" s="36" t="n"/>
      <c r="F75" s="36" t="n"/>
      <c r="G75" s="42" t="n"/>
      <c r="H75" s="37" t="n"/>
      <c r="I75" s="37" t="n"/>
      <c r="J75" s="32" t="n"/>
      <c r="K75" s="32" t="n"/>
      <c r="L75" s="43" t="n"/>
      <c r="M75" s="36" t="n"/>
      <c r="N75" s="44" t="n"/>
      <c r="O75" s="36" t="n"/>
      <c r="P75" s="33">
        <f>IF(C75="","",Commercial_Id)</f>
        <v/>
      </c>
      <c r="Q75" s="34">
        <f>IF(AC75="","",IF(AD75=1,"C"&amp;TEXT(SUM(AD$6:AD75),"0000"),INDEX(Q$6:Q74,MATCH(AC75,AC$6:AC74,0))))</f>
        <v/>
      </c>
      <c r="R75" s="34">
        <f>IF(C75="","",IF(L75="☑ Oui","Annulée",IF(OR(E75="Vente directe",K75&lt;&gt;""),"Livrée",IF(J75&lt;&gt;"","Confirmée","En attente"))))</f>
        <v/>
      </c>
      <c r="S75" s="34">
        <f>IF(F75="","",IFERROR(VLOOKUP(F75,T_Produits,2,FALSE),""))</f>
        <v/>
      </c>
      <c r="T75" s="40">
        <f>IF(F75="","",IFERROR(1/(1/VLOOKUP(F75,T_Produits,3,FALSE)),""))</f>
        <v/>
      </c>
      <c r="U75" s="40">
        <f>IF(H75&lt;&gt;"",H75,T75)</f>
        <v/>
      </c>
      <c r="V75" s="40">
        <f>IF(OR(G75="",U75=""),"",G75*U75-N(I75))</f>
        <v/>
      </c>
      <c r="W75" s="39">
        <f>IF(D75="","",IFERROR(VALUE(MID(D75,LEN(D75)-3,3)),""))</f>
        <v/>
      </c>
      <c r="X75" s="33">
        <f>IF(W75="","",P75&amp;"|"&amp;W75)</f>
        <v/>
      </c>
      <c r="Y75" s="33">
        <f>IF(W75="","",IF(P75="À RENSEIGNER","GIC",P75)&amp;"-"&amp;TEXT(W75,"000"))</f>
        <v/>
      </c>
      <c r="Z75" s="33">
        <f>IF(X75="","",IFERROR(INDEX(Cl_nom,MATCH(X75,Cl_cle,0)),"(client introuvable)"))</f>
        <v/>
      </c>
      <c r="AA75" s="33">
        <f>IF(X75="","",IFERROR(INDEX(Cl_quartier,MATCH(X75,Cl_cle,0))&amp;"",""))</f>
        <v/>
      </c>
      <c r="AB75" s="45">
        <f>IF(R75&lt;&gt;"Livrée",0,IF(K75&lt;&gt;"",K75,C75))</f>
        <v/>
      </c>
      <c r="AC75" s="33">
        <f>IF(OR(C75="",W75=""),"",P75&amp;"|"&amp;W75&amp;"|"&amp;C75&amp;"|"&amp;E75)</f>
        <v/>
      </c>
      <c r="AD75" s="39">
        <f>IF(AC75="","",IF(COUNTIF(AC$6:AC75,AC75)=1,1,0))</f>
        <v/>
      </c>
      <c r="AE75" s="39">
        <f>IF(AB75=0,"",IF(COUNTIFS(X$6:X75,X75,AB$6:AB75,AB75)=1,1,0))</f>
        <v/>
      </c>
      <c r="AF75" s="34">
        <f>IF(C75="","",YEAR(C75-WEEKDAY(C75,2)+4)&amp;"-S"&amp;TEXT(INT((C75-DATE(YEAR(C75-WEEKDAY(C75,2)+4),1,3)+WEEKDAY(DATE(YEAR(C75-WEEKDAY(C75,2)+4),1,3),2)+5)/7),"00"))</f>
        <v/>
      </c>
    </row>
    <row r="76" ht="18" customHeight="1">
      <c r="A76" s="39" t="n">
        <v>71</v>
      </c>
      <c r="B76" s="33">
        <f>IF(C76="","",IF(P76="À RENSEIGNER","GIC",P76)&amp;"-C"&amp;TEXT(A76,"00000"))</f>
        <v/>
      </c>
      <c r="C76" s="32" t="n"/>
      <c r="D76" s="36" t="n"/>
      <c r="E76" s="36" t="n"/>
      <c r="F76" s="36" t="n"/>
      <c r="G76" s="42" t="n"/>
      <c r="H76" s="37" t="n"/>
      <c r="I76" s="37" t="n"/>
      <c r="J76" s="32" t="n"/>
      <c r="K76" s="32" t="n"/>
      <c r="L76" s="43" t="n"/>
      <c r="M76" s="36" t="n"/>
      <c r="N76" s="44" t="n"/>
      <c r="O76" s="36" t="n"/>
      <c r="P76" s="33">
        <f>IF(C76="","",Commercial_Id)</f>
        <v/>
      </c>
      <c r="Q76" s="34">
        <f>IF(AC76="","",IF(AD76=1,"C"&amp;TEXT(SUM(AD$6:AD76),"0000"),INDEX(Q$6:Q75,MATCH(AC76,AC$6:AC75,0))))</f>
        <v/>
      </c>
      <c r="R76" s="34">
        <f>IF(C76="","",IF(L76="☑ Oui","Annulée",IF(OR(E76="Vente directe",K76&lt;&gt;""),"Livrée",IF(J76&lt;&gt;"","Confirmée","En attente"))))</f>
        <v/>
      </c>
      <c r="S76" s="34">
        <f>IF(F76="","",IFERROR(VLOOKUP(F76,T_Produits,2,FALSE),""))</f>
        <v/>
      </c>
      <c r="T76" s="40">
        <f>IF(F76="","",IFERROR(1/(1/VLOOKUP(F76,T_Produits,3,FALSE)),""))</f>
        <v/>
      </c>
      <c r="U76" s="40">
        <f>IF(H76&lt;&gt;"",H76,T76)</f>
        <v/>
      </c>
      <c r="V76" s="40">
        <f>IF(OR(G76="",U76=""),"",G76*U76-N(I76))</f>
        <v/>
      </c>
      <c r="W76" s="39">
        <f>IF(D76="","",IFERROR(VALUE(MID(D76,LEN(D76)-3,3)),""))</f>
        <v/>
      </c>
      <c r="X76" s="33">
        <f>IF(W76="","",P76&amp;"|"&amp;W76)</f>
        <v/>
      </c>
      <c r="Y76" s="33">
        <f>IF(W76="","",IF(P76="À RENSEIGNER","GIC",P76)&amp;"-"&amp;TEXT(W76,"000"))</f>
        <v/>
      </c>
      <c r="Z76" s="33">
        <f>IF(X76="","",IFERROR(INDEX(Cl_nom,MATCH(X76,Cl_cle,0)),"(client introuvable)"))</f>
        <v/>
      </c>
      <c r="AA76" s="33">
        <f>IF(X76="","",IFERROR(INDEX(Cl_quartier,MATCH(X76,Cl_cle,0))&amp;"",""))</f>
        <v/>
      </c>
      <c r="AB76" s="45">
        <f>IF(R76&lt;&gt;"Livrée",0,IF(K76&lt;&gt;"",K76,C76))</f>
        <v/>
      </c>
      <c r="AC76" s="33">
        <f>IF(OR(C76="",W76=""),"",P76&amp;"|"&amp;W76&amp;"|"&amp;C76&amp;"|"&amp;E76)</f>
        <v/>
      </c>
      <c r="AD76" s="39">
        <f>IF(AC76="","",IF(COUNTIF(AC$6:AC76,AC76)=1,1,0))</f>
        <v/>
      </c>
      <c r="AE76" s="39">
        <f>IF(AB76=0,"",IF(COUNTIFS(X$6:X76,X76,AB$6:AB76,AB76)=1,1,0))</f>
        <v/>
      </c>
      <c r="AF76" s="34">
        <f>IF(C76="","",YEAR(C76-WEEKDAY(C76,2)+4)&amp;"-S"&amp;TEXT(INT((C76-DATE(YEAR(C76-WEEKDAY(C76,2)+4),1,3)+WEEKDAY(DATE(YEAR(C76-WEEKDAY(C76,2)+4),1,3),2)+5)/7),"00"))</f>
        <v/>
      </c>
    </row>
    <row r="77" ht="18" customHeight="1">
      <c r="A77" s="39" t="n">
        <v>72</v>
      </c>
      <c r="B77" s="33">
        <f>IF(C77="","",IF(P77="À RENSEIGNER","GIC",P77)&amp;"-C"&amp;TEXT(A77,"00000"))</f>
        <v/>
      </c>
      <c r="C77" s="32" t="n"/>
      <c r="D77" s="36" t="n"/>
      <c r="E77" s="36" t="n"/>
      <c r="F77" s="36" t="n"/>
      <c r="G77" s="42" t="n"/>
      <c r="H77" s="37" t="n"/>
      <c r="I77" s="37" t="n"/>
      <c r="J77" s="32" t="n"/>
      <c r="K77" s="32" t="n"/>
      <c r="L77" s="43" t="n"/>
      <c r="M77" s="36" t="n"/>
      <c r="N77" s="44" t="n"/>
      <c r="O77" s="36" t="n"/>
      <c r="P77" s="33">
        <f>IF(C77="","",Commercial_Id)</f>
        <v/>
      </c>
      <c r="Q77" s="34">
        <f>IF(AC77="","",IF(AD77=1,"C"&amp;TEXT(SUM(AD$6:AD77),"0000"),INDEX(Q$6:Q76,MATCH(AC77,AC$6:AC76,0))))</f>
        <v/>
      </c>
      <c r="R77" s="34">
        <f>IF(C77="","",IF(L77="☑ Oui","Annulée",IF(OR(E77="Vente directe",K77&lt;&gt;""),"Livrée",IF(J77&lt;&gt;"","Confirmée","En attente"))))</f>
        <v/>
      </c>
      <c r="S77" s="34">
        <f>IF(F77="","",IFERROR(VLOOKUP(F77,T_Produits,2,FALSE),""))</f>
        <v/>
      </c>
      <c r="T77" s="40">
        <f>IF(F77="","",IFERROR(1/(1/VLOOKUP(F77,T_Produits,3,FALSE)),""))</f>
        <v/>
      </c>
      <c r="U77" s="40">
        <f>IF(H77&lt;&gt;"",H77,T77)</f>
        <v/>
      </c>
      <c r="V77" s="40">
        <f>IF(OR(G77="",U77=""),"",G77*U77-N(I77))</f>
        <v/>
      </c>
      <c r="W77" s="39">
        <f>IF(D77="","",IFERROR(VALUE(MID(D77,LEN(D77)-3,3)),""))</f>
        <v/>
      </c>
      <c r="X77" s="33">
        <f>IF(W77="","",P77&amp;"|"&amp;W77)</f>
        <v/>
      </c>
      <c r="Y77" s="33">
        <f>IF(W77="","",IF(P77="À RENSEIGNER","GIC",P77)&amp;"-"&amp;TEXT(W77,"000"))</f>
        <v/>
      </c>
      <c r="Z77" s="33">
        <f>IF(X77="","",IFERROR(INDEX(Cl_nom,MATCH(X77,Cl_cle,0)),"(client introuvable)"))</f>
        <v/>
      </c>
      <c r="AA77" s="33">
        <f>IF(X77="","",IFERROR(INDEX(Cl_quartier,MATCH(X77,Cl_cle,0))&amp;"",""))</f>
        <v/>
      </c>
      <c r="AB77" s="45">
        <f>IF(R77&lt;&gt;"Livrée",0,IF(K77&lt;&gt;"",K77,C77))</f>
        <v/>
      </c>
      <c r="AC77" s="33">
        <f>IF(OR(C77="",W77=""),"",P77&amp;"|"&amp;W77&amp;"|"&amp;C77&amp;"|"&amp;E77)</f>
        <v/>
      </c>
      <c r="AD77" s="39">
        <f>IF(AC77="","",IF(COUNTIF(AC$6:AC77,AC77)=1,1,0))</f>
        <v/>
      </c>
      <c r="AE77" s="39">
        <f>IF(AB77=0,"",IF(COUNTIFS(X$6:X77,X77,AB$6:AB77,AB77)=1,1,0))</f>
        <v/>
      </c>
      <c r="AF77" s="34">
        <f>IF(C77="","",YEAR(C77-WEEKDAY(C77,2)+4)&amp;"-S"&amp;TEXT(INT((C77-DATE(YEAR(C77-WEEKDAY(C77,2)+4),1,3)+WEEKDAY(DATE(YEAR(C77-WEEKDAY(C77,2)+4),1,3),2)+5)/7),"00"))</f>
        <v/>
      </c>
    </row>
    <row r="78" ht="18" customHeight="1">
      <c r="A78" s="39" t="n">
        <v>73</v>
      </c>
      <c r="B78" s="33">
        <f>IF(C78="","",IF(P78="À RENSEIGNER","GIC",P78)&amp;"-C"&amp;TEXT(A78,"00000"))</f>
        <v/>
      </c>
      <c r="C78" s="32" t="n"/>
      <c r="D78" s="36" t="n"/>
      <c r="E78" s="36" t="n"/>
      <c r="F78" s="36" t="n"/>
      <c r="G78" s="42" t="n"/>
      <c r="H78" s="37" t="n"/>
      <c r="I78" s="37" t="n"/>
      <c r="J78" s="32" t="n"/>
      <c r="K78" s="32" t="n"/>
      <c r="L78" s="43" t="n"/>
      <c r="M78" s="36" t="n"/>
      <c r="N78" s="44" t="n"/>
      <c r="O78" s="36" t="n"/>
      <c r="P78" s="33">
        <f>IF(C78="","",Commercial_Id)</f>
        <v/>
      </c>
      <c r="Q78" s="34">
        <f>IF(AC78="","",IF(AD78=1,"C"&amp;TEXT(SUM(AD$6:AD78),"0000"),INDEX(Q$6:Q77,MATCH(AC78,AC$6:AC77,0))))</f>
        <v/>
      </c>
      <c r="R78" s="34">
        <f>IF(C78="","",IF(L78="☑ Oui","Annulée",IF(OR(E78="Vente directe",K78&lt;&gt;""),"Livrée",IF(J78&lt;&gt;"","Confirmée","En attente"))))</f>
        <v/>
      </c>
      <c r="S78" s="34">
        <f>IF(F78="","",IFERROR(VLOOKUP(F78,T_Produits,2,FALSE),""))</f>
        <v/>
      </c>
      <c r="T78" s="40">
        <f>IF(F78="","",IFERROR(1/(1/VLOOKUP(F78,T_Produits,3,FALSE)),""))</f>
        <v/>
      </c>
      <c r="U78" s="40">
        <f>IF(H78&lt;&gt;"",H78,T78)</f>
        <v/>
      </c>
      <c r="V78" s="40">
        <f>IF(OR(G78="",U78=""),"",G78*U78-N(I78))</f>
        <v/>
      </c>
      <c r="W78" s="39">
        <f>IF(D78="","",IFERROR(VALUE(MID(D78,LEN(D78)-3,3)),""))</f>
        <v/>
      </c>
      <c r="X78" s="33">
        <f>IF(W78="","",P78&amp;"|"&amp;W78)</f>
        <v/>
      </c>
      <c r="Y78" s="33">
        <f>IF(W78="","",IF(P78="À RENSEIGNER","GIC",P78)&amp;"-"&amp;TEXT(W78,"000"))</f>
        <v/>
      </c>
      <c r="Z78" s="33">
        <f>IF(X78="","",IFERROR(INDEX(Cl_nom,MATCH(X78,Cl_cle,0)),"(client introuvable)"))</f>
        <v/>
      </c>
      <c r="AA78" s="33">
        <f>IF(X78="","",IFERROR(INDEX(Cl_quartier,MATCH(X78,Cl_cle,0))&amp;"",""))</f>
        <v/>
      </c>
      <c r="AB78" s="45">
        <f>IF(R78&lt;&gt;"Livrée",0,IF(K78&lt;&gt;"",K78,C78))</f>
        <v/>
      </c>
      <c r="AC78" s="33">
        <f>IF(OR(C78="",W78=""),"",P78&amp;"|"&amp;W78&amp;"|"&amp;C78&amp;"|"&amp;E78)</f>
        <v/>
      </c>
      <c r="AD78" s="39">
        <f>IF(AC78="","",IF(COUNTIF(AC$6:AC78,AC78)=1,1,0))</f>
        <v/>
      </c>
      <c r="AE78" s="39">
        <f>IF(AB78=0,"",IF(COUNTIFS(X$6:X78,X78,AB$6:AB78,AB78)=1,1,0))</f>
        <v/>
      </c>
      <c r="AF78" s="34">
        <f>IF(C78="","",YEAR(C78-WEEKDAY(C78,2)+4)&amp;"-S"&amp;TEXT(INT((C78-DATE(YEAR(C78-WEEKDAY(C78,2)+4),1,3)+WEEKDAY(DATE(YEAR(C78-WEEKDAY(C78,2)+4),1,3),2)+5)/7),"00"))</f>
        <v/>
      </c>
    </row>
    <row r="79" ht="18" customHeight="1">
      <c r="A79" s="39" t="n">
        <v>74</v>
      </c>
      <c r="B79" s="33">
        <f>IF(C79="","",IF(P79="À RENSEIGNER","GIC",P79)&amp;"-C"&amp;TEXT(A79,"00000"))</f>
        <v/>
      </c>
      <c r="C79" s="32" t="n"/>
      <c r="D79" s="36" t="n"/>
      <c r="E79" s="36" t="n"/>
      <c r="F79" s="36" t="n"/>
      <c r="G79" s="42" t="n"/>
      <c r="H79" s="37" t="n"/>
      <c r="I79" s="37" t="n"/>
      <c r="J79" s="32" t="n"/>
      <c r="K79" s="32" t="n"/>
      <c r="L79" s="43" t="n"/>
      <c r="M79" s="36" t="n"/>
      <c r="N79" s="44" t="n"/>
      <c r="O79" s="36" t="n"/>
      <c r="P79" s="33">
        <f>IF(C79="","",Commercial_Id)</f>
        <v/>
      </c>
      <c r="Q79" s="34">
        <f>IF(AC79="","",IF(AD79=1,"C"&amp;TEXT(SUM(AD$6:AD79),"0000"),INDEX(Q$6:Q78,MATCH(AC79,AC$6:AC78,0))))</f>
        <v/>
      </c>
      <c r="R79" s="34">
        <f>IF(C79="","",IF(L79="☑ Oui","Annulée",IF(OR(E79="Vente directe",K79&lt;&gt;""),"Livrée",IF(J79&lt;&gt;"","Confirmée","En attente"))))</f>
        <v/>
      </c>
      <c r="S79" s="34">
        <f>IF(F79="","",IFERROR(VLOOKUP(F79,T_Produits,2,FALSE),""))</f>
        <v/>
      </c>
      <c r="T79" s="40">
        <f>IF(F79="","",IFERROR(1/(1/VLOOKUP(F79,T_Produits,3,FALSE)),""))</f>
        <v/>
      </c>
      <c r="U79" s="40">
        <f>IF(H79&lt;&gt;"",H79,T79)</f>
        <v/>
      </c>
      <c r="V79" s="40">
        <f>IF(OR(G79="",U79=""),"",G79*U79-N(I79))</f>
        <v/>
      </c>
      <c r="W79" s="39">
        <f>IF(D79="","",IFERROR(VALUE(MID(D79,LEN(D79)-3,3)),""))</f>
        <v/>
      </c>
      <c r="X79" s="33">
        <f>IF(W79="","",P79&amp;"|"&amp;W79)</f>
        <v/>
      </c>
      <c r="Y79" s="33">
        <f>IF(W79="","",IF(P79="À RENSEIGNER","GIC",P79)&amp;"-"&amp;TEXT(W79,"000"))</f>
        <v/>
      </c>
      <c r="Z79" s="33">
        <f>IF(X79="","",IFERROR(INDEX(Cl_nom,MATCH(X79,Cl_cle,0)),"(client introuvable)"))</f>
        <v/>
      </c>
      <c r="AA79" s="33">
        <f>IF(X79="","",IFERROR(INDEX(Cl_quartier,MATCH(X79,Cl_cle,0))&amp;"",""))</f>
        <v/>
      </c>
      <c r="AB79" s="45">
        <f>IF(R79&lt;&gt;"Livrée",0,IF(K79&lt;&gt;"",K79,C79))</f>
        <v/>
      </c>
      <c r="AC79" s="33">
        <f>IF(OR(C79="",W79=""),"",P79&amp;"|"&amp;W79&amp;"|"&amp;C79&amp;"|"&amp;E79)</f>
        <v/>
      </c>
      <c r="AD79" s="39">
        <f>IF(AC79="","",IF(COUNTIF(AC$6:AC79,AC79)=1,1,0))</f>
        <v/>
      </c>
      <c r="AE79" s="39">
        <f>IF(AB79=0,"",IF(COUNTIFS(X$6:X79,X79,AB$6:AB79,AB79)=1,1,0))</f>
        <v/>
      </c>
      <c r="AF79" s="34">
        <f>IF(C79="","",YEAR(C79-WEEKDAY(C79,2)+4)&amp;"-S"&amp;TEXT(INT((C79-DATE(YEAR(C79-WEEKDAY(C79,2)+4),1,3)+WEEKDAY(DATE(YEAR(C79-WEEKDAY(C79,2)+4),1,3),2)+5)/7),"00"))</f>
        <v/>
      </c>
    </row>
    <row r="80" ht="18" customHeight="1">
      <c r="A80" s="39" t="n">
        <v>75</v>
      </c>
      <c r="B80" s="33">
        <f>IF(C80="","",IF(P80="À RENSEIGNER","GIC",P80)&amp;"-C"&amp;TEXT(A80,"00000"))</f>
        <v/>
      </c>
      <c r="C80" s="32" t="n"/>
      <c r="D80" s="36" t="n"/>
      <c r="E80" s="36" t="n"/>
      <c r="F80" s="36" t="n"/>
      <c r="G80" s="42" t="n"/>
      <c r="H80" s="37" t="n"/>
      <c r="I80" s="37" t="n"/>
      <c r="J80" s="32" t="n"/>
      <c r="K80" s="32" t="n"/>
      <c r="L80" s="43" t="n"/>
      <c r="M80" s="36" t="n"/>
      <c r="N80" s="44" t="n"/>
      <c r="O80" s="36" t="n"/>
      <c r="P80" s="33">
        <f>IF(C80="","",Commercial_Id)</f>
        <v/>
      </c>
      <c r="Q80" s="34">
        <f>IF(AC80="","",IF(AD80=1,"C"&amp;TEXT(SUM(AD$6:AD80),"0000"),INDEX(Q$6:Q79,MATCH(AC80,AC$6:AC79,0))))</f>
        <v/>
      </c>
      <c r="R80" s="34">
        <f>IF(C80="","",IF(L80="☑ Oui","Annulée",IF(OR(E80="Vente directe",K80&lt;&gt;""),"Livrée",IF(J80&lt;&gt;"","Confirmée","En attente"))))</f>
        <v/>
      </c>
      <c r="S80" s="34">
        <f>IF(F80="","",IFERROR(VLOOKUP(F80,T_Produits,2,FALSE),""))</f>
        <v/>
      </c>
      <c r="T80" s="40">
        <f>IF(F80="","",IFERROR(1/(1/VLOOKUP(F80,T_Produits,3,FALSE)),""))</f>
        <v/>
      </c>
      <c r="U80" s="40">
        <f>IF(H80&lt;&gt;"",H80,T80)</f>
        <v/>
      </c>
      <c r="V80" s="40">
        <f>IF(OR(G80="",U80=""),"",G80*U80-N(I80))</f>
        <v/>
      </c>
      <c r="W80" s="39">
        <f>IF(D80="","",IFERROR(VALUE(MID(D80,LEN(D80)-3,3)),""))</f>
        <v/>
      </c>
      <c r="X80" s="33">
        <f>IF(W80="","",P80&amp;"|"&amp;W80)</f>
        <v/>
      </c>
      <c r="Y80" s="33">
        <f>IF(W80="","",IF(P80="À RENSEIGNER","GIC",P80)&amp;"-"&amp;TEXT(W80,"000"))</f>
        <v/>
      </c>
      <c r="Z80" s="33">
        <f>IF(X80="","",IFERROR(INDEX(Cl_nom,MATCH(X80,Cl_cle,0)),"(client introuvable)"))</f>
        <v/>
      </c>
      <c r="AA80" s="33">
        <f>IF(X80="","",IFERROR(INDEX(Cl_quartier,MATCH(X80,Cl_cle,0))&amp;"",""))</f>
        <v/>
      </c>
      <c r="AB80" s="45">
        <f>IF(R80&lt;&gt;"Livrée",0,IF(K80&lt;&gt;"",K80,C80))</f>
        <v/>
      </c>
      <c r="AC80" s="33">
        <f>IF(OR(C80="",W80=""),"",P80&amp;"|"&amp;W80&amp;"|"&amp;C80&amp;"|"&amp;E80)</f>
        <v/>
      </c>
      <c r="AD80" s="39">
        <f>IF(AC80="","",IF(COUNTIF(AC$6:AC80,AC80)=1,1,0))</f>
        <v/>
      </c>
      <c r="AE80" s="39">
        <f>IF(AB80=0,"",IF(COUNTIFS(X$6:X80,X80,AB$6:AB80,AB80)=1,1,0))</f>
        <v/>
      </c>
      <c r="AF80" s="34">
        <f>IF(C80="","",YEAR(C80-WEEKDAY(C80,2)+4)&amp;"-S"&amp;TEXT(INT((C80-DATE(YEAR(C80-WEEKDAY(C80,2)+4),1,3)+WEEKDAY(DATE(YEAR(C80-WEEKDAY(C80,2)+4),1,3),2)+5)/7),"00"))</f>
        <v/>
      </c>
    </row>
    <row r="81" ht="18" customHeight="1">
      <c r="A81" s="39" t="n">
        <v>76</v>
      </c>
      <c r="B81" s="33">
        <f>IF(C81="","",IF(P81="À RENSEIGNER","GIC",P81)&amp;"-C"&amp;TEXT(A81,"00000"))</f>
        <v/>
      </c>
      <c r="C81" s="32" t="n"/>
      <c r="D81" s="36" t="n"/>
      <c r="E81" s="36" t="n"/>
      <c r="F81" s="36" t="n"/>
      <c r="G81" s="42" t="n"/>
      <c r="H81" s="37" t="n"/>
      <c r="I81" s="37" t="n"/>
      <c r="J81" s="32" t="n"/>
      <c r="K81" s="32" t="n"/>
      <c r="L81" s="43" t="n"/>
      <c r="M81" s="36" t="n"/>
      <c r="N81" s="44" t="n"/>
      <c r="O81" s="36" t="n"/>
      <c r="P81" s="33">
        <f>IF(C81="","",Commercial_Id)</f>
        <v/>
      </c>
      <c r="Q81" s="34">
        <f>IF(AC81="","",IF(AD81=1,"C"&amp;TEXT(SUM(AD$6:AD81),"0000"),INDEX(Q$6:Q80,MATCH(AC81,AC$6:AC80,0))))</f>
        <v/>
      </c>
      <c r="R81" s="34">
        <f>IF(C81="","",IF(L81="☑ Oui","Annulée",IF(OR(E81="Vente directe",K81&lt;&gt;""),"Livrée",IF(J81&lt;&gt;"","Confirmée","En attente"))))</f>
        <v/>
      </c>
      <c r="S81" s="34">
        <f>IF(F81="","",IFERROR(VLOOKUP(F81,T_Produits,2,FALSE),""))</f>
        <v/>
      </c>
      <c r="T81" s="40">
        <f>IF(F81="","",IFERROR(1/(1/VLOOKUP(F81,T_Produits,3,FALSE)),""))</f>
        <v/>
      </c>
      <c r="U81" s="40">
        <f>IF(H81&lt;&gt;"",H81,T81)</f>
        <v/>
      </c>
      <c r="V81" s="40">
        <f>IF(OR(G81="",U81=""),"",G81*U81-N(I81))</f>
        <v/>
      </c>
      <c r="W81" s="39">
        <f>IF(D81="","",IFERROR(VALUE(MID(D81,LEN(D81)-3,3)),""))</f>
        <v/>
      </c>
      <c r="X81" s="33">
        <f>IF(W81="","",P81&amp;"|"&amp;W81)</f>
        <v/>
      </c>
      <c r="Y81" s="33">
        <f>IF(W81="","",IF(P81="À RENSEIGNER","GIC",P81)&amp;"-"&amp;TEXT(W81,"000"))</f>
        <v/>
      </c>
      <c r="Z81" s="33">
        <f>IF(X81="","",IFERROR(INDEX(Cl_nom,MATCH(X81,Cl_cle,0)),"(client introuvable)"))</f>
        <v/>
      </c>
      <c r="AA81" s="33">
        <f>IF(X81="","",IFERROR(INDEX(Cl_quartier,MATCH(X81,Cl_cle,0))&amp;"",""))</f>
        <v/>
      </c>
      <c r="AB81" s="45">
        <f>IF(R81&lt;&gt;"Livrée",0,IF(K81&lt;&gt;"",K81,C81))</f>
        <v/>
      </c>
      <c r="AC81" s="33">
        <f>IF(OR(C81="",W81=""),"",P81&amp;"|"&amp;W81&amp;"|"&amp;C81&amp;"|"&amp;E81)</f>
        <v/>
      </c>
      <c r="AD81" s="39">
        <f>IF(AC81="","",IF(COUNTIF(AC$6:AC81,AC81)=1,1,0))</f>
        <v/>
      </c>
      <c r="AE81" s="39">
        <f>IF(AB81=0,"",IF(COUNTIFS(X$6:X81,X81,AB$6:AB81,AB81)=1,1,0))</f>
        <v/>
      </c>
      <c r="AF81" s="34">
        <f>IF(C81="","",YEAR(C81-WEEKDAY(C81,2)+4)&amp;"-S"&amp;TEXT(INT((C81-DATE(YEAR(C81-WEEKDAY(C81,2)+4),1,3)+WEEKDAY(DATE(YEAR(C81-WEEKDAY(C81,2)+4),1,3),2)+5)/7),"00"))</f>
        <v/>
      </c>
    </row>
    <row r="82" ht="18" customHeight="1">
      <c r="A82" s="39" t="n">
        <v>77</v>
      </c>
      <c r="B82" s="33">
        <f>IF(C82="","",IF(P82="À RENSEIGNER","GIC",P82)&amp;"-C"&amp;TEXT(A82,"00000"))</f>
        <v/>
      </c>
      <c r="C82" s="32" t="n"/>
      <c r="D82" s="36" t="n"/>
      <c r="E82" s="36" t="n"/>
      <c r="F82" s="36" t="n"/>
      <c r="G82" s="42" t="n"/>
      <c r="H82" s="37" t="n"/>
      <c r="I82" s="37" t="n"/>
      <c r="J82" s="32" t="n"/>
      <c r="K82" s="32" t="n"/>
      <c r="L82" s="43" t="n"/>
      <c r="M82" s="36" t="n"/>
      <c r="N82" s="44" t="n"/>
      <c r="O82" s="36" t="n"/>
      <c r="P82" s="33">
        <f>IF(C82="","",Commercial_Id)</f>
        <v/>
      </c>
      <c r="Q82" s="34">
        <f>IF(AC82="","",IF(AD82=1,"C"&amp;TEXT(SUM(AD$6:AD82),"0000"),INDEX(Q$6:Q81,MATCH(AC82,AC$6:AC81,0))))</f>
        <v/>
      </c>
      <c r="R82" s="34">
        <f>IF(C82="","",IF(L82="☑ Oui","Annulée",IF(OR(E82="Vente directe",K82&lt;&gt;""),"Livrée",IF(J82&lt;&gt;"","Confirmée","En attente"))))</f>
        <v/>
      </c>
      <c r="S82" s="34">
        <f>IF(F82="","",IFERROR(VLOOKUP(F82,T_Produits,2,FALSE),""))</f>
        <v/>
      </c>
      <c r="T82" s="40">
        <f>IF(F82="","",IFERROR(1/(1/VLOOKUP(F82,T_Produits,3,FALSE)),""))</f>
        <v/>
      </c>
      <c r="U82" s="40">
        <f>IF(H82&lt;&gt;"",H82,T82)</f>
        <v/>
      </c>
      <c r="V82" s="40">
        <f>IF(OR(G82="",U82=""),"",G82*U82-N(I82))</f>
        <v/>
      </c>
      <c r="W82" s="39">
        <f>IF(D82="","",IFERROR(VALUE(MID(D82,LEN(D82)-3,3)),""))</f>
        <v/>
      </c>
      <c r="X82" s="33">
        <f>IF(W82="","",P82&amp;"|"&amp;W82)</f>
        <v/>
      </c>
      <c r="Y82" s="33">
        <f>IF(W82="","",IF(P82="À RENSEIGNER","GIC",P82)&amp;"-"&amp;TEXT(W82,"000"))</f>
        <v/>
      </c>
      <c r="Z82" s="33">
        <f>IF(X82="","",IFERROR(INDEX(Cl_nom,MATCH(X82,Cl_cle,0)),"(client introuvable)"))</f>
        <v/>
      </c>
      <c r="AA82" s="33">
        <f>IF(X82="","",IFERROR(INDEX(Cl_quartier,MATCH(X82,Cl_cle,0))&amp;"",""))</f>
        <v/>
      </c>
      <c r="AB82" s="45">
        <f>IF(R82&lt;&gt;"Livrée",0,IF(K82&lt;&gt;"",K82,C82))</f>
        <v/>
      </c>
      <c r="AC82" s="33">
        <f>IF(OR(C82="",W82=""),"",P82&amp;"|"&amp;W82&amp;"|"&amp;C82&amp;"|"&amp;E82)</f>
        <v/>
      </c>
      <c r="AD82" s="39">
        <f>IF(AC82="","",IF(COUNTIF(AC$6:AC82,AC82)=1,1,0))</f>
        <v/>
      </c>
      <c r="AE82" s="39">
        <f>IF(AB82=0,"",IF(COUNTIFS(X$6:X82,X82,AB$6:AB82,AB82)=1,1,0))</f>
        <v/>
      </c>
      <c r="AF82" s="34">
        <f>IF(C82="","",YEAR(C82-WEEKDAY(C82,2)+4)&amp;"-S"&amp;TEXT(INT((C82-DATE(YEAR(C82-WEEKDAY(C82,2)+4),1,3)+WEEKDAY(DATE(YEAR(C82-WEEKDAY(C82,2)+4),1,3),2)+5)/7),"00"))</f>
        <v/>
      </c>
    </row>
    <row r="83" ht="18" customHeight="1">
      <c r="A83" s="39" t="n">
        <v>78</v>
      </c>
      <c r="B83" s="33">
        <f>IF(C83="","",IF(P83="À RENSEIGNER","GIC",P83)&amp;"-C"&amp;TEXT(A83,"00000"))</f>
        <v/>
      </c>
      <c r="C83" s="32" t="n"/>
      <c r="D83" s="36" t="n"/>
      <c r="E83" s="36" t="n"/>
      <c r="F83" s="36" t="n"/>
      <c r="G83" s="42" t="n"/>
      <c r="H83" s="37" t="n"/>
      <c r="I83" s="37" t="n"/>
      <c r="J83" s="32" t="n"/>
      <c r="K83" s="32" t="n"/>
      <c r="L83" s="43" t="n"/>
      <c r="M83" s="36" t="n"/>
      <c r="N83" s="44" t="n"/>
      <c r="O83" s="36" t="n"/>
      <c r="P83" s="33">
        <f>IF(C83="","",Commercial_Id)</f>
        <v/>
      </c>
      <c r="Q83" s="34">
        <f>IF(AC83="","",IF(AD83=1,"C"&amp;TEXT(SUM(AD$6:AD83),"0000"),INDEX(Q$6:Q82,MATCH(AC83,AC$6:AC82,0))))</f>
        <v/>
      </c>
      <c r="R83" s="34">
        <f>IF(C83="","",IF(L83="☑ Oui","Annulée",IF(OR(E83="Vente directe",K83&lt;&gt;""),"Livrée",IF(J83&lt;&gt;"","Confirmée","En attente"))))</f>
        <v/>
      </c>
      <c r="S83" s="34">
        <f>IF(F83="","",IFERROR(VLOOKUP(F83,T_Produits,2,FALSE),""))</f>
        <v/>
      </c>
      <c r="T83" s="40">
        <f>IF(F83="","",IFERROR(1/(1/VLOOKUP(F83,T_Produits,3,FALSE)),""))</f>
        <v/>
      </c>
      <c r="U83" s="40">
        <f>IF(H83&lt;&gt;"",H83,T83)</f>
        <v/>
      </c>
      <c r="V83" s="40">
        <f>IF(OR(G83="",U83=""),"",G83*U83-N(I83))</f>
        <v/>
      </c>
      <c r="W83" s="39">
        <f>IF(D83="","",IFERROR(VALUE(MID(D83,LEN(D83)-3,3)),""))</f>
        <v/>
      </c>
      <c r="X83" s="33">
        <f>IF(W83="","",P83&amp;"|"&amp;W83)</f>
        <v/>
      </c>
      <c r="Y83" s="33">
        <f>IF(W83="","",IF(P83="À RENSEIGNER","GIC",P83)&amp;"-"&amp;TEXT(W83,"000"))</f>
        <v/>
      </c>
      <c r="Z83" s="33">
        <f>IF(X83="","",IFERROR(INDEX(Cl_nom,MATCH(X83,Cl_cle,0)),"(client introuvable)"))</f>
        <v/>
      </c>
      <c r="AA83" s="33">
        <f>IF(X83="","",IFERROR(INDEX(Cl_quartier,MATCH(X83,Cl_cle,0))&amp;"",""))</f>
        <v/>
      </c>
      <c r="AB83" s="45">
        <f>IF(R83&lt;&gt;"Livrée",0,IF(K83&lt;&gt;"",K83,C83))</f>
        <v/>
      </c>
      <c r="AC83" s="33">
        <f>IF(OR(C83="",W83=""),"",P83&amp;"|"&amp;W83&amp;"|"&amp;C83&amp;"|"&amp;E83)</f>
        <v/>
      </c>
      <c r="AD83" s="39">
        <f>IF(AC83="","",IF(COUNTIF(AC$6:AC83,AC83)=1,1,0))</f>
        <v/>
      </c>
      <c r="AE83" s="39">
        <f>IF(AB83=0,"",IF(COUNTIFS(X$6:X83,X83,AB$6:AB83,AB83)=1,1,0))</f>
        <v/>
      </c>
      <c r="AF83" s="34">
        <f>IF(C83="","",YEAR(C83-WEEKDAY(C83,2)+4)&amp;"-S"&amp;TEXT(INT((C83-DATE(YEAR(C83-WEEKDAY(C83,2)+4),1,3)+WEEKDAY(DATE(YEAR(C83-WEEKDAY(C83,2)+4),1,3),2)+5)/7),"00"))</f>
        <v/>
      </c>
    </row>
    <row r="84" ht="18" customHeight="1">
      <c r="A84" s="39" t="n">
        <v>79</v>
      </c>
      <c r="B84" s="33">
        <f>IF(C84="","",IF(P84="À RENSEIGNER","GIC",P84)&amp;"-C"&amp;TEXT(A84,"00000"))</f>
        <v/>
      </c>
      <c r="C84" s="32" t="n"/>
      <c r="D84" s="36" t="n"/>
      <c r="E84" s="36" t="n"/>
      <c r="F84" s="36" t="n"/>
      <c r="G84" s="42" t="n"/>
      <c r="H84" s="37" t="n"/>
      <c r="I84" s="37" t="n"/>
      <c r="J84" s="32" t="n"/>
      <c r="K84" s="32" t="n"/>
      <c r="L84" s="43" t="n"/>
      <c r="M84" s="36" t="n"/>
      <c r="N84" s="44" t="n"/>
      <c r="O84" s="36" t="n"/>
      <c r="P84" s="33">
        <f>IF(C84="","",Commercial_Id)</f>
        <v/>
      </c>
      <c r="Q84" s="34">
        <f>IF(AC84="","",IF(AD84=1,"C"&amp;TEXT(SUM(AD$6:AD84),"0000"),INDEX(Q$6:Q83,MATCH(AC84,AC$6:AC83,0))))</f>
        <v/>
      </c>
      <c r="R84" s="34">
        <f>IF(C84="","",IF(L84="☑ Oui","Annulée",IF(OR(E84="Vente directe",K84&lt;&gt;""),"Livrée",IF(J84&lt;&gt;"","Confirmée","En attente"))))</f>
        <v/>
      </c>
      <c r="S84" s="34">
        <f>IF(F84="","",IFERROR(VLOOKUP(F84,T_Produits,2,FALSE),""))</f>
        <v/>
      </c>
      <c r="T84" s="40">
        <f>IF(F84="","",IFERROR(1/(1/VLOOKUP(F84,T_Produits,3,FALSE)),""))</f>
        <v/>
      </c>
      <c r="U84" s="40">
        <f>IF(H84&lt;&gt;"",H84,T84)</f>
        <v/>
      </c>
      <c r="V84" s="40">
        <f>IF(OR(G84="",U84=""),"",G84*U84-N(I84))</f>
        <v/>
      </c>
      <c r="W84" s="39">
        <f>IF(D84="","",IFERROR(VALUE(MID(D84,LEN(D84)-3,3)),""))</f>
        <v/>
      </c>
      <c r="X84" s="33">
        <f>IF(W84="","",P84&amp;"|"&amp;W84)</f>
        <v/>
      </c>
      <c r="Y84" s="33">
        <f>IF(W84="","",IF(P84="À RENSEIGNER","GIC",P84)&amp;"-"&amp;TEXT(W84,"000"))</f>
        <v/>
      </c>
      <c r="Z84" s="33">
        <f>IF(X84="","",IFERROR(INDEX(Cl_nom,MATCH(X84,Cl_cle,0)),"(client introuvable)"))</f>
        <v/>
      </c>
      <c r="AA84" s="33">
        <f>IF(X84="","",IFERROR(INDEX(Cl_quartier,MATCH(X84,Cl_cle,0))&amp;"",""))</f>
        <v/>
      </c>
      <c r="AB84" s="45">
        <f>IF(R84&lt;&gt;"Livrée",0,IF(K84&lt;&gt;"",K84,C84))</f>
        <v/>
      </c>
      <c r="AC84" s="33">
        <f>IF(OR(C84="",W84=""),"",P84&amp;"|"&amp;W84&amp;"|"&amp;C84&amp;"|"&amp;E84)</f>
        <v/>
      </c>
      <c r="AD84" s="39">
        <f>IF(AC84="","",IF(COUNTIF(AC$6:AC84,AC84)=1,1,0))</f>
        <v/>
      </c>
      <c r="AE84" s="39">
        <f>IF(AB84=0,"",IF(COUNTIFS(X$6:X84,X84,AB$6:AB84,AB84)=1,1,0))</f>
        <v/>
      </c>
      <c r="AF84" s="34">
        <f>IF(C84="","",YEAR(C84-WEEKDAY(C84,2)+4)&amp;"-S"&amp;TEXT(INT((C84-DATE(YEAR(C84-WEEKDAY(C84,2)+4),1,3)+WEEKDAY(DATE(YEAR(C84-WEEKDAY(C84,2)+4),1,3),2)+5)/7),"00"))</f>
        <v/>
      </c>
    </row>
    <row r="85" ht="18" customHeight="1">
      <c r="A85" s="39" t="n">
        <v>80</v>
      </c>
      <c r="B85" s="33">
        <f>IF(C85="","",IF(P85="À RENSEIGNER","GIC",P85)&amp;"-C"&amp;TEXT(A85,"00000"))</f>
        <v/>
      </c>
      <c r="C85" s="32" t="n"/>
      <c r="D85" s="36" t="n"/>
      <c r="E85" s="36" t="n"/>
      <c r="F85" s="36" t="n"/>
      <c r="G85" s="42" t="n"/>
      <c r="H85" s="37" t="n"/>
      <c r="I85" s="37" t="n"/>
      <c r="J85" s="32" t="n"/>
      <c r="K85" s="32" t="n"/>
      <c r="L85" s="43" t="n"/>
      <c r="M85" s="36" t="n"/>
      <c r="N85" s="44" t="n"/>
      <c r="O85" s="36" t="n"/>
      <c r="P85" s="33">
        <f>IF(C85="","",Commercial_Id)</f>
        <v/>
      </c>
      <c r="Q85" s="34">
        <f>IF(AC85="","",IF(AD85=1,"C"&amp;TEXT(SUM(AD$6:AD85),"0000"),INDEX(Q$6:Q84,MATCH(AC85,AC$6:AC84,0))))</f>
        <v/>
      </c>
      <c r="R85" s="34">
        <f>IF(C85="","",IF(L85="☑ Oui","Annulée",IF(OR(E85="Vente directe",K85&lt;&gt;""),"Livrée",IF(J85&lt;&gt;"","Confirmée","En attente"))))</f>
        <v/>
      </c>
      <c r="S85" s="34">
        <f>IF(F85="","",IFERROR(VLOOKUP(F85,T_Produits,2,FALSE),""))</f>
        <v/>
      </c>
      <c r="T85" s="40">
        <f>IF(F85="","",IFERROR(1/(1/VLOOKUP(F85,T_Produits,3,FALSE)),""))</f>
        <v/>
      </c>
      <c r="U85" s="40">
        <f>IF(H85&lt;&gt;"",H85,T85)</f>
        <v/>
      </c>
      <c r="V85" s="40">
        <f>IF(OR(G85="",U85=""),"",G85*U85-N(I85))</f>
        <v/>
      </c>
      <c r="W85" s="39">
        <f>IF(D85="","",IFERROR(VALUE(MID(D85,LEN(D85)-3,3)),""))</f>
        <v/>
      </c>
      <c r="X85" s="33">
        <f>IF(W85="","",P85&amp;"|"&amp;W85)</f>
        <v/>
      </c>
      <c r="Y85" s="33">
        <f>IF(W85="","",IF(P85="À RENSEIGNER","GIC",P85)&amp;"-"&amp;TEXT(W85,"000"))</f>
        <v/>
      </c>
      <c r="Z85" s="33">
        <f>IF(X85="","",IFERROR(INDEX(Cl_nom,MATCH(X85,Cl_cle,0)),"(client introuvable)"))</f>
        <v/>
      </c>
      <c r="AA85" s="33">
        <f>IF(X85="","",IFERROR(INDEX(Cl_quartier,MATCH(X85,Cl_cle,0))&amp;"",""))</f>
        <v/>
      </c>
      <c r="AB85" s="45">
        <f>IF(R85&lt;&gt;"Livrée",0,IF(K85&lt;&gt;"",K85,C85))</f>
        <v/>
      </c>
      <c r="AC85" s="33">
        <f>IF(OR(C85="",W85=""),"",P85&amp;"|"&amp;W85&amp;"|"&amp;C85&amp;"|"&amp;E85)</f>
        <v/>
      </c>
      <c r="AD85" s="39">
        <f>IF(AC85="","",IF(COUNTIF(AC$6:AC85,AC85)=1,1,0))</f>
        <v/>
      </c>
      <c r="AE85" s="39">
        <f>IF(AB85=0,"",IF(COUNTIFS(X$6:X85,X85,AB$6:AB85,AB85)=1,1,0))</f>
        <v/>
      </c>
      <c r="AF85" s="34">
        <f>IF(C85="","",YEAR(C85-WEEKDAY(C85,2)+4)&amp;"-S"&amp;TEXT(INT((C85-DATE(YEAR(C85-WEEKDAY(C85,2)+4),1,3)+WEEKDAY(DATE(YEAR(C85-WEEKDAY(C85,2)+4),1,3),2)+5)/7),"00"))</f>
        <v/>
      </c>
    </row>
    <row r="86" ht="18" customHeight="1">
      <c r="A86" s="39" t="n">
        <v>81</v>
      </c>
      <c r="B86" s="33">
        <f>IF(C86="","",IF(P86="À RENSEIGNER","GIC",P86)&amp;"-C"&amp;TEXT(A86,"00000"))</f>
        <v/>
      </c>
      <c r="C86" s="32" t="n"/>
      <c r="D86" s="36" t="n"/>
      <c r="E86" s="36" t="n"/>
      <c r="F86" s="36" t="n"/>
      <c r="G86" s="42" t="n"/>
      <c r="H86" s="37" t="n"/>
      <c r="I86" s="37" t="n"/>
      <c r="J86" s="32" t="n"/>
      <c r="K86" s="32" t="n"/>
      <c r="L86" s="43" t="n"/>
      <c r="M86" s="36" t="n"/>
      <c r="N86" s="44" t="n"/>
      <c r="O86" s="36" t="n"/>
      <c r="P86" s="33">
        <f>IF(C86="","",Commercial_Id)</f>
        <v/>
      </c>
      <c r="Q86" s="34">
        <f>IF(AC86="","",IF(AD86=1,"C"&amp;TEXT(SUM(AD$6:AD86),"0000"),INDEX(Q$6:Q85,MATCH(AC86,AC$6:AC85,0))))</f>
        <v/>
      </c>
      <c r="R86" s="34">
        <f>IF(C86="","",IF(L86="☑ Oui","Annulée",IF(OR(E86="Vente directe",K86&lt;&gt;""),"Livrée",IF(J86&lt;&gt;"","Confirmée","En attente"))))</f>
        <v/>
      </c>
      <c r="S86" s="34">
        <f>IF(F86="","",IFERROR(VLOOKUP(F86,T_Produits,2,FALSE),""))</f>
        <v/>
      </c>
      <c r="T86" s="40">
        <f>IF(F86="","",IFERROR(1/(1/VLOOKUP(F86,T_Produits,3,FALSE)),""))</f>
        <v/>
      </c>
      <c r="U86" s="40">
        <f>IF(H86&lt;&gt;"",H86,T86)</f>
        <v/>
      </c>
      <c r="V86" s="40">
        <f>IF(OR(G86="",U86=""),"",G86*U86-N(I86))</f>
        <v/>
      </c>
      <c r="W86" s="39">
        <f>IF(D86="","",IFERROR(VALUE(MID(D86,LEN(D86)-3,3)),""))</f>
        <v/>
      </c>
      <c r="X86" s="33">
        <f>IF(W86="","",P86&amp;"|"&amp;W86)</f>
        <v/>
      </c>
      <c r="Y86" s="33">
        <f>IF(W86="","",IF(P86="À RENSEIGNER","GIC",P86)&amp;"-"&amp;TEXT(W86,"000"))</f>
        <v/>
      </c>
      <c r="Z86" s="33">
        <f>IF(X86="","",IFERROR(INDEX(Cl_nom,MATCH(X86,Cl_cle,0)),"(client introuvable)"))</f>
        <v/>
      </c>
      <c r="AA86" s="33">
        <f>IF(X86="","",IFERROR(INDEX(Cl_quartier,MATCH(X86,Cl_cle,0))&amp;"",""))</f>
        <v/>
      </c>
      <c r="AB86" s="45">
        <f>IF(R86&lt;&gt;"Livrée",0,IF(K86&lt;&gt;"",K86,C86))</f>
        <v/>
      </c>
      <c r="AC86" s="33">
        <f>IF(OR(C86="",W86=""),"",P86&amp;"|"&amp;W86&amp;"|"&amp;C86&amp;"|"&amp;E86)</f>
        <v/>
      </c>
      <c r="AD86" s="39">
        <f>IF(AC86="","",IF(COUNTIF(AC$6:AC86,AC86)=1,1,0))</f>
        <v/>
      </c>
      <c r="AE86" s="39">
        <f>IF(AB86=0,"",IF(COUNTIFS(X$6:X86,X86,AB$6:AB86,AB86)=1,1,0))</f>
        <v/>
      </c>
      <c r="AF86" s="34">
        <f>IF(C86="","",YEAR(C86-WEEKDAY(C86,2)+4)&amp;"-S"&amp;TEXT(INT((C86-DATE(YEAR(C86-WEEKDAY(C86,2)+4),1,3)+WEEKDAY(DATE(YEAR(C86-WEEKDAY(C86,2)+4),1,3),2)+5)/7),"00"))</f>
        <v/>
      </c>
    </row>
    <row r="87" ht="18" customHeight="1">
      <c r="A87" s="39" t="n">
        <v>82</v>
      </c>
      <c r="B87" s="33">
        <f>IF(C87="","",IF(P87="À RENSEIGNER","GIC",P87)&amp;"-C"&amp;TEXT(A87,"00000"))</f>
        <v/>
      </c>
      <c r="C87" s="32" t="n"/>
      <c r="D87" s="36" t="n"/>
      <c r="E87" s="36" t="n"/>
      <c r="F87" s="36" t="n"/>
      <c r="G87" s="42" t="n"/>
      <c r="H87" s="37" t="n"/>
      <c r="I87" s="37" t="n"/>
      <c r="J87" s="32" t="n"/>
      <c r="K87" s="32" t="n"/>
      <c r="L87" s="43" t="n"/>
      <c r="M87" s="36" t="n"/>
      <c r="N87" s="44" t="n"/>
      <c r="O87" s="36" t="n"/>
      <c r="P87" s="33">
        <f>IF(C87="","",Commercial_Id)</f>
        <v/>
      </c>
      <c r="Q87" s="34">
        <f>IF(AC87="","",IF(AD87=1,"C"&amp;TEXT(SUM(AD$6:AD87),"0000"),INDEX(Q$6:Q86,MATCH(AC87,AC$6:AC86,0))))</f>
        <v/>
      </c>
      <c r="R87" s="34">
        <f>IF(C87="","",IF(L87="☑ Oui","Annulée",IF(OR(E87="Vente directe",K87&lt;&gt;""),"Livrée",IF(J87&lt;&gt;"","Confirmée","En attente"))))</f>
        <v/>
      </c>
      <c r="S87" s="34">
        <f>IF(F87="","",IFERROR(VLOOKUP(F87,T_Produits,2,FALSE),""))</f>
        <v/>
      </c>
      <c r="T87" s="40">
        <f>IF(F87="","",IFERROR(1/(1/VLOOKUP(F87,T_Produits,3,FALSE)),""))</f>
        <v/>
      </c>
      <c r="U87" s="40">
        <f>IF(H87&lt;&gt;"",H87,T87)</f>
        <v/>
      </c>
      <c r="V87" s="40">
        <f>IF(OR(G87="",U87=""),"",G87*U87-N(I87))</f>
        <v/>
      </c>
      <c r="W87" s="39">
        <f>IF(D87="","",IFERROR(VALUE(MID(D87,LEN(D87)-3,3)),""))</f>
        <v/>
      </c>
      <c r="X87" s="33">
        <f>IF(W87="","",P87&amp;"|"&amp;W87)</f>
        <v/>
      </c>
      <c r="Y87" s="33">
        <f>IF(W87="","",IF(P87="À RENSEIGNER","GIC",P87)&amp;"-"&amp;TEXT(W87,"000"))</f>
        <v/>
      </c>
      <c r="Z87" s="33">
        <f>IF(X87="","",IFERROR(INDEX(Cl_nom,MATCH(X87,Cl_cle,0)),"(client introuvable)"))</f>
        <v/>
      </c>
      <c r="AA87" s="33">
        <f>IF(X87="","",IFERROR(INDEX(Cl_quartier,MATCH(X87,Cl_cle,0))&amp;"",""))</f>
        <v/>
      </c>
      <c r="AB87" s="45">
        <f>IF(R87&lt;&gt;"Livrée",0,IF(K87&lt;&gt;"",K87,C87))</f>
        <v/>
      </c>
      <c r="AC87" s="33">
        <f>IF(OR(C87="",W87=""),"",P87&amp;"|"&amp;W87&amp;"|"&amp;C87&amp;"|"&amp;E87)</f>
        <v/>
      </c>
      <c r="AD87" s="39">
        <f>IF(AC87="","",IF(COUNTIF(AC$6:AC87,AC87)=1,1,0))</f>
        <v/>
      </c>
      <c r="AE87" s="39">
        <f>IF(AB87=0,"",IF(COUNTIFS(X$6:X87,X87,AB$6:AB87,AB87)=1,1,0))</f>
        <v/>
      </c>
      <c r="AF87" s="34">
        <f>IF(C87="","",YEAR(C87-WEEKDAY(C87,2)+4)&amp;"-S"&amp;TEXT(INT((C87-DATE(YEAR(C87-WEEKDAY(C87,2)+4),1,3)+WEEKDAY(DATE(YEAR(C87-WEEKDAY(C87,2)+4),1,3),2)+5)/7),"00"))</f>
        <v/>
      </c>
    </row>
    <row r="88" ht="18" customHeight="1">
      <c r="A88" s="39" t="n">
        <v>83</v>
      </c>
      <c r="B88" s="33">
        <f>IF(C88="","",IF(P88="À RENSEIGNER","GIC",P88)&amp;"-C"&amp;TEXT(A88,"00000"))</f>
        <v/>
      </c>
      <c r="C88" s="32" t="n"/>
      <c r="D88" s="36" t="n"/>
      <c r="E88" s="36" t="n"/>
      <c r="F88" s="36" t="n"/>
      <c r="G88" s="42" t="n"/>
      <c r="H88" s="37" t="n"/>
      <c r="I88" s="37" t="n"/>
      <c r="J88" s="32" t="n"/>
      <c r="K88" s="32" t="n"/>
      <c r="L88" s="43" t="n"/>
      <c r="M88" s="36" t="n"/>
      <c r="N88" s="44" t="n"/>
      <c r="O88" s="36" t="n"/>
      <c r="P88" s="33">
        <f>IF(C88="","",Commercial_Id)</f>
        <v/>
      </c>
      <c r="Q88" s="34">
        <f>IF(AC88="","",IF(AD88=1,"C"&amp;TEXT(SUM(AD$6:AD88),"0000"),INDEX(Q$6:Q87,MATCH(AC88,AC$6:AC87,0))))</f>
        <v/>
      </c>
      <c r="R88" s="34">
        <f>IF(C88="","",IF(L88="☑ Oui","Annulée",IF(OR(E88="Vente directe",K88&lt;&gt;""),"Livrée",IF(J88&lt;&gt;"","Confirmée","En attente"))))</f>
        <v/>
      </c>
      <c r="S88" s="34">
        <f>IF(F88="","",IFERROR(VLOOKUP(F88,T_Produits,2,FALSE),""))</f>
        <v/>
      </c>
      <c r="T88" s="40">
        <f>IF(F88="","",IFERROR(1/(1/VLOOKUP(F88,T_Produits,3,FALSE)),""))</f>
        <v/>
      </c>
      <c r="U88" s="40">
        <f>IF(H88&lt;&gt;"",H88,T88)</f>
        <v/>
      </c>
      <c r="V88" s="40">
        <f>IF(OR(G88="",U88=""),"",G88*U88-N(I88))</f>
        <v/>
      </c>
      <c r="W88" s="39">
        <f>IF(D88="","",IFERROR(VALUE(MID(D88,LEN(D88)-3,3)),""))</f>
        <v/>
      </c>
      <c r="X88" s="33">
        <f>IF(W88="","",P88&amp;"|"&amp;W88)</f>
        <v/>
      </c>
      <c r="Y88" s="33">
        <f>IF(W88="","",IF(P88="À RENSEIGNER","GIC",P88)&amp;"-"&amp;TEXT(W88,"000"))</f>
        <v/>
      </c>
      <c r="Z88" s="33">
        <f>IF(X88="","",IFERROR(INDEX(Cl_nom,MATCH(X88,Cl_cle,0)),"(client introuvable)"))</f>
        <v/>
      </c>
      <c r="AA88" s="33">
        <f>IF(X88="","",IFERROR(INDEX(Cl_quartier,MATCH(X88,Cl_cle,0))&amp;"",""))</f>
        <v/>
      </c>
      <c r="AB88" s="45">
        <f>IF(R88&lt;&gt;"Livrée",0,IF(K88&lt;&gt;"",K88,C88))</f>
        <v/>
      </c>
      <c r="AC88" s="33">
        <f>IF(OR(C88="",W88=""),"",P88&amp;"|"&amp;W88&amp;"|"&amp;C88&amp;"|"&amp;E88)</f>
        <v/>
      </c>
      <c r="AD88" s="39">
        <f>IF(AC88="","",IF(COUNTIF(AC$6:AC88,AC88)=1,1,0))</f>
        <v/>
      </c>
      <c r="AE88" s="39">
        <f>IF(AB88=0,"",IF(COUNTIFS(X$6:X88,X88,AB$6:AB88,AB88)=1,1,0))</f>
        <v/>
      </c>
      <c r="AF88" s="34">
        <f>IF(C88="","",YEAR(C88-WEEKDAY(C88,2)+4)&amp;"-S"&amp;TEXT(INT((C88-DATE(YEAR(C88-WEEKDAY(C88,2)+4),1,3)+WEEKDAY(DATE(YEAR(C88-WEEKDAY(C88,2)+4),1,3),2)+5)/7),"00"))</f>
        <v/>
      </c>
    </row>
    <row r="89" ht="18" customHeight="1">
      <c r="A89" s="39" t="n">
        <v>84</v>
      </c>
      <c r="B89" s="33">
        <f>IF(C89="","",IF(P89="À RENSEIGNER","GIC",P89)&amp;"-C"&amp;TEXT(A89,"00000"))</f>
        <v/>
      </c>
      <c r="C89" s="32" t="n"/>
      <c r="D89" s="36" t="n"/>
      <c r="E89" s="36" t="n"/>
      <c r="F89" s="36" t="n"/>
      <c r="G89" s="42" t="n"/>
      <c r="H89" s="37" t="n"/>
      <c r="I89" s="37" t="n"/>
      <c r="J89" s="32" t="n"/>
      <c r="K89" s="32" t="n"/>
      <c r="L89" s="43" t="n"/>
      <c r="M89" s="36" t="n"/>
      <c r="N89" s="44" t="n"/>
      <c r="O89" s="36" t="n"/>
      <c r="P89" s="33">
        <f>IF(C89="","",Commercial_Id)</f>
        <v/>
      </c>
      <c r="Q89" s="34">
        <f>IF(AC89="","",IF(AD89=1,"C"&amp;TEXT(SUM(AD$6:AD89),"0000"),INDEX(Q$6:Q88,MATCH(AC89,AC$6:AC88,0))))</f>
        <v/>
      </c>
      <c r="R89" s="34">
        <f>IF(C89="","",IF(L89="☑ Oui","Annulée",IF(OR(E89="Vente directe",K89&lt;&gt;""),"Livrée",IF(J89&lt;&gt;"","Confirmée","En attente"))))</f>
        <v/>
      </c>
      <c r="S89" s="34">
        <f>IF(F89="","",IFERROR(VLOOKUP(F89,T_Produits,2,FALSE),""))</f>
        <v/>
      </c>
      <c r="T89" s="40">
        <f>IF(F89="","",IFERROR(1/(1/VLOOKUP(F89,T_Produits,3,FALSE)),""))</f>
        <v/>
      </c>
      <c r="U89" s="40">
        <f>IF(H89&lt;&gt;"",H89,T89)</f>
        <v/>
      </c>
      <c r="V89" s="40">
        <f>IF(OR(G89="",U89=""),"",G89*U89-N(I89))</f>
        <v/>
      </c>
      <c r="W89" s="39">
        <f>IF(D89="","",IFERROR(VALUE(MID(D89,LEN(D89)-3,3)),""))</f>
        <v/>
      </c>
      <c r="X89" s="33">
        <f>IF(W89="","",P89&amp;"|"&amp;W89)</f>
        <v/>
      </c>
      <c r="Y89" s="33">
        <f>IF(W89="","",IF(P89="À RENSEIGNER","GIC",P89)&amp;"-"&amp;TEXT(W89,"000"))</f>
        <v/>
      </c>
      <c r="Z89" s="33">
        <f>IF(X89="","",IFERROR(INDEX(Cl_nom,MATCH(X89,Cl_cle,0)),"(client introuvable)"))</f>
        <v/>
      </c>
      <c r="AA89" s="33">
        <f>IF(X89="","",IFERROR(INDEX(Cl_quartier,MATCH(X89,Cl_cle,0))&amp;"",""))</f>
        <v/>
      </c>
      <c r="AB89" s="45">
        <f>IF(R89&lt;&gt;"Livrée",0,IF(K89&lt;&gt;"",K89,C89))</f>
        <v/>
      </c>
      <c r="AC89" s="33">
        <f>IF(OR(C89="",W89=""),"",P89&amp;"|"&amp;W89&amp;"|"&amp;C89&amp;"|"&amp;E89)</f>
        <v/>
      </c>
      <c r="AD89" s="39">
        <f>IF(AC89="","",IF(COUNTIF(AC$6:AC89,AC89)=1,1,0))</f>
        <v/>
      </c>
      <c r="AE89" s="39">
        <f>IF(AB89=0,"",IF(COUNTIFS(X$6:X89,X89,AB$6:AB89,AB89)=1,1,0))</f>
        <v/>
      </c>
      <c r="AF89" s="34">
        <f>IF(C89="","",YEAR(C89-WEEKDAY(C89,2)+4)&amp;"-S"&amp;TEXT(INT((C89-DATE(YEAR(C89-WEEKDAY(C89,2)+4),1,3)+WEEKDAY(DATE(YEAR(C89-WEEKDAY(C89,2)+4),1,3),2)+5)/7),"00"))</f>
        <v/>
      </c>
    </row>
    <row r="90" ht="18" customHeight="1">
      <c r="A90" s="39" t="n">
        <v>85</v>
      </c>
      <c r="B90" s="33">
        <f>IF(C90="","",IF(P90="À RENSEIGNER","GIC",P90)&amp;"-C"&amp;TEXT(A90,"00000"))</f>
        <v/>
      </c>
      <c r="C90" s="32" t="n"/>
      <c r="D90" s="36" t="n"/>
      <c r="E90" s="36" t="n"/>
      <c r="F90" s="36" t="n"/>
      <c r="G90" s="42" t="n"/>
      <c r="H90" s="37" t="n"/>
      <c r="I90" s="37" t="n"/>
      <c r="J90" s="32" t="n"/>
      <c r="K90" s="32" t="n"/>
      <c r="L90" s="43" t="n"/>
      <c r="M90" s="36" t="n"/>
      <c r="N90" s="44" t="n"/>
      <c r="O90" s="36" t="n"/>
      <c r="P90" s="33">
        <f>IF(C90="","",Commercial_Id)</f>
        <v/>
      </c>
      <c r="Q90" s="34">
        <f>IF(AC90="","",IF(AD90=1,"C"&amp;TEXT(SUM(AD$6:AD90),"0000"),INDEX(Q$6:Q89,MATCH(AC90,AC$6:AC89,0))))</f>
        <v/>
      </c>
      <c r="R90" s="34">
        <f>IF(C90="","",IF(L90="☑ Oui","Annulée",IF(OR(E90="Vente directe",K90&lt;&gt;""),"Livrée",IF(J90&lt;&gt;"","Confirmée","En attente"))))</f>
        <v/>
      </c>
      <c r="S90" s="34">
        <f>IF(F90="","",IFERROR(VLOOKUP(F90,T_Produits,2,FALSE),""))</f>
        <v/>
      </c>
      <c r="T90" s="40">
        <f>IF(F90="","",IFERROR(1/(1/VLOOKUP(F90,T_Produits,3,FALSE)),""))</f>
        <v/>
      </c>
      <c r="U90" s="40">
        <f>IF(H90&lt;&gt;"",H90,T90)</f>
        <v/>
      </c>
      <c r="V90" s="40">
        <f>IF(OR(G90="",U90=""),"",G90*U90-N(I90))</f>
        <v/>
      </c>
      <c r="W90" s="39">
        <f>IF(D90="","",IFERROR(VALUE(MID(D90,LEN(D90)-3,3)),""))</f>
        <v/>
      </c>
      <c r="X90" s="33">
        <f>IF(W90="","",P90&amp;"|"&amp;W90)</f>
        <v/>
      </c>
      <c r="Y90" s="33">
        <f>IF(W90="","",IF(P90="À RENSEIGNER","GIC",P90)&amp;"-"&amp;TEXT(W90,"000"))</f>
        <v/>
      </c>
      <c r="Z90" s="33">
        <f>IF(X90="","",IFERROR(INDEX(Cl_nom,MATCH(X90,Cl_cle,0)),"(client introuvable)"))</f>
        <v/>
      </c>
      <c r="AA90" s="33">
        <f>IF(X90="","",IFERROR(INDEX(Cl_quartier,MATCH(X90,Cl_cle,0))&amp;"",""))</f>
        <v/>
      </c>
      <c r="AB90" s="45">
        <f>IF(R90&lt;&gt;"Livrée",0,IF(K90&lt;&gt;"",K90,C90))</f>
        <v/>
      </c>
      <c r="AC90" s="33">
        <f>IF(OR(C90="",W90=""),"",P90&amp;"|"&amp;W90&amp;"|"&amp;C90&amp;"|"&amp;E90)</f>
        <v/>
      </c>
      <c r="AD90" s="39">
        <f>IF(AC90="","",IF(COUNTIF(AC$6:AC90,AC90)=1,1,0))</f>
        <v/>
      </c>
      <c r="AE90" s="39">
        <f>IF(AB90=0,"",IF(COUNTIFS(X$6:X90,X90,AB$6:AB90,AB90)=1,1,0))</f>
        <v/>
      </c>
      <c r="AF90" s="34">
        <f>IF(C90="","",YEAR(C90-WEEKDAY(C90,2)+4)&amp;"-S"&amp;TEXT(INT((C90-DATE(YEAR(C90-WEEKDAY(C90,2)+4),1,3)+WEEKDAY(DATE(YEAR(C90-WEEKDAY(C90,2)+4),1,3),2)+5)/7),"00"))</f>
        <v/>
      </c>
    </row>
    <row r="91" ht="18" customHeight="1">
      <c r="A91" s="39" t="n">
        <v>86</v>
      </c>
      <c r="B91" s="33">
        <f>IF(C91="","",IF(P91="À RENSEIGNER","GIC",P91)&amp;"-C"&amp;TEXT(A91,"00000"))</f>
        <v/>
      </c>
      <c r="C91" s="32" t="n"/>
      <c r="D91" s="36" t="n"/>
      <c r="E91" s="36" t="n"/>
      <c r="F91" s="36" t="n"/>
      <c r="G91" s="42" t="n"/>
      <c r="H91" s="37" t="n"/>
      <c r="I91" s="37" t="n"/>
      <c r="J91" s="32" t="n"/>
      <c r="K91" s="32" t="n"/>
      <c r="L91" s="43" t="n"/>
      <c r="M91" s="36" t="n"/>
      <c r="N91" s="44" t="n"/>
      <c r="O91" s="36" t="n"/>
      <c r="P91" s="33">
        <f>IF(C91="","",Commercial_Id)</f>
        <v/>
      </c>
      <c r="Q91" s="34">
        <f>IF(AC91="","",IF(AD91=1,"C"&amp;TEXT(SUM(AD$6:AD91),"0000"),INDEX(Q$6:Q90,MATCH(AC91,AC$6:AC90,0))))</f>
        <v/>
      </c>
      <c r="R91" s="34">
        <f>IF(C91="","",IF(L91="☑ Oui","Annulée",IF(OR(E91="Vente directe",K91&lt;&gt;""),"Livrée",IF(J91&lt;&gt;"","Confirmée","En attente"))))</f>
        <v/>
      </c>
      <c r="S91" s="34">
        <f>IF(F91="","",IFERROR(VLOOKUP(F91,T_Produits,2,FALSE),""))</f>
        <v/>
      </c>
      <c r="T91" s="40">
        <f>IF(F91="","",IFERROR(1/(1/VLOOKUP(F91,T_Produits,3,FALSE)),""))</f>
        <v/>
      </c>
      <c r="U91" s="40">
        <f>IF(H91&lt;&gt;"",H91,T91)</f>
        <v/>
      </c>
      <c r="V91" s="40">
        <f>IF(OR(G91="",U91=""),"",G91*U91-N(I91))</f>
        <v/>
      </c>
      <c r="W91" s="39">
        <f>IF(D91="","",IFERROR(VALUE(MID(D91,LEN(D91)-3,3)),""))</f>
        <v/>
      </c>
      <c r="X91" s="33">
        <f>IF(W91="","",P91&amp;"|"&amp;W91)</f>
        <v/>
      </c>
      <c r="Y91" s="33">
        <f>IF(W91="","",IF(P91="À RENSEIGNER","GIC",P91)&amp;"-"&amp;TEXT(W91,"000"))</f>
        <v/>
      </c>
      <c r="Z91" s="33">
        <f>IF(X91="","",IFERROR(INDEX(Cl_nom,MATCH(X91,Cl_cle,0)),"(client introuvable)"))</f>
        <v/>
      </c>
      <c r="AA91" s="33">
        <f>IF(X91="","",IFERROR(INDEX(Cl_quartier,MATCH(X91,Cl_cle,0))&amp;"",""))</f>
        <v/>
      </c>
      <c r="AB91" s="45">
        <f>IF(R91&lt;&gt;"Livrée",0,IF(K91&lt;&gt;"",K91,C91))</f>
        <v/>
      </c>
      <c r="AC91" s="33">
        <f>IF(OR(C91="",W91=""),"",P91&amp;"|"&amp;W91&amp;"|"&amp;C91&amp;"|"&amp;E91)</f>
        <v/>
      </c>
      <c r="AD91" s="39">
        <f>IF(AC91="","",IF(COUNTIF(AC$6:AC91,AC91)=1,1,0))</f>
        <v/>
      </c>
      <c r="AE91" s="39">
        <f>IF(AB91=0,"",IF(COUNTIFS(X$6:X91,X91,AB$6:AB91,AB91)=1,1,0))</f>
        <v/>
      </c>
      <c r="AF91" s="34">
        <f>IF(C91="","",YEAR(C91-WEEKDAY(C91,2)+4)&amp;"-S"&amp;TEXT(INT((C91-DATE(YEAR(C91-WEEKDAY(C91,2)+4),1,3)+WEEKDAY(DATE(YEAR(C91-WEEKDAY(C91,2)+4),1,3),2)+5)/7),"00"))</f>
        <v/>
      </c>
    </row>
    <row r="92" ht="18" customHeight="1">
      <c r="A92" s="39" t="n">
        <v>87</v>
      </c>
      <c r="B92" s="33">
        <f>IF(C92="","",IF(P92="À RENSEIGNER","GIC",P92)&amp;"-C"&amp;TEXT(A92,"00000"))</f>
        <v/>
      </c>
      <c r="C92" s="32" t="n"/>
      <c r="D92" s="36" t="n"/>
      <c r="E92" s="36" t="n"/>
      <c r="F92" s="36" t="n"/>
      <c r="G92" s="42" t="n"/>
      <c r="H92" s="37" t="n"/>
      <c r="I92" s="37" t="n"/>
      <c r="J92" s="32" t="n"/>
      <c r="K92" s="32" t="n"/>
      <c r="L92" s="43" t="n"/>
      <c r="M92" s="36" t="n"/>
      <c r="N92" s="44" t="n"/>
      <c r="O92" s="36" t="n"/>
      <c r="P92" s="33">
        <f>IF(C92="","",Commercial_Id)</f>
        <v/>
      </c>
      <c r="Q92" s="34">
        <f>IF(AC92="","",IF(AD92=1,"C"&amp;TEXT(SUM(AD$6:AD92),"0000"),INDEX(Q$6:Q91,MATCH(AC92,AC$6:AC91,0))))</f>
        <v/>
      </c>
      <c r="R92" s="34">
        <f>IF(C92="","",IF(L92="☑ Oui","Annulée",IF(OR(E92="Vente directe",K92&lt;&gt;""),"Livrée",IF(J92&lt;&gt;"","Confirmée","En attente"))))</f>
        <v/>
      </c>
      <c r="S92" s="34">
        <f>IF(F92="","",IFERROR(VLOOKUP(F92,T_Produits,2,FALSE),""))</f>
        <v/>
      </c>
      <c r="T92" s="40">
        <f>IF(F92="","",IFERROR(1/(1/VLOOKUP(F92,T_Produits,3,FALSE)),""))</f>
        <v/>
      </c>
      <c r="U92" s="40">
        <f>IF(H92&lt;&gt;"",H92,T92)</f>
        <v/>
      </c>
      <c r="V92" s="40">
        <f>IF(OR(G92="",U92=""),"",G92*U92-N(I92))</f>
        <v/>
      </c>
      <c r="W92" s="39">
        <f>IF(D92="","",IFERROR(VALUE(MID(D92,LEN(D92)-3,3)),""))</f>
        <v/>
      </c>
      <c r="X92" s="33">
        <f>IF(W92="","",P92&amp;"|"&amp;W92)</f>
        <v/>
      </c>
      <c r="Y92" s="33">
        <f>IF(W92="","",IF(P92="À RENSEIGNER","GIC",P92)&amp;"-"&amp;TEXT(W92,"000"))</f>
        <v/>
      </c>
      <c r="Z92" s="33">
        <f>IF(X92="","",IFERROR(INDEX(Cl_nom,MATCH(X92,Cl_cle,0)),"(client introuvable)"))</f>
        <v/>
      </c>
      <c r="AA92" s="33">
        <f>IF(X92="","",IFERROR(INDEX(Cl_quartier,MATCH(X92,Cl_cle,0))&amp;"",""))</f>
        <v/>
      </c>
      <c r="AB92" s="45">
        <f>IF(R92&lt;&gt;"Livrée",0,IF(K92&lt;&gt;"",K92,C92))</f>
        <v/>
      </c>
      <c r="AC92" s="33">
        <f>IF(OR(C92="",W92=""),"",P92&amp;"|"&amp;W92&amp;"|"&amp;C92&amp;"|"&amp;E92)</f>
        <v/>
      </c>
      <c r="AD92" s="39">
        <f>IF(AC92="","",IF(COUNTIF(AC$6:AC92,AC92)=1,1,0))</f>
        <v/>
      </c>
      <c r="AE92" s="39">
        <f>IF(AB92=0,"",IF(COUNTIFS(X$6:X92,X92,AB$6:AB92,AB92)=1,1,0))</f>
        <v/>
      </c>
      <c r="AF92" s="34">
        <f>IF(C92="","",YEAR(C92-WEEKDAY(C92,2)+4)&amp;"-S"&amp;TEXT(INT((C92-DATE(YEAR(C92-WEEKDAY(C92,2)+4),1,3)+WEEKDAY(DATE(YEAR(C92-WEEKDAY(C92,2)+4),1,3),2)+5)/7),"00"))</f>
        <v/>
      </c>
    </row>
    <row r="93" ht="18" customHeight="1">
      <c r="A93" s="39" t="n">
        <v>88</v>
      </c>
      <c r="B93" s="33">
        <f>IF(C93="","",IF(P93="À RENSEIGNER","GIC",P93)&amp;"-C"&amp;TEXT(A93,"00000"))</f>
        <v/>
      </c>
      <c r="C93" s="32" t="n"/>
      <c r="D93" s="36" t="n"/>
      <c r="E93" s="36" t="n"/>
      <c r="F93" s="36" t="n"/>
      <c r="G93" s="42" t="n"/>
      <c r="H93" s="37" t="n"/>
      <c r="I93" s="37" t="n"/>
      <c r="J93" s="32" t="n"/>
      <c r="K93" s="32" t="n"/>
      <c r="L93" s="43" t="n"/>
      <c r="M93" s="36" t="n"/>
      <c r="N93" s="44" t="n"/>
      <c r="O93" s="36" t="n"/>
      <c r="P93" s="33">
        <f>IF(C93="","",Commercial_Id)</f>
        <v/>
      </c>
      <c r="Q93" s="34">
        <f>IF(AC93="","",IF(AD93=1,"C"&amp;TEXT(SUM(AD$6:AD93),"0000"),INDEX(Q$6:Q92,MATCH(AC93,AC$6:AC92,0))))</f>
        <v/>
      </c>
      <c r="R93" s="34">
        <f>IF(C93="","",IF(L93="☑ Oui","Annulée",IF(OR(E93="Vente directe",K93&lt;&gt;""),"Livrée",IF(J93&lt;&gt;"","Confirmée","En attente"))))</f>
        <v/>
      </c>
      <c r="S93" s="34">
        <f>IF(F93="","",IFERROR(VLOOKUP(F93,T_Produits,2,FALSE),""))</f>
        <v/>
      </c>
      <c r="T93" s="40">
        <f>IF(F93="","",IFERROR(1/(1/VLOOKUP(F93,T_Produits,3,FALSE)),""))</f>
        <v/>
      </c>
      <c r="U93" s="40">
        <f>IF(H93&lt;&gt;"",H93,T93)</f>
        <v/>
      </c>
      <c r="V93" s="40">
        <f>IF(OR(G93="",U93=""),"",G93*U93-N(I93))</f>
        <v/>
      </c>
      <c r="W93" s="39">
        <f>IF(D93="","",IFERROR(VALUE(MID(D93,LEN(D93)-3,3)),""))</f>
        <v/>
      </c>
      <c r="X93" s="33">
        <f>IF(W93="","",P93&amp;"|"&amp;W93)</f>
        <v/>
      </c>
      <c r="Y93" s="33">
        <f>IF(W93="","",IF(P93="À RENSEIGNER","GIC",P93)&amp;"-"&amp;TEXT(W93,"000"))</f>
        <v/>
      </c>
      <c r="Z93" s="33">
        <f>IF(X93="","",IFERROR(INDEX(Cl_nom,MATCH(X93,Cl_cle,0)),"(client introuvable)"))</f>
        <v/>
      </c>
      <c r="AA93" s="33">
        <f>IF(X93="","",IFERROR(INDEX(Cl_quartier,MATCH(X93,Cl_cle,0))&amp;"",""))</f>
        <v/>
      </c>
      <c r="AB93" s="45">
        <f>IF(R93&lt;&gt;"Livrée",0,IF(K93&lt;&gt;"",K93,C93))</f>
        <v/>
      </c>
      <c r="AC93" s="33">
        <f>IF(OR(C93="",W93=""),"",P93&amp;"|"&amp;W93&amp;"|"&amp;C93&amp;"|"&amp;E93)</f>
        <v/>
      </c>
      <c r="AD93" s="39">
        <f>IF(AC93="","",IF(COUNTIF(AC$6:AC93,AC93)=1,1,0))</f>
        <v/>
      </c>
      <c r="AE93" s="39">
        <f>IF(AB93=0,"",IF(COUNTIFS(X$6:X93,X93,AB$6:AB93,AB93)=1,1,0))</f>
        <v/>
      </c>
      <c r="AF93" s="34">
        <f>IF(C93="","",YEAR(C93-WEEKDAY(C93,2)+4)&amp;"-S"&amp;TEXT(INT((C93-DATE(YEAR(C93-WEEKDAY(C93,2)+4),1,3)+WEEKDAY(DATE(YEAR(C93-WEEKDAY(C93,2)+4),1,3),2)+5)/7),"00"))</f>
        <v/>
      </c>
    </row>
    <row r="94" ht="18" customHeight="1">
      <c r="A94" s="39" t="n">
        <v>89</v>
      </c>
      <c r="B94" s="33">
        <f>IF(C94="","",IF(P94="À RENSEIGNER","GIC",P94)&amp;"-C"&amp;TEXT(A94,"00000"))</f>
        <v/>
      </c>
      <c r="C94" s="32" t="n"/>
      <c r="D94" s="36" t="n"/>
      <c r="E94" s="36" t="n"/>
      <c r="F94" s="36" t="n"/>
      <c r="G94" s="42" t="n"/>
      <c r="H94" s="37" t="n"/>
      <c r="I94" s="37" t="n"/>
      <c r="J94" s="32" t="n"/>
      <c r="K94" s="32" t="n"/>
      <c r="L94" s="43" t="n"/>
      <c r="M94" s="36" t="n"/>
      <c r="N94" s="44" t="n"/>
      <c r="O94" s="36" t="n"/>
      <c r="P94" s="33">
        <f>IF(C94="","",Commercial_Id)</f>
        <v/>
      </c>
      <c r="Q94" s="34">
        <f>IF(AC94="","",IF(AD94=1,"C"&amp;TEXT(SUM(AD$6:AD94),"0000"),INDEX(Q$6:Q93,MATCH(AC94,AC$6:AC93,0))))</f>
        <v/>
      </c>
      <c r="R94" s="34">
        <f>IF(C94="","",IF(L94="☑ Oui","Annulée",IF(OR(E94="Vente directe",K94&lt;&gt;""),"Livrée",IF(J94&lt;&gt;"","Confirmée","En attente"))))</f>
        <v/>
      </c>
      <c r="S94" s="34">
        <f>IF(F94="","",IFERROR(VLOOKUP(F94,T_Produits,2,FALSE),""))</f>
        <v/>
      </c>
      <c r="T94" s="40">
        <f>IF(F94="","",IFERROR(1/(1/VLOOKUP(F94,T_Produits,3,FALSE)),""))</f>
        <v/>
      </c>
      <c r="U94" s="40">
        <f>IF(H94&lt;&gt;"",H94,T94)</f>
        <v/>
      </c>
      <c r="V94" s="40">
        <f>IF(OR(G94="",U94=""),"",G94*U94-N(I94))</f>
        <v/>
      </c>
      <c r="W94" s="39">
        <f>IF(D94="","",IFERROR(VALUE(MID(D94,LEN(D94)-3,3)),""))</f>
        <v/>
      </c>
      <c r="X94" s="33">
        <f>IF(W94="","",P94&amp;"|"&amp;W94)</f>
        <v/>
      </c>
      <c r="Y94" s="33">
        <f>IF(W94="","",IF(P94="À RENSEIGNER","GIC",P94)&amp;"-"&amp;TEXT(W94,"000"))</f>
        <v/>
      </c>
      <c r="Z94" s="33">
        <f>IF(X94="","",IFERROR(INDEX(Cl_nom,MATCH(X94,Cl_cle,0)),"(client introuvable)"))</f>
        <v/>
      </c>
      <c r="AA94" s="33">
        <f>IF(X94="","",IFERROR(INDEX(Cl_quartier,MATCH(X94,Cl_cle,0))&amp;"",""))</f>
        <v/>
      </c>
      <c r="AB94" s="45">
        <f>IF(R94&lt;&gt;"Livrée",0,IF(K94&lt;&gt;"",K94,C94))</f>
        <v/>
      </c>
      <c r="AC94" s="33">
        <f>IF(OR(C94="",W94=""),"",P94&amp;"|"&amp;W94&amp;"|"&amp;C94&amp;"|"&amp;E94)</f>
        <v/>
      </c>
      <c r="AD94" s="39">
        <f>IF(AC94="","",IF(COUNTIF(AC$6:AC94,AC94)=1,1,0))</f>
        <v/>
      </c>
      <c r="AE94" s="39">
        <f>IF(AB94=0,"",IF(COUNTIFS(X$6:X94,X94,AB$6:AB94,AB94)=1,1,0))</f>
        <v/>
      </c>
      <c r="AF94" s="34">
        <f>IF(C94="","",YEAR(C94-WEEKDAY(C94,2)+4)&amp;"-S"&amp;TEXT(INT((C94-DATE(YEAR(C94-WEEKDAY(C94,2)+4),1,3)+WEEKDAY(DATE(YEAR(C94-WEEKDAY(C94,2)+4),1,3),2)+5)/7),"00"))</f>
        <v/>
      </c>
    </row>
    <row r="95" ht="18" customHeight="1">
      <c r="A95" s="39" t="n">
        <v>90</v>
      </c>
      <c r="B95" s="33">
        <f>IF(C95="","",IF(P95="À RENSEIGNER","GIC",P95)&amp;"-C"&amp;TEXT(A95,"00000"))</f>
        <v/>
      </c>
      <c r="C95" s="32" t="n"/>
      <c r="D95" s="36" t="n"/>
      <c r="E95" s="36" t="n"/>
      <c r="F95" s="36" t="n"/>
      <c r="G95" s="42" t="n"/>
      <c r="H95" s="37" t="n"/>
      <c r="I95" s="37" t="n"/>
      <c r="J95" s="32" t="n"/>
      <c r="K95" s="32" t="n"/>
      <c r="L95" s="43" t="n"/>
      <c r="M95" s="36" t="n"/>
      <c r="N95" s="44" t="n"/>
      <c r="O95" s="36" t="n"/>
      <c r="P95" s="33">
        <f>IF(C95="","",Commercial_Id)</f>
        <v/>
      </c>
      <c r="Q95" s="34">
        <f>IF(AC95="","",IF(AD95=1,"C"&amp;TEXT(SUM(AD$6:AD95),"0000"),INDEX(Q$6:Q94,MATCH(AC95,AC$6:AC94,0))))</f>
        <v/>
      </c>
      <c r="R95" s="34">
        <f>IF(C95="","",IF(L95="☑ Oui","Annulée",IF(OR(E95="Vente directe",K95&lt;&gt;""),"Livrée",IF(J95&lt;&gt;"","Confirmée","En attente"))))</f>
        <v/>
      </c>
      <c r="S95" s="34">
        <f>IF(F95="","",IFERROR(VLOOKUP(F95,T_Produits,2,FALSE),""))</f>
        <v/>
      </c>
      <c r="T95" s="40">
        <f>IF(F95="","",IFERROR(1/(1/VLOOKUP(F95,T_Produits,3,FALSE)),""))</f>
        <v/>
      </c>
      <c r="U95" s="40">
        <f>IF(H95&lt;&gt;"",H95,T95)</f>
        <v/>
      </c>
      <c r="V95" s="40">
        <f>IF(OR(G95="",U95=""),"",G95*U95-N(I95))</f>
        <v/>
      </c>
      <c r="W95" s="39">
        <f>IF(D95="","",IFERROR(VALUE(MID(D95,LEN(D95)-3,3)),""))</f>
        <v/>
      </c>
      <c r="X95" s="33">
        <f>IF(W95="","",P95&amp;"|"&amp;W95)</f>
        <v/>
      </c>
      <c r="Y95" s="33">
        <f>IF(W95="","",IF(P95="À RENSEIGNER","GIC",P95)&amp;"-"&amp;TEXT(W95,"000"))</f>
        <v/>
      </c>
      <c r="Z95" s="33">
        <f>IF(X95="","",IFERROR(INDEX(Cl_nom,MATCH(X95,Cl_cle,0)),"(client introuvable)"))</f>
        <v/>
      </c>
      <c r="AA95" s="33">
        <f>IF(X95="","",IFERROR(INDEX(Cl_quartier,MATCH(X95,Cl_cle,0))&amp;"",""))</f>
        <v/>
      </c>
      <c r="AB95" s="45">
        <f>IF(R95&lt;&gt;"Livrée",0,IF(K95&lt;&gt;"",K95,C95))</f>
        <v/>
      </c>
      <c r="AC95" s="33">
        <f>IF(OR(C95="",W95=""),"",P95&amp;"|"&amp;W95&amp;"|"&amp;C95&amp;"|"&amp;E95)</f>
        <v/>
      </c>
      <c r="AD95" s="39">
        <f>IF(AC95="","",IF(COUNTIF(AC$6:AC95,AC95)=1,1,0))</f>
        <v/>
      </c>
      <c r="AE95" s="39">
        <f>IF(AB95=0,"",IF(COUNTIFS(X$6:X95,X95,AB$6:AB95,AB95)=1,1,0))</f>
        <v/>
      </c>
      <c r="AF95" s="34">
        <f>IF(C95="","",YEAR(C95-WEEKDAY(C95,2)+4)&amp;"-S"&amp;TEXT(INT((C95-DATE(YEAR(C95-WEEKDAY(C95,2)+4),1,3)+WEEKDAY(DATE(YEAR(C95-WEEKDAY(C95,2)+4),1,3),2)+5)/7),"00"))</f>
        <v/>
      </c>
    </row>
    <row r="96" ht="18" customHeight="1">
      <c r="A96" s="39" t="n">
        <v>91</v>
      </c>
      <c r="B96" s="33">
        <f>IF(C96="","",IF(P96="À RENSEIGNER","GIC",P96)&amp;"-C"&amp;TEXT(A96,"00000"))</f>
        <v/>
      </c>
      <c r="C96" s="32" t="n"/>
      <c r="D96" s="36" t="n"/>
      <c r="E96" s="36" t="n"/>
      <c r="F96" s="36" t="n"/>
      <c r="G96" s="42" t="n"/>
      <c r="H96" s="37" t="n"/>
      <c r="I96" s="37" t="n"/>
      <c r="J96" s="32" t="n"/>
      <c r="K96" s="32" t="n"/>
      <c r="L96" s="43" t="n"/>
      <c r="M96" s="36" t="n"/>
      <c r="N96" s="44" t="n"/>
      <c r="O96" s="36" t="n"/>
      <c r="P96" s="33">
        <f>IF(C96="","",Commercial_Id)</f>
        <v/>
      </c>
      <c r="Q96" s="34">
        <f>IF(AC96="","",IF(AD96=1,"C"&amp;TEXT(SUM(AD$6:AD96),"0000"),INDEX(Q$6:Q95,MATCH(AC96,AC$6:AC95,0))))</f>
        <v/>
      </c>
      <c r="R96" s="34">
        <f>IF(C96="","",IF(L96="☑ Oui","Annulée",IF(OR(E96="Vente directe",K96&lt;&gt;""),"Livrée",IF(J96&lt;&gt;"","Confirmée","En attente"))))</f>
        <v/>
      </c>
      <c r="S96" s="34">
        <f>IF(F96="","",IFERROR(VLOOKUP(F96,T_Produits,2,FALSE),""))</f>
        <v/>
      </c>
      <c r="T96" s="40">
        <f>IF(F96="","",IFERROR(1/(1/VLOOKUP(F96,T_Produits,3,FALSE)),""))</f>
        <v/>
      </c>
      <c r="U96" s="40">
        <f>IF(H96&lt;&gt;"",H96,T96)</f>
        <v/>
      </c>
      <c r="V96" s="40">
        <f>IF(OR(G96="",U96=""),"",G96*U96-N(I96))</f>
        <v/>
      </c>
      <c r="W96" s="39">
        <f>IF(D96="","",IFERROR(VALUE(MID(D96,LEN(D96)-3,3)),""))</f>
        <v/>
      </c>
      <c r="X96" s="33">
        <f>IF(W96="","",P96&amp;"|"&amp;W96)</f>
        <v/>
      </c>
      <c r="Y96" s="33">
        <f>IF(W96="","",IF(P96="À RENSEIGNER","GIC",P96)&amp;"-"&amp;TEXT(W96,"000"))</f>
        <v/>
      </c>
      <c r="Z96" s="33">
        <f>IF(X96="","",IFERROR(INDEX(Cl_nom,MATCH(X96,Cl_cle,0)),"(client introuvable)"))</f>
        <v/>
      </c>
      <c r="AA96" s="33">
        <f>IF(X96="","",IFERROR(INDEX(Cl_quartier,MATCH(X96,Cl_cle,0))&amp;"",""))</f>
        <v/>
      </c>
      <c r="AB96" s="45">
        <f>IF(R96&lt;&gt;"Livrée",0,IF(K96&lt;&gt;"",K96,C96))</f>
        <v/>
      </c>
      <c r="AC96" s="33">
        <f>IF(OR(C96="",W96=""),"",P96&amp;"|"&amp;W96&amp;"|"&amp;C96&amp;"|"&amp;E96)</f>
        <v/>
      </c>
      <c r="AD96" s="39">
        <f>IF(AC96="","",IF(COUNTIF(AC$6:AC96,AC96)=1,1,0))</f>
        <v/>
      </c>
      <c r="AE96" s="39">
        <f>IF(AB96=0,"",IF(COUNTIFS(X$6:X96,X96,AB$6:AB96,AB96)=1,1,0))</f>
        <v/>
      </c>
      <c r="AF96" s="34">
        <f>IF(C96="","",YEAR(C96-WEEKDAY(C96,2)+4)&amp;"-S"&amp;TEXT(INT((C96-DATE(YEAR(C96-WEEKDAY(C96,2)+4),1,3)+WEEKDAY(DATE(YEAR(C96-WEEKDAY(C96,2)+4),1,3),2)+5)/7),"00"))</f>
        <v/>
      </c>
    </row>
    <row r="97" ht="18" customHeight="1">
      <c r="A97" s="39" t="n">
        <v>92</v>
      </c>
      <c r="B97" s="33">
        <f>IF(C97="","",IF(P97="À RENSEIGNER","GIC",P97)&amp;"-C"&amp;TEXT(A97,"00000"))</f>
        <v/>
      </c>
      <c r="C97" s="32" t="n"/>
      <c r="D97" s="36" t="n"/>
      <c r="E97" s="36" t="n"/>
      <c r="F97" s="36" t="n"/>
      <c r="G97" s="42" t="n"/>
      <c r="H97" s="37" t="n"/>
      <c r="I97" s="37" t="n"/>
      <c r="J97" s="32" t="n"/>
      <c r="K97" s="32" t="n"/>
      <c r="L97" s="43" t="n"/>
      <c r="M97" s="36" t="n"/>
      <c r="N97" s="44" t="n"/>
      <c r="O97" s="36" t="n"/>
      <c r="P97" s="33">
        <f>IF(C97="","",Commercial_Id)</f>
        <v/>
      </c>
      <c r="Q97" s="34">
        <f>IF(AC97="","",IF(AD97=1,"C"&amp;TEXT(SUM(AD$6:AD97),"0000"),INDEX(Q$6:Q96,MATCH(AC97,AC$6:AC96,0))))</f>
        <v/>
      </c>
      <c r="R97" s="34">
        <f>IF(C97="","",IF(L97="☑ Oui","Annulée",IF(OR(E97="Vente directe",K97&lt;&gt;""),"Livrée",IF(J97&lt;&gt;"","Confirmée","En attente"))))</f>
        <v/>
      </c>
      <c r="S97" s="34">
        <f>IF(F97="","",IFERROR(VLOOKUP(F97,T_Produits,2,FALSE),""))</f>
        <v/>
      </c>
      <c r="T97" s="40">
        <f>IF(F97="","",IFERROR(1/(1/VLOOKUP(F97,T_Produits,3,FALSE)),""))</f>
        <v/>
      </c>
      <c r="U97" s="40">
        <f>IF(H97&lt;&gt;"",H97,T97)</f>
        <v/>
      </c>
      <c r="V97" s="40">
        <f>IF(OR(G97="",U97=""),"",G97*U97-N(I97))</f>
        <v/>
      </c>
      <c r="W97" s="39">
        <f>IF(D97="","",IFERROR(VALUE(MID(D97,LEN(D97)-3,3)),""))</f>
        <v/>
      </c>
      <c r="X97" s="33">
        <f>IF(W97="","",P97&amp;"|"&amp;W97)</f>
        <v/>
      </c>
      <c r="Y97" s="33">
        <f>IF(W97="","",IF(P97="À RENSEIGNER","GIC",P97)&amp;"-"&amp;TEXT(W97,"000"))</f>
        <v/>
      </c>
      <c r="Z97" s="33">
        <f>IF(X97="","",IFERROR(INDEX(Cl_nom,MATCH(X97,Cl_cle,0)),"(client introuvable)"))</f>
        <v/>
      </c>
      <c r="AA97" s="33">
        <f>IF(X97="","",IFERROR(INDEX(Cl_quartier,MATCH(X97,Cl_cle,0))&amp;"",""))</f>
        <v/>
      </c>
      <c r="AB97" s="45">
        <f>IF(R97&lt;&gt;"Livrée",0,IF(K97&lt;&gt;"",K97,C97))</f>
        <v/>
      </c>
      <c r="AC97" s="33">
        <f>IF(OR(C97="",W97=""),"",P97&amp;"|"&amp;W97&amp;"|"&amp;C97&amp;"|"&amp;E97)</f>
        <v/>
      </c>
      <c r="AD97" s="39">
        <f>IF(AC97="","",IF(COUNTIF(AC$6:AC97,AC97)=1,1,0))</f>
        <v/>
      </c>
      <c r="AE97" s="39">
        <f>IF(AB97=0,"",IF(COUNTIFS(X$6:X97,X97,AB$6:AB97,AB97)=1,1,0))</f>
        <v/>
      </c>
      <c r="AF97" s="34">
        <f>IF(C97="","",YEAR(C97-WEEKDAY(C97,2)+4)&amp;"-S"&amp;TEXT(INT((C97-DATE(YEAR(C97-WEEKDAY(C97,2)+4),1,3)+WEEKDAY(DATE(YEAR(C97-WEEKDAY(C97,2)+4),1,3),2)+5)/7),"00"))</f>
        <v/>
      </c>
    </row>
    <row r="98" ht="18" customHeight="1">
      <c r="A98" s="39" t="n">
        <v>93</v>
      </c>
      <c r="B98" s="33">
        <f>IF(C98="","",IF(P98="À RENSEIGNER","GIC",P98)&amp;"-C"&amp;TEXT(A98,"00000"))</f>
        <v/>
      </c>
      <c r="C98" s="32" t="n"/>
      <c r="D98" s="36" t="n"/>
      <c r="E98" s="36" t="n"/>
      <c r="F98" s="36" t="n"/>
      <c r="G98" s="42" t="n"/>
      <c r="H98" s="37" t="n"/>
      <c r="I98" s="37" t="n"/>
      <c r="J98" s="32" t="n"/>
      <c r="K98" s="32" t="n"/>
      <c r="L98" s="43" t="n"/>
      <c r="M98" s="36" t="n"/>
      <c r="N98" s="44" t="n"/>
      <c r="O98" s="36" t="n"/>
      <c r="P98" s="33">
        <f>IF(C98="","",Commercial_Id)</f>
        <v/>
      </c>
      <c r="Q98" s="34">
        <f>IF(AC98="","",IF(AD98=1,"C"&amp;TEXT(SUM(AD$6:AD98),"0000"),INDEX(Q$6:Q97,MATCH(AC98,AC$6:AC97,0))))</f>
        <v/>
      </c>
      <c r="R98" s="34">
        <f>IF(C98="","",IF(L98="☑ Oui","Annulée",IF(OR(E98="Vente directe",K98&lt;&gt;""),"Livrée",IF(J98&lt;&gt;"","Confirmée","En attente"))))</f>
        <v/>
      </c>
      <c r="S98" s="34">
        <f>IF(F98="","",IFERROR(VLOOKUP(F98,T_Produits,2,FALSE),""))</f>
        <v/>
      </c>
      <c r="T98" s="40">
        <f>IF(F98="","",IFERROR(1/(1/VLOOKUP(F98,T_Produits,3,FALSE)),""))</f>
        <v/>
      </c>
      <c r="U98" s="40">
        <f>IF(H98&lt;&gt;"",H98,T98)</f>
        <v/>
      </c>
      <c r="V98" s="40">
        <f>IF(OR(G98="",U98=""),"",G98*U98-N(I98))</f>
        <v/>
      </c>
      <c r="W98" s="39">
        <f>IF(D98="","",IFERROR(VALUE(MID(D98,LEN(D98)-3,3)),""))</f>
        <v/>
      </c>
      <c r="X98" s="33">
        <f>IF(W98="","",P98&amp;"|"&amp;W98)</f>
        <v/>
      </c>
      <c r="Y98" s="33">
        <f>IF(W98="","",IF(P98="À RENSEIGNER","GIC",P98)&amp;"-"&amp;TEXT(W98,"000"))</f>
        <v/>
      </c>
      <c r="Z98" s="33">
        <f>IF(X98="","",IFERROR(INDEX(Cl_nom,MATCH(X98,Cl_cle,0)),"(client introuvable)"))</f>
        <v/>
      </c>
      <c r="AA98" s="33">
        <f>IF(X98="","",IFERROR(INDEX(Cl_quartier,MATCH(X98,Cl_cle,0))&amp;"",""))</f>
        <v/>
      </c>
      <c r="AB98" s="45">
        <f>IF(R98&lt;&gt;"Livrée",0,IF(K98&lt;&gt;"",K98,C98))</f>
        <v/>
      </c>
      <c r="AC98" s="33">
        <f>IF(OR(C98="",W98=""),"",P98&amp;"|"&amp;W98&amp;"|"&amp;C98&amp;"|"&amp;E98)</f>
        <v/>
      </c>
      <c r="AD98" s="39">
        <f>IF(AC98="","",IF(COUNTIF(AC$6:AC98,AC98)=1,1,0))</f>
        <v/>
      </c>
      <c r="AE98" s="39">
        <f>IF(AB98=0,"",IF(COUNTIFS(X$6:X98,X98,AB$6:AB98,AB98)=1,1,0))</f>
        <v/>
      </c>
      <c r="AF98" s="34">
        <f>IF(C98="","",YEAR(C98-WEEKDAY(C98,2)+4)&amp;"-S"&amp;TEXT(INT((C98-DATE(YEAR(C98-WEEKDAY(C98,2)+4),1,3)+WEEKDAY(DATE(YEAR(C98-WEEKDAY(C98,2)+4),1,3),2)+5)/7),"00"))</f>
        <v/>
      </c>
    </row>
    <row r="99" ht="18" customHeight="1">
      <c r="A99" s="39" t="n">
        <v>94</v>
      </c>
      <c r="B99" s="33">
        <f>IF(C99="","",IF(P99="À RENSEIGNER","GIC",P99)&amp;"-C"&amp;TEXT(A99,"00000"))</f>
        <v/>
      </c>
      <c r="C99" s="32" t="n"/>
      <c r="D99" s="36" t="n"/>
      <c r="E99" s="36" t="n"/>
      <c r="F99" s="36" t="n"/>
      <c r="G99" s="42" t="n"/>
      <c r="H99" s="37" t="n"/>
      <c r="I99" s="37" t="n"/>
      <c r="J99" s="32" t="n"/>
      <c r="K99" s="32" t="n"/>
      <c r="L99" s="43" t="n"/>
      <c r="M99" s="36" t="n"/>
      <c r="N99" s="44" t="n"/>
      <c r="O99" s="36" t="n"/>
      <c r="P99" s="33">
        <f>IF(C99="","",Commercial_Id)</f>
        <v/>
      </c>
      <c r="Q99" s="34">
        <f>IF(AC99="","",IF(AD99=1,"C"&amp;TEXT(SUM(AD$6:AD99),"0000"),INDEX(Q$6:Q98,MATCH(AC99,AC$6:AC98,0))))</f>
        <v/>
      </c>
      <c r="R99" s="34">
        <f>IF(C99="","",IF(L99="☑ Oui","Annulée",IF(OR(E99="Vente directe",K99&lt;&gt;""),"Livrée",IF(J99&lt;&gt;"","Confirmée","En attente"))))</f>
        <v/>
      </c>
      <c r="S99" s="34">
        <f>IF(F99="","",IFERROR(VLOOKUP(F99,T_Produits,2,FALSE),""))</f>
        <v/>
      </c>
      <c r="T99" s="40">
        <f>IF(F99="","",IFERROR(1/(1/VLOOKUP(F99,T_Produits,3,FALSE)),""))</f>
        <v/>
      </c>
      <c r="U99" s="40">
        <f>IF(H99&lt;&gt;"",H99,T99)</f>
        <v/>
      </c>
      <c r="V99" s="40">
        <f>IF(OR(G99="",U99=""),"",G99*U99-N(I99))</f>
        <v/>
      </c>
      <c r="W99" s="39">
        <f>IF(D99="","",IFERROR(VALUE(MID(D99,LEN(D99)-3,3)),""))</f>
        <v/>
      </c>
      <c r="X99" s="33">
        <f>IF(W99="","",P99&amp;"|"&amp;W99)</f>
        <v/>
      </c>
      <c r="Y99" s="33">
        <f>IF(W99="","",IF(P99="À RENSEIGNER","GIC",P99)&amp;"-"&amp;TEXT(W99,"000"))</f>
        <v/>
      </c>
      <c r="Z99" s="33">
        <f>IF(X99="","",IFERROR(INDEX(Cl_nom,MATCH(X99,Cl_cle,0)),"(client introuvable)"))</f>
        <v/>
      </c>
      <c r="AA99" s="33">
        <f>IF(X99="","",IFERROR(INDEX(Cl_quartier,MATCH(X99,Cl_cle,0))&amp;"",""))</f>
        <v/>
      </c>
      <c r="AB99" s="45">
        <f>IF(R99&lt;&gt;"Livrée",0,IF(K99&lt;&gt;"",K99,C99))</f>
        <v/>
      </c>
      <c r="AC99" s="33">
        <f>IF(OR(C99="",W99=""),"",P99&amp;"|"&amp;W99&amp;"|"&amp;C99&amp;"|"&amp;E99)</f>
        <v/>
      </c>
      <c r="AD99" s="39">
        <f>IF(AC99="","",IF(COUNTIF(AC$6:AC99,AC99)=1,1,0))</f>
        <v/>
      </c>
      <c r="AE99" s="39">
        <f>IF(AB99=0,"",IF(COUNTIFS(X$6:X99,X99,AB$6:AB99,AB99)=1,1,0))</f>
        <v/>
      </c>
      <c r="AF99" s="34">
        <f>IF(C99="","",YEAR(C99-WEEKDAY(C99,2)+4)&amp;"-S"&amp;TEXT(INT((C99-DATE(YEAR(C99-WEEKDAY(C99,2)+4),1,3)+WEEKDAY(DATE(YEAR(C99-WEEKDAY(C99,2)+4),1,3),2)+5)/7),"00"))</f>
        <v/>
      </c>
    </row>
    <row r="100" ht="18" customHeight="1">
      <c r="A100" s="39" t="n">
        <v>95</v>
      </c>
      <c r="B100" s="33">
        <f>IF(C100="","",IF(P100="À RENSEIGNER","GIC",P100)&amp;"-C"&amp;TEXT(A100,"00000"))</f>
        <v/>
      </c>
      <c r="C100" s="32" t="n"/>
      <c r="D100" s="36" t="n"/>
      <c r="E100" s="36" t="n"/>
      <c r="F100" s="36" t="n"/>
      <c r="G100" s="42" t="n"/>
      <c r="H100" s="37" t="n"/>
      <c r="I100" s="37" t="n"/>
      <c r="J100" s="32" t="n"/>
      <c r="K100" s="32" t="n"/>
      <c r="L100" s="43" t="n"/>
      <c r="M100" s="36" t="n"/>
      <c r="N100" s="44" t="n"/>
      <c r="O100" s="36" t="n"/>
      <c r="P100" s="33">
        <f>IF(C100="","",Commercial_Id)</f>
        <v/>
      </c>
      <c r="Q100" s="34">
        <f>IF(AC100="","",IF(AD100=1,"C"&amp;TEXT(SUM(AD$6:AD100),"0000"),INDEX(Q$6:Q99,MATCH(AC100,AC$6:AC99,0))))</f>
        <v/>
      </c>
      <c r="R100" s="34">
        <f>IF(C100="","",IF(L100="☑ Oui","Annulée",IF(OR(E100="Vente directe",K100&lt;&gt;""),"Livrée",IF(J100&lt;&gt;"","Confirmée","En attente"))))</f>
        <v/>
      </c>
      <c r="S100" s="34">
        <f>IF(F100="","",IFERROR(VLOOKUP(F100,T_Produits,2,FALSE),""))</f>
        <v/>
      </c>
      <c r="T100" s="40">
        <f>IF(F100="","",IFERROR(1/(1/VLOOKUP(F100,T_Produits,3,FALSE)),""))</f>
        <v/>
      </c>
      <c r="U100" s="40">
        <f>IF(H100&lt;&gt;"",H100,T100)</f>
        <v/>
      </c>
      <c r="V100" s="40">
        <f>IF(OR(G100="",U100=""),"",G100*U100-N(I100))</f>
        <v/>
      </c>
      <c r="W100" s="39">
        <f>IF(D100="","",IFERROR(VALUE(MID(D100,LEN(D100)-3,3)),""))</f>
        <v/>
      </c>
      <c r="X100" s="33">
        <f>IF(W100="","",P100&amp;"|"&amp;W100)</f>
        <v/>
      </c>
      <c r="Y100" s="33">
        <f>IF(W100="","",IF(P100="À RENSEIGNER","GIC",P100)&amp;"-"&amp;TEXT(W100,"000"))</f>
        <v/>
      </c>
      <c r="Z100" s="33">
        <f>IF(X100="","",IFERROR(INDEX(Cl_nom,MATCH(X100,Cl_cle,0)),"(client introuvable)"))</f>
        <v/>
      </c>
      <c r="AA100" s="33">
        <f>IF(X100="","",IFERROR(INDEX(Cl_quartier,MATCH(X100,Cl_cle,0))&amp;"",""))</f>
        <v/>
      </c>
      <c r="AB100" s="45">
        <f>IF(R100&lt;&gt;"Livrée",0,IF(K100&lt;&gt;"",K100,C100))</f>
        <v/>
      </c>
      <c r="AC100" s="33">
        <f>IF(OR(C100="",W100=""),"",P100&amp;"|"&amp;W100&amp;"|"&amp;C100&amp;"|"&amp;E100)</f>
        <v/>
      </c>
      <c r="AD100" s="39">
        <f>IF(AC100="","",IF(COUNTIF(AC$6:AC100,AC100)=1,1,0))</f>
        <v/>
      </c>
      <c r="AE100" s="39">
        <f>IF(AB100=0,"",IF(COUNTIFS(X$6:X100,X100,AB$6:AB100,AB100)=1,1,0))</f>
        <v/>
      </c>
      <c r="AF100" s="34">
        <f>IF(C100="","",YEAR(C100-WEEKDAY(C100,2)+4)&amp;"-S"&amp;TEXT(INT((C100-DATE(YEAR(C100-WEEKDAY(C100,2)+4),1,3)+WEEKDAY(DATE(YEAR(C100-WEEKDAY(C100,2)+4),1,3),2)+5)/7),"00"))</f>
        <v/>
      </c>
    </row>
    <row r="101" ht="18" customHeight="1">
      <c r="A101" s="39" t="n">
        <v>96</v>
      </c>
      <c r="B101" s="33">
        <f>IF(C101="","",IF(P101="À RENSEIGNER","GIC",P101)&amp;"-C"&amp;TEXT(A101,"00000"))</f>
        <v/>
      </c>
      <c r="C101" s="32" t="n"/>
      <c r="D101" s="36" t="n"/>
      <c r="E101" s="36" t="n"/>
      <c r="F101" s="36" t="n"/>
      <c r="G101" s="42" t="n"/>
      <c r="H101" s="37" t="n"/>
      <c r="I101" s="37" t="n"/>
      <c r="J101" s="32" t="n"/>
      <c r="K101" s="32" t="n"/>
      <c r="L101" s="43" t="n"/>
      <c r="M101" s="36" t="n"/>
      <c r="N101" s="44" t="n"/>
      <c r="O101" s="36" t="n"/>
      <c r="P101" s="33">
        <f>IF(C101="","",Commercial_Id)</f>
        <v/>
      </c>
      <c r="Q101" s="34">
        <f>IF(AC101="","",IF(AD101=1,"C"&amp;TEXT(SUM(AD$6:AD101),"0000"),INDEX(Q$6:Q100,MATCH(AC101,AC$6:AC100,0))))</f>
        <v/>
      </c>
      <c r="R101" s="34">
        <f>IF(C101="","",IF(L101="☑ Oui","Annulée",IF(OR(E101="Vente directe",K101&lt;&gt;""),"Livrée",IF(J101&lt;&gt;"","Confirmée","En attente"))))</f>
        <v/>
      </c>
      <c r="S101" s="34">
        <f>IF(F101="","",IFERROR(VLOOKUP(F101,T_Produits,2,FALSE),""))</f>
        <v/>
      </c>
      <c r="T101" s="40">
        <f>IF(F101="","",IFERROR(1/(1/VLOOKUP(F101,T_Produits,3,FALSE)),""))</f>
        <v/>
      </c>
      <c r="U101" s="40">
        <f>IF(H101&lt;&gt;"",H101,T101)</f>
        <v/>
      </c>
      <c r="V101" s="40">
        <f>IF(OR(G101="",U101=""),"",G101*U101-N(I101))</f>
        <v/>
      </c>
      <c r="W101" s="39">
        <f>IF(D101="","",IFERROR(VALUE(MID(D101,LEN(D101)-3,3)),""))</f>
        <v/>
      </c>
      <c r="X101" s="33">
        <f>IF(W101="","",P101&amp;"|"&amp;W101)</f>
        <v/>
      </c>
      <c r="Y101" s="33">
        <f>IF(W101="","",IF(P101="À RENSEIGNER","GIC",P101)&amp;"-"&amp;TEXT(W101,"000"))</f>
        <v/>
      </c>
      <c r="Z101" s="33">
        <f>IF(X101="","",IFERROR(INDEX(Cl_nom,MATCH(X101,Cl_cle,0)),"(client introuvable)"))</f>
        <v/>
      </c>
      <c r="AA101" s="33">
        <f>IF(X101="","",IFERROR(INDEX(Cl_quartier,MATCH(X101,Cl_cle,0))&amp;"",""))</f>
        <v/>
      </c>
      <c r="AB101" s="45">
        <f>IF(R101&lt;&gt;"Livrée",0,IF(K101&lt;&gt;"",K101,C101))</f>
        <v/>
      </c>
      <c r="AC101" s="33">
        <f>IF(OR(C101="",W101=""),"",P101&amp;"|"&amp;W101&amp;"|"&amp;C101&amp;"|"&amp;E101)</f>
        <v/>
      </c>
      <c r="AD101" s="39">
        <f>IF(AC101="","",IF(COUNTIF(AC$6:AC101,AC101)=1,1,0))</f>
        <v/>
      </c>
      <c r="AE101" s="39">
        <f>IF(AB101=0,"",IF(COUNTIFS(X$6:X101,X101,AB$6:AB101,AB101)=1,1,0))</f>
        <v/>
      </c>
      <c r="AF101" s="34">
        <f>IF(C101="","",YEAR(C101-WEEKDAY(C101,2)+4)&amp;"-S"&amp;TEXT(INT((C101-DATE(YEAR(C101-WEEKDAY(C101,2)+4),1,3)+WEEKDAY(DATE(YEAR(C101-WEEKDAY(C101,2)+4),1,3),2)+5)/7),"00"))</f>
        <v/>
      </c>
    </row>
    <row r="102" ht="18" customHeight="1">
      <c r="A102" s="39" t="n">
        <v>97</v>
      </c>
      <c r="B102" s="33">
        <f>IF(C102="","",IF(P102="À RENSEIGNER","GIC",P102)&amp;"-C"&amp;TEXT(A102,"00000"))</f>
        <v/>
      </c>
      <c r="C102" s="32" t="n"/>
      <c r="D102" s="36" t="n"/>
      <c r="E102" s="36" t="n"/>
      <c r="F102" s="36" t="n"/>
      <c r="G102" s="42" t="n"/>
      <c r="H102" s="37" t="n"/>
      <c r="I102" s="37" t="n"/>
      <c r="J102" s="32" t="n"/>
      <c r="K102" s="32" t="n"/>
      <c r="L102" s="43" t="n"/>
      <c r="M102" s="36" t="n"/>
      <c r="N102" s="44" t="n"/>
      <c r="O102" s="36" t="n"/>
      <c r="P102" s="33">
        <f>IF(C102="","",Commercial_Id)</f>
        <v/>
      </c>
      <c r="Q102" s="34">
        <f>IF(AC102="","",IF(AD102=1,"C"&amp;TEXT(SUM(AD$6:AD102),"0000"),INDEX(Q$6:Q101,MATCH(AC102,AC$6:AC101,0))))</f>
        <v/>
      </c>
      <c r="R102" s="34">
        <f>IF(C102="","",IF(L102="☑ Oui","Annulée",IF(OR(E102="Vente directe",K102&lt;&gt;""),"Livrée",IF(J102&lt;&gt;"","Confirmée","En attente"))))</f>
        <v/>
      </c>
      <c r="S102" s="34">
        <f>IF(F102="","",IFERROR(VLOOKUP(F102,T_Produits,2,FALSE),""))</f>
        <v/>
      </c>
      <c r="T102" s="40">
        <f>IF(F102="","",IFERROR(1/(1/VLOOKUP(F102,T_Produits,3,FALSE)),""))</f>
        <v/>
      </c>
      <c r="U102" s="40">
        <f>IF(H102&lt;&gt;"",H102,T102)</f>
        <v/>
      </c>
      <c r="V102" s="40">
        <f>IF(OR(G102="",U102=""),"",G102*U102-N(I102))</f>
        <v/>
      </c>
      <c r="W102" s="39">
        <f>IF(D102="","",IFERROR(VALUE(MID(D102,LEN(D102)-3,3)),""))</f>
        <v/>
      </c>
      <c r="X102" s="33">
        <f>IF(W102="","",P102&amp;"|"&amp;W102)</f>
        <v/>
      </c>
      <c r="Y102" s="33">
        <f>IF(W102="","",IF(P102="À RENSEIGNER","GIC",P102)&amp;"-"&amp;TEXT(W102,"000"))</f>
        <v/>
      </c>
      <c r="Z102" s="33">
        <f>IF(X102="","",IFERROR(INDEX(Cl_nom,MATCH(X102,Cl_cle,0)),"(client introuvable)"))</f>
        <v/>
      </c>
      <c r="AA102" s="33">
        <f>IF(X102="","",IFERROR(INDEX(Cl_quartier,MATCH(X102,Cl_cle,0))&amp;"",""))</f>
        <v/>
      </c>
      <c r="AB102" s="45">
        <f>IF(R102&lt;&gt;"Livrée",0,IF(K102&lt;&gt;"",K102,C102))</f>
        <v/>
      </c>
      <c r="AC102" s="33">
        <f>IF(OR(C102="",W102=""),"",P102&amp;"|"&amp;W102&amp;"|"&amp;C102&amp;"|"&amp;E102)</f>
        <v/>
      </c>
      <c r="AD102" s="39">
        <f>IF(AC102="","",IF(COUNTIF(AC$6:AC102,AC102)=1,1,0))</f>
        <v/>
      </c>
      <c r="AE102" s="39">
        <f>IF(AB102=0,"",IF(COUNTIFS(X$6:X102,X102,AB$6:AB102,AB102)=1,1,0))</f>
        <v/>
      </c>
      <c r="AF102" s="34">
        <f>IF(C102="","",YEAR(C102-WEEKDAY(C102,2)+4)&amp;"-S"&amp;TEXT(INT((C102-DATE(YEAR(C102-WEEKDAY(C102,2)+4),1,3)+WEEKDAY(DATE(YEAR(C102-WEEKDAY(C102,2)+4),1,3),2)+5)/7),"00"))</f>
        <v/>
      </c>
    </row>
    <row r="103" ht="18" customHeight="1">
      <c r="A103" s="39" t="n">
        <v>98</v>
      </c>
      <c r="B103" s="33">
        <f>IF(C103="","",IF(P103="À RENSEIGNER","GIC",P103)&amp;"-C"&amp;TEXT(A103,"00000"))</f>
        <v/>
      </c>
      <c r="C103" s="32" t="n"/>
      <c r="D103" s="36" t="n"/>
      <c r="E103" s="36" t="n"/>
      <c r="F103" s="36" t="n"/>
      <c r="G103" s="42" t="n"/>
      <c r="H103" s="37" t="n"/>
      <c r="I103" s="37" t="n"/>
      <c r="J103" s="32" t="n"/>
      <c r="K103" s="32" t="n"/>
      <c r="L103" s="43" t="n"/>
      <c r="M103" s="36" t="n"/>
      <c r="N103" s="44" t="n"/>
      <c r="O103" s="36" t="n"/>
      <c r="P103" s="33">
        <f>IF(C103="","",Commercial_Id)</f>
        <v/>
      </c>
      <c r="Q103" s="34">
        <f>IF(AC103="","",IF(AD103=1,"C"&amp;TEXT(SUM(AD$6:AD103),"0000"),INDEX(Q$6:Q102,MATCH(AC103,AC$6:AC102,0))))</f>
        <v/>
      </c>
      <c r="R103" s="34">
        <f>IF(C103="","",IF(L103="☑ Oui","Annulée",IF(OR(E103="Vente directe",K103&lt;&gt;""),"Livrée",IF(J103&lt;&gt;"","Confirmée","En attente"))))</f>
        <v/>
      </c>
      <c r="S103" s="34">
        <f>IF(F103="","",IFERROR(VLOOKUP(F103,T_Produits,2,FALSE),""))</f>
        <v/>
      </c>
      <c r="T103" s="40">
        <f>IF(F103="","",IFERROR(1/(1/VLOOKUP(F103,T_Produits,3,FALSE)),""))</f>
        <v/>
      </c>
      <c r="U103" s="40">
        <f>IF(H103&lt;&gt;"",H103,T103)</f>
        <v/>
      </c>
      <c r="V103" s="40">
        <f>IF(OR(G103="",U103=""),"",G103*U103-N(I103))</f>
        <v/>
      </c>
      <c r="W103" s="39">
        <f>IF(D103="","",IFERROR(VALUE(MID(D103,LEN(D103)-3,3)),""))</f>
        <v/>
      </c>
      <c r="X103" s="33">
        <f>IF(W103="","",P103&amp;"|"&amp;W103)</f>
        <v/>
      </c>
      <c r="Y103" s="33">
        <f>IF(W103="","",IF(P103="À RENSEIGNER","GIC",P103)&amp;"-"&amp;TEXT(W103,"000"))</f>
        <v/>
      </c>
      <c r="Z103" s="33">
        <f>IF(X103="","",IFERROR(INDEX(Cl_nom,MATCH(X103,Cl_cle,0)),"(client introuvable)"))</f>
        <v/>
      </c>
      <c r="AA103" s="33">
        <f>IF(X103="","",IFERROR(INDEX(Cl_quartier,MATCH(X103,Cl_cle,0))&amp;"",""))</f>
        <v/>
      </c>
      <c r="AB103" s="45">
        <f>IF(R103&lt;&gt;"Livrée",0,IF(K103&lt;&gt;"",K103,C103))</f>
        <v/>
      </c>
      <c r="AC103" s="33">
        <f>IF(OR(C103="",W103=""),"",P103&amp;"|"&amp;W103&amp;"|"&amp;C103&amp;"|"&amp;E103)</f>
        <v/>
      </c>
      <c r="AD103" s="39">
        <f>IF(AC103="","",IF(COUNTIF(AC$6:AC103,AC103)=1,1,0))</f>
        <v/>
      </c>
      <c r="AE103" s="39">
        <f>IF(AB103=0,"",IF(COUNTIFS(X$6:X103,X103,AB$6:AB103,AB103)=1,1,0))</f>
        <v/>
      </c>
      <c r="AF103" s="34">
        <f>IF(C103="","",YEAR(C103-WEEKDAY(C103,2)+4)&amp;"-S"&amp;TEXT(INT((C103-DATE(YEAR(C103-WEEKDAY(C103,2)+4),1,3)+WEEKDAY(DATE(YEAR(C103-WEEKDAY(C103,2)+4),1,3),2)+5)/7),"00"))</f>
        <v/>
      </c>
    </row>
    <row r="104" ht="18" customHeight="1">
      <c r="A104" s="39" t="n">
        <v>99</v>
      </c>
      <c r="B104" s="33">
        <f>IF(C104="","",IF(P104="À RENSEIGNER","GIC",P104)&amp;"-C"&amp;TEXT(A104,"00000"))</f>
        <v/>
      </c>
      <c r="C104" s="32" t="n"/>
      <c r="D104" s="36" t="n"/>
      <c r="E104" s="36" t="n"/>
      <c r="F104" s="36" t="n"/>
      <c r="G104" s="42" t="n"/>
      <c r="H104" s="37" t="n"/>
      <c r="I104" s="37" t="n"/>
      <c r="J104" s="32" t="n"/>
      <c r="K104" s="32" t="n"/>
      <c r="L104" s="43" t="n"/>
      <c r="M104" s="36" t="n"/>
      <c r="N104" s="44" t="n"/>
      <c r="O104" s="36" t="n"/>
      <c r="P104" s="33">
        <f>IF(C104="","",Commercial_Id)</f>
        <v/>
      </c>
      <c r="Q104" s="34">
        <f>IF(AC104="","",IF(AD104=1,"C"&amp;TEXT(SUM(AD$6:AD104),"0000"),INDEX(Q$6:Q103,MATCH(AC104,AC$6:AC103,0))))</f>
        <v/>
      </c>
      <c r="R104" s="34">
        <f>IF(C104="","",IF(L104="☑ Oui","Annulée",IF(OR(E104="Vente directe",K104&lt;&gt;""),"Livrée",IF(J104&lt;&gt;"","Confirmée","En attente"))))</f>
        <v/>
      </c>
      <c r="S104" s="34">
        <f>IF(F104="","",IFERROR(VLOOKUP(F104,T_Produits,2,FALSE),""))</f>
        <v/>
      </c>
      <c r="T104" s="40">
        <f>IF(F104="","",IFERROR(1/(1/VLOOKUP(F104,T_Produits,3,FALSE)),""))</f>
        <v/>
      </c>
      <c r="U104" s="40">
        <f>IF(H104&lt;&gt;"",H104,T104)</f>
        <v/>
      </c>
      <c r="V104" s="40">
        <f>IF(OR(G104="",U104=""),"",G104*U104-N(I104))</f>
        <v/>
      </c>
      <c r="W104" s="39">
        <f>IF(D104="","",IFERROR(VALUE(MID(D104,LEN(D104)-3,3)),""))</f>
        <v/>
      </c>
      <c r="X104" s="33">
        <f>IF(W104="","",P104&amp;"|"&amp;W104)</f>
        <v/>
      </c>
      <c r="Y104" s="33">
        <f>IF(W104="","",IF(P104="À RENSEIGNER","GIC",P104)&amp;"-"&amp;TEXT(W104,"000"))</f>
        <v/>
      </c>
      <c r="Z104" s="33">
        <f>IF(X104="","",IFERROR(INDEX(Cl_nom,MATCH(X104,Cl_cle,0)),"(client introuvable)"))</f>
        <v/>
      </c>
      <c r="AA104" s="33">
        <f>IF(X104="","",IFERROR(INDEX(Cl_quartier,MATCH(X104,Cl_cle,0))&amp;"",""))</f>
        <v/>
      </c>
      <c r="AB104" s="45">
        <f>IF(R104&lt;&gt;"Livrée",0,IF(K104&lt;&gt;"",K104,C104))</f>
        <v/>
      </c>
      <c r="AC104" s="33">
        <f>IF(OR(C104="",W104=""),"",P104&amp;"|"&amp;W104&amp;"|"&amp;C104&amp;"|"&amp;E104)</f>
        <v/>
      </c>
      <c r="AD104" s="39">
        <f>IF(AC104="","",IF(COUNTIF(AC$6:AC104,AC104)=1,1,0))</f>
        <v/>
      </c>
      <c r="AE104" s="39">
        <f>IF(AB104=0,"",IF(COUNTIFS(X$6:X104,X104,AB$6:AB104,AB104)=1,1,0))</f>
        <v/>
      </c>
      <c r="AF104" s="34">
        <f>IF(C104="","",YEAR(C104-WEEKDAY(C104,2)+4)&amp;"-S"&amp;TEXT(INT((C104-DATE(YEAR(C104-WEEKDAY(C104,2)+4),1,3)+WEEKDAY(DATE(YEAR(C104-WEEKDAY(C104,2)+4),1,3),2)+5)/7),"00"))</f>
        <v/>
      </c>
    </row>
    <row r="105" ht="18" customHeight="1">
      <c r="A105" s="39" t="n">
        <v>100</v>
      </c>
      <c r="B105" s="33">
        <f>IF(C105="","",IF(P105="À RENSEIGNER","GIC",P105)&amp;"-C"&amp;TEXT(A105,"00000"))</f>
        <v/>
      </c>
      <c r="C105" s="32" t="n"/>
      <c r="D105" s="36" t="n"/>
      <c r="E105" s="36" t="n"/>
      <c r="F105" s="36" t="n"/>
      <c r="G105" s="42" t="n"/>
      <c r="H105" s="37" t="n"/>
      <c r="I105" s="37" t="n"/>
      <c r="J105" s="32" t="n"/>
      <c r="K105" s="32" t="n"/>
      <c r="L105" s="43" t="n"/>
      <c r="M105" s="36" t="n"/>
      <c r="N105" s="44" t="n"/>
      <c r="O105" s="36" t="n"/>
      <c r="P105" s="33">
        <f>IF(C105="","",Commercial_Id)</f>
        <v/>
      </c>
      <c r="Q105" s="34">
        <f>IF(AC105="","",IF(AD105=1,"C"&amp;TEXT(SUM(AD$6:AD105),"0000"),INDEX(Q$6:Q104,MATCH(AC105,AC$6:AC104,0))))</f>
        <v/>
      </c>
      <c r="R105" s="34">
        <f>IF(C105="","",IF(L105="☑ Oui","Annulée",IF(OR(E105="Vente directe",K105&lt;&gt;""),"Livrée",IF(J105&lt;&gt;"","Confirmée","En attente"))))</f>
        <v/>
      </c>
      <c r="S105" s="34">
        <f>IF(F105="","",IFERROR(VLOOKUP(F105,T_Produits,2,FALSE),""))</f>
        <v/>
      </c>
      <c r="T105" s="40">
        <f>IF(F105="","",IFERROR(1/(1/VLOOKUP(F105,T_Produits,3,FALSE)),""))</f>
        <v/>
      </c>
      <c r="U105" s="40">
        <f>IF(H105&lt;&gt;"",H105,T105)</f>
        <v/>
      </c>
      <c r="V105" s="40">
        <f>IF(OR(G105="",U105=""),"",G105*U105-N(I105))</f>
        <v/>
      </c>
      <c r="W105" s="39">
        <f>IF(D105="","",IFERROR(VALUE(MID(D105,LEN(D105)-3,3)),""))</f>
        <v/>
      </c>
      <c r="X105" s="33">
        <f>IF(W105="","",P105&amp;"|"&amp;W105)</f>
        <v/>
      </c>
      <c r="Y105" s="33">
        <f>IF(W105="","",IF(P105="À RENSEIGNER","GIC",P105)&amp;"-"&amp;TEXT(W105,"000"))</f>
        <v/>
      </c>
      <c r="Z105" s="33">
        <f>IF(X105="","",IFERROR(INDEX(Cl_nom,MATCH(X105,Cl_cle,0)),"(client introuvable)"))</f>
        <v/>
      </c>
      <c r="AA105" s="33">
        <f>IF(X105="","",IFERROR(INDEX(Cl_quartier,MATCH(X105,Cl_cle,0))&amp;"",""))</f>
        <v/>
      </c>
      <c r="AB105" s="45">
        <f>IF(R105&lt;&gt;"Livrée",0,IF(K105&lt;&gt;"",K105,C105))</f>
        <v/>
      </c>
      <c r="AC105" s="33">
        <f>IF(OR(C105="",W105=""),"",P105&amp;"|"&amp;W105&amp;"|"&amp;C105&amp;"|"&amp;E105)</f>
        <v/>
      </c>
      <c r="AD105" s="39">
        <f>IF(AC105="","",IF(COUNTIF(AC$6:AC105,AC105)=1,1,0))</f>
        <v/>
      </c>
      <c r="AE105" s="39">
        <f>IF(AB105=0,"",IF(COUNTIFS(X$6:X105,X105,AB$6:AB105,AB105)=1,1,0))</f>
        <v/>
      </c>
      <c r="AF105" s="34">
        <f>IF(C105="","",YEAR(C105-WEEKDAY(C105,2)+4)&amp;"-S"&amp;TEXT(INT((C105-DATE(YEAR(C105-WEEKDAY(C105,2)+4),1,3)+WEEKDAY(DATE(YEAR(C105-WEEKDAY(C105,2)+4),1,3),2)+5)/7),"00"))</f>
        <v/>
      </c>
    </row>
    <row r="106" ht="18" customHeight="1">
      <c r="A106" s="39" t="n">
        <v>101</v>
      </c>
      <c r="B106" s="33">
        <f>IF(C106="","",IF(P106="À RENSEIGNER","GIC",P106)&amp;"-C"&amp;TEXT(A106,"00000"))</f>
        <v/>
      </c>
      <c r="C106" s="32" t="n"/>
      <c r="D106" s="36" t="n"/>
      <c r="E106" s="36" t="n"/>
      <c r="F106" s="36" t="n"/>
      <c r="G106" s="42" t="n"/>
      <c r="H106" s="37" t="n"/>
      <c r="I106" s="37" t="n"/>
      <c r="J106" s="32" t="n"/>
      <c r="K106" s="32" t="n"/>
      <c r="L106" s="43" t="n"/>
      <c r="M106" s="36" t="n"/>
      <c r="N106" s="44" t="n"/>
      <c r="O106" s="36" t="n"/>
      <c r="P106" s="33">
        <f>IF(C106="","",Commercial_Id)</f>
        <v/>
      </c>
      <c r="Q106" s="34">
        <f>IF(AC106="","",IF(AD106=1,"C"&amp;TEXT(SUM(AD$6:AD106),"0000"),INDEX(Q$6:Q105,MATCH(AC106,AC$6:AC105,0))))</f>
        <v/>
      </c>
      <c r="R106" s="34">
        <f>IF(C106="","",IF(L106="☑ Oui","Annulée",IF(OR(E106="Vente directe",K106&lt;&gt;""),"Livrée",IF(J106&lt;&gt;"","Confirmée","En attente"))))</f>
        <v/>
      </c>
      <c r="S106" s="34">
        <f>IF(F106="","",IFERROR(VLOOKUP(F106,T_Produits,2,FALSE),""))</f>
        <v/>
      </c>
      <c r="T106" s="40">
        <f>IF(F106="","",IFERROR(1/(1/VLOOKUP(F106,T_Produits,3,FALSE)),""))</f>
        <v/>
      </c>
      <c r="U106" s="40">
        <f>IF(H106&lt;&gt;"",H106,T106)</f>
        <v/>
      </c>
      <c r="V106" s="40">
        <f>IF(OR(G106="",U106=""),"",G106*U106-N(I106))</f>
        <v/>
      </c>
      <c r="W106" s="39">
        <f>IF(D106="","",IFERROR(VALUE(MID(D106,LEN(D106)-3,3)),""))</f>
        <v/>
      </c>
      <c r="X106" s="33">
        <f>IF(W106="","",P106&amp;"|"&amp;W106)</f>
        <v/>
      </c>
      <c r="Y106" s="33">
        <f>IF(W106="","",IF(P106="À RENSEIGNER","GIC",P106)&amp;"-"&amp;TEXT(W106,"000"))</f>
        <v/>
      </c>
      <c r="Z106" s="33">
        <f>IF(X106="","",IFERROR(INDEX(Cl_nom,MATCH(X106,Cl_cle,0)),"(client introuvable)"))</f>
        <v/>
      </c>
      <c r="AA106" s="33">
        <f>IF(X106="","",IFERROR(INDEX(Cl_quartier,MATCH(X106,Cl_cle,0))&amp;"",""))</f>
        <v/>
      </c>
      <c r="AB106" s="45">
        <f>IF(R106&lt;&gt;"Livrée",0,IF(K106&lt;&gt;"",K106,C106))</f>
        <v/>
      </c>
      <c r="AC106" s="33">
        <f>IF(OR(C106="",W106=""),"",P106&amp;"|"&amp;W106&amp;"|"&amp;C106&amp;"|"&amp;E106)</f>
        <v/>
      </c>
      <c r="AD106" s="39">
        <f>IF(AC106="","",IF(COUNTIF(AC$6:AC106,AC106)=1,1,0))</f>
        <v/>
      </c>
      <c r="AE106" s="39">
        <f>IF(AB106=0,"",IF(COUNTIFS(X$6:X106,X106,AB$6:AB106,AB106)=1,1,0))</f>
        <v/>
      </c>
      <c r="AF106" s="34">
        <f>IF(C106="","",YEAR(C106-WEEKDAY(C106,2)+4)&amp;"-S"&amp;TEXT(INT((C106-DATE(YEAR(C106-WEEKDAY(C106,2)+4),1,3)+WEEKDAY(DATE(YEAR(C106-WEEKDAY(C106,2)+4),1,3),2)+5)/7),"00"))</f>
        <v/>
      </c>
    </row>
    <row r="107" ht="18" customHeight="1">
      <c r="A107" s="39" t="n">
        <v>102</v>
      </c>
      <c r="B107" s="33">
        <f>IF(C107="","",IF(P107="À RENSEIGNER","GIC",P107)&amp;"-C"&amp;TEXT(A107,"00000"))</f>
        <v/>
      </c>
      <c r="C107" s="32" t="n"/>
      <c r="D107" s="36" t="n"/>
      <c r="E107" s="36" t="n"/>
      <c r="F107" s="36" t="n"/>
      <c r="G107" s="42" t="n"/>
      <c r="H107" s="37" t="n"/>
      <c r="I107" s="37" t="n"/>
      <c r="J107" s="32" t="n"/>
      <c r="K107" s="32" t="n"/>
      <c r="L107" s="43" t="n"/>
      <c r="M107" s="36" t="n"/>
      <c r="N107" s="44" t="n"/>
      <c r="O107" s="36" t="n"/>
      <c r="P107" s="33">
        <f>IF(C107="","",Commercial_Id)</f>
        <v/>
      </c>
      <c r="Q107" s="34">
        <f>IF(AC107="","",IF(AD107=1,"C"&amp;TEXT(SUM(AD$6:AD107),"0000"),INDEX(Q$6:Q106,MATCH(AC107,AC$6:AC106,0))))</f>
        <v/>
      </c>
      <c r="R107" s="34">
        <f>IF(C107="","",IF(L107="☑ Oui","Annulée",IF(OR(E107="Vente directe",K107&lt;&gt;""),"Livrée",IF(J107&lt;&gt;"","Confirmée","En attente"))))</f>
        <v/>
      </c>
      <c r="S107" s="34">
        <f>IF(F107="","",IFERROR(VLOOKUP(F107,T_Produits,2,FALSE),""))</f>
        <v/>
      </c>
      <c r="T107" s="40">
        <f>IF(F107="","",IFERROR(1/(1/VLOOKUP(F107,T_Produits,3,FALSE)),""))</f>
        <v/>
      </c>
      <c r="U107" s="40">
        <f>IF(H107&lt;&gt;"",H107,T107)</f>
        <v/>
      </c>
      <c r="V107" s="40">
        <f>IF(OR(G107="",U107=""),"",G107*U107-N(I107))</f>
        <v/>
      </c>
      <c r="W107" s="39">
        <f>IF(D107="","",IFERROR(VALUE(MID(D107,LEN(D107)-3,3)),""))</f>
        <v/>
      </c>
      <c r="X107" s="33">
        <f>IF(W107="","",P107&amp;"|"&amp;W107)</f>
        <v/>
      </c>
      <c r="Y107" s="33">
        <f>IF(W107="","",IF(P107="À RENSEIGNER","GIC",P107)&amp;"-"&amp;TEXT(W107,"000"))</f>
        <v/>
      </c>
      <c r="Z107" s="33">
        <f>IF(X107="","",IFERROR(INDEX(Cl_nom,MATCH(X107,Cl_cle,0)),"(client introuvable)"))</f>
        <v/>
      </c>
      <c r="AA107" s="33">
        <f>IF(X107="","",IFERROR(INDEX(Cl_quartier,MATCH(X107,Cl_cle,0))&amp;"",""))</f>
        <v/>
      </c>
      <c r="AB107" s="45">
        <f>IF(R107&lt;&gt;"Livrée",0,IF(K107&lt;&gt;"",K107,C107))</f>
        <v/>
      </c>
      <c r="AC107" s="33">
        <f>IF(OR(C107="",W107=""),"",P107&amp;"|"&amp;W107&amp;"|"&amp;C107&amp;"|"&amp;E107)</f>
        <v/>
      </c>
      <c r="AD107" s="39">
        <f>IF(AC107="","",IF(COUNTIF(AC$6:AC107,AC107)=1,1,0))</f>
        <v/>
      </c>
      <c r="AE107" s="39">
        <f>IF(AB107=0,"",IF(COUNTIFS(X$6:X107,X107,AB$6:AB107,AB107)=1,1,0))</f>
        <v/>
      </c>
      <c r="AF107" s="34">
        <f>IF(C107="","",YEAR(C107-WEEKDAY(C107,2)+4)&amp;"-S"&amp;TEXT(INT((C107-DATE(YEAR(C107-WEEKDAY(C107,2)+4),1,3)+WEEKDAY(DATE(YEAR(C107-WEEKDAY(C107,2)+4),1,3),2)+5)/7),"00"))</f>
        <v/>
      </c>
    </row>
    <row r="108" ht="18" customHeight="1">
      <c r="A108" s="39" t="n">
        <v>103</v>
      </c>
      <c r="B108" s="33">
        <f>IF(C108="","",IF(P108="À RENSEIGNER","GIC",P108)&amp;"-C"&amp;TEXT(A108,"00000"))</f>
        <v/>
      </c>
      <c r="C108" s="32" t="n"/>
      <c r="D108" s="36" t="n"/>
      <c r="E108" s="36" t="n"/>
      <c r="F108" s="36" t="n"/>
      <c r="G108" s="42" t="n"/>
      <c r="H108" s="37" t="n"/>
      <c r="I108" s="37" t="n"/>
      <c r="J108" s="32" t="n"/>
      <c r="K108" s="32" t="n"/>
      <c r="L108" s="43" t="n"/>
      <c r="M108" s="36" t="n"/>
      <c r="N108" s="44" t="n"/>
      <c r="O108" s="36" t="n"/>
      <c r="P108" s="33">
        <f>IF(C108="","",Commercial_Id)</f>
        <v/>
      </c>
      <c r="Q108" s="34">
        <f>IF(AC108="","",IF(AD108=1,"C"&amp;TEXT(SUM(AD$6:AD108),"0000"),INDEX(Q$6:Q107,MATCH(AC108,AC$6:AC107,0))))</f>
        <v/>
      </c>
      <c r="R108" s="34">
        <f>IF(C108="","",IF(L108="☑ Oui","Annulée",IF(OR(E108="Vente directe",K108&lt;&gt;""),"Livrée",IF(J108&lt;&gt;"","Confirmée","En attente"))))</f>
        <v/>
      </c>
      <c r="S108" s="34">
        <f>IF(F108="","",IFERROR(VLOOKUP(F108,T_Produits,2,FALSE),""))</f>
        <v/>
      </c>
      <c r="T108" s="40">
        <f>IF(F108="","",IFERROR(1/(1/VLOOKUP(F108,T_Produits,3,FALSE)),""))</f>
        <v/>
      </c>
      <c r="U108" s="40">
        <f>IF(H108&lt;&gt;"",H108,T108)</f>
        <v/>
      </c>
      <c r="V108" s="40">
        <f>IF(OR(G108="",U108=""),"",G108*U108-N(I108))</f>
        <v/>
      </c>
      <c r="W108" s="39">
        <f>IF(D108="","",IFERROR(VALUE(MID(D108,LEN(D108)-3,3)),""))</f>
        <v/>
      </c>
      <c r="X108" s="33">
        <f>IF(W108="","",P108&amp;"|"&amp;W108)</f>
        <v/>
      </c>
      <c r="Y108" s="33">
        <f>IF(W108="","",IF(P108="À RENSEIGNER","GIC",P108)&amp;"-"&amp;TEXT(W108,"000"))</f>
        <v/>
      </c>
      <c r="Z108" s="33">
        <f>IF(X108="","",IFERROR(INDEX(Cl_nom,MATCH(X108,Cl_cle,0)),"(client introuvable)"))</f>
        <v/>
      </c>
      <c r="AA108" s="33">
        <f>IF(X108="","",IFERROR(INDEX(Cl_quartier,MATCH(X108,Cl_cle,0))&amp;"",""))</f>
        <v/>
      </c>
      <c r="AB108" s="45">
        <f>IF(R108&lt;&gt;"Livrée",0,IF(K108&lt;&gt;"",K108,C108))</f>
        <v/>
      </c>
      <c r="AC108" s="33">
        <f>IF(OR(C108="",W108=""),"",P108&amp;"|"&amp;W108&amp;"|"&amp;C108&amp;"|"&amp;E108)</f>
        <v/>
      </c>
      <c r="AD108" s="39">
        <f>IF(AC108="","",IF(COUNTIF(AC$6:AC108,AC108)=1,1,0))</f>
        <v/>
      </c>
      <c r="AE108" s="39">
        <f>IF(AB108=0,"",IF(COUNTIFS(X$6:X108,X108,AB$6:AB108,AB108)=1,1,0))</f>
        <v/>
      </c>
      <c r="AF108" s="34">
        <f>IF(C108="","",YEAR(C108-WEEKDAY(C108,2)+4)&amp;"-S"&amp;TEXT(INT((C108-DATE(YEAR(C108-WEEKDAY(C108,2)+4),1,3)+WEEKDAY(DATE(YEAR(C108-WEEKDAY(C108,2)+4),1,3),2)+5)/7),"00"))</f>
        <v/>
      </c>
    </row>
    <row r="109" ht="18" customHeight="1">
      <c r="A109" s="39" t="n">
        <v>104</v>
      </c>
      <c r="B109" s="33">
        <f>IF(C109="","",IF(P109="À RENSEIGNER","GIC",P109)&amp;"-C"&amp;TEXT(A109,"00000"))</f>
        <v/>
      </c>
      <c r="C109" s="32" t="n"/>
      <c r="D109" s="36" t="n"/>
      <c r="E109" s="36" t="n"/>
      <c r="F109" s="36" t="n"/>
      <c r="G109" s="42" t="n"/>
      <c r="H109" s="37" t="n"/>
      <c r="I109" s="37" t="n"/>
      <c r="J109" s="32" t="n"/>
      <c r="K109" s="32" t="n"/>
      <c r="L109" s="43" t="n"/>
      <c r="M109" s="36" t="n"/>
      <c r="N109" s="44" t="n"/>
      <c r="O109" s="36" t="n"/>
      <c r="P109" s="33">
        <f>IF(C109="","",Commercial_Id)</f>
        <v/>
      </c>
      <c r="Q109" s="34">
        <f>IF(AC109="","",IF(AD109=1,"C"&amp;TEXT(SUM(AD$6:AD109),"0000"),INDEX(Q$6:Q108,MATCH(AC109,AC$6:AC108,0))))</f>
        <v/>
      </c>
      <c r="R109" s="34">
        <f>IF(C109="","",IF(L109="☑ Oui","Annulée",IF(OR(E109="Vente directe",K109&lt;&gt;""),"Livrée",IF(J109&lt;&gt;"","Confirmée","En attente"))))</f>
        <v/>
      </c>
      <c r="S109" s="34">
        <f>IF(F109="","",IFERROR(VLOOKUP(F109,T_Produits,2,FALSE),""))</f>
        <v/>
      </c>
      <c r="T109" s="40">
        <f>IF(F109="","",IFERROR(1/(1/VLOOKUP(F109,T_Produits,3,FALSE)),""))</f>
        <v/>
      </c>
      <c r="U109" s="40">
        <f>IF(H109&lt;&gt;"",H109,T109)</f>
        <v/>
      </c>
      <c r="V109" s="40">
        <f>IF(OR(G109="",U109=""),"",G109*U109-N(I109))</f>
        <v/>
      </c>
      <c r="W109" s="39">
        <f>IF(D109="","",IFERROR(VALUE(MID(D109,LEN(D109)-3,3)),""))</f>
        <v/>
      </c>
      <c r="X109" s="33">
        <f>IF(W109="","",P109&amp;"|"&amp;W109)</f>
        <v/>
      </c>
      <c r="Y109" s="33">
        <f>IF(W109="","",IF(P109="À RENSEIGNER","GIC",P109)&amp;"-"&amp;TEXT(W109,"000"))</f>
        <v/>
      </c>
      <c r="Z109" s="33">
        <f>IF(X109="","",IFERROR(INDEX(Cl_nom,MATCH(X109,Cl_cle,0)),"(client introuvable)"))</f>
        <v/>
      </c>
      <c r="AA109" s="33">
        <f>IF(X109="","",IFERROR(INDEX(Cl_quartier,MATCH(X109,Cl_cle,0))&amp;"",""))</f>
        <v/>
      </c>
      <c r="AB109" s="45">
        <f>IF(R109&lt;&gt;"Livrée",0,IF(K109&lt;&gt;"",K109,C109))</f>
        <v/>
      </c>
      <c r="AC109" s="33">
        <f>IF(OR(C109="",W109=""),"",P109&amp;"|"&amp;W109&amp;"|"&amp;C109&amp;"|"&amp;E109)</f>
        <v/>
      </c>
      <c r="AD109" s="39">
        <f>IF(AC109="","",IF(COUNTIF(AC$6:AC109,AC109)=1,1,0))</f>
        <v/>
      </c>
      <c r="AE109" s="39">
        <f>IF(AB109=0,"",IF(COUNTIFS(X$6:X109,X109,AB$6:AB109,AB109)=1,1,0))</f>
        <v/>
      </c>
      <c r="AF109" s="34">
        <f>IF(C109="","",YEAR(C109-WEEKDAY(C109,2)+4)&amp;"-S"&amp;TEXT(INT((C109-DATE(YEAR(C109-WEEKDAY(C109,2)+4),1,3)+WEEKDAY(DATE(YEAR(C109-WEEKDAY(C109,2)+4),1,3),2)+5)/7),"00"))</f>
        <v/>
      </c>
    </row>
    <row r="110" ht="18" customHeight="1">
      <c r="A110" s="39" t="n">
        <v>105</v>
      </c>
      <c r="B110" s="33">
        <f>IF(C110="","",IF(P110="À RENSEIGNER","GIC",P110)&amp;"-C"&amp;TEXT(A110,"00000"))</f>
        <v/>
      </c>
      <c r="C110" s="32" t="n"/>
      <c r="D110" s="36" t="n"/>
      <c r="E110" s="36" t="n"/>
      <c r="F110" s="36" t="n"/>
      <c r="G110" s="42" t="n"/>
      <c r="H110" s="37" t="n"/>
      <c r="I110" s="37" t="n"/>
      <c r="J110" s="32" t="n"/>
      <c r="K110" s="32" t="n"/>
      <c r="L110" s="43" t="n"/>
      <c r="M110" s="36" t="n"/>
      <c r="N110" s="44" t="n"/>
      <c r="O110" s="36" t="n"/>
      <c r="P110" s="33">
        <f>IF(C110="","",Commercial_Id)</f>
        <v/>
      </c>
      <c r="Q110" s="34">
        <f>IF(AC110="","",IF(AD110=1,"C"&amp;TEXT(SUM(AD$6:AD110),"0000"),INDEX(Q$6:Q109,MATCH(AC110,AC$6:AC109,0))))</f>
        <v/>
      </c>
      <c r="R110" s="34">
        <f>IF(C110="","",IF(L110="☑ Oui","Annulée",IF(OR(E110="Vente directe",K110&lt;&gt;""),"Livrée",IF(J110&lt;&gt;"","Confirmée","En attente"))))</f>
        <v/>
      </c>
      <c r="S110" s="34">
        <f>IF(F110="","",IFERROR(VLOOKUP(F110,T_Produits,2,FALSE),""))</f>
        <v/>
      </c>
      <c r="T110" s="40">
        <f>IF(F110="","",IFERROR(1/(1/VLOOKUP(F110,T_Produits,3,FALSE)),""))</f>
        <v/>
      </c>
      <c r="U110" s="40">
        <f>IF(H110&lt;&gt;"",H110,T110)</f>
        <v/>
      </c>
      <c r="V110" s="40">
        <f>IF(OR(G110="",U110=""),"",G110*U110-N(I110))</f>
        <v/>
      </c>
      <c r="W110" s="39">
        <f>IF(D110="","",IFERROR(VALUE(MID(D110,LEN(D110)-3,3)),""))</f>
        <v/>
      </c>
      <c r="X110" s="33">
        <f>IF(W110="","",P110&amp;"|"&amp;W110)</f>
        <v/>
      </c>
      <c r="Y110" s="33">
        <f>IF(W110="","",IF(P110="À RENSEIGNER","GIC",P110)&amp;"-"&amp;TEXT(W110,"000"))</f>
        <v/>
      </c>
      <c r="Z110" s="33">
        <f>IF(X110="","",IFERROR(INDEX(Cl_nom,MATCH(X110,Cl_cle,0)),"(client introuvable)"))</f>
        <v/>
      </c>
      <c r="AA110" s="33">
        <f>IF(X110="","",IFERROR(INDEX(Cl_quartier,MATCH(X110,Cl_cle,0))&amp;"",""))</f>
        <v/>
      </c>
      <c r="AB110" s="45">
        <f>IF(R110&lt;&gt;"Livrée",0,IF(K110&lt;&gt;"",K110,C110))</f>
        <v/>
      </c>
      <c r="AC110" s="33">
        <f>IF(OR(C110="",W110=""),"",P110&amp;"|"&amp;W110&amp;"|"&amp;C110&amp;"|"&amp;E110)</f>
        <v/>
      </c>
      <c r="AD110" s="39">
        <f>IF(AC110="","",IF(COUNTIF(AC$6:AC110,AC110)=1,1,0))</f>
        <v/>
      </c>
      <c r="AE110" s="39">
        <f>IF(AB110=0,"",IF(COUNTIFS(X$6:X110,X110,AB$6:AB110,AB110)=1,1,0))</f>
        <v/>
      </c>
      <c r="AF110" s="34">
        <f>IF(C110="","",YEAR(C110-WEEKDAY(C110,2)+4)&amp;"-S"&amp;TEXT(INT((C110-DATE(YEAR(C110-WEEKDAY(C110,2)+4),1,3)+WEEKDAY(DATE(YEAR(C110-WEEKDAY(C110,2)+4),1,3),2)+5)/7),"00"))</f>
        <v/>
      </c>
    </row>
    <row r="111" ht="18" customHeight="1">
      <c r="A111" s="39" t="n">
        <v>106</v>
      </c>
      <c r="B111" s="33">
        <f>IF(C111="","",IF(P111="À RENSEIGNER","GIC",P111)&amp;"-C"&amp;TEXT(A111,"00000"))</f>
        <v/>
      </c>
      <c r="C111" s="32" t="n"/>
      <c r="D111" s="36" t="n"/>
      <c r="E111" s="36" t="n"/>
      <c r="F111" s="36" t="n"/>
      <c r="G111" s="42" t="n"/>
      <c r="H111" s="37" t="n"/>
      <c r="I111" s="37" t="n"/>
      <c r="J111" s="32" t="n"/>
      <c r="K111" s="32" t="n"/>
      <c r="L111" s="43" t="n"/>
      <c r="M111" s="36" t="n"/>
      <c r="N111" s="44" t="n"/>
      <c r="O111" s="36" t="n"/>
      <c r="P111" s="33">
        <f>IF(C111="","",Commercial_Id)</f>
        <v/>
      </c>
      <c r="Q111" s="34">
        <f>IF(AC111="","",IF(AD111=1,"C"&amp;TEXT(SUM(AD$6:AD111),"0000"),INDEX(Q$6:Q110,MATCH(AC111,AC$6:AC110,0))))</f>
        <v/>
      </c>
      <c r="R111" s="34">
        <f>IF(C111="","",IF(L111="☑ Oui","Annulée",IF(OR(E111="Vente directe",K111&lt;&gt;""),"Livrée",IF(J111&lt;&gt;"","Confirmée","En attente"))))</f>
        <v/>
      </c>
      <c r="S111" s="34">
        <f>IF(F111="","",IFERROR(VLOOKUP(F111,T_Produits,2,FALSE),""))</f>
        <v/>
      </c>
      <c r="T111" s="40">
        <f>IF(F111="","",IFERROR(1/(1/VLOOKUP(F111,T_Produits,3,FALSE)),""))</f>
        <v/>
      </c>
      <c r="U111" s="40">
        <f>IF(H111&lt;&gt;"",H111,T111)</f>
        <v/>
      </c>
      <c r="V111" s="40">
        <f>IF(OR(G111="",U111=""),"",G111*U111-N(I111))</f>
        <v/>
      </c>
      <c r="W111" s="39">
        <f>IF(D111="","",IFERROR(VALUE(MID(D111,LEN(D111)-3,3)),""))</f>
        <v/>
      </c>
      <c r="X111" s="33">
        <f>IF(W111="","",P111&amp;"|"&amp;W111)</f>
        <v/>
      </c>
      <c r="Y111" s="33">
        <f>IF(W111="","",IF(P111="À RENSEIGNER","GIC",P111)&amp;"-"&amp;TEXT(W111,"000"))</f>
        <v/>
      </c>
      <c r="Z111" s="33">
        <f>IF(X111="","",IFERROR(INDEX(Cl_nom,MATCH(X111,Cl_cle,0)),"(client introuvable)"))</f>
        <v/>
      </c>
      <c r="AA111" s="33">
        <f>IF(X111="","",IFERROR(INDEX(Cl_quartier,MATCH(X111,Cl_cle,0))&amp;"",""))</f>
        <v/>
      </c>
      <c r="AB111" s="45">
        <f>IF(R111&lt;&gt;"Livrée",0,IF(K111&lt;&gt;"",K111,C111))</f>
        <v/>
      </c>
      <c r="AC111" s="33">
        <f>IF(OR(C111="",W111=""),"",P111&amp;"|"&amp;W111&amp;"|"&amp;C111&amp;"|"&amp;E111)</f>
        <v/>
      </c>
      <c r="AD111" s="39">
        <f>IF(AC111="","",IF(COUNTIF(AC$6:AC111,AC111)=1,1,0))</f>
        <v/>
      </c>
      <c r="AE111" s="39">
        <f>IF(AB111=0,"",IF(COUNTIFS(X$6:X111,X111,AB$6:AB111,AB111)=1,1,0))</f>
        <v/>
      </c>
      <c r="AF111" s="34">
        <f>IF(C111="","",YEAR(C111-WEEKDAY(C111,2)+4)&amp;"-S"&amp;TEXT(INT((C111-DATE(YEAR(C111-WEEKDAY(C111,2)+4),1,3)+WEEKDAY(DATE(YEAR(C111-WEEKDAY(C111,2)+4),1,3),2)+5)/7),"00"))</f>
        <v/>
      </c>
    </row>
    <row r="112" ht="18" customHeight="1">
      <c r="A112" s="39" t="n">
        <v>107</v>
      </c>
      <c r="B112" s="33">
        <f>IF(C112="","",IF(P112="À RENSEIGNER","GIC",P112)&amp;"-C"&amp;TEXT(A112,"00000"))</f>
        <v/>
      </c>
      <c r="C112" s="32" t="n"/>
      <c r="D112" s="36" t="n"/>
      <c r="E112" s="36" t="n"/>
      <c r="F112" s="36" t="n"/>
      <c r="G112" s="42" t="n"/>
      <c r="H112" s="37" t="n"/>
      <c r="I112" s="37" t="n"/>
      <c r="J112" s="32" t="n"/>
      <c r="K112" s="32" t="n"/>
      <c r="L112" s="43" t="n"/>
      <c r="M112" s="36" t="n"/>
      <c r="N112" s="44" t="n"/>
      <c r="O112" s="36" t="n"/>
      <c r="P112" s="33">
        <f>IF(C112="","",Commercial_Id)</f>
        <v/>
      </c>
      <c r="Q112" s="34">
        <f>IF(AC112="","",IF(AD112=1,"C"&amp;TEXT(SUM(AD$6:AD112),"0000"),INDEX(Q$6:Q111,MATCH(AC112,AC$6:AC111,0))))</f>
        <v/>
      </c>
      <c r="R112" s="34">
        <f>IF(C112="","",IF(L112="☑ Oui","Annulée",IF(OR(E112="Vente directe",K112&lt;&gt;""),"Livrée",IF(J112&lt;&gt;"","Confirmée","En attente"))))</f>
        <v/>
      </c>
      <c r="S112" s="34">
        <f>IF(F112="","",IFERROR(VLOOKUP(F112,T_Produits,2,FALSE),""))</f>
        <v/>
      </c>
      <c r="T112" s="40">
        <f>IF(F112="","",IFERROR(1/(1/VLOOKUP(F112,T_Produits,3,FALSE)),""))</f>
        <v/>
      </c>
      <c r="U112" s="40">
        <f>IF(H112&lt;&gt;"",H112,T112)</f>
        <v/>
      </c>
      <c r="V112" s="40">
        <f>IF(OR(G112="",U112=""),"",G112*U112-N(I112))</f>
        <v/>
      </c>
      <c r="W112" s="39">
        <f>IF(D112="","",IFERROR(VALUE(MID(D112,LEN(D112)-3,3)),""))</f>
        <v/>
      </c>
      <c r="X112" s="33">
        <f>IF(W112="","",P112&amp;"|"&amp;W112)</f>
        <v/>
      </c>
      <c r="Y112" s="33">
        <f>IF(W112="","",IF(P112="À RENSEIGNER","GIC",P112)&amp;"-"&amp;TEXT(W112,"000"))</f>
        <v/>
      </c>
      <c r="Z112" s="33">
        <f>IF(X112="","",IFERROR(INDEX(Cl_nom,MATCH(X112,Cl_cle,0)),"(client introuvable)"))</f>
        <v/>
      </c>
      <c r="AA112" s="33">
        <f>IF(X112="","",IFERROR(INDEX(Cl_quartier,MATCH(X112,Cl_cle,0))&amp;"",""))</f>
        <v/>
      </c>
      <c r="AB112" s="45">
        <f>IF(R112&lt;&gt;"Livrée",0,IF(K112&lt;&gt;"",K112,C112))</f>
        <v/>
      </c>
      <c r="AC112" s="33">
        <f>IF(OR(C112="",W112=""),"",P112&amp;"|"&amp;W112&amp;"|"&amp;C112&amp;"|"&amp;E112)</f>
        <v/>
      </c>
      <c r="AD112" s="39">
        <f>IF(AC112="","",IF(COUNTIF(AC$6:AC112,AC112)=1,1,0))</f>
        <v/>
      </c>
      <c r="AE112" s="39">
        <f>IF(AB112=0,"",IF(COUNTIFS(X$6:X112,X112,AB$6:AB112,AB112)=1,1,0))</f>
        <v/>
      </c>
      <c r="AF112" s="34">
        <f>IF(C112="","",YEAR(C112-WEEKDAY(C112,2)+4)&amp;"-S"&amp;TEXT(INT((C112-DATE(YEAR(C112-WEEKDAY(C112,2)+4),1,3)+WEEKDAY(DATE(YEAR(C112-WEEKDAY(C112,2)+4),1,3),2)+5)/7),"00"))</f>
        <v/>
      </c>
    </row>
    <row r="113" ht="18" customHeight="1">
      <c r="A113" s="39" t="n">
        <v>108</v>
      </c>
      <c r="B113" s="33">
        <f>IF(C113="","",IF(P113="À RENSEIGNER","GIC",P113)&amp;"-C"&amp;TEXT(A113,"00000"))</f>
        <v/>
      </c>
      <c r="C113" s="32" t="n"/>
      <c r="D113" s="36" t="n"/>
      <c r="E113" s="36" t="n"/>
      <c r="F113" s="36" t="n"/>
      <c r="G113" s="42" t="n"/>
      <c r="H113" s="37" t="n"/>
      <c r="I113" s="37" t="n"/>
      <c r="J113" s="32" t="n"/>
      <c r="K113" s="32" t="n"/>
      <c r="L113" s="43" t="n"/>
      <c r="M113" s="36" t="n"/>
      <c r="N113" s="44" t="n"/>
      <c r="O113" s="36" t="n"/>
      <c r="P113" s="33">
        <f>IF(C113="","",Commercial_Id)</f>
        <v/>
      </c>
      <c r="Q113" s="34">
        <f>IF(AC113="","",IF(AD113=1,"C"&amp;TEXT(SUM(AD$6:AD113),"0000"),INDEX(Q$6:Q112,MATCH(AC113,AC$6:AC112,0))))</f>
        <v/>
      </c>
      <c r="R113" s="34">
        <f>IF(C113="","",IF(L113="☑ Oui","Annulée",IF(OR(E113="Vente directe",K113&lt;&gt;""),"Livrée",IF(J113&lt;&gt;"","Confirmée","En attente"))))</f>
        <v/>
      </c>
      <c r="S113" s="34">
        <f>IF(F113="","",IFERROR(VLOOKUP(F113,T_Produits,2,FALSE),""))</f>
        <v/>
      </c>
      <c r="T113" s="40">
        <f>IF(F113="","",IFERROR(1/(1/VLOOKUP(F113,T_Produits,3,FALSE)),""))</f>
        <v/>
      </c>
      <c r="U113" s="40">
        <f>IF(H113&lt;&gt;"",H113,T113)</f>
        <v/>
      </c>
      <c r="V113" s="40">
        <f>IF(OR(G113="",U113=""),"",G113*U113-N(I113))</f>
        <v/>
      </c>
      <c r="W113" s="39">
        <f>IF(D113="","",IFERROR(VALUE(MID(D113,LEN(D113)-3,3)),""))</f>
        <v/>
      </c>
      <c r="X113" s="33">
        <f>IF(W113="","",P113&amp;"|"&amp;W113)</f>
        <v/>
      </c>
      <c r="Y113" s="33">
        <f>IF(W113="","",IF(P113="À RENSEIGNER","GIC",P113)&amp;"-"&amp;TEXT(W113,"000"))</f>
        <v/>
      </c>
      <c r="Z113" s="33">
        <f>IF(X113="","",IFERROR(INDEX(Cl_nom,MATCH(X113,Cl_cle,0)),"(client introuvable)"))</f>
        <v/>
      </c>
      <c r="AA113" s="33">
        <f>IF(X113="","",IFERROR(INDEX(Cl_quartier,MATCH(X113,Cl_cle,0))&amp;"",""))</f>
        <v/>
      </c>
      <c r="AB113" s="45">
        <f>IF(R113&lt;&gt;"Livrée",0,IF(K113&lt;&gt;"",K113,C113))</f>
        <v/>
      </c>
      <c r="AC113" s="33">
        <f>IF(OR(C113="",W113=""),"",P113&amp;"|"&amp;W113&amp;"|"&amp;C113&amp;"|"&amp;E113)</f>
        <v/>
      </c>
      <c r="AD113" s="39">
        <f>IF(AC113="","",IF(COUNTIF(AC$6:AC113,AC113)=1,1,0))</f>
        <v/>
      </c>
      <c r="AE113" s="39">
        <f>IF(AB113=0,"",IF(COUNTIFS(X$6:X113,X113,AB$6:AB113,AB113)=1,1,0))</f>
        <v/>
      </c>
      <c r="AF113" s="34">
        <f>IF(C113="","",YEAR(C113-WEEKDAY(C113,2)+4)&amp;"-S"&amp;TEXT(INT((C113-DATE(YEAR(C113-WEEKDAY(C113,2)+4),1,3)+WEEKDAY(DATE(YEAR(C113-WEEKDAY(C113,2)+4),1,3),2)+5)/7),"00"))</f>
        <v/>
      </c>
    </row>
    <row r="114" ht="18" customHeight="1">
      <c r="A114" s="39" t="n">
        <v>109</v>
      </c>
      <c r="B114" s="33">
        <f>IF(C114="","",IF(P114="À RENSEIGNER","GIC",P114)&amp;"-C"&amp;TEXT(A114,"00000"))</f>
        <v/>
      </c>
      <c r="C114" s="32" t="n"/>
      <c r="D114" s="36" t="n"/>
      <c r="E114" s="36" t="n"/>
      <c r="F114" s="36" t="n"/>
      <c r="G114" s="42" t="n"/>
      <c r="H114" s="37" t="n"/>
      <c r="I114" s="37" t="n"/>
      <c r="J114" s="32" t="n"/>
      <c r="K114" s="32" t="n"/>
      <c r="L114" s="43" t="n"/>
      <c r="M114" s="36" t="n"/>
      <c r="N114" s="44" t="n"/>
      <c r="O114" s="36" t="n"/>
      <c r="P114" s="33">
        <f>IF(C114="","",Commercial_Id)</f>
        <v/>
      </c>
      <c r="Q114" s="34">
        <f>IF(AC114="","",IF(AD114=1,"C"&amp;TEXT(SUM(AD$6:AD114),"0000"),INDEX(Q$6:Q113,MATCH(AC114,AC$6:AC113,0))))</f>
        <v/>
      </c>
      <c r="R114" s="34">
        <f>IF(C114="","",IF(L114="☑ Oui","Annulée",IF(OR(E114="Vente directe",K114&lt;&gt;""),"Livrée",IF(J114&lt;&gt;"","Confirmée","En attente"))))</f>
        <v/>
      </c>
      <c r="S114" s="34">
        <f>IF(F114="","",IFERROR(VLOOKUP(F114,T_Produits,2,FALSE),""))</f>
        <v/>
      </c>
      <c r="T114" s="40">
        <f>IF(F114="","",IFERROR(1/(1/VLOOKUP(F114,T_Produits,3,FALSE)),""))</f>
        <v/>
      </c>
      <c r="U114" s="40">
        <f>IF(H114&lt;&gt;"",H114,T114)</f>
        <v/>
      </c>
      <c r="V114" s="40">
        <f>IF(OR(G114="",U114=""),"",G114*U114-N(I114))</f>
        <v/>
      </c>
      <c r="W114" s="39">
        <f>IF(D114="","",IFERROR(VALUE(MID(D114,LEN(D114)-3,3)),""))</f>
        <v/>
      </c>
      <c r="X114" s="33">
        <f>IF(W114="","",P114&amp;"|"&amp;W114)</f>
        <v/>
      </c>
      <c r="Y114" s="33">
        <f>IF(W114="","",IF(P114="À RENSEIGNER","GIC",P114)&amp;"-"&amp;TEXT(W114,"000"))</f>
        <v/>
      </c>
      <c r="Z114" s="33">
        <f>IF(X114="","",IFERROR(INDEX(Cl_nom,MATCH(X114,Cl_cle,0)),"(client introuvable)"))</f>
        <v/>
      </c>
      <c r="AA114" s="33">
        <f>IF(X114="","",IFERROR(INDEX(Cl_quartier,MATCH(X114,Cl_cle,0))&amp;"",""))</f>
        <v/>
      </c>
      <c r="AB114" s="45">
        <f>IF(R114&lt;&gt;"Livrée",0,IF(K114&lt;&gt;"",K114,C114))</f>
        <v/>
      </c>
      <c r="AC114" s="33">
        <f>IF(OR(C114="",W114=""),"",P114&amp;"|"&amp;W114&amp;"|"&amp;C114&amp;"|"&amp;E114)</f>
        <v/>
      </c>
      <c r="AD114" s="39">
        <f>IF(AC114="","",IF(COUNTIF(AC$6:AC114,AC114)=1,1,0))</f>
        <v/>
      </c>
      <c r="AE114" s="39">
        <f>IF(AB114=0,"",IF(COUNTIFS(X$6:X114,X114,AB$6:AB114,AB114)=1,1,0))</f>
        <v/>
      </c>
      <c r="AF114" s="34">
        <f>IF(C114="","",YEAR(C114-WEEKDAY(C114,2)+4)&amp;"-S"&amp;TEXT(INT((C114-DATE(YEAR(C114-WEEKDAY(C114,2)+4),1,3)+WEEKDAY(DATE(YEAR(C114-WEEKDAY(C114,2)+4),1,3),2)+5)/7),"00"))</f>
        <v/>
      </c>
    </row>
    <row r="115" ht="18" customHeight="1">
      <c r="A115" s="39" t="n">
        <v>110</v>
      </c>
      <c r="B115" s="33">
        <f>IF(C115="","",IF(P115="À RENSEIGNER","GIC",P115)&amp;"-C"&amp;TEXT(A115,"00000"))</f>
        <v/>
      </c>
      <c r="C115" s="32" t="n"/>
      <c r="D115" s="36" t="n"/>
      <c r="E115" s="36" t="n"/>
      <c r="F115" s="36" t="n"/>
      <c r="G115" s="42" t="n"/>
      <c r="H115" s="37" t="n"/>
      <c r="I115" s="37" t="n"/>
      <c r="J115" s="32" t="n"/>
      <c r="K115" s="32" t="n"/>
      <c r="L115" s="43" t="n"/>
      <c r="M115" s="36" t="n"/>
      <c r="N115" s="44" t="n"/>
      <c r="O115" s="36" t="n"/>
      <c r="P115" s="33">
        <f>IF(C115="","",Commercial_Id)</f>
        <v/>
      </c>
      <c r="Q115" s="34">
        <f>IF(AC115="","",IF(AD115=1,"C"&amp;TEXT(SUM(AD$6:AD115),"0000"),INDEX(Q$6:Q114,MATCH(AC115,AC$6:AC114,0))))</f>
        <v/>
      </c>
      <c r="R115" s="34">
        <f>IF(C115="","",IF(L115="☑ Oui","Annulée",IF(OR(E115="Vente directe",K115&lt;&gt;""),"Livrée",IF(J115&lt;&gt;"","Confirmée","En attente"))))</f>
        <v/>
      </c>
      <c r="S115" s="34">
        <f>IF(F115="","",IFERROR(VLOOKUP(F115,T_Produits,2,FALSE),""))</f>
        <v/>
      </c>
      <c r="T115" s="40">
        <f>IF(F115="","",IFERROR(1/(1/VLOOKUP(F115,T_Produits,3,FALSE)),""))</f>
        <v/>
      </c>
      <c r="U115" s="40">
        <f>IF(H115&lt;&gt;"",H115,T115)</f>
        <v/>
      </c>
      <c r="V115" s="40">
        <f>IF(OR(G115="",U115=""),"",G115*U115-N(I115))</f>
        <v/>
      </c>
      <c r="W115" s="39">
        <f>IF(D115="","",IFERROR(VALUE(MID(D115,LEN(D115)-3,3)),""))</f>
        <v/>
      </c>
      <c r="X115" s="33">
        <f>IF(W115="","",P115&amp;"|"&amp;W115)</f>
        <v/>
      </c>
      <c r="Y115" s="33">
        <f>IF(W115="","",IF(P115="À RENSEIGNER","GIC",P115)&amp;"-"&amp;TEXT(W115,"000"))</f>
        <v/>
      </c>
      <c r="Z115" s="33">
        <f>IF(X115="","",IFERROR(INDEX(Cl_nom,MATCH(X115,Cl_cle,0)),"(client introuvable)"))</f>
        <v/>
      </c>
      <c r="AA115" s="33">
        <f>IF(X115="","",IFERROR(INDEX(Cl_quartier,MATCH(X115,Cl_cle,0))&amp;"",""))</f>
        <v/>
      </c>
      <c r="AB115" s="45">
        <f>IF(R115&lt;&gt;"Livrée",0,IF(K115&lt;&gt;"",K115,C115))</f>
        <v/>
      </c>
      <c r="AC115" s="33">
        <f>IF(OR(C115="",W115=""),"",P115&amp;"|"&amp;W115&amp;"|"&amp;C115&amp;"|"&amp;E115)</f>
        <v/>
      </c>
      <c r="AD115" s="39">
        <f>IF(AC115="","",IF(COUNTIF(AC$6:AC115,AC115)=1,1,0))</f>
        <v/>
      </c>
      <c r="AE115" s="39">
        <f>IF(AB115=0,"",IF(COUNTIFS(X$6:X115,X115,AB$6:AB115,AB115)=1,1,0))</f>
        <v/>
      </c>
      <c r="AF115" s="34">
        <f>IF(C115="","",YEAR(C115-WEEKDAY(C115,2)+4)&amp;"-S"&amp;TEXT(INT((C115-DATE(YEAR(C115-WEEKDAY(C115,2)+4),1,3)+WEEKDAY(DATE(YEAR(C115-WEEKDAY(C115,2)+4),1,3),2)+5)/7),"00"))</f>
        <v/>
      </c>
    </row>
    <row r="116" ht="18" customHeight="1">
      <c r="A116" s="39" t="n">
        <v>111</v>
      </c>
      <c r="B116" s="33">
        <f>IF(C116="","",IF(P116="À RENSEIGNER","GIC",P116)&amp;"-C"&amp;TEXT(A116,"00000"))</f>
        <v/>
      </c>
      <c r="C116" s="32" t="n"/>
      <c r="D116" s="36" t="n"/>
      <c r="E116" s="36" t="n"/>
      <c r="F116" s="36" t="n"/>
      <c r="G116" s="42" t="n"/>
      <c r="H116" s="37" t="n"/>
      <c r="I116" s="37" t="n"/>
      <c r="J116" s="32" t="n"/>
      <c r="K116" s="32" t="n"/>
      <c r="L116" s="43" t="n"/>
      <c r="M116" s="36" t="n"/>
      <c r="N116" s="44" t="n"/>
      <c r="O116" s="36" t="n"/>
      <c r="P116" s="33">
        <f>IF(C116="","",Commercial_Id)</f>
        <v/>
      </c>
      <c r="Q116" s="34">
        <f>IF(AC116="","",IF(AD116=1,"C"&amp;TEXT(SUM(AD$6:AD116),"0000"),INDEX(Q$6:Q115,MATCH(AC116,AC$6:AC115,0))))</f>
        <v/>
      </c>
      <c r="R116" s="34">
        <f>IF(C116="","",IF(L116="☑ Oui","Annulée",IF(OR(E116="Vente directe",K116&lt;&gt;""),"Livrée",IF(J116&lt;&gt;"","Confirmée","En attente"))))</f>
        <v/>
      </c>
      <c r="S116" s="34">
        <f>IF(F116="","",IFERROR(VLOOKUP(F116,T_Produits,2,FALSE),""))</f>
        <v/>
      </c>
      <c r="T116" s="40">
        <f>IF(F116="","",IFERROR(1/(1/VLOOKUP(F116,T_Produits,3,FALSE)),""))</f>
        <v/>
      </c>
      <c r="U116" s="40">
        <f>IF(H116&lt;&gt;"",H116,T116)</f>
        <v/>
      </c>
      <c r="V116" s="40">
        <f>IF(OR(G116="",U116=""),"",G116*U116-N(I116))</f>
        <v/>
      </c>
      <c r="W116" s="39">
        <f>IF(D116="","",IFERROR(VALUE(MID(D116,LEN(D116)-3,3)),""))</f>
        <v/>
      </c>
      <c r="X116" s="33">
        <f>IF(W116="","",P116&amp;"|"&amp;W116)</f>
        <v/>
      </c>
      <c r="Y116" s="33">
        <f>IF(W116="","",IF(P116="À RENSEIGNER","GIC",P116)&amp;"-"&amp;TEXT(W116,"000"))</f>
        <v/>
      </c>
      <c r="Z116" s="33">
        <f>IF(X116="","",IFERROR(INDEX(Cl_nom,MATCH(X116,Cl_cle,0)),"(client introuvable)"))</f>
        <v/>
      </c>
      <c r="AA116" s="33">
        <f>IF(X116="","",IFERROR(INDEX(Cl_quartier,MATCH(X116,Cl_cle,0))&amp;"",""))</f>
        <v/>
      </c>
      <c r="AB116" s="45">
        <f>IF(R116&lt;&gt;"Livrée",0,IF(K116&lt;&gt;"",K116,C116))</f>
        <v/>
      </c>
      <c r="AC116" s="33">
        <f>IF(OR(C116="",W116=""),"",P116&amp;"|"&amp;W116&amp;"|"&amp;C116&amp;"|"&amp;E116)</f>
        <v/>
      </c>
      <c r="AD116" s="39">
        <f>IF(AC116="","",IF(COUNTIF(AC$6:AC116,AC116)=1,1,0))</f>
        <v/>
      </c>
      <c r="AE116" s="39">
        <f>IF(AB116=0,"",IF(COUNTIFS(X$6:X116,X116,AB$6:AB116,AB116)=1,1,0))</f>
        <v/>
      </c>
      <c r="AF116" s="34">
        <f>IF(C116="","",YEAR(C116-WEEKDAY(C116,2)+4)&amp;"-S"&amp;TEXT(INT((C116-DATE(YEAR(C116-WEEKDAY(C116,2)+4),1,3)+WEEKDAY(DATE(YEAR(C116-WEEKDAY(C116,2)+4),1,3),2)+5)/7),"00"))</f>
        <v/>
      </c>
    </row>
    <row r="117" ht="18" customHeight="1">
      <c r="A117" s="39" t="n">
        <v>112</v>
      </c>
      <c r="B117" s="33">
        <f>IF(C117="","",IF(P117="À RENSEIGNER","GIC",P117)&amp;"-C"&amp;TEXT(A117,"00000"))</f>
        <v/>
      </c>
      <c r="C117" s="32" t="n"/>
      <c r="D117" s="36" t="n"/>
      <c r="E117" s="36" t="n"/>
      <c r="F117" s="36" t="n"/>
      <c r="G117" s="42" t="n"/>
      <c r="H117" s="37" t="n"/>
      <c r="I117" s="37" t="n"/>
      <c r="J117" s="32" t="n"/>
      <c r="K117" s="32" t="n"/>
      <c r="L117" s="43" t="n"/>
      <c r="M117" s="36" t="n"/>
      <c r="N117" s="44" t="n"/>
      <c r="O117" s="36" t="n"/>
      <c r="P117" s="33">
        <f>IF(C117="","",Commercial_Id)</f>
        <v/>
      </c>
      <c r="Q117" s="34">
        <f>IF(AC117="","",IF(AD117=1,"C"&amp;TEXT(SUM(AD$6:AD117),"0000"),INDEX(Q$6:Q116,MATCH(AC117,AC$6:AC116,0))))</f>
        <v/>
      </c>
      <c r="R117" s="34">
        <f>IF(C117="","",IF(L117="☑ Oui","Annulée",IF(OR(E117="Vente directe",K117&lt;&gt;""),"Livrée",IF(J117&lt;&gt;"","Confirmée","En attente"))))</f>
        <v/>
      </c>
      <c r="S117" s="34">
        <f>IF(F117="","",IFERROR(VLOOKUP(F117,T_Produits,2,FALSE),""))</f>
        <v/>
      </c>
      <c r="T117" s="40">
        <f>IF(F117="","",IFERROR(1/(1/VLOOKUP(F117,T_Produits,3,FALSE)),""))</f>
        <v/>
      </c>
      <c r="U117" s="40">
        <f>IF(H117&lt;&gt;"",H117,T117)</f>
        <v/>
      </c>
      <c r="V117" s="40">
        <f>IF(OR(G117="",U117=""),"",G117*U117-N(I117))</f>
        <v/>
      </c>
      <c r="W117" s="39">
        <f>IF(D117="","",IFERROR(VALUE(MID(D117,LEN(D117)-3,3)),""))</f>
        <v/>
      </c>
      <c r="X117" s="33">
        <f>IF(W117="","",P117&amp;"|"&amp;W117)</f>
        <v/>
      </c>
      <c r="Y117" s="33">
        <f>IF(W117="","",IF(P117="À RENSEIGNER","GIC",P117)&amp;"-"&amp;TEXT(W117,"000"))</f>
        <v/>
      </c>
      <c r="Z117" s="33">
        <f>IF(X117="","",IFERROR(INDEX(Cl_nom,MATCH(X117,Cl_cle,0)),"(client introuvable)"))</f>
        <v/>
      </c>
      <c r="AA117" s="33">
        <f>IF(X117="","",IFERROR(INDEX(Cl_quartier,MATCH(X117,Cl_cle,0))&amp;"",""))</f>
        <v/>
      </c>
      <c r="AB117" s="45">
        <f>IF(R117&lt;&gt;"Livrée",0,IF(K117&lt;&gt;"",K117,C117))</f>
        <v/>
      </c>
      <c r="AC117" s="33">
        <f>IF(OR(C117="",W117=""),"",P117&amp;"|"&amp;W117&amp;"|"&amp;C117&amp;"|"&amp;E117)</f>
        <v/>
      </c>
      <c r="AD117" s="39">
        <f>IF(AC117="","",IF(COUNTIF(AC$6:AC117,AC117)=1,1,0))</f>
        <v/>
      </c>
      <c r="AE117" s="39">
        <f>IF(AB117=0,"",IF(COUNTIFS(X$6:X117,X117,AB$6:AB117,AB117)=1,1,0))</f>
        <v/>
      </c>
      <c r="AF117" s="34">
        <f>IF(C117="","",YEAR(C117-WEEKDAY(C117,2)+4)&amp;"-S"&amp;TEXT(INT((C117-DATE(YEAR(C117-WEEKDAY(C117,2)+4),1,3)+WEEKDAY(DATE(YEAR(C117-WEEKDAY(C117,2)+4),1,3),2)+5)/7),"00"))</f>
        <v/>
      </c>
    </row>
    <row r="118" ht="18" customHeight="1">
      <c r="A118" s="39" t="n">
        <v>113</v>
      </c>
      <c r="B118" s="33">
        <f>IF(C118="","",IF(P118="À RENSEIGNER","GIC",P118)&amp;"-C"&amp;TEXT(A118,"00000"))</f>
        <v/>
      </c>
      <c r="C118" s="32" t="n"/>
      <c r="D118" s="36" t="n"/>
      <c r="E118" s="36" t="n"/>
      <c r="F118" s="36" t="n"/>
      <c r="G118" s="42" t="n"/>
      <c r="H118" s="37" t="n"/>
      <c r="I118" s="37" t="n"/>
      <c r="J118" s="32" t="n"/>
      <c r="K118" s="32" t="n"/>
      <c r="L118" s="43" t="n"/>
      <c r="M118" s="36" t="n"/>
      <c r="N118" s="44" t="n"/>
      <c r="O118" s="36" t="n"/>
      <c r="P118" s="33">
        <f>IF(C118="","",Commercial_Id)</f>
        <v/>
      </c>
      <c r="Q118" s="34">
        <f>IF(AC118="","",IF(AD118=1,"C"&amp;TEXT(SUM(AD$6:AD118),"0000"),INDEX(Q$6:Q117,MATCH(AC118,AC$6:AC117,0))))</f>
        <v/>
      </c>
      <c r="R118" s="34">
        <f>IF(C118="","",IF(L118="☑ Oui","Annulée",IF(OR(E118="Vente directe",K118&lt;&gt;""),"Livrée",IF(J118&lt;&gt;"","Confirmée","En attente"))))</f>
        <v/>
      </c>
      <c r="S118" s="34">
        <f>IF(F118="","",IFERROR(VLOOKUP(F118,T_Produits,2,FALSE),""))</f>
        <v/>
      </c>
      <c r="T118" s="40">
        <f>IF(F118="","",IFERROR(1/(1/VLOOKUP(F118,T_Produits,3,FALSE)),""))</f>
        <v/>
      </c>
      <c r="U118" s="40">
        <f>IF(H118&lt;&gt;"",H118,T118)</f>
        <v/>
      </c>
      <c r="V118" s="40">
        <f>IF(OR(G118="",U118=""),"",G118*U118-N(I118))</f>
        <v/>
      </c>
      <c r="W118" s="39">
        <f>IF(D118="","",IFERROR(VALUE(MID(D118,LEN(D118)-3,3)),""))</f>
        <v/>
      </c>
      <c r="X118" s="33">
        <f>IF(W118="","",P118&amp;"|"&amp;W118)</f>
        <v/>
      </c>
      <c r="Y118" s="33">
        <f>IF(W118="","",IF(P118="À RENSEIGNER","GIC",P118)&amp;"-"&amp;TEXT(W118,"000"))</f>
        <v/>
      </c>
      <c r="Z118" s="33">
        <f>IF(X118="","",IFERROR(INDEX(Cl_nom,MATCH(X118,Cl_cle,0)),"(client introuvable)"))</f>
        <v/>
      </c>
      <c r="AA118" s="33">
        <f>IF(X118="","",IFERROR(INDEX(Cl_quartier,MATCH(X118,Cl_cle,0))&amp;"",""))</f>
        <v/>
      </c>
      <c r="AB118" s="45">
        <f>IF(R118&lt;&gt;"Livrée",0,IF(K118&lt;&gt;"",K118,C118))</f>
        <v/>
      </c>
      <c r="AC118" s="33">
        <f>IF(OR(C118="",W118=""),"",P118&amp;"|"&amp;W118&amp;"|"&amp;C118&amp;"|"&amp;E118)</f>
        <v/>
      </c>
      <c r="AD118" s="39">
        <f>IF(AC118="","",IF(COUNTIF(AC$6:AC118,AC118)=1,1,0))</f>
        <v/>
      </c>
      <c r="AE118" s="39">
        <f>IF(AB118=0,"",IF(COUNTIFS(X$6:X118,X118,AB$6:AB118,AB118)=1,1,0))</f>
        <v/>
      </c>
      <c r="AF118" s="34">
        <f>IF(C118="","",YEAR(C118-WEEKDAY(C118,2)+4)&amp;"-S"&amp;TEXT(INT((C118-DATE(YEAR(C118-WEEKDAY(C118,2)+4),1,3)+WEEKDAY(DATE(YEAR(C118-WEEKDAY(C118,2)+4),1,3),2)+5)/7),"00"))</f>
        <v/>
      </c>
    </row>
    <row r="119" ht="18" customHeight="1">
      <c r="A119" s="39" t="n">
        <v>114</v>
      </c>
      <c r="B119" s="33">
        <f>IF(C119="","",IF(P119="À RENSEIGNER","GIC",P119)&amp;"-C"&amp;TEXT(A119,"00000"))</f>
        <v/>
      </c>
      <c r="C119" s="32" t="n"/>
      <c r="D119" s="36" t="n"/>
      <c r="E119" s="36" t="n"/>
      <c r="F119" s="36" t="n"/>
      <c r="G119" s="42" t="n"/>
      <c r="H119" s="37" t="n"/>
      <c r="I119" s="37" t="n"/>
      <c r="J119" s="32" t="n"/>
      <c r="K119" s="32" t="n"/>
      <c r="L119" s="43" t="n"/>
      <c r="M119" s="36" t="n"/>
      <c r="N119" s="44" t="n"/>
      <c r="O119" s="36" t="n"/>
      <c r="P119" s="33">
        <f>IF(C119="","",Commercial_Id)</f>
        <v/>
      </c>
      <c r="Q119" s="34">
        <f>IF(AC119="","",IF(AD119=1,"C"&amp;TEXT(SUM(AD$6:AD119),"0000"),INDEX(Q$6:Q118,MATCH(AC119,AC$6:AC118,0))))</f>
        <v/>
      </c>
      <c r="R119" s="34">
        <f>IF(C119="","",IF(L119="☑ Oui","Annulée",IF(OR(E119="Vente directe",K119&lt;&gt;""),"Livrée",IF(J119&lt;&gt;"","Confirmée","En attente"))))</f>
        <v/>
      </c>
      <c r="S119" s="34">
        <f>IF(F119="","",IFERROR(VLOOKUP(F119,T_Produits,2,FALSE),""))</f>
        <v/>
      </c>
      <c r="T119" s="40">
        <f>IF(F119="","",IFERROR(1/(1/VLOOKUP(F119,T_Produits,3,FALSE)),""))</f>
        <v/>
      </c>
      <c r="U119" s="40">
        <f>IF(H119&lt;&gt;"",H119,T119)</f>
        <v/>
      </c>
      <c r="V119" s="40">
        <f>IF(OR(G119="",U119=""),"",G119*U119-N(I119))</f>
        <v/>
      </c>
      <c r="W119" s="39">
        <f>IF(D119="","",IFERROR(VALUE(MID(D119,LEN(D119)-3,3)),""))</f>
        <v/>
      </c>
      <c r="X119" s="33">
        <f>IF(W119="","",P119&amp;"|"&amp;W119)</f>
        <v/>
      </c>
      <c r="Y119" s="33">
        <f>IF(W119="","",IF(P119="À RENSEIGNER","GIC",P119)&amp;"-"&amp;TEXT(W119,"000"))</f>
        <v/>
      </c>
      <c r="Z119" s="33">
        <f>IF(X119="","",IFERROR(INDEX(Cl_nom,MATCH(X119,Cl_cle,0)),"(client introuvable)"))</f>
        <v/>
      </c>
      <c r="AA119" s="33">
        <f>IF(X119="","",IFERROR(INDEX(Cl_quartier,MATCH(X119,Cl_cle,0))&amp;"",""))</f>
        <v/>
      </c>
      <c r="AB119" s="45">
        <f>IF(R119&lt;&gt;"Livrée",0,IF(K119&lt;&gt;"",K119,C119))</f>
        <v/>
      </c>
      <c r="AC119" s="33">
        <f>IF(OR(C119="",W119=""),"",P119&amp;"|"&amp;W119&amp;"|"&amp;C119&amp;"|"&amp;E119)</f>
        <v/>
      </c>
      <c r="AD119" s="39">
        <f>IF(AC119="","",IF(COUNTIF(AC$6:AC119,AC119)=1,1,0))</f>
        <v/>
      </c>
      <c r="AE119" s="39">
        <f>IF(AB119=0,"",IF(COUNTIFS(X$6:X119,X119,AB$6:AB119,AB119)=1,1,0))</f>
        <v/>
      </c>
      <c r="AF119" s="34">
        <f>IF(C119="","",YEAR(C119-WEEKDAY(C119,2)+4)&amp;"-S"&amp;TEXT(INT((C119-DATE(YEAR(C119-WEEKDAY(C119,2)+4),1,3)+WEEKDAY(DATE(YEAR(C119-WEEKDAY(C119,2)+4),1,3),2)+5)/7),"00"))</f>
        <v/>
      </c>
    </row>
    <row r="120" ht="18" customHeight="1">
      <c r="A120" s="39" t="n">
        <v>115</v>
      </c>
      <c r="B120" s="33">
        <f>IF(C120="","",IF(P120="À RENSEIGNER","GIC",P120)&amp;"-C"&amp;TEXT(A120,"00000"))</f>
        <v/>
      </c>
      <c r="C120" s="32" t="n"/>
      <c r="D120" s="36" t="n"/>
      <c r="E120" s="36" t="n"/>
      <c r="F120" s="36" t="n"/>
      <c r="G120" s="42" t="n"/>
      <c r="H120" s="37" t="n"/>
      <c r="I120" s="37" t="n"/>
      <c r="J120" s="32" t="n"/>
      <c r="K120" s="32" t="n"/>
      <c r="L120" s="43" t="n"/>
      <c r="M120" s="36" t="n"/>
      <c r="N120" s="44" t="n"/>
      <c r="O120" s="36" t="n"/>
      <c r="P120" s="33">
        <f>IF(C120="","",Commercial_Id)</f>
        <v/>
      </c>
      <c r="Q120" s="34">
        <f>IF(AC120="","",IF(AD120=1,"C"&amp;TEXT(SUM(AD$6:AD120),"0000"),INDEX(Q$6:Q119,MATCH(AC120,AC$6:AC119,0))))</f>
        <v/>
      </c>
      <c r="R120" s="34">
        <f>IF(C120="","",IF(L120="☑ Oui","Annulée",IF(OR(E120="Vente directe",K120&lt;&gt;""),"Livrée",IF(J120&lt;&gt;"","Confirmée","En attente"))))</f>
        <v/>
      </c>
      <c r="S120" s="34">
        <f>IF(F120="","",IFERROR(VLOOKUP(F120,T_Produits,2,FALSE),""))</f>
        <v/>
      </c>
      <c r="T120" s="40">
        <f>IF(F120="","",IFERROR(1/(1/VLOOKUP(F120,T_Produits,3,FALSE)),""))</f>
        <v/>
      </c>
      <c r="U120" s="40">
        <f>IF(H120&lt;&gt;"",H120,T120)</f>
        <v/>
      </c>
      <c r="V120" s="40">
        <f>IF(OR(G120="",U120=""),"",G120*U120-N(I120))</f>
        <v/>
      </c>
      <c r="W120" s="39">
        <f>IF(D120="","",IFERROR(VALUE(MID(D120,LEN(D120)-3,3)),""))</f>
        <v/>
      </c>
      <c r="X120" s="33">
        <f>IF(W120="","",P120&amp;"|"&amp;W120)</f>
        <v/>
      </c>
      <c r="Y120" s="33">
        <f>IF(W120="","",IF(P120="À RENSEIGNER","GIC",P120)&amp;"-"&amp;TEXT(W120,"000"))</f>
        <v/>
      </c>
      <c r="Z120" s="33">
        <f>IF(X120="","",IFERROR(INDEX(Cl_nom,MATCH(X120,Cl_cle,0)),"(client introuvable)"))</f>
        <v/>
      </c>
      <c r="AA120" s="33">
        <f>IF(X120="","",IFERROR(INDEX(Cl_quartier,MATCH(X120,Cl_cle,0))&amp;"",""))</f>
        <v/>
      </c>
      <c r="AB120" s="45">
        <f>IF(R120&lt;&gt;"Livrée",0,IF(K120&lt;&gt;"",K120,C120))</f>
        <v/>
      </c>
      <c r="AC120" s="33">
        <f>IF(OR(C120="",W120=""),"",P120&amp;"|"&amp;W120&amp;"|"&amp;C120&amp;"|"&amp;E120)</f>
        <v/>
      </c>
      <c r="AD120" s="39">
        <f>IF(AC120="","",IF(COUNTIF(AC$6:AC120,AC120)=1,1,0))</f>
        <v/>
      </c>
      <c r="AE120" s="39">
        <f>IF(AB120=0,"",IF(COUNTIFS(X$6:X120,X120,AB$6:AB120,AB120)=1,1,0))</f>
        <v/>
      </c>
      <c r="AF120" s="34">
        <f>IF(C120="","",YEAR(C120-WEEKDAY(C120,2)+4)&amp;"-S"&amp;TEXT(INT((C120-DATE(YEAR(C120-WEEKDAY(C120,2)+4),1,3)+WEEKDAY(DATE(YEAR(C120-WEEKDAY(C120,2)+4),1,3),2)+5)/7),"00"))</f>
        <v/>
      </c>
    </row>
    <row r="121" ht="18" customHeight="1">
      <c r="A121" s="39" t="n">
        <v>116</v>
      </c>
      <c r="B121" s="33">
        <f>IF(C121="","",IF(P121="À RENSEIGNER","GIC",P121)&amp;"-C"&amp;TEXT(A121,"00000"))</f>
        <v/>
      </c>
      <c r="C121" s="32" t="n"/>
      <c r="D121" s="36" t="n"/>
      <c r="E121" s="36" t="n"/>
      <c r="F121" s="36" t="n"/>
      <c r="G121" s="42" t="n"/>
      <c r="H121" s="37" t="n"/>
      <c r="I121" s="37" t="n"/>
      <c r="J121" s="32" t="n"/>
      <c r="K121" s="32" t="n"/>
      <c r="L121" s="43" t="n"/>
      <c r="M121" s="36" t="n"/>
      <c r="N121" s="44" t="n"/>
      <c r="O121" s="36" t="n"/>
      <c r="P121" s="33">
        <f>IF(C121="","",Commercial_Id)</f>
        <v/>
      </c>
      <c r="Q121" s="34">
        <f>IF(AC121="","",IF(AD121=1,"C"&amp;TEXT(SUM(AD$6:AD121),"0000"),INDEX(Q$6:Q120,MATCH(AC121,AC$6:AC120,0))))</f>
        <v/>
      </c>
      <c r="R121" s="34">
        <f>IF(C121="","",IF(L121="☑ Oui","Annulée",IF(OR(E121="Vente directe",K121&lt;&gt;""),"Livrée",IF(J121&lt;&gt;"","Confirmée","En attente"))))</f>
        <v/>
      </c>
      <c r="S121" s="34">
        <f>IF(F121="","",IFERROR(VLOOKUP(F121,T_Produits,2,FALSE),""))</f>
        <v/>
      </c>
      <c r="T121" s="40">
        <f>IF(F121="","",IFERROR(1/(1/VLOOKUP(F121,T_Produits,3,FALSE)),""))</f>
        <v/>
      </c>
      <c r="U121" s="40">
        <f>IF(H121&lt;&gt;"",H121,T121)</f>
        <v/>
      </c>
      <c r="V121" s="40">
        <f>IF(OR(G121="",U121=""),"",G121*U121-N(I121))</f>
        <v/>
      </c>
      <c r="W121" s="39">
        <f>IF(D121="","",IFERROR(VALUE(MID(D121,LEN(D121)-3,3)),""))</f>
        <v/>
      </c>
      <c r="X121" s="33">
        <f>IF(W121="","",P121&amp;"|"&amp;W121)</f>
        <v/>
      </c>
      <c r="Y121" s="33">
        <f>IF(W121="","",IF(P121="À RENSEIGNER","GIC",P121)&amp;"-"&amp;TEXT(W121,"000"))</f>
        <v/>
      </c>
      <c r="Z121" s="33">
        <f>IF(X121="","",IFERROR(INDEX(Cl_nom,MATCH(X121,Cl_cle,0)),"(client introuvable)"))</f>
        <v/>
      </c>
      <c r="AA121" s="33">
        <f>IF(X121="","",IFERROR(INDEX(Cl_quartier,MATCH(X121,Cl_cle,0))&amp;"",""))</f>
        <v/>
      </c>
      <c r="AB121" s="45">
        <f>IF(R121&lt;&gt;"Livrée",0,IF(K121&lt;&gt;"",K121,C121))</f>
        <v/>
      </c>
      <c r="AC121" s="33">
        <f>IF(OR(C121="",W121=""),"",P121&amp;"|"&amp;W121&amp;"|"&amp;C121&amp;"|"&amp;E121)</f>
        <v/>
      </c>
      <c r="AD121" s="39">
        <f>IF(AC121="","",IF(COUNTIF(AC$6:AC121,AC121)=1,1,0))</f>
        <v/>
      </c>
      <c r="AE121" s="39">
        <f>IF(AB121=0,"",IF(COUNTIFS(X$6:X121,X121,AB$6:AB121,AB121)=1,1,0))</f>
        <v/>
      </c>
      <c r="AF121" s="34">
        <f>IF(C121="","",YEAR(C121-WEEKDAY(C121,2)+4)&amp;"-S"&amp;TEXT(INT((C121-DATE(YEAR(C121-WEEKDAY(C121,2)+4),1,3)+WEEKDAY(DATE(YEAR(C121-WEEKDAY(C121,2)+4),1,3),2)+5)/7),"00"))</f>
        <v/>
      </c>
    </row>
    <row r="122" ht="18" customHeight="1">
      <c r="A122" s="39" t="n">
        <v>117</v>
      </c>
      <c r="B122" s="33">
        <f>IF(C122="","",IF(P122="À RENSEIGNER","GIC",P122)&amp;"-C"&amp;TEXT(A122,"00000"))</f>
        <v/>
      </c>
      <c r="C122" s="32" t="n"/>
      <c r="D122" s="36" t="n"/>
      <c r="E122" s="36" t="n"/>
      <c r="F122" s="36" t="n"/>
      <c r="G122" s="42" t="n"/>
      <c r="H122" s="37" t="n"/>
      <c r="I122" s="37" t="n"/>
      <c r="J122" s="32" t="n"/>
      <c r="K122" s="32" t="n"/>
      <c r="L122" s="43" t="n"/>
      <c r="M122" s="36" t="n"/>
      <c r="N122" s="44" t="n"/>
      <c r="O122" s="36" t="n"/>
      <c r="P122" s="33">
        <f>IF(C122="","",Commercial_Id)</f>
        <v/>
      </c>
      <c r="Q122" s="34">
        <f>IF(AC122="","",IF(AD122=1,"C"&amp;TEXT(SUM(AD$6:AD122),"0000"),INDEX(Q$6:Q121,MATCH(AC122,AC$6:AC121,0))))</f>
        <v/>
      </c>
      <c r="R122" s="34">
        <f>IF(C122="","",IF(L122="☑ Oui","Annulée",IF(OR(E122="Vente directe",K122&lt;&gt;""),"Livrée",IF(J122&lt;&gt;"","Confirmée","En attente"))))</f>
        <v/>
      </c>
      <c r="S122" s="34">
        <f>IF(F122="","",IFERROR(VLOOKUP(F122,T_Produits,2,FALSE),""))</f>
        <v/>
      </c>
      <c r="T122" s="40">
        <f>IF(F122="","",IFERROR(1/(1/VLOOKUP(F122,T_Produits,3,FALSE)),""))</f>
        <v/>
      </c>
      <c r="U122" s="40">
        <f>IF(H122&lt;&gt;"",H122,T122)</f>
        <v/>
      </c>
      <c r="V122" s="40">
        <f>IF(OR(G122="",U122=""),"",G122*U122-N(I122))</f>
        <v/>
      </c>
      <c r="W122" s="39">
        <f>IF(D122="","",IFERROR(VALUE(MID(D122,LEN(D122)-3,3)),""))</f>
        <v/>
      </c>
      <c r="X122" s="33">
        <f>IF(W122="","",P122&amp;"|"&amp;W122)</f>
        <v/>
      </c>
      <c r="Y122" s="33">
        <f>IF(W122="","",IF(P122="À RENSEIGNER","GIC",P122)&amp;"-"&amp;TEXT(W122,"000"))</f>
        <v/>
      </c>
      <c r="Z122" s="33">
        <f>IF(X122="","",IFERROR(INDEX(Cl_nom,MATCH(X122,Cl_cle,0)),"(client introuvable)"))</f>
        <v/>
      </c>
      <c r="AA122" s="33">
        <f>IF(X122="","",IFERROR(INDEX(Cl_quartier,MATCH(X122,Cl_cle,0))&amp;"",""))</f>
        <v/>
      </c>
      <c r="AB122" s="45">
        <f>IF(R122&lt;&gt;"Livrée",0,IF(K122&lt;&gt;"",K122,C122))</f>
        <v/>
      </c>
      <c r="AC122" s="33">
        <f>IF(OR(C122="",W122=""),"",P122&amp;"|"&amp;W122&amp;"|"&amp;C122&amp;"|"&amp;E122)</f>
        <v/>
      </c>
      <c r="AD122" s="39">
        <f>IF(AC122="","",IF(COUNTIF(AC$6:AC122,AC122)=1,1,0))</f>
        <v/>
      </c>
      <c r="AE122" s="39">
        <f>IF(AB122=0,"",IF(COUNTIFS(X$6:X122,X122,AB$6:AB122,AB122)=1,1,0))</f>
        <v/>
      </c>
      <c r="AF122" s="34">
        <f>IF(C122="","",YEAR(C122-WEEKDAY(C122,2)+4)&amp;"-S"&amp;TEXT(INT((C122-DATE(YEAR(C122-WEEKDAY(C122,2)+4),1,3)+WEEKDAY(DATE(YEAR(C122-WEEKDAY(C122,2)+4),1,3),2)+5)/7),"00"))</f>
        <v/>
      </c>
    </row>
    <row r="123" ht="18" customHeight="1">
      <c r="A123" s="39" t="n">
        <v>118</v>
      </c>
      <c r="B123" s="33">
        <f>IF(C123="","",IF(P123="À RENSEIGNER","GIC",P123)&amp;"-C"&amp;TEXT(A123,"00000"))</f>
        <v/>
      </c>
      <c r="C123" s="32" t="n"/>
      <c r="D123" s="36" t="n"/>
      <c r="E123" s="36" t="n"/>
      <c r="F123" s="36" t="n"/>
      <c r="G123" s="42" t="n"/>
      <c r="H123" s="37" t="n"/>
      <c r="I123" s="37" t="n"/>
      <c r="J123" s="32" t="n"/>
      <c r="K123" s="32" t="n"/>
      <c r="L123" s="43" t="n"/>
      <c r="M123" s="36" t="n"/>
      <c r="N123" s="44" t="n"/>
      <c r="O123" s="36" t="n"/>
      <c r="P123" s="33">
        <f>IF(C123="","",Commercial_Id)</f>
        <v/>
      </c>
      <c r="Q123" s="34">
        <f>IF(AC123="","",IF(AD123=1,"C"&amp;TEXT(SUM(AD$6:AD123),"0000"),INDEX(Q$6:Q122,MATCH(AC123,AC$6:AC122,0))))</f>
        <v/>
      </c>
      <c r="R123" s="34">
        <f>IF(C123="","",IF(L123="☑ Oui","Annulée",IF(OR(E123="Vente directe",K123&lt;&gt;""),"Livrée",IF(J123&lt;&gt;"","Confirmée","En attente"))))</f>
        <v/>
      </c>
      <c r="S123" s="34">
        <f>IF(F123="","",IFERROR(VLOOKUP(F123,T_Produits,2,FALSE),""))</f>
        <v/>
      </c>
      <c r="T123" s="40">
        <f>IF(F123="","",IFERROR(1/(1/VLOOKUP(F123,T_Produits,3,FALSE)),""))</f>
        <v/>
      </c>
      <c r="U123" s="40">
        <f>IF(H123&lt;&gt;"",H123,T123)</f>
        <v/>
      </c>
      <c r="V123" s="40">
        <f>IF(OR(G123="",U123=""),"",G123*U123-N(I123))</f>
        <v/>
      </c>
      <c r="W123" s="39">
        <f>IF(D123="","",IFERROR(VALUE(MID(D123,LEN(D123)-3,3)),""))</f>
        <v/>
      </c>
      <c r="X123" s="33">
        <f>IF(W123="","",P123&amp;"|"&amp;W123)</f>
        <v/>
      </c>
      <c r="Y123" s="33">
        <f>IF(W123="","",IF(P123="À RENSEIGNER","GIC",P123)&amp;"-"&amp;TEXT(W123,"000"))</f>
        <v/>
      </c>
      <c r="Z123" s="33">
        <f>IF(X123="","",IFERROR(INDEX(Cl_nom,MATCH(X123,Cl_cle,0)),"(client introuvable)"))</f>
        <v/>
      </c>
      <c r="AA123" s="33">
        <f>IF(X123="","",IFERROR(INDEX(Cl_quartier,MATCH(X123,Cl_cle,0))&amp;"",""))</f>
        <v/>
      </c>
      <c r="AB123" s="45">
        <f>IF(R123&lt;&gt;"Livrée",0,IF(K123&lt;&gt;"",K123,C123))</f>
        <v/>
      </c>
      <c r="AC123" s="33">
        <f>IF(OR(C123="",W123=""),"",P123&amp;"|"&amp;W123&amp;"|"&amp;C123&amp;"|"&amp;E123)</f>
        <v/>
      </c>
      <c r="AD123" s="39">
        <f>IF(AC123="","",IF(COUNTIF(AC$6:AC123,AC123)=1,1,0))</f>
        <v/>
      </c>
      <c r="AE123" s="39">
        <f>IF(AB123=0,"",IF(COUNTIFS(X$6:X123,X123,AB$6:AB123,AB123)=1,1,0))</f>
        <v/>
      </c>
      <c r="AF123" s="34">
        <f>IF(C123="","",YEAR(C123-WEEKDAY(C123,2)+4)&amp;"-S"&amp;TEXT(INT((C123-DATE(YEAR(C123-WEEKDAY(C123,2)+4),1,3)+WEEKDAY(DATE(YEAR(C123-WEEKDAY(C123,2)+4),1,3),2)+5)/7),"00"))</f>
        <v/>
      </c>
    </row>
    <row r="124" ht="18" customHeight="1">
      <c r="A124" s="39" t="n">
        <v>119</v>
      </c>
      <c r="B124" s="33">
        <f>IF(C124="","",IF(P124="À RENSEIGNER","GIC",P124)&amp;"-C"&amp;TEXT(A124,"00000"))</f>
        <v/>
      </c>
      <c r="C124" s="32" t="n"/>
      <c r="D124" s="36" t="n"/>
      <c r="E124" s="36" t="n"/>
      <c r="F124" s="36" t="n"/>
      <c r="G124" s="42" t="n"/>
      <c r="H124" s="37" t="n"/>
      <c r="I124" s="37" t="n"/>
      <c r="J124" s="32" t="n"/>
      <c r="K124" s="32" t="n"/>
      <c r="L124" s="43" t="n"/>
      <c r="M124" s="36" t="n"/>
      <c r="N124" s="44" t="n"/>
      <c r="O124" s="36" t="n"/>
      <c r="P124" s="33">
        <f>IF(C124="","",Commercial_Id)</f>
        <v/>
      </c>
      <c r="Q124" s="34">
        <f>IF(AC124="","",IF(AD124=1,"C"&amp;TEXT(SUM(AD$6:AD124),"0000"),INDEX(Q$6:Q123,MATCH(AC124,AC$6:AC123,0))))</f>
        <v/>
      </c>
      <c r="R124" s="34">
        <f>IF(C124="","",IF(L124="☑ Oui","Annulée",IF(OR(E124="Vente directe",K124&lt;&gt;""),"Livrée",IF(J124&lt;&gt;"","Confirmée","En attente"))))</f>
        <v/>
      </c>
      <c r="S124" s="34">
        <f>IF(F124="","",IFERROR(VLOOKUP(F124,T_Produits,2,FALSE),""))</f>
        <v/>
      </c>
      <c r="T124" s="40">
        <f>IF(F124="","",IFERROR(1/(1/VLOOKUP(F124,T_Produits,3,FALSE)),""))</f>
        <v/>
      </c>
      <c r="U124" s="40">
        <f>IF(H124&lt;&gt;"",H124,T124)</f>
        <v/>
      </c>
      <c r="V124" s="40">
        <f>IF(OR(G124="",U124=""),"",G124*U124-N(I124))</f>
        <v/>
      </c>
      <c r="W124" s="39">
        <f>IF(D124="","",IFERROR(VALUE(MID(D124,LEN(D124)-3,3)),""))</f>
        <v/>
      </c>
      <c r="X124" s="33">
        <f>IF(W124="","",P124&amp;"|"&amp;W124)</f>
        <v/>
      </c>
      <c r="Y124" s="33">
        <f>IF(W124="","",IF(P124="À RENSEIGNER","GIC",P124)&amp;"-"&amp;TEXT(W124,"000"))</f>
        <v/>
      </c>
      <c r="Z124" s="33">
        <f>IF(X124="","",IFERROR(INDEX(Cl_nom,MATCH(X124,Cl_cle,0)),"(client introuvable)"))</f>
        <v/>
      </c>
      <c r="AA124" s="33">
        <f>IF(X124="","",IFERROR(INDEX(Cl_quartier,MATCH(X124,Cl_cle,0))&amp;"",""))</f>
        <v/>
      </c>
      <c r="AB124" s="45">
        <f>IF(R124&lt;&gt;"Livrée",0,IF(K124&lt;&gt;"",K124,C124))</f>
        <v/>
      </c>
      <c r="AC124" s="33">
        <f>IF(OR(C124="",W124=""),"",P124&amp;"|"&amp;W124&amp;"|"&amp;C124&amp;"|"&amp;E124)</f>
        <v/>
      </c>
      <c r="AD124" s="39">
        <f>IF(AC124="","",IF(COUNTIF(AC$6:AC124,AC124)=1,1,0))</f>
        <v/>
      </c>
      <c r="AE124" s="39">
        <f>IF(AB124=0,"",IF(COUNTIFS(X$6:X124,X124,AB$6:AB124,AB124)=1,1,0))</f>
        <v/>
      </c>
      <c r="AF124" s="34">
        <f>IF(C124="","",YEAR(C124-WEEKDAY(C124,2)+4)&amp;"-S"&amp;TEXT(INT((C124-DATE(YEAR(C124-WEEKDAY(C124,2)+4),1,3)+WEEKDAY(DATE(YEAR(C124-WEEKDAY(C124,2)+4),1,3),2)+5)/7),"00"))</f>
        <v/>
      </c>
    </row>
    <row r="125" ht="18" customHeight="1">
      <c r="A125" s="39" t="n">
        <v>120</v>
      </c>
      <c r="B125" s="33">
        <f>IF(C125="","",IF(P125="À RENSEIGNER","GIC",P125)&amp;"-C"&amp;TEXT(A125,"00000"))</f>
        <v/>
      </c>
      <c r="C125" s="32" t="n"/>
      <c r="D125" s="36" t="n"/>
      <c r="E125" s="36" t="n"/>
      <c r="F125" s="36" t="n"/>
      <c r="G125" s="42" t="n"/>
      <c r="H125" s="37" t="n"/>
      <c r="I125" s="37" t="n"/>
      <c r="J125" s="32" t="n"/>
      <c r="K125" s="32" t="n"/>
      <c r="L125" s="43" t="n"/>
      <c r="M125" s="36" t="n"/>
      <c r="N125" s="44" t="n"/>
      <c r="O125" s="36" t="n"/>
      <c r="P125" s="33">
        <f>IF(C125="","",Commercial_Id)</f>
        <v/>
      </c>
      <c r="Q125" s="34">
        <f>IF(AC125="","",IF(AD125=1,"C"&amp;TEXT(SUM(AD$6:AD125),"0000"),INDEX(Q$6:Q124,MATCH(AC125,AC$6:AC124,0))))</f>
        <v/>
      </c>
      <c r="R125" s="34">
        <f>IF(C125="","",IF(L125="☑ Oui","Annulée",IF(OR(E125="Vente directe",K125&lt;&gt;""),"Livrée",IF(J125&lt;&gt;"","Confirmée","En attente"))))</f>
        <v/>
      </c>
      <c r="S125" s="34">
        <f>IF(F125="","",IFERROR(VLOOKUP(F125,T_Produits,2,FALSE),""))</f>
        <v/>
      </c>
      <c r="T125" s="40">
        <f>IF(F125="","",IFERROR(1/(1/VLOOKUP(F125,T_Produits,3,FALSE)),""))</f>
        <v/>
      </c>
      <c r="U125" s="40">
        <f>IF(H125&lt;&gt;"",H125,T125)</f>
        <v/>
      </c>
      <c r="V125" s="40">
        <f>IF(OR(G125="",U125=""),"",G125*U125-N(I125))</f>
        <v/>
      </c>
      <c r="W125" s="39">
        <f>IF(D125="","",IFERROR(VALUE(MID(D125,LEN(D125)-3,3)),""))</f>
        <v/>
      </c>
      <c r="X125" s="33">
        <f>IF(W125="","",P125&amp;"|"&amp;W125)</f>
        <v/>
      </c>
      <c r="Y125" s="33">
        <f>IF(W125="","",IF(P125="À RENSEIGNER","GIC",P125)&amp;"-"&amp;TEXT(W125,"000"))</f>
        <v/>
      </c>
      <c r="Z125" s="33">
        <f>IF(X125="","",IFERROR(INDEX(Cl_nom,MATCH(X125,Cl_cle,0)),"(client introuvable)"))</f>
        <v/>
      </c>
      <c r="AA125" s="33">
        <f>IF(X125="","",IFERROR(INDEX(Cl_quartier,MATCH(X125,Cl_cle,0))&amp;"",""))</f>
        <v/>
      </c>
      <c r="AB125" s="45">
        <f>IF(R125&lt;&gt;"Livrée",0,IF(K125&lt;&gt;"",K125,C125))</f>
        <v/>
      </c>
      <c r="AC125" s="33">
        <f>IF(OR(C125="",W125=""),"",P125&amp;"|"&amp;W125&amp;"|"&amp;C125&amp;"|"&amp;E125)</f>
        <v/>
      </c>
      <c r="AD125" s="39">
        <f>IF(AC125="","",IF(COUNTIF(AC$6:AC125,AC125)=1,1,0))</f>
        <v/>
      </c>
      <c r="AE125" s="39">
        <f>IF(AB125=0,"",IF(COUNTIFS(X$6:X125,X125,AB$6:AB125,AB125)=1,1,0))</f>
        <v/>
      </c>
      <c r="AF125" s="34">
        <f>IF(C125="","",YEAR(C125-WEEKDAY(C125,2)+4)&amp;"-S"&amp;TEXT(INT((C125-DATE(YEAR(C125-WEEKDAY(C125,2)+4),1,3)+WEEKDAY(DATE(YEAR(C125-WEEKDAY(C125,2)+4),1,3),2)+5)/7),"00"))</f>
        <v/>
      </c>
    </row>
    <row r="126" ht="18" customHeight="1">
      <c r="A126" s="39" t="n">
        <v>121</v>
      </c>
      <c r="B126" s="33">
        <f>IF(C126="","",IF(P126="À RENSEIGNER","GIC",P126)&amp;"-C"&amp;TEXT(A126,"00000"))</f>
        <v/>
      </c>
      <c r="C126" s="32" t="n"/>
      <c r="D126" s="36" t="n"/>
      <c r="E126" s="36" t="n"/>
      <c r="F126" s="36" t="n"/>
      <c r="G126" s="42" t="n"/>
      <c r="H126" s="37" t="n"/>
      <c r="I126" s="37" t="n"/>
      <c r="J126" s="32" t="n"/>
      <c r="K126" s="32" t="n"/>
      <c r="L126" s="43" t="n"/>
      <c r="M126" s="36" t="n"/>
      <c r="N126" s="44" t="n"/>
      <c r="O126" s="36" t="n"/>
      <c r="P126" s="33">
        <f>IF(C126="","",Commercial_Id)</f>
        <v/>
      </c>
      <c r="Q126" s="34">
        <f>IF(AC126="","",IF(AD126=1,"C"&amp;TEXT(SUM(AD$6:AD126),"0000"),INDEX(Q$6:Q125,MATCH(AC126,AC$6:AC125,0))))</f>
        <v/>
      </c>
      <c r="R126" s="34">
        <f>IF(C126="","",IF(L126="☑ Oui","Annulée",IF(OR(E126="Vente directe",K126&lt;&gt;""),"Livrée",IF(J126&lt;&gt;"","Confirmée","En attente"))))</f>
        <v/>
      </c>
      <c r="S126" s="34">
        <f>IF(F126="","",IFERROR(VLOOKUP(F126,T_Produits,2,FALSE),""))</f>
        <v/>
      </c>
      <c r="T126" s="40">
        <f>IF(F126="","",IFERROR(1/(1/VLOOKUP(F126,T_Produits,3,FALSE)),""))</f>
        <v/>
      </c>
      <c r="U126" s="40">
        <f>IF(H126&lt;&gt;"",H126,T126)</f>
        <v/>
      </c>
      <c r="V126" s="40">
        <f>IF(OR(G126="",U126=""),"",G126*U126-N(I126))</f>
        <v/>
      </c>
      <c r="W126" s="39">
        <f>IF(D126="","",IFERROR(VALUE(MID(D126,LEN(D126)-3,3)),""))</f>
        <v/>
      </c>
      <c r="X126" s="33">
        <f>IF(W126="","",P126&amp;"|"&amp;W126)</f>
        <v/>
      </c>
      <c r="Y126" s="33">
        <f>IF(W126="","",IF(P126="À RENSEIGNER","GIC",P126)&amp;"-"&amp;TEXT(W126,"000"))</f>
        <v/>
      </c>
      <c r="Z126" s="33">
        <f>IF(X126="","",IFERROR(INDEX(Cl_nom,MATCH(X126,Cl_cle,0)),"(client introuvable)"))</f>
        <v/>
      </c>
      <c r="AA126" s="33">
        <f>IF(X126="","",IFERROR(INDEX(Cl_quartier,MATCH(X126,Cl_cle,0))&amp;"",""))</f>
        <v/>
      </c>
      <c r="AB126" s="45">
        <f>IF(R126&lt;&gt;"Livrée",0,IF(K126&lt;&gt;"",K126,C126))</f>
        <v/>
      </c>
      <c r="AC126" s="33">
        <f>IF(OR(C126="",W126=""),"",P126&amp;"|"&amp;W126&amp;"|"&amp;C126&amp;"|"&amp;E126)</f>
        <v/>
      </c>
      <c r="AD126" s="39">
        <f>IF(AC126="","",IF(COUNTIF(AC$6:AC126,AC126)=1,1,0))</f>
        <v/>
      </c>
      <c r="AE126" s="39">
        <f>IF(AB126=0,"",IF(COUNTIFS(X$6:X126,X126,AB$6:AB126,AB126)=1,1,0))</f>
        <v/>
      </c>
      <c r="AF126" s="34">
        <f>IF(C126="","",YEAR(C126-WEEKDAY(C126,2)+4)&amp;"-S"&amp;TEXT(INT((C126-DATE(YEAR(C126-WEEKDAY(C126,2)+4),1,3)+WEEKDAY(DATE(YEAR(C126-WEEKDAY(C126,2)+4),1,3),2)+5)/7),"00"))</f>
        <v/>
      </c>
    </row>
    <row r="127" ht="18" customHeight="1">
      <c r="A127" s="39" t="n">
        <v>122</v>
      </c>
      <c r="B127" s="33">
        <f>IF(C127="","",IF(P127="À RENSEIGNER","GIC",P127)&amp;"-C"&amp;TEXT(A127,"00000"))</f>
        <v/>
      </c>
      <c r="C127" s="32" t="n"/>
      <c r="D127" s="36" t="n"/>
      <c r="E127" s="36" t="n"/>
      <c r="F127" s="36" t="n"/>
      <c r="G127" s="42" t="n"/>
      <c r="H127" s="37" t="n"/>
      <c r="I127" s="37" t="n"/>
      <c r="J127" s="32" t="n"/>
      <c r="K127" s="32" t="n"/>
      <c r="L127" s="43" t="n"/>
      <c r="M127" s="36" t="n"/>
      <c r="N127" s="44" t="n"/>
      <c r="O127" s="36" t="n"/>
      <c r="P127" s="33">
        <f>IF(C127="","",Commercial_Id)</f>
        <v/>
      </c>
      <c r="Q127" s="34">
        <f>IF(AC127="","",IF(AD127=1,"C"&amp;TEXT(SUM(AD$6:AD127),"0000"),INDEX(Q$6:Q126,MATCH(AC127,AC$6:AC126,0))))</f>
        <v/>
      </c>
      <c r="R127" s="34">
        <f>IF(C127="","",IF(L127="☑ Oui","Annulée",IF(OR(E127="Vente directe",K127&lt;&gt;""),"Livrée",IF(J127&lt;&gt;"","Confirmée","En attente"))))</f>
        <v/>
      </c>
      <c r="S127" s="34">
        <f>IF(F127="","",IFERROR(VLOOKUP(F127,T_Produits,2,FALSE),""))</f>
        <v/>
      </c>
      <c r="T127" s="40">
        <f>IF(F127="","",IFERROR(1/(1/VLOOKUP(F127,T_Produits,3,FALSE)),""))</f>
        <v/>
      </c>
      <c r="U127" s="40">
        <f>IF(H127&lt;&gt;"",H127,T127)</f>
        <v/>
      </c>
      <c r="V127" s="40">
        <f>IF(OR(G127="",U127=""),"",G127*U127-N(I127))</f>
        <v/>
      </c>
      <c r="W127" s="39">
        <f>IF(D127="","",IFERROR(VALUE(MID(D127,LEN(D127)-3,3)),""))</f>
        <v/>
      </c>
      <c r="X127" s="33">
        <f>IF(W127="","",P127&amp;"|"&amp;W127)</f>
        <v/>
      </c>
      <c r="Y127" s="33">
        <f>IF(W127="","",IF(P127="À RENSEIGNER","GIC",P127)&amp;"-"&amp;TEXT(W127,"000"))</f>
        <v/>
      </c>
      <c r="Z127" s="33">
        <f>IF(X127="","",IFERROR(INDEX(Cl_nom,MATCH(X127,Cl_cle,0)),"(client introuvable)"))</f>
        <v/>
      </c>
      <c r="AA127" s="33">
        <f>IF(X127="","",IFERROR(INDEX(Cl_quartier,MATCH(X127,Cl_cle,0))&amp;"",""))</f>
        <v/>
      </c>
      <c r="AB127" s="45">
        <f>IF(R127&lt;&gt;"Livrée",0,IF(K127&lt;&gt;"",K127,C127))</f>
        <v/>
      </c>
      <c r="AC127" s="33">
        <f>IF(OR(C127="",W127=""),"",P127&amp;"|"&amp;W127&amp;"|"&amp;C127&amp;"|"&amp;E127)</f>
        <v/>
      </c>
      <c r="AD127" s="39">
        <f>IF(AC127="","",IF(COUNTIF(AC$6:AC127,AC127)=1,1,0))</f>
        <v/>
      </c>
      <c r="AE127" s="39">
        <f>IF(AB127=0,"",IF(COUNTIFS(X$6:X127,X127,AB$6:AB127,AB127)=1,1,0))</f>
        <v/>
      </c>
      <c r="AF127" s="34">
        <f>IF(C127="","",YEAR(C127-WEEKDAY(C127,2)+4)&amp;"-S"&amp;TEXT(INT((C127-DATE(YEAR(C127-WEEKDAY(C127,2)+4),1,3)+WEEKDAY(DATE(YEAR(C127-WEEKDAY(C127,2)+4),1,3),2)+5)/7),"00"))</f>
        <v/>
      </c>
    </row>
    <row r="128" ht="18" customHeight="1">
      <c r="A128" s="39" t="n">
        <v>123</v>
      </c>
      <c r="B128" s="33">
        <f>IF(C128="","",IF(P128="À RENSEIGNER","GIC",P128)&amp;"-C"&amp;TEXT(A128,"00000"))</f>
        <v/>
      </c>
      <c r="C128" s="32" t="n"/>
      <c r="D128" s="36" t="n"/>
      <c r="E128" s="36" t="n"/>
      <c r="F128" s="36" t="n"/>
      <c r="G128" s="42" t="n"/>
      <c r="H128" s="37" t="n"/>
      <c r="I128" s="37" t="n"/>
      <c r="J128" s="32" t="n"/>
      <c r="K128" s="32" t="n"/>
      <c r="L128" s="43" t="n"/>
      <c r="M128" s="36" t="n"/>
      <c r="N128" s="44" t="n"/>
      <c r="O128" s="36" t="n"/>
      <c r="P128" s="33">
        <f>IF(C128="","",Commercial_Id)</f>
        <v/>
      </c>
      <c r="Q128" s="34">
        <f>IF(AC128="","",IF(AD128=1,"C"&amp;TEXT(SUM(AD$6:AD128),"0000"),INDEX(Q$6:Q127,MATCH(AC128,AC$6:AC127,0))))</f>
        <v/>
      </c>
      <c r="R128" s="34">
        <f>IF(C128="","",IF(L128="☑ Oui","Annulée",IF(OR(E128="Vente directe",K128&lt;&gt;""),"Livrée",IF(J128&lt;&gt;"","Confirmée","En attente"))))</f>
        <v/>
      </c>
      <c r="S128" s="34">
        <f>IF(F128="","",IFERROR(VLOOKUP(F128,T_Produits,2,FALSE),""))</f>
        <v/>
      </c>
      <c r="T128" s="40">
        <f>IF(F128="","",IFERROR(1/(1/VLOOKUP(F128,T_Produits,3,FALSE)),""))</f>
        <v/>
      </c>
      <c r="U128" s="40">
        <f>IF(H128&lt;&gt;"",H128,T128)</f>
        <v/>
      </c>
      <c r="V128" s="40">
        <f>IF(OR(G128="",U128=""),"",G128*U128-N(I128))</f>
        <v/>
      </c>
      <c r="W128" s="39">
        <f>IF(D128="","",IFERROR(VALUE(MID(D128,LEN(D128)-3,3)),""))</f>
        <v/>
      </c>
      <c r="X128" s="33">
        <f>IF(W128="","",P128&amp;"|"&amp;W128)</f>
        <v/>
      </c>
      <c r="Y128" s="33">
        <f>IF(W128="","",IF(P128="À RENSEIGNER","GIC",P128)&amp;"-"&amp;TEXT(W128,"000"))</f>
        <v/>
      </c>
      <c r="Z128" s="33">
        <f>IF(X128="","",IFERROR(INDEX(Cl_nom,MATCH(X128,Cl_cle,0)),"(client introuvable)"))</f>
        <v/>
      </c>
      <c r="AA128" s="33">
        <f>IF(X128="","",IFERROR(INDEX(Cl_quartier,MATCH(X128,Cl_cle,0))&amp;"",""))</f>
        <v/>
      </c>
      <c r="AB128" s="45">
        <f>IF(R128&lt;&gt;"Livrée",0,IF(K128&lt;&gt;"",K128,C128))</f>
        <v/>
      </c>
      <c r="AC128" s="33">
        <f>IF(OR(C128="",W128=""),"",P128&amp;"|"&amp;W128&amp;"|"&amp;C128&amp;"|"&amp;E128)</f>
        <v/>
      </c>
      <c r="AD128" s="39">
        <f>IF(AC128="","",IF(COUNTIF(AC$6:AC128,AC128)=1,1,0))</f>
        <v/>
      </c>
      <c r="AE128" s="39">
        <f>IF(AB128=0,"",IF(COUNTIFS(X$6:X128,X128,AB$6:AB128,AB128)=1,1,0))</f>
        <v/>
      </c>
      <c r="AF128" s="34">
        <f>IF(C128="","",YEAR(C128-WEEKDAY(C128,2)+4)&amp;"-S"&amp;TEXT(INT((C128-DATE(YEAR(C128-WEEKDAY(C128,2)+4),1,3)+WEEKDAY(DATE(YEAR(C128-WEEKDAY(C128,2)+4),1,3),2)+5)/7),"00"))</f>
        <v/>
      </c>
    </row>
    <row r="129" ht="18" customHeight="1">
      <c r="A129" s="39" t="n">
        <v>124</v>
      </c>
      <c r="B129" s="33">
        <f>IF(C129="","",IF(P129="À RENSEIGNER","GIC",P129)&amp;"-C"&amp;TEXT(A129,"00000"))</f>
        <v/>
      </c>
      <c r="C129" s="32" t="n"/>
      <c r="D129" s="36" t="n"/>
      <c r="E129" s="36" t="n"/>
      <c r="F129" s="36" t="n"/>
      <c r="G129" s="42" t="n"/>
      <c r="H129" s="37" t="n"/>
      <c r="I129" s="37" t="n"/>
      <c r="J129" s="32" t="n"/>
      <c r="K129" s="32" t="n"/>
      <c r="L129" s="43" t="n"/>
      <c r="M129" s="36" t="n"/>
      <c r="N129" s="44" t="n"/>
      <c r="O129" s="36" t="n"/>
      <c r="P129" s="33">
        <f>IF(C129="","",Commercial_Id)</f>
        <v/>
      </c>
      <c r="Q129" s="34">
        <f>IF(AC129="","",IF(AD129=1,"C"&amp;TEXT(SUM(AD$6:AD129),"0000"),INDEX(Q$6:Q128,MATCH(AC129,AC$6:AC128,0))))</f>
        <v/>
      </c>
      <c r="R129" s="34">
        <f>IF(C129="","",IF(L129="☑ Oui","Annulée",IF(OR(E129="Vente directe",K129&lt;&gt;""),"Livrée",IF(J129&lt;&gt;"","Confirmée","En attente"))))</f>
        <v/>
      </c>
      <c r="S129" s="34">
        <f>IF(F129="","",IFERROR(VLOOKUP(F129,T_Produits,2,FALSE),""))</f>
        <v/>
      </c>
      <c r="T129" s="40">
        <f>IF(F129="","",IFERROR(1/(1/VLOOKUP(F129,T_Produits,3,FALSE)),""))</f>
        <v/>
      </c>
      <c r="U129" s="40">
        <f>IF(H129&lt;&gt;"",H129,T129)</f>
        <v/>
      </c>
      <c r="V129" s="40">
        <f>IF(OR(G129="",U129=""),"",G129*U129-N(I129))</f>
        <v/>
      </c>
      <c r="W129" s="39">
        <f>IF(D129="","",IFERROR(VALUE(MID(D129,LEN(D129)-3,3)),""))</f>
        <v/>
      </c>
      <c r="X129" s="33">
        <f>IF(W129="","",P129&amp;"|"&amp;W129)</f>
        <v/>
      </c>
      <c r="Y129" s="33">
        <f>IF(W129="","",IF(P129="À RENSEIGNER","GIC",P129)&amp;"-"&amp;TEXT(W129,"000"))</f>
        <v/>
      </c>
      <c r="Z129" s="33">
        <f>IF(X129="","",IFERROR(INDEX(Cl_nom,MATCH(X129,Cl_cle,0)),"(client introuvable)"))</f>
        <v/>
      </c>
      <c r="AA129" s="33">
        <f>IF(X129="","",IFERROR(INDEX(Cl_quartier,MATCH(X129,Cl_cle,0))&amp;"",""))</f>
        <v/>
      </c>
      <c r="AB129" s="45">
        <f>IF(R129&lt;&gt;"Livrée",0,IF(K129&lt;&gt;"",K129,C129))</f>
        <v/>
      </c>
      <c r="AC129" s="33">
        <f>IF(OR(C129="",W129=""),"",P129&amp;"|"&amp;W129&amp;"|"&amp;C129&amp;"|"&amp;E129)</f>
        <v/>
      </c>
      <c r="AD129" s="39">
        <f>IF(AC129="","",IF(COUNTIF(AC$6:AC129,AC129)=1,1,0))</f>
        <v/>
      </c>
      <c r="AE129" s="39">
        <f>IF(AB129=0,"",IF(COUNTIFS(X$6:X129,X129,AB$6:AB129,AB129)=1,1,0))</f>
        <v/>
      </c>
      <c r="AF129" s="34">
        <f>IF(C129="","",YEAR(C129-WEEKDAY(C129,2)+4)&amp;"-S"&amp;TEXT(INT((C129-DATE(YEAR(C129-WEEKDAY(C129,2)+4),1,3)+WEEKDAY(DATE(YEAR(C129-WEEKDAY(C129,2)+4),1,3),2)+5)/7),"00"))</f>
        <v/>
      </c>
    </row>
    <row r="130" ht="18" customHeight="1">
      <c r="A130" s="39" t="n">
        <v>125</v>
      </c>
      <c r="B130" s="33">
        <f>IF(C130="","",IF(P130="À RENSEIGNER","GIC",P130)&amp;"-C"&amp;TEXT(A130,"00000"))</f>
        <v/>
      </c>
      <c r="C130" s="32" t="n"/>
      <c r="D130" s="36" t="n"/>
      <c r="E130" s="36" t="n"/>
      <c r="F130" s="36" t="n"/>
      <c r="G130" s="42" t="n"/>
      <c r="H130" s="37" t="n"/>
      <c r="I130" s="37" t="n"/>
      <c r="J130" s="32" t="n"/>
      <c r="K130" s="32" t="n"/>
      <c r="L130" s="43" t="n"/>
      <c r="M130" s="36" t="n"/>
      <c r="N130" s="44" t="n"/>
      <c r="O130" s="36" t="n"/>
      <c r="P130" s="33">
        <f>IF(C130="","",Commercial_Id)</f>
        <v/>
      </c>
      <c r="Q130" s="34">
        <f>IF(AC130="","",IF(AD130=1,"C"&amp;TEXT(SUM(AD$6:AD130),"0000"),INDEX(Q$6:Q129,MATCH(AC130,AC$6:AC129,0))))</f>
        <v/>
      </c>
      <c r="R130" s="34">
        <f>IF(C130="","",IF(L130="☑ Oui","Annulée",IF(OR(E130="Vente directe",K130&lt;&gt;""),"Livrée",IF(J130&lt;&gt;"","Confirmée","En attente"))))</f>
        <v/>
      </c>
      <c r="S130" s="34">
        <f>IF(F130="","",IFERROR(VLOOKUP(F130,T_Produits,2,FALSE),""))</f>
        <v/>
      </c>
      <c r="T130" s="40">
        <f>IF(F130="","",IFERROR(1/(1/VLOOKUP(F130,T_Produits,3,FALSE)),""))</f>
        <v/>
      </c>
      <c r="U130" s="40">
        <f>IF(H130&lt;&gt;"",H130,T130)</f>
        <v/>
      </c>
      <c r="V130" s="40">
        <f>IF(OR(G130="",U130=""),"",G130*U130-N(I130))</f>
        <v/>
      </c>
      <c r="W130" s="39">
        <f>IF(D130="","",IFERROR(VALUE(MID(D130,LEN(D130)-3,3)),""))</f>
        <v/>
      </c>
      <c r="X130" s="33">
        <f>IF(W130="","",P130&amp;"|"&amp;W130)</f>
        <v/>
      </c>
      <c r="Y130" s="33">
        <f>IF(W130="","",IF(P130="À RENSEIGNER","GIC",P130)&amp;"-"&amp;TEXT(W130,"000"))</f>
        <v/>
      </c>
      <c r="Z130" s="33">
        <f>IF(X130="","",IFERROR(INDEX(Cl_nom,MATCH(X130,Cl_cle,0)),"(client introuvable)"))</f>
        <v/>
      </c>
      <c r="AA130" s="33">
        <f>IF(X130="","",IFERROR(INDEX(Cl_quartier,MATCH(X130,Cl_cle,0))&amp;"",""))</f>
        <v/>
      </c>
      <c r="AB130" s="45">
        <f>IF(R130&lt;&gt;"Livrée",0,IF(K130&lt;&gt;"",K130,C130))</f>
        <v/>
      </c>
      <c r="AC130" s="33">
        <f>IF(OR(C130="",W130=""),"",P130&amp;"|"&amp;W130&amp;"|"&amp;C130&amp;"|"&amp;E130)</f>
        <v/>
      </c>
      <c r="AD130" s="39">
        <f>IF(AC130="","",IF(COUNTIF(AC$6:AC130,AC130)=1,1,0))</f>
        <v/>
      </c>
      <c r="AE130" s="39">
        <f>IF(AB130=0,"",IF(COUNTIFS(X$6:X130,X130,AB$6:AB130,AB130)=1,1,0))</f>
        <v/>
      </c>
      <c r="AF130" s="34">
        <f>IF(C130="","",YEAR(C130-WEEKDAY(C130,2)+4)&amp;"-S"&amp;TEXT(INT((C130-DATE(YEAR(C130-WEEKDAY(C130,2)+4),1,3)+WEEKDAY(DATE(YEAR(C130-WEEKDAY(C130,2)+4),1,3),2)+5)/7),"00"))</f>
        <v/>
      </c>
    </row>
    <row r="131" ht="18" customHeight="1">
      <c r="A131" s="39" t="n">
        <v>126</v>
      </c>
      <c r="B131" s="33">
        <f>IF(C131="","",IF(P131="À RENSEIGNER","GIC",P131)&amp;"-C"&amp;TEXT(A131,"00000"))</f>
        <v/>
      </c>
      <c r="C131" s="32" t="n"/>
      <c r="D131" s="36" t="n"/>
      <c r="E131" s="36" t="n"/>
      <c r="F131" s="36" t="n"/>
      <c r="G131" s="42" t="n"/>
      <c r="H131" s="37" t="n"/>
      <c r="I131" s="37" t="n"/>
      <c r="J131" s="32" t="n"/>
      <c r="K131" s="32" t="n"/>
      <c r="L131" s="43" t="n"/>
      <c r="M131" s="36" t="n"/>
      <c r="N131" s="44" t="n"/>
      <c r="O131" s="36" t="n"/>
      <c r="P131" s="33">
        <f>IF(C131="","",Commercial_Id)</f>
        <v/>
      </c>
      <c r="Q131" s="34">
        <f>IF(AC131="","",IF(AD131=1,"C"&amp;TEXT(SUM(AD$6:AD131),"0000"),INDEX(Q$6:Q130,MATCH(AC131,AC$6:AC130,0))))</f>
        <v/>
      </c>
      <c r="R131" s="34">
        <f>IF(C131="","",IF(L131="☑ Oui","Annulée",IF(OR(E131="Vente directe",K131&lt;&gt;""),"Livrée",IF(J131&lt;&gt;"","Confirmée","En attente"))))</f>
        <v/>
      </c>
      <c r="S131" s="34">
        <f>IF(F131="","",IFERROR(VLOOKUP(F131,T_Produits,2,FALSE),""))</f>
        <v/>
      </c>
      <c r="T131" s="40">
        <f>IF(F131="","",IFERROR(1/(1/VLOOKUP(F131,T_Produits,3,FALSE)),""))</f>
        <v/>
      </c>
      <c r="U131" s="40">
        <f>IF(H131&lt;&gt;"",H131,T131)</f>
        <v/>
      </c>
      <c r="V131" s="40">
        <f>IF(OR(G131="",U131=""),"",G131*U131-N(I131))</f>
        <v/>
      </c>
      <c r="W131" s="39">
        <f>IF(D131="","",IFERROR(VALUE(MID(D131,LEN(D131)-3,3)),""))</f>
        <v/>
      </c>
      <c r="X131" s="33">
        <f>IF(W131="","",P131&amp;"|"&amp;W131)</f>
        <v/>
      </c>
      <c r="Y131" s="33">
        <f>IF(W131="","",IF(P131="À RENSEIGNER","GIC",P131)&amp;"-"&amp;TEXT(W131,"000"))</f>
        <v/>
      </c>
      <c r="Z131" s="33">
        <f>IF(X131="","",IFERROR(INDEX(Cl_nom,MATCH(X131,Cl_cle,0)),"(client introuvable)"))</f>
        <v/>
      </c>
      <c r="AA131" s="33">
        <f>IF(X131="","",IFERROR(INDEX(Cl_quartier,MATCH(X131,Cl_cle,0))&amp;"",""))</f>
        <v/>
      </c>
      <c r="AB131" s="45">
        <f>IF(R131&lt;&gt;"Livrée",0,IF(K131&lt;&gt;"",K131,C131))</f>
        <v/>
      </c>
      <c r="AC131" s="33">
        <f>IF(OR(C131="",W131=""),"",P131&amp;"|"&amp;W131&amp;"|"&amp;C131&amp;"|"&amp;E131)</f>
        <v/>
      </c>
      <c r="AD131" s="39">
        <f>IF(AC131="","",IF(COUNTIF(AC$6:AC131,AC131)=1,1,0))</f>
        <v/>
      </c>
      <c r="AE131" s="39">
        <f>IF(AB131=0,"",IF(COUNTIFS(X$6:X131,X131,AB$6:AB131,AB131)=1,1,0))</f>
        <v/>
      </c>
      <c r="AF131" s="34">
        <f>IF(C131="","",YEAR(C131-WEEKDAY(C131,2)+4)&amp;"-S"&amp;TEXT(INT((C131-DATE(YEAR(C131-WEEKDAY(C131,2)+4),1,3)+WEEKDAY(DATE(YEAR(C131-WEEKDAY(C131,2)+4),1,3),2)+5)/7),"00"))</f>
        <v/>
      </c>
    </row>
    <row r="132" ht="18" customHeight="1">
      <c r="A132" s="39" t="n">
        <v>127</v>
      </c>
      <c r="B132" s="33">
        <f>IF(C132="","",IF(P132="À RENSEIGNER","GIC",P132)&amp;"-C"&amp;TEXT(A132,"00000"))</f>
        <v/>
      </c>
      <c r="C132" s="32" t="n"/>
      <c r="D132" s="36" t="n"/>
      <c r="E132" s="36" t="n"/>
      <c r="F132" s="36" t="n"/>
      <c r="G132" s="42" t="n"/>
      <c r="H132" s="37" t="n"/>
      <c r="I132" s="37" t="n"/>
      <c r="J132" s="32" t="n"/>
      <c r="K132" s="32" t="n"/>
      <c r="L132" s="43" t="n"/>
      <c r="M132" s="36" t="n"/>
      <c r="N132" s="44" t="n"/>
      <c r="O132" s="36" t="n"/>
      <c r="P132" s="33">
        <f>IF(C132="","",Commercial_Id)</f>
        <v/>
      </c>
      <c r="Q132" s="34">
        <f>IF(AC132="","",IF(AD132=1,"C"&amp;TEXT(SUM(AD$6:AD132),"0000"),INDEX(Q$6:Q131,MATCH(AC132,AC$6:AC131,0))))</f>
        <v/>
      </c>
      <c r="R132" s="34">
        <f>IF(C132="","",IF(L132="☑ Oui","Annulée",IF(OR(E132="Vente directe",K132&lt;&gt;""),"Livrée",IF(J132&lt;&gt;"","Confirmée","En attente"))))</f>
        <v/>
      </c>
      <c r="S132" s="34">
        <f>IF(F132="","",IFERROR(VLOOKUP(F132,T_Produits,2,FALSE),""))</f>
        <v/>
      </c>
      <c r="T132" s="40">
        <f>IF(F132="","",IFERROR(1/(1/VLOOKUP(F132,T_Produits,3,FALSE)),""))</f>
        <v/>
      </c>
      <c r="U132" s="40">
        <f>IF(H132&lt;&gt;"",H132,T132)</f>
        <v/>
      </c>
      <c r="V132" s="40">
        <f>IF(OR(G132="",U132=""),"",G132*U132-N(I132))</f>
        <v/>
      </c>
      <c r="W132" s="39">
        <f>IF(D132="","",IFERROR(VALUE(MID(D132,LEN(D132)-3,3)),""))</f>
        <v/>
      </c>
      <c r="X132" s="33">
        <f>IF(W132="","",P132&amp;"|"&amp;W132)</f>
        <v/>
      </c>
      <c r="Y132" s="33">
        <f>IF(W132="","",IF(P132="À RENSEIGNER","GIC",P132)&amp;"-"&amp;TEXT(W132,"000"))</f>
        <v/>
      </c>
      <c r="Z132" s="33">
        <f>IF(X132="","",IFERROR(INDEX(Cl_nom,MATCH(X132,Cl_cle,0)),"(client introuvable)"))</f>
        <v/>
      </c>
      <c r="AA132" s="33">
        <f>IF(X132="","",IFERROR(INDEX(Cl_quartier,MATCH(X132,Cl_cle,0))&amp;"",""))</f>
        <v/>
      </c>
      <c r="AB132" s="45">
        <f>IF(R132&lt;&gt;"Livrée",0,IF(K132&lt;&gt;"",K132,C132))</f>
        <v/>
      </c>
      <c r="AC132" s="33">
        <f>IF(OR(C132="",W132=""),"",P132&amp;"|"&amp;W132&amp;"|"&amp;C132&amp;"|"&amp;E132)</f>
        <v/>
      </c>
      <c r="AD132" s="39">
        <f>IF(AC132="","",IF(COUNTIF(AC$6:AC132,AC132)=1,1,0))</f>
        <v/>
      </c>
      <c r="AE132" s="39">
        <f>IF(AB132=0,"",IF(COUNTIFS(X$6:X132,X132,AB$6:AB132,AB132)=1,1,0))</f>
        <v/>
      </c>
      <c r="AF132" s="34">
        <f>IF(C132="","",YEAR(C132-WEEKDAY(C132,2)+4)&amp;"-S"&amp;TEXT(INT((C132-DATE(YEAR(C132-WEEKDAY(C132,2)+4),1,3)+WEEKDAY(DATE(YEAR(C132-WEEKDAY(C132,2)+4),1,3),2)+5)/7),"00"))</f>
        <v/>
      </c>
    </row>
    <row r="133" ht="18" customHeight="1">
      <c r="A133" s="39" t="n">
        <v>128</v>
      </c>
      <c r="B133" s="33">
        <f>IF(C133="","",IF(P133="À RENSEIGNER","GIC",P133)&amp;"-C"&amp;TEXT(A133,"00000"))</f>
        <v/>
      </c>
      <c r="C133" s="32" t="n"/>
      <c r="D133" s="36" t="n"/>
      <c r="E133" s="36" t="n"/>
      <c r="F133" s="36" t="n"/>
      <c r="G133" s="42" t="n"/>
      <c r="H133" s="37" t="n"/>
      <c r="I133" s="37" t="n"/>
      <c r="J133" s="32" t="n"/>
      <c r="K133" s="32" t="n"/>
      <c r="L133" s="43" t="n"/>
      <c r="M133" s="36" t="n"/>
      <c r="N133" s="44" t="n"/>
      <c r="O133" s="36" t="n"/>
      <c r="P133" s="33">
        <f>IF(C133="","",Commercial_Id)</f>
        <v/>
      </c>
      <c r="Q133" s="34">
        <f>IF(AC133="","",IF(AD133=1,"C"&amp;TEXT(SUM(AD$6:AD133),"0000"),INDEX(Q$6:Q132,MATCH(AC133,AC$6:AC132,0))))</f>
        <v/>
      </c>
      <c r="R133" s="34">
        <f>IF(C133="","",IF(L133="☑ Oui","Annulée",IF(OR(E133="Vente directe",K133&lt;&gt;""),"Livrée",IF(J133&lt;&gt;"","Confirmée","En attente"))))</f>
        <v/>
      </c>
      <c r="S133" s="34">
        <f>IF(F133="","",IFERROR(VLOOKUP(F133,T_Produits,2,FALSE),""))</f>
        <v/>
      </c>
      <c r="T133" s="40">
        <f>IF(F133="","",IFERROR(1/(1/VLOOKUP(F133,T_Produits,3,FALSE)),""))</f>
        <v/>
      </c>
      <c r="U133" s="40">
        <f>IF(H133&lt;&gt;"",H133,T133)</f>
        <v/>
      </c>
      <c r="V133" s="40">
        <f>IF(OR(G133="",U133=""),"",G133*U133-N(I133))</f>
        <v/>
      </c>
      <c r="W133" s="39">
        <f>IF(D133="","",IFERROR(VALUE(MID(D133,LEN(D133)-3,3)),""))</f>
        <v/>
      </c>
      <c r="X133" s="33">
        <f>IF(W133="","",P133&amp;"|"&amp;W133)</f>
        <v/>
      </c>
      <c r="Y133" s="33">
        <f>IF(W133="","",IF(P133="À RENSEIGNER","GIC",P133)&amp;"-"&amp;TEXT(W133,"000"))</f>
        <v/>
      </c>
      <c r="Z133" s="33">
        <f>IF(X133="","",IFERROR(INDEX(Cl_nom,MATCH(X133,Cl_cle,0)),"(client introuvable)"))</f>
        <v/>
      </c>
      <c r="AA133" s="33">
        <f>IF(X133="","",IFERROR(INDEX(Cl_quartier,MATCH(X133,Cl_cle,0))&amp;"",""))</f>
        <v/>
      </c>
      <c r="AB133" s="45">
        <f>IF(R133&lt;&gt;"Livrée",0,IF(K133&lt;&gt;"",K133,C133))</f>
        <v/>
      </c>
      <c r="AC133" s="33">
        <f>IF(OR(C133="",W133=""),"",P133&amp;"|"&amp;W133&amp;"|"&amp;C133&amp;"|"&amp;E133)</f>
        <v/>
      </c>
      <c r="AD133" s="39">
        <f>IF(AC133="","",IF(COUNTIF(AC$6:AC133,AC133)=1,1,0))</f>
        <v/>
      </c>
      <c r="AE133" s="39">
        <f>IF(AB133=0,"",IF(COUNTIFS(X$6:X133,X133,AB$6:AB133,AB133)=1,1,0))</f>
        <v/>
      </c>
      <c r="AF133" s="34">
        <f>IF(C133="","",YEAR(C133-WEEKDAY(C133,2)+4)&amp;"-S"&amp;TEXT(INT((C133-DATE(YEAR(C133-WEEKDAY(C133,2)+4),1,3)+WEEKDAY(DATE(YEAR(C133-WEEKDAY(C133,2)+4),1,3),2)+5)/7),"00"))</f>
        <v/>
      </c>
    </row>
    <row r="134" ht="18" customHeight="1">
      <c r="A134" s="39" t="n">
        <v>129</v>
      </c>
      <c r="B134" s="33">
        <f>IF(C134="","",IF(P134="À RENSEIGNER","GIC",P134)&amp;"-C"&amp;TEXT(A134,"00000"))</f>
        <v/>
      </c>
      <c r="C134" s="32" t="n"/>
      <c r="D134" s="36" t="n"/>
      <c r="E134" s="36" t="n"/>
      <c r="F134" s="36" t="n"/>
      <c r="G134" s="42" t="n"/>
      <c r="H134" s="37" t="n"/>
      <c r="I134" s="37" t="n"/>
      <c r="J134" s="32" t="n"/>
      <c r="K134" s="32" t="n"/>
      <c r="L134" s="43" t="n"/>
      <c r="M134" s="36" t="n"/>
      <c r="N134" s="44" t="n"/>
      <c r="O134" s="36" t="n"/>
      <c r="P134" s="33">
        <f>IF(C134="","",Commercial_Id)</f>
        <v/>
      </c>
      <c r="Q134" s="34">
        <f>IF(AC134="","",IF(AD134=1,"C"&amp;TEXT(SUM(AD$6:AD134),"0000"),INDEX(Q$6:Q133,MATCH(AC134,AC$6:AC133,0))))</f>
        <v/>
      </c>
      <c r="R134" s="34">
        <f>IF(C134="","",IF(L134="☑ Oui","Annulée",IF(OR(E134="Vente directe",K134&lt;&gt;""),"Livrée",IF(J134&lt;&gt;"","Confirmée","En attente"))))</f>
        <v/>
      </c>
      <c r="S134" s="34">
        <f>IF(F134="","",IFERROR(VLOOKUP(F134,T_Produits,2,FALSE),""))</f>
        <v/>
      </c>
      <c r="T134" s="40">
        <f>IF(F134="","",IFERROR(1/(1/VLOOKUP(F134,T_Produits,3,FALSE)),""))</f>
        <v/>
      </c>
      <c r="U134" s="40">
        <f>IF(H134&lt;&gt;"",H134,T134)</f>
        <v/>
      </c>
      <c r="V134" s="40">
        <f>IF(OR(G134="",U134=""),"",G134*U134-N(I134))</f>
        <v/>
      </c>
      <c r="W134" s="39">
        <f>IF(D134="","",IFERROR(VALUE(MID(D134,LEN(D134)-3,3)),""))</f>
        <v/>
      </c>
      <c r="X134" s="33">
        <f>IF(W134="","",P134&amp;"|"&amp;W134)</f>
        <v/>
      </c>
      <c r="Y134" s="33">
        <f>IF(W134="","",IF(P134="À RENSEIGNER","GIC",P134)&amp;"-"&amp;TEXT(W134,"000"))</f>
        <v/>
      </c>
      <c r="Z134" s="33">
        <f>IF(X134="","",IFERROR(INDEX(Cl_nom,MATCH(X134,Cl_cle,0)),"(client introuvable)"))</f>
        <v/>
      </c>
      <c r="AA134" s="33">
        <f>IF(X134="","",IFERROR(INDEX(Cl_quartier,MATCH(X134,Cl_cle,0))&amp;"",""))</f>
        <v/>
      </c>
      <c r="AB134" s="45">
        <f>IF(R134&lt;&gt;"Livrée",0,IF(K134&lt;&gt;"",K134,C134))</f>
        <v/>
      </c>
      <c r="AC134" s="33">
        <f>IF(OR(C134="",W134=""),"",P134&amp;"|"&amp;W134&amp;"|"&amp;C134&amp;"|"&amp;E134)</f>
        <v/>
      </c>
      <c r="AD134" s="39">
        <f>IF(AC134="","",IF(COUNTIF(AC$6:AC134,AC134)=1,1,0))</f>
        <v/>
      </c>
      <c r="AE134" s="39">
        <f>IF(AB134=0,"",IF(COUNTIFS(X$6:X134,X134,AB$6:AB134,AB134)=1,1,0))</f>
        <v/>
      </c>
      <c r="AF134" s="34">
        <f>IF(C134="","",YEAR(C134-WEEKDAY(C134,2)+4)&amp;"-S"&amp;TEXT(INT((C134-DATE(YEAR(C134-WEEKDAY(C134,2)+4),1,3)+WEEKDAY(DATE(YEAR(C134-WEEKDAY(C134,2)+4),1,3),2)+5)/7),"00"))</f>
        <v/>
      </c>
    </row>
    <row r="135" ht="18" customHeight="1">
      <c r="A135" s="39" t="n">
        <v>130</v>
      </c>
      <c r="B135" s="33">
        <f>IF(C135="","",IF(P135="À RENSEIGNER","GIC",P135)&amp;"-C"&amp;TEXT(A135,"00000"))</f>
        <v/>
      </c>
      <c r="C135" s="32" t="n"/>
      <c r="D135" s="36" t="n"/>
      <c r="E135" s="36" t="n"/>
      <c r="F135" s="36" t="n"/>
      <c r="G135" s="42" t="n"/>
      <c r="H135" s="37" t="n"/>
      <c r="I135" s="37" t="n"/>
      <c r="J135" s="32" t="n"/>
      <c r="K135" s="32" t="n"/>
      <c r="L135" s="43" t="n"/>
      <c r="M135" s="36" t="n"/>
      <c r="N135" s="44" t="n"/>
      <c r="O135" s="36" t="n"/>
      <c r="P135" s="33">
        <f>IF(C135="","",Commercial_Id)</f>
        <v/>
      </c>
      <c r="Q135" s="34">
        <f>IF(AC135="","",IF(AD135=1,"C"&amp;TEXT(SUM(AD$6:AD135),"0000"),INDEX(Q$6:Q134,MATCH(AC135,AC$6:AC134,0))))</f>
        <v/>
      </c>
      <c r="R135" s="34">
        <f>IF(C135="","",IF(L135="☑ Oui","Annulée",IF(OR(E135="Vente directe",K135&lt;&gt;""),"Livrée",IF(J135&lt;&gt;"","Confirmée","En attente"))))</f>
        <v/>
      </c>
      <c r="S135" s="34">
        <f>IF(F135="","",IFERROR(VLOOKUP(F135,T_Produits,2,FALSE),""))</f>
        <v/>
      </c>
      <c r="T135" s="40">
        <f>IF(F135="","",IFERROR(1/(1/VLOOKUP(F135,T_Produits,3,FALSE)),""))</f>
        <v/>
      </c>
      <c r="U135" s="40">
        <f>IF(H135&lt;&gt;"",H135,T135)</f>
        <v/>
      </c>
      <c r="V135" s="40">
        <f>IF(OR(G135="",U135=""),"",G135*U135-N(I135))</f>
        <v/>
      </c>
      <c r="W135" s="39">
        <f>IF(D135="","",IFERROR(VALUE(MID(D135,LEN(D135)-3,3)),""))</f>
        <v/>
      </c>
      <c r="X135" s="33">
        <f>IF(W135="","",P135&amp;"|"&amp;W135)</f>
        <v/>
      </c>
      <c r="Y135" s="33">
        <f>IF(W135="","",IF(P135="À RENSEIGNER","GIC",P135)&amp;"-"&amp;TEXT(W135,"000"))</f>
        <v/>
      </c>
      <c r="Z135" s="33">
        <f>IF(X135="","",IFERROR(INDEX(Cl_nom,MATCH(X135,Cl_cle,0)),"(client introuvable)"))</f>
        <v/>
      </c>
      <c r="AA135" s="33">
        <f>IF(X135="","",IFERROR(INDEX(Cl_quartier,MATCH(X135,Cl_cle,0))&amp;"",""))</f>
        <v/>
      </c>
      <c r="AB135" s="45">
        <f>IF(R135&lt;&gt;"Livrée",0,IF(K135&lt;&gt;"",K135,C135))</f>
        <v/>
      </c>
      <c r="AC135" s="33">
        <f>IF(OR(C135="",W135=""),"",P135&amp;"|"&amp;W135&amp;"|"&amp;C135&amp;"|"&amp;E135)</f>
        <v/>
      </c>
      <c r="AD135" s="39">
        <f>IF(AC135="","",IF(COUNTIF(AC$6:AC135,AC135)=1,1,0))</f>
        <v/>
      </c>
      <c r="AE135" s="39">
        <f>IF(AB135=0,"",IF(COUNTIFS(X$6:X135,X135,AB$6:AB135,AB135)=1,1,0))</f>
        <v/>
      </c>
      <c r="AF135" s="34">
        <f>IF(C135="","",YEAR(C135-WEEKDAY(C135,2)+4)&amp;"-S"&amp;TEXT(INT((C135-DATE(YEAR(C135-WEEKDAY(C135,2)+4),1,3)+WEEKDAY(DATE(YEAR(C135-WEEKDAY(C135,2)+4),1,3),2)+5)/7),"00"))</f>
        <v/>
      </c>
    </row>
    <row r="136" ht="18" customHeight="1">
      <c r="A136" s="39" t="n">
        <v>131</v>
      </c>
      <c r="B136" s="33">
        <f>IF(C136="","",IF(P136="À RENSEIGNER","GIC",P136)&amp;"-C"&amp;TEXT(A136,"00000"))</f>
        <v/>
      </c>
      <c r="C136" s="32" t="n"/>
      <c r="D136" s="36" t="n"/>
      <c r="E136" s="36" t="n"/>
      <c r="F136" s="36" t="n"/>
      <c r="G136" s="42" t="n"/>
      <c r="H136" s="37" t="n"/>
      <c r="I136" s="37" t="n"/>
      <c r="J136" s="32" t="n"/>
      <c r="K136" s="32" t="n"/>
      <c r="L136" s="43" t="n"/>
      <c r="M136" s="36" t="n"/>
      <c r="N136" s="44" t="n"/>
      <c r="O136" s="36" t="n"/>
      <c r="P136" s="33">
        <f>IF(C136="","",Commercial_Id)</f>
        <v/>
      </c>
      <c r="Q136" s="34">
        <f>IF(AC136="","",IF(AD136=1,"C"&amp;TEXT(SUM(AD$6:AD136),"0000"),INDEX(Q$6:Q135,MATCH(AC136,AC$6:AC135,0))))</f>
        <v/>
      </c>
      <c r="R136" s="34">
        <f>IF(C136="","",IF(L136="☑ Oui","Annulée",IF(OR(E136="Vente directe",K136&lt;&gt;""),"Livrée",IF(J136&lt;&gt;"","Confirmée","En attente"))))</f>
        <v/>
      </c>
      <c r="S136" s="34">
        <f>IF(F136="","",IFERROR(VLOOKUP(F136,T_Produits,2,FALSE),""))</f>
        <v/>
      </c>
      <c r="T136" s="40">
        <f>IF(F136="","",IFERROR(1/(1/VLOOKUP(F136,T_Produits,3,FALSE)),""))</f>
        <v/>
      </c>
      <c r="U136" s="40">
        <f>IF(H136&lt;&gt;"",H136,T136)</f>
        <v/>
      </c>
      <c r="V136" s="40">
        <f>IF(OR(G136="",U136=""),"",G136*U136-N(I136))</f>
        <v/>
      </c>
      <c r="W136" s="39">
        <f>IF(D136="","",IFERROR(VALUE(MID(D136,LEN(D136)-3,3)),""))</f>
        <v/>
      </c>
      <c r="X136" s="33">
        <f>IF(W136="","",P136&amp;"|"&amp;W136)</f>
        <v/>
      </c>
      <c r="Y136" s="33">
        <f>IF(W136="","",IF(P136="À RENSEIGNER","GIC",P136)&amp;"-"&amp;TEXT(W136,"000"))</f>
        <v/>
      </c>
      <c r="Z136" s="33">
        <f>IF(X136="","",IFERROR(INDEX(Cl_nom,MATCH(X136,Cl_cle,0)),"(client introuvable)"))</f>
        <v/>
      </c>
      <c r="AA136" s="33">
        <f>IF(X136="","",IFERROR(INDEX(Cl_quartier,MATCH(X136,Cl_cle,0))&amp;"",""))</f>
        <v/>
      </c>
      <c r="AB136" s="45">
        <f>IF(R136&lt;&gt;"Livrée",0,IF(K136&lt;&gt;"",K136,C136))</f>
        <v/>
      </c>
      <c r="AC136" s="33">
        <f>IF(OR(C136="",W136=""),"",P136&amp;"|"&amp;W136&amp;"|"&amp;C136&amp;"|"&amp;E136)</f>
        <v/>
      </c>
      <c r="AD136" s="39">
        <f>IF(AC136="","",IF(COUNTIF(AC$6:AC136,AC136)=1,1,0))</f>
        <v/>
      </c>
      <c r="AE136" s="39">
        <f>IF(AB136=0,"",IF(COUNTIFS(X$6:X136,X136,AB$6:AB136,AB136)=1,1,0))</f>
        <v/>
      </c>
      <c r="AF136" s="34">
        <f>IF(C136="","",YEAR(C136-WEEKDAY(C136,2)+4)&amp;"-S"&amp;TEXT(INT((C136-DATE(YEAR(C136-WEEKDAY(C136,2)+4),1,3)+WEEKDAY(DATE(YEAR(C136-WEEKDAY(C136,2)+4),1,3),2)+5)/7),"00"))</f>
        <v/>
      </c>
    </row>
    <row r="137" ht="18" customHeight="1">
      <c r="A137" s="39" t="n">
        <v>132</v>
      </c>
      <c r="B137" s="33">
        <f>IF(C137="","",IF(P137="À RENSEIGNER","GIC",P137)&amp;"-C"&amp;TEXT(A137,"00000"))</f>
        <v/>
      </c>
      <c r="C137" s="32" t="n"/>
      <c r="D137" s="36" t="n"/>
      <c r="E137" s="36" t="n"/>
      <c r="F137" s="36" t="n"/>
      <c r="G137" s="42" t="n"/>
      <c r="H137" s="37" t="n"/>
      <c r="I137" s="37" t="n"/>
      <c r="J137" s="32" t="n"/>
      <c r="K137" s="32" t="n"/>
      <c r="L137" s="43" t="n"/>
      <c r="M137" s="36" t="n"/>
      <c r="N137" s="44" t="n"/>
      <c r="O137" s="36" t="n"/>
      <c r="P137" s="33">
        <f>IF(C137="","",Commercial_Id)</f>
        <v/>
      </c>
      <c r="Q137" s="34">
        <f>IF(AC137="","",IF(AD137=1,"C"&amp;TEXT(SUM(AD$6:AD137),"0000"),INDEX(Q$6:Q136,MATCH(AC137,AC$6:AC136,0))))</f>
        <v/>
      </c>
      <c r="R137" s="34">
        <f>IF(C137="","",IF(L137="☑ Oui","Annulée",IF(OR(E137="Vente directe",K137&lt;&gt;""),"Livrée",IF(J137&lt;&gt;"","Confirmée","En attente"))))</f>
        <v/>
      </c>
      <c r="S137" s="34">
        <f>IF(F137="","",IFERROR(VLOOKUP(F137,T_Produits,2,FALSE),""))</f>
        <v/>
      </c>
      <c r="T137" s="40">
        <f>IF(F137="","",IFERROR(1/(1/VLOOKUP(F137,T_Produits,3,FALSE)),""))</f>
        <v/>
      </c>
      <c r="U137" s="40">
        <f>IF(H137&lt;&gt;"",H137,T137)</f>
        <v/>
      </c>
      <c r="V137" s="40">
        <f>IF(OR(G137="",U137=""),"",G137*U137-N(I137))</f>
        <v/>
      </c>
      <c r="W137" s="39">
        <f>IF(D137="","",IFERROR(VALUE(MID(D137,LEN(D137)-3,3)),""))</f>
        <v/>
      </c>
      <c r="X137" s="33">
        <f>IF(W137="","",P137&amp;"|"&amp;W137)</f>
        <v/>
      </c>
      <c r="Y137" s="33">
        <f>IF(W137="","",IF(P137="À RENSEIGNER","GIC",P137)&amp;"-"&amp;TEXT(W137,"000"))</f>
        <v/>
      </c>
      <c r="Z137" s="33">
        <f>IF(X137="","",IFERROR(INDEX(Cl_nom,MATCH(X137,Cl_cle,0)),"(client introuvable)"))</f>
        <v/>
      </c>
      <c r="AA137" s="33">
        <f>IF(X137="","",IFERROR(INDEX(Cl_quartier,MATCH(X137,Cl_cle,0))&amp;"",""))</f>
        <v/>
      </c>
      <c r="AB137" s="45">
        <f>IF(R137&lt;&gt;"Livrée",0,IF(K137&lt;&gt;"",K137,C137))</f>
        <v/>
      </c>
      <c r="AC137" s="33">
        <f>IF(OR(C137="",W137=""),"",P137&amp;"|"&amp;W137&amp;"|"&amp;C137&amp;"|"&amp;E137)</f>
        <v/>
      </c>
      <c r="AD137" s="39">
        <f>IF(AC137="","",IF(COUNTIF(AC$6:AC137,AC137)=1,1,0))</f>
        <v/>
      </c>
      <c r="AE137" s="39">
        <f>IF(AB137=0,"",IF(COUNTIFS(X$6:X137,X137,AB$6:AB137,AB137)=1,1,0))</f>
        <v/>
      </c>
      <c r="AF137" s="34">
        <f>IF(C137="","",YEAR(C137-WEEKDAY(C137,2)+4)&amp;"-S"&amp;TEXT(INT((C137-DATE(YEAR(C137-WEEKDAY(C137,2)+4),1,3)+WEEKDAY(DATE(YEAR(C137-WEEKDAY(C137,2)+4),1,3),2)+5)/7),"00"))</f>
        <v/>
      </c>
    </row>
    <row r="138" ht="18" customHeight="1">
      <c r="A138" s="39" t="n">
        <v>133</v>
      </c>
      <c r="B138" s="33">
        <f>IF(C138="","",IF(P138="À RENSEIGNER","GIC",P138)&amp;"-C"&amp;TEXT(A138,"00000"))</f>
        <v/>
      </c>
      <c r="C138" s="32" t="n"/>
      <c r="D138" s="36" t="n"/>
      <c r="E138" s="36" t="n"/>
      <c r="F138" s="36" t="n"/>
      <c r="G138" s="42" t="n"/>
      <c r="H138" s="37" t="n"/>
      <c r="I138" s="37" t="n"/>
      <c r="J138" s="32" t="n"/>
      <c r="K138" s="32" t="n"/>
      <c r="L138" s="43" t="n"/>
      <c r="M138" s="36" t="n"/>
      <c r="N138" s="44" t="n"/>
      <c r="O138" s="36" t="n"/>
      <c r="P138" s="33">
        <f>IF(C138="","",Commercial_Id)</f>
        <v/>
      </c>
      <c r="Q138" s="34">
        <f>IF(AC138="","",IF(AD138=1,"C"&amp;TEXT(SUM(AD$6:AD138),"0000"),INDEX(Q$6:Q137,MATCH(AC138,AC$6:AC137,0))))</f>
        <v/>
      </c>
      <c r="R138" s="34">
        <f>IF(C138="","",IF(L138="☑ Oui","Annulée",IF(OR(E138="Vente directe",K138&lt;&gt;""),"Livrée",IF(J138&lt;&gt;"","Confirmée","En attente"))))</f>
        <v/>
      </c>
      <c r="S138" s="34">
        <f>IF(F138="","",IFERROR(VLOOKUP(F138,T_Produits,2,FALSE),""))</f>
        <v/>
      </c>
      <c r="T138" s="40">
        <f>IF(F138="","",IFERROR(1/(1/VLOOKUP(F138,T_Produits,3,FALSE)),""))</f>
        <v/>
      </c>
      <c r="U138" s="40">
        <f>IF(H138&lt;&gt;"",H138,T138)</f>
        <v/>
      </c>
      <c r="V138" s="40">
        <f>IF(OR(G138="",U138=""),"",G138*U138-N(I138))</f>
        <v/>
      </c>
      <c r="W138" s="39">
        <f>IF(D138="","",IFERROR(VALUE(MID(D138,LEN(D138)-3,3)),""))</f>
        <v/>
      </c>
      <c r="X138" s="33">
        <f>IF(W138="","",P138&amp;"|"&amp;W138)</f>
        <v/>
      </c>
      <c r="Y138" s="33">
        <f>IF(W138="","",IF(P138="À RENSEIGNER","GIC",P138)&amp;"-"&amp;TEXT(W138,"000"))</f>
        <v/>
      </c>
      <c r="Z138" s="33">
        <f>IF(X138="","",IFERROR(INDEX(Cl_nom,MATCH(X138,Cl_cle,0)),"(client introuvable)"))</f>
        <v/>
      </c>
      <c r="AA138" s="33">
        <f>IF(X138="","",IFERROR(INDEX(Cl_quartier,MATCH(X138,Cl_cle,0))&amp;"",""))</f>
        <v/>
      </c>
      <c r="AB138" s="45">
        <f>IF(R138&lt;&gt;"Livrée",0,IF(K138&lt;&gt;"",K138,C138))</f>
        <v/>
      </c>
      <c r="AC138" s="33">
        <f>IF(OR(C138="",W138=""),"",P138&amp;"|"&amp;W138&amp;"|"&amp;C138&amp;"|"&amp;E138)</f>
        <v/>
      </c>
      <c r="AD138" s="39">
        <f>IF(AC138="","",IF(COUNTIF(AC$6:AC138,AC138)=1,1,0))</f>
        <v/>
      </c>
      <c r="AE138" s="39">
        <f>IF(AB138=0,"",IF(COUNTIFS(X$6:X138,X138,AB$6:AB138,AB138)=1,1,0))</f>
        <v/>
      </c>
      <c r="AF138" s="34">
        <f>IF(C138="","",YEAR(C138-WEEKDAY(C138,2)+4)&amp;"-S"&amp;TEXT(INT((C138-DATE(YEAR(C138-WEEKDAY(C138,2)+4),1,3)+WEEKDAY(DATE(YEAR(C138-WEEKDAY(C138,2)+4),1,3),2)+5)/7),"00"))</f>
        <v/>
      </c>
    </row>
    <row r="139" ht="18" customHeight="1">
      <c r="A139" s="39" t="n">
        <v>134</v>
      </c>
      <c r="B139" s="33">
        <f>IF(C139="","",IF(P139="À RENSEIGNER","GIC",P139)&amp;"-C"&amp;TEXT(A139,"00000"))</f>
        <v/>
      </c>
      <c r="C139" s="32" t="n"/>
      <c r="D139" s="36" t="n"/>
      <c r="E139" s="36" t="n"/>
      <c r="F139" s="36" t="n"/>
      <c r="G139" s="42" t="n"/>
      <c r="H139" s="37" t="n"/>
      <c r="I139" s="37" t="n"/>
      <c r="J139" s="32" t="n"/>
      <c r="K139" s="32" t="n"/>
      <c r="L139" s="43" t="n"/>
      <c r="M139" s="36" t="n"/>
      <c r="N139" s="44" t="n"/>
      <c r="O139" s="36" t="n"/>
      <c r="P139" s="33">
        <f>IF(C139="","",Commercial_Id)</f>
        <v/>
      </c>
      <c r="Q139" s="34">
        <f>IF(AC139="","",IF(AD139=1,"C"&amp;TEXT(SUM(AD$6:AD139),"0000"),INDEX(Q$6:Q138,MATCH(AC139,AC$6:AC138,0))))</f>
        <v/>
      </c>
      <c r="R139" s="34">
        <f>IF(C139="","",IF(L139="☑ Oui","Annulée",IF(OR(E139="Vente directe",K139&lt;&gt;""),"Livrée",IF(J139&lt;&gt;"","Confirmée","En attente"))))</f>
        <v/>
      </c>
      <c r="S139" s="34">
        <f>IF(F139="","",IFERROR(VLOOKUP(F139,T_Produits,2,FALSE),""))</f>
        <v/>
      </c>
      <c r="T139" s="40">
        <f>IF(F139="","",IFERROR(1/(1/VLOOKUP(F139,T_Produits,3,FALSE)),""))</f>
        <v/>
      </c>
      <c r="U139" s="40">
        <f>IF(H139&lt;&gt;"",H139,T139)</f>
        <v/>
      </c>
      <c r="V139" s="40">
        <f>IF(OR(G139="",U139=""),"",G139*U139-N(I139))</f>
        <v/>
      </c>
      <c r="W139" s="39">
        <f>IF(D139="","",IFERROR(VALUE(MID(D139,LEN(D139)-3,3)),""))</f>
        <v/>
      </c>
      <c r="X139" s="33">
        <f>IF(W139="","",P139&amp;"|"&amp;W139)</f>
        <v/>
      </c>
      <c r="Y139" s="33">
        <f>IF(W139="","",IF(P139="À RENSEIGNER","GIC",P139)&amp;"-"&amp;TEXT(W139,"000"))</f>
        <v/>
      </c>
      <c r="Z139" s="33">
        <f>IF(X139="","",IFERROR(INDEX(Cl_nom,MATCH(X139,Cl_cle,0)),"(client introuvable)"))</f>
        <v/>
      </c>
      <c r="AA139" s="33">
        <f>IF(X139="","",IFERROR(INDEX(Cl_quartier,MATCH(X139,Cl_cle,0))&amp;"",""))</f>
        <v/>
      </c>
      <c r="AB139" s="45">
        <f>IF(R139&lt;&gt;"Livrée",0,IF(K139&lt;&gt;"",K139,C139))</f>
        <v/>
      </c>
      <c r="AC139" s="33">
        <f>IF(OR(C139="",W139=""),"",P139&amp;"|"&amp;W139&amp;"|"&amp;C139&amp;"|"&amp;E139)</f>
        <v/>
      </c>
      <c r="AD139" s="39">
        <f>IF(AC139="","",IF(COUNTIF(AC$6:AC139,AC139)=1,1,0))</f>
        <v/>
      </c>
      <c r="AE139" s="39">
        <f>IF(AB139=0,"",IF(COUNTIFS(X$6:X139,X139,AB$6:AB139,AB139)=1,1,0))</f>
        <v/>
      </c>
      <c r="AF139" s="34">
        <f>IF(C139="","",YEAR(C139-WEEKDAY(C139,2)+4)&amp;"-S"&amp;TEXT(INT((C139-DATE(YEAR(C139-WEEKDAY(C139,2)+4),1,3)+WEEKDAY(DATE(YEAR(C139-WEEKDAY(C139,2)+4),1,3),2)+5)/7),"00"))</f>
        <v/>
      </c>
    </row>
    <row r="140" ht="18" customHeight="1">
      <c r="A140" s="39" t="n">
        <v>135</v>
      </c>
      <c r="B140" s="33">
        <f>IF(C140="","",IF(P140="À RENSEIGNER","GIC",P140)&amp;"-C"&amp;TEXT(A140,"00000"))</f>
        <v/>
      </c>
      <c r="C140" s="32" t="n"/>
      <c r="D140" s="36" t="n"/>
      <c r="E140" s="36" t="n"/>
      <c r="F140" s="36" t="n"/>
      <c r="G140" s="42" t="n"/>
      <c r="H140" s="37" t="n"/>
      <c r="I140" s="37" t="n"/>
      <c r="J140" s="32" t="n"/>
      <c r="K140" s="32" t="n"/>
      <c r="L140" s="43" t="n"/>
      <c r="M140" s="36" t="n"/>
      <c r="N140" s="44" t="n"/>
      <c r="O140" s="36" t="n"/>
      <c r="P140" s="33">
        <f>IF(C140="","",Commercial_Id)</f>
        <v/>
      </c>
      <c r="Q140" s="34">
        <f>IF(AC140="","",IF(AD140=1,"C"&amp;TEXT(SUM(AD$6:AD140),"0000"),INDEX(Q$6:Q139,MATCH(AC140,AC$6:AC139,0))))</f>
        <v/>
      </c>
      <c r="R140" s="34">
        <f>IF(C140="","",IF(L140="☑ Oui","Annulée",IF(OR(E140="Vente directe",K140&lt;&gt;""),"Livrée",IF(J140&lt;&gt;"","Confirmée","En attente"))))</f>
        <v/>
      </c>
      <c r="S140" s="34">
        <f>IF(F140="","",IFERROR(VLOOKUP(F140,T_Produits,2,FALSE),""))</f>
        <v/>
      </c>
      <c r="T140" s="40">
        <f>IF(F140="","",IFERROR(1/(1/VLOOKUP(F140,T_Produits,3,FALSE)),""))</f>
        <v/>
      </c>
      <c r="U140" s="40">
        <f>IF(H140&lt;&gt;"",H140,T140)</f>
        <v/>
      </c>
      <c r="V140" s="40">
        <f>IF(OR(G140="",U140=""),"",G140*U140-N(I140))</f>
        <v/>
      </c>
      <c r="W140" s="39">
        <f>IF(D140="","",IFERROR(VALUE(MID(D140,LEN(D140)-3,3)),""))</f>
        <v/>
      </c>
      <c r="X140" s="33">
        <f>IF(W140="","",P140&amp;"|"&amp;W140)</f>
        <v/>
      </c>
      <c r="Y140" s="33">
        <f>IF(W140="","",IF(P140="À RENSEIGNER","GIC",P140)&amp;"-"&amp;TEXT(W140,"000"))</f>
        <v/>
      </c>
      <c r="Z140" s="33">
        <f>IF(X140="","",IFERROR(INDEX(Cl_nom,MATCH(X140,Cl_cle,0)),"(client introuvable)"))</f>
        <v/>
      </c>
      <c r="AA140" s="33">
        <f>IF(X140="","",IFERROR(INDEX(Cl_quartier,MATCH(X140,Cl_cle,0))&amp;"",""))</f>
        <v/>
      </c>
      <c r="AB140" s="45">
        <f>IF(R140&lt;&gt;"Livrée",0,IF(K140&lt;&gt;"",K140,C140))</f>
        <v/>
      </c>
      <c r="AC140" s="33">
        <f>IF(OR(C140="",W140=""),"",P140&amp;"|"&amp;W140&amp;"|"&amp;C140&amp;"|"&amp;E140)</f>
        <v/>
      </c>
      <c r="AD140" s="39">
        <f>IF(AC140="","",IF(COUNTIF(AC$6:AC140,AC140)=1,1,0))</f>
        <v/>
      </c>
      <c r="AE140" s="39">
        <f>IF(AB140=0,"",IF(COUNTIFS(X$6:X140,X140,AB$6:AB140,AB140)=1,1,0))</f>
        <v/>
      </c>
      <c r="AF140" s="34">
        <f>IF(C140="","",YEAR(C140-WEEKDAY(C140,2)+4)&amp;"-S"&amp;TEXT(INT((C140-DATE(YEAR(C140-WEEKDAY(C140,2)+4),1,3)+WEEKDAY(DATE(YEAR(C140-WEEKDAY(C140,2)+4),1,3),2)+5)/7),"00"))</f>
        <v/>
      </c>
    </row>
    <row r="141" ht="18" customHeight="1">
      <c r="A141" s="39" t="n">
        <v>136</v>
      </c>
      <c r="B141" s="33">
        <f>IF(C141="","",IF(P141="À RENSEIGNER","GIC",P141)&amp;"-C"&amp;TEXT(A141,"00000"))</f>
        <v/>
      </c>
      <c r="C141" s="32" t="n"/>
      <c r="D141" s="36" t="n"/>
      <c r="E141" s="36" t="n"/>
      <c r="F141" s="36" t="n"/>
      <c r="G141" s="42" t="n"/>
      <c r="H141" s="37" t="n"/>
      <c r="I141" s="37" t="n"/>
      <c r="J141" s="32" t="n"/>
      <c r="K141" s="32" t="n"/>
      <c r="L141" s="43" t="n"/>
      <c r="M141" s="36" t="n"/>
      <c r="N141" s="44" t="n"/>
      <c r="O141" s="36" t="n"/>
      <c r="P141" s="33">
        <f>IF(C141="","",Commercial_Id)</f>
        <v/>
      </c>
      <c r="Q141" s="34">
        <f>IF(AC141="","",IF(AD141=1,"C"&amp;TEXT(SUM(AD$6:AD141),"0000"),INDEX(Q$6:Q140,MATCH(AC141,AC$6:AC140,0))))</f>
        <v/>
      </c>
      <c r="R141" s="34">
        <f>IF(C141="","",IF(L141="☑ Oui","Annulée",IF(OR(E141="Vente directe",K141&lt;&gt;""),"Livrée",IF(J141&lt;&gt;"","Confirmée","En attente"))))</f>
        <v/>
      </c>
      <c r="S141" s="34">
        <f>IF(F141="","",IFERROR(VLOOKUP(F141,T_Produits,2,FALSE),""))</f>
        <v/>
      </c>
      <c r="T141" s="40">
        <f>IF(F141="","",IFERROR(1/(1/VLOOKUP(F141,T_Produits,3,FALSE)),""))</f>
        <v/>
      </c>
      <c r="U141" s="40">
        <f>IF(H141&lt;&gt;"",H141,T141)</f>
        <v/>
      </c>
      <c r="V141" s="40">
        <f>IF(OR(G141="",U141=""),"",G141*U141-N(I141))</f>
        <v/>
      </c>
      <c r="W141" s="39">
        <f>IF(D141="","",IFERROR(VALUE(MID(D141,LEN(D141)-3,3)),""))</f>
        <v/>
      </c>
      <c r="X141" s="33">
        <f>IF(W141="","",P141&amp;"|"&amp;W141)</f>
        <v/>
      </c>
      <c r="Y141" s="33">
        <f>IF(W141="","",IF(P141="À RENSEIGNER","GIC",P141)&amp;"-"&amp;TEXT(W141,"000"))</f>
        <v/>
      </c>
      <c r="Z141" s="33">
        <f>IF(X141="","",IFERROR(INDEX(Cl_nom,MATCH(X141,Cl_cle,0)),"(client introuvable)"))</f>
        <v/>
      </c>
      <c r="AA141" s="33">
        <f>IF(X141="","",IFERROR(INDEX(Cl_quartier,MATCH(X141,Cl_cle,0))&amp;"",""))</f>
        <v/>
      </c>
      <c r="AB141" s="45">
        <f>IF(R141&lt;&gt;"Livrée",0,IF(K141&lt;&gt;"",K141,C141))</f>
        <v/>
      </c>
      <c r="AC141" s="33">
        <f>IF(OR(C141="",W141=""),"",P141&amp;"|"&amp;W141&amp;"|"&amp;C141&amp;"|"&amp;E141)</f>
        <v/>
      </c>
      <c r="AD141" s="39">
        <f>IF(AC141="","",IF(COUNTIF(AC$6:AC141,AC141)=1,1,0))</f>
        <v/>
      </c>
      <c r="AE141" s="39">
        <f>IF(AB141=0,"",IF(COUNTIFS(X$6:X141,X141,AB$6:AB141,AB141)=1,1,0))</f>
        <v/>
      </c>
      <c r="AF141" s="34">
        <f>IF(C141="","",YEAR(C141-WEEKDAY(C141,2)+4)&amp;"-S"&amp;TEXT(INT((C141-DATE(YEAR(C141-WEEKDAY(C141,2)+4),1,3)+WEEKDAY(DATE(YEAR(C141-WEEKDAY(C141,2)+4),1,3),2)+5)/7),"00"))</f>
        <v/>
      </c>
    </row>
    <row r="142" ht="18" customHeight="1">
      <c r="A142" s="39" t="n">
        <v>137</v>
      </c>
      <c r="B142" s="33">
        <f>IF(C142="","",IF(P142="À RENSEIGNER","GIC",P142)&amp;"-C"&amp;TEXT(A142,"00000"))</f>
        <v/>
      </c>
      <c r="C142" s="32" t="n"/>
      <c r="D142" s="36" t="n"/>
      <c r="E142" s="36" t="n"/>
      <c r="F142" s="36" t="n"/>
      <c r="G142" s="42" t="n"/>
      <c r="H142" s="37" t="n"/>
      <c r="I142" s="37" t="n"/>
      <c r="J142" s="32" t="n"/>
      <c r="K142" s="32" t="n"/>
      <c r="L142" s="43" t="n"/>
      <c r="M142" s="36" t="n"/>
      <c r="N142" s="44" t="n"/>
      <c r="O142" s="36" t="n"/>
      <c r="P142" s="33">
        <f>IF(C142="","",Commercial_Id)</f>
        <v/>
      </c>
      <c r="Q142" s="34">
        <f>IF(AC142="","",IF(AD142=1,"C"&amp;TEXT(SUM(AD$6:AD142),"0000"),INDEX(Q$6:Q141,MATCH(AC142,AC$6:AC141,0))))</f>
        <v/>
      </c>
      <c r="R142" s="34">
        <f>IF(C142="","",IF(L142="☑ Oui","Annulée",IF(OR(E142="Vente directe",K142&lt;&gt;""),"Livrée",IF(J142&lt;&gt;"","Confirmée","En attente"))))</f>
        <v/>
      </c>
      <c r="S142" s="34">
        <f>IF(F142="","",IFERROR(VLOOKUP(F142,T_Produits,2,FALSE),""))</f>
        <v/>
      </c>
      <c r="T142" s="40">
        <f>IF(F142="","",IFERROR(1/(1/VLOOKUP(F142,T_Produits,3,FALSE)),""))</f>
        <v/>
      </c>
      <c r="U142" s="40">
        <f>IF(H142&lt;&gt;"",H142,T142)</f>
        <v/>
      </c>
      <c r="V142" s="40">
        <f>IF(OR(G142="",U142=""),"",G142*U142-N(I142))</f>
        <v/>
      </c>
      <c r="W142" s="39">
        <f>IF(D142="","",IFERROR(VALUE(MID(D142,LEN(D142)-3,3)),""))</f>
        <v/>
      </c>
      <c r="X142" s="33">
        <f>IF(W142="","",P142&amp;"|"&amp;W142)</f>
        <v/>
      </c>
      <c r="Y142" s="33">
        <f>IF(W142="","",IF(P142="À RENSEIGNER","GIC",P142)&amp;"-"&amp;TEXT(W142,"000"))</f>
        <v/>
      </c>
      <c r="Z142" s="33">
        <f>IF(X142="","",IFERROR(INDEX(Cl_nom,MATCH(X142,Cl_cle,0)),"(client introuvable)"))</f>
        <v/>
      </c>
      <c r="AA142" s="33">
        <f>IF(X142="","",IFERROR(INDEX(Cl_quartier,MATCH(X142,Cl_cle,0))&amp;"",""))</f>
        <v/>
      </c>
      <c r="AB142" s="45">
        <f>IF(R142&lt;&gt;"Livrée",0,IF(K142&lt;&gt;"",K142,C142))</f>
        <v/>
      </c>
      <c r="AC142" s="33">
        <f>IF(OR(C142="",W142=""),"",P142&amp;"|"&amp;W142&amp;"|"&amp;C142&amp;"|"&amp;E142)</f>
        <v/>
      </c>
      <c r="AD142" s="39">
        <f>IF(AC142="","",IF(COUNTIF(AC$6:AC142,AC142)=1,1,0))</f>
        <v/>
      </c>
      <c r="AE142" s="39">
        <f>IF(AB142=0,"",IF(COUNTIFS(X$6:X142,X142,AB$6:AB142,AB142)=1,1,0))</f>
        <v/>
      </c>
      <c r="AF142" s="34">
        <f>IF(C142="","",YEAR(C142-WEEKDAY(C142,2)+4)&amp;"-S"&amp;TEXT(INT((C142-DATE(YEAR(C142-WEEKDAY(C142,2)+4),1,3)+WEEKDAY(DATE(YEAR(C142-WEEKDAY(C142,2)+4),1,3),2)+5)/7),"00"))</f>
        <v/>
      </c>
    </row>
    <row r="143" ht="18" customHeight="1">
      <c r="A143" s="39" t="n">
        <v>138</v>
      </c>
      <c r="B143" s="33">
        <f>IF(C143="","",IF(P143="À RENSEIGNER","GIC",P143)&amp;"-C"&amp;TEXT(A143,"00000"))</f>
        <v/>
      </c>
      <c r="C143" s="32" t="n"/>
      <c r="D143" s="36" t="n"/>
      <c r="E143" s="36" t="n"/>
      <c r="F143" s="36" t="n"/>
      <c r="G143" s="42" t="n"/>
      <c r="H143" s="37" t="n"/>
      <c r="I143" s="37" t="n"/>
      <c r="J143" s="32" t="n"/>
      <c r="K143" s="32" t="n"/>
      <c r="L143" s="43" t="n"/>
      <c r="M143" s="36" t="n"/>
      <c r="N143" s="44" t="n"/>
      <c r="O143" s="36" t="n"/>
      <c r="P143" s="33">
        <f>IF(C143="","",Commercial_Id)</f>
        <v/>
      </c>
      <c r="Q143" s="34">
        <f>IF(AC143="","",IF(AD143=1,"C"&amp;TEXT(SUM(AD$6:AD143),"0000"),INDEX(Q$6:Q142,MATCH(AC143,AC$6:AC142,0))))</f>
        <v/>
      </c>
      <c r="R143" s="34">
        <f>IF(C143="","",IF(L143="☑ Oui","Annulée",IF(OR(E143="Vente directe",K143&lt;&gt;""),"Livrée",IF(J143&lt;&gt;"","Confirmée","En attente"))))</f>
        <v/>
      </c>
      <c r="S143" s="34">
        <f>IF(F143="","",IFERROR(VLOOKUP(F143,T_Produits,2,FALSE),""))</f>
        <v/>
      </c>
      <c r="T143" s="40">
        <f>IF(F143="","",IFERROR(1/(1/VLOOKUP(F143,T_Produits,3,FALSE)),""))</f>
        <v/>
      </c>
      <c r="U143" s="40">
        <f>IF(H143&lt;&gt;"",H143,T143)</f>
        <v/>
      </c>
      <c r="V143" s="40">
        <f>IF(OR(G143="",U143=""),"",G143*U143-N(I143))</f>
        <v/>
      </c>
      <c r="W143" s="39">
        <f>IF(D143="","",IFERROR(VALUE(MID(D143,LEN(D143)-3,3)),""))</f>
        <v/>
      </c>
      <c r="X143" s="33">
        <f>IF(W143="","",P143&amp;"|"&amp;W143)</f>
        <v/>
      </c>
      <c r="Y143" s="33">
        <f>IF(W143="","",IF(P143="À RENSEIGNER","GIC",P143)&amp;"-"&amp;TEXT(W143,"000"))</f>
        <v/>
      </c>
      <c r="Z143" s="33">
        <f>IF(X143="","",IFERROR(INDEX(Cl_nom,MATCH(X143,Cl_cle,0)),"(client introuvable)"))</f>
        <v/>
      </c>
      <c r="AA143" s="33">
        <f>IF(X143="","",IFERROR(INDEX(Cl_quartier,MATCH(X143,Cl_cle,0))&amp;"",""))</f>
        <v/>
      </c>
      <c r="AB143" s="45">
        <f>IF(R143&lt;&gt;"Livrée",0,IF(K143&lt;&gt;"",K143,C143))</f>
        <v/>
      </c>
      <c r="AC143" s="33">
        <f>IF(OR(C143="",W143=""),"",P143&amp;"|"&amp;W143&amp;"|"&amp;C143&amp;"|"&amp;E143)</f>
        <v/>
      </c>
      <c r="AD143" s="39">
        <f>IF(AC143="","",IF(COUNTIF(AC$6:AC143,AC143)=1,1,0))</f>
        <v/>
      </c>
      <c r="AE143" s="39">
        <f>IF(AB143=0,"",IF(COUNTIFS(X$6:X143,X143,AB$6:AB143,AB143)=1,1,0))</f>
        <v/>
      </c>
      <c r="AF143" s="34">
        <f>IF(C143="","",YEAR(C143-WEEKDAY(C143,2)+4)&amp;"-S"&amp;TEXT(INT((C143-DATE(YEAR(C143-WEEKDAY(C143,2)+4),1,3)+WEEKDAY(DATE(YEAR(C143-WEEKDAY(C143,2)+4),1,3),2)+5)/7),"00"))</f>
        <v/>
      </c>
    </row>
    <row r="144" ht="18" customHeight="1">
      <c r="A144" s="39" t="n">
        <v>139</v>
      </c>
      <c r="B144" s="33">
        <f>IF(C144="","",IF(P144="À RENSEIGNER","GIC",P144)&amp;"-C"&amp;TEXT(A144,"00000"))</f>
        <v/>
      </c>
      <c r="C144" s="32" t="n"/>
      <c r="D144" s="36" t="n"/>
      <c r="E144" s="36" t="n"/>
      <c r="F144" s="36" t="n"/>
      <c r="G144" s="42" t="n"/>
      <c r="H144" s="37" t="n"/>
      <c r="I144" s="37" t="n"/>
      <c r="J144" s="32" t="n"/>
      <c r="K144" s="32" t="n"/>
      <c r="L144" s="43" t="n"/>
      <c r="M144" s="36" t="n"/>
      <c r="N144" s="44" t="n"/>
      <c r="O144" s="36" t="n"/>
      <c r="P144" s="33">
        <f>IF(C144="","",Commercial_Id)</f>
        <v/>
      </c>
      <c r="Q144" s="34">
        <f>IF(AC144="","",IF(AD144=1,"C"&amp;TEXT(SUM(AD$6:AD144),"0000"),INDEX(Q$6:Q143,MATCH(AC144,AC$6:AC143,0))))</f>
        <v/>
      </c>
      <c r="R144" s="34">
        <f>IF(C144="","",IF(L144="☑ Oui","Annulée",IF(OR(E144="Vente directe",K144&lt;&gt;""),"Livrée",IF(J144&lt;&gt;"","Confirmée","En attente"))))</f>
        <v/>
      </c>
      <c r="S144" s="34">
        <f>IF(F144="","",IFERROR(VLOOKUP(F144,T_Produits,2,FALSE),""))</f>
        <v/>
      </c>
      <c r="T144" s="40">
        <f>IF(F144="","",IFERROR(1/(1/VLOOKUP(F144,T_Produits,3,FALSE)),""))</f>
        <v/>
      </c>
      <c r="U144" s="40">
        <f>IF(H144&lt;&gt;"",H144,T144)</f>
        <v/>
      </c>
      <c r="V144" s="40">
        <f>IF(OR(G144="",U144=""),"",G144*U144-N(I144))</f>
        <v/>
      </c>
      <c r="W144" s="39">
        <f>IF(D144="","",IFERROR(VALUE(MID(D144,LEN(D144)-3,3)),""))</f>
        <v/>
      </c>
      <c r="X144" s="33">
        <f>IF(W144="","",P144&amp;"|"&amp;W144)</f>
        <v/>
      </c>
      <c r="Y144" s="33">
        <f>IF(W144="","",IF(P144="À RENSEIGNER","GIC",P144)&amp;"-"&amp;TEXT(W144,"000"))</f>
        <v/>
      </c>
      <c r="Z144" s="33">
        <f>IF(X144="","",IFERROR(INDEX(Cl_nom,MATCH(X144,Cl_cle,0)),"(client introuvable)"))</f>
        <v/>
      </c>
      <c r="AA144" s="33">
        <f>IF(X144="","",IFERROR(INDEX(Cl_quartier,MATCH(X144,Cl_cle,0))&amp;"",""))</f>
        <v/>
      </c>
      <c r="AB144" s="45">
        <f>IF(R144&lt;&gt;"Livrée",0,IF(K144&lt;&gt;"",K144,C144))</f>
        <v/>
      </c>
      <c r="AC144" s="33">
        <f>IF(OR(C144="",W144=""),"",P144&amp;"|"&amp;W144&amp;"|"&amp;C144&amp;"|"&amp;E144)</f>
        <v/>
      </c>
      <c r="AD144" s="39">
        <f>IF(AC144="","",IF(COUNTIF(AC$6:AC144,AC144)=1,1,0))</f>
        <v/>
      </c>
      <c r="AE144" s="39">
        <f>IF(AB144=0,"",IF(COUNTIFS(X$6:X144,X144,AB$6:AB144,AB144)=1,1,0))</f>
        <v/>
      </c>
      <c r="AF144" s="34">
        <f>IF(C144="","",YEAR(C144-WEEKDAY(C144,2)+4)&amp;"-S"&amp;TEXT(INT((C144-DATE(YEAR(C144-WEEKDAY(C144,2)+4),1,3)+WEEKDAY(DATE(YEAR(C144-WEEKDAY(C144,2)+4),1,3),2)+5)/7),"00"))</f>
        <v/>
      </c>
    </row>
    <row r="145" ht="18" customHeight="1">
      <c r="A145" s="39" t="n">
        <v>140</v>
      </c>
      <c r="B145" s="33">
        <f>IF(C145="","",IF(P145="À RENSEIGNER","GIC",P145)&amp;"-C"&amp;TEXT(A145,"00000"))</f>
        <v/>
      </c>
      <c r="C145" s="32" t="n"/>
      <c r="D145" s="36" t="n"/>
      <c r="E145" s="36" t="n"/>
      <c r="F145" s="36" t="n"/>
      <c r="G145" s="42" t="n"/>
      <c r="H145" s="37" t="n"/>
      <c r="I145" s="37" t="n"/>
      <c r="J145" s="32" t="n"/>
      <c r="K145" s="32" t="n"/>
      <c r="L145" s="43" t="n"/>
      <c r="M145" s="36" t="n"/>
      <c r="N145" s="44" t="n"/>
      <c r="O145" s="36" t="n"/>
      <c r="P145" s="33">
        <f>IF(C145="","",Commercial_Id)</f>
        <v/>
      </c>
      <c r="Q145" s="34">
        <f>IF(AC145="","",IF(AD145=1,"C"&amp;TEXT(SUM(AD$6:AD145),"0000"),INDEX(Q$6:Q144,MATCH(AC145,AC$6:AC144,0))))</f>
        <v/>
      </c>
      <c r="R145" s="34">
        <f>IF(C145="","",IF(L145="☑ Oui","Annulée",IF(OR(E145="Vente directe",K145&lt;&gt;""),"Livrée",IF(J145&lt;&gt;"","Confirmée","En attente"))))</f>
        <v/>
      </c>
      <c r="S145" s="34">
        <f>IF(F145="","",IFERROR(VLOOKUP(F145,T_Produits,2,FALSE),""))</f>
        <v/>
      </c>
      <c r="T145" s="40">
        <f>IF(F145="","",IFERROR(1/(1/VLOOKUP(F145,T_Produits,3,FALSE)),""))</f>
        <v/>
      </c>
      <c r="U145" s="40">
        <f>IF(H145&lt;&gt;"",H145,T145)</f>
        <v/>
      </c>
      <c r="V145" s="40">
        <f>IF(OR(G145="",U145=""),"",G145*U145-N(I145))</f>
        <v/>
      </c>
      <c r="W145" s="39">
        <f>IF(D145="","",IFERROR(VALUE(MID(D145,LEN(D145)-3,3)),""))</f>
        <v/>
      </c>
      <c r="X145" s="33">
        <f>IF(W145="","",P145&amp;"|"&amp;W145)</f>
        <v/>
      </c>
      <c r="Y145" s="33">
        <f>IF(W145="","",IF(P145="À RENSEIGNER","GIC",P145)&amp;"-"&amp;TEXT(W145,"000"))</f>
        <v/>
      </c>
      <c r="Z145" s="33">
        <f>IF(X145="","",IFERROR(INDEX(Cl_nom,MATCH(X145,Cl_cle,0)),"(client introuvable)"))</f>
        <v/>
      </c>
      <c r="AA145" s="33">
        <f>IF(X145="","",IFERROR(INDEX(Cl_quartier,MATCH(X145,Cl_cle,0))&amp;"",""))</f>
        <v/>
      </c>
      <c r="AB145" s="45">
        <f>IF(R145&lt;&gt;"Livrée",0,IF(K145&lt;&gt;"",K145,C145))</f>
        <v/>
      </c>
      <c r="AC145" s="33">
        <f>IF(OR(C145="",W145=""),"",P145&amp;"|"&amp;W145&amp;"|"&amp;C145&amp;"|"&amp;E145)</f>
        <v/>
      </c>
      <c r="AD145" s="39">
        <f>IF(AC145="","",IF(COUNTIF(AC$6:AC145,AC145)=1,1,0))</f>
        <v/>
      </c>
      <c r="AE145" s="39">
        <f>IF(AB145=0,"",IF(COUNTIFS(X$6:X145,X145,AB$6:AB145,AB145)=1,1,0))</f>
        <v/>
      </c>
      <c r="AF145" s="34">
        <f>IF(C145="","",YEAR(C145-WEEKDAY(C145,2)+4)&amp;"-S"&amp;TEXT(INT((C145-DATE(YEAR(C145-WEEKDAY(C145,2)+4),1,3)+WEEKDAY(DATE(YEAR(C145-WEEKDAY(C145,2)+4),1,3),2)+5)/7),"00"))</f>
        <v/>
      </c>
    </row>
    <row r="146" ht="18" customHeight="1">
      <c r="A146" s="39" t="n">
        <v>141</v>
      </c>
      <c r="B146" s="33">
        <f>IF(C146="","",IF(P146="À RENSEIGNER","GIC",P146)&amp;"-C"&amp;TEXT(A146,"00000"))</f>
        <v/>
      </c>
      <c r="C146" s="32" t="n"/>
      <c r="D146" s="36" t="n"/>
      <c r="E146" s="36" t="n"/>
      <c r="F146" s="36" t="n"/>
      <c r="G146" s="42" t="n"/>
      <c r="H146" s="37" t="n"/>
      <c r="I146" s="37" t="n"/>
      <c r="J146" s="32" t="n"/>
      <c r="K146" s="32" t="n"/>
      <c r="L146" s="43" t="n"/>
      <c r="M146" s="36" t="n"/>
      <c r="N146" s="44" t="n"/>
      <c r="O146" s="36" t="n"/>
      <c r="P146" s="33">
        <f>IF(C146="","",Commercial_Id)</f>
        <v/>
      </c>
      <c r="Q146" s="34">
        <f>IF(AC146="","",IF(AD146=1,"C"&amp;TEXT(SUM(AD$6:AD146),"0000"),INDEX(Q$6:Q145,MATCH(AC146,AC$6:AC145,0))))</f>
        <v/>
      </c>
      <c r="R146" s="34">
        <f>IF(C146="","",IF(L146="☑ Oui","Annulée",IF(OR(E146="Vente directe",K146&lt;&gt;""),"Livrée",IF(J146&lt;&gt;"","Confirmée","En attente"))))</f>
        <v/>
      </c>
      <c r="S146" s="34">
        <f>IF(F146="","",IFERROR(VLOOKUP(F146,T_Produits,2,FALSE),""))</f>
        <v/>
      </c>
      <c r="T146" s="40">
        <f>IF(F146="","",IFERROR(1/(1/VLOOKUP(F146,T_Produits,3,FALSE)),""))</f>
        <v/>
      </c>
      <c r="U146" s="40">
        <f>IF(H146&lt;&gt;"",H146,T146)</f>
        <v/>
      </c>
      <c r="V146" s="40">
        <f>IF(OR(G146="",U146=""),"",G146*U146-N(I146))</f>
        <v/>
      </c>
      <c r="W146" s="39">
        <f>IF(D146="","",IFERROR(VALUE(MID(D146,LEN(D146)-3,3)),""))</f>
        <v/>
      </c>
      <c r="X146" s="33">
        <f>IF(W146="","",P146&amp;"|"&amp;W146)</f>
        <v/>
      </c>
      <c r="Y146" s="33">
        <f>IF(W146="","",IF(P146="À RENSEIGNER","GIC",P146)&amp;"-"&amp;TEXT(W146,"000"))</f>
        <v/>
      </c>
      <c r="Z146" s="33">
        <f>IF(X146="","",IFERROR(INDEX(Cl_nom,MATCH(X146,Cl_cle,0)),"(client introuvable)"))</f>
        <v/>
      </c>
      <c r="AA146" s="33">
        <f>IF(X146="","",IFERROR(INDEX(Cl_quartier,MATCH(X146,Cl_cle,0))&amp;"",""))</f>
        <v/>
      </c>
      <c r="AB146" s="45">
        <f>IF(R146&lt;&gt;"Livrée",0,IF(K146&lt;&gt;"",K146,C146))</f>
        <v/>
      </c>
      <c r="AC146" s="33">
        <f>IF(OR(C146="",W146=""),"",P146&amp;"|"&amp;W146&amp;"|"&amp;C146&amp;"|"&amp;E146)</f>
        <v/>
      </c>
      <c r="AD146" s="39">
        <f>IF(AC146="","",IF(COUNTIF(AC$6:AC146,AC146)=1,1,0))</f>
        <v/>
      </c>
      <c r="AE146" s="39">
        <f>IF(AB146=0,"",IF(COUNTIFS(X$6:X146,X146,AB$6:AB146,AB146)=1,1,0))</f>
        <v/>
      </c>
      <c r="AF146" s="34">
        <f>IF(C146="","",YEAR(C146-WEEKDAY(C146,2)+4)&amp;"-S"&amp;TEXT(INT((C146-DATE(YEAR(C146-WEEKDAY(C146,2)+4),1,3)+WEEKDAY(DATE(YEAR(C146-WEEKDAY(C146,2)+4),1,3),2)+5)/7),"00"))</f>
        <v/>
      </c>
    </row>
    <row r="147" ht="18" customHeight="1">
      <c r="A147" s="39" t="n">
        <v>142</v>
      </c>
      <c r="B147" s="33">
        <f>IF(C147="","",IF(P147="À RENSEIGNER","GIC",P147)&amp;"-C"&amp;TEXT(A147,"00000"))</f>
        <v/>
      </c>
      <c r="C147" s="32" t="n"/>
      <c r="D147" s="36" t="n"/>
      <c r="E147" s="36" t="n"/>
      <c r="F147" s="36" t="n"/>
      <c r="G147" s="42" t="n"/>
      <c r="H147" s="37" t="n"/>
      <c r="I147" s="37" t="n"/>
      <c r="J147" s="32" t="n"/>
      <c r="K147" s="32" t="n"/>
      <c r="L147" s="43" t="n"/>
      <c r="M147" s="36" t="n"/>
      <c r="N147" s="44" t="n"/>
      <c r="O147" s="36" t="n"/>
      <c r="P147" s="33">
        <f>IF(C147="","",Commercial_Id)</f>
        <v/>
      </c>
      <c r="Q147" s="34">
        <f>IF(AC147="","",IF(AD147=1,"C"&amp;TEXT(SUM(AD$6:AD147),"0000"),INDEX(Q$6:Q146,MATCH(AC147,AC$6:AC146,0))))</f>
        <v/>
      </c>
      <c r="R147" s="34">
        <f>IF(C147="","",IF(L147="☑ Oui","Annulée",IF(OR(E147="Vente directe",K147&lt;&gt;""),"Livrée",IF(J147&lt;&gt;"","Confirmée","En attente"))))</f>
        <v/>
      </c>
      <c r="S147" s="34">
        <f>IF(F147="","",IFERROR(VLOOKUP(F147,T_Produits,2,FALSE),""))</f>
        <v/>
      </c>
      <c r="T147" s="40">
        <f>IF(F147="","",IFERROR(1/(1/VLOOKUP(F147,T_Produits,3,FALSE)),""))</f>
        <v/>
      </c>
      <c r="U147" s="40">
        <f>IF(H147&lt;&gt;"",H147,T147)</f>
        <v/>
      </c>
      <c r="V147" s="40">
        <f>IF(OR(G147="",U147=""),"",G147*U147-N(I147))</f>
        <v/>
      </c>
      <c r="W147" s="39">
        <f>IF(D147="","",IFERROR(VALUE(MID(D147,LEN(D147)-3,3)),""))</f>
        <v/>
      </c>
      <c r="X147" s="33">
        <f>IF(W147="","",P147&amp;"|"&amp;W147)</f>
        <v/>
      </c>
      <c r="Y147" s="33">
        <f>IF(W147="","",IF(P147="À RENSEIGNER","GIC",P147)&amp;"-"&amp;TEXT(W147,"000"))</f>
        <v/>
      </c>
      <c r="Z147" s="33">
        <f>IF(X147="","",IFERROR(INDEX(Cl_nom,MATCH(X147,Cl_cle,0)),"(client introuvable)"))</f>
        <v/>
      </c>
      <c r="AA147" s="33">
        <f>IF(X147="","",IFERROR(INDEX(Cl_quartier,MATCH(X147,Cl_cle,0))&amp;"",""))</f>
        <v/>
      </c>
      <c r="AB147" s="45">
        <f>IF(R147&lt;&gt;"Livrée",0,IF(K147&lt;&gt;"",K147,C147))</f>
        <v/>
      </c>
      <c r="AC147" s="33">
        <f>IF(OR(C147="",W147=""),"",P147&amp;"|"&amp;W147&amp;"|"&amp;C147&amp;"|"&amp;E147)</f>
        <v/>
      </c>
      <c r="AD147" s="39">
        <f>IF(AC147="","",IF(COUNTIF(AC$6:AC147,AC147)=1,1,0))</f>
        <v/>
      </c>
      <c r="AE147" s="39">
        <f>IF(AB147=0,"",IF(COUNTIFS(X$6:X147,X147,AB$6:AB147,AB147)=1,1,0))</f>
        <v/>
      </c>
      <c r="AF147" s="34">
        <f>IF(C147="","",YEAR(C147-WEEKDAY(C147,2)+4)&amp;"-S"&amp;TEXT(INT((C147-DATE(YEAR(C147-WEEKDAY(C147,2)+4),1,3)+WEEKDAY(DATE(YEAR(C147-WEEKDAY(C147,2)+4),1,3),2)+5)/7),"00"))</f>
        <v/>
      </c>
    </row>
    <row r="148" ht="18" customHeight="1">
      <c r="A148" s="39" t="n">
        <v>143</v>
      </c>
      <c r="B148" s="33">
        <f>IF(C148="","",IF(P148="À RENSEIGNER","GIC",P148)&amp;"-C"&amp;TEXT(A148,"00000"))</f>
        <v/>
      </c>
      <c r="C148" s="32" t="n"/>
      <c r="D148" s="36" t="n"/>
      <c r="E148" s="36" t="n"/>
      <c r="F148" s="36" t="n"/>
      <c r="G148" s="42" t="n"/>
      <c r="H148" s="37" t="n"/>
      <c r="I148" s="37" t="n"/>
      <c r="J148" s="32" t="n"/>
      <c r="K148" s="32" t="n"/>
      <c r="L148" s="43" t="n"/>
      <c r="M148" s="36" t="n"/>
      <c r="N148" s="44" t="n"/>
      <c r="O148" s="36" t="n"/>
      <c r="P148" s="33">
        <f>IF(C148="","",Commercial_Id)</f>
        <v/>
      </c>
      <c r="Q148" s="34">
        <f>IF(AC148="","",IF(AD148=1,"C"&amp;TEXT(SUM(AD$6:AD148),"0000"),INDEX(Q$6:Q147,MATCH(AC148,AC$6:AC147,0))))</f>
        <v/>
      </c>
      <c r="R148" s="34">
        <f>IF(C148="","",IF(L148="☑ Oui","Annulée",IF(OR(E148="Vente directe",K148&lt;&gt;""),"Livrée",IF(J148&lt;&gt;"","Confirmée","En attente"))))</f>
        <v/>
      </c>
      <c r="S148" s="34">
        <f>IF(F148="","",IFERROR(VLOOKUP(F148,T_Produits,2,FALSE),""))</f>
        <v/>
      </c>
      <c r="T148" s="40">
        <f>IF(F148="","",IFERROR(1/(1/VLOOKUP(F148,T_Produits,3,FALSE)),""))</f>
        <v/>
      </c>
      <c r="U148" s="40">
        <f>IF(H148&lt;&gt;"",H148,T148)</f>
        <v/>
      </c>
      <c r="V148" s="40">
        <f>IF(OR(G148="",U148=""),"",G148*U148-N(I148))</f>
        <v/>
      </c>
      <c r="W148" s="39">
        <f>IF(D148="","",IFERROR(VALUE(MID(D148,LEN(D148)-3,3)),""))</f>
        <v/>
      </c>
      <c r="X148" s="33">
        <f>IF(W148="","",P148&amp;"|"&amp;W148)</f>
        <v/>
      </c>
      <c r="Y148" s="33">
        <f>IF(W148="","",IF(P148="À RENSEIGNER","GIC",P148)&amp;"-"&amp;TEXT(W148,"000"))</f>
        <v/>
      </c>
      <c r="Z148" s="33">
        <f>IF(X148="","",IFERROR(INDEX(Cl_nom,MATCH(X148,Cl_cle,0)),"(client introuvable)"))</f>
        <v/>
      </c>
      <c r="AA148" s="33">
        <f>IF(X148="","",IFERROR(INDEX(Cl_quartier,MATCH(X148,Cl_cle,0))&amp;"",""))</f>
        <v/>
      </c>
      <c r="AB148" s="45">
        <f>IF(R148&lt;&gt;"Livrée",0,IF(K148&lt;&gt;"",K148,C148))</f>
        <v/>
      </c>
      <c r="AC148" s="33">
        <f>IF(OR(C148="",W148=""),"",P148&amp;"|"&amp;W148&amp;"|"&amp;C148&amp;"|"&amp;E148)</f>
        <v/>
      </c>
      <c r="AD148" s="39">
        <f>IF(AC148="","",IF(COUNTIF(AC$6:AC148,AC148)=1,1,0))</f>
        <v/>
      </c>
      <c r="AE148" s="39">
        <f>IF(AB148=0,"",IF(COUNTIFS(X$6:X148,X148,AB$6:AB148,AB148)=1,1,0))</f>
        <v/>
      </c>
      <c r="AF148" s="34">
        <f>IF(C148="","",YEAR(C148-WEEKDAY(C148,2)+4)&amp;"-S"&amp;TEXT(INT((C148-DATE(YEAR(C148-WEEKDAY(C148,2)+4),1,3)+WEEKDAY(DATE(YEAR(C148-WEEKDAY(C148,2)+4),1,3),2)+5)/7),"00"))</f>
        <v/>
      </c>
    </row>
    <row r="149" ht="18" customHeight="1">
      <c r="A149" s="39" t="n">
        <v>144</v>
      </c>
      <c r="B149" s="33">
        <f>IF(C149="","",IF(P149="À RENSEIGNER","GIC",P149)&amp;"-C"&amp;TEXT(A149,"00000"))</f>
        <v/>
      </c>
      <c r="C149" s="32" t="n"/>
      <c r="D149" s="36" t="n"/>
      <c r="E149" s="36" t="n"/>
      <c r="F149" s="36" t="n"/>
      <c r="G149" s="42" t="n"/>
      <c r="H149" s="37" t="n"/>
      <c r="I149" s="37" t="n"/>
      <c r="J149" s="32" t="n"/>
      <c r="K149" s="32" t="n"/>
      <c r="L149" s="43" t="n"/>
      <c r="M149" s="36" t="n"/>
      <c r="N149" s="44" t="n"/>
      <c r="O149" s="36" t="n"/>
      <c r="P149" s="33">
        <f>IF(C149="","",Commercial_Id)</f>
        <v/>
      </c>
      <c r="Q149" s="34">
        <f>IF(AC149="","",IF(AD149=1,"C"&amp;TEXT(SUM(AD$6:AD149),"0000"),INDEX(Q$6:Q148,MATCH(AC149,AC$6:AC148,0))))</f>
        <v/>
      </c>
      <c r="R149" s="34">
        <f>IF(C149="","",IF(L149="☑ Oui","Annulée",IF(OR(E149="Vente directe",K149&lt;&gt;""),"Livrée",IF(J149&lt;&gt;"","Confirmée","En attente"))))</f>
        <v/>
      </c>
      <c r="S149" s="34">
        <f>IF(F149="","",IFERROR(VLOOKUP(F149,T_Produits,2,FALSE),""))</f>
        <v/>
      </c>
      <c r="T149" s="40">
        <f>IF(F149="","",IFERROR(1/(1/VLOOKUP(F149,T_Produits,3,FALSE)),""))</f>
        <v/>
      </c>
      <c r="U149" s="40">
        <f>IF(H149&lt;&gt;"",H149,T149)</f>
        <v/>
      </c>
      <c r="V149" s="40">
        <f>IF(OR(G149="",U149=""),"",G149*U149-N(I149))</f>
        <v/>
      </c>
      <c r="W149" s="39">
        <f>IF(D149="","",IFERROR(VALUE(MID(D149,LEN(D149)-3,3)),""))</f>
        <v/>
      </c>
      <c r="X149" s="33">
        <f>IF(W149="","",P149&amp;"|"&amp;W149)</f>
        <v/>
      </c>
      <c r="Y149" s="33">
        <f>IF(W149="","",IF(P149="À RENSEIGNER","GIC",P149)&amp;"-"&amp;TEXT(W149,"000"))</f>
        <v/>
      </c>
      <c r="Z149" s="33">
        <f>IF(X149="","",IFERROR(INDEX(Cl_nom,MATCH(X149,Cl_cle,0)),"(client introuvable)"))</f>
        <v/>
      </c>
      <c r="AA149" s="33">
        <f>IF(X149="","",IFERROR(INDEX(Cl_quartier,MATCH(X149,Cl_cle,0))&amp;"",""))</f>
        <v/>
      </c>
      <c r="AB149" s="45">
        <f>IF(R149&lt;&gt;"Livrée",0,IF(K149&lt;&gt;"",K149,C149))</f>
        <v/>
      </c>
      <c r="AC149" s="33">
        <f>IF(OR(C149="",W149=""),"",P149&amp;"|"&amp;W149&amp;"|"&amp;C149&amp;"|"&amp;E149)</f>
        <v/>
      </c>
      <c r="AD149" s="39">
        <f>IF(AC149="","",IF(COUNTIF(AC$6:AC149,AC149)=1,1,0))</f>
        <v/>
      </c>
      <c r="AE149" s="39">
        <f>IF(AB149=0,"",IF(COUNTIFS(X$6:X149,X149,AB$6:AB149,AB149)=1,1,0))</f>
        <v/>
      </c>
      <c r="AF149" s="34">
        <f>IF(C149="","",YEAR(C149-WEEKDAY(C149,2)+4)&amp;"-S"&amp;TEXT(INT((C149-DATE(YEAR(C149-WEEKDAY(C149,2)+4),1,3)+WEEKDAY(DATE(YEAR(C149-WEEKDAY(C149,2)+4),1,3),2)+5)/7),"00"))</f>
        <v/>
      </c>
    </row>
    <row r="150" ht="18" customHeight="1">
      <c r="A150" s="39" t="n">
        <v>145</v>
      </c>
      <c r="B150" s="33">
        <f>IF(C150="","",IF(P150="À RENSEIGNER","GIC",P150)&amp;"-C"&amp;TEXT(A150,"00000"))</f>
        <v/>
      </c>
      <c r="C150" s="32" t="n"/>
      <c r="D150" s="36" t="n"/>
      <c r="E150" s="36" t="n"/>
      <c r="F150" s="36" t="n"/>
      <c r="G150" s="42" t="n"/>
      <c r="H150" s="37" t="n"/>
      <c r="I150" s="37" t="n"/>
      <c r="J150" s="32" t="n"/>
      <c r="K150" s="32" t="n"/>
      <c r="L150" s="43" t="n"/>
      <c r="M150" s="36" t="n"/>
      <c r="N150" s="44" t="n"/>
      <c r="O150" s="36" t="n"/>
      <c r="P150" s="33">
        <f>IF(C150="","",Commercial_Id)</f>
        <v/>
      </c>
      <c r="Q150" s="34">
        <f>IF(AC150="","",IF(AD150=1,"C"&amp;TEXT(SUM(AD$6:AD150),"0000"),INDEX(Q$6:Q149,MATCH(AC150,AC$6:AC149,0))))</f>
        <v/>
      </c>
      <c r="R150" s="34">
        <f>IF(C150="","",IF(L150="☑ Oui","Annulée",IF(OR(E150="Vente directe",K150&lt;&gt;""),"Livrée",IF(J150&lt;&gt;"","Confirmée","En attente"))))</f>
        <v/>
      </c>
      <c r="S150" s="34">
        <f>IF(F150="","",IFERROR(VLOOKUP(F150,T_Produits,2,FALSE),""))</f>
        <v/>
      </c>
      <c r="T150" s="40">
        <f>IF(F150="","",IFERROR(1/(1/VLOOKUP(F150,T_Produits,3,FALSE)),""))</f>
        <v/>
      </c>
      <c r="U150" s="40">
        <f>IF(H150&lt;&gt;"",H150,T150)</f>
        <v/>
      </c>
      <c r="V150" s="40">
        <f>IF(OR(G150="",U150=""),"",G150*U150-N(I150))</f>
        <v/>
      </c>
      <c r="W150" s="39">
        <f>IF(D150="","",IFERROR(VALUE(MID(D150,LEN(D150)-3,3)),""))</f>
        <v/>
      </c>
      <c r="X150" s="33">
        <f>IF(W150="","",P150&amp;"|"&amp;W150)</f>
        <v/>
      </c>
      <c r="Y150" s="33">
        <f>IF(W150="","",IF(P150="À RENSEIGNER","GIC",P150)&amp;"-"&amp;TEXT(W150,"000"))</f>
        <v/>
      </c>
      <c r="Z150" s="33">
        <f>IF(X150="","",IFERROR(INDEX(Cl_nom,MATCH(X150,Cl_cle,0)),"(client introuvable)"))</f>
        <v/>
      </c>
      <c r="AA150" s="33">
        <f>IF(X150="","",IFERROR(INDEX(Cl_quartier,MATCH(X150,Cl_cle,0))&amp;"",""))</f>
        <v/>
      </c>
      <c r="AB150" s="45">
        <f>IF(R150&lt;&gt;"Livrée",0,IF(K150&lt;&gt;"",K150,C150))</f>
        <v/>
      </c>
      <c r="AC150" s="33">
        <f>IF(OR(C150="",W150=""),"",P150&amp;"|"&amp;W150&amp;"|"&amp;C150&amp;"|"&amp;E150)</f>
        <v/>
      </c>
      <c r="AD150" s="39">
        <f>IF(AC150="","",IF(COUNTIF(AC$6:AC150,AC150)=1,1,0))</f>
        <v/>
      </c>
      <c r="AE150" s="39">
        <f>IF(AB150=0,"",IF(COUNTIFS(X$6:X150,X150,AB$6:AB150,AB150)=1,1,0))</f>
        <v/>
      </c>
      <c r="AF150" s="34">
        <f>IF(C150="","",YEAR(C150-WEEKDAY(C150,2)+4)&amp;"-S"&amp;TEXT(INT((C150-DATE(YEAR(C150-WEEKDAY(C150,2)+4),1,3)+WEEKDAY(DATE(YEAR(C150-WEEKDAY(C150,2)+4),1,3),2)+5)/7),"00"))</f>
        <v/>
      </c>
    </row>
    <row r="151" ht="18" customHeight="1">
      <c r="A151" s="39" t="n">
        <v>146</v>
      </c>
      <c r="B151" s="33">
        <f>IF(C151="","",IF(P151="À RENSEIGNER","GIC",P151)&amp;"-C"&amp;TEXT(A151,"00000"))</f>
        <v/>
      </c>
      <c r="C151" s="32" t="n"/>
      <c r="D151" s="36" t="n"/>
      <c r="E151" s="36" t="n"/>
      <c r="F151" s="36" t="n"/>
      <c r="G151" s="42" t="n"/>
      <c r="H151" s="37" t="n"/>
      <c r="I151" s="37" t="n"/>
      <c r="J151" s="32" t="n"/>
      <c r="K151" s="32" t="n"/>
      <c r="L151" s="43" t="n"/>
      <c r="M151" s="36" t="n"/>
      <c r="N151" s="44" t="n"/>
      <c r="O151" s="36" t="n"/>
      <c r="P151" s="33">
        <f>IF(C151="","",Commercial_Id)</f>
        <v/>
      </c>
      <c r="Q151" s="34">
        <f>IF(AC151="","",IF(AD151=1,"C"&amp;TEXT(SUM(AD$6:AD151),"0000"),INDEX(Q$6:Q150,MATCH(AC151,AC$6:AC150,0))))</f>
        <v/>
      </c>
      <c r="R151" s="34">
        <f>IF(C151="","",IF(L151="☑ Oui","Annulée",IF(OR(E151="Vente directe",K151&lt;&gt;""),"Livrée",IF(J151&lt;&gt;"","Confirmée","En attente"))))</f>
        <v/>
      </c>
      <c r="S151" s="34">
        <f>IF(F151="","",IFERROR(VLOOKUP(F151,T_Produits,2,FALSE),""))</f>
        <v/>
      </c>
      <c r="T151" s="40">
        <f>IF(F151="","",IFERROR(1/(1/VLOOKUP(F151,T_Produits,3,FALSE)),""))</f>
        <v/>
      </c>
      <c r="U151" s="40">
        <f>IF(H151&lt;&gt;"",H151,T151)</f>
        <v/>
      </c>
      <c r="V151" s="40">
        <f>IF(OR(G151="",U151=""),"",G151*U151-N(I151))</f>
        <v/>
      </c>
      <c r="W151" s="39">
        <f>IF(D151="","",IFERROR(VALUE(MID(D151,LEN(D151)-3,3)),""))</f>
        <v/>
      </c>
      <c r="X151" s="33">
        <f>IF(W151="","",P151&amp;"|"&amp;W151)</f>
        <v/>
      </c>
      <c r="Y151" s="33">
        <f>IF(W151="","",IF(P151="À RENSEIGNER","GIC",P151)&amp;"-"&amp;TEXT(W151,"000"))</f>
        <v/>
      </c>
      <c r="Z151" s="33">
        <f>IF(X151="","",IFERROR(INDEX(Cl_nom,MATCH(X151,Cl_cle,0)),"(client introuvable)"))</f>
        <v/>
      </c>
      <c r="AA151" s="33">
        <f>IF(X151="","",IFERROR(INDEX(Cl_quartier,MATCH(X151,Cl_cle,0))&amp;"",""))</f>
        <v/>
      </c>
      <c r="AB151" s="45">
        <f>IF(R151&lt;&gt;"Livrée",0,IF(K151&lt;&gt;"",K151,C151))</f>
        <v/>
      </c>
      <c r="AC151" s="33">
        <f>IF(OR(C151="",W151=""),"",P151&amp;"|"&amp;W151&amp;"|"&amp;C151&amp;"|"&amp;E151)</f>
        <v/>
      </c>
      <c r="AD151" s="39">
        <f>IF(AC151="","",IF(COUNTIF(AC$6:AC151,AC151)=1,1,0))</f>
        <v/>
      </c>
      <c r="AE151" s="39">
        <f>IF(AB151=0,"",IF(COUNTIFS(X$6:X151,X151,AB$6:AB151,AB151)=1,1,0))</f>
        <v/>
      </c>
      <c r="AF151" s="34">
        <f>IF(C151="","",YEAR(C151-WEEKDAY(C151,2)+4)&amp;"-S"&amp;TEXT(INT((C151-DATE(YEAR(C151-WEEKDAY(C151,2)+4),1,3)+WEEKDAY(DATE(YEAR(C151-WEEKDAY(C151,2)+4),1,3),2)+5)/7),"00"))</f>
        <v/>
      </c>
    </row>
    <row r="152" ht="18" customHeight="1">
      <c r="A152" s="39" t="n">
        <v>147</v>
      </c>
      <c r="B152" s="33">
        <f>IF(C152="","",IF(P152="À RENSEIGNER","GIC",P152)&amp;"-C"&amp;TEXT(A152,"00000"))</f>
        <v/>
      </c>
      <c r="C152" s="32" t="n"/>
      <c r="D152" s="36" t="n"/>
      <c r="E152" s="36" t="n"/>
      <c r="F152" s="36" t="n"/>
      <c r="G152" s="42" t="n"/>
      <c r="H152" s="37" t="n"/>
      <c r="I152" s="37" t="n"/>
      <c r="J152" s="32" t="n"/>
      <c r="K152" s="32" t="n"/>
      <c r="L152" s="43" t="n"/>
      <c r="M152" s="36" t="n"/>
      <c r="N152" s="44" t="n"/>
      <c r="O152" s="36" t="n"/>
      <c r="P152" s="33">
        <f>IF(C152="","",Commercial_Id)</f>
        <v/>
      </c>
      <c r="Q152" s="34">
        <f>IF(AC152="","",IF(AD152=1,"C"&amp;TEXT(SUM(AD$6:AD152),"0000"),INDEX(Q$6:Q151,MATCH(AC152,AC$6:AC151,0))))</f>
        <v/>
      </c>
      <c r="R152" s="34">
        <f>IF(C152="","",IF(L152="☑ Oui","Annulée",IF(OR(E152="Vente directe",K152&lt;&gt;""),"Livrée",IF(J152&lt;&gt;"","Confirmée","En attente"))))</f>
        <v/>
      </c>
      <c r="S152" s="34">
        <f>IF(F152="","",IFERROR(VLOOKUP(F152,T_Produits,2,FALSE),""))</f>
        <v/>
      </c>
      <c r="T152" s="40">
        <f>IF(F152="","",IFERROR(1/(1/VLOOKUP(F152,T_Produits,3,FALSE)),""))</f>
        <v/>
      </c>
      <c r="U152" s="40">
        <f>IF(H152&lt;&gt;"",H152,T152)</f>
        <v/>
      </c>
      <c r="V152" s="40">
        <f>IF(OR(G152="",U152=""),"",G152*U152-N(I152))</f>
        <v/>
      </c>
      <c r="W152" s="39">
        <f>IF(D152="","",IFERROR(VALUE(MID(D152,LEN(D152)-3,3)),""))</f>
        <v/>
      </c>
      <c r="X152" s="33">
        <f>IF(W152="","",P152&amp;"|"&amp;W152)</f>
        <v/>
      </c>
      <c r="Y152" s="33">
        <f>IF(W152="","",IF(P152="À RENSEIGNER","GIC",P152)&amp;"-"&amp;TEXT(W152,"000"))</f>
        <v/>
      </c>
      <c r="Z152" s="33">
        <f>IF(X152="","",IFERROR(INDEX(Cl_nom,MATCH(X152,Cl_cle,0)),"(client introuvable)"))</f>
        <v/>
      </c>
      <c r="AA152" s="33">
        <f>IF(X152="","",IFERROR(INDEX(Cl_quartier,MATCH(X152,Cl_cle,0))&amp;"",""))</f>
        <v/>
      </c>
      <c r="AB152" s="45">
        <f>IF(R152&lt;&gt;"Livrée",0,IF(K152&lt;&gt;"",K152,C152))</f>
        <v/>
      </c>
      <c r="AC152" s="33">
        <f>IF(OR(C152="",W152=""),"",P152&amp;"|"&amp;W152&amp;"|"&amp;C152&amp;"|"&amp;E152)</f>
        <v/>
      </c>
      <c r="AD152" s="39">
        <f>IF(AC152="","",IF(COUNTIF(AC$6:AC152,AC152)=1,1,0))</f>
        <v/>
      </c>
      <c r="AE152" s="39">
        <f>IF(AB152=0,"",IF(COUNTIFS(X$6:X152,X152,AB$6:AB152,AB152)=1,1,0))</f>
        <v/>
      </c>
      <c r="AF152" s="34">
        <f>IF(C152="","",YEAR(C152-WEEKDAY(C152,2)+4)&amp;"-S"&amp;TEXT(INT((C152-DATE(YEAR(C152-WEEKDAY(C152,2)+4),1,3)+WEEKDAY(DATE(YEAR(C152-WEEKDAY(C152,2)+4),1,3),2)+5)/7),"00"))</f>
        <v/>
      </c>
    </row>
    <row r="153" ht="18" customHeight="1">
      <c r="A153" s="39" t="n">
        <v>148</v>
      </c>
      <c r="B153" s="33">
        <f>IF(C153="","",IF(P153="À RENSEIGNER","GIC",P153)&amp;"-C"&amp;TEXT(A153,"00000"))</f>
        <v/>
      </c>
      <c r="C153" s="32" t="n"/>
      <c r="D153" s="36" t="n"/>
      <c r="E153" s="36" t="n"/>
      <c r="F153" s="36" t="n"/>
      <c r="G153" s="42" t="n"/>
      <c r="H153" s="37" t="n"/>
      <c r="I153" s="37" t="n"/>
      <c r="J153" s="32" t="n"/>
      <c r="K153" s="32" t="n"/>
      <c r="L153" s="43" t="n"/>
      <c r="M153" s="36" t="n"/>
      <c r="N153" s="44" t="n"/>
      <c r="O153" s="36" t="n"/>
      <c r="P153" s="33">
        <f>IF(C153="","",Commercial_Id)</f>
        <v/>
      </c>
      <c r="Q153" s="34">
        <f>IF(AC153="","",IF(AD153=1,"C"&amp;TEXT(SUM(AD$6:AD153),"0000"),INDEX(Q$6:Q152,MATCH(AC153,AC$6:AC152,0))))</f>
        <v/>
      </c>
      <c r="R153" s="34">
        <f>IF(C153="","",IF(L153="☑ Oui","Annulée",IF(OR(E153="Vente directe",K153&lt;&gt;""),"Livrée",IF(J153&lt;&gt;"","Confirmée","En attente"))))</f>
        <v/>
      </c>
      <c r="S153" s="34">
        <f>IF(F153="","",IFERROR(VLOOKUP(F153,T_Produits,2,FALSE),""))</f>
        <v/>
      </c>
      <c r="T153" s="40">
        <f>IF(F153="","",IFERROR(1/(1/VLOOKUP(F153,T_Produits,3,FALSE)),""))</f>
        <v/>
      </c>
      <c r="U153" s="40">
        <f>IF(H153&lt;&gt;"",H153,T153)</f>
        <v/>
      </c>
      <c r="V153" s="40">
        <f>IF(OR(G153="",U153=""),"",G153*U153-N(I153))</f>
        <v/>
      </c>
      <c r="W153" s="39">
        <f>IF(D153="","",IFERROR(VALUE(MID(D153,LEN(D153)-3,3)),""))</f>
        <v/>
      </c>
      <c r="X153" s="33">
        <f>IF(W153="","",P153&amp;"|"&amp;W153)</f>
        <v/>
      </c>
      <c r="Y153" s="33">
        <f>IF(W153="","",IF(P153="À RENSEIGNER","GIC",P153)&amp;"-"&amp;TEXT(W153,"000"))</f>
        <v/>
      </c>
      <c r="Z153" s="33">
        <f>IF(X153="","",IFERROR(INDEX(Cl_nom,MATCH(X153,Cl_cle,0)),"(client introuvable)"))</f>
        <v/>
      </c>
      <c r="AA153" s="33">
        <f>IF(X153="","",IFERROR(INDEX(Cl_quartier,MATCH(X153,Cl_cle,0))&amp;"",""))</f>
        <v/>
      </c>
      <c r="AB153" s="45">
        <f>IF(R153&lt;&gt;"Livrée",0,IF(K153&lt;&gt;"",K153,C153))</f>
        <v/>
      </c>
      <c r="AC153" s="33">
        <f>IF(OR(C153="",W153=""),"",P153&amp;"|"&amp;W153&amp;"|"&amp;C153&amp;"|"&amp;E153)</f>
        <v/>
      </c>
      <c r="AD153" s="39">
        <f>IF(AC153="","",IF(COUNTIF(AC$6:AC153,AC153)=1,1,0))</f>
        <v/>
      </c>
      <c r="AE153" s="39">
        <f>IF(AB153=0,"",IF(COUNTIFS(X$6:X153,X153,AB$6:AB153,AB153)=1,1,0))</f>
        <v/>
      </c>
      <c r="AF153" s="34">
        <f>IF(C153="","",YEAR(C153-WEEKDAY(C153,2)+4)&amp;"-S"&amp;TEXT(INT((C153-DATE(YEAR(C153-WEEKDAY(C153,2)+4),1,3)+WEEKDAY(DATE(YEAR(C153-WEEKDAY(C153,2)+4),1,3),2)+5)/7),"00"))</f>
        <v/>
      </c>
    </row>
    <row r="154" ht="18" customHeight="1">
      <c r="A154" s="39" t="n">
        <v>149</v>
      </c>
      <c r="B154" s="33">
        <f>IF(C154="","",IF(P154="À RENSEIGNER","GIC",P154)&amp;"-C"&amp;TEXT(A154,"00000"))</f>
        <v/>
      </c>
      <c r="C154" s="32" t="n"/>
      <c r="D154" s="36" t="n"/>
      <c r="E154" s="36" t="n"/>
      <c r="F154" s="36" t="n"/>
      <c r="G154" s="42" t="n"/>
      <c r="H154" s="37" t="n"/>
      <c r="I154" s="37" t="n"/>
      <c r="J154" s="32" t="n"/>
      <c r="K154" s="32" t="n"/>
      <c r="L154" s="43" t="n"/>
      <c r="M154" s="36" t="n"/>
      <c r="N154" s="44" t="n"/>
      <c r="O154" s="36" t="n"/>
      <c r="P154" s="33">
        <f>IF(C154="","",Commercial_Id)</f>
        <v/>
      </c>
      <c r="Q154" s="34">
        <f>IF(AC154="","",IF(AD154=1,"C"&amp;TEXT(SUM(AD$6:AD154),"0000"),INDEX(Q$6:Q153,MATCH(AC154,AC$6:AC153,0))))</f>
        <v/>
      </c>
      <c r="R154" s="34">
        <f>IF(C154="","",IF(L154="☑ Oui","Annulée",IF(OR(E154="Vente directe",K154&lt;&gt;""),"Livrée",IF(J154&lt;&gt;"","Confirmée","En attente"))))</f>
        <v/>
      </c>
      <c r="S154" s="34">
        <f>IF(F154="","",IFERROR(VLOOKUP(F154,T_Produits,2,FALSE),""))</f>
        <v/>
      </c>
      <c r="T154" s="40">
        <f>IF(F154="","",IFERROR(1/(1/VLOOKUP(F154,T_Produits,3,FALSE)),""))</f>
        <v/>
      </c>
      <c r="U154" s="40">
        <f>IF(H154&lt;&gt;"",H154,T154)</f>
        <v/>
      </c>
      <c r="V154" s="40">
        <f>IF(OR(G154="",U154=""),"",G154*U154-N(I154))</f>
        <v/>
      </c>
      <c r="W154" s="39">
        <f>IF(D154="","",IFERROR(VALUE(MID(D154,LEN(D154)-3,3)),""))</f>
        <v/>
      </c>
      <c r="X154" s="33">
        <f>IF(W154="","",P154&amp;"|"&amp;W154)</f>
        <v/>
      </c>
      <c r="Y154" s="33">
        <f>IF(W154="","",IF(P154="À RENSEIGNER","GIC",P154)&amp;"-"&amp;TEXT(W154,"000"))</f>
        <v/>
      </c>
      <c r="Z154" s="33">
        <f>IF(X154="","",IFERROR(INDEX(Cl_nom,MATCH(X154,Cl_cle,0)),"(client introuvable)"))</f>
        <v/>
      </c>
      <c r="AA154" s="33">
        <f>IF(X154="","",IFERROR(INDEX(Cl_quartier,MATCH(X154,Cl_cle,0))&amp;"",""))</f>
        <v/>
      </c>
      <c r="AB154" s="45">
        <f>IF(R154&lt;&gt;"Livrée",0,IF(K154&lt;&gt;"",K154,C154))</f>
        <v/>
      </c>
      <c r="AC154" s="33">
        <f>IF(OR(C154="",W154=""),"",P154&amp;"|"&amp;W154&amp;"|"&amp;C154&amp;"|"&amp;E154)</f>
        <v/>
      </c>
      <c r="AD154" s="39">
        <f>IF(AC154="","",IF(COUNTIF(AC$6:AC154,AC154)=1,1,0))</f>
        <v/>
      </c>
      <c r="AE154" s="39">
        <f>IF(AB154=0,"",IF(COUNTIFS(X$6:X154,X154,AB$6:AB154,AB154)=1,1,0))</f>
        <v/>
      </c>
      <c r="AF154" s="34">
        <f>IF(C154="","",YEAR(C154-WEEKDAY(C154,2)+4)&amp;"-S"&amp;TEXT(INT((C154-DATE(YEAR(C154-WEEKDAY(C154,2)+4),1,3)+WEEKDAY(DATE(YEAR(C154-WEEKDAY(C154,2)+4),1,3),2)+5)/7),"00"))</f>
        <v/>
      </c>
    </row>
    <row r="155" ht="18" customHeight="1">
      <c r="A155" s="39" t="n">
        <v>150</v>
      </c>
      <c r="B155" s="33">
        <f>IF(C155="","",IF(P155="À RENSEIGNER","GIC",P155)&amp;"-C"&amp;TEXT(A155,"00000"))</f>
        <v/>
      </c>
      <c r="C155" s="32" t="n"/>
      <c r="D155" s="36" t="n"/>
      <c r="E155" s="36" t="n"/>
      <c r="F155" s="36" t="n"/>
      <c r="G155" s="42" t="n"/>
      <c r="H155" s="37" t="n"/>
      <c r="I155" s="37" t="n"/>
      <c r="J155" s="32" t="n"/>
      <c r="K155" s="32" t="n"/>
      <c r="L155" s="43" t="n"/>
      <c r="M155" s="36" t="n"/>
      <c r="N155" s="44" t="n"/>
      <c r="O155" s="36" t="n"/>
      <c r="P155" s="33">
        <f>IF(C155="","",Commercial_Id)</f>
        <v/>
      </c>
      <c r="Q155" s="34">
        <f>IF(AC155="","",IF(AD155=1,"C"&amp;TEXT(SUM(AD$6:AD155),"0000"),INDEX(Q$6:Q154,MATCH(AC155,AC$6:AC154,0))))</f>
        <v/>
      </c>
      <c r="R155" s="34">
        <f>IF(C155="","",IF(L155="☑ Oui","Annulée",IF(OR(E155="Vente directe",K155&lt;&gt;""),"Livrée",IF(J155&lt;&gt;"","Confirmée","En attente"))))</f>
        <v/>
      </c>
      <c r="S155" s="34">
        <f>IF(F155="","",IFERROR(VLOOKUP(F155,T_Produits,2,FALSE),""))</f>
        <v/>
      </c>
      <c r="T155" s="40">
        <f>IF(F155="","",IFERROR(1/(1/VLOOKUP(F155,T_Produits,3,FALSE)),""))</f>
        <v/>
      </c>
      <c r="U155" s="40">
        <f>IF(H155&lt;&gt;"",H155,T155)</f>
        <v/>
      </c>
      <c r="V155" s="40">
        <f>IF(OR(G155="",U155=""),"",G155*U155-N(I155))</f>
        <v/>
      </c>
      <c r="W155" s="39">
        <f>IF(D155="","",IFERROR(VALUE(MID(D155,LEN(D155)-3,3)),""))</f>
        <v/>
      </c>
      <c r="X155" s="33">
        <f>IF(W155="","",P155&amp;"|"&amp;W155)</f>
        <v/>
      </c>
      <c r="Y155" s="33">
        <f>IF(W155="","",IF(P155="À RENSEIGNER","GIC",P155)&amp;"-"&amp;TEXT(W155,"000"))</f>
        <v/>
      </c>
      <c r="Z155" s="33">
        <f>IF(X155="","",IFERROR(INDEX(Cl_nom,MATCH(X155,Cl_cle,0)),"(client introuvable)"))</f>
        <v/>
      </c>
      <c r="AA155" s="33">
        <f>IF(X155="","",IFERROR(INDEX(Cl_quartier,MATCH(X155,Cl_cle,0))&amp;"",""))</f>
        <v/>
      </c>
      <c r="AB155" s="45">
        <f>IF(R155&lt;&gt;"Livrée",0,IF(K155&lt;&gt;"",K155,C155))</f>
        <v/>
      </c>
      <c r="AC155" s="33">
        <f>IF(OR(C155="",W155=""),"",P155&amp;"|"&amp;W155&amp;"|"&amp;C155&amp;"|"&amp;E155)</f>
        <v/>
      </c>
      <c r="AD155" s="39">
        <f>IF(AC155="","",IF(COUNTIF(AC$6:AC155,AC155)=1,1,0))</f>
        <v/>
      </c>
      <c r="AE155" s="39">
        <f>IF(AB155=0,"",IF(COUNTIFS(X$6:X155,X155,AB$6:AB155,AB155)=1,1,0))</f>
        <v/>
      </c>
      <c r="AF155" s="34">
        <f>IF(C155="","",YEAR(C155-WEEKDAY(C155,2)+4)&amp;"-S"&amp;TEXT(INT((C155-DATE(YEAR(C155-WEEKDAY(C155,2)+4),1,3)+WEEKDAY(DATE(YEAR(C155-WEEKDAY(C155,2)+4),1,3),2)+5)/7),"00"))</f>
        <v/>
      </c>
    </row>
    <row r="156" ht="18" customHeight="1">
      <c r="A156" s="39" t="n">
        <v>151</v>
      </c>
      <c r="B156" s="33">
        <f>IF(C156="","",IF(P156="À RENSEIGNER","GIC",P156)&amp;"-C"&amp;TEXT(A156,"00000"))</f>
        <v/>
      </c>
      <c r="C156" s="32" t="n"/>
      <c r="D156" s="36" t="n"/>
      <c r="E156" s="36" t="n"/>
      <c r="F156" s="36" t="n"/>
      <c r="G156" s="42" t="n"/>
      <c r="H156" s="37" t="n"/>
      <c r="I156" s="37" t="n"/>
      <c r="J156" s="32" t="n"/>
      <c r="K156" s="32" t="n"/>
      <c r="L156" s="43" t="n"/>
      <c r="M156" s="36" t="n"/>
      <c r="N156" s="44" t="n"/>
      <c r="O156" s="36" t="n"/>
      <c r="P156" s="33">
        <f>IF(C156="","",Commercial_Id)</f>
        <v/>
      </c>
      <c r="Q156" s="34">
        <f>IF(AC156="","",IF(AD156=1,"C"&amp;TEXT(SUM(AD$6:AD156),"0000"),INDEX(Q$6:Q155,MATCH(AC156,AC$6:AC155,0))))</f>
        <v/>
      </c>
      <c r="R156" s="34">
        <f>IF(C156="","",IF(L156="☑ Oui","Annulée",IF(OR(E156="Vente directe",K156&lt;&gt;""),"Livrée",IF(J156&lt;&gt;"","Confirmée","En attente"))))</f>
        <v/>
      </c>
      <c r="S156" s="34">
        <f>IF(F156="","",IFERROR(VLOOKUP(F156,T_Produits,2,FALSE),""))</f>
        <v/>
      </c>
      <c r="T156" s="40">
        <f>IF(F156="","",IFERROR(1/(1/VLOOKUP(F156,T_Produits,3,FALSE)),""))</f>
        <v/>
      </c>
      <c r="U156" s="40">
        <f>IF(H156&lt;&gt;"",H156,T156)</f>
        <v/>
      </c>
      <c r="V156" s="40">
        <f>IF(OR(G156="",U156=""),"",G156*U156-N(I156))</f>
        <v/>
      </c>
      <c r="W156" s="39">
        <f>IF(D156="","",IFERROR(VALUE(MID(D156,LEN(D156)-3,3)),""))</f>
        <v/>
      </c>
      <c r="X156" s="33">
        <f>IF(W156="","",P156&amp;"|"&amp;W156)</f>
        <v/>
      </c>
      <c r="Y156" s="33">
        <f>IF(W156="","",IF(P156="À RENSEIGNER","GIC",P156)&amp;"-"&amp;TEXT(W156,"000"))</f>
        <v/>
      </c>
      <c r="Z156" s="33">
        <f>IF(X156="","",IFERROR(INDEX(Cl_nom,MATCH(X156,Cl_cle,0)),"(client introuvable)"))</f>
        <v/>
      </c>
      <c r="AA156" s="33">
        <f>IF(X156="","",IFERROR(INDEX(Cl_quartier,MATCH(X156,Cl_cle,0))&amp;"",""))</f>
        <v/>
      </c>
      <c r="AB156" s="45">
        <f>IF(R156&lt;&gt;"Livrée",0,IF(K156&lt;&gt;"",K156,C156))</f>
        <v/>
      </c>
      <c r="AC156" s="33">
        <f>IF(OR(C156="",W156=""),"",P156&amp;"|"&amp;W156&amp;"|"&amp;C156&amp;"|"&amp;E156)</f>
        <v/>
      </c>
      <c r="AD156" s="39">
        <f>IF(AC156="","",IF(COUNTIF(AC$6:AC156,AC156)=1,1,0))</f>
        <v/>
      </c>
      <c r="AE156" s="39">
        <f>IF(AB156=0,"",IF(COUNTIFS(X$6:X156,X156,AB$6:AB156,AB156)=1,1,0))</f>
        <v/>
      </c>
      <c r="AF156" s="34">
        <f>IF(C156="","",YEAR(C156-WEEKDAY(C156,2)+4)&amp;"-S"&amp;TEXT(INT((C156-DATE(YEAR(C156-WEEKDAY(C156,2)+4),1,3)+WEEKDAY(DATE(YEAR(C156-WEEKDAY(C156,2)+4),1,3),2)+5)/7),"00"))</f>
        <v/>
      </c>
    </row>
    <row r="157" ht="18" customHeight="1">
      <c r="A157" s="39" t="n">
        <v>152</v>
      </c>
      <c r="B157" s="33">
        <f>IF(C157="","",IF(P157="À RENSEIGNER","GIC",P157)&amp;"-C"&amp;TEXT(A157,"00000"))</f>
        <v/>
      </c>
      <c r="C157" s="32" t="n"/>
      <c r="D157" s="36" t="n"/>
      <c r="E157" s="36" t="n"/>
      <c r="F157" s="36" t="n"/>
      <c r="G157" s="42" t="n"/>
      <c r="H157" s="37" t="n"/>
      <c r="I157" s="37" t="n"/>
      <c r="J157" s="32" t="n"/>
      <c r="K157" s="32" t="n"/>
      <c r="L157" s="43" t="n"/>
      <c r="M157" s="36" t="n"/>
      <c r="N157" s="44" t="n"/>
      <c r="O157" s="36" t="n"/>
      <c r="P157" s="33">
        <f>IF(C157="","",Commercial_Id)</f>
        <v/>
      </c>
      <c r="Q157" s="34">
        <f>IF(AC157="","",IF(AD157=1,"C"&amp;TEXT(SUM(AD$6:AD157),"0000"),INDEX(Q$6:Q156,MATCH(AC157,AC$6:AC156,0))))</f>
        <v/>
      </c>
      <c r="R157" s="34">
        <f>IF(C157="","",IF(L157="☑ Oui","Annulée",IF(OR(E157="Vente directe",K157&lt;&gt;""),"Livrée",IF(J157&lt;&gt;"","Confirmée","En attente"))))</f>
        <v/>
      </c>
      <c r="S157" s="34">
        <f>IF(F157="","",IFERROR(VLOOKUP(F157,T_Produits,2,FALSE),""))</f>
        <v/>
      </c>
      <c r="T157" s="40">
        <f>IF(F157="","",IFERROR(1/(1/VLOOKUP(F157,T_Produits,3,FALSE)),""))</f>
        <v/>
      </c>
      <c r="U157" s="40">
        <f>IF(H157&lt;&gt;"",H157,T157)</f>
        <v/>
      </c>
      <c r="V157" s="40">
        <f>IF(OR(G157="",U157=""),"",G157*U157-N(I157))</f>
        <v/>
      </c>
      <c r="W157" s="39">
        <f>IF(D157="","",IFERROR(VALUE(MID(D157,LEN(D157)-3,3)),""))</f>
        <v/>
      </c>
      <c r="X157" s="33">
        <f>IF(W157="","",P157&amp;"|"&amp;W157)</f>
        <v/>
      </c>
      <c r="Y157" s="33">
        <f>IF(W157="","",IF(P157="À RENSEIGNER","GIC",P157)&amp;"-"&amp;TEXT(W157,"000"))</f>
        <v/>
      </c>
      <c r="Z157" s="33">
        <f>IF(X157="","",IFERROR(INDEX(Cl_nom,MATCH(X157,Cl_cle,0)),"(client introuvable)"))</f>
        <v/>
      </c>
      <c r="AA157" s="33">
        <f>IF(X157="","",IFERROR(INDEX(Cl_quartier,MATCH(X157,Cl_cle,0))&amp;"",""))</f>
        <v/>
      </c>
      <c r="AB157" s="45">
        <f>IF(R157&lt;&gt;"Livrée",0,IF(K157&lt;&gt;"",K157,C157))</f>
        <v/>
      </c>
      <c r="AC157" s="33">
        <f>IF(OR(C157="",W157=""),"",P157&amp;"|"&amp;W157&amp;"|"&amp;C157&amp;"|"&amp;E157)</f>
        <v/>
      </c>
      <c r="AD157" s="39">
        <f>IF(AC157="","",IF(COUNTIF(AC$6:AC157,AC157)=1,1,0))</f>
        <v/>
      </c>
      <c r="AE157" s="39">
        <f>IF(AB157=0,"",IF(COUNTIFS(X$6:X157,X157,AB$6:AB157,AB157)=1,1,0))</f>
        <v/>
      </c>
      <c r="AF157" s="34">
        <f>IF(C157="","",YEAR(C157-WEEKDAY(C157,2)+4)&amp;"-S"&amp;TEXT(INT((C157-DATE(YEAR(C157-WEEKDAY(C157,2)+4),1,3)+WEEKDAY(DATE(YEAR(C157-WEEKDAY(C157,2)+4),1,3),2)+5)/7),"00"))</f>
        <v/>
      </c>
    </row>
    <row r="158" ht="18" customHeight="1">
      <c r="A158" s="39" t="n">
        <v>153</v>
      </c>
      <c r="B158" s="33">
        <f>IF(C158="","",IF(P158="À RENSEIGNER","GIC",P158)&amp;"-C"&amp;TEXT(A158,"00000"))</f>
        <v/>
      </c>
      <c r="C158" s="32" t="n"/>
      <c r="D158" s="36" t="n"/>
      <c r="E158" s="36" t="n"/>
      <c r="F158" s="36" t="n"/>
      <c r="G158" s="42" t="n"/>
      <c r="H158" s="37" t="n"/>
      <c r="I158" s="37" t="n"/>
      <c r="J158" s="32" t="n"/>
      <c r="K158" s="32" t="n"/>
      <c r="L158" s="43" t="n"/>
      <c r="M158" s="36" t="n"/>
      <c r="N158" s="44" t="n"/>
      <c r="O158" s="36" t="n"/>
      <c r="P158" s="33">
        <f>IF(C158="","",Commercial_Id)</f>
        <v/>
      </c>
      <c r="Q158" s="34">
        <f>IF(AC158="","",IF(AD158=1,"C"&amp;TEXT(SUM(AD$6:AD158),"0000"),INDEX(Q$6:Q157,MATCH(AC158,AC$6:AC157,0))))</f>
        <v/>
      </c>
      <c r="R158" s="34">
        <f>IF(C158="","",IF(L158="☑ Oui","Annulée",IF(OR(E158="Vente directe",K158&lt;&gt;""),"Livrée",IF(J158&lt;&gt;"","Confirmée","En attente"))))</f>
        <v/>
      </c>
      <c r="S158" s="34">
        <f>IF(F158="","",IFERROR(VLOOKUP(F158,T_Produits,2,FALSE),""))</f>
        <v/>
      </c>
      <c r="T158" s="40">
        <f>IF(F158="","",IFERROR(1/(1/VLOOKUP(F158,T_Produits,3,FALSE)),""))</f>
        <v/>
      </c>
      <c r="U158" s="40">
        <f>IF(H158&lt;&gt;"",H158,T158)</f>
        <v/>
      </c>
      <c r="V158" s="40">
        <f>IF(OR(G158="",U158=""),"",G158*U158-N(I158))</f>
        <v/>
      </c>
      <c r="W158" s="39">
        <f>IF(D158="","",IFERROR(VALUE(MID(D158,LEN(D158)-3,3)),""))</f>
        <v/>
      </c>
      <c r="X158" s="33">
        <f>IF(W158="","",P158&amp;"|"&amp;W158)</f>
        <v/>
      </c>
      <c r="Y158" s="33">
        <f>IF(W158="","",IF(P158="À RENSEIGNER","GIC",P158)&amp;"-"&amp;TEXT(W158,"000"))</f>
        <v/>
      </c>
      <c r="Z158" s="33">
        <f>IF(X158="","",IFERROR(INDEX(Cl_nom,MATCH(X158,Cl_cle,0)),"(client introuvable)"))</f>
        <v/>
      </c>
      <c r="AA158" s="33">
        <f>IF(X158="","",IFERROR(INDEX(Cl_quartier,MATCH(X158,Cl_cle,0))&amp;"",""))</f>
        <v/>
      </c>
      <c r="AB158" s="45">
        <f>IF(R158&lt;&gt;"Livrée",0,IF(K158&lt;&gt;"",K158,C158))</f>
        <v/>
      </c>
      <c r="AC158" s="33">
        <f>IF(OR(C158="",W158=""),"",P158&amp;"|"&amp;W158&amp;"|"&amp;C158&amp;"|"&amp;E158)</f>
        <v/>
      </c>
      <c r="AD158" s="39">
        <f>IF(AC158="","",IF(COUNTIF(AC$6:AC158,AC158)=1,1,0))</f>
        <v/>
      </c>
      <c r="AE158" s="39">
        <f>IF(AB158=0,"",IF(COUNTIFS(X$6:X158,X158,AB$6:AB158,AB158)=1,1,0))</f>
        <v/>
      </c>
      <c r="AF158" s="34">
        <f>IF(C158="","",YEAR(C158-WEEKDAY(C158,2)+4)&amp;"-S"&amp;TEXT(INT((C158-DATE(YEAR(C158-WEEKDAY(C158,2)+4),1,3)+WEEKDAY(DATE(YEAR(C158-WEEKDAY(C158,2)+4),1,3),2)+5)/7),"00"))</f>
        <v/>
      </c>
    </row>
    <row r="159" ht="18" customHeight="1">
      <c r="A159" s="39" t="n">
        <v>154</v>
      </c>
      <c r="B159" s="33">
        <f>IF(C159="","",IF(P159="À RENSEIGNER","GIC",P159)&amp;"-C"&amp;TEXT(A159,"00000"))</f>
        <v/>
      </c>
      <c r="C159" s="32" t="n"/>
      <c r="D159" s="36" t="n"/>
      <c r="E159" s="36" t="n"/>
      <c r="F159" s="36" t="n"/>
      <c r="G159" s="42" t="n"/>
      <c r="H159" s="37" t="n"/>
      <c r="I159" s="37" t="n"/>
      <c r="J159" s="32" t="n"/>
      <c r="K159" s="32" t="n"/>
      <c r="L159" s="43" t="n"/>
      <c r="M159" s="36" t="n"/>
      <c r="N159" s="44" t="n"/>
      <c r="O159" s="36" t="n"/>
      <c r="P159" s="33">
        <f>IF(C159="","",Commercial_Id)</f>
        <v/>
      </c>
      <c r="Q159" s="34">
        <f>IF(AC159="","",IF(AD159=1,"C"&amp;TEXT(SUM(AD$6:AD159),"0000"),INDEX(Q$6:Q158,MATCH(AC159,AC$6:AC158,0))))</f>
        <v/>
      </c>
      <c r="R159" s="34">
        <f>IF(C159="","",IF(L159="☑ Oui","Annulée",IF(OR(E159="Vente directe",K159&lt;&gt;""),"Livrée",IF(J159&lt;&gt;"","Confirmée","En attente"))))</f>
        <v/>
      </c>
      <c r="S159" s="34">
        <f>IF(F159="","",IFERROR(VLOOKUP(F159,T_Produits,2,FALSE),""))</f>
        <v/>
      </c>
      <c r="T159" s="40">
        <f>IF(F159="","",IFERROR(1/(1/VLOOKUP(F159,T_Produits,3,FALSE)),""))</f>
        <v/>
      </c>
      <c r="U159" s="40">
        <f>IF(H159&lt;&gt;"",H159,T159)</f>
        <v/>
      </c>
      <c r="V159" s="40">
        <f>IF(OR(G159="",U159=""),"",G159*U159-N(I159))</f>
        <v/>
      </c>
      <c r="W159" s="39">
        <f>IF(D159="","",IFERROR(VALUE(MID(D159,LEN(D159)-3,3)),""))</f>
        <v/>
      </c>
      <c r="X159" s="33">
        <f>IF(W159="","",P159&amp;"|"&amp;W159)</f>
        <v/>
      </c>
      <c r="Y159" s="33">
        <f>IF(W159="","",IF(P159="À RENSEIGNER","GIC",P159)&amp;"-"&amp;TEXT(W159,"000"))</f>
        <v/>
      </c>
      <c r="Z159" s="33">
        <f>IF(X159="","",IFERROR(INDEX(Cl_nom,MATCH(X159,Cl_cle,0)),"(client introuvable)"))</f>
        <v/>
      </c>
      <c r="AA159" s="33">
        <f>IF(X159="","",IFERROR(INDEX(Cl_quartier,MATCH(X159,Cl_cle,0))&amp;"",""))</f>
        <v/>
      </c>
      <c r="AB159" s="45">
        <f>IF(R159&lt;&gt;"Livrée",0,IF(K159&lt;&gt;"",K159,C159))</f>
        <v/>
      </c>
      <c r="AC159" s="33">
        <f>IF(OR(C159="",W159=""),"",P159&amp;"|"&amp;W159&amp;"|"&amp;C159&amp;"|"&amp;E159)</f>
        <v/>
      </c>
      <c r="AD159" s="39">
        <f>IF(AC159="","",IF(COUNTIF(AC$6:AC159,AC159)=1,1,0))</f>
        <v/>
      </c>
      <c r="AE159" s="39">
        <f>IF(AB159=0,"",IF(COUNTIFS(X$6:X159,X159,AB$6:AB159,AB159)=1,1,0))</f>
        <v/>
      </c>
      <c r="AF159" s="34">
        <f>IF(C159="","",YEAR(C159-WEEKDAY(C159,2)+4)&amp;"-S"&amp;TEXT(INT((C159-DATE(YEAR(C159-WEEKDAY(C159,2)+4),1,3)+WEEKDAY(DATE(YEAR(C159-WEEKDAY(C159,2)+4),1,3),2)+5)/7),"00"))</f>
        <v/>
      </c>
    </row>
    <row r="160" ht="18" customHeight="1">
      <c r="A160" s="39" t="n">
        <v>155</v>
      </c>
      <c r="B160" s="33">
        <f>IF(C160="","",IF(P160="À RENSEIGNER","GIC",P160)&amp;"-C"&amp;TEXT(A160,"00000"))</f>
        <v/>
      </c>
      <c r="C160" s="32" t="n"/>
      <c r="D160" s="36" t="n"/>
      <c r="E160" s="36" t="n"/>
      <c r="F160" s="36" t="n"/>
      <c r="G160" s="42" t="n"/>
      <c r="H160" s="37" t="n"/>
      <c r="I160" s="37" t="n"/>
      <c r="J160" s="32" t="n"/>
      <c r="K160" s="32" t="n"/>
      <c r="L160" s="43" t="n"/>
      <c r="M160" s="36" t="n"/>
      <c r="N160" s="44" t="n"/>
      <c r="O160" s="36" t="n"/>
      <c r="P160" s="33">
        <f>IF(C160="","",Commercial_Id)</f>
        <v/>
      </c>
      <c r="Q160" s="34">
        <f>IF(AC160="","",IF(AD160=1,"C"&amp;TEXT(SUM(AD$6:AD160),"0000"),INDEX(Q$6:Q159,MATCH(AC160,AC$6:AC159,0))))</f>
        <v/>
      </c>
      <c r="R160" s="34">
        <f>IF(C160="","",IF(L160="☑ Oui","Annulée",IF(OR(E160="Vente directe",K160&lt;&gt;""),"Livrée",IF(J160&lt;&gt;"","Confirmée","En attente"))))</f>
        <v/>
      </c>
      <c r="S160" s="34">
        <f>IF(F160="","",IFERROR(VLOOKUP(F160,T_Produits,2,FALSE),""))</f>
        <v/>
      </c>
      <c r="T160" s="40">
        <f>IF(F160="","",IFERROR(1/(1/VLOOKUP(F160,T_Produits,3,FALSE)),""))</f>
        <v/>
      </c>
      <c r="U160" s="40">
        <f>IF(H160&lt;&gt;"",H160,T160)</f>
        <v/>
      </c>
      <c r="V160" s="40">
        <f>IF(OR(G160="",U160=""),"",G160*U160-N(I160))</f>
        <v/>
      </c>
      <c r="W160" s="39">
        <f>IF(D160="","",IFERROR(VALUE(MID(D160,LEN(D160)-3,3)),""))</f>
        <v/>
      </c>
      <c r="X160" s="33">
        <f>IF(W160="","",P160&amp;"|"&amp;W160)</f>
        <v/>
      </c>
      <c r="Y160" s="33">
        <f>IF(W160="","",IF(P160="À RENSEIGNER","GIC",P160)&amp;"-"&amp;TEXT(W160,"000"))</f>
        <v/>
      </c>
      <c r="Z160" s="33">
        <f>IF(X160="","",IFERROR(INDEX(Cl_nom,MATCH(X160,Cl_cle,0)),"(client introuvable)"))</f>
        <v/>
      </c>
      <c r="AA160" s="33">
        <f>IF(X160="","",IFERROR(INDEX(Cl_quartier,MATCH(X160,Cl_cle,0))&amp;"",""))</f>
        <v/>
      </c>
      <c r="AB160" s="45">
        <f>IF(R160&lt;&gt;"Livrée",0,IF(K160&lt;&gt;"",K160,C160))</f>
        <v/>
      </c>
      <c r="AC160" s="33">
        <f>IF(OR(C160="",W160=""),"",P160&amp;"|"&amp;W160&amp;"|"&amp;C160&amp;"|"&amp;E160)</f>
        <v/>
      </c>
      <c r="AD160" s="39">
        <f>IF(AC160="","",IF(COUNTIF(AC$6:AC160,AC160)=1,1,0))</f>
        <v/>
      </c>
      <c r="AE160" s="39">
        <f>IF(AB160=0,"",IF(COUNTIFS(X$6:X160,X160,AB$6:AB160,AB160)=1,1,0))</f>
        <v/>
      </c>
      <c r="AF160" s="34">
        <f>IF(C160="","",YEAR(C160-WEEKDAY(C160,2)+4)&amp;"-S"&amp;TEXT(INT((C160-DATE(YEAR(C160-WEEKDAY(C160,2)+4),1,3)+WEEKDAY(DATE(YEAR(C160-WEEKDAY(C160,2)+4),1,3),2)+5)/7),"00"))</f>
        <v/>
      </c>
    </row>
    <row r="161" ht="18" customHeight="1">
      <c r="A161" s="39" t="n">
        <v>156</v>
      </c>
      <c r="B161" s="33">
        <f>IF(C161="","",IF(P161="À RENSEIGNER","GIC",P161)&amp;"-C"&amp;TEXT(A161,"00000"))</f>
        <v/>
      </c>
      <c r="C161" s="32" t="n"/>
      <c r="D161" s="36" t="n"/>
      <c r="E161" s="36" t="n"/>
      <c r="F161" s="36" t="n"/>
      <c r="G161" s="42" t="n"/>
      <c r="H161" s="37" t="n"/>
      <c r="I161" s="37" t="n"/>
      <c r="J161" s="32" t="n"/>
      <c r="K161" s="32" t="n"/>
      <c r="L161" s="43" t="n"/>
      <c r="M161" s="36" t="n"/>
      <c r="N161" s="44" t="n"/>
      <c r="O161" s="36" t="n"/>
      <c r="P161" s="33">
        <f>IF(C161="","",Commercial_Id)</f>
        <v/>
      </c>
      <c r="Q161" s="34">
        <f>IF(AC161="","",IF(AD161=1,"C"&amp;TEXT(SUM(AD$6:AD161),"0000"),INDEX(Q$6:Q160,MATCH(AC161,AC$6:AC160,0))))</f>
        <v/>
      </c>
      <c r="R161" s="34">
        <f>IF(C161="","",IF(L161="☑ Oui","Annulée",IF(OR(E161="Vente directe",K161&lt;&gt;""),"Livrée",IF(J161&lt;&gt;"","Confirmée","En attente"))))</f>
        <v/>
      </c>
      <c r="S161" s="34">
        <f>IF(F161="","",IFERROR(VLOOKUP(F161,T_Produits,2,FALSE),""))</f>
        <v/>
      </c>
      <c r="T161" s="40">
        <f>IF(F161="","",IFERROR(1/(1/VLOOKUP(F161,T_Produits,3,FALSE)),""))</f>
        <v/>
      </c>
      <c r="U161" s="40">
        <f>IF(H161&lt;&gt;"",H161,T161)</f>
        <v/>
      </c>
      <c r="V161" s="40">
        <f>IF(OR(G161="",U161=""),"",G161*U161-N(I161))</f>
        <v/>
      </c>
      <c r="W161" s="39">
        <f>IF(D161="","",IFERROR(VALUE(MID(D161,LEN(D161)-3,3)),""))</f>
        <v/>
      </c>
      <c r="X161" s="33">
        <f>IF(W161="","",P161&amp;"|"&amp;W161)</f>
        <v/>
      </c>
      <c r="Y161" s="33">
        <f>IF(W161="","",IF(P161="À RENSEIGNER","GIC",P161)&amp;"-"&amp;TEXT(W161,"000"))</f>
        <v/>
      </c>
      <c r="Z161" s="33">
        <f>IF(X161="","",IFERROR(INDEX(Cl_nom,MATCH(X161,Cl_cle,0)),"(client introuvable)"))</f>
        <v/>
      </c>
      <c r="AA161" s="33">
        <f>IF(X161="","",IFERROR(INDEX(Cl_quartier,MATCH(X161,Cl_cle,0))&amp;"",""))</f>
        <v/>
      </c>
      <c r="AB161" s="45">
        <f>IF(R161&lt;&gt;"Livrée",0,IF(K161&lt;&gt;"",K161,C161))</f>
        <v/>
      </c>
      <c r="AC161" s="33">
        <f>IF(OR(C161="",W161=""),"",P161&amp;"|"&amp;W161&amp;"|"&amp;C161&amp;"|"&amp;E161)</f>
        <v/>
      </c>
      <c r="AD161" s="39">
        <f>IF(AC161="","",IF(COUNTIF(AC$6:AC161,AC161)=1,1,0))</f>
        <v/>
      </c>
      <c r="AE161" s="39">
        <f>IF(AB161=0,"",IF(COUNTIFS(X$6:X161,X161,AB$6:AB161,AB161)=1,1,0))</f>
        <v/>
      </c>
      <c r="AF161" s="34">
        <f>IF(C161="","",YEAR(C161-WEEKDAY(C161,2)+4)&amp;"-S"&amp;TEXT(INT((C161-DATE(YEAR(C161-WEEKDAY(C161,2)+4),1,3)+WEEKDAY(DATE(YEAR(C161-WEEKDAY(C161,2)+4),1,3),2)+5)/7),"00"))</f>
        <v/>
      </c>
    </row>
    <row r="162" ht="18" customHeight="1">
      <c r="A162" s="39" t="n">
        <v>157</v>
      </c>
      <c r="B162" s="33">
        <f>IF(C162="","",IF(P162="À RENSEIGNER","GIC",P162)&amp;"-C"&amp;TEXT(A162,"00000"))</f>
        <v/>
      </c>
      <c r="C162" s="32" t="n"/>
      <c r="D162" s="36" t="n"/>
      <c r="E162" s="36" t="n"/>
      <c r="F162" s="36" t="n"/>
      <c r="G162" s="42" t="n"/>
      <c r="H162" s="37" t="n"/>
      <c r="I162" s="37" t="n"/>
      <c r="J162" s="32" t="n"/>
      <c r="K162" s="32" t="n"/>
      <c r="L162" s="43" t="n"/>
      <c r="M162" s="36" t="n"/>
      <c r="N162" s="44" t="n"/>
      <c r="O162" s="36" t="n"/>
      <c r="P162" s="33">
        <f>IF(C162="","",Commercial_Id)</f>
        <v/>
      </c>
      <c r="Q162" s="34">
        <f>IF(AC162="","",IF(AD162=1,"C"&amp;TEXT(SUM(AD$6:AD162),"0000"),INDEX(Q$6:Q161,MATCH(AC162,AC$6:AC161,0))))</f>
        <v/>
      </c>
      <c r="R162" s="34">
        <f>IF(C162="","",IF(L162="☑ Oui","Annulée",IF(OR(E162="Vente directe",K162&lt;&gt;""),"Livrée",IF(J162&lt;&gt;"","Confirmée","En attente"))))</f>
        <v/>
      </c>
      <c r="S162" s="34">
        <f>IF(F162="","",IFERROR(VLOOKUP(F162,T_Produits,2,FALSE),""))</f>
        <v/>
      </c>
      <c r="T162" s="40">
        <f>IF(F162="","",IFERROR(1/(1/VLOOKUP(F162,T_Produits,3,FALSE)),""))</f>
        <v/>
      </c>
      <c r="U162" s="40">
        <f>IF(H162&lt;&gt;"",H162,T162)</f>
        <v/>
      </c>
      <c r="V162" s="40">
        <f>IF(OR(G162="",U162=""),"",G162*U162-N(I162))</f>
        <v/>
      </c>
      <c r="W162" s="39">
        <f>IF(D162="","",IFERROR(VALUE(MID(D162,LEN(D162)-3,3)),""))</f>
        <v/>
      </c>
      <c r="X162" s="33">
        <f>IF(W162="","",P162&amp;"|"&amp;W162)</f>
        <v/>
      </c>
      <c r="Y162" s="33">
        <f>IF(W162="","",IF(P162="À RENSEIGNER","GIC",P162)&amp;"-"&amp;TEXT(W162,"000"))</f>
        <v/>
      </c>
      <c r="Z162" s="33">
        <f>IF(X162="","",IFERROR(INDEX(Cl_nom,MATCH(X162,Cl_cle,0)),"(client introuvable)"))</f>
        <v/>
      </c>
      <c r="AA162" s="33">
        <f>IF(X162="","",IFERROR(INDEX(Cl_quartier,MATCH(X162,Cl_cle,0))&amp;"",""))</f>
        <v/>
      </c>
      <c r="AB162" s="45">
        <f>IF(R162&lt;&gt;"Livrée",0,IF(K162&lt;&gt;"",K162,C162))</f>
        <v/>
      </c>
      <c r="AC162" s="33">
        <f>IF(OR(C162="",W162=""),"",P162&amp;"|"&amp;W162&amp;"|"&amp;C162&amp;"|"&amp;E162)</f>
        <v/>
      </c>
      <c r="AD162" s="39">
        <f>IF(AC162="","",IF(COUNTIF(AC$6:AC162,AC162)=1,1,0))</f>
        <v/>
      </c>
      <c r="AE162" s="39">
        <f>IF(AB162=0,"",IF(COUNTIFS(X$6:X162,X162,AB$6:AB162,AB162)=1,1,0))</f>
        <v/>
      </c>
      <c r="AF162" s="34">
        <f>IF(C162="","",YEAR(C162-WEEKDAY(C162,2)+4)&amp;"-S"&amp;TEXT(INT((C162-DATE(YEAR(C162-WEEKDAY(C162,2)+4),1,3)+WEEKDAY(DATE(YEAR(C162-WEEKDAY(C162,2)+4),1,3),2)+5)/7),"00"))</f>
        <v/>
      </c>
    </row>
    <row r="163" ht="18" customHeight="1">
      <c r="A163" s="39" t="n">
        <v>158</v>
      </c>
      <c r="B163" s="33">
        <f>IF(C163="","",IF(P163="À RENSEIGNER","GIC",P163)&amp;"-C"&amp;TEXT(A163,"00000"))</f>
        <v/>
      </c>
      <c r="C163" s="32" t="n"/>
      <c r="D163" s="36" t="n"/>
      <c r="E163" s="36" t="n"/>
      <c r="F163" s="36" t="n"/>
      <c r="G163" s="42" t="n"/>
      <c r="H163" s="37" t="n"/>
      <c r="I163" s="37" t="n"/>
      <c r="J163" s="32" t="n"/>
      <c r="K163" s="32" t="n"/>
      <c r="L163" s="43" t="n"/>
      <c r="M163" s="36" t="n"/>
      <c r="N163" s="44" t="n"/>
      <c r="O163" s="36" t="n"/>
      <c r="P163" s="33">
        <f>IF(C163="","",Commercial_Id)</f>
        <v/>
      </c>
      <c r="Q163" s="34">
        <f>IF(AC163="","",IF(AD163=1,"C"&amp;TEXT(SUM(AD$6:AD163),"0000"),INDEX(Q$6:Q162,MATCH(AC163,AC$6:AC162,0))))</f>
        <v/>
      </c>
      <c r="R163" s="34">
        <f>IF(C163="","",IF(L163="☑ Oui","Annulée",IF(OR(E163="Vente directe",K163&lt;&gt;""),"Livrée",IF(J163&lt;&gt;"","Confirmée","En attente"))))</f>
        <v/>
      </c>
      <c r="S163" s="34">
        <f>IF(F163="","",IFERROR(VLOOKUP(F163,T_Produits,2,FALSE),""))</f>
        <v/>
      </c>
      <c r="T163" s="40">
        <f>IF(F163="","",IFERROR(1/(1/VLOOKUP(F163,T_Produits,3,FALSE)),""))</f>
        <v/>
      </c>
      <c r="U163" s="40">
        <f>IF(H163&lt;&gt;"",H163,T163)</f>
        <v/>
      </c>
      <c r="V163" s="40">
        <f>IF(OR(G163="",U163=""),"",G163*U163-N(I163))</f>
        <v/>
      </c>
      <c r="W163" s="39">
        <f>IF(D163="","",IFERROR(VALUE(MID(D163,LEN(D163)-3,3)),""))</f>
        <v/>
      </c>
      <c r="X163" s="33">
        <f>IF(W163="","",P163&amp;"|"&amp;W163)</f>
        <v/>
      </c>
      <c r="Y163" s="33">
        <f>IF(W163="","",IF(P163="À RENSEIGNER","GIC",P163)&amp;"-"&amp;TEXT(W163,"000"))</f>
        <v/>
      </c>
      <c r="Z163" s="33">
        <f>IF(X163="","",IFERROR(INDEX(Cl_nom,MATCH(X163,Cl_cle,0)),"(client introuvable)"))</f>
        <v/>
      </c>
      <c r="AA163" s="33">
        <f>IF(X163="","",IFERROR(INDEX(Cl_quartier,MATCH(X163,Cl_cle,0))&amp;"",""))</f>
        <v/>
      </c>
      <c r="AB163" s="45">
        <f>IF(R163&lt;&gt;"Livrée",0,IF(K163&lt;&gt;"",K163,C163))</f>
        <v/>
      </c>
      <c r="AC163" s="33">
        <f>IF(OR(C163="",W163=""),"",P163&amp;"|"&amp;W163&amp;"|"&amp;C163&amp;"|"&amp;E163)</f>
        <v/>
      </c>
      <c r="AD163" s="39">
        <f>IF(AC163="","",IF(COUNTIF(AC$6:AC163,AC163)=1,1,0))</f>
        <v/>
      </c>
      <c r="AE163" s="39">
        <f>IF(AB163=0,"",IF(COUNTIFS(X$6:X163,X163,AB$6:AB163,AB163)=1,1,0))</f>
        <v/>
      </c>
      <c r="AF163" s="34">
        <f>IF(C163="","",YEAR(C163-WEEKDAY(C163,2)+4)&amp;"-S"&amp;TEXT(INT((C163-DATE(YEAR(C163-WEEKDAY(C163,2)+4),1,3)+WEEKDAY(DATE(YEAR(C163-WEEKDAY(C163,2)+4),1,3),2)+5)/7),"00"))</f>
        <v/>
      </c>
    </row>
    <row r="164" ht="18" customHeight="1">
      <c r="A164" s="39" t="n">
        <v>159</v>
      </c>
      <c r="B164" s="33">
        <f>IF(C164="","",IF(P164="À RENSEIGNER","GIC",P164)&amp;"-C"&amp;TEXT(A164,"00000"))</f>
        <v/>
      </c>
      <c r="C164" s="32" t="n"/>
      <c r="D164" s="36" t="n"/>
      <c r="E164" s="36" t="n"/>
      <c r="F164" s="36" t="n"/>
      <c r="G164" s="42" t="n"/>
      <c r="H164" s="37" t="n"/>
      <c r="I164" s="37" t="n"/>
      <c r="J164" s="32" t="n"/>
      <c r="K164" s="32" t="n"/>
      <c r="L164" s="43" t="n"/>
      <c r="M164" s="36" t="n"/>
      <c r="N164" s="44" t="n"/>
      <c r="O164" s="36" t="n"/>
      <c r="P164" s="33">
        <f>IF(C164="","",Commercial_Id)</f>
        <v/>
      </c>
      <c r="Q164" s="34">
        <f>IF(AC164="","",IF(AD164=1,"C"&amp;TEXT(SUM(AD$6:AD164),"0000"),INDEX(Q$6:Q163,MATCH(AC164,AC$6:AC163,0))))</f>
        <v/>
      </c>
      <c r="R164" s="34">
        <f>IF(C164="","",IF(L164="☑ Oui","Annulée",IF(OR(E164="Vente directe",K164&lt;&gt;""),"Livrée",IF(J164&lt;&gt;"","Confirmée","En attente"))))</f>
        <v/>
      </c>
      <c r="S164" s="34">
        <f>IF(F164="","",IFERROR(VLOOKUP(F164,T_Produits,2,FALSE),""))</f>
        <v/>
      </c>
      <c r="T164" s="40">
        <f>IF(F164="","",IFERROR(1/(1/VLOOKUP(F164,T_Produits,3,FALSE)),""))</f>
        <v/>
      </c>
      <c r="U164" s="40">
        <f>IF(H164&lt;&gt;"",H164,T164)</f>
        <v/>
      </c>
      <c r="V164" s="40">
        <f>IF(OR(G164="",U164=""),"",G164*U164-N(I164))</f>
        <v/>
      </c>
      <c r="W164" s="39">
        <f>IF(D164="","",IFERROR(VALUE(MID(D164,LEN(D164)-3,3)),""))</f>
        <v/>
      </c>
      <c r="X164" s="33">
        <f>IF(W164="","",P164&amp;"|"&amp;W164)</f>
        <v/>
      </c>
      <c r="Y164" s="33">
        <f>IF(W164="","",IF(P164="À RENSEIGNER","GIC",P164)&amp;"-"&amp;TEXT(W164,"000"))</f>
        <v/>
      </c>
      <c r="Z164" s="33">
        <f>IF(X164="","",IFERROR(INDEX(Cl_nom,MATCH(X164,Cl_cle,0)),"(client introuvable)"))</f>
        <v/>
      </c>
      <c r="AA164" s="33">
        <f>IF(X164="","",IFERROR(INDEX(Cl_quartier,MATCH(X164,Cl_cle,0))&amp;"",""))</f>
        <v/>
      </c>
      <c r="AB164" s="45">
        <f>IF(R164&lt;&gt;"Livrée",0,IF(K164&lt;&gt;"",K164,C164))</f>
        <v/>
      </c>
      <c r="AC164" s="33">
        <f>IF(OR(C164="",W164=""),"",P164&amp;"|"&amp;W164&amp;"|"&amp;C164&amp;"|"&amp;E164)</f>
        <v/>
      </c>
      <c r="AD164" s="39">
        <f>IF(AC164="","",IF(COUNTIF(AC$6:AC164,AC164)=1,1,0))</f>
        <v/>
      </c>
      <c r="AE164" s="39">
        <f>IF(AB164=0,"",IF(COUNTIFS(X$6:X164,X164,AB$6:AB164,AB164)=1,1,0))</f>
        <v/>
      </c>
      <c r="AF164" s="34">
        <f>IF(C164="","",YEAR(C164-WEEKDAY(C164,2)+4)&amp;"-S"&amp;TEXT(INT((C164-DATE(YEAR(C164-WEEKDAY(C164,2)+4),1,3)+WEEKDAY(DATE(YEAR(C164-WEEKDAY(C164,2)+4),1,3),2)+5)/7),"00"))</f>
        <v/>
      </c>
    </row>
    <row r="165" ht="18" customHeight="1">
      <c r="A165" s="39" t="n">
        <v>160</v>
      </c>
      <c r="B165" s="33">
        <f>IF(C165="","",IF(P165="À RENSEIGNER","GIC",P165)&amp;"-C"&amp;TEXT(A165,"00000"))</f>
        <v/>
      </c>
      <c r="C165" s="32" t="n"/>
      <c r="D165" s="36" t="n"/>
      <c r="E165" s="36" t="n"/>
      <c r="F165" s="36" t="n"/>
      <c r="G165" s="42" t="n"/>
      <c r="H165" s="37" t="n"/>
      <c r="I165" s="37" t="n"/>
      <c r="J165" s="32" t="n"/>
      <c r="K165" s="32" t="n"/>
      <c r="L165" s="43" t="n"/>
      <c r="M165" s="36" t="n"/>
      <c r="N165" s="44" t="n"/>
      <c r="O165" s="36" t="n"/>
      <c r="P165" s="33">
        <f>IF(C165="","",Commercial_Id)</f>
        <v/>
      </c>
      <c r="Q165" s="34">
        <f>IF(AC165="","",IF(AD165=1,"C"&amp;TEXT(SUM(AD$6:AD165),"0000"),INDEX(Q$6:Q164,MATCH(AC165,AC$6:AC164,0))))</f>
        <v/>
      </c>
      <c r="R165" s="34">
        <f>IF(C165="","",IF(L165="☑ Oui","Annulée",IF(OR(E165="Vente directe",K165&lt;&gt;""),"Livrée",IF(J165&lt;&gt;"","Confirmée","En attente"))))</f>
        <v/>
      </c>
      <c r="S165" s="34">
        <f>IF(F165="","",IFERROR(VLOOKUP(F165,T_Produits,2,FALSE),""))</f>
        <v/>
      </c>
      <c r="T165" s="40">
        <f>IF(F165="","",IFERROR(1/(1/VLOOKUP(F165,T_Produits,3,FALSE)),""))</f>
        <v/>
      </c>
      <c r="U165" s="40">
        <f>IF(H165&lt;&gt;"",H165,T165)</f>
        <v/>
      </c>
      <c r="V165" s="40">
        <f>IF(OR(G165="",U165=""),"",G165*U165-N(I165))</f>
        <v/>
      </c>
      <c r="W165" s="39">
        <f>IF(D165="","",IFERROR(VALUE(MID(D165,LEN(D165)-3,3)),""))</f>
        <v/>
      </c>
      <c r="X165" s="33">
        <f>IF(W165="","",P165&amp;"|"&amp;W165)</f>
        <v/>
      </c>
      <c r="Y165" s="33">
        <f>IF(W165="","",IF(P165="À RENSEIGNER","GIC",P165)&amp;"-"&amp;TEXT(W165,"000"))</f>
        <v/>
      </c>
      <c r="Z165" s="33">
        <f>IF(X165="","",IFERROR(INDEX(Cl_nom,MATCH(X165,Cl_cle,0)),"(client introuvable)"))</f>
        <v/>
      </c>
      <c r="AA165" s="33">
        <f>IF(X165="","",IFERROR(INDEX(Cl_quartier,MATCH(X165,Cl_cle,0))&amp;"",""))</f>
        <v/>
      </c>
      <c r="AB165" s="45">
        <f>IF(R165&lt;&gt;"Livrée",0,IF(K165&lt;&gt;"",K165,C165))</f>
        <v/>
      </c>
      <c r="AC165" s="33">
        <f>IF(OR(C165="",W165=""),"",P165&amp;"|"&amp;W165&amp;"|"&amp;C165&amp;"|"&amp;E165)</f>
        <v/>
      </c>
      <c r="AD165" s="39">
        <f>IF(AC165="","",IF(COUNTIF(AC$6:AC165,AC165)=1,1,0))</f>
        <v/>
      </c>
      <c r="AE165" s="39">
        <f>IF(AB165=0,"",IF(COUNTIFS(X$6:X165,X165,AB$6:AB165,AB165)=1,1,0))</f>
        <v/>
      </c>
      <c r="AF165" s="34">
        <f>IF(C165="","",YEAR(C165-WEEKDAY(C165,2)+4)&amp;"-S"&amp;TEXT(INT((C165-DATE(YEAR(C165-WEEKDAY(C165,2)+4),1,3)+WEEKDAY(DATE(YEAR(C165-WEEKDAY(C165,2)+4),1,3),2)+5)/7),"00"))</f>
        <v/>
      </c>
    </row>
    <row r="166" ht="18" customHeight="1">
      <c r="A166" s="39" t="n">
        <v>161</v>
      </c>
      <c r="B166" s="33">
        <f>IF(C166="","",IF(P166="À RENSEIGNER","GIC",P166)&amp;"-C"&amp;TEXT(A166,"00000"))</f>
        <v/>
      </c>
      <c r="C166" s="32" t="n"/>
      <c r="D166" s="36" t="n"/>
      <c r="E166" s="36" t="n"/>
      <c r="F166" s="36" t="n"/>
      <c r="G166" s="42" t="n"/>
      <c r="H166" s="37" t="n"/>
      <c r="I166" s="37" t="n"/>
      <c r="J166" s="32" t="n"/>
      <c r="K166" s="32" t="n"/>
      <c r="L166" s="43" t="n"/>
      <c r="M166" s="36" t="n"/>
      <c r="N166" s="44" t="n"/>
      <c r="O166" s="36" t="n"/>
      <c r="P166" s="33">
        <f>IF(C166="","",Commercial_Id)</f>
        <v/>
      </c>
      <c r="Q166" s="34">
        <f>IF(AC166="","",IF(AD166=1,"C"&amp;TEXT(SUM(AD$6:AD166),"0000"),INDEX(Q$6:Q165,MATCH(AC166,AC$6:AC165,0))))</f>
        <v/>
      </c>
      <c r="R166" s="34">
        <f>IF(C166="","",IF(L166="☑ Oui","Annulée",IF(OR(E166="Vente directe",K166&lt;&gt;""),"Livrée",IF(J166&lt;&gt;"","Confirmée","En attente"))))</f>
        <v/>
      </c>
      <c r="S166" s="34">
        <f>IF(F166="","",IFERROR(VLOOKUP(F166,T_Produits,2,FALSE),""))</f>
        <v/>
      </c>
      <c r="T166" s="40">
        <f>IF(F166="","",IFERROR(1/(1/VLOOKUP(F166,T_Produits,3,FALSE)),""))</f>
        <v/>
      </c>
      <c r="U166" s="40">
        <f>IF(H166&lt;&gt;"",H166,T166)</f>
        <v/>
      </c>
      <c r="V166" s="40">
        <f>IF(OR(G166="",U166=""),"",G166*U166-N(I166))</f>
        <v/>
      </c>
      <c r="W166" s="39">
        <f>IF(D166="","",IFERROR(VALUE(MID(D166,LEN(D166)-3,3)),""))</f>
        <v/>
      </c>
      <c r="X166" s="33">
        <f>IF(W166="","",P166&amp;"|"&amp;W166)</f>
        <v/>
      </c>
      <c r="Y166" s="33">
        <f>IF(W166="","",IF(P166="À RENSEIGNER","GIC",P166)&amp;"-"&amp;TEXT(W166,"000"))</f>
        <v/>
      </c>
      <c r="Z166" s="33">
        <f>IF(X166="","",IFERROR(INDEX(Cl_nom,MATCH(X166,Cl_cle,0)),"(client introuvable)"))</f>
        <v/>
      </c>
      <c r="AA166" s="33">
        <f>IF(X166="","",IFERROR(INDEX(Cl_quartier,MATCH(X166,Cl_cle,0))&amp;"",""))</f>
        <v/>
      </c>
      <c r="AB166" s="45">
        <f>IF(R166&lt;&gt;"Livrée",0,IF(K166&lt;&gt;"",K166,C166))</f>
        <v/>
      </c>
      <c r="AC166" s="33">
        <f>IF(OR(C166="",W166=""),"",P166&amp;"|"&amp;W166&amp;"|"&amp;C166&amp;"|"&amp;E166)</f>
        <v/>
      </c>
      <c r="AD166" s="39">
        <f>IF(AC166="","",IF(COUNTIF(AC$6:AC166,AC166)=1,1,0))</f>
        <v/>
      </c>
      <c r="AE166" s="39">
        <f>IF(AB166=0,"",IF(COUNTIFS(X$6:X166,X166,AB$6:AB166,AB166)=1,1,0))</f>
        <v/>
      </c>
      <c r="AF166" s="34">
        <f>IF(C166="","",YEAR(C166-WEEKDAY(C166,2)+4)&amp;"-S"&amp;TEXT(INT((C166-DATE(YEAR(C166-WEEKDAY(C166,2)+4),1,3)+WEEKDAY(DATE(YEAR(C166-WEEKDAY(C166,2)+4),1,3),2)+5)/7),"00"))</f>
        <v/>
      </c>
    </row>
    <row r="167" ht="18" customHeight="1">
      <c r="A167" s="39" t="n">
        <v>162</v>
      </c>
      <c r="B167" s="33">
        <f>IF(C167="","",IF(P167="À RENSEIGNER","GIC",P167)&amp;"-C"&amp;TEXT(A167,"00000"))</f>
        <v/>
      </c>
      <c r="C167" s="32" t="n"/>
      <c r="D167" s="36" t="n"/>
      <c r="E167" s="36" t="n"/>
      <c r="F167" s="36" t="n"/>
      <c r="G167" s="42" t="n"/>
      <c r="H167" s="37" t="n"/>
      <c r="I167" s="37" t="n"/>
      <c r="J167" s="32" t="n"/>
      <c r="K167" s="32" t="n"/>
      <c r="L167" s="43" t="n"/>
      <c r="M167" s="36" t="n"/>
      <c r="N167" s="44" t="n"/>
      <c r="O167" s="36" t="n"/>
      <c r="P167" s="33">
        <f>IF(C167="","",Commercial_Id)</f>
        <v/>
      </c>
      <c r="Q167" s="34">
        <f>IF(AC167="","",IF(AD167=1,"C"&amp;TEXT(SUM(AD$6:AD167),"0000"),INDEX(Q$6:Q166,MATCH(AC167,AC$6:AC166,0))))</f>
        <v/>
      </c>
      <c r="R167" s="34">
        <f>IF(C167="","",IF(L167="☑ Oui","Annulée",IF(OR(E167="Vente directe",K167&lt;&gt;""),"Livrée",IF(J167&lt;&gt;"","Confirmée","En attente"))))</f>
        <v/>
      </c>
      <c r="S167" s="34">
        <f>IF(F167="","",IFERROR(VLOOKUP(F167,T_Produits,2,FALSE),""))</f>
        <v/>
      </c>
      <c r="T167" s="40">
        <f>IF(F167="","",IFERROR(1/(1/VLOOKUP(F167,T_Produits,3,FALSE)),""))</f>
        <v/>
      </c>
      <c r="U167" s="40">
        <f>IF(H167&lt;&gt;"",H167,T167)</f>
        <v/>
      </c>
      <c r="V167" s="40">
        <f>IF(OR(G167="",U167=""),"",G167*U167-N(I167))</f>
        <v/>
      </c>
      <c r="W167" s="39">
        <f>IF(D167="","",IFERROR(VALUE(MID(D167,LEN(D167)-3,3)),""))</f>
        <v/>
      </c>
      <c r="X167" s="33">
        <f>IF(W167="","",P167&amp;"|"&amp;W167)</f>
        <v/>
      </c>
      <c r="Y167" s="33">
        <f>IF(W167="","",IF(P167="À RENSEIGNER","GIC",P167)&amp;"-"&amp;TEXT(W167,"000"))</f>
        <v/>
      </c>
      <c r="Z167" s="33">
        <f>IF(X167="","",IFERROR(INDEX(Cl_nom,MATCH(X167,Cl_cle,0)),"(client introuvable)"))</f>
        <v/>
      </c>
      <c r="AA167" s="33">
        <f>IF(X167="","",IFERROR(INDEX(Cl_quartier,MATCH(X167,Cl_cle,0))&amp;"",""))</f>
        <v/>
      </c>
      <c r="AB167" s="45">
        <f>IF(R167&lt;&gt;"Livrée",0,IF(K167&lt;&gt;"",K167,C167))</f>
        <v/>
      </c>
      <c r="AC167" s="33">
        <f>IF(OR(C167="",W167=""),"",P167&amp;"|"&amp;W167&amp;"|"&amp;C167&amp;"|"&amp;E167)</f>
        <v/>
      </c>
      <c r="AD167" s="39">
        <f>IF(AC167="","",IF(COUNTIF(AC$6:AC167,AC167)=1,1,0))</f>
        <v/>
      </c>
      <c r="AE167" s="39">
        <f>IF(AB167=0,"",IF(COUNTIFS(X$6:X167,X167,AB$6:AB167,AB167)=1,1,0))</f>
        <v/>
      </c>
      <c r="AF167" s="34">
        <f>IF(C167="","",YEAR(C167-WEEKDAY(C167,2)+4)&amp;"-S"&amp;TEXT(INT((C167-DATE(YEAR(C167-WEEKDAY(C167,2)+4),1,3)+WEEKDAY(DATE(YEAR(C167-WEEKDAY(C167,2)+4),1,3),2)+5)/7),"00"))</f>
        <v/>
      </c>
    </row>
    <row r="168" ht="18" customHeight="1">
      <c r="A168" s="39" t="n">
        <v>163</v>
      </c>
      <c r="B168" s="33">
        <f>IF(C168="","",IF(P168="À RENSEIGNER","GIC",P168)&amp;"-C"&amp;TEXT(A168,"00000"))</f>
        <v/>
      </c>
      <c r="C168" s="32" t="n"/>
      <c r="D168" s="36" t="n"/>
      <c r="E168" s="36" t="n"/>
      <c r="F168" s="36" t="n"/>
      <c r="G168" s="42" t="n"/>
      <c r="H168" s="37" t="n"/>
      <c r="I168" s="37" t="n"/>
      <c r="J168" s="32" t="n"/>
      <c r="K168" s="32" t="n"/>
      <c r="L168" s="43" t="n"/>
      <c r="M168" s="36" t="n"/>
      <c r="N168" s="44" t="n"/>
      <c r="O168" s="36" t="n"/>
      <c r="P168" s="33">
        <f>IF(C168="","",Commercial_Id)</f>
        <v/>
      </c>
      <c r="Q168" s="34">
        <f>IF(AC168="","",IF(AD168=1,"C"&amp;TEXT(SUM(AD$6:AD168),"0000"),INDEX(Q$6:Q167,MATCH(AC168,AC$6:AC167,0))))</f>
        <v/>
      </c>
      <c r="R168" s="34">
        <f>IF(C168="","",IF(L168="☑ Oui","Annulée",IF(OR(E168="Vente directe",K168&lt;&gt;""),"Livrée",IF(J168&lt;&gt;"","Confirmée","En attente"))))</f>
        <v/>
      </c>
      <c r="S168" s="34">
        <f>IF(F168="","",IFERROR(VLOOKUP(F168,T_Produits,2,FALSE),""))</f>
        <v/>
      </c>
      <c r="T168" s="40">
        <f>IF(F168="","",IFERROR(1/(1/VLOOKUP(F168,T_Produits,3,FALSE)),""))</f>
        <v/>
      </c>
      <c r="U168" s="40">
        <f>IF(H168&lt;&gt;"",H168,T168)</f>
        <v/>
      </c>
      <c r="V168" s="40">
        <f>IF(OR(G168="",U168=""),"",G168*U168-N(I168))</f>
        <v/>
      </c>
      <c r="W168" s="39">
        <f>IF(D168="","",IFERROR(VALUE(MID(D168,LEN(D168)-3,3)),""))</f>
        <v/>
      </c>
      <c r="X168" s="33">
        <f>IF(W168="","",P168&amp;"|"&amp;W168)</f>
        <v/>
      </c>
      <c r="Y168" s="33">
        <f>IF(W168="","",IF(P168="À RENSEIGNER","GIC",P168)&amp;"-"&amp;TEXT(W168,"000"))</f>
        <v/>
      </c>
      <c r="Z168" s="33">
        <f>IF(X168="","",IFERROR(INDEX(Cl_nom,MATCH(X168,Cl_cle,0)),"(client introuvable)"))</f>
        <v/>
      </c>
      <c r="AA168" s="33">
        <f>IF(X168="","",IFERROR(INDEX(Cl_quartier,MATCH(X168,Cl_cle,0))&amp;"",""))</f>
        <v/>
      </c>
      <c r="AB168" s="45">
        <f>IF(R168&lt;&gt;"Livrée",0,IF(K168&lt;&gt;"",K168,C168))</f>
        <v/>
      </c>
      <c r="AC168" s="33">
        <f>IF(OR(C168="",W168=""),"",P168&amp;"|"&amp;W168&amp;"|"&amp;C168&amp;"|"&amp;E168)</f>
        <v/>
      </c>
      <c r="AD168" s="39">
        <f>IF(AC168="","",IF(COUNTIF(AC$6:AC168,AC168)=1,1,0))</f>
        <v/>
      </c>
      <c r="AE168" s="39">
        <f>IF(AB168=0,"",IF(COUNTIFS(X$6:X168,X168,AB$6:AB168,AB168)=1,1,0))</f>
        <v/>
      </c>
      <c r="AF168" s="34">
        <f>IF(C168="","",YEAR(C168-WEEKDAY(C168,2)+4)&amp;"-S"&amp;TEXT(INT((C168-DATE(YEAR(C168-WEEKDAY(C168,2)+4),1,3)+WEEKDAY(DATE(YEAR(C168-WEEKDAY(C168,2)+4),1,3),2)+5)/7),"00"))</f>
        <v/>
      </c>
    </row>
    <row r="169" ht="18" customHeight="1">
      <c r="A169" s="39" t="n">
        <v>164</v>
      </c>
      <c r="B169" s="33">
        <f>IF(C169="","",IF(P169="À RENSEIGNER","GIC",P169)&amp;"-C"&amp;TEXT(A169,"00000"))</f>
        <v/>
      </c>
      <c r="C169" s="32" t="n"/>
      <c r="D169" s="36" t="n"/>
      <c r="E169" s="36" t="n"/>
      <c r="F169" s="36" t="n"/>
      <c r="G169" s="42" t="n"/>
      <c r="H169" s="37" t="n"/>
      <c r="I169" s="37" t="n"/>
      <c r="J169" s="32" t="n"/>
      <c r="K169" s="32" t="n"/>
      <c r="L169" s="43" t="n"/>
      <c r="M169" s="36" t="n"/>
      <c r="N169" s="44" t="n"/>
      <c r="O169" s="36" t="n"/>
      <c r="P169" s="33">
        <f>IF(C169="","",Commercial_Id)</f>
        <v/>
      </c>
      <c r="Q169" s="34">
        <f>IF(AC169="","",IF(AD169=1,"C"&amp;TEXT(SUM(AD$6:AD169),"0000"),INDEX(Q$6:Q168,MATCH(AC169,AC$6:AC168,0))))</f>
        <v/>
      </c>
      <c r="R169" s="34">
        <f>IF(C169="","",IF(L169="☑ Oui","Annulée",IF(OR(E169="Vente directe",K169&lt;&gt;""),"Livrée",IF(J169&lt;&gt;"","Confirmée","En attente"))))</f>
        <v/>
      </c>
      <c r="S169" s="34">
        <f>IF(F169="","",IFERROR(VLOOKUP(F169,T_Produits,2,FALSE),""))</f>
        <v/>
      </c>
      <c r="T169" s="40">
        <f>IF(F169="","",IFERROR(1/(1/VLOOKUP(F169,T_Produits,3,FALSE)),""))</f>
        <v/>
      </c>
      <c r="U169" s="40">
        <f>IF(H169&lt;&gt;"",H169,T169)</f>
        <v/>
      </c>
      <c r="V169" s="40">
        <f>IF(OR(G169="",U169=""),"",G169*U169-N(I169))</f>
        <v/>
      </c>
      <c r="W169" s="39">
        <f>IF(D169="","",IFERROR(VALUE(MID(D169,LEN(D169)-3,3)),""))</f>
        <v/>
      </c>
      <c r="X169" s="33">
        <f>IF(W169="","",P169&amp;"|"&amp;W169)</f>
        <v/>
      </c>
      <c r="Y169" s="33">
        <f>IF(W169="","",IF(P169="À RENSEIGNER","GIC",P169)&amp;"-"&amp;TEXT(W169,"000"))</f>
        <v/>
      </c>
      <c r="Z169" s="33">
        <f>IF(X169="","",IFERROR(INDEX(Cl_nom,MATCH(X169,Cl_cle,0)),"(client introuvable)"))</f>
        <v/>
      </c>
      <c r="AA169" s="33">
        <f>IF(X169="","",IFERROR(INDEX(Cl_quartier,MATCH(X169,Cl_cle,0))&amp;"",""))</f>
        <v/>
      </c>
      <c r="AB169" s="45">
        <f>IF(R169&lt;&gt;"Livrée",0,IF(K169&lt;&gt;"",K169,C169))</f>
        <v/>
      </c>
      <c r="AC169" s="33">
        <f>IF(OR(C169="",W169=""),"",P169&amp;"|"&amp;W169&amp;"|"&amp;C169&amp;"|"&amp;E169)</f>
        <v/>
      </c>
      <c r="AD169" s="39">
        <f>IF(AC169="","",IF(COUNTIF(AC$6:AC169,AC169)=1,1,0))</f>
        <v/>
      </c>
      <c r="AE169" s="39">
        <f>IF(AB169=0,"",IF(COUNTIFS(X$6:X169,X169,AB$6:AB169,AB169)=1,1,0))</f>
        <v/>
      </c>
      <c r="AF169" s="34">
        <f>IF(C169="","",YEAR(C169-WEEKDAY(C169,2)+4)&amp;"-S"&amp;TEXT(INT((C169-DATE(YEAR(C169-WEEKDAY(C169,2)+4),1,3)+WEEKDAY(DATE(YEAR(C169-WEEKDAY(C169,2)+4),1,3),2)+5)/7),"00"))</f>
        <v/>
      </c>
    </row>
    <row r="170" ht="18" customHeight="1">
      <c r="A170" s="39" t="n">
        <v>165</v>
      </c>
      <c r="B170" s="33">
        <f>IF(C170="","",IF(P170="À RENSEIGNER","GIC",P170)&amp;"-C"&amp;TEXT(A170,"00000"))</f>
        <v/>
      </c>
      <c r="C170" s="32" t="n"/>
      <c r="D170" s="36" t="n"/>
      <c r="E170" s="36" t="n"/>
      <c r="F170" s="36" t="n"/>
      <c r="G170" s="42" t="n"/>
      <c r="H170" s="37" t="n"/>
      <c r="I170" s="37" t="n"/>
      <c r="J170" s="32" t="n"/>
      <c r="K170" s="32" t="n"/>
      <c r="L170" s="43" t="n"/>
      <c r="M170" s="36" t="n"/>
      <c r="N170" s="44" t="n"/>
      <c r="O170" s="36" t="n"/>
      <c r="P170" s="33">
        <f>IF(C170="","",Commercial_Id)</f>
        <v/>
      </c>
      <c r="Q170" s="34">
        <f>IF(AC170="","",IF(AD170=1,"C"&amp;TEXT(SUM(AD$6:AD170),"0000"),INDEX(Q$6:Q169,MATCH(AC170,AC$6:AC169,0))))</f>
        <v/>
      </c>
      <c r="R170" s="34">
        <f>IF(C170="","",IF(L170="☑ Oui","Annulée",IF(OR(E170="Vente directe",K170&lt;&gt;""),"Livrée",IF(J170&lt;&gt;"","Confirmée","En attente"))))</f>
        <v/>
      </c>
      <c r="S170" s="34">
        <f>IF(F170="","",IFERROR(VLOOKUP(F170,T_Produits,2,FALSE),""))</f>
        <v/>
      </c>
      <c r="T170" s="40">
        <f>IF(F170="","",IFERROR(1/(1/VLOOKUP(F170,T_Produits,3,FALSE)),""))</f>
        <v/>
      </c>
      <c r="U170" s="40">
        <f>IF(H170&lt;&gt;"",H170,T170)</f>
        <v/>
      </c>
      <c r="V170" s="40">
        <f>IF(OR(G170="",U170=""),"",G170*U170-N(I170))</f>
        <v/>
      </c>
      <c r="W170" s="39">
        <f>IF(D170="","",IFERROR(VALUE(MID(D170,LEN(D170)-3,3)),""))</f>
        <v/>
      </c>
      <c r="X170" s="33">
        <f>IF(W170="","",P170&amp;"|"&amp;W170)</f>
        <v/>
      </c>
      <c r="Y170" s="33">
        <f>IF(W170="","",IF(P170="À RENSEIGNER","GIC",P170)&amp;"-"&amp;TEXT(W170,"000"))</f>
        <v/>
      </c>
      <c r="Z170" s="33">
        <f>IF(X170="","",IFERROR(INDEX(Cl_nom,MATCH(X170,Cl_cle,0)),"(client introuvable)"))</f>
        <v/>
      </c>
      <c r="AA170" s="33">
        <f>IF(X170="","",IFERROR(INDEX(Cl_quartier,MATCH(X170,Cl_cle,0))&amp;"",""))</f>
        <v/>
      </c>
      <c r="AB170" s="45">
        <f>IF(R170&lt;&gt;"Livrée",0,IF(K170&lt;&gt;"",K170,C170))</f>
        <v/>
      </c>
      <c r="AC170" s="33">
        <f>IF(OR(C170="",W170=""),"",P170&amp;"|"&amp;W170&amp;"|"&amp;C170&amp;"|"&amp;E170)</f>
        <v/>
      </c>
      <c r="AD170" s="39">
        <f>IF(AC170="","",IF(COUNTIF(AC$6:AC170,AC170)=1,1,0))</f>
        <v/>
      </c>
      <c r="AE170" s="39">
        <f>IF(AB170=0,"",IF(COUNTIFS(X$6:X170,X170,AB$6:AB170,AB170)=1,1,0))</f>
        <v/>
      </c>
      <c r="AF170" s="34">
        <f>IF(C170="","",YEAR(C170-WEEKDAY(C170,2)+4)&amp;"-S"&amp;TEXT(INT((C170-DATE(YEAR(C170-WEEKDAY(C170,2)+4),1,3)+WEEKDAY(DATE(YEAR(C170-WEEKDAY(C170,2)+4),1,3),2)+5)/7),"00"))</f>
        <v/>
      </c>
    </row>
    <row r="171" ht="18" customHeight="1">
      <c r="A171" s="39" t="n">
        <v>166</v>
      </c>
      <c r="B171" s="33">
        <f>IF(C171="","",IF(P171="À RENSEIGNER","GIC",P171)&amp;"-C"&amp;TEXT(A171,"00000"))</f>
        <v/>
      </c>
      <c r="C171" s="32" t="n"/>
      <c r="D171" s="36" t="n"/>
      <c r="E171" s="36" t="n"/>
      <c r="F171" s="36" t="n"/>
      <c r="G171" s="42" t="n"/>
      <c r="H171" s="37" t="n"/>
      <c r="I171" s="37" t="n"/>
      <c r="J171" s="32" t="n"/>
      <c r="K171" s="32" t="n"/>
      <c r="L171" s="43" t="n"/>
      <c r="M171" s="36" t="n"/>
      <c r="N171" s="44" t="n"/>
      <c r="O171" s="36" t="n"/>
      <c r="P171" s="33">
        <f>IF(C171="","",Commercial_Id)</f>
        <v/>
      </c>
      <c r="Q171" s="34">
        <f>IF(AC171="","",IF(AD171=1,"C"&amp;TEXT(SUM(AD$6:AD171),"0000"),INDEX(Q$6:Q170,MATCH(AC171,AC$6:AC170,0))))</f>
        <v/>
      </c>
      <c r="R171" s="34">
        <f>IF(C171="","",IF(L171="☑ Oui","Annulée",IF(OR(E171="Vente directe",K171&lt;&gt;""),"Livrée",IF(J171&lt;&gt;"","Confirmée","En attente"))))</f>
        <v/>
      </c>
      <c r="S171" s="34">
        <f>IF(F171="","",IFERROR(VLOOKUP(F171,T_Produits,2,FALSE),""))</f>
        <v/>
      </c>
      <c r="T171" s="40">
        <f>IF(F171="","",IFERROR(1/(1/VLOOKUP(F171,T_Produits,3,FALSE)),""))</f>
        <v/>
      </c>
      <c r="U171" s="40">
        <f>IF(H171&lt;&gt;"",H171,T171)</f>
        <v/>
      </c>
      <c r="V171" s="40">
        <f>IF(OR(G171="",U171=""),"",G171*U171-N(I171))</f>
        <v/>
      </c>
      <c r="W171" s="39">
        <f>IF(D171="","",IFERROR(VALUE(MID(D171,LEN(D171)-3,3)),""))</f>
        <v/>
      </c>
      <c r="X171" s="33">
        <f>IF(W171="","",P171&amp;"|"&amp;W171)</f>
        <v/>
      </c>
      <c r="Y171" s="33">
        <f>IF(W171="","",IF(P171="À RENSEIGNER","GIC",P171)&amp;"-"&amp;TEXT(W171,"000"))</f>
        <v/>
      </c>
      <c r="Z171" s="33">
        <f>IF(X171="","",IFERROR(INDEX(Cl_nom,MATCH(X171,Cl_cle,0)),"(client introuvable)"))</f>
        <v/>
      </c>
      <c r="AA171" s="33">
        <f>IF(X171="","",IFERROR(INDEX(Cl_quartier,MATCH(X171,Cl_cle,0))&amp;"",""))</f>
        <v/>
      </c>
      <c r="AB171" s="45">
        <f>IF(R171&lt;&gt;"Livrée",0,IF(K171&lt;&gt;"",K171,C171))</f>
        <v/>
      </c>
      <c r="AC171" s="33">
        <f>IF(OR(C171="",W171=""),"",P171&amp;"|"&amp;W171&amp;"|"&amp;C171&amp;"|"&amp;E171)</f>
        <v/>
      </c>
      <c r="AD171" s="39">
        <f>IF(AC171="","",IF(COUNTIF(AC$6:AC171,AC171)=1,1,0))</f>
        <v/>
      </c>
      <c r="AE171" s="39">
        <f>IF(AB171=0,"",IF(COUNTIFS(X$6:X171,X171,AB$6:AB171,AB171)=1,1,0))</f>
        <v/>
      </c>
      <c r="AF171" s="34">
        <f>IF(C171="","",YEAR(C171-WEEKDAY(C171,2)+4)&amp;"-S"&amp;TEXT(INT((C171-DATE(YEAR(C171-WEEKDAY(C171,2)+4),1,3)+WEEKDAY(DATE(YEAR(C171-WEEKDAY(C171,2)+4),1,3),2)+5)/7),"00"))</f>
        <v/>
      </c>
    </row>
    <row r="172" ht="18" customHeight="1">
      <c r="A172" s="39" t="n">
        <v>167</v>
      </c>
      <c r="B172" s="33">
        <f>IF(C172="","",IF(P172="À RENSEIGNER","GIC",P172)&amp;"-C"&amp;TEXT(A172,"00000"))</f>
        <v/>
      </c>
      <c r="C172" s="32" t="n"/>
      <c r="D172" s="36" t="n"/>
      <c r="E172" s="36" t="n"/>
      <c r="F172" s="36" t="n"/>
      <c r="G172" s="42" t="n"/>
      <c r="H172" s="37" t="n"/>
      <c r="I172" s="37" t="n"/>
      <c r="J172" s="32" t="n"/>
      <c r="K172" s="32" t="n"/>
      <c r="L172" s="43" t="n"/>
      <c r="M172" s="36" t="n"/>
      <c r="N172" s="44" t="n"/>
      <c r="O172" s="36" t="n"/>
      <c r="P172" s="33">
        <f>IF(C172="","",Commercial_Id)</f>
        <v/>
      </c>
      <c r="Q172" s="34">
        <f>IF(AC172="","",IF(AD172=1,"C"&amp;TEXT(SUM(AD$6:AD172),"0000"),INDEX(Q$6:Q171,MATCH(AC172,AC$6:AC171,0))))</f>
        <v/>
      </c>
      <c r="R172" s="34">
        <f>IF(C172="","",IF(L172="☑ Oui","Annulée",IF(OR(E172="Vente directe",K172&lt;&gt;""),"Livrée",IF(J172&lt;&gt;"","Confirmée","En attente"))))</f>
        <v/>
      </c>
      <c r="S172" s="34">
        <f>IF(F172="","",IFERROR(VLOOKUP(F172,T_Produits,2,FALSE),""))</f>
        <v/>
      </c>
      <c r="T172" s="40">
        <f>IF(F172="","",IFERROR(1/(1/VLOOKUP(F172,T_Produits,3,FALSE)),""))</f>
        <v/>
      </c>
      <c r="U172" s="40">
        <f>IF(H172&lt;&gt;"",H172,T172)</f>
        <v/>
      </c>
      <c r="V172" s="40">
        <f>IF(OR(G172="",U172=""),"",G172*U172-N(I172))</f>
        <v/>
      </c>
      <c r="W172" s="39">
        <f>IF(D172="","",IFERROR(VALUE(MID(D172,LEN(D172)-3,3)),""))</f>
        <v/>
      </c>
      <c r="X172" s="33">
        <f>IF(W172="","",P172&amp;"|"&amp;W172)</f>
        <v/>
      </c>
      <c r="Y172" s="33">
        <f>IF(W172="","",IF(P172="À RENSEIGNER","GIC",P172)&amp;"-"&amp;TEXT(W172,"000"))</f>
        <v/>
      </c>
      <c r="Z172" s="33">
        <f>IF(X172="","",IFERROR(INDEX(Cl_nom,MATCH(X172,Cl_cle,0)),"(client introuvable)"))</f>
        <v/>
      </c>
      <c r="AA172" s="33">
        <f>IF(X172="","",IFERROR(INDEX(Cl_quartier,MATCH(X172,Cl_cle,0))&amp;"",""))</f>
        <v/>
      </c>
      <c r="AB172" s="45">
        <f>IF(R172&lt;&gt;"Livrée",0,IF(K172&lt;&gt;"",K172,C172))</f>
        <v/>
      </c>
      <c r="AC172" s="33">
        <f>IF(OR(C172="",W172=""),"",P172&amp;"|"&amp;W172&amp;"|"&amp;C172&amp;"|"&amp;E172)</f>
        <v/>
      </c>
      <c r="AD172" s="39">
        <f>IF(AC172="","",IF(COUNTIF(AC$6:AC172,AC172)=1,1,0))</f>
        <v/>
      </c>
      <c r="AE172" s="39">
        <f>IF(AB172=0,"",IF(COUNTIFS(X$6:X172,X172,AB$6:AB172,AB172)=1,1,0))</f>
        <v/>
      </c>
      <c r="AF172" s="34">
        <f>IF(C172="","",YEAR(C172-WEEKDAY(C172,2)+4)&amp;"-S"&amp;TEXT(INT((C172-DATE(YEAR(C172-WEEKDAY(C172,2)+4),1,3)+WEEKDAY(DATE(YEAR(C172-WEEKDAY(C172,2)+4),1,3),2)+5)/7),"00"))</f>
        <v/>
      </c>
    </row>
    <row r="173" ht="18" customHeight="1">
      <c r="A173" s="39" t="n">
        <v>168</v>
      </c>
      <c r="B173" s="33">
        <f>IF(C173="","",IF(P173="À RENSEIGNER","GIC",P173)&amp;"-C"&amp;TEXT(A173,"00000"))</f>
        <v/>
      </c>
      <c r="C173" s="32" t="n"/>
      <c r="D173" s="36" t="n"/>
      <c r="E173" s="36" t="n"/>
      <c r="F173" s="36" t="n"/>
      <c r="G173" s="42" t="n"/>
      <c r="H173" s="37" t="n"/>
      <c r="I173" s="37" t="n"/>
      <c r="J173" s="32" t="n"/>
      <c r="K173" s="32" t="n"/>
      <c r="L173" s="43" t="n"/>
      <c r="M173" s="36" t="n"/>
      <c r="N173" s="44" t="n"/>
      <c r="O173" s="36" t="n"/>
      <c r="P173" s="33">
        <f>IF(C173="","",Commercial_Id)</f>
        <v/>
      </c>
      <c r="Q173" s="34">
        <f>IF(AC173="","",IF(AD173=1,"C"&amp;TEXT(SUM(AD$6:AD173),"0000"),INDEX(Q$6:Q172,MATCH(AC173,AC$6:AC172,0))))</f>
        <v/>
      </c>
      <c r="R173" s="34">
        <f>IF(C173="","",IF(L173="☑ Oui","Annulée",IF(OR(E173="Vente directe",K173&lt;&gt;""),"Livrée",IF(J173&lt;&gt;"","Confirmée","En attente"))))</f>
        <v/>
      </c>
      <c r="S173" s="34">
        <f>IF(F173="","",IFERROR(VLOOKUP(F173,T_Produits,2,FALSE),""))</f>
        <v/>
      </c>
      <c r="T173" s="40">
        <f>IF(F173="","",IFERROR(1/(1/VLOOKUP(F173,T_Produits,3,FALSE)),""))</f>
        <v/>
      </c>
      <c r="U173" s="40">
        <f>IF(H173&lt;&gt;"",H173,T173)</f>
        <v/>
      </c>
      <c r="V173" s="40">
        <f>IF(OR(G173="",U173=""),"",G173*U173-N(I173))</f>
        <v/>
      </c>
      <c r="W173" s="39">
        <f>IF(D173="","",IFERROR(VALUE(MID(D173,LEN(D173)-3,3)),""))</f>
        <v/>
      </c>
      <c r="X173" s="33">
        <f>IF(W173="","",P173&amp;"|"&amp;W173)</f>
        <v/>
      </c>
      <c r="Y173" s="33">
        <f>IF(W173="","",IF(P173="À RENSEIGNER","GIC",P173)&amp;"-"&amp;TEXT(W173,"000"))</f>
        <v/>
      </c>
      <c r="Z173" s="33">
        <f>IF(X173="","",IFERROR(INDEX(Cl_nom,MATCH(X173,Cl_cle,0)),"(client introuvable)"))</f>
        <v/>
      </c>
      <c r="AA173" s="33">
        <f>IF(X173="","",IFERROR(INDEX(Cl_quartier,MATCH(X173,Cl_cle,0))&amp;"",""))</f>
        <v/>
      </c>
      <c r="AB173" s="45">
        <f>IF(R173&lt;&gt;"Livrée",0,IF(K173&lt;&gt;"",K173,C173))</f>
        <v/>
      </c>
      <c r="AC173" s="33">
        <f>IF(OR(C173="",W173=""),"",P173&amp;"|"&amp;W173&amp;"|"&amp;C173&amp;"|"&amp;E173)</f>
        <v/>
      </c>
      <c r="AD173" s="39">
        <f>IF(AC173="","",IF(COUNTIF(AC$6:AC173,AC173)=1,1,0))</f>
        <v/>
      </c>
      <c r="AE173" s="39">
        <f>IF(AB173=0,"",IF(COUNTIFS(X$6:X173,X173,AB$6:AB173,AB173)=1,1,0))</f>
        <v/>
      </c>
      <c r="AF173" s="34">
        <f>IF(C173="","",YEAR(C173-WEEKDAY(C173,2)+4)&amp;"-S"&amp;TEXT(INT((C173-DATE(YEAR(C173-WEEKDAY(C173,2)+4),1,3)+WEEKDAY(DATE(YEAR(C173-WEEKDAY(C173,2)+4),1,3),2)+5)/7),"00"))</f>
        <v/>
      </c>
    </row>
    <row r="174" ht="18" customHeight="1">
      <c r="A174" s="39" t="n">
        <v>169</v>
      </c>
      <c r="B174" s="33">
        <f>IF(C174="","",IF(P174="À RENSEIGNER","GIC",P174)&amp;"-C"&amp;TEXT(A174,"00000"))</f>
        <v/>
      </c>
      <c r="C174" s="32" t="n"/>
      <c r="D174" s="36" t="n"/>
      <c r="E174" s="36" t="n"/>
      <c r="F174" s="36" t="n"/>
      <c r="G174" s="42" t="n"/>
      <c r="H174" s="37" t="n"/>
      <c r="I174" s="37" t="n"/>
      <c r="J174" s="32" t="n"/>
      <c r="K174" s="32" t="n"/>
      <c r="L174" s="43" t="n"/>
      <c r="M174" s="36" t="n"/>
      <c r="N174" s="44" t="n"/>
      <c r="O174" s="36" t="n"/>
      <c r="P174" s="33">
        <f>IF(C174="","",Commercial_Id)</f>
        <v/>
      </c>
      <c r="Q174" s="34">
        <f>IF(AC174="","",IF(AD174=1,"C"&amp;TEXT(SUM(AD$6:AD174),"0000"),INDEX(Q$6:Q173,MATCH(AC174,AC$6:AC173,0))))</f>
        <v/>
      </c>
      <c r="R174" s="34">
        <f>IF(C174="","",IF(L174="☑ Oui","Annulée",IF(OR(E174="Vente directe",K174&lt;&gt;""),"Livrée",IF(J174&lt;&gt;"","Confirmée","En attente"))))</f>
        <v/>
      </c>
      <c r="S174" s="34">
        <f>IF(F174="","",IFERROR(VLOOKUP(F174,T_Produits,2,FALSE),""))</f>
        <v/>
      </c>
      <c r="T174" s="40">
        <f>IF(F174="","",IFERROR(1/(1/VLOOKUP(F174,T_Produits,3,FALSE)),""))</f>
        <v/>
      </c>
      <c r="U174" s="40">
        <f>IF(H174&lt;&gt;"",H174,T174)</f>
        <v/>
      </c>
      <c r="V174" s="40">
        <f>IF(OR(G174="",U174=""),"",G174*U174-N(I174))</f>
        <v/>
      </c>
      <c r="W174" s="39">
        <f>IF(D174="","",IFERROR(VALUE(MID(D174,LEN(D174)-3,3)),""))</f>
        <v/>
      </c>
      <c r="X174" s="33">
        <f>IF(W174="","",P174&amp;"|"&amp;W174)</f>
        <v/>
      </c>
      <c r="Y174" s="33">
        <f>IF(W174="","",IF(P174="À RENSEIGNER","GIC",P174)&amp;"-"&amp;TEXT(W174,"000"))</f>
        <v/>
      </c>
      <c r="Z174" s="33">
        <f>IF(X174="","",IFERROR(INDEX(Cl_nom,MATCH(X174,Cl_cle,0)),"(client introuvable)"))</f>
        <v/>
      </c>
      <c r="AA174" s="33">
        <f>IF(X174="","",IFERROR(INDEX(Cl_quartier,MATCH(X174,Cl_cle,0))&amp;"",""))</f>
        <v/>
      </c>
      <c r="AB174" s="45">
        <f>IF(R174&lt;&gt;"Livrée",0,IF(K174&lt;&gt;"",K174,C174))</f>
        <v/>
      </c>
      <c r="AC174" s="33">
        <f>IF(OR(C174="",W174=""),"",P174&amp;"|"&amp;W174&amp;"|"&amp;C174&amp;"|"&amp;E174)</f>
        <v/>
      </c>
      <c r="AD174" s="39">
        <f>IF(AC174="","",IF(COUNTIF(AC$6:AC174,AC174)=1,1,0))</f>
        <v/>
      </c>
      <c r="AE174" s="39">
        <f>IF(AB174=0,"",IF(COUNTIFS(X$6:X174,X174,AB$6:AB174,AB174)=1,1,0))</f>
        <v/>
      </c>
      <c r="AF174" s="34">
        <f>IF(C174="","",YEAR(C174-WEEKDAY(C174,2)+4)&amp;"-S"&amp;TEXT(INT((C174-DATE(YEAR(C174-WEEKDAY(C174,2)+4),1,3)+WEEKDAY(DATE(YEAR(C174-WEEKDAY(C174,2)+4),1,3),2)+5)/7),"00"))</f>
        <v/>
      </c>
    </row>
    <row r="175" ht="18" customHeight="1">
      <c r="A175" s="39" t="n">
        <v>170</v>
      </c>
      <c r="B175" s="33">
        <f>IF(C175="","",IF(P175="À RENSEIGNER","GIC",P175)&amp;"-C"&amp;TEXT(A175,"00000"))</f>
        <v/>
      </c>
      <c r="C175" s="32" t="n"/>
      <c r="D175" s="36" t="n"/>
      <c r="E175" s="36" t="n"/>
      <c r="F175" s="36" t="n"/>
      <c r="G175" s="42" t="n"/>
      <c r="H175" s="37" t="n"/>
      <c r="I175" s="37" t="n"/>
      <c r="J175" s="32" t="n"/>
      <c r="K175" s="32" t="n"/>
      <c r="L175" s="43" t="n"/>
      <c r="M175" s="36" t="n"/>
      <c r="N175" s="44" t="n"/>
      <c r="O175" s="36" t="n"/>
      <c r="P175" s="33">
        <f>IF(C175="","",Commercial_Id)</f>
        <v/>
      </c>
      <c r="Q175" s="34">
        <f>IF(AC175="","",IF(AD175=1,"C"&amp;TEXT(SUM(AD$6:AD175),"0000"),INDEX(Q$6:Q174,MATCH(AC175,AC$6:AC174,0))))</f>
        <v/>
      </c>
      <c r="R175" s="34">
        <f>IF(C175="","",IF(L175="☑ Oui","Annulée",IF(OR(E175="Vente directe",K175&lt;&gt;""),"Livrée",IF(J175&lt;&gt;"","Confirmée","En attente"))))</f>
        <v/>
      </c>
      <c r="S175" s="34">
        <f>IF(F175="","",IFERROR(VLOOKUP(F175,T_Produits,2,FALSE),""))</f>
        <v/>
      </c>
      <c r="T175" s="40">
        <f>IF(F175="","",IFERROR(1/(1/VLOOKUP(F175,T_Produits,3,FALSE)),""))</f>
        <v/>
      </c>
      <c r="U175" s="40">
        <f>IF(H175&lt;&gt;"",H175,T175)</f>
        <v/>
      </c>
      <c r="V175" s="40">
        <f>IF(OR(G175="",U175=""),"",G175*U175-N(I175))</f>
        <v/>
      </c>
      <c r="W175" s="39">
        <f>IF(D175="","",IFERROR(VALUE(MID(D175,LEN(D175)-3,3)),""))</f>
        <v/>
      </c>
      <c r="X175" s="33">
        <f>IF(W175="","",P175&amp;"|"&amp;W175)</f>
        <v/>
      </c>
      <c r="Y175" s="33">
        <f>IF(W175="","",IF(P175="À RENSEIGNER","GIC",P175)&amp;"-"&amp;TEXT(W175,"000"))</f>
        <v/>
      </c>
      <c r="Z175" s="33">
        <f>IF(X175="","",IFERROR(INDEX(Cl_nom,MATCH(X175,Cl_cle,0)),"(client introuvable)"))</f>
        <v/>
      </c>
      <c r="AA175" s="33">
        <f>IF(X175="","",IFERROR(INDEX(Cl_quartier,MATCH(X175,Cl_cle,0))&amp;"",""))</f>
        <v/>
      </c>
      <c r="AB175" s="45">
        <f>IF(R175&lt;&gt;"Livrée",0,IF(K175&lt;&gt;"",K175,C175))</f>
        <v/>
      </c>
      <c r="AC175" s="33">
        <f>IF(OR(C175="",W175=""),"",P175&amp;"|"&amp;W175&amp;"|"&amp;C175&amp;"|"&amp;E175)</f>
        <v/>
      </c>
      <c r="AD175" s="39">
        <f>IF(AC175="","",IF(COUNTIF(AC$6:AC175,AC175)=1,1,0))</f>
        <v/>
      </c>
      <c r="AE175" s="39">
        <f>IF(AB175=0,"",IF(COUNTIFS(X$6:X175,X175,AB$6:AB175,AB175)=1,1,0))</f>
        <v/>
      </c>
      <c r="AF175" s="34">
        <f>IF(C175="","",YEAR(C175-WEEKDAY(C175,2)+4)&amp;"-S"&amp;TEXT(INT((C175-DATE(YEAR(C175-WEEKDAY(C175,2)+4),1,3)+WEEKDAY(DATE(YEAR(C175-WEEKDAY(C175,2)+4),1,3),2)+5)/7),"00"))</f>
        <v/>
      </c>
    </row>
    <row r="176" ht="18" customHeight="1">
      <c r="A176" s="39" t="n">
        <v>171</v>
      </c>
      <c r="B176" s="33">
        <f>IF(C176="","",IF(P176="À RENSEIGNER","GIC",P176)&amp;"-C"&amp;TEXT(A176,"00000"))</f>
        <v/>
      </c>
      <c r="C176" s="32" t="n"/>
      <c r="D176" s="36" t="n"/>
      <c r="E176" s="36" t="n"/>
      <c r="F176" s="36" t="n"/>
      <c r="G176" s="42" t="n"/>
      <c r="H176" s="37" t="n"/>
      <c r="I176" s="37" t="n"/>
      <c r="J176" s="32" t="n"/>
      <c r="K176" s="32" t="n"/>
      <c r="L176" s="43" t="n"/>
      <c r="M176" s="36" t="n"/>
      <c r="N176" s="44" t="n"/>
      <c r="O176" s="36" t="n"/>
      <c r="P176" s="33">
        <f>IF(C176="","",Commercial_Id)</f>
        <v/>
      </c>
      <c r="Q176" s="34">
        <f>IF(AC176="","",IF(AD176=1,"C"&amp;TEXT(SUM(AD$6:AD176),"0000"),INDEX(Q$6:Q175,MATCH(AC176,AC$6:AC175,0))))</f>
        <v/>
      </c>
      <c r="R176" s="34">
        <f>IF(C176="","",IF(L176="☑ Oui","Annulée",IF(OR(E176="Vente directe",K176&lt;&gt;""),"Livrée",IF(J176&lt;&gt;"","Confirmée","En attente"))))</f>
        <v/>
      </c>
      <c r="S176" s="34">
        <f>IF(F176="","",IFERROR(VLOOKUP(F176,T_Produits,2,FALSE),""))</f>
        <v/>
      </c>
      <c r="T176" s="40">
        <f>IF(F176="","",IFERROR(1/(1/VLOOKUP(F176,T_Produits,3,FALSE)),""))</f>
        <v/>
      </c>
      <c r="U176" s="40">
        <f>IF(H176&lt;&gt;"",H176,T176)</f>
        <v/>
      </c>
      <c r="V176" s="40">
        <f>IF(OR(G176="",U176=""),"",G176*U176-N(I176))</f>
        <v/>
      </c>
      <c r="W176" s="39">
        <f>IF(D176="","",IFERROR(VALUE(MID(D176,LEN(D176)-3,3)),""))</f>
        <v/>
      </c>
      <c r="X176" s="33">
        <f>IF(W176="","",P176&amp;"|"&amp;W176)</f>
        <v/>
      </c>
      <c r="Y176" s="33">
        <f>IF(W176="","",IF(P176="À RENSEIGNER","GIC",P176)&amp;"-"&amp;TEXT(W176,"000"))</f>
        <v/>
      </c>
      <c r="Z176" s="33">
        <f>IF(X176="","",IFERROR(INDEX(Cl_nom,MATCH(X176,Cl_cle,0)),"(client introuvable)"))</f>
        <v/>
      </c>
      <c r="AA176" s="33">
        <f>IF(X176="","",IFERROR(INDEX(Cl_quartier,MATCH(X176,Cl_cle,0))&amp;"",""))</f>
        <v/>
      </c>
      <c r="AB176" s="45">
        <f>IF(R176&lt;&gt;"Livrée",0,IF(K176&lt;&gt;"",K176,C176))</f>
        <v/>
      </c>
      <c r="AC176" s="33">
        <f>IF(OR(C176="",W176=""),"",P176&amp;"|"&amp;W176&amp;"|"&amp;C176&amp;"|"&amp;E176)</f>
        <v/>
      </c>
      <c r="AD176" s="39">
        <f>IF(AC176="","",IF(COUNTIF(AC$6:AC176,AC176)=1,1,0))</f>
        <v/>
      </c>
      <c r="AE176" s="39">
        <f>IF(AB176=0,"",IF(COUNTIFS(X$6:X176,X176,AB$6:AB176,AB176)=1,1,0))</f>
        <v/>
      </c>
      <c r="AF176" s="34">
        <f>IF(C176="","",YEAR(C176-WEEKDAY(C176,2)+4)&amp;"-S"&amp;TEXT(INT((C176-DATE(YEAR(C176-WEEKDAY(C176,2)+4),1,3)+WEEKDAY(DATE(YEAR(C176-WEEKDAY(C176,2)+4),1,3),2)+5)/7),"00"))</f>
        <v/>
      </c>
    </row>
    <row r="177" ht="18" customHeight="1">
      <c r="A177" s="39" t="n">
        <v>172</v>
      </c>
      <c r="B177" s="33">
        <f>IF(C177="","",IF(P177="À RENSEIGNER","GIC",P177)&amp;"-C"&amp;TEXT(A177,"00000"))</f>
        <v/>
      </c>
      <c r="C177" s="32" t="n"/>
      <c r="D177" s="36" t="n"/>
      <c r="E177" s="36" t="n"/>
      <c r="F177" s="36" t="n"/>
      <c r="G177" s="42" t="n"/>
      <c r="H177" s="37" t="n"/>
      <c r="I177" s="37" t="n"/>
      <c r="J177" s="32" t="n"/>
      <c r="K177" s="32" t="n"/>
      <c r="L177" s="43" t="n"/>
      <c r="M177" s="36" t="n"/>
      <c r="N177" s="44" t="n"/>
      <c r="O177" s="36" t="n"/>
      <c r="P177" s="33">
        <f>IF(C177="","",Commercial_Id)</f>
        <v/>
      </c>
      <c r="Q177" s="34">
        <f>IF(AC177="","",IF(AD177=1,"C"&amp;TEXT(SUM(AD$6:AD177),"0000"),INDEX(Q$6:Q176,MATCH(AC177,AC$6:AC176,0))))</f>
        <v/>
      </c>
      <c r="R177" s="34">
        <f>IF(C177="","",IF(L177="☑ Oui","Annulée",IF(OR(E177="Vente directe",K177&lt;&gt;""),"Livrée",IF(J177&lt;&gt;"","Confirmée","En attente"))))</f>
        <v/>
      </c>
      <c r="S177" s="34">
        <f>IF(F177="","",IFERROR(VLOOKUP(F177,T_Produits,2,FALSE),""))</f>
        <v/>
      </c>
      <c r="T177" s="40">
        <f>IF(F177="","",IFERROR(1/(1/VLOOKUP(F177,T_Produits,3,FALSE)),""))</f>
        <v/>
      </c>
      <c r="U177" s="40">
        <f>IF(H177&lt;&gt;"",H177,T177)</f>
        <v/>
      </c>
      <c r="V177" s="40">
        <f>IF(OR(G177="",U177=""),"",G177*U177-N(I177))</f>
        <v/>
      </c>
      <c r="W177" s="39">
        <f>IF(D177="","",IFERROR(VALUE(MID(D177,LEN(D177)-3,3)),""))</f>
        <v/>
      </c>
      <c r="X177" s="33">
        <f>IF(W177="","",P177&amp;"|"&amp;W177)</f>
        <v/>
      </c>
      <c r="Y177" s="33">
        <f>IF(W177="","",IF(P177="À RENSEIGNER","GIC",P177)&amp;"-"&amp;TEXT(W177,"000"))</f>
        <v/>
      </c>
      <c r="Z177" s="33">
        <f>IF(X177="","",IFERROR(INDEX(Cl_nom,MATCH(X177,Cl_cle,0)),"(client introuvable)"))</f>
        <v/>
      </c>
      <c r="AA177" s="33">
        <f>IF(X177="","",IFERROR(INDEX(Cl_quartier,MATCH(X177,Cl_cle,0))&amp;"",""))</f>
        <v/>
      </c>
      <c r="AB177" s="45">
        <f>IF(R177&lt;&gt;"Livrée",0,IF(K177&lt;&gt;"",K177,C177))</f>
        <v/>
      </c>
      <c r="AC177" s="33">
        <f>IF(OR(C177="",W177=""),"",P177&amp;"|"&amp;W177&amp;"|"&amp;C177&amp;"|"&amp;E177)</f>
        <v/>
      </c>
      <c r="AD177" s="39">
        <f>IF(AC177="","",IF(COUNTIF(AC$6:AC177,AC177)=1,1,0))</f>
        <v/>
      </c>
      <c r="AE177" s="39">
        <f>IF(AB177=0,"",IF(COUNTIFS(X$6:X177,X177,AB$6:AB177,AB177)=1,1,0))</f>
        <v/>
      </c>
      <c r="AF177" s="34">
        <f>IF(C177="","",YEAR(C177-WEEKDAY(C177,2)+4)&amp;"-S"&amp;TEXT(INT((C177-DATE(YEAR(C177-WEEKDAY(C177,2)+4),1,3)+WEEKDAY(DATE(YEAR(C177-WEEKDAY(C177,2)+4),1,3),2)+5)/7),"00"))</f>
        <v/>
      </c>
    </row>
    <row r="178" ht="18" customHeight="1">
      <c r="A178" s="39" t="n">
        <v>173</v>
      </c>
      <c r="B178" s="33">
        <f>IF(C178="","",IF(P178="À RENSEIGNER","GIC",P178)&amp;"-C"&amp;TEXT(A178,"00000"))</f>
        <v/>
      </c>
      <c r="C178" s="32" t="n"/>
      <c r="D178" s="36" t="n"/>
      <c r="E178" s="36" t="n"/>
      <c r="F178" s="36" t="n"/>
      <c r="G178" s="42" t="n"/>
      <c r="H178" s="37" t="n"/>
      <c r="I178" s="37" t="n"/>
      <c r="J178" s="32" t="n"/>
      <c r="K178" s="32" t="n"/>
      <c r="L178" s="43" t="n"/>
      <c r="M178" s="36" t="n"/>
      <c r="N178" s="44" t="n"/>
      <c r="O178" s="36" t="n"/>
      <c r="P178" s="33">
        <f>IF(C178="","",Commercial_Id)</f>
        <v/>
      </c>
      <c r="Q178" s="34">
        <f>IF(AC178="","",IF(AD178=1,"C"&amp;TEXT(SUM(AD$6:AD178),"0000"),INDEX(Q$6:Q177,MATCH(AC178,AC$6:AC177,0))))</f>
        <v/>
      </c>
      <c r="R178" s="34">
        <f>IF(C178="","",IF(L178="☑ Oui","Annulée",IF(OR(E178="Vente directe",K178&lt;&gt;""),"Livrée",IF(J178&lt;&gt;"","Confirmée","En attente"))))</f>
        <v/>
      </c>
      <c r="S178" s="34">
        <f>IF(F178="","",IFERROR(VLOOKUP(F178,T_Produits,2,FALSE),""))</f>
        <v/>
      </c>
      <c r="T178" s="40">
        <f>IF(F178="","",IFERROR(1/(1/VLOOKUP(F178,T_Produits,3,FALSE)),""))</f>
        <v/>
      </c>
      <c r="U178" s="40">
        <f>IF(H178&lt;&gt;"",H178,T178)</f>
        <v/>
      </c>
      <c r="V178" s="40">
        <f>IF(OR(G178="",U178=""),"",G178*U178-N(I178))</f>
        <v/>
      </c>
      <c r="W178" s="39">
        <f>IF(D178="","",IFERROR(VALUE(MID(D178,LEN(D178)-3,3)),""))</f>
        <v/>
      </c>
      <c r="X178" s="33">
        <f>IF(W178="","",P178&amp;"|"&amp;W178)</f>
        <v/>
      </c>
      <c r="Y178" s="33">
        <f>IF(W178="","",IF(P178="À RENSEIGNER","GIC",P178)&amp;"-"&amp;TEXT(W178,"000"))</f>
        <v/>
      </c>
      <c r="Z178" s="33">
        <f>IF(X178="","",IFERROR(INDEX(Cl_nom,MATCH(X178,Cl_cle,0)),"(client introuvable)"))</f>
        <v/>
      </c>
      <c r="AA178" s="33">
        <f>IF(X178="","",IFERROR(INDEX(Cl_quartier,MATCH(X178,Cl_cle,0))&amp;"",""))</f>
        <v/>
      </c>
      <c r="AB178" s="45">
        <f>IF(R178&lt;&gt;"Livrée",0,IF(K178&lt;&gt;"",K178,C178))</f>
        <v/>
      </c>
      <c r="AC178" s="33">
        <f>IF(OR(C178="",W178=""),"",P178&amp;"|"&amp;W178&amp;"|"&amp;C178&amp;"|"&amp;E178)</f>
        <v/>
      </c>
      <c r="AD178" s="39">
        <f>IF(AC178="","",IF(COUNTIF(AC$6:AC178,AC178)=1,1,0))</f>
        <v/>
      </c>
      <c r="AE178" s="39">
        <f>IF(AB178=0,"",IF(COUNTIFS(X$6:X178,X178,AB$6:AB178,AB178)=1,1,0))</f>
        <v/>
      </c>
      <c r="AF178" s="34">
        <f>IF(C178="","",YEAR(C178-WEEKDAY(C178,2)+4)&amp;"-S"&amp;TEXT(INT((C178-DATE(YEAR(C178-WEEKDAY(C178,2)+4),1,3)+WEEKDAY(DATE(YEAR(C178-WEEKDAY(C178,2)+4),1,3),2)+5)/7),"00"))</f>
        <v/>
      </c>
    </row>
    <row r="179" ht="18" customHeight="1">
      <c r="A179" s="39" t="n">
        <v>174</v>
      </c>
      <c r="B179" s="33">
        <f>IF(C179="","",IF(P179="À RENSEIGNER","GIC",P179)&amp;"-C"&amp;TEXT(A179,"00000"))</f>
        <v/>
      </c>
      <c r="C179" s="32" t="n"/>
      <c r="D179" s="36" t="n"/>
      <c r="E179" s="36" t="n"/>
      <c r="F179" s="36" t="n"/>
      <c r="G179" s="42" t="n"/>
      <c r="H179" s="37" t="n"/>
      <c r="I179" s="37" t="n"/>
      <c r="J179" s="32" t="n"/>
      <c r="K179" s="32" t="n"/>
      <c r="L179" s="43" t="n"/>
      <c r="M179" s="36" t="n"/>
      <c r="N179" s="44" t="n"/>
      <c r="O179" s="36" t="n"/>
      <c r="P179" s="33">
        <f>IF(C179="","",Commercial_Id)</f>
        <v/>
      </c>
      <c r="Q179" s="34">
        <f>IF(AC179="","",IF(AD179=1,"C"&amp;TEXT(SUM(AD$6:AD179),"0000"),INDEX(Q$6:Q178,MATCH(AC179,AC$6:AC178,0))))</f>
        <v/>
      </c>
      <c r="R179" s="34">
        <f>IF(C179="","",IF(L179="☑ Oui","Annulée",IF(OR(E179="Vente directe",K179&lt;&gt;""),"Livrée",IF(J179&lt;&gt;"","Confirmée","En attente"))))</f>
        <v/>
      </c>
      <c r="S179" s="34">
        <f>IF(F179="","",IFERROR(VLOOKUP(F179,T_Produits,2,FALSE),""))</f>
        <v/>
      </c>
      <c r="T179" s="40">
        <f>IF(F179="","",IFERROR(1/(1/VLOOKUP(F179,T_Produits,3,FALSE)),""))</f>
        <v/>
      </c>
      <c r="U179" s="40">
        <f>IF(H179&lt;&gt;"",H179,T179)</f>
        <v/>
      </c>
      <c r="V179" s="40">
        <f>IF(OR(G179="",U179=""),"",G179*U179-N(I179))</f>
        <v/>
      </c>
      <c r="W179" s="39">
        <f>IF(D179="","",IFERROR(VALUE(MID(D179,LEN(D179)-3,3)),""))</f>
        <v/>
      </c>
      <c r="X179" s="33">
        <f>IF(W179="","",P179&amp;"|"&amp;W179)</f>
        <v/>
      </c>
      <c r="Y179" s="33">
        <f>IF(W179="","",IF(P179="À RENSEIGNER","GIC",P179)&amp;"-"&amp;TEXT(W179,"000"))</f>
        <v/>
      </c>
      <c r="Z179" s="33">
        <f>IF(X179="","",IFERROR(INDEX(Cl_nom,MATCH(X179,Cl_cle,0)),"(client introuvable)"))</f>
        <v/>
      </c>
      <c r="AA179" s="33">
        <f>IF(X179="","",IFERROR(INDEX(Cl_quartier,MATCH(X179,Cl_cle,0))&amp;"",""))</f>
        <v/>
      </c>
      <c r="AB179" s="45">
        <f>IF(R179&lt;&gt;"Livrée",0,IF(K179&lt;&gt;"",K179,C179))</f>
        <v/>
      </c>
      <c r="AC179" s="33">
        <f>IF(OR(C179="",W179=""),"",P179&amp;"|"&amp;W179&amp;"|"&amp;C179&amp;"|"&amp;E179)</f>
        <v/>
      </c>
      <c r="AD179" s="39">
        <f>IF(AC179="","",IF(COUNTIF(AC$6:AC179,AC179)=1,1,0))</f>
        <v/>
      </c>
      <c r="AE179" s="39">
        <f>IF(AB179=0,"",IF(COUNTIFS(X$6:X179,X179,AB$6:AB179,AB179)=1,1,0))</f>
        <v/>
      </c>
      <c r="AF179" s="34">
        <f>IF(C179="","",YEAR(C179-WEEKDAY(C179,2)+4)&amp;"-S"&amp;TEXT(INT((C179-DATE(YEAR(C179-WEEKDAY(C179,2)+4),1,3)+WEEKDAY(DATE(YEAR(C179-WEEKDAY(C179,2)+4),1,3),2)+5)/7),"00"))</f>
        <v/>
      </c>
    </row>
    <row r="180" ht="18" customHeight="1">
      <c r="A180" s="39" t="n">
        <v>175</v>
      </c>
      <c r="B180" s="33">
        <f>IF(C180="","",IF(P180="À RENSEIGNER","GIC",P180)&amp;"-C"&amp;TEXT(A180,"00000"))</f>
        <v/>
      </c>
      <c r="C180" s="32" t="n"/>
      <c r="D180" s="36" t="n"/>
      <c r="E180" s="36" t="n"/>
      <c r="F180" s="36" t="n"/>
      <c r="G180" s="42" t="n"/>
      <c r="H180" s="37" t="n"/>
      <c r="I180" s="37" t="n"/>
      <c r="J180" s="32" t="n"/>
      <c r="K180" s="32" t="n"/>
      <c r="L180" s="43" t="n"/>
      <c r="M180" s="36" t="n"/>
      <c r="N180" s="44" t="n"/>
      <c r="O180" s="36" t="n"/>
      <c r="P180" s="33">
        <f>IF(C180="","",Commercial_Id)</f>
        <v/>
      </c>
      <c r="Q180" s="34">
        <f>IF(AC180="","",IF(AD180=1,"C"&amp;TEXT(SUM(AD$6:AD180),"0000"),INDEX(Q$6:Q179,MATCH(AC180,AC$6:AC179,0))))</f>
        <v/>
      </c>
      <c r="R180" s="34">
        <f>IF(C180="","",IF(L180="☑ Oui","Annulée",IF(OR(E180="Vente directe",K180&lt;&gt;""),"Livrée",IF(J180&lt;&gt;"","Confirmée","En attente"))))</f>
        <v/>
      </c>
      <c r="S180" s="34">
        <f>IF(F180="","",IFERROR(VLOOKUP(F180,T_Produits,2,FALSE),""))</f>
        <v/>
      </c>
      <c r="T180" s="40">
        <f>IF(F180="","",IFERROR(1/(1/VLOOKUP(F180,T_Produits,3,FALSE)),""))</f>
        <v/>
      </c>
      <c r="U180" s="40">
        <f>IF(H180&lt;&gt;"",H180,T180)</f>
        <v/>
      </c>
      <c r="V180" s="40">
        <f>IF(OR(G180="",U180=""),"",G180*U180-N(I180))</f>
        <v/>
      </c>
      <c r="W180" s="39">
        <f>IF(D180="","",IFERROR(VALUE(MID(D180,LEN(D180)-3,3)),""))</f>
        <v/>
      </c>
      <c r="X180" s="33">
        <f>IF(W180="","",P180&amp;"|"&amp;W180)</f>
        <v/>
      </c>
      <c r="Y180" s="33">
        <f>IF(W180="","",IF(P180="À RENSEIGNER","GIC",P180)&amp;"-"&amp;TEXT(W180,"000"))</f>
        <v/>
      </c>
      <c r="Z180" s="33">
        <f>IF(X180="","",IFERROR(INDEX(Cl_nom,MATCH(X180,Cl_cle,0)),"(client introuvable)"))</f>
        <v/>
      </c>
      <c r="AA180" s="33">
        <f>IF(X180="","",IFERROR(INDEX(Cl_quartier,MATCH(X180,Cl_cle,0))&amp;"",""))</f>
        <v/>
      </c>
      <c r="AB180" s="45">
        <f>IF(R180&lt;&gt;"Livrée",0,IF(K180&lt;&gt;"",K180,C180))</f>
        <v/>
      </c>
      <c r="AC180" s="33">
        <f>IF(OR(C180="",W180=""),"",P180&amp;"|"&amp;W180&amp;"|"&amp;C180&amp;"|"&amp;E180)</f>
        <v/>
      </c>
      <c r="AD180" s="39">
        <f>IF(AC180="","",IF(COUNTIF(AC$6:AC180,AC180)=1,1,0))</f>
        <v/>
      </c>
      <c r="AE180" s="39">
        <f>IF(AB180=0,"",IF(COUNTIFS(X$6:X180,X180,AB$6:AB180,AB180)=1,1,0))</f>
        <v/>
      </c>
      <c r="AF180" s="34">
        <f>IF(C180="","",YEAR(C180-WEEKDAY(C180,2)+4)&amp;"-S"&amp;TEXT(INT((C180-DATE(YEAR(C180-WEEKDAY(C180,2)+4),1,3)+WEEKDAY(DATE(YEAR(C180-WEEKDAY(C180,2)+4),1,3),2)+5)/7),"00"))</f>
        <v/>
      </c>
    </row>
    <row r="181" ht="18" customHeight="1">
      <c r="A181" s="39" t="n">
        <v>176</v>
      </c>
      <c r="B181" s="33">
        <f>IF(C181="","",IF(P181="À RENSEIGNER","GIC",P181)&amp;"-C"&amp;TEXT(A181,"00000"))</f>
        <v/>
      </c>
      <c r="C181" s="32" t="n"/>
      <c r="D181" s="36" t="n"/>
      <c r="E181" s="36" t="n"/>
      <c r="F181" s="36" t="n"/>
      <c r="G181" s="42" t="n"/>
      <c r="H181" s="37" t="n"/>
      <c r="I181" s="37" t="n"/>
      <c r="J181" s="32" t="n"/>
      <c r="K181" s="32" t="n"/>
      <c r="L181" s="43" t="n"/>
      <c r="M181" s="36" t="n"/>
      <c r="N181" s="44" t="n"/>
      <c r="O181" s="36" t="n"/>
      <c r="P181" s="33">
        <f>IF(C181="","",Commercial_Id)</f>
        <v/>
      </c>
      <c r="Q181" s="34">
        <f>IF(AC181="","",IF(AD181=1,"C"&amp;TEXT(SUM(AD$6:AD181),"0000"),INDEX(Q$6:Q180,MATCH(AC181,AC$6:AC180,0))))</f>
        <v/>
      </c>
      <c r="R181" s="34">
        <f>IF(C181="","",IF(L181="☑ Oui","Annulée",IF(OR(E181="Vente directe",K181&lt;&gt;""),"Livrée",IF(J181&lt;&gt;"","Confirmée","En attente"))))</f>
        <v/>
      </c>
      <c r="S181" s="34">
        <f>IF(F181="","",IFERROR(VLOOKUP(F181,T_Produits,2,FALSE),""))</f>
        <v/>
      </c>
      <c r="T181" s="40">
        <f>IF(F181="","",IFERROR(1/(1/VLOOKUP(F181,T_Produits,3,FALSE)),""))</f>
        <v/>
      </c>
      <c r="U181" s="40">
        <f>IF(H181&lt;&gt;"",H181,T181)</f>
        <v/>
      </c>
      <c r="V181" s="40">
        <f>IF(OR(G181="",U181=""),"",G181*U181-N(I181))</f>
        <v/>
      </c>
      <c r="W181" s="39">
        <f>IF(D181="","",IFERROR(VALUE(MID(D181,LEN(D181)-3,3)),""))</f>
        <v/>
      </c>
      <c r="X181" s="33">
        <f>IF(W181="","",P181&amp;"|"&amp;W181)</f>
        <v/>
      </c>
      <c r="Y181" s="33">
        <f>IF(W181="","",IF(P181="À RENSEIGNER","GIC",P181)&amp;"-"&amp;TEXT(W181,"000"))</f>
        <v/>
      </c>
      <c r="Z181" s="33">
        <f>IF(X181="","",IFERROR(INDEX(Cl_nom,MATCH(X181,Cl_cle,0)),"(client introuvable)"))</f>
        <v/>
      </c>
      <c r="AA181" s="33">
        <f>IF(X181="","",IFERROR(INDEX(Cl_quartier,MATCH(X181,Cl_cle,0))&amp;"",""))</f>
        <v/>
      </c>
      <c r="AB181" s="45">
        <f>IF(R181&lt;&gt;"Livrée",0,IF(K181&lt;&gt;"",K181,C181))</f>
        <v/>
      </c>
      <c r="AC181" s="33">
        <f>IF(OR(C181="",W181=""),"",P181&amp;"|"&amp;W181&amp;"|"&amp;C181&amp;"|"&amp;E181)</f>
        <v/>
      </c>
      <c r="AD181" s="39">
        <f>IF(AC181="","",IF(COUNTIF(AC$6:AC181,AC181)=1,1,0))</f>
        <v/>
      </c>
      <c r="AE181" s="39">
        <f>IF(AB181=0,"",IF(COUNTIFS(X$6:X181,X181,AB$6:AB181,AB181)=1,1,0))</f>
        <v/>
      </c>
      <c r="AF181" s="34">
        <f>IF(C181="","",YEAR(C181-WEEKDAY(C181,2)+4)&amp;"-S"&amp;TEXT(INT((C181-DATE(YEAR(C181-WEEKDAY(C181,2)+4),1,3)+WEEKDAY(DATE(YEAR(C181-WEEKDAY(C181,2)+4),1,3),2)+5)/7),"00"))</f>
        <v/>
      </c>
    </row>
    <row r="182" ht="18" customHeight="1">
      <c r="A182" s="39" t="n">
        <v>177</v>
      </c>
      <c r="B182" s="33">
        <f>IF(C182="","",IF(P182="À RENSEIGNER","GIC",P182)&amp;"-C"&amp;TEXT(A182,"00000"))</f>
        <v/>
      </c>
      <c r="C182" s="32" t="n"/>
      <c r="D182" s="36" t="n"/>
      <c r="E182" s="36" t="n"/>
      <c r="F182" s="36" t="n"/>
      <c r="G182" s="42" t="n"/>
      <c r="H182" s="37" t="n"/>
      <c r="I182" s="37" t="n"/>
      <c r="J182" s="32" t="n"/>
      <c r="K182" s="32" t="n"/>
      <c r="L182" s="43" t="n"/>
      <c r="M182" s="36" t="n"/>
      <c r="N182" s="44" t="n"/>
      <c r="O182" s="36" t="n"/>
      <c r="P182" s="33">
        <f>IF(C182="","",Commercial_Id)</f>
        <v/>
      </c>
      <c r="Q182" s="34">
        <f>IF(AC182="","",IF(AD182=1,"C"&amp;TEXT(SUM(AD$6:AD182),"0000"),INDEX(Q$6:Q181,MATCH(AC182,AC$6:AC181,0))))</f>
        <v/>
      </c>
      <c r="R182" s="34">
        <f>IF(C182="","",IF(L182="☑ Oui","Annulée",IF(OR(E182="Vente directe",K182&lt;&gt;""),"Livrée",IF(J182&lt;&gt;"","Confirmée","En attente"))))</f>
        <v/>
      </c>
      <c r="S182" s="34">
        <f>IF(F182="","",IFERROR(VLOOKUP(F182,T_Produits,2,FALSE),""))</f>
        <v/>
      </c>
      <c r="T182" s="40">
        <f>IF(F182="","",IFERROR(1/(1/VLOOKUP(F182,T_Produits,3,FALSE)),""))</f>
        <v/>
      </c>
      <c r="U182" s="40">
        <f>IF(H182&lt;&gt;"",H182,T182)</f>
        <v/>
      </c>
      <c r="V182" s="40">
        <f>IF(OR(G182="",U182=""),"",G182*U182-N(I182))</f>
        <v/>
      </c>
      <c r="W182" s="39">
        <f>IF(D182="","",IFERROR(VALUE(MID(D182,LEN(D182)-3,3)),""))</f>
        <v/>
      </c>
      <c r="X182" s="33">
        <f>IF(W182="","",P182&amp;"|"&amp;W182)</f>
        <v/>
      </c>
      <c r="Y182" s="33">
        <f>IF(W182="","",IF(P182="À RENSEIGNER","GIC",P182)&amp;"-"&amp;TEXT(W182,"000"))</f>
        <v/>
      </c>
      <c r="Z182" s="33">
        <f>IF(X182="","",IFERROR(INDEX(Cl_nom,MATCH(X182,Cl_cle,0)),"(client introuvable)"))</f>
        <v/>
      </c>
      <c r="AA182" s="33">
        <f>IF(X182="","",IFERROR(INDEX(Cl_quartier,MATCH(X182,Cl_cle,0))&amp;"",""))</f>
        <v/>
      </c>
      <c r="AB182" s="45">
        <f>IF(R182&lt;&gt;"Livrée",0,IF(K182&lt;&gt;"",K182,C182))</f>
        <v/>
      </c>
      <c r="AC182" s="33">
        <f>IF(OR(C182="",W182=""),"",P182&amp;"|"&amp;W182&amp;"|"&amp;C182&amp;"|"&amp;E182)</f>
        <v/>
      </c>
      <c r="AD182" s="39">
        <f>IF(AC182="","",IF(COUNTIF(AC$6:AC182,AC182)=1,1,0))</f>
        <v/>
      </c>
      <c r="AE182" s="39">
        <f>IF(AB182=0,"",IF(COUNTIFS(X$6:X182,X182,AB$6:AB182,AB182)=1,1,0))</f>
        <v/>
      </c>
      <c r="AF182" s="34">
        <f>IF(C182="","",YEAR(C182-WEEKDAY(C182,2)+4)&amp;"-S"&amp;TEXT(INT((C182-DATE(YEAR(C182-WEEKDAY(C182,2)+4),1,3)+WEEKDAY(DATE(YEAR(C182-WEEKDAY(C182,2)+4),1,3),2)+5)/7),"00"))</f>
        <v/>
      </c>
    </row>
    <row r="183" ht="18" customHeight="1">
      <c r="A183" s="39" t="n">
        <v>178</v>
      </c>
      <c r="B183" s="33">
        <f>IF(C183="","",IF(P183="À RENSEIGNER","GIC",P183)&amp;"-C"&amp;TEXT(A183,"00000"))</f>
        <v/>
      </c>
      <c r="C183" s="32" t="n"/>
      <c r="D183" s="36" t="n"/>
      <c r="E183" s="36" t="n"/>
      <c r="F183" s="36" t="n"/>
      <c r="G183" s="42" t="n"/>
      <c r="H183" s="37" t="n"/>
      <c r="I183" s="37" t="n"/>
      <c r="J183" s="32" t="n"/>
      <c r="K183" s="32" t="n"/>
      <c r="L183" s="43" t="n"/>
      <c r="M183" s="36" t="n"/>
      <c r="N183" s="44" t="n"/>
      <c r="O183" s="36" t="n"/>
      <c r="P183" s="33">
        <f>IF(C183="","",Commercial_Id)</f>
        <v/>
      </c>
      <c r="Q183" s="34">
        <f>IF(AC183="","",IF(AD183=1,"C"&amp;TEXT(SUM(AD$6:AD183),"0000"),INDEX(Q$6:Q182,MATCH(AC183,AC$6:AC182,0))))</f>
        <v/>
      </c>
      <c r="R183" s="34">
        <f>IF(C183="","",IF(L183="☑ Oui","Annulée",IF(OR(E183="Vente directe",K183&lt;&gt;""),"Livrée",IF(J183&lt;&gt;"","Confirmée","En attente"))))</f>
        <v/>
      </c>
      <c r="S183" s="34">
        <f>IF(F183="","",IFERROR(VLOOKUP(F183,T_Produits,2,FALSE),""))</f>
        <v/>
      </c>
      <c r="T183" s="40">
        <f>IF(F183="","",IFERROR(1/(1/VLOOKUP(F183,T_Produits,3,FALSE)),""))</f>
        <v/>
      </c>
      <c r="U183" s="40">
        <f>IF(H183&lt;&gt;"",H183,T183)</f>
        <v/>
      </c>
      <c r="V183" s="40">
        <f>IF(OR(G183="",U183=""),"",G183*U183-N(I183))</f>
        <v/>
      </c>
      <c r="W183" s="39">
        <f>IF(D183="","",IFERROR(VALUE(MID(D183,LEN(D183)-3,3)),""))</f>
        <v/>
      </c>
      <c r="X183" s="33">
        <f>IF(W183="","",P183&amp;"|"&amp;W183)</f>
        <v/>
      </c>
      <c r="Y183" s="33">
        <f>IF(W183="","",IF(P183="À RENSEIGNER","GIC",P183)&amp;"-"&amp;TEXT(W183,"000"))</f>
        <v/>
      </c>
      <c r="Z183" s="33">
        <f>IF(X183="","",IFERROR(INDEX(Cl_nom,MATCH(X183,Cl_cle,0)),"(client introuvable)"))</f>
        <v/>
      </c>
      <c r="AA183" s="33">
        <f>IF(X183="","",IFERROR(INDEX(Cl_quartier,MATCH(X183,Cl_cle,0))&amp;"",""))</f>
        <v/>
      </c>
      <c r="AB183" s="45">
        <f>IF(R183&lt;&gt;"Livrée",0,IF(K183&lt;&gt;"",K183,C183))</f>
        <v/>
      </c>
      <c r="AC183" s="33">
        <f>IF(OR(C183="",W183=""),"",P183&amp;"|"&amp;W183&amp;"|"&amp;C183&amp;"|"&amp;E183)</f>
        <v/>
      </c>
      <c r="AD183" s="39">
        <f>IF(AC183="","",IF(COUNTIF(AC$6:AC183,AC183)=1,1,0))</f>
        <v/>
      </c>
      <c r="AE183" s="39">
        <f>IF(AB183=0,"",IF(COUNTIFS(X$6:X183,X183,AB$6:AB183,AB183)=1,1,0))</f>
        <v/>
      </c>
      <c r="AF183" s="34">
        <f>IF(C183="","",YEAR(C183-WEEKDAY(C183,2)+4)&amp;"-S"&amp;TEXT(INT((C183-DATE(YEAR(C183-WEEKDAY(C183,2)+4),1,3)+WEEKDAY(DATE(YEAR(C183-WEEKDAY(C183,2)+4),1,3),2)+5)/7),"00"))</f>
        <v/>
      </c>
    </row>
    <row r="184" ht="18" customHeight="1">
      <c r="A184" s="39" t="n">
        <v>179</v>
      </c>
      <c r="B184" s="33">
        <f>IF(C184="","",IF(P184="À RENSEIGNER","GIC",P184)&amp;"-C"&amp;TEXT(A184,"00000"))</f>
        <v/>
      </c>
      <c r="C184" s="32" t="n"/>
      <c r="D184" s="36" t="n"/>
      <c r="E184" s="36" t="n"/>
      <c r="F184" s="36" t="n"/>
      <c r="G184" s="42" t="n"/>
      <c r="H184" s="37" t="n"/>
      <c r="I184" s="37" t="n"/>
      <c r="J184" s="32" t="n"/>
      <c r="K184" s="32" t="n"/>
      <c r="L184" s="43" t="n"/>
      <c r="M184" s="36" t="n"/>
      <c r="N184" s="44" t="n"/>
      <c r="O184" s="36" t="n"/>
      <c r="P184" s="33">
        <f>IF(C184="","",Commercial_Id)</f>
        <v/>
      </c>
      <c r="Q184" s="34">
        <f>IF(AC184="","",IF(AD184=1,"C"&amp;TEXT(SUM(AD$6:AD184),"0000"),INDEX(Q$6:Q183,MATCH(AC184,AC$6:AC183,0))))</f>
        <v/>
      </c>
      <c r="R184" s="34">
        <f>IF(C184="","",IF(L184="☑ Oui","Annulée",IF(OR(E184="Vente directe",K184&lt;&gt;""),"Livrée",IF(J184&lt;&gt;"","Confirmée","En attente"))))</f>
        <v/>
      </c>
      <c r="S184" s="34">
        <f>IF(F184="","",IFERROR(VLOOKUP(F184,T_Produits,2,FALSE),""))</f>
        <v/>
      </c>
      <c r="T184" s="40">
        <f>IF(F184="","",IFERROR(1/(1/VLOOKUP(F184,T_Produits,3,FALSE)),""))</f>
        <v/>
      </c>
      <c r="U184" s="40">
        <f>IF(H184&lt;&gt;"",H184,T184)</f>
        <v/>
      </c>
      <c r="V184" s="40">
        <f>IF(OR(G184="",U184=""),"",G184*U184-N(I184))</f>
        <v/>
      </c>
      <c r="W184" s="39">
        <f>IF(D184="","",IFERROR(VALUE(MID(D184,LEN(D184)-3,3)),""))</f>
        <v/>
      </c>
      <c r="X184" s="33">
        <f>IF(W184="","",P184&amp;"|"&amp;W184)</f>
        <v/>
      </c>
      <c r="Y184" s="33">
        <f>IF(W184="","",IF(P184="À RENSEIGNER","GIC",P184)&amp;"-"&amp;TEXT(W184,"000"))</f>
        <v/>
      </c>
      <c r="Z184" s="33">
        <f>IF(X184="","",IFERROR(INDEX(Cl_nom,MATCH(X184,Cl_cle,0)),"(client introuvable)"))</f>
        <v/>
      </c>
      <c r="AA184" s="33">
        <f>IF(X184="","",IFERROR(INDEX(Cl_quartier,MATCH(X184,Cl_cle,0))&amp;"",""))</f>
        <v/>
      </c>
      <c r="AB184" s="45">
        <f>IF(R184&lt;&gt;"Livrée",0,IF(K184&lt;&gt;"",K184,C184))</f>
        <v/>
      </c>
      <c r="AC184" s="33">
        <f>IF(OR(C184="",W184=""),"",P184&amp;"|"&amp;W184&amp;"|"&amp;C184&amp;"|"&amp;E184)</f>
        <v/>
      </c>
      <c r="AD184" s="39">
        <f>IF(AC184="","",IF(COUNTIF(AC$6:AC184,AC184)=1,1,0))</f>
        <v/>
      </c>
      <c r="AE184" s="39">
        <f>IF(AB184=0,"",IF(COUNTIFS(X$6:X184,X184,AB$6:AB184,AB184)=1,1,0))</f>
        <v/>
      </c>
      <c r="AF184" s="34">
        <f>IF(C184="","",YEAR(C184-WEEKDAY(C184,2)+4)&amp;"-S"&amp;TEXT(INT((C184-DATE(YEAR(C184-WEEKDAY(C184,2)+4),1,3)+WEEKDAY(DATE(YEAR(C184-WEEKDAY(C184,2)+4),1,3),2)+5)/7),"00"))</f>
        <v/>
      </c>
    </row>
    <row r="185" ht="18" customHeight="1">
      <c r="A185" s="39" t="n">
        <v>180</v>
      </c>
      <c r="B185" s="33">
        <f>IF(C185="","",IF(P185="À RENSEIGNER","GIC",P185)&amp;"-C"&amp;TEXT(A185,"00000"))</f>
        <v/>
      </c>
      <c r="C185" s="32" t="n"/>
      <c r="D185" s="36" t="n"/>
      <c r="E185" s="36" t="n"/>
      <c r="F185" s="36" t="n"/>
      <c r="G185" s="42" t="n"/>
      <c r="H185" s="37" t="n"/>
      <c r="I185" s="37" t="n"/>
      <c r="J185" s="32" t="n"/>
      <c r="K185" s="32" t="n"/>
      <c r="L185" s="43" t="n"/>
      <c r="M185" s="36" t="n"/>
      <c r="N185" s="44" t="n"/>
      <c r="O185" s="36" t="n"/>
      <c r="P185" s="33">
        <f>IF(C185="","",Commercial_Id)</f>
        <v/>
      </c>
      <c r="Q185" s="34">
        <f>IF(AC185="","",IF(AD185=1,"C"&amp;TEXT(SUM(AD$6:AD185),"0000"),INDEX(Q$6:Q184,MATCH(AC185,AC$6:AC184,0))))</f>
        <v/>
      </c>
      <c r="R185" s="34">
        <f>IF(C185="","",IF(L185="☑ Oui","Annulée",IF(OR(E185="Vente directe",K185&lt;&gt;""),"Livrée",IF(J185&lt;&gt;"","Confirmée","En attente"))))</f>
        <v/>
      </c>
      <c r="S185" s="34">
        <f>IF(F185="","",IFERROR(VLOOKUP(F185,T_Produits,2,FALSE),""))</f>
        <v/>
      </c>
      <c r="T185" s="40">
        <f>IF(F185="","",IFERROR(1/(1/VLOOKUP(F185,T_Produits,3,FALSE)),""))</f>
        <v/>
      </c>
      <c r="U185" s="40">
        <f>IF(H185&lt;&gt;"",H185,T185)</f>
        <v/>
      </c>
      <c r="V185" s="40">
        <f>IF(OR(G185="",U185=""),"",G185*U185-N(I185))</f>
        <v/>
      </c>
      <c r="W185" s="39">
        <f>IF(D185="","",IFERROR(VALUE(MID(D185,LEN(D185)-3,3)),""))</f>
        <v/>
      </c>
      <c r="X185" s="33">
        <f>IF(W185="","",P185&amp;"|"&amp;W185)</f>
        <v/>
      </c>
      <c r="Y185" s="33">
        <f>IF(W185="","",IF(P185="À RENSEIGNER","GIC",P185)&amp;"-"&amp;TEXT(W185,"000"))</f>
        <v/>
      </c>
      <c r="Z185" s="33">
        <f>IF(X185="","",IFERROR(INDEX(Cl_nom,MATCH(X185,Cl_cle,0)),"(client introuvable)"))</f>
        <v/>
      </c>
      <c r="AA185" s="33">
        <f>IF(X185="","",IFERROR(INDEX(Cl_quartier,MATCH(X185,Cl_cle,0))&amp;"",""))</f>
        <v/>
      </c>
      <c r="AB185" s="45">
        <f>IF(R185&lt;&gt;"Livrée",0,IF(K185&lt;&gt;"",K185,C185))</f>
        <v/>
      </c>
      <c r="AC185" s="33">
        <f>IF(OR(C185="",W185=""),"",P185&amp;"|"&amp;W185&amp;"|"&amp;C185&amp;"|"&amp;E185)</f>
        <v/>
      </c>
      <c r="AD185" s="39">
        <f>IF(AC185="","",IF(COUNTIF(AC$6:AC185,AC185)=1,1,0))</f>
        <v/>
      </c>
      <c r="AE185" s="39">
        <f>IF(AB185=0,"",IF(COUNTIFS(X$6:X185,X185,AB$6:AB185,AB185)=1,1,0))</f>
        <v/>
      </c>
      <c r="AF185" s="34">
        <f>IF(C185="","",YEAR(C185-WEEKDAY(C185,2)+4)&amp;"-S"&amp;TEXT(INT((C185-DATE(YEAR(C185-WEEKDAY(C185,2)+4),1,3)+WEEKDAY(DATE(YEAR(C185-WEEKDAY(C185,2)+4),1,3),2)+5)/7),"00"))</f>
        <v/>
      </c>
    </row>
    <row r="186" ht="18" customHeight="1">
      <c r="A186" s="39" t="n">
        <v>181</v>
      </c>
      <c r="B186" s="33">
        <f>IF(C186="","",IF(P186="À RENSEIGNER","GIC",P186)&amp;"-C"&amp;TEXT(A186,"00000"))</f>
        <v/>
      </c>
      <c r="C186" s="32" t="n"/>
      <c r="D186" s="36" t="n"/>
      <c r="E186" s="36" t="n"/>
      <c r="F186" s="36" t="n"/>
      <c r="G186" s="42" t="n"/>
      <c r="H186" s="37" t="n"/>
      <c r="I186" s="37" t="n"/>
      <c r="J186" s="32" t="n"/>
      <c r="K186" s="32" t="n"/>
      <c r="L186" s="43" t="n"/>
      <c r="M186" s="36" t="n"/>
      <c r="N186" s="44" t="n"/>
      <c r="O186" s="36" t="n"/>
      <c r="P186" s="33">
        <f>IF(C186="","",Commercial_Id)</f>
        <v/>
      </c>
      <c r="Q186" s="34">
        <f>IF(AC186="","",IF(AD186=1,"C"&amp;TEXT(SUM(AD$6:AD186),"0000"),INDEX(Q$6:Q185,MATCH(AC186,AC$6:AC185,0))))</f>
        <v/>
      </c>
      <c r="R186" s="34">
        <f>IF(C186="","",IF(L186="☑ Oui","Annulée",IF(OR(E186="Vente directe",K186&lt;&gt;""),"Livrée",IF(J186&lt;&gt;"","Confirmée","En attente"))))</f>
        <v/>
      </c>
      <c r="S186" s="34">
        <f>IF(F186="","",IFERROR(VLOOKUP(F186,T_Produits,2,FALSE),""))</f>
        <v/>
      </c>
      <c r="T186" s="40">
        <f>IF(F186="","",IFERROR(1/(1/VLOOKUP(F186,T_Produits,3,FALSE)),""))</f>
        <v/>
      </c>
      <c r="U186" s="40">
        <f>IF(H186&lt;&gt;"",H186,T186)</f>
        <v/>
      </c>
      <c r="V186" s="40">
        <f>IF(OR(G186="",U186=""),"",G186*U186-N(I186))</f>
        <v/>
      </c>
      <c r="W186" s="39">
        <f>IF(D186="","",IFERROR(VALUE(MID(D186,LEN(D186)-3,3)),""))</f>
        <v/>
      </c>
      <c r="X186" s="33">
        <f>IF(W186="","",P186&amp;"|"&amp;W186)</f>
        <v/>
      </c>
      <c r="Y186" s="33">
        <f>IF(W186="","",IF(P186="À RENSEIGNER","GIC",P186)&amp;"-"&amp;TEXT(W186,"000"))</f>
        <v/>
      </c>
      <c r="Z186" s="33">
        <f>IF(X186="","",IFERROR(INDEX(Cl_nom,MATCH(X186,Cl_cle,0)),"(client introuvable)"))</f>
        <v/>
      </c>
      <c r="AA186" s="33">
        <f>IF(X186="","",IFERROR(INDEX(Cl_quartier,MATCH(X186,Cl_cle,0))&amp;"",""))</f>
        <v/>
      </c>
      <c r="AB186" s="45">
        <f>IF(R186&lt;&gt;"Livrée",0,IF(K186&lt;&gt;"",K186,C186))</f>
        <v/>
      </c>
      <c r="AC186" s="33">
        <f>IF(OR(C186="",W186=""),"",P186&amp;"|"&amp;W186&amp;"|"&amp;C186&amp;"|"&amp;E186)</f>
        <v/>
      </c>
      <c r="AD186" s="39">
        <f>IF(AC186="","",IF(COUNTIF(AC$6:AC186,AC186)=1,1,0))</f>
        <v/>
      </c>
      <c r="AE186" s="39">
        <f>IF(AB186=0,"",IF(COUNTIFS(X$6:X186,X186,AB$6:AB186,AB186)=1,1,0))</f>
        <v/>
      </c>
      <c r="AF186" s="34">
        <f>IF(C186="","",YEAR(C186-WEEKDAY(C186,2)+4)&amp;"-S"&amp;TEXT(INT((C186-DATE(YEAR(C186-WEEKDAY(C186,2)+4),1,3)+WEEKDAY(DATE(YEAR(C186-WEEKDAY(C186,2)+4),1,3),2)+5)/7),"00"))</f>
        <v/>
      </c>
    </row>
    <row r="187" ht="18" customHeight="1">
      <c r="A187" s="39" t="n">
        <v>182</v>
      </c>
      <c r="B187" s="33">
        <f>IF(C187="","",IF(P187="À RENSEIGNER","GIC",P187)&amp;"-C"&amp;TEXT(A187,"00000"))</f>
        <v/>
      </c>
      <c r="C187" s="32" t="n"/>
      <c r="D187" s="36" t="n"/>
      <c r="E187" s="36" t="n"/>
      <c r="F187" s="36" t="n"/>
      <c r="G187" s="42" t="n"/>
      <c r="H187" s="37" t="n"/>
      <c r="I187" s="37" t="n"/>
      <c r="J187" s="32" t="n"/>
      <c r="K187" s="32" t="n"/>
      <c r="L187" s="43" t="n"/>
      <c r="M187" s="36" t="n"/>
      <c r="N187" s="44" t="n"/>
      <c r="O187" s="36" t="n"/>
      <c r="P187" s="33">
        <f>IF(C187="","",Commercial_Id)</f>
        <v/>
      </c>
      <c r="Q187" s="34">
        <f>IF(AC187="","",IF(AD187=1,"C"&amp;TEXT(SUM(AD$6:AD187),"0000"),INDEX(Q$6:Q186,MATCH(AC187,AC$6:AC186,0))))</f>
        <v/>
      </c>
      <c r="R187" s="34">
        <f>IF(C187="","",IF(L187="☑ Oui","Annulée",IF(OR(E187="Vente directe",K187&lt;&gt;""),"Livrée",IF(J187&lt;&gt;"","Confirmée","En attente"))))</f>
        <v/>
      </c>
      <c r="S187" s="34">
        <f>IF(F187="","",IFERROR(VLOOKUP(F187,T_Produits,2,FALSE),""))</f>
        <v/>
      </c>
      <c r="T187" s="40">
        <f>IF(F187="","",IFERROR(1/(1/VLOOKUP(F187,T_Produits,3,FALSE)),""))</f>
        <v/>
      </c>
      <c r="U187" s="40">
        <f>IF(H187&lt;&gt;"",H187,T187)</f>
        <v/>
      </c>
      <c r="V187" s="40">
        <f>IF(OR(G187="",U187=""),"",G187*U187-N(I187))</f>
        <v/>
      </c>
      <c r="W187" s="39">
        <f>IF(D187="","",IFERROR(VALUE(MID(D187,LEN(D187)-3,3)),""))</f>
        <v/>
      </c>
      <c r="X187" s="33">
        <f>IF(W187="","",P187&amp;"|"&amp;W187)</f>
        <v/>
      </c>
      <c r="Y187" s="33">
        <f>IF(W187="","",IF(P187="À RENSEIGNER","GIC",P187)&amp;"-"&amp;TEXT(W187,"000"))</f>
        <v/>
      </c>
      <c r="Z187" s="33">
        <f>IF(X187="","",IFERROR(INDEX(Cl_nom,MATCH(X187,Cl_cle,0)),"(client introuvable)"))</f>
        <v/>
      </c>
      <c r="AA187" s="33">
        <f>IF(X187="","",IFERROR(INDEX(Cl_quartier,MATCH(X187,Cl_cle,0))&amp;"",""))</f>
        <v/>
      </c>
      <c r="AB187" s="45">
        <f>IF(R187&lt;&gt;"Livrée",0,IF(K187&lt;&gt;"",K187,C187))</f>
        <v/>
      </c>
      <c r="AC187" s="33">
        <f>IF(OR(C187="",W187=""),"",P187&amp;"|"&amp;W187&amp;"|"&amp;C187&amp;"|"&amp;E187)</f>
        <v/>
      </c>
      <c r="AD187" s="39">
        <f>IF(AC187="","",IF(COUNTIF(AC$6:AC187,AC187)=1,1,0))</f>
        <v/>
      </c>
      <c r="AE187" s="39">
        <f>IF(AB187=0,"",IF(COUNTIFS(X$6:X187,X187,AB$6:AB187,AB187)=1,1,0))</f>
        <v/>
      </c>
      <c r="AF187" s="34">
        <f>IF(C187="","",YEAR(C187-WEEKDAY(C187,2)+4)&amp;"-S"&amp;TEXT(INT((C187-DATE(YEAR(C187-WEEKDAY(C187,2)+4),1,3)+WEEKDAY(DATE(YEAR(C187-WEEKDAY(C187,2)+4),1,3),2)+5)/7),"00"))</f>
        <v/>
      </c>
    </row>
    <row r="188" ht="18" customHeight="1">
      <c r="A188" s="39" t="n">
        <v>183</v>
      </c>
      <c r="B188" s="33">
        <f>IF(C188="","",IF(P188="À RENSEIGNER","GIC",P188)&amp;"-C"&amp;TEXT(A188,"00000"))</f>
        <v/>
      </c>
      <c r="C188" s="32" t="n"/>
      <c r="D188" s="36" t="n"/>
      <c r="E188" s="36" t="n"/>
      <c r="F188" s="36" t="n"/>
      <c r="G188" s="42" t="n"/>
      <c r="H188" s="37" t="n"/>
      <c r="I188" s="37" t="n"/>
      <c r="J188" s="32" t="n"/>
      <c r="K188" s="32" t="n"/>
      <c r="L188" s="43" t="n"/>
      <c r="M188" s="36" t="n"/>
      <c r="N188" s="44" t="n"/>
      <c r="O188" s="36" t="n"/>
      <c r="P188" s="33">
        <f>IF(C188="","",Commercial_Id)</f>
        <v/>
      </c>
      <c r="Q188" s="34">
        <f>IF(AC188="","",IF(AD188=1,"C"&amp;TEXT(SUM(AD$6:AD188),"0000"),INDEX(Q$6:Q187,MATCH(AC188,AC$6:AC187,0))))</f>
        <v/>
      </c>
      <c r="R188" s="34">
        <f>IF(C188="","",IF(L188="☑ Oui","Annulée",IF(OR(E188="Vente directe",K188&lt;&gt;""),"Livrée",IF(J188&lt;&gt;"","Confirmée","En attente"))))</f>
        <v/>
      </c>
      <c r="S188" s="34">
        <f>IF(F188="","",IFERROR(VLOOKUP(F188,T_Produits,2,FALSE),""))</f>
        <v/>
      </c>
      <c r="T188" s="40">
        <f>IF(F188="","",IFERROR(1/(1/VLOOKUP(F188,T_Produits,3,FALSE)),""))</f>
        <v/>
      </c>
      <c r="U188" s="40">
        <f>IF(H188&lt;&gt;"",H188,T188)</f>
        <v/>
      </c>
      <c r="V188" s="40">
        <f>IF(OR(G188="",U188=""),"",G188*U188-N(I188))</f>
        <v/>
      </c>
      <c r="W188" s="39">
        <f>IF(D188="","",IFERROR(VALUE(MID(D188,LEN(D188)-3,3)),""))</f>
        <v/>
      </c>
      <c r="X188" s="33">
        <f>IF(W188="","",P188&amp;"|"&amp;W188)</f>
        <v/>
      </c>
      <c r="Y188" s="33">
        <f>IF(W188="","",IF(P188="À RENSEIGNER","GIC",P188)&amp;"-"&amp;TEXT(W188,"000"))</f>
        <v/>
      </c>
      <c r="Z188" s="33">
        <f>IF(X188="","",IFERROR(INDEX(Cl_nom,MATCH(X188,Cl_cle,0)),"(client introuvable)"))</f>
        <v/>
      </c>
      <c r="AA188" s="33">
        <f>IF(X188="","",IFERROR(INDEX(Cl_quartier,MATCH(X188,Cl_cle,0))&amp;"",""))</f>
        <v/>
      </c>
      <c r="AB188" s="45">
        <f>IF(R188&lt;&gt;"Livrée",0,IF(K188&lt;&gt;"",K188,C188))</f>
        <v/>
      </c>
      <c r="AC188" s="33">
        <f>IF(OR(C188="",W188=""),"",P188&amp;"|"&amp;W188&amp;"|"&amp;C188&amp;"|"&amp;E188)</f>
        <v/>
      </c>
      <c r="AD188" s="39">
        <f>IF(AC188="","",IF(COUNTIF(AC$6:AC188,AC188)=1,1,0))</f>
        <v/>
      </c>
      <c r="AE188" s="39">
        <f>IF(AB188=0,"",IF(COUNTIFS(X$6:X188,X188,AB$6:AB188,AB188)=1,1,0))</f>
        <v/>
      </c>
      <c r="AF188" s="34">
        <f>IF(C188="","",YEAR(C188-WEEKDAY(C188,2)+4)&amp;"-S"&amp;TEXT(INT((C188-DATE(YEAR(C188-WEEKDAY(C188,2)+4),1,3)+WEEKDAY(DATE(YEAR(C188-WEEKDAY(C188,2)+4),1,3),2)+5)/7),"00"))</f>
        <v/>
      </c>
    </row>
    <row r="189" ht="18" customHeight="1">
      <c r="A189" s="39" t="n">
        <v>184</v>
      </c>
      <c r="B189" s="33">
        <f>IF(C189="","",IF(P189="À RENSEIGNER","GIC",P189)&amp;"-C"&amp;TEXT(A189,"00000"))</f>
        <v/>
      </c>
      <c r="C189" s="32" t="n"/>
      <c r="D189" s="36" t="n"/>
      <c r="E189" s="36" t="n"/>
      <c r="F189" s="36" t="n"/>
      <c r="G189" s="42" t="n"/>
      <c r="H189" s="37" t="n"/>
      <c r="I189" s="37" t="n"/>
      <c r="J189" s="32" t="n"/>
      <c r="K189" s="32" t="n"/>
      <c r="L189" s="43" t="n"/>
      <c r="M189" s="36" t="n"/>
      <c r="N189" s="44" t="n"/>
      <c r="O189" s="36" t="n"/>
      <c r="P189" s="33">
        <f>IF(C189="","",Commercial_Id)</f>
        <v/>
      </c>
      <c r="Q189" s="34">
        <f>IF(AC189="","",IF(AD189=1,"C"&amp;TEXT(SUM(AD$6:AD189),"0000"),INDEX(Q$6:Q188,MATCH(AC189,AC$6:AC188,0))))</f>
        <v/>
      </c>
      <c r="R189" s="34">
        <f>IF(C189="","",IF(L189="☑ Oui","Annulée",IF(OR(E189="Vente directe",K189&lt;&gt;""),"Livrée",IF(J189&lt;&gt;"","Confirmée","En attente"))))</f>
        <v/>
      </c>
      <c r="S189" s="34">
        <f>IF(F189="","",IFERROR(VLOOKUP(F189,T_Produits,2,FALSE),""))</f>
        <v/>
      </c>
      <c r="T189" s="40">
        <f>IF(F189="","",IFERROR(1/(1/VLOOKUP(F189,T_Produits,3,FALSE)),""))</f>
        <v/>
      </c>
      <c r="U189" s="40">
        <f>IF(H189&lt;&gt;"",H189,T189)</f>
        <v/>
      </c>
      <c r="V189" s="40">
        <f>IF(OR(G189="",U189=""),"",G189*U189-N(I189))</f>
        <v/>
      </c>
      <c r="W189" s="39">
        <f>IF(D189="","",IFERROR(VALUE(MID(D189,LEN(D189)-3,3)),""))</f>
        <v/>
      </c>
      <c r="X189" s="33">
        <f>IF(W189="","",P189&amp;"|"&amp;W189)</f>
        <v/>
      </c>
      <c r="Y189" s="33">
        <f>IF(W189="","",IF(P189="À RENSEIGNER","GIC",P189)&amp;"-"&amp;TEXT(W189,"000"))</f>
        <v/>
      </c>
      <c r="Z189" s="33">
        <f>IF(X189="","",IFERROR(INDEX(Cl_nom,MATCH(X189,Cl_cle,0)),"(client introuvable)"))</f>
        <v/>
      </c>
      <c r="AA189" s="33">
        <f>IF(X189="","",IFERROR(INDEX(Cl_quartier,MATCH(X189,Cl_cle,0))&amp;"",""))</f>
        <v/>
      </c>
      <c r="AB189" s="45">
        <f>IF(R189&lt;&gt;"Livrée",0,IF(K189&lt;&gt;"",K189,C189))</f>
        <v/>
      </c>
      <c r="AC189" s="33">
        <f>IF(OR(C189="",W189=""),"",P189&amp;"|"&amp;W189&amp;"|"&amp;C189&amp;"|"&amp;E189)</f>
        <v/>
      </c>
      <c r="AD189" s="39">
        <f>IF(AC189="","",IF(COUNTIF(AC$6:AC189,AC189)=1,1,0))</f>
        <v/>
      </c>
      <c r="AE189" s="39">
        <f>IF(AB189=0,"",IF(COUNTIFS(X$6:X189,X189,AB$6:AB189,AB189)=1,1,0))</f>
        <v/>
      </c>
      <c r="AF189" s="34">
        <f>IF(C189="","",YEAR(C189-WEEKDAY(C189,2)+4)&amp;"-S"&amp;TEXT(INT((C189-DATE(YEAR(C189-WEEKDAY(C189,2)+4),1,3)+WEEKDAY(DATE(YEAR(C189-WEEKDAY(C189,2)+4),1,3),2)+5)/7),"00"))</f>
        <v/>
      </c>
    </row>
    <row r="190" ht="18" customHeight="1">
      <c r="A190" s="39" t="n">
        <v>185</v>
      </c>
      <c r="B190" s="33">
        <f>IF(C190="","",IF(P190="À RENSEIGNER","GIC",P190)&amp;"-C"&amp;TEXT(A190,"00000"))</f>
        <v/>
      </c>
      <c r="C190" s="32" t="n"/>
      <c r="D190" s="36" t="n"/>
      <c r="E190" s="36" t="n"/>
      <c r="F190" s="36" t="n"/>
      <c r="G190" s="42" t="n"/>
      <c r="H190" s="37" t="n"/>
      <c r="I190" s="37" t="n"/>
      <c r="J190" s="32" t="n"/>
      <c r="K190" s="32" t="n"/>
      <c r="L190" s="43" t="n"/>
      <c r="M190" s="36" t="n"/>
      <c r="N190" s="44" t="n"/>
      <c r="O190" s="36" t="n"/>
      <c r="P190" s="33">
        <f>IF(C190="","",Commercial_Id)</f>
        <v/>
      </c>
      <c r="Q190" s="34">
        <f>IF(AC190="","",IF(AD190=1,"C"&amp;TEXT(SUM(AD$6:AD190),"0000"),INDEX(Q$6:Q189,MATCH(AC190,AC$6:AC189,0))))</f>
        <v/>
      </c>
      <c r="R190" s="34">
        <f>IF(C190="","",IF(L190="☑ Oui","Annulée",IF(OR(E190="Vente directe",K190&lt;&gt;""),"Livrée",IF(J190&lt;&gt;"","Confirmée","En attente"))))</f>
        <v/>
      </c>
      <c r="S190" s="34">
        <f>IF(F190="","",IFERROR(VLOOKUP(F190,T_Produits,2,FALSE),""))</f>
        <v/>
      </c>
      <c r="T190" s="40">
        <f>IF(F190="","",IFERROR(1/(1/VLOOKUP(F190,T_Produits,3,FALSE)),""))</f>
        <v/>
      </c>
      <c r="U190" s="40">
        <f>IF(H190&lt;&gt;"",H190,T190)</f>
        <v/>
      </c>
      <c r="V190" s="40">
        <f>IF(OR(G190="",U190=""),"",G190*U190-N(I190))</f>
        <v/>
      </c>
      <c r="W190" s="39">
        <f>IF(D190="","",IFERROR(VALUE(MID(D190,LEN(D190)-3,3)),""))</f>
        <v/>
      </c>
      <c r="X190" s="33">
        <f>IF(W190="","",P190&amp;"|"&amp;W190)</f>
        <v/>
      </c>
      <c r="Y190" s="33">
        <f>IF(W190="","",IF(P190="À RENSEIGNER","GIC",P190)&amp;"-"&amp;TEXT(W190,"000"))</f>
        <v/>
      </c>
      <c r="Z190" s="33">
        <f>IF(X190="","",IFERROR(INDEX(Cl_nom,MATCH(X190,Cl_cle,0)),"(client introuvable)"))</f>
        <v/>
      </c>
      <c r="AA190" s="33">
        <f>IF(X190="","",IFERROR(INDEX(Cl_quartier,MATCH(X190,Cl_cle,0))&amp;"",""))</f>
        <v/>
      </c>
      <c r="AB190" s="45">
        <f>IF(R190&lt;&gt;"Livrée",0,IF(K190&lt;&gt;"",K190,C190))</f>
        <v/>
      </c>
      <c r="AC190" s="33">
        <f>IF(OR(C190="",W190=""),"",P190&amp;"|"&amp;W190&amp;"|"&amp;C190&amp;"|"&amp;E190)</f>
        <v/>
      </c>
      <c r="AD190" s="39">
        <f>IF(AC190="","",IF(COUNTIF(AC$6:AC190,AC190)=1,1,0))</f>
        <v/>
      </c>
      <c r="AE190" s="39">
        <f>IF(AB190=0,"",IF(COUNTIFS(X$6:X190,X190,AB$6:AB190,AB190)=1,1,0))</f>
        <v/>
      </c>
      <c r="AF190" s="34">
        <f>IF(C190="","",YEAR(C190-WEEKDAY(C190,2)+4)&amp;"-S"&amp;TEXT(INT((C190-DATE(YEAR(C190-WEEKDAY(C190,2)+4),1,3)+WEEKDAY(DATE(YEAR(C190-WEEKDAY(C190,2)+4),1,3),2)+5)/7),"00"))</f>
        <v/>
      </c>
    </row>
    <row r="191" ht="18" customHeight="1">
      <c r="A191" s="39" t="n">
        <v>186</v>
      </c>
      <c r="B191" s="33">
        <f>IF(C191="","",IF(P191="À RENSEIGNER","GIC",P191)&amp;"-C"&amp;TEXT(A191,"00000"))</f>
        <v/>
      </c>
      <c r="C191" s="32" t="n"/>
      <c r="D191" s="36" t="n"/>
      <c r="E191" s="36" t="n"/>
      <c r="F191" s="36" t="n"/>
      <c r="G191" s="42" t="n"/>
      <c r="H191" s="37" t="n"/>
      <c r="I191" s="37" t="n"/>
      <c r="J191" s="32" t="n"/>
      <c r="K191" s="32" t="n"/>
      <c r="L191" s="43" t="n"/>
      <c r="M191" s="36" t="n"/>
      <c r="N191" s="44" t="n"/>
      <c r="O191" s="36" t="n"/>
      <c r="P191" s="33">
        <f>IF(C191="","",Commercial_Id)</f>
        <v/>
      </c>
      <c r="Q191" s="34">
        <f>IF(AC191="","",IF(AD191=1,"C"&amp;TEXT(SUM(AD$6:AD191),"0000"),INDEX(Q$6:Q190,MATCH(AC191,AC$6:AC190,0))))</f>
        <v/>
      </c>
      <c r="R191" s="34">
        <f>IF(C191="","",IF(L191="☑ Oui","Annulée",IF(OR(E191="Vente directe",K191&lt;&gt;""),"Livrée",IF(J191&lt;&gt;"","Confirmée","En attente"))))</f>
        <v/>
      </c>
      <c r="S191" s="34">
        <f>IF(F191="","",IFERROR(VLOOKUP(F191,T_Produits,2,FALSE),""))</f>
        <v/>
      </c>
      <c r="T191" s="40">
        <f>IF(F191="","",IFERROR(1/(1/VLOOKUP(F191,T_Produits,3,FALSE)),""))</f>
        <v/>
      </c>
      <c r="U191" s="40">
        <f>IF(H191&lt;&gt;"",H191,T191)</f>
        <v/>
      </c>
      <c r="V191" s="40">
        <f>IF(OR(G191="",U191=""),"",G191*U191-N(I191))</f>
        <v/>
      </c>
      <c r="W191" s="39">
        <f>IF(D191="","",IFERROR(VALUE(MID(D191,LEN(D191)-3,3)),""))</f>
        <v/>
      </c>
      <c r="X191" s="33">
        <f>IF(W191="","",P191&amp;"|"&amp;W191)</f>
        <v/>
      </c>
      <c r="Y191" s="33">
        <f>IF(W191="","",IF(P191="À RENSEIGNER","GIC",P191)&amp;"-"&amp;TEXT(W191,"000"))</f>
        <v/>
      </c>
      <c r="Z191" s="33">
        <f>IF(X191="","",IFERROR(INDEX(Cl_nom,MATCH(X191,Cl_cle,0)),"(client introuvable)"))</f>
        <v/>
      </c>
      <c r="AA191" s="33">
        <f>IF(X191="","",IFERROR(INDEX(Cl_quartier,MATCH(X191,Cl_cle,0))&amp;"",""))</f>
        <v/>
      </c>
      <c r="AB191" s="45">
        <f>IF(R191&lt;&gt;"Livrée",0,IF(K191&lt;&gt;"",K191,C191))</f>
        <v/>
      </c>
      <c r="AC191" s="33">
        <f>IF(OR(C191="",W191=""),"",P191&amp;"|"&amp;W191&amp;"|"&amp;C191&amp;"|"&amp;E191)</f>
        <v/>
      </c>
      <c r="AD191" s="39">
        <f>IF(AC191="","",IF(COUNTIF(AC$6:AC191,AC191)=1,1,0))</f>
        <v/>
      </c>
      <c r="AE191" s="39">
        <f>IF(AB191=0,"",IF(COUNTIFS(X$6:X191,X191,AB$6:AB191,AB191)=1,1,0))</f>
        <v/>
      </c>
      <c r="AF191" s="34">
        <f>IF(C191="","",YEAR(C191-WEEKDAY(C191,2)+4)&amp;"-S"&amp;TEXT(INT((C191-DATE(YEAR(C191-WEEKDAY(C191,2)+4),1,3)+WEEKDAY(DATE(YEAR(C191-WEEKDAY(C191,2)+4),1,3),2)+5)/7),"00"))</f>
        <v/>
      </c>
    </row>
    <row r="192" ht="18" customHeight="1">
      <c r="A192" s="39" t="n">
        <v>187</v>
      </c>
      <c r="B192" s="33">
        <f>IF(C192="","",IF(P192="À RENSEIGNER","GIC",P192)&amp;"-C"&amp;TEXT(A192,"00000"))</f>
        <v/>
      </c>
      <c r="C192" s="32" t="n"/>
      <c r="D192" s="36" t="n"/>
      <c r="E192" s="36" t="n"/>
      <c r="F192" s="36" t="n"/>
      <c r="G192" s="42" t="n"/>
      <c r="H192" s="37" t="n"/>
      <c r="I192" s="37" t="n"/>
      <c r="J192" s="32" t="n"/>
      <c r="K192" s="32" t="n"/>
      <c r="L192" s="43" t="n"/>
      <c r="M192" s="36" t="n"/>
      <c r="N192" s="44" t="n"/>
      <c r="O192" s="36" t="n"/>
      <c r="P192" s="33">
        <f>IF(C192="","",Commercial_Id)</f>
        <v/>
      </c>
      <c r="Q192" s="34">
        <f>IF(AC192="","",IF(AD192=1,"C"&amp;TEXT(SUM(AD$6:AD192),"0000"),INDEX(Q$6:Q191,MATCH(AC192,AC$6:AC191,0))))</f>
        <v/>
      </c>
      <c r="R192" s="34">
        <f>IF(C192="","",IF(L192="☑ Oui","Annulée",IF(OR(E192="Vente directe",K192&lt;&gt;""),"Livrée",IF(J192&lt;&gt;"","Confirmée","En attente"))))</f>
        <v/>
      </c>
      <c r="S192" s="34">
        <f>IF(F192="","",IFERROR(VLOOKUP(F192,T_Produits,2,FALSE),""))</f>
        <v/>
      </c>
      <c r="T192" s="40">
        <f>IF(F192="","",IFERROR(1/(1/VLOOKUP(F192,T_Produits,3,FALSE)),""))</f>
        <v/>
      </c>
      <c r="U192" s="40">
        <f>IF(H192&lt;&gt;"",H192,T192)</f>
        <v/>
      </c>
      <c r="V192" s="40">
        <f>IF(OR(G192="",U192=""),"",G192*U192-N(I192))</f>
        <v/>
      </c>
      <c r="W192" s="39">
        <f>IF(D192="","",IFERROR(VALUE(MID(D192,LEN(D192)-3,3)),""))</f>
        <v/>
      </c>
      <c r="X192" s="33">
        <f>IF(W192="","",P192&amp;"|"&amp;W192)</f>
        <v/>
      </c>
      <c r="Y192" s="33">
        <f>IF(W192="","",IF(P192="À RENSEIGNER","GIC",P192)&amp;"-"&amp;TEXT(W192,"000"))</f>
        <v/>
      </c>
      <c r="Z192" s="33">
        <f>IF(X192="","",IFERROR(INDEX(Cl_nom,MATCH(X192,Cl_cle,0)),"(client introuvable)"))</f>
        <v/>
      </c>
      <c r="AA192" s="33">
        <f>IF(X192="","",IFERROR(INDEX(Cl_quartier,MATCH(X192,Cl_cle,0))&amp;"",""))</f>
        <v/>
      </c>
      <c r="AB192" s="45">
        <f>IF(R192&lt;&gt;"Livrée",0,IF(K192&lt;&gt;"",K192,C192))</f>
        <v/>
      </c>
      <c r="AC192" s="33">
        <f>IF(OR(C192="",W192=""),"",P192&amp;"|"&amp;W192&amp;"|"&amp;C192&amp;"|"&amp;E192)</f>
        <v/>
      </c>
      <c r="AD192" s="39">
        <f>IF(AC192="","",IF(COUNTIF(AC$6:AC192,AC192)=1,1,0))</f>
        <v/>
      </c>
      <c r="AE192" s="39">
        <f>IF(AB192=0,"",IF(COUNTIFS(X$6:X192,X192,AB$6:AB192,AB192)=1,1,0))</f>
        <v/>
      </c>
      <c r="AF192" s="34">
        <f>IF(C192="","",YEAR(C192-WEEKDAY(C192,2)+4)&amp;"-S"&amp;TEXT(INT((C192-DATE(YEAR(C192-WEEKDAY(C192,2)+4),1,3)+WEEKDAY(DATE(YEAR(C192-WEEKDAY(C192,2)+4),1,3),2)+5)/7),"00"))</f>
        <v/>
      </c>
    </row>
    <row r="193" ht="18" customHeight="1">
      <c r="A193" s="39" t="n">
        <v>188</v>
      </c>
      <c r="B193" s="33">
        <f>IF(C193="","",IF(P193="À RENSEIGNER","GIC",P193)&amp;"-C"&amp;TEXT(A193,"00000"))</f>
        <v/>
      </c>
      <c r="C193" s="32" t="n"/>
      <c r="D193" s="36" t="n"/>
      <c r="E193" s="36" t="n"/>
      <c r="F193" s="36" t="n"/>
      <c r="G193" s="42" t="n"/>
      <c r="H193" s="37" t="n"/>
      <c r="I193" s="37" t="n"/>
      <c r="J193" s="32" t="n"/>
      <c r="K193" s="32" t="n"/>
      <c r="L193" s="43" t="n"/>
      <c r="M193" s="36" t="n"/>
      <c r="N193" s="44" t="n"/>
      <c r="O193" s="36" t="n"/>
      <c r="P193" s="33">
        <f>IF(C193="","",Commercial_Id)</f>
        <v/>
      </c>
      <c r="Q193" s="34">
        <f>IF(AC193="","",IF(AD193=1,"C"&amp;TEXT(SUM(AD$6:AD193),"0000"),INDEX(Q$6:Q192,MATCH(AC193,AC$6:AC192,0))))</f>
        <v/>
      </c>
      <c r="R193" s="34">
        <f>IF(C193="","",IF(L193="☑ Oui","Annulée",IF(OR(E193="Vente directe",K193&lt;&gt;""),"Livrée",IF(J193&lt;&gt;"","Confirmée","En attente"))))</f>
        <v/>
      </c>
      <c r="S193" s="34">
        <f>IF(F193="","",IFERROR(VLOOKUP(F193,T_Produits,2,FALSE),""))</f>
        <v/>
      </c>
      <c r="T193" s="40">
        <f>IF(F193="","",IFERROR(1/(1/VLOOKUP(F193,T_Produits,3,FALSE)),""))</f>
        <v/>
      </c>
      <c r="U193" s="40">
        <f>IF(H193&lt;&gt;"",H193,T193)</f>
        <v/>
      </c>
      <c r="V193" s="40">
        <f>IF(OR(G193="",U193=""),"",G193*U193-N(I193))</f>
        <v/>
      </c>
      <c r="W193" s="39">
        <f>IF(D193="","",IFERROR(VALUE(MID(D193,LEN(D193)-3,3)),""))</f>
        <v/>
      </c>
      <c r="X193" s="33">
        <f>IF(W193="","",P193&amp;"|"&amp;W193)</f>
        <v/>
      </c>
      <c r="Y193" s="33">
        <f>IF(W193="","",IF(P193="À RENSEIGNER","GIC",P193)&amp;"-"&amp;TEXT(W193,"000"))</f>
        <v/>
      </c>
      <c r="Z193" s="33">
        <f>IF(X193="","",IFERROR(INDEX(Cl_nom,MATCH(X193,Cl_cle,0)),"(client introuvable)"))</f>
        <v/>
      </c>
      <c r="AA193" s="33">
        <f>IF(X193="","",IFERROR(INDEX(Cl_quartier,MATCH(X193,Cl_cle,0))&amp;"",""))</f>
        <v/>
      </c>
      <c r="AB193" s="45">
        <f>IF(R193&lt;&gt;"Livrée",0,IF(K193&lt;&gt;"",K193,C193))</f>
        <v/>
      </c>
      <c r="AC193" s="33">
        <f>IF(OR(C193="",W193=""),"",P193&amp;"|"&amp;W193&amp;"|"&amp;C193&amp;"|"&amp;E193)</f>
        <v/>
      </c>
      <c r="AD193" s="39">
        <f>IF(AC193="","",IF(COUNTIF(AC$6:AC193,AC193)=1,1,0))</f>
        <v/>
      </c>
      <c r="AE193" s="39">
        <f>IF(AB193=0,"",IF(COUNTIFS(X$6:X193,X193,AB$6:AB193,AB193)=1,1,0))</f>
        <v/>
      </c>
      <c r="AF193" s="34">
        <f>IF(C193="","",YEAR(C193-WEEKDAY(C193,2)+4)&amp;"-S"&amp;TEXT(INT((C193-DATE(YEAR(C193-WEEKDAY(C193,2)+4),1,3)+WEEKDAY(DATE(YEAR(C193-WEEKDAY(C193,2)+4),1,3),2)+5)/7),"00"))</f>
        <v/>
      </c>
    </row>
    <row r="194" ht="18" customHeight="1">
      <c r="A194" s="39" t="n">
        <v>189</v>
      </c>
      <c r="B194" s="33">
        <f>IF(C194="","",IF(P194="À RENSEIGNER","GIC",P194)&amp;"-C"&amp;TEXT(A194,"00000"))</f>
        <v/>
      </c>
      <c r="C194" s="32" t="n"/>
      <c r="D194" s="36" t="n"/>
      <c r="E194" s="36" t="n"/>
      <c r="F194" s="36" t="n"/>
      <c r="G194" s="42" t="n"/>
      <c r="H194" s="37" t="n"/>
      <c r="I194" s="37" t="n"/>
      <c r="J194" s="32" t="n"/>
      <c r="K194" s="32" t="n"/>
      <c r="L194" s="43" t="n"/>
      <c r="M194" s="36" t="n"/>
      <c r="N194" s="44" t="n"/>
      <c r="O194" s="36" t="n"/>
      <c r="P194" s="33">
        <f>IF(C194="","",Commercial_Id)</f>
        <v/>
      </c>
      <c r="Q194" s="34">
        <f>IF(AC194="","",IF(AD194=1,"C"&amp;TEXT(SUM(AD$6:AD194),"0000"),INDEX(Q$6:Q193,MATCH(AC194,AC$6:AC193,0))))</f>
        <v/>
      </c>
      <c r="R194" s="34">
        <f>IF(C194="","",IF(L194="☑ Oui","Annulée",IF(OR(E194="Vente directe",K194&lt;&gt;""),"Livrée",IF(J194&lt;&gt;"","Confirmée","En attente"))))</f>
        <v/>
      </c>
      <c r="S194" s="34">
        <f>IF(F194="","",IFERROR(VLOOKUP(F194,T_Produits,2,FALSE),""))</f>
        <v/>
      </c>
      <c r="T194" s="40">
        <f>IF(F194="","",IFERROR(1/(1/VLOOKUP(F194,T_Produits,3,FALSE)),""))</f>
        <v/>
      </c>
      <c r="U194" s="40">
        <f>IF(H194&lt;&gt;"",H194,T194)</f>
        <v/>
      </c>
      <c r="V194" s="40">
        <f>IF(OR(G194="",U194=""),"",G194*U194-N(I194))</f>
        <v/>
      </c>
      <c r="W194" s="39">
        <f>IF(D194="","",IFERROR(VALUE(MID(D194,LEN(D194)-3,3)),""))</f>
        <v/>
      </c>
      <c r="X194" s="33">
        <f>IF(W194="","",P194&amp;"|"&amp;W194)</f>
        <v/>
      </c>
      <c r="Y194" s="33">
        <f>IF(W194="","",IF(P194="À RENSEIGNER","GIC",P194)&amp;"-"&amp;TEXT(W194,"000"))</f>
        <v/>
      </c>
      <c r="Z194" s="33">
        <f>IF(X194="","",IFERROR(INDEX(Cl_nom,MATCH(X194,Cl_cle,0)),"(client introuvable)"))</f>
        <v/>
      </c>
      <c r="AA194" s="33">
        <f>IF(X194="","",IFERROR(INDEX(Cl_quartier,MATCH(X194,Cl_cle,0))&amp;"",""))</f>
        <v/>
      </c>
      <c r="AB194" s="45">
        <f>IF(R194&lt;&gt;"Livrée",0,IF(K194&lt;&gt;"",K194,C194))</f>
        <v/>
      </c>
      <c r="AC194" s="33">
        <f>IF(OR(C194="",W194=""),"",P194&amp;"|"&amp;W194&amp;"|"&amp;C194&amp;"|"&amp;E194)</f>
        <v/>
      </c>
      <c r="AD194" s="39">
        <f>IF(AC194="","",IF(COUNTIF(AC$6:AC194,AC194)=1,1,0))</f>
        <v/>
      </c>
      <c r="AE194" s="39">
        <f>IF(AB194=0,"",IF(COUNTIFS(X$6:X194,X194,AB$6:AB194,AB194)=1,1,0))</f>
        <v/>
      </c>
      <c r="AF194" s="34">
        <f>IF(C194="","",YEAR(C194-WEEKDAY(C194,2)+4)&amp;"-S"&amp;TEXT(INT((C194-DATE(YEAR(C194-WEEKDAY(C194,2)+4),1,3)+WEEKDAY(DATE(YEAR(C194-WEEKDAY(C194,2)+4),1,3),2)+5)/7),"00"))</f>
        <v/>
      </c>
    </row>
    <row r="195" ht="18" customHeight="1">
      <c r="A195" s="39" t="n">
        <v>190</v>
      </c>
      <c r="B195" s="33">
        <f>IF(C195="","",IF(P195="À RENSEIGNER","GIC",P195)&amp;"-C"&amp;TEXT(A195,"00000"))</f>
        <v/>
      </c>
      <c r="C195" s="32" t="n"/>
      <c r="D195" s="36" t="n"/>
      <c r="E195" s="36" t="n"/>
      <c r="F195" s="36" t="n"/>
      <c r="G195" s="42" t="n"/>
      <c r="H195" s="37" t="n"/>
      <c r="I195" s="37" t="n"/>
      <c r="J195" s="32" t="n"/>
      <c r="K195" s="32" t="n"/>
      <c r="L195" s="43" t="n"/>
      <c r="M195" s="36" t="n"/>
      <c r="N195" s="44" t="n"/>
      <c r="O195" s="36" t="n"/>
      <c r="P195" s="33">
        <f>IF(C195="","",Commercial_Id)</f>
        <v/>
      </c>
      <c r="Q195" s="34">
        <f>IF(AC195="","",IF(AD195=1,"C"&amp;TEXT(SUM(AD$6:AD195),"0000"),INDEX(Q$6:Q194,MATCH(AC195,AC$6:AC194,0))))</f>
        <v/>
      </c>
      <c r="R195" s="34">
        <f>IF(C195="","",IF(L195="☑ Oui","Annulée",IF(OR(E195="Vente directe",K195&lt;&gt;""),"Livrée",IF(J195&lt;&gt;"","Confirmée","En attente"))))</f>
        <v/>
      </c>
      <c r="S195" s="34">
        <f>IF(F195="","",IFERROR(VLOOKUP(F195,T_Produits,2,FALSE),""))</f>
        <v/>
      </c>
      <c r="T195" s="40">
        <f>IF(F195="","",IFERROR(1/(1/VLOOKUP(F195,T_Produits,3,FALSE)),""))</f>
        <v/>
      </c>
      <c r="U195" s="40">
        <f>IF(H195&lt;&gt;"",H195,T195)</f>
        <v/>
      </c>
      <c r="V195" s="40">
        <f>IF(OR(G195="",U195=""),"",G195*U195-N(I195))</f>
        <v/>
      </c>
      <c r="W195" s="39">
        <f>IF(D195="","",IFERROR(VALUE(MID(D195,LEN(D195)-3,3)),""))</f>
        <v/>
      </c>
      <c r="X195" s="33">
        <f>IF(W195="","",P195&amp;"|"&amp;W195)</f>
        <v/>
      </c>
      <c r="Y195" s="33">
        <f>IF(W195="","",IF(P195="À RENSEIGNER","GIC",P195)&amp;"-"&amp;TEXT(W195,"000"))</f>
        <v/>
      </c>
      <c r="Z195" s="33">
        <f>IF(X195="","",IFERROR(INDEX(Cl_nom,MATCH(X195,Cl_cle,0)),"(client introuvable)"))</f>
        <v/>
      </c>
      <c r="AA195" s="33">
        <f>IF(X195="","",IFERROR(INDEX(Cl_quartier,MATCH(X195,Cl_cle,0))&amp;"",""))</f>
        <v/>
      </c>
      <c r="AB195" s="45">
        <f>IF(R195&lt;&gt;"Livrée",0,IF(K195&lt;&gt;"",K195,C195))</f>
        <v/>
      </c>
      <c r="AC195" s="33">
        <f>IF(OR(C195="",W195=""),"",P195&amp;"|"&amp;W195&amp;"|"&amp;C195&amp;"|"&amp;E195)</f>
        <v/>
      </c>
      <c r="AD195" s="39">
        <f>IF(AC195="","",IF(COUNTIF(AC$6:AC195,AC195)=1,1,0))</f>
        <v/>
      </c>
      <c r="AE195" s="39">
        <f>IF(AB195=0,"",IF(COUNTIFS(X$6:X195,X195,AB$6:AB195,AB195)=1,1,0))</f>
        <v/>
      </c>
      <c r="AF195" s="34">
        <f>IF(C195="","",YEAR(C195-WEEKDAY(C195,2)+4)&amp;"-S"&amp;TEXT(INT((C195-DATE(YEAR(C195-WEEKDAY(C195,2)+4),1,3)+WEEKDAY(DATE(YEAR(C195-WEEKDAY(C195,2)+4),1,3),2)+5)/7),"00"))</f>
        <v/>
      </c>
    </row>
    <row r="196" ht="18" customHeight="1">
      <c r="A196" s="39" t="n">
        <v>191</v>
      </c>
      <c r="B196" s="33">
        <f>IF(C196="","",IF(P196="À RENSEIGNER","GIC",P196)&amp;"-C"&amp;TEXT(A196,"00000"))</f>
        <v/>
      </c>
      <c r="C196" s="32" t="n"/>
      <c r="D196" s="36" t="n"/>
      <c r="E196" s="36" t="n"/>
      <c r="F196" s="36" t="n"/>
      <c r="G196" s="42" t="n"/>
      <c r="H196" s="37" t="n"/>
      <c r="I196" s="37" t="n"/>
      <c r="J196" s="32" t="n"/>
      <c r="K196" s="32" t="n"/>
      <c r="L196" s="43" t="n"/>
      <c r="M196" s="36" t="n"/>
      <c r="N196" s="44" t="n"/>
      <c r="O196" s="36" t="n"/>
      <c r="P196" s="33">
        <f>IF(C196="","",Commercial_Id)</f>
        <v/>
      </c>
      <c r="Q196" s="34">
        <f>IF(AC196="","",IF(AD196=1,"C"&amp;TEXT(SUM(AD$6:AD196),"0000"),INDEX(Q$6:Q195,MATCH(AC196,AC$6:AC195,0))))</f>
        <v/>
      </c>
      <c r="R196" s="34">
        <f>IF(C196="","",IF(L196="☑ Oui","Annulée",IF(OR(E196="Vente directe",K196&lt;&gt;""),"Livrée",IF(J196&lt;&gt;"","Confirmée","En attente"))))</f>
        <v/>
      </c>
      <c r="S196" s="34">
        <f>IF(F196="","",IFERROR(VLOOKUP(F196,T_Produits,2,FALSE),""))</f>
        <v/>
      </c>
      <c r="T196" s="40">
        <f>IF(F196="","",IFERROR(1/(1/VLOOKUP(F196,T_Produits,3,FALSE)),""))</f>
        <v/>
      </c>
      <c r="U196" s="40">
        <f>IF(H196&lt;&gt;"",H196,T196)</f>
        <v/>
      </c>
      <c r="V196" s="40">
        <f>IF(OR(G196="",U196=""),"",G196*U196-N(I196))</f>
        <v/>
      </c>
      <c r="W196" s="39">
        <f>IF(D196="","",IFERROR(VALUE(MID(D196,LEN(D196)-3,3)),""))</f>
        <v/>
      </c>
      <c r="X196" s="33">
        <f>IF(W196="","",P196&amp;"|"&amp;W196)</f>
        <v/>
      </c>
      <c r="Y196" s="33">
        <f>IF(W196="","",IF(P196="À RENSEIGNER","GIC",P196)&amp;"-"&amp;TEXT(W196,"000"))</f>
        <v/>
      </c>
      <c r="Z196" s="33">
        <f>IF(X196="","",IFERROR(INDEX(Cl_nom,MATCH(X196,Cl_cle,0)),"(client introuvable)"))</f>
        <v/>
      </c>
      <c r="AA196" s="33">
        <f>IF(X196="","",IFERROR(INDEX(Cl_quartier,MATCH(X196,Cl_cle,0))&amp;"",""))</f>
        <v/>
      </c>
      <c r="AB196" s="45">
        <f>IF(R196&lt;&gt;"Livrée",0,IF(K196&lt;&gt;"",K196,C196))</f>
        <v/>
      </c>
      <c r="AC196" s="33">
        <f>IF(OR(C196="",W196=""),"",P196&amp;"|"&amp;W196&amp;"|"&amp;C196&amp;"|"&amp;E196)</f>
        <v/>
      </c>
      <c r="AD196" s="39">
        <f>IF(AC196="","",IF(COUNTIF(AC$6:AC196,AC196)=1,1,0))</f>
        <v/>
      </c>
      <c r="AE196" s="39">
        <f>IF(AB196=0,"",IF(COUNTIFS(X$6:X196,X196,AB$6:AB196,AB196)=1,1,0))</f>
        <v/>
      </c>
      <c r="AF196" s="34">
        <f>IF(C196="","",YEAR(C196-WEEKDAY(C196,2)+4)&amp;"-S"&amp;TEXT(INT((C196-DATE(YEAR(C196-WEEKDAY(C196,2)+4),1,3)+WEEKDAY(DATE(YEAR(C196-WEEKDAY(C196,2)+4),1,3),2)+5)/7),"00"))</f>
        <v/>
      </c>
    </row>
    <row r="197" ht="18" customHeight="1">
      <c r="A197" s="39" t="n">
        <v>192</v>
      </c>
      <c r="B197" s="33">
        <f>IF(C197="","",IF(P197="À RENSEIGNER","GIC",P197)&amp;"-C"&amp;TEXT(A197,"00000"))</f>
        <v/>
      </c>
      <c r="C197" s="32" t="n"/>
      <c r="D197" s="36" t="n"/>
      <c r="E197" s="36" t="n"/>
      <c r="F197" s="36" t="n"/>
      <c r="G197" s="42" t="n"/>
      <c r="H197" s="37" t="n"/>
      <c r="I197" s="37" t="n"/>
      <c r="J197" s="32" t="n"/>
      <c r="K197" s="32" t="n"/>
      <c r="L197" s="43" t="n"/>
      <c r="M197" s="36" t="n"/>
      <c r="N197" s="44" t="n"/>
      <c r="O197" s="36" t="n"/>
      <c r="P197" s="33">
        <f>IF(C197="","",Commercial_Id)</f>
        <v/>
      </c>
      <c r="Q197" s="34">
        <f>IF(AC197="","",IF(AD197=1,"C"&amp;TEXT(SUM(AD$6:AD197),"0000"),INDEX(Q$6:Q196,MATCH(AC197,AC$6:AC196,0))))</f>
        <v/>
      </c>
      <c r="R197" s="34">
        <f>IF(C197="","",IF(L197="☑ Oui","Annulée",IF(OR(E197="Vente directe",K197&lt;&gt;""),"Livrée",IF(J197&lt;&gt;"","Confirmée","En attente"))))</f>
        <v/>
      </c>
      <c r="S197" s="34">
        <f>IF(F197="","",IFERROR(VLOOKUP(F197,T_Produits,2,FALSE),""))</f>
        <v/>
      </c>
      <c r="T197" s="40">
        <f>IF(F197="","",IFERROR(1/(1/VLOOKUP(F197,T_Produits,3,FALSE)),""))</f>
        <v/>
      </c>
      <c r="U197" s="40">
        <f>IF(H197&lt;&gt;"",H197,T197)</f>
        <v/>
      </c>
      <c r="V197" s="40">
        <f>IF(OR(G197="",U197=""),"",G197*U197-N(I197))</f>
        <v/>
      </c>
      <c r="W197" s="39">
        <f>IF(D197="","",IFERROR(VALUE(MID(D197,LEN(D197)-3,3)),""))</f>
        <v/>
      </c>
      <c r="X197" s="33">
        <f>IF(W197="","",P197&amp;"|"&amp;W197)</f>
        <v/>
      </c>
      <c r="Y197" s="33">
        <f>IF(W197="","",IF(P197="À RENSEIGNER","GIC",P197)&amp;"-"&amp;TEXT(W197,"000"))</f>
        <v/>
      </c>
      <c r="Z197" s="33">
        <f>IF(X197="","",IFERROR(INDEX(Cl_nom,MATCH(X197,Cl_cle,0)),"(client introuvable)"))</f>
        <v/>
      </c>
      <c r="AA197" s="33">
        <f>IF(X197="","",IFERROR(INDEX(Cl_quartier,MATCH(X197,Cl_cle,0))&amp;"",""))</f>
        <v/>
      </c>
      <c r="AB197" s="45">
        <f>IF(R197&lt;&gt;"Livrée",0,IF(K197&lt;&gt;"",K197,C197))</f>
        <v/>
      </c>
      <c r="AC197" s="33">
        <f>IF(OR(C197="",W197=""),"",P197&amp;"|"&amp;W197&amp;"|"&amp;C197&amp;"|"&amp;E197)</f>
        <v/>
      </c>
      <c r="AD197" s="39">
        <f>IF(AC197="","",IF(COUNTIF(AC$6:AC197,AC197)=1,1,0))</f>
        <v/>
      </c>
      <c r="AE197" s="39">
        <f>IF(AB197=0,"",IF(COUNTIFS(X$6:X197,X197,AB$6:AB197,AB197)=1,1,0))</f>
        <v/>
      </c>
      <c r="AF197" s="34">
        <f>IF(C197="","",YEAR(C197-WEEKDAY(C197,2)+4)&amp;"-S"&amp;TEXT(INT((C197-DATE(YEAR(C197-WEEKDAY(C197,2)+4),1,3)+WEEKDAY(DATE(YEAR(C197-WEEKDAY(C197,2)+4),1,3),2)+5)/7),"00"))</f>
        <v/>
      </c>
    </row>
    <row r="198" ht="18" customHeight="1">
      <c r="A198" s="39" t="n">
        <v>193</v>
      </c>
      <c r="B198" s="33">
        <f>IF(C198="","",IF(P198="À RENSEIGNER","GIC",P198)&amp;"-C"&amp;TEXT(A198,"00000"))</f>
        <v/>
      </c>
      <c r="C198" s="32" t="n"/>
      <c r="D198" s="36" t="n"/>
      <c r="E198" s="36" t="n"/>
      <c r="F198" s="36" t="n"/>
      <c r="G198" s="42" t="n"/>
      <c r="H198" s="37" t="n"/>
      <c r="I198" s="37" t="n"/>
      <c r="J198" s="32" t="n"/>
      <c r="K198" s="32" t="n"/>
      <c r="L198" s="43" t="n"/>
      <c r="M198" s="36" t="n"/>
      <c r="N198" s="44" t="n"/>
      <c r="O198" s="36" t="n"/>
      <c r="P198" s="33">
        <f>IF(C198="","",Commercial_Id)</f>
        <v/>
      </c>
      <c r="Q198" s="34">
        <f>IF(AC198="","",IF(AD198=1,"C"&amp;TEXT(SUM(AD$6:AD198),"0000"),INDEX(Q$6:Q197,MATCH(AC198,AC$6:AC197,0))))</f>
        <v/>
      </c>
      <c r="R198" s="34">
        <f>IF(C198="","",IF(L198="☑ Oui","Annulée",IF(OR(E198="Vente directe",K198&lt;&gt;""),"Livrée",IF(J198&lt;&gt;"","Confirmée","En attente"))))</f>
        <v/>
      </c>
      <c r="S198" s="34">
        <f>IF(F198="","",IFERROR(VLOOKUP(F198,T_Produits,2,FALSE),""))</f>
        <v/>
      </c>
      <c r="T198" s="40">
        <f>IF(F198="","",IFERROR(1/(1/VLOOKUP(F198,T_Produits,3,FALSE)),""))</f>
        <v/>
      </c>
      <c r="U198" s="40">
        <f>IF(H198&lt;&gt;"",H198,T198)</f>
        <v/>
      </c>
      <c r="V198" s="40">
        <f>IF(OR(G198="",U198=""),"",G198*U198-N(I198))</f>
        <v/>
      </c>
      <c r="W198" s="39">
        <f>IF(D198="","",IFERROR(VALUE(MID(D198,LEN(D198)-3,3)),""))</f>
        <v/>
      </c>
      <c r="X198" s="33">
        <f>IF(W198="","",P198&amp;"|"&amp;W198)</f>
        <v/>
      </c>
      <c r="Y198" s="33">
        <f>IF(W198="","",IF(P198="À RENSEIGNER","GIC",P198)&amp;"-"&amp;TEXT(W198,"000"))</f>
        <v/>
      </c>
      <c r="Z198" s="33">
        <f>IF(X198="","",IFERROR(INDEX(Cl_nom,MATCH(X198,Cl_cle,0)),"(client introuvable)"))</f>
        <v/>
      </c>
      <c r="AA198" s="33">
        <f>IF(X198="","",IFERROR(INDEX(Cl_quartier,MATCH(X198,Cl_cle,0))&amp;"",""))</f>
        <v/>
      </c>
      <c r="AB198" s="45">
        <f>IF(R198&lt;&gt;"Livrée",0,IF(K198&lt;&gt;"",K198,C198))</f>
        <v/>
      </c>
      <c r="AC198" s="33">
        <f>IF(OR(C198="",W198=""),"",P198&amp;"|"&amp;W198&amp;"|"&amp;C198&amp;"|"&amp;E198)</f>
        <v/>
      </c>
      <c r="AD198" s="39">
        <f>IF(AC198="","",IF(COUNTIF(AC$6:AC198,AC198)=1,1,0))</f>
        <v/>
      </c>
      <c r="AE198" s="39">
        <f>IF(AB198=0,"",IF(COUNTIFS(X$6:X198,X198,AB$6:AB198,AB198)=1,1,0))</f>
        <v/>
      </c>
      <c r="AF198" s="34">
        <f>IF(C198="","",YEAR(C198-WEEKDAY(C198,2)+4)&amp;"-S"&amp;TEXT(INT((C198-DATE(YEAR(C198-WEEKDAY(C198,2)+4),1,3)+WEEKDAY(DATE(YEAR(C198-WEEKDAY(C198,2)+4),1,3),2)+5)/7),"00"))</f>
        <v/>
      </c>
    </row>
    <row r="199" ht="18" customHeight="1">
      <c r="A199" s="39" t="n">
        <v>194</v>
      </c>
      <c r="B199" s="33">
        <f>IF(C199="","",IF(P199="À RENSEIGNER","GIC",P199)&amp;"-C"&amp;TEXT(A199,"00000"))</f>
        <v/>
      </c>
      <c r="C199" s="32" t="n"/>
      <c r="D199" s="36" t="n"/>
      <c r="E199" s="36" t="n"/>
      <c r="F199" s="36" t="n"/>
      <c r="G199" s="42" t="n"/>
      <c r="H199" s="37" t="n"/>
      <c r="I199" s="37" t="n"/>
      <c r="J199" s="32" t="n"/>
      <c r="K199" s="32" t="n"/>
      <c r="L199" s="43" t="n"/>
      <c r="M199" s="36" t="n"/>
      <c r="N199" s="44" t="n"/>
      <c r="O199" s="36" t="n"/>
      <c r="P199" s="33">
        <f>IF(C199="","",Commercial_Id)</f>
        <v/>
      </c>
      <c r="Q199" s="34">
        <f>IF(AC199="","",IF(AD199=1,"C"&amp;TEXT(SUM(AD$6:AD199),"0000"),INDEX(Q$6:Q198,MATCH(AC199,AC$6:AC198,0))))</f>
        <v/>
      </c>
      <c r="R199" s="34">
        <f>IF(C199="","",IF(L199="☑ Oui","Annulée",IF(OR(E199="Vente directe",K199&lt;&gt;""),"Livrée",IF(J199&lt;&gt;"","Confirmée","En attente"))))</f>
        <v/>
      </c>
      <c r="S199" s="34">
        <f>IF(F199="","",IFERROR(VLOOKUP(F199,T_Produits,2,FALSE),""))</f>
        <v/>
      </c>
      <c r="T199" s="40">
        <f>IF(F199="","",IFERROR(1/(1/VLOOKUP(F199,T_Produits,3,FALSE)),""))</f>
        <v/>
      </c>
      <c r="U199" s="40">
        <f>IF(H199&lt;&gt;"",H199,T199)</f>
        <v/>
      </c>
      <c r="V199" s="40">
        <f>IF(OR(G199="",U199=""),"",G199*U199-N(I199))</f>
        <v/>
      </c>
      <c r="W199" s="39">
        <f>IF(D199="","",IFERROR(VALUE(MID(D199,LEN(D199)-3,3)),""))</f>
        <v/>
      </c>
      <c r="X199" s="33">
        <f>IF(W199="","",P199&amp;"|"&amp;W199)</f>
        <v/>
      </c>
      <c r="Y199" s="33">
        <f>IF(W199="","",IF(P199="À RENSEIGNER","GIC",P199)&amp;"-"&amp;TEXT(W199,"000"))</f>
        <v/>
      </c>
      <c r="Z199" s="33">
        <f>IF(X199="","",IFERROR(INDEX(Cl_nom,MATCH(X199,Cl_cle,0)),"(client introuvable)"))</f>
        <v/>
      </c>
      <c r="AA199" s="33">
        <f>IF(X199="","",IFERROR(INDEX(Cl_quartier,MATCH(X199,Cl_cle,0))&amp;"",""))</f>
        <v/>
      </c>
      <c r="AB199" s="45">
        <f>IF(R199&lt;&gt;"Livrée",0,IF(K199&lt;&gt;"",K199,C199))</f>
        <v/>
      </c>
      <c r="AC199" s="33">
        <f>IF(OR(C199="",W199=""),"",P199&amp;"|"&amp;W199&amp;"|"&amp;C199&amp;"|"&amp;E199)</f>
        <v/>
      </c>
      <c r="AD199" s="39">
        <f>IF(AC199="","",IF(COUNTIF(AC$6:AC199,AC199)=1,1,0))</f>
        <v/>
      </c>
      <c r="AE199" s="39">
        <f>IF(AB199=0,"",IF(COUNTIFS(X$6:X199,X199,AB$6:AB199,AB199)=1,1,0))</f>
        <v/>
      </c>
      <c r="AF199" s="34">
        <f>IF(C199="","",YEAR(C199-WEEKDAY(C199,2)+4)&amp;"-S"&amp;TEXT(INT((C199-DATE(YEAR(C199-WEEKDAY(C199,2)+4),1,3)+WEEKDAY(DATE(YEAR(C199-WEEKDAY(C199,2)+4),1,3),2)+5)/7),"00"))</f>
        <v/>
      </c>
    </row>
    <row r="200" ht="18" customHeight="1">
      <c r="A200" s="39" t="n">
        <v>195</v>
      </c>
      <c r="B200" s="33">
        <f>IF(C200="","",IF(P200="À RENSEIGNER","GIC",P200)&amp;"-C"&amp;TEXT(A200,"00000"))</f>
        <v/>
      </c>
      <c r="C200" s="32" t="n"/>
      <c r="D200" s="36" t="n"/>
      <c r="E200" s="36" t="n"/>
      <c r="F200" s="36" t="n"/>
      <c r="G200" s="42" t="n"/>
      <c r="H200" s="37" t="n"/>
      <c r="I200" s="37" t="n"/>
      <c r="J200" s="32" t="n"/>
      <c r="K200" s="32" t="n"/>
      <c r="L200" s="43" t="n"/>
      <c r="M200" s="36" t="n"/>
      <c r="N200" s="44" t="n"/>
      <c r="O200" s="36" t="n"/>
      <c r="P200" s="33">
        <f>IF(C200="","",Commercial_Id)</f>
        <v/>
      </c>
      <c r="Q200" s="34">
        <f>IF(AC200="","",IF(AD200=1,"C"&amp;TEXT(SUM(AD$6:AD200),"0000"),INDEX(Q$6:Q199,MATCH(AC200,AC$6:AC199,0))))</f>
        <v/>
      </c>
      <c r="R200" s="34">
        <f>IF(C200="","",IF(L200="☑ Oui","Annulée",IF(OR(E200="Vente directe",K200&lt;&gt;""),"Livrée",IF(J200&lt;&gt;"","Confirmée","En attente"))))</f>
        <v/>
      </c>
      <c r="S200" s="34">
        <f>IF(F200="","",IFERROR(VLOOKUP(F200,T_Produits,2,FALSE),""))</f>
        <v/>
      </c>
      <c r="T200" s="40">
        <f>IF(F200="","",IFERROR(1/(1/VLOOKUP(F200,T_Produits,3,FALSE)),""))</f>
        <v/>
      </c>
      <c r="U200" s="40">
        <f>IF(H200&lt;&gt;"",H200,T200)</f>
        <v/>
      </c>
      <c r="V200" s="40">
        <f>IF(OR(G200="",U200=""),"",G200*U200-N(I200))</f>
        <v/>
      </c>
      <c r="W200" s="39">
        <f>IF(D200="","",IFERROR(VALUE(MID(D200,LEN(D200)-3,3)),""))</f>
        <v/>
      </c>
      <c r="X200" s="33">
        <f>IF(W200="","",P200&amp;"|"&amp;W200)</f>
        <v/>
      </c>
      <c r="Y200" s="33">
        <f>IF(W200="","",IF(P200="À RENSEIGNER","GIC",P200)&amp;"-"&amp;TEXT(W200,"000"))</f>
        <v/>
      </c>
      <c r="Z200" s="33">
        <f>IF(X200="","",IFERROR(INDEX(Cl_nom,MATCH(X200,Cl_cle,0)),"(client introuvable)"))</f>
        <v/>
      </c>
      <c r="AA200" s="33">
        <f>IF(X200="","",IFERROR(INDEX(Cl_quartier,MATCH(X200,Cl_cle,0))&amp;"",""))</f>
        <v/>
      </c>
      <c r="AB200" s="45">
        <f>IF(R200&lt;&gt;"Livrée",0,IF(K200&lt;&gt;"",K200,C200))</f>
        <v/>
      </c>
      <c r="AC200" s="33">
        <f>IF(OR(C200="",W200=""),"",P200&amp;"|"&amp;W200&amp;"|"&amp;C200&amp;"|"&amp;E200)</f>
        <v/>
      </c>
      <c r="AD200" s="39">
        <f>IF(AC200="","",IF(COUNTIF(AC$6:AC200,AC200)=1,1,0))</f>
        <v/>
      </c>
      <c r="AE200" s="39">
        <f>IF(AB200=0,"",IF(COUNTIFS(X$6:X200,X200,AB$6:AB200,AB200)=1,1,0))</f>
        <v/>
      </c>
      <c r="AF200" s="34">
        <f>IF(C200="","",YEAR(C200-WEEKDAY(C200,2)+4)&amp;"-S"&amp;TEXT(INT((C200-DATE(YEAR(C200-WEEKDAY(C200,2)+4),1,3)+WEEKDAY(DATE(YEAR(C200-WEEKDAY(C200,2)+4),1,3),2)+5)/7),"00"))</f>
        <v/>
      </c>
    </row>
    <row r="201" ht="18" customHeight="1">
      <c r="A201" s="39" t="n">
        <v>196</v>
      </c>
      <c r="B201" s="33">
        <f>IF(C201="","",IF(P201="À RENSEIGNER","GIC",P201)&amp;"-C"&amp;TEXT(A201,"00000"))</f>
        <v/>
      </c>
      <c r="C201" s="32" t="n"/>
      <c r="D201" s="36" t="n"/>
      <c r="E201" s="36" t="n"/>
      <c r="F201" s="36" t="n"/>
      <c r="G201" s="42" t="n"/>
      <c r="H201" s="37" t="n"/>
      <c r="I201" s="37" t="n"/>
      <c r="J201" s="32" t="n"/>
      <c r="K201" s="32" t="n"/>
      <c r="L201" s="43" t="n"/>
      <c r="M201" s="36" t="n"/>
      <c r="N201" s="44" t="n"/>
      <c r="O201" s="36" t="n"/>
      <c r="P201" s="33">
        <f>IF(C201="","",Commercial_Id)</f>
        <v/>
      </c>
      <c r="Q201" s="34">
        <f>IF(AC201="","",IF(AD201=1,"C"&amp;TEXT(SUM(AD$6:AD201),"0000"),INDEX(Q$6:Q200,MATCH(AC201,AC$6:AC200,0))))</f>
        <v/>
      </c>
      <c r="R201" s="34">
        <f>IF(C201="","",IF(L201="☑ Oui","Annulée",IF(OR(E201="Vente directe",K201&lt;&gt;""),"Livrée",IF(J201&lt;&gt;"","Confirmée","En attente"))))</f>
        <v/>
      </c>
      <c r="S201" s="34">
        <f>IF(F201="","",IFERROR(VLOOKUP(F201,T_Produits,2,FALSE),""))</f>
        <v/>
      </c>
      <c r="T201" s="40">
        <f>IF(F201="","",IFERROR(1/(1/VLOOKUP(F201,T_Produits,3,FALSE)),""))</f>
        <v/>
      </c>
      <c r="U201" s="40">
        <f>IF(H201&lt;&gt;"",H201,T201)</f>
        <v/>
      </c>
      <c r="V201" s="40">
        <f>IF(OR(G201="",U201=""),"",G201*U201-N(I201))</f>
        <v/>
      </c>
      <c r="W201" s="39">
        <f>IF(D201="","",IFERROR(VALUE(MID(D201,LEN(D201)-3,3)),""))</f>
        <v/>
      </c>
      <c r="X201" s="33">
        <f>IF(W201="","",P201&amp;"|"&amp;W201)</f>
        <v/>
      </c>
      <c r="Y201" s="33">
        <f>IF(W201="","",IF(P201="À RENSEIGNER","GIC",P201)&amp;"-"&amp;TEXT(W201,"000"))</f>
        <v/>
      </c>
      <c r="Z201" s="33">
        <f>IF(X201="","",IFERROR(INDEX(Cl_nom,MATCH(X201,Cl_cle,0)),"(client introuvable)"))</f>
        <v/>
      </c>
      <c r="AA201" s="33">
        <f>IF(X201="","",IFERROR(INDEX(Cl_quartier,MATCH(X201,Cl_cle,0))&amp;"",""))</f>
        <v/>
      </c>
      <c r="AB201" s="45">
        <f>IF(R201&lt;&gt;"Livrée",0,IF(K201&lt;&gt;"",K201,C201))</f>
        <v/>
      </c>
      <c r="AC201" s="33">
        <f>IF(OR(C201="",W201=""),"",P201&amp;"|"&amp;W201&amp;"|"&amp;C201&amp;"|"&amp;E201)</f>
        <v/>
      </c>
      <c r="AD201" s="39">
        <f>IF(AC201="","",IF(COUNTIF(AC$6:AC201,AC201)=1,1,0))</f>
        <v/>
      </c>
      <c r="AE201" s="39">
        <f>IF(AB201=0,"",IF(COUNTIFS(X$6:X201,X201,AB$6:AB201,AB201)=1,1,0))</f>
        <v/>
      </c>
      <c r="AF201" s="34">
        <f>IF(C201="","",YEAR(C201-WEEKDAY(C201,2)+4)&amp;"-S"&amp;TEXT(INT((C201-DATE(YEAR(C201-WEEKDAY(C201,2)+4),1,3)+WEEKDAY(DATE(YEAR(C201-WEEKDAY(C201,2)+4),1,3),2)+5)/7),"00"))</f>
        <v/>
      </c>
    </row>
    <row r="202" ht="18" customHeight="1">
      <c r="A202" s="39" t="n">
        <v>197</v>
      </c>
      <c r="B202" s="33">
        <f>IF(C202="","",IF(P202="À RENSEIGNER","GIC",P202)&amp;"-C"&amp;TEXT(A202,"00000"))</f>
        <v/>
      </c>
      <c r="C202" s="32" t="n"/>
      <c r="D202" s="36" t="n"/>
      <c r="E202" s="36" t="n"/>
      <c r="F202" s="36" t="n"/>
      <c r="G202" s="42" t="n"/>
      <c r="H202" s="37" t="n"/>
      <c r="I202" s="37" t="n"/>
      <c r="J202" s="32" t="n"/>
      <c r="K202" s="32" t="n"/>
      <c r="L202" s="43" t="n"/>
      <c r="M202" s="36" t="n"/>
      <c r="N202" s="44" t="n"/>
      <c r="O202" s="36" t="n"/>
      <c r="P202" s="33">
        <f>IF(C202="","",Commercial_Id)</f>
        <v/>
      </c>
      <c r="Q202" s="34">
        <f>IF(AC202="","",IF(AD202=1,"C"&amp;TEXT(SUM(AD$6:AD202),"0000"),INDEX(Q$6:Q201,MATCH(AC202,AC$6:AC201,0))))</f>
        <v/>
      </c>
      <c r="R202" s="34">
        <f>IF(C202="","",IF(L202="☑ Oui","Annulée",IF(OR(E202="Vente directe",K202&lt;&gt;""),"Livrée",IF(J202&lt;&gt;"","Confirmée","En attente"))))</f>
        <v/>
      </c>
      <c r="S202" s="34">
        <f>IF(F202="","",IFERROR(VLOOKUP(F202,T_Produits,2,FALSE),""))</f>
        <v/>
      </c>
      <c r="T202" s="40">
        <f>IF(F202="","",IFERROR(1/(1/VLOOKUP(F202,T_Produits,3,FALSE)),""))</f>
        <v/>
      </c>
      <c r="U202" s="40">
        <f>IF(H202&lt;&gt;"",H202,T202)</f>
        <v/>
      </c>
      <c r="V202" s="40">
        <f>IF(OR(G202="",U202=""),"",G202*U202-N(I202))</f>
        <v/>
      </c>
      <c r="W202" s="39">
        <f>IF(D202="","",IFERROR(VALUE(MID(D202,LEN(D202)-3,3)),""))</f>
        <v/>
      </c>
      <c r="X202" s="33">
        <f>IF(W202="","",P202&amp;"|"&amp;W202)</f>
        <v/>
      </c>
      <c r="Y202" s="33">
        <f>IF(W202="","",IF(P202="À RENSEIGNER","GIC",P202)&amp;"-"&amp;TEXT(W202,"000"))</f>
        <v/>
      </c>
      <c r="Z202" s="33">
        <f>IF(X202="","",IFERROR(INDEX(Cl_nom,MATCH(X202,Cl_cle,0)),"(client introuvable)"))</f>
        <v/>
      </c>
      <c r="AA202" s="33">
        <f>IF(X202="","",IFERROR(INDEX(Cl_quartier,MATCH(X202,Cl_cle,0))&amp;"",""))</f>
        <v/>
      </c>
      <c r="AB202" s="45">
        <f>IF(R202&lt;&gt;"Livrée",0,IF(K202&lt;&gt;"",K202,C202))</f>
        <v/>
      </c>
      <c r="AC202" s="33">
        <f>IF(OR(C202="",W202=""),"",P202&amp;"|"&amp;W202&amp;"|"&amp;C202&amp;"|"&amp;E202)</f>
        <v/>
      </c>
      <c r="AD202" s="39">
        <f>IF(AC202="","",IF(COUNTIF(AC$6:AC202,AC202)=1,1,0))</f>
        <v/>
      </c>
      <c r="AE202" s="39">
        <f>IF(AB202=0,"",IF(COUNTIFS(X$6:X202,X202,AB$6:AB202,AB202)=1,1,0))</f>
        <v/>
      </c>
      <c r="AF202" s="34">
        <f>IF(C202="","",YEAR(C202-WEEKDAY(C202,2)+4)&amp;"-S"&amp;TEXT(INT((C202-DATE(YEAR(C202-WEEKDAY(C202,2)+4),1,3)+WEEKDAY(DATE(YEAR(C202-WEEKDAY(C202,2)+4),1,3),2)+5)/7),"00"))</f>
        <v/>
      </c>
    </row>
    <row r="203" ht="18" customHeight="1">
      <c r="A203" s="39" t="n">
        <v>198</v>
      </c>
      <c r="B203" s="33">
        <f>IF(C203="","",IF(P203="À RENSEIGNER","GIC",P203)&amp;"-C"&amp;TEXT(A203,"00000"))</f>
        <v/>
      </c>
      <c r="C203" s="32" t="n"/>
      <c r="D203" s="36" t="n"/>
      <c r="E203" s="36" t="n"/>
      <c r="F203" s="36" t="n"/>
      <c r="G203" s="42" t="n"/>
      <c r="H203" s="37" t="n"/>
      <c r="I203" s="37" t="n"/>
      <c r="J203" s="32" t="n"/>
      <c r="K203" s="32" t="n"/>
      <c r="L203" s="43" t="n"/>
      <c r="M203" s="36" t="n"/>
      <c r="N203" s="44" t="n"/>
      <c r="O203" s="36" t="n"/>
      <c r="P203" s="33">
        <f>IF(C203="","",Commercial_Id)</f>
        <v/>
      </c>
      <c r="Q203" s="34">
        <f>IF(AC203="","",IF(AD203=1,"C"&amp;TEXT(SUM(AD$6:AD203),"0000"),INDEX(Q$6:Q202,MATCH(AC203,AC$6:AC202,0))))</f>
        <v/>
      </c>
      <c r="R203" s="34">
        <f>IF(C203="","",IF(L203="☑ Oui","Annulée",IF(OR(E203="Vente directe",K203&lt;&gt;""),"Livrée",IF(J203&lt;&gt;"","Confirmée","En attente"))))</f>
        <v/>
      </c>
      <c r="S203" s="34">
        <f>IF(F203="","",IFERROR(VLOOKUP(F203,T_Produits,2,FALSE),""))</f>
        <v/>
      </c>
      <c r="T203" s="40">
        <f>IF(F203="","",IFERROR(1/(1/VLOOKUP(F203,T_Produits,3,FALSE)),""))</f>
        <v/>
      </c>
      <c r="U203" s="40">
        <f>IF(H203&lt;&gt;"",H203,T203)</f>
        <v/>
      </c>
      <c r="V203" s="40">
        <f>IF(OR(G203="",U203=""),"",G203*U203-N(I203))</f>
        <v/>
      </c>
      <c r="W203" s="39">
        <f>IF(D203="","",IFERROR(VALUE(MID(D203,LEN(D203)-3,3)),""))</f>
        <v/>
      </c>
      <c r="X203" s="33">
        <f>IF(W203="","",P203&amp;"|"&amp;W203)</f>
        <v/>
      </c>
      <c r="Y203" s="33">
        <f>IF(W203="","",IF(P203="À RENSEIGNER","GIC",P203)&amp;"-"&amp;TEXT(W203,"000"))</f>
        <v/>
      </c>
      <c r="Z203" s="33">
        <f>IF(X203="","",IFERROR(INDEX(Cl_nom,MATCH(X203,Cl_cle,0)),"(client introuvable)"))</f>
        <v/>
      </c>
      <c r="AA203" s="33">
        <f>IF(X203="","",IFERROR(INDEX(Cl_quartier,MATCH(X203,Cl_cle,0))&amp;"",""))</f>
        <v/>
      </c>
      <c r="AB203" s="45">
        <f>IF(R203&lt;&gt;"Livrée",0,IF(K203&lt;&gt;"",K203,C203))</f>
        <v/>
      </c>
      <c r="AC203" s="33">
        <f>IF(OR(C203="",W203=""),"",P203&amp;"|"&amp;W203&amp;"|"&amp;C203&amp;"|"&amp;E203)</f>
        <v/>
      </c>
      <c r="AD203" s="39">
        <f>IF(AC203="","",IF(COUNTIF(AC$6:AC203,AC203)=1,1,0))</f>
        <v/>
      </c>
      <c r="AE203" s="39">
        <f>IF(AB203=0,"",IF(COUNTIFS(X$6:X203,X203,AB$6:AB203,AB203)=1,1,0))</f>
        <v/>
      </c>
      <c r="AF203" s="34">
        <f>IF(C203="","",YEAR(C203-WEEKDAY(C203,2)+4)&amp;"-S"&amp;TEXT(INT((C203-DATE(YEAR(C203-WEEKDAY(C203,2)+4),1,3)+WEEKDAY(DATE(YEAR(C203-WEEKDAY(C203,2)+4),1,3),2)+5)/7),"00"))</f>
        <v/>
      </c>
    </row>
    <row r="204" ht="18" customHeight="1">
      <c r="A204" s="39" t="n">
        <v>199</v>
      </c>
      <c r="B204" s="33">
        <f>IF(C204="","",IF(P204="À RENSEIGNER","GIC",P204)&amp;"-C"&amp;TEXT(A204,"00000"))</f>
        <v/>
      </c>
      <c r="C204" s="32" t="n"/>
      <c r="D204" s="36" t="n"/>
      <c r="E204" s="36" t="n"/>
      <c r="F204" s="36" t="n"/>
      <c r="G204" s="42" t="n"/>
      <c r="H204" s="37" t="n"/>
      <c r="I204" s="37" t="n"/>
      <c r="J204" s="32" t="n"/>
      <c r="K204" s="32" t="n"/>
      <c r="L204" s="43" t="n"/>
      <c r="M204" s="36" t="n"/>
      <c r="N204" s="44" t="n"/>
      <c r="O204" s="36" t="n"/>
      <c r="P204" s="33">
        <f>IF(C204="","",Commercial_Id)</f>
        <v/>
      </c>
      <c r="Q204" s="34">
        <f>IF(AC204="","",IF(AD204=1,"C"&amp;TEXT(SUM(AD$6:AD204),"0000"),INDEX(Q$6:Q203,MATCH(AC204,AC$6:AC203,0))))</f>
        <v/>
      </c>
      <c r="R204" s="34">
        <f>IF(C204="","",IF(L204="☑ Oui","Annulée",IF(OR(E204="Vente directe",K204&lt;&gt;""),"Livrée",IF(J204&lt;&gt;"","Confirmée","En attente"))))</f>
        <v/>
      </c>
      <c r="S204" s="34">
        <f>IF(F204="","",IFERROR(VLOOKUP(F204,T_Produits,2,FALSE),""))</f>
        <v/>
      </c>
      <c r="T204" s="40">
        <f>IF(F204="","",IFERROR(1/(1/VLOOKUP(F204,T_Produits,3,FALSE)),""))</f>
        <v/>
      </c>
      <c r="U204" s="40">
        <f>IF(H204&lt;&gt;"",H204,T204)</f>
        <v/>
      </c>
      <c r="V204" s="40">
        <f>IF(OR(G204="",U204=""),"",G204*U204-N(I204))</f>
        <v/>
      </c>
      <c r="W204" s="39">
        <f>IF(D204="","",IFERROR(VALUE(MID(D204,LEN(D204)-3,3)),""))</f>
        <v/>
      </c>
      <c r="X204" s="33">
        <f>IF(W204="","",P204&amp;"|"&amp;W204)</f>
        <v/>
      </c>
      <c r="Y204" s="33">
        <f>IF(W204="","",IF(P204="À RENSEIGNER","GIC",P204)&amp;"-"&amp;TEXT(W204,"000"))</f>
        <v/>
      </c>
      <c r="Z204" s="33">
        <f>IF(X204="","",IFERROR(INDEX(Cl_nom,MATCH(X204,Cl_cle,0)),"(client introuvable)"))</f>
        <v/>
      </c>
      <c r="AA204" s="33">
        <f>IF(X204="","",IFERROR(INDEX(Cl_quartier,MATCH(X204,Cl_cle,0))&amp;"",""))</f>
        <v/>
      </c>
      <c r="AB204" s="45">
        <f>IF(R204&lt;&gt;"Livrée",0,IF(K204&lt;&gt;"",K204,C204))</f>
        <v/>
      </c>
      <c r="AC204" s="33">
        <f>IF(OR(C204="",W204=""),"",P204&amp;"|"&amp;W204&amp;"|"&amp;C204&amp;"|"&amp;E204)</f>
        <v/>
      </c>
      <c r="AD204" s="39">
        <f>IF(AC204="","",IF(COUNTIF(AC$6:AC204,AC204)=1,1,0))</f>
        <v/>
      </c>
      <c r="AE204" s="39">
        <f>IF(AB204=0,"",IF(COUNTIFS(X$6:X204,X204,AB$6:AB204,AB204)=1,1,0))</f>
        <v/>
      </c>
      <c r="AF204" s="34">
        <f>IF(C204="","",YEAR(C204-WEEKDAY(C204,2)+4)&amp;"-S"&amp;TEXT(INT((C204-DATE(YEAR(C204-WEEKDAY(C204,2)+4),1,3)+WEEKDAY(DATE(YEAR(C204-WEEKDAY(C204,2)+4),1,3),2)+5)/7),"00"))</f>
        <v/>
      </c>
    </row>
    <row r="205" ht="18" customHeight="1">
      <c r="A205" s="39" t="n">
        <v>200</v>
      </c>
      <c r="B205" s="33">
        <f>IF(C205="","",IF(P205="À RENSEIGNER","GIC",P205)&amp;"-C"&amp;TEXT(A205,"00000"))</f>
        <v/>
      </c>
      <c r="C205" s="32" t="n"/>
      <c r="D205" s="36" t="n"/>
      <c r="E205" s="36" t="n"/>
      <c r="F205" s="36" t="n"/>
      <c r="G205" s="42" t="n"/>
      <c r="H205" s="37" t="n"/>
      <c r="I205" s="37" t="n"/>
      <c r="J205" s="32" t="n"/>
      <c r="K205" s="32" t="n"/>
      <c r="L205" s="43" t="n"/>
      <c r="M205" s="36" t="n"/>
      <c r="N205" s="44" t="n"/>
      <c r="O205" s="36" t="n"/>
      <c r="P205" s="33">
        <f>IF(C205="","",Commercial_Id)</f>
        <v/>
      </c>
      <c r="Q205" s="34">
        <f>IF(AC205="","",IF(AD205=1,"C"&amp;TEXT(SUM(AD$6:AD205),"0000"),INDEX(Q$6:Q204,MATCH(AC205,AC$6:AC204,0))))</f>
        <v/>
      </c>
      <c r="R205" s="34">
        <f>IF(C205="","",IF(L205="☑ Oui","Annulée",IF(OR(E205="Vente directe",K205&lt;&gt;""),"Livrée",IF(J205&lt;&gt;"","Confirmée","En attente"))))</f>
        <v/>
      </c>
      <c r="S205" s="34">
        <f>IF(F205="","",IFERROR(VLOOKUP(F205,T_Produits,2,FALSE),""))</f>
        <v/>
      </c>
      <c r="T205" s="40">
        <f>IF(F205="","",IFERROR(1/(1/VLOOKUP(F205,T_Produits,3,FALSE)),""))</f>
        <v/>
      </c>
      <c r="U205" s="40">
        <f>IF(H205&lt;&gt;"",H205,T205)</f>
        <v/>
      </c>
      <c r="V205" s="40">
        <f>IF(OR(G205="",U205=""),"",G205*U205-N(I205))</f>
        <v/>
      </c>
      <c r="W205" s="39">
        <f>IF(D205="","",IFERROR(VALUE(MID(D205,LEN(D205)-3,3)),""))</f>
        <v/>
      </c>
      <c r="X205" s="33">
        <f>IF(W205="","",P205&amp;"|"&amp;W205)</f>
        <v/>
      </c>
      <c r="Y205" s="33">
        <f>IF(W205="","",IF(P205="À RENSEIGNER","GIC",P205)&amp;"-"&amp;TEXT(W205,"000"))</f>
        <v/>
      </c>
      <c r="Z205" s="33">
        <f>IF(X205="","",IFERROR(INDEX(Cl_nom,MATCH(X205,Cl_cle,0)),"(client introuvable)"))</f>
        <v/>
      </c>
      <c r="AA205" s="33">
        <f>IF(X205="","",IFERROR(INDEX(Cl_quartier,MATCH(X205,Cl_cle,0))&amp;"",""))</f>
        <v/>
      </c>
      <c r="AB205" s="45">
        <f>IF(R205&lt;&gt;"Livrée",0,IF(K205&lt;&gt;"",K205,C205))</f>
        <v/>
      </c>
      <c r="AC205" s="33">
        <f>IF(OR(C205="",W205=""),"",P205&amp;"|"&amp;W205&amp;"|"&amp;C205&amp;"|"&amp;E205)</f>
        <v/>
      </c>
      <c r="AD205" s="39">
        <f>IF(AC205="","",IF(COUNTIF(AC$6:AC205,AC205)=1,1,0))</f>
        <v/>
      </c>
      <c r="AE205" s="39">
        <f>IF(AB205=0,"",IF(COUNTIFS(X$6:X205,X205,AB$6:AB205,AB205)=1,1,0))</f>
        <v/>
      </c>
      <c r="AF205" s="34">
        <f>IF(C205="","",YEAR(C205-WEEKDAY(C205,2)+4)&amp;"-S"&amp;TEXT(INT((C205-DATE(YEAR(C205-WEEKDAY(C205,2)+4),1,3)+WEEKDAY(DATE(YEAR(C205-WEEKDAY(C205,2)+4),1,3),2)+5)/7),"00"))</f>
        <v/>
      </c>
    </row>
    <row r="206" ht="18" customHeight="1">
      <c r="A206" s="39" t="n">
        <v>201</v>
      </c>
      <c r="B206" s="33">
        <f>IF(C206="","",IF(P206="À RENSEIGNER","GIC",P206)&amp;"-C"&amp;TEXT(A206,"00000"))</f>
        <v/>
      </c>
      <c r="C206" s="32" t="n"/>
      <c r="D206" s="36" t="n"/>
      <c r="E206" s="36" t="n"/>
      <c r="F206" s="36" t="n"/>
      <c r="G206" s="42" t="n"/>
      <c r="H206" s="37" t="n"/>
      <c r="I206" s="37" t="n"/>
      <c r="J206" s="32" t="n"/>
      <c r="K206" s="32" t="n"/>
      <c r="L206" s="43" t="n"/>
      <c r="M206" s="36" t="n"/>
      <c r="N206" s="44" t="n"/>
      <c r="O206" s="36" t="n"/>
      <c r="P206" s="33">
        <f>IF(C206="","",Commercial_Id)</f>
        <v/>
      </c>
      <c r="Q206" s="34">
        <f>IF(AC206="","",IF(AD206=1,"C"&amp;TEXT(SUM(AD$6:AD206),"0000"),INDEX(Q$6:Q205,MATCH(AC206,AC$6:AC205,0))))</f>
        <v/>
      </c>
      <c r="R206" s="34">
        <f>IF(C206="","",IF(L206="☑ Oui","Annulée",IF(OR(E206="Vente directe",K206&lt;&gt;""),"Livrée",IF(J206&lt;&gt;"","Confirmée","En attente"))))</f>
        <v/>
      </c>
      <c r="S206" s="34">
        <f>IF(F206="","",IFERROR(VLOOKUP(F206,T_Produits,2,FALSE),""))</f>
        <v/>
      </c>
      <c r="T206" s="40">
        <f>IF(F206="","",IFERROR(1/(1/VLOOKUP(F206,T_Produits,3,FALSE)),""))</f>
        <v/>
      </c>
      <c r="U206" s="40">
        <f>IF(H206&lt;&gt;"",H206,T206)</f>
        <v/>
      </c>
      <c r="V206" s="40">
        <f>IF(OR(G206="",U206=""),"",G206*U206-N(I206))</f>
        <v/>
      </c>
      <c r="W206" s="39">
        <f>IF(D206="","",IFERROR(VALUE(MID(D206,LEN(D206)-3,3)),""))</f>
        <v/>
      </c>
      <c r="X206" s="33">
        <f>IF(W206="","",P206&amp;"|"&amp;W206)</f>
        <v/>
      </c>
      <c r="Y206" s="33">
        <f>IF(W206="","",IF(P206="À RENSEIGNER","GIC",P206)&amp;"-"&amp;TEXT(W206,"000"))</f>
        <v/>
      </c>
      <c r="Z206" s="33">
        <f>IF(X206="","",IFERROR(INDEX(Cl_nom,MATCH(X206,Cl_cle,0)),"(client introuvable)"))</f>
        <v/>
      </c>
      <c r="AA206" s="33">
        <f>IF(X206="","",IFERROR(INDEX(Cl_quartier,MATCH(X206,Cl_cle,0))&amp;"",""))</f>
        <v/>
      </c>
      <c r="AB206" s="45">
        <f>IF(R206&lt;&gt;"Livrée",0,IF(K206&lt;&gt;"",K206,C206))</f>
        <v/>
      </c>
      <c r="AC206" s="33">
        <f>IF(OR(C206="",W206=""),"",P206&amp;"|"&amp;W206&amp;"|"&amp;C206&amp;"|"&amp;E206)</f>
        <v/>
      </c>
      <c r="AD206" s="39">
        <f>IF(AC206="","",IF(COUNTIF(AC$6:AC206,AC206)=1,1,0))</f>
        <v/>
      </c>
      <c r="AE206" s="39">
        <f>IF(AB206=0,"",IF(COUNTIFS(X$6:X206,X206,AB$6:AB206,AB206)=1,1,0))</f>
        <v/>
      </c>
      <c r="AF206" s="34">
        <f>IF(C206="","",YEAR(C206-WEEKDAY(C206,2)+4)&amp;"-S"&amp;TEXT(INT((C206-DATE(YEAR(C206-WEEKDAY(C206,2)+4),1,3)+WEEKDAY(DATE(YEAR(C206-WEEKDAY(C206,2)+4),1,3),2)+5)/7),"00"))</f>
        <v/>
      </c>
    </row>
    <row r="207" ht="18" customHeight="1">
      <c r="A207" s="39" t="n">
        <v>202</v>
      </c>
      <c r="B207" s="33">
        <f>IF(C207="","",IF(P207="À RENSEIGNER","GIC",P207)&amp;"-C"&amp;TEXT(A207,"00000"))</f>
        <v/>
      </c>
      <c r="C207" s="32" t="n"/>
      <c r="D207" s="36" t="n"/>
      <c r="E207" s="36" t="n"/>
      <c r="F207" s="36" t="n"/>
      <c r="G207" s="42" t="n"/>
      <c r="H207" s="37" t="n"/>
      <c r="I207" s="37" t="n"/>
      <c r="J207" s="32" t="n"/>
      <c r="K207" s="32" t="n"/>
      <c r="L207" s="43" t="n"/>
      <c r="M207" s="36" t="n"/>
      <c r="N207" s="44" t="n"/>
      <c r="O207" s="36" t="n"/>
      <c r="P207" s="33">
        <f>IF(C207="","",Commercial_Id)</f>
        <v/>
      </c>
      <c r="Q207" s="34">
        <f>IF(AC207="","",IF(AD207=1,"C"&amp;TEXT(SUM(AD$6:AD207),"0000"),INDEX(Q$6:Q206,MATCH(AC207,AC$6:AC206,0))))</f>
        <v/>
      </c>
      <c r="R207" s="34">
        <f>IF(C207="","",IF(L207="☑ Oui","Annulée",IF(OR(E207="Vente directe",K207&lt;&gt;""),"Livrée",IF(J207&lt;&gt;"","Confirmée","En attente"))))</f>
        <v/>
      </c>
      <c r="S207" s="34">
        <f>IF(F207="","",IFERROR(VLOOKUP(F207,T_Produits,2,FALSE),""))</f>
        <v/>
      </c>
      <c r="T207" s="40">
        <f>IF(F207="","",IFERROR(1/(1/VLOOKUP(F207,T_Produits,3,FALSE)),""))</f>
        <v/>
      </c>
      <c r="U207" s="40">
        <f>IF(H207&lt;&gt;"",H207,T207)</f>
        <v/>
      </c>
      <c r="V207" s="40">
        <f>IF(OR(G207="",U207=""),"",G207*U207-N(I207))</f>
        <v/>
      </c>
      <c r="W207" s="39">
        <f>IF(D207="","",IFERROR(VALUE(MID(D207,LEN(D207)-3,3)),""))</f>
        <v/>
      </c>
      <c r="X207" s="33">
        <f>IF(W207="","",P207&amp;"|"&amp;W207)</f>
        <v/>
      </c>
      <c r="Y207" s="33">
        <f>IF(W207="","",IF(P207="À RENSEIGNER","GIC",P207)&amp;"-"&amp;TEXT(W207,"000"))</f>
        <v/>
      </c>
      <c r="Z207" s="33">
        <f>IF(X207="","",IFERROR(INDEX(Cl_nom,MATCH(X207,Cl_cle,0)),"(client introuvable)"))</f>
        <v/>
      </c>
      <c r="AA207" s="33">
        <f>IF(X207="","",IFERROR(INDEX(Cl_quartier,MATCH(X207,Cl_cle,0))&amp;"",""))</f>
        <v/>
      </c>
      <c r="AB207" s="45">
        <f>IF(R207&lt;&gt;"Livrée",0,IF(K207&lt;&gt;"",K207,C207))</f>
        <v/>
      </c>
      <c r="AC207" s="33">
        <f>IF(OR(C207="",W207=""),"",P207&amp;"|"&amp;W207&amp;"|"&amp;C207&amp;"|"&amp;E207)</f>
        <v/>
      </c>
      <c r="AD207" s="39">
        <f>IF(AC207="","",IF(COUNTIF(AC$6:AC207,AC207)=1,1,0))</f>
        <v/>
      </c>
      <c r="AE207" s="39">
        <f>IF(AB207=0,"",IF(COUNTIFS(X$6:X207,X207,AB$6:AB207,AB207)=1,1,0))</f>
        <v/>
      </c>
      <c r="AF207" s="34">
        <f>IF(C207="","",YEAR(C207-WEEKDAY(C207,2)+4)&amp;"-S"&amp;TEXT(INT((C207-DATE(YEAR(C207-WEEKDAY(C207,2)+4),1,3)+WEEKDAY(DATE(YEAR(C207-WEEKDAY(C207,2)+4),1,3),2)+5)/7),"00"))</f>
        <v/>
      </c>
    </row>
    <row r="208" ht="18" customHeight="1">
      <c r="A208" s="39" t="n">
        <v>203</v>
      </c>
      <c r="B208" s="33">
        <f>IF(C208="","",IF(P208="À RENSEIGNER","GIC",P208)&amp;"-C"&amp;TEXT(A208,"00000"))</f>
        <v/>
      </c>
      <c r="C208" s="32" t="n"/>
      <c r="D208" s="36" t="n"/>
      <c r="E208" s="36" t="n"/>
      <c r="F208" s="36" t="n"/>
      <c r="G208" s="42" t="n"/>
      <c r="H208" s="37" t="n"/>
      <c r="I208" s="37" t="n"/>
      <c r="J208" s="32" t="n"/>
      <c r="K208" s="32" t="n"/>
      <c r="L208" s="43" t="n"/>
      <c r="M208" s="36" t="n"/>
      <c r="N208" s="44" t="n"/>
      <c r="O208" s="36" t="n"/>
      <c r="P208" s="33">
        <f>IF(C208="","",Commercial_Id)</f>
        <v/>
      </c>
      <c r="Q208" s="34">
        <f>IF(AC208="","",IF(AD208=1,"C"&amp;TEXT(SUM(AD$6:AD208),"0000"),INDEX(Q$6:Q207,MATCH(AC208,AC$6:AC207,0))))</f>
        <v/>
      </c>
      <c r="R208" s="34">
        <f>IF(C208="","",IF(L208="☑ Oui","Annulée",IF(OR(E208="Vente directe",K208&lt;&gt;""),"Livrée",IF(J208&lt;&gt;"","Confirmée","En attente"))))</f>
        <v/>
      </c>
      <c r="S208" s="34">
        <f>IF(F208="","",IFERROR(VLOOKUP(F208,T_Produits,2,FALSE),""))</f>
        <v/>
      </c>
      <c r="T208" s="40">
        <f>IF(F208="","",IFERROR(1/(1/VLOOKUP(F208,T_Produits,3,FALSE)),""))</f>
        <v/>
      </c>
      <c r="U208" s="40">
        <f>IF(H208&lt;&gt;"",H208,T208)</f>
        <v/>
      </c>
      <c r="V208" s="40">
        <f>IF(OR(G208="",U208=""),"",G208*U208-N(I208))</f>
        <v/>
      </c>
      <c r="W208" s="39">
        <f>IF(D208="","",IFERROR(VALUE(MID(D208,LEN(D208)-3,3)),""))</f>
        <v/>
      </c>
      <c r="X208" s="33">
        <f>IF(W208="","",P208&amp;"|"&amp;W208)</f>
        <v/>
      </c>
      <c r="Y208" s="33">
        <f>IF(W208="","",IF(P208="À RENSEIGNER","GIC",P208)&amp;"-"&amp;TEXT(W208,"000"))</f>
        <v/>
      </c>
      <c r="Z208" s="33">
        <f>IF(X208="","",IFERROR(INDEX(Cl_nom,MATCH(X208,Cl_cle,0)),"(client introuvable)"))</f>
        <v/>
      </c>
      <c r="AA208" s="33">
        <f>IF(X208="","",IFERROR(INDEX(Cl_quartier,MATCH(X208,Cl_cle,0))&amp;"",""))</f>
        <v/>
      </c>
      <c r="AB208" s="45">
        <f>IF(R208&lt;&gt;"Livrée",0,IF(K208&lt;&gt;"",K208,C208))</f>
        <v/>
      </c>
      <c r="AC208" s="33">
        <f>IF(OR(C208="",W208=""),"",P208&amp;"|"&amp;W208&amp;"|"&amp;C208&amp;"|"&amp;E208)</f>
        <v/>
      </c>
      <c r="AD208" s="39">
        <f>IF(AC208="","",IF(COUNTIF(AC$6:AC208,AC208)=1,1,0))</f>
        <v/>
      </c>
      <c r="AE208" s="39">
        <f>IF(AB208=0,"",IF(COUNTIFS(X$6:X208,X208,AB$6:AB208,AB208)=1,1,0))</f>
        <v/>
      </c>
      <c r="AF208" s="34">
        <f>IF(C208="","",YEAR(C208-WEEKDAY(C208,2)+4)&amp;"-S"&amp;TEXT(INT((C208-DATE(YEAR(C208-WEEKDAY(C208,2)+4),1,3)+WEEKDAY(DATE(YEAR(C208-WEEKDAY(C208,2)+4),1,3),2)+5)/7),"00"))</f>
        <v/>
      </c>
    </row>
    <row r="209" ht="18" customHeight="1">
      <c r="A209" s="39" t="n">
        <v>204</v>
      </c>
      <c r="B209" s="33">
        <f>IF(C209="","",IF(P209="À RENSEIGNER","GIC",P209)&amp;"-C"&amp;TEXT(A209,"00000"))</f>
        <v/>
      </c>
      <c r="C209" s="32" t="n"/>
      <c r="D209" s="36" t="n"/>
      <c r="E209" s="36" t="n"/>
      <c r="F209" s="36" t="n"/>
      <c r="G209" s="42" t="n"/>
      <c r="H209" s="37" t="n"/>
      <c r="I209" s="37" t="n"/>
      <c r="J209" s="32" t="n"/>
      <c r="K209" s="32" t="n"/>
      <c r="L209" s="43" t="n"/>
      <c r="M209" s="36" t="n"/>
      <c r="N209" s="44" t="n"/>
      <c r="O209" s="36" t="n"/>
      <c r="P209" s="33">
        <f>IF(C209="","",Commercial_Id)</f>
        <v/>
      </c>
      <c r="Q209" s="34">
        <f>IF(AC209="","",IF(AD209=1,"C"&amp;TEXT(SUM(AD$6:AD209),"0000"),INDEX(Q$6:Q208,MATCH(AC209,AC$6:AC208,0))))</f>
        <v/>
      </c>
      <c r="R209" s="34">
        <f>IF(C209="","",IF(L209="☑ Oui","Annulée",IF(OR(E209="Vente directe",K209&lt;&gt;""),"Livrée",IF(J209&lt;&gt;"","Confirmée","En attente"))))</f>
        <v/>
      </c>
      <c r="S209" s="34">
        <f>IF(F209="","",IFERROR(VLOOKUP(F209,T_Produits,2,FALSE),""))</f>
        <v/>
      </c>
      <c r="T209" s="40">
        <f>IF(F209="","",IFERROR(1/(1/VLOOKUP(F209,T_Produits,3,FALSE)),""))</f>
        <v/>
      </c>
      <c r="U209" s="40">
        <f>IF(H209&lt;&gt;"",H209,T209)</f>
        <v/>
      </c>
      <c r="V209" s="40">
        <f>IF(OR(G209="",U209=""),"",G209*U209-N(I209))</f>
        <v/>
      </c>
      <c r="W209" s="39">
        <f>IF(D209="","",IFERROR(VALUE(MID(D209,LEN(D209)-3,3)),""))</f>
        <v/>
      </c>
      <c r="X209" s="33">
        <f>IF(W209="","",P209&amp;"|"&amp;W209)</f>
        <v/>
      </c>
      <c r="Y209" s="33">
        <f>IF(W209="","",IF(P209="À RENSEIGNER","GIC",P209)&amp;"-"&amp;TEXT(W209,"000"))</f>
        <v/>
      </c>
      <c r="Z209" s="33">
        <f>IF(X209="","",IFERROR(INDEX(Cl_nom,MATCH(X209,Cl_cle,0)),"(client introuvable)"))</f>
        <v/>
      </c>
      <c r="AA209" s="33">
        <f>IF(X209="","",IFERROR(INDEX(Cl_quartier,MATCH(X209,Cl_cle,0))&amp;"",""))</f>
        <v/>
      </c>
      <c r="AB209" s="45">
        <f>IF(R209&lt;&gt;"Livrée",0,IF(K209&lt;&gt;"",K209,C209))</f>
        <v/>
      </c>
      <c r="AC209" s="33">
        <f>IF(OR(C209="",W209=""),"",P209&amp;"|"&amp;W209&amp;"|"&amp;C209&amp;"|"&amp;E209)</f>
        <v/>
      </c>
      <c r="AD209" s="39">
        <f>IF(AC209="","",IF(COUNTIF(AC$6:AC209,AC209)=1,1,0))</f>
        <v/>
      </c>
      <c r="AE209" s="39">
        <f>IF(AB209=0,"",IF(COUNTIFS(X$6:X209,X209,AB$6:AB209,AB209)=1,1,0))</f>
        <v/>
      </c>
      <c r="AF209" s="34">
        <f>IF(C209="","",YEAR(C209-WEEKDAY(C209,2)+4)&amp;"-S"&amp;TEXT(INT((C209-DATE(YEAR(C209-WEEKDAY(C209,2)+4),1,3)+WEEKDAY(DATE(YEAR(C209-WEEKDAY(C209,2)+4),1,3),2)+5)/7),"00"))</f>
        <v/>
      </c>
    </row>
    <row r="210" ht="18" customHeight="1">
      <c r="A210" s="39" t="n">
        <v>205</v>
      </c>
      <c r="B210" s="33">
        <f>IF(C210="","",IF(P210="À RENSEIGNER","GIC",P210)&amp;"-C"&amp;TEXT(A210,"00000"))</f>
        <v/>
      </c>
      <c r="C210" s="32" t="n"/>
      <c r="D210" s="36" t="n"/>
      <c r="E210" s="36" t="n"/>
      <c r="F210" s="36" t="n"/>
      <c r="G210" s="42" t="n"/>
      <c r="H210" s="37" t="n"/>
      <c r="I210" s="37" t="n"/>
      <c r="J210" s="32" t="n"/>
      <c r="K210" s="32" t="n"/>
      <c r="L210" s="43" t="n"/>
      <c r="M210" s="36" t="n"/>
      <c r="N210" s="44" t="n"/>
      <c r="O210" s="36" t="n"/>
      <c r="P210" s="33">
        <f>IF(C210="","",Commercial_Id)</f>
        <v/>
      </c>
      <c r="Q210" s="34">
        <f>IF(AC210="","",IF(AD210=1,"C"&amp;TEXT(SUM(AD$6:AD210),"0000"),INDEX(Q$6:Q209,MATCH(AC210,AC$6:AC209,0))))</f>
        <v/>
      </c>
      <c r="R210" s="34">
        <f>IF(C210="","",IF(L210="☑ Oui","Annulée",IF(OR(E210="Vente directe",K210&lt;&gt;""),"Livrée",IF(J210&lt;&gt;"","Confirmée","En attente"))))</f>
        <v/>
      </c>
      <c r="S210" s="34">
        <f>IF(F210="","",IFERROR(VLOOKUP(F210,T_Produits,2,FALSE),""))</f>
        <v/>
      </c>
      <c r="T210" s="40">
        <f>IF(F210="","",IFERROR(1/(1/VLOOKUP(F210,T_Produits,3,FALSE)),""))</f>
        <v/>
      </c>
      <c r="U210" s="40">
        <f>IF(H210&lt;&gt;"",H210,T210)</f>
        <v/>
      </c>
      <c r="V210" s="40">
        <f>IF(OR(G210="",U210=""),"",G210*U210-N(I210))</f>
        <v/>
      </c>
      <c r="W210" s="39">
        <f>IF(D210="","",IFERROR(VALUE(MID(D210,LEN(D210)-3,3)),""))</f>
        <v/>
      </c>
      <c r="X210" s="33">
        <f>IF(W210="","",P210&amp;"|"&amp;W210)</f>
        <v/>
      </c>
      <c r="Y210" s="33">
        <f>IF(W210="","",IF(P210="À RENSEIGNER","GIC",P210)&amp;"-"&amp;TEXT(W210,"000"))</f>
        <v/>
      </c>
      <c r="Z210" s="33">
        <f>IF(X210="","",IFERROR(INDEX(Cl_nom,MATCH(X210,Cl_cle,0)),"(client introuvable)"))</f>
        <v/>
      </c>
      <c r="AA210" s="33">
        <f>IF(X210="","",IFERROR(INDEX(Cl_quartier,MATCH(X210,Cl_cle,0))&amp;"",""))</f>
        <v/>
      </c>
      <c r="AB210" s="45">
        <f>IF(R210&lt;&gt;"Livrée",0,IF(K210&lt;&gt;"",K210,C210))</f>
        <v/>
      </c>
      <c r="AC210" s="33">
        <f>IF(OR(C210="",W210=""),"",P210&amp;"|"&amp;W210&amp;"|"&amp;C210&amp;"|"&amp;E210)</f>
        <v/>
      </c>
      <c r="AD210" s="39">
        <f>IF(AC210="","",IF(COUNTIF(AC$6:AC210,AC210)=1,1,0))</f>
        <v/>
      </c>
      <c r="AE210" s="39">
        <f>IF(AB210=0,"",IF(COUNTIFS(X$6:X210,X210,AB$6:AB210,AB210)=1,1,0))</f>
        <v/>
      </c>
      <c r="AF210" s="34">
        <f>IF(C210="","",YEAR(C210-WEEKDAY(C210,2)+4)&amp;"-S"&amp;TEXT(INT((C210-DATE(YEAR(C210-WEEKDAY(C210,2)+4),1,3)+WEEKDAY(DATE(YEAR(C210-WEEKDAY(C210,2)+4),1,3),2)+5)/7),"00"))</f>
        <v/>
      </c>
    </row>
    <row r="211" ht="18" customHeight="1">
      <c r="A211" s="39" t="n">
        <v>206</v>
      </c>
      <c r="B211" s="33">
        <f>IF(C211="","",IF(P211="À RENSEIGNER","GIC",P211)&amp;"-C"&amp;TEXT(A211,"00000"))</f>
        <v/>
      </c>
      <c r="C211" s="32" t="n"/>
      <c r="D211" s="36" t="n"/>
      <c r="E211" s="36" t="n"/>
      <c r="F211" s="36" t="n"/>
      <c r="G211" s="42" t="n"/>
      <c r="H211" s="37" t="n"/>
      <c r="I211" s="37" t="n"/>
      <c r="J211" s="32" t="n"/>
      <c r="K211" s="32" t="n"/>
      <c r="L211" s="43" t="n"/>
      <c r="M211" s="36" t="n"/>
      <c r="N211" s="44" t="n"/>
      <c r="O211" s="36" t="n"/>
      <c r="P211" s="33">
        <f>IF(C211="","",Commercial_Id)</f>
        <v/>
      </c>
      <c r="Q211" s="34">
        <f>IF(AC211="","",IF(AD211=1,"C"&amp;TEXT(SUM(AD$6:AD211),"0000"),INDEX(Q$6:Q210,MATCH(AC211,AC$6:AC210,0))))</f>
        <v/>
      </c>
      <c r="R211" s="34">
        <f>IF(C211="","",IF(L211="☑ Oui","Annulée",IF(OR(E211="Vente directe",K211&lt;&gt;""),"Livrée",IF(J211&lt;&gt;"","Confirmée","En attente"))))</f>
        <v/>
      </c>
      <c r="S211" s="34">
        <f>IF(F211="","",IFERROR(VLOOKUP(F211,T_Produits,2,FALSE),""))</f>
        <v/>
      </c>
      <c r="T211" s="40">
        <f>IF(F211="","",IFERROR(1/(1/VLOOKUP(F211,T_Produits,3,FALSE)),""))</f>
        <v/>
      </c>
      <c r="U211" s="40">
        <f>IF(H211&lt;&gt;"",H211,T211)</f>
        <v/>
      </c>
      <c r="V211" s="40">
        <f>IF(OR(G211="",U211=""),"",G211*U211-N(I211))</f>
        <v/>
      </c>
      <c r="W211" s="39">
        <f>IF(D211="","",IFERROR(VALUE(MID(D211,LEN(D211)-3,3)),""))</f>
        <v/>
      </c>
      <c r="X211" s="33">
        <f>IF(W211="","",P211&amp;"|"&amp;W211)</f>
        <v/>
      </c>
      <c r="Y211" s="33">
        <f>IF(W211="","",IF(P211="À RENSEIGNER","GIC",P211)&amp;"-"&amp;TEXT(W211,"000"))</f>
        <v/>
      </c>
      <c r="Z211" s="33">
        <f>IF(X211="","",IFERROR(INDEX(Cl_nom,MATCH(X211,Cl_cle,0)),"(client introuvable)"))</f>
        <v/>
      </c>
      <c r="AA211" s="33">
        <f>IF(X211="","",IFERROR(INDEX(Cl_quartier,MATCH(X211,Cl_cle,0))&amp;"",""))</f>
        <v/>
      </c>
      <c r="AB211" s="45">
        <f>IF(R211&lt;&gt;"Livrée",0,IF(K211&lt;&gt;"",K211,C211))</f>
        <v/>
      </c>
      <c r="AC211" s="33">
        <f>IF(OR(C211="",W211=""),"",P211&amp;"|"&amp;W211&amp;"|"&amp;C211&amp;"|"&amp;E211)</f>
        <v/>
      </c>
      <c r="AD211" s="39">
        <f>IF(AC211="","",IF(COUNTIF(AC$6:AC211,AC211)=1,1,0))</f>
        <v/>
      </c>
      <c r="AE211" s="39">
        <f>IF(AB211=0,"",IF(COUNTIFS(X$6:X211,X211,AB$6:AB211,AB211)=1,1,0))</f>
        <v/>
      </c>
      <c r="AF211" s="34">
        <f>IF(C211="","",YEAR(C211-WEEKDAY(C211,2)+4)&amp;"-S"&amp;TEXT(INT((C211-DATE(YEAR(C211-WEEKDAY(C211,2)+4),1,3)+WEEKDAY(DATE(YEAR(C211-WEEKDAY(C211,2)+4),1,3),2)+5)/7),"00"))</f>
        <v/>
      </c>
    </row>
    <row r="212" ht="18" customHeight="1">
      <c r="A212" s="39" t="n">
        <v>207</v>
      </c>
      <c r="B212" s="33">
        <f>IF(C212="","",IF(P212="À RENSEIGNER","GIC",P212)&amp;"-C"&amp;TEXT(A212,"00000"))</f>
        <v/>
      </c>
      <c r="C212" s="32" t="n"/>
      <c r="D212" s="36" t="n"/>
      <c r="E212" s="36" t="n"/>
      <c r="F212" s="36" t="n"/>
      <c r="G212" s="42" t="n"/>
      <c r="H212" s="37" t="n"/>
      <c r="I212" s="37" t="n"/>
      <c r="J212" s="32" t="n"/>
      <c r="K212" s="32" t="n"/>
      <c r="L212" s="43" t="n"/>
      <c r="M212" s="36" t="n"/>
      <c r="N212" s="44" t="n"/>
      <c r="O212" s="36" t="n"/>
      <c r="P212" s="33">
        <f>IF(C212="","",Commercial_Id)</f>
        <v/>
      </c>
      <c r="Q212" s="34">
        <f>IF(AC212="","",IF(AD212=1,"C"&amp;TEXT(SUM(AD$6:AD212),"0000"),INDEX(Q$6:Q211,MATCH(AC212,AC$6:AC211,0))))</f>
        <v/>
      </c>
      <c r="R212" s="34">
        <f>IF(C212="","",IF(L212="☑ Oui","Annulée",IF(OR(E212="Vente directe",K212&lt;&gt;""),"Livrée",IF(J212&lt;&gt;"","Confirmée","En attente"))))</f>
        <v/>
      </c>
      <c r="S212" s="34">
        <f>IF(F212="","",IFERROR(VLOOKUP(F212,T_Produits,2,FALSE),""))</f>
        <v/>
      </c>
      <c r="T212" s="40">
        <f>IF(F212="","",IFERROR(1/(1/VLOOKUP(F212,T_Produits,3,FALSE)),""))</f>
        <v/>
      </c>
      <c r="U212" s="40">
        <f>IF(H212&lt;&gt;"",H212,T212)</f>
        <v/>
      </c>
      <c r="V212" s="40">
        <f>IF(OR(G212="",U212=""),"",G212*U212-N(I212))</f>
        <v/>
      </c>
      <c r="W212" s="39">
        <f>IF(D212="","",IFERROR(VALUE(MID(D212,LEN(D212)-3,3)),""))</f>
        <v/>
      </c>
      <c r="X212" s="33">
        <f>IF(W212="","",P212&amp;"|"&amp;W212)</f>
        <v/>
      </c>
      <c r="Y212" s="33">
        <f>IF(W212="","",IF(P212="À RENSEIGNER","GIC",P212)&amp;"-"&amp;TEXT(W212,"000"))</f>
        <v/>
      </c>
      <c r="Z212" s="33">
        <f>IF(X212="","",IFERROR(INDEX(Cl_nom,MATCH(X212,Cl_cle,0)),"(client introuvable)"))</f>
        <v/>
      </c>
      <c r="AA212" s="33">
        <f>IF(X212="","",IFERROR(INDEX(Cl_quartier,MATCH(X212,Cl_cle,0))&amp;"",""))</f>
        <v/>
      </c>
      <c r="AB212" s="45">
        <f>IF(R212&lt;&gt;"Livrée",0,IF(K212&lt;&gt;"",K212,C212))</f>
        <v/>
      </c>
      <c r="AC212" s="33">
        <f>IF(OR(C212="",W212=""),"",P212&amp;"|"&amp;W212&amp;"|"&amp;C212&amp;"|"&amp;E212)</f>
        <v/>
      </c>
      <c r="AD212" s="39">
        <f>IF(AC212="","",IF(COUNTIF(AC$6:AC212,AC212)=1,1,0))</f>
        <v/>
      </c>
      <c r="AE212" s="39">
        <f>IF(AB212=0,"",IF(COUNTIFS(X$6:X212,X212,AB$6:AB212,AB212)=1,1,0))</f>
        <v/>
      </c>
      <c r="AF212" s="34">
        <f>IF(C212="","",YEAR(C212-WEEKDAY(C212,2)+4)&amp;"-S"&amp;TEXT(INT((C212-DATE(YEAR(C212-WEEKDAY(C212,2)+4),1,3)+WEEKDAY(DATE(YEAR(C212-WEEKDAY(C212,2)+4),1,3),2)+5)/7),"00"))</f>
        <v/>
      </c>
    </row>
    <row r="213" ht="18" customHeight="1">
      <c r="A213" s="39" t="n">
        <v>208</v>
      </c>
      <c r="B213" s="33">
        <f>IF(C213="","",IF(P213="À RENSEIGNER","GIC",P213)&amp;"-C"&amp;TEXT(A213,"00000"))</f>
        <v/>
      </c>
      <c r="C213" s="32" t="n"/>
      <c r="D213" s="36" t="n"/>
      <c r="E213" s="36" t="n"/>
      <c r="F213" s="36" t="n"/>
      <c r="G213" s="42" t="n"/>
      <c r="H213" s="37" t="n"/>
      <c r="I213" s="37" t="n"/>
      <c r="J213" s="32" t="n"/>
      <c r="K213" s="32" t="n"/>
      <c r="L213" s="43" t="n"/>
      <c r="M213" s="36" t="n"/>
      <c r="N213" s="44" t="n"/>
      <c r="O213" s="36" t="n"/>
      <c r="P213" s="33">
        <f>IF(C213="","",Commercial_Id)</f>
        <v/>
      </c>
      <c r="Q213" s="34">
        <f>IF(AC213="","",IF(AD213=1,"C"&amp;TEXT(SUM(AD$6:AD213),"0000"),INDEX(Q$6:Q212,MATCH(AC213,AC$6:AC212,0))))</f>
        <v/>
      </c>
      <c r="R213" s="34">
        <f>IF(C213="","",IF(L213="☑ Oui","Annulée",IF(OR(E213="Vente directe",K213&lt;&gt;""),"Livrée",IF(J213&lt;&gt;"","Confirmée","En attente"))))</f>
        <v/>
      </c>
      <c r="S213" s="34">
        <f>IF(F213="","",IFERROR(VLOOKUP(F213,T_Produits,2,FALSE),""))</f>
        <v/>
      </c>
      <c r="T213" s="40">
        <f>IF(F213="","",IFERROR(1/(1/VLOOKUP(F213,T_Produits,3,FALSE)),""))</f>
        <v/>
      </c>
      <c r="U213" s="40">
        <f>IF(H213&lt;&gt;"",H213,T213)</f>
        <v/>
      </c>
      <c r="V213" s="40">
        <f>IF(OR(G213="",U213=""),"",G213*U213-N(I213))</f>
        <v/>
      </c>
      <c r="W213" s="39">
        <f>IF(D213="","",IFERROR(VALUE(MID(D213,LEN(D213)-3,3)),""))</f>
        <v/>
      </c>
      <c r="X213" s="33">
        <f>IF(W213="","",P213&amp;"|"&amp;W213)</f>
        <v/>
      </c>
      <c r="Y213" s="33">
        <f>IF(W213="","",IF(P213="À RENSEIGNER","GIC",P213)&amp;"-"&amp;TEXT(W213,"000"))</f>
        <v/>
      </c>
      <c r="Z213" s="33">
        <f>IF(X213="","",IFERROR(INDEX(Cl_nom,MATCH(X213,Cl_cle,0)),"(client introuvable)"))</f>
        <v/>
      </c>
      <c r="AA213" s="33">
        <f>IF(X213="","",IFERROR(INDEX(Cl_quartier,MATCH(X213,Cl_cle,0))&amp;"",""))</f>
        <v/>
      </c>
      <c r="AB213" s="45">
        <f>IF(R213&lt;&gt;"Livrée",0,IF(K213&lt;&gt;"",K213,C213))</f>
        <v/>
      </c>
      <c r="AC213" s="33">
        <f>IF(OR(C213="",W213=""),"",P213&amp;"|"&amp;W213&amp;"|"&amp;C213&amp;"|"&amp;E213)</f>
        <v/>
      </c>
      <c r="AD213" s="39">
        <f>IF(AC213="","",IF(COUNTIF(AC$6:AC213,AC213)=1,1,0))</f>
        <v/>
      </c>
      <c r="AE213" s="39">
        <f>IF(AB213=0,"",IF(COUNTIFS(X$6:X213,X213,AB$6:AB213,AB213)=1,1,0))</f>
        <v/>
      </c>
      <c r="AF213" s="34">
        <f>IF(C213="","",YEAR(C213-WEEKDAY(C213,2)+4)&amp;"-S"&amp;TEXT(INT((C213-DATE(YEAR(C213-WEEKDAY(C213,2)+4),1,3)+WEEKDAY(DATE(YEAR(C213-WEEKDAY(C213,2)+4),1,3),2)+5)/7),"00"))</f>
        <v/>
      </c>
    </row>
    <row r="214" ht="18" customHeight="1">
      <c r="A214" s="39" t="n">
        <v>209</v>
      </c>
      <c r="B214" s="33">
        <f>IF(C214="","",IF(P214="À RENSEIGNER","GIC",P214)&amp;"-C"&amp;TEXT(A214,"00000"))</f>
        <v/>
      </c>
      <c r="C214" s="32" t="n"/>
      <c r="D214" s="36" t="n"/>
      <c r="E214" s="36" t="n"/>
      <c r="F214" s="36" t="n"/>
      <c r="G214" s="42" t="n"/>
      <c r="H214" s="37" t="n"/>
      <c r="I214" s="37" t="n"/>
      <c r="J214" s="32" t="n"/>
      <c r="K214" s="32" t="n"/>
      <c r="L214" s="43" t="n"/>
      <c r="M214" s="36" t="n"/>
      <c r="N214" s="44" t="n"/>
      <c r="O214" s="36" t="n"/>
      <c r="P214" s="33">
        <f>IF(C214="","",Commercial_Id)</f>
        <v/>
      </c>
      <c r="Q214" s="34">
        <f>IF(AC214="","",IF(AD214=1,"C"&amp;TEXT(SUM(AD$6:AD214),"0000"),INDEX(Q$6:Q213,MATCH(AC214,AC$6:AC213,0))))</f>
        <v/>
      </c>
      <c r="R214" s="34">
        <f>IF(C214="","",IF(L214="☑ Oui","Annulée",IF(OR(E214="Vente directe",K214&lt;&gt;""),"Livrée",IF(J214&lt;&gt;"","Confirmée","En attente"))))</f>
        <v/>
      </c>
      <c r="S214" s="34">
        <f>IF(F214="","",IFERROR(VLOOKUP(F214,T_Produits,2,FALSE),""))</f>
        <v/>
      </c>
      <c r="T214" s="40">
        <f>IF(F214="","",IFERROR(1/(1/VLOOKUP(F214,T_Produits,3,FALSE)),""))</f>
        <v/>
      </c>
      <c r="U214" s="40">
        <f>IF(H214&lt;&gt;"",H214,T214)</f>
        <v/>
      </c>
      <c r="V214" s="40">
        <f>IF(OR(G214="",U214=""),"",G214*U214-N(I214))</f>
        <v/>
      </c>
      <c r="W214" s="39">
        <f>IF(D214="","",IFERROR(VALUE(MID(D214,LEN(D214)-3,3)),""))</f>
        <v/>
      </c>
      <c r="X214" s="33">
        <f>IF(W214="","",P214&amp;"|"&amp;W214)</f>
        <v/>
      </c>
      <c r="Y214" s="33">
        <f>IF(W214="","",IF(P214="À RENSEIGNER","GIC",P214)&amp;"-"&amp;TEXT(W214,"000"))</f>
        <v/>
      </c>
      <c r="Z214" s="33">
        <f>IF(X214="","",IFERROR(INDEX(Cl_nom,MATCH(X214,Cl_cle,0)),"(client introuvable)"))</f>
        <v/>
      </c>
      <c r="AA214" s="33">
        <f>IF(X214="","",IFERROR(INDEX(Cl_quartier,MATCH(X214,Cl_cle,0))&amp;"",""))</f>
        <v/>
      </c>
      <c r="AB214" s="45">
        <f>IF(R214&lt;&gt;"Livrée",0,IF(K214&lt;&gt;"",K214,C214))</f>
        <v/>
      </c>
      <c r="AC214" s="33">
        <f>IF(OR(C214="",W214=""),"",P214&amp;"|"&amp;W214&amp;"|"&amp;C214&amp;"|"&amp;E214)</f>
        <v/>
      </c>
      <c r="AD214" s="39">
        <f>IF(AC214="","",IF(COUNTIF(AC$6:AC214,AC214)=1,1,0))</f>
        <v/>
      </c>
      <c r="AE214" s="39">
        <f>IF(AB214=0,"",IF(COUNTIFS(X$6:X214,X214,AB$6:AB214,AB214)=1,1,0))</f>
        <v/>
      </c>
      <c r="AF214" s="34">
        <f>IF(C214="","",YEAR(C214-WEEKDAY(C214,2)+4)&amp;"-S"&amp;TEXT(INT((C214-DATE(YEAR(C214-WEEKDAY(C214,2)+4),1,3)+WEEKDAY(DATE(YEAR(C214-WEEKDAY(C214,2)+4),1,3),2)+5)/7),"00"))</f>
        <v/>
      </c>
    </row>
    <row r="215" ht="18" customHeight="1">
      <c r="A215" s="39" t="n">
        <v>210</v>
      </c>
      <c r="B215" s="33">
        <f>IF(C215="","",IF(P215="À RENSEIGNER","GIC",P215)&amp;"-C"&amp;TEXT(A215,"00000"))</f>
        <v/>
      </c>
      <c r="C215" s="32" t="n"/>
      <c r="D215" s="36" t="n"/>
      <c r="E215" s="36" t="n"/>
      <c r="F215" s="36" t="n"/>
      <c r="G215" s="42" t="n"/>
      <c r="H215" s="37" t="n"/>
      <c r="I215" s="37" t="n"/>
      <c r="J215" s="32" t="n"/>
      <c r="K215" s="32" t="n"/>
      <c r="L215" s="43" t="n"/>
      <c r="M215" s="36" t="n"/>
      <c r="N215" s="44" t="n"/>
      <c r="O215" s="36" t="n"/>
      <c r="P215" s="33">
        <f>IF(C215="","",Commercial_Id)</f>
        <v/>
      </c>
      <c r="Q215" s="34">
        <f>IF(AC215="","",IF(AD215=1,"C"&amp;TEXT(SUM(AD$6:AD215),"0000"),INDEX(Q$6:Q214,MATCH(AC215,AC$6:AC214,0))))</f>
        <v/>
      </c>
      <c r="R215" s="34">
        <f>IF(C215="","",IF(L215="☑ Oui","Annulée",IF(OR(E215="Vente directe",K215&lt;&gt;""),"Livrée",IF(J215&lt;&gt;"","Confirmée","En attente"))))</f>
        <v/>
      </c>
      <c r="S215" s="34">
        <f>IF(F215="","",IFERROR(VLOOKUP(F215,T_Produits,2,FALSE),""))</f>
        <v/>
      </c>
      <c r="T215" s="40">
        <f>IF(F215="","",IFERROR(1/(1/VLOOKUP(F215,T_Produits,3,FALSE)),""))</f>
        <v/>
      </c>
      <c r="U215" s="40">
        <f>IF(H215&lt;&gt;"",H215,T215)</f>
        <v/>
      </c>
      <c r="V215" s="40">
        <f>IF(OR(G215="",U215=""),"",G215*U215-N(I215))</f>
        <v/>
      </c>
      <c r="W215" s="39">
        <f>IF(D215="","",IFERROR(VALUE(MID(D215,LEN(D215)-3,3)),""))</f>
        <v/>
      </c>
      <c r="X215" s="33">
        <f>IF(W215="","",P215&amp;"|"&amp;W215)</f>
        <v/>
      </c>
      <c r="Y215" s="33">
        <f>IF(W215="","",IF(P215="À RENSEIGNER","GIC",P215)&amp;"-"&amp;TEXT(W215,"000"))</f>
        <v/>
      </c>
      <c r="Z215" s="33">
        <f>IF(X215="","",IFERROR(INDEX(Cl_nom,MATCH(X215,Cl_cle,0)),"(client introuvable)"))</f>
        <v/>
      </c>
      <c r="AA215" s="33">
        <f>IF(X215="","",IFERROR(INDEX(Cl_quartier,MATCH(X215,Cl_cle,0))&amp;"",""))</f>
        <v/>
      </c>
      <c r="AB215" s="45">
        <f>IF(R215&lt;&gt;"Livrée",0,IF(K215&lt;&gt;"",K215,C215))</f>
        <v/>
      </c>
      <c r="AC215" s="33">
        <f>IF(OR(C215="",W215=""),"",P215&amp;"|"&amp;W215&amp;"|"&amp;C215&amp;"|"&amp;E215)</f>
        <v/>
      </c>
      <c r="AD215" s="39">
        <f>IF(AC215="","",IF(COUNTIF(AC$6:AC215,AC215)=1,1,0))</f>
        <v/>
      </c>
      <c r="AE215" s="39">
        <f>IF(AB215=0,"",IF(COUNTIFS(X$6:X215,X215,AB$6:AB215,AB215)=1,1,0))</f>
        <v/>
      </c>
      <c r="AF215" s="34">
        <f>IF(C215="","",YEAR(C215-WEEKDAY(C215,2)+4)&amp;"-S"&amp;TEXT(INT((C215-DATE(YEAR(C215-WEEKDAY(C215,2)+4),1,3)+WEEKDAY(DATE(YEAR(C215-WEEKDAY(C215,2)+4),1,3),2)+5)/7),"00"))</f>
        <v/>
      </c>
    </row>
    <row r="216" ht="18" customHeight="1">
      <c r="A216" s="39" t="n">
        <v>211</v>
      </c>
      <c r="B216" s="33">
        <f>IF(C216="","",IF(P216="À RENSEIGNER","GIC",P216)&amp;"-C"&amp;TEXT(A216,"00000"))</f>
        <v/>
      </c>
      <c r="C216" s="32" t="n"/>
      <c r="D216" s="36" t="n"/>
      <c r="E216" s="36" t="n"/>
      <c r="F216" s="36" t="n"/>
      <c r="G216" s="42" t="n"/>
      <c r="H216" s="37" t="n"/>
      <c r="I216" s="37" t="n"/>
      <c r="J216" s="32" t="n"/>
      <c r="K216" s="32" t="n"/>
      <c r="L216" s="43" t="n"/>
      <c r="M216" s="36" t="n"/>
      <c r="N216" s="44" t="n"/>
      <c r="O216" s="36" t="n"/>
      <c r="P216" s="33">
        <f>IF(C216="","",Commercial_Id)</f>
        <v/>
      </c>
      <c r="Q216" s="34">
        <f>IF(AC216="","",IF(AD216=1,"C"&amp;TEXT(SUM(AD$6:AD216),"0000"),INDEX(Q$6:Q215,MATCH(AC216,AC$6:AC215,0))))</f>
        <v/>
      </c>
      <c r="R216" s="34">
        <f>IF(C216="","",IF(L216="☑ Oui","Annulée",IF(OR(E216="Vente directe",K216&lt;&gt;""),"Livrée",IF(J216&lt;&gt;"","Confirmée","En attente"))))</f>
        <v/>
      </c>
      <c r="S216" s="34">
        <f>IF(F216="","",IFERROR(VLOOKUP(F216,T_Produits,2,FALSE),""))</f>
        <v/>
      </c>
      <c r="T216" s="40">
        <f>IF(F216="","",IFERROR(1/(1/VLOOKUP(F216,T_Produits,3,FALSE)),""))</f>
        <v/>
      </c>
      <c r="U216" s="40">
        <f>IF(H216&lt;&gt;"",H216,T216)</f>
        <v/>
      </c>
      <c r="V216" s="40">
        <f>IF(OR(G216="",U216=""),"",G216*U216-N(I216))</f>
        <v/>
      </c>
      <c r="W216" s="39">
        <f>IF(D216="","",IFERROR(VALUE(MID(D216,LEN(D216)-3,3)),""))</f>
        <v/>
      </c>
      <c r="X216" s="33">
        <f>IF(W216="","",P216&amp;"|"&amp;W216)</f>
        <v/>
      </c>
      <c r="Y216" s="33">
        <f>IF(W216="","",IF(P216="À RENSEIGNER","GIC",P216)&amp;"-"&amp;TEXT(W216,"000"))</f>
        <v/>
      </c>
      <c r="Z216" s="33">
        <f>IF(X216="","",IFERROR(INDEX(Cl_nom,MATCH(X216,Cl_cle,0)),"(client introuvable)"))</f>
        <v/>
      </c>
      <c r="AA216" s="33">
        <f>IF(X216="","",IFERROR(INDEX(Cl_quartier,MATCH(X216,Cl_cle,0))&amp;"",""))</f>
        <v/>
      </c>
      <c r="AB216" s="45">
        <f>IF(R216&lt;&gt;"Livrée",0,IF(K216&lt;&gt;"",K216,C216))</f>
        <v/>
      </c>
      <c r="AC216" s="33">
        <f>IF(OR(C216="",W216=""),"",P216&amp;"|"&amp;W216&amp;"|"&amp;C216&amp;"|"&amp;E216)</f>
        <v/>
      </c>
      <c r="AD216" s="39">
        <f>IF(AC216="","",IF(COUNTIF(AC$6:AC216,AC216)=1,1,0))</f>
        <v/>
      </c>
      <c r="AE216" s="39">
        <f>IF(AB216=0,"",IF(COUNTIFS(X$6:X216,X216,AB$6:AB216,AB216)=1,1,0))</f>
        <v/>
      </c>
      <c r="AF216" s="34">
        <f>IF(C216="","",YEAR(C216-WEEKDAY(C216,2)+4)&amp;"-S"&amp;TEXT(INT((C216-DATE(YEAR(C216-WEEKDAY(C216,2)+4),1,3)+WEEKDAY(DATE(YEAR(C216-WEEKDAY(C216,2)+4),1,3),2)+5)/7),"00"))</f>
        <v/>
      </c>
    </row>
    <row r="217" ht="18" customHeight="1">
      <c r="A217" s="39" t="n">
        <v>212</v>
      </c>
      <c r="B217" s="33">
        <f>IF(C217="","",IF(P217="À RENSEIGNER","GIC",P217)&amp;"-C"&amp;TEXT(A217,"00000"))</f>
        <v/>
      </c>
      <c r="C217" s="32" t="n"/>
      <c r="D217" s="36" t="n"/>
      <c r="E217" s="36" t="n"/>
      <c r="F217" s="36" t="n"/>
      <c r="G217" s="42" t="n"/>
      <c r="H217" s="37" t="n"/>
      <c r="I217" s="37" t="n"/>
      <c r="J217" s="32" t="n"/>
      <c r="K217" s="32" t="n"/>
      <c r="L217" s="43" t="n"/>
      <c r="M217" s="36" t="n"/>
      <c r="N217" s="44" t="n"/>
      <c r="O217" s="36" t="n"/>
      <c r="P217" s="33">
        <f>IF(C217="","",Commercial_Id)</f>
        <v/>
      </c>
      <c r="Q217" s="34">
        <f>IF(AC217="","",IF(AD217=1,"C"&amp;TEXT(SUM(AD$6:AD217),"0000"),INDEX(Q$6:Q216,MATCH(AC217,AC$6:AC216,0))))</f>
        <v/>
      </c>
      <c r="R217" s="34">
        <f>IF(C217="","",IF(L217="☑ Oui","Annulée",IF(OR(E217="Vente directe",K217&lt;&gt;""),"Livrée",IF(J217&lt;&gt;"","Confirmée","En attente"))))</f>
        <v/>
      </c>
      <c r="S217" s="34">
        <f>IF(F217="","",IFERROR(VLOOKUP(F217,T_Produits,2,FALSE),""))</f>
        <v/>
      </c>
      <c r="T217" s="40">
        <f>IF(F217="","",IFERROR(1/(1/VLOOKUP(F217,T_Produits,3,FALSE)),""))</f>
        <v/>
      </c>
      <c r="U217" s="40">
        <f>IF(H217&lt;&gt;"",H217,T217)</f>
        <v/>
      </c>
      <c r="V217" s="40">
        <f>IF(OR(G217="",U217=""),"",G217*U217-N(I217))</f>
        <v/>
      </c>
      <c r="W217" s="39">
        <f>IF(D217="","",IFERROR(VALUE(MID(D217,LEN(D217)-3,3)),""))</f>
        <v/>
      </c>
      <c r="X217" s="33">
        <f>IF(W217="","",P217&amp;"|"&amp;W217)</f>
        <v/>
      </c>
      <c r="Y217" s="33">
        <f>IF(W217="","",IF(P217="À RENSEIGNER","GIC",P217)&amp;"-"&amp;TEXT(W217,"000"))</f>
        <v/>
      </c>
      <c r="Z217" s="33">
        <f>IF(X217="","",IFERROR(INDEX(Cl_nom,MATCH(X217,Cl_cle,0)),"(client introuvable)"))</f>
        <v/>
      </c>
      <c r="AA217" s="33">
        <f>IF(X217="","",IFERROR(INDEX(Cl_quartier,MATCH(X217,Cl_cle,0))&amp;"",""))</f>
        <v/>
      </c>
      <c r="AB217" s="45">
        <f>IF(R217&lt;&gt;"Livrée",0,IF(K217&lt;&gt;"",K217,C217))</f>
        <v/>
      </c>
      <c r="AC217" s="33">
        <f>IF(OR(C217="",W217=""),"",P217&amp;"|"&amp;W217&amp;"|"&amp;C217&amp;"|"&amp;E217)</f>
        <v/>
      </c>
      <c r="AD217" s="39">
        <f>IF(AC217="","",IF(COUNTIF(AC$6:AC217,AC217)=1,1,0))</f>
        <v/>
      </c>
      <c r="AE217" s="39">
        <f>IF(AB217=0,"",IF(COUNTIFS(X$6:X217,X217,AB$6:AB217,AB217)=1,1,0))</f>
        <v/>
      </c>
      <c r="AF217" s="34">
        <f>IF(C217="","",YEAR(C217-WEEKDAY(C217,2)+4)&amp;"-S"&amp;TEXT(INT((C217-DATE(YEAR(C217-WEEKDAY(C217,2)+4),1,3)+WEEKDAY(DATE(YEAR(C217-WEEKDAY(C217,2)+4),1,3),2)+5)/7),"00"))</f>
        <v/>
      </c>
    </row>
    <row r="218" ht="18" customHeight="1">
      <c r="A218" s="39" t="n">
        <v>213</v>
      </c>
      <c r="B218" s="33">
        <f>IF(C218="","",IF(P218="À RENSEIGNER","GIC",P218)&amp;"-C"&amp;TEXT(A218,"00000"))</f>
        <v/>
      </c>
      <c r="C218" s="32" t="n"/>
      <c r="D218" s="36" t="n"/>
      <c r="E218" s="36" t="n"/>
      <c r="F218" s="36" t="n"/>
      <c r="G218" s="42" t="n"/>
      <c r="H218" s="37" t="n"/>
      <c r="I218" s="37" t="n"/>
      <c r="J218" s="32" t="n"/>
      <c r="K218" s="32" t="n"/>
      <c r="L218" s="43" t="n"/>
      <c r="M218" s="36" t="n"/>
      <c r="N218" s="44" t="n"/>
      <c r="O218" s="36" t="n"/>
      <c r="P218" s="33">
        <f>IF(C218="","",Commercial_Id)</f>
        <v/>
      </c>
      <c r="Q218" s="34">
        <f>IF(AC218="","",IF(AD218=1,"C"&amp;TEXT(SUM(AD$6:AD218),"0000"),INDEX(Q$6:Q217,MATCH(AC218,AC$6:AC217,0))))</f>
        <v/>
      </c>
      <c r="R218" s="34">
        <f>IF(C218="","",IF(L218="☑ Oui","Annulée",IF(OR(E218="Vente directe",K218&lt;&gt;""),"Livrée",IF(J218&lt;&gt;"","Confirmée","En attente"))))</f>
        <v/>
      </c>
      <c r="S218" s="34">
        <f>IF(F218="","",IFERROR(VLOOKUP(F218,T_Produits,2,FALSE),""))</f>
        <v/>
      </c>
      <c r="T218" s="40">
        <f>IF(F218="","",IFERROR(1/(1/VLOOKUP(F218,T_Produits,3,FALSE)),""))</f>
        <v/>
      </c>
      <c r="U218" s="40">
        <f>IF(H218&lt;&gt;"",H218,T218)</f>
        <v/>
      </c>
      <c r="V218" s="40">
        <f>IF(OR(G218="",U218=""),"",G218*U218-N(I218))</f>
        <v/>
      </c>
      <c r="W218" s="39">
        <f>IF(D218="","",IFERROR(VALUE(MID(D218,LEN(D218)-3,3)),""))</f>
        <v/>
      </c>
      <c r="X218" s="33">
        <f>IF(W218="","",P218&amp;"|"&amp;W218)</f>
        <v/>
      </c>
      <c r="Y218" s="33">
        <f>IF(W218="","",IF(P218="À RENSEIGNER","GIC",P218)&amp;"-"&amp;TEXT(W218,"000"))</f>
        <v/>
      </c>
      <c r="Z218" s="33">
        <f>IF(X218="","",IFERROR(INDEX(Cl_nom,MATCH(X218,Cl_cle,0)),"(client introuvable)"))</f>
        <v/>
      </c>
      <c r="AA218" s="33">
        <f>IF(X218="","",IFERROR(INDEX(Cl_quartier,MATCH(X218,Cl_cle,0))&amp;"",""))</f>
        <v/>
      </c>
      <c r="AB218" s="45">
        <f>IF(R218&lt;&gt;"Livrée",0,IF(K218&lt;&gt;"",K218,C218))</f>
        <v/>
      </c>
      <c r="AC218" s="33">
        <f>IF(OR(C218="",W218=""),"",P218&amp;"|"&amp;W218&amp;"|"&amp;C218&amp;"|"&amp;E218)</f>
        <v/>
      </c>
      <c r="AD218" s="39">
        <f>IF(AC218="","",IF(COUNTIF(AC$6:AC218,AC218)=1,1,0))</f>
        <v/>
      </c>
      <c r="AE218" s="39">
        <f>IF(AB218=0,"",IF(COUNTIFS(X$6:X218,X218,AB$6:AB218,AB218)=1,1,0))</f>
        <v/>
      </c>
      <c r="AF218" s="34">
        <f>IF(C218="","",YEAR(C218-WEEKDAY(C218,2)+4)&amp;"-S"&amp;TEXT(INT((C218-DATE(YEAR(C218-WEEKDAY(C218,2)+4),1,3)+WEEKDAY(DATE(YEAR(C218-WEEKDAY(C218,2)+4),1,3),2)+5)/7),"00"))</f>
        <v/>
      </c>
    </row>
    <row r="219" ht="18" customHeight="1">
      <c r="A219" s="39" t="n">
        <v>214</v>
      </c>
      <c r="B219" s="33">
        <f>IF(C219="","",IF(P219="À RENSEIGNER","GIC",P219)&amp;"-C"&amp;TEXT(A219,"00000"))</f>
        <v/>
      </c>
      <c r="C219" s="32" t="n"/>
      <c r="D219" s="36" t="n"/>
      <c r="E219" s="36" t="n"/>
      <c r="F219" s="36" t="n"/>
      <c r="G219" s="42" t="n"/>
      <c r="H219" s="37" t="n"/>
      <c r="I219" s="37" t="n"/>
      <c r="J219" s="32" t="n"/>
      <c r="K219" s="32" t="n"/>
      <c r="L219" s="43" t="n"/>
      <c r="M219" s="36" t="n"/>
      <c r="N219" s="44" t="n"/>
      <c r="O219" s="36" t="n"/>
      <c r="P219" s="33">
        <f>IF(C219="","",Commercial_Id)</f>
        <v/>
      </c>
      <c r="Q219" s="34">
        <f>IF(AC219="","",IF(AD219=1,"C"&amp;TEXT(SUM(AD$6:AD219),"0000"),INDEX(Q$6:Q218,MATCH(AC219,AC$6:AC218,0))))</f>
        <v/>
      </c>
      <c r="R219" s="34">
        <f>IF(C219="","",IF(L219="☑ Oui","Annulée",IF(OR(E219="Vente directe",K219&lt;&gt;""),"Livrée",IF(J219&lt;&gt;"","Confirmée","En attente"))))</f>
        <v/>
      </c>
      <c r="S219" s="34">
        <f>IF(F219="","",IFERROR(VLOOKUP(F219,T_Produits,2,FALSE),""))</f>
        <v/>
      </c>
      <c r="T219" s="40">
        <f>IF(F219="","",IFERROR(1/(1/VLOOKUP(F219,T_Produits,3,FALSE)),""))</f>
        <v/>
      </c>
      <c r="U219" s="40">
        <f>IF(H219&lt;&gt;"",H219,T219)</f>
        <v/>
      </c>
      <c r="V219" s="40">
        <f>IF(OR(G219="",U219=""),"",G219*U219-N(I219))</f>
        <v/>
      </c>
      <c r="W219" s="39">
        <f>IF(D219="","",IFERROR(VALUE(MID(D219,LEN(D219)-3,3)),""))</f>
        <v/>
      </c>
      <c r="X219" s="33">
        <f>IF(W219="","",P219&amp;"|"&amp;W219)</f>
        <v/>
      </c>
      <c r="Y219" s="33">
        <f>IF(W219="","",IF(P219="À RENSEIGNER","GIC",P219)&amp;"-"&amp;TEXT(W219,"000"))</f>
        <v/>
      </c>
      <c r="Z219" s="33">
        <f>IF(X219="","",IFERROR(INDEX(Cl_nom,MATCH(X219,Cl_cle,0)),"(client introuvable)"))</f>
        <v/>
      </c>
      <c r="AA219" s="33">
        <f>IF(X219="","",IFERROR(INDEX(Cl_quartier,MATCH(X219,Cl_cle,0))&amp;"",""))</f>
        <v/>
      </c>
      <c r="AB219" s="45">
        <f>IF(R219&lt;&gt;"Livrée",0,IF(K219&lt;&gt;"",K219,C219))</f>
        <v/>
      </c>
      <c r="AC219" s="33">
        <f>IF(OR(C219="",W219=""),"",P219&amp;"|"&amp;W219&amp;"|"&amp;C219&amp;"|"&amp;E219)</f>
        <v/>
      </c>
      <c r="AD219" s="39">
        <f>IF(AC219="","",IF(COUNTIF(AC$6:AC219,AC219)=1,1,0))</f>
        <v/>
      </c>
      <c r="AE219" s="39">
        <f>IF(AB219=0,"",IF(COUNTIFS(X$6:X219,X219,AB$6:AB219,AB219)=1,1,0))</f>
        <v/>
      </c>
      <c r="AF219" s="34">
        <f>IF(C219="","",YEAR(C219-WEEKDAY(C219,2)+4)&amp;"-S"&amp;TEXT(INT((C219-DATE(YEAR(C219-WEEKDAY(C219,2)+4),1,3)+WEEKDAY(DATE(YEAR(C219-WEEKDAY(C219,2)+4),1,3),2)+5)/7),"00"))</f>
        <v/>
      </c>
    </row>
    <row r="220" ht="18" customHeight="1">
      <c r="A220" s="39" t="n">
        <v>215</v>
      </c>
      <c r="B220" s="33">
        <f>IF(C220="","",IF(P220="À RENSEIGNER","GIC",P220)&amp;"-C"&amp;TEXT(A220,"00000"))</f>
        <v/>
      </c>
      <c r="C220" s="32" t="n"/>
      <c r="D220" s="36" t="n"/>
      <c r="E220" s="36" t="n"/>
      <c r="F220" s="36" t="n"/>
      <c r="G220" s="42" t="n"/>
      <c r="H220" s="37" t="n"/>
      <c r="I220" s="37" t="n"/>
      <c r="J220" s="32" t="n"/>
      <c r="K220" s="32" t="n"/>
      <c r="L220" s="43" t="n"/>
      <c r="M220" s="36" t="n"/>
      <c r="N220" s="44" t="n"/>
      <c r="O220" s="36" t="n"/>
      <c r="P220" s="33">
        <f>IF(C220="","",Commercial_Id)</f>
        <v/>
      </c>
      <c r="Q220" s="34">
        <f>IF(AC220="","",IF(AD220=1,"C"&amp;TEXT(SUM(AD$6:AD220),"0000"),INDEX(Q$6:Q219,MATCH(AC220,AC$6:AC219,0))))</f>
        <v/>
      </c>
      <c r="R220" s="34">
        <f>IF(C220="","",IF(L220="☑ Oui","Annulée",IF(OR(E220="Vente directe",K220&lt;&gt;""),"Livrée",IF(J220&lt;&gt;"","Confirmée","En attente"))))</f>
        <v/>
      </c>
      <c r="S220" s="34">
        <f>IF(F220="","",IFERROR(VLOOKUP(F220,T_Produits,2,FALSE),""))</f>
        <v/>
      </c>
      <c r="T220" s="40">
        <f>IF(F220="","",IFERROR(1/(1/VLOOKUP(F220,T_Produits,3,FALSE)),""))</f>
        <v/>
      </c>
      <c r="U220" s="40">
        <f>IF(H220&lt;&gt;"",H220,T220)</f>
        <v/>
      </c>
      <c r="V220" s="40">
        <f>IF(OR(G220="",U220=""),"",G220*U220-N(I220))</f>
        <v/>
      </c>
      <c r="W220" s="39">
        <f>IF(D220="","",IFERROR(VALUE(MID(D220,LEN(D220)-3,3)),""))</f>
        <v/>
      </c>
      <c r="X220" s="33">
        <f>IF(W220="","",P220&amp;"|"&amp;W220)</f>
        <v/>
      </c>
      <c r="Y220" s="33">
        <f>IF(W220="","",IF(P220="À RENSEIGNER","GIC",P220)&amp;"-"&amp;TEXT(W220,"000"))</f>
        <v/>
      </c>
      <c r="Z220" s="33">
        <f>IF(X220="","",IFERROR(INDEX(Cl_nom,MATCH(X220,Cl_cle,0)),"(client introuvable)"))</f>
        <v/>
      </c>
      <c r="AA220" s="33">
        <f>IF(X220="","",IFERROR(INDEX(Cl_quartier,MATCH(X220,Cl_cle,0))&amp;"",""))</f>
        <v/>
      </c>
      <c r="AB220" s="45">
        <f>IF(R220&lt;&gt;"Livrée",0,IF(K220&lt;&gt;"",K220,C220))</f>
        <v/>
      </c>
      <c r="AC220" s="33">
        <f>IF(OR(C220="",W220=""),"",P220&amp;"|"&amp;W220&amp;"|"&amp;C220&amp;"|"&amp;E220)</f>
        <v/>
      </c>
      <c r="AD220" s="39">
        <f>IF(AC220="","",IF(COUNTIF(AC$6:AC220,AC220)=1,1,0))</f>
        <v/>
      </c>
      <c r="AE220" s="39">
        <f>IF(AB220=0,"",IF(COUNTIFS(X$6:X220,X220,AB$6:AB220,AB220)=1,1,0))</f>
        <v/>
      </c>
      <c r="AF220" s="34">
        <f>IF(C220="","",YEAR(C220-WEEKDAY(C220,2)+4)&amp;"-S"&amp;TEXT(INT((C220-DATE(YEAR(C220-WEEKDAY(C220,2)+4),1,3)+WEEKDAY(DATE(YEAR(C220-WEEKDAY(C220,2)+4),1,3),2)+5)/7),"00"))</f>
        <v/>
      </c>
    </row>
    <row r="221" ht="18" customHeight="1">
      <c r="A221" s="39" t="n">
        <v>216</v>
      </c>
      <c r="B221" s="33">
        <f>IF(C221="","",IF(P221="À RENSEIGNER","GIC",P221)&amp;"-C"&amp;TEXT(A221,"00000"))</f>
        <v/>
      </c>
      <c r="C221" s="32" t="n"/>
      <c r="D221" s="36" t="n"/>
      <c r="E221" s="36" t="n"/>
      <c r="F221" s="36" t="n"/>
      <c r="G221" s="42" t="n"/>
      <c r="H221" s="37" t="n"/>
      <c r="I221" s="37" t="n"/>
      <c r="J221" s="32" t="n"/>
      <c r="K221" s="32" t="n"/>
      <c r="L221" s="43" t="n"/>
      <c r="M221" s="36" t="n"/>
      <c r="N221" s="44" t="n"/>
      <c r="O221" s="36" t="n"/>
      <c r="P221" s="33">
        <f>IF(C221="","",Commercial_Id)</f>
        <v/>
      </c>
      <c r="Q221" s="34">
        <f>IF(AC221="","",IF(AD221=1,"C"&amp;TEXT(SUM(AD$6:AD221),"0000"),INDEX(Q$6:Q220,MATCH(AC221,AC$6:AC220,0))))</f>
        <v/>
      </c>
      <c r="R221" s="34">
        <f>IF(C221="","",IF(L221="☑ Oui","Annulée",IF(OR(E221="Vente directe",K221&lt;&gt;""),"Livrée",IF(J221&lt;&gt;"","Confirmée","En attente"))))</f>
        <v/>
      </c>
      <c r="S221" s="34">
        <f>IF(F221="","",IFERROR(VLOOKUP(F221,T_Produits,2,FALSE),""))</f>
        <v/>
      </c>
      <c r="T221" s="40">
        <f>IF(F221="","",IFERROR(1/(1/VLOOKUP(F221,T_Produits,3,FALSE)),""))</f>
        <v/>
      </c>
      <c r="U221" s="40">
        <f>IF(H221&lt;&gt;"",H221,T221)</f>
        <v/>
      </c>
      <c r="V221" s="40">
        <f>IF(OR(G221="",U221=""),"",G221*U221-N(I221))</f>
        <v/>
      </c>
      <c r="W221" s="39">
        <f>IF(D221="","",IFERROR(VALUE(MID(D221,LEN(D221)-3,3)),""))</f>
        <v/>
      </c>
      <c r="X221" s="33">
        <f>IF(W221="","",P221&amp;"|"&amp;W221)</f>
        <v/>
      </c>
      <c r="Y221" s="33">
        <f>IF(W221="","",IF(P221="À RENSEIGNER","GIC",P221)&amp;"-"&amp;TEXT(W221,"000"))</f>
        <v/>
      </c>
      <c r="Z221" s="33">
        <f>IF(X221="","",IFERROR(INDEX(Cl_nom,MATCH(X221,Cl_cle,0)),"(client introuvable)"))</f>
        <v/>
      </c>
      <c r="AA221" s="33">
        <f>IF(X221="","",IFERROR(INDEX(Cl_quartier,MATCH(X221,Cl_cle,0))&amp;"",""))</f>
        <v/>
      </c>
      <c r="AB221" s="45">
        <f>IF(R221&lt;&gt;"Livrée",0,IF(K221&lt;&gt;"",K221,C221))</f>
        <v/>
      </c>
      <c r="AC221" s="33">
        <f>IF(OR(C221="",W221=""),"",P221&amp;"|"&amp;W221&amp;"|"&amp;C221&amp;"|"&amp;E221)</f>
        <v/>
      </c>
      <c r="AD221" s="39">
        <f>IF(AC221="","",IF(COUNTIF(AC$6:AC221,AC221)=1,1,0))</f>
        <v/>
      </c>
      <c r="AE221" s="39">
        <f>IF(AB221=0,"",IF(COUNTIFS(X$6:X221,X221,AB$6:AB221,AB221)=1,1,0))</f>
        <v/>
      </c>
      <c r="AF221" s="34">
        <f>IF(C221="","",YEAR(C221-WEEKDAY(C221,2)+4)&amp;"-S"&amp;TEXT(INT((C221-DATE(YEAR(C221-WEEKDAY(C221,2)+4),1,3)+WEEKDAY(DATE(YEAR(C221-WEEKDAY(C221,2)+4),1,3),2)+5)/7),"00"))</f>
        <v/>
      </c>
    </row>
    <row r="222" ht="18" customHeight="1">
      <c r="A222" s="39" t="n">
        <v>217</v>
      </c>
      <c r="B222" s="33">
        <f>IF(C222="","",IF(P222="À RENSEIGNER","GIC",P222)&amp;"-C"&amp;TEXT(A222,"00000"))</f>
        <v/>
      </c>
      <c r="C222" s="32" t="n"/>
      <c r="D222" s="36" t="n"/>
      <c r="E222" s="36" t="n"/>
      <c r="F222" s="36" t="n"/>
      <c r="G222" s="42" t="n"/>
      <c r="H222" s="37" t="n"/>
      <c r="I222" s="37" t="n"/>
      <c r="J222" s="32" t="n"/>
      <c r="K222" s="32" t="n"/>
      <c r="L222" s="43" t="n"/>
      <c r="M222" s="36" t="n"/>
      <c r="N222" s="44" t="n"/>
      <c r="O222" s="36" t="n"/>
      <c r="P222" s="33">
        <f>IF(C222="","",Commercial_Id)</f>
        <v/>
      </c>
      <c r="Q222" s="34">
        <f>IF(AC222="","",IF(AD222=1,"C"&amp;TEXT(SUM(AD$6:AD222),"0000"),INDEX(Q$6:Q221,MATCH(AC222,AC$6:AC221,0))))</f>
        <v/>
      </c>
      <c r="R222" s="34">
        <f>IF(C222="","",IF(L222="☑ Oui","Annulée",IF(OR(E222="Vente directe",K222&lt;&gt;""),"Livrée",IF(J222&lt;&gt;"","Confirmée","En attente"))))</f>
        <v/>
      </c>
      <c r="S222" s="34">
        <f>IF(F222="","",IFERROR(VLOOKUP(F222,T_Produits,2,FALSE),""))</f>
        <v/>
      </c>
      <c r="T222" s="40">
        <f>IF(F222="","",IFERROR(1/(1/VLOOKUP(F222,T_Produits,3,FALSE)),""))</f>
        <v/>
      </c>
      <c r="U222" s="40">
        <f>IF(H222&lt;&gt;"",H222,T222)</f>
        <v/>
      </c>
      <c r="V222" s="40">
        <f>IF(OR(G222="",U222=""),"",G222*U222-N(I222))</f>
        <v/>
      </c>
      <c r="W222" s="39">
        <f>IF(D222="","",IFERROR(VALUE(MID(D222,LEN(D222)-3,3)),""))</f>
        <v/>
      </c>
      <c r="X222" s="33">
        <f>IF(W222="","",P222&amp;"|"&amp;W222)</f>
        <v/>
      </c>
      <c r="Y222" s="33">
        <f>IF(W222="","",IF(P222="À RENSEIGNER","GIC",P222)&amp;"-"&amp;TEXT(W222,"000"))</f>
        <v/>
      </c>
      <c r="Z222" s="33">
        <f>IF(X222="","",IFERROR(INDEX(Cl_nom,MATCH(X222,Cl_cle,0)),"(client introuvable)"))</f>
        <v/>
      </c>
      <c r="AA222" s="33">
        <f>IF(X222="","",IFERROR(INDEX(Cl_quartier,MATCH(X222,Cl_cle,0))&amp;"",""))</f>
        <v/>
      </c>
      <c r="AB222" s="45">
        <f>IF(R222&lt;&gt;"Livrée",0,IF(K222&lt;&gt;"",K222,C222))</f>
        <v/>
      </c>
      <c r="AC222" s="33">
        <f>IF(OR(C222="",W222=""),"",P222&amp;"|"&amp;W222&amp;"|"&amp;C222&amp;"|"&amp;E222)</f>
        <v/>
      </c>
      <c r="AD222" s="39">
        <f>IF(AC222="","",IF(COUNTIF(AC$6:AC222,AC222)=1,1,0))</f>
        <v/>
      </c>
      <c r="AE222" s="39">
        <f>IF(AB222=0,"",IF(COUNTIFS(X$6:X222,X222,AB$6:AB222,AB222)=1,1,0))</f>
        <v/>
      </c>
      <c r="AF222" s="34">
        <f>IF(C222="","",YEAR(C222-WEEKDAY(C222,2)+4)&amp;"-S"&amp;TEXT(INT((C222-DATE(YEAR(C222-WEEKDAY(C222,2)+4),1,3)+WEEKDAY(DATE(YEAR(C222-WEEKDAY(C222,2)+4),1,3),2)+5)/7),"00"))</f>
        <v/>
      </c>
    </row>
    <row r="223" ht="18" customHeight="1">
      <c r="A223" s="39" t="n">
        <v>218</v>
      </c>
      <c r="B223" s="33">
        <f>IF(C223="","",IF(P223="À RENSEIGNER","GIC",P223)&amp;"-C"&amp;TEXT(A223,"00000"))</f>
        <v/>
      </c>
      <c r="C223" s="32" t="n"/>
      <c r="D223" s="36" t="n"/>
      <c r="E223" s="36" t="n"/>
      <c r="F223" s="36" t="n"/>
      <c r="G223" s="42" t="n"/>
      <c r="H223" s="37" t="n"/>
      <c r="I223" s="37" t="n"/>
      <c r="J223" s="32" t="n"/>
      <c r="K223" s="32" t="n"/>
      <c r="L223" s="43" t="n"/>
      <c r="M223" s="36" t="n"/>
      <c r="N223" s="44" t="n"/>
      <c r="O223" s="36" t="n"/>
      <c r="P223" s="33">
        <f>IF(C223="","",Commercial_Id)</f>
        <v/>
      </c>
      <c r="Q223" s="34">
        <f>IF(AC223="","",IF(AD223=1,"C"&amp;TEXT(SUM(AD$6:AD223),"0000"),INDEX(Q$6:Q222,MATCH(AC223,AC$6:AC222,0))))</f>
        <v/>
      </c>
      <c r="R223" s="34">
        <f>IF(C223="","",IF(L223="☑ Oui","Annulée",IF(OR(E223="Vente directe",K223&lt;&gt;""),"Livrée",IF(J223&lt;&gt;"","Confirmée","En attente"))))</f>
        <v/>
      </c>
      <c r="S223" s="34">
        <f>IF(F223="","",IFERROR(VLOOKUP(F223,T_Produits,2,FALSE),""))</f>
        <v/>
      </c>
      <c r="T223" s="40">
        <f>IF(F223="","",IFERROR(1/(1/VLOOKUP(F223,T_Produits,3,FALSE)),""))</f>
        <v/>
      </c>
      <c r="U223" s="40">
        <f>IF(H223&lt;&gt;"",H223,T223)</f>
        <v/>
      </c>
      <c r="V223" s="40">
        <f>IF(OR(G223="",U223=""),"",G223*U223-N(I223))</f>
        <v/>
      </c>
      <c r="W223" s="39">
        <f>IF(D223="","",IFERROR(VALUE(MID(D223,LEN(D223)-3,3)),""))</f>
        <v/>
      </c>
      <c r="X223" s="33">
        <f>IF(W223="","",P223&amp;"|"&amp;W223)</f>
        <v/>
      </c>
      <c r="Y223" s="33">
        <f>IF(W223="","",IF(P223="À RENSEIGNER","GIC",P223)&amp;"-"&amp;TEXT(W223,"000"))</f>
        <v/>
      </c>
      <c r="Z223" s="33">
        <f>IF(X223="","",IFERROR(INDEX(Cl_nom,MATCH(X223,Cl_cle,0)),"(client introuvable)"))</f>
        <v/>
      </c>
      <c r="AA223" s="33">
        <f>IF(X223="","",IFERROR(INDEX(Cl_quartier,MATCH(X223,Cl_cle,0))&amp;"",""))</f>
        <v/>
      </c>
      <c r="AB223" s="45">
        <f>IF(R223&lt;&gt;"Livrée",0,IF(K223&lt;&gt;"",K223,C223))</f>
        <v/>
      </c>
      <c r="AC223" s="33">
        <f>IF(OR(C223="",W223=""),"",P223&amp;"|"&amp;W223&amp;"|"&amp;C223&amp;"|"&amp;E223)</f>
        <v/>
      </c>
      <c r="AD223" s="39">
        <f>IF(AC223="","",IF(COUNTIF(AC$6:AC223,AC223)=1,1,0))</f>
        <v/>
      </c>
      <c r="AE223" s="39">
        <f>IF(AB223=0,"",IF(COUNTIFS(X$6:X223,X223,AB$6:AB223,AB223)=1,1,0))</f>
        <v/>
      </c>
      <c r="AF223" s="34">
        <f>IF(C223="","",YEAR(C223-WEEKDAY(C223,2)+4)&amp;"-S"&amp;TEXT(INT((C223-DATE(YEAR(C223-WEEKDAY(C223,2)+4),1,3)+WEEKDAY(DATE(YEAR(C223-WEEKDAY(C223,2)+4),1,3),2)+5)/7),"00"))</f>
        <v/>
      </c>
    </row>
    <row r="224" ht="18" customHeight="1">
      <c r="A224" s="39" t="n">
        <v>219</v>
      </c>
      <c r="B224" s="33">
        <f>IF(C224="","",IF(P224="À RENSEIGNER","GIC",P224)&amp;"-C"&amp;TEXT(A224,"00000"))</f>
        <v/>
      </c>
      <c r="C224" s="32" t="n"/>
      <c r="D224" s="36" t="n"/>
      <c r="E224" s="36" t="n"/>
      <c r="F224" s="36" t="n"/>
      <c r="G224" s="42" t="n"/>
      <c r="H224" s="37" t="n"/>
      <c r="I224" s="37" t="n"/>
      <c r="J224" s="32" t="n"/>
      <c r="K224" s="32" t="n"/>
      <c r="L224" s="43" t="n"/>
      <c r="M224" s="36" t="n"/>
      <c r="N224" s="44" t="n"/>
      <c r="O224" s="36" t="n"/>
      <c r="P224" s="33">
        <f>IF(C224="","",Commercial_Id)</f>
        <v/>
      </c>
      <c r="Q224" s="34">
        <f>IF(AC224="","",IF(AD224=1,"C"&amp;TEXT(SUM(AD$6:AD224),"0000"),INDEX(Q$6:Q223,MATCH(AC224,AC$6:AC223,0))))</f>
        <v/>
      </c>
      <c r="R224" s="34">
        <f>IF(C224="","",IF(L224="☑ Oui","Annulée",IF(OR(E224="Vente directe",K224&lt;&gt;""),"Livrée",IF(J224&lt;&gt;"","Confirmée","En attente"))))</f>
        <v/>
      </c>
      <c r="S224" s="34">
        <f>IF(F224="","",IFERROR(VLOOKUP(F224,T_Produits,2,FALSE),""))</f>
        <v/>
      </c>
      <c r="T224" s="40">
        <f>IF(F224="","",IFERROR(1/(1/VLOOKUP(F224,T_Produits,3,FALSE)),""))</f>
        <v/>
      </c>
      <c r="U224" s="40">
        <f>IF(H224&lt;&gt;"",H224,T224)</f>
        <v/>
      </c>
      <c r="V224" s="40">
        <f>IF(OR(G224="",U224=""),"",G224*U224-N(I224))</f>
        <v/>
      </c>
      <c r="W224" s="39">
        <f>IF(D224="","",IFERROR(VALUE(MID(D224,LEN(D224)-3,3)),""))</f>
        <v/>
      </c>
      <c r="X224" s="33">
        <f>IF(W224="","",P224&amp;"|"&amp;W224)</f>
        <v/>
      </c>
      <c r="Y224" s="33">
        <f>IF(W224="","",IF(P224="À RENSEIGNER","GIC",P224)&amp;"-"&amp;TEXT(W224,"000"))</f>
        <v/>
      </c>
      <c r="Z224" s="33">
        <f>IF(X224="","",IFERROR(INDEX(Cl_nom,MATCH(X224,Cl_cle,0)),"(client introuvable)"))</f>
        <v/>
      </c>
      <c r="AA224" s="33">
        <f>IF(X224="","",IFERROR(INDEX(Cl_quartier,MATCH(X224,Cl_cle,0))&amp;"",""))</f>
        <v/>
      </c>
      <c r="AB224" s="45">
        <f>IF(R224&lt;&gt;"Livrée",0,IF(K224&lt;&gt;"",K224,C224))</f>
        <v/>
      </c>
      <c r="AC224" s="33">
        <f>IF(OR(C224="",W224=""),"",P224&amp;"|"&amp;W224&amp;"|"&amp;C224&amp;"|"&amp;E224)</f>
        <v/>
      </c>
      <c r="AD224" s="39">
        <f>IF(AC224="","",IF(COUNTIF(AC$6:AC224,AC224)=1,1,0))</f>
        <v/>
      </c>
      <c r="AE224" s="39">
        <f>IF(AB224=0,"",IF(COUNTIFS(X$6:X224,X224,AB$6:AB224,AB224)=1,1,0))</f>
        <v/>
      </c>
      <c r="AF224" s="34">
        <f>IF(C224="","",YEAR(C224-WEEKDAY(C224,2)+4)&amp;"-S"&amp;TEXT(INT((C224-DATE(YEAR(C224-WEEKDAY(C224,2)+4),1,3)+WEEKDAY(DATE(YEAR(C224-WEEKDAY(C224,2)+4),1,3),2)+5)/7),"00"))</f>
        <v/>
      </c>
    </row>
    <row r="225" ht="18" customHeight="1">
      <c r="A225" s="39" t="n">
        <v>220</v>
      </c>
      <c r="B225" s="33">
        <f>IF(C225="","",IF(P225="À RENSEIGNER","GIC",P225)&amp;"-C"&amp;TEXT(A225,"00000"))</f>
        <v/>
      </c>
      <c r="C225" s="32" t="n"/>
      <c r="D225" s="36" t="n"/>
      <c r="E225" s="36" t="n"/>
      <c r="F225" s="36" t="n"/>
      <c r="G225" s="42" t="n"/>
      <c r="H225" s="37" t="n"/>
      <c r="I225" s="37" t="n"/>
      <c r="J225" s="32" t="n"/>
      <c r="K225" s="32" t="n"/>
      <c r="L225" s="43" t="n"/>
      <c r="M225" s="36" t="n"/>
      <c r="N225" s="44" t="n"/>
      <c r="O225" s="36" t="n"/>
      <c r="P225" s="33">
        <f>IF(C225="","",Commercial_Id)</f>
        <v/>
      </c>
      <c r="Q225" s="34">
        <f>IF(AC225="","",IF(AD225=1,"C"&amp;TEXT(SUM(AD$6:AD225),"0000"),INDEX(Q$6:Q224,MATCH(AC225,AC$6:AC224,0))))</f>
        <v/>
      </c>
      <c r="R225" s="34">
        <f>IF(C225="","",IF(L225="☑ Oui","Annulée",IF(OR(E225="Vente directe",K225&lt;&gt;""),"Livrée",IF(J225&lt;&gt;"","Confirmée","En attente"))))</f>
        <v/>
      </c>
      <c r="S225" s="34">
        <f>IF(F225="","",IFERROR(VLOOKUP(F225,T_Produits,2,FALSE),""))</f>
        <v/>
      </c>
      <c r="T225" s="40">
        <f>IF(F225="","",IFERROR(1/(1/VLOOKUP(F225,T_Produits,3,FALSE)),""))</f>
        <v/>
      </c>
      <c r="U225" s="40">
        <f>IF(H225&lt;&gt;"",H225,T225)</f>
        <v/>
      </c>
      <c r="V225" s="40">
        <f>IF(OR(G225="",U225=""),"",G225*U225-N(I225))</f>
        <v/>
      </c>
      <c r="W225" s="39">
        <f>IF(D225="","",IFERROR(VALUE(MID(D225,LEN(D225)-3,3)),""))</f>
        <v/>
      </c>
      <c r="X225" s="33">
        <f>IF(W225="","",P225&amp;"|"&amp;W225)</f>
        <v/>
      </c>
      <c r="Y225" s="33">
        <f>IF(W225="","",IF(P225="À RENSEIGNER","GIC",P225)&amp;"-"&amp;TEXT(W225,"000"))</f>
        <v/>
      </c>
      <c r="Z225" s="33">
        <f>IF(X225="","",IFERROR(INDEX(Cl_nom,MATCH(X225,Cl_cle,0)),"(client introuvable)"))</f>
        <v/>
      </c>
      <c r="AA225" s="33">
        <f>IF(X225="","",IFERROR(INDEX(Cl_quartier,MATCH(X225,Cl_cle,0))&amp;"",""))</f>
        <v/>
      </c>
      <c r="AB225" s="45">
        <f>IF(R225&lt;&gt;"Livrée",0,IF(K225&lt;&gt;"",K225,C225))</f>
        <v/>
      </c>
      <c r="AC225" s="33">
        <f>IF(OR(C225="",W225=""),"",P225&amp;"|"&amp;W225&amp;"|"&amp;C225&amp;"|"&amp;E225)</f>
        <v/>
      </c>
      <c r="AD225" s="39">
        <f>IF(AC225="","",IF(COUNTIF(AC$6:AC225,AC225)=1,1,0))</f>
        <v/>
      </c>
      <c r="AE225" s="39">
        <f>IF(AB225=0,"",IF(COUNTIFS(X$6:X225,X225,AB$6:AB225,AB225)=1,1,0))</f>
        <v/>
      </c>
      <c r="AF225" s="34">
        <f>IF(C225="","",YEAR(C225-WEEKDAY(C225,2)+4)&amp;"-S"&amp;TEXT(INT((C225-DATE(YEAR(C225-WEEKDAY(C225,2)+4),1,3)+WEEKDAY(DATE(YEAR(C225-WEEKDAY(C225,2)+4),1,3),2)+5)/7),"00"))</f>
        <v/>
      </c>
    </row>
    <row r="226" ht="18" customHeight="1">
      <c r="A226" s="39" t="n">
        <v>221</v>
      </c>
      <c r="B226" s="33">
        <f>IF(C226="","",IF(P226="À RENSEIGNER","GIC",P226)&amp;"-C"&amp;TEXT(A226,"00000"))</f>
        <v/>
      </c>
      <c r="C226" s="32" t="n"/>
      <c r="D226" s="36" t="n"/>
      <c r="E226" s="36" t="n"/>
      <c r="F226" s="36" t="n"/>
      <c r="G226" s="42" t="n"/>
      <c r="H226" s="37" t="n"/>
      <c r="I226" s="37" t="n"/>
      <c r="J226" s="32" t="n"/>
      <c r="K226" s="32" t="n"/>
      <c r="L226" s="43" t="n"/>
      <c r="M226" s="36" t="n"/>
      <c r="N226" s="44" t="n"/>
      <c r="O226" s="36" t="n"/>
      <c r="P226" s="33">
        <f>IF(C226="","",Commercial_Id)</f>
        <v/>
      </c>
      <c r="Q226" s="34">
        <f>IF(AC226="","",IF(AD226=1,"C"&amp;TEXT(SUM(AD$6:AD226),"0000"),INDEX(Q$6:Q225,MATCH(AC226,AC$6:AC225,0))))</f>
        <v/>
      </c>
      <c r="R226" s="34">
        <f>IF(C226="","",IF(L226="☑ Oui","Annulée",IF(OR(E226="Vente directe",K226&lt;&gt;""),"Livrée",IF(J226&lt;&gt;"","Confirmée","En attente"))))</f>
        <v/>
      </c>
      <c r="S226" s="34">
        <f>IF(F226="","",IFERROR(VLOOKUP(F226,T_Produits,2,FALSE),""))</f>
        <v/>
      </c>
      <c r="T226" s="40">
        <f>IF(F226="","",IFERROR(1/(1/VLOOKUP(F226,T_Produits,3,FALSE)),""))</f>
        <v/>
      </c>
      <c r="U226" s="40">
        <f>IF(H226&lt;&gt;"",H226,T226)</f>
        <v/>
      </c>
      <c r="V226" s="40">
        <f>IF(OR(G226="",U226=""),"",G226*U226-N(I226))</f>
        <v/>
      </c>
      <c r="W226" s="39">
        <f>IF(D226="","",IFERROR(VALUE(MID(D226,LEN(D226)-3,3)),""))</f>
        <v/>
      </c>
      <c r="X226" s="33">
        <f>IF(W226="","",P226&amp;"|"&amp;W226)</f>
        <v/>
      </c>
      <c r="Y226" s="33">
        <f>IF(W226="","",IF(P226="À RENSEIGNER","GIC",P226)&amp;"-"&amp;TEXT(W226,"000"))</f>
        <v/>
      </c>
      <c r="Z226" s="33">
        <f>IF(X226="","",IFERROR(INDEX(Cl_nom,MATCH(X226,Cl_cle,0)),"(client introuvable)"))</f>
        <v/>
      </c>
      <c r="AA226" s="33">
        <f>IF(X226="","",IFERROR(INDEX(Cl_quartier,MATCH(X226,Cl_cle,0))&amp;"",""))</f>
        <v/>
      </c>
      <c r="AB226" s="45">
        <f>IF(R226&lt;&gt;"Livrée",0,IF(K226&lt;&gt;"",K226,C226))</f>
        <v/>
      </c>
      <c r="AC226" s="33">
        <f>IF(OR(C226="",W226=""),"",P226&amp;"|"&amp;W226&amp;"|"&amp;C226&amp;"|"&amp;E226)</f>
        <v/>
      </c>
      <c r="AD226" s="39">
        <f>IF(AC226="","",IF(COUNTIF(AC$6:AC226,AC226)=1,1,0))</f>
        <v/>
      </c>
      <c r="AE226" s="39">
        <f>IF(AB226=0,"",IF(COUNTIFS(X$6:X226,X226,AB$6:AB226,AB226)=1,1,0))</f>
        <v/>
      </c>
      <c r="AF226" s="34">
        <f>IF(C226="","",YEAR(C226-WEEKDAY(C226,2)+4)&amp;"-S"&amp;TEXT(INT((C226-DATE(YEAR(C226-WEEKDAY(C226,2)+4),1,3)+WEEKDAY(DATE(YEAR(C226-WEEKDAY(C226,2)+4),1,3),2)+5)/7),"00"))</f>
        <v/>
      </c>
    </row>
    <row r="227" ht="18" customHeight="1">
      <c r="A227" s="39" t="n">
        <v>222</v>
      </c>
      <c r="B227" s="33">
        <f>IF(C227="","",IF(P227="À RENSEIGNER","GIC",P227)&amp;"-C"&amp;TEXT(A227,"00000"))</f>
        <v/>
      </c>
      <c r="C227" s="32" t="n"/>
      <c r="D227" s="36" t="n"/>
      <c r="E227" s="36" t="n"/>
      <c r="F227" s="36" t="n"/>
      <c r="G227" s="42" t="n"/>
      <c r="H227" s="37" t="n"/>
      <c r="I227" s="37" t="n"/>
      <c r="J227" s="32" t="n"/>
      <c r="K227" s="32" t="n"/>
      <c r="L227" s="43" t="n"/>
      <c r="M227" s="36" t="n"/>
      <c r="N227" s="44" t="n"/>
      <c r="O227" s="36" t="n"/>
      <c r="P227" s="33">
        <f>IF(C227="","",Commercial_Id)</f>
        <v/>
      </c>
      <c r="Q227" s="34">
        <f>IF(AC227="","",IF(AD227=1,"C"&amp;TEXT(SUM(AD$6:AD227),"0000"),INDEX(Q$6:Q226,MATCH(AC227,AC$6:AC226,0))))</f>
        <v/>
      </c>
      <c r="R227" s="34">
        <f>IF(C227="","",IF(L227="☑ Oui","Annulée",IF(OR(E227="Vente directe",K227&lt;&gt;""),"Livrée",IF(J227&lt;&gt;"","Confirmée","En attente"))))</f>
        <v/>
      </c>
      <c r="S227" s="34">
        <f>IF(F227="","",IFERROR(VLOOKUP(F227,T_Produits,2,FALSE),""))</f>
        <v/>
      </c>
      <c r="T227" s="40">
        <f>IF(F227="","",IFERROR(1/(1/VLOOKUP(F227,T_Produits,3,FALSE)),""))</f>
        <v/>
      </c>
      <c r="U227" s="40">
        <f>IF(H227&lt;&gt;"",H227,T227)</f>
        <v/>
      </c>
      <c r="V227" s="40">
        <f>IF(OR(G227="",U227=""),"",G227*U227-N(I227))</f>
        <v/>
      </c>
      <c r="W227" s="39">
        <f>IF(D227="","",IFERROR(VALUE(MID(D227,LEN(D227)-3,3)),""))</f>
        <v/>
      </c>
      <c r="X227" s="33">
        <f>IF(W227="","",P227&amp;"|"&amp;W227)</f>
        <v/>
      </c>
      <c r="Y227" s="33">
        <f>IF(W227="","",IF(P227="À RENSEIGNER","GIC",P227)&amp;"-"&amp;TEXT(W227,"000"))</f>
        <v/>
      </c>
      <c r="Z227" s="33">
        <f>IF(X227="","",IFERROR(INDEX(Cl_nom,MATCH(X227,Cl_cle,0)),"(client introuvable)"))</f>
        <v/>
      </c>
      <c r="AA227" s="33">
        <f>IF(X227="","",IFERROR(INDEX(Cl_quartier,MATCH(X227,Cl_cle,0))&amp;"",""))</f>
        <v/>
      </c>
      <c r="AB227" s="45">
        <f>IF(R227&lt;&gt;"Livrée",0,IF(K227&lt;&gt;"",K227,C227))</f>
        <v/>
      </c>
      <c r="AC227" s="33">
        <f>IF(OR(C227="",W227=""),"",P227&amp;"|"&amp;W227&amp;"|"&amp;C227&amp;"|"&amp;E227)</f>
        <v/>
      </c>
      <c r="AD227" s="39">
        <f>IF(AC227="","",IF(COUNTIF(AC$6:AC227,AC227)=1,1,0))</f>
        <v/>
      </c>
      <c r="AE227" s="39">
        <f>IF(AB227=0,"",IF(COUNTIFS(X$6:X227,X227,AB$6:AB227,AB227)=1,1,0))</f>
        <v/>
      </c>
      <c r="AF227" s="34">
        <f>IF(C227="","",YEAR(C227-WEEKDAY(C227,2)+4)&amp;"-S"&amp;TEXT(INT((C227-DATE(YEAR(C227-WEEKDAY(C227,2)+4),1,3)+WEEKDAY(DATE(YEAR(C227-WEEKDAY(C227,2)+4),1,3),2)+5)/7),"00"))</f>
        <v/>
      </c>
    </row>
    <row r="228" ht="18" customHeight="1">
      <c r="A228" s="39" t="n">
        <v>223</v>
      </c>
      <c r="B228" s="33">
        <f>IF(C228="","",IF(P228="À RENSEIGNER","GIC",P228)&amp;"-C"&amp;TEXT(A228,"00000"))</f>
        <v/>
      </c>
      <c r="C228" s="32" t="n"/>
      <c r="D228" s="36" t="n"/>
      <c r="E228" s="36" t="n"/>
      <c r="F228" s="36" t="n"/>
      <c r="G228" s="42" t="n"/>
      <c r="H228" s="37" t="n"/>
      <c r="I228" s="37" t="n"/>
      <c r="J228" s="32" t="n"/>
      <c r="K228" s="32" t="n"/>
      <c r="L228" s="43" t="n"/>
      <c r="M228" s="36" t="n"/>
      <c r="N228" s="44" t="n"/>
      <c r="O228" s="36" t="n"/>
      <c r="P228" s="33">
        <f>IF(C228="","",Commercial_Id)</f>
        <v/>
      </c>
      <c r="Q228" s="34">
        <f>IF(AC228="","",IF(AD228=1,"C"&amp;TEXT(SUM(AD$6:AD228),"0000"),INDEX(Q$6:Q227,MATCH(AC228,AC$6:AC227,0))))</f>
        <v/>
      </c>
      <c r="R228" s="34">
        <f>IF(C228="","",IF(L228="☑ Oui","Annulée",IF(OR(E228="Vente directe",K228&lt;&gt;""),"Livrée",IF(J228&lt;&gt;"","Confirmée","En attente"))))</f>
        <v/>
      </c>
      <c r="S228" s="34">
        <f>IF(F228="","",IFERROR(VLOOKUP(F228,T_Produits,2,FALSE),""))</f>
        <v/>
      </c>
      <c r="T228" s="40">
        <f>IF(F228="","",IFERROR(1/(1/VLOOKUP(F228,T_Produits,3,FALSE)),""))</f>
        <v/>
      </c>
      <c r="U228" s="40">
        <f>IF(H228&lt;&gt;"",H228,T228)</f>
        <v/>
      </c>
      <c r="V228" s="40">
        <f>IF(OR(G228="",U228=""),"",G228*U228-N(I228))</f>
        <v/>
      </c>
      <c r="W228" s="39">
        <f>IF(D228="","",IFERROR(VALUE(MID(D228,LEN(D228)-3,3)),""))</f>
        <v/>
      </c>
      <c r="X228" s="33">
        <f>IF(W228="","",P228&amp;"|"&amp;W228)</f>
        <v/>
      </c>
      <c r="Y228" s="33">
        <f>IF(W228="","",IF(P228="À RENSEIGNER","GIC",P228)&amp;"-"&amp;TEXT(W228,"000"))</f>
        <v/>
      </c>
      <c r="Z228" s="33">
        <f>IF(X228="","",IFERROR(INDEX(Cl_nom,MATCH(X228,Cl_cle,0)),"(client introuvable)"))</f>
        <v/>
      </c>
      <c r="AA228" s="33">
        <f>IF(X228="","",IFERROR(INDEX(Cl_quartier,MATCH(X228,Cl_cle,0))&amp;"",""))</f>
        <v/>
      </c>
      <c r="AB228" s="45">
        <f>IF(R228&lt;&gt;"Livrée",0,IF(K228&lt;&gt;"",K228,C228))</f>
        <v/>
      </c>
      <c r="AC228" s="33">
        <f>IF(OR(C228="",W228=""),"",P228&amp;"|"&amp;W228&amp;"|"&amp;C228&amp;"|"&amp;E228)</f>
        <v/>
      </c>
      <c r="AD228" s="39">
        <f>IF(AC228="","",IF(COUNTIF(AC$6:AC228,AC228)=1,1,0))</f>
        <v/>
      </c>
      <c r="AE228" s="39">
        <f>IF(AB228=0,"",IF(COUNTIFS(X$6:X228,X228,AB$6:AB228,AB228)=1,1,0))</f>
        <v/>
      </c>
      <c r="AF228" s="34">
        <f>IF(C228="","",YEAR(C228-WEEKDAY(C228,2)+4)&amp;"-S"&amp;TEXT(INT((C228-DATE(YEAR(C228-WEEKDAY(C228,2)+4),1,3)+WEEKDAY(DATE(YEAR(C228-WEEKDAY(C228,2)+4),1,3),2)+5)/7),"00"))</f>
        <v/>
      </c>
    </row>
    <row r="229" ht="18" customHeight="1">
      <c r="A229" s="39" t="n">
        <v>224</v>
      </c>
      <c r="B229" s="33">
        <f>IF(C229="","",IF(P229="À RENSEIGNER","GIC",P229)&amp;"-C"&amp;TEXT(A229,"00000"))</f>
        <v/>
      </c>
      <c r="C229" s="32" t="n"/>
      <c r="D229" s="36" t="n"/>
      <c r="E229" s="36" t="n"/>
      <c r="F229" s="36" t="n"/>
      <c r="G229" s="42" t="n"/>
      <c r="H229" s="37" t="n"/>
      <c r="I229" s="37" t="n"/>
      <c r="J229" s="32" t="n"/>
      <c r="K229" s="32" t="n"/>
      <c r="L229" s="43" t="n"/>
      <c r="M229" s="36" t="n"/>
      <c r="N229" s="44" t="n"/>
      <c r="O229" s="36" t="n"/>
      <c r="P229" s="33">
        <f>IF(C229="","",Commercial_Id)</f>
        <v/>
      </c>
      <c r="Q229" s="34">
        <f>IF(AC229="","",IF(AD229=1,"C"&amp;TEXT(SUM(AD$6:AD229),"0000"),INDEX(Q$6:Q228,MATCH(AC229,AC$6:AC228,0))))</f>
        <v/>
      </c>
      <c r="R229" s="34">
        <f>IF(C229="","",IF(L229="☑ Oui","Annulée",IF(OR(E229="Vente directe",K229&lt;&gt;""),"Livrée",IF(J229&lt;&gt;"","Confirmée","En attente"))))</f>
        <v/>
      </c>
      <c r="S229" s="34">
        <f>IF(F229="","",IFERROR(VLOOKUP(F229,T_Produits,2,FALSE),""))</f>
        <v/>
      </c>
      <c r="T229" s="40">
        <f>IF(F229="","",IFERROR(1/(1/VLOOKUP(F229,T_Produits,3,FALSE)),""))</f>
        <v/>
      </c>
      <c r="U229" s="40">
        <f>IF(H229&lt;&gt;"",H229,T229)</f>
        <v/>
      </c>
      <c r="V229" s="40">
        <f>IF(OR(G229="",U229=""),"",G229*U229-N(I229))</f>
        <v/>
      </c>
      <c r="W229" s="39">
        <f>IF(D229="","",IFERROR(VALUE(MID(D229,LEN(D229)-3,3)),""))</f>
        <v/>
      </c>
      <c r="X229" s="33">
        <f>IF(W229="","",P229&amp;"|"&amp;W229)</f>
        <v/>
      </c>
      <c r="Y229" s="33">
        <f>IF(W229="","",IF(P229="À RENSEIGNER","GIC",P229)&amp;"-"&amp;TEXT(W229,"000"))</f>
        <v/>
      </c>
      <c r="Z229" s="33">
        <f>IF(X229="","",IFERROR(INDEX(Cl_nom,MATCH(X229,Cl_cle,0)),"(client introuvable)"))</f>
        <v/>
      </c>
      <c r="AA229" s="33">
        <f>IF(X229="","",IFERROR(INDEX(Cl_quartier,MATCH(X229,Cl_cle,0))&amp;"",""))</f>
        <v/>
      </c>
      <c r="AB229" s="45">
        <f>IF(R229&lt;&gt;"Livrée",0,IF(K229&lt;&gt;"",K229,C229))</f>
        <v/>
      </c>
      <c r="AC229" s="33">
        <f>IF(OR(C229="",W229=""),"",P229&amp;"|"&amp;W229&amp;"|"&amp;C229&amp;"|"&amp;E229)</f>
        <v/>
      </c>
      <c r="AD229" s="39">
        <f>IF(AC229="","",IF(COUNTIF(AC$6:AC229,AC229)=1,1,0))</f>
        <v/>
      </c>
      <c r="AE229" s="39">
        <f>IF(AB229=0,"",IF(COUNTIFS(X$6:X229,X229,AB$6:AB229,AB229)=1,1,0))</f>
        <v/>
      </c>
      <c r="AF229" s="34">
        <f>IF(C229="","",YEAR(C229-WEEKDAY(C229,2)+4)&amp;"-S"&amp;TEXT(INT((C229-DATE(YEAR(C229-WEEKDAY(C229,2)+4),1,3)+WEEKDAY(DATE(YEAR(C229-WEEKDAY(C229,2)+4),1,3),2)+5)/7),"00"))</f>
        <v/>
      </c>
    </row>
    <row r="230" ht="18" customHeight="1">
      <c r="A230" s="39" t="n">
        <v>225</v>
      </c>
      <c r="B230" s="33">
        <f>IF(C230="","",IF(P230="À RENSEIGNER","GIC",P230)&amp;"-C"&amp;TEXT(A230,"00000"))</f>
        <v/>
      </c>
      <c r="C230" s="32" t="n"/>
      <c r="D230" s="36" t="n"/>
      <c r="E230" s="36" t="n"/>
      <c r="F230" s="36" t="n"/>
      <c r="G230" s="42" t="n"/>
      <c r="H230" s="37" t="n"/>
      <c r="I230" s="37" t="n"/>
      <c r="J230" s="32" t="n"/>
      <c r="K230" s="32" t="n"/>
      <c r="L230" s="43" t="n"/>
      <c r="M230" s="36" t="n"/>
      <c r="N230" s="44" t="n"/>
      <c r="O230" s="36" t="n"/>
      <c r="P230" s="33">
        <f>IF(C230="","",Commercial_Id)</f>
        <v/>
      </c>
      <c r="Q230" s="34">
        <f>IF(AC230="","",IF(AD230=1,"C"&amp;TEXT(SUM(AD$6:AD230),"0000"),INDEX(Q$6:Q229,MATCH(AC230,AC$6:AC229,0))))</f>
        <v/>
      </c>
      <c r="R230" s="34">
        <f>IF(C230="","",IF(L230="☑ Oui","Annulée",IF(OR(E230="Vente directe",K230&lt;&gt;""),"Livrée",IF(J230&lt;&gt;"","Confirmée","En attente"))))</f>
        <v/>
      </c>
      <c r="S230" s="34">
        <f>IF(F230="","",IFERROR(VLOOKUP(F230,T_Produits,2,FALSE),""))</f>
        <v/>
      </c>
      <c r="T230" s="40">
        <f>IF(F230="","",IFERROR(1/(1/VLOOKUP(F230,T_Produits,3,FALSE)),""))</f>
        <v/>
      </c>
      <c r="U230" s="40">
        <f>IF(H230&lt;&gt;"",H230,T230)</f>
        <v/>
      </c>
      <c r="V230" s="40">
        <f>IF(OR(G230="",U230=""),"",G230*U230-N(I230))</f>
        <v/>
      </c>
      <c r="W230" s="39">
        <f>IF(D230="","",IFERROR(VALUE(MID(D230,LEN(D230)-3,3)),""))</f>
        <v/>
      </c>
      <c r="X230" s="33">
        <f>IF(W230="","",P230&amp;"|"&amp;W230)</f>
        <v/>
      </c>
      <c r="Y230" s="33">
        <f>IF(W230="","",IF(P230="À RENSEIGNER","GIC",P230)&amp;"-"&amp;TEXT(W230,"000"))</f>
        <v/>
      </c>
      <c r="Z230" s="33">
        <f>IF(X230="","",IFERROR(INDEX(Cl_nom,MATCH(X230,Cl_cle,0)),"(client introuvable)"))</f>
        <v/>
      </c>
      <c r="AA230" s="33">
        <f>IF(X230="","",IFERROR(INDEX(Cl_quartier,MATCH(X230,Cl_cle,0))&amp;"",""))</f>
        <v/>
      </c>
      <c r="AB230" s="45">
        <f>IF(R230&lt;&gt;"Livrée",0,IF(K230&lt;&gt;"",K230,C230))</f>
        <v/>
      </c>
      <c r="AC230" s="33">
        <f>IF(OR(C230="",W230=""),"",P230&amp;"|"&amp;W230&amp;"|"&amp;C230&amp;"|"&amp;E230)</f>
        <v/>
      </c>
      <c r="AD230" s="39">
        <f>IF(AC230="","",IF(COUNTIF(AC$6:AC230,AC230)=1,1,0))</f>
        <v/>
      </c>
      <c r="AE230" s="39">
        <f>IF(AB230=0,"",IF(COUNTIFS(X$6:X230,X230,AB$6:AB230,AB230)=1,1,0))</f>
        <v/>
      </c>
      <c r="AF230" s="34">
        <f>IF(C230="","",YEAR(C230-WEEKDAY(C230,2)+4)&amp;"-S"&amp;TEXT(INT((C230-DATE(YEAR(C230-WEEKDAY(C230,2)+4),1,3)+WEEKDAY(DATE(YEAR(C230-WEEKDAY(C230,2)+4),1,3),2)+5)/7),"00"))</f>
        <v/>
      </c>
    </row>
    <row r="231" ht="18" customHeight="1">
      <c r="A231" s="39" t="n">
        <v>226</v>
      </c>
      <c r="B231" s="33">
        <f>IF(C231="","",IF(P231="À RENSEIGNER","GIC",P231)&amp;"-C"&amp;TEXT(A231,"00000"))</f>
        <v/>
      </c>
      <c r="C231" s="32" t="n"/>
      <c r="D231" s="36" t="n"/>
      <c r="E231" s="36" t="n"/>
      <c r="F231" s="36" t="n"/>
      <c r="G231" s="42" t="n"/>
      <c r="H231" s="37" t="n"/>
      <c r="I231" s="37" t="n"/>
      <c r="J231" s="32" t="n"/>
      <c r="K231" s="32" t="n"/>
      <c r="L231" s="43" t="n"/>
      <c r="M231" s="36" t="n"/>
      <c r="N231" s="44" t="n"/>
      <c r="O231" s="36" t="n"/>
      <c r="P231" s="33">
        <f>IF(C231="","",Commercial_Id)</f>
        <v/>
      </c>
      <c r="Q231" s="34">
        <f>IF(AC231="","",IF(AD231=1,"C"&amp;TEXT(SUM(AD$6:AD231),"0000"),INDEX(Q$6:Q230,MATCH(AC231,AC$6:AC230,0))))</f>
        <v/>
      </c>
      <c r="R231" s="34">
        <f>IF(C231="","",IF(L231="☑ Oui","Annulée",IF(OR(E231="Vente directe",K231&lt;&gt;""),"Livrée",IF(J231&lt;&gt;"","Confirmée","En attente"))))</f>
        <v/>
      </c>
      <c r="S231" s="34">
        <f>IF(F231="","",IFERROR(VLOOKUP(F231,T_Produits,2,FALSE),""))</f>
        <v/>
      </c>
      <c r="T231" s="40">
        <f>IF(F231="","",IFERROR(1/(1/VLOOKUP(F231,T_Produits,3,FALSE)),""))</f>
        <v/>
      </c>
      <c r="U231" s="40">
        <f>IF(H231&lt;&gt;"",H231,T231)</f>
        <v/>
      </c>
      <c r="V231" s="40">
        <f>IF(OR(G231="",U231=""),"",G231*U231-N(I231))</f>
        <v/>
      </c>
      <c r="W231" s="39">
        <f>IF(D231="","",IFERROR(VALUE(MID(D231,LEN(D231)-3,3)),""))</f>
        <v/>
      </c>
      <c r="X231" s="33">
        <f>IF(W231="","",P231&amp;"|"&amp;W231)</f>
        <v/>
      </c>
      <c r="Y231" s="33">
        <f>IF(W231="","",IF(P231="À RENSEIGNER","GIC",P231)&amp;"-"&amp;TEXT(W231,"000"))</f>
        <v/>
      </c>
      <c r="Z231" s="33">
        <f>IF(X231="","",IFERROR(INDEX(Cl_nom,MATCH(X231,Cl_cle,0)),"(client introuvable)"))</f>
        <v/>
      </c>
      <c r="AA231" s="33">
        <f>IF(X231="","",IFERROR(INDEX(Cl_quartier,MATCH(X231,Cl_cle,0))&amp;"",""))</f>
        <v/>
      </c>
      <c r="AB231" s="45">
        <f>IF(R231&lt;&gt;"Livrée",0,IF(K231&lt;&gt;"",K231,C231))</f>
        <v/>
      </c>
      <c r="AC231" s="33">
        <f>IF(OR(C231="",W231=""),"",P231&amp;"|"&amp;W231&amp;"|"&amp;C231&amp;"|"&amp;E231)</f>
        <v/>
      </c>
      <c r="AD231" s="39">
        <f>IF(AC231="","",IF(COUNTIF(AC$6:AC231,AC231)=1,1,0))</f>
        <v/>
      </c>
      <c r="AE231" s="39">
        <f>IF(AB231=0,"",IF(COUNTIFS(X$6:X231,X231,AB$6:AB231,AB231)=1,1,0))</f>
        <v/>
      </c>
      <c r="AF231" s="34">
        <f>IF(C231="","",YEAR(C231-WEEKDAY(C231,2)+4)&amp;"-S"&amp;TEXT(INT((C231-DATE(YEAR(C231-WEEKDAY(C231,2)+4),1,3)+WEEKDAY(DATE(YEAR(C231-WEEKDAY(C231,2)+4),1,3),2)+5)/7),"00"))</f>
        <v/>
      </c>
    </row>
    <row r="232" ht="18" customHeight="1">
      <c r="A232" s="39" t="n">
        <v>227</v>
      </c>
      <c r="B232" s="33">
        <f>IF(C232="","",IF(P232="À RENSEIGNER","GIC",P232)&amp;"-C"&amp;TEXT(A232,"00000"))</f>
        <v/>
      </c>
      <c r="C232" s="32" t="n"/>
      <c r="D232" s="36" t="n"/>
      <c r="E232" s="36" t="n"/>
      <c r="F232" s="36" t="n"/>
      <c r="G232" s="42" t="n"/>
      <c r="H232" s="37" t="n"/>
      <c r="I232" s="37" t="n"/>
      <c r="J232" s="32" t="n"/>
      <c r="K232" s="32" t="n"/>
      <c r="L232" s="43" t="n"/>
      <c r="M232" s="36" t="n"/>
      <c r="N232" s="44" t="n"/>
      <c r="O232" s="36" t="n"/>
      <c r="P232" s="33">
        <f>IF(C232="","",Commercial_Id)</f>
        <v/>
      </c>
      <c r="Q232" s="34">
        <f>IF(AC232="","",IF(AD232=1,"C"&amp;TEXT(SUM(AD$6:AD232),"0000"),INDEX(Q$6:Q231,MATCH(AC232,AC$6:AC231,0))))</f>
        <v/>
      </c>
      <c r="R232" s="34">
        <f>IF(C232="","",IF(L232="☑ Oui","Annulée",IF(OR(E232="Vente directe",K232&lt;&gt;""),"Livrée",IF(J232&lt;&gt;"","Confirmée","En attente"))))</f>
        <v/>
      </c>
      <c r="S232" s="34">
        <f>IF(F232="","",IFERROR(VLOOKUP(F232,T_Produits,2,FALSE),""))</f>
        <v/>
      </c>
      <c r="T232" s="40">
        <f>IF(F232="","",IFERROR(1/(1/VLOOKUP(F232,T_Produits,3,FALSE)),""))</f>
        <v/>
      </c>
      <c r="U232" s="40">
        <f>IF(H232&lt;&gt;"",H232,T232)</f>
        <v/>
      </c>
      <c r="V232" s="40">
        <f>IF(OR(G232="",U232=""),"",G232*U232-N(I232))</f>
        <v/>
      </c>
      <c r="W232" s="39">
        <f>IF(D232="","",IFERROR(VALUE(MID(D232,LEN(D232)-3,3)),""))</f>
        <v/>
      </c>
      <c r="X232" s="33">
        <f>IF(W232="","",P232&amp;"|"&amp;W232)</f>
        <v/>
      </c>
      <c r="Y232" s="33">
        <f>IF(W232="","",IF(P232="À RENSEIGNER","GIC",P232)&amp;"-"&amp;TEXT(W232,"000"))</f>
        <v/>
      </c>
      <c r="Z232" s="33">
        <f>IF(X232="","",IFERROR(INDEX(Cl_nom,MATCH(X232,Cl_cle,0)),"(client introuvable)"))</f>
        <v/>
      </c>
      <c r="AA232" s="33">
        <f>IF(X232="","",IFERROR(INDEX(Cl_quartier,MATCH(X232,Cl_cle,0))&amp;"",""))</f>
        <v/>
      </c>
      <c r="AB232" s="45">
        <f>IF(R232&lt;&gt;"Livrée",0,IF(K232&lt;&gt;"",K232,C232))</f>
        <v/>
      </c>
      <c r="AC232" s="33">
        <f>IF(OR(C232="",W232=""),"",P232&amp;"|"&amp;W232&amp;"|"&amp;C232&amp;"|"&amp;E232)</f>
        <v/>
      </c>
      <c r="AD232" s="39">
        <f>IF(AC232="","",IF(COUNTIF(AC$6:AC232,AC232)=1,1,0))</f>
        <v/>
      </c>
      <c r="AE232" s="39">
        <f>IF(AB232=0,"",IF(COUNTIFS(X$6:X232,X232,AB$6:AB232,AB232)=1,1,0))</f>
        <v/>
      </c>
      <c r="AF232" s="34">
        <f>IF(C232="","",YEAR(C232-WEEKDAY(C232,2)+4)&amp;"-S"&amp;TEXT(INT((C232-DATE(YEAR(C232-WEEKDAY(C232,2)+4),1,3)+WEEKDAY(DATE(YEAR(C232-WEEKDAY(C232,2)+4),1,3),2)+5)/7),"00"))</f>
        <v/>
      </c>
    </row>
    <row r="233" ht="18" customHeight="1">
      <c r="A233" s="39" t="n">
        <v>228</v>
      </c>
      <c r="B233" s="33">
        <f>IF(C233="","",IF(P233="À RENSEIGNER","GIC",P233)&amp;"-C"&amp;TEXT(A233,"00000"))</f>
        <v/>
      </c>
      <c r="C233" s="32" t="n"/>
      <c r="D233" s="36" t="n"/>
      <c r="E233" s="36" t="n"/>
      <c r="F233" s="36" t="n"/>
      <c r="G233" s="42" t="n"/>
      <c r="H233" s="37" t="n"/>
      <c r="I233" s="37" t="n"/>
      <c r="J233" s="32" t="n"/>
      <c r="K233" s="32" t="n"/>
      <c r="L233" s="43" t="n"/>
      <c r="M233" s="36" t="n"/>
      <c r="N233" s="44" t="n"/>
      <c r="O233" s="36" t="n"/>
      <c r="P233" s="33">
        <f>IF(C233="","",Commercial_Id)</f>
        <v/>
      </c>
      <c r="Q233" s="34">
        <f>IF(AC233="","",IF(AD233=1,"C"&amp;TEXT(SUM(AD$6:AD233),"0000"),INDEX(Q$6:Q232,MATCH(AC233,AC$6:AC232,0))))</f>
        <v/>
      </c>
      <c r="R233" s="34">
        <f>IF(C233="","",IF(L233="☑ Oui","Annulée",IF(OR(E233="Vente directe",K233&lt;&gt;""),"Livrée",IF(J233&lt;&gt;"","Confirmée","En attente"))))</f>
        <v/>
      </c>
      <c r="S233" s="34">
        <f>IF(F233="","",IFERROR(VLOOKUP(F233,T_Produits,2,FALSE),""))</f>
        <v/>
      </c>
      <c r="T233" s="40">
        <f>IF(F233="","",IFERROR(1/(1/VLOOKUP(F233,T_Produits,3,FALSE)),""))</f>
        <v/>
      </c>
      <c r="U233" s="40">
        <f>IF(H233&lt;&gt;"",H233,T233)</f>
        <v/>
      </c>
      <c r="V233" s="40">
        <f>IF(OR(G233="",U233=""),"",G233*U233-N(I233))</f>
        <v/>
      </c>
      <c r="W233" s="39">
        <f>IF(D233="","",IFERROR(VALUE(MID(D233,LEN(D233)-3,3)),""))</f>
        <v/>
      </c>
      <c r="X233" s="33">
        <f>IF(W233="","",P233&amp;"|"&amp;W233)</f>
        <v/>
      </c>
      <c r="Y233" s="33">
        <f>IF(W233="","",IF(P233="À RENSEIGNER","GIC",P233)&amp;"-"&amp;TEXT(W233,"000"))</f>
        <v/>
      </c>
      <c r="Z233" s="33">
        <f>IF(X233="","",IFERROR(INDEX(Cl_nom,MATCH(X233,Cl_cle,0)),"(client introuvable)"))</f>
        <v/>
      </c>
      <c r="AA233" s="33">
        <f>IF(X233="","",IFERROR(INDEX(Cl_quartier,MATCH(X233,Cl_cle,0))&amp;"",""))</f>
        <v/>
      </c>
      <c r="AB233" s="45">
        <f>IF(R233&lt;&gt;"Livrée",0,IF(K233&lt;&gt;"",K233,C233))</f>
        <v/>
      </c>
      <c r="AC233" s="33">
        <f>IF(OR(C233="",W233=""),"",P233&amp;"|"&amp;W233&amp;"|"&amp;C233&amp;"|"&amp;E233)</f>
        <v/>
      </c>
      <c r="AD233" s="39">
        <f>IF(AC233="","",IF(COUNTIF(AC$6:AC233,AC233)=1,1,0))</f>
        <v/>
      </c>
      <c r="AE233" s="39">
        <f>IF(AB233=0,"",IF(COUNTIFS(X$6:X233,X233,AB$6:AB233,AB233)=1,1,0))</f>
        <v/>
      </c>
      <c r="AF233" s="34">
        <f>IF(C233="","",YEAR(C233-WEEKDAY(C233,2)+4)&amp;"-S"&amp;TEXT(INT((C233-DATE(YEAR(C233-WEEKDAY(C233,2)+4),1,3)+WEEKDAY(DATE(YEAR(C233-WEEKDAY(C233,2)+4),1,3),2)+5)/7),"00"))</f>
        <v/>
      </c>
    </row>
    <row r="234" ht="18" customHeight="1">
      <c r="A234" s="39" t="n">
        <v>229</v>
      </c>
      <c r="B234" s="33">
        <f>IF(C234="","",IF(P234="À RENSEIGNER","GIC",P234)&amp;"-C"&amp;TEXT(A234,"00000"))</f>
        <v/>
      </c>
      <c r="C234" s="32" t="n"/>
      <c r="D234" s="36" t="n"/>
      <c r="E234" s="36" t="n"/>
      <c r="F234" s="36" t="n"/>
      <c r="G234" s="42" t="n"/>
      <c r="H234" s="37" t="n"/>
      <c r="I234" s="37" t="n"/>
      <c r="J234" s="32" t="n"/>
      <c r="K234" s="32" t="n"/>
      <c r="L234" s="43" t="n"/>
      <c r="M234" s="36" t="n"/>
      <c r="N234" s="44" t="n"/>
      <c r="O234" s="36" t="n"/>
      <c r="P234" s="33">
        <f>IF(C234="","",Commercial_Id)</f>
        <v/>
      </c>
      <c r="Q234" s="34">
        <f>IF(AC234="","",IF(AD234=1,"C"&amp;TEXT(SUM(AD$6:AD234),"0000"),INDEX(Q$6:Q233,MATCH(AC234,AC$6:AC233,0))))</f>
        <v/>
      </c>
      <c r="R234" s="34">
        <f>IF(C234="","",IF(L234="☑ Oui","Annulée",IF(OR(E234="Vente directe",K234&lt;&gt;""),"Livrée",IF(J234&lt;&gt;"","Confirmée","En attente"))))</f>
        <v/>
      </c>
      <c r="S234" s="34">
        <f>IF(F234="","",IFERROR(VLOOKUP(F234,T_Produits,2,FALSE),""))</f>
        <v/>
      </c>
      <c r="T234" s="40">
        <f>IF(F234="","",IFERROR(1/(1/VLOOKUP(F234,T_Produits,3,FALSE)),""))</f>
        <v/>
      </c>
      <c r="U234" s="40">
        <f>IF(H234&lt;&gt;"",H234,T234)</f>
        <v/>
      </c>
      <c r="V234" s="40">
        <f>IF(OR(G234="",U234=""),"",G234*U234-N(I234))</f>
        <v/>
      </c>
      <c r="W234" s="39">
        <f>IF(D234="","",IFERROR(VALUE(MID(D234,LEN(D234)-3,3)),""))</f>
        <v/>
      </c>
      <c r="X234" s="33">
        <f>IF(W234="","",P234&amp;"|"&amp;W234)</f>
        <v/>
      </c>
      <c r="Y234" s="33">
        <f>IF(W234="","",IF(P234="À RENSEIGNER","GIC",P234)&amp;"-"&amp;TEXT(W234,"000"))</f>
        <v/>
      </c>
      <c r="Z234" s="33">
        <f>IF(X234="","",IFERROR(INDEX(Cl_nom,MATCH(X234,Cl_cle,0)),"(client introuvable)"))</f>
        <v/>
      </c>
      <c r="AA234" s="33">
        <f>IF(X234="","",IFERROR(INDEX(Cl_quartier,MATCH(X234,Cl_cle,0))&amp;"",""))</f>
        <v/>
      </c>
      <c r="AB234" s="45">
        <f>IF(R234&lt;&gt;"Livrée",0,IF(K234&lt;&gt;"",K234,C234))</f>
        <v/>
      </c>
      <c r="AC234" s="33">
        <f>IF(OR(C234="",W234=""),"",P234&amp;"|"&amp;W234&amp;"|"&amp;C234&amp;"|"&amp;E234)</f>
        <v/>
      </c>
      <c r="AD234" s="39">
        <f>IF(AC234="","",IF(COUNTIF(AC$6:AC234,AC234)=1,1,0))</f>
        <v/>
      </c>
      <c r="AE234" s="39">
        <f>IF(AB234=0,"",IF(COUNTIFS(X$6:X234,X234,AB$6:AB234,AB234)=1,1,0))</f>
        <v/>
      </c>
      <c r="AF234" s="34">
        <f>IF(C234="","",YEAR(C234-WEEKDAY(C234,2)+4)&amp;"-S"&amp;TEXT(INT((C234-DATE(YEAR(C234-WEEKDAY(C234,2)+4),1,3)+WEEKDAY(DATE(YEAR(C234-WEEKDAY(C234,2)+4),1,3),2)+5)/7),"00"))</f>
        <v/>
      </c>
    </row>
    <row r="235" ht="18" customHeight="1">
      <c r="A235" s="39" t="n">
        <v>230</v>
      </c>
      <c r="B235" s="33">
        <f>IF(C235="","",IF(P235="À RENSEIGNER","GIC",P235)&amp;"-C"&amp;TEXT(A235,"00000"))</f>
        <v/>
      </c>
      <c r="C235" s="32" t="n"/>
      <c r="D235" s="36" t="n"/>
      <c r="E235" s="36" t="n"/>
      <c r="F235" s="36" t="n"/>
      <c r="G235" s="42" t="n"/>
      <c r="H235" s="37" t="n"/>
      <c r="I235" s="37" t="n"/>
      <c r="J235" s="32" t="n"/>
      <c r="K235" s="32" t="n"/>
      <c r="L235" s="43" t="n"/>
      <c r="M235" s="36" t="n"/>
      <c r="N235" s="44" t="n"/>
      <c r="O235" s="36" t="n"/>
      <c r="P235" s="33">
        <f>IF(C235="","",Commercial_Id)</f>
        <v/>
      </c>
      <c r="Q235" s="34">
        <f>IF(AC235="","",IF(AD235=1,"C"&amp;TEXT(SUM(AD$6:AD235),"0000"),INDEX(Q$6:Q234,MATCH(AC235,AC$6:AC234,0))))</f>
        <v/>
      </c>
      <c r="R235" s="34">
        <f>IF(C235="","",IF(L235="☑ Oui","Annulée",IF(OR(E235="Vente directe",K235&lt;&gt;""),"Livrée",IF(J235&lt;&gt;"","Confirmée","En attente"))))</f>
        <v/>
      </c>
      <c r="S235" s="34">
        <f>IF(F235="","",IFERROR(VLOOKUP(F235,T_Produits,2,FALSE),""))</f>
        <v/>
      </c>
      <c r="T235" s="40">
        <f>IF(F235="","",IFERROR(1/(1/VLOOKUP(F235,T_Produits,3,FALSE)),""))</f>
        <v/>
      </c>
      <c r="U235" s="40">
        <f>IF(H235&lt;&gt;"",H235,T235)</f>
        <v/>
      </c>
      <c r="V235" s="40">
        <f>IF(OR(G235="",U235=""),"",G235*U235-N(I235))</f>
        <v/>
      </c>
      <c r="W235" s="39">
        <f>IF(D235="","",IFERROR(VALUE(MID(D235,LEN(D235)-3,3)),""))</f>
        <v/>
      </c>
      <c r="X235" s="33">
        <f>IF(W235="","",P235&amp;"|"&amp;W235)</f>
        <v/>
      </c>
      <c r="Y235" s="33">
        <f>IF(W235="","",IF(P235="À RENSEIGNER","GIC",P235)&amp;"-"&amp;TEXT(W235,"000"))</f>
        <v/>
      </c>
      <c r="Z235" s="33">
        <f>IF(X235="","",IFERROR(INDEX(Cl_nom,MATCH(X235,Cl_cle,0)),"(client introuvable)"))</f>
        <v/>
      </c>
      <c r="AA235" s="33">
        <f>IF(X235="","",IFERROR(INDEX(Cl_quartier,MATCH(X235,Cl_cle,0))&amp;"",""))</f>
        <v/>
      </c>
      <c r="AB235" s="45">
        <f>IF(R235&lt;&gt;"Livrée",0,IF(K235&lt;&gt;"",K235,C235))</f>
        <v/>
      </c>
      <c r="AC235" s="33">
        <f>IF(OR(C235="",W235=""),"",P235&amp;"|"&amp;W235&amp;"|"&amp;C235&amp;"|"&amp;E235)</f>
        <v/>
      </c>
      <c r="AD235" s="39">
        <f>IF(AC235="","",IF(COUNTIF(AC$6:AC235,AC235)=1,1,0))</f>
        <v/>
      </c>
      <c r="AE235" s="39">
        <f>IF(AB235=0,"",IF(COUNTIFS(X$6:X235,X235,AB$6:AB235,AB235)=1,1,0))</f>
        <v/>
      </c>
      <c r="AF235" s="34">
        <f>IF(C235="","",YEAR(C235-WEEKDAY(C235,2)+4)&amp;"-S"&amp;TEXT(INT((C235-DATE(YEAR(C235-WEEKDAY(C235,2)+4),1,3)+WEEKDAY(DATE(YEAR(C235-WEEKDAY(C235,2)+4),1,3),2)+5)/7),"00"))</f>
        <v/>
      </c>
    </row>
    <row r="236" ht="18" customHeight="1">
      <c r="A236" s="39" t="n">
        <v>231</v>
      </c>
      <c r="B236" s="33">
        <f>IF(C236="","",IF(P236="À RENSEIGNER","GIC",P236)&amp;"-C"&amp;TEXT(A236,"00000"))</f>
        <v/>
      </c>
      <c r="C236" s="32" t="n"/>
      <c r="D236" s="36" t="n"/>
      <c r="E236" s="36" t="n"/>
      <c r="F236" s="36" t="n"/>
      <c r="G236" s="42" t="n"/>
      <c r="H236" s="37" t="n"/>
      <c r="I236" s="37" t="n"/>
      <c r="J236" s="32" t="n"/>
      <c r="K236" s="32" t="n"/>
      <c r="L236" s="43" t="n"/>
      <c r="M236" s="36" t="n"/>
      <c r="N236" s="44" t="n"/>
      <c r="O236" s="36" t="n"/>
      <c r="P236" s="33">
        <f>IF(C236="","",Commercial_Id)</f>
        <v/>
      </c>
      <c r="Q236" s="34">
        <f>IF(AC236="","",IF(AD236=1,"C"&amp;TEXT(SUM(AD$6:AD236),"0000"),INDEX(Q$6:Q235,MATCH(AC236,AC$6:AC235,0))))</f>
        <v/>
      </c>
      <c r="R236" s="34">
        <f>IF(C236="","",IF(L236="☑ Oui","Annulée",IF(OR(E236="Vente directe",K236&lt;&gt;""),"Livrée",IF(J236&lt;&gt;"","Confirmée","En attente"))))</f>
        <v/>
      </c>
      <c r="S236" s="34">
        <f>IF(F236="","",IFERROR(VLOOKUP(F236,T_Produits,2,FALSE),""))</f>
        <v/>
      </c>
      <c r="T236" s="40">
        <f>IF(F236="","",IFERROR(1/(1/VLOOKUP(F236,T_Produits,3,FALSE)),""))</f>
        <v/>
      </c>
      <c r="U236" s="40">
        <f>IF(H236&lt;&gt;"",H236,T236)</f>
        <v/>
      </c>
      <c r="V236" s="40">
        <f>IF(OR(G236="",U236=""),"",G236*U236-N(I236))</f>
        <v/>
      </c>
      <c r="W236" s="39">
        <f>IF(D236="","",IFERROR(VALUE(MID(D236,LEN(D236)-3,3)),""))</f>
        <v/>
      </c>
      <c r="X236" s="33">
        <f>IF(W236="","",P236&amp;"|"&amp;W236)</f>
        <v/>
      </c>
      <c r="Y236" s="33">
        <f>IF(W236="","",IF(P236="À RENSEIGNER","GIC",P236)&amp;"-"&amp;TEXT(W236,"000"))</f>
        <v/>
      </c>
      <c r="Z236" s="33">
        <f>IF(X236="","",IFERROR(INDEX(Cl_nom,MATCH(X236,Cl_cle,0)),"(client introuvable)"))</f>
        <v/>
      </c>
      <c r="AA236" s="33">
        <f>IF(X236="","",IFERROR(INDEX(Cl_quartier,MATCH(X236,Cl_cle,0))&amp;"",""))</f>
        <v/>
      </c>
      <c r="AB236" s="45">
        <f>IF(R236&lt;&gt;"Livrée",0,IF(K236&lt;&gt;"",K236,C236))</f>
        <v/>
      </c>
      <c r="AC236" s="33">
        <f>IF(OR(C236="",W236=""),"",P236&amp;"|"&amp;W236&amp;"|"&amp;C236&amp;"|"&amp;E236)</f>
        <v/>
      </c>
      <c r="AD236" s="39">
        <f>IF(AC236="","",IF(COUNTIF(AC$6:AC236,AC236)=1,1,0))</f>
        <v/>
      </c>
      <c r="AE236" s="39">
        <f>IF(AB236=0,"",IF(COUNTIFS(X$6:X236,X236,AB$6:AB236,AB236)=1,1,0))</f>
        <v/>
      </c>
      <c r="AF236" s="34">
        <f>IF(C236="","",YEAR(C236-WEEKDAY(C236,2)+4)&amp;"-S"&amp;TEXT(INT((C236-DATE(YEAR(C236-WEEKDAY(C236,2)+4),1,3)+WEEKDAY(DATE(YEAR(C236-WEEKDAY(C236,2)+4),1,3),2)+5)/7),"00"))</f>
        <v/>
      </c>
    </row>
    <row r="237" ht="18" customHeight="1">
      <c r="A237" s="39" t="n">
        <v>232</v>
      </c>
      <c r="B237" s="33">
        <f>IF(C237="","",IF(P237="À RENSEIGNER","GIC",P237)&amp;"-C"&amp;TEXT(A237,"00000"))</f>
        <v/>
      </c>
      <c r="C237" s="32" t="n"/>
      <c r="D237" s="36" t="n"/>
      <c r="E237" s="36" t="n"/>
      <c r="F237" s="36" t="n"/>
      <c r="G237" s="42" t="n"/>
      <c r="H237" s="37" t="n"/>
      <c r="I237" s="37" t="n"/>
      <c r="J237" s="32" t="n"/>
      <c r="K237" s="32" t="n"/>
      <c r="L237" s="43" t="n"/>
      <c r="M237" s="36" t="n"/>
      <c r="N237" s="44" t="n"/>
      <c r="O237" s="36" t="n"/>
      <c r="P237" s="33">
        <f>IF(C237="","",Commercial_Id)</f>
        <v/>
      </c>
      <c r="Q237" s="34">
        <f>IF(AC237="","",IF(AD237=1,"C"&amp;TEXT(SUM(AD$6:AD237),"0000"),INDEX(Q$6:Q236,MATCH(AC237,AC$6:AC236,0))))</f>
        <v/>
      </c>
      <c r="R237" s="34">
        <f>IF(C237="","",IF(L237="☑ Oui","Annulée",IF(OR(E237="Vente directe",K237&lt;&gt;""),"Livrée",IF(J237&lt;&gt;"","Confirmée","En attente"))))</f>
        <v/>
      </c>
      <c r="S237" s="34">
        <f>IF(F237="","",IFERROR(VLOOKUP(F237,T_Produits,2,FALSE),""))</f>
        <v/>
      </c>
      <c r="T237" s="40">
        <f>IF(F237="","",IFERROR(1/(1/VLOOKUP(F237,T_Produits,3,FALSE)),""))</f>
        <v/>
      </c>
      <c r="U237" s="40">
        <f>IF(H237&lt;&gt;"",H237,T237)</f>
        <v/>
      </c>
      <c r="V237" s="40">
        <f>IF(OR(G237="",U237=""),"",G237*U237-N(I237))</f>
        <v/>
      </c>
      <c r="W237" s="39">
        <f>IF(D237="","",IFERROR(VALUE(MID(D237,LEN(D237)-3,3)),""))</f>
        <v/>
      </c>
      <c r="X237" s="33">
        <f>IF(W237="","",P237&amp;"|"&amp;W237)</f>
        <v/>
      </c>
      <c r="Y237" s="33">
        <f>IF(W237="","",IF(P237="À RENSEIGNER","GIC",P237)&amp;"-"&amp;TEXT(W237,"000"))</f>
        <v/>
      </c>
      <c r="Z237" s="33">
        <f>IF(X237="","",IFERROR(INDEX(Cl_nom,MATCH(X237,Cl_cle,0)),"(client introuvable)"))</f>
        <v/>
      </c>
      <c r="AA237" s="33">
        <f>IF(X237="","",IFERROR(INDEX(Cl_quartier,MATCH(X237,Cl_cle,0))&amp;"",""))</f>
        <v/>
      </c>
      <c r="AB237" s="45">
        <f>IF(R237&lt;&gt;"Livrée",0,IF(K237&lt;&gt;"",K237,C237))</f>
        <v/>
      </c>
      <c r="AC237" s="33">
        <f>IF(OR(C237="",W237=""),"",P237&amp;"|"&amp;W237&amp;"|"&amp;C237&amp;"|"&amp;E237)</f>
        <v/>
      </c>
      <c r="AD237" s="39">
        <f>IF(AC237="","",IF(COUNTIF(AC$6:AC237,AC237)=1,1,0))</f>
        <v/>
      </c>
      <c r="AE237" s="39">
        <f>IF(AB237=0,"",IF(COUNTIFS(X$6:X237,X237,AB$6:AB237,AB237)=1,1,0))</f>
        <v/>
      </c>
      <c r="AF237" s="34">
        <f>IF(C237="","",YEAR(C237-WEEKDAY(C237,2)+4)&amp;"-S"&amp;TEXT(INT((C237-DATE(YEAR(C237-WEEKDAY(C237,2)+4),1,3)+WEEKDAY(DATE(YEAR(C237-WEEKDAY(C237,2)+4),1,3),2)+5)/7),"00"))</f>
        <v/>
      </c>
    </row>
    <row r="238" ht="18" customHeight="1">
      <c r="A238" s="39" t="n">
        <v>233</v>
      </c>
      <c r="B238" s="33">
        <f>IF(C238="","",IF(P238="À RENSEIGNER","GIC",P238)&amp;"-C"&amp;TEXT(A238,"00000"))</f>
        <v/>
      </c>
      <c r="C238" s="32" t="n"/>
      <c r="D238" s="36" t="n"/>
      <c r="E238" s="36" t="n"/>
      <c r="F238" s="36" t="n"/>
      <c r="G238" s="42" t="n"/>
      <c r="H238" s="37" t="n"/>
      <c r="I238" s="37" t="n"/>
      <c r="J238" s="32" t="n"/>
      <c r="K238" s="32" t="n"/>
      <c r="L238" s="43" t="n"/>
      <c r="M238" s="36" t="n"/>
      <c r="N238" s="44" t="n"/>
      <c r="O238" s="36" t="n"/>
      <c r="P238" s="33">
        <f>IF(C238="","",Commercial_Id)</f>
        <v/>
      </c>
      <c r="Q238" s="34">
        <f>IF(AC238="","",IF(AD238=1,"C"&amp;TEXT(SUM(AD$6:AD238),"0000"),INDEX(Q$6:Q237,MATCH(AC238,AC$6:AC237,0))))</f>
        <v/>
      </c>
      <c r="R238" s="34">
        <f>IF(C238="","",IF(L238="☑ Oui","Annulée",IF(OR(E238="Vente directe",K238&lt;&gt;""),"Livrée",IF(J238&lt;&gt;"","Confirmée","En attente"))))</f>
        <v/>
      </c>
      <c r="S238" s="34">
        <f>IF(F238="","",IFERROR(VLOOKUP(F238,T_Produits,2,FALSE),""))</f>
        <v/>
      </c>
      <c r="T238" s="40">
        <f>IF(F238="","",IFERROR(1/(1/VLOOKUP(F238,T_Produits,3,FALSE)),""))</f>
        <v/>
      </c>
      <c r="U238" s="40">
        <f>IF(H238&lt;&gt;"",H238,T238)</f>
        <v/>
      </c>
      <c r="V238" s="40">
        <f>IF(OR(G238="",U238=""),"",G238*U238-N(I238))</f>
        <v/>
      </c>
      <c r="W238" s="39">
        <f>IF(D238="","",IFERROR(VALUE(MID(D238,LEN(D238)-3,3)),""))</f>
        <v/>
      </c>
      <c r="X238" s="33">
        <f>IF(W238="","",P238&amp;"|"&amp;W238)</f>
        <v/>
      </c>
      <c r="Y238" s="33">
        <f>IF(W238="","",IF(P238="À RENSEIGNER","GIC",P238)&amp;"-"&amp;TEXT(W238,"000"))</f>
        <v/>
      </c>
      <c r="Z238" s="33">
        <f>IF(X238="","",IFERROR(INDEX(Cl_nom,MATCH(X238,Cl_cle,0)),"(client introuvable)"))</f>
        <v/>
      </c>
      <c r="AA238" s="33">
        <f>IF(X238="","",IFERROR(INDEX(Cl_quartier,MATCH(X238,Cl_cle,0))&amp;"",""))</f>
        <v/>
      </c>
      <c r="AB238" s="45">
        <f>IF(R238&lt;&gt;"Livrée",0,IF(K238&lt;&gt;"",K238,C238))</f>
        <v/>
      </c>
      <c r="AC238" s="33">
        <f>IF(OR(C238="",W238=""),"",P238&amp;"|"&amp;W238&amp;"|"&amp;C238&amp;"|"&amp;E238)</f>
        <v/>
      </c>
      <c r="AD238" s="39">
        <f>IF(AC238="","",IF(COUNTIF(AC$6:AC238,AC238)=1,1,0))</f>
        <v/>
      </c>
      <c r="AE238" s="39">
        <f>IF(AB238=0,"",IF(COUNTIFS(X$6:X238,X238,AB$6:AB238,AB238)=1,1,0))</f>
        <v/>
      </c>
      <c r="AF238" s="34">
        <f>IF(C238="","",YEAR(C238-WEEKDAY(C238,2)+4)&amp;"-S"&amp;TEXT(INT((C238-DATE(YEAR(C238-WEEKDAY(C238,2)+4),1,3)+WEEKDAY(DATE(YEAR(C238-WEEKDAY(C238,2)+4),1,3),2)+5)/7),"00"))</f>
        <v/>
      </c>
    </row>
    <row r="239" ht="18" customHeight="1">
      <c r="A239" s="39" t="n">
        <v>234</v>
      </c>
      <c r="B239" s="33">
        <f>IF(C239="","",IF(P239="À RENSEIGNER","GIC",P239)&amp;"-C"&amp;TEXT(A239,"00000"))</f>
        <v/>
      </c>
      <c r="C239" s="32" t="n"/>
      <c r="D239" s="36" t="n"/>
      <c r="E239" s="36" t="n"/>
      <c r="F239" s="36" t="n"/>
      <c r="G239" s="42" t="n"/>
      <c r="H239" s="37" t="n"/>
      <c r="I239" s="37" t="n"/>
      <c r="J239" s="32" t="n"/>
      <c r="K239" s="32" t="n"/>
      <c r="L239" s="43" t="n"/>
      <c r="M239" s="36" t="n"/>
      <c r="N239" s="44" t="n"/>
      <c r="O239" s="36" t="n"/>
      <c r="P239" s="33">
        <f>IF(C239="","",Commercial_Id)</f>
        <v/>
      </c>
      <c r="Q239" s="34">
        <f>IF(AC239="","",IF(AD239=1,"C"&amp;TEXT(SUM(AD$6:AD239),"0000"),INDEX(Q$6:Q238,MATCH(AC239,AC$6:AC238,0))))</f>
        <v/>
      </c>
      <c r="R239" s="34">
        <f>IF(C239="","",IF(L239="☑ Oui","Annulée",IF(OR(E239="Vente directe",K239&lt;&gt;""),"Livrée",IF(J239&lt;&gt;"","Confirmée","En attente"))))</f>
        <v/>
      </c>
      <c r="S239" s="34">
        <f>IF(F239="","",IFERROR(VLOOKUP(F239,T_Produits,2,FALSE),""))</f>
        <v/>
      </c>
      <c r="T239" s="40">
        <f>IF(F239="","",IFERROR(1/(1/VLOOKUP(F239,T_Produits,3,FALSE)),""))</f>
        <v/>
      </c>
      <c r="U239" s="40">
        <f>IF(H239&lt;&gt;"",H239,T239)</f>
        <v/>
      </c>
      <c r="V239" s="40">
        <f>IF(OR(G239="",U239=""),"",G239*U239-N(I239))</f>
        <v/>
      </c>
      <c r="W239" s="39">
        <f>IF(D239="","",IFERROR(VALUE(MID(D239,LEN(D239)-3,3)),""))</f>
        <v/>
      </c>
      <c r="X239" s="33">
        <f>IF(W239="","",P239&amp;"|"&amp;W239)</f>
        <v/>
      </c>
      <c r="Y239" s="33">
        <f>IF(W239="","",IF(P239="À RENSEIGNER","GIC",P239)&amp;"-"&amp;TEXT(W239,"000"))</f>
        <v/>
      </c>
      <c r="Z239" s="33">
        <f>IF(X239="","",IFERROR(INDEX(Cl_nom,MATCH(X239,Cl_cle,0)),"(client introuvable)"))</f>
        <v/>
      </c>
      <c r="AA239" s="33">
        <f>IF(X239="","",IFERROR(INDEX(Cl_quartier,MATCH(X239,Cl_cle,0))&amp;"",""))</f>
        <v/>
      </c>
      <c r="AB239" s="45">
        <f>IF(R239&lt;&gt;"Livrée",0,IF(K239&lt;&gt;"",K239,C239))</f>
        <v/>
      </c>
      <c r="AC239" s="33">
        <f>IF(OR(C239="",W239=""),"",P239&amp;"|"&amp;W239&amp;"|"&amp;C239&amp;"|"&amp;E239)</f>
        <v/>
      </c>
      <c r="AD239" s="39">
        <f>IF(AC239="","",IF(COUNTIF(AC$6:AC239,AC239)=1,1,0))</f>
        <v/>
      </c>
      <c r="AE239" s="39">
        <f>IF(AB239=0,"",IF(COUNTIFS(X$6:X239,X239,AB$6:AB239,AB239)=1,1,0))</f>
        <v/>
      </c>
      <c r="AF239" s="34">
        <f>IF(C239="","",YEAR(C239-WEEKDAY(C239,2)+4)&amp;"-S"&amp;TEXT(INT((C239-DATE(YEAR(C239-WEEKDAY(C239,2)+4),1,3)+WEEKDAY(DATE(YEAR(C239-WEEKDAY(C239,2)+4),1,3),2)+5)/7),"00"))</f>
        <v/>
      </c>
    </row>
    <row r="240" ht="18" customHeight="1">
      <c r="A240" s="39" t="n">
        <v>235</v>
      </c>
      <c r="B240" s="33">
        <f>IF(C240="","",IF(P240="À RENSEIGNER","GIC",P240)&amp;"-C"&amp;TEXT(A240,"00000"))</f>
        <v/>
      </c>
      <c r="C240" s="32" t="n"/>
      <c r="D240" s="36" t="n"/>
      <c r="E240" s="36" t="n"/>
      <c r="F240" s="36" t="n"/>
      <c r="G240" s="42" t="n"/>
      <c r="H240" s="37" t="n"/>
      <c r="I240" s="37" t="n"/>
      <c r="J240" s="32" t="n"/>
      <c r="K240" s="32" t="n"/>
      <c r="L240" s="43" t="n"/>
      <c r="M240" s="36" t="n"/>
      <c r="N240" s="44" t="n"/>
      <c r="O240" s="36" t="n"/>
      <c r="P240" s="33">
        <f>IF(C240="","",Commercial_Id)</f>
        <v/>
      </c>
      <c r="Q240" s="34">
        <f>IF(AC240="","",IF(AD240=1,"C"&amp;TEXT(SUM(AD$6:AD240),"0000"),INDEX(Q$6:Q239,MATCH(AC240,AC$6:AC239,0))))</f>
        <v/>
      </c>
      <c r="R240" s="34">
        <f>IF(C240="","",IF(L240="☑ Oui","Annulée",IF(OR(E240="Vente directe",K240&lt;&gt;""),"Livrée",IF(J240&lt;&gt;"","Confirmée","En attente"))))</f>
        <v/>
      </c>
      <c r="S240" s="34">
        <f>IF(F240="","",IFERROR(VLOOKUP(F240,T_Produits,2,FALSE),""))</f>
        <v/>
      </c>
      <c r="T240" s="40">
        <f>IF(F240="","",IFERROR(1/(1/VLOOKUP(F240,T_Produits,3,FALSE)),""))</f>
        <v/>
      </c>
      <c r="U240" s="40">
        <f>IF(H240&lt;&gt;"",H240,T240)</f>
        <v/>
      </c>
      <c r="V240" s="40">
        <f>IF(OR(G240="",U240=""),"",G240*U240-N(I240))</f>
        <v/>
      </c>
      <c r="W240" s="39">
        <f>IF(D240="","",IFERROR(VALUE(MID(D240,LEN(D240)-3,3)),""))</f>
        <v/>
      </c>
      <c r="X240" s="33">
        <f>IF(W240="","",P240&amp;"|"&amp;W240)</f>
        <v/>
      </c>
      <c r="Y240" s="33">
        <f>IF(W240="","",IF(P240="À RENSEIGNER","GIC",P240)&amp;"-"&amp;TEXT(W240,"000"))</f>
        <v/>
      </c>
      <c r="Z240" s="33">
        <f>IF(X240="","",IFERROR(INDEX(Cl_nom,MATCH(X240,Cl_cle,0)),"(client introuvable)"))</f>
        <v/>
      </c>
      <c r="AA240" s="33">
        <f>IF(X240="","",IFERROR(INDEX(Cl_quartier,MATCH(X240,Cl_cle,0))&amp;"",""))</f>
        <v/>
      </c>
      <c r="AB240" s="45">
        <f>IF(R240&lt;&gt;"Livrée",0,IF(K240&lt;&gt;"",K240,C240))</f>
        <v/>
      </c>
      <c r="AC240" s="33">
        <f>IF(OR(C240="",W240=""),"",P240&amp;"|"&amp;W240&amp;"|"&amp;C240&amp;"|"&amp;E240)</f>
        <v/>
      </c>
      <c r="AD240" s="39">
        <f>IF(AC240="","",IF(COUNTIF(AC$6:AC240,AC240)=1,1,0))</f>
        <v/>
      </c>
      <c r="AE240" s="39">
        <f>IF(AB240=0,"",IF(COUNTIFS(X$6:X240,X240,AB$6:AB240,AB240)=1,1,0))</f>
        <v/>
      </c>
      <c r="AF240" s="34">
        <f>IF(C240="","",YEAR(C240-WEEKDAY(C240,2)+4)&amp;"-S"&amp;TEXT(INT((C240-DATE(YEAR(C240-WEEKDAY(C240,2)+4),1,3)+WEEKDAY(DATE(YEAR(C240-WEEKDAY(C240,2)+4),1,3),2)+5)/7),"00"))</f>
        <v/>
      </c>
    </row>
    <row r="241" ht="18" customHeight="1">
      <c r="A241" s="39" t="n">
        <v>236</v>
      </c>
      <c r="B241" s="33">
        <f>IF(C241="","",IF(P241="À RENSEIGNER","GIC",P241)&amp;"-C"&amp;TEXT(A241,"00000"))</f>
        <v/>
      </c>
      <c r="C241" s="32" t="n"/>
      <c r="D241" s="36" t="n"/>
      <c r="E241" s="36" t="n"/>
      <c r="F241" s="36" t="n"/>
      <c r="G241" s="42" t="n"/>
      <c r="H241" s="37" t="n"/>
      <c r="I241" s="37" t="n"/>
      <c r="J241" s="32" t="n"/>
      <c r="K241" s="32" t="n"/>
      <c r="L241" s="43" t="n"/>
      <c r="M241" s="36" t="n"/>
      <c r="N241" s="44" t="n"/>
      <c r="O241" s="36" t="n"/>
      <c r="P241" s="33">
        <f>IF(C241="","",Commercial_Id)</f>
        <v/>
      </c>
      <c r="Q241" s="34">
        <f>IF(AC241="","",IF(AD241=1,"C"&amp;TEXT(SUM(AD$6:AD241),"0000"),INDEX(Q$6:Q240,MATCH(AC241,AC$6:AC240,0))))</f>
        <v/>
      </c>
      <c r="R241" s="34">
        <f>IF(C241="","",IF(L241="☑ Oui","Annulée",IF(OR(E241="Vente directe",K241&lt;&gt;""),"Livrée",IF(J241&lt;&gt;"","Confirmée","En attente"))))</f>
        <v/>
      </c>
      <c r="S241" s="34">
        <f>IF(F241="","",IFERROR(VLOOKUP(F241,T_Produits,2,FALSE),""))</f>
        <v/>
      </c>
      <c r="T241" s="40">
        <f>IF(F241="","",IFERROR(1/(1/VLOOKUP(F241,T_Produits,3,FALSE)),""))</f>
        <v/>
      </c>
      <c r="U241" s="40">
        <f>IF(H241&lt;&gt;"",H241,T241)</f>
        <v/>
      </c>
      <c r="V241" s="40">
        <f>IF(OR(G241="",U241=""),"",G241*U241-N(I241))</f>
        <v/>
      </c>
      <c r="W241" s="39">
        <f>IF(D241="","",IFERROR(VALUE(MID(D241,LEN(D241)-3,3)),""))</f>
        <v/>
      </c>
      <c r="X241" s="33">
        <f>IF(W241="","",P241&amp;"|"&amp;W241)</f>
        <v/>
      </c>
      <c r="Y241" s="33">
        <f>IF(W241="","",IF(P241="À RENSEIGNER","GIC",P241)&amp;"-"&amp;TEXT(W241,"000"))</f>
        <v/>
      </c>
      <c r="Z241" s="33">
        <f>IF(X241="","",IFERROR(INDEX(Cl_nom,MATCH(X241,Cl_cle,0)),"(client introuvable)"))</f>
        <v/>
      </c>
      <c r="AA241" s="33">
        <f>IF(X241="","",IFERROR(INDEX(Cl_quartier,MATCH(X241,Cl_cle,0))&amp;"",""))</f>
        <v/>
      </c>
      <c r="AB241" s="45">
        <f>IF(R241&lt;&gt;"Livrée",0,IF(K241&lt;&gt;"",K241,C241))</f>
        <v/>
      </c>
      <c r="AC241" s="33">
        <f>IF(OR(C241="",W241=""),"",P241&amp;"|"&amp;W241&amp;"|"&amp;C241&amp;"|"&amp;E241)</f>
        <v/>
      </c>
      <c r="AD241" s="39">
        <f>IF(AC241="","",IF(COUNTIF(AC$6:AC241,AC241)=1,1,0))</f>
        <v/>
      </c>
      <c r="AE241" s="39">
        <f>IF(AB241=0,"",IF(COUNTIFS(X$6:X241,X241,AB$6:AB241,AB241)=1,1,0))</f>
        <v/>
      </c>
      <c r="AF241" s="34">
        <f>IF(C241="","",YEAR(C241-WEEKDAY(C241,2)+4)&amp;"-S"&amp;TEXT(INT((C241-DATE(YEAR(C241-WEEKDAY(C241,2)+4),1,3)+WEEKDAY(DATE(YEAR(C241-WEEKDAY(C241,2)+4),1,3),2)+5)/7),"00"))</f>
        <v/>
      </c>
    </row>
    <row r="242" ht="18" customHeight="1">
      <c r="A242" s="39" t="n">
        <v>237</v>
      </c>
      <c r="B242" s="33">
        <f>IF(C242="","",IF(P242="À RENSEIGNER","GIC",P242)&amp;"-C"&amp;TEXT(A242,"00000"))</f>
        <v/>
      </c>
      <c r="C242" s="32" t="n"/>
      <c r="D242" s="36" t="n"/>
      <c r="E242" s="36" t="n"/>
      <c r="F242" s="36" t="n"/>
      <c r="G242" s="42" t="n"/>
      <c r="H242" s="37" t="n"/>
      <c r="I242" s="37" t="n"/>
      <c r="J242" s="32" t="n"/>
      <c r="K242" s="32" t="n"/>
      <c r="L242" s="43" t="n"/>
      <c r="M242" s="36" t="n"/>
      <c r="N242" s="44" t="n"/>
      <c r="O242" s="36" t="n"/>
      <c r="P242" s="33">
        <f>IF(C242="","",Commercial_Id)</f>
        <v/>
      </c>
      <c r="Q242" s="34">
        <f>IF(AC242="","",IF(AD242=1,"C"&amp;TEXT(SUM(AD$6:AD242),"0000"),INDEX(Q$6:Q241,MATCH(AC242,AC$6:AC241,0))))</f>
        <v/>
      </c>
      <c r="R242" s="34">
        <f>IF(C242="","",IF(L242="☑ Oui","Annulée",IF(OR(E242="Vente directe",K242&lt;&gt;""),"Livrée",IF(J242&lt;&gt;"","Confirmée","En attente"))))</f>
        <v/>
      </c>
      <c r="S242" s="34">
        <f>IF(F242="","",IFERROR(VLOOKUP(F242,T_Produits,2,FALSE),""))</f>
        <v/>
      </c>
      <c r="T242" s="40">
        <f>IF(F242="","",IFERROR(1/(1/VLOOKUP(F242,T_Produits,3,FALSE)),""))</f>
        <v/>
      </c>
      <c r="U242" s="40">
        <f>IF(H242&lt;&gt;"",H242,T242)</f>
        <v/>
      </c>
      <c r="V242" s="40">
        <f>IF(OR(G242="",U242=""),"",G242*U242-N(I242))</f>
        <v/>
      </c>
      <c r="W242" s="39">
        <f>IF(D242="","",IFERROR(VALUE(MID(D242,LEN(D242)-3,3)),""))</f>
        <v/>
      </c>
      <c r="X242" s="33">
        <f>IF(W242="","",P242&amp;"|"&amp;W242)</f>
        <v/>
      </c>
      <c r="Y242" s="33">
        <f>IF(W242="","",IF(P242="À RENSEIGNER","GIC",P242)&amp;"-"&amp;TEXT(W242,"000"))</f>
        <v/>
      </c>
      <c r="Z242" s="33">
        <f>IF(X242="","",IFERROR(INDEX(Cl_nom,MATCH(X242,Cl_cle,0)),"(client introuvable)"))</f>
        <v/>
      </c>
      <c r="AA242" s="33">
        <f>IF(X242="","",IFERROR(INDEX(Cl_quartier,MATCH(X242,Cl_cle,0))&amp;"",""))</f>
        <v/>
      </c>
      <c r="AB242" s="45">
        <f>IF(R242&lt;&gt;"Livrée",0,IF(K242&lt;&gt;"",K242,C242))</f>
        <v/>
      </c>
      <c r="AC242" s="33">
        <f>IF(OR(C242="",W242=""),"",P242&amp;"|"&amp;W242&amp;"|"&amp;C242&amp;"|"&amp;E242)</f>
        <v/>
      </c>
      <c r="AD242" s="39">
        <f>IF(AC242="","",IF(COUNTIF(AC$6:AC242,AC242)=1,1,0))</f>
        <v/>
      </c>
      <c r="AE242" s="39">
        <f>IF(AB242=0,"",IF(COUNTIFS(X$6:X242,X242,AB$6:AB242,AB242)=1,1,0))</f>
        <v/>
      </c>
      <c r="AF242" s="34">
        <f>IF(C242="","",YEAR(C242-WEEKDAY(C242,2)+4)&amp;"-S"&amp;TEXT(INT((C242-DATE(YEAR(C242-WEEKDAY(C242,2)+4),1,3)+WEEKDAY(DATE(YEAR(C242-WEEKDAY(C242,2)+4),1,3),2)+5)/7),"00"))</f>
        <v/>
      </c>
    </row>
    <row r="243" ht="18" customHeight="1">
      <c r="A243" s="39" t="n">
        <v>238</v>
      </c>
      <c r="B243" s="33">
        <f>IF(C243="","",IF(P243="À RENSEIGNER","GIC",P243)&amp;"-C"&amp;TEXT(A243,"00000"))</f>
        <v/>
      </c>
      <c r="C243" s="32" t="n"/>
      <c r="D243" s="36" t="n"/>
      <c r="E243" s="36" t="n"/>
      <c r="F243" s="36" t="n"/>
      <c r="G243" s="42" t="n"/>
      <c r="H243" s="37" t="n"/>
      <c r="I243" s="37" t="n"/>
      <c r="J243" s="32" t="n"/>
      <c r="K243" s="32" t="n"/>
      <c r="L243" s="43" t="n"/>
      <c r="M243" s="36" t="n"/>
      <c r="N243" s="44" t="n"/>
      <c r="O243" s="36" t="n"/>
      <c r="P243" s="33">
        <f>IF(C243="","",Commercial_Id)</f>
        <v/>
      </c>
      <c r="Q243" s="34">
        <f>IF(AC243="","",IF(AD243=1,"C"&amp;TEXT(SUM(AD$6:AD243),"0000"),INDEX(Q$6:Q242,MATCH(AC243,AC$6:AC242,0))))</f>
        <v/>
      </c>
      <c r="R243" s="34">
        <f>IF(C243="","",IF(L243="☑ Oui","Annulée",IF(OR(E243="Vente directe",K243&lt;&gt;""),"Livrée",IF(J243&lt;&gt;"","Confirmée","En attente"))))</f>
        <v/>
      </c>
      <c r="S243" s="34">
        <f>IF(F243="","",IFERROR(VLOOKUP(F243,T_Produits,2,FALSE),""))</f>
        <v/>
      </c>
      <c r="T243" s="40">
        <f>IF(F243="","",IFERROR(1/(1/VLOOKUP(F243,T_Produits,3,FALSE)),""))</f>
        <v/>
      </c>
      <c r="U243" s="40">
        <f>IF(H243&lt;&gt;"",H243,T243)</f>
        <v/>
      </c>
      <c r="V243" s="40">
        <f>IF(OR(G243="",U243=""),"",G243*U243-N(I243))</f>
        <v/>
      </c>
      <c r="W243" s="39">
        <f>IF(D243="","",IFERROR(VALUE(MID(D243,LEN(D243)-3,3)),""))</f>
        <v/>
      </c>
      <c r="X243" s="33">
        <f>IF(W243="","",P243&amp;"|"&amp;W243)</f>
        <v/>
      </c>
      <c r="Y243" s="33">
        <f>IF(W243="","",IF(P243="À RENSEIGNER","GIC",P243)&amp;"-"&amp;TEXT(W243,"000"))</f>
        <v/>
      </c>
      <c r="Z243" s="33">
        <f>IF(X243="","",IFERROR(INDEX(Cl_nom,MATCH(X243,Cl_cle,0)),"(client introuvable)"))</f>
        <v/>
      </c>
      <c r="AA243" s="33">
        <f>IF(X243="","",IFERROR(INDEX(Cl_quartier,MATCH(X243,Cl_cle,0))&amp;"",""))</f>
        <v/>
      </c>
      <c r="AB243" s="45">
        <f>IF(R243&lt;&gt;"Livrée",0,IF(K243&lt;&gt;"",K243,C243))</f>
        <v/>
      </c>
      <c r="AC243" s="33">
        <f>IF(OR(C243="",W243=""),"",P243&amp;"|"&amp;W243&amp;"|"&amp;C243&amp;"|"&amp;E243)</f>
        <v/>
      </c>
      <c r="AD243" s="39">
        <f>IF(AC243="","",IF(COUNTIF(AC$6:AC243,AC243)=1,1,0))</f>
        <v/>
      </c>
      <c r="AE243" s="39">
        <f>IF(AB243=0,"",IF(COUNTIFS(X$6:X243,X243,AB$6:AB243,AB243)=1,1,0))</f>
        <v/>
      </c>
      <c r="AF243" s="34">
        <f>IF(C243="","",YEAR(C243-WEEKDAY(C243,2)+4)&amp;"-S"&amp;TEXT(INT((C243-DATE(YEAR(C243-WEEKDAY(C243,2)+4),1,3)+WEEKDAY(DATE(YEAR(C243-WEEKDAY(C243,2)+4),1,3),2)+5)/7),"00"))</f>
        <v/>
      </c>
    </row>
    <row r="244" ht="18" customHeight="1">
      <c r="A244" s="39" t="n">
        <v>239</v>
      </c>
      <c r="B244" s="33">
        <f>IF(C244="","",IF(P244="À RENSEIGNER","GIC",P244)&amp;"-C"&amp;TEXT(A244,"00000"))</f>
        <v/>
      </c>
      <c r="C244" s="32" t="n"/>
      <c r="D244" s="36" t="n"/>
      <c r="E244" s="36" t="n"/>
      <c r="F244" s="36" t="n"/>
      <c r="G244" s="42" t="n"/>
      <c r="H244" s="37" t="n"/>
      <c r="I244" s="37" t="n"/>
      <c r="J244" s="32" t="n"/>
      <c r="K244" s="32" t="n"/>
      <c r="L244" s="43" t="n"/>
      <c r="M244" s="36" t="n"/>
      <c r="N244" s="44" t="n"/>
      <c r="O244" s="36" t="n"/>
      <c r="P244" s="33">
        <f>IF(C244="","",Commercial_Id)</f>
        <v/>
      </c>
      <c r="Q244" s="34">
        <f>IF(AC244="","",IF(AD244=1,"C"&amp;TEXT(SUM(AD$6:AD244),"0000"),INDEX(Q$6:Q243,MATCH(AC244,AC$6:AC243,0))))</f>
        <v/>
      </c>
      <c r="R244" s="34">
        <f>IF(C244="","",IF(L244="☑ Oui","Annulée",IF(OR(E244="Vente directe",K244&lt;&gt;""),"Livrée",IF(J244&lt;&gt;"","Confirmée","En attente"))))</f>
        <v/>
      </c>
      <c r="S244" s="34">
        <f>IF(F244="","",IFERROR(VLOOKUP(F244,T_Produits,2,FALSE),""))</f>
        <v/>
      </c>
      <c r="T244" s="40">
        <f>IF(F244="","",IFERROR(1/(1/VLOOKUP(F244,T_Produits,3,FALSE)),""))</f>
        <v/>
      </c>
      <c r="U244" s="40">
        <f>IF(H244&lt;&gt;"",H244,T244)</f>
        <v/>
      </c>
      <c r="V244" s="40">
        <f>IF(OR(G244="",U244=""),"",G244*U244-N(I244))</f>
        <v/>
      </c>
      <c r="W244" s="39">
        <f>IF(D244="","",IFERROR(VALUE(MID(D244,LEN(D244)-3,3)),""))</f>
        <v/>
      </c>
      <c r="X244" s="33">
        <f>IF(W244="","",P244&amp;"|"&amp;W244)</f>
        <v/>
      </c>
      <c r="Y244" s="33">
        <f>IF(W244="","",IF(P244="À RENSEIGNER","GIC",P244)&amp;"-"&amp;TEXT(W244,"000"))</f>
        <v/>
      </c>
      <c r="Z244" s="33">
        <f>IF(X244="","",IFERROR(INDEX(Cl_nom,MATCH(X244,Cl_cle,0)),"(client introuvable)"))</f>
        <v/>
      </c>
      <c r="AA244" s="33">
        <f>IF(X244="","",IFERROR(INDEX(Cl_quartier,MATCH(X244,Cl_cle,0))&amp;"",""))</f>
        <v/>
      </c>
      <c r="AB244" s="45">
        <f>IF(R244&lt;&gt;"Livrée",0,IF(K244&lt;&gt;"",K244,C244))</f>
        <v/>
      </c>
      <c r="AC244" s="33">
        <f>IF(OR(C244="",W244=""),"",P244&amp;"|"&amp;W244&amp;"|"&amp;C244&amp;"|"&amp;E244)</f>
        <v/>
      </c>
      <c r="AD244" s="39">
        <f>IF(AC244="","",IF(COUNTIF(AC$6:AC244,AC244)=1,1,0))</f>
        <v/>
      </c>
      <c r="AE244" s="39">
        <f>IF(AB244=0,"",IF(COUNTIFS(X$6:X244,X244,AB$6:AB244,AB244)=1,1,0))</f>
        <v/>
      </c>
      <c r="AF244" s="34">
        <f>IF(C244="","",YEAR(C244-WEEKDAY(C244,2)+4)&amp;"-S"&amp;TEXT(INT((C244-DATE(YEAR(C244-WEEKDAY(C244,2)+4),1,3)+WEEKDAY(DATE(YEAR(C244-WEEKDAY(C244,2)+4),1,3),2)+5)/7),"00"))</f>
        <v/>
      </c>
    </row>
    <row r="245" ht="18" customHeight="1">
      <c r="A245" s="39" t="n">
        <v>240</v>
      </c>
      <c r="B245" s="33">
        <f>IF(C245="","",IF(P245="À RENSEIGNER","GIC",P245)&amp;"-C"&amp;TEXT(A245,"00000"))</f>
        <v/>
      </c>
      <c r="C245" s="32" t="n"/>
      <c r="D245" s="36" t="n"/>
      <c r="E245" s="36" t="n"/>
      <c r="F245" s="36" t="n"/>
      <c r="G245" s="42" t="n"/>
      <c r="H245" s="37" t="n"/>
      <c r="I245" s="37" t="n"/>
      <c r="J245" s="32" t="n"/>
      <c r="K245" s="32" t="n"/>
      <c r="L245" s="43" t="n"/>
      <c r="M245" s="36" t="n"/>
      <c r="N245" s="44" t="n"/>
      <c r="O245" s="36" t="n"/>
      <c r="P245" s="33">
        <f>IF(C245="","",Commercial_Id)</f>
        <v/>
      </c>
      <c r="Q245" s="34">
        <f>IF(AC245="","",IF(AD245=1,"C"&amp;TEXT(SUM(AD$6:AD245),"0000"),INDEX(Q$6:Q244,MATCH(AC245,AC$6:AC244,0))))</f>
        <v/>
      </c>
      <c r="R245" s="34">
        <f>IF(C245="","",IF(L245="☑ Oui","Annulée",IF(OR(E245="Vente directe",K245&lt;&gt;""),"Livrée",IF(J245&lt;&gt;"","Confirmée","En attente"))))</f>
        <v/>
      </c>
      <c r="S245" s="34">
        <f>IF(F245="","",IFERROR(VLOOKUP(F245,T_Produits,2,FALSE),""))</f>
        <v/>
      </c>
      <c r="T245" s="40">
        <f>IF(F245="","",IFERROR(1/(1/VLOOKUP(F245,T_Produits,3,FALSE)),""))</f>
        <v/>
      </c>
      <c r="U245" s="40">
        <f>IF(H245&lt;&gt;"",H245,T245)</f>
        <v/>
      </c>
      <c r="V245" s="40">
        <f>IF(OR(G245="",U245=""),"",G245*U245-N(I245))</f>
        <v/>
      </c>
      <c r="W245" s="39">
        <f>IF(D245="","",IFERROR(VALUE(MID(D245,LEN(D245)-3,3)),""))</f>
        <v/>
      </c>
      <c r="X245" s="33">
        <f>IF(W245="","",P245&amp;"|"&amp;W245)</f>
        <v/>
      </c>
      <c r="Y245" s="33">
        <f>IF(W245="","",IF(P245="À RENSEIGNER","GIC",P245)&amp;"-"&amp;TEXT(W245,"000"))</f>
        <v/>
      </c>
      <c r="Z245" s="33">
        <f>IF(X245="","",IFERROR(INDEX(Cl_nom,MATCH(X245,Cl_cle,0)),"(client introuvable)"))</f>
        <v/>
      </c>
      <c r="AA245" s="33">
        <f>IF(X245="","",IFERROR(INDEX(Cl_quartier,MATCH(X245,Cl_cle,0))&amp;"",""))</f>
        <v/>
      </c>
      <c r="AB245" s="45">
        <f>IF(R245&lt;&gt;"Livrée",0,IF(K245&lt;&gt;"",K245,C245))</f>
        <v/>
      </c>
      <c r="AC245" s="33">
        <f>IF(OR(C245="",W245=""),"",P245&amp;"|"&amp;W245&amp;"|"&amp;C245&amp;"|"&amp;E245)</f>
        <v/>
      </c>
      <c r="AD245" s="39">
        <f>IF(AC245="","",IF(COUNTIF(AC$6:AC245,AC245)=1,1,0))</f>
        <v/>
      </c>
      <c r="AE245" s="39">
        <f>IF(AB245=0,"",IF(COUNTIFS(X$6:X245,X245,AB$6:AB245,AB245)=1,1,0))</f>
        <v/>
      </c>
      <c r="AF245" s="34">
        <f>IF(C245="","",YEAR(C245-WEEKDAY(C245,2)+4)&amp;"-S"&amp;TEXT(INT((C245-DATE(YEAR(C245-WEEKDAY(C245,2)+4),1,3)+WEEKDAY(DATE(YEAR(C245-WEEKDAY(C245,2)+4),1,3),2)+5)/7),"00"))</f>
        <v/>
      </c>
    </row>
    <row r="246" ht="18" customHeight="1">
      <c r="A246" s="39" t="n">
        <v>241</v>
      </c>
      <c r="B246" s="33">
        <f>IF(C246="","",IF(P246="À RENSEIGNER","GIC",P246)&amp;"-C"&amp;TEXT(A246,"00000"))</f>
        <v/>
      </c>
      <c r="C246" s="32" t="n"/>
      <c r="D246" s="36" t="n"/>
      <c r="E246" s="36" t="n"/>
      <c r="F246" s="36" t="n"/>
      <c r="G246" s="42" t="n"/>
      <c r="H246" s="37" t="n"/>
      <c r="I246" s="37" t="n"/>
      <c r="J246" s="32" t="n"/>
      <c r="K246" s="32" t="n"/>
      <c r="L246" s="43" t="n"/>
      <c r="M246" s="36" t="n"/>
      <c r="N246" s="44" t="n"/>
      <c r="O246" s="36" t="n"/>
      <c r="P246" s="33">
        <f>IF(C246="","",Commercial_Id)</f>
        <v/>
      </c>
      <c r="Q246" s="34">
        <f>IF(AC246="","",IF(AD246=1,"C"&amp;TEXT(SUM(AD$6:AD246),"0000"),INDEX(Q$6:Q245,MATCH(AC246,AC$6:AC245,0))))</f>
        <v/>
      </c>
      <c r="R246" s="34">
        <f>IF(C246="","",IF(L246="☑ Oui","Annulée",IF(OR(E246="Vente directe",K246&lt;&gt;""),"Livrée",IF(J246&lt;&gt;"","Confirmée","En attente"))))</f>
        <v/>
      </c>
      <c r="S246" s="34">
        <f>IF(F246="","",IFERROR(VLOOKUP(F246,T_Produits,2,FALSE),""))</f>
        <v/>
      </c>
      <c r="T246" s="40">
        <f>IF(F246="","",IFERROR(1/(1/VLOOKUP(F246,T_Produits,3,FALSE)),""))</f>
        <v/>
      </c>
      <c r="U246" s="40">
        <f>IF(H246&lt;&gt;"",H246,T246)</f>
        <v/>
      </c>
      <c r="V246" s="40">
        <f>IF(OR(G246="",U246=""),"",G246*U246-N(I246))</f>
        <v/>
      </c>
      <c r="W246" s="39">
        <f>IF(D246="","",IFERROR(VALUE(MID(D246,LEN(D246)-3,3)),""))</f>
        <v/>
      </c>
      <c r="X246" s="33">
        <f>IF(W246="","",P246&amp;"|"&amp;W246)</f>
        <v/>
      </c>
      <c r="Y246" s="33">
        <f>IF(W246="","",IF(P246="À RENSEIGNER","GIC",P246)&amp;"-"&amp;TEXT(W246,"000"))</f>
        <v/>
      </c>
      <c r="Z246" s="33">
        <f>IF(X246="","",IFERROR(INDEX(Cl_nom,MATCH(X246,Cl_cle,0)),"(client introuvable)"))</f>
        <v/>
      </c>
      <c r="AA246" s="33">
        <f>IF(X246="","",IFERROR(INDEX(Cl_quartier,MATCH(X246,Cl_cle,0))&amp;"",""))</f>
        <v/>
      </c>
      <c r="AB246" s="45">
        <f>IF(R246&lt;&gt;"Livrée",0,IF(K246&lt;&gt;"",K246,C246))</f>
        <v/>
      </c>
      <c r="AC246" s="33">
        <f>IF(OR(C246="",W246=""),"",P246&amp;"|"&amp;W246&amp;"|"&amp;C246&amp;"|"&amp;E246)</f>
        <v/>
      </c>
      <c r="AD246" s="39">
        <f>IF(AC246="","",IF(COUNTIF(AC$6:AC246,AC246)=1,1,0))</f>
        <v/>
      </c>
      <c r="AE246" s="39">
        <f>IF(AB246=0,"",IF(COUNTIFS(X$6:X246,X246,AB$6:AB246,AB246)=1,1,0))</f>
        <v/>
      </c>
      <c r="AF246" s="34">
        <f>IF(C246="","",YEAR(C246-WEEKDAY(C246,2)+4)&amp;"-S"&amp;TEXT(INT((C246-DATE(YEAR(C246-WEEKDAY(C246,2)+4),1,3)+WEEKDAY(DATE(YEAR(C246-WEEKDAY(C246,2)+4),1,3),2)+5)/7),"00"))</f>
        <v/>
      </c>
    </row>
    <row r="247" ht="18" customHeight="1">
      <c r="A247" s="39" t="n">
        <v>242</v>
      </c>
      <c r="B247" s="33">
        <f>IF(C247="","",IF(P247="À RENSEIGNER","GIC",P247)&amp;"-C"&amp;TEXT(A247,"00000"))</f>
        <v/>
      </c>
      <c r="C247" s="32" t="n"/>
      <c r="D247" s="36" t="n"/>
      <c r="E247" s="36" t="n"/>
      <c r="F247" s="36" t="n"/>
      <c r="G247" s="42" t="n"/>
      <c r="H247" s="37" t="n"/>
      <c r="I247" s="37" t="n"/>
      <c r="J247" s="32" t="n"/>
      <c r="K247" s="32" t="n"/>
      <c r="L247" s="43" t="n"/>
      <c r="M247" s="36" t="n"/>
      <c r="N247" s="44" t="n"/>
      <c r="O247" s="36" t="n"/>
      <c r="P247" s="33">
        <f>IF(C247="","",Commercial_Id)</f>
        <v/>
      </c>
      <c r="Q247" s="34">
        <f>IF(AC247="","",IF(AD247=1,"C"&amp;TEXT(SUM(AD$6:AD247),"0000"),INDEX(Q$6:Q246,MATCH(AC247,AC$6:AC246,0))))</f>
        <v/>
      </c>
      <c r="R247" s="34">
        <f>IF(C247="","",IF(L247="☑ Oui","Annulée",IF(OR(E247="Vente directe",K247&lt;&gt;""),"Livrée",IF(J247&lt;&gt;"","Confirmée","En attente"))))</f>
        <v/>
      </c>
      <c r="S247" s="34">
        <f>IF(F247="","",IFERROR(VLOOKUP(F247,T_Produits,2,FALSE),""))</f>
        <v/>
      </c>
      <c r="T247" s="40">
        <f>IF(F247="","",IFERROR(1/(1/VLOOKUP(F247,T_Produits,3,FALSE)),""))</f>
        <v/>
      </c>
      <c r="U247" s="40">
        <f>IF(H247&lt;&gt;"",H247,T247)</f>
        <v/>
      </c>
      <c r="V247" s="40">
        <f>IF(OR(G247="",U247=""),"",G247*U247-N(I247))</f>
        <v/>
      </c>
      <c r="W247" s="39">
        <f>IF(D247="","",IFERROR(VALUE(MID(D247,LEN(D247)-3,3)),""))</f>
        <v/>
      </c>
      <c r="X247" s="33">
        <f>IF(W247="","",P247&amp;"|"&amp;W247)</f>
        <v/>
      </c>
      <c r="Y247" s="33">
        <f>IF(W247="","",IF(P247="À RENSEIGNER","GIC",P247)&amp;"-"&amp;TEXT(W247,"000"))</f>
        <v/>
      </c>
      <c r="Z247" s="33">
        <f>IF(X247="","",IFERROR(INDEX(Cl_nom,MATCH(X247,Cl_cle,0)),"(client introuvable)"))</f>
        <v/>
      </c>
      <c r="AA247" s="33">
        <f>IF(X247="","",IFERROR(INDEX(Cl_quartier,MATCH(X247,Cl_cle,0))&amp;"",""))</f>
        <v/>
      </c>
      <c r="AB247" s="45">
        <f>IF(R247&lt;&gt;"Livrée",0,IF(K247&lt;&gt;"",K247,C247))</f>
        <v/>
      </c>
      <c r="AC247" s="33">
        <f>IF(OR(C247="",W247=""),"",P247&amp;"|"&amp;W247&amp;"|"&amp;C247&amp;"|"&amp;E247)</f>
        <v/>
      </c>
      <c r="AD247" s="39">
        <f>IF(AC247="","",IF(COUNTIF(AC$6:AC247,AC247)=1,1,0))</f>
        <v/>
      </c>
      <c r="AE247" s="39">
        <f>IF(AB247=0,"",IF(COUNTIFS(X$6:X247,X247,AB$6:AB247,AB247)=1,1,0))</f>
        <v/>
      </c>
      <c r="AF247" s="34">
        <f>IF(C247="","",YEAR(C247-WEEKDAY(C247,2)+4)&amp;"-S"&amp;TEXT(INT((C247-DATE(YEAR(C247-WEEKDAY(C247,2)+4),1,3)+WEEKDAY(DATE(YEAR(C247-WEEKDAY(C247,2)+4),1,3),2)+5)/7),"00"))</f>
        <v/>
      </c>
    </row>
    <row r="248" ht="18" customHeight="1">
      <c r="A248" s="39" t="n">
        <v>243</v>
      </c>
      <c r="B248" s="33">
        <f>IF(C248="","",IF(P248="À RENSEIGNER","GIC",P248)&amp;"-C"&amp;TEXT(A248,"00000"))</f>
        <v/>
      </c>
      <c r="C248" s="32" t="n"/>
      <c r="D248" s="36" t="n"/>
      <c r="E248" s="36" t="n"/>
      <c r="F248" s="36" t="n"/>
      <c r="G248" s="42" t="n"/>
      <c r="H248" s="37" t="n"/>
      <c r="I248" s="37" t="n"/>
      <c r="J248" s="32" t="n"/>
      <c r="K248" s="32" t="n"/>
      <c r="L248" s="43" t="n"/>
      <c r="M248" s="36" t="n"/>
      <c r="N248" s="44" t="n"/>
      <c r="O248" s="36" t="n"/>
      <c r="P248" s="33">
        <f>IF(C248="","",Commercial_Id)</f>
        <v/>
      </c>
      <c r="Q248" s="34">
        <f>IF(AC248="","",IF(AD248=1,"C"&amp;TEXT(SUM(AD$6:AD248),"0000"),INDEX(Q$6:Q247,MATCH(AC248,AC$6:AC247,0))))</f>
        <v/>
      </c>
      <c r="R248" s="34">
        <f>IF(C248="","",IF(L248="☑ Oui","Annulée",IF(OR(E248="Vente directe",K248&lt;&gt;""),"Livrée",IF(J248&lt;&gt;"","Confirmée","En attente"))))</f>
        <v/>
      </c>
      <c r="S248" s="34">
        <f>IF(F248="","",IFERROR(VLOOKUP(F248,T_Produits,2,FALSE),""))</f>
        <v/>
      </c>
      <c r="T248" s="40">
        <f>IF(F248="","",IFERROR(1/(1/VLOOKUP(F248,T_Produits,3,FALSE)),""))</f>
        <v/>
      </c>
      <c r="U248" s="40">
        <f>IF(H248&lt;&gt;"",H248,T248)</f>
        <v/>
      </c>
      <c r="V248" s="40">
        <f>IF(OR(G248="",U248=""),"",G248*U248-N(I248))</f>
        <v/>
      </c>
      <c r="W248" s="39">
        <f>IF(D248="","",IFERROR(VALUE(MID(D248,LEN(D248)-3,3)),""))</f>
        <v/>
      </c>
      <c r="X248" s="33">
        <f>IF(W248="","",P248&amp;"|"&amp;W248)</f>
        <v/>
      </c>
      <c r="Y248" s="33">
        <f>IF(W248="","",IF(P248="À RENSEIGNER","GIC",P248)&amp;"-"&amp;TEXT(W248,"000"))</f>
        <v/>
      </c>
      <c r="Z248" s="33">
        <f>IF(X248="","",IFERROR(INDEX(Cl_nom,MATCH(X248,Cl_cle,0)),"(client introuvable)"))</f>
        <v/>
      </c>
      <c r="AA248" s="33">
        <f>IF(X248="","",IFERROR(INDEX(Cl_quartier,MATCH(X248,Cl_cle,0))&amp;"",""))</f>
        <v/>
      </c>
      <c r="AB248" s="45">
        <f>IF(R248&lt;&gt;"Livrée",0,IF(K248&lt;&gt;"",K248,C248))</f>
        <v/>
      </c>
      <c r="AC248" s="33">
        <f>IF(OR(C248="",W248=""),"",P248&amp;"|"&amp;W248&amp;"|"&amp;C248&amp;"|"&amp;E248)</f>
        <v/>
      </c>
      <c r="AD248" s="39">
        <f>IF(AC248="","",IF(COUNTIF(AC$6:AC248,AC248)=1,1,0))</f>
        <v/>
      </c>
      <c r="AE248" s="39">
        <f>IF(AB248=0,"",IF(COUNTIFS(X$6:X248,X248,AB$6:AB248,AB248)=1,1,0))</f>
        <v/>
      </c>
      <c r="AF248" s="34">
        <f>IF(C248="","",YEAR(C248-WEEKDAY(C248,2)+4)&amp;"-S"&amp;TEXT(INT((C248-DATE(YEAR(C248-WEEKDAY(C248,2)+4),1,3)+WEEKDAY(DATE(YEAR(C248-WEEKDAY(C248,2)+4),1,3),2)+5)/7),"00"))</f>
        <v/>
      </c>
    </row>
    <row r="249" ht="18" customHeight="1">
      <c r="A249" s="39" t="n">
        <v>244</v>
      </c>
      <c r="B249" s="33">
        <f>IF(C249="","",IF(P249="À RENSEIGNER","GIC",P249)&amp;"-C"&amp;TEXT(A249,"00000"))</f>
        <v/>
      </c>
      <c r="C249" s="32" t="n"/>
      <c r="D249" s="36" t="n"/>
      <c r="E249" s="36" t="n"/>
      <c r="F249" s="36" t="n"/>
      <c r="G249" s="42" t="n"/>
      <c r="H249" s="37" t="n"/>
      <c r="I249" s="37" t="n"/>
      <c r="J249" s="32" t="n"/>
      <c r="K249" s="32" t="n"/>
      <c r="L249" s="43" t="n"/>
      <c r="M249" s="36" t="n"/>
      <c r="N249" s="44" t="n"/>
      <c r="O249" s="36" t="n"/>
      <c r="P249" s="33">
        <f>IF(C249="","",Commercial_Id)</f>
        <v/>
      </c>
      <c r="Q249" s="34">
        <f>IF(AC249="","",IF(AD249=1,"C"&amp;TEXT(SUM(AD$6:AD249),"0000"),INDEX(Q$6:Q248,MATCH(AC249,AC$6:AC248,0))))</f>
        <v/>
      </c>
      <c r="R249" s="34">
        <f>IF(C249="","",IF(L249="☑ Oui","Annulée",IF(OR(E249="Vente directe",K249&lt;&gt;""),"Livrée",IF(J249&lt;&gt;"","Confirmée","En attente"))))</f>
        <v/>
      </c>
      <c r="S249" s="34">
        <f>IF(F249="","",IFERROR(VLOOKUP(F249,T_Produits,2,FALSE),""))</f>
        <v/>
      </c>
      <c r="T249" s="40">
        <f>IF(F249="","",IFERROR(1/(1/VLOOKUP(F249,T_Produits,3,FALSE)),""))</f>
        <v/>
      </c>
      <c r="U249" s="40">
        <f>IF(H249&lt;&gt;"",H249,T249)</f>
        <v/>
      </c>
      <c r="V249" s="40">
        <f>IF(OR(G249="",U249=""),"",G249*U249-N(I249))</f>
        <v/>
      </c>
      <c r="W249" s="39">
        <f>IF(D249="","",IFERROR(VALUE(MID(D249,LEN(D249)-3,3)),""))</f>
        <v/>
      </c>
      <c r="X249" s="33">
        <f>IF(W249="","",P249&amp;"|"&amp;W249)</f>
        <v/>
      </c>
      <c r="Y249" s="33">
        <f>IF(W249="","",IF(P249="À RENSEIGNER","GIC",P249)&amp;"-"&amp;TEXT(W249,"000"))</f>
        <v/>
      </c>
      <c r="Z249" s="33">
        <f>IF(X249="","",IFERROR(INDEX(Cl_nom,MATCH(X249,Cl_cle,0)),"(client introuvable)"))</f>
        <v/>
      </c>
      <c r="AA249" s="33">
        <f>IF(X249="","",IFERROR(INDEX(Cl_quartier,MATCH(X249,Cl_cle,0))&amp;"",""))</f>
        <v/>
      </c>
      <c r="AB249" s="45">
        <f>IF(R249&lt;&gt;"Livrée",0,IF(K249&lt;&gt;"",K249,C249))</f>
        <v/>
      </c>
      <c r="AC249" s="33">
        <f>IF(OR(C249="",W249=""),"",P249&amp;"|"&amp;W249&amp;"|"&amp;C249&amp;"|"&amp;E249)</f>
        <v/>
      </c>
      <c r="AD249" s="39">
        <f>IF(AC249="","",IF(COUNTIF(AC$6:AC249,AC249)=1,1,0))</f>
        <v/>
      </c>
      <c r="AE249" s="39">
        <f>IF(AB249=0,"",IF(COUNTIFS(X$6:X249,X249,AB$6:AB249,AB249)=1,1,0))</f>
        <v/>
      </c>
      <c r="AF249" s="34">
        <f>IF(C249="","",YEAR(C249-WEEKDAY(C249,2)+4)&amp;"-S"&amp;TEXT(INT((C249-DATE(YEAR(C249-WEEKDAY(C249,2)+4),1,3)+WEEKDAY(DATE(YEAR(C249-WEEKDAY(C249,2)+4),1,3),2)+5)/7),"00"))</f>
        <v/>
      </c>
    </row>
    <row r="250" ht="18" customHeight="1">
      <c r="A250" s="39" t="n">
        <v>245</v>
      </c>
      <c r="B250" s="33">
        <f>IF(C250="","",IF(P250="À RENSEIGNER","GIC",P250)&amp;"-C"&amp;TEXT(A250,"00000"))</f>
        <v/>
      </c>
      <c r="C250" s="32" t="n"/>
      <c r="D250" s="36" t="n"/>
      <c r="E250" s="36" t="n"/>
      <c r="F250" s="36" t="n"/>
      <c r="G250" s="42" t="n"/>
      <c r="H250" s="37" t="n"/>
      <c r="I250" s="37" t="n"/>
      <c r="J250" s="32" t="n"/>
      <c r="K250" s="32" t="n"/>
      <c r="L250" s="43" t="n"/>
      <c r="M250" s="36" t="n"/>
      <c r="N250" s="44" t="n"/>
      <c r="O250" s="36" t="n"/>
      <c r="P250" s="33">
        <f>IF(C250="","",Commercial_Id)</f>
        <v/>
      </c>
      <c r="Q250" s="34">
        <f>IF(AC250="","",IF(AD250=1,"C"&amp;TEXT(SUM(AD$6:AD250),"0000"),INDEX(Q$6:Q249,MATCH(AC250,AC$6:AC249,0))))</f>
        <v/>
      </c>
      <c r="R250" s="34">
        <f>IF(C250="","",IF(L250="☑ Oui","Annulée",IF(OR(E250="Vente directe",K250&lt;&gt;""),"Livrée",IF(J250&lt;&gt;"","Confirmée","En attente"))))</f>
        <v/>
      </c>
      <c r="S250" s="34">
        <f>IF(F250="","",IFERROR(VLOOKUP(F250,T_Produits,2,FALSE),""))</f>
        <v/>
      </c>
      <c r="T250" s="40">
        <f>IF(F250="","",IFERROR(1/(1/VLOOKUP(F250,T_Produits,3,FALSE)),""))</f>
        <v/>
      </c>
      <c r="U250" s="40">
        <f>IF(H250&lt;&gt;"",H250,T250)</f>
        <v/>
      </c>
      <c r="V250" s="40">
        <f>IF(OR(G250="",U250=""),"",G250*U250-N(I250))</f>
        <v/>
      </c>
      <c r="W250" s="39">
        <f>IF(D250="","",IFERROR(VALUE(MID(D250,LEN(D250)-3,3)),""))</f>
        <v/>
      </c>
      <c r="X250" s="33">
        <f>IF(W250="","",P250&amp;"|"&amp;W250)</f>
        <v/>
      </c>
      <c r="Y250" s="33">
        <f>IF(W250="","",IF(P250="À RENSEIGNER","GIC",P250)&amp;"-"&amp;TEXT(W250,"000"))</f>
        <v/>
      </c>
      <c r="Z250" s="33">
        <f>IF(X250="","",IFERROR(INDEX(Cl_nom,MATCH(X250,Cl_cle,0)),"(client introuvable)"))</f>
        <v/>
      </c>
      <c r="AA250" s="33">
        <f>IF(X250="","",IFERROR(INDEX(Cl_quartier,MATCH(X250,Cl_cle,0))&amp;"",""))</f>
        <v/>
      </c>
      <c r="AB250" s="45">
        <f>IF(R250&lt;&gt;"Livrée",0,IF(K250&lt;&gt;"",K250,C250))</f>
        <v/>
      </c>
      <c r="AC250" s="33">
        <f>IF(OR(C250="",W250=""),"",P250&amp;"|"&amp;W250&amp;"|"&amp;C250&amp;"|"&amp;E250)</f>
        <v/>
      </c>
      <c r="AD250" s="39">
        <f>IF(AC250="","",IF(COUNTIF(AC$6:AC250,AC250)=1,1,0))</f>
        <v/>
      </c>
      <c r="AE250" s="39">
        <f>IF(AB250=0,"",IF(COUNTIFS(X$6:X250,X250,AB$6:AB250,AB250)=1,1,0))</f>
        <v/>
      </c>
      <c r="AF250" s="34">
        <f>IF(C250="","",YEAR(C250-WEEKDAY(C250,2)+4)&amp;"-S"&amp;TEXT(INT((C250-DATE(YEAR(C250-WEEKDAY(C250,2)+4),1,3)+WEEKDAY(DATE(YEAR(C250-WEEKDAY(C250,2)+4),1,3),2)+5)/7),"00"))</f>
        <v/>
      </c>
    </row>
    <row r="251" ht="18" customHeight="1">
      <c r="A251" s="39" t="n">
        <v>246</v>
      </c>
      <c r="B251" s="33">
        <f>IF(C251="","",IF(P251="À RENSEIGNER","GIC",P251)&amp;"-C"&amp;TEXT(A251,"00000"))</f>
        <v/>
      </c>
      <c r="C251" s="32" t="n"/>
      <c r="D251" s="36" t="n"/>
      <c r="E251" s="36" t="n"/>
      <c r="F251" s="36" t="n"/>
      <c r="G251" s="42" t="n"/>
      <c r="H251" s="37" t="n"/>
      <c r="I251" s="37" t="n"/>
      <c r="J251" s="32" t="n"/>
      <c r="K251" s="32" t="n"/>
      <c r="L251" s="43" t="n"/>
      <c r="M251" s="36" t="n"/>
      <c r="N251" s="44" t="n"/>
      <c r="O251" s="36" t="n"/>
      <c r="P251" s="33">
        <f>IF(C251="","",Commercial_Id)</f>
        <v/>
      </c>
      <c r="Q251" s="34">
        <f>IF(AC251="","",IF(AD251=1,"C"&amp;TEXT(SUM(AD$6:AD251),"0000"),INDEX(Q$6:Q250,MATCH(AC251,AC$6:AC250,0))))</f>
        <v/>
      </c>
      <c r="R251" s="34">
        <f>IF(C251="","",IF(L251="☑ Oui","Annulée",IF(OR(E251="Vente directe",K251&lt;&gt;""),"Livrée",IF(J251&lt;&gt;"","Confirmée","En attente"))))</f>
        <v/>
      </c>
      <c r="S251" s="34">
        <f>IF(F251="","",IFERROR(VLOOKUP(F251,T_Produits,2,FALSE),""))</f>
        <v/>
      </c>
      <c r="T251" s="40">
        <f>IF(F251="","",IFERROR(1/(1/VLOOKUP(F251,T_Produits,3,FALSE)),""))</f>
        <v/>
      </c>
      <c r="U251" s="40">
        <f>IF(H251&lt;&gt;"",H251,T251)</f>
        <v/>
      </c>
      <c r="V251" s="40">
        <f>IF(OR(G251="",U251=""),"",G251*U251-N(I251))</f>
        <v/>
      </c>
      <c r="W251" s="39">
        <f>IF(D251="","",IFERROR(VALUE(MID(D251,LEN(D251)-3,3)),""))</f>
        <v/>
      </c>
      <c r="X251" s="33">
        <f>IF(W251="","",P251&amp;"|"&amp;W251)</f>
        <v/>
      </c>
      <c r="Y251" s="33">
        <f>IF(W251="","",IF(P251="À RENSEIGNER","GIC",P251)&amp;"-"&amp;TEXT(W251,"000"))</f>
        <v/>
      </c>
      <c r="Z251" s="33">
        <f>IF(X251="","",IFERROR(INDEX(Cl_nom,MATCH(X251,Cl_cle,0)),"(client introuvable)"))</f>
        <v/>
      </c>
      <c r="AA251" s="33">
        <f>IF(X251="","",IFERROR(INDEX(Cl_quartier,MATCH(X251,Cl_cle,0))&amp;"",""))</f>
        <v/>
      </c>
      <c r="AB251" s="45">
        <f>IF(R251&lt;&gt;"Livrée",0,IF(K251&lt;&gt;"",K251,C251))</f>
        <v/>
      </c>
      <c r="AC251" s="33">
        <f>IF(OR(C251="",W251=""),"",P251&amp;"|"&amp;W251&amp;"|"&amp;C251&amp;"|"&amp;E251)</f>
        <v/>
      </c>
      <c r="AD251" s="39">
        <f>IF(AC251="","",IF(COUNTIF(AC$6:AC251,AC251)=1,1,0))</f>
        <v/>
      </c>
      <c r="AE251" s="39">
        <f>IF(AB251=0,"",IF(COUNTIFS(X$6:X251,X251,AB$6:AB251,AB251)=1,1,0))</f>
        <v/>
      </c>
      <c r="AF251" s="34">
        <f>IF(C251="","",YEAR(C251-WEEKDAY(C251,2)+4)&amp;"-S"&amp;TEXT(INT((C251-DATE(YEAR(C251-WEEKDAY(C251,2)+4),1,3)+WEEKDAY(DATE(YEAR(C251-WEEKDAY(C251,2)+4),1,3),2)+5)/7),"00"))</f>
        <v/>
      </c>
    </row>
    <row r="252" ht="18" customHeight="1">
      <c r="A252" s="39" t="n">
        <v>247</v>
      </c>
      <c r="B252" s="33">
        <f>IF(C252="","",IF(P252="À RENSEIGNER","GIC",P252)&amp;"-C"&amp;TEXT(A252,"00000"))</f>
        <v/>
      </c>
      <c r="C252" s="32" t="n"/>
      <c r="D252" s="36" t="n"/>
      <c r="E252" s="36" t="n"/>
      <c r="F252" s="36" t="n"/>
      <c r="G252" s="42" t="n"/>
      <c r="H252" s="37" t="n"/>
      <c r="I252" s="37" t="n"/>
      <c r="J252" s="32" t="n"/>
      <c r="K252" s="32" t="n"/>
      <c r="L252" s="43" t="n"/>
      <c r="M252" s="36" t="n"/>
      <c r="N252" s="44" t="n"/>
      <c r="O252" s="36" t="n"/>
      <c r="P252" s="33">
        <f>IF(C252="","",Commercial_Id)</f>
        <v/>
      </c>
      <c r="Q252" s="34">
        <f>IF(AC252="","",IF(AD252=1,"C"&amp;TEXT(SUM(AD$6:AD252),"0000"),INDEX(Q$6:Q251,MATCH(AC252,AC$6:AC251,0))))</f>
        <v/>
      </c>
      <c r="R252" s="34">
        <f>IF(C252="","",IF(L252="☑ Oui","Annulée",IF(OR(E252="Vente directe",K252&lt;&gt;""),"Livrée",IF(J252&lt;&gt;"","Confirmée","En attente"))))</f>
        <v/>
      </c>
      <c r="S252" s="34">
        <f>IF(F252="","",IFERROR(VLOOKUP(F252,T_Produits,2,FALSE),""))</f>
        <v/>
      </c>
      <c r="T252" s="40">
        <f>IF(F252="","",IFERROR(1/(1/VLOOKUP(F252,T_Produits,3,FALSE)),""))</f>
        <v/>
      </c>
      <c r="U252" s="40">
        <f>IF(H252&lt;&gt;"",H252,T252)</f>
        <v/>
      </c>
      <c r="V252" s="40">
        <f>IF(OR(G252="",U252=""),"",G252*U252-N(I252))</f>
        <v/>
      </c>
      <c r="W252" s="39">
        <f>IF(D252="","",IFERROR(VALUE(MID(D252,LEN(D252)-3,3)),""))</f>
        <v/>
      </c>
      <c r="X252" s="33">
        <f>IF(W252="","",P252&amp;"|"&amp;W252)</f>
        <v/>
      </c>
      <c r="Y252" s="33">
        <f>IF(W252="","",IF(P252="À RENSEIGNER","GIC",P252)&amp;"-"&amp;TEXT(W252,"000"))</f>
        <v/>
      </c>
      <c r="Z252" s="33">
        <f>IF(X252="","",IFERROR(INDEX(Cl_nom,MATCH(X252,Cl_cle,0)),"(client introuvable)"))</f>
        <v/>
      </c>
      <c r="AA252" s="33">
        <f>IF(X252="","",IFERROR(INDEX(Cl_quartier,MATCH(X252,Cl_cle,0))&amp;"",""))</f>
        <v/>
      </c>
      <c r="AB252" s="45">
        <f>IF(R252&lt;&gt;"Livrée",0,IF(K252&lt;&gt;"",K252,C252))</f>
        <v/>
      </c>
      <c r="AC252" s="33">
        <f>IF(OR(C252="",W252=""),"",P252&amp;"|"&amp;W252&amp;"|"&amp;C252&amp;"|"&amp;E252)</f>
        <v/>
      </c>
      <c r="AD252" s="39">
        <f>IF(AC252="","",IF(COUNTIF(AC$6:AC252,AC252)=1,1,0))</f>
        <v/>
      </c>
      <c r="AE252" s="39">
        <f>IF(AB252=0,"",IF(COUNTIFS(X$6:X252,X252,AB$6:AB252,AB252)=1,1,0))</f>
        <v/>
      </c>
      <c r="AF252" s="34">
        <f>IF(C252="","",YEAR(C252-WEEKDAY(C252,2)+4)&amp;"-S"&amp;TEXT(INT((C252-DATE(YEAR(C252-WEEKDAY(C252,2)+4),1,3)+WEEKDAY(DATE(YEAR(C252-WEEKDAY(C252,2)+4),1,3),2)+5)/7),"00"))</f>
        <v/>
      </c>
    </row>
    <row r="253" ht="18" customHeight="1">
      <c r="A253" s="39" t="n">
        <v>248</v>
      </c>
      <c r="B253" s="33">
        <f>IF(C253="","",IF(P253="À RENSEIGNER","GIC",P253)&amp;"-C"&amp;TEXT(A253,"00000"))</f>
        <v/>
      </c>
      <c r="C253" s="32" t="n"/>
      <c r="D253" s="36" t="n"/>
      <c r="E253" s="36" t="n"/>
      <c r="F253" s="36" t="n"/>
      <c r="G253" s="42" t="n"/>
      <c r="H253" s="37" t="n"/>
      <c r="I253" s="37" t="n"/>
      <c r="J253" s="32" t="n"/>
      <c r="K253" s="32" t="n"/>
      <c r="L253" s="43" t="n"/>
      <c r="M253" s="36" t="n"/>
      <c r="N253" s="44" t="n"/>
      <c r="O253" s="36" t="n"/>
      <c r="P253" s="33">
        <f>IF(C253="","",Commercial_Id)</f>
        <v/>
      </c>
      <c r="Q253" s="34">
        <f>IF(AC253="","",IF(AD253=1,"C"&amp;TEXT(SUM(AD$6:AD253),"0000"),INDEX(Q$6:Q252,MATCH(AC253,AC$6:AC252,0))))</f>
        <v/>
      </c>
      <c r="R253" s="34">
        <f>IF(C253="","",IF(L253="☑ Oui","Annulée",IF(OR(E253="Vente directe",K253&lt;&gt;""),"Livrée",IF(J253&lt;&gt;"","Confirmée","En attente"))))</f>
        <v/>
      </c>
      <c r="S253" s="34">
        <f>IF(F253="","",IFERROR(VLOOKUP(F253,T_Produits,2,FALSE),""))</f>
        <v/>
      </c>
      <c r="T253" s="40">
        <f>IF(F253="","",IFERROR(1/(1/VLOOKUP(F253,T_Produits,3,FALSE)),""))</f>
        <v/>
      </c>
      <c r="U253" s="40">
        <f>IF(H253&lt;&gt;"",H253,T253)</f>
        <v/>
      </c>
      <c r="V253" s="40">
        <f>IF(OR(G253="",U253=""),"",G253*U253-N(I253))</f>
        <v/>
      </c>
      <c r="W253" s="39">
        <f>IF(D253="","",IFERROR(VALUE(MID(D253,LEN(D253)-3,3)),""))</f>
        <v/>
      </c>
      <c r="X253" s="33">
        <f>IF(W253="","",P253&amp;"|"&amp;W253)</f>
        <v/>
      </c>
      <c r="Y253" s="33">
        <f>IF(W253="","",IF(P253="À RENSEIGNER","GIC",P253)&amp;"-"&amp;TEXT(W253,"000"))</f>
        <v/>
      </c>
      <c r="Z253" s="33">
        <f>IF(X253="","",IFERROR(INDEX(Cl_nom,MATCH(X253,Cl_cle,0)),"(client introuvable)"))</f>
        <v/>
      </c>
      <c r="AA253" s="33">
        <f>IF(X253="","",IFERROR(INDEX(Cl_quartier,MATCH(X253,Cl_cle,0))&amp;"",""))</f>
        <v/>
      </c>
      <c r="AB253" s="45">
        <f>IF(R253&lt;&gt;"Livrée",0,IF(K253&lt;&gt;"",K253,C253))</f>
        <v/>
      </c>
      <c r="AC253" s="33">
        <f>IF(OR(C253="",W253=""),"",P253&amp;"|"&amp;W253&amp;"|"&amp;C253&amp;"|"&amp;E253)</f>
        <v/>
      </c>
      <c r="AD253" s="39">
        <f>IF(AC253="","",IF(COUNTIF(AC$6:AC253,AC253)=1,1,0))</f>
        <v/>
      </c>
      <c r="AE253" s="39">
        <f>IF(AB253=0,"",IF(COUNTIFS(X$6:X253,X253,AB$6:AB253,AB253)=1,1,0))</f>
        <v/>
      </c>
      <c r="AF253" s="34">
        <f>IF(C253="","",YEAR(C253-WEEKDAY(C253,2)+4)&amp;"-S"&amp;TEXT(INT((C253-DATE(YEAR(C253-WEEKDAY(C253,2)+4),1,3)+WEEKDAY(DATE(YEAR(C253-WEEKDAY(C253,2)+4),1,3),2)+5)/7),"00"))</f>
        <v/>
      </c>
    </row>
    <row r="254" ht="18" customHeight="1">
      <c r="A254" s="39" t="n">
        <v>249</v>
      </c>
      <c r="B254" s="33">
        <f>IF(C254="","",IF(P254="À RENSEIGNER","GIC",P254)&amp;"-C"&amp;TEXT(A254,"00000"))</f>
        <v/>
      </c>
      <c r="C254" s="32" t="n"/>
      <c r="D254" s="36" t="n"/>
      <c r="E254" s="36" t="n"/>
      <c r="F254" s="36" t="n"/>
      <c r="G254" s="42" t="n"/>
      <c r="H254" s="37" t="n"/>
      <c r="I254" s="37" t="n"/>
      <c r="J254" s="32" t="n"/>
      <c r="K254" s="32" t="n"/>
      <c r="L254" s="43" t="n"/>
      <c r="M254" s="36" t="n"/>
      <c r="N254" s="44" t="n"/>
      <c r="O254" s="36" t="n"/>
      <c r="P254" s="33">
        <f>IF(C254="","",Commercial_Id)</f>
        <v/>
      </c>
      <c r="Q254" s="34">
        <f>IF(AC254="","",IF(AD254=1,"C"&amp;TEXT(SUM(AD$6:AD254),"0000"),INDEX(Q$6:Q253,MATCH(AC254,AC$6:AC253,0))))</f>
        <v/>
      </c>
      <c r="R254" s="34">
        <f>IF(C254="","",IF(L254="☑ Oui","Annulée",IF(OR(E254="Vente directe",K254&lt;&gt;""),"Livrée",IF(J254&lt;&gt;"","Confirmée","En attente"))))</f>
        <v/>
      </c>
      <c r="S254" s="34">
        <f>IF(F254="","",IFERROR(VLOOKUP(F254,T_Produits,2,FALSE),""))</f>
        <v/>
      </c>
      <c r="T254" s="40">
        <f>IF(F254="","",IFERROR(1/(1/VLOOKUP(F254,T_Produits,3,FALSE)),""))</f>
        <v/>
      </c>
      <c r="U254" s="40">
        <f>IF(H254&lt;&gt;"",H254,T254)</f>
        <v/>
      </c>
      <c r="V254" s="40">
        <f>IF(OR(G254="",U254=""),"",G254*U254-N(I254))</f>
        <v/>
      </c>
      <c r="W254" s="39">
        <f>IF(D254="","",IFERROR(VALUE(MID(D254,LEN(D254)-3,3)),""))</f>
        <v/>
      </c>
      <c r="X254" s="33">
        <f>IF(W254="","",P254&amp;"|"&amp;W254)</f>
        <v/>
      </c>
      <c r="Y254" s="33">
        <f>IF(W254="","",IF(P254="À RENSEIGNER","GIC",P254)&amp;"-"&amp;TEXT(W254,"000"))</f>
        <v/>
      </c>
      <c r="Z254" s="33">
        <f>IF(X254="","",IFERROR(INDEX(Cl_nom,MATCH(X254,Cl_cle,0)),"(client introuvable)"))</f>
        <v/>
      </c>
      <c r="AA254" s="33">
        <f>IF(X254="","",IFERROR(INDEX(Cl_quartier,MATCH(X254,Cl_cle,0))&amp;"",""))</f>
        <v/>
      </c>
      <c r="AB254" s="45">
        <f>IF(R254&lt;&gt;"Livrée",0,IF(K254&lt;&gt;"",K254,C254))</f>
        <v/>
      </c>
      <c r="AC254" s="33">
        <f>IF(OR(C254="",W254=""),"",P254&amp;"|"&amp;W254&amp;"|"&amp;C254&amp;"|"&amp;E254)</f>
        <v/>
      </c>
      <c r="AD254" s="39">
        <f>IF(AC254="","",IF(COUNTIF(AC$6:AC254,AC254)=1,1,0))</f>
        <v/>
      </c>
      <c r="AE254" s="39">
        <f>IF(AB254=0,"",IF(COUNTIFS(X$6:X254,X254,AB$6:AB254,AB254)=1,1,0))</f>
        <v/>
      </c>
      <c r="AF254" s="34">
        <f>IF(C254="","",YEAR(C254-WEEKDAY(C254,2)+4)&amp;"-S"&amp;TEXT(INT((C254-DATE(YEAR(C254-WEEKDAY(C254,2)+4),1,3)+WEEKDAY(DATE(YEAR(C254-WEEKDAY(C254,2)+4),1,3),2)+5)/7),"00"))</f>
        <v/>
      </c>
    </row>
    <row r="255" ht="18" customHeight="1">
      <c r="A255" s="39" t="n">
        <v>250</v>
      </c>
      <c r="B255" s="33">
        <f>IF(C255="","",IF(P255="À RENSEIGNER","GIC",P255)&amp;"-C"&amp;TEXT(A255,"00000"))</f>
        <v/>
      </c>
      <c r="C255" s="32" t="n"/>
      <c r="D255" s="36" t="n"/>
      <c r="E255" s="36" t="n"/>
      <c r="F255" s="36" t="n"/>
      <c r="G255" s="42" t="n"/>
      <c r="H255" s="37" t="n"/>
      <c r="I255" s="37" t="n"/>
      <c r="J255" s="32" t="n"/>
      <c r="K255" s="32" t="n"/>
      <c r="L255" s="43" t="n"/>
      <c r="M255" s="36" t="n"/>
      <c r="N255" s="44" t="n"/>
      <c r="O255" s="36" t="n"/>
      <c r="P255" s="33">
        <f>IF(C255="","",Commercial_Id)</f>
        <v/>
      </c>
      <c r="Q255" s="34">
        <f>IF(AC255="","",IF(AD255=1,"C"&amp;TEXT(SUM(AD$6:AD255),"0000"),INDEX(Q$6:Q254,MATCH(AC255,AC$6:AC254,0))))</f>
        <v/>
      </c>
      <c r="R255" s="34">
        <f>IF(C255="","",IF(L255="☑ Oui","Annulée",IF(OR(E255="Vente directe",K255&lt;&gt;""),"Livrée",IF(J255&lt;&gt;"","Confirmée","En attente"))))</f>
        <v/>
      </c>
      <c r="S255" s="34">
        <f>IF(F255="","",IFERROR(VLOOKUP(F255,T_Produits,2,FALSE),""))</f>
        <v/>
      </c>
      <c r="T255" s="40">
        <f>IF(F255="","",IFERROR(1/(1/VLOOKUP(F255,T_Produits,3,FALSE)),""))</f>
        <v/>
      </c>
      <c r="U255" s="40">
        <f>IF(H255&lt;&gt;"",H255,T255)</f>
        <v/>
      </c>
      <c r="V255" s="40">
        <f>IF(OR(G255="",U255=""),"",G255*U255-N(I255))</f>
        <v/>
      </c>
      <c r="W255" s="39">
        <f>IF(D255="","",IFERROR(VALUE(MID(D255,LEN(D255)-3,3)),""))</f>
        <v/>
      </c>
      <c r="X255" s="33">
        <f>IF(W255="","",P255&amp;"|"&amp;W255)</f>
        <v/>
      </c>
      <c r="Y255" s="33">
        <f>IF(W255="","",IF(P255="À RENSEIGNER","GIC",P255)&amp;"-"&amp;TEXT(W255,"000"))</f>
        <v/>
      </c>
      <c r="Z255" s="33">
        <f>IF(X255="","",IFERROR(INDEX(Cl_nom,MATCH(X255,Cl_cle,0)),"(client introuvable)"))</f>
        <v/>
      </c>
      <c r="AA255" s="33">
        <f>IF(X255="","",IFERROR(INDEX(Cl_quartier,MATCH(X255,Cl_cle,0))&amp;"",""))</f>
        <v/>
      </c>
      <c r="AB255" s="45">
        <f>IF(R255&lt;&gt;"Livrée",0,IF(K255&lt;&gt;"",K255,C255))</f>
        <v/>
      </c>
      <c r="AC255" s="33">
        <f>IF(OR(C255="",W255=""),"",P255&amp;"|"&amp;W255&amp;"|"&amp;C255&amp;"|"&amp;E255)</f>
        <v/>
      </c>
      <c r="AD255" s="39">
        <f>IF(AC255="","",IF(COUNTIF(AC$6:AC255,AC255)=1,1,0))</f>
        <v/>
      </c>
      <c r="AE255" s="39">
        <f>IF(AB255=0,"",IF(COUNTIFS(X$6:X255,X255,AB$6:AB255,AB255)=1,1,0))</f>
        <v/>
      </c>
      <c r="AF255" s="34">
        <f>IF(C255="","",YEAR(C255-WEEKDAY(C255,2)+4)&amp;"-S"&amp;TEXT(INT((C255-DATE(YEAR(C255-WEEKDAY(C255,2)+4),1,3)+WEEKDAY(DATE(YEAR(C255-WEEKDAY(C255,2)+4),1,3),2)+5)/7),"00"))</f>
        <v/>
      </c>
    </row>
    <row r="256" ht="18" customHeight="1">
      <c r="A256" s="39" t="n">
        <v>251</v>
      </c>
      <c r="B256" s="33">
        <f>IF(C256="","",IF(P256="À RENSEIGNER","GIC",P256)&amp;"-C"&amp;TEXT(A256,"00000"))</f>
        <v/>
      </c>
      <c r="C256" s="32" t="n"/>
      <c r="D256" s="36" t="n"/>
      <c r="E256" s="36" t="n"/>
      <c r="F256" s="36" t="n"/>
      <c r="G256" s="42" t="n"/>
      <c r="H256" s="37" t="n"/>
      <c r="I256" s="37" t="n"/>
      <c r="J256" s="32" t="n"/>
      <c r="K256" s="32" t="n"/>
      <c r="L256" s="43" t="n"/>
      <c r="M256" s="36" t="n"/>
      <c r="N256" s="44" t="n"/>
      <c r="O256" s="36" t="n"/>
      <c r="P256" s="33">
        <f>IF(C256="","",Commercial_Id)</f>
        <v/>
      </c>
      <c r="Q256" s="34">
        <f>IF(AC256="","",IF(AD256=1,"C"&amp;TEXT(SUM(AD$6:AD256),"0000"),INDEX(Q$6:Q255,MATCH(AC256,AC$6:AC255,0))))</f>
        <v/>
      </c>
      <c r="R256" s="34">
        <f>IF(C256="","",IF(L256="☑ Oui","Annulée",IF(OR(E256="Vente directe",K256&lt;&gt;""),"Livrée",IF(J256&lt;&gt;"","Confirmée","En attente"))))</f>
        <v/>
      </c>
      <c r="S256" s="34">
        <f>IF(F256="","",IFERROR(VLOOKUP(F256,T_Produits,2,FALSE),""))</f>
        <v/>
      </c>
      <c r="T256" s="40">
        <f>IF(F256="","",IFERROR(1/(1/VLOOKUP(F256,T_Produits,3,FALSE)),""))</f>
        <v/>
      </c>
      <c r="U256" s="40">
        <f>IF(H256&lt;&gt;"",H256,T256)</f>
        <v/>
      </c>
      <c r="V256" s="40">
        <f>IF(OR(G256="",U256=""),"",G256*U256-N(I256))</f>
        <v/>
      </c>
      <c r="W256" s="39">
        <f>IF(D256="","",IFERROR(VALUE(MID(D256,LEN(D256)-3,3)),""))</f>
        <v/>
      </c>
      <c r="X256" s="33">
        <f>IF(W256="","",P256&amp;"|"&amp;W256)</f>
        <v/>
      </c>
      <c r="Y256" s="33">
        <f>IF(W256="","",IF(P256="À RENSEIGNER","GIC",P256)&amp;"-"&amp;TEXT(W256,"000"))</f>
        <v/>
      </c>
      <c r="Z256" s="33">
        <f>IF(X256="","",IFERROR(INDEX(Cl_nom,MATCH(X256,Cl_cle,0)),"(client introuvable)"))</f>
        <v/>
      </c>
      <c r="AA256" s="33">
        <f>IF(X256="","",IFERROR(INDEX(Cl_quartier,MATCH(X256,Cl_cle,0))&amp;"",""))</f>
        <v/>
      </c>
      <c r="AB256" s="45">
        <f>IF(R256&lt;&gt;"Livrée",0,IF(K256&lt;&gt;"",K256,C256))</f>
        <v/>
      </c>
      <c r="AC256" s="33">
        <f>IF(OR(C256="",W256=""),"",P256&amp;"|"&amp;W256&amp;"|"&amp;C256&amp;"|"&amp;E256)</f>
        <v/>
      </c>
      <c r="AD256" s="39">
        <f>IF(AC256="","",IF(COUNTIF(AC$6:AC256,AC256)=1,1,0))</f>
        <v/>
      </c>
      <c r="AE256" s="39">
        <f>IF(AB256=0,"",IF(COUNTIFS(X$6:X256,X256,AB$6:AB256,AB256)=1,1,0))</f>
        <v/>
      </c>
      <c r="AF256" s="34">
        <f>IF(C256="","",YEAR(C256-WEEKDAY(C256,2)+4)&amp;"-S"&amp;TEXT(INT((C256-DATE(YEAR(C256-WEEKDAY(C256,2)+4),1,3)+WEEKDAY(DATE(YEAR(C256-WEEKDAY(C256,2)+4),1,3),2)+5)/7),"00"))</f>
        <v/>
      </c>
    </row>
    <row r="257" ht="18" customHeight="1">
      <c r="A257" s="39" t="n">
        <v>252</v>
      </c>
      <c r="B257" s="33">
        <f>IF(C257="","",IF(P257="À RENSEIGNER","GIC",P257)&amp;"-C"&amp;TEXT(A257,"00000"))</f>
        <v/>
      </c>
      <c r="C257" s="32" t="n"/>
      <c r="D257" s="36" t="n"/>
      <c r="E257" s="36" t="n"/>
      <c r="F257" s="36" t="n"/>
      <c r="G257" s="42" t="n"/>
      <c r="H257" s="37" t="n"/>
      <c r="I257" s="37" t="n"/>
      <c r="J257" s="32" t="n"/>
      <c r="K257" s="32" t="n"/>
      <c r="L257" s="43" t="n"/>
      <c r="M257" s="36" t="n"/>
      <c r="N257" s="44" t="n"/>
      <c r="O257" s="36" t="n"/>
      <c r="P257" s="33">
        <f>IF(C257="","",Commercial_Id)</f>
        <v/>
      </c>
      <c r="Q257" s="34">
        <f>IF(AC257="","",IF(AD257=1,"C"&amp;TEXT(SUM(AD$6:AD257),"0000"),INDEX(Q$6:Q256,MATCH(AC257,AC$6:AC256,0))))</f>
        <v/>
      </c>
      <c r="R257" s="34">
        <f>IF(C257="","",IF(L257="☑ Oui","Annulée",IF(OR(E257="Vente directe",K257&lt;&gt;""),"Livrée",IF(J257&lt;&gt;"","Confirmée","En attente"))))</f>
        <v/>
      </c>
      <c r="S257" s="34">
        <f>IF(F257="","",IFERROR(VLOOKUP(F257,T_Produits,2,FALSE),""))</f>
        <v/>
      </c>
      <c r="T257" s="40">
        <f>IF(F257="","",IFERROR(1/(1/VLOOKUP(F257,T_Produits,3,FALSE)),""))</f>
        <v/>
      </c>
      <c r="U257" s="40">
        <f>IF(H257&lt;&gt;"",H257,T257)</f>
        <v/>
      </c>
      <c r="V257" s="40">
        <f>IF(OR(G257="",U257=""),"",G257*U257-N(I257))</f>
        <v/>
      </c>
      <c r="W257" s="39">
        <f>IF(D257="","",IFERROR(VALUE(MID(D257,LEN(D257)-3,3)),""))</f>
        <v/>
      </c>
      <c r="X257" s="33">
        <f>IF(W257="","",P257&amp;"|"&amp;W257)</f>
        <v/>
      </c>
      <c r="Y257" s="33">
        <f>IF(W257="","",IF(P257="À RENSEIGNER","GIC",P257)&amp;"-"&amp;TEXT(W257,"000"))</f>
        <v/>
      </c>
      <c r="Z257" s="33">
        <f>IF(X257="","",IFERROR(INDEX(Cl_nom,MATCH(X257,Cl_cle,0)),"(client introuvable)"))</f>
        <v/>
      </c>
      <c r="AA257" s="33">
        <f>IF(X257="","",IFERROR(INDEX(Cl_quartier,MATCH(X257,Cl_cle,0))&amp;"",""))</f>
        <v/>
      </c>
      <c r="AB257" s="45">
        <f>IF(R257&lt;&gt;"Livrée",0,IF(K257&lt;&gt;"",K257,C257))</f>
        <v/>
      </c>
      <c r="AC257" s="33">
        <f>IF(OR(C257="",W257=""),"",P257&amp;"|"&amp;W257&amp;"|"&amp;C257&amp;"|"&amp;E257)</f>
        <v/>
      </c>
      <c r="AD257" s="39">
        <f>IF(AC257="","",IF(COUNTIF(AC$6:AC257,AC257)=1,1,0))</f>
        <v/>
      </c>
      <c r="AE257" s="39">
        <f>IF(AB257=0,"",IF(COUNTIFS(X$6:X257,X257,AB$6:AB257,AB257)=1,1,0))</f>
        <v/>
      </c>
      <c r="AF257" s="34">
        <f>IF(C257="","",YEAR(C257-WEEKDAY(C257,2)+4)&amp;"-S"&amp;TEXT(INT((C257-DATE(YEAR(C257-WEEKDAY(C257,2)+4),1,3)+WEEKDAY(DATE(YEAR(C257-WEEKDAY(C257,2)+4),1,3),2)+5)/7),"00"))</f>
        <v/>
      </c>
    </row>
    <row r="258" ht="18" customHeight="1">
      <c r="A258" s="39" t="n">
        <v>253</v>
      </c>
      <c r="B258" s="33">
        <f>IF(C258="","",IF(P258="À RENSEIGNER","GIC",P258)&amp;"-C"&amp;TEXT(A258,"00000"))</f>
        <v/>
      </c>
      <c r="C258" s="32" t="n"/>
      <c r="D258" s="36" t="n"/>
      <c r="E258" s="36" t="n"/>
      <c r="F258" s="36" t="n"/>
      <c r="G258" s="42" t="n"/>
      <c r="H258" s="37" t="n"/>
      <c r="I258" s="37" t="n"/>
      <c r="J258" s="32" t="n"/>
      <c r="K258" s="32" t="n"/>
      <c r="L258" s="43" t="n"/>
      <c r="M258" s="36" t="n"/>
      <c r="N258" s="44" t="n"/>
      <c r="O258" s="36" t="n"/>
      <c r="P258" s="33">
        <f>IF(C258="","",Commercial_Id)</f>
        <v/>
      </c>
      <c r="Q258" s="34">
        <f>IF(AC258="","",IF(AD258=1,"C"&amp;TEXT(SUM(AD$6:AD258),"0000"),INDEX(Q$6:Q257,MATCH(AC258,AC$6:AC257,0))))</f>
        <v/>
      </c>
      <c r="R258" s="34">
        <f>IF(C258="","",IF(L258="☑ Oui","Annulée",IF(OR(E258="Vente directe",K258&lt;&gt;""),"Livrée",IF(J258&lt;&gt;"","Confirmée","En attente"))))</f>
        <v/>
      </c>
      <c r="S258" s="34">
        <f>IF(F258="","",IFERROR(VLOOKUP(F258,T_Produits,2,FALSE),""))</f>
        <v/>
      </c>
      <c r="T258" s="40">
        <f>IF(F258="","",IFERROR(1/(1/VLOOKUP(F258,T_Produits,3,FALSE)),""))</f>
        <v/>
      </c>
      <c r="U258" s="40">
        <f>IF(H258&lt;&gt;"",H258,T258)</f>
        <v/>
      </c>
      <c r="V258" s="40">
        <f>IF(OR(G258="",U258=""),"",G258*U258-N(I258))</f>
        <v/>
      </c>
      <c r="W258" s="39">
        <f>IF(D258="","",IFERROR(VALUE(MID(D258,LEN(D258)-3,3)),""))</f>
        <v/>
      </c>
      <c r="X258" s="33">
        <f>IF(W258="","",P258&amp;"|"&amp;W258)</f>
        <v/>
      </c>
      <c r="Y258" s="33">
        <f>IF(W258="","",IF(P258="À RENSEIGNER","GIC",P258)&amp;"-"&amp;TEXT(W258,"000"))</f>
        <v/>
      </c>
      <c r="Z258" s="33">
        <f>IF(X258="","",IFERROR(INDEX(Cl_nom,MATCH(X258,Cl_cle,0)),"(client introuvable)"))</f>
        <v/>
      </c>
      <c r="AA258" s="33">
        <f>IF(X258="","",IFERROR(INDEX(Cl_quartier,MATCH(X258,Cl_cle,0))&amp;"",""))</f>
        <v/>
      </c>
      <c r="AB258" s="45">
        <f>IF(R258&lt;&gt;"Livrée",0,IF(K258&lt;&gt;"",K258,C258))</f>
        <v/>
      </c>
      <c r="AC258" s="33">
        <f>IF(OR(C258="",W258=""),"",P258&amp;"|"&amp;W258&amp;"|"&amp;C258&amp;"|"&amp;E258)</f>
        <v/>
      </c>
      <c r="AD258" s="39">
        <f>IF(AC258="","",IF(COUNTIF(AC$6:AC258,AC258)=1,1,0))</f>
        <v/>
      </c>
      <c r="AE258" s="39">
        <f>IF(AB258=0,"",IF(COUNTIFS(X$6:X258,X258,AB$6:AB258,AB258)=1,1,0))</f>
        <v/>
      </c>
      <c r="AF258" s="34">
        <f>IF(C258="","",YEAR(C258-WEEKDAY(C258,2)+4)&amp;"-S"&amp;TEXT(INT((C258-DATE(YEAR(C258-WEEKDAY(C258,2)+4),1,3)+WEEKDAY(DATE(YEAR(C258-WEEKDAY(C258,2)+4),1,3),2)+5)/7),"00"))</f>
        <v/>
      </c>
    </row>
    <row r="259" ht="18" customHeight="1">
      <c r="A259" s="39" t="n">
        <v>254</v>
      </c>
      <c r="B259" s="33">
        <f>IF(C259="","",IF(P259="À RENSEIGNER","GIC",P259)&amp;"-C"&amp;TEXT(A259,"00000"))</f>
        <v/>
      </c>
      <c r="C259" s="32" t="n"/>
      <c r="D259" s="36" t="n"/>
      <c r="E259" s="36" t="n"/>
      <c r="F259" s="36" t="n"/>
      <c r="G259" s="42" t="n"/>
      <c r="H259" s="37" t="n"/>
      <c r="I259" s="37" t="n"/>
      <c r="J259" s="32" t="n"/>
      <c r="K259" s="32" t="n"/>
      <c r="L259" s="43" t="n"/>
      <c r="M259" s="36" t="n"/>
      <c r="N259" s="44" t="n"/>
      <c r="O259" s="36" t="n"/>
      <c r="P259" s="33">
        <f>IF(C259="","",Commercial_Id)</f>
        <v/>
      </c>
      <c r="Q259" s="34">
        <f>IF(AC259="","",IF(AD259=1,"C"&amp;TEXT(SUM(AD$6:AD259),"0000"),INDEX(Q$6:Q258,MATCH(AC259,AC$6:AC258,0))))</f>
        <v/>
      </c>
      <c r="R259" s="34">
        <f>IF(C259="","",IF(L259="☑ Oui","Annulée",IF(OR(E259="Vente directe",K259&lt;&gt;""),"Livrée",IF(J259&lt;&gt;"","Confirmée","En attente"))))</f>
        <v/>
      </c>
      <c r="S259" s="34">
        <f>IF(F259="","",IFERROR(VLOOKUP(F259,T_Produits,2,FALSE),""))</f>
        <v/>
      </c>
      <c r="T259" s="40">
        <f>IF(F259="","",IFERROR(1/(1/VLOOKUP(F259,T_Produits,3,FALSE)),""))</f>
        <v/>
      </c>
      <c r="U259" s="40">
        <f>IF(H259&lt;&gt;"",H259,T259)</f>
        <v/>
      </c>
      <c r="V259" s="40">
        <f>IF(OR(G259="",U259=""),"",G259*U259-N(I259))</f>
        <v/>
      </c>
      <c r="W259" s="39">
        <f>IF(D259="","",IFERROR(VALUE(MID(D259,LEN(D259)-3,3)),""))</f>
        <v/>
      </c>
      <c r="X259" s="33">
        <f>IF(W259="","",P259&amp;"|"&amp;W259)</f>
        <v/>
      </c>
      <c r="Y259" s="33">
        <f>IF(W259="","",IF(P259="À RENSEIGNER","GIC",P259)&amp;"-"&amp;TEXT(W259,"000"))</f>
        <v/>
      </c>
      <c r="Z259" s="33">
        <f>IF(X259="","",IFERROR(INDEX(Cl_nom,MATCH(X259,Cl_cle,0)),"(client introuvable)"))</f>
        <v/>
      </c>
      <c r="AA259" s="33">
        <f>IF(X259="","",IFERROR(INDEX(Cl_quartier,MATCH(X259,Cl_cle,0))&amp;"",""))</f>
        <v/>
      </c>
      <c r="AB259" s="45">
        <f>IF(R259&lt;&gt;"Livrée",0,IF(K259&lt;&gt;"",K259,C259))</f>
        <v/>
      </c>
      <c r="AC259" s="33">
        <f>IF(OR(C259="",W259=""),"",P259&amp;"|"&amp;W259&amp;"|"&amp;C259&amp;"|"&amp;E259)</f>
        <v/>
      </c>
      <c r="AD259" s="39">
        <f>IF(AC259="","",IF(COUNTIF(AC$6:AC259,AC259)=1,1,0))</f>
        <v/>
      </c>
      <c r="AE259" s="39">
        <f>IF(AB259=0,"",IF(COUNTIFS(X$6:X259,X259,AB$6:AB259,AB259)=1,1,0))</f>
        <v/>
      </c>
      <c r="AF259" s="34">
        <f>IF(C259="","",YEAR(C259-WEEKDAY(C259,2)+4)&amp;"-S"&amp;TEXT(INT((C259-DATE(YEAR(C259-WEEKDAY(C259,2)+4),1,3)+WEEKDAY(DATE(YEAR(C259-WEEKDAY(C259,2)+4),1,3),2)+5)/7),"00"))</f>
        <v/>
      </c>
    </row>
    <row r="260" ht="18" customHeight="1">
      <c r="A260" s="39" t="n">
        <v>255</v>
      </c>
      <c r="B260" s="33">
        <f>IF(C260="","",IF(P260="À RENSEIGNER","GIC",P260)&amp;"-C"&amp;TEXT(A260,"00000"))</f>
        <v/>
      </c>
      <c r="C260" s="32" t="n"/>
      <c r="D260" s="36" t="n"/>
      <c r="E260" s="36" t="n"/>
      <c r="F260" s="36" t="n"/>
      <c r="G260" s="42" t="n"/>
      <c r="H260" s="37" t="n"/>
      <c r="I260" s="37" t="n"/>
      <c r="J260" s="32" t="n"/>
      <c r="K260" s="32" t="n"/>
      <c r="L260" s="43" t="n"/>
      <c r="M260" s="36" t="n"/>
      <c r="N260" s="44" t="n"/>
      <c r="O260" s="36" t="n"/>
      <c r="P260" s="33">
        <f>IF(C260="","",Commercial_Id)</f>
        <v/>
      </c>
      <c r="Q260" s="34">
        <f>IF(AC260="","",IF(AD260=1,"C"&amp;TEXT(SUM(AD$6:AD260),"0000"),INDEX(Q$6:Q259,MATCH(AC260,AC$6:AC259,0))))</f>
        <v/>
      </c>
      <c r="R260" s="34">
        <f>IF(C260="","",IF(L260="☑ Oui","Annulée",IF(OR(E260="Vente directe",K260&lt;&gt;""),"Livrée",IF(J260&lt;&gt;"","Confirmée","En attente"))))</f>
        <v/>
      </c>
      <c r="S260" s="34">
        <f>IF(F260="","",IFERROR(VLOOKUP(F260,T_Produits,2,FALSE),""))</f>
        <v/>
      </c>
      <c r="T260" s="40">
        <f>IF(F260="","",IFERROR(1/(1/VLOOKUP(F260,T_Produits,3,FALSE)),""))</f>
        <v/>
      </c>
      <c r="U260" s="40">
        <f>IF(H260&lt;&gt;"",H260,T260)</f>
        <v/>
      </c>
      <c r="V260" s="40">
        <f>IF(OR(G260="",U260=""),"",G260*U260-N(I260))</f>
        <v/>
      </c>
      <c r="W260" s="39">
        <f>IF(D260="","",IFERROR(VALUE(MID(D260,LEN(D260)-3,3)),""))</f>
        <v/>
      </c>
      <c r="X260" s="33">
        <f>IF(W260="","",P260&amp;"|"&amp;W260)</f>
        <v/>
      </c>
      <c r="Y260" s="33">
        <f>IF(W260="","",IF(P260="À RENSEIGNER","GIC",P260)&amp;"-"&amp;TEXT(W260,"000"))</f>
        <v/>
      </c>
      <c r="Z260" s="33">
        <f>IF(X260="","",IFERROR(INDEX(Cl_nom,MATCH(X260,Cl_cle,0)),"(client introuvable)"))</f>
        <v/>
      </c>
      <c r="AA260" s="33">
        <f>IF(X260="","",IFERROR(INDEX(Cl_quartier,MATCH(X260,Cl_cle,0))&amp;"",""))</f>
        <v/>
      </c>
      <c r="AB260" s="45">
        <f>IF(R260&lt;&gt;"Livrée",0,IF(K260&lt;&gt;"",K260,C260))</f>
        <v/>
      </c>
      <c r="AC260" s="33">
        <f>IF(OR(C260="",W260=""),"",P260&amp;"|"&amp;W260&amp;"|"&amp;C260&amp;"|"&amp;E260)</f>
        <v/>
      </c>
      <c r="AD260" s="39">
        <f>IF(AC260="","",IF(COUNTIF(AC$6:AC260,AC260)=1,1,0))</f>
        <v/>
      </c>
      <c r="AE260" s="39">
        <f>IF(AB260=0,"",IF(COUNTIFS(X$6:X260,X260,AB$6:AB260,AB260)=1,1,0))</f>
        <v/>
      </c>
      <c r="AF260" s="34">
        <f>IF(C260="","",YEAR(C260-WEEKDAY(C260,2)+4)&amp;"-S"&amp;TEXT(INT((C260-DATE(YEAR(C260-WEEKDAY(C260,2)+4),1,3)+WEEKDAY(DATE(YEAR(C260-WEEKDAY(C260,2)+4),1,3),2)+5)/7),"00"))</f>
        <v/>
      </c>
    </row>
    <row r="261" ht="18" customHeight="1">
      <c r="A261" s="39" t="n">
        <v>256</v>
      </c>
      <c r="B261" s="33">
        <f>IF(C261="","",IF(P261="À RENSEIGNER","GIC",P261)&amp;"-C"&amp;TEXT(A261,"00000"))</f>
        <v/>
      </c>
      <c r="C261" s="32" t="n"/>
      <c r="D261" s="36" t="n"/>
      <c r="E261" s="36" t="n"/>
      <c r="F261" s="36" t="n"/>
      <c r="G261" s="42" t="n"/>
      <c r="H261" s="37" t="n"/>
      <c r="I261" s="37" t="n"/>
      <c r="J261" s="32" t="n"/>
      <c r="K261" s="32" t="n"/>
      <c r="L261" s="43" t="n"/>
      <c r="M261" s="36" t="n"/>
      <c r="N261" s="44" t="n"/>
      <c r="O261" s="36" t="n"/>
      <c r="P261" s="33">
        <f>IF(C261="","",Commercial_Id)</f>
        <v/>
      </c>
      <c r="Q261" s="34">
        <f>IF(AC261="","",IF(AD261=1,"C"&amp;TEXT(SUM(AD$6:AD261),"0000"),INDEX(Q$6:Q260,MATCH(AC261,AC$6:AC260,0))))</f>
        <v/>
      </c>
      <c r="R261" s="34">
        <f>IF(C261="","",IF(L261="☑ Oui","Annulée",IF(OR(E261="Vente directe",K261&lt;&gt;""),"Livrée",IF(J261&lt;&gt;"","Confirmée","En attente"))))</f>
        <v/>
      </c>
      <c r="S261" s="34">
        <f>IF(F261="","",IFERROR(VLOOKUP(F261,T_Produits,2,FALSE),""))</f>
        <v/>
      </c>
      <c r="T261" s="40">
        <f>IF(F261="","",IFERROR(1/(1/VLOOKUP(F261,T_Produits,3,FALSE)),""))</f>
        <v/>
      </c>
      <c r="U261" s="40">
        <f>IF(H261&lt;&gt;"",H261,T261)</f>
        <v/>
      </c>
      <c r="V261" s="40">
        <f>IF(OR(G261="",U261=""),"",G261*U261-N(I261))</f>
        <v/>
      </c>
      <c r="W261" s="39">
        <f>IF(D261="","",IFERROR(VALUE(MID(D261,LEN(D261)-3,3)),""))</f>
        <v/>
      </c>
      <c r="X261" s="33">
        <f>IF(W261="","",P261&amp;"|"&amp;W261)</f>
        <v/>
      </c>
      <c r="Y261" s="33">
        <f>IF(W261="","",IF(P261="À RENSEIGNER","GIC",P261)&amp;"-"&amp;TEXT(W261,"000"))</f>
        <v/>
      </c>
      <c r="Z261" s="33">
        <f>IF(X261="","",IFERROR(INDEX(Cl_nom,MATCH(X261,Cl_cle,0)),"(client introuvable)"))</f>
        <v/>
      </c>
      <c r="AA261" s="33">
        <f>IF(X261="","",IFERROR(INDEX(Cl_quartier,MATCH(X261,Cl_cle,0))&amp;"",""))</f>
        <v/>
      </c>
      <c r="AB261" s="45">
        <f>IF(R261&lt;&gt;"Livrée",0,IF(K261&lt;&gt;"",K261,C261))</f>
        <v/>
      </c>
      <c r="AC261" s="33">
        <f>IF(OR(C261="",W261=""),"",P261&amp;"|"&amp;W261&amp;"|"&amp;C261&amp;"|"&amp;E261)</f>
        <v/>
      </c>
      <c r="AD261" s="39">
        <f>IF(AC261="","",IF(COUNTIF(AC$6:AC261,AC261)=1,1,0))</f>
        <v/>
      </c>
      <c r="AE261" s="39">
        <f>IF(AB261=0,"",IF(COUNTIFS(X$6:X261,X261,AB$6:AB261,AB261)=1,1,0))</f>
        <v/>
      </c>
      <c r="AF261" s="34">
        <f>IF(C261="","",YEAR(C261-WEEKDAY(C261,2)+4)&amp;"-S"&amp;TEXT(INT((C261-DATE(YEAR(C261-WEEKDAY(C261,2)+4),1,3)+WEEKDAY(DATE(YEAR(C261-WEEKDAY(C261,2)+4),1,3),2)+5)/7),"00"))</f>
        <v/>
      </c>
    </row>
    <row r="262" ht="18" customHeight="1">
      <c r="A262" s="39" t="n">
        <v>257</v>
      </c>
      <c r="B262" s="33">
        <f>IF(C262="","",IF(P262="À RENSEIGNER","GIC",P262)&amp;"-C"&amp;TEXT(A262,"00000"))</f>
        <v/>
      </c>
      <c r="C262" s="32" t="n"/>
      <c r="D262" s="36" t="n"/>
      <c r="E262" s="36" t="n"/>
      <c r="F262" s="36" t="n"/>
      <c r="G262" s="42" t="n"/>
      <c r="H262" s="37" t="n"/>
      <c r="I262" s="37" t="n"/>
      <c r="J262" s="32" t="n"/>
      <c r="K262" s="32" t="n"/>
      <c r="L262" s="43" t="n"/>
      <c r="M262" s="36" t="n"/>
      <c r="N262" s="44" t="n"/>
      <c r="O262" s="36" t="n"/>
      <c r="P262" s="33">
        <f>IF(C262="","",Commercial_Id)</f>
        <v/>
      </c>
      <c r="Q262" s="34">
        <f>IF(AC262="","",IF(AD262=1,"C"&amp;TEXT(SUM(AD$6:AD262),"0000"),INDEX(Q$6:Q261,MATCH(AC262,AC$6:AC261,0))))</f>
        <v/>
      </c>
      <c r="R262" s="34">
        <f>IF(C262="","",IF(L262="☑ Oui","Annulée",IF(OR(E262="Vente directe",K262&lt;&gt;""),"Livrée",IF(J262&lt;&gt;"","Confirmée","En attente"))))</f>
        <v/>
      </c>
      <c r="S262" s="34">
        <f>IF(F262="","",IFERROR(VLOOKUP(F262,T_Produits,2,FALSE),""))</f>
        <v/>
      </c>
      <c r="T262" s="40">
        <f>IF(F262="","",IFERROR(1/(1/VLOOKUP(F262,T_Produits,3,FALSE)),""))</f>
        <v/>
      </c>
      <c r="U262" s="40">
        <f>IF(H262&lt;&gt;"",H262,T262)</f>
        <v/>
      </c>
      <c r="V262" s="40">
        <f>IF(OR(G262="",U262=""),"",G262*U262-N(I262))</f>
        <v/>
      </c>
      <c r="W262" s="39">
        <f>IF(D262="","",IFERROR(VALUE(MID(D262,LEN(D262)-3,3)),""))</f>
        <v/>
      </c>
      <c r="X262" s="33">
        <f>IF(W262="","",P262&amp;"|"&amp;W262)</f>
        <v/>
      </c>
      <c r="Y262" s="33">
        <f>IF(W262="","",IF(P262="À RENSEIGNER","GIC",P262)&amp;"-"&amp;TEXT(W262,"000"))</f>
        <v/>
      </c>
      <c r="Z262" s="33">
        <f>IF(X262="","",IFERROR(INDEX(Cl_nom,MATCH(X262,Cl_cle,0)),"(client introuvable)"))</f>
        <v/>
      </c>
      <c r="AA262" s="33">
        <f>IF(X262="","",IFERROR(INDEX(Cl_quartier,MATCH(X262,Cl_cle,0))&amp;"",""))</f>
        <v/>
      </c>
      <c r="AB262" s="45">
        <f>IF(R262&lt;&gt;"Livrée",0,IF(K262&lt;&gt;"",K262,C262))</f>
        <v/>
      </c>
      <c r="AC262" s="33">
        <f>IF(OR(C262="",W262=""),"",P262&amp;"|"&amp;W262&amp;"|"&amp;C262&amp;"|"&amp;E262)</f>
        <v/>
      </c>
      <c r="AD262" s="39">
        <f>IF(AC262="","",IF(COUNTIF(AC$6:AC262,AC262)=1,1,0))</f>
        <v/>
      </c>
      <c r="AE262" s="39">
        <f>IF(AB262=0,"",IF(COUNTIFS(X$6:X262,X262,AB$6:AB262,AB262)=1,1,0))</f>
        <v/>
      </c>
      <c r="AF262" s="34">
        <f>IF(C262="","",YEAR(C262-WEEKDAY(C262,2)+4)&amp;"-S"&amp;TEXT(INT((C262-DATE(YEAR(C262-WEEKDAY(C262,2)+4),1,3)+WEEKDAY(DATE(YEAR(C262-WEEKDAY(C262,2)+4),1,3),2)+5)/7),"00"))</f>
        <v/>
      </c>
    </row>
    <row r="263" ht="18" customHeight="1">
      <c r="A263" s="39" t="n">
        <v>258</v>
      </c>
      <c r="B263" s="33">
        <f>IF(C263="","",IF(P263="À RENSEIGNER","GIC",P263)&amp;"-C"&amp;TEXT(A263,"00000"))</f>
        <v/>
      </c>
      <c r="C263" s="32" t="n"/>
      <c r="D263" s="36" t="n"/>
      <c r="E263" s="36" t="n"/>
      <c r="F263" s="36" t="n"/>
      <c r="G263" s="42" t="n"/>
      <c r="H263" s="37" t="n"/>
      <c r="I263" s="37" t="n"/>
      <c r="J263" s="32" t="n"/>
      <c r="K263" s="32" t="n"/>
      <c r="L263" s="43" t="n"/>
      <c r="M263" s="36" t="n"/>
      <c r="N263" s="44" t="n"/>
      <c r="O263" s="36" t="n"/>
      <c r="P263" s="33">
        <f>IF(C263="","",Commercial_Id)</f>
        <v/>
      </c>
      <c r="Q263" s="34">
        <f>IF(AC263="","",IF(AD263=1,"C"&amp;TEXT(SUM(AD$6:AD263),"0000"),INDEX(Q$6:Q262,MATCH(AC263,AC$6:AC262,0))))</f>
        <v/>
      </c>
      <c r="R263" s="34">
        <f>IF(C263="","",IF(L263="☑ Oui","Annulée",IF(OR(E263="Vente directe",K263&lt;&gt;""),"Livrée",IF(J263&lt;&gt;"","Confirmée","En attente"))))</f>
        <v/>
      </c>
      <c r="S263" s="34">
        <f>IF(F263="","",IFERROR(VLOOKUP(F263,T_Produits,2,FALSE),""))</f>
        <v/>
      </c>
      <c r="T263" s="40">
        <f>IF(F263="","",IFERROR(1/(1/VLOOKUP(F263,T_Produits,3,FALSE)),""))</f>
        <v/>
      </c>
      <c r="U263" s="40">
        <f>IF(H263&lt;&gt;"",H263,T263)</f>
        <v/>
      </c>
      <c r="V263" s="40">
        <f>IF(OR(G263="",U263=""),"",G263*U263-N(I263))</f>
        <v/>
      </c>
      <c r="W263" s="39">
        <f>IF(D263="","",IFERROR(VALUE(MID(D263,LEN(D263)-3,3)),""))</f>
        <v/>
      </c>
      <c r="X263" s="33">
        <f>IF(W263="","",P263&amp;"|"&amp;W263)</f>
        <v/>
      </c>
      <c r="Y263" s="33">
        <f>IF(W263="","",IF(P263="À RENSEIGNER","GIC",P263)&amp;"-"&amp;TEXT(W263,"000"))</f>
        <v/>
      </c>
      <c r="Z263" s="33">
        <f>IF(X263="","",IFERROR(INDEX(Cl_nom,MATCH(X263,Cl_cle,0)),"(client introuvable)"))</f>
        <v/>
      </c>
      <c r="AA263" s="33">
        <f>IF(X263="","",IFERROR(INDEX(Cl_quartier,MATCH(X263,Cl_cle,0))&amp;"",""))</f>
        <v/>
      </c>
      <c r="AB263" s="45">
        <f>IF(R263&lt;&gt;"Livrée",0,IF(K263&lt;&gt;"",K263,C263))</f>
        <v/>
      </c>
      <c r="AC263" s="33">
        <f>IF(OR(C263="",W263=""),"",P263&amp;"|"&amp;W263&amp;"|"&amp;C263&amp;"|"&amp;E263)</f>
        <v/>
      </c>
      <c r="AD263" s="39">
        <f>IF(AC263="","",IF(COUNTIF(AC$6:AC263,AC263)=1,1,0))</f>
        <v/>
      </c>
      <c r="AE263" s="39">
        <f>IF(AB263=0,"",IF(COUNTIFS(X$6:X263,X263,AB$6:AB263,AB263)=1,1,0))</f>
        <v/>
      </c>
      <c r="AF263" s="34">
        <f>IF(C263="","",YEAR(C263-WEEKDAY(C263,2)+4)&amp;"-S"&amp;TEXT(INT((C263-DATE(YEAR(C263-WEEKDAY(C263,2)+4),1,3)+WEEKDAY(DATE(YEAR(C263-WEEKDAY(C263,2)+4),1,3),2)+5)/7),"00"))</f>
        <v/>
      </c>
    </row>
    <row r="264" ht="18" customHeight="1">
      <c r="A264" s="39" t="n">
        <v>259</v>
      </c>
      <c r="B264" s="33">
        <f>IF(C264="","",IF(P264="À RENSEIGNER","GIC",P264)&amp;"-C"&amp;TEXT(A264,"00000"))</f>
        <v/>
      </c>
      <c r="C264" s="32" t="n"/>
      <c r="D264" s="36" t="n"/>
      <c r="E264" s="36" t="n"/>
      <c r="F264" s="36" t="n"/>
      <c r="G264" s="42" t="n"/>
      <c r="H264" s="37" t="n"/>
      <c r="I264" s="37" t="n"/>
      <c r="J264" s="32" t="n"/>
      <c r="K264" s="32" t="n"/>
      <c r="L264" s="43" t="n"/>
      <c r="M264" s="36" t="n"/>
      <c r="N264" s="44" t="n"/>
      <c r="O264" s="36" t="n"/>
      <c r="P264" s="33">
        <f>IF(C264="","",Commercial_Id)</f>
        <v/>
      </c>
      <c r="Q264" s="34">
        <f>IF(AC264="","",IF(AD264=1,"C"&amp;TEXT(SUM(AD$6:AD264),"0000"),INDEX(Q$6:Q263,MATCH(AC264,AC$6:AC263,0))))</f>
        <v/>
      </c>
      <c r="R264" s="34">
        <f>IF(C264="","",IF(L264="☑ Oui","Annulée",IF(OR(E264="Vente directe",K264&lt;&gt;""),"Livrée",IF(J264&lt;&gt;"","Confirmée","En attente"))))</f>
        <v/>
      </c>
      <c r="S264" s="34">
        <f>IF(F264="","",IFERROR(VLOOKUP(F264,T_Produits,2,FALSE),""))</f>
        <v/>
      </c>
      <c r="T264" s="40">
        <f>IF(F264="","",IFERROR(1/(1/VLOOKUP(F264,T_Produits,3,FALSE)),""))</f>
        <v/>
      </c>
      <c r="U264" s="40">
        <f>IF(H264&lt;&gt;"",H264,T264)</f>
        <v/>
      </c>
      <c r="V264" s="40">
        <f>IF(OR(G264="",U264=""),"",G264*U264-N(I264))</f>
        <v/>
      </c>
      <c r="W264" s="39">
        <f>IF(D264="","",IFERROR(VALUE(MID(D264,LEN(D264)-3,3)),""))</f>
        <v/>
      </c>
      <c r="X264" s="33">
        <f>IF(W264="","",P264&amp;"|"&amp;W264)</f>
        <v/>
      </c>
      <c r="Y264" s="33">
        <f>IF(W264="","",IF(P264="À RENSEIGNER","GIC",P264)&amp;"-"&amp;TEXT(W264,"000"))</f>
        <v/>
      </c>
      <c r="Z264" s="33">
        <f>IF(X264="","",IFERROR(INDEX(Cl_nom,MATCH(X264,Cl_cle,0)),"(client introuvable)"))</f>
        <v/>
      </c>
      <c r="AA264" s="33">
        <f>IF(X264="","",IFERROR(INDEX(Cl_quartier,MATCH(X264,Cl_cle,0))&amp;"",""))</f>
        <v/>
      </c>
      <c r="AB264" s="45">
        <f>IF(R264&lt;&gt;"Livrée",0,IF(K264&lt;&gt;"",K264,C264))</f>
        <v/>
      </c>
      <c r="AC264" s="33">
        <f>IF(OR(C264="",W264=""),"",P264&amp;"|"&amp;W264&amp;"|"&amp;C264&amp;"|"&amp;E264)</f>
        <v/>
      </c>
      <c r="AD264" s="39">
        <f>IF(AC264="","",IF(COUNTIF(AC$6:AC264,AC264)=1,1,0))</f>
        <v/>
      </c>
      <c r="AE264" s="39">
        <f>IF(AB264=0,"",IF(COUNTIFS(X$6:X264,X264,AB$6:AB264,AB264)=1,1,0))</f>
        <v/>
      </c>
      <c r="AF264" s="34">
        <f>IF(C264="","",YEAR(C264-WEEKDAY(C264,2)+4)&amp;"-S"&amp;TEXT(INT((C264-DATE(YEAR(C264-WEEKDAY(C264,2)+4),1,3)+WEEKDAY(DATE(YEAR(C264-WEEKDAY(C264,2)+4),1,3),2)+5)/7),"00"))</f>
        <v/>
      </c>
    </row>
    <row r="265" ht="18" customHeight="1">
      <c r="A265" s="39" t="n">
        <v>260</v>
      </c>
      <c r="B265" s="33">
        <f>IF(C265="","",IF(P265="À RENSEIGNER","GIC",P265)&amp;"-C"&amp;TEXT(A265,"00000"))</f>
        <v/>
      </c>
      <c r="C265" s="32" t="n"/>
      <c r="D265" s="36" t="n"/>
      <c r="E265" s="36" t="n"/>
      <c r="F265" s="36" t="n"/>
      <c r="G265" s="42" t="n"/>
      <c r="H265" s="37" t="n"/>
      <c r="I265" s="37" t="n"/>
      <c r="J265" s="32" t="n"/>
      <c r="K265" s="32" t="n"/>
      <c r="L265" s="43" t="n"/>
      <c r="M265" s="36" t="n"/>
      <c r="N265" s="44" t="n"/>
      <c r="O265" s="36" t="n"/>
      <c r="P265" s="33">
        <f>IF(C265="","",Commercial_Id)</f>
        <v/>
      </c>
      <c r="Q265" s="34">
        <f>IF(AC265="","",IF(AD265=1,"C"&amp;TEXT(SUM(AD$6:AD265),"0000"),INDEX(Q$6:Q264,MATCH(AC265,AC$6:AC264,0))))</f>
        <v/>
      </c>
      <c r="R265" s="34">
        <f>IF(C265="","",IF(L265="☑ Oui","Annulée",IF(OR(E265="Vente directe",K265&lt;&gt;""),"Livrée",IF(J265&lt;&gt;"","Confirmée","En attente"))))</f>
        <v/>
      </c>
      <c r="S265" s="34">
        <f>IF(F265="","",IFERROR(VLOOKUP(F265,T_Produits,2,FALSE),""))</f>
        <v/>
      </c>
      <c r="T265" s="40">
        <f>IF(F265="","",IFERROR(1/(1/VLOOKUP(F265,T_Produits,3,FALSE)),""))</f>
        <v/>
      </c>
      <c r="U265" s="40">
        <f>IF(H265&lt;&gt;"",H265,T265)</f>
        <v/>
      </c>
      <c r="V265" s="40">
        <f>IF(OR(G265="",U265=""),"",G265*U265-N(I265))</f>
        <v/>
      </c>
      <c r="W265" s="39">
        <f>IF(D265="","",IFERROR(VALUE(MID(D265,LEN(D265)-3,3)),""))</f>
        <v/>
      </c>
      <c r="X265" s="33">
        <f>IF(W265="","",P265&amp;"|"&amp;W265)</f>
        <v/>
      </c>
      <c r="Y265" s="33">
        <f>IF(W265="","",IF(P265="À RENSEIGNER","GIC",P265)&amp;"-"&amp;TEXT(W265,"000"))</f>
        <v/>
      </c>
      <c r="Z265" s="33">
        <f>IF(X265="","",IFERROR(INDEX(Cl_nom,MATCH(X265,Cl_cle,0)),"(client introuvable)"))</f>
        <v/>
      </c>
      <c r="AA265" s="33">
        <f>IF(X265="","",IFERROR(INDEX(Cl_quartier,MATCH(X265,Cl_cle,0))&amp;"",""))</f>
        <v/>
      </c>
      <c r="AB265" s="45">
        <f>IF(R265&lt;&gt;"Livrée",0,IF(K265&lt;&gt;"",K265,C265))</f>
        <v/>
      </c>
      <c r="AC265" s="33">
        <f>IF(OR(C265="",W265=""),"",P265&amp;"|"&amp;W265&amp;"|"&amp;C265&amp;"|"&amp;E265)</f>
        <v/>
      </c>
      <c r="AD265" s="39">
        <f>IF(AC265="","",IF(COUNTIF(AC$6:AC265,AC265)=1,1,0))</f>
        <v/>
      </c>
      <c r="AE265" s="39">
        <f>IF(AB265=0,"",IF(COUNTIFS(X$6:X265,X265,AB$6:AB265,AB265)=1,1,0))</f>
        <v/>
      </c>
      <c r="AF265" s="34">
        <f>IF(C265="","",YEAR(C265-WEEKDAY(C265,2)+4)&amp;"-S"&amp;TEXT(INT((C265-DATE(YEAR(C265-WEEKDAY(C265,2)+4),1,3)+WEEKDAY(DATE(YEAR(C265-WEEKDAY(C265,2)+4),1,3),2)+5)/7),"00"))</f>
        <v/>
      </c>
    </row>
    <row r="266" ht="18" customHeight="1">
      <c r="A266" s="39" t="n">
        <v>261</v>
      </c>
      <c r="B266" s="33">
        <f>IF(C266="","",IF(P266="À RENSEIGNER","GIC",P266)&amp;"-C"&amp;TEXT(A266,"00000"))</f>
        <v/>
      </c>
      <c r="C266" s="32" t="n"/>
      <c r="D266" s="36" t="n"/>
      <c r="E266" s="36" t="n"/>
      <c r="F266" s="36" t="n"/>
      <c r="G266" s="42" t="n"/>
      <c r="H266" s="37" t="n"/>
      <c r="I266" s="37" t="n"/>
      <c r="J266" s="32" t="n"/>
      <c r="K266" s="32" t="n"/>
      <c r="L266" s="43" t="n"/>
      <c r="M266" s="36" t="n"/>
      <c r="N266" s="44" t="n"/>
      <c r="O266" s="36" t="n"/>
      <c r="P266" s="33">
        <f>IF(C266="","",Commercial_Id)</f>
        <v/>
      </c>
      <c r="Q266" s="34">
        <f>IF(AC266="","",IF(AD266=1,"C"&amp;TEXT(SUM(AD$6:AD266),"0000"),INDEX(Q$6:Q265,MATCH(AC266,AC$6:AC265,0))))</f>
        <v/>
      </c>
      <c r="R266" s="34">
        <f>IF(C266="","",IF(L266="☑ Oui","Annulée",IF(OR(E266="Vente directe",K266&lt;&gt;""),"Livrée",IF(J266&lt;&gt;"","Confirmée","En attente"))))</f>
        <v/>
      </c>
      <c r="S266" s="34">
        <f>IF(F266="","",IFERROR(VLOOKUP(F266,T_Produits,2,FALSE),""))</f>
        <v/>
      </c>
      <c r="T266" s="40">
        <f>IF(F266="","",IFERROR(1/(1/VLOOKUP(F266,T_Produits,3,FALSE)),""))</f>
        <v/>
      </c>
      <c r="U266" s="40">
        <f>IF(H266&lt;&gt;"",H266,T266)</f>
        <v/>
      </c>
      <c r="V266" s="40">
        <f>IF(OR(G266="",U266=""),"",G266*U266-N(I266))</f>
        <v/>
      </c>
      <c r="W266" s="39">
        <f>IF(D266="","",IFERROR(VALUE(MID(D266,LEN(D266)-3,3)),""))</f>
        <v/>
      </c>
      <c r="X266" s="33">
        <f>IF(W266="","",P266&amp;"|"&amp;W266)</f>
        <v/>
      </c>
      <c r="Y266" s="33">
        <f>IF(W266="","",IF(P266="À RENSEIGNER","GIC",P266)&amp;"-"&amp;TEXT(W266,"000"))</f>
        <v/>
      </c>
      <c r="Z266" s="33">
        <f>IF(X266="","",IFERROR(INDEX(Cl_nom,MATCH(X266,Cl_cle,0)),"(client introuvable)"))</f>
        <v/>
      </c>
      <c r="AA266" s="33">
        <f>IF(X266="","",IFERROR(INDEX(Cl_quartier,MATCH(X266,Cl_cle,0))&amp;"",""))</f>
        <v/>
      </c>
      <c r="AB266" s="45">
        <f>IF(R266&lt;&gt;"Livrée",0,IF(K266&lt;&gt;"",K266,C266))</f>
        <v/>
      </c>
      <c r="AC266" s="33">
        <f>IF(OR(C266="",W266=""),"",P266&amp;"|"&amp;W266&amp;"|"&amp;C266&amp;"|"&amp;E266)</f>
        <v/>
      </c>
      <c r="AD266" s="39">
        <f>IF(AC266="","",IF(COUNTIF(AC$6:AC266,AC266)=1,1,0))</f>
        <v/>
      </c>
      <c r="AE266" s="39">
        <f>IF(AB266=0,"",IF(COUNTIFS(X$6:X266,X266,AB$6:AB266,AB266)=1,1,0))</f>
        <v/>
      </c>
      <c r="AF266" s="34">
        <f>IF(C266="","",YEAR(C266-WEEKDAY(C266,2)+4)&amp;"-S"&amp;TEXT(INT((C266-DATE(YEAR(C266-WEEKDAY(C266,2)+4),1,3)+WEEKDAY(DATE(YEAR(C266-WEEKDAY(C266,2)+4),1,3),2)+5)/7),"00"))</f>
        <v/>
      </c>
    </row>
    <row r="267" ht="18" customHeight="1">
      <c r="A267" s="39" t="n">
        <v>262</v>
      </c>
      <c r="B267" s="33">
        <f>IF(C267="","",IF(P267="À RENSEIGNER","GIC",P267)&amp;"-C"&amp;TEXT(A267,"00000"))</f>
        <v/>
      </c>
      <c r="C267" s="32" t="n"/>
      <c r="D267" s="36" t="n"/>
      <c r="E267" s="36" t="n"/>
      <c r="F267" s="36" t="n"/>
      <c r="G267" s="42" t="n"/>
      <c r="H267" s="37" t="n"/>
      <c r="I267" s="37" t="n"/>
      <c r="J267" s="32" t="n"/>
      <c r="K267" s="32" t="n"/>
      <c r="L267" s="43" t="n"/>
      <c r="M267" s="36" t="n"/>
      <c r="N267" s="44" t="n"/>
      <c r="O267" s="36" t="n"/>
      <c r="P267" s="33">
        <f>IF(C267="","",Commercial_Id)</f>
        <v/>
      </c>
      <c r="Q267" s="34">
        <f>IF(AC267="","",IF(AD267=1,"C"&amp;TEXT(SUM(AD$6:AD267),"0000"),INDEX(Q$6:Q266,MATCH(AC267,AC$6:AC266,0))))</f>
        <v/>
      </c>
      <c r="R267" s="34">
        <f>IF(C267="","",IF(L267="☑ Oui","Annulée",IF(OR(E267="Vente directe",K267&lt;&gt;""),"Livrée",IF(J267&lt;&gt;"","Confirmée","En attente"))))</f>
        <v/>
      </c>
      <c r="S267" s="34">
        <f>IF(F267="","",IFERROR(VLOOKUP(F267,T_Produits,2,FALSE),""))</f>
        <v/>
      </c>
      <c r="T267" s="40">
        <f>IF(F267="","",IFERROR(1/(1/VLOOKUP(F267,T_Produits,3,FALSE)),""))</f>
        <v/>
      </c>
      <c r="U267" s="40">
        <f>IF(H267&lt;&gt;"",H267,T267)</f>
        <v/>
      </c>
      <c r="V267" s="40">
        <f>IF(OR(G267="",U267=""),"",G267*U267-N(I267))</f>
        <v/>
      </c>
      <c r="W267" s="39">
        <f>IF(D267="","",IFERROR(VALUE(MID(D267,LEN(D267)-3,3)),""))</f>
        <v/>
      </c>
      <c r="X267" s="33">
        <f>IF(W267="","",P267&amp;"|"&amp;W267)</f>
        <v/>
      </c>
      <c r="Y267" s="33">
        <f>IF(W267="","",IF(P267="À RENSEIGNER","GIC",P267)&amp;"-"&amp;TEXT(W267,"000"))</f>
        <v/>
      </c>
      <c r="Z267" s="33">
        <f>IF(X267="","",IFERROR(INDEX(Cl_nom,MATCH(X267,Cl_cle,0)),"(client introuvable)"))</f>
        <v/>
      </c>
      <c r="AA267" s="33">
        <f>IF(X267="","",IFERROR(INDEX(Cl_quartier,MATCH(X267,Cl_cle,0))&amp;"",""))</f>
        <v/>
      </c>
      <c r="AB267" s="45">
        <f>IF(R267&lt;&gt;"Livrée",0,IF(K267&lt;&gt;"",K267,C267))</f>
        <v/>
      </c>
      <c r="AC267" s="33">
        <f>IF(OR(C267="",W267=""),"",P267&amp;"|"&amp;W267&amp;"|"&amp;C267&amp;"|"&amp;E267)</f>
        <v/>
      </c>
      <c r="AD267" s="39">
        <f>IF(AC267="","",IF(COUNTIF(AC$6:AC267,AC267)=1,1,0))</f>
        <v/>
      </c>
      <c r="AE267" s="39">
        <f>IF(AB267=0,"",IF(COUNTIFS(X$6:X267,X267,AB$6:AB267,AB267)=1,1,0))</f>
        <v/>
      </c>
      <c r="AF267" s="34">
        <f>IF(C267="","",YEAR(C267-WEEKDAY(C267,2)+4)&amp;"-S"&amp;TEXT(INT((C267-DATE(YEAR(C267-WEEKDAY(C267,2)+4),1,3)+WEEKDAY(DATE(YEAR(C267-WEEKDAY(C267,2)+4),1,3),2)+5)/7),"00"))</f>
        <v/>
      </c>
    </row>
    <row r="268" ht="18" customHeight="1">
      <c r="A268" s="39" t="n">
        <v>263</v>
      </c>
      <c r="B268" s="33">
        <f>IF(C268="","",IF(P268="À RENSEIGNER","GIC",P268)&amp;"-C"&amp;TEXT(A268,"00000"))</f>
        <v/>
      </c>
      <c r="C268" s="32" t="n"/>
      <c r="D268" s="36" t="n"/>
      <c r="E268" s="36" t="n"/>
      <c r="F268" s="36" t="n"/>
      <c r="G268" s="42" t="n"/>
      <c r="H268" s="37" t="n"/>
      <c r="I268" s="37" t="n"/>
      <c r="J268" s="32" t="n"/>
      <c r="K268" s="32" t="n"/>
      <c r="L268" s="43" t="n"/>
      <c r="M268" s="36" t="n"/>
      <c r="N268" s="44" t="n"/>
      <c r="O268" s="36" t="n"/>
      <c r="P268" s="33">
        <f>IF(C268="","",Commercial_Id)</f>
        <v/>
      </c>
      <c r="Q268" s="34">
        <f>IF(AC268="","",IF(AD268=1,"C"&amp;TEXT(SUM(AD$6:AD268),"0000"),INDEX(Q$6:Q267,MATCH(AC268,AC$6:AC267,0))))</f>
        <v/>
      </c>
      <c r="R268" s="34">
        <f>IF(C268="","",IF(L268="☑ Oui","Annulée",IF(OR(E268="Vente directe",K268&lt;&gt;""),"Livrée",IF(J268&lt;&gt;"","Confirmée","En attente"))))</f>
        <v/>
      </c>
      <c r="S268" s="34">
        <f>IF(F268="","",IFERROR(VLOOKUP(F268,T_Produits,2,FALSE),""))</f>
        <v/>
      </c>
      <c r="T268" s="40">
        <f>IF(F268="","",IFERROR(1/(1/VLOOKUP(F268,T_Produits,3,FALSE)),""))</f>
        <v/>
      </c>
      <c r="U268" s="40">
        <f>IF(H268&lt;&gt;"",H268,T268)</f>
        <v/>
      </c>
      <c r="V268" s="40">
        <f>IF(OR(G268="",U268=""),"",G268*U268-N(I268))</f>
        <v/>
      </c>
      <c r="W268" s="39">
        <f>IF(D268="","",IFERROR(VALUE(MID(D268,LEN(D268)-3,3)),""))</f>
        <v/>
      </c>
      <c r="X268" s="33">
        <f>IF(W268="","",P268&amp;"|"&amp;W268)</f>
        <v/>
      </c>
      <c r="Y268" s="33">
        <f>IF(W268="","",IF(P268="À RENSEIGNER","GIC",P268)&amp;"-"&amp;TEXT(W268,"000"))</f>
        <v/>
      </c>
      <c r="Z268" s="33">
        <f>IF(X268="","",IFERROR(INDEX(Cl_nom,MATCH(X268,Cl_cle,0)),"(client introuvable)"))</f>
        <v/>
      </c>
      <c r="AA268" s="33">
        <f>IF(X268="","",IFERROR(INDEX(Cl_quartier,MATCH(X268,Cl_cle,0))&amp;"",""))</f>
        <v/>
      </c>
      <c r="AB268" s="45">
        <f>IF(R268&lt;&gt;"Livrée",0,IF(K268&lt;&gt;"",K268,C268))</f>
        <v/>
      </c>
      <c r="AC268" s="33">
        <f>IF(OR(C268="",W268=""),"",P268&amp;"|"&amp;W268&amp;"|"&amp;C268&amp;"|"&amp;E268)</f>
        <v/>
      </c>
      <c r="AD268" s="39">
        <f>IF(AC268="","",IF(COUNTIF(AC$6:AC268,AC268)=1,1,0))</f>
        <v/>
      </c>
      <c r="AE268" s="39">
        <f>IF(AB268=0,"",IF(COUNTIFS(X$6:X268,X268,AB$6:AB268,AB268)=1,1,0))</f>
        <v/>
      </c>
      <c r="AF268" s="34">
        <f>IF(C268="","",YEAR(C268-WEEKDAY(C268,2)+4)&amp;"-S"&amp;TEXT(INT((C268-DATE(YEAR(C268-WEEKDAY(C268,2)+4),1,3)+WEEKDAY(DATE(YEAR(C268-WEEKDAY(C268,2)+4),1,3),2)+5)/7),"00"))</f>
        <v/>
      </c>
    </row>
    <row r="269" ht="18" customHeight="1">
      <c r="A269" s="39" t="n">
        <v>264</v>
      </c>
      <c r="B269" s="33">
        <f>IF(C269="","",IF(P269="À RENSEIGNER","GIC",P269)&amp;"-C"&amp;TEXT(A269,"00000"))</f>
        <v/>
      </c>
      <c r="C269" s="32" t="n"/>
      <c r="D269" s="36" t="n"/>
      <c r="E269" s="36" t="n"/>
      <c r="F269" s="36" t="n"/>
      <c r="G269" s="42" t="n"/>
      <c r="H269" s="37" t="n"/>
      <c r="I269" s="37" t="n"/>
      <c r="J269" s="32" t="n"/>
      <c r="K269" s="32" t="n"/>
      <c r="L269" s="43" t="n"/>
      <c r="M269" s="36" t="n"/>
      <c r="N269" s="44" t="n"/>
      <c r="O269" s="36" t="n"/>
      <c r="P269" s="33">
        <f>IF(C269="","",Commercial_Id)</f>
        <v/>
      </c>
      <c r="Q269" s="34">
        <f>IF(AC269="","",IF(AD269=1,"C"&amp;TEXT(SUM(AD$6:AD269),"0000"),INDEX(Q$6:Q268,MATCH(AC269,AC$6:AC268,0))))</f>
        <v/>
      </c>
      <c r="R269" s="34">
        <f>IF(C269="","",IF(L269="☑ Oui","Annulée",IF(OR(E269="Vente directe",K269&lt;&gt;""),"Livrée",IF(J269&lt;&gt;"","Confirmée","En attente"))))</f>
        <v/>
      </c>
      <c r="S269" s="34">
        <f>IF(F269="","",IFERROR(VLOOKUP(F269,T_Produits,2,FALSE),""))</f>
        <v/>
      </c>
      <c r="T269" s="40">
        <f>IF(F269="","",IFERROR(1/(1/VLOOKUP(F269,T_Produits,3,FALSE)),""))</f>
        <v/>
      </c>
      <c r="U269" s="40">
        <f>IF(H269&lt;&gt;"",H269,T269)</f>
        <v/>
      </c>
      <c r="V269" s="40">
        <f>IF(OR(G269="",U269=""),"",G269*U269-N(I269))</f>
        <v/>
      </c>
      <c r="W269" s="39">
        <f>IF(D269="","",IFERROR(VALUE(MID(D269,LEN(D269)-3,3)),""))</f>
        <v/>
      </c>
      <c r="X269" s="33">
        <f>IF(W269="","",P269&amp;"|"&amp;W269)</f>
        <v/>
      </c>
      <c r="Y269" s="33">
        <f>IF(W269="","",IF(P269="À RENSEIGNER","GIC",P269)&amp;"-"&amp;TEXT(W269,"000"))</f>
        <v/>
      </c>
      <c r="Z269" s="33">
        <f>IF(X269="","",IFERROR(INDEX(Cl_nom,MATCH(X269,Cl_cle,0)),"(client introuvable)"))</f>
        <v/>
      </c>
      <c r="AA269" s="33">
        <f>IF(X269="","",IFERROR(INDEX(Cl_quartier,MATCH(X269,Cl_cle,0))&amp;"",""))</f>
        <v/>
      </c>
      <c r="AB269" s="45">
        <f>IF(R269&lt;&gt;"Livrée",0,IF(K269&lt;&gt;"",K269,C269))</f>
        <v/>
      </c>
      <c r="AC269" s="33">
        <f>IF(OR(C269="",W269=""),"",P269&amp;"|"&amp;W269&amp;"|"&amp;C269&amp;"|"&amp;E269)</f>
        <v/>
      </c>
      <c r="AD269" s="39">
        <f>IF(AC269="","",IF(COUNTIF(AC$6:AC269,AC269)=1,1,0))</f>
        <v/>
      </c>
      <c r="AE269" s="39">
        <f>IF(AB269=0,"",IF(COUNTIFS(X$6:X269,X269,AB$6:AB269,AB269)=1,1,0))</f>
        <v/>
      </c>
      <c r="AF269" s="34">
        <f>IF(C269="","",YEAR(C269-WEEKDAY(C269,2)+4)&amp;"-S"&amp;TEXT(INT((C269-DATE(YEAR(C269-WEEKDAY(C269,2)+4),1,3)+WEEKDAY(DATE(YEAR(C269-WEEKDAY(C269,2)+4),1,3),2)+5)/7),"00"))</f>
        <v/>
      </c>
    </row>
    <row r="270" ht="18" customHeight="1">
      <c r="A270" s="39" t="n">
        <v>265</v>
      </c>
      <c r="B270" s="33">
        <f>IF(C270="","",IF(P270="À RENSEIGNER","GIC",P270)&amp;"-C"&amp;TEXT(A270,"00000"))</f>
        <v/>
      </c>
      <c r="C270" s="32" t="n"/>
      <c r="D270" s="36" t="n"/>
      <c r="E270" s="36" t="n"/>
      <c r="F270" s="36" t="n"/>
      <c r="G270" s="42" t="n"/>
      <c r="H270" s="37" t="n"/>
      <c r="I270" s="37" t="n"/>
      <c r="J270" s="32" t="n"/>
      <c r="K270" s="32" t="n"/>
      <c r="L270" s="43" t="n"/>
      <c r="M270" s="36" t="n"/>
      <c r="N270" s="44" t="n"/>
      <c r="O270" s="36" t="n"/>
      <c r="P270" s="33">
        <f>IF(C270="","",Commercial_Id)</f>
        <v/>
      </c>
      <c r="Q270" s="34">
        <f>IF(AC270="","",IF(AD270=1,"C"&amp;TEXT(SUM(AD$6:AD270),"0000"),INDEX(Q$6:Q269,MATCH(AC270,AC$6:AC269,0))))</f>
        <v/>
      </c>
      <c r="R270" s="34">
        <f>IF(C270="","",IF(L270="☑ Oui","Annulée",IF(OR(E270="Vente directe",K270&lt;&gt;""),"Livrée",IF(J270&lt;&gt;"","Confirmée","En attente"))))</f>
        <v/>
      </c>
      <c r="S270" s="34">
        <f>IF(F270="","",IFERROR(VLOOKUP(F270,T_Produits,2,FALSE),""))</f>
        <v/>
      </c>
      <c r="T270" s="40">
        <f>IF(F270="","",IFERROR(1/(1/VLOOKUP(F270,T_Produits,3,FALSE)),""))</f>
        <v/>
      </c>
      <c r="U270" s="40">
        <f>IF(H270&lt;&gt;"",H270,T270)</f>
        <v/>
      </c>
      <c r="V270" s="40">
        <f>IF(OR(G270="",U270=""),"",G270*U270-N(I270))</f>
        <v/>
      </c>
      <c r="W270" s="39">
        <f>IF(D270="","",IFERROR(VALUE(MID(D270,LEN(D270)-3,3)),""))</f>
        <v/>
      </c>
      <c r="X270" s="33">
        <f>IF(W270="","",P270&amp;"|"&amp;W270)</f>
        <v/>
      </c>
      <c r="Y270" s="33">
        <f>IF(W270="","",IF(P270="À RENSEIGNER","GIC",P270)&amp;"-"&amp;TEXT(W270,"000"))</f>
        <v/>
      </c>
      <c r="Z270" s="33">
        <f>IF(X270="","",IFERROR(INDEX(Cl_nom,MATCH(X270,Cl_cle,0)),"(client introuvable)"))</f>
        <v/>
      </c>
      <c r="AA270" s="33">
        <f>IF(X270="","",IFERROR(INDEX(Cl_quartier,MATCH(X270,Cl_cle,0))&amp;"",""))</f>
        <v/>
      </c>
      <c r="AB270" s="45">
        <f>IF(R270&lt;&gt;"Livrée",0,IF(K270&lt;&gt;"",K270,C270))</f>
        <v/>
      </c>
      <c r="AC270" s="33">
        <f>IF(OR(C270="",W270=""),"",P270&amp;"|"&amp;W270&amp;"|"&amp;C270&amp;"|"&amp;E270)</f>
        <v/>
      </c>
      <c r="AD270" s="39">
        <f>IF(AC270="","",IF(COUNTIF(AC$6:AC270,AC270)=1,1,0))</f>
        <v/>
      </c>
      <c r="AE270" s="39">
        <f>IF(AB270=0,"",IF(COUNTIFS(X$6:X270,X270,AB$6:AB270,AB270)=1,1,0))</f>
        <v/>
      </c>
      <c r="AF270" s="34">
        <f>IF(C270="","",YEAR(C270-WEEKDAY(C270,2)+4)&amp;"-S"&amp;TEXT(INT((C270-DATE(YEAR(C270-WEEKDAY(C270,2)+4),1,3)+WEEKDAY(DATE(YEAR(C270-WEEKDAY(C270,2)+4),1,3),2)+5)/7),"00"))</f>
        <v/>
      </c>
    </row>
    <row r="271" ht="18" customHeight="1">
      <c r="A271" s="39" t="n">
        <v>266</v>
      </c>
      <c r="B271" s="33">
        <f>IF(C271="","",IF(P271="À RENSEIGNER","GIC",P271)&amp;"-C"&amp;TEXT(A271,"00000"))</f>
        <v/>
      </c>
      <c r="C271" s="32" t="n"/>
      <c r="D271" s="36" t="n"/>
      <c r="E271" s="36" t="n"/>
      <c r="F271" s="36" t="n"/>
      <c r="G271" s="42" t="n"/>
      <c r="H271" s="37" t="n"/>
      <c r="I271" s="37" t="n"/>
      <c r="J271" s="32" t="n"/>
      <c r="K271" s="32" t="n"/>
      <c r="L271" s="43" t="n"/>
      <c r="M271" s="36" t="n"/>
      <c r="N271" s="44" t="n"/>
      <c r="O271" s="36" t="n"/>
      <c r="P271" s="33">
        <f>IF(C271="","",Commercial_Id)</f>
        <v/>
      </c>
      <c r="Q271" s="34">
        <f>IF(AC271="","",IF(AD271=1,"C"&amp;TEXT(SUM(AD$6:AD271),"0000"),INDEX(Q$6:Q270,MATCH(AC271,AC$6:AC270,0))))</f>
        <v/>
      </c>
      <c r="R271" s="34">
        <f>IF(C271="","",IF(L271="☑ Oui","Annulée",IF(OR(E271="Vente directe",K271&lt;&gt;""),"Livrée",IF(J271&lt;&gt;"","Confirmée","En attente"))))</f>
        <v/>
      </c>
      <c r="S271" s="34">
        <f>IF(F271="","",IFERROR(VLOOKUP(F271,T_Produits,2,FALSE),""))</f>
        <v/>
      </c>
      <c r="T271" s="40">
        <f>IF(F271="","",IFERROR(1/(1/VLOOKUP(F271,T_Produits,3,FALSE)),""))</f>
        <v/>
      </c>
      <c r="U271" s="40">
        <f>IF(H271&lt;&gt;"",H271,T271)</f>
        <v/>
      </c>
      <c r="V271" s="40">
        <f>IF(OR(G271="",U271=""),"",G271*U271-N(I271))</f>
        <v/>
      </c>
      <c r="W271" s="39">
        <f>IF(D271="","",IFERROR(VALUE(MID(D271,LEN(D271)-3,3)),""))</f>
        <v/>
      </c>
      <c r="X271" s="33">
        <f>IF(W271="","",P271&amp;"|"&amp;W271)</f>
        <v/>
      </c>
      <c r="Y271" s="33">
        <f>IF(W271="","",IF(P271="À RENSEIGNER","GIC",P271)&amp;"-"&amp;TEXT(W271,"000"))</f>
        <v/>
      </c>
      <c r="Z271" s="33">
        <f>IF(X271="","",IFERROR(INDEX(Cl_nom,MATCH(X271,Cl_cle,0)),"(client introuvable)"))</f>
        <v/>
      </c>
      <c r="AA271" s="33">
        <f>IF(X271="","",IFERROR(INDEX(Cl_quartier,MATCH(X271,Cl_cle,0))&amp;"",""))</f>
        <v/>
      </c>
      <c r="AB271" s="45">
        <f>IF(R271&lt;&gt;"Livrée",0,IF(K271&lt;&gt;"",K271,C271))</f>
        <v/>
      </c>
      <c r="AC271" s="33">
        <f>IF(OR(C271="",W271=""),"",P271&amp;"|"&amp;W271&amp;"|"&amp;C271&amp;"|"&amp;E271)</f>
        <v/>
      </c>
      <c r="AD271" s="39">
        <f>IF(AC271="","",IF(COUNTIF(AC$6:AC271,AC271)=1,1,0))</f>
        <v/>
      </c>
      <c r="AE271" s="39">
        <f>IF(AB271=0,"",IF(COUNTIFS(X$6:X271,X271,AB$6:AB271,AB271)=1,1,0))</f>
        <v/>
      </c>
      <c r="AF271" s="34">
        <f>IF(C271="","",YEAR(C271-WEEKDAY(C271,2)+4)&amp;"-S"&amp;TEXT(INT((C271-DATE(YEAR(C271-WEEKDAY(C271,2)+4),1,3)+WEEKDAY(DATE(YEAR(C271-WEEKDAY(C271,2)+4),1,3),2)+5)/7),"00"))</f>
        <v/>
      </c>
    </row>
    <row r="272" ht="18" customHeight="1">
      <c r="A272" s="39" t="n">
        <v>267</v>
      </c>
      <c r="B272" s="33">
        <f>IF(C272="","",IF(P272="À RENSEIGNER","GIC",P272)&amp;"-C"&amp;TEXT(A272,"00000"))</f>
        <v/>
      </c>
      <c r="C272" s="32" t="n"/>
      <c r="D272" s="36" t="n"/>
      <c r="E272" s="36" t="n"/>
      <c r="F272" s="36" t="n"/>
      <c r="G272" s="42" t="n"/>
      <c r="H272" s="37" t="n"/>
      <c r="I272" s="37" t="n"/>
      <c r="J272" s="32" t="n"/>
      <c r="K272" s="32" t="n"/>
      <c r="L272" s="43" t="n"/>
      <c r="M272" s="36" t="n"/>
      <c r="N272" s="44" t="n"/>
      <c r="O272" s="36" t="n"/>
      <c r="P272" s="33">
        <f>IF(C272="","",Commercial_Id)</f>
        <v/>
      </c>
      <c r="Q272" s="34">
        <f>IF(AC272="","",IF(AD272=1,"C"&amp;TEXT(SUM(AD$6:AD272),"0000"),INDEX(Q$6:Q271,MATCH(AC272,AC$6:AC271,0))))</f>
        <v/>
      </c>
      <c r="R272" s="34">
        <f>IF(C272="","",IF(L272="☑ Oui","Annulée",IF(OR(E272="Vente directe",K272&lt;&gt;""),"Livrée",IF(J272&lt;&gt;"","Confirmée","En attente"))))</f>
        <v/>
      </c>
      <c r="S272" s="34">
        <f>IF(F272="","",IFERROR(VLOOKUP(F272,T_Produits,2,FALSE),""))</f>
        <v/>
      </c>
      <c r="T272" s="40">
        <f>IF(F272="","",IFERROR(1/(1/VLOOKUP(F272,T_Produits,3,FALSE)),""))</f>
        <v/>
      </c>
      <c r="U272" s="40">
        <f>IF(H272&lt;&gt;"",H272,T272)</f>
        <v/>
      </c>
      <c r="V272" s="40">
        <f>IF(OR(G272="",U272=""),"",G272*U272-N(I272))</f>
        <v/>
      </c>
      <c r="W272" s="39">
        <f>IF(D272="","",IFERROR(VALUE(MID(D272,LEN(D272)-3,3)),""))</f>
        <v/>
      </c>
      <c r="X272" s="33">
        <f>IF(W272="","",P272&amp;"|"&amp;W272)</f>
        <v/>
      </c>
      <c r="Y272" s="33">
        <f>IF(W272="","",IF(P272="À RENSEIGNER","GIC",P272)&amp;"-"&amp;TEXT(W272,"000"))</f>
        <v/>
      </c>
      <c r="Z272" s="33">
        <f>IF(X272="","",IFERROR(INDEX(Cl_nom,MATCH(X272,Cl_cle,0)),"(client introuvable)"))</f>
        <v/>
      </c>
      <c r="AA272" s="33">
        <f>IF(X272="","",IFERROR(INDEX(Cl_quartier,MATCH(X272,Cl_cle,0))&amp;"",""))</f>
        <v/>
      </c>
      <c r="AB272" s="45">
        <f>IF(R272&lt;&gt;"Livrée",0,IF(K272&lt;&gt;"",K272,C272))</f>
        <v/>
      </c>
      <c r="AC272" s="33">
        <f>IF(OR(C272="",W272=""),"",P272&amp;"|"&amp;W272&amp;"|"&amp;C272&amp;"|"&amp;E272)</f>
        <v/>
      </c>
      <c r="AD272" s="39">
        <f>IF(AC272="","",IF(COUNTIF(AC$6:AC272,AC272)=1,1,0))</f>
        <v/>
      </c>
      <c r="AE272" s="39">
        <f>IF(AB272=0,"",IF(COUNTIFS(X$6:X272,X272,AB$6:AB272,AB272)=1,1,0))</f>
        <v/>
      </c>
      <c r="AF272" s="34">
        <f>IF(C272="","",YEAR(C272-WEEKDAY(C272,2)+4)&amp;"-S"&amp;TEXT(INT((C272-DATE(YEAR(C272-WEEKDAY(C272,2)+4),1,3)+WEEKDAY(DATE(YEAR(C272-WEEKDAY(C272,2)+4),1,3),2)+5)/7),"00"))</f>
        <v/>
      </c>
    </row>
    <row r="273" ht="18" customHeight="1">
      <c r="A273" s="39" t="n">
        <v>268</v>
      </c>
      <c r="B273" s="33">
        <f>IF(C273="","",IF(P273="À RENSEIGNER","GIC",P273)&amp;"-C"&amp;TEXT(A273,"00000"))</f>
        <v/>
      </c>
      <c r="C273" s="32" t="n"/>
      <c r="D273" s="36" t="n"/>
      <c r="E273" s="36" t="n"/>
      <c r="F273" s="36" t="n"/>
      <c r="G273" s="42" t="n"/>
      <c r="H273" s="37" t="n"/>
      <c r="I273" s="37" t="n"/>
      <c r="J273" s="32" t="n"/>
      <c r="K273" s="32" t="n"/>
      <c r="L273" s="43" t="n"/>
      <c r="M273" s="36" t="n"/>
      <c r="N273" s="44" t="n"/>
      <c r="O273" s="36" t="n"/>
      <c r="P273" s="33">
        <f>IF(C273="","",Commercial_Id)</f>
        <v/>
      </c>
      <c r="Q273" s="34">
        <f>IF(AC273="","",IF(AD273=1,"C"&amp;TEXT(SUM(AD$6:AD273),"0000"),INDEX(Q$6:Q272,MATCH(AC273,AC$6:AC272,0))))</f>
        <v/>
      </c>
      <c r="R273" s="34">
        <f>IF(C273="","",IF(L273="☑ Oui","Annulée",IF(OR(E273="Vente directe",K273&lt;&gt;""),"Livrée",IF(J273&lt;&gt;"","Confirmée","En attente"))))</f>
        <v/>
      </c>
      <c r="S273" s="34">
        <f>IF(F273="","",IFERROR(VLOOKUP(F273,T_Produits,2,FALSE),""))</f>
        <v/>
      </c>
      <c r="T273" s="40">
        <f>IF(F273="","",IFERROR(1/(1/VLOOKUP(F273,T_Produits,3,FALSE)),""))</f>
        <v/>
      </c>
      <c r="U273" s="40">
        <f>IF(H273&lt;&gt;"",H273,T273)</f>
        <v/>
      </c>
      <c r="V273" s="40">
        <f>IF(OR(G273="",U273=""),"",G273*U273-N(I273))</f>
        <v/>
      </c>
      <c r="W273" s="39">
        <f>IF(D273="","",IFERROR(VALUE(MID(D273,LEN(D273)-3,3)),""))</f>
        <v/>
      </c>
      <c r="X273" s="33">
        <f>IF(W273="","",P273&amp;"|"&amp;W273)</f>
        <v/>
      </c>
      <c r="Y273" s="33">
        <f>IF(W273="","",IF(P273="À RENSEIGNER","GIC",P273)&amp;"-"&amp;TEXT(W273,"000"))</f>
        <v/>
      </c>
      <c r="Z273" s="33">
        <f>IF(X273="","",IFERROR(INDEX(Cl_nom,MATCH(X273,Cl_cle,0)),"(client introuvable)"))</f>
        <v/>
      </c>
      <c r="AA273" s="33">
        <f>IF(X273="","",IFERROR(INDEX(Cl_quartier,MATCH(X273,Cl_cle,0))&amp;"",""))</f>
        <v/>
      </c>
      <c r="AB273" s="45">
        <f>IF(R273&lt;&gt;"Livrée",0,IF(K273&lt;&gt;"",K273,C273))</f>
        <v/>
      </c>
      <c r="AC273" s="33">
        <f>IF(OR(C273="",W273=""),"",P273&amp;"|"&amp;W273&amp;"|"&amp;C273&amp;"|"&amp;E273)</f>
        <v/>
      </c>
      <c r="AD273" s="39">
        <f>IF(AC273="","",IF(COUNTIF(AC$6:AC273,AC273)=1,1,0))</f>
        <v/>
      </c>
      <c r="AE273" s="39">
        <f>IF(AB273=0,"",IF(COUNTIFS(X$6:X273,X273,AB$6:AB273,AB273)=1,1,0))</f>
        <v/>
      </c>
      <c r="AF273" s="34">
        <f>IF(C273="","",YEAR(C273-WEEKDAY(C273,2)+4)&amp;"-S"&amp;TEXT(INT((C273-DATE(YEAR(C273-WEEKDAY(C273,2)+4),1,3)+WEEKDAY(DATE(YEAR(C273-WEEKDAY(C273,2)+4),1,3),2)+5)/7),"00"))</f>
        <v/>
      </c>
    </row>
    <row r="274" ht="18" customHeight="1">
      <c r="A274" s="39" t="n">
        <v>269</v>
      </c>
      <c r="B274" s="33">
        <f>IF(C274="","",IF(P274="À RENSEIGNER","GIC",P274)&amp;"-C"&amp;TEXT(A274,"00000"))</f>
        <v/>
      </c>
      <c r="C274" s="32" t="n"/>
      <c r="D274" s="36" t="n"/>
      <c r="E274" s="36" t="n"/>
      <c r="F274" s="36" t="n"/>
      <c r="G274" s="42" t="n"/>
      <c r="H274" s="37" t="n"/>
      <c r="I274" s="37" t="n"/>
      <c r="J274" s="32" t="n"/>
      <c r="K274" s="32" t="n"/>
      <c r="L274" s="43" t="n"/>
      <c r="M274" s="36" t="n"/>
      <c r="N274" s="44" t="n"/>
      <c r="O274" s="36" t="n"/>
      <c r="P274" s="33">
        <f>IF(C274="","",Commercial_Id)</f>
        <v/>
      </c>
      <c r="Q274" s="34">
        <f>IF(AC274="","",IF(AD274=1,"C"&amp;TEXT(SUM(AD$6:AD274),"0000"),INDEX(Q$6:Q273,MATCH(AC274,AC$6:AC273,0))))</f>
        <v/>
      </c>
      <c r="R274" s="34">
        <f>IF(C274="","",IF(L274="☑ Oui","Annulée",IF(OR(E274="Vente directe",K274&lt;&gt;""),"Livrée",IF(J274&lt;&gt;"","Confirmée","En attente"))))</f>
        <v/>
      </c>
      <c r="S274" s="34">
        <f>IF(F274="","",IFERROR(VLOOKUP(F274,T_Produits,2,FALSE),""))</f>
        <v/>
      </c>
      <c r="T274" s="40">
        <f>IF(F274="","",IFERROR(1/(1/VLOOKUP(F274,T_Produits,3,FALSE)),""))</f>
        <v/>
      </c>
      <c r="U274" s="40">
        <f>IF(H274&lt;&gt;"",H274,T274)</f>
        <v/>
      </c>
      <c r="V274" s="40">
        <f>IF(OR(G274="",U274=""),"",G274*U274-N(I274))</f>
        <v/>
      </c>
      <c r="W274" s="39">
        <f>IF(D274="","",IFERROR(VALUE(MID(D274,LEN(D274)-3,3)),""))</f>
        <v/>
      </c>
      <c r="X274" s="33">
        <f>IF(W274="","",P274&amp;"|"&amp;W274)</f>
        <v/>
      </c>
      <c r="Y274" s="33">
        <f>IF(W274="","",IF(P274="À RENSEIGNER","GIC",P274)&amp;"-"&amp;TEXT(W274,"000"))</f>
        <v/>
      </c>
      <c r="Z274" s="33">
        <f>IF(X274="","",IFERROR(INDEX(Cl_nom,MATCH(X274,Cl_cle,0)),"(client introuvable)"))</f>
        <v/>
      </c>
      <c r="AA274" s="33">
        <f>IF(X274="","",IFERROR(INDEX(Cl_quartier,MATCH(X274,Cl_cle,0))&amp;"",""))</f>
        <v/>
      </c>
      <c r="AB274" s="45">
        <f>IF(R274&lt;&gt;"Livrée",0,IF(K274&lt;&gt;"",K274,C274))</f>
        <v/>
      </c>
      <c r="AC274" s="33">
        <f>IF(OR(C274="",W274=""),"",P274&amp;"|"&amp;W274&amp;"|"&amp;C274&amp;"|"&amp;E274)</f>
        <v/>
      </c>
      <c r="AD274" s="39">
        <f>IF(AC274="","",IF(COUNTIF(AC$6:AC274,AC274)=1,1,0))</f>
        <v/>
      </c>
      <c r="AE274" s="39">
        <f>IF(AB274=0,"",IF(COUNTIFS(X$6:X274,X274,AB$6:AB274,AB274)=1,1,0))</f>
        <v/>
      </c>
      <c r="AF274" s="34">
        <f>IF(C274="","",YEAR(C274-WEEKDAY(C274,2)+4)&amp;"-S"&amp;TEXT(INT((C274-DATE(YEAR(C274-WEEKDAY(C274,2)+4),1,3)+WEEKDAY(DATE(YEAR(C274-WEEKDAY(C274,2)+4),1,3),2)+5)/7),"00"))</f>
        <v/>
      </c>
    </row>
    <row r="275" ht="18" customHeight="1">
      <c r="A275" s="39" t="n">
        <v>270</v>
      </c>
      <c r="B275" s="33">
        <f>IF(C275="","",IF(P275="À RENSEIGNER","GIC",P275)&amp;"-C"&amp;TEXT(A275,"00000"))</f>
        <v/>
      </c>
      <c r="C275" s="32" t="n"/>
      <c r="D275" s="36" t="n"/>
      <c r="E275" s="36" t="n"/>
      <c r="F275" s="36" t="n"/>
      <c r="G275" s="42" t="n"/>
      <c r="H275" s="37" t="n"/>
      <c r="I275" s="37" t="n"/>
      <c r="J275" s="32" t="n"/>
      <c r="K275" s="32" t="n"/>
      <c r="L275" s="43" t="n"/>
      <c r="M275" s="36" t="n"/>
      <c r="N275" s="44" t="n"/>
      <c r="O275" s="36" t="n"/>
      <c r="P275" s="33">
        <f>IF(C275="","",Commercial_Id)</f>
        <v/>
      </c>
      <c r="Q275" s="34">
        <f>IF(AC275="","",IF(AD275=1,"C"&amp;TEXT(SUM(AD$6:AD275),"0000"),INDEX(Q$6:Q274,MATCH(AC275,AC$6:AC274,0))))</f>
        <v/>
      </c>
      <c r="R275" s="34">
        <f>IF(C275="","",IF(L275="☑ Oui","Annulée",IF(OR(E275="Vente directe",K275&lt;&gt;""),"Livrée",IF(J275&lt;&gt;"","Confirmée","En attente"))))</f>
        <v/>
      </c>
      <c r="S275" s="34">
        <f>IF(F275="","",IFERROR(VLOOKUP(F275,T_Produits,2,FALSE),""))</f>
        <v/>
      </c>
      <c r="T275" s="40">
        <f>IF(F275="","",IFERROR(1/(1/VLOOKUP(F275,T_Produits,3,FALSE)),""))</f>
        <v/>
      </c>
      <c r="U275" s="40">
        <f>IF(H275&lt;&gt;"",H275,T275)</f>
        <v/>
      </c>
      <c r="V275" s="40">
        <f>IF(OR(G275="",U275=""),"",G275*U275-N(I275))</f>
        <v/>
      </c>
      <c r="W275" s="39">
        <f>IF(D275="","",IFERROR(VALUE(MID(D275,LEN(D275)-3,3)),""))</f>
        <v/>
      </c>
      <c r="X275" s="33">
        <f>IF(W275="","",P275&amp;"|"&amp;W275)</f>
        <v/>
      </c>
      <c r="Y275" s="33">
        <f>IF(W275="","",IF(P275="À RENSEIGNER","GIC",P275)&amp;"-"&amp;TEXT(W275,"000"))</f>
        <v/>
      </c>
      <c r="Z275" s="33">
        <f>IF(X275="","",IFERROR(INDEX(Cl_nom,MATCH(X275,Cl_cle,0)),"(client introuvable)"))</f>
        <v/>
      </c>
      <c r="AA275" s="33">
        <f>IF(X275="","",IFERROR(INDEX(Cl_quartier,MATCH(X275,Cl_cle,0))&amp;"",""))</f>
        <v/>
      </c>
      <c r="AB275" s="45">
        <f>IF(R275&lt;&gt;"Livrée",0,IF(K275&lt;&gt;"",K275,C275))</f>
        <v/>
      </c>
      <c r="AC275" s="33">
        <f>IF(OR(C275="",W275=""),"",P275&amp;"|"&amp;W275&amp;"|"&amp;C275&amp;"|"&amp;E275)</f>
        <v/>
      </c>
      <c r="AD275" s="39">
        <f>IF(AC275="","",IF(COUNTIF(AC$6:AC275,AC275)=1,1,0))</f>
        <v/>
      </c>
      <c r="AE275" s="39">
        <f>IF(AB275=0,"",IF(COUNTIFS(X$6:X275,X275,AB$6:AB275,AB275)=1,1,0))</f>
        <v/>
      </c>
      <c r="AF275" s="34">
        <f>IF(C275="","",YEAR(C275-WEEKDAY(C275,2)+4)&amp;"-S"&amp;TEXT(INT((C275-DATE(YEAR(C275-WEEKDAY(C275,2)+4),1,3)+WEEKDAY(DATE(YEAR(C275-WEEKDAY(C275,2)+4),1,3),2)+5)/7),"00"))</f>
        <v/>
      </c>
    </row>
    <row r="276" ht="18" customHeight="1">
      <c r="A276" s="39" t="n">
        <v>271</v>
      </c>
      <c r="B276" s="33">
        <f>IF(C276="","",IF(P276="À RENSEIGNER","GIC",P276)&amp;"-C"&amp;TEXT(A276,"00000"))</f>
        <v/>
      </c>
      <c r="C276" s="32" t="n"/>
      <c r="D276" s="36" t="n"/>
      <c r="E276" s="36" t="n"/>
      <c r="F276" s="36" t="n"/>
      <c r="G276" s="42" t="n"/>
      <c r="H276" s="37" t="n"/>
      <c r="I276" s="37" t="n"/>
      <c r="J276" s="32" t="n"/>
      <c r="K276" s="32" t="n"/>
      <c r="L276" s="43" t="n"/>
      <c r="M276" s="36" t="n"/>
      <c r="N276" s="44" t="n"/>
      <c r="O276" s="36" t="n"/>
      <c r="P276" s="33">
        <f>IF(C276="","",Commercial_Id)</f>
        <v/>
      </c>
      <c r="Q276" s="34">
        <f>IF(AC276="","",IF(AD276=1,"C"&amp;TEXT(SUM(AD$6:AD276),"0000"),INDEX(Q$6:Q275,MATCH(AC276,AC$6:AC275,0))))</f>
        <v/>
      </c>
      <c r="R276" s="34">
        <f>IF(C276="","",IF(L276="☑ Oui","Annulée",IF(OR(E276="Vente directe",K276&lt;&gt;""),"Livrée",IF(J276&lt;&gt;"","Confirmée","En attente"))))</f>
        <v/>
      </c>
      <c r="S276" s="34">
        <f>IF(F276="","",IFERROR(VLOOKUP(F276,T_Produits,2,FALSE),""))</f>
        <v/>
      </c>
      <c r="T276" s="40">
        <f>IF(F276="","",IFERROR(1/(1/VLOOKUP(F276,T_Produits,3,FALSE)),""))</f>
        <v/>
      </c>
      <c r="U276" s="40">
        <f>IF(H276&lt;&gt;"",H276,T276)</f>
        <v/>
      </c>
      <c r="V276" s="40">
        <f>IF(OR(G276="",U276=""),"",G276*U276-N(I276))</f>
        <v/>
      </c>
      <c r="W276" s="39">
        <f>IF(D276="","",IFERROR(VALUE(MID(D276,LEN(D276)-3,3)),""))</f>
        <v/>
      </c>
      <c r="X276" s="33">
        <f>IF(W276="","",P276&amp;"|"&amp;W276)</f>
        <v/>
      </c>
      <c r="Y276" s="33">
        <f>IF(W276="","",IF(P276="À RENSEIGNER","GIC",P276)&amp;"-"&amp;TEXT(W276,"000"))</f>
        <v/>
      </c>
      <c r="Z276" s="33">
        <f>IF(X276="","",IFERROR(INDEX(Cl_nom,MATCH(X276,Cl_cle,0)),"(client introuvable)"))</f>
        <v/>
      </c>
      <c r="AA276" s="33">
        <f>IF(X276="","",IFERROR(INDEX(Cl_quartier,MATCH(X276,Cl_cle,0))&amp;"",""))</f>
        <v/>
      </c>
      <c r="AB276" s="45">
        <f>IF(R276&lt;&gt;"Livrée",0,IF(K276&lt;&gt;"",K276,C276))</f>
        <v/>
      </c>
      <c r="AC276" s="33">
        <f>IF(OR(C276="",W276=""),"",P276&amp;"|"&amp;W276&amp;"|"&amp;C276&amp;"|"&amp;E276)</f>
        <v/>
      </c>
      <c r="AD276" s="39">
        <f>IF(AC276="","",IF(COUNTIF(AC$6:AC276,AC276)=1,1,0))</f>
        <v/>
      </c>
      <c r="AE276" s="39">
        <f>IF(AB276=0,"",IF(COUNTIFS(X$6:X276,X276,AB$6:AB276,AB276)=1,1,0))</f>
        <v/>
      </c>
      <c r="AF276" s="34">
        <f>IF(C276="","",YEAR(C276-WEEKDAY(C276,2)+4)&amp;"-S"&amp;TEXT(INT((C276-DATE(YEAR(C276-WEEKDAY(C276,2)+4),1,3)+WEEKDAY(DATE(YEAR(C276-WEEKDAY(C276,2)+4),1,3),2)+5)/7),"00"))</f>
        <v/>
      </c>
    </row>
    <row r="277" ht="18" customHeight="1">
      <c r="A277" s="39" t="n">
        <v>272</v>
      </c>
      <c r="B277" s="33">
        <f>IF(C277="","",IF(P277="À RENSEIGNER","GIC",P277)&amp;"-C"&amp;TEXT(A277,"00000"))</f>
        <v/>
      </c>
      <c r="C277" s="32" t="n"/>
      <c r="D277" s="36" t="n"/>
      <c r="E277" s="36" t="n"/>
      <c r="F277" s="36" t="n"/>
      <c r="G277" s="42" t="n"/>
      <c r="H277" s="37" t="n"/>
      <c r="I277" s="37" t="n"/>
      <c r="J277" s="32" t="n"/>
      <c r="K277" s="32" t="n"/>
      <c r="L277" s="43" t="n"/>
      <c r="M277" s="36" t="n"/>
      <c r="N277" s="44" t="n"/>
      <c r="O277" s="36" t="n"/>
      <c r="P277" s="33">
        <f>IF(C277="","",Commercial_Id)</f>
        <v/>
      </c>
      <c r="Q277" s="34">
        <f>IF(AC277="","",IF(AD277=1,"C"&amp;TEXT(SUM(AD$6:AD277),"0000"),INDEX(Q$6:Q276,MATCH(AC277,AC$6:AC276,0))))</f>
        <v/>
      </c>
      <c r="R277" s="34">
        <f>IF(C277="","",IF(L277="☑ Oui","Annulée",IF(OR(E277="Vente directe",K277&lt;&gt;""),"Livrée",IF(J277&lt;&gt;"","Confirmée","En attente"))))</f>
        <v/>
      </c>
      <c r="S277" s="34">
        <f>IF(F277="","",IFERROR(VLOOKUP(F277,T_Produits,2,FALSE),""))</f>
        <v/>
      </c>
      <c r="T277" s="40">
        <f>IF(F277="","",IFERROR(1/(1/VLOOKUP(F277,T_Produits,3,FALSE)),""))</f>
        <v/>
      </c>
      <c r="U277" s="40">
        <f>IF(H277&lt;&gt;"",H277,T277)</f>
        <v/>
      </c>
      <c r="V277" s="40">
        <f>IF(OR(G277="",U277=""),"",G277*U277-N(I277))</f>
        <v/>
      </c>
      <c r="W277" s="39">
        <f>IF(D277="","",IFERROR(VALUE(MID(D277,LEN(D277)-3,3)),""))</f>
        <v/>
      </c>
      <c r="X277" s="33">
        <f>IF(W277="","",P277&amp;"|"&amp;W277)</f>
        <v/>
      </c>
      <c r="Y277" s="33">
        <f>IF(W277="","",IF(P277="À RENSEIGNER","GIC",P277)&amp;"-"&amp;TEXT(W277,"000"))</f>
        <v/>
      </c>
      <c r="Z277" s="33">
        <f>IF(X277="","",IFERROR(INDEX(Cl_nom,MATCH(X277,Cl_cle,0)),"(client introuvable)"))</f>
        <v/>
      </c>
      <c r="AA277" s="33">
        <f>IF(X277="","",IFERROR(INDEX(Cl_quartier,MATCH(X277,Cl_cle,0))&amp;"",""))</f>
        <v/>
      </c>
      <c r="AB277" s="45">
        <f>IF(R277&lt;&gt;"Livrée",0,IF(K277&lt;&gt;"",K277,C277))</f>
        <v/>
      </c>
      <c r="AC277" s="33">
        <f>IF(OR(C277="",W277=""),"",P277&amp;"|"&amp;W277&amp;"|"&amp;C277&amp;"|"&amp;E277)</f>
        <v/>
      </c>
      <c r="AD277" s="39">
        <f>IF(AC277="","",IF(COUNTIF(AC$6:AC277,AC277)=1,1,0))</f>
        <v/>
      </c>
      <c r="AE277" s="39">
        <f>IF(AB277=0,"",IF(COUNTIFS(X$6:X277,X277,AB$6:AB277,AB277)=1,1,0))</f>
        <v/>
      </c>
      <c r="AF277" s="34">
        <f>IF(C277="","",YEAR(C277-WEEKDAY(C277,2)+4)&amp;"-S"&amp;TEXT(INT((C277-DATE(YEAR(C277-WEEKDAY(C277,2)+4),1,3)+WEEKDAY(DATE(YEAR(C277-WEEKDAY(C277,2)+4),1,3),2)+5)/7),"00"))</f>
        <v/>
      </c>
    </row>
    <row r="278" ht="18" customHeight="1">
      <c r="A278" s="39" t="n">
        <v>273</v>
      </c>
      <c r="B278" s="33">
        <f>IF(C278="","",IF(P278="À RENSEIGNER","GIC",P278)&amp;"-C"&amp;TEXT(A278,"00000"))</f>
        <v/>
      </c>
      <c r="C278" s="32" t="n"/>
      <c r="D278" s="36" t="n"/>
      <c r="E278" s="36" t="n"/>
      <c r="F278" s="36" t="n"/>
      <c r="G278" s="42" t="n"/>
      <c r="H278" s="37" t="n"/>
      <c r="I278" s="37" t="n"/>
      <c r="J278" s="32" t="n"/>
      <c r="K278" s="32" t="n"/>
      <c r="L278" s="43" t="n"/>
      <c r="M278" s="36" t="n"/>
      <c r="N278" s="44" t="n"/>
      <c r="O278" s="36" t="n"/>
      <c r="P278" s="33">
        <f>IF(C278="","",Commercial_Id)</f>
        <v/>
      </c>
      <c r="Q278" s="34">
        <f>IF(AC278="","",IF(AD278=1,"C"&amp;TEXT(SUM(AD$6:AD278),"0000"),INDEX(Q$6:Q277,MATCH(AC278,AC$6:AC277,0))))</f>
        <v/>
      </c>
      <c r="R278" s="34">
        <f>IF(C278="","",IF(L278="☑ Oui","Annulée",IF(OR(E278="Vente directe",K278&lt;&gt;""),"Livrée",IF(J278&lt;&gt;"","Confirmée","En attente"))))</f>
        <v/>
      </c>
      <c r="S278" s="34">
        <f>IF(F278="","",IFERROR(VLOOKUP(F278,T_Produits,2,FALSE),""))</f>
        <v/>
      </c>
      <c r="T278" s="40">
        <f>IF(F278="","",IFERROR(1/(1/VLOOKUP(F278,T_Produits,3,FALSE)),""))</f>
        <v/>
      </c>
      <c r="U278" s="40">
        <f>IF(H278&lt;&gt;"",H278,T278)</f>
        <v/>
      </c>
      <c r="V278" s="40">
        <f>IF(OR(G278="",U278=""),"",G278*U278-N(I278))</f>
        <v/>
      </c>
      <c r="W278" s="39">
        <f>IF(D278="","",IFERROR(VALUE(MID(D278,LEN(D278)-3,3)),""))</f>
        <v/>
      </c>
      <c r="X278" s="33">
        <f>IF(W278="","",P278&amp;"|"&amp;W278)</f>
        <v/>
      </c>
      <c r="Y278" s="33">
        <f>IF(W278="","",IF(P278="À RENSEIGNER","GIC",P278)&amp;"-"&amp;TEXT(W278,"000"))</f>
        <v/>
      </c>
      <c r="Z278" s="33">
        <f>IF(X278="","",IFERROR(INDEX(Cl_nom,MATCH(X278,Cl_cle,0)),"(client introuvable)"))</f>
        <v/>
      </c>
      <c r="AA278" s="33">
        <f>IF(X278="","",IFERROR(INDEX(Cl_quartier,MATCH(X278,Cl_cle,0))&amp;"",""))</f>
        <v/>
      </c>
      <c r="AB278" s="45">
        <f>IF(R278&lt;&gt;"Livrée",0,IF(K278&lt;&gt;"",K278,C278))</f>
        <v/>
      </c>
      <c r="AC278" s="33">
        <f>IF(OR(C278="",W278=""),"",P278&amp;"|"&amp;W278&amp;"|"&amp;C278&amp;"|"&amp;E278)</f>
        <v/>
      </c>
      <c r="AD278" s="39">
        <f>IF(AC278="","",IF(COUNTIF(AC$6:AC278,AC278)=1,1,0))</f>
        <v/>
      </c>
      <c r="AE278" s="39">
        <f>IF(AB278=0,"",IF(COUNTIFS(X$6:X278,X278,AB$6:AB278,AB278)=1,1,0))</f>
        <v/>
      </c>
      <c r="AF278" s="34">
        <f>IF(C278="","",YEAR(C278-WEEKDAY(C278,2)+4)&amp;"-S"&amp;TEXT(INT((C278-DATE(YEAR(C278-WEEKDAY(C278,2)+4),1,3)+WEEKDAY(DATE(YEAR(C278-WEEKDAY(C278,2)+4),1,3),2)+5)/7),"00"))</f>
        <v/>
      </c>
    </row>
    <row r="279" ht="18" customHeight="1">
      <c r="A279" s="39" t="n">
        <v>274</v>
      </c>
      <c r="B279" s="33">
        <f>IF(C279="","",IF(P279="À RENSEIGNER","GIC",P279)&amp;"-C"&amp;TEXT(A279,"00000"))</f>
        <v/>
      </c>
      <c r="C279" s="32" t="n"/>
      <c r="D279" s="36" t="n"/>
      <c r="E279" s="36" t="n"/>
      <c r="F279" s="36" t="n"/>
      <c r="G279" s="42" t="n"/>
      <c r="H279" s="37" t="n"/>
      <c r="I279" s="37" t="n"/>
      <c r="J279" s="32" t="n"/>
      <c r="K279" s="32" t="n"/>
      <c r="L279" s="43" t="n"/>
      <c r="M279" s="36" t="n"/>
      <c r="N279" s="44" t="n"/>
      <c r="O279" s="36" t="n"/>
      <c r="P279" s="33">
        <f>IF(C279="","",Commercial_Id)</f>
        <v/>
      </c>
      <c r="Q279" s="34">
        <f>IF(AC279="","",IF(AD279=1,"C"&amp;TEXT(SUM(AD$6:AD279),"0000"),INDEX(Q$6:Q278,MATCH(AC279,AC$6:AC278,0))))</f>
        <v/>
      </c>
      <c r="R279" s="34">
        <f>IF(C279="","",IF(L279="☑ Oui","Annulée",IF(OR(E279="Vente directe",K279&lt;&gt;""),"Livrée",IF(J279&lt;&gt;"","Confirmée","En attente"))))</f>
        <v/>
      </c>
      <c r="S279" s="34">
        <f>IF(F279="","",IFERROR(VLOOKUP(F279,T_Produits,2,FALSE),""))</f>
        <v/>
      </c>
      <c r="T279" s="40">
        <f>IF(F279="","",IFERROR(1/(1/VLOOKUP(F279,T_Produits,3,FALSE)),""))</f>
        <v/>
      </c>
      <c r="U279" s="40">
        <f>IF(H279&lt;&gt;"",H279,T279)</f>
        <v/>
      </c>
      <c r="V279" s="40">
        <f>IF(OR(G279="",U279=""),"",G279*U279-N(I279))</f>
        <v/>
      </c>
      <c r="W279" s="39">
        <f>IF(D279="","",IFERROR(VALUE(MID(D279,LEN(D279)-3,3)),""))</f>
        <v/>
      </c>
      <c r="X279" s="33">
        <f>IF(W279="","",P279&amp;"|"&amp;W279)</f>
        <v/>
      </c>
      <c r="Y279" s="33">
        <f>IF(W279="","",IF(P279="À RENSEIGNER","GIC",P279)&amp;"-"&amp;TEXT(W279,"000"))</f>
        <v/>
      </c>
      <c r="Z279" s="33">
        <f>IF(X279="","",IFERROR(INDEX(Cl_nom,MATCH(X279,Cl_cle,0)),"(client introuvable)"))</f>
        <v/>
      </c>
      <c r="AA279" s="33">
        <f>IF(X279="","",IFERROR(INDEX(Cl_quartier,MATCH(X279,Cl_cle,0))&amp;"",""))</f>
        <v/>
      </c>
      <c r="AB279" s="45">
        <f>IF(R279&lt;&gt;"Livrée",0,IF(K279&lt;&gt;"",K279,C279))</f>
        <v/>
      </c>
      <c r="AC279" s="33">
        <f>IF(OR(C279="",W279=""),"",P279&amp;"|"&amp;W279&amp;"|"&amp;C279&amp;"|"&amp;E279)</f>
        <v/>
      </c>
      <c r="AD279" s="39">
        <f>IF(AC279="","",IF(COUNTIF(AC$6:AC279,AC279)=1,1,0))</f>
        <v/>
      </c>
      <c r="AE279" s="39">
        <f>IF(AB279=0,"",IF(COUNTIFS(X$6:X279,X279,AB$6:AB279,AB279)=1,1,0))</f>
        <v/>
      </c>
      <c r="AF279" s="34">
        <f>IF(C279="","",YEAR(C279-WEEKDAY(C279,2)+4)&amp;"-S"&amp;TEXT(INT((C279-DATE(YEAR(C279-WEEKDAY(C279,2)+4),1,3)+WEEKDAY(DATE(YEAR(C279-WEEKDAY(C279,2)+4),1,3),2)+5)/7),"00"))</f>
        <v/>
      </c>
    </row>
    <row r="280" ht="18" customHeight="1">
      <c r="A280" s="39" t="n">
        <v>275</v>
      </c>
      <c r="B280" s="33">
        <f>IF(C280="","",IF(P280="À RENSEIGNER","GIC",P280)&amp;"-C"&amp;TEXT(A280,"00000"))</f>
        <v/>
      </c>
      <c r="C280" s="32" t="n"/>
      <c r="D280" s="36" t="n"/>
      <c r="E280" s="36" t="n"/>
      <c r="F280" s="36" t="n"/>
      <c r="G280" s="42" t="n"/>
      <c r="H280" s="37" t="n"/>
      <c r="I280" s="37" t="n"/>
      <c r="J280" s="32" t="n"/>
      <c r="K280" s="32" t="n"/>
      <c r="L280" s="43" t="n"/>
      <c r="M280" s="36" t="n"/>
      <c r="N280" s="44" t="n"/>
      <c r="O280" s="36" t="n"/>
      <c r="P280" s="33">
        <f>IF(C280="","",Commercial_Id)</f>
        <v/>
      </c>
      <c r="Q280" s="34">
        <f>IF(AC280="","",IF(AD280=1,"C"&amp;TEXT(SUM(AD$6:AD280),"0000"),INDEX(Q$6:Q279,MATCH(AC280,AC$6:AC279,0))))</f>
        <v/>
      </c>
      <c r="R280" s="34">
        <f>IF(C280="","",IF(L280="☑ Oui","Annulée",IF(OR(E280="Vente directe",K280&lt;&gt;""),"Livrée",IF(J280&lt;&gt;"","Confirmée","En attente"))))</f>
        <v/>
      </c>
      <c r="S280" s="34">
        <f>IF(F280="","",IFERROR(VLOOKUP(F280,T_Produits,2,FALSE),""))</f>
        <v/>
      </c>
      <c r="T280" s="40">
        <f>IF(F280="","",IFERROR(1/(1/VLOOKUP(F280,T_Produits,3,FALSE)),""))</f>
        <v/>
      </c>
      <c r="U280" s="40">
        <f>IF(H280&lt;&gt;"",H280,T280)</f>
        <v/>
      </c>
      <c r="V280" s="40">
        <f>IF(OR(G280="",U280=""),"",G280*U280-N(I280))</f>
        <v/>
      </c>
      <c r="W280" s="39">
        <f>IF(D280="","",IFERROR(VALUE(MID(D280,LEN(D280)-3,3)),""))</f>
        <v/>
      </c>
      <c r="X280" s="33">
        <f>IF(W280="","",P280&amp;"|"&amp;W280)</f>
        <v/>
      </c>
      <c r="Y280" s="33">
        <f>IF(W280="","",IF(P280="À RENSEIGNER","GIC",P280)&amp;"-"&amp;TEXT(W280,"000"))</f>
        <v/>
      </c>
      <c r="Z280" s="33">
        <f>IF(X280="","",IFERROR(INDEX(Cl_nom,MATCH(X280,Cl_cle,0)),"(client introuvable)"))</f>
        <v/>
      </c>
      <c r="AA280" s="33">
        <f>IF(X280="","",IFERROR(INDEX(Cl_quartier,MATCH(X280,Cl_cle,0))&amp;"",""))</f>
        <v/>
      </c>
      <c r="AB280" s="45">
        <f>IF(R280&lt;&gt;"Livrée",0,IF(K280&lt;&gt;"",K280,C280))</f>
        <v/>
      </c>
      <c r="AC280" s="33">
        <f>IF(OR(C280="",W280=""),"",P280&amp;"|"&amp;W280&amp;"|"&amp;C280&amp;"|"&amp;E280)</f>
        <v/>
      </c>
      <c r="AD280" s="39">
        <f>IF(AC280="","",IF(COUNTIF(AC$6:AC280,AC280)=1,1,0))</f>
        <v/>
      </c>
      <c r="AE280" s="39">
        <f>IF(AB280=0,"",IF(COUNTIFS(X$6:X280,X280,AB$6:AB280,AB280)=1,1,0))</f>
        <v/>
      </c>
      <c r="AF280" s="34">
        <f>IF(C280="","",YEAR(C280-WEEKDAY(C280,2)+4)&amp;"-S"&amp;TEXT(INT((C280-DATE(YEAR(C280-WEEKDAY(C280,2)+4),1,3)+WEEKDAY(DATE(YEAR(C280-WEEKDAY(C280,2)+4),1,3),2)+5)/7),"00"))</f>
        <v/>
      </c>
    </row>
    <row r="281" ht="18" customHeight="1">
      <c r="A281" s="39" t="n">
        <v>276</v>
      </c>
      <c r="B281" s="33">
        <f>IF(C281="","",IF(P281="À RENSEIGNER","GIC",P281)&amp;"-C"&amp;TEXT(A281,"00000"))</f>
        <v/>
      </c>
      <c r="C281" s="32" t="n"/>
      <c r="D281" s="36" t="n"/>
      <c r="E281" s="36" t="n"/>
      <c r="F281" s="36" t="n"/>
      <c r="G281" s="42" t="n"/>
      <c r="H281" s="37" t="n"/>
      <c r="I281" s="37" t="n"/>
      <c r="J281" s="32" t="n"/>
      <c r="K281" s="32" t="n"/>
      <c r="L281" s="43" t="n"/>
      <c r="M281" s="36" t="n"/>
      <c r="N281" s="44" t="n"/>
      <c r="O281" s="36" t="n"/>
      <c r="P281" s="33">
        <f>IF(C281="","",Commercial_Id)</f>
        <v/>
      </c>
      <c r="Q281" s="34">
        <f>IF(AC281="","",IF(AD281=1,"C"&amp;TEXT(SUM(AD$6:AD281),"0000"),INDEX(Q$6:Q280,MATCH(AC281,AC$6:AC280,0))))</f>
        <v/>
      </c>
      <c r="R281" s="34">
        <f>IF(C281="","",IF(L281="☑ Oui","Annulée",IF(OR(E281="Vente directe",K281&lt;&gt;""),"Livrée",IF(J281&lt;&gt;"","Confirmée","En attente"))))</f>
        <v/>
      </c>
      <c r="S281" s="34">
        <f>IF(F281="","",IFERROR(VLOOKUP(F281,T_Produits,2,FALSE),""))</f>
        <v/>
      </c>
      <c r="T281" s="40">
        <f>IF(F281="","",IFERROR(1/(1/VLOOKUP(F281,T_Produits,3,FALSE)),""))</f>
        <v/>
      </c>
      <c r="U281" s="40">
        <f>IF(H281&lt;&gt;"",H281,T281)</f>
        <v/>
      </c>
      <c r="V281" s="40">
        <f>IF(OR(G281="",U281=""),"",G281*U281-N(I281))</f>
        <v/>
      </c>
      <c r="W281" s="39">
        <f>IF(D281="","",IFERROR(VALUE(MID(D281,LEN(D281)-3,3)),""))</f>
        <v/>
      </c>
      <c r="X281" s="33">
        <f>IF(W281="","",P281&amp;"|"&amp;W281)</f>
        <v/>
      </c>
      <c r="Y281" s="33">
        <f>IF(W281="","",IF(P281="À RENSEIGNER","GIC",P281)&amp;"-"&amp;TEXT(W281,"000"))</f>
        <v/>
      </c>
      <c r="Z281" s="33">
        <f>IF(X281="","",IFERROR(INDEX(Cl_nom,MATCH(X281,Cl_cle,0)),"(client introuvable)"))</f>
        <v/>
      </c>
      <c r="AA281" s="33">
        <f>IF(X281="","",IFERROR(INDEX(Cl_quartier,MATCH(X281,Cl_cle,0))&amp;"",""))</f>
        <v/>
      </c>
      <c r="AB281" s="45">
        <f>IF(R281&lt;&gt;"Livrée",0,IF(K281&lt;&gt;"",K281,C281))</f>
        <v/>
      </c>
      <c r="AC281" s="33">
        <f>IF(OR(C281="",W281=""),"",P281&amp;"|"&amp;W281&amp;"|"&amp;C281&amp;"|"&amp;E281)</f>
        <v/>
      </c>
      <c r="AD281" s="39">
        <f>IF(AC281="","",IF(COUNTIF(AC$6:AC281,AC281)=1,1,0))</f>
        <v/>
      </c>
      <c r="AE281" s="39">
        <f>IF(AB281=0,"",IF(COUNTIFS(X$6:X281,X281,AB$6:AB281,AB281)=1,1,0))</f>
        <v/>
      </c>
      <c r="AF281" s="34">
        <f>IF(C281="","",YEAR(C281-WEEKDAY(C281,2)+4)&amp;"-S"&amp;TEXT(INT((C281-DATE(YEAR(C281-WEEKDAY(C281,2)+4),1,3)+WEEKDAY(DATE(YEAR(C281-WEEKDAY(C281,2)+4),1,3),2)+5)/7),"00"))</f>
        <v/>
      </c>
    </row>
    <row r="282" ht="18" customHeight="1">
      <c r="A282" s="39" t="n">
        <v>277</v>
      </c>
      <c r="B282" s="33">
        <f>IF(C282="","",IF(P282="À RENSEIGNER","GIC",P282)&amp;"-C"&amp;TEXT(A282,"00000"))</f>
        <v/>
      </c>
      <c r="C282" s="32" t="n"/>
      <c r="D282" s="36" t="n"/>
      <c r="E282" s="36" t="n"/>
      <c r="F282" s="36" t="n"/>
      <c r="G282" s="42" t="n"/>
      <c r="H282" s="37" t="n"/>
      <c r="I282" s="37" t="n"/>
      <c r="J282" s="32" t="n"/>
      <c r="K282" s="32" t="n"/>
      <c r="L282" s="43" t="n"/>
      <c r="M282" s="36" t="n"/>
      <c r="N282" s="44" t="n"/>
      <c r="O282" s="36" t="n"/>
      <c r="P282" s="33">
        <f>IF(C282="","",Commercial_Id)</f>
        <v/>
      </c>
      <c r="Q282" s="34">
        <f>IF(AC282="","",IF(AD282=1,"C"&amp;TEXT(SUM(AD$6:AD282),"0000"),INDEX(Q$6:Q281,MATCH(AC282,AC$6:AC281,0))))</f>
        <v/>
      </c>
      <c r="R282" s="34">
        <f>IF(C282="","",IF(L282="☑ Oui","Annulée",IF(OR(E282="Vente directe",K282&lt;&gt;""),"Livrée",IF(J282&lt;&gt;"","Confirmée","En attente"))))</f>
        <v/>
      </c>
      <c r="S282" s="34">
        <f>IF(F282="","",IFERROR(VLOOKUP(F282,T_Produits,2,FALSE),""))</f>
        <v/>
      </c>
      <c r="T282" s="40">
        <f>IF(F282="","",IFERROR(1/(1/VLOOKUP(F282,T_Produits,3,FALSE)),""))</f>
        <v/>
      </c>
      <c r="U282" s="40">
        <f>IF(H282&lt;&gt;"",H282,T282)</f>
        <v/>
      </c>
      <c r="V282" s="40">
        <f>IF(OR(G282="",U282=""),"",G282*U282-N(I282))</f>
        <v/>
      </c>
      <c r="W282" s="39">
        <f>IF(D282="","",IFERROR(VALUE(MID(D282,LEN(D282)-3,3)),""))</f>
        <v/>
      </c>
      <c r="X282" s="33">
        <f>IF(W282="","",P282&amp;"|"&amp;W282)</f>
        <v/>
      </c>
      <c r="Y282" s="33">
        <f>IF(W282="","",IF(P282="À RENSEIGNER","GIC",P282)&amp;"-"&amp;TEXT(W282,"000"))</f>
        <v/>
      </c>
      <c r="Z282" s="33">
        <f>IF(X282="","",IFERROR(INDEX(Cl_nom,MATCH(X282,Cl_cle,0)),"(client introuvable)"))</f>
        <v/>
      </c>
      <c r="AA282" s="33">
        <f>IF(X282="","",IFERROR(INDEX(Cl_quartier,MATCH(X282,Cl_cle,0))&amp;"",""))</f>
        <v/>
      </c>
      <c r="AB282" s="45">
        <f>IF(R282&lt;&gt;"Livrée",0,IF(K282&lt;&gt;"",K282,C282))</f>
        <v/>
      </c>
      <c r="AC282" s="33">
        <f>IF(OR(C282="",W282=""),"",P282&amp;"|"&amp;W282&amp;"|"&amp;C282&amp;"|"&amp;E282)</f>
        <v/>
      </c>
      <c r="AD282" s="39">
        <f>IF(AC282="","",IF(COUNTIF(AC$6:AC282,AC282)=1,1,0))</f>
        <v/>
      </c>
      <c r="AE282" s="39">
        <f>IF(AB282=0,"",IF(COUNTIFS(X$6:X282,X282,AB$6:AB282,AB282)=1,1,0))</f>
        <v/>
      </c>
      <c r="AF282" s="34">
        <f>IF(C282="","",YEAR(C282-WEEKDAY(C282,2)+4)&amp;"-S"&amp;TEXT(INT((C282-DATE(YEAR(C282-WEEKDAY(C282,2)+4),1,3)+WEEKDAY(DATE(YEAR(C282-WEEKDAY(C282,2)+4),1,3),2)+5)/7),"00"))</f>
        <v/>
      </c>
    </row>
    <row r="283" ht="18" customHeight="1">
      <c r="A283" s="39" t="n">
        <v>278</v>
      </c>
      <c r="B283" s="33">
        <f>IF(C283="","",IF(P283="À RENSEIGNER","GIC",P283)&amp;"-C"&amp;TEXT(A283,"00000"))</f>
        <v/>
      </c>
      <c r="C283" s="32" t="n"/>
      <c r="D283" s="36" t="n"/>
      <c r="E283" s="36" t="n"/>
      <c r="F283" s="36" t="n"/>
      <c r="G283" s="42" t="n"/>
      <c r="H283" s="37" t="n"/>
      <c r="I283" s="37" t="n"/>
      <c r="J283" s="32" t="n"/>
      <c r="K283" s="32" t="n"/>
      <c r="L283" s="43" t="n"/>
      <c r="M283" s="36" t="n"/>
      <c r="N283" s="44" t="n"/>
      <c r="O283" s="36" t="n"/>
      <c r="P283" s="33">
        <f>IF(C283="","",Commercial_Id)</f>
        <v/>
      </c>
      <c r="Q283" s="34">
        <f>IF(AC283="","",IF(AD283=1,"C"&amp;TEXT(SUM(AD$6:AD283),"0000"),INDEX(Q$6:Q282,MATCH(AC283,AC$6:AC282,0))))</f>
        <v/>
      </c>
      <c r="R283" s="34">
        <f>IF(C283="","",IF(L283="☑ Oui","Annulée",IF(OR(E283="Vente directe",K283&lt;&gt;""),"Livrée",IF(J283&lt;&gt;"","Confirmée","En attente"))))</f>
        <v/>
      </c>
      <c r="S283" s="34">
        <f>IF(F283="","",IFERROR(VLOOKUP(F283,T_Produits,2,FALSE),""))</f>
        <v/>
      </c>
      <c r="T283" s="40">
        <f>IF(F283="","",IFERROR(1/(1/VLOOKUP(F283,T_Produits,3,FALSE)),""))</f>
        <v/>
      </c>
      <c r="U283" s="40">
        <f>IF(H283&lt;&gt;"",H283,T283)</f>
        <v/>
      </c>
      <c r="V283" s="40">
        <f>IF(OR(G283="",U283=""),"",G283*U283-N(I283))</f>
        <v/>
      </c>
      <c r="W283" s="39">
        <f>IF(D283="","",IFERROR(VALUE(MID(D283,LEN(D283)-3,3)),""))</f>
        <v/>
      </c>
      <c r="X283" s="33">
        <f>IF(W283="","",P283&amp;"|"&amp;W283)</f>
        <v/>
      </c>
      <c r="Y283" s="33">
        <f>IF(W283="","",IF(P283="À RENSEIGNER","GIC",P283)&amp;"-"&amp;TEXT(W283,"000"))</f>
        <v/>
      </c>
      <c r="Z283" s="33">
        <f>IF(X283="","",IFERROR(INDEX(Cl_nom,MATCH(X283,Cl_cle,0)),"(client introuvable)"))</f>
        <v/>
      </c>
      <c r="AA283" s="33">
        <f>IF(X283="","",IFERROR(INDEX(Cl_quartier,MATCH(X283,Cl_cle,0))&amp;"",""))</f>
        <v/>
      </c>
      <c r="AB283" s="45">
        <f>IF(R283&lt;&gt;"Livrée",0,IF(K283&lt;&gt;"",K283,C283))</f>
        <v/>
      </c>
      <c r="AC283" s="33">
        <f>IF(OR(C283="",W283=""),"",P283&amp;"|"&amp;W283&amp;"|"&amp;C283&amp;"|"&amp;E283)</f>
        <v/>
      </c>
      <c r="AD283" s="39">
        <f>IF(AC283="","",IF(COUNTIF(AC$6:AC283,AC283)=1,1,0))</f>
        <v/>
      </c>
      <c r="AE283" s="39">
        <f>IF(AB283=0,"",IF(COUNTIFS(X$6:X283,X283,AB$6:AB283,AB283)=1,1,0))</f>
        <v/>
      </c>
      <c r="AF283" s="34">
        <f>IF(C283="","",YEAR(C283-WEEKDAY(C283,2)+4)&amp;"-S"&amp;TEXT(INT((C283-DATE(YEAR(C283-WEEKDAY(C283,2)+4),1,3)+WEEKDAY(DATE(YEAR(C283-WEEKDAY(C283,2)+4),1,3),2)+5)/7),"00"))</f>
        <v/>
      </c>
    </row>
    <row r="284" ht="18" customHeight="1">
      <c r="A284" s="39" t="n">
        <v>279</v>
      </c>
      <c r="B284" s="33">
        <f>IF(C284="","",IF(P284="À RENSEIGNER","GIC",P284)&amp;"-C"&amp;TEXT(A284,"00000"))</f>
        <v/>
      </c>
      <c r="C284" s="32" t="n"/>
      <c r="D284" s="36" t="n"/>
      <c r="E284" s="36" t="n"/>
      <c r="F284" s="36" t="n"/>
      <c r="G284" s="42" t="n"/>
      <c r="H284" s="37" t="n"/>
      <c r="I284" s="37" t="n"/>
      <c r="J284" s="32" t="n"/>
      <c r="K284" s="32" t="n"/>
      <c r="L284" s="43" t="n"/>
      <c r="M284" s="36" t="n"/>
      <c r="N284" s="44" t="n"/>
      <c r="O284" s="36" t="n"/>
      <c r="P284" s="33">
        <f>IF(C284="","",Commercial_Id)</f>
        <v/>
      </c>
      <c r="Q284" s="34">
        <f>IF(AC284="","",IF(AD284=1,"C"&amp;TEXT(SUM(AD$6:AD284),"0000"),INDEX(Q$6:Q283,MATCH(AC284,AC$6:AC283,0))))</f>
        <v/>
      </c>
      <c r="R284" s="34">
        <f>IF(C284="","",IF(L284="☑ Oui","Annulée",IF(OR(E284="Vente directe",K284&lt;&gt;""),"Livrée",IF(J284&lt;&gt;"","Confirmée","En attente"))))</f>
        <v/>
      </c>
      <c r="S284" s="34">
        <f>IF(F284="","",IFERROR(VLOOKUP(F284,T_Produits,2,FALSE),""))</f>
        <v/>
      </c>
      <c r="T284" s="40">
        <f>IF(F284="","",IFERROR(1/(1/VLOOKUP(F284,T_Produits,3,FALSE)),""))</f>
        <v/>
      </c>
      <c r="U284" s="40">
        <f>IF(H284&lt;&gt;"",H284,T284)</f>
        <v/>
      </c>
      <c r="V284" s="40">
        <f>IF(OR(G284="",U284=""),"",G284*U284-N(I284))</f>
        <v/>
      </c>
      <c r="W284" s="39">
        <f>IF(D284="","",IFERROR(VALUE(MID(D284,LEN(D284)-3,3)),""))</f>
        <v/>
      </c>
      <c r="X284" s="33">
        <f>IF(W284="","",P284&amp;"|"&amp;W284)</f>
        <v/>
      </c>
      <c r="Y284" s="33">
        <f>IF(W284="","",IF(P284="À RENSEIGNER","GIC",P284)&amp;"-"&amp;TEXT(W284,"000"))</f>
        <v/>
      </c>
      <c r="Z284" s="33">
        <f>IF(X284="","",IFERROR(INDEX(Cl_nom,MATCH(X284,Cl_cle,0)),"(client introuvable)"))</f>
        <v/>
      </c>
      <c r="AA284" s="33">
        <f>IF(X284="","",IFERROR(INDEX(Cl_quartier,MATCH(X284,Cl_cle,0))&amp;"",""))</f>
        <v/>
      </c>
      <c r="AB284" s="45">
        <f>IF(R284&lt;&gt;"Livrée",0,IF(K284&lt;&gt;"",K284,C284))</f>
        <v/>
      </c>
      <c r="AC284" s="33">
        <f>IF(OR(C284="",W284=""),"",P284&amp;"|"&amp;W284&amp;"|"&amp;C284&amp;"|"&amp;E284)</f>
        <v/>
      </c>
      <c r="AD284" s="39">
        <f>IF(AC284="","",IF(COUNTIF(AC$6:AC284,AC284)=1,1,0))</f>
        <v/>
      </c>
      <c r="AE284" s="39">
        <f>IF(AB284=0,"",IF(COUNTIFS(X$6:X284,X284,AB$6:AB284,AB284)=1,1,0))</f>
        <v/>
      </c>
      <c r="AF284" s="34">
        <f>IF(C284="","",YEAR(C284-WEEKDAY(C284,2)+4)&amp;"-S"&amp;TEXT(INT((C284-DATE(YEAR(C284-WEEKDAY(C284,2)+4),1,3)+WEEKDAY(DATE(YEAR(C284-WEEKDAY(C284,2)+4),1,3),2)+5)/7),"00"))</f>
        <v/>
      </c>
    </row>
    <row r="285" ht="18" customHeight="1">
      <c r="A285" s="39" t="n">
        <v>280</v>
      </c>
      <c r="B285" s="33">
        <f>IF(C285="","",IF(P285="À RENSEIGNER","GIC",P285)&amp;"-C"&amp;TEXT(A285,"00000"))</f>
        <v/>
      </c>
      <c r="C285" s="32" t="n"/>
      <c r="D285" s="36" t="n"/>
      <c r="E285" s="36" t="n"/>
      <c r="F285" s="36" t="n"/>
      <c r="G285" s="42" t="n"/>
      <c r="H285" s="37" t="n"/>
      <c r="I285" s="37" t="n"/>
      <c r="J285" s="32" t="n"/>
      <c r="K285" s="32" t="n"/>
      <c r="L285" s="43" t="n"/>
      <c r="M285" s="36" t="n"/>
      <c r="N285" s="44" t="n"/>
      <c r="O285" s="36" t="n"/>
      <c r="P285" s="33">
        <f>IF(C285="","",Commercial_Id)</f>
        <v/>
      </c>
      <c r="Q285" s="34">
        <f>IF(AC285="","",IF(AD285=1,"C"&amp;TEXT(SUM(AD$6:AD285),"0000"),INDEX(Q$6:Q284,MATCH(AC285,AC$6:AC284,0))))</f>
        <v/>
      </c>
      <c r="R285" s="34">
        <f>IF(C285="","",IF(L285="☑ Oui","Annulée",IF(OR(E285="Vente directe",K285&lt;&gt;""),"Livrée",IF(J285&lt;&gt;"","Confirmée","En attente"))))</f>
        <v/>
      </c>
      <c r="S285" s="34">
        <f>IF(F285="","",IFERROR(VLOOKUP(F285,T_Produits,2,FALSE),""))</f>
        <v/>
      </c>
      <c r="T285" s="40">
        <f>IF(F285="","",IFERROR(1/(1/VLOOKUP(F285,T_Produits,3,FALSE)),""))</f>
        <v/>
      </c>
      <c r="U285" s="40">
        <f>IF(H285&lt;&gt;"",H285,T285)</f>
        <v/>
      </c>
      <c r="V285" s="40">
        <f>IF(OR(G285="",U285=""),"",G285*U285-N(I285))</f>
        <v/>
      </c>
      <c r="W285" s="39">
        <f>IF(D285="","",IFERROR(VALUE(MID(D285,LEN(D285)-3,3)),""))</f>
        <v/>
      </c>
      <c r="X285" s="33">
        <f>IF(W285="","",P285&amp;"|"&amp;W285)</f>
        <v/>
      </c>
      <c r="Y285" s="33">
        <f>IF(W285="","",IF(P285="À RENSEIGNER","GIC",P285)&amp;"-"&amp;TEXT(W285,"000"))</f>
        <v/>
      </c>
      <c r="Z285" s="33">
        <f>IF(X285="","",IFERROR(INDEX(Cl_nom,MATCH(X285,Cl_cle,0)),"(client introuvable)"))</f>
        <v/>
      </c>
      <c r="AA285" s="33">
        <f>IF(X285="","",IFERROR(INDEX(Cl_quartier,MATCH(X285,Cl_cle,0))&amp;"",""))</f>
        <v/>
      </c>
      <c r="AB285" s="45">
        <f>IF(R285&lt;&gt;"Livrée",0,IF(K285&lt;&gt;"",K285,C285))</f>
        <v/>
      </c>
      <c r="AC285" s="33">
        <f>IF(OR(C285="",W285=""),"",P285&amp;"|"&amp;W285&amp;"|"&amp;C285&amp;"|"&amp;E285)</f>
        <v/>
      </c>
      <c r="AD285" s="39">
        <f>IF(AC285="","",IF(COUNTIF(AC$6:AC285,AC285)=1,1,0))</f>
        <v/>
      </c>
      <c r="AE285" s="39">
        <f>IF(AB285=0,"",IF(COUNTIFS(X$6:X285,X285,AB$6:AB285,AB285)=1,1,0))</f>
        <v/>
      </c>
      <c r="AF285" s="34">
        <f>IF(C285="","",YEAR(C285-WEEKDAY(C285,2)+4)&amp;"-S"&amp;TEXT(INT((C285-DATE(YEAR(C285-WEEKDAY(C285,2)+4),1,3)+WEEKDAY(DATE(YEAR(C285-WEEKDAY(C285,2)+4),1,3),2)+5)/7),"00"))</f>
        <v/>
      </c>
    </row>
    <row r="286" ht="18" customHeight="1">
      <c r="A286" s="39" t="n">
        <v>281</v>
      </c>
      <c r="B286" s="33">
        <f>IF(C286="","",IF(P286="À RENSEIGNER","GIC",P286)&amp;"-C"&amp;TEXT(A286,"00000"))</f>
        <v/>
      </c>
      <c r="C286" s="32" t="n"/>
      <c r="D286" s="36" t="n"/>
      <c r="E286" s="36" t="n"/>
      <c r="F286" s="36" t="n"/>
      <c r="G286" s="42" t="n"/>
      <c r="H286" s="37" t="n"/>
      <c r="I286" s="37" t="n"/>
      <c r="J286" s="32" t="n"/>
      <c r="K286" s="32" t="n"/>
      <c r="L286" s="43" t="n"/>
      <c r="M286" s="36" t="n"/>
      <c r="N286" s="44" t="n"/>
      <c r="O286" s="36" t="n"/>
      <c r="P286" s="33">
        <f>IF(C286="","",Commercial_Id)</f>
        <v/>
      </c>
      <c r="Q286" s="34">
        <f>IF(AC286="","",IF(AD286=1,"C"&amp;TEXT(SUM(AD$6:AD286),"0000"),INDEX(Q$6:Q285,MATCH(AC286,AC$6:AC285,0))))</f>
        <v/>
      </c>
      <c r="R286" s="34">
        <f>IF(C286="","",IF(L286="☑ Oui","Annulée",IF(OR(E286="Vente directe",K286&lt;&gt;""),"Livrée",IF(J286&lt;&gt;"","Confirmée","En attente"))))</f>
        <v/>
      </c>
      <c r="S286" s="34">
        <f>IF(F286="","",IFERROR(VLOOKUP(F286,T_Produits,2,FALSE),""))</f>
        <v/>
      </c>
      <c r="T286" s="40">
        <f>IF(F286="","",IFERROR(1/(1/VLOOKUP(F286,T_Produits,3,FALSE)),""))</f>
        <v/>
      </c>
      <c r="U286" s="40">
        <f>IF(H286&lt;&gt;"",H286,T286)</f>
        <v/>
      </c>
      <c r="V286" s="40">
        <f>IF(OR(G286="",U286=""),"",G286*U286-N(I286))</f>
        <v/>
      </c>
      <c r="W286" s="39">
        <f>IF(D286="","",IFERROR(VALUE(MID(D286,LEN(D286)-3,3)),""))</f>
        <v/>
      </c>
      <c r="X286" s="33">
        <f>IF(W286="","",P286&amp;"|"&amp;W286)</f>
        <v/>
      </c>
      <c r="Y286" s="33">
        <f>IF(W286="","",IF(P286="À RENSEIGNER","GIC",P286)&amp;"-"&amp;TEXT(W286,"000"))</f>
        <v/>
      </c>
      <c r="Z286" s="33">
        <f>IF(X286="","",IFERROR(INDEX(Cl_nom,MATCH(X286,Cl_cle,0)),"(client introuvable)"))</f>
        <v/>
      </c>
      <c r="AA286" s="33">
        <f>IF(X286="","",IFERROR(INDEX(Cl_quartier,MATCH(X286,Cl_cle,0))&amp;"",""))</f>
        <v/>
      </c>
      <c r="AB286" s="45">
        <f>IF(R286&lt;&gt;"Livrée",0,IF(K286&lt;&gt;"",K286,C286))</f>
        <v/>
      </c>
      <c r="AC286" s="33">
        <f>IF(OR(C286="",W286=""),"",P286&amp;"|"&amp;W286&amp;"|"&amp;C286&amp;"|"&amp;E286)</f>
        <v/>
      </c>
      <c r="AD286" s="39">
        <f>IF(AC286="","",IF(COUNTIF(AC$6:AC286,AC286)=1,1,0))</f>
        <v/>
      </c>
      <c r="AE286" s="39">
        <f>IF(AB286=0,"",IF(COUNTIFS(X$6:X286,X286,AB$6:AB286,AB286)=1,1,0))</f>
        <v/>
      </c>
      <c r="AF286" s="34">
        <f>IF(C286="","",YEAR(C286-WEEKDAY(C286,2)+4)&amp;"-S"&amp;TEXT(INT((C286-DATE(YEAR(C286-WEEKDAY(C286,2)+4),1,3)+WEEKDAY(DATE(YEAR(C286-WEEKDAY(C286,2)+4),1,3),2)+5)/7),"00"))</f>
        <v/>
      </c>
    </row>
    <row r="287" ht="18" customHeight="1">
      <c r="A287" s="39" t="n">
        <v>282</v>
      </c>
      <c r="B287" s="33">
        <f>IF(C287="","",IF(P287="À RENSEIGNER","GIC",P287)&amp;"-C"&amp;TEXT(A287,"00000"))</f>
        <v/>
      </c>
      <c r="C287" s="32" t="n"/>
      <c r="D287" s="36" t="n"/>
      <c r="E287" s="36" t="n"/>
      <c r="F287" s="36" t="n"/>
      <c r="G287" s="42" t="n"/>
      <c r="H287" s="37" t="n"/>
      <c r="I287" s="37" t="n"/>
      <c r="J287" s="32" t="n"/>
      <c r="K287" s="32" t="n"/>
      <c r="L287" s="43" t="n"/>
      <c r="M287" s="36" t="n"/>
      <c r="N287" s="44" t="n"/>
      <c r="O287" s="36" t="n"/>
      <c r="P287" s="33">
        <f>IF(C287="","",Commercial_Id)</f>
        <v/>
      </c>
      <c r="Q287" s="34">
        <f>IF(AC287="","",IF(AD287=1,"C"&amp;TEXT(SUM(AD$6:AD287),"0000"),INDEX(Q$6:Q286,MATCH(AC287,AC$6:AC286,0))))</f>
        <v/>
      </c>
      <c r="R287" s="34">
        <f>IF(C287="","",IF(L287="☑ Oui","Annulée",IF(OR(E287="Vente directe",K287&lt;&gt;""),"Livrée",IF(J287&lt;&gt;"","Confirmée","En attente"))))</f>
        <v/>
      </c>
      <c r="S287" s="34">
        <f>IF(F287="","",IFERROR(VLOOKUP(F287,T_Produits,2,FALSE),""))</f>
        <v/>
      </c>
      <c r="T287" s="40">
        <f>IF(F287="","",IFERROR(1/(1/VLOOKUP(F287,T_Produits,3,FALSE)),""))</f>
        <v/>
      </c>
      <c r="U287" s="40">
        <f>IF(H287&lt;&gt;"",H287,T287)</f>
        <v/>
      </c>
      <c r="V287" s="40">
        <f>IF(OR(G287="",U287=""),"",G287*U287-N(I287))</f>
        <v/>
      </c>
      <c r="W287" s="39">
        <f>IF(D287="","",IFERROR(VALUE(MID(D287,LEN(D287)-3,3)),""))</f>
        <v/>
      </c>
      <c r="X287" s="33">
        <f>IF(W287="","",P287&amp;"|"&amp;W287)</f>
        <v/>
      </c>
      <c r="Y287" s="33">
        <f>IF(W287="","",IF(P287="À RENSEIGNER","GIC",P287)&amp;"-"&amp;TEXT(W287,"000"))</f>
        <v/>
      </c>
      <c r="Z287" s="33">
        <f>IF(X287="","",IFERROR(INDEX(Cl_nom,MATCH(X287,Cl_cle,0)),"(client introuvable)"))</f>
        <v/>
      </c>
      <c r="AA287" s="33">
        <f>IF(X287="","",IFERROR(INDEX(Cl_quartier,MATCH(X287,Cl_cle,0))&amp;"",""))</f>
        <v/>
      </c>
      <c r="AB287" s="45">
        <f>IF(R287&lt;&gt;"Livrée",0,IF(K287&lt;&gt;"",K287,C287))</f>
        <v/>
      </c>
      <c r="AC287" s="33">
        <f>IF(OR(C287="",W287=""),"",P287&amp;"|"&amp;W287&amp;"|"&amp;C287&amp;"|"&amp;E287)</f>
        <v/>
      </c>
      <c r="AD287" s="39">
        <f>IF(AC287="","",IF(COUNTIF(AC$6:AC287,AC287)=1,1,0))</f>
        <v/>
      </c>
      <c r="AE287" s="39">
        <f>IF(AB287=0,"",IF(COUNTIFS(X$6:X287,X287,AB$6:AB287,AB287)=1,1,0))</f>
        <v/>
      </c>
      <c r="AF287" s="34">
        <f>IF(C287="","",YEAR(C287-WEEKDAY(C287,2)+4)&amp;"-S"&amp;TEXT(INT((C287-DATE(YEAR(C287-WEEKDAY(C287,2)+4),1,3)+WEEKDAY(DATE(YEAR(C287-WEEKDAY(C287,2)+4),1,3),2)+5)/7),"00"))</f>
        <v/>
      </c>
    </row>
    <row r="288" ht="18" customHeight="1">
      <c r="A288" s="39" t="n">
        <v>283</v>
      </c>
      <c r="B288" s="33">
        <f>IF(C288="","",IF(P288="À RENSEIGNER","GIC",P288)&amp;"-C"&amp;TEXT(A288,"00000"))</f>
        <v/>
      </c>
      <c r="C288" s="32" t="n"/>
      <c r="D288" s="36" t="n"/>
      <c r="E288" s="36" t="n"/>
      <c r="F288" s="36" t="n"/>
      <c r="G288" s="42" t="n"/>
      <c r="H288" s="37" t="n"/>
      <c r="I288" s="37" t="n"/>
      <c r="J288" s="32" t="n"/>
      <c r="K288" s="32" t="n"/>
      <c r="L288" s="43" t="n"/>
      <c r="M288" s="36" t="n"/>
      <c r="N288" s="44" t="n"/>
      <c r="O288" s="36" t="n"/>
      <c r="P288" s="33">
        <f>IF(C288="","",Commercial_Id)</f>
        <v/>
      </c>
      <c r="Q288" s="34">
        <f>IF(AC288="","",IF(AD288=1,"C"&amp;TEXT(SUM(AD$6:AD288),"0000"),INDEX(Q$6:Q287,MATCH(AC288,AC$6:AC287,0))))</f>
        <v/>
      </c>
      <c r="R288" s="34">
        <f>IF(C288="","",IF(L288="☑ Oui","Annulée",IF(OR(E288="Vente directe",K288&lt;&gt;""),"Livrée",IF(J288&lt;&gt;"","Confirmée","En attente"))))</f>
        <v/>
      </c>
      <c r="S288" s="34">
        <f>IF(F288="","",IFERROR(VLOOKUP(F288,T_Produits,2,FALSE),""))</f>
        <v/>
      </c>
      <c r="T288" s="40">
        <f>IF(F288="","",IFERROR(1/(1/VLOOKUP(F288,T_Produits,3,FALSE)),""))</f>
        <v/>
      </c>
      <c r="U288" s="40">
        <f>IF(H288&lt;&gt;"",H288,T288)</f>
        <v/>
      </c>
      <c r="V288" s="40">
        <f>IF(OR(G288="",U288=""),"",G288*U288-N(I288))</f>
        <v/>
      </c>
      <c r="W288" s="39">
        <f>IF(D288="","",IFERROR(VALUE(MID(D288,LEN(D288)-3,3)),""))</f>
        <v/>
      </c>
      <c r="X288" s="33">
        <f>IF(W288="","",P288&amp;"|"&amp;W288)</f>
        <v/>
      </c>
      <c r="Y288" s="33">
        <f>IF(W288="","",IF(P288="À RENSEIGNER","GIC",P288)&amp;"-"&amp;TEXT(W288,"000"))</f>
        <v/>
      </c>
      <c r="Z288" s="33">
        <f>IF(X288="","",IFERROR(INDEX(Cl_nom,MATCH(X288,Cl_cle,0)),"(client introuvable)"))</f>
        <v/>
      </c>
      <c r="AA288" s="33">
        <f>IF(X288="","",IFERROR(INDEX(Cl_quartier,MATCH(X288,Cl_cle,0))&amp;"",""))</f>
        <v/>
      </c>
      <c r="AB288" s="45">
        <f>IF(R288&lt;&gt;"Livrée",0,IF(K288&lt;&gt;"",K288,C288))</f>
        <v/>
      </c>
      <c r="AC288" s="33">
        <f>IF(OR(C288="",W288=""),"",P288&amp;"|"&amp;W288&amp;"|"&amp;C288&amp;"|"&amp;E288)</f>
        <v/>
      </c>
      <c r="AD288" s="39">
        <f>IF(AC288="","",IF(COUNTIF(AC$6:AC288,AC288)=1,1,0))</f>
        <v/>
      </c>
      <c r="AE288" s="39">
        <f>IF(AB288=0,"",IF(COUNTIFS(X$6:X288,X288,AB$6:AB288,AB288)=1,1,0))</f>
        <v/>
      </c>
      <c r="AF288" s="34">
        <f>IF(C288="","",YEAR(C288-WEEKDAY(C288,2)+4)&amp;"-S"&amp;TEXT(INT((C288-DATE(YEAR(C288-WEEKDAY(C288,2)+4),1,3)+WEEKDAY(DATE(YEAR(C288-WEEKDAY(C288,2)+4),1,3),2)+5)/7),"00"))</f>
        <v/>
      </c>
    </row>
    <row r="289" ht="18" customHeight="1">
      <c r="A289" s="39" t="n">
        <v>284</v>
      </c>
      <c r="B289" s="33">
        <f>IF(C289="","",IF(P289="À RENSEIGNER","GIC",P289)&amp;"-C"&amp;TEXT(A289,"00000"))</f>
        <v/>
      </c>
      <c r="C289" s="32" t="n"/>
      <c r="D289" s="36" t="n"/>
      <c r="E289" s="36" t="n"/>
      <c r="F289" s="36" t="n"/>
      <c r="G289" s="42" t="n"/>
      <c r="H289" s="37" t="n"/>
      <c r="I289" s="37" t="n"/>
      <c r="J289" s="32" t="n"/>
      <c r="K289" s="32" t="n"/>
      <c r="L289" s="43" t="n"/>
      <c r="M289" s="36" t="n"/>
      <c r="N289" s="44" t="n"/>
      <c r="O289" s="36" t="n"/>
      <c r="P289" s="33">
        <f>IF(C289="","",Commercial_Id)</f>
        <v/>
      </c>
      <c r="Q289" s="34">
        <f>IF(AC289="","",IF(AD289=1,"C"&amp;TEXT(SUM(AD$6:AD289),"0000"),INDEX(Q$6:Q288,MATCH(AC289,AC$6:AC288,0))))</f>
        <v/>
      </c>
      <c r="R289" s="34">
        <f>IF(C289="","",IF(L289="☑ Oui","Annulée",IF(OR(E289="Vente directe",K289&lt;&gt;""),"Livrée",IF(J289&lt;&gt;"","Confirmée","En attente"))))</f>
        <v/>
      </c>
      <c r="S289" s="34">
        <f>IF(F289="","",IFERROR(VLOOKUP(F289,T_Produits,2,FALSE),""))</f>
        <v/>
      </c>
      <c r="T289" s="40">
        <f>IF(F289="","",IFERROR(1/(1/VLOOKUP(F289,T_Produits,3,FALSE)),""))</f>
        <v/>
      </c>
      <c r="U289" s="40">
        <f>IF(H289&lt;&gt;"",H289,T289)</f>
        <v/>
      </c>
      <c r="V289" s="40">
        <f>IF(OR(G289="",U289=""),"",G289*U289-N(I289))</f>
        <v/>
      </c>
      <c r="W289" s="39">
        <f>IF(D289="","",IFERROR(VALUE(MID(D289,LEN(D289)-3,3)),""))</f>
        <v/>
      </c>
      <c r="X289" s="33">
        <f>IF(W289="","",P289&amp;"|"&amp;W289)</f>
        <v/>
      </c>
      <c r="Y289" s="33">
        <f>IF(W289="","",IF(P289="À RENSEIGNER","GIC",P289)&amp;"-"&amp;TEXT(W289,"000"))</f>
        <v/>
      </c>
      <c r="Z289" s="33">
        <f>IF(X289="","",IFERROR(INDEX(Cl_nom,MATCH(X289,Cl_cle,0)),"(client introuvable)"))</f>
        <v/>
      </c>
      <c r="AA289" s="33">
        <f>IF(X289="","",IFERROR(INDEX(Cl_quartier,MATCH(X289,Cl_cle,0))&amp;"",""))</f>
        <v/>
      </c>
      <c r="AB289" s="45">
        <f>IF(R289&lt;&gt;"Livrée",0,IF(K289&lt;&gt;"",K289,C289))</f>
        <v/>
      </c>
      <c r="AC289" s="33">
        <f>IF(OR(C289="",W289=""),"",P289&amp;"|"&amp;W289&amp;"|"&amp;C289&amp;"|"&amp;E289)</f>
        <v/>
      </c>
      <c r="AD289" s="39">
        <f>IF(AC289="","",IF(COUNTIF(AC$6:AC289,AC289)=1,1,0))</f>
        <v/>
      </c>
      <c r="AE289" s="39">
        <f>IF(AB289=0,"",IF(COUNTIFS(X$6:X289,X289,AB$6:AB289,AB289)=1,1,0))</f>
        <v/>
      </c>
      <c r="AF289" s="34">
        <f>IF(C289="","",YEAR(C289-WEEKDAY(C289,2)+4)&amp;"-S"&amp;TEXT(INT((C289-DATE(YEAR(C289-WEEKDAY(C289,2)+4),1,3)+WEEKDAY(DATE(YEAR(C289-WEEKDAY(C289,2)+4),1,3),2)+5)/7),"00"))</f>
        <v/>
      </c>
    </row>
    <row r="290" ht="18" customHeight="1">
      <c r="A290" s="39" t="n">
        <v>285</v>
      </c>
      <c r="B290" s="33">
        <f>IF(C290="","",IF(P290="À RENSEIGNER","GIC",P290)&amp;"-C"&amp;TEXT(A290,"00000"))</f>
        <v/>
      </c>
      <c r="C290" s="32" t="n"/>
      <c r="D290" s="36" t="n"/>
      <c r="E290" s="36" t="n"/>
      <c r="F290" s="36" t="n"/>
      <c r="G290" s="42" t="n"/>
      <c r="H290" s="37" t="n"/>
      <c r="I290" s="37" t="n"/>
      <c r="J290" s="32" t="n"/>
      <c r="K290" s="32" t="n"/>
      <c r="L290" s="43" t="n"/>
      <c r="M290" s="36" t="n"/>
      <c r="N290" s="44" t="n"/>
      <c r="O290" s="36" t="n"/>
      <c r="P290" s="33">
        <f>IF(C290="","",Commercial_Id)</f>
        <v/>
      </c>
      <c r="Q290" s="34">
        <f>IF(AC290="","",IF(AD290=1,"C"&amp;TEXT(SUM(AD$6:AD290),"0000"),INDEX(Q$6:Q289,MATCH(AC290,AC$6:AC289,0))))</f>
        <v/>
      </c>
      <c r="R290" s="34">
        <f>IF(C290="","",IF(L290="☑ Oui","Annulée",IF(OR(E290="Vente directe",K290&lt;&gt;""),"Livrée",IF(J290&lt;&gt;"","Confirmée","En attente"))))</f>
        <v/>
      </c>
      <c r="S290" s="34">
        <f>IF(F290="","",IFERROR(VLOOKUP(F290,T_Produits,2,FALSE),""))</f>
        <v/>
      </c>
      <c r="T290" s="40">
        <f>IF(F290="","",IFERROR(1/(1/VLOOKUP(F290,T_Produits,3,FALSE)),""))</f>
        <v/>
      </c>
      <c r="U290" s="40">
        <f>IF(H290&lt;&gt;"",H290,T290)</f>
        <v/>
      </c>
      <c r="V290" s="40">
        <f>IF(OR(G290="",U290=""),"",G290*U290-N(I290))</f>
        <v/>
      </c>
      <c r="W290" s="39">
        <f>IF(D290="","",IFERROR(VALUE(MID(D290,LEN(D290)-3,3)),""))</f>
        <v/>
      </c>
      <c r="X290" s="33">
        <f>IF(W290="","",P290&amp;"|"&amp;W290)</f>
        <v/>
      </c>
      <c r="Y290" s="33">
        <f>IF(W290="","",IF(P290="À RENSEIGNER","GIC",P290)&amp;"-"&amp;TEXT(W290,"000"))</f>
        <v/>
      </c>
      <c r="Z290" s="33">
        <f>IF(X290="","",IFERROR(INDEX(Cl_nom,MATCH(X290,Cl_cle,0)),"(client introuvable)"))</f>
        <v/>
      </c>
      <c r="AA290" s="33">
        <f>IF(X290="","",IFERROR(INDEX(Cl_quartier,MATCH(X290,Cl_cle,0))&amp;"",""))</f>
        <v/>
      </c>
      <c r="AB290" s="45">
        <f>IF(R290&lt;&gt;"Livrée",0,IF(K290&lt;&gt;"",K290,C290))</f>
        <v/>
      </c>
      <c r="AC290" s="33">
        <f>IF(OR(C290="",W290=""),"",P290&amp;"|"&amp;W290&amp;"|"&amp;C290&amp;"|"&amp;E290)</f>
        <v/>
      </c>
      <c r="AD290" s="39">
        <f>IF(AC290="","",IF(COUNTIF(AC$6:AC290,AC290)=1,1,0))</f>
        <v/>
      </c>
      <c r="AE290" s="39">
        <f>IF(AB290=0,"",IF(COUNTIFS(X$6:X290,X290,AB$6:AB290,AB290)=1,1,0))</f>
        <v/>
      </c>
      <c r="AF290" s="34">
        <f>IF(C290="","",YEAR(C290-WEEKDAY(C290,2)+4)&amp;"-S"&amp;TEXT(INT((C290-DATE(YEAR(C290-WEEKDAY(C290,2)+4),1,3)+WEEKDAY(DATE(YEAR(C290-WEEKDAY(C290,2)+4),1,3),2)+5)/7),"00"))</f>
        <v/>
      </c>
    </row>
    <row r="291" ht="18" customHeight="1">
      <c r="A291" s="39" t="n">
        <v>286</v>
      </c>
      <c r="B291" s="33">
        <f>IF(C291="","",IF(P291="À RENSEIGNER","GIC",P291)&amp;"-C"&amp;TEXT(A291,"00000"))</f>
        <v/>
      </c>
      <c r="C291" s="32" t="n"/>
      <c r="D291" s="36" t="n"/>
      <c r="E291" s="36" t="n"/>
      <c r="F291" s="36" t="n"/>
      <c r="G291" s="42" t="n"/>
      <c r="H291" s="37" t="n"/>
      <c r="I291" s="37" t="n"/>
      <c r="J291" s="32" t="n"/>
      <c r="K291" s="32" t="n"/>
      <c r="L291" s="43" t="n"/>
      <c r="M291" s="36" t="n"/>
      <c r="N291" s="44" t="n"/>
      <c r="O291" s="36" t="n"/>
      <c r="P291" s="33">
        <f>IF(C291="","",Commercial_Id)</f>
        <v/>
      </c>
      <c r="Q291" s="34">
        <f>IF(AC291="","",IF(AD291=1,"C"&amp;TEXT(SUM(AD$6:AD291),"0000"),INDEX(Q$6:Q290,MATCH(AC291,AC$6:AC290,0))))</f>
        <v/>
      </c>
      <c r="R291" s="34">
        <f>IF(C291="","",IF(L291="☑ Oui","Annulée",IF(OR(E291="Vente directe",K291&lt;&gt;""),"Livrée",IF(J291&lt;&gt;"","Confirmée","En attente"))))</f>
        <v/>
      </c>
      <c r="S291" s="34">
        <f>IF(F291="","",IFERROR(VLOOKUP(F291,T_Produits,2,FALSE),""))</f>
        <v/>
      </c>
      <c r="T291" s="40">
        <f>IF(F291="","",IFERROR(1/(1/VLOOKUP(F291,T_Produits,3,FALSE)),""))</f>
        <v/>
      </c>
      <c r="U291" s="40">
        <f>IF(H291&lt;&gt;"",H291,T291)</f>
        <v/>
      </c>
      <c r="V291" s="40">
        <f>IF(OR(G291="",U291=""),"",G291*U291-N(I291))</f>
        <v/>
      </c>
      <c r="W291" s="39">
        <f>IF(D291="","",IFERROR(VALUE(MID(D291,LEN(D291)-3,3)),""))</f>
        <v/>
      </c>
      <c r="X291" s="33">
        <f>IF(W291="","",P291&amp;"|"&amp;W291)</f>
        <v/>
      </c>
      <c r="Y291" s="33">
        <f>IF(W291="","",IF(P291="À RENSEIGNER","GIC",P291)&amp;"-"&amp;TEXT(W291,"000"))</f>
        <v/>
      </c>
      <c r="Z291" s="33">
        <f>IF(X291="","",IFERROR(INDEX(Cl_nom,MATCH(X291,Cl_cle,0)),"(client introuvable)"))</f>
        <v/>
      </c>
      <c r="AA291" s="33">
        <f>IF(X291="","",IFERROR(INDEX(Cl_quartier,MATCH(X291,Cl_cle,0))&amp;"",""))</f>
        <v/>
      </c>
      <c r="AB291" s="45">
        <f>IF(R291&lt;&gt;"Livrée",0,IF(K291&lt;&gt;"",K291,C291))</f>
        <v/>
      </c>
      <c r="AC291" s="33">
        <f>IF(OR(C291="",W291=""),"",P291&amp;"|"&amp;W291&amp;"|"&amp;C291&amp;"|"&amp;E291)</f>
        <v/>
      </c>
      <c r="AD291" s="39">
        <f>IF(AC291="","",IF(COUNTIF(AC$6:AC291,AC291)=1,1,0))</f>
        <v/>
      </c>
      <c r="AE291" s="39">
        <f>IF(AB291=0,"",IF(COUNTIFS(X$6:X291,X291,AB$6:AB291,AB291)=1,1,0))</f>
        <v/>
      </c>
      <c r="AF291" s="34">
        <f>IF(C291="","",YEAR(C291-WEEKDAY(C291,2)+4)&amp;"-S"&amp;TEXT(INT((C291-DATE(YEAR(C291-WEEKDAY(C291,2)+4),1,3)+WEEKDAY(DATE(YEAR(C291-WEEKDAY(C291,2)+4),1,3),2)+5)/7),"00"))</f>
        <v/>
      </c>
    </row>
    <row r="292" ht="18" customHeight="1">
      <c r="A292" s="39" t="n">
        <v>287</v>
      </c>
      <c r="B292" s="33">
        <f>IF(C292="","",IF(P292="À RENSEIGNER","GIC",P292)&amp;"-C"&amp;TEXT(A292,"00000"))</f>
        <v/>
      </c>
      <c r="C292" s="32" t="n"/>
      <c r="D292" s="36" t="n"/>
      <c r="E292" s="36" t="n"/>
      <c r="F292" s="36" t="n"/>
      <c r="G292" s="42" t="n"/>
      <c r="H292" s="37" t="n"/>
      <c r="I292" s="37" t="n"/>
      <c r="J292" s="32" t="n"/>
      <c r="K292" s="32" t="n"/>
      <c r="L292" s="43" t="n"/>
      <c r="M292" s="36" t="n"/>
      <c r="N292" s="44" t="n"/>
      <c r="O292" s="36" t="n"/>
      <c r="P292" s="33">
        <f>IF(C292="","",Commercial_Id)</f>
        <v/>
      </c>
      <c r="Q292" s="34">
        <f>IF(AC292="","",IF(AD292=1,"C"&amp;TEXT(SUM(AD$6:AD292),"0000"),INDEX(Q$6:Q291,MATCH(AC292,AC$6:AC291,0))))</f>
        <v/>
      </c>
      <c r="R292" s="34">
        <f>IF(C292="","",IF(L292="☑ Oui","Annulée",IF(OR(E292="Vente directe",K292&lt;&gt;""),"Livrée",IF(J292&lt;&gt;"","Confirmée","En attente"))))</f>
        <v/>
      </c>
      <c r="S292" s="34">
        <f>IF(F292="","",IFERROR(VLOOKUP(F292,T_Produits,2,FALSE),""))</f>
        <v/>
      </c>
      <c r="T292" s="40">
        <f>IF(F292="","",IFERROR(1/(1/VLOOKUP(F292,T_Produits,3,FALSE)),""))</f>
        <v/>
      </c>
      <c r="U292" s="40">
        <f>IF(H292&lt;&gt;"",H292,T292)</f>
        <v/>
      </c>
      <c r="V292" s="40">
        <f>IF(OR(G292="",U292=""),"",G292*U292-N(I292))</f>
        <v/>
      </c>
      <c r="W292" s="39">
        <f>IF(D292="","",IFERROR(VALUE(MID(D292,LEN(D292)-3,3)),""))</f>
        <v/>
      </c>
      <c r="X292" s="33">
        <f>IF(W292="","",P292&amp;"|"&amp;W292)</f>
        <v/>
      </c>
      <c r="Y292" s="33">
        <f>IF(W292="","",IF(P292="À RENSEIGNER","GIC",P292)&amp;"-"&amp;TEXT(W292,"000"))</f>
        <v/>
      </c>
      <c r="Z292" s="33">
        <f>IF(X292="","",IFERROR(INDEX(Cl_nom,MATCH(X292,Cl_cle,0)),"(client introuvable)"))</f>
        <v/>
      </c>
      <c r="AA292" s="33">
        <f>IF(X292="","",IFERROR(INDEX(Cl_quartier,MATCH(X292,Cl_cle,0))&amp;"",""))</f>
        <v/>
      </c>
      <c r="AB292" s="45">
        <f>IF(R292&lt;&gt;"Livrée",0,IF(K292&lt;&gt;"",K292,C292))</f>
        <v/>
      </c>
      <c r="AC292" s="33">
        <f>IF(OR(C292="",W292=""),"",P292&amp;"|"&amp;W292&amp;"|"&amp;C292&amp;"|"&amp;E292)</f>
        <v/>
      </c>
      <c r="AD292" s="39">
        <f>IF(AC292="","",IF(COUNTIF(AC$6:AC292,AC292)=1,1,0))</f>
        <v/>
      </c>
      <c r="AE292" s="39">
        <f>IF(AB292=0,"",IF(COUNTIFS(X$6:X292,X292,AB$6:AB292,AB292)=1,1,0))</f>
        <v/>
      </c>
      <c r="AF292" s="34">
        <f>IF(C292="","",YEAR(C292-WEEKDAY(C292,2)+4)&amp;"-S"&amp;TEXT(INT((C292-DATE(YEAR(C292-WEEKDAY(C292,2)+4),1,3)+WEEKDAY(DATE(YEAR(C292-WEEKDAY(C292,2)+4),1,3),2)+5)/7),"00"))</f>
        <v/>
      </c>
    </row>
    <row r="293" ht="18" customHeight="1">
      <c r="A293" s="39" t="n">
        <v>288</v>
      </c>
      <c r="B293" s="33">
        <f>IF(C293="","",IF(P293="À RENSEIGNER","GIC",P293)&amp;"-C"&amp;TEXT(A293,"00000"))</f>
        <v/>
      </c>
      <c r="C293" s="32" t="n"/>
      <c r="D293" s="36" t="n"/>
      <c r="E293" s="36" t="n"/>
      <c r="F293" s="36" t="n"/>
      <c r="G293" s="42" t="n"/>
      <c r="H293" s="37" t="n"/>
      <c r="I293" s="37" t="n"/>
      <c r="J293" s="32" t="n"/>
      <c r="K293" s="32" t="n"/>
      <c r="L293" s="43" t="n"/>
      <c r="M293" s="36" t="n"/>
      <c r="N293" s="44" t="n"/>
      <c r="O293" s="36" t="n"/>
      <c r="P293" s="33">
        <f>IF(C293="","",Commercial_Id)</f>
        <v/>
      </c>
      <c r="Q293" s="34">
        <f>IF(AC293="","",IF(AD293=1,"C"&amp;TEXT(SUM(AD$6:AD293),"0000"),INDEX(Q$6:Q292,MATCH(AC293,AC$6:AC292,0))))</f>
        <v/>
      </c>
      <c r="R293" s="34">
        <f>IF(C293="","",IF(L293="☑ Oui","Annulée",IF(OR(E293="Vente directe",K293&lt;&gt;""),"Livrée",IF(J293&lt;&gt;"","Confirmée","En attente"))))</f>
        <v/>
      </c>
      <c r="S293" s="34">
        <f>IF(F293="","",IFERROR(VLOOKUP(F293,T_Produits,2,FALSE),""))</f>
        <v/>
      </c>
      <c r="T293" s="40">
        <f>IF(F293="","",IFERROR(1/(1/VLOOKUP(F293,T_Produits,3,FALSE)),""))</f>
        <v/>
      </c>
      <c r="U293" s="40">
        <f>IF(H293&lt;&gt;"",H293,T293)</f>
        <v/>
      </c>
      <c r="V293" s="40">
        <f>IF(OR(G293="",U293=""),"",G293*U293-N(I293))</f>
        <v/>
      </c>
      <c r="W293" s="39">
        <f>IF(D293="","",IFERROR(VALUE(MID(D293,LEN(D293)-3,3)),""))</f>
        <v/>
      </c>
      <c r="X293" s="33">
        <f>IF(W293="","",P293&amp;"|"&amp;W293)</f>
        <v/>
      </c>
      <c r="Y293" s="33">
        <f>IF(W293="","",IF(P293="À RENSEIGNER","GIC",P293)&amp;"-"&amp;TEXT(W293,"000"))</f>
        <v/>
      </c>
      <c r="Z293" s="33">
        <f>IF(X293="","",IFERROR(INDEX(Cl_nom,MATCH(X293,Cl_cle,0)),"(client introuvable)"))</f>
        <v/>
      </c>
      <c r="AA293" s="33">
        <f>IF(X293="","",IFERROR(INDEX(Cl_quartier,MATCH(X293,Cl_cle,0))&amp;"",""))</f>
        <v/>
      </c>
      <c r="AB293" s="45">
        <f>IF(R293&lt;&gt;"Livrée",0,IF(K293&lt;&gt;"",K293,C293))</f>
        <v/>
      </c>
      <c r="AC293" s="33">
        <f>IF(OR(C293="",W293=""),"",P293&amp;"|"&amp;W293&amp;"|"&amp;C293&amp;"|"&amp;E293)</f>
        <v/>
      </c>
      <c r="AD293" s="39">
        <f>IF(AC293="","",IF(COUNTIF(AC$6:AC293,AC293)=1,1,0))</f>
        <v/>
      </c>
      <c r="AE293" s="39">
        <f>IF(AB293=0,"",IF(COUNTIFS(X$6:X293,X293,AB$6:AB293,AB293)=1,1,0))</f>
        <v/>
      </c>
      <c r="AF293" s="34">
        <f>IF(C293="","",YEAR(C293-WEEKDAY(C293,2)+4)&amp;"-S"&amp;TEXT(INT((C293-DATE(YEAR(C293-WEEKDAY(C293,2)+4),1,3)+WEEKDAY(DATE(YEAR(C293-WEEKDAY(C293,2)+4),1,3),2)+5)/7),"00"))</f>
        <v/>
      </c>
    </row>
    <row r="294" ht="18" customHeight="1">
      <c r="A294" s="39" t="n">
        <v>289</v>
      </c>
      <c r="B294" s="33">
        <f>IF(C294="","",IF(P294="À RENSEIGNER","GIC",P294)&amp;"-C"&amp;TEXT(A294,"00000"))</f>
        <v/>
      </c>
      <c r="C294" s="32" t="n"/>
      <c r="D294" s="36" t="n"/>
      <c r="E294" s="36" t="n"/>
      <c r="F294" s="36" t="n"/>
      <c r="G294" s="42" t="n"/>
      <c r="H294" s="37" t="n"/>
      <c r="I294" s="37" t="n"/>
      <c r="J294" s="32" t="n"/>
      <c r="K294" s="32" t="n"/>
      <c r="L294" s="43" t="n"/>
      <c r="M294" s="36" t="n"/>
      <c r="N294" s="44" t="n"/>
      <c r="O294" s="36" t="n"/>
      <c r="P294" s="33">
        <f>IF(C294="","",Commercial_Id)</f>
        <v/>
      </c>
      <c r="Q294" s="34">
        <f>IF(AC294="","",IF(AD294=1,"C"&amp;TEXT(SUM(AD$6:AD294),"0000"),INDEX(Q$6:Q293,MATCH(AC294,AC$6:AC293,0))))</f>
        <v/>
      </c>
      <c r="R294" s="34">
        <f>IF(C294="","",IF(L294="☑ Oui","Annulée",IF(OR(E294="Vente directe",K294&lt;&gt;""),"Livrée",IF(J294&lt;&gt;"","Confirmée","En attente"))))</f>
        <v/>
      </c>
      <c r="S294" s="34">
        <f>IF(F294="","",IFERROR(VLOOKUP(F294,T_Produits,2,FALSE),""))</f>
        <v/>
      </c>
      <c r="T294" s="40">
        <f>IF(F294="","",IFERROR(1/(1/VLOOKUP(F294,T_Produits,3,FALSE)),""))</f>
        <v/>
      </c>
      <c r="U294" s="40">
        <f>IF(H294&lt;&gt;"",H294,T294)</f>
        <v/>
      </c>
      <c r="V294" s="40">
        <f>IF(OR(G294="",U294=""),"",G294*U294-N(I294))</f>
        <v/>
      </c>
      <c r="W294" s="39">
        <f>IF(D294="","",IFERROR(VALUE(MID(D294,LEN(D294)-3,3)),""))</f>
        <v/>
      </c>
      <c r="X294" s="33">
        <f>IF(W294="","",P294&amp;"|"&amp;W294)</f>
        <v/>
      </c>
      <c r="Y294" s="33">
        <f>IF(W294="","",IF(P294="À RENSEIGNER","GIC",P294)&amp;"-"&amp;TEXT(W294,"000"))</f>
        <v/>
      </c>
      <c r="Z294" s="33">
        <f>IF(X294="","",IFERROR(INDEX(Cl_nom,MATCH(X294,Cl_cle,0)),"(client introuvable)"))</f>
        <v/>
      </c>
      <c r="AA294" s="33">
        <f>IF(X294="","",IFERROR(INDEX(Cl_quartier,MATCH(X294,Cl_cle,0))&amp;"",""))</f>
        <v/>
      </c>
      <c r="AB294" s="45">
        <f>IF(R294&lt;&gt;"Livrée",0,IF(K294&lt;&gt;"",K294,C294))</f>
        <v/>
      </c>
      <c r="AC294" s="33">
        <f>IF(OR(C294="",W294=""),"",P294&amp;"|"&amp;W294&amp;"|"&amp;C294&amp;"|"&amp;E294)</f>
        <v/>
      </c>
      <c r="AD294" s="39">
        <f>IF(AC294="","",IF(COUNTIF(AC$6:AC294,AC294)=1,1,0))</f>
        <v/>
      </c>
      <c r="AE294" s="39">
        <f>IF(AB294=0,"",IF(COUNTIFS(X$6:X294,X294,AB$6:AB294,AB294)=1,1,0))</f>
        <v/>
      </c>
      <c r="AF294" s="34">
        <f>IF(C294="","",YEAR(C294-WEEKDAY(C294,2)+4)&amp;"-S"&amp;TEXT(INT((C294-DATE(YEAR(C294-WEEKDAY(C294,2)+4),1,3)+WEEKDAY(DATE(YEAR(C294-WEEKDAY(C294,2)+4),1,3),2)+5)/7),"00"))</f>
        <v/>
      </c>
    </row>
    <row r="295" ht="18" customHeight="1">
      <c r="A295" s="39" t="n">
        <v>290</v>
      </c>
      <c r="B295" s="33">
        <f>IF(C295="","",IF(P295="À RENSEIGNER","GIC",P295)&amp;"-C"&amp;TEXT(A295,"00000"))</f>
        <v/>
      </c>
      <c r="C295" s="32" t="n"/>
      <c r="D295" s="36" t="n"/>
      <c r="E295" s="36" t="n"/>
      <c r="F295" s="36" t="n"/>
      <c r="G295" s="42" t="n"/>
      <c r="H295" s="37" t="n"/>
      <c r="I295" s="37" t="n"/>
      <c r="J295" s="32" t="n"/>
      <c r="K295" s="32" t="n"/>
      <c r="L295" s="43" t="n"/>
      <c r="M295" s="36" t="n"/>
      <c r="N295" s="44" t="n"/>
      <c r="O295" s="36" t="n"/>
      <c r="P295" s="33">
        <f>IF(C295="","",Commercial_Id)</f>
        <v/>
      </c>
      <c r="Q295" s="34">
        <f>IF(AC295="","",IF(AD295=1,"C"&amp;TEXT(SUM(AD$6:AD295),"0000"),INDEX(Q$6:Q294,MATCH(AC295,AC$6:AC294,0))))</f>
        <v/>
      </c>
      <c r="R295" s="34">
        <f>IF(C295="","",IF(L295="☑ Oui","Annulée",IF(OR(E295="Vente directe",K295&lt;&gt;""),"Livrée",IF(J295&lt;&gt;"","Confirmée","En attente"))))</f>
        <v/>
      </c>
      <c r="S295" s="34">
        <f>IF(F295="","",IFERROR(VLOOKUP(F295,T_Produits,2,FALSE),""))</f>
        <v/>
      </c>
      <c r="T295" s="40">
        <f>IF(F295="","",IFERROR(1/(1/VLOOKUP(F295,T_Produits,3,FALSE)),""))</f>
        <v/>
      </c>
      <c r="U295" s="40">
        <f>IF(H295&lt;&gt;"",H295,T295)</f>
        <v/>
      </c>
      <c r="V295" s="40">
        <f>IF(OR(G295="",U295=""),"",G295*U295-N(I295))</f>
        <v/>
      </c>
      <c r="W295" s="39">
        <f>IF(D295="","",IFERROR(VALUE(MID(D295,LEN(D295)-3,3)),""))</f>
        <v/>
      </c>
      <c r="X295" s="33">
        <f>IF(W295="","",P295&amp;"|"&amp;W295)</f>
        <v/>
      </c>
      <c r="Y295" s="33">
        <f>IF(W295="","",IF(P295="À RENSEIGNER","GIC",P295)&amp;"-"&amp;TEXT(W295,"000"))</f>
        <v/>
      </c>
      <c r="Z295" s="33">
        <f>IF(X295="","",IFERROR(INDEX(Cl_nom,MATCH(X295,Cl_cle,0)),"(client introuvable)"))</f>
        <v/>
      </c>
      <c r="AA295" s="33">
        <f>IF(X295="","",IFERROR(INDEX(Cl_quartier,MATCH(X295,Cl_cle,0))&amp;"",""))</f>
        <v/>
      </c>
      <c r="AB295" s="45">
        <f>IF(R295&lt;&gt;"Livrée",0,IF(K295&lt;&gt;"",K295,C295))</f>
        <v/>
      </c>
      <c r="AC295" s="33">
        <f>IF(OR(C295="",W295=""),"",P295&amp;"|"&amp;W295&amp;"|"&amp;C295&amp;"|"&amp;E295)</f>
        <v/>
      </c>
      <c r="AD295" s="39">
        <f>IF(AC295="","",IF(COUNTIF(AC$6:AC295,AC295)=1,1,0))</f>
        <v/>
      </c>
      <c r="AE295" s="39">
        <f>IF(AB295=0,"",IF(COUNTIFS(X$6:X295,X295,AB$6:AB295,AB295)=1,1,0))</f>
        <v/>
      </c>
      <c r="AF295" s="34">
        <f>IF(C295="","",YEAR(C295-WEEKDAY(C295,2)+4)&amp;"-S"&amp;TEXT(INT((C295-DATE(YEAR(C295-WEEKDAY(C295,2)+4),1,3)+WEEKDAY(DATE(YEAR(C295-WEEKDAY(C295,2)+4),1,3),2)+5)/7),"00"))</f>
        <v/>
      </c>
    </row>
    <row r="296" ht="18" customHeight="1">
      <c r="A296" s="39" t="n">
        <v>291</v>
      </c>
      <c r="B296" s="33">
        <f>IF(C296="","",IF(P296="À RENSEIGNER","GIC",P296)&amp;"-C"&amp;TEXT(A296,"00000"))</f>
        <v/>
      </c>
      <c r="C296" s="32" t="n"/>
      <c r="D296" s="36" t="n"/>
      <c r="E296" s="36" t="n"/>
      <c r="F296" s="36" t="n"/>
      <c r="G296" s="42" t="n"/>
      <c r="H296" s="37" t="n"/>
      <c r="I296" s="37" t="n"/>
      <c r="J296" s="32" t="n"/>
      <c r="K296" s="32" t="n"/>
      <c r="L296" s="43" t="n"/>
      <c r="M296" s="36" t="n"/>
      <c r="N296" s="44" t="n"/>
      <c r="O296" s="36" t="n"/>
      <c r="P296" s="33">
        <f>IF(C296="","",Commercial_Id)</f>
        <v/>
      </c>
      <c r="Q296" s="34">
        <f>IF(AC296="","",IF(AD296=1,"C"&amp;TEXT(SUM(AD$6:AD296),"0000"),INDEX(Q$6:Q295,MATCH(AC296,AC$6:AC295,0))))</f>
        <v/>
      </c>
      <c r="R296" s="34">
        <f>IF(C296="","",IF(L296="☑ Oui","Annulée",IF(OR(E296="Vente directe",K296&lt;&gt;""),"Livrée",IF(J296&lt;&gt;"","Confirmée","En attente"))))</f>
        <v/>
      </c>
      <c r="S296" s="34">
        <f>IF(F296="","",IFERROR(VLOOKUP(F296,T_Produits,2,FALSE),""))</f>
        <v/>
      </c>
      <c r="T296" s="40">
        <f>IF(F296="","",IFERROR(1/(1/VLOOKUP(F296,T_Produits,3,FALSE)),""))</f>
        <v/>
      </c>
      <c r="U296" s="40">
        <f>IF(H296&lt;&gt;"",H296,T296)</f>
        <v/>
      </c>
      <c r="V296" s="40">
        <f>IF(OR(G296="",U296=""),"",G296*U296-N(I296))</f>
        <v/>
      </c>
      <c r="W296" s="39">
        <f>IF(D296="","",IFERROR(VALUE(MID(D296,LEN(D296)-3,3)),""))</f>
        <v/>
      </c>
      <c r="X296" s="33">
        <f>IF(W296="","",P296&amp;"|"&amp;W296)</f>
        <v/>
      </c>
      <c r="Y296" s="33">
        <f>IF(W296="","",IF(P296="À RENSEIGNER","GIC",P296)&amp;"-"&amp;TEXT(W296,"000"))</f>
        <v/>
      </c>
      <c r="Z296" s="33">
        <f>IF(X296="","",IFERROR(INDEX(Cl_nom,MATCH(X296,Cl_cle,0)),"(client introuvable)"))</f>
        <v/>
      </c>
      <c r="AA296" s="33">
        <f>IF(X296="","",IFERROR(INDEX(Cl_quartier,MATCH(X296,Cl_cle,0))&amp;"",""))</f>
        <v/>
      </c>
      <c r="AB296" s="45">
        <f>IF(R296&lt;&gt;"Livrée",0,IF(K296&lt;&gt;"",K296,C296))</f>
        <v/>
      </c>
      <c r="AC296" s="33">
        <f>IF(OR(C296="",W296=""),"",P296&amp;"|"&amp;W296&amp;"|"&amp;C296&amp;"|"&amp;E296)</f>
        <v/>
      </c>
      <c r="AD296" s="39">
        <f>IF(AC296="","",IF(COUNTIF(AC$6:AC296,AC296)=1,1,0))</f>
        <v/>
      </c>
      <c r="AE296" s="39">
        <f>IF(AB296=0,"",IF(COUNTIFS(X$6:X296,X296,AB$6:AB296,AB296)=1,1,0))</f>
        <v/>
      </c>
      <c r="AF296" s="34">
        <f>IF(C296="","",YEAR(C296-WEEKDAY(C296,2)+4)&amp;"-S"&amp;TEXT(INT((C296-DATE(YEAR(C296-WEEKDAY(C296,2)+4),1,3)+WEEKDAY(DATE(YEAR(C296-WEEKDAY(C296,2)+4),1,3),2)+5)/7),"00"))</f>
        <v/>
      </c>
    </row>
    <row r="297" ht="18" customHeight="1">
      <c r="A297" s="39" t="n">
        <v>292</v>
      </c>
      <c r="B297" s="33">
        <f>IF(C297="","",IF(P297="À RENSEIGNER","GIC",P297)&amp;"-C"&amp;TEXT(A297,"00000"))</f>
        <v/>
      </c>
      <c r="C297" s="32" t="n"/>
      <c r="D297" s="36" t="n"/>
      <c r="E297" s="36" t="n"/>
      <c r="F297" s="36" t="n"/>
      <c r="G297" s="42" t="n"/>
      <c r="H297" s="37" t="n"/>
      <c r="I297" s="37" t="n"/>
      <c r="J297" s="32" t="n"/>
      <c r="K297" s="32" t="n"/>
      <c r="L297" s="43" t="n"/>
      <c r="M297" s="36" t="n"/>
      <c r="N297" s="44" t="n"/>
      <c r="O297" s="36" t="n"/>
      <c r="P297" s="33">
        <f>IF(C297="","",Commercial_Id)</f>
        <v/>
      </c>
      <c r="Q297" s="34">
        <f>IF(AC297="","",IF(AD297=1,"C"&amp;TEXT(SUM(AD$6:AD297),"0000"),INDEX(Q$6:Q296,MATCH(AC297,AC$6:AC296,0))))</f>
        <v/>
      </c>
      <c r="R297" s="34">
        <f>IF(C297="","",IF(L297="☑ Oui","Annulée",IF(OR(E297="Vente directe",K297&lt;&gt;""),"Livrée",IF(J297&lt;&gt;"","Confirmée","En attente"))))</f>
        <v/>
      </c>
      <c r="S297" s="34">
        <f>IF(F297="","",IFERROR(VLOOKUP(F297,T_Produits,2,FALSE),""))</f>
        <v/>
      </c>
      <c r="T297" s="40">
        <f>IF(F297="","",IFERROR(1/(1/VLOOKUP(F297,T_Produits,3,FALSE)),""))</f>
        <v/>
      </c>
      <c r="U297" s="40">
        <f>IF(H297&lt;&gt;"",H297,T297)</f>
        <v/>
      </c>
      <c r="V297" s="40">
        <f>IF(OR(G297="",U297=""),"",G297*U297-N(I297))</f>
        <v/>
      </c>
      <c r="W297" s="39">
        <f>IF(D297="","",IFERROR(VALUE(MID(D297,LEN(D297)-3,3)),""))</f>
        <v/>
      </c>
      <c r="X297" s="33">
        <f>IF(W297="","",P297&amp;"|"&amp;W297)</f>
        <v/>
      </c>
      <c r="Y297" s="33">
        <f>IF(W297="","",IF(P297="À RENSEIGNER","GIC",P297)&amp;"-"&amp;TEXT(W297,"000"))</f>
        <v/>
      </c>
      <c r="Z297" s="33">
        <f>IF(X297="","",IFERROR(INDEX(Cl_nom,MATCH(X297,Cl_cle,0)),"(client introuvable)"))</f>
        <v/>
      </c>
      <c r="AA297" s="33">
        <f>IF(X297="","",IFERROR(INDEX(Cl_quartier,MATCH(X297,Cl_cle,0))&amp;"",""))</f>
        <v/>
      </c>
      <c r="AB297" s="45">
        <f>IF(R297&lt;&gt;"Livrée",0,IF(K297&lt;&gt;"",K297,C297))</f>
        <v/>
      </c>
      <c r="AC297" s="33">
        <f>IF(OR(C297="",W297=""),"",P297&amp;"|"&amp;W297&amp;"|"&amp;C297&amp;"|"&amp;E297)</f>
        <v/>
      </c>
      <c r="AD297" s="39">
        <f>IF(AC297="","",IF(COUNTIF(AC$6:AC297,AC297)=1,1,0))</f>
        <v/>
      </c>
      <c r="AE297" s="39">
        <f>IF(AB297=0,"",IF(COUNTIFS(X$6:X297,X297,AB$6:AB297,AB297)=1,1,0))</f>
        <v/>
      </c>
      <c r="AF297" s="34">
        <f>IF(C297="","",YEAR(C297-WEEKDAY(C297,2)+4)&amp;"-S"&amp;TEXT(INT((C297-DATE(YEAR(C297-WEEKDAY(C297,2)+4),1,3)+WEEKDAY(DATE(YEAR(C297-WEEKDAY(C297,2)+4),1,3),2)+5)/7),"00"))</f>
        <v/>
      </c>
    </row>
    <row r="298" ht="18" customHeight="1">
      <c r="A298" s="39" t="n">
        <v>293</v>
      </c>
      <c r="B298" s="33">
        <f>IF(C298="","",IF(P298="À RENSEIGNER","GIC",P298)&amp;"-C"&amp;TEXT(A298,"00000"))</f>
        <v/>
      </c>
      <c r="C298" s="32" t="n"/>
      <c r="D298" s="36" t="n"/>
      <c r="E298" s="36" t="n"/>
      <c r="F298" s="36" t="n"/>
      <c r="G298" s="42" t="n"/>
      <c r="H298" s="37" t="n"/>
      <c r="I298" s="37" t="n"/>
      <c r="J298" s="32" t="n"/>
      <c r="K298" s="32" t="n"/>
      <c r="L298" s="43" t="n"/>
      <c r="M298" s="36" t="n"/>
      <c r="N298" s="44" t="n"/>
      <c r="O298" s="36" t="n"/>
      <c r="P298" s="33">
        <f>IF(C298="","",Commercial_Id)</f>
        <v/>
      </c>
      <c r="Q298" s="34">
        <f>IF(AC298="","",IF(AD298=1,"C"&amp;TEXT(SUM(AD$6:AD298),"0000"),INDEX(Q$6:Q297,MATCH(AC298,AC$6:AC297,0))))</f>
        <v/>
      </c>
      <c r="R298" s="34">
        <f>IF(C298="","",IF(L298="☑ Oui","Annulée",IF(OR(E298="Vente directe",K298&lt;&gt;""),"Livrée",IF(J298&lt;&gt;"","Confirmée","En attente"))))</f>
        <v/>
      </c>
      <c r="S298" s="34">
        <f>IF(F298="","",IFERROR(VLOOKUP(F298,T_Produits,2,FALSE),""))</f>
        <v/>
      </c>
      <c r="T298" s="40">
        <f>IF(F298="","",IFERROR(1/(1/VLOOKUP(F298,T_Produits,3,FALSE)),""))</f>
        <v/>
      </c>
      <c r="U298" s="40">
        <f>IF(H298&lt;&gt;"",H298,T298)</f>
        <v/>
      </c>
      <c r="V298" s="40">
        <f>IF(OR(G298="",U298=""),"",G298*U298-N(I298))</f>
        <v/>
      </c>
      <c r="W298" s="39">
        <f>IF(D298="","",IFERROR(VALUE(MID(D298,LEN(D298)-3,3)),""))</f>
        <v/>
      </c>
      <c r="X298" s="33">
        <f>IF(W298="","",P298&amp;"|"&amp;W298)</f>
        <v/>
      </c>
      <c r="Y298" s="33">
        <f>IF(W298="","",IF(P298="À RENSEIGNER","GIC",P298)&amp;"-"&amp;TEXT(W298,"000"))</f>
        <v/>
      </c>
      <c r="Z298" s="33">
        <f>IF(X298="","",IFERROR(INDEX(Cl_nom,MATCH(X298,Cl_cle,0)),"(client introuvable)"))</f>
        <v/>
      </c>
      <c r="AA298" s="33">
        <f>IF(X298="","",IFERROR(INDEX(Cl_quartier,MATCH(X298,Cl_cle,0))&amp;"",""))</f>
        <v/>
      </c>
      <c r="AB298" s="45">
        <f>IF(R298&lt;&gt;"Livrée",0,IF(K298&lt;&gt;"",K298,C298))</f>
        <v/>
      </c>
      <c r="AC298" s="33">
        <f>IF(OR(C298="",W298=""),"",P298&amp;"|"&amp;W298&amp;"|"&amp;C298&amp;"|"&amp;E298)</f>
        <v/>
      </c>
      <c r="AD298" s="39">
        <f>IF(AC298="","",IF(COUNTIF(AC$6:AC298,AC298)=1,1,0))</f>
        <v/>
      </c>
      <c r="AE298" s="39">
        <f>IF(AB298=0,"",IF(COUNTIFS(X$6:X298,X298,AB$6:AB298,AB298)=1,1,0))</f>
        <v/>
      </c>
      <c r="AF298" s="34">
        <f>IF(C298="","",YEAR(C298-WEEKDAY(C298,2)+4)&amp;"-S"&amp;TEXT(INT((C298-DATE(YEAR(C298-WEEKDAY(C298,2)+4),1,3)+WEEKDAY(DATE(YEAR(C298-WEEKDAY(C298,2)+4),1,3),2)+5)/7),"00"))</f>
        <v/>
      </c>
    </row>
    <row r="299" ht="18" customHeight="1">
      <c r="A299" s="39" t="n">
        <v>294</v>
      </c>
      <c r="B299" s="33">
        <f>IF(C299="","",IF(P299="À RENSEIGNER","GIC",P299)&amp;"-C"&amp;TEXT(A299,"00000"))</f>
        <v/>
      </c>
      <c r="C299" s="32" t="n"/>
      <c r="D299" s="36" t="n"/>
      <c r="E299" s="36" t="n"/>
      <c r="F299" s="36" t="n"/>
      <c r="G299" s="42" t="n"/>
      <c r="H299" s="37" t="n"/>
      <c r="I299" s="37" t="n"/>
      <c r="J299" s="32" t="n"/>
      <c r="K299" s="32" t="n"/>
      <c r="L299" s="43" t="n"/>
      <c r="M299" s="36" t="n"/>
      <c r="N299" s="44" t="n"/>
      <c r="O299" s="36" t="n"/>
      <c r="P299" s="33">
        <f>IF(C299="","",Commercial_Id)</f>
        <v/>
      </c>
      <c r="Q299" s="34">
        <f>IF(AC299="","",IF(AD299=1,"C"&amp;TEXT(SUM(AD$6:AD299),"0000"),INDEX(Q$6:Q298,MATCH(AC299,AC$6:AC298,0))))</f>
        <v/>
      </c>
      <c r="R299" s="34">
        <f>IF(C299="","",IF(L299="☑ Oui","Annulée",IF(OR(E299="Vente directe",K299&lt;&gt;""),"Livrée",IF(J299&lt;&gt;"","Confirmée","En attente"))))</f>
        <v/>
      </c>
      <c r="S299" s="34">
        <f>IF(F299="","",IFERROR(VLOOKUP(F299,T_Produits,2,FALSE),""))</f>
        <v/>
      </c>
      <c r="T299" s="40">
        <f>IF(F299="","",IFERROR(1/(1/VLOOKUP(F299,T_Produits,3,FALSE)),""))</f>
        <v/>
      </c>
      <c r="U299" s="40">
        <f>IF(H299&lt;&gt;"",H299,T299)</f>
        <v/>
      </c>
      <c r="V299" s="40">
        <f>IF(OR(G299="",U299=""),"",G299*U299-N(I299))</f>
        <v/>
      </c>
      <c r="W299" s="39">
        <f>IF(D299="","",IFERROR(VALUE(MID(D299,LEN(D299)-3,3)),""))</f>
        <v/>
      </c>
      <c r="X299" s="33">
        <f>IF(W299="","",P299&amp;"|"&amp;W299)</f>
        <v/>
      </c>
      <c r="Y299" s="33">
        <f>IF(W299="","",IF(P299="À RENSEIGNER","GIC",P299)&amp;"-"&amp;TEXT(W299,"000"))</f>
        <v/>
      </c>
      <c r="Z299" s="33">
        <f>IF(X299="","",IFERROR(INDEX(Cl_nom,MATCH(X299,Cl_cle,0)),"(client introuvable)"))</f>
        <v/>
      </c>
      <c r="AA299" s="33">
        <f>IF(X299="","",IFERROR(INDEX(Cl_quartier,MATCH(X299,Cl_cle,0))&amp;"",""))</f>
        <v/>
      </c>
      <c r="AB299" s="45">
        <f>IF(R299&lt;&gt;"Livrée",0,IF(K299&lt;&gt;"",K299,C299))</f>
        <v/>
      </c>
      <c r="AC299" s="33">
        <f>IF(OR(C299="",W299=""),"",P299&amp;"|"&amp;W299&amp;"|"&amp;C299&amp;"|"&amp;E299)</f>
        <v/>
      </c>
      <c r="AD299" s="39">
        <f>IF(AC299="","",IF(COUNTIF(AC$6:AC299,AC299)=1,1,0))</f>
        <v/>
      </c>
      <c r="AE299" s="39">
        <f>IF(AB299=0,"",IF(COUNTIFS(X$6:X299,X299,AB$6:AB299,AB299)=1,1,0))</f>
        <v/>
      </c>
      <c r="AF299" s="34">
        <f>IF(C299="","",YEAR(C299-WEEKDAY(C299,2)+4)&amp;"-S"&amp;TEXT(INT((C299-DATE(YEAR(C299-WEEKDAY(C299,2)+4),1,3)+WEEKDAY(DATE(YEAR(C299-WEEKDAY(C299,2)+4),1,3),2)+5)/7),"00"))</f>
        <v/>
      </c>
    </row>
    <row r="300" ht="18" customHeight="1">
      <c r="A300" s="39" t="n">
        <v>295</v>
      </c>
      <c r="B300" s="33">
        <f>IF(C300="","",IF(P300="À RENSEIGNER","GIC",P300)&amp;"-C"&amp;TEXT(A300,"00000"))</f>
        <v/>
      </c>
      <c r="C300" s="32" t="n"/>
      <c r="D300" s="36" t="n"/>
      <c r="E300" s="36" t="n"/>
      <c r="F300" s="36" t="n"/>
      <c r="G300" s="42" t="n"/>
      <c r="H300" s="37" t="n"/>
      <c r="I300" s="37" t="n"/>
      <c r="J300" s="32" t="n"/>
      <c r="K300" s="32" t="n"/>
      <c r="L300" s="43" t="n"/>
      <c r="M300" s="36" t="n"/>
      <c r="N300" s="44" t="n"/>
      <c r="O300" s="36" t="n"/>
      <c r="P300" s="33">
        <f>IF(C300="","",Commercial_Id)</f>
        <v/>
      </c>
      <c r="Q300" s="34">
        <f>IF(AC300="","",IF(AD300=1,"C"&amp;TEXT(SUM(AD$6:AD300),"0000"),INDEX(Q$6:Q299,MATCH(AC300,AC$6:AC299,0))))</f>
        <v/>
      </c>
      <c r="R300" s="34">
        <f>IF(C300="","",IF(L300="☑ Oui","Annulée",IF(OR(E300="Vente directe",K300&lt;&gt;""),"Livrée",IF(J300&lt;&gt;"","Confirmée","En attente"))))</f>
        <v/>
      </c>
      <c r="S300" s="34">
        <f>IF(F300="","",IFERROR(VLOOKUP(F300,T_Produits,2,FALSE),""))</f>
        <v/>
      </c>
      <c r="T300" s="40">
        <f>IF(F300="","",IFERROR(1/(1/VLOOKUP(F300,T_Produits,3,FALSE)),""))</f>
        <v/>
      </c>
      <c r="U300" s="40">
        <f>IF(H300&lt;&gt;"",H300,T300)</f>
        <v/>
      </c>
      <c r="V300" s="40">
        <f>IF(OR(G300="",U300=""),"",G300*U300-N(I300))</f>
        <v/>
      </c>
      <c r="W300" s="39">
        <f>IF(D300="","",IFERROR(VALUE(MID(D300,LEN(D300)-3,3)),""))</f>
        <v/>
      </c>
      <c r="X300" s="33">
        <f>IF(W300="","",P300&amp;"|"&amp;W300)</f>
        <v/>
      </c>
      <c r="Y300" s="33">
        <f>IF(W300="","",IF(P300="À RENSEIGNER","GIC",P300)&amp;"-"&amp;TEXT(W300,"000"))</f>
        <v/>
      </c>
      <c r="Z300" s="33">
        <f>IF(X300="","",IFERROR(INDEX(Cl_nom,MATCH(X300,Cl_cle,0)),"(client introuvable)"))</f>
        <v/>
      </c>
      <c r="AA300" s="33">
        <f>IF(X300="","",IFERROR(INDEX(Cl_quartier,MATCH(X300,Cl_cle,0))&amp;"",""))</f>
        <v/>
      </c>
      <c r="AB300" s="45">
        <f>IF(R300&lt;&gt;"Livrée",0,IF(K300&lt;&gt;"",K300,C300))</f>
        <v/>
      </c>
      <c r="AC300" s="33">
        <f>IF(OR(C300="",W300=""),"",P300&amp;"|"&amp;W300&amp;"|"&amp;C300&amp;"|"&amp;E300)</f>
        <v/>
      </c>
      <c r="AD300" s="39">
        <f>IF(AC300="","",IF(COUNTIF(AC$6:AC300,AC300)=1,1,0))</f>
        <v/>
      </c>
      <c r="AE300" s="39">
        <f>IF(AB300=0,"",IF(COUNTIFS(X$6:X300,X300,AB$6:AB300,AB300)=1,1,0))</f>
        <v/>
      </c>
      <c r="AF300" s="34">
        <f>IF(C300="","",YEAR(C300-WEEKDAY(C300,2)+4)&amp;"-S"&amp;TEXT(INT((C300-DATE(YEAR(C300-WEEKDAY(C300,2)+4),1,3)+WEEKDAY(DATE(YEAR(C300-WEEKDAY(C300,2)+4),1,3),2)+5)/7),"00"))</f>
        <v/>
      </c>
    </row>
    <row r="301" ht="18" customHeight="1">
      <c r="A301" s="39" t="n">
        <v>296</v>
      </c>
      <c r="B301" s="33">
        <f>IF(C301="","",IF(P301="À RENSEIGNER","GIC",P301)&amp;"-C"&amp;TEXT(A301,"00000"))</f>
        <v/>
      </c>
      <c r="C301" s="32" t="n"/>
      <c r="D301" s="36" t="n"/>
      <c r="E301" s="36" t="n"/>
      <c r="F301" s="36" t="n"/>
      <c r="G301" s="42" t="n"/>
      <c r="H301" s="37" t="n"/>
      <c r="I301" s="37" t="n"/>
      <c r="J301" s="32" t="n"/>
      <c r="K301" s="32" t="n"/>
      <c r="L301" s="43" t="n"/>
      <c r="M301" s="36" t="n"/>
      <c r="N301" s="44" t="n"/>
      <c r="O301" s="36" t="n"/>
      <c r="P301" s="33">
        <f>IF(C301="","",Commercial_Id)</f>
        <v/>
      </c>
      <c r="Q301" s="34">
        <f>IF(AC301="","",IF(AD301=1,"C"&amp;TEXT(SUM(AD$6:AD301),"0000"),INDEX(Q$6:Q300,MATCH(AC301,AC$6:AC300,0))))</f>
        <v/>
      </c>
      <c r="R301" s="34">
        <f>IF(C301="","",IF(L301="☑ Oui","Annulée",IF(OR(E301="Vente directe",K301&lt;&gt;""),"Livrée",IF(J301&lt;&gt;"","Confirmée","En attente"))))</f>
        <v/>
      </c>
      <c r="S301" s="34">
        <f>IF(F301="","",IFERROR(VLOOKUP(F301,T_Produits,2,FALSE),""))</f>
        <v/>
      </c>
      <c r="T301" s="40">
        <f>IF(F301="","",IFERROR(1/(1/VLOOKUP(F301,T_Produits,3,FALSE)),""))</f>
        <v/>
      </c>
      <c r="U301" s="40">
        <f>IF(H301&lt;&gt;"",H301,T301)</f>
        <v/>
      </c>
      <c r="V301" s="40">
        <f>IF(OR(G301="",U301=""),"",G301*U301-N(I301))</f>
        <v/>
      </c>
      <c r="W301" s="39">
        <f>IF(D301="","",IFERROR(VALUE(MID(D301,LEN(D301)-3,3)),""))</f>
        <v/>
      </c>
      <c r="X301" s="33">
        <f>IF(W301="","",P301&amp;"|"&amp;W301)</f>
        <v/>
      </c>
      <c r="Y301" s="33">
        <f>IF(W301="","",IF(P301="À RENSEIGNER","GIC",P301)&amp;"-"&amp;TEXT(W301,"000"))</f>
        <v/>
      </c>
      <c r="Z301" s="33">
        <f>IF(X301="","",IFERROR(INDEX(Cl_nom,MATCH(X301,Cl_cle,0)),"(client introuvable)"))</f>
        <v/>
      </c>
      <c r="AA301" s="33">
        <f>IF(X301="","",IFERROR(INDEX(Cl_quartier,MATCH(X301,Cl_cle,0))&amp;"",""))</f>
        <v/>
      </c>
      <c r="AB301" s="45">
        <f>IF(R301&lt;&gt;"Livrée",0,IF(K301&lt;&gt;"",K301,C301))</f>
        <v/>
      </c>
      <c r="AC301" s="33">
        <f>IF(OR(C301="",W301=""),"",P301&amp;"|"&amp;W301&amp;"|"&amp;C301&amp;"|"&amp;E301)</f>
        <v/>
      </c>
      <c r="AD301" s="39">
        <f>IF(AC301="","",IF(COUNTIF(AC$6:AC301,AC301)=1,1,0))</f>
        <v/>
      </c>
      <c r="AE301" s="39">
        <f>IF(AB301=0,"",IF(COUNTIFS(X$6:X301,X301,AB$6:AB301,AB301)=1,1,0))</f>
        <v/>
      </c>
      <c r="AF301" s="34">
        <f>IF(C301="","",YEAR(C301-WEEKDAY(C301,2)+4)&amp;"-S"&amp;TEXT(INT((C301-DATE(YEAR(C301-WEEKDAY(C301,2)+4),1,3)+WEEKDAY(DATE(YEAR(C301-WEEKDAY(C301,2)+4),1,3),2)+5)/7),"00"))</f>
        <v/>
      </c>
    </row>
    <row r="302" ht="18" customHeight="1">
      <c r="A302" s="39" t="n">
        <v>297</v>
      </c>
      <c r="B302" s="33">
        <f>IF(C302="","",IF(P302="À RENSEIGNER","GIC",P302)&amp;"-C"&amp;TEXT(A302,"00000"))</f>
        <v/>
      </c>
      <c r="C302" s="32" t="n"/>
      <c r="D302" s="36" t="n"/>
      <c r="E302" s="36" t="n"/>
      <c r="F302" s="36" t="n"/>
      <c r="G302" s="42" t="n"/>
      <c r="H302" s="37" t="n"/>
      <c r="I302" s="37" t="n"/>
      <c r="J302" s="32" t="n"/>
      <c r="K302" s="32" t="n"/>
      <c r="L302" s="43" t="n"/>
      <c r="M302" s="36" t="n"/>
      <c r="N302" s="44" t="n"/>
      <c r="O302" s="36" t="n"/>
      <c r="P302" s="33">
        <f>IF(C302="","",Commercial_Id)</f>
        <v/>
      </c>
      <c r="Q302" s="34">
        <f>IF(AC302="","",IF(AD302=1,"C"&amp;TEXT(SUM(AD$6:AD302),"0000"),INDEX(Q$6:Q301,MATCH(AC302,AC$6:AC301,0))))</f>
        <v/>
      </c>
      <c r="R302" s="34">
        <f>IF(C302="","",IF(L302="☑ Oui","Annulée",IF(OR(E302="Vente directe",K302&lt;&gt;""),"Livrée",IF(J302&lt;&gt;"","Confirmée","En attente"))))</f>
        <v/>
      </c>
      <c r="S302" s="34">
        <f>IF(F302="","",IFERROR(VLOOKUP(F302,T_Produits,2,FALSE),""))</f>
        <v/>
      </c>
      <c r="T302" s="40">
        <f>IF(F302="","",IFERROR(1/(1/VLOOKUP(F302,T_Produits,3,FALSE)),""))</f>
        <v/>
      </c>
      <c r="U302" s="40">
        <f>IF(H302&lt;&gt;"",H302,T302)</f>
        <v/>
      </c>
      <c r="V302" s="40">
        <f>IF(OR(G302="",U302=""),"",G302*U302-N(I302))</f>
        <v/>
      </c>
      <c r="W302" s="39">
        <f>IF(D302="","",IFERROR(VALUE(MID(D302,LEN(D302)-3,3)),""))</f>
        <v/>
      </c>
      <c r="X302" s="33">
        <f>IF(W302="","",P302&amp;"|"&amp;W302)</f>
        <v/>
      </c>
      <c r="Y302" s="33">
        <f>IF(W302="","",IF(P302="À RENSEIGNER","GIC",P302)&amp;"-"&amp;TEXT(W302,"000"))</f>
        <v/>
      </c>
      <c r="Z302" s="33">
        <f>IF(X302="","",IFERROR(INDEX(Cl_nom,MATCH(X302,Cl_cle,0)),"(client introuvable)"))</f>
        <v/>
      </c>
      <c r="AA302" s="33">
        <f>IF(X302="","",IFERROR(INDEX(Cl_quartier,MATCH(X302,Cl_cle,0))&amp;"",""))</f>
        <v/>
      </c>
      <c r="AB302" s="45">
        <f>IF(R302&lt;&gt;"Livrée",0,IF(K302&lt;&gt;"",K302,C302))</f>
        <v/>
      </c>
      <c r="AC302" s="33">
        <f>IF(OR(C302="",W302=""),"",P302&amp;"|"&amp;W302&amp;"|"&amp;C302&amp;"|"&amp;E302)</f>
        <v/>
      </c>
      <c r="AD302" s="39">
        <f>IF(AC302="","",IF(COUNTIF(AC$6:AC302,AC302)=1,1,0))</f>
        <v/>
      </c>
      <c r="AE302" s="39">
        <f>IF(AB302=0,"",IF(COUNTIFS(X$6:X302,X302,AB$6:AB302,AB302)=1,1,0))</f>
        <v/>
      </c>
      <c r="AF302" s="34">
        <f>IF(C302="","",YEAR(C302-WEEKDAY(C302,2)+4)&amp;"-S"&amp;TEXT(INT((C302-DATE(YEAR(C302-WEEKDAY(C302,2)+4),1,3)+WEEKDAY(DATE(YEAR(C302-WEEKDAY(C302,2)+4),1,3),2)+5)/7),"00"))</f>
        <v/>
      </c>
    </row>
    <row r="303" ht="18" customHeight="1">
      <c r="A303" s="39" t="n">
        <v>298</v>
      </c>
      <c r="B303" s="33">
        <f>IF(C303="","",IF(P303="À RENSEIGNER","GIC",P303)&amp;"-C"&amp;TEXT(A303,"00000"))</f>
        <v/>
      </c>
      <c r="C303" s="32" t="n"/>
      <c r="D303" s="36" t="n"/>
      <c r="E303" s="36" t="n"/>
      <c r="F303" s="36" t="n"/>
      <c r="G303" s="42" t="n"/>
      <c r="H303" s="37" t="n"/>
      <c r="I303" s="37" t="n"/>
      <c r="J303" s="32" t="n"/>
      <c r="K303" s="32" t="n"/>
      <c r="L303" s="43" t="n"/>
      <c r="M303" s="36" t="n"/>
      <c r="N303" s="44" t="n"/>
      <c r="O303" s="36" t="n"/>
      <c r="P303" s="33">
        <f>IF(C303="","",Commercial_Id)</f>
        <v/>
      </c>
      <c r="Q303" s="34">
        <f>IF(AC303="","",IF(AD303=1,"C"&amp;TEXT(SUM(AD$6:AD303),"0000"),INDEX(Q$6:Q302,MATCH(AC303,AC$6:AC302,0))))</f>
        <v/>
      </c>
      <c r="R303" s="34">
        <f>IF(C303="","",IF(L303="☑ Oui","Annulée",IF(OR(E303="Vente directe",K303&lt;&gt;""),"Livrée",IF(J303&lt;&gt;"","Confirmée","En attente"))))</f>
        <v/>
      </c>
      <c r="S303" s="34">
        <f>IF(F303="","",IFERROR(VLOOKUP(F303,T_Produits,2,FALSE),""))</f>
        <v/>
      </c>
      <c r="T303" s="40">
        <f>IF(F303="","",IFERROR(1/(1/VLOOKUP(F303,T_Produits,3,FALSE)),""))</f>
        <v/>
      </c>
      <c r="U303" s="40">
        <f>IF(H303&lt;&gt;"",H303,T303)</f>
        <v/>
      </c>
      <c r="V303" s="40">
        <f>IF(OR(G303="",U303=""),"",G303*U303-N(I303))</f>
        <v/>
      </c>
      <c r="W303" s="39">
        <f>IF(D303="","",IFERROR(VALUE(MID(D303,LEN(D303)-3,3)),""))</f>
        <v/>
      </c>
      <c r="X303" s="33">
        <f>IF(W303="","",P303&amp;"|"&amp;W303)</f>
        <v/>
      </c>
      <c r="Y303" s="33">
        <f>IF(W303="","",IF(P303="À RENSEIGNER","GIC",P303)&amp;"-"&amp;TEXT(W303,"000"))</f>
        <v/>
      </c>
      <c r="Z303" s="33">
        <f>IF(X303="","",IFERROR(INDEX(Cl_nom,MATCH(X303,Cl_cle,0)),"(client introuvable)"))</f>
        <v/>
      </c>
      <c r="AA303" s="33">
        <f>IF(X303="","",IFERROR(INDEX(Cl_quartier,MATCH(X303,Cl_cle,0))&amp;"",""))</f>
        <v/>
      </c>
      <c r="AB303" s="45">
        <f>IF(R303&lt;&gt;"Livrée",0,IF(K303&lt;&gt;"",K303,C303))</f>
        <v/>
      </c>
      <c r="AC303" s="33">
        <f>IF(OR(C303="",W303=""),"",P303&amp;"|"&amp;W303&amp;"|"&amp;C303&amp;"|"&amp;E303)</f>
        <v/>
      </c>
      <c r="AD303" s="39">
        <f>IF(AC303="","",IF(COUNTIF(AC$6:AC303,AC303)=1,1,0))</f>
        <v/>
      </c>
      <c r="AE303" s="39">
        <f>IF(AB303=0,"",IF(COUNTIFS(X$6:X303,X303,AB$6:AB303,AB303)=1,1,0))</f>
        <v/>
      </c>
      <c r="AF303" s="34">
        <f>IF(C303="","",YEAR(C303-WEEKDAY(C303,2)+4)&amp;"-S"&amp;TEXT(INT((C303-DATE(YEAR(C303-WEEKDAY(C303,2)+4),1,3)+WEEKDAY(DATE(YEAR(C303-WEEKDAY(C303,2)+4),1,3),2)+5)/7),"00"))</f>
        <v/>
      </c>
    </row>
    <row r="304" ht="18" customHeight="1">
      <c r="A304" s="39" t="n">
        <v>299</v>
      </c>
      <c r="B304" s="33">
        <f>IF(C304="","",IF(P304="À RENSEIGNER","GIC",P304)&amp;"-C"&amp;TEXT(A304,"00000"))</f>
        <v/>
      </c>
      <c r="C304" s="32" t="n"/>
      <c r="D304" s="36" t="n"/>
      <c r="E304" s="36" t="n"/>
      <c r="F304" s="36" t="n"/>
      <c r="G304" s="42" t="n"/>
      <c r="H304" s="37" t="n"/>
      <c r="I304" s="37" t="n"/>
      <c r="J304" s="32" t="n"/>
      <c r="K304" s="32" t="n"/>
      <c r="L304" s="43" t="n"/>
      <c r="M304" s="36" t="n"/>
      <c r="N304" s="44" t="n"/>
      <c r="O304" s="36" t="n"/>
      <c r="P304" s="33">
        <f>IF(C304="","",Commercial_Id)</f>
        <v/>
      </c>
      <c r="Q304" s="34">
        <f>IF(AC304="","",IF(AD304=1,"C"&amp;TEXT(SUM(AD$6:AD304),"0000"),INDEX(Q$6:Q303,MATCH(AC304,AC$6:AC303,0))))</f>
        <v/>
      </c>
      <c r="R304" s="34">
        <f>IF(C304="","",IF(L304="☑ Oui","Annulée",IF(OR(E304="Vente directe",K304&lt;&gt;""),"Livrée",IF(J304&lt;&gt;"","Confirmée","En attente"))))</f>
        <v/>
      </c>
      <c r="S304" s="34">
        <f>IF(F304="","",IFERROR(VLOOKUP(F304,T_Produits,2,FALSE),""))</f>
        <v/>
      </c>
      <c r="T304" s="40">
        <f>IF(F304="","",IFERROR(1/(1/VLOOKUP(F304,T_Produits,3,FALSE)),""))</f>
        <v/>
      </c>
      <c r="U304" s="40">
        <f>IF(H304&lt;&gt;"",H304,T304)</f>
        <v/>
      </c>
      <c r="V304" s="40">
        <f>IF(OR(G304="",U304=""),"",G304*U304-N(I304))</f>
        <v/>
      </c>
      <c r="W304" s="39">
        <f>IF(D304="","",IFERROR(VALUE(MID(D304,LEN(D304)-3,3)),""))</f>
        <v/>
      </c>
      <c r="X304" s="33">
        <f>IF(W304="","",P304&amp;"|"&amp;W304)</f>
        <v/>
      </c>
      <c r="Y304" s="33">
        <f>IF(W304="","",IF(P304="À RENSEIGNER","GIC",P304)&amp;"-"&amp;TEXT(W304,"000"))</f>
        <v/>
      </c>
      <c r="Z304" s="33">
        <f>IF(X304="","",IFERROR(INDEX(Cl_nom,MATCH(X304,Cl_cle,0)),"(client introuvable)"))</f>
        <v/>
      </c>
      <c r="AA304" s="33">
        <f>IF(X304="","",IFERROR(INDEX(Cl_quartier,MATCH(X304,Cl_cle,0))&amp;"",""))</f>
        <v/>
      </c>
      <c r="AB304" s="45">
        <f>IF(R304&lt;&gt;"Livrée",0,IF(K304&lt;&gt;"",K304,C304))</f>
        <v/>
      </c>
      <c r="AC304" s="33">
        <f>IF(OR(C304="",W304=""),"",P304&amp;"|"&amp;W304&amp;"|"&amp;C304&amp;"|"&amp;E304)</f>
        <v/>
      </c>
      <c r="AD304" s="39">
        <f>IF(AC304="","",IF(COUNTIF(AC$6:AC304,AC304)=1,1,0))</f>
        <v/>
      </c>
      <c r="AE304" s="39">
        <f>IF(AB304=0,"",IF(COUNTIFS(X$6:X304,X304,AB$6:AB304,AB304)=1,1,0))</f>
        <v/>
      </c>
      <c r="AF304" s="34">
        <f>IF(C304="","",YEAR(C304-WEEKDAY(C304,2)+4)&amp;"-S"&amp;TEXT(INT((C304-DATE(YEAR(C304-WEEKDAY(C304,2)+4),1,3)+WEEKDAY(DATE(YEAR(C304-WEEKDAY(C304,2)+4),1,3),2)+5)/7),"00"))</f>
        <v/>
      </c>
    </row>
    <row r="305" ht="18" customHeight="1">
      <c r="A305" s="39" t="n">
        <v>300</v>
      </c>
      <c r="B305" s="33">
        <f>IF(C305="","",IF(P305="À RENSEIGNER","GIC",P305)&amp;"-C"&amp;TEXT(A305,"00000"))</f>
        <v/>
      </c>
      <c r="C305" s="32" t="n"/>
      <c r="D305" s="36" t="n"/>
      <c r="E305" s="36" t="n"/>
      <c r="F305" s="36" t="n"/>
      <c r="G305" s="42" t="n"/>
      <c r="H305" s="37" t="n"/>
      <c r="I305" s="37" t="n"/>
      <c r="J305" s="32" t="n"/>
      <c r="K305" s="32" t="n"/>
      <c r="L305" s="43" t="n"/>
      <c r="M305" s="36" t="n"/>
      <c r="N305" s="44" t="n"/>
      <c r="O305" s="36" t="n"/>
      <c r="P305" s="33">
        <f>IF(C305="","",Commercial_Id)</f>
        <v/>
      </c>
      <c r="Q305" s="34">
        <f>IF(AC305="","",IF(AD305=1,"C"&amp;TEXT(SUM(AD$6:AD305),"0000"),INDEX(Q$6:Q304,MATCH(AC305,AC$6:AC304,0))))</f>
        <v/>
      </c>
      <c r="R305" s="34">
        <f>IF(C305="","",IF(L305="☑ Oui","Annulée",IF(OR(E305="Vente directe",K305&lt;&gt;""),"Livrée",IF(J305&lt;&gt;"","Confirmée","En attente"))))</f>
        <v/>
      </c>
      <c r="S305" s="34">
        <f>IF(F305="","",IFERROR(VLOOKUP(F305,T_Produits,2,FALSE),""))</f>
        <v/>
      </c>
      <c r="T305" s="40">
        <f>IF(F305="","",IFERROR(1/(1/VLOOKUP(F305,T_Produits,3,FALSE)),""))</f>
        <v/>
      </c>
      <c r="U305" s="40">
        <f>IF(H305&lt;&gt;"",H305,T305)</f>
        <v/>
      </c>
      <c r="V305" s="40">
        <f>IF(OR(G305="",U305=""),"",G305*U305-N(I305))</f>
        <v/>
      </c>
      <c r="W305" s="39">
        <f>IF(D305="","",IFERROR(VALUE(MID(D305,LEN(D305)-3,3)),""))</f>
        <v/>
      </c>
      <c r="X305" s="33">
        <f>IF(W305="","",P305&amp;"|"&amp;W305)</f>
        <v/>
      </c>
      <c r="Y305" s="33">
        <f>IF(W305="","",IF(P305="À RENSEIGNER","GIC",P305)&amp;"-"&amp;TEXT(W305,"000"))</f>
        <v/>
      </c>
      <c r="Z305" s="33">
        <f>IF(X305="","",IFERROR(INDEX(Cl_nom,MATCH(X305,Cl_cle,0)),"(client introuvable)"))</f>
        <v/>
      </c>
      <c r="AA305" s="33">
        <f>IF(X305="","",IFERROR(INDEX(Cl_quartier,MATCH(X305,Cl_cle,0))&amp;"",""))</f>
        <v/>
      </c>
      <c r="AB305" s="45">
        <f>IF(R305&lt;&gt;"Livrée",0,IF(K305&lt;&gt;"",K305,C305))</f>
        <v/>
      </c>
      <c r="AC305" s="33">
        <f>IF(OR(C305="",W305=""),"",P305&amp;"|"&amp;W305&amp;"|"&amp;C305&amp;"|"&amp;E305)</f>
        <v/>
      </c>
      <c r="AD305" s="39">
        <f>IF(AC305="","",IF(COUNTIF(AC$6:AC305,AC305)=1,1,0))</f>
        <v/>
      </c>
      <c r="AE305" s="39">
        <f>IF(AB305=0,"",IF(COUNTIFS(X$6:X305,X305,AB$6:AB305,AB305)=1,1,0))</f>
        <v/>
      </c>
      <c r="AF305" s="34">
        <f>IF(C305="","",YEAR(C305-WEEKDAY(C305,2)+4)&amp;"-S"&amp;TEXT(INT((C305-DATE(YEAR(C305-WEEKDAY(C305,2)+4),1,3)+WEEKDAY(DATE(YEAR(C305-WEEKDAY(C305,2)+4),1,3),2)+5)/7),"00"))</f>
        <v/>
      </c>
    </row>
    <row r="306" ht="18" customHeight="1">
      <c r="A306" s="39" t="n">
        <v>301</v>
      </c>
      <c r="B306" s="33">
        <f>IF(C306="","",IF(P306="À RENSEIGNER","GIC",P306)&amp;"-C"&amp;TEXT(A306,"00000"))</f>
        <v/>
      </c>
      <c r="C306" s="32" t="n"/>
      <c r="D306" s="36" t="n"/>
      <c r="E306" s="36" t="n"/>
      <c r="F306" s="36" t="n"/>
      <c r="G306" s="42" t="n"/>
      <c r="H306" s="37" t="n"/>
      <c r="I306" s="37" t="n"/>
      <c r="J306" s="32" t="n"/>
      <c r="K306" s="32" t="n"/>
      <c r="L306" s="43" t="n"/>
      <c r="M306" s="36" t="n"/>
      <c r="N306" s="44" t="n"/>
      <c r="O306" s="36" t="n"/>
      <c r="P306" s="33">
        <f>IF(C306="","",Commercial_Id)</f>
        <v/>
      </c>
      <c r="Q306" s="34">
        <f>IF(AC306="","",IF(AD306=1,"C"&amp;TEXT(SUM(AD$6:AD306),"0000"),INDEX(Q$6:Q305,MATCH(AC306,AC$6:AC305,0))))</f>
        <v/>
      </c>
      <c r="R306" s="34">
        <f>IF(C306="","",IF(L306="☑ Oui","Annulée",IF(OR(E306="Vente directe",K306&lt;&gt;""),"Livrée",IF(J306&lt;&gt;"","Confirmée","En attente"))))</f>
        <v/>
      </c>
      <c r="S306" s="34">
        <f>IF(F306="","",IFERROR(VLOOKUP(F306,T_Produits,2,FALSE),""))</f>
        <v/>
      </c>
      <c r="T306" s="40">
        <f>IF(F306="","",IFERROR(1/(1/VLOOKUP(F306,T_Produits,3,FALSE)),""))</f>
        <v/>
      </c>
      <c r="U306" s="40">
        <f>IF(H306&lt;&gt;"",H306,T306)</f>
        <v/>
      </c>
      <c r="V306" s="40">
        <f>IF(OR(G306="",U306=""),"",G306*U306-N(I306))</f>
        <v/>
      </c>
      <c r="W306" s="39">
        <f>IF(D306="","",IFERROR(VALUE(MID(D306,LEN(D306)-3,3)),""))</f>
        <v/>
      </c>
      <c r="X306" s="33">
        <f>IF(W306="","",P306&amp;"|"&amp;W306)</f>
        <v/>
      </c>
      <c r="Y306" s="33">
        <f>IF(W306="","",IF(P306="À RENSEIGNER","GIC",P306)&amp;"-"&amp;TEXT(W306,"000"))</f>
        <v/>
      </c>
      <c r="Z306" s="33">
        <f>IF(X306="","",IFERROR(INDEX(Cl_nom,MATCH(X306,Cl_cle,0)),"(client introuvable)"))</f>
        <v/>
      </c>
      <c r="AA306" s="33">
        <f>IF(X306="","",IFERROR(INDEX(Cl_quartier,MATCH(X306,Cl_cle,0))&amp;"",""))</f>
        <v/>
      </c>
      <c r="AB306" s="45">
        <f>IF(R306&lt;&gt;"Livrée",0,IF(K306&lt;&gt;"",K306,C306))</f>
        <v/>
      </c>
      <c r="AC306" s="33">
        <f>IF(OR(C306="",W306=""),"",P306&amp;"|"&amp;W306&amp;"|"&amp;C306&amp;"|"&amp;E306)</f>
        <v/>
      </c>
      <c r="AD306" s="39">
        <f>IF(AC306="","",IF(COUNTIF(AC$6:AC306,AC306)=1,1,0))</f>
        <v/>
      </c>
      <c r="AE306" s="39">
        <f>IF(AB306=0,"",IF(COUNTIFS(X$6:X306,X306,AB$6:AB306,AB306)=1,1,0))</f>
        <v/>
      </c>
      <c r="AF306" s="34">
        <f>IF(C306="","",YEAR(C306-WEEKDAY(C306,2)+4)&amp;"-S"&amp;TEXT(INT((C306-DATE(YEAR(C306-WEEKDAY(C306,2)+4),1,3)+WEEKDAY(DATE(YEAR(C306-WEEKDAY(C306,2)+4),1,3),2)+5)/7),"00"))</f>
        <v/>
      </c>
    </row>
    <row r="307" ht="18" customHeight="1">
      <c r="A307" s="39" t="n">
        <v>302</v>
      </c>
      <c r="B307" s="33">
        <f>IF(C307="","",IF(P307="À RENSEIGNER","GIC",P307)&amp;"-C"&amp;TEXT(A307,"00000"))</f>
        <v/>
      </c>
      <c r="C307" s="32" t="n"/>
      <c r="D307" s="36" t="n"/>
      <c r="E307" s="36" t="n"/>
      <c r="F307" s="36" t="n"/>
      <c r="G307" s="42" t="n"/>
      <c r="H307" s="37" t="n"/>
      <c r="I307" s="37" t="n"/>
      <c r="J307" s="32" t="n"/>
      <c r="K307" s="32" t="n"/>
      <c r="L307" s="43" t="n"/>
      <c r="M307" s="36" t="n"/>
      <c r="N307" s="44" t="n"/>
      <c r="O307" s="36" t="n"/>
      <c r="P307" s="33">
        <f>IF(C307="","",Commercial_Id)</f>
        <v/>
      </c>
      <c r="Q307" s="34">
        <f>IF(AC307="","",IF(AD307=1,"C"&amp;TEXT(SUM(AD$6:AD307),"0000"),INDEX(Q$6:Q306,MATCH(AC307,AC$6:AC306,0))))</f>
        <v/>
      </c>
      <c r="R307" s="34">
        <f>IF(C307="","",IF(L307="☑ Oui","Annulée",IF(OR(E307="Vente directe",K307&lt;&gt;""),"Livrée",IF(J307&lt;&gt;"","Confirmée","En attente"))))</f>
        <v/>
      </c>
      <c r="S307" s="34">
        <f>IF(F307="","",IFERROR(VLOOKUP(F307,T_Produits,2,FALSE),""))</f>
        <v/>
      </c>
      <c r="T307" s="40">
        <f>IF(F307="","",IFERROR(1/(1/VLOOKUP(F307,T_Produits,3,FALSE)),""))</f>
        <v/>
      </c>
      <c r="U307" s="40">
        <f>IF(H307&lt;&gt;"",H307,T307)</f>
        <v/>
      </c>
      <c r="V307" s="40">
        <f>IF(OR(G307="",U307=""),"",G307*U307-N(I307))</f>
        <v/>
      </c>
      <c r="W307" s="39">
        <f>IF(D307="","",IFERROR(VALUE(MID(D307,LEN(D307)-3,3)),""))</f>
        <v/>
      </c>
      <c r="X307" s="33">
        <f>IF(W307="","",P307&amp;"|"&amp;W307)</f>
        <v/>
      </c>
      <c r="Y307" s="33">
        <f>IF(W307="","",IF(P307="À RENSEIGNER","GIC",P307)&amp;"-"&amp;TEXT(W307,"000"))</f>
        <v/>
      </c>
      <c r="Z307" s="33">
        <f>IF(X307="","",IFERROR(INDEX(Cl_nom,MATCH(X307,Cl_cle,0)),"(client introuvable)"))</f>
        <v/>
      </c>
      <c r="AA307" s="33">
        <f>IF(X307="","",IFERROR(INDEX(Cl_quartier,MATCH(X307,Cl_cle,0))&amp;"",""))</f>
        <v/>
      </c>
      <c r="AB307" s="45">
        <f>IF(R307&lt;&gt;"Livrée",0,IF(K307&lt;&gt;"",K307,C307))</f>
        <v/>
      </c>
      <c r="AC307" s="33">
        <f>IF(OR(C307="",W307=""),"",P307&amp;"|"&amp;W307&amp;"|"&amp;C307&amp;"|"&amp;E307)</f>
        <v/>
      </c>
      <c r="AD307" s="39">
        <f>IF(AC307="","",IF(COUNTIF(AC$6:AC307,AC307)=1,1,0))</f>
        <v/>
      </c>
      <c r="AE307" s="39">
        <f>IF(AB307=0,"",IF(COUNTIFS(X$6:X307,X307,AB$6:AB307,AB307)=1,1,0))</f>
        <v/>
      </c>
      <c r="AF307" s="34">
        <f>IF(C307="","",YEAR(C307-WEEKDAY(C307,2)+4)&amp;"-S"&amp;TEXT(INT((C307-DATE(YEAR(C307-WEEKDAY(C307,2)+4),1,3)+WEEKDAY(DATE(YEAR(C307-WEEKDAY(C307,2)+4),1,3),2)+5)/7),"00"))</f>
        <v/>
      </c>
    </row>
    <row r="308" ht="18" customHeight="1">
      <c r="A308" s="39" t="n">
        <v>303</v>
      </c>
      <c r="B308" s="33">
        <f>IF(C308="","",IF(P308="À RENSEIGNER","GIC",P308)&amp;"-C"&amp;TEXT(A308,"00000"))</f>
        <v/>
      </c>
      <c r="C308" s="32" t="n"/>
      <c r="D308" s="36" t="n"/>
      <c r="E308" s="36" t="n"/>
      <c r="F308" s="36" t="n"/>
      <c r="G308" s="42" t="n"/>
      <c r="H308" s="37" t="n"/>
      <c r="I308" s="37" t="n"/>
      <c r="J308" s="32" t="n"/>
      <c r="K308" s="32" t="n"/>
      <c r="L308" s="43" t="n"/>
      <c r="M308" s="36" t="n"/>
      <c r="N308" s="44" t="n"/>
      <c r="O308" s="36" t="n"/>
      <c r="P308" s="33">
        <f>IF(C308="","",Commercial_Id)</f>
        <v/>
      </c>
      <c r="Q308" s="34">
        <f>IF(AC308="","",IF(AD308=1,"C"&amp;TEXT(SUM(AD$6:AD308),"0000"),INDEX(Q$6:Q307,MATCH(AC308,AC$6:AC307,0))))</f>
        <v/>
      </c>
      <c r="R308" s="34">
        <f>IF(C308="","",IF(L308="☑ Oui","Annulée",IF(OR(E308="Vente directe",K308&lt;&gt;""),"Livrée",IF(J308&lt;&gt;"","Confirmée","En attente"))))</f>
        <v/>
      </c>
      <c r="S308" s="34">
        <f>IF(F308="","",IFERROR(VLOOKUP(F308,T_Produits,2,FALSE),""))</f>
        <v/>
      </c>
      <c r="T308" s="40">
        <f>IF(F308="","",IFERROR(1/(1/VLOOKUP(F308,T_Produits,3,FALSE)),""))</f>
        <v/>
      </c>
      <c r="U308" s="40">
        <f>IF(H308&lt;&gt;"",H308,T308)</f>
        <v/>
      </c>
      <c r="V308" s="40">
        <f>IF(OR(G308="",U308=""),"",G308*U308-N(I308))</f>
        <v/>
      </c>
      <c r="W308" s="39">
        <f>IF(D308="","",IFERROR(VALUE(MID(D308,LEN(D308)-3,3)),""))</f>
        <v/>
      </c>
      <c r="X308" s="33">
        <f>IF(W308="","",P308&amp;"|"&amp;W308)</f>
        <v/>
      </c>
      <c r="Y308" s="33">
        <f>IF(W308="","",IF(P308="À RENSEIGNER","GIC",P308)&amp;"-"&amp;TEXT(W308,"000"))</f>
        <v/>
      </c>
      <c r="Z308" s="33">
        <f>IF(X308="","",IFERROR(INDEX(Cl_nom,MATCH(X308,Cl_cle,0)),"(client introuvable)"))</f>
        <v/>
      </c>
      <c r="AA308" s="33">
        <f>IF(X308="","",IFERROR(INDEX(Cl_quartier,MATCH(X308,Cl_cle,0))&amp;"",""))</f>
        <v/>
      </c>
      <c r="AB308" s="45">
        <f>IF(R308&lt;&gt;"Livrée",0,IF(K308&lt;&gt;"",K308,C308))</f>
        <v/>
      </c>
      <c r="AC308" s="33">
        <f>IF(OR(C308="",W308=""),"",P308&amp;"|"&amp;W308&amp;"|"&amp;C308&amp;"|"&amp;E308)</f>
        <v/>
      </c>
      <c r="AD308" s="39">
        <f>IF(AC308="","",IF(COUNTIF(AC$6:AC308,AC308)=1,1,0))</f>
        <v/>
      </c>
      <c r="AE308" s="39">
        <f>IF(AB308=0,"",IF(COUNTIFS(X$6:X308,X308,AB$6:AB308,AB308)=1,1,0))</f>
        <v/>
      </c>
      <c r="AF308" s="34">
        <f>IF(C308="","",YEAR(C308-WEEKDAY(C308,2)+4)&amp;"-S"&amp;TEXT(INT((C308-DATE(YEAR(C308-WEEKDAY(C308,2)+4),1,3)+WEEKDAY(DATE(YEAR(C308-WEEKDAY(C308,2)+4),1,3),2)+5)/7),"00"))</f>
        <v/>
      </c>
    </row>
    <row r="309" ht="18" customHeight="1">
      <c r="A309" s="39" t="n">
        <v>304</v>
      </c>
      <c r="B309" s="33">
        <f>IF(C309="","",IF(P309="À RENSEIGNER","GIC",P309)&amp;"-C"&amp;TEXT(A309,"00000"))</f>
        <v/>
      </c>
      <c r="C309" s="32" t="n"/>
      <c r="D309" s="36" t="n"/>
      <c r="E309" s="36" t="n"/>
      <c r="F309" s="36" t="n"/>
      <c r="G309" s="42" t="n"/>
      <c r="H309" s="37" t="n"/>
      <c r="I309" s="37" t="n"/>
      <c r="J309" s="32" t="n"/>
      <c r="K309" s="32" t="n"/>
      <c r="L309" s="43" t="n"/>
      <c r="M309" s="36" t="n"/>
      <c r="N309" s="44" t="n"/>
      <c r="O309" s="36" t="n"/>
      <c r="P309" s="33">
        <f>IF(C309="","",Commercial_Id)</f>
        <v/>
      </c>
      <c r="Q309" s="34">
        <f>IF(AC309="","",IF(AD309=1,"C"&amp;TEXT(SUM(AD$6:AD309),"0000"),INDEX(Q$6:Q308,MATCH(AC309,AC$6:AC308,0))))</f>
        <v/>
      </c>
      <c r="R309" s="34">
        <f>IF(C309="","",IF(L309="☑ Oui","Annulée",IF(OR(E309="Vente directe",K309&lt;&gt;""),"Livrée",IF(J309&lt;&gt;"","Confirmée","En attente"))))</f>
        <v/>
      </c>
      <c r="S309" s="34">
        <f>IF(F309="","",IFERROR(VLOOKUP(F309,T_Produits,2,FALSE),""))</f>
        <v/>
      </c>
      <c r="T309" s="40">
        <f>IF(F309="","",IFERROR(1/(1/VLOOKUP(F309,T_Produits,3,FALSE)),""))</f>
        <v/>
      </c>
      <c r="U309" s="40">
        <f>IF(H309&lt;&gt;"",H309,T309)</f>
        <v/>
      </c>
      <c r="V309" s="40">
        <f>IF(OR(G309="",U309=""),"",G309*U309-N(I309))</f>
        <v/>
      </c>
      <c r="W309" s="39">
        <f>IF(D309="","",IFERROR(VALUE(MID(D309,LEN(D309)-3,3)),""))</f>
        <v/>
      </c>
      <c r="X309" s="33">
        <f>IF(W309="","",P309&amp;"|"&amp;W309)</f>
        <v/>
      </c>
      <c r="Y309" s="33">
        <f>IF(W309="","",IF(P309="À RENSEIGNER","GIC",P309)&amp;"-"&amp;TEXT(W309,"000"))</f>
        <v/>
      </c>
      <c r="Z309" s="33">
        <f>IF(X309="","",IFERROR(INDEX(Cl_nom,MATCH(X309,Cl_cle,0)),"(client introuvable)"))</f>
        <v/>
      </c>
      <c r="AA309" s="33">
        <f>IF(X309="","",IFERROR(INDEX(Cl_quartier,MATCH(X309,Cl_cle,0))&amp;"",""))</f>
        <v/>
      </c>
      <c r="AB309" s="45">
        <f>IF(R309&lt;&gt;"Livrée",0,IF(K309&lt;&gt;"",K309,C309))</f>
        <v/>
      </c>
      <c r="AC309" s="33">
        <f>IF(OR(C309="",W309=""),"",P309&amp;"|"&amp;W309&amp;"|"&amp;C309&amp;"|"&amp;E309)</f>
        <v/>
      </c>
      <c r="AD309" s="39">
        <f>IF(AC309="","",IF(COUNTIF(AC$6:AC309,AC309)=1,1,0))</f>
        <v/>
      </c>
      <c r="AE309" s="39">
        <f>IF(AB309=0,"",IF(COUNTIFS(X$6:X309,X309,AB$6:AB309,AB309)=1,1,0))</f>
        <v/>
      </c>
      <c r="AF309" s="34">
        <f>IF(C309="","",YEAR(C309-WEEKDAY(C309,2)+4)&amp;"-S"&amp;TEXT(INT((C309-DATE(YEAR(C309-WEEKDAY(C309,2)+4),1,3)+WEEKDAY(DATE(YEAR(C309-WEEKDAY(C309,2)+4),1,3),2)+5)/7),"00"))</f>
        <v/>
      </c>
    </row>
    <row r="310" ht="18" customHeight="1">
      <c r="A310" s="39" t="n">
        <v>305</v>
      </c>
      <c r="B310" s="33">
        <f>IF(C310="","",IF(P310="À RENSEIGNER","GIC",P310)&amp;"-C"&amp;TEXT(A310,"00000"))</f>
        <v/>
      </c>
      <c r="C310" s="32" t="n"/>
      <c r="D310" s="36" t="n"/>
      <c r="E310" s="36" t="n"/>
      <c r="F310" s="36" t="n"/>
      <c r="G310" s="42" t="n"/>
      <c r="H310" s="37" t="n"/>
      <c r="I310" s="37" t="n"/>
      <c r="J310" s="32" t="n"/>
      <c r="K310" s="32" t="n"/>
      <c r="L310" s="43" t="n"/>
      <c r="M310" s="36" t="n"/>
      <c r="N310" s="44" t="n"/>
      <c r="O310" s="36" t="n"/>
      <c r="P310" s="33">
        <f>IF(C310="","",Commercial_Id)</f>
        <v/>
      </c>
      <c r="Q310" s="34">
        <f>IF(AC310="","",IF(AD310=1,"C"&amp;TEXT(SUM(AD$6:AD310),"0000"),INDEX(Q$6:Q309,MATCH(AC310,AC$6:AC309,0))))</f>
        <v/>
      </c>
      <c r="R310" s="34">
        <f>IF(C310="","",IF(L310="☑ Oui","Annulée",IF(OR(E310="Vente directe",K310&lt;&gt;""),"Livrée",IF(J310&lt;&gt;"","Confirmée","En attente"))))</f>
        <v/>
      </c>
      <c r="S310" s="34">
        <f>IF(F310="","",IFERROR(VLOOKUP(F310,T_Produits,2,FALSE),""))</f>
        <v/>
      </c>
      <c r="T310" s="40">
        <f>IF(F310="","",IFERROR(1/(1/VLOOKUP(F310,T_Produits,3,FALSE)),""))</f>
        <v/>
      </c>
      <c r="U310" s="40">
        <f>IF(H310&lt;&gt;"",H310,T310)</f>
        <v/>
      </c>
      <c r="V310" s="40">
        <f>IF(OR(G310="",U310=""),"",G310*U310-N(I310))</f>
        <v/>
      </c>
      <c r="W310" s="39">
        <f>IF(D310="","",IFERROR(VALUE(MID(D310,LEN(D310)-3,3)),""))</f>
        <v/>
      </c>
      <c r="X310" s="33">
        <f>IF(W310="","",P310&amp;"|"&amp;W310)</f>
        <v/>
      </c>
      <c r="Y310" s="33">
        <f>IF(W310="","",IF(P310="À RENSEIGNER","GIC",P310)&amp;"-"&amp;TEXT(W310,"000"))</f>
        <v/>
      </c>
      <c r="Z310" s="33">
        <f>IF(X310="","",IFERROR(INDEX(Cl_nom,MATCH(X310,Cl_cle,0)),"(client introuvable)"))</f>
        <v/>
      </c>
      <c r="AA310" s="33">
        <f>IF(X310="","",IFERROR(INDEX(Cl_quartier,MATCH(X310,Cl_cle,0))&amp;"",""))</f>
        <v/>
      </c>
      <c r="AB310" s="45">
        <f>IF(R310&lt;&gt;"Livrée",0,IF(K310&lt;&gt;"",K310,C310))</f>
        <v/>
      </c>
      <c r="AC310" s="33">
        <f>IF(OR(C310="",W310=""),"",P310&amp;"|"&amp;W310&amp;"|"&amp;C310&amp;"|"&amp;E310)</f>
        <v/>
      </c>
      <c r="AD310" s="39">
        <f>IF(AC310="","",IF(COUNTIF(AC$6:AC310,AC310)=1,1,0))</f>
        <v/>
      </c>
      <c r="AE310" s="39">
        <f>IF(AB310=0,"",IF(COUNTIFS(X$6:X310,X310,AB$6:AB310,AB310)=1,1,0))</f>
        <v/>
      </c>
      <c r="AF310" s="34">
        <f>IF(C310="","",YEAR(C310-WEEKDAY(C310,2)+4)&amp;"-S"&amp;TEXT(INT((C310-DATE(YEAR(C310-WEEKDAY(C310,2)+4),1,3)+WEEKDAY(DATE(YEAR(C310-WEEKDAY(C310,2)+4),1,3),2)+5)/7),"00"))</f>
        <v/>
      </c>
    </row>
    <row r="311" ht="18" customHeight="1">
      <c r="A311" s="39" t="n">
        <v>306</v>
      </c>
      <c r="B311" s="33">
        <f>IF(C311="","",IF(P311="À RENSEIGNER","GIC",P311)&amp;"-C"&amp;TEXT(A311,"00000"))</f>
        <v/>
      </c>
      <c r="C311" s="32" t="n"/>
      <c r="D311" s="36" t="n"/>
      <c r="E311" s="36" t="n"/>
      <c r="F311" s="36" t="n"/>
      <c r="G311" s="42" t="n"/>
      <c r="H311" s="37" t="n"/>
      <c r="I311" s="37" t="n"/>
      <c r="J311" s="32" t="n"/>
      <c r="K311" s="32" t="n"/>
      <c r="L311" s="43" t="n"/>
      <c r="M311" s="36" t="n"/>
      <c r="N311" s="44" t="n"/>
      <c r="O311" s="36" t="n"/>
      <c r="P311" s="33">
        <f>IF(C311="","",Commercial_Id)</f>
        <v/>
      </c>
      <c r="Q311" s="34">
        <f>IF(AC311="","",IF(AD311=1,"C"&amp;TEXT(SUM(AD$6:AD311),"0000"),INDEX(Q$6:Q310,MATCH(AC311,AC$6:AC310,0))))</f>
        <v/>
      </c>
      <c r="R311" s="34">
        <f>IF(C311="","",IF(L311="☑ Oui","Annulée",IF(OR(E311="Vente directe",K311&lt;&gt;""),"Livrée",IF(J311&lt;&gt;"","Confirmée","En attente"))))</f>
        <v/>
      </c>
      <c r="S311" s="34">
        <f>IF(F311="","",IFERROR(VLOOKUP(F311,T_Produits,2,FALSE),""))</f>
        <v/>
      </c>
      <c r="T311" s="40">
        <f>IF(F311="","",IFERROR(1/(1/VLOOKUP(F311,T_Produits,3,FALSE)),""))</f>
        <v/>
      </c>
      <c r="U311" s="40">
        <f>IF(H311&lt;&gt;"",H311,T311)</f>
        <v/>
      </c>
      <c r="V311" s="40">
        <f>IF(OR(G311="",U311=""),"",G311*U311-N(I311))</f>
        <v/>
      </c>
      <c r="W311" s="39">
        <f>IF(D311="","",IFERROR(VALUE(MID(D311,LEN(D311)-3,3)),""))</f>
        <v/>
      </c>
      <c r="X311" s="33">
        <f>IF(W311="","",P311&amp;"|"&amp;W311)</f>
        <v/>
      </c>
      <c r="Y311" s="33">
        <f>IF(W311="","",IF(P311="À RENSEIGNER","GIC",P311)&amp;"-"&amp;TEXT(W311,"000"))</f>
        <v/>
      </c>
      <c r="Z311" s="33">
        <f>IF(X311="","",IFERROR(INDEX(Cl_nom,MATCH(X311,Cl_cle,0)),"(client introuvable)"))</f>
        <v/>
      </c>
      <c r="AA311" s="33">
        <f>IF(X311="","",IFERROR(INDEX(Cl_quartier,MATCH(X311,Cl_cle,0))&amp;"",""))</f>
        <v/>
      </c>
      <c r="AB311" s="45">
        <f>IF(R311&lt;&gt;"Livrée",0,IF(K311&lt;&gt;"",K311,C311))</f>
        <v/>
      </c>
      <c r="AC311" s="33">
        <f>IF(OR(C311="",W311=""),"",P311&amp;"|"&amp;W311&amp;"|"&amp;C311&amp;"|"&amp;E311)</f>
        <v/>
      </c>
      <c r="AD311" s="39">
        <f>IF(AC311="","",IF(COUNTIF(AC$6:AC311,AC311)=1,1,0))</f>
        <v/>
      </c>
      <c r="AE311" s="39">
        <f>IF(AB311=0,"",IF(COUNTIFS(X$6:X311,X311,AB$6:AB311,AB311)=1,1,0))</f>
        <v/>
      </c>
      <c r="AF311" s="34">
        <f>IF(C311="","",YEAR(C311-WEEKDAY(C311,2)+4)&amp;"-S"&amp;TEXT(INT((C311-DATE(YEAR(C311-WEEKDAY(C311,2)+4),1,3)+WEEKDAY(DATE(YEAR(C311-WEEKDAY(C311,2)+4),1,3),2)+5)/7),"00"))</f>
        <v/>
      </c>
    </row>
    <row r="312" ht="18" customHeight="1">
      <c r="A312" s="39" t="n">
        <v>307</v>
      </c>
      <c r="B312" s="33">
        <f>IF(C312="","",IF(P312="À RENSEIGNER","GIC",P312)&amp;"-C"&amp;TEXT(A312,"00000"))</f>
        <v/>
      </c>
      <c r="C312" s="32" t="n"/>
      <c r="D312" s="36" t="n"/>
      <c r="E312" s="36" t="n"/>
      <c r="F312" s="36" t="n"/>
      <c r="G312" s="42" t="n"/>
      <c r="H312" s="37" t="n"/>
      <c r="I312" s="37" t="n"/>
      <c r="J312" s="32" t="n"/>
      <c r="K312" s="32" t="n"/>
      <c r="L312" s="43" t="n"/>
      <c r="M312" s="36" t="n"/>
      <c r="N312" s="44" t="n"/>
      <c r="O312" s="36" t="n"/>
      <c r="P312" s="33">
        <f>IF(C312="","",Commercial_Id)</f>
        <v/>
      </c>
      <c r="Q312" s="34">
        <f>IF(AC312="","",IF(AD312=1,"C"&amp;TEXT(SUM(AD$6:AD312),"0000"),INDEX(Q$6:Q311,MATCH(AC312,AC$6:AC311,0))))</f>
        <v/>
      </c>
      <c r="R312" s="34">
        <f>IF(C312="","",IF(L312="☑ Oui","Annulée",IF(OR(E312="Vente directe",K312&lt;&gt;""),"Livrée",IF(J312&lt;&gt;"","Confirmée","En attente"))))</f>
        <v/>
      </c>
      <c r="S312" s="34">
        <f>IF(F312="","",IFERROR(VLOOKUP(F312,T_Produits,2,FALSE),""))</f>
        <v/>
      </c>
      <c r="T312" s="40">
        <f>IF(F312="","",IFERROR(1/(1/VLOOKUP(F312,T_Produits,3,FALSE)),""))</f>
        <v/>
      </c>
      <c r="U312" s="40">
        <f>IF(H312&lt;&gt;"",H312,T312)</f>
        <v/>
      </c>
      <c r="V312" s="40">
        <f>IF(OR(G312="",U312=""),"",G312*U312-N(I312))</f>
        <v/>
      </c>
      <c r="W312" s="39">
        <f>IF(D312="","",IFERROR(VALUE(MID(D312,LEN(D312)-3,3)),""))</f>
        <v/>
      </c>
      <c r="X312" s="33">
        <f>IF(W312="","",P312&amp;"|"&amp;W312)</f>
        <v/>
      </c>
      <c r="Y312" s="33">
        <f>IF(W312="","",IF(P312="À RENSEIGNER","GIC",P312)&amp;"-"&amp;TEXT(W312,"000"))</f>
        <v/>
      </c>
      <c r="Z312" s="33">
        <f>IF(X312="","",IFERROR(INDEX(Cl_nom,MATCH(X312,Cl_cle,0)),"(client introuvable)"))</f>
        <v/>
      </c>
      <c r="AA312" s="33">
        <f>IF(X312="","",IFERROR(INDEX(Cl_quartier,MATCH(X312,Cl_cle,0))&amp;"",""))</f>
        <v/>
      </c>
      <c r="AB312" s="45">
        <f>IF(R312&lt;&gt;"Livrée",0,IF(K312&lt;&gt;"",K312,C312))</f>
        <v/>
      </c>
      <c r="AC312" s="33">
        <f>IF(OR(C312="",W312=""),"",P312&amp;"|"&amp;W312&amp;"|"&amp;C312&amp;"|"&amp;E312)</f>
        <v/>
      </c>
      <c r="AD312" s="39">
        <f>IF(AC312="","",IF(COUNTIF(AC$6:AC312,AC312)=1,1,0))</f>
        <v/>
      </c>
      <c r="AE312" s="39">
        <f>IF(AB312=0,"",IF(COUNTIFS(X$6:X312,X312,AB$6:AB312,AB312)=1,1,0))</f>
        <v/>
      </c>
      <c r="AF312" s="34">
        <f>IF(C312="","",YEAR(C312-WEEKDAY(C312,2)+4)&amp;"-S"&amp;TEXT(INT((C312-DATE(YEAR(C312-WEEKDAY(C312,2)+4),1,3)+WEEKDAY(DATE(YEAR(C312-WEEKDAY(C312,2)+4),1,3),2)+5)/7),"00"))</f>
        <v/>
      </c>
    </row>
    <row r="313" ht="18" customHeight="1">
      <c r="A313" s="39" t="n">
        <v>308</v>
      </c>
      <c r="B313" s="33">
        <f>IF(C313="","",IF(P313="À RENSEIGNER","GIC",P313)&amp;"-C"&amp;TEXT(A313,"00000"))</f>
        <v/>
      </c>
      <c r="C313" s="32" t="n"/>
      <c r="D313" s="36" t="n"/>
      <c r="E313" s="36" t="n"/>
      <c r="F313" s="36" t="n"/>
      <c r="G313" s="42" t="n"/>
      <c r="H313" s="37" t="n"/>
      <c r="I313" s="37" t="n"/>
      <c r="J313" s="32" t="n"/>
      <c r="K313" s="32" t="n"/>
      <c r="L313" s="43" t="n"/>
      <c r="M313" s="36" t="n"/>
      <c r="N313" s="44" t="n"/>
      <c r="O313" s="36" t="n"/>
      <c r="P313" s="33">
        <f>IF(C313="","",Commercial_Id)</f>
        <v/>
      </c>
      <c r="Q313" s="34">
        <f>IF(AC313="","",IF(AD313=1,"C"&amp;TEXT(SUM(AD$6:AD313),"0000"),INDEX(Q$6:Q312,MATCH(AC313,AC$6:AC312,0))))</f>
        <v/>
      </c>
      <c r="R313" s="34">
        <f>IF(C313="","",IF(L313="☑ Oui","Annulée",IF(OR(E313="Vente directe",K313&lt;&gt;""),"Livrée",IF(J313&lt;&gt;"","Confirmée","En attente"))))</f>
        <v/>
      </c>
      <c r="S313" s="34">
        <f>IF(F313="","",IFERROR(VLOOKUP(F313,T_Produits,2,FALSE),""))</f>
        <v/>
      </c>
      <c r="T313" s="40">
        <f>IF(F313="","",IFERROR(1/(1/VLOOKUP(F313,T_Produits,3,FALSE)),""))</f>
        <v/>
      </c>
      <c r="U313" s="40">
        <f>IF(H313&lt;&gt;"",H313,T313)</f>
        <v/>
      </c>
      <c r="V313" s="40">
        <f>IF(OR(G313="",U313=""),"",G313*U313-N(I313))</f>
        <v/>
      </c>
      <c r="W313" s="39">
        <f>IF(D313="","",IFERROR(VALUE(MID(D313,LEN(D313)-3,3)),""))</f>
        <v/>
      </c>
      <c r="X313" s="33">
        <f>IF(W313="","",P313&amp;"|"&amp;W313)</f>
        <v/>
      </c>
      <c r="Y313" s="33">
        <f>IF(W313="","",IF(P313="À RENSEIGNER","GIC",P313)&amp;"-"&amp;TEXT(W313,"000"))</f>
        <v/>
      </c>
      <c r="Z313" s="33">
        <f>IF(X313="","",IFERROR(INDEX(Cl_nom,MATCH(X313,Cl_cle,0)),"(client introuvable)"))</f>
        <v/>
      </c>
      <c r="AA313" s="33">
        <f>IF(X313="","",IFERROR(INDEX(Cl_quartier,MATCH(X313,Cl_cle,0))&amp;"",""))</f>
        <v/>
      </c>
      <c r="AB313" s="45">
        <f>IF(R313&lt;&gt;"Livrée",0,IF(K313&lt;&gt;"",K313,C313))</f>
        <v/>
      </c>
      <c r="AC313" s="33">
        <f>IF(OR(C313="",W313=""),"",P313&amp;"|"&amp;W313&amp;"|"&amp;C313&amp;"|"&amp;E313)</f>
        <v/>
      </c>
      <c r="AD313" s="39">
        <f>IF(AC313="","",IF(COUNTIF(AC$6:AC313,AC313)=1,1,0))</f>
        <v/>
      </c>
      <c r="AE313" s="39">
        <f>IF(AB313=0,"",IF(COUNTIFS(X$6:X313,X313,AB$6:AB313,AB313)=1,1,0))</f>
        <v/>
      </c>
      <c r="AF313" s="34">
        <f>IF(C313="","",YEAR(C313-WEEKDAY(C313,2)+4)&amp;"-S"&amp;TEXT(INT((C313-DATE(YEAR(C313-WEEKDAY(C313,2)+4),1,3)+WEEKDAY(DATE(YEAR(C313-WEEKDAY(C313,2)+4),1,3),2)+5)/7),"00"))</f>
        <v/>
      </c>
    </row>
    <row r="314" ht="18" customHeight="1">
      <c r="A314" s="39" t="n">
        <v>309</v>
      </c>
      <c r="B314" s="33">
        <f>IF(C314="","",IF(P314="À RENSEIGNER","GIC",P314)&amp;"-C"&amp;TEXT(A314,"00000"))</f>
        <v/>
      </c>
      <c r="C314" s="32" t="n"/>
      <c r="D314" s="36" t="n"/>
      <c r="E314" s="36" t="n"/>
      <c r="F314" s="36" t="n"/>
      <c r="G314" s="42" t="n"/>
      <c r="H314" s="37" t="n"/>
      <c r="I314" s="37" t="n"/>
      <c r="J314" s="32" t="n"/>
      <c r="K314" s="32" t="n"/>
      <c r="L314" s="43" t="n"/>
      <c r="M314" s="36" t="n"/>
      <c r="N314" s="44" t="n"/>
      <c r="O314" s="36" t="n"/>
      <c r="P314" s="33">
        <f>IF(C314="","",Commercial_Id)</f>
        <v/>
      </c>
      <c r="Q314" s="34">
        <f>IF(AC314="","",IF(AD314=1,"C"&amp;TEXT(SUM(AD$6:AD314),"0000"),INDEX(Q$6:Q313,MATCH(AC314,AC$6:AC313,0))))</f>
        <v/>
      </c>
      <c r="R314" s="34">
        <f>IF(C314="","",IF(L314="☑ Oui","Annulée",IF(OR(E314="Vente directe",K314&lt;&gt;""),"Livrée",IF(J314&lt;&gt;"","Confirmée","En attente"))))</f>
        <v/>
      </c>
      <c r="S314" s="34">
        <f>IF(F314="","",IFERROR(VLOOKUP(F314,T_Produits,2,FALSE),""))</f>
        <v/>
      </c>
      <c r="T314" s="40">
        <f>IF(F314="","",IFERROR(1/(1/VLOOKUP(F314,T_Produits,3,FALSE)),""))</f>
        <v/>
      </c>
      <c r="U314" s="40">
        <f>IF(H314&lt;&gt;"",H314,T314)</f>
        <v/>
      </c>
      <c r="V314" s="40">
        <f>IF(OR(G314="",U314=""),"",G314*U314-N(I314))</f>
        <v/>
      </c>
      <c r="W314" s="39">
        <f>IF(D314="","",IFERROR(VALUE(MID(D314,LEN(D314)-3,3)),""))</f>
        <v/>
      </c>
      <c r="X314" s="33">
        <f>IF(W314="","",P314&amp;"|"&amp;W314)</f>
        <v/>
      </c>
      <c r="Y314" s="33">
        <f>IF(W314="","",IF(P314="À RENSEIGNER","GIC",P314)&amp;"-"&amp;TEXT(W314,"000"))</f>
        <v/>
      </c>
      <c r="Z314" s="33">
        <f>IF(X314="","",IFERROR(INDEX(Cl_nom,MATCH(X314,Cl_cle,0)),"(client introuvable)"))</f>
        <v/>
      </c>
      <c r="AA314" s="33">
        <f>IF(X314="","",IFERROR(INDEX(Cl_quartier,MATCH(X314,Cl_cle,0))&amp;"",""))</f>
        <v/>
      </c>
      <c r="AB314" s="45">
        <f>IF(R314&lt;&gt;"Livrée",0,IF(K314&lt;&gt;"",K314,C314))</f>
        <v/>
      </c>
      <c r="AC314" s="33">
        <f>IF(OR(C314="",W314=""),"",P314&amp;"|"&amp;W314&amp;"|"&amp;C314&amp;"|"&amp;E314)</f>
        <v/>
      </c>
      <c r="AD314" s="39">
        <f>IF(AC314="","",IF(COUNTIF(AC$6:AC314,AC314)=1,1,0))</f>
        <v/>
      </c>
      <c r="AE314" s="39">
        <f>IF(AB314=0,"",IF(COUNTIFS(X$6:X314,X314,AB$6:AB314,AB314)=1,1,0))</f>
        <v/>
      </c>
      <c r="AF314" s="34">
        <f>IF(C314="","",YEAR(C314-WEEKDAY(C314,2)+4)&amp;"-S"&amp;TEXT(INT((C314-DATE(YEAR(C314-WEEKDAY(C314,2)+4),1,3)+WEEKDAY(DATE(YEAR(C314-WEEKDAY(C314,2)+4),1,3),2)+5)/7),"00"))</f>
        <v/>
      </c>
    </row>
    <row r="315" ht="18" customHeight="1">
      <c r="A315" s="39" t="n">
        <v>310</v>
      </c>
      <c r="B315" s="33">
        <f>IF(C315="","",IF(P315="À RENSEIGNER","GIC",P315)&amp;"-C"&amp;TEXT(A315,"00000"))</f>
        <v/>
      </c>
      <c r="C315" s="32" t="n"/>
      <c r="D315" s="36" t="n"/>
      <c r="E315" s="36" t="n"/>
      <c r="F315" s="36" t="n"/>
      <c r="G315" s="42" t="n"/>
      <c r="H315" s="37" t="n"/>
      <c r="I315" s="37" t="n"/>
      <c r="J315" s="32" t="n"/>
      <c r="K315" s="32" t="n"/>
      <c r="L315" s="43" t="n"/>
      <c r="M315" s="36" t="n"/>
      <c r="N315" s="44" t="n"/>
      <c r="O315" s="36" t="n"/>
      <c r="P315" s="33">
        <f>IF(C315="","",Commercial_Id)</f>
        <v/>
      </c>
      <c r="Q315" s="34">
        <f>IF(AC315="","",IF(AD315=1,"C"&amp;TEXT(SUM(AD$6:AD315),"0000"),INDEX(Q$6:Q314,MATCH(AC315,AC$6:AC314,0))))</f>
        <v/>
      </c>
      <c r="R315" s="34">
        <f>IF(C315="","",IF(L315="☑ Oui","Annulée",IF(OR(E315="Vente directe",K315&lt;&gt;""),"Livrée",IF(J315&lt;&gt;"","Confirmée","En attente"))))</f>
        <v/>
      </c>
      <c r="S315" s="34">
        <f>IF(F315="","",IFERROR(VLOOKUP(F315,T_Produits,2,FALSE),""))</f>
        <v/>
      </c>
      <c r="T315" s="40">
        <f>IF(F315="","",IFERROR(1/(1/VLOOKUP(F315,T_Produits,3,FALSE)),""))</f>
        <v/>
      </c>
      <c r="U315" s="40">
        <f>IF(H315&lt;&gt;"",H315,T315)</f>
        <v/>
      </c>
      <c r="V315" s="40">
        <f>IF(OR(G315="",U315=""),"",G315*U315-N(I315))</f>
        <v/>
      </c>
      <c r="W315" s="39">
        <f>IF(D315="","",IFERROR(VALUE(MID(D315,LEN(D315)-3,3)),""))</f>
        <v/>
      </c>
      <c r="X315" s="33">
        <f>IF(W315="","",P315&amp;"|"&amp;W315)</f>
        <v/>
      </c>
      <c r="Y315" s="33">
        <f>IF(W315="","",IF(P315="À RENSEIGNER","GIC",P315)&amp;"-"&amp;TEXT(W315,"000"))</f>
        <v/>
      </c>
      <c r="Z315" s="33">
        <f>IF(X315="","",IFERROR(INDEX(Cl_nom,MATCH(X315,Cl_cle,0)),"(client introuvable)"))</f>
        <v/>
      </c>
      <c r="AA315" s="33">
        <f>IF(X315="","",IFERROR(INDEX(Cl_quartier,MATCH(X315,Cl_cle,0))&amp;"",""))</f>
        <v/>
      </c>
      <c r="AB315" s="45">
        <f>IF(R315&lt;&gt;"Livrée",0,IF(K315&lt;&gt;"",K315,C315))</f>
        <v/>
      </c>
      <c r="AC315" s="33">
        <f>IF(OR(C315="",W315=""),"",P315&amp;"|"&amp;W315&amp;"|"&amp;C315&amp;"|"&amp;E315)</f>
        <v/>
      </c>
      <c r="AD315" s="39">
        <f>IF(AC315="","",IF(COUNTIF(AC$6:AC315,AC315)=1,1,0))</f>
        <v/>
      </c>
      <c r="AE315" s="39">
        <f>IF(AB315=0,"",IF(COUNTIFS(X$6:X315,X315,AB$6:AB315,AB315)=1,1,0))</f>
        <v/>
      </c>
      <c r="AF315" s="34">
        <f>IF(C315="","",YEAR(C315-WEEKDAY(C315,2)+4)&amp;"-S"&amp;TEXT(INT((C315-DATE(YEAR(C315-WEEKDAY(C315,2)+4),1,3)+WEEKDAY(DATE(YEAR(C315-WEEKDAY(C315,2)+4),1,3),2)+5)/7),"00"))</f>
        <v/>
      </c>
    </row>
    <row r="316" ht="18" customHeight="1">
      <c r="A316" s="39" t="n">
        <v>311</v>
      </c>
      <c r="B316" s="33">
        <f>IF(C316="","",IF(P316="À RENSEIGNER","GIC",P316)&amp;"-C"&amp;TEXT(A316,"00000"))</f>
        <v/>
      </c>
      <c r="C316" s="32" t="n"/>
      <c r="D316" s="36" t="n"/>
      <c r="E316" s="36" t="n"/>
      <c r="F316" s="36" t="n"/>
      <c r="G316" s="42" t="n"/>
      <c r="H316" s="37" t="n"/>
      <c r="I316" s="37" t="n"/>
      <c r="J316" s="32" t="n"/>
      <c r="K316" s="32" t="n"/>
      <c r="L316" s="43" t="n"/>
      <c r="M316" s="36" t="n"/>
      <c r="N316" s="44" t="n"/>
      <c r="O316" s="36" t="n"/>
      <c r="P316" s="33">
        <f>IF(C316="","",Commercial_Id)</f>
        <v/>
      </c>
      <c r="Q316" s="34">
        <f>IF(AC316="","",IF(AD316=1,"C"&amp;TEXT(SUM(AD$6:AD316),"0000"),INDEX(Q$6:Q315,MATCH(AC316,AC$6:AC315,0))))</f>
        <v/>
      </c>
      <c r="R316" s="34">
        <f>IF(C316="","",IF(L316="☑ Oui","Annulée",IF(OR(E316="Vente directe",K316&lt;&gt;""),"Livrée",IF(J316&lt;&gt;"","Confirmée","En attente"))))</f>
        <v/>
      </c>
      <c r="S316" s="34">
        <f>IF(F316="","",IFERROR(VLOOKUP(F316,T_Produits,2,FALSE),""))</f>
        <v/>
      </c>
      <c r="T316" s="40">
        <f>IF(F316="","",IFERROR(1/(1/VLOOKUP(F316,T_Produits,3,FALSE)),""))</f>
        <v/>
      </c>
      <c r="U316" s="40">
        <f>IF(H316&lt;&gt;"",H316,T316)</f>
        <v/>
      </c>
      <c r="V316" s="40">
        <f>IF(OR(G316="",U316=""),"",G316*U316-N(I316))</f>
        <v/>
      </c>
      <c r="W316" s="39">
        <f>IF(D316="","",IFERROR(VALUE(MID(D316,LEN(D316)-3,3)),""))</f>
        <v/>
      </c>
      <c r="X316" s="33">
        <f>IF(W316="","",P316&amp;"|"&amp;W316)</f>
        <v/>
      </c>
      <c r="Y316" s="33">
        <f>IF(W316="","",IF(P316="À RENSEIGNER","GIC",P316)&amp;"-"&amp;TEXT(W316,"000"))</f>
        <v/>
      </c>
      <c r="Z316" s="33">
        <f>IF(X316="","",IFERROR(INDEX(Cl_nom,MATCH(X316,Cl_cle,0)),"(client introuvable)"))</f>
        <v/>
      </c>
      <c r="AA316" s="33">
        <f>IF(X316="","",IFERROR(INDEX(Cl_quartier,MATCH(X316,Cl_cle,0))&amp;"",""))</f>
        <v/>
      </c>
      <c r="AB316" s="45">
        <f>IF(R316&lt;&gt;"Livrée",0,IF(K316&lt;&gt;"",K316,C316))</f>
        <v/>
      </c>
      <c r="AC316" s="33">
        <f>IF(OR(C316="",W316=""),"",P316&amp;"|"&amp;W316&amp;"|"&amp;C316&amp;"|"&amp;E316)</f>
        <v/>
      </c>
      <c r="AD316" s="39">
        <f>IF(AC316="","",IF(COUNTIF(AC$6:AC316,AC316)=1,1,0))</f>
        <v/>
      </c>
      <c r="AE316" s="39">
        <f>IF(AB316=0,"",IF(COUNTIFS(X$6:X316,X316,AB$6:AB316,AB316)=1,1,0))</f>
        <v/>
      </c>
      <c r="AF316" s="34">
        <f>IF(C316="","",YEAR(C316-WEEKDAY(C316,2)+4)&amp;"-S"&amp;TEXT(INT((C316-DATE(YEAR(C316-WEEKDAY(C316,2)+4),1,3)+WEEKDAY(DATE(YEAR(C316-WEEKDAY(C316,2)+4),1,3),2)+5)/7),"00"))</f>
        <v/>
      </c>
    </row>
    <row r="317" ht="18" customHeight="1">
      <c r="A317" s="39" t="n">
        <v>312</v>
      </c>
      <c r="B317" s="33">
        <f>IF(C317="","",IF(P317="À RENSEIGNER","GIC",P317)&amp;"-C"&amp;TEXT(A317,"00000"))</f>
        <v/>
      </c>
      <c r="C317" s="32" t="n"/>
      <c r="D317" s="36" t="n"/>
      <c r="E317" s="36" t="n"/>
      <c r="F317" s="36" t="n"/>
      <c r="G317" s="42" t="n"/>
      <c r="H317" s="37" t="n"/>
      <c r="I317" s="37" t="n"/>
      <c r="J317" s="32" t="n"/>
      <c r="K317" s="32" t="n"/>
      <c r="L317" s="43" t="n"/>
      <c r="M317" s="36" t="n"/>
      <c r="N317" s="44" t="n"/>
      <c r="O317" s="36" t="n"/>
      <c r="P317" s="33">
        <f>IF(C317="","",Commercial_Id)</f>
        <v/>
      </c>
      <c r="Q317" s="34">
        <f>IF(AC317="","",IF(AD317=1,"C"&amp;TEXT(SUM(AD$6:AD317),"0000"),INDEX(Q$6:Q316,MATCH(AC317,AC$6:AC316,0))))</f>
        <v/>
      </c>
      <c r="R317" s="34">
        <f>IF(C317="","",IF(L317="☑ Oui","Annulée",IF(OR(E317="Vente directe",K317&lt;&gt;""),"Livrée",IF(J317&lt;&gt;"","Confirmée","En attente"))))</f>
        <v/>
      </c>
      <c r="S317" s="34">
        <f>IF(F317="","",IFERROR(VLOOKUP(F317,T_Produits,2,FALSE),""))</f>
        <v/>
      </c>
      <c r="T317" s="40">
        <f>IF(F317="","",IFERROR(1/(1/VLOOKUP(F317,T_Produits,3,FALSE)),""))</f>
        <v/>
      </c>
      <c r="U317" s="40">
        <f>IF(H317&lt;&gt;"",H317,T317)</f>
        <v/>
      </c>
      <c r="V317" s="40">
        <f>IF(OR(G317="",U317=""),"",G317*U317-N(I317))</f>
        <v/>
      </c>
      <c r="W317" s="39">
        <f>IF(D317="","",IFERROR(VALUE(MID(D317,LEN(D317)-3,3)),""))</f>
        <v/>
      </c>
      <c r="X317" s="33">
        <f>IF(W317="","",P317&amp;"|"&amp;W317)</f>
        <v/>
      </c>
      <c r="Y317" s="33">
        <f>IF(W317="","",IF(P317="À RENSEIGNER","GIC",P317)&amp;"-"&amp;TEXT(W317,"000"))</f>
        <v/>
      </c>
      <c r="Z317" s="33">
        <f>IF(X317="","",IFERROR(INDEX(Cl_nom,MATCH(X317,Cl_cle,0)),"(client introuvable)"))</f>
        <v/>
      </c>
      <c r="AA317" s="33">
        <f>IF(X317="","",IFERROR(INDEX(Cl_quartier,MATCH(X317,Cl_cle,0))&amp;"",""))</f>
        <v/>
      </c>
      <c r="AB317" s="45">
        <f>IF(R317&lt;&gt;"Livrée",0,IF(K317&lt;&gt;"",K317,C317))</f>
        <v/>
      </c>
      <c r="AC317" s="33">
        <f>IF(OR(C317="",W317=""),"",P317&amp;"|"&amp;W317&amp;"|"&amp;C317&amp;"|"&amp;E317)</f>
        <v/>
      </c>
      <c r="AD317" s="39">
        <f>IF(AC317="","",IF(COUNTIF(AC$6:AC317,AC317)=1,1,0))</f>
        <v/>
      </c>
      <c r="AE317" s="39">
        <f>IF(AB317=0,"",IF(COUNTIFS(X$6:X317,X317,AB$6:AB317,AB317)=1,1,0))</f>
        <v/>
      </c>
      <c r="AF317" s="34">
        <f>IF(C317="","",YEAR(C317-WEEKDAY(C317,2)+4)&amp;"-S"&amp;TEXT(INT((C317-DATE(YEAR(C317-WEEKDAY(C317,2)+4),1,3)+WEEKDAY(DATE(YEAR(C317-WEEKDAY(C317,2)+4),1,3),2)+5)/7),"00"))</f>
        <v/>
      </c>
    </row>
    <row r="318" ht="18" customHeight="1">
      <c r="A318" s="39" t="n">
        <v>313</v>
      </c>
      <c r="B318" s="33">
        <f>IF(C318="","",IF(P318="À RENSEIGNER","GIC",P318)&amp;"-C"&amp;TEXT(A318,"00000"))</f>
        <v/>
      </c>
      <c r="C318" s="32" t="n"/>
      <c r="D318" s="36" t="n"/>
      <c r="E318" s="36" t="n"/>
      <c r="F318" s="36" t="n"/>
      <c r="G318" s="42" t="n"/>
      <c r="H318" s="37" t="n"/>
      <c r="I318" s="37" t="n"/>
      <c r="J318" s="32" t="n"/>
      <c r="K318" s="32" t="n"/>
      <c r="L318" s="43" t="n"/>
      <c r="M318" s="36" t="n"/>
      <c r="N318" s="44" t="n"/>
      <c r="O318" s="36" t="n"/>
      <c r="P318" s="33">
        <f>IF(C318="","",Commercial_Id)</f>
        <v/>
      </c>
      <c r="Q318" s="34">
        <f>IF(AC318="","",IF(AD318=1,"C"&amp;TEXT(SUM(AD$6:AD318),"0000"),INDEX(Q$6:Q317,MATCH(AC318,AC$6:AC317,0))))</f>
        <v/>
      </c>
      <c r="R318" s="34">
        <f>IF(C318="","",IF(L318="☑ Oui","Annulée",IF(OR(E318="Vente directe",K318&lt;&gt;""),"Livrée",IF(J318&lt;&gt;"","Confirmée","En attente"))))</f>
        <v/>
      </c>
      <c r="S318" s="34">
        <f>IF(F318="","",IFERROR(VLOOKUP(F318,T_Produits,2,FALSE),""))</f>
        <v/>
      </c>
      <c r="T318" s="40">
        <f>IF(F318="","",IFERROR(1/(1/VLOOKUP(F318,T_Produits,3,FALSE)),""))</f>
        <v/>
      </c>
      <c r="U318" s="40">
        <f>IF(H318&lt;&gt;"",H318,T318)</f>
        <v/>
      </c>
      <c r="V318" s="40">
        <f>IF(OR(G318="",U318=""),"",G318*U318-N(I318))</f>
        <v/>
      </c>
      <c r="W318" s="39">
        <f>IF(D318="","",IFERROR(VALUE(MID(D318,LEN(D318)-3,3)),""))</f>
        <v/>
      </c>
      <c r="X318" s="33">
        <f>IF(W318="","",P318&amp;"|"&amp;W318)</f>
        <v/>
      </c>
      <c r="Y318" s="33">
        <f>IF(W318="","",IF(P318="À RENSEIGNER","GIC",P318)&amp;"-"&amp;TEXT(W318,"000"))</f>
        <v/>
      </c>
      <c r="Z318" s="33">
        <f>IF(X318="","",IFERROR(INDEX(Cl_nom,MATCH(X318,Cl_cle,0)),"(client introuvable)"))</f>
        <v/>
      </c>
      <c r="AA318" s="33">
        <f>IF(X318="","",IFERROR(INDEX(Cl_quartier,MATCH(X318,Cl_cle,0))&amp;"",""))</f>
        <v/>
      </c>
      <c r="AB318" s="45">
        <f>IF(R318&lt;&gt;"Livrée",0,IF(K318&lt;&gt;"",K318,C318))</f>
        <v/>
      </c>
      <c r="AC318" s="33">
        <f>IF(OR(C318="",W318=""),"",P318&amp;"|"&amp;W318&amp;"|"&amp;C318&amp;"|"&amp;E318)</f>
        <v/>
      </c>
      <c r="AD318" s="39">
        <f>IF(AC318="","",IF(COUNTIF(AC$6:AC318,AC318)=1,1,0))</f>
        <v/>
      </c>
      <c r="AE318" s="39">
        <f>IF(AB318=0,"",IF(COUNTIFS(X$6:X318,X318,AB$6:AB318,AB318)=1,1,0))</f>
        <v/>
      </c>
      <c r="AF318" s="34">
        <f>IF(C318="","",YEAR(C318-WEEKDAY(C318,2)+4)&amp;"-S"&amp;TEXT(INT((C318-DATE(YEAR(C318-WEEKDAY(C318,2)+4),1,3)+WEEKDAY(DATE(YEAR(C318-WEEKDAY(C318,2)+4),1,3),2)+5)/7),"00"))</f>
        <v/>
      </c>
    </row>
    <row r="319" ht="18" customHeight="1">
      <c r="A319" s="39" t="n">
        <v>314</v>
      </c>
      <c r="B319" s="33">
        <f>IF(C319="","",IF(P319="À RENSEIGNER","GIC",P319)&amp;"-C"&amp;TEXT(A319,"00000"))</f>
        <v/>
      </c>
      <c r="C319" s="32" t="n"/>
      <c r="D319" s="36" t="n"/>
      <c r="E319" s="36" t="n"/>
      <c r="F319" s="36" t="n"/>
      <c r="G319" s="42" t="n"/>
      <c r="H319" s="37" t="n"/>
      <c r="I319" s="37" t="n"/>
      <c r="J319" s="32" t="n"/>
      <c r="K319" s="32" t="n"/>
      <c r="L319" s="43" t="n"/>
      <c r="M319" s="36" t="n"/>
      <c r="N319" s="44" t="n"/>
      <c r="O319" s="36" t="n"/>
      <c r="P319" s="33">
        <f>IF(C319="","",Commercial_Id)</f>
        <v/>
      </c>
      <c r="Q319" s="34">
        <f>IF(AC319="","",IF(AD319=1,"C"&amp;TEXT(SUM(AD$6:AD319),"0000"),INDEX(Q$6:Q318,MATCH(AC319,AC$6:AC318,0))))</f>
        <v/>
      </c>
      <c r="R319" s="34">
        <f>IF(C319="","",IF(L319="☑ Oui","Annulée",IF(OR(E319="Vente directe",K319&lt;&gt;""),"Livrée",IF(J319&lt;&gt;"","Confirmée","En attente"))))</f>
        <v/>
      </c>
      <c r="S319" s="34">
        <f>IF(F319="","",IFERROR(VLOOKUP(F319,T_Produits,2,FALSE),""))</f>
        <v/>
      </c>
      <c r="T319" s="40">
        <f>IF(F319="","",IFERROR(1/(1/VLOOKUP(F319,T_Produits,3,FALSE)),""))</f>
        <v/>
      </c>
      <c r="U319" s="40">
        <f>IF(H319&lt;&gt;"",H319,T319)</f>
        <v/>
      </c>
      <c r="V319" s="40">
        <f>IF(OR(G319="",U319=""),"",G319*U319-N(I319))</f>
        <v/>
      </c>
      <c r="W319" s="39">
        <f>IF(D319="","",IFERROR(VALUE(MID(D319,LEN(D319)-3,3)),""))</f>
        <v/>
      </c>
      <c r="X319" s="33">
        <f>IF(W319="","",P319&amp;"|"&amp;W319)</f>
        <v/>
      </c>
      <c r="Y319" s="33">
        <f>IF(W319="","",IF(P319="À RENSEIGNER","GIC",P319)&amp;"-"&amp;TEXT(W319,"000"))</f>
        <v/>
      </c>
      <c r="Z319" s="33">
        <f>IF(X319="","",IFERROR(INDEX(Cl_nom,MATCH(X319,Cl_cle,0)),"(client introuvable)"))</f>
        <v/>
      </c>
      <c r="AA319" s="33">
        <f>IF(X319="","",IFERROR(INDEX(Cl_quartier,MATCH(X319,Cl_cle,0))&amp;"",""))</f>
        <v/>
      </c>
      <c r="AB319" s="45">
        <f>IF(R319&lt;&gt;"Livrée",0,IF(K319&lt;&gt;"",K319,C319))</f>
        <v/>
      </c>
      <c r="AC319" s="33">
        <f>IF(OR(C319="",W319=""),"",P319&amp;"|"&amp;W319&amp;"|"&amp;C319&amp;"|"&amp;E319)</f>
        <v/>
      </c>
      <c r="AD319" s="39">
        <f>IF(AC319="","",IF(COUNTIF(AC$6:AC319,AC319)=1,1,0))</f>
        <v/>
      </c>
      <c r="AE319" s="39">
        <f>IF(AB319=0,"",IF(COUNTIFS(X$6:X319,X319,AB$6:AB319,AB319)=1,1,0))</f>
        <v/>
      </c>
      <c r="AF319" s="34">
        <f>IF(C319="","",YEAR(C319-WEEKDAY(C319,2)+4)&amp;"-S"&amp;TEXT(INT((C319-DATE(YEAR(C319-WEEKDAY(C319,2)+4),1,3)+WEEKDAY(DATE(YEAR(C319-WEEKDAY(C319,2)+4),1,3),2)+5)/7),"00"))</f>
        <v/>
      </c>
    </row>
    <row r="320" ht="18" customHeight="1">
      <c r="A320" s="39" t="n">
        <v>315</v>
      </c>
      <c r="B320" s="33">
        <f>IF(C320="","",IF(P320="À RENSEIGNER","GIC",P320)&amp;"-C"&amp;TEXT(A320,"00000"))</f>
        <v/>
      </c>
      <c r="C320" s="32" t="n"/>
      <c r="D320" s="36" t="n"/>
      <c r="E320" s="36" t="n"/>
      <c r="F320" s="36" t="n"/>
      <c r="G320" s="42" t="n"/>
      <c r="H320" s="37" t="n"/>
      <c r="I320" s="37" t="n"/>
      <c r="J320" s="32" t="n"/>
      <c r="K320" s="32" t="n"/>
      <c r="L320" s="43" t="n"/>
      <c r="M320" s="36" t="n"/>
      <c r="N320" s="44" t="n"/>
      <c r="O320" s="36" t="n"/>
      <c r="P320" s="33">
        <f>IF(C320="","",Commercial_Id)</f>
        <v/>
      </c>
      <c r="Q320" s="34">
        <f>IF(AC320="","",IF(AD320=1,"C"&amp;TEXT(SUM(AD$6:AD320),"0000"),INDEX(Q$6:Q319,MATCH(AC320,AC$6:AC319,0))))</f>
        <v/>
      </c>
      <c r="R320" s="34">
        <f>IF(C320="","",IF(L320="☑ Oui","Annulée",IF(OR(E320="Vente directe",K320&lt;&gt;""),"Livrée",IF(J320&lt;&gt;"","Confirmée","En attente"))))</f>
        <v/>
      </c>
      <c r="S320" s="34">
        <f>IF(F320="","",IFERROR(VLOOKUP(F320,T_Produits,2,FALSE),""))</f>
        <v/>
      </c>
      <c r="T320" s="40">
        <f>IF(F320="","",IFERROR(1/(1/VLOOKUP(F320,T_Produits,3,FALSE)),""))</f>
        <v/>
      </c>
      <c r="U320" s="40">
        <f>IF(H320&lt;&gt;"",H320,T320)</f>
        <v/>
      </c>
      <c r="V320" s="40">
        <f>IF(OR(G320="",U320=""),"",G320*U320-N(I320))</f>
        <v/>
      </c>
      <c r="W320" s="39">
        <f>IF(D320="","",IFERROR(VALUE(MID(D320,LEN(D320)-3,3)),""))</f>
        <v/>
      </c>
      <c r="X320" s="33">
        <f>IF(W320="","",P320&amp;"|"&amp;W320)</f>
        <v/>
      </c>
      <c r="Y320" s="33">
        <f>IF(W320="","",IF(P320="À RENSEIGNER","GIC",P320)&amp;"-"&amp;TEXT(W320,"000"))</f>
        <v/>
      </c>
      <c r="Z320" s="33">
        <f>IF(X320="","",IFERROR(INDEX(Cl_nom,MATCH(X320,Cl_cle,0)),"(client introuvable)"))</f>
        <v/>
      </c>
      <c r="AA320" s="33">
        <f>IF(X320="","",IFERROR(INDEX(Cl_quartier,MATCH(X320,Cl_cle,0))&amp;"",""))</f>
        <v/>
      </c>
      <c r="AB320" s="45">
        <f>IF(R320&lt;&gt;"Livrée",0,IF(K320&lt;&gt;"",K320,C320))</f>
        <v/>
      </c>
      <c r="AC320" s="33">
        <f>IF(OR(C320="",W320=""),"",P320&amp;"|"&amp;W320&amp;"|"&amp;C320&amp;"|"&amp;E320)</f>
        <v/>
      </c>
      <c r="AD320" s="39">
        <f>IF(AC320="","",IF(COUNTIF(AC$6:AC320,AC320)=1,1,0))</f>
        <v/>
      </c>
      <c r="AE320" s="39">
        <f>IF(AB320=0,"",IF(COUNTIFS(X$6:X320,X320,AB$6:AB320,AB320)=1,1,0))</f>
        <v/>
      </c>
      <c r="AF320" s="34">
        <f>IF(C320="","",YEAR(C320-WEEKDAY(C320,2)+4)&amp;"-S"&amp;TEXT(INT((C320-DATE(YEAR(C320-WEEKDAY(C320,2)+4),1,3)+WEEKDAY(DATE(YEAR(C320-WEEKDAY(C320,2)+4),1,3),2)+5)/7),"00"))</f>
        <v/>
      </c>
    </row>
    <row r="321" ht="18" customHeight="1">
      <c r="A321" s="39" t="n">
        <v>316</v>
      </c>
      <c r="B321" s="33">
        <f>IF(C321="","",IF(P321="À RENSEIGNER","GIC",P321)&amp;"-C"&amp;TEXT(A321,"00000"))</f>
        <v/>
      </c>
      <c r="C321" s="32" t="n"/>
      <c r="D321" s="36" t="n"/>
      <c r="E321" s="36" t="n"/>
      <c r="F321" s="36" t="n"/>
      <c r="G321" s="42" t="n"/>
      <c r="H321" s="37" t="n"/>
      <c r="I321" s="37" t="n"/>
      <c r="J321" s="32" t="n"/>
      <c r="K321" s="32" t="n"/>
      <c r="L321" s="43" t="n"/>
      <c r="M321" s="36" t="n"/>
      <c r="N321" s="44" t="n"/>
      <c r="O321" s="36" t="n"/>
      <c r="P321" s="33">
        <f>IF(C321="","",Commercial_Id)</f>
        <v/>
      </c>
      <c r="Q321" s="34">
        <f>IF(AC321="","",IF(AD321=1,"C"&amp;TEXT(SUM(AD$6:AD321),"0000"),INDEX(Q$6:Q320,MATCH(AC321,AC$6:AC320,0))))</f>
        <v/>
      </c>
      <c r="R321" s="34">
        <f>IF(C321="","",IF(L321="☑ Oui","Annulée",IF(OR(E321="Vente directe",K321&lt;&gt;""),"Livrée",IF(J321&lt;&gt;"","Confirmée","En attente"))))</f>
        <v/>
      </c>
      <c r="S321" s="34">
        <f>IF(F321="","",IFERROR(VLOOKUP(F321,T_Produits,2,FALSE),""))</f>
        <v/>
      </c>
      <c r="T321" s="40">
        <f>IF(F321="","",IFERROR(1/(1/VLOOKUP(F321,T_Produits,3,FALSE)),""))</f>
        <v/>
      </c>
      <c r="U321" s="40">
        <f>IF(H321&lt;&gt;"",H321,T321)</f>
        <v/>
      </c>
      <c r="V321" s="40">
        <f>IF(OR(G321="",U321=""),"",G321*U321-N(I321))</f>
        <v/>
      </c>
      <c r="W321" s="39">
        <f>IF(D321="","",IFERROR(VALUE(MID(D321,LEN(D321)-3,3)),""))</f>
        <v/>
      </c>
      <c r="X321" s="33">
        <f>IF(W321="","",P321&amp;"|"&amp;W321)</f>
        <v/>
      </c>
      <c r="Y321" s="33">
        <f>IF(W321="","",IF(P321="À RENSEIGNER","GIC",P321)&amp;"-"&amp;TEXT(W321,"000"))</f>
        <v/>
      </c>
      <c r="Z321" s="33">
        <f>IF(X321="","",IFERROR(INDEX(Cl_nom,MATCH(X321,Cl_cle,0)),"(client introuvable)"))</f>
        <v/>
      </c>
      <c r="AA321" s="33">
        <f>IF(X321="","",IFERROR(INDEX(Cl_quartier,MATCH(X321,Cl_cle,0))&amp;"",""))</f>
        <v/>
      </c>
      <c r="AB321" s="45">
        <f>IF(R321&lt;&gt;"Livrée",0,IF(K321&lt;&gt;"",K321,C321))</f>
        <v/>
      </c>
      <c r="AC321" s="33">
        <f>IF(OR(C321="",W321=""),"",P321&amp;"|"&amp;W321&amp;"|"&amp;C321&amp;"|"&amp;E321)</f>
        <v/>
      </c>
      <c r="AD321" s="39">
        <f>IF(AC321="","",IF(COUNTIF(AC$6:AC321,AC321)=1,1,0))</f>
        <v/>
      </c>
      <c r="AE321" s="39">
        <f>IF(AB321=0,"",IF(COUNTIFS(X$6:X321,X321,AB$6:AB321,AB321)=1,1,0))</f>
        <v/>
      </c>
      <c r="AF321" s="34">
        <f>IF(C321="","",YEAR(C321-WEEKDAY(C321,2)+4)&amp;"-S"&amp;TEXT(INT((C321-DATE(YEAR(C321-WEEKDAY(C321,2)+4),1,3)+WEEKDAY(DATE(YEAR(C321-WEEKDAY(C321,2)+4),1,3),2)+5)/7),"00"))</f>
        <v/>
      </c>
    </row>
    <row r="322" ht="18" customHeight="1">
      <c r="A322" s="39" t="n">
        <v>317</v>
      </c>
      <c r="B322" s="33">
        <f>IF(C322="","",IF(P322="À RENSEIGNER","GIC",P322)&amp;"-C"&amp;TEXT(A322,"00000"))</f>
        <v/>
      </c>
      <c r="C322" s="32" t="n"/>
      <c r="D322" s="36" t="n"/>
      <c r="E322" s="36" t="n"/>
      <c r="F322" s="36" t="n"/>
      <c r="G322" s="42" t="n"/>
      <c r="H322" s="37" t="n"/>
      <c r="I322" s="37" t="n"/>
      <c r="J322" s="32" t="n"/>
      <c r="K322" s="32" t="n"/>
      <c r="L322" s="43" t="n"/>
      <c r="M322" s="36" t="n"/>
      <c r="N322" s="44" t="n"/>
      <c r="O322" s="36" t="n"/>
      <c r="P322" s="33">
        <f>IF(C322="","",Commercial_Id)</f>
        <v/>
      </c>
      <c r="Q322" s="34">
        <f>IF(AC322="","",IF(AD322=1,"C"&amp;TEXT(SUM(AD$6:AD322),"0000"),INDEX(Q$6:Q321,MATCH(AC322,AC$6:AC321,0))))</f>
        <v/>
      </c>
      <c r="R322" s="34">
        <f>IF(C322="","",IF(L322="☑ Oui","Annulée",IF(OR(E322="Vente directe",K322&lt;&gt;""),"Livrée",IF(J322&lt;&gt;"","Confirmée","En attente"))))</f>
        <v/>
      </c>
      <c r="S322" s="34">
        <f>IF(F322="","",IFERROR(VLOOKUP(F322,T_Produits,2,FALSE),""))</f>
        <v/>
      </c>
      <c r="T322" s="40">
        <f>IF(F322="","",IFERROR(1/(1/VLOOKUP(F322,T_Produits,3,FALSE)),""))</f>
        <v/>
      </c>
      <c r="U322" s="40">
        <f>IF(H322&lt;&gt;"",H322,T322)</f>
        <v/>
      </c>
      <c r="V322" s="40">
        <f>IF(OR(G322="",U322=""),"",G322*U322-N(I322))</f>
        <v/>
      </c>
      <c r="W322" s="39">
        <f>IF(D322="","",IFERROR(VALUE(MID(D322,LEN(D322)-3,3)),""))</f>
        <v/>
      </c>
      <c r="X322" s="33">
        <f>IF(W322="","",P322&amp;"|"&amp;W322)</f>
        <v/>
      </c>
      <c r="Y322" s="33">
        <f>IF(W322="","",IF(P322="À RENSEIGNER","GIC",P322)&amp;"-"&amp;TEXT(W322,"000"))</f>
        <v/>
      </c>
      <c r="Z322" s="33">
        <f>IF(X322="","",IFERROR(INDEX(Cl_nom,MATCH(X322,Cl_cle,0)),"(client introuvable)"))</f>
        <v/>
      </c>
      <c r="AA322" s="33">
        <f>IF(X322="","",IFERROR(INDEX(Cl_quartier,MATCH(X322,Cl_cle,0))&amp;"",""))</f>
        <v/>
      </c>
      <c r="AB322" s="45">
        <f>IF(R322&lt;&gt;"Livrée",0,IF(K322&lt;&gt;"",K322,C322))</f>
        <v/>
      </c>
      <c r="AC322" s="33">
        <f>IF(OR(C322="",W322=""),"",P322&amp;"|"&amp;W322&amp;"|"&amp;C322&amp;"|"&amp;E322)</f>
        <v/>
      </c>
      <c r="AD322" s="39">
        <f>IF(AC322="","",IF(COUNTIF(AC$6:AC322,AC322)=1,1,0))</f>
        <v/>
      </c>
      <c r="AE322" s="39">
        <f>IF(AB322=0,"",IF(COUNTIFS(X$6:X322,X322,AB$6:AB322,AB322)=1,1,0))</f>
        <v/>
      </c>
      <c r="AF322" s="34">
        <f>IF(C322="","",YEAR(C322-WEEKDAY(C322,2)+4)&amp;"-S"&amp;TEXT(INT((C322-DATE(YEAR(C322-WEEKDAY(C322,2)+4),1,3)+WEEKDAY(DATE(YEAR(C322-WEEKDAY(C322,2)+4),1,3),2)+5)/7),"00"))</f>
        <v/>
      </c>
    </row>
    <row r="323" ht="18" customHeight="1">
      <c r="A323" s="39" t="n">
        <v>318</v>
      </c>
      <c r="B323" s="33">
        <f>IF(C323="","",IF(P323="À RENSEIGNER","GIC",P323)&amp;"-C"&amp;TEXT(A323,"00000"))</f>
        <v/>
      </c>
      <c r="C323" s="32" t="n"/>
      <c r="D323" s="36" t="n"/>
      <c r="E323" s="36" t="n"/>
      <c r="F323" s="36" t="n"/>
      <c r="G323" s="42" t="n"/>
      <c r="H323" s="37" t="n"/>
      <c r="I323" s="37" t="n"/>
      <c r="J323" s="32" t="n"/>
      <c r="K323" s="32" t="n"/>
      <c r="L323" s="43" t="n"/>
      <c r="M323" s="36" t="n"/>
      <c r="N323" s="44" t="n"/>
      <c r="O323" s="36" t="n"/>
      <c r="P323" s="33">
        <f>IF(C323="","",Commercial_Id)</f>
        <v/>
      </c>
      <c r="Q323" s="34">
        <f>IF(AC323="","",IF(AD323=1,"C"&amp;TEXT(SUM(AD$6:AD323),"0000"),INDEX(Q$6:Q322,MATCH(AC323,AC$6:AC322,0))))</f>
        <v/>
      </c>
      <c r="R323" s="34">
        <f>IF(C323="","",IF(L323="☑ Oui","Annulée",IF(OR(E323="Vente directe",K323&lt;&gt;""),"Livrée",IF(J323&lt;&gt;"","Confirmée","En attente"))))</f>
        <v/>
      </c>
      <c r="S323" s="34">
        <f>IF(F323="","",IFERROR(VLOOKUP(F323,T_Produits,2,FALSE),""))</f>
        <v/>
      </c>
      <c r="T323" s="40">
        <f>IF(F323="","",IFERROR(1/(1/VLOOKUP(F323,T_Produits,3,FALSE)),""))</f>
        <v/>
      </c>
      <c r="U323" s="40">
        <f>IF(H323&lt;&gt;"",H323,T323)</f>
        <v/>
      </c>
      <c r="V323" s="40">
        <f>IF(OR(G323="",U323=""),"",G323*U323-N(I323))</f>
        <v/>
      </c>
      <c r="W323" s="39">
        <f>IF(D323="","",IFERROR(VALUE(MID(D323,LEN(D323)-3,3)),""))</f>
        <v/>
      </c>
      <c r="X323" s="33">
        <f>IF(W323="","",P323&amp;"|"&amp;W323)</f>
        <v/>
      </c>
      <c r="Y323" s="33">
        <f>IF(W323="","",IF(P323="À RENSEIGNER","GIC",P323)&amp;"-"&amp;TEXT(W323,"000"))</f>
        <v/>
      </c>
      <c r="Z323" s="33">
        <f>IF(X323="","",IFERROR(INDEX(Cl_nom,MATCH(X323,Cl_cle,0)),"(client introuvable)"))</f>
        <v/>
      </c>
      <c r="AA323" s="33">
        <f>IF(X323="","",IFERROR(INDEX(Cl_quartier,MATCH(X323,Cl_cle,0))&amp;"",""))</f>
        <v/>
      </c>
      <c r="AB323" s="45">
        <f>IF(R323&lt;&gt;"Livrée",0,IF(K323&lt;&gt;"",K323,C323))</f>
        <v/>
      </c>
      <c r="AC323" s="33">
        <f>IF(OR(C323="",W323=""),"",P323&amp;"|"&amp;W323&amp;"|"&amp;C323&amp;"|"&amp;E323)</f>
        <v/>
      </c>
      <c r="AD323" s="39">
        <f>IF(AC323="","",IF(COUNTIF(AC$6:AC323,AC323)=1,1,0))</f>
        <v/>
      </c>
      <c r="AE323" s="39">
        <f>IF(AB323=0,"",IF(COUNTIFS(X$6:X323,X323,AB$6:AB323,AB323)=1,1,0))</f>
        <v/>
      </c>
      <c r="AF323" s="34">
        <f>IF(C323="","",YEAR(C323-WEEKDAY(C323,2)+4)&amp;"-S"&amp;TEXT(INT((C323-DATE(YEAR(C323-WEEKDAY(C323,2)+4),1,3)+WEEKDAY(DATE(YEAR(C323-WEEKDAY(C323,2)+4),1,3),2)+5)/7),"00"))</f>
        <v/>
      </c>
    </row>
    <row r="324" ht="18" customHeight="1">
      <c r="A324" s="39" t="n">
        <v>319</v>
      </c>
      <c r="B324" s="33">
        <f>IF(C324="","",IF(P324="À RENSEIGNER","GIC",P324)&amp;"-C"&amp;TEXT(A324,"00000"))</f>
        <v/>
      </c>
      <c r="C324" s="32" t="n"/>
      <c r="D324" s="36" t="n"/>
      <c r="E324" s="36" t="n"/>
      <c r="F324" s="36" t="n"/>
      <c r="G324" s="42" t="n"/>
      <c r="H324" s="37" t="n"/>
      <c r="I324" s="37" t="n"/>
      <c r="J324" s="32" t="n"/>
      <c r="K324" s="32" t="n"/>
      <c r="L324" s="43" t="n"/>
      <c r="M324" s="36" t="n"/>
      <c r="N324" s="44" t="n"/>
      <c r="O324" s="36" t="n"/>
      <c r="P324" s="33">
        <f>IF(C324="","",Commercial_Id)</f>
        <v/>
      </c>
      <c r="Q324" s="34">
        <f>IF(AC324="","",IF(AD324=1,"C"&amp;TEXT(SUM(AD$6:AD324),"0000"),INDEX(Q$6:Q323,MATCH(AC324,AC$6:AC323,0))))</f>
        <v/>
      </c>
      <c r="R324" s="34">
        <f>IF(C324="","",IF(L324="☑ Oui","Annulée",IF(OR(E324="Vente directe",K324&lt;&gt;""),"Livrée",IF(J324&lt;&gt;"","Confirmée","En attente"))))</f>
        <v/>
      </c>
      <c r="S324" s="34">
        <f>IF(F324="","",IFERROR(VLOOKUP(F324,T_Produits,2,FALSE),""))</f>
        <v/>
      </c>
      <c r="T324" s="40">
        <f>IF(F324="","",IFERROR(1/(1/VLOOKUP(F324,T_Produits,3,FALSE)),""))</f>
        <v/>
      </c>
      <c r="U324" s="40">
        <f>IF(H324&lt;&gt;"",H324,T324)</f>
        <v/>
      </c>
      <c r="V324" s="40">
        <f>IF(OR(G324="",U324=""),"",G324*U324-N(I324))</f>
        <v/>
      </c>
      <c r="W324" s="39">
        <f>IF(D324="","",IFERROR(VALUE(MID(D324,LEN(D324)-3,3)),""))</f>
        <v/>
      </c>
      <c r="X324" s="33">
        <f>IF(W324="","",P324&amp;"|"&amp;W324)</f>
        <v/>
      </c>
      <c r="Y324" s="33">
        <f>IF(W324="","",IF(P324="À RENSEIGNER","GIC",P324)&amp;"-"&amp;TEXT(W324,"000"))</f>
        <v/>
      </c>
      <c r="Z324" s="33">
        <f>IF(X324="","",IFERROR(INDEX(Cl_nom,MATCH(X324,Cl_cle,0)),"(client introuvable)"))</f>
        <v/>
      </c>
      <c r="AA324" s="33">
        <f>IF(X324="","",IFERROR(INDEX(Cl_quartier,MATCH(X324,Cl_cle,0))&amp;"",""))</f>
        <v/>
      </c>
      <c r="AB324" s="45">
        <f>IF(R324&lt;&gt;"Livrée",0,IF(K324&lt;&gt;"",K324,C324))</f>
        <v/>
      </c>
      <c r="AC324" s="33">
        <f>IF(OR(C324="",W324=""),"",P324&amp;"|"&amp;W324&amp;"|"&amp;C324&amp;"|"&amp;E324)</f>
        <v/>
      </c>
      <c r="AD324" s="39">
        <f>IF(AC324="","",IF(COUNTIF(AC$6:AC324,AC324)=1,1,0))</f>
        <v/>
      </c>
      <c r="AE324" s="39">
        <f>IF(AB324=0,"",IF(COUNTIFS(X$6:X324,X324,AB$6:AB324,AB324)=1,1,0))</f>
        <v/>
      </c>
      <c r="AF324" s="34">
        <f>IF(C324="","",YEAR(C324-WEEKDAY(C324,2)+4)&amp;"-S"&amp;TEXT(INT((C324-DATE(YEAR(C324-WEEKDAY(C324,2)+4),1,3)+WEEKDAY(DATE(YEAR(C324-WEEKDAY(C324,2)+4),1,3),2)+5)/7),"00"))</f>
        <v/>
      </c>
    </row>
    <row r="325" ht="18" customHeight="1">
      <c r="A325" s="39" t="n">
        <v>320</v>
      </c>
      <c r="B325" s="33">
        <f>IF(C325="","",IF(P325="À RENSEIGNER","GIC",P325)&amp;"-C"&amp;TEXT(A325,"00000"))</f>
        <v/>
      </c>
      <c r="C325" s="32" t="n"/>
      <c r="D325" s="36" t="n"/>
      <c r="E325" s="36" t="n"/>
      <c r="F325" s="36" t="n"/>
      <c r="G325" s="42" t="n"/>
      <c r="H325" s="37" t="n"/>
      <c r="I325" s="37" t="n"/>
      <c r="J325" s="32" t="n"/>
      <c r="K325" s="32" t="n"/>
      <c r="L325" s="43" t="n"/>
      <c r="M325" s="36" t="n"/>
      <c r="N325" s="44" t="n"/>
      <c r="O325" s="36" t="n"/>
      <c r="P325" s="33">
        <f>IF(C325="","",Commercial_Id)</f>
        <v/>
      </c>
      <c r="Q325" s="34">
        <f>IF(AC325="","",IF(AD325=1,"C"&amp;TEXT(SUM(AD$6:AD325),"0000"),INDEX(Q$6:Q324,MATCH(AC325,AC$6:AC324,0))))</f>
        <v/>
      </c>
      <c r="R325" s="34">
        <f>IF(C325="","",IF(L325="☑ Oui","Annulée",IF(OR(E325="Vente directe",K325&lt;&gt;""),"Livrée",IF(J325&lt;&gt;"","Confirmée","En attente"))))</f>
        <v/>
      </c>
      <c r="S325" s="34">
        <f>IF(F325="","",IFERROR(VLOOKUP(F325,T_Produits,2,FALSE),""))</f>
        <v/>
      </c>
      <c r="T325" s="40">
        <f>IF(F325="","",IFERROR(1/(1/VLOOKUP(F325,T_Produits,3,FALSE)),""))</f>
        <v/>
      </c>
      <c r="U325" s="40">
        <f>IF(H325&lt;&gt;"",H325,T325)</f>
        <v/>
      </c>
      <c r="V325" s="40">
        <f>IF(OR(G325="",U325=""),"",G325*U325-N(I325))</f>
        <v/>
      </c>
      <c r="W325" s="39">
        <f>IF(D325="","",IFERROR(VALUE(MID(D325,LEN(D325)-3,3)),""))</f>
        <v/>
      </c>
      <c r="X325" s="33">
        <f>IF(W325="","",P325&amp;"|"&amp;W325)</f>
        <v/>
      </c>
      <c r="Y325" s="33">
        <f>IF(W325="","",IF(P325="À RENSEIGNER","GIC",P325)&amp;"-"&amp;TEXT(W325,"000"))</f>
        <v/>
      </c>
      <c r="Z325" s="33">
        <f>IF(X325="","",IFERROR(INDEX(Cl_nom,MATCH(X325,Cl_cle,0)),"(client introuvable)"))</f>
        <v/>
      </c>
      <c r="AA325" s="33">
        <f>IF(X325="","",IFERROR(INDEX(Cl_quartier,MATCH(X325,Cl_cle,0))&amp;"",""))</f>
        <v/>
      </c>
      <c r="AB325" s="45">
        <f>IF(R325&lt;&gt;"Livrée",0,IF(K325&lt;&gt;"",K325,C325))</f>
        <v/>
      </c>
      <c r="AC325" s="33">
        <f>IF(OR(C325="",W325=""),"",P325&amp;"|"&amp;W325&amp;"|"&amp;C325&amp;"|"&amp;E325)</f>
        <v/>
      </c>
      <c r="AD325" s="39">
        <f>IF(AC325="","",IF(COUNTIF(AC$6:AC325,AC325)=1,1,0))</f>
        <v/>
      </c>
      <c r="AE325" s="39">
        <f>IF(AB325=0,"",IF(COUNTIFS(X$6:X325,X325,AB$6:AB325,AB325)=1,1,0))</f>
        <v/>
      </c>
      <c r="AF325" s="34">
        <f>IF(C325="","",YEAR(C325-WEEKDAY(C325,2)+4)&amp;"-S"&amp;TEXT(INT((C325-DATE(YEAR(C325-WEEKDAY(C325,2)+4),1,3)+WEEKDAY(DATE(YEAR(C325-WEEKDAY(C325,2)+4),1,3),2)+5)/7),"00"))</f>
        <v/>
      </c>
    </row>
    <row r="326" ht="18" customHeight="1">
      <c r="A326" s="39" t="n">
        <v>321</v>
      </c>
      <c r="B326" s="33">
        <f>IF(C326="","",IF(P326="À RENSEIGNER","GIC",P326)&amp;"-C"&amp;TEXT(A326,"00000"))</f>
        <v/>
      </c>
      <c r="C326" s="32" t="n"/>
      <c r="D326" s="36" t="n"/>
      <c r="E326" s="36" t="n"/>
      <c r="F326" s="36" t="n"/>
      <c r="G326" s="42" t="n"/>
      <c r="H326" s="37" t="n"/>
      <c r="I326" s="37" t="n"/>
      <c r="J326" s="32" t="n"/>
      <c r="K326" s="32" t="n"/>
      <c r="L326" s="43" t="n"/>
      <c r="M326" s="36" t="n"/>
      <c r="N326" s="44" t="n"/>
      <c r="O326" s="36" t="n"/>
      <c r="P326" s="33">
        <f>IF(C326="","",Commercial_Id)</f>
        <v/>
      </c>
      <c r="Q326" s="34">
        <f>IF(AC326="","",IF(AD326=1,"C"&amp;TEXT(SUM(AD$6:AD326),"0000"),INDEX(Q$6:Q325,MATCH(AC326,AC$6:AC325,0))))</f>
        <v/>
      </c>
      <c r="R326" s="34">
        <f>IF(C326="","",IF(L326="☑ Oui","Annulée",IF(OR(E326="Vente directe",K326&lt;&gt;""),"Livrée",IF(J326&lt;&gt;"","Confirmée","En attente"))))</f>
        <v/>
      </c>
      <c r="S326" s="34">
        <f>IF(F326="","",IFERROR(VLOOKUP(F326,T_Produits,2,FALSE),""))</f>
        <v/>
      </c>
      <c r="T326" s="40">
        <f>IF(F326="","",IFERROR(1/(1/VLOOKUP(F326,T_Produits,3,FALSE)),""))</f>
        <v/>
      </c>
      <c r="U326" s="40">
        <f>IF(H326&lt;&gt;"",H326,T326)</f>
        <v/>
      </c>
      <c r="V326" s="40">
        <f>IF(OR(G326="",U326=""),"",G326*U326-N(I326))</f>
        <v/>
      </c>
      <c r="W326" s="39">
        <f>IF(D326="","",IFERROR(VALUE(MID(D326,LEN(D326)-3,3)),""))</f>
        <v/>
      </c>
      <c r="X326" s="33">
        <f>IF(W326="","",P326&amp;"|"&amp;W326)</f>
        <v/>
      </c>
      <c r="Y326" s="33">
        <f>IF(W326="","",IF(P326="À RENSEIGNER","GIC",P326)&amp;"-"&amp;TEXT(W326,"000"))</f>
        <v/>
      </c>
      <c r="Z326" s="33">
        <f>IF(X326="","",IFERROR(INDEX(Cl_nom,MATCH(X326,Cl_cle,0)),"(client introuvable)"))</f>
        <v/>
      </c>
      <c r="AA326" s="33">
        <f>IF(X326="","",IFERROR(INDEX(Cl_quartier,MATCH(X326,Cl_cle,0))&amp;"",""))</f>
        <v/>
      </c>
      <c r="AB326" s="45">
        <f>IF(R326&lt;&gt;"Livrée",0,IF(K326&lt;&gt;"",K326,C326))</f>
        <v/>
      </c>
      <c r="AC326" s="33">
        <f>IF(OR(C326="",W326=""),"",P326&amp;"|"&amp;W326&amp;"|"&amp;C326&amp;"|"&amp;E326)</f>
        <v/>
      </c>
      <c r="AD326" s="39">
        <f>IF(AC326="","",IF(COUNTIF(AC$6:AC326,AC326)=1,1,0))</f>
        <v/>
      </c>
      <c r="AE326" s="39">
        <f>IF(AB326=0,"",IF(COUNTIFS(X$6:X326,X326,AB$6:AB326,AB326)=1,1,0))</f>
        <v/>
      </c>
      <c r="AF326" s="34">
        <f>IF(C326="","",YEAR(C326-WEEKDAY(C326,2)+4)&amp;"-S"&amp;TEXT(INT((C326-DATE(YEAR(C326-WEEKDAY(C326,2)+4),1,3)+WEEKDAY(DATE(YEAR(C326-WEEKDAY(C326,2)+4),1,3),2)+5)/7),"00"))</f>
        <v/>
      </c>
    </row>
    <row r="327" ht="18" customHeight="1">
      <c r="A327" s="39" t="n">
        <v>322</v>
      </c>
      <c r="B327" s="33">
        <f>IF(C327="","",IF(P327="À RENSEIGNER","GIC",P327)&amp;"-C"&amp;TEXT(A327,"00000"))</f>
        <v/>
      </c>
      <c r="C327" s="32" t="n"/>
      <c r="D327" s="36" t="n"/>
      <c r="E327" s="36" t="n"/>
      <c r="F327" s="36" t="n"/>
      <c r="G327" s="42" t="n"/>
      <c r="H327" s="37" t="n"/>
      <c r="I327" s="37" t="n"/>
      <c r="J327" s="32" t="n"/>
      <c r="K327" s="32" t="n"/>
      <c r="L327" s="43" t="n"/>
      <c r="M327" s="36" t="n"/>
      <c r="N327" s="44" t="n"/>
      <c r="O327" s="36" t="n"/>
      <c r="P327" s="33">
        <f>IF(C327="","",Commercial_Id)</f>
        <v/>
      </c>
      <c r="Q327" s="34">
        <f>IF(AC327="","",IF(AD327=1,"C"&amp;TEXT(SUM(AD$6:AD327),"0000"),INDEX(Q$6:Q326,MATCH(AC327,AC$6:AC326,0))))</f>
        <v/>
      </c>
      <c r="R327" s="34">
        <f>IF(C327="","",IF(L327="☑ Oui","Annulée",IF(OR(E327="Vente directe",K327&lt;&gt;""),"Livrée",IF(J327&lt;&gt;"","Confirmée","En attente"))))</f>
        <v/>
      </c>
      <c r="S327" s="34">
        <f>IF(F327="","",IFERROR(VLOOKUP(F327,T_Produits,2,FALSE),""))</f>
        <v/>
      </c>
      <c r="T327" s="40">
        <f>IF(F327="","",IFERROR(1/(1/VLOOKUP(F327,T_Produits,3,FALSE)),""))</f>
        <v/>
      </c>
      <c r="U327" s="40">
        <f>IF(H327&lt;&gt;"",H327,T327)</f>
        <v/>
      </c>
      <c r="V327" s="40">
        <f>IF(OR(G327="",U327=""),"",G327*U327-N(I327))</f>
        <v/>
      </c>
      <c r="W327" s="39">
        <f>IF(D327="","",IFERROR(VALUE(MID(D327,LEN(D327)-3,3)),""))</f>
        <v/>
      </c>
      <c r="X327" s="33">
        <f>IF(W327="","",P327&amp;"|"&amp;W327)</f>
        <v/>
      </c>
      <c r="Y327" s="33">
        <f>IF(W327="","",IF(P327="À RENSEIGNER","GIC",P327)&amp;"-"&amp;TEXT(W327,"000"))</f>
        <v/>
      </c>
      <c r="Z327" s="33">
        <f>IF(X327="","",IFERROR(INDEX(Cl_nom,MATCH(X327,Cl_cle,0)),"(client introuvable)"))</f>
        <v/>
      </c>
      <c r="AA327" s="33">
        <f>IF(X327="","",IFERROR(INDEX(Cl_quartier,MATCH(X327,Cl_cle,0))&amp;"",""))</f>
        <v/>
      </c>
      <c r="AB327" s="45">
        <f>IF(R327&lt;&gt;"Livrée",0,IF(K327&lt;&gt;"",K327,C327))</f>
        <v/>
      </c>
      <c r="AC327" s="33">
        <f>IF(OR(C327="",W327=""),"",P327&amp;"|"&amp;W327&amp;"|"&amp;C327&amp;"|"&amp;E327)</f>
        <v/>
      </c>
      <c r="AD327" s="39">
        <f>IF(AC327="","",IF(COUNTIF(AC$6:AC327,AC327)=1,1,0))</f>
        <v/>
      </c>
      <c r="AE327" s="39">
        <f>IF(AB327=0,"",IF(COUNTIFS(X$6:X327,X327,AB$6:AB327,AB327)=1,1,0))</f>
        <v/>
      </c>
      <c r="AF327" s="34">
        <f>IF(C327="","",YEAR(C327-WEEKDAY(C327,2)+4)&amp;"-S"&amp;TEXT(INT((C327-DATE(YEAR(C327-WEEKDAY(C327,2)+4),1,3)+WEEKDAY(DATE(YEAR(C327-WEEKDAY(C327,2)+4),1,3),2)+5)/7),"00"))</f>
        <v/>
      </c>
    </row>
    <row r="328" ht="18" customHeight="1">
      <c r="A328" s="39" t="n">
        <v>323</v>
      </c>
      <c r="B328" s="33">
        <f>IF(C328="","",IF(P328="À RENSEIGNER","GIC",P328)&amp;"-C"&amp;TEXT(A328,"00000"))</f>
        <v/>
      </c>
      <c r="C328" s="32" t="n"/>
      <c r="D328" s="36" t="n"/>
      <c r="E328" s="36" t="n"/>
      <c r="F328" s="36" t="n"/>
      <c r="G328" s="42" t="n"/>
      <c r="H328" s="37" t="n"/>
      <c r="I328" s="37" t="n"/>
      <c r="J328" s="32" t="n"/>
      <c r="K328" s="32" t="n"/>
      <c r="L328" s="43" t="n"/>
      <c r="M328" s="36" t="n"/>
      <c r="N328" s="44" t="n"/>
      <c r="O328" s="36" t="n"/>
      <c r="P328" s="33">
        <f>IF(C328="","",Commercial_Id)</f>
        <v/>
      </c>
      <c r="Q328" s="34">
        <f>IF(AC328="","",IF(AD328=1,"C"&amp;TEXT(SUM(AD$6:AD328),"0000"),INDEX(Q$6:Q327,MATCH(AC328,AC$6:AC327,0))))</f>
        <v/>
      </c>
      <c r="R328" s="34">
        <f>IF(C328="","",IF(L328="☑ Oui","Annulée",IF(OR(E328="Vente directe",K328&lt;&gt;""),"Livrée",IF(J328&lt;&gt;"","Confirmée","En attente"))))</f>
        <v/>
      </c>
      <c r="S328" s="34">
        <f>IF(F328="","",IFERROR(VLOOKUP(F328,T_Produits,2,FALSE),""))</f>
        <v/>
      </c>
      <c r="T328" s="40">
        <f>IF(F328="","",IFERROR(1/(1/VLOOKUP(F328,T_Produits,3,FALSE)),""))</f>
        <v/>
      </c>
      <c r="U328" s="40">
        <f>IF(H328&lt;&gt;"",H328,T328)</f>
        <v/>
      </c>
      <c r="V328" s="40">
        <f>IF(OR(G328="",U328=""),"",G328*U328-N(I328))</f>
        <v/>
      </c>
      <c r="W328" s="39">
        <f>IF(D328="","",IFERROR(VALUE(MID(D328,LEN(D328)-3,3)),""))</f>
        <v/>
      </c>
      <c r="X328" s="33">
        <f>IF(W328="","",P328&amp;"|"&amp;W328)</f>
        <v/>
      </c>
      <c r="Y328" s="33">
        <f>IF(W328="","",IF(P328="À RENSEIGNER","GIC",P328)&amp;"-"&amp;TEXT(W328,"000"))</f>
        <v/>
      </c>
      <c r="Z328" s="33">
        <f>IF(X328="","",IFERROR(INDEX(Cl_nom,MATCH(X328,Cl_cle,0)),"(client introuvable)"))</f>
        <v/>
      </c>
      <c r="AA328" s="33">
        <f>IF(X328="","",IFERROR(INDEX(Cl_quartier,MATCH(X328,Cl_cle,0))&amp;"",""))</f>
        <v/>
      </c>
      <c r="AB328" s="45">
        <f>IF(R328&lt;&gt;"Livrée",0,IF(K328&lt;&gt;"",K328,C328))</f>
        <v/>
      </c>
      <c r="AC328" s="33">
        <f>IF(OR(C328="",W328=""),"",P328&amp;"|"&amp;W328&amp;"|"&amp;C328&amp;"|"&amp;E328)</f>
        <v/>
      </c>
      <c r="AD328" s="39">
        <f>IF(AC328="","",IF(COUNTIF(AC$6:AC328,AC328)=1,1,0))</f>
        <v/>
      </c>
      <c r="AE328" s="39">
        <f>IF(AB328=0,"",IF(COUNTIFS(X$6:X328,X328,AB$6:AB328,AB328)=1,1,0))</f>
        <v/>
      </c>
      <c r="AF328" s="34">
        <f>IF(C328="","",YEAR(C328-WEEKDAY(C328,2)+4)&amp;"-S"&amp;TEXT(INT((C328-DATE(YEAR(C328-WEEKDAY(C328,2)+4),1,3)+WEEKDAY(DATE(YEAR(C328-WEEKDAY(C328,2)+4),1,3),2)+5)/7),"00"))</f>
        <v/>
      </c>
    </row>
    <row r="329" ht="18" customHeight="1">
      <c r="A329" s="39" t="n">
        <v>324</v>
      </c>
      <c r="B329" s="33">
        <f>IF(C329="","",IF(P329="À RENSEIGNER","GIC",P329)&amp;"-C"&amp;TEXT(A329,"00000"))</f>
        <v/>
      </c>
      <c r="C329" s="32" t="n"/>
      <c r="D329" s="36" t="n"/>
      <c r="E329" s="36" t="n"/>
      <c r="F329" s="36" t="n"/>
      <c r="G329" s="42" t="n"/>
      <c r="H329" s="37" t="n"/>
      <c r="I329" s="37" t="n"/>
      <c r="J329" s="32" t="n"/>
      <c r="K329" s="32" t="n"/>
      <c r="L329" s="43" t="n"/>
      <c r="M329" s="36" t="n"/>
      <c r="N329" s="44" t="n"/>
      <c r="O329" s="36" t="n"/>
      <c r="P329" s="33">
        <f>IF(C329="","",Commercial_Id)</f>
        <v/>
      </c>
      <c r="Q329" s="34">
        <f>IF(AC329="","",IF(AD329=1,"C"&amp;TEXT(SUM(AD$6:AD329),"0000"),INDEX(Q$6:Q328,MATCH(AC329,AC$6:AC328,0))))</f>
        <v/>
      </c>
      <c r="R329" s="34">
        <f>IF(C329="","",IF(L329="☑ Oui","Annulée",IF(OR(E329="Vente directe",K329&lt;&gt;""),"Livrée",IF(J329&lt;&gt;"","Confirmée","En attente"))))</f>
        <v/>
      </c>
      <c r="S329" s="34">
        <f>IF(F329="","",IFERROR(VLOOKUP(F329,T_Produits,2,FALSE),""))</f>
        <v/>
      </c>
      <c r="T329" s="40">
        <f>IF(F329="","",IFERROR(1/(1/VLOOKUP(F329,T_Produits,3,FALSE)),""))</f>
        <v/>
      </c>
      <c r="U329" s="40">
        <f>IF(H329&lt;&gt;"",H329,T329)</f>
        <v/>
      </c>
      <c r="V329" s="40">
        <f>IF(OR(G329="",U329=""),"",G329*U329-N(I329))</f>
        <v/>
      </c>
      <c r="W329" s="39">
        <f>IF(D329="","",IFERROR(VALUE(MID(D329,LEN(D329)-3,3)),""))</f>
        <v/>
      </c>
      <c r="X329" s="33">
        <f>IF(W329="","",P329&amp;"|"&amp;W329)</f>
        <v/>
      </c>
      <c r="Y329" s="33">
        <f>IF(W329="","",IF(P329="À RENSEIGNER","GIC",P329)&amp;"-"&amp;TEXT(W329,"000"))</f>
        <v/>
      </c>
      <c r="Z329" s="33">
        <f>IF(X329="","",IFERROR(INDEX(Cl_nom,MATCH(X329,Cl_cle,0)),"(client introuvable)"))</f>
        <v/>
      </c>
      <c r="AA329" s="33">
        <f>IF(X329="","",IFERROR(INDEX(Cl_quartier,MATCH(X329,Cl_cle,0))&amp;"",""))</f>
        <v/>
      </c>
      <c r="AB329" s="45">
        <f>IF(R329&lt;&gt;"Livrée",0,IF(K329&lt;&gt;"",K329,C329))</f>
        <v/>
      </c>
      <c r="AC329" s="33">
        <f>IF(OR(C329="",W329=""),"",P329&amp;"|"&amp;W329&amp;"|"&amp;C329&amp;"|"&amp;E329)</f>
        <v/>
      </c>
      <c r="AD329" s="39">
        <f>IF(AC329="","",IF(COUNTIF(AC$6:AC329,AC329)=1,1,0))</f>
        <v/>
      </c>
      <c r="AE329" s="39">
        <f>IF(AB329=0,"",IF(COUNTIFS(X$6:X329,X329,AB$6:AB329,AB329)=1,1,0))</f>
        <v/>
      </c>
      <c r="AF329" s="34">
        <f>IF(C329="","",YEAR(C329-WEEKDAY(C329,2)+4)&amp;"-S"&amp;TEXT(INT((C329-DATE(YEAR(C329-WEEKDAY(C329,2)+4),1,3)+WEEKDAY(DATE(YEAR(C329-WEEKDAY(C329,2)+4),1,3),2)+5)/7),"00"))</f>
        <v/>
      </c>
    </row>
    <row r="330" ht="18" customHeight="1">
      <c r="A330" s="39" t="n">
        <v>325</v>
      </c>
      <c r="B330" s="33">
        <f>IF(C330="","",IF(P330="À RENSEIGNER","GIC",P330)&amp;"-C"&amp;TEXT(A330,"00000"))</f>
        <v/>
      </c>
      <c r="C330" s="32" t="n"/>
      <c r="D330" s="36" t="n"/>
      <c r="E330" s="36" t="n"/>
      <c r="F330" s="36" t="n"/>
      <c r="G330" s="42" t="n"/>
      <c r="H330" s="37" t="n"/>
      <c r="I330" s="37" t="n"/>
      <c r="J330" s="32" t="n"/>
      <c r="K330" s="32" t="n"/>
      <c r="L330" s="43" t="n"/>
      <c r="M330" s="36" t="n"/>
      <c r="N330" s="44" t="n"/>
      <c r="O330" s="36" t="n"/>
      <c r="P330" s="33">
        <f>IF(C330="","",Commercial_Id)</f>
        <v/>
      </c>
      <c r="Q330" s="34">
        <f>IF(AC330="","",IF(AD330=1,"C"&amp;TEXT(SUM(AD$6:AD330),"0000"),INDEX(Q$6:Q329,MATCH(AC330,AC$6:AC329,0))))</f>
        <v/>
      </c>
      <c r="R330" s="34">
        <f>IF(C330="","",IF(L330="☑ Oui","Annulée",IF(OR(E330="Vente directe",K330&lt;&gt;""),"Livrée",IF(J330&lt;&gt;"","Confirmée","En attente"))))</f>
        <v/>
      </c>
      <c r="S330" s="34">
        <f>IF(F330="","",IFERROR(VLOOKUP(F330,T_Produits,2,FALSE),""))</f>
        <v/>
      </c>
      <c r="T330" s="40">
        <f>IF(F330="","",IFERROR(1/(1/VLOOKUP(F330,T_Produits,3,FALSE)),""))</f>
        <v/>
      </c>
      <c r="U330" s="40">
        <f>IF(H330&lt;&gt;"",H330,T330)</f>
        <v/>
      </c>
      <c r="V330" s="40">
        <f>IF(OR(G330="",U330=""),"",G330*U330-N(I330))</f>
        <v/>
      </c>
      <c r="W330" s="39">
        <f>IF(D330="","",IFERROR(VALUE(MID(D330,LEN(D330)-3,3)),""))</f>
        <v/>
      </c>
      <c r="X330" s="33">
        <f>IF(W330="","",P330&amp;"|"&amp;W330)</f>
        <v/>
      </c>
      <c r="Y330" s="33">
        <f>IF(W330="","",IF(P330="À RENSEIGNER","GIC",P330)&amp;"-"&amp;TEXT(W330,"000"))</f>
        <v/>
      </c>
      <c r="Z330" s="33">
        <f>IF(X330="","",IFERROR(INDEX(Cl_nom,MATCH(X330,Cl_cle,0)),"(client introuvable)"))</f>
        <v/>
      </c>
      <c r="AA330" s="33">
        <f>IF(X330="","",IFERROR(INDEX(Cl_quartier,MATCH(X330,Cl_cle,0))&amp;"",""))</f>
        <v/>
      </c>
      <c r="AB330" s="45">
        <f>IF(R330&lt;&gt;"Livrée",0,IF(K330&lt;&gt;"",K330,C330))</f>
        <v/>
      </c>
      <c r="AC330" s="33">
        <f>IF(OR(C330="",W330=""),"",P330&amp;"|"&amp;W330&amp;"|"&amp;C330&amp;"|"&amp;E330)</f>
        <v/>
      </c>
      <c r="AD330" s="39">
        <f>IF(AC330="","",IF(COUNTIF(AC$6:AC330,AC330)=1,1,0))</f>
        <v/>
      </c>
      <c r="AE330" s="39">
        <f>IF(AB330=0,"",IF(COUNTIFS(X$6:X330,X330,AB$6:AB330,AB330)=1,1,0))</f>
        <v/>
      </c>
      <c r="AF330" s="34">
        <f>IF(C330="","",YEAR(C330-WEEKDAY(C330,2)+4)&amp;"-S"&amp;TEXT(INT((C330-DATE(YEAR(C330-WEEKDAY(C330,2)+4),1,3)+WEEKDAY(DATE(YEAR(C330-WEEKDAY(C330,2)+4),1,3),2)+5)/7),"00"))</f>
        <v/>
      </c>
    </row>
    <row r="331" ht="18" customHeight="1">
      <c r="A331" s="39" t="n">
        <v>326</v>
      </c>
      <c r="B331" s="33">
        <f>IF(C331="","",IF(P331="À RENSEIGNER","GIC",P331)&amp;"-C"&amp;TEXT(A331,"00000"))</f>
        <v/>
      </c>
      <c r="C331" s="32" t="n"/>
      <c r="D331" s="36" t="n"/>
      <c r="E331" s="36" t="n"/>
      <c r="F331" s="36" t="n"/>
      <c r="G331" s="42" t="n"/>
      <c r="H331" s="37" t="n"/>
      <c r="I331" s="37" t="n"/>
      <c r="J331" s="32" t="n"/>
      <c r="K331" s="32" t="n"/>
      <c r="L331" s="43" t="n"/>
      <c r="M331" s="36" t="n"/>
      <c r="N331" s="44" t="n"/>
      <c r="O331" s="36" t="n"/>
      <c r="P331" s="33">
        <f>IF(C331="","",Commercial_Id)</f>
        <v/>
      </c>
      <c r="Q331" s="34">
        <f>IF(AC331="","",IF(AD331=1,"C"&amp;TEXT(SUM(AD$6:AD331),"0000"),INDEX(Q$6:Q330,MATCH(AC331,AC$6:AC330,0))))</f>
        <v/>
      </c>
      <c r="R331" s="34">
        <f>IF(C331="","",IF(L331="☑ Oui","Annulée",IF(OR(E331="Vente directe",K331&lt;&gt;""),"Livrée",IF(J331&lt;&gt;"","Confirmée","En attente"))))</f>
        <v/>
      </c>
      <c r="S331" s="34">
        <f>IF(F331="","",IFERROR(VLOOKUP(F331,T_Produits,2,FALSE),""))</f>
        <v/>
      </c>
      <c r="T331" s="40">
        <f>IF(F331="","",IFERROR(1/(1/VLOOKUP(F331,T_Produits,3,FALSE)),""))</f>
        <v/>
      </c>
      <c r="U331" s="40">
        <f>IF(H331&lt;&gt;"",H331,T331)</f>
        <v/>
      </c>
      <c r="V331" s="40">
        <f>IF(OR(G331="",U331=""),"",G331*U331-N(I331))</f>
        <v/>
      </c>
      <c r="W331" s="39">
        <f>IF(D331="","",IFERROR(VALUE(MID(D331,LEN(D331)-3,3)),""))</f>
        <v/>
      </c>
      <c r="X331" s="33">
        <f>IF(W331="","",P331&amp;"|"&amp;W331)</f>
        <v/>
      </c>
      <c r="Y331" s="33">
        <f>IF(W331="","",IF(P331="À RENSEIGNER","GIC",P331)&amp;"-"&amp;TEXT(W331,"000"))</f>
        <v/>
      </c>
      <c r="Z331" s="33">
        <f>IF(X331="","",IFERROR(INDEX(Cl_nom,MATCH(X331,Cl_cle,0)),"(client introuvable)"))</f>
        <v/>
      </c>
      <c r="AA331" s="33">
        <f>IF(X331="","",IFERROR(INDEX(Cl_quartier,MATCH(X331,Cl_cle,0))&amp;"",""))</f>
        <v/>
      </c>
      <c r="AB331" s="45">
        <f>IF(R331&lt;&gt;"Livrée",0,IF(K331&lt;&gt;"",K331,C331))</f>
        <v/>
      </c>
      <c r="AC331" s="33">
        <f>IF(OR(C331="",W331=""),"",P331&amp;"|"&amp;W331&amp;"|"&amp;C331&amp;"|"&amp;E331)</f>
        <v/>
      </c>
      <c r="AD331" s="39">
        <f>IF(AC331="","",IF(COUNTIF(AC$6:AC331,AC331)=1,1,0))</f>
        <v/>
      </c>
      <c r="AE331" s="39">
        <f>IF(AB331=0,"",IF(COUNTIFS(X$6:X331,X331,AB$6:AB331,AB331)=1,1,0))</f>
        <v/>
      </c>
      <c r="AF331" s="34">
        <f>IF(C331="","",YEAR(C331-WEEKDAY(C331,2)+4)&amp;"-S"&amp;TEXT(INT((C331-DATE(YEAR(C331-WEEKDAY(C331,2)+4),1,3)+WEEKDAY(DATE(YEAR(C331-WEEKDAY(C331,2)+4),1,3),2)+5)/7),"00"))</f>
        <v/>
      </c>
    </row>
    <row r="332" ht="18" customHeight="1">
      <c r="A332" s="39" t="n">
        <v>327</v>
      </c>
      <c r="B332" s="33">
        <f>IF(C332="","",IF(P332="À RENSEIGNER","GIC",P332)&amp;"-C"&amp;TEXT(A332,"00000"))</f>
        <v/>
      </c>
      <c r="C332" s="32" t="n"/>
      <c r="D332" s="36" t="n"/>
      <c r="E332" s="36" t="n"/>
      <c r="F332" s="36" t="n"/>
      <c r="G332" s="42" t="n"/>
      <c r="H332" s="37" t="n"/>
      <c r="I332" s="37" t="n"/>
      <c r="J332" s="32" t="n"/>
      <c r="K332" s="32" t="n"/>
      <c r="L332" s="43" t="n"/>
      <c r="M332" s="36" t="n"/>
      <c r="N332" s="44" t="n"/>
      <c r="O332" s="36" t="n"/>
      <c r="P332" s="33">
        <f>IF(C332="","",Commercial_Id)</f>
        <v/>
      </c>
      <c r="Q332" s="34">
        <f>IF(AC332="","",IF(AD332=1,"C"&amp;TEXT(SUM(AD$6:AD332),"0000"),INDEX(Q$6:Q331,MATCH(AC332,AC$6:AC331,0))))</f>
        <v/>
      </c>
      <c r="R332" s="34">
        <f>IF(C332="","",IF(L332="☑ Oui","Annulée",IF(OR(E332="Vente directe",K332&lt;&gt;""),"Livrée",IF(J332&lt;&gt;"","Confirmée","En attente"))))</f>
        <v/>
      </c>
      <c r="S332" s="34">
        <f>IF(F332="","",IFERROR(VLOOKUP(F332,T_Produits,2,FALSE),""))</f>
        <v/>
      </c>
      <c r="T332" s="40">
        <f>IF(F332="","",IFERROR(1/(1/VLOOKUP(F332,T_Produits,3,FALSE)),""))</f>
        <v/>
      </c>
      <c r="U332" s="40">
        <f>IF(H332&lt;&gt;"",H332,T332)</f>
        <v/>
      </c>
      <c r="V332" s="40">
        <f>IF(OR(G332="",U332=""),"",G332*U332-N(I332))</f>
        <v/>
      </c>
      <c r="W332" s="39">
        <f>IF(D332="","",IFERROR(VALUE(MID(D332,LEN(D332)-3,3)),""))</f>
        <v/>
      </c>
      <c r="X332" s="33">
        <f>IF(W332="","",P332&amp;"|"&amp;W332)</f>
        <v/>
      </c>
      <c r="Y332" s="33">
        <f>IF(W332="","",IF(P332="À RENSEIGNER","GIC",P332)&amp;"-"&amp;TEXT(W332,"000"))</f>
        <v/>
      </c>
      <c r="Z332" s="33">
        <f>IF(X332="","",IFERROR(INDEX(Cl_nom,MATCH(X332,Cl_cle,0)),"(client introuvable)"))</f>
        <v/>
      </c>
      <c r="AA332" s="33">
        <f>IF(X332="","",IFERROR(INDEX(Cl_quartier,MATCH(X332,Cl_cle,0))&amp;"",""))</f>
        <v/>
      </c>
      <c r="AB332" s="45">
        <f>IF(R332&lt;&gt;"Livrée",0,IF(K332&lt;&gt;"",K332,C332))</f>
        <v/>
      </c>
      <c r="AC332" s="33">
        <f>IF(OR(C332="",W332=""),"",P332&amp;"|"&amp;W332&amp;"|"&amp;C332&amp;"|"&amp;E332)</f>
        <v/>
      </c>
      <c r="AD332" s="39">
        <f>IF(AC332="","",IF(COUNTIF(AC$6:AC332,AC332)=1,1,0))</f>
        <v/>
      </c>
      <c r="AE332" s="39">
        <f>IF(AB332=0,"",IF(COUNTIFS(X$6:X332,X332,AB$6:AB332,AB332)=1,1,0))</f>
        <v/>
      </c>
      <c r="AF332" s="34">
        <f>IF(C332="","",YEAR(C332-WEEKDAY(C332,2)+4)&amp;"-S"&amp;TEXT(INT((C332-DATE(YEAR(C332-WEEKDAY(C332,2)+4),1,3)+WEEKDAY(DATE(YEAR(C332-WEEKDAY(C332,2)+4),1,3),2)+5)/7),"00"))</f>
        <v/>
      </c>
    </row>
    <row r="333" ht="18" customHeight="1">
      <c r="A333" s="39" t="n">
        <v>328</v>
      </c>
      <c r="B333" s="33">
        <f>IF(C333="","",IF(P333="À RENSEIGNER","GIC",P333)&amp;"-C"&amp;TEXT(A333,"00000"))</f>
        <v/>
      </c>
      <c r="C333" s="32" t="n"/>
      <c r="D333" s="36" t="n"/>
      <c r="E333" s="36" t="n"/>
      <c r="F333" s="36" t="n"/>
      <c r="G333" s="42" t="n"/>
      <c r="H333" s="37" t="n"/>
      <c r="I333" s="37" t="n"/>
      <c r="J333" s="32" t="n"/>
      <c r="K333" s="32" t="n"/>
      <c r="L333" s="43" t="n"/>
      <c r="M333" s="36" t="n"/>
      <c r="N333" s="44" t="n"/>
      <c r="O333" s="36" t="n"/>
      <c r="P333" s="33">
        <f>IF(C333="","",Commercial_Id)</f>
        <v/>
      </c>
      <c r="Q333" s="34">
        <f>IF(AC333="","",IF(AD333=1,"C"&amp;TEXT(SUM(AD$6:AD333),"0000"),INDEX(Q$6:Q332,MATCH(AC333,AC$6:AC332,0))))</f>
        <v/>
      </c>
      <c r="R333" s="34">
        <f>IF(C333="","",IF(L333="☑ Oui","Annulée",IF(OR(E333="Vente directe",K333&lt;&gt;""),"Livrée",IF(J333&lt;&gt;"","Confirmée","En attente"))))</f>
        <v/>
      </c>
      <c r="S333" s="34">
        <f>IF(F333="","",IFERROR(VLOOKUP(F333,T_Produits,2,FALSE),""))</f>
        <v/>
      </c>
      <c r="T333" s="40">
        <f>IF(F333="","",IFERROR(1/(1/VLOOKUP(F333,T_Produits,3,FALSE)),""))</f>
        <v/>
      </c>
      <c r="U333" s="40">
        <f>IF(H333&lt;&gt;"",H333,T333)</f>
        <v/>
      </c>
      <c r="V333" s="40">
        <f>IF(OR(G333="",U333=""),"",G333*U333-N(I333))</f>
        <v/>
      </c>
      <c r="W333" s="39">
        <f>IF(D333="","",IFERROR(VALUE(MID(D333,LEN(D333)-3,3)),""))</f>
        <v/>
      </c>
      <c r="X333" s="33">
        <f>IF(W333="","",P333&amp;"|"&amp;W333)</f>
        <v/>
      </c>
      <c r="Y333" s="33">
        <f>IF(W333="","",IF(P333="À RENSEIGNER","GIC",P333)&amp;"-"&amp;TEXT(W333,"000"))</f>
        <v/>
      </c>
      <c r="Z333" s="33">
        <f>IF(X333="","",IFERROR(INDEX(Cl_nom,MATCH(X333,Cl_cle,0)),"(client introuvable)"))</f>
        <v/>
      </c>
      <c r="AA333" s="33">
        <f>IF(X333="","",IFERROR(INDEX(Cl_quartier,MATCH(X333,Cl_cle,0))&amp;"",""))</f>
        <v/>
      </c>
      <c r="AB333" s="45">
        <f>IF(R333&lt;&gt;"Livrée",0,IF(K333&lt;&gt;"",K333,C333))</f>
        <v/>
      </c>
      <c r="AC333" s="33">
        <f>IF(OR(C333="",W333=""),"",P333&amp;"|"&amp;W333&amp;"|"&amp;C333&amp;"|"&amp;E333)</f>
        <v/>
      </c>
      <c r="AD333" s="39">
        <f>IF(AC333="","",IF(COUNTIF(AC$6:AC333,AC333)=1,1,0))</f>
        <v/>
      </c>
      <c r="AE333" s="39">
        <f>IF(AB333=0,"",IF(COUNTIFS(X$6:X333,X333,AB$6:AB333,AB333)=1,1,0))</f>
        <v/>
      </c>
      <c r="AF333" s="34">
        <f>IF(C333="","",YEAR(C333-WEEKDAY(C333,2)+4)&amp;"-S"&amp;TEXT(INT((C333-DATE(YEAR(C333-WEEKDAY(C333,2)+4),1,3)+WEEKDAY(DATE(YEAR(C333-WEEKDAY(C333,2)+4),1,3),2)+5)/7),"00"))</f>
        <v/>
      </c>
    </row>
    <row r="334" ht="18" customHeight="1">
      <c r="A334" s="39" t="n">
        <v>329</v>
      </c>
      <c r="B334" s="33">
        <f>IF(C334="","",IF(P334="À RENSEIGNER","GIC",P334)&amp;"-C"&amp;TEXT(A334,"00000"))</f>
        <v/>
      </c>
      <c r="C334" s="32" t="n"/>
      <c r="D334" s="36" t="n"/>
      <c r="E334" s="36" t="n"/>
      <c r="F334" s="36" t="n"/>
      <c r="G334" s="42" t="n"/>
      <c r="H334" s="37" t="n"/>
      <c r="I334" s="37" t="n"/>
      <c r="J334" s="32" t="n"/>
      <c r="K334" s="32" t="n"/>
      <c r="L334" s="43" t="n"/>
      <c r="M334" s="36" t="n"/>
      <c r="N334" s="44" t="n"/>
      <c r="O334" s="36" t="n"/>
      <c r="P334" s="33">
        <f>IF(C334="","",Commercial_Id)</f>
        <v/>
      </c>
      <c r="Q334" s="34">
        <f>IF(AC334="","",IF(AD334=1,"C"&amp;TEXT(SUM(AD$6:AD334),"0000"),INDEX(Q$6:Q333,MATCH(AC334,AC$6:AC333,0))))</f>
        <v/>
      </c>
      <c r="R334" s="34">
        <f>IF(C334="","",IF(L334="☑ Oui","Annulée",IF(OR(E334="Vente directe",K334&lt;&gt;""),"Livrée",IF(J334&lt;&gt;"","Confirmée","En attente"))))</f>
        <v/>
      </c>
      <c r="S334" s="34">
        <f>IF(F334="","",IFERROR(VLOOKUP(F334,T_Produits,2,FALSE),""))</f>
        <v/>
      </c>
      <c r="T334" s="40">
        <f>IF(F334="","",IFERROR(1/(1/VLOOKUP(F334,T_Produits,3,FALSE)),""))</f>
        <v/>
      </c>
      <c r="U334" s="40">
        <f>IF(H334&lt;&gt;"",H334,T334)</f>
        <v/>
      </c>
      <c r="V334" s="40">
        <f>IF(OR(G334="",U334=""),"",G334*U334-N(I334))</f>
        <v/>
      </c>
      <c r="W334" s="39">
        <f>IF(D334="","",IFERROR(VALUE(MID(D334,LEN(D334)-3,3)),""))</f>
        <v/>
      </c>
      <c r="X334" s="33">
        <f>IF(W334="","",P334&amp;"|"&amp;W334)</f>
        <v/>
      </c>
      <c r="Y334" s="33">
        <f>IF(W334="","",IF(P334="À RENSEIGNER","GIC",P334)&amp;"-"&amp;TEXT(W334,"000"))</f>
        <v/>
      </c>
      <c r="Z334" s="33">
        <f>IF(X334="","",IFERROR(INDEX(Cl_nom,MATCH(X334,Cl_cle,0)),"(client introuvable)"))</f>
        <v/>
      </c>
      <c r="AA334" s="33">
        <f>IF(X334="","",IFERROR(INDEX(Cl_quartier,MATCH(X334,Cl_cle,0))&amp;"",""))</f>
        <v/>
      </c>
      <c r="AB334" s="45">
        <f>IF(R334&lt;&gt;"Livrée",0,IF(K334&lt;&gt;"",K334,C334))</f>
        <v/>
      </c>
      <c r="AC334" s="33">
        <f>IF(OR(C334="",W334=""),"",P334&amp;"|"&amp;W334&amp;"|"&amp;C334&amp;"|"&amp;E334)</f>
        <v/>
      </c>
      <c r="AD334" s="39">
        <f>IF(AC334="","",IF(COUNTIF(AC$6:AC334,AC334)=1,1,0))</f>
        <v/>
      </c>
      <c r="AE334" s="39">
        <f>IF(AB334=0,"",IF(COUNTIFS(X$6:X334,X334,AB$6:AB334,AB334)=1,1,0))</f>
        <v/>
      </c>
      <c r="AF334" s="34">
        <f>IF(C334="","",YEAR(C334-WEEKDAY(C334,2)+4)&amp;"-S"&amp;TEXT(INT((C334-DATE(YEAR(C334-WEEKDAY(C334,2)+4),1,3)+WEEKDAY(DATE(YEAR(C334-WEEKDAY(C334,2)+4),1,3),2)+5)/7),"00"))</f>
        <v/>
      </c>
    </row>
    <row r="335" ht="18" customHeight="1">
      <c r="A335" s="39" t="n">
        <v>330</v>
      </c>
      <c r="B335" s="33">
        <f>IF(C335="","",IF(P335="À RENSEIGNER","GIC",P335)&amp;"-C"&amp;TEXT(A335,"00000"))</f>
        <v/>
      </c>
      <c r="C335" s="32" t="n"/>
      <c r="D335" s="36" t="n"/>
      <c r="E335" s="36" t="n"/>
      <c r="F335" s="36" t="n"/>
      <c r="G335" s="42" t="n"/>
      <c r="H335" s="37" t="n"/>
      <c r="I335" s="37" t="n"/>
      <c r="J335" s="32" t="n"/>
      <c r="K335" s="32" t="n"/>
      <c r="L335" s="43" t="n"/>
      <c r="M335" s="36" t="n"/>
      <c r="N335" s="44" t="n"/>
      <c r="O335" s="36" t="n"/>
      <c r="P335" s="33">
        <f>IF(C335="","",Commercial_Id)</f>
        <v/>
      </c>
      <c r="Q335" s="34">
        <f>IF(AC335="","",IF(AD335=1,"C"&amp;TEXT(SUM(AD$6:AD335),"0000"),INDEX(Q$6:Q334,MATCH(AC335,AC$6:AC334,0))))</f>
        <v/>
      </c>
      <c r="R335" s="34">
        <f>IF(C335="","",IF(L335="☑ Oui","Annulée",IF(OR(E335="Vente directe",K335&lt;&gt;""),"Livrée",IF(J335&lt;&gt;"","Confirmée","En attente"))))</f>
        <v/>
      </c>
      <c r="S335" s="34">
        <f>IF(F335="","",IFERROR(VLOOKUP(F335,T_Produits,2,FALSE),""))</f>
        <v/>
      </c>
      <c r="T335" s="40">
        <f>IF(F335="","",IFERROR(1/(1/VLOOKUP(F335,T_Produits,3,FALSE)),""))</f>
        <v/>
      </c>
      <c r="U335" s="40">
        <f>IF(H335&lt;&gt;"",H335,T335)</f>
        <v/>
      </c>
      <c r="V335" s="40">
        <f>IF(OR(G335="",U335=""),"",G335*U335-N(I335))</f>
        <v/>
      </c>
      <c r="W335" s="39">
        <f>IF(D335="","",IFERROR(VALUE(MID(D335,LEN(D335)-3,3)),""))</f>
        <v/>
      </c>
      <c r="X335" s="33">
        <f>IF(W335="","",P335&amp;"|"&amp;W335)</f>
        <v/>
      </c>
      <c r="Y335" s="33">
        <f>IF(W335="","",IF(P335="À RENSEIGNER","GIC",P335)&amp;"-"&amp;TEXT(W335,"000"))</f>
        <v/>
      </c>
      <c r="Z335" s="33">
        <f>IF(X335="","",IFERROR(INDEX(Cl_nom,MATCH(X335,Cl_cle,0)),"(client introuvable)"))</f>
        <v/>
      </c>
      <c r="AA335" s="33">
        <f>IF(X335="","",IFERROR(INDEX(Cl_quartier,MATCH(X335,Cl_cle,0))&amp;"",""))</f>
        <v/>
      </c>
      <c r="AB335" s="45">
        <f>IF(R335&lt;&gt;"Livrée",0,IF(K335&lt;&gt;"",K335,C335))</f>
        <v/>
      </c>
      <c r="AC335" s="33">
        <f>IF(OR(C335="",W335=""),"",P335&amp;"|"&amp;W335&amp;"|"&amp;C335&amp;"|"&amp;E335)</f>
        <v/>
      </c>
      <c r="AD335" s="39">
        <f>IF(AC335="","",IF(COUNTIF(AC$6:AC335,AC335)=1,1,0))</f>
        <v/>
      </c>
      <c r="AE335" s="39">
        <f>IF(AB335=0,"",IF(COUNTIFS(X$6:X335,X335,AB$6:AB335,AB335)=1,1,0))</f>
        <v/>
      </c>
      <c r="AF335" s="34">
        <f>IF(C335="","",YEAR(C335-WEEKDAY(C335,2)+4)&amp;"-S"&amp;TEXT(INT((C335-DATE(YEAR(C335-WEEKDAY(C335,2)+4),1,3)+WEEKDAY(DATE(YEAR(C335-WEEKDAY(C335,2)+4),1,3),2)+5)/7),"00"))</f>
        <v/>
      </c>
    </row>
    <row r="336" ht="18" customHeight="1">
      <c r="A336" s="39" t="n">
        <v>331</v>
      </c>
      <c r="B336" s="33">
        <f>IF(C336="","",IF(P336="À RENSEIGNER","GIC",P336)&amp;"-C"&amp;TEXT(A336,"00000"))</f>
        <v/>
      </c>
      <c r="C336" s="32" t="n"/>
      <c r="D336" s="36" t="n"/>
      <c r="E336" s="36" t="n"/>
      <c r="F336" s="36" t="n"/>
      <c r="G336" s="42" t="n"/>
      <c r="H336" s="37" t="n"/>
      <c r="I336" s="37" t="n"/>
      <c r="J336" s="32" t="n"/>
      <c r="K336" s="32" t="n"/>
      <c r="L336" s="43" t="n"/>
      <c r="M336" s="36" t="n"/>
      <c r="N336" s="44" t="n"/>
      <c r="O336" s="36" t="n"/>
      <c r="P336" s="33">
        <f>IF(C336="","",Commercial_Id)</f>
        <v/>
      </c>
      <c r="Q336" s="34">
        <f>IF(AC336="","",IF(AD336=1,"C"&amp;TEXT(SUM(AD$6:AD336),"0000"),INDEX(Q$6:Q335,MATCH(AC336,AC$6:AC335,0))))</f>
        <v/>
      </c>
      <c r="R336" s="34">
        <f>IF(C336="","",IF(L336="☑ Oui","Annulée",IF(OR(E336="Vente directe",K336&lt;&gt;""),"Livrée",IF(J336&lt;&gt;"","Confirmée","En attente"))))</f>
        <v/>
      </c>
      <c r="S336" s="34">
        <f>IF(F336="","",IFERROR(VLOOKUP(F336,T_Produits,2,FALSE),""))</f>
        <v/>
      </c>
      <c r="T336" s="40">
        <f>IF(F336="","",IFERROR(1/(1/VLOOKUP(F336,T_Produits,3,FALSE)),""))</f>
        <v/>
      </c>
      <c r="U336" s="40">
        <f>IF(H336&lt;&gt;"",H336,T336)</f>
        <v/>
      </c>
      <c r="V336" s="40">
        <f>IF(OR(G336="",U336=""),"",G336*U336-N(I336))</f>
        <v/>
      </c>
      <c r="W336" s="39">
        <f>IF(D336="","",IFERROR(VALUE(MID(D336,LEN(D336)-3,3)),""))</f>
        <v/>
      </c>
      <c r="X336" s="33">
        <f>IF(W336="","",P336&amp;"|"&amp;W336)</f>
        <v/>
      </c>
      <c r="Y336" s="33">
        <f>IF(W336="","",IF(P336="À RENSEIGNER","GIC",P336)&amp;"-"&amp;TEXT(W336,"000"))</f>
        <v/>
      </c>
      <c r="Z336" s="33">
        <f>IF(X336="","",IFERROR(INDEX(Cl_nom,MATCH(X336,Cl_cle,0)),"(client introuvable)"))</f>
        <v/>
      </c>
      <c r="AA336" s="33">
        <f>IF(X336="","",IFERROR(INDEX(Cl_quartier,MATCH(X336,Cl_cle,0))&amp;"",""))</f>
        <v/>
      </c>
      <c r="AB336" s="45">
        <f>IF(R336&lt;&gt;"Livrée",0,IF(K336&lt;&gt;"",K336,C336))</f>
        <v/>
      </c>
      <c r="AC336" s="33">
        <f>IF(OR(C336="",W336=""),"",P336&amp;"|"&amp;W336&amp;"|"&amp;C336&amp;"|"&amp;E336)</f>
        <v/>
      </c>
      <c r="AD336" s="39">
        <f>IF(AC336="","",IF(COUNTIF(AC$6:AC336,AC336)=1,1,0))</f>
        <v/>
      </c>
      <c r="AE336" s="39">
        <f>IF(AB336=0,"",IF(COUNTIFS(X$6:X336,X336,AB$6:AB336,AB336)=1,1,0))</f>
        <v/>
      </c>
      <c r="AF336" s="34">
        <f>IF(C336="","",YEAR(C336-WEEKDAY(C336,2)+4)&amp;"-S"&amp;TEXT(INT((C336-DATE(YEAR(C336-WEEKDAY(C336,2)+4),1,3)+WEEKDAY(DATE(YEAR(C336-WEEKDAY(C336,2)+4),1,3),2)+5)/7),"00"))</f>
        <v/>
      </c>
    </row>
    <row r="337" ht="18" customHeight="1">
      <c r="A337" s="39" t="n">
        <v>332</v>
      </c>
      <c r="B337" s="33">
        <f>IF(C337="","",IF(P337="À RENSEIGNER","GIC",P337)&amp;"-C"&amp;TEXT(A337,"00000"))</f>
        <v/>
      </c>
      <c r="C337" s="32" t="n"/>
      <c r="D337" s="36" t="n"/>
      <c r="E337" s="36" t="n"/>
      <c r="F337" s="36" t="n"/>
      <c r="G337" s="42" t="n"/>
      <c r="H337" s="37" t="n"/>
      <c r="I337" s="37" t="n"/>
      <c r="J337" s="32" t="n"/>
      <c r="K337" s="32" t="n"/>
      <c r="L337" s="43" t="n"/>
      <c r="M337" s="36" t="n"/>
      <c r="N337" s="44" t="n"/>
      <c r="O337" s="36" t="n"/>
      <c r="P337" s="33">
        <f>IF(C337="","",Commercial_Id)</f>
        <v/>
      </c>
      <c r="Q337" s="34">
        <f>IF(AC337="","",IF(AD337=1,"C"&amp;TEXT(SUM(AD$6:AD337),"0000"),INDEX(Q$6:Q336,MATCH(AC337,AC$6:AC336,0))))</f>
        <v/>
      </c>
      <c r="R337" s="34">
        <f>IF(C337="","",IF(L337="☑ Oui","Annulée",IF(OR(E337="Vente directe",K337&lt;&gt;""),"Livrée",IF(J337&lt;&gt;"","Confirmée","En attente"))))</f>
        <v/>
      </c>
      <c r="S337" s="34">
        <f>IF(F337="","",IFERROR(VLOOKUP(F337,T_Produits,2,FALSE),""))</f>
        <v/>
      </c>
      <c r="T337" s="40">
        <f>IF(F337="","",IFERROR(1/(1/VLOOKUP(F337,T_Produits,3,FALSE)),""))</f>
        <v/>
      </c>
      <c r="U337" s="40">
        <f>IF(H337&lt;&gt;"",H337,T337)</f>
        <v/>
      </c>
      <c r="V337" s="40">
        <f>IF(OR(G337="",U337=""),"",G337*U337-N(I337))</f>
        <v/>
      </c>
      <c r="W337" s="39">
        <f>IF(D337="","",IFERROR(VALUE(MID(D337,LEN(D337)-3,3)),""))</f>
        <v/>
      </c>
      <c r="X337" s="33">
        <f>IF(W337="","",P337&amp;"|"&amp;W337)</f>
        <v/>
      </c>
      <c r="Y337" s="33">
        <f>IF(W337="","",IF(P337="À RENSEIGNER","GIC",P337)&amp;"-"&amp;TEXT(W337,"000"))</f>
        <v/>
      </c>
      <c r="Z337" s="33">
        <f>IF(X337="","",IFERROR(INDEX(Cl_nom,MATCH(X337,Cl_cle,0)),"(client introuvable)"))</f>
        <v/>
      </c>
      <c r="AA337" s="33">
        <f>IF(X337="","",IFERROR(INDEX(Cl_quartier,MATCH(X337,Cl_cle,0))&amp;"",""))</f>
        <v/>
      </c>
      <c r="AB337" s="45">
        <f>IF(R337&lt;&gt;"Livrée",0,IF(K337&lt;&gt;"",K337,C337))</f>
        <v/>
      </c>
      <c r="AC337" s="33">
        <f>IF(OR(C337="",W337=""),"",P337&amp;"|"&amp;W337&amp;"|"&amp;C337&amp;"|"&amp;E337)</f>
        <v/>
      </c>
      <c r="AD337" s="39">
        <f>IF(AC337="","",IF(COUNTIF(AC$6:AC337,AC337)=1,1,0))</f>
        <v/>
      </c>
      <c r="AE337" s="39">
        <f>IF(AB337=0,"",IF(COUNTIFS(X$6:X337,X337,AB$6:AB337,AB337)=1,1,0))</f>
        <v/>
      </c>
      <c r="AF337" s="34">
        <f>IF(C337="","",YEAR(C337-WEEKDAY(C337,2)+4)&amp;"-S"&amp;TEXT(INT((C337-DATE(YEAR(C337-WEEKDAY(C337,2)+4),1,3)+WEEKDAY(DATE(YEAR(C337-WEEKDAY(C337,2)+4),1,3),2)+5)/7),"00"))</f>
        <v/>
      </c>
    </row>
    <row r="338" ht="18" customHeight="1">
      <c r="A338" s="39" t="n">
        <v>333</v>
      </c>
      <c r="B338" s="33">
        <f>IF(C338="","",IF(P338="À RENSEIGNER","GIC",P338)&amp;"-C"&amp;TEXT(A338,"00000"))</f>
        <v/>
      </c>
      <c r="C338" s="32" t="n"/>
      <c r="D338" s="36" t="n"/>
      <c r="E338" s="36" t="n"/>
      <c r="F338" s="36" t="n"/>
      <c r="G338" s="42" t="n"/>
      <c r="H338" s="37" t="n"/>
      <c r="I338" s="37" t="n"/>
      <c r="J338" s="32" t="n"/>
      <c r="K338" s="32" t="n"/>
      <c r="L338" s="43" t="n"/>
      <c r="M338" s="36" t="n"/>
      <c r="N338" s="44" t="n"/>
      <c r="O338" s="36" t="n"/>
      <c r="P338" s="33">
        <f>IF(C338="","",Commercial_Id)</f>
        <v/>
      </c>
      <c r="Q338" s="34">
        <f>IF(AC338="","",IF(AD338=1,"C"&amp;TEXT(SUM(AD$6:AD338),"0000"),INDEX(Q$6:Q337,MATCH(AC338,AC$6:AC337,0))))</f>
        <v/>
      </c>
      <c r="R338" s="34">
        <f>IF(C338="","",IF(L338="☑ Oui","Annulée",IF(OR(E338="Vente directe",K338&lt;&gt;""),"Livrée",IF(J338&lt;&gt;"","Confirmée","En attente"))))</f>
        <v/>
      </c>
      <c r="S338" s="34">
        <f>IF(F338="","",IFERROR(VLOOKUP(F338,T_Produits,2,FALSE),""))</f>
        <v/>
      </c>
      <c r="T338" s="40">
        <f>IF(F338="","",IFERROR(1/(1/VLOOKUP(F338,T_Produits,3,FALSE)),""))</f>
        <v/>
      </c>
      <c r="U338" s="40">
        <f>IF(H338&lt;&gt;"",H338,T338)</f>
        <v/>
      </c>
      <c r="V338" s="40">
        <f>IF(OR(G338="",U338=""),"",G338*U338-N(I338))</f>
        <v/>
      </c>
      <c r="W338" s="39">
        <f>IF(D338="","",IFERROR(VALUE(MID(D338,LEN(D338)-3,3)),""))</f>
        <v/>
      </c>
      <c r="X338" s="33">
        <f>IF(W338="","",P338&amp;"|"&amp;W338)</f>
        <v/>
      </c>
      <c r="Y338" s="33">
        <f>IF(W338="","",IF(P338="À RENSEIGNER","GIC",P338)&amp;"-"&amp;TEXT(W338,"000"))</f>
        <v/>
      </c>
      <c r="Z338" s="33">
        <f>IF(X338="","",IFERROR(INDEX(Cl_nom,MATCH(X338,Cl_cle,0)),"(client introuvable)"))</f>
        <v/>
      </c>
      <c r="AA338" s="33">
        <f>IF(X338="","",IFERROR(INDEX(Cl_quartier,MATCH(X338,Cl_cle,0))&amp;"",""))</f>
        <v/>
      </c>
      <c r="AB338" s="45">
        <f>IF(R338&lt;&gt;"Livrée",0,IF(K338&lt;&gt;"",K338,C338))</f>
        <v/>
      </c>
      <c r="AC338" s="33">
        <f>IF(OR(C338="",W338=""),"",P338&amp;"|"&amp;W338&amp;"|"&amp;C338&amp;"|"&amp;E338)</f>
        <v/>
      </c>
      <c r="AD338" s="39">
        <f>IF(AC338="","",IF(COUNTIF(AC$6:AC338,AC338)=1,1,0))</f>
        <v/>
      </c>
      <c r="AE338" s="39">
        <f>IF(AB338=0,"",IF(COUNTIFS(X$6:X338,X338,AB$6:AB338,AB338)=1,1,0))</f>
        <v/>
      </c>
      <c r="AF338" s="34">
        <f>IF(C338="","",YEAR(C338-WEEKDAY(C338,2)+4)&amp;"-S"&amp;TEXT(INT((C338-DATE(YEAR(C338-WEEKDAY(C338,2)+4),1,3)+WEEKDAY(DATE(YEAR(C338-WEEKDAY(C338,2)+4),1,3),2)+5)/7),"00"))</f>
        <v/>
      </c>
    </row>
    <row r="339" ht="18" customHeight="1">
      <c r="A339" s="39" t="n">
        <v>334</v>
      </c>
      <c r="B339" s="33">
        <f>IF(C339="","",IF(P339="À RENSEIGNER","GIC",P339)&amp;"-C"&amp;TEXT(A339,"00000"))</f>
        <v/>
      </c>
      <c r="C339" s="32" t="n"/>
      <c r="D339" s="36" t="n"/>
      <c r="E339" s="36" t="n"/>
      <c r="F339" s="36" t="n"/>
      <c r="G339" s="42" t="n"/>
      <c r="H339" s="37" t="n"/>
      <c r="I339" s="37" t="n"/>
      <c r="J339" s="32" t="n"/>
      <c r="K339" s="32" t="n"/>
      <c r="L339" s="43" t="n"/>
      <c r="M339" s="36" t="n"/>
      <c r="N339" s="44" t="n"/>
      <c r="O339" s="36" t="n"/>
      <c r="P339" s="33">
        <f>IF(C339="","",Commercial_Id)</f>
        <v/>
      </c>
      <c r="Q339" s="34">
        <f>IF(AC339="","",IF(AD339=1,"C"&amp;TEXT(SUM(AD$6:AD339),"0000"),INDEX(Q$6:Q338,MATCH(AC339,AC$6:AC338,0))))</f>
        <v/>
      </c>
      <c r="R339" s="34">
        <f>IF(C339="","",IF(L339="☑ Oui","Annulée",IF(OR(E339="Vente directe",K339&lt;&gt;""),"Livrée",IF(J339&lt;&gt;"","Confirmée","En attente"))))</f>
        <v/>
      </c>
      <c r="S339" s="34">
        <f>IF(F339="","",IFERROR(VLOOKUP(F339,T_Produits,2,FALSE),""))</f>
        <v/>
      </c>
      <c r="T339" s="40">
        <f>IF(F339="","",IFERROR(1/(1/VLOOKUP(F339,T_Produits,3,FALSE)),""))</f>
        <v/>
      </c>
      <c r="U339" s="40">
        <f>IF(H339&lt;&gt;"",H339,T339)</f>
        <v/>
      </c>
      <c r="V339" s="40">
        <f>IF(OR(G339="",U339=""),"",G339*U339-N(I339))</f>
        <v/>
      </c>
      <c r="W339" s="39">
        <f>IF(D339="","",IFERROR(VALUE(MID(D339,LEN(D339)-3,3)),""))</f>
        <v/>
      </c>
      <c r="X339" s="33">
        <f>IF(W339="","",P339&amp;"|"&amp;W339)</f>
        <v/>
      </c>
      <c r="Y339" s="33">
        <f>IF(W339="","",IF(P339="À RENSEIGNER","GIC",P339)&amp;"-"&amp;TEXT(W339,"000"))</f>
        <v/>
      </c>
      <c r="Z339" s="33">
        <f>IF(X339="","",IFERROR(INDEX(Cl_nom,MATCH(X339,Cl_cle,0)),"(client introuvable)"))</f>
        <v/>
      </c>
      <c r="AA339" s="33">
        <f>IF(X339="","",IFERROR(INDEX(Cl_quartier,MATCH(X339,Cl_cle,0))&amp;"",""))</f>
        <v/>
      </c>
      <c r="AB339" s="45">
        <f>IF(R339&lt;&gt;"Livrée",0,IF(K339&lt;&gt;"",K339,C339))</f>
        <v/>
      </c>
      <c r="AC339" s="33">
        <f>IF(OR(C339="",W339=""),"",P339&amp;"|"&amp;W339&amp;"|"&amp;C339&amp;"|"&amp;E339)</f>
        <v/>
      </c>
      <c r="AD339" s="39">
        <f>IF(AC339="","",IF(COUNTIF(AC$6:AC339,AC339)=1,1,0))</f>
        <v/>
      </c>
      <c r="AE339" s="39">
        <f>IF(AB339=0,"",IF(COUNTIFS(X$6:X339,X339,AB$6:AB339,AB339)=1,1,0))</f>
        <v/>
      </c>
      <c r="AF339" s="34">
        <f>IF(C339="","",YEAR(C339-WEEKDAY(C339,2)+4)&amp;"-S"&amp;TEXT(INT((C339-DATE(YEAR(C339-WEEKDAY(C339,2)+4),1,3)+WEEKDAY(DATE(YEAR(C339-WEEKDAY(C339,2)+4),1,3),2)+5)/7),"00"))</f>
        <v/>
      </c>
    </row>
    <row r="340" ht="18" customHeight="1">
      <c r="A340" s="39" t="n">
        <v>335</v>
      </c>
      <c r="B340" s="33">
        <f>IF(C340="","",IF(P340="À RENSEIGNER","GIC",P340)&amp;"-C"&amp;TEXT(A340,"00000"))</f>
        <v/>
      </c>
      <c r="C340" s="32" t="n"/>
      <c r="D340" s="36" t="n"/>
      <c r="E340" s="36" t="n"/>
      <c r="F340" s="36" t="n"/>
      <c r="G340" s="42" t="n"/>
      <c r="H340" s="37" t="n"/>
      <c r="I340" s="37" t="n"/>
      <c r="J340" s="32" t="n"/>
      <c r="K340" s="32" t="n"/>
      <c r="L340" s="43" t="n"/>
      <c r="M340" s="36" t="n"/>
      <c r="N340" s="44" t="n"/>
      <c r="O340" s="36" t="n"/>
      <c r="P340" s="33">
        <f>IF(C340="","",Commercial_Id)</f>
        <v/>
      </c>
      <c r="Q340" s="34">
        <f>IF(AC340="","",IF(AD340=1,"C"&amp;TEXT(SUM(AD$6:AD340),"0000"),INDEX(Q$6:Q339,MATCH(AC340,AC$6:AC339,0))))</f>
        <v/>
      </c>
      <c r="R340" s="34">
        <f>IF(C340="","",IF(L340="☑ Oui","Annulée",IF(OR(E340="Vente directe",K340&lt;&gt;""),"Livrée",IF(J340&lt;&gt;"","Confirmée","En attente"))))</f>
        <v/>
      </c>
      <c r="S340" s="34">
        <f>IF(F340="","",IFERROR(VLOOKUP(F340,T_Produits,2,FALSE),""))</f>
        <v/>
      </c>
      <c r="T340" s="40">
        <f>IF(F340="","",IFERROR(1/(1/VLOOKUP(F340,T_Produits,3,FALSE)),""))</f>
        <v/>
      </c>
      <c r="U340" s="40">
        <f>IF(H340&lt;&gt;"",H340,T340)</f>
        <v/>
      </c>
      <c r="V340" s="40">
        <f>IF(OR(G340="",U340=""),"",G340*U340-N(I340))</f>
        <v/>
      </c>
      <c r="W340" s="39">
        <f>IF(D340="","",IFERROR(VALUE(MID(D340,LEN(D340)-3,3)),""))</f>
        <v/>
      </c>
      <c r="X340" s="33">
        <f>IF(W340="","",P340&amp;"|"&amp;W340)</f>
        <v/>
      </c>
      <c r="Y340" s="33">
        <f>IF(W340="","",IF(P340="À RENSEIGNER","GIC",P340)&amp;"-"&amp;TEXT(W340,"000"))</f>
        <v/>
      </c>
      <c r="Z340" s="33">
        <f>IF(X340="","",IFERROR(INDEX(Cl_nom,MATCH(X340,Cl_cle,0)),"(client introuvable)"))</f>
        <v/>
      </c>
      <c r="AA340" s="33">
        <f>IF(X340="","",IFERROR(INDEX(Cl_quartier,MATCH(X340,Cl_cle,0))&amp;"",""))</f>
        <v/>
      </c>
      <c r="AB340" s="45">
        <f>IF(R340&lt;&gt;"Livrée",0,IF(K340&lt;&gt;"",K340,C340))</f>
        <v/>
      </c>
      <c r="AC340" s="33">
        <f>IF(OR(C340="",W340=""),"",P340&amp;"|"&amp;W340&amp;"|"&amp;C340&amp;"|"&amp;E340)</f>
        <v/>
      </c>
      <c r="AD340" s="39">
        <f>IF(AC340="","",IF(COUNTIF(AC$6:AC340,AC340)=1,1,0))</f>
        <v/>
      </c>
      <c r="AE340" s="39">
        <f>IF(AB340=0,"",IF(COUNTIFS(X$6:X340,X340,AB$6:AB340,AB340)=1,1,0))</f>
        <v/>
      </c>
      <c r="AF340" s="34">
        <f>IF(C340="","",YEAR(C340-WEEKDAY(C340,2)+4)&amp;"-S"&amp;TEXT(INT((C340-DATE(YEAR(C340-WEEKDAY(C340,2)+4),1,3)+WEEKDAY(DATE(YEAR(C340-WEEKDAY(C340,2)+4),1,3),2)+5)/7),"00"))</f>
        <v/>
      </c>
    </row>
    <row r="341" ht="18" customHeight="1">
      <c r="A341" s="39" t="n">
        <v>336</v>
      </c>
      <c r="B341" s="33">
        <f>IF(C341="","",IF(P341="À RENSEIGNER","GIC",P341)&amp;"-C"&amp;TEXT(A341,"00000"))</f>
        <v/>
      </c>
      <c r="C341" s="32" t="n"/>
      <c r="D341" s="36" t="n"/>
      <c r="E341" s="36" t="n"/>
      <c r="F341" s="36" t="n"/>
      <c r="G341" s="42" t="n"/>
      <c r="H341" s="37" t="n"/>
      <c r="I341" s="37" t="n"/>
      <c r="J341" s="32" t="n"/>
      <c r="K341" s="32" t="n"/>
      <c r="L341" s="43" t="n"/>
      <c r="M341" s="36" t="n"/>
      <c r="N341" s="44" t="n"/>
      <c r="O341" s="36" t="n"/>
      <c r="P341" s="33">
        <f>IF(C341="","",Commercial_Id)</f>
        <v/>
      </c>
      <c r="Q341" s="34">
        <f>IF(AC341="","",IF(AD341=1,"C"&amp;TEXT(SUM(AD$6:AD341),"0000"),INDEX(Q$6:Q340,MATCH(AC341,AC$6:AC340,0))))</f>
        <v/>
      </c>
      <c r="R341" s="34">
        <f>IF(C341="","",IF(L341="☑ Oui","Annulée",IF(OR(E341="Vente directe",K341&lt;&gt;""),"Livrée",IF(J341&lt;&gt;"","Confirmée","En attente"))))</f>
        <v/>
      </c>
      <c r="S341" s="34">
        <f>IF(F341="","",IFERROR(VLOOKUP(F341,T_Produits,2,FALSE),""))</f>
        <v/>
      </c>
      <c r="T341" s="40">
        <f>IF(F341="","",IFERROR(1/(1/VLOOKUP(F341,T_Produits,3,FALSE)),""))</f>
        <v/>
      </c>
      <c r="U341" s="40">
        <f>IF(H341&lt;&gt;"",H341,T341)</f>
        <v/>
      </c>
      <c r="V341" s="40">
        <f>IF(OR(G341="",U341=""),"",G341*U341-N(I341))</f>
        <v/>
      </c>
      <c r="W341" s="39">
        <f>IF(D341="","",IFERROR(VALUE(MID(D341,LEN(D341)-3,3)),""))</f>
        <v/>
      </c>
      <c r="X341" s="33">
        <f>IF(W341="","",P341&amp;"|"&amp;W341)</f>
        <v/>
      </c>
      <c r="Y341" s="33">
        <f>IF(W341="","",IF(P341="À RENSEIGNER","GIC",P341)&amp;"-"&amp;TEXT(W341,"000"))</f>
        <v/>
      </c>
      <c r="Z341" s="33">
        <f>IF(X341="","",IFERROR(INDEX(Cl_nom,MATCH(X341,Cl_cle,0)),"(client introuvable)"))</f>
        <v/>
      </c>
      <c r="AA341" s="33">
        <f>IF(X341="","",IFERROR(INDEX(Cl_quartier,MATCH(X341,Cl_cle,0))&amp;"",""))</f>
        <v/>
      </c>
      <c r="AB341" s="45">
        <f>IF(R341&lt;&gt;"Livrée",0,IF(K341&lt;&gt;"",K341,C341))</f>
        <v/>
      </c>
      <c r="AC341" s="33">
        <f>IF(OR(C341="",W341=""),"",P341&amp;"|"&amp;W341&amp;"|"&amp;C341&amp;"|"&amp;E341)</f>
        <v/>
      </c>
      <c r="AD341" s="39">
        <f>IF(AC341="","",IF(COUNTIF(AC$6:AC341,AC341)=1,1,0))</f>
        <v/>
      </c>
      <c r="AE341" s="39">
        <f>IF(AB341=0,"",IF(COUNTIFS(X$6:X341,X341,AB$6:AB341,AB341)=1,1,0))</f>
        <v/>
      </c>
      <c r="AF341" s="34">
        <f>IF(C341="","",YEAR(C341-WEEKDAY(C341,2)+4)&amp;"-S"&amp;TEXT(INT((C341-DATE(YEAR(C341-WEEKDAY(C341,2)+4),1,3)+WEEKDAY(DATE(YEAR(C341-WEEKDAY(C341,2)+4),1,3),2)+5)/7),"00"))</f>
        <v/>
      </c>
    </row>
    <row r="342" ht="18" customHeight="1">
      <c r="A342" s="39" t="n">
        <v>337</v>
      </c>
      <c r="B342" s="33">
        <f>IF(C342="","",IF(P342="À RENSEIGNER","GIC",P342)&amp;"-C"&amp;TEXT(A342,"00000"))</f>
        <v/>
      </c>
      <c r="C342" s="32" t="n"/>
      <c r="D342" s="36" t="n"/>
      <c r="E342" s="36" t="n"/>
      <c r="F342" s="36" t="n"/>
      <c r="G342" s="42" t="n"/>
      <c r="H342" s="37" t="n"/>
      <c r="I342" s="37" t="n"/>
      <c r="J342" s="32" t="n"/>
      <c r="K342" s="32" t="n"/>
      <c r="L342" s="43" t="n"/>
      <c r="M342" s="36" t="n"/>
      <c r="N342" s="44" t="n"/>
      <c r="O342" s="36" t="n"/>
      <c r="P342" s="33">
        <f>IF(C342="","",Commercial_Id)</f>
        <v/>
      </c>
      <c r="Q342" s="34">
        <f>IF(AC342="","",IF(AD342=1,"C"&amp;TEXT(SUM(AD$6:AD342),"0000"),INDEX(Q$6:Q341,MATCH(AC342,AC$6:AC341,0))))</f>
        <v/>
      </c>
      <c r="R342" s="34">
        <f>IF(C342="","",IF(L342="☑ Oui","Annulée",IF(OR(E342="Vente directe",K342&lt;&gt;""),"Livrée",IF(J342&lt;&gt;"","Confirmée","En attente"))))</f>
        <v/>
      </c>
      <c r="S342" s="34">
        <f>IF(F342="","",IFERROR(VLOOKUP(F342,T_Produits,2,FALSE),""))</f>
        <v/>
      </c>
      <c r="T342" s="40">
        <f>IF(F342="","",IFERROR(1/(1/VLOOKUP(F342,T_Produits,3,FALSE)),""))</f>
        <v/>
      </c>
      <c r="U342" s="40">
        <f>IF(H342&lt;&gt;"",H342,T342)</f>
        <v/>
      </c>
      <c r="V342" s="40">
        <f>IF(OR(G342="",U342=""),"",G342*U342-N(I342))</f>
        <v/>
      </c>
      <c r="W342" s="39">
        <f>IF(D342="","",IFERROR(VALUE(MID(D342,LEN(D342)-3,3)),""))</f>
        <v/>
      </c>
      <c r="X342" s="33">
        <f>IF(W342="","",P342&amp;"|"&amp;W342)</f>
        <v/>
      </c>
      <c r="Y342" s="33">
        <f>IF(W342="","",IF(P342="À RENSEIGNER","GIC",P342)&amp;"-"&amp;TEXT(W342,"000"))</f>
        <v/>
      </c>
      <c r="Z342" s="33">
        <f>IF(X342="","",IFERROR(INDEX(Cl_nom,MATCH(X342,Cl_cle,0)),"(client introuvable)"))</f>
        <v/>
      </c>
      <c r="AA342" s="33">
        <f>IF(X342="","",IFERROR(INDEX(Cl_quartier,MATCH(X342,Cl_cle,0))&amp;"",""))</f>
        <v/>
      </c>
      <c r="AB342" s="45">
        <f>IF(R342&lt;&gt;"Livrée",0,IF(K342&lt;&gt;"",K342,C342))</f>
        <v/>
      </c>
      <c r="AC342" s="33">
        <f>IF(OR(C342="",W342=""),"",P342&amp;"|"&amp;W342&amp;"|"&amp;C342&amp;"|"&amp;E342)</f>
        <v/>
      </c>
      <c r="AD342" s="39">
        <f>IF(AC342="","",IF(COUNTIF(AC$6:AC342,AC342)=1,1,0))</f>
        <v/>
      </c>
      <c r="AE342" s="39">
        <f>IF(AB342=0,"",IF(COUNTIFS(X$6:X342,X342,AB$6:AB342,AB342)=1,1,0))</f>
        <v/>
      </c>
      <c r="AF342" s="34">
        <f>IF(C342="","",YEAR(C342-WEEKDAY(C342,2)+4)&amp;"-S"&amp;TEXT(INT((C342-DATE(YEAR(C342-WEEKDAY(C342,2)+4),1,3)+WEEKDAY(DATE(YEAR(C342-WEEKDAY(C342,2)+4),1,3),2)+5)/7),"00"))</f>
        <v/>
      </c>
    </row>
    <row r="343" ht="18" customHeight="1">
      <c r="A343" s="39" t="n">
        <v>338</v>
      </c>
      <c r="B343" s="33">
        <f>IF(C343="","",IF(P343="À RENSEIGNER","GIC",P343)&amp;"-C"&amp;TEXT(A343,"00000"))</f>
        <v/>
      </c>
      <c r="C343" s="32" t="n"/>
      <c r="D343" s="36" t="n"/>
      <c r="E343" s="36" t="n"/>
      <c r="F343" s="36" t="n"/>
      <c r="G343" s="42" t="n"/>
      <c r="H343" s="37" t="n"/>
      <c r="I343" s="37" t="n"/>
      <c r="J343" s="32" t="n"/>
      <c r="K343" s="32" t="n"/>
      <c r="L343" s="43" t="n"/>
      <c r="M343" s="36" t="n"/>
      <c r="N343" s="44" t="n"/>
      <c r="O343" s="36" t="n"/>
      <c r="P343" s="33">
        <f>IF(C343="","",Commercial_Id)</f>
        <v/>
      </c>
      <c r="Q343" s="34">
        <f>IF(AC343="","",IF(AD343=1,"C"&amp;TEXT(SUM(AD$6:AD343),"0000"),INDEX(Q$6:Q342,MATCH(AC343,AC$6:AC342,0))))</f>
        <v/>
      </c>
      <c r="R343" s="34">
        <f>IF(C343="","",IF(L343="☑ Oui","Annulée",IF(OR(E343="Vente directe",K343&lt;&gt;""),"Livrée",IF(J343&lt;&gt;"","Confirmée","En attente"))))</f>
        <v/>
      </c>
      <c r="S343" s="34">
        <f>IF(F343="","",IFERROR(VLOOKUP(F343,T_Produits,2,FALSE),""))</f>
        <v/>
      </c>
      <c r="T343" s="40">
        <f>IF(F343="","",IFERROR(1/(1/VLOOKUP(F343,T_Produits,3,FALSE)),""))</f>
        <v/>
      </c>
      <c r="U343" s="40">
        <f>IF(H343&lt;&gt;"",H343,T343)</f>
        <v/>
      </c>
      <c r="V343" s="40">
        <f>IF(OR(G343="",U343=""),"",G343*U343-N(I343))</f>
        <v/>
      </c>
      <c r="W343" s="39">
        <f>IF(D343="","",IFERROR(VALUE(MID(D343,LEN(D343)-3,3)),""))</f>
        <v/>
      </c>
      <c r="X343" s="33">
        <f>IF(W343="","",P343&amp;"|"&amp;W343)</f>
        <v/>
      </c>
      <c r="Y343" s="33">
        <f>IF(W343="","",IF(P343="À RENSEIGNER","GIC",P343)&amp;"-"&amp;TEXT(W343,"000"))</f>
        <v/>
      </c>
      <c r="Z343" s="33">
        <f>IF(X343="","",IFERROR(INDEX(Cl_nom,MATCH(X343,Cl_cle,0)),"(client introuvable)"))</f>
        <v/>
      </c>
      <c r="AA343" s="33">
        <f>IF(X343="","",IFERROR(INDEX(Cl_quartier,MATCH(X343,Cl_cle,0))&amp;"",""))</f>
        <v/>
      </c>
      <c r="AB343" s="45">
        <f>IF(R343&lt;&gt;"Livrée",0,IF(K343&lt;&gt;"",K343,C343))</f>
        <v/>
      </c>
      <c r="AC343" s="33">
        <f>IF(OR(C343="",W343=""),"",P343&amp;"|"&amp;W343&amp;"|"&amp;C343&amp;"|"&amp;E343)</f>
        <v/>
      </c>
      <c r="AD343" s="39">
        <f>IF(AC343="","",IF(COUNTIF(AC$6:AC343,AC343)=1,1,0))</f>
        <v/>
      </c>
      <c r="AE343" s="39">
        <f>IF(AB343=0,"",IF(COUNTIFS(X$6:X343,X343,AB$6:AB343,AB343)=1,1,0))</f>
        <v/>
      </c>
      <c r="AF343" s="34">
        <f>IF(C343="","",YEAR(C343-WEEKDAY(C343,2)+4)&amp;"-S"&amp;TEXT(INT((C343-DATE(YEAR(C343-WEEKDAY(C343,2)+4),1,3)+WEEKDAY(DATE(YEAR(C343-WEEKDAY(C343,2)+4),1,3),2)+5)/7),"00"))</f>
        <v/>
      </c>
    </row>
    <row r="344" ht="18" customHeight="1">
      <c r="A344" s="39" t="n">
        <v>339</v>
      </c>
      <c r="B344" s="33">
        <f>IF(C344="","",IF(P344="À RENSEIGNER","GIC",P344)&amp;"-C"&amp;TEXT(A344,"00000"))</f>
        <v/>
      </c>
      <c r="C344" s="32" t="n"/>
      <c r="D344" s="36" t="n"/>
      <c r="E344" s="36" t="n"/>
      <c r="F344" s="36" t="n"/>
      <c r="G344" s="42" t="n"/>
      <c r="H344" s="37" t="n"/>
      <c r="I344" s="37" t="n"/>
      <c r="J344" s="32" t="n"/>
      <c r="K344" s="32" t="n"/>
      <c r="L344" s="43" t="n"/>
      <c r="M344" s="36" t="n"/>
      <c r="N344" s="44" t="n"/>
      <c r="O344" s="36" t="n"/>
      <c r="P344" s="33">
        <f>IF(C344="","",Commercial_Id)</f>
        <v/>
      </c>
      <c r="Q344" s="34">
        <f>IF(AC344="","",IF(AD344=1,"C"&amp;TEXT(SUM(AD$6:AD344),"0000"),INDEX(Q$6:Q343,MATCH(AC344,AC$6:AC343,0))))</f>
        <v/>
      </c>
      <c r="R344" s="34">
        <f>IF(C344="","",IF(L344="☑ Oui","Annulée",IF(OR(E344="Vente directe",K344&lt;&gt;""),"Livrée",IF(J344&lt;&gt;"","Confirmée","En attente"))))</f>
        <v/>
      </c>
      <c r="S344" s="34">
        <f>IF(F344="","",IFERROR(VLOOKUP(F344,T_Produits,2,FALSE),""))</f>
        <v/>
      </c>
      <c r="T344" s="40">
        <f>IF(F344="","",IFERROR(1/(1/VLOOKUP(F344,T_Produits,3,FALSE)),""))</f>
        <v/>
      </c>
      <c r="U344" s="40">
        <f>IF(H344&lt;&gt;"",H344,T344)</f>
        <v/>
      </c>
      <c r="V344" s="40">
        <f>IF(OR(G344="",U344=""),"",G344*U344-N(I344))</f>
        <v/>
      </c>
      <c r="W344" s="39">
        <f>IF(D344="","",IFERROR(VALUE(MID(D344,LEN(D344)-3,3)),""))</f>
        <v/>
      </c>
      <c r="X344" s="33">
        <f>IF(W344="","",P344&amp;"|"&amp;W344)</f>
        <v/>
      </c>
      <c r="Y344" s="33">
        <f>IF(W344="","",IF(P344="À RENSEIGNER","GIC",P344)&amp;"-"&amp;TEXT(W344,"000"))</f>
        <v/>
      </c>
      <c r="Z344" s="33">
        <f>IF(X344="","",IFERROR(INDEX(Cl_nom,MATCH(X344,Cl_cle,0)),"(client introuvable)"))</f>
        <v/>
      </c>
      <c r="AA344" s="33">
        <f>IF(X344="","",IFERROR(INDEX(Cl_quartier,MATCH(X344,Cl_cle,0))&amp;"",""))</f>
        <v/>
      </c>
      <c r="AB344" s="45">
        <f>IF(R344&lt;&gt;"Livrée",0,IF(K344&lt;&gt;"",K344,C344))</f>
        <v/>
      </c>
      <c r="AC344" s="33">
        <f>IF(OR(C344="",W344=""),"",P344&amp;"|"&amp;W344&amp;"|"&amp;C344&amp;"|"&amp;E344)</f>
        <v/>
      </c>
      <c r="AD344" s="39">
        <f>IF(AC344="","",IF(COUNTIF(AC$6:AC344,AC344)=1,1,0))</f>
        <v/>
      </c>
      <c r="AE344" s="39">
        <f>IF(AB344=0,"",IF(COUNTIFS(X$6:X344,X344,AB$6:AB344,AB344)=1,1,0))</f>
        <v/>
      </c>
      <c r="AF344" s="34">
        <f>IF(C344="","",YEAR(C344-WEEKDAY(C344,2)+4)&amp;"-S"&amp;TEXT(INT((C344-DATE(YEAR(C344-WEEKDAY(C344,2)+4),1,3)+WEEKDAY(DATE(YEAR(C344-WEEKDAY(C344,2)+4),1,3),2)+5)/7),"00"))</f>
        <v/>
      </c>
    </row>
    <row r="345" ht="18" customHeight="1">
      <c r="A345" s="39" t="n">
        <v>340</v>
      </c>
      <c r="B345" s="33">
        <f>IF(C345="","",IF(P345="À RENSEIGNER","GIC",P345)&amp;"-C"&amp;TEXT(A345,"00000"))</f>
        <v/>
      </c>
      <c r="C345" s="32" t="n"/>
      <c r="D345" s="36" t="n"/>
      <c r="E345" s="36" t="n"/>
      <c r="F345" s="36" t="n"/>
      <c r="G345" s="42" t="n"/>
      <c r="H345" s="37" t="n"/>
      <c r="I345" s="37" t="n"/>
      <c r="J345" s="32" t="n"/>
      <c r="K345" s="32" t="n"/>
      <c r="L345" s="43" t="n"/>
      <c r="M345" s="36" t="n"/>
      <c r="N345" s="44" t="n"/>
      <c r="O345" s="36" t="n"/>
      <c r="P345" s="33">
        <f>IF(C345="","",Commercial_Id)</f>
        <v/>
      </c>
      <c r="Q345" s="34">
        <f>IF(AC345="","",IF(AD345=1,"C"&amp;TEXT(SUM(AD$6:AD345),"0000"),INDEX(Q$6:Q344,MATCH(AC345,AC$6:AC344,0))))</f>
        <v/>
      </c>
      <c r="R345" s="34">
        <f>IF(C345="","",IF(L345="☑ Oui","Annulée",IF(OR(E345="Vente directe",K345&lt;&gt;""),"Livrée",IF(J345&lt;&gt;"","Confirmée","En attente"))))</f>
        <v/>
      </c>
      <c r="S345" s="34">
        <f>IF(F345="","",IFERROR(VLOOKUP(F345,T_Produits,2,FALSE),""))</f>
        <v/>
      </c>
      <c r="T345" s="40">
        <f>IF(F345="","",IFERROR(1/(1/VLOOKUP(F345,T_Produits,3,FALSE)),""))</f>
        <v/>
      </c>
      <c r="U345" s="40">
        <f>IF(H345&lt;&gt;"",H345,T345)</f>
        <v/>
      </c>
      <c r="V345" s="40">
        <f>IF(OR(G345="",U345=""),"",G345*U345-N(I345))</f>
        <v/>
      </c>
      <c r="W345" s="39">
        <f>IF(D345="","",IFERROR(VALUE(MID(D345,LEN(D345)-3,3)),""))</f>
        <v/>
      </c>
      <c r="X345" s="33">
        <f>IF(W345="","",P345&amp;"|"&amp;W345)</f>
        <v/>
      </c>
      <c r="Y345" s="33">
        <f>IF(W345="","",IF(P345="À RENSEIGNER","GIC",P345)&amp;"-"&amp;TEXT(W345,"000"))</f>
        <v/>
      </c>
      <c r="Z345" s="33">
        <f>IF(X345="","",IFERROR(INDEX(Cl_nom,MATCH(X345,Cl_cle,0)),"(client introuvable)"))</f>
        <v/>
      </c>
      <c r="AA345" s="33">
        <f>IF(X345="","",IFERROR(INDEX(Cl_quartier,MATCH(X345,Cl_cle,0))&amp;"",""))</f>
        <v/>
      </c>
      <c r="AB345" s="45">
        <f>IF(R345&lt;&gt;"Livrée",0,IF(K345&lt;&gt;"",K345,C345))</f>
        <v/>
      </c>
      <c r="AC345" s="33">
        <f>IF(OR(C345="",W345=""),"",P345&amp;"|"&amp;W345&amp;"|"&amp;C345&amp;"|"&amp;E345)</f>
        <v/>
      </c>
      <c r="AD345" s="39">
        <f>IF(AC345="","",IF(COUNTIF(AC$6:AC345,AC345)=1,1,0))</f>
        <v/>
      </c>
      <c r="AE345" s="39">
        <f>IF(AB345=0,"",IF(COUNTIFS(X$6:X345,X345,AB$6:AB345,AB345)=1,1,0))</f>
        <v/>
      </c>
      <c r="AF345" s="34">
        <f>IF(C345="","",YEAR(C345-WEEKDAY(C345,2)+4)&amp;"-S"&amp;TEXT(INT((C345-DATE(YEAR(C345-WEEKDAY(C345,2)+4),1,3)+WEEKDAY(DATE(YEAR(C345-WEEKDAY(C345,2)+4),1,3),2)+5)/7),"00"))</f>
        <v/>
      </c>
    </row>
    <row r="346" ht="18" customHeight="1">
      <c r="A346" s="39" t="n">
        <v>341</v>
      </c>
      <c r="B346" s="33">
        <f>IF(C346="","",IF(P346="À RENSEIGNER","GIC",P346)&amp;"-C"&amp;TEXT(A346,"00000"))</f>
        <v/>
      </c>
      <c r="C346" s="32" t="n"/>
      <c r="D346" s="36" t="n"/>
      <c r="E346" s="36" t="n"/>
      <c r="F346" s="36" t="n"/>
      <c r="G346" s="42" t="n"/>
      <c r="H346" s="37" t="n"/>
      <c r="I346" s="37" t="n"/>
      <c r="J346" s="32" t="n"/>
      <c r="K346" s="32" t="n"/>
      <c r="L346" s="43" t="n"/>
      <c r="M346" s="36" t="n"/>
      <c r="N346" s="44" t="n"/>
      <c r="O346" s="36" t="n"/>
      <c r="P346" s="33">
        <f>IF(C346="","",Commercial_Id)</f>
        <v/>
      </c>
      <c r="Q346" s="34">
        <f>IF(AC346="","",IF(AD346=1,"C"&amp;TEXT(SUM(AD$6:AD346),"0000"),INDEX(Q$6:Q345,MATCH(AC346,AC$6:AC345,0))))</f>
        <v/>
      </c>
      <c r="R346" s="34">
        <f>IF(C346="","",IF(L346="☑ Oui","Annulée",IF(OR(E346="Vente directe",K346&lt;&gt;""),"Livrée",IF(J346&lt;&gt;"","Confirmée","En attente"))))</f>
        <v/>
      </c>
      <c r="S346" s="34">
        <f>IF(F346="","",IFERROR(VLOOKUP(F346,T_Produits,2,FALSE),""))</f>
        <v/>
      </c>
      <c r="T346" s="40">
        <f>IF(F346="","",IFERROR(1/(1/VLOOKUP(F346,T_Produits,3,FALSE)),""))</f>
        <v/>
      </c>
      <c r="U346" s="40">
        <f>IF(H346&lt;&gt;"",H346,T346)</f>
        <v/>
      </c>
      <c r="V346" s="40">
        <f>IF(OR(G346="",U346=""),"",G346*U346-N(I346))</f>
        <v/>
      </c>
      <c r="W346" s="39">
        <f>IF(D346="","",IFERROR(VALUE(MID(D346,LEN(D346)-3,3)),""))</f>
        <v/>
      </c>
      <c r="X346" s="33">
        <f>IF(W346="","",P346&amp;"|"&amp;W346)</f>
        <v/>
      </c>
      <c r="Y346" s="33">
        <f>IF(W346="","",IF(P346="À RENSEIGNER","GIC",P346)&amp;"-"&amp;TEXT(W346,"000"))</f>
        <v/>
      </c>
      <c r="Z346" s="33">
        <f>IF(X346="","",IFERROR(INDEX(Cl_nom,MATCH(X346,Cl_cle,0)),"(client introuvable)"))</f>
        <v/>
      </c>
      <c r="AA346" s="33">
        <f>IF(X346="","",IFERROR(INDEX(Cl_quartier,MATCH(X346,Cl_cle,0))&amp;"",""))</f>
        <v/>
      </c>
      <c r="AB346" s="45">
        <f>IF(R346&lt;&gt;"Livrée",0,IF(K346&lt;&gt;"",K346,C346))</f>
        <v/>
      </c>
      <c r="AC346" s="33">
        <f>IF(OR(C346="",W346=""),"",P346&amp;"|"&amp;W346&amp;"|"&amp;C346&amp;"|"&amp;E346)</f>
        <v/>
      </c>
      <c r="AD346" s="39">
        <f>IF(AC346="","",IF(COUNTIF(AC$6:AC346,AC346)=1,1,0))</f>
        <v/>
      </c>
      <c r="AE346" s="39">
        <f>IF(AB346=0,"",IF(COUNTIFS(X$6:X346,X346,AB$6:AB346,AB346)=1,1,0))</f>
        <v/>
      </c>
      <c r="AF346" s="34">
        <f>IF(C346="","",YEAR(C346-WEEKDAY(C346,2)+4)&amp;"-S"&amp;TEXT(INT((C346-DATE(YEAR(C346-WEEKDAY(C346,2)+4),1,3)+WEEKDAY(DATE(YEAR(C346-WEEKDAY(C346,2)+4),1,3),2)+5)/7),"00"))</f>
        <v/>
      </c>
    </row>
    <row r="347" ht="18" customHeight="1">
      <c r="A347" s="39" t="n">
        <v>342</v>
      </c>
      <c r="B347" s="33">
        <f>IF(C347="","",IF(P347="À RENSEIGNER","GIC",P347)&amp;"-C"&amp;TEXT(A347,"00000"))</f>
        <v/>
      </c>
      <c r="C347" s="32" t="n"/>
      <c r="D347" s="36" t="n"/>
      <c r="E347" s="36" t="n"/>
      <c r="F347" s="36" t="n"/>
      <c r="G347" s="42" t="n"/>
      <c r="H347" s="37" t="n"/>
      <c r="I347" s="37" t="n"/>
      <c r="J347" s="32" t="n"/>
      <c r="K347" s="32" t="n"/>
      <c r="L347" s="43" t="n"/>
      <c r="M347" s="36" t="n"/>
      <c r="N347" s="44" t="n"/>
      <c r="O347" s="36" t="n"/>
      <c r="P347" s="33">
        <f>IF(C347="","",Commercial_Id)</f>
        <v/>
      </c>
      <c r="Q347" s="34">
        <f>IF(AC347="","",IF(AD347=1,"C"&amp;TEXT(SUM(AD$6:AD347),"0000"),INDEX(Q$6:Q346,MATCH(AC347,AC$6:AC346,0))))</f>
        <v/>
      </c>
      <c r="R347" s="34">
        <f>IF(C347="","",IF(L347="☑ Oui","Annulée",IF(OR(E347="Vente directe",K347&lt;&gt;""),"Livrée",IF(J347&lt;&gt;"","Confirmée","En attente"))))</f>
        <v/>
      </c>
      <c r="S347" s="34">
        <f>IF(F347="","",IFERROR(VLOOKUP(F347,T_Produits,2,FALSE),""))</f>
        <v/>
      </c>
      <c r="T347" s="40">
        <f>IF(F347="","",IFERROR(1/(1/VLOOKUP(F347,T_Produits,3,FALSE)),""))</f>
        <v/>
      </c>
      <c r="U347" s="40">
        <f>IF(H347&lt;&gt;"",H347,T347)</f>
        <v/>
      </c>
      <c r="V347" s="40">
        <f>IF(OR(G347="",U347=""),"",G347*U347-N(I347))</f>
        <v/>
      </c>
      <c r="W347" s="39">
        <f>IF(D347="","",IFERROR(VALUE(MID(D347,LEN(D347)-3,3)),""))</f>
        <v/>
      </c>
      <c r="X347" s="33">
        <f>IF(W347="","",P347&amp;"|"&amp;W347)</f>
        <v/>
      </c>
      <c r="Y347" s="33">
        <f>IF(W347="","",IF(P347="À RENSEIGNER","GIC",P347)&amp;"-"&amp;TEXT(W347,"000"))</f>
        <v/>
      </c>
      <c r="Z347" s="33">
        <f>IF(X347="","",IFERROR(INDEX(Cl_nom,MATCH(X347,Cl_cle,0)),"(client introuvable)"))</f>
        <v/>
      </c>
      <c r="AA347" s="33">
        <f>IF(X347="","",IFERROR(INDEX(Cl_quartier,MATCH(X347,Cl_cle,0))&amp;"",""))</f>
        <v/>
      </c>
      <c r="AB347" s="45">
        <f>IF(R347&lt;&gt;"Livrée",0,IF(K347&lt;&gt;"",K347,C347))</f>
        <v/>
      </c>
      <c r="AC347" s="33">
        <f>IF(OR(C347="",W347=""),"",P347&amp;"|"&amp;W347&amp;"|"&amp;C347&amp;"|"&amp;E347)</f>
        <v/>
      </c>
      <c r="AD347" s="39">
        <f>IF(AC347="","",IF(COUNTIF(AC$6:AC347,AC347)=1,1,0))</f>
        <v/>
      </c>
      <c r="AE347" s="39">
        <f>IF(AB347=0,"",IF(COUNTIFS(X$6:X347,X347,AB$6:AB347,AB347)=1,1,0))</f>
        <v/>
      </c>
      <c r="AF347" s="34">
        <f>IF(C347="","",YEAR(C347-WEEKDAY(C347,2)+4)&amp;"-S"&amp;TEXT(INT((C347-DATE(YEAR(C347-WEEKDAY(C347,2)+4),1,3)+WEEKDAY(DATE(YEAR(C347-WEEKDAY(C347,2)+4),1,3),2)+5)/7),"00"))</f>
        <v/>
      </c>
    </row>
    <row r="348" ht="18" customHeight="1">
      <c r="A348" s="39" t="n">
        <v>343</v>
      </c>
      <c r="B348" s="33">
        <f>IF(C348="","",IF(P348="À RENSEIGNER","GIC",P348)&amp;"-C"&amp;TEXT(A348,"00000"))</f>
        <v/>
      </c>
      <c r="C348" s="32" t="n"/>
      <c r="D348" s="36" t="n"/>
      <c r="E348" s="36" t="n"/>
      <c r="F348" s="36" t="n"/>
      <c r="G348" s="42" t="n"/>
      <c r="H348" s="37" t="n"/>
      <c r="I348" s="37" t="n"/>
      <c r="J348" s="32" t="n"/>
      <c r="K348" s="32" t="n"/>
      <c r="L348" s="43" t="n"/>
      <c r="M348" s="36" t="n"/>
      <c r="N348" s="44" t="n"/>
      <c r="O348" s="36" t="n"/>
      <c r="P348" s="33">
        <f>IF(C348="","",Commercial_Id)</f>
        <v/>
      </c>
      <c r="Q348" s="34">
        <f>IF(AC348="","",IF(AD348=1,"C"&amp;TEXT(SUM(AD$6:AD348),"0000"),INDEX(Q$6:Q347,MATCH(AC348,AC$6:AC347,0))))</f>
        <v/>
      </c>
      <c r="R348" s="34">
        <f>IF(C348="","",IF(L348="☑ Oui","Annulée",IF(OR(E348="Vente directe",K348&lt;&gt;""),"Livrée",IF(J348&lt;&gt;"","Confirmée","En attente"))))</f>
        <v/>
      </c>
      <c r="S348" s="34">
        <f>IF(F348="","",IFERROR(VLOOKUP(F348,T_Produits,2,FALSE),""))</f>
        <v/>
      </c>
      <c r="T348" s="40">
        <f>IF(F348="","",IFERROR(1/(1/VLOOKUP(F348,T_Produits,3,FALSE)),""))</f>
        <v/>
      </c>
      <c r="U348" s="40">
        <f>IF(H348&lt;&gt;"",H348,T348)</f>
        <v/>
      </c>
      <c r="V348" s="40">
        <f>IF(OR(G348="",U348=""),"",G348*U348-N(I348))</f>
        <v/>
      </c>
      <c r="W348" s="39">
        <f>IF(D348="","",IFERROR(VALUE(MID(D348,LEN(D348)-3,3)),""))</f>
        <v/>
      </c>
      <c r="X348" s="33">
        <f>IF(W348="","",P348&amp;"|"&amp;W348)</f>
        <v/>
      </c>
      <c r="Y348" s="33">
        <f>IF(W348="","",IF(P348="À RENSEIGNER","GIC",P348)&amp;"-"&amp;TEXT(W348,"000"))</f>
        <v/>
      </c>
      <c r="Z348" s="33">
        <f>IF(X348="","",IFERROR(INDEX(Cl_nom,MATCH(X348,Cl_cle,0)),"(client introuvable)"))</f>
        <v/>
      </c>
      <c r="AA348" s="33">
        <f>IF(X348="","",IFERROR(INDEX(Cl_quartier,MATCH(X348,Cl_cle,0))&amp;"",""))</f>
        <v/>
      </c>
      <c r="AB348" s="45">
        <f>IF(R348&lt;&gt;"Livrée",0,IF(K348&lt;&gt;"",K348,C348))</f>
        <v/>
      </c>
      <c r="AC348" s="33">
        <f>IF(OR(C348="",W348=""),"",P348&amp;"|"&amp;W348&amp;"|"&amp;C348&amp;"|"&amp;E348)</f>
        <v/>
      </c>
      <c r="AD348" s="39">
        <f>IF(AC348="","",IF(COUNTIF(AC$6:AC348,AC348)=1,1,0))</f>
        <v/>
      </c>
      <c r="AE348" s="39">
        <f>IF(AB348=0,"",IF(COUNTIFS(X$6:X348,X348,AB$6:AB348,AB348)=1,1,0))</f>
        <v/>
      </c>
      <c r="AF348" s="34">
        <f>IF(C348="","",YEAR(C348-WEEKDAY(C348,2)+4)&amp;"-S"&amp;TEXT(INT((C348-DATE(YEAR(C348-WEEKDAY(C348,2)+4),1,3)+WEEKDAY(DATE(YEAR(C348-WEEKDAY(C348,2)+4),1,3),2)+5)/7),"00"))</f>
        <v/>
      </c>
    </row>
    <row r="349" ht="18" customHeight="1">
      <c r="A349" s="39" t="n">
        <v>344</v>
      </c>
      <c r="B349" s="33">
        <f>IF(C349="","",IF(P349="À RENSEIGNER","GIC",P349)&amp;"-C"&amp;TEXT(A349,"00000"))</f>
        <v/>
      </c>
      <c r="C349" s="32" t="n"/>
      <c r="D349" s="36" t="n"/>
      <c r="E349" s="36" t="n"/>
      <c r="F349" s="36" t="n"/>
      <c r="G349" s="42" t="n"/>
      <c r="H349" s="37" t="n"/>
      <c r="I349" s="37" t="n"/>
      <c r="J349" s="32" t="n"/>
      <c r="K349" s="32" t="n"/>
      <c r="L349" s="43" t="n"/>
      <c r="M349" s="36" t="n"/>
      <c r="N349" s="44" t="n"/>
      <c r="O349" s="36" t="n"/>
      <c r="P349" s="33">
        <f>IF(C349="","",Commercial_Id)</f>
        <v/>
      </c>
      <c r="Q349" s="34">
        <f>IF(AC349="","",IF(AD349=1,"C"&amp;TEXT(SUM(AD$6:AD349),"0000"),INDEX(Q$6:Q348,MATCH(AC349,AC$6:AC348,0))))</f>
        <v/>
      </c>
      <c r="R349" s="34">
        <f>IF(C349="","",IF(L349="☑ Oui","Annulée",IF(OR(E349="Vente directe",K349&lt;&gt;""),"Livrée",IF(J349&lt;&gt;"","Confirmée","En attente"))))</f>
        <v/>
      </c>
      <c r="S349" s="34">
        <f>IF(F349="","",IFERROR(VLOOKUP(F349,T_Produits,2,FALSE),""))</f>
        <v/>
      </c>
      <c r="T349" s="40">
        <f>IF(F349="","",IFERROR(1/(1/VLOOKUP(F349,T_Produits,3,FALSE)),""))</f>
        <v/>
      </c>
      <c r="U349" s="40">
        <f>IF(H349&lt;&gt;"",H349,T349)</f>
        <v/>
      </c>
      <c r="V349" s="40">
        <f>IF(OR(G349="",U349=""),"",G349*U349-N(I349))</f>
        <v/>
      </c>
      <c r="W349" s="39">
        <f>IF(D349="","",IFERROR(VALUE(MID(D349,LEN(D349)-3,3)),""))</f>
        <v/>
      </c>
      <c r="X349" s="33">
        <f>IF(W349="","",P349&amp;"|"&amp;W349)</f>
        <v/>
      </c>
      <c r="Y349" s="33">
        <f>IF(W349="","",IF(P349="À RENSEIGNER","GIC",P349)&amp;"-"&amp;TEXT(W349,"000"))</f>
        <v/>
      </c>
      <c r="Z349" s="33">
        <f>IF(X349="","",IFERROR(INDEX(Cl_nom,MATCH(X349,Cl_cle,0)),"(client introuvable)"))</f>
        <v/>
      </c>
      <c r="AA349" s="33">
        <f>IF(X349="","",IFERROR(INDEX(Cl_quartier,MATCH(X349,Cl_cle,0))&amp;"",""))</f>
        <v/>
      </c>
      <c r="AB349" s="45">
        <f>IF(R349&lt;&gt;"Livrée",0,IF(K349&lt;&gt;"",K349,C349))</f>
        <v/>
      </c>
      <c r="AC349" s="33">
        <f>IF(OR(C349="",W349=""),"",P349&amp;"|"&amp;W349&amp;"|"&amp;C349&amp;"|"&amp;E349)</f>
        <v/>
      </c>
      <c r="AD349" s="39">
        <f>IF(AC349="","",IF(COUNTIF(AC$6:AC349,AC349)=1,1,0))</f>
        <v/>
      </c>
      <c r="AE349" s="39">
        <f>IF(AB349=0,"",IF(COUNTIFS(X$6:X349,X349,AB$6:AB349,AB349)=1,1,0))</f>
        <v/>
      </c>
      <c r="AF349" s="34">
        <f>IF(C349="","",YEAR(C349-WEEKDAY(C349,2)+4)&amp;"-S"&amp;TEXT(INT((C349-DATE(YEAR(C349-WEEKDAY(C349,2)+4),1,3)+WEEKDAY(DATE(YEAR(C349-WEEKDAY(C349,2)+4),1,3),2)+5)/7),"00"))</f>
        <v/>
      </c>
    </row>
    <row r="350" ht="18" customHeight="1">
      <c r="A350" s="39" t="n">
        <v>345</v>
      </c>
      <c r="B350" s="33">
        <f>IF(C350="","",IF(P350="À RENSEIGNER","GIC",P350)&amp;"-C"&amp;TEXT(A350,"00000"))</f>
        <v/>
      </c>
      <c r="C350" s="32" t="n"/>
      <c r="D350" s="36" t="n"/>
      <c r="E350" s="36" t="n"/>
      <c r="F350" s="36" t="n"/>
      <c r="G350" s="42" t="n"/>
      <c r="H350" s="37" t="n"/>
      <c r="I350" s="37" t="n"/>
      <c r="J350" s="32" t="n"/>
      <c r="K350" s="32" t="n"/>
      <c r="L350" s="43" t="n"/>
      <c r="M350" s="36" t="n"/>
      <c r="N350" s="44" t="n"/>
      <c r="O350" s="36" t="n"/>
      <c r="P350" s="33">
        <f>IF(C350="","",Commercial_Id)</f>
        <v/>
      </c>
      <c r="Q350" s="34">
        <f>IF(AC350="","",IF(AD350=1,"C"&amp;TEXT(SUM(AD$6:AD350),"0000"),INDEX(Q$6:Q349,MATCH(AC350,AC$6:AC349,0))))</f>
        <v/>
      </c>
      <c r="R350" s="34">
        <f>IF(C350="","",IF(L350="☑ Oui","Annulée",IF(OR(E350="Vente directe",K350&lt;&gt;""),"Livrée",IF(J350&lt;&gt;"","Confirmée","En attente"))))</f>
        <v/>
      </c>
      <c r="S350" s="34">
        <f>IF(F350="","",IFERROR(VLOOKUP(F350,T_Produits,2,FALSE),""))</f>
        <v/>
      </c>
      <c r="T350" s="40">
        <f>IF(F350="","",IFERROR(1/(1/VLOOKUP(F350,T_Produits,3,FALSE)),""))</f>
        <v/>
      </c>
      <c r="U350" s="40">
        <f>IF(H350&lt;&gt;"",H350,T350)</f>
        <v/>
      </c>
      <c r="V350" s="40">
        <f>IF(OR(G350="",U350=""),"",G350*U350-N(I350))</f>
        <v/>
      </c>
      <c r="W350" s="39">
        <f>IF(D350="","",IFERROR(VALUE(MID(D350,LEN(D350)-3,3)),""))</f>
        <v/>
      </c>
      <c r="X350" s="33">
        <f>IF(W350="","",P350&amp;"|"&amp;W350)</f>
        <v/>
      </c>
      <c r="Y350" s="33">
        <f>IF(W350="","",IF(P350="À RENSEIGNER","GIC",P350)&amp;"-"&amp;TEXT(W350,"000"))</f>
        <v/>
      </c>
      <c r="Z350" s="33">
        <f>IF(X350="","",IFERROR(INDEX(Cl_nom,MATCH(X350,Cl_cle,0)),"(client introuvable)"))</f>
        <v/>
      </c>
      <c r="AA350" s="33">
        <f>IF(X350="","",IFERROR(INDEX(Cl_quartier,MATCH(X350,Cl_cle,0))&amp;"",""))</f>
        <v/>
      </c>
      <c r="AB350" s="45">
        <f>IF(R350&lt;&gt;"Livrée",0,IF(K350&lt;&gt;"",K350,C350))</f>
        <v/>
      </c>
      <c r="AC350" s="33">
        <f>IF(OR(C350="",W350=""),"",P350&amp;"|"&amp;W350&amp;"|"&amp;C350&amp;"|"&amp;E350)</f>
        <v/>
      </c>
      <c r="AD350" s="39">
        <f>IF(AC350="","",IF(COUNTIF(AC$6:AC350,AC350)=1,1,0))</f>
        <v/>
      </c>
      <c r="AE350" s="39">
        <f>IF(AB350=0,"",IF(COUNTIFS(X$6:X350,X350,AB$6:AB350,AB350)=1,1,0))</f>
        <v/>
      </c>
      <c r="AF350" s="34">
        <f>IF(C350="","",YEAR(C350-WEEKDAY(C350,2)+4)&amp;"-S"&amp;TEXT(INT((C350-DATE(YEAR(C350-WEEKDAY(C350,2)+4),1,3)+WEEKDAY(DATE(YEAR(C350-WEEKDAY(C350,2)+4),1,3),2)+5)/7),"00"))</f>
        <v/>
      </c>
    </row>
    <row r="351" ht="18" customHeight="1">
      <c r="A351" s="39" t="n">
        <v>346</v>
      </c>
      <c r="B351" s="33">
        <f>IF(C351="","",IF(P351="À RENSEIGNER","GIC",P351)&amp;"-C"&amp;TEXT(A351,"00000"))</f>
        <v/>
      </c>
      <c r="C351" s="32" t="n"/>
      <c r="D351" s="36" t="n"/>
      <c r="E351" s="36" t="n"/>
      <c r="F351" s="36" t="n"/>
      <c r="G351" s="42" t="n"/>
      <c r="H351" s="37" t="n"/>
      <c r="I351" s="37" t="n"/>
      <c r="J351" s="32" t="n"/>
      <c r="K351" s="32" t="n"/>
      <c r="L351" s="43" t="n"/>
      <c r="M351" s="36" t="n"/>
      <c r="N351" s="44" t="n"/>
      <c r="O351" s="36" t="n"/>
      <c r="P351" s="33">
        <f>IF(C351="","",Commercial_Id)</f>
        <v/>
      </c>
      <c r="Q351" s="34">
        <f>IF(AC351="","",IF(AD351=1,"C"&amp;TEXT(SUM(AD$6:AD351),"0000"),INDEX(Q$6:Q350,MATCH(AC351,AC$6:AC350,0))))</f>
        <v/>
      </c>
      <c r="R351" s="34">
        <f>IF(C351="","",IF(L351="☑ Oui","Annulée",IF(OR(E351="Vente directe",K351&lt;&gt;""),"Livrée",IF(J351&lt;&gt;"","Confirmée","En attente"))))</f>
        <v/>
      </c>
      <c r="S351" s="34">
        <f>IF(F351="","",IFERROR(VLOOKUP(F351,T_Produits,2,FALSE),""))</f>
        <v/>
      </c>
      <c r="T351" s="40">
        <f>IF(F351="","",IFERROR(1/(1/VLOOKUP(F351,T_Produits,3,FALSE)),""))</f>
        <v/>
      </c>
      <c r="U351" s="40">
        <f>IF(H351&lt;&gt;"",H351,T351)</f>
        <v/>
      </c>
      <c r="V351" s="40">
        <f>IF(OR(G351="",U351=""),"",G351*U351-N(I351))</f>
        <v/>
      </c>
      <c r="W351" s="39">
        <f>IF(D351="","",IFERROR(VALUE(MID(D351,LEN(D351)-3,3)),""))</f>
        <v/>
      </c>
      <c r="X351" s="33">
        <f>IF(W351="","",P351&amp;"|"&amp;W351)</f>
        <v/>
      </c>
      <c r="Y351" s="33">
        <f>IF(W351="","",IF(P351="À RENSEIGNER","GIC",P351)&amp;"-"&amp;TEXT(W351,"000"))</f>
        <v/>
      </c>
      <c r="Z351" s="33">
        <f>IF(X351="","",IFERROR(INDEX(Cl_nom,MATCH(X351,Cl_cle,0)),"(client introuvable)"))</f>
        <v/>
      </c>
      <c r="AA351" s="33">
        <f>IF(X351="","",IFERROR(INDEX(Cl_quartier,MATCH(X351,Cl_cle,0))&amp;"",""))</f>
        <v/>
      </c>
      <c r="AB351" s="45">
        <f>IF(R351&lt;&gt;"Livrée",0,IF(K351&lt;&gt;"",K351,C351))</f>
        <v/>
      </c>
      <c r="AC351" s="33">
        <f>IF(OR(C351="",W351=""),"",P351&amp;"|"&amp;W351&amp;"|"&amp;C351&amp;"|"&amp;E351)</f>
        <v/>
      </c>
      <c r="AD351" s="39">
        <f>IF(AC351="","",IF(COUNTIF(AC$6:AC351,AC351)=1,1,0))</f>
        <v/>
      </c>
      <c r="AE351" s="39">
        <f>IF(AB351=0,"",IF(COUNTIFS(X$6:X351,X351,AB$6:AB351,AB351)=1,1,0))</f>
        <v/>
      </c>
      <c r="AF351" s="34">
        <f>IF(C351="","",YEAR(C351-WEEKDAY(C351,2)+4)&amp;"-S"&amp;TEXT(INT((C351-DATE(YEAR(C351-WEEKDAY(C351,2)+4),1,3)+WEEKDAY(DATE(YEAR(C351-WEEKDAY(C351,2)+4),1,3),2)+5)/7),"00"))</f>
        <v/>
      </c>
    </row>
    <row r="352" ht="18" customHeight="1">
      <c r="A352" s="39" t="n">
        <v>347</v>
      </c>
      <c r="B352" s="33">
        <f>IF(C352="","",IF(P352="À RENSEIGNER","GIC",P352)&amp;"-C"&amp;TEXT(A352,"00000"))</f>
        <v/>
      </c>
      <c r="C352" s="32" t="n"/>
      <c r="D352" s="36" t="n"/>
      <c r="E352" s="36" t="n"/>
      <c r="F352" s="36" t="n"/>
      <c r="G352" s="42" t="n"/>
      <c r="H352" s="37" t="n"/>
      <c r="I352" s="37" t="n"/>
      <c r="J352" s="32" t="n"/>
      <c r="K352" s="32" t="n"/>
      <c r="L352" s="43" t="n"/>
      <c r="M352" s="36" t="n"/>
      <c r="N352" s="44" t="n"/>
      <c r="O352" s="36" t="n"/>
      <c r="P352" s="33">
        <f>IF(C352="","",Commercial_Id)</f>
        <v/>
      </c>
      <c r="Q352" s="34">
        <f>IF(AC352="","",IF(AD352=1,"C"&amp;TEXT(SUM(AD$6:AD352),"0000"),INDEX(Q$6:Q351,MATCH(AC352,AC$6:AC351,0))))</f>
        <v/>
      </c>
      <c r="R352" s="34">
        <f>IF(C352="","",IF(L352="☑ Oui","Annulée",IF(OR(E352="Vente directe",K352&lt;&gt;""),"Livrée",IF(J352&lt;&gt;"","Confirmée","En attente"))))</f>
        <v/>
      </c>
      <c r="S352" s="34">
        <f>IF(F352="","",IFERROR(VLOOKUP(F352,T_Produits,2,FALSE),""))</f>
        <v/>
      </c>
      <c r="T352" s="40">
        <f>IF(F352="","",IFERROR(1/(1/VLOOKUP(F352,T_Produits,3,FALSE)),""))</f>
        <v/>
      </c>
      <c r="U352" s="40">
        <f>IF(H352&lt;&gt;"",H352,T352)</f>
        <v/>
      </c>
      <c r="V352" s="40">
        <f>IF(OR(G352="",U352=""),"",G352*U352-N(I352))</f>
        <v/>
      </c>
      <c r="W352" s="39">
        <f>IF(D352="","",IFERROR(VALUE(MID(D352,LEN(D352)-3,3)),""))</f>
        <v/>
      </c>
      <c r="X352" s="33">
        <f>IF(W352="","",P352&amp;"|"&amp;W352)</f>
        <v/>
      </c>
      <c r="Y352" s="33">
        <f>IF(W352="","",IF(P352="À RENSEIGNER","GIC",P352)&amp;"-"&amp;TEXT(W352,"000"))</f>
        <v/>
      </c>
      <c r="Z352" s="33">
        <f>IF(X352="","",IFERROR(INDEX(Cl_nom,MATCH(X352,Cl_cle,0)),"(client introuvable)"))</f>
        <v/>
      </c>
      <c r="AA352" s="33">
        <f>IF(X352="","",IFERROR(INDEX(Cl_quartier,MATCH(X352,Cl_cle,0))&amp;"",""))</f>
        <v/>
      </c>
      <c r="AB352" s="45">
        <f>IF(R352&lt;&gt;"Livrée",0,IF(K352&lt;&gt;"",K352,C352))</f>
        <v/>
      </c>
      <c r="AC352" s="33">
        <f>IF(OR(C352="",W352=""),"",P352&amp;"|"&amp;W352&amp;"|"&amp;C352&amp;"|"&amp;E352)</f>
        <v/>
      </c>
      <c r="AD352" s="39">
        <f>IF(AC352="","",IF(COUNTIF(AC$6:AC352,AC352)=1,1,0))</f>
        <v/>
      </c>
      <c r="AE352" s="39">
        <f>IF(AB352=0,"",IF(COUNTIFS(X$6:X352,X352,AB$6:AB352,AB352)=1,1,0))</f>
        <v/>
      </c>
      <c r="AF352" s="34">
        <f>IF(C352="","",YEAR(C352-WEEKDAY(C352,2)+4)&amp;"-S"&amp;TEXT(INT((C352-DATE(YEAR(C352-WEEKDAY(C352,2)+4),1,3)+WEEKDAY(DATE(YEAR(C352-WEEKDAY(C352,2)+4),1,3),2)+5)/7),"00"))</f>
        <v/>
      </c>
    </row>
    <row r="353" ht="18" customHeight="1">
      <c r="A353" s="39" t="n">
        <v>348</v>
      </c>
      <c r="B353" s="33">
        <f>IF(C353="","",IF(P353="À RENSEIGNER","GIC",P353)&amp;"-C"&amp;TEXT(A353,"00000"))</f>
        <v/>
      </c>
      <c r="C353" s="32" t="n"/>
      <c r="D353" s="36" t="n"/>
      <c r="E353" s="36" t="n"/>
      <c r="F353" s="36" t="n"/>
      <c r="G353" s="42" t="n"/>
      <c r="H353" s="37" t="n"/>
      <c r="I353" s="37" t="n"/>
      <c r="J353" s="32" t="n"/>
      <c r="K353" s="32" t="n"/>
      <c r="L353" s="43" t="n"/>
      <c r="M353" s="36" t="n"/>
      <c r="N353" s="44" t="n"/>
      <c r="O353" s="36" t="n"/>
      <c r="P353" s="33">
        <f>IF(C353="","",Commercial_Id)</f>
        <v/>
      </c>
      <c r="Q353" s="34">
        <f>IF(AC353="","",IF(AD353=1,"C"&amp;TEXT(SUM(AD$6:AD353),"0000"),INDEX(Q$6:Q352,MATCH(AC353,AC$6:AC352,0))))</f>
        <v/>
      </c>
      <c r="R353" s="34">
        <f>IF(C353="","",IF(L353="☑ Oui","Annulée",IF(OR(E353="Vente directe",K353&lt;&gt;""),"Livrée",IF(J353&lt;&gt;"","Confirmée","En attente"))))</f>
        <v/>
      </c>
      <c r="S353" s="34">
        <f>IF(F353="","",IFERROR(VLOOKUP(F353,T_Produits,2,FALSE),""))</f>
        <v/>
      </c>
      <c r="T353" s="40">
        <f>IF(F353="","",IFERROR(1/(1/VLOOKUP(F353,T_Produits,3,FALSE)),""))</f>
        <v/>
      </c>
      <c r="U353" s="40">
        <f>IF(H353&lt;&gt;"",H353,T353)</f>
        <v/>
      </c>
      <c r="V353" s="40">
        <f>IF(OR(G353="",U353=""),"",G353*U353-N(I353))</f>
        <v/>
      </c>
      <c r="W353" s="39">
        <f>IF(D353="","",IFERROR(VALUE(MID(D353,LEN(D353)-3,3)),""))</f>
        <v/>
      </c>
      <c r="X353" s="33">
        <f>IF(W353="","",P353&amp;"|"&amp;W353)</f>
        <v/>
      </c>
      <c r="Y353" s="33">
        <f>IF(W353="","",IF(P353="À RENSEIGNER","GIC",P353)&amp;"-"&amp;TEXT(W353,"000"))</f>
        <v/>
      </c>
      <c r="Z353" s="33">
        <f>IF(X353="","",IFERROR(INDEX(Cl_nom,MATCH(X353,Cl_cle,0)),"(client introuvable)"))</f>
        <v/>
      </c>
      <c r="AA353" s="33">
        <f>IF(X353="","",IFERROR(INDEX(Cl_quartier,MATCH(X353,Cl_cle,0))&amp;"",""))</f>
        <v/>
      </c>
      <c r="AB353" s="45">
        <f>IF(R353&lt;&gt;"Livrée",0,IF(K353&lt;&gt;"",K353,C353))</f>
        <v/>
      </c>
      <c r="AC353" s="33">
        <f>IF(OR(C353="",W353=""),"",P353&amp;"|"&amp;W353&amp;"|"&amp;C353&amp;"|"&amp;E353)</f>
        <v/>
      </c>
      <c r="AD353" s="39">
        <f>IF(AC353="","",IF(COUNTIF(AC$6:AC353,AC353)=1,1,0))</f>
        <v/>
      </c>
      <c r="AE353" s="39">
        <f>IF(AB353=0,"",IF(COUNTIFS(X$6:X353,X353,AB$6:AB353,AB353)=1,1,0))</f>
        <v/>
      </c>
      <c r="AF353" s="34">
        <f>IF(C353="","",YEAR(C353-WEEKDAY(C353,2)+4)&amp;"-S"&amp;TEXT(INT((C353-DATE(YEAR(C353-WEEKDAY(C353,2)+4),1,3)+WEEKDAY(DATE(YEAR(C353-WEEKDAY(C353,2)+4),1,3),2)+5)/7),"00"))</f>
        <v/>
      </c>
    </row>
    <row r="354" ht="18" customHeight="1">
      <c r="A354" s="39" t="n">
        <v>349</v>
      </c>
      <c r="B354" s="33">
        <f>IF(C354="","",IF(P354="À RENSEIGNER","GIC",P354)&amp;"-C"&amp;TEXT(A354,"00000"))</f>
        <v/>
      </c>
      <c r="C354" s="32" t="n"/>
      <c r="D354" s="36" t="n"/>
      <c r="E354" s="36" t="n"/>
      <c r="F354" s="36" t="n"/>
      <c r="G354" s="42" t="n"/>
      <c r="H354" s="37" t="n"/>
      <c r="I354" s="37" t="n"/>
      <c r="J354" s="32" t="n"/>
      <c r="K354" s="32" t="n"/>
      <c r="L354" s="43" t="n"/>
      <c r="M354" s="36" t="n"/>
      <c r="N354" s="44" t="n"/>
      <c r="O354" s="36" t="n"/>
      <c r="P354" s="33">
        <f>IF(C354="","",Commercial_Id)</f>
        <v/>
      </c>
      <c r="Q354" s="34">
        <f>IF(AC354="","",IF(AD354=1,"C"&amp;TEXT(SUM(AD$6:AD354),"0000"),INDEX(Q$6:Q353,MATCH(AC354,AC$6:AC353,0))))</f>
        <v/>
      </c>
      <c r="R354" s="34">
        <f>IF(C354="","",IF(L354="☑ Oui","Annulée",IF(OR(E354="Vente directe",K354&lt;&gt;""),"Livrée",IF(J354&lt;&gt;"","Confirmée","En attente"))))</f>
        <v/>
      </c>
      <c r="S354" s="34">
        <f>IF(F354="","",IFERROR(VLOOKUP(F354,T_Produits,2,FALSE),""))</f>
        <v/>
      </c>
      <c r="T354" s="40">
        <f>IF(F354="","",IFERROR(1/(1/VLOOKUP(F354,T_Produits,3,FALSE)),""))</f>
        <v/>
      </c>
      <c r="U354" s="40">
        <f>IF(H354&lt;&gt;"",H354,T354)</f>
        <v/>
      </c>
      <c r="V354" s="40">
        <f>IF(OR(G354="",U354=""),"",G354*U354-N(I354))</f>
        <v/>
      </c>
      <c r="W354" s="39">
        <f>IF(D354="","",IFERROR(VALUE(MID(D354,LEN(D354)-3,3)),""))</f>
        <v/>
      </c>
      <c r="X354" s="33">
        <f>IF(W354="","",P354&amp;"|"&amp;W354)</f>
        <v/>
      </c>
      <c r="Y354" s="33">
        <f>IF(W354="","",IF(P354="À RENSEIGNER","GIC",P354)&amp;"-"&amp;TEXT(W354,"000"))</f>
        <v/>
      </c>
      <c r="Z354" s="33">
        <f>IF(X354="","",IFERROR(INDEX(Cl_nom,MATCH(X354,Cl_cle,0)),"(client introuvable)"))</f>
        <v/>
      </c>
      <c r="AA354" s="33">
        <f>IF(X354="","",IFERROR(INDEX(Cl_quartier,MATCH(X354,Cl_cle,0))&amp;"",""))</f>
        <v/>
      </c>
      <c r="AB354" s="45">
        <f>IF(R354&lt;&gt;"Livrée",0,IF(K354&lt;&gt;"",K354,C354))</f>
        <v/>
      </c>
      <c r="AC354" s="33">
        <f>IF(OR(C354="",W354=""),"",P354&amp;"|"&amp;W354&amp;"|"&amp;C354&amp;"|"&amp;E354)</f>
        <v/>
      </c>
      <c r="AD354" s="39">
        <f>IF(AC354="","",IF(COUNTIF(AC$6:AC354,AC354)=1,1,0))</f>
        <v/>
      </c>
      <c r="AE354" s="39">
        <f>IF(AB354=0,"",IF(COUNTIFS(X$6:X354,X354,AB$6:AB354,AB354)=1,1,0))</f>
        <v/>
      </c>
      <c r="AF354" s="34">
        <f>IF(C354="","",YEAR(C354-WEEKDAY(C354,2)+4)&amp;"-S"&amp;TEXT(INT((C354-DATE(YEAR(C354-WEEKDAY(C354,2)+4),1,3)+WEEKDAY(DATE(YEAR(C354-WEEKDAY(C354,2)+4),1,3),2)+5)/7),"00"))</f>
        <v/>
      </c>
    </row>
    <row r="355" ht="18" customHeight="1">
      <c r="A355" s="39" t="n">
        <v>350</v>
      </c>
      <c r="B355" s="33">
        <f>IF(C355="","",IF(P355="À RENSEIGNER","GIC",P355)&amp;"-C"&amp;TEXT(A355,"00000"))</f>
        <v/>
      </c>
      <c r="C355" s="32" t="n"/>
      <c r="D355" s="36" t="n"/>
      <c r="E355" s="36" t="n"/>
      <c r="F355" s="36" t="n"/>
      <c r="G355" s="42" t="n"/>
      <c r="H355" s="37" t="n"/>
      <c r="I355" s="37" t="n"/>
      <c r="J355" s="32" t="n"/>
      <c r="K355" s="32" t="n"/>
      <c r="L355" s="43" t="n"/>
      <c r="M355" s="36" t="n"/>
      <c r="N355" s="44" t="n"/>
      <c r="O355" s="36" t="n"/>
      <c r="P355" s="33">
        <f>IF(C355="","",Commercial_Id)</f>
        <v/>
      </c>
      <c r="Q355" s="34">
        <f>IF(AC355="","",IF(AD355=1,"C"&amp;TEXT(SUM(AD$6:AD355),"0000"),INDEX(Q$6:Q354,MATCH(AC355,AC$6:AC354,0))))</f>
        <v/>
      </c>
      <c r="R355" s="34">
        <f>IF(C355="","",IF(L355="☑ Oui","Annulée",IF(OR(E355="Vente directe",K355&lt;&gt;""),"Livrée",IF(J355&lt;&gt;"","Confirmée","En attente"))))</f>
        <v/>
      </c>
      <c r="S355" s="34">
        <f>IF(F355="","",IFERROR(VLOOKUP(F355,T_Produits,2,FALSE),""))</f>
        <v/>
      </c>
      <c r="T355" s="40">
        <f>IF(F355="","",IFERROR(1/(1/VLOOKUP(F355,T_Produits,3,FALSE)),""))</f>
        <v/>
      </c>
      <c r="U355" s="40">
        <f>IF(H355&lt;&gt;"",H355,T355)</f>
        <v/>
      </c>
      <c r="V355" s="40">
        <f>IF(OR(G355="",U355=""),"",G355*U355-N(I355))</f>
        <v/>
      </c>
      <c r="W355" s="39">
        <f>IF(D355="","",IFERROR(VALUE(MID(D355,LEN(D355)-3,3)),""))</f>
        <v/>
      </c>
      <c r="X355" s="33">
        <f>IF(W355="","",P355&amp;"|"&amp;W355)</f>
        <v/>
      </c>
      <c r="Y355" s="33">
        <f>IF(W355="","",IF(P355="À RENSEIGNER","GIC",P355)&amp;"-"&amp;TEXT(W355,"000"))</f>
        <v/>
      </c>
      <c r="Z355" s="33">
        <f>IF(X355="","",IFERROR(INDEX(Cl_nom,MATCH(X355,Cl_cle,0)),"(client introuvable)"))</f>
        <v/>
      </c>
      <c r="AA355" s="33">
        <f>IF(X355="","",IFERROR(INDEX(Cl_quartier,MATCH(X355,Cl_cle,0))&amp;"",""))</f>
        <v/>
      </c>
      <c r="AB355" s="45">
        <f>IF(R355&lt;&gt;"Livrée",0,IF(K355&lt;&gt;"",K355,C355))</f>
        <v/>
      </c>
      <c r="AC355" s="33">
        <f>IF(OR(C355="",W355=""),"",P355&amp;"|"&amp;W355&amp;"|"&amp;C355&amp;"|"&amp;E355)</f>
        <v/>
      </c>
      <c r="AD355" s="39">
        <f>IF(AC355="","",IF(COUNTIF(AC$6:AC355,AC355)=1,1,0))</f>
        <v/>
      </c>
      <c r="AE355" s="39">
        <f>IF(AB355=0,"",IF(COUNTIFS(X$6:X355,X355,AB$6:AB355,AB355)=1,1,0))</f>
        <v/>
      </c>
      <c r="AF355" s="34">
        <f>IF(C355="","",YEAR(C355-WEEKDAY(C355,2)+4)&amp;"-S"&amp;TEXT(INT((C355-DATE(YEAR(C355-WEEKDAY(C355,2)+4),1,3)+WEEKDAY(DATE(YEAR(C355-WEEKDAY(C355,2)+4),1,3),2)+5)/7),"00"))</f>
        <v/>
      </c>
    </row>
    <row r="356" ht="18" customHeight="1">
      <c r="A356" s="39" t="n">
        <v>351</v>
      </c>
      <c r="B356" s="33">
        <f>IF(C356="","",IF(P356="À RENSEIGNER","GIC",P356)&amp;"-C"&amp;TEXT(A356,"00000"))</f>
        <v/>
      </c>
      <c r="C356" s="32" t="n"/>
      <c r="D356" s="36" t="n"/>
      <c r="E356" s="36" t="n"/>
      <c r="F356" s="36" t="n"/>
      <c r="G356" s="42" t="n"/>
      <c r="H356" s="37" t="n"/>
      <c r="I356" s="37" t="n"/>
      <c r="J356" s="32" t="n"/>
      <c r="K356" s="32" t="n"/>
      <c r="L356" s="43" t="n"/>
      <c r="M356" s="36" t="n"/>
      <c r="N356" s="44" t="n"/>
      <c r="O356" s="36" t="n"/>
      <c r="P356" s="33">
        <f>IF(C356="","",Commercial_Id)</f>
        <v/>
      </c>
      <c r="Q356" s="34">
        <f>IF(AC356="","",IF(AD356=1,"C"&amp;TEXT(SUM(AD$6:AD356),"0000"),INDEX(Q$6:Q355,MATCH(AC356,AC$6:AC355,0))))</f>
        <v/>
      </c>
      <c r="R356" s="34">
        <f>IF(C356="","",IF(L356="☑ Oui","Annulée",IF(OR(E356="Vente directe",K356&lt;&gt;""),"Livrée",IF(J356&lt;&gt;"","Confirmée","En attente"))))</f>
        <v/>
      </c>
      <c r="S356" s="34">
        <f>IF(F356="","",IFERROR(VLOOKUP(F356,T_Produits,2,FALSE),""))</f>
        <v/>
      </c>
      <c r="T356" s="40">
        <f>IF(F356="","",IFERROR(1/(1/VLOOKUP(F356,T_Produits,3,FALSE)),""))</f>
        <v/>
      </c>
      <c r="U356" s="40">
        <f>IF(H356&lt;&gt;"",H356,T356)</f>
        <v/>
      </c>
      <c r="V356" s="40">
        <f>IF(OR(G356="",U356=""),"",G356*U356-N(I356))</f>
        <v/>
      </c>
      <c r="W356" s="39">
        <f>IF(D356="","",IFERROR(VALUE(MID(D356,LEN(D356)-3,3)),""))</f>
        <v/>
      </c>
      <c r="X356" s="33">
        <f>IF(W356="","",P356&amp;"|"&amp;W356)</f>
        <v/>
      </c>
      <c r="Y356" s="33">
        <f>IF(W356="","",IF(P356="À RENSEIGNER","GIC",P356)&amp;"-"&amp;TEXT(W356,"000"))</f>
        <v/>
      </c>
      <c r="Z356" s="33">
        <f>IF(X356="","",IFERROR(INDEX(Cl_nom,MATCH(X356,Cl_cle,0)),"(client introuvable)"))</f>
        <v/>
      </c>
      <c r="AA356" s="33">
        <f>IF(X356="","",IFERROR(INDEX(Cl_quartier,MATCH(X356,Cl_cle,0))&amp;"",""))</f>
        <v/>
      </c>
      <c r="AB356" s="45">
        <f>IF(R356&lt;&gt;"Livrée",0,IF(K356&lt;&gt;"",K356,C356))</f>
        <v/>
      </c>
      <c r="AC356" s="33">
        <f>IF(OR(C356="",W356=""),"",P356&amp;"|"&amp;W356&amp;"|"&amp;C356&amp;"|"&amp;E356)</f>
        <v/>
      </c>
      <c r="AD356" s="39">
        <f>IF(AC356="","",IF(COUNTIF(AC$6:AC356,AC356)=1,1,0))</f>
        <v/>
      </c>
      <c r="AE356" s="39">
        <f>IF(AB356=0,"",IF(COUNTIFS(X$6:X356,X356,AB$6:AB356,AB356)=1,1,0))</f>
        <v/>
      </c>
      <c r="AF356" s="34">
        <f>IF(C356="","",YEAR(C356-WEEKDAY(C356,2)+4)&amp;"-S"&amp;TEXT(INT((C356-DATE(YEAR(C356-WEEKDAY(C356,2)+4),1,3)+WEEKDAY(DATE(YEAR(C356-WEEKDAY(C356,2)+4),1,3),2)+5)/7),"00"))</f>
        <v/>
      </c>
    </row>
    <row r="357" ht="18" customHeight="1">
      <c r="A357" s="39" t="n">
        <v>352</v>
      </c>
      <c r="B357" s="33">
        <f>IF(C357="","",IF(P357="À RENSEIGNER","GIC",P357)&amp;"-C"&amp;TEXT(A357,"00000"))</f>
        <v/>
      </c>
      <c r="C357" s="32" t="n"/>
      <c r="D357" s="36" t="n"/>
      <c r="E357" s="36" t="n"/>
      <c r="F357" s="36" t="n"/>
      <c r="G357" s="42" t="n"/>
      <c r="H357" s="37" t="n"/>
      <c r="I357" s="37" t="n"/>
      <c r="J357" s="32" t="n"/>
      <c r="K357" s="32" t="n"/>
      <c r="L357" s="43" t="n"/>
      <c r="M357" s="36" t="n"/>
      <c r="N357" s="44" t="n"/>
      <c r="O357" s="36" t="n"/>
      <c r="P357" s="33">
        <f>IF(C357="","",Commercial_Id)</f>
        <v/>
      </c>
      <c r="Q357" s="34">
        <f>IF(AC357="","",IF(AD357=1,"C"&amp;TEXT(SUM(AD$6:AD357),"0000"),INDEX(Q$6:Q356,MATCH(AC357,AC$6:AC356,0))))</f>
        <v/>
      </c>
      <c r="R357" s="34">
        <f>IF(C357="","",IF(L357="☑ Oui","Annulée",IF(OR(E357="Vente directe",K357&lt;&gt;""),"Livrée",IF(J357&lt;&gt;"","Confirmée","En attente"))))</f>
        <v/>
      </c>
      <c r="S357" s="34">
        <f>IF(F357="","",IFERROR(VLOOKUP(F357,T_Produits,2,FALSE),""))</f>
        <v/>
      </c>
      <c r="T357" s="40">
        <f>IF(F357="","",IFERROR(1/(1/VLOOKUP(F357,T_Produits,3,FALSE)),""))</f>
        <v/>
      </c>
      <c r="U357" s="40">
        <f>IF(H357&lt;&gt;"",H357,T357)</f>
        <v/>
      </c>
      <c r="V357" s="40">
        <f>IF(OR(G357="",U357=""),"",G357*U357-N(I357))</f>
        <v/>
      </c>
      <c r="W357" s="39">
        <f>IF(D357="","",IFERROR(VALUE(MID(D357,LEN(D357)-3,3)),""))</f>
        <v/>
      </c>
      <c r="X357" s="33">
        <f>IF(W357="","",P357&amp;"|"&amp;W357)</f>
        <v/>
      </c>
      <c r="Y357" s="33">
        <f>IF(W357="","",IF(P357="À RENSEIGNER","GIC",P357)&amp;"-"&amp;TEXT(W357,"000"))</f>
        <v/>
      </c>
      <c r="Z357" s="33">
        <f>IF(X357="","",IFERROR(INDEX(Cl_nom,MATCH(X357,Cl_cle,0)),"(client introuvable)"))</f>
        <v/>
      </c>
      <c r="AA357" s="33">
        <f>IF(X357="","",IFERROR(INDEX(Cl_quartier,MATCH(X357,Cl_cle,0))&amp;"",""))</f>
        <v/>
      </c>
      <c r="AB357" s="45">
        <f>IF(R357&lt;&gt;"Livrée",0,IF(K357&lt;&gt;"",K357,C357))</f>
        <v/>
      </c>
      <c r="AC357" s="33">
        <f>IF(OR(C357="",W357=""),"",P357&amp;"|"&amp;W357&amp;"|"&amp;C357&amp;"|"&amp;E357)</f>
        <v/>
      </c>
      <c r="AD357" s="39">
        <f>IF(AC357="","",IF(COUNTIF(AC$6:AC357,AC357)=1,1,0))</f>
        <v/>
      </c>
      <c r="AE357" s="39">
        <f>IF(AB357=0,"",IF(COUNTIFS(X$6:X357,X357,AB$6:AB357,AB357)=1,1,0))</f>
        <v/>
      </c>
      <c r="AF357" s="34">
        <f>IF(C357="","",YEAR(C357-WEEKDAY(C357,2)+4)&amp;"-S"&amp;TEXT(INT((C357-DATE(YEAR(C357-WEEKDAY(C357,2)+4),1,3)+WEEKDAY(DATE(YEAR(C357-WEEKDAY(C357,2)+4),1,3),2)+5)/7),"00"))</f>
        <v/>
      </c>
    </row>
    <row r="358" ht="18" customHeight="1">
      <c r="A358" s="39" t="n">
        <v>353</v>
      </c>
      <c r="B358" s="33">
        <f>IF(C358="","",IF(P358="À RENSEIGNER","GIC",P358)&amp;"-C"&amp;TEXT(A358,"00000"))</f>
        <v/>
      </c>
      <c r="C358" s="32" t="n"/>
      <c r="D358" s="36" t="n"/>
      <c r="E358" s="36" t="n"/>
      <c r="F358" s="36" t="n"/>
      <c r="G358" s="42" t="n"/>
      <c r="H358" s="37" t="n"/>
      <c r="I358" s="37" t="n"/>
      <c r="J358" s="32" t="n"/>
      <c r="K358" s="32" t="n"/>
      <c r="L358" s="43" t="n"/>
      <c r="M358" s="36" t="n"/>
      <c r="N358" s="44" t="n"/>
      <c r="O358" s="36" t="n"/>
      <c r="P358" s="33">
        <f>IF(C358="","",Commercial_Id)</f>
        <v/>
      </c>
      <c r="Q358" s="34">
        <f>IF(AC358="","",IF(AD358=1,"C"&amp;TEXT(SUM(AD$6:AD358),"0000"),INDEX(Q$6:Q357,MATCH(AC358,AC$6:AC357,0))))</f>
        <v/>
      </c>
      <c r="R358" s="34">
        <f>IF(C358="","",IF(L358="☑ Oui","Annulée",IF(OR(E358="Vente directe",K358&lt;&gt;""),"Livrée",IF(J358&lt;&gt;"","Confirmée","En attente"))))</f>
        <v/>
      </c>
      <c r="S358" s="34">
        <f>IF(F358="","",IFERROR(VLOOKUP(F358,T_Produits,2,FALSE),""))</f>
        <v/>
      </c>
      <c r="T358" s="40">
        <f>IF(F358="","",IFERROR(1/(1/VLOOKUP(F358,T_Produits,3,FALSE)),""))</f>
        <v/>
      </c>
      <c r="U358" s="40">
        <f>IF(H358&lt;&gt;"",H358,T358)</f>
        <v/>
      </c>
      <c r="V358" s="40">
        <f>IF(OR(G358="",U358=""),"",G358*U358-N(I358))</f>
        <v/>
      </c>
      <c r="W358" s="39">
        <f>IF(D358="","",IFERROR(VALUE(MID(D358,LEN(D358)-3,3)),""))</f>
        <v/>
      </c>
      <c r="X358" s="33">
        <f>IF(W358="","",P358&amp;"|"&amp;W358)</f>
        <v/>
      </c>
      <c r="Y358" s="33">
        <f>IF(W358="","",IF(P358="À RENSEIGNER","GIC",P358)&amp;"-"&amp;TEXT(W358,"000"))</f>
        <v/>
      </c>
      <c r="Z358" s="33">
        <f>IF(X358="","",IFERROR(INDEX(Cl_nom,MATCH(X358,Cl_cle,0)),"(client introuvable)"))</f>
        <v/>
      </c>
      <c r="AA358" s="33">
        <f>IF(X358="","",IFERROR(INDEX(Cl_quartier,MATCH(X358,Cl_cle,0))&amp;"",""))</f>
        <v/>
      </c>
      <c r="AB358" s="45">
        <f>IF(R358&lt;&gt;"Livrée",0,IF(K358&lt;&gt;"",K358,C358))</f>
        <v/>
      </c>
      <c r="AC358" s="33">
        <f>IF(OR(C358="",W358=""),"",P358&amp;"|"&amp;W358&amp;"|"&amp;C358&amp;"|"&amp;E358)</f>
        <v/>
      </c>
      <c r="AD358" s="39">
        <f>IF(AC358="","",IF(COUNTIF(AC$6:AC358,AC358)=1,1,0))</f>
        <v/>
      </c>
      <c r="AE358" s="39">
        <f>IF(AB358=0,"",IF(COUNTIFS(X$6:X358,X358,AB$6:AB358,AB358)=1,1,0))</f>
        <v/>
      </c>
      <c r="AF358" s="34">
        <f>IF(C358="","",YEAR(C358-WEEKDAY(C358,2)+4)&amp;"-S"&amp;TEXT(INT((C358-DATE(YEAR(C358-WEEKDAY(C358,2)+4),1,3)+WEEKDAY(DATE(YEAR(C358-WEEKDAY(C358,2)+4),1,3),2)+5)/7),"00"))</f>
        <v/>
      </c>
    </row>
    <row r="359" ht="18" customHeight="1">
      <c r="A359" s="39" t="n">
        <v>354</v>
      </c>
      <c r="B359" s="33">
        <f>IF(C359="","",IF(P359="À RENSEIGNER","GIC",P359)&amp;"-C"&amp;TEXT(A359,"00000"))</f>
        <v/>
      </c>
      <c r="C359" s="32" t="n"/>
      <c r="D359" s="36" t="n"/>
      <c r="E359" s="36" t="n"/>
      <c r="F359" s="36" t="n"/>
      <c r="G359" s="42" t="n"/>
      <c r="H359" s="37" t="n"/>
      <c r="I359" s="37" t="n"/>
      <c r="J359" s="32" t="n"/>
      <c r="K359" s="32" t="n"/>
      <c r="L359" s="43" t="n"/>
      <c r="M359" s="36" t="n"/>
      <c r="N359" s="44" t="n"/>
      <c r="O359" s="36" t="n"/>
      <c r="P359" s="33">
        <f>IF(C359="","",Commercial_Id)</f>
        <v/>
      </c>
      <c r="Q359" s="34">
        <f>IF(AC359="","",IF(AD359=1,"C"&amp;TEXT(SUM(AD$6:AD359),"0000"),INDEX(Q$6:Q358,MATCH(AC359,AC$6:AC358,0))))</f>
        <v/>
      </c>
      <c r="R359" s="34">
        <f>IF(C359="","",IF(L359="☑ Oui","Annulée",IF(OR(E359="Vente directe",K359&lt;&gt;""),"Livrée",IF(J359&lt;&gt;"","Confirmée","En attente"))))</f>
        <v/>
      </c>
      <c r="S359" s="34">
        <f>IF(F359="","",IFERROR(VLOOKUP(F359,T_Produits,2,FALSE),""))</f>
        <v/>
      </c>
      <c r="T359" s="40">
        <f>IF(F359="","",IFERROR(1/(1/VLOOKUP(F359,T_Produits,3,FALSE)),""))</f>
        <v/>
      </c>
      <c r="U359" s="40">
        <f>IF(H359&lt;&gt;"",H359,T359)</f>
        <v/>
      </c>
      <c r="V359" s="40">
        <f>IF(OR(G359="",U359=""),"",G359*U359-N(I359))</f>
        <v/>
      </c>
      <c r="W359" s="39">
        <f>IF(D359="","",IFERROR(VALUE(MID(D359,LEN(D359)-3,3)),""))</f>
        <v/>
      </c>
      <c r="X359" s="33">
        <f>IF(W359="","",P359&amp;"|"&amp;W359)</f>
        <v/>
      </c>
      <c r="Y359" s="33">
        <f>IF(W359="","",IF(P359="À RENSEIGNER","GIC",P359)&amp;"-"&amp;TEXT(W359,"000"))</f>
        <v/>
      </c>
      <c r="Z359" s="33">
        <f>IF(X359="","",IFERROR(INDEX(Cl_nom,MATCH(X359,Cl_cle,0)),"(client introuvable)"))</f>
        <v/>
      </c>
      <c r="AA359" s="33">
        <f>IF(X359="","",IFERROR(INDEX(Cl_quartier,MATCH(X359,Cl_cle,0))&amp;"",""))</f>
        <v/>
      </c>
      <c r="AB359" s="45">
        <f>IF(R359&lt;&gt;"Livrée",0,IF(K359&lt;&gt;"",K359,C359))</f>
        <v/>
      </c>
      <c r="AC359" s="33">
        <f>IF(OR(C359="",W359=""),"",P359&amp;"|"&amp;W359&amp;"|"&amp;C359&amp;"|"&amp;E359)</f>
        <v/>
      </c>
      <c r="AD359" s="39">
        <f>IF(AC359="","",IF(COUNTIF(AC$6:AC359,AC359)=1,1,0))</f>
        <v/>
      </c>
      <c r="AE359" s="39">
        <f>IF(AB359=0,"",IF(COUNTIFS(X$6:X359,X359,AB$6:AB359,AB359)=1,1,0))</f>
        <v/>
      </c>
      <c r="AF359" s="34">
        <f>IF(C359="","",YEAR(C359-WEEKDAY(C359,2)+4)&amp;"-S"&amp;TEXT(INT((C359-DATE(YEAR(C359-WEEKDAY(C359,2)+4),1,3)+WEEKDAY(DATE(YEAR(C359-WEEKDAY(C359,2)+4),1,3),2)+5)/7),"00"))</f>
        <v/>
      </c>
    </row>
    <row r="360" ht="18" customHeight="1">
      <c r="A360" s="39" t="n">
        <v>355</v>
      </c>
      <c r="B360" s="33">
        <f>IF(C360="","",IF(P360="À RENSEIGNER","GIC",P360)&amp;"-C"&amp;TEXT(A360,"00000"))</f>
        <v/>
      </c>
      <c r="C360" s="32" t="n"/>
      <c r="D360" s="36" t="n"/>
      <c r="E360" s="36" t="n"/>
      <c r="F360" s="36" t="n"/>
      <c r="G360" s="42" t="n"/>
      <c r="H360" s="37" t="n"/>
      <c r="I360" s="37" t="n"/>
      <c r="J360" s="32" t="n"/>
      <c r="K360" s="32" t="n"/>
      <c r="L360" s="43" t="n"/>
      <c r="M360" s="36" t="n"/>
      <c r="N360" s="44" t="n"/>
      <c r="O360" s="36" t="n"/>
      <c r="P360" s="33">
        <f>IF(C360="","",Commercial_Id)</f>
        <v/>
      </c>
      <c r="Q360" s="34">
        <f>IF(AC360="","",IF(AD360=1,"C"&amp;TEXT(SUM(AD$6:AD360),"0000"),INDEX(Q$6:Q359,MATCH(AC360,AC$6:AC359,0))))</f>
        <v/>
      </c>
      <c r="R360" s="34">
        <f>IF(C360="","",IF(L360="☑ Oui","Annulée",IF(OR(E360="Vente directe",K360&lt;&gt;""),"Livrée",IF(J360&lt;&gt;"","Confirmée","En attente"))))</f>
        <v/>
      </c>
      <c r="S360" s="34">
        <f>IF(F360="","",IFERROR(VLOOKUP(F360,T_Produits,2,FALSE),""))</f>
        <v/>
      </c>
      <c r="T360" s="40">
        <f>IF(F360="","",IFERROR(1/(1/VLOOKUP(F360,T_Produits,3,FALSE)),""))</f>
        <v/>
      </c>
      <c r="U360" s="40">
        <f>IF(H360&lt;&gt;"",H360,T360)</f>
        <v/>
      </c>
      <c r="V360" s="40">
        <f>IF(OR(G360="",U360=""),"",G360*U360-N(I360))</f>
        <v/>
      </c>
      <c r="W360" s="39">
        <f>IF(D360="","",IFERROR(VALUE(MID(D360,LEN(D360)-3,3)),""))</f>
        <v/>
      </c>
      <c r="X360" s="33">
        <f>IF(W360="","",P360&amp;"|"&amp;W360)</f>
        <v/>
      </c>
      <c r="Y360" s="33">
        <f>IF(W360="","",IF(P360="À RENSEIGNER","GIC",P360)&amp;"-"&amp;TEXT(W360,"000"))</f>
        <v/>
      </c>
      <c r="Z360" s="33">
        <f>IF(X360="","",IFERROR(INDEX(Cl_nom,MATCH(X360,Cl_cle,0)),"(client introuvable)"))</f>
        <v/>
      </c>
      <c r="AA360" s="33">
        <f>IF(X360="","",IFERROR(INDEX(Cl_quartier,MATCH(X360,Cl_cle,0))&amp;"",""))</f>
        <v/>
      </c>
      <c r="AB360" s="45">
        <f>IF(R360&lt;&gt;"Livrée",0,IF(K360&lt;&gt;"",K360,C360))</f>
        <v/>
      </c>
      <c r="AC360" s="33">
        <f>IF(OR(C360="",W360=""),"",P360&amp;"|"&amp;W360&amp;"|"&amp;C360&amp;"|"&amp;E360)</f>
        <v/>
      </c>
      <c r="AD360" s="39">
        <f>IF(AC360="","",IF(COUNTIF(AC$6:AC360,AC360)=1,1,0))</f>
        <v/>
      </c>
      <c r="AE360" s="39">
        <f>IF(AB360=0,"",IF(COUNTIFS(X$6:X360,X360,AB$6:AB360,AB360)=1,1,0))</f>
        <v/>
      </c>
      <c r="AF360" s="34">
        <f>IF(C360="","",YEAR(C360-WEEKDAY(C360,2)+4)&amp;"-S"&amp;TEXT(INT((C360-DATE(YEAR(C360-WEEKDAY(C360,2)+4),1,3)+WEEKDAY(DATE(YEAR(C360-WEEKDAY(C360,2)+4),1,3),2)+5)/7),"00"))</f>
        <v/>
      </c>
    </row>
    <row r="361" ht="18" customHeight="1">
      <c r="A361" s="39" t="n">
        <v>356</v>
      </c>
      <c r="B361" s="33">
        <f>IF(C361="","",IF(P361="À RENSEIGNER","GIC",P361)&amp;"-C"&amp;TEXT(A361,"00000"))</f>
        <v/>
      </c>
      <c r="C361" s="32" t="n"/>
      <c r="D361" s="36" t="n"/>
      <c r="E361" s="36" t="n"/>
      <c r="F361" s="36" t="n"/>
      <c r="G361" s="42" t="n"/>
      <c r="H361" s="37" t="n"/>
      <c r="I361" s="37" t="n"/>
      <c r="J361" s="32" t="n"/>
      <c r="K361" s="32" t="n"/>
      <c r="L361" s="43" t="n"/>
      <c r="M361" s="36" t="n"/>
      <c r="N361" s="44" t="n"/>
      <c r="O361" s="36" t="n"/>
      <c r="P361" s="33">
        <f>IF(C361="","",Commercial_Id)</f>
        <v/>
      </c>
      <c r="Q361" s="34">
        <f>IF(AC361="","",IF(AD361=1,"C"&amp;TEXT(SUM(AD$6:AD361),"0000"),INDEX(Q$6:Q360,MATCH(AC361,AC$6:AC360,0))))</f>
        <v/>
      </c>
      <c r="R361" s="34">
        <f>IF(C361="","",IF(L361="☑ Oui","Annulée",IF(OR(E361="Vente directe",K361&lt;&gt;""),"Livrée",IF(J361&lt;&gt;"","Confirmée","En attente"))))</f>
        <v/>
      </c>
      <c r="S361" s="34">
        <f>IF(F361="","",IFERROR(VLOOKUP(F361,T_Produits,2,FALSE),""))</f>
        <v/>
      </c>
      <c r="T361" s="40">
        <f>IF(F361="","",IFERROR(1/(1/VLOOKUP(F361,T_Produits,3,FALSE)),""))</f>
        <v/>
      </c>
      <c r="U361" s="40">
        <f>IF(H361&lt;&gt;"",H361,T361)</f>
        <v/>
      </c>
      <c r="V361" s="40">
        <f>IF(OR(G361="",U361=""),"",G361*U361-N(I361))</f>
        <v/>
      </c>
      <c r="W361" s="39">
        <f>IF(D361="","",IFERROR(VALUE(MID(D361,LEN(D361)-3,3)),""))</f>
        <v/>
      </c>
      <c r="X361" s="33">
        <f>IF(W361="","",P361&amp;"|"&amp;W361)</f>
        <v/>
      </c>
      <c r="Y361" s="33">
        <f>IF(W361="","",IF(P361="À RENSEIGNER","GIC",P361)&amp;"-"&amp;TEXT(W361,"000"))</f>
        <v/>
      </c>
      <c r="Z361" s="33">
        <f>IF(X361="","",IFERROR(INDEX(Cl_nom,MATCH(X361,Cl_cle,0)),"(client introuvable)"))</f>
        <v/>
      </c>
      <c r="AA361" s="33">
        <f>IF(X361="","",IFERROR(INDEX(Cl_quartier,MATCH(X361,Cl_cle,0))&amp;"",""))</f>
        <v/>
      </c>
      <c r="AB361" s="45">
        <f>IF(R361&lt;&gt;"Livrée",0,IF(K361&lt;&gt;"",K361,C361))</f>
        <v/>
      </c>
      <c r="AC361" s="33">
        <f>IF(OR(C361="",W361=""),"",P361&amp;"|"&amp;W361&amp;"|"&amp;C361&amp;"|"&amp;E361)</f>
        <v/>
      </c>
      <c r="AD361" s="39">
        <f>IF(AC361="","",IF(COUNTIF(AC$6:AC361,AC361)=1,1,0))</f>
        <v/>
      </c>
      <c r="AE361" s="39">
        <f>IF(AB361=0,"",IF(COUNTIFS(X$6:X361,X361,AB$6:AB361,AB361)=1,1,0))</f>
        <v/>
      </c>
      <c r="AF361" s="34">
        <f>IF(C361="","",YEAR(C361-WEEKDAY(C361,2)+4)&amp;"-S"&amp;TEXT(INT((C361-DATE(YEAR(C361-WEEKDAY(C361,2)+4),1,3)+WEEKDAY(DATE(YEAR(C361-WEEKDAY(C361,2)+4),1,3),2)+5)/7),"00"))</f>
        <v/>
      </c>
    </row>
    <row r="362" ht="18" customHeight="1">
      <c r="A362" s="39" t="n">
        <v>357</v>
      </c>
      <c r="B362" s="33">
        <f>IF(C362="","",IF(P362="À RENSEIGNER","GIC",P362)&amp;"-C"&amp;TEXT(A362,"00000"))</f>
        <v/>
      </c>
      <c r="C362" s="32" t="n"/>
      <c r="D362" s="36" t="n"/>
      <c r="E362" s="36" t="n"/>
      <c r="F362" s="36" t="n"/>
      <c r="G362" s="42" t="n"/>
      <c r="H362" s="37" t="n"/>
      <c r="I362" s="37" t="n"/>
      <c r="J362" s="32" t="n"/>
      <c r="K362" s="32" t="n"/>
      <c r="L362" s="43" t="n"/>
      <c r="M362" s="36" t="n"/>
      <c r="N362" s="44" t="n"/>
      <c r="O362" s="36" t="n"/>
      <c r="P362" s="33">
        <f>IF(C362="","",Commercial_Id)</f>
        <v/>
      </c>
      <c r="Q362" s="34">
        <f>IF(AC362="","",IF(AD362=1,"C"&amp;TEXT(SUM(AD$6:AD362),"0000"),INDEX(Q$6:Q361,MATCH(AC362,AC$6:AC361,0))))</f>
        <v/>
      </c>
      <c r="R362" s="34">
        <f>IF(C362="","",IF(L362="☑ Oui","Annulée",IF(OR(E362="Vente directe",K362&lt;&gt;""),"Livrée",IF(J362&lt;&gt;"","Confirmée","En attente"))))</f>
        <v/>
      </c>
      <c r="S362" s="34">
        <f>IF(F362="","",IFERROR(VLOOKUP(F362,T_Produits,2,FALSE),""))</f>
        <v/>
      </c>
      <c r="T362" s="40">
        <f>IF(F362="","",IFERROR(1/(1/VLOOKUP(F362,T_Produits,3,FALSE)),""))</f>
        <v/>
      </c>
      <c r="U362" s="40">
        <f>IF(H362&lt;&gt;"",H362,T362)</f>
        <v/>
      </c>
      <c r="V362" s="40">
        <f>IF(OR(G362="",U362=""),"",G362*U362-N(I362))</f>
        <v/>
      </c>
      <c r="W362" s="39">
        <f>IF(D362="","",IFERROR(VALUE(MID(D362,LEN(D362)-3,3)),""))</f>
        <v/>
      </c>
      <c r="X362" s="33">
        <f>IF(W362="","",P362&amp;"|"&amp;W362)</f>
        <v/>
      </c>
      <c r="Y362" s="33">
        <f>IF(W362="","",IF(P362="À RENSEIGNER","GIC",P362)&amp;"-"&amp;TEXT(W362,"000"))</f>
        <v/>
      </c>
      <c r="Z362" s="33">
        <f>IF(X362="","",IFERROR(INDEX(Cl_nom,MATCH(X362,Cl_cle,0)),"(client introuvable)"))</f>
        <v/>
      </c>
      <c r="AA362" s="33">
        <f>IF(X362="","",IFERROR(INDEX(Cl_quartier,MATCH(X362,Cl_cle,0))&amp;"",""))</f>
        <v/>
      </c>
      <c r="AB362" s="45">
        <f>IF(R362&lt;&gt;"Livrée",0,IF(K362&lt;&gt;"",K362,C362))</f>
        <v/>
      </c>
      <c r="AC362" s="33">
        <f>IF(OR(C362="",W362=""),"",P362&amp;"|"&amp;W362&amp;"|"&amp;C362&amp;"|"&amp;E362)</f>
        <v/>
      </c>
      <c r="AD362" s="39">
        <f>IF(AC362="","",IF(COUNTIF(AC$6:AC362,AC362)=1,1,0))</f>
        <v/>
      </c>
      <c r="AE362" s="39">
        <f>IF(AB362=0,"",IF(COUNTIFS(X$6:X362,X362,AB$6:AB362,AB362)=1,1,0))</f>
        <v/>
      </c>
      <c r="AF362" s="34">
        <f>IF(C362="","",YEAR(C362-WEEKDAY(C362,2)+4)&amp;"-S"&amp;TEXT(INT((C362-DATE(YEAR(C362-WEEKDAY(C362,2)+4),1,3)+WEEKDAY(DATE(YEAR(C362-WEEKDAY(C362,2)+4),1,3),2)+5)/7),"00"))</f>
        <v/>
      </c>
    </row>
    <row r="363" ht="18" customHeight="1">
      <c r="A363" s="39" t="n">
        <v>358</v>
      </c>
      <c r="B363" s="33">
        <f>IF(C363="","",IF(P363="À RENSEIGNER","GIC",P363)&amp;"-C"&amp;TEXT(A363,"00000"))</f>
        <v/>
      </c>
      <c r="C363" s="32" t="n"/>
      <c r="D363" s="36" t="n"/>
      <c r="E363" s="36" t="n"/>
      <c r="F363" s="36" t="n"/>
      <c r="G363" s="42" t="n"/>
      <c r="H363" s="37" t="n"/>
      <c r="I363" s="37" t="n"/>
      <c r="J363" s="32" t="n"/>
      <c r="K363" s="32" t="n"/>
      <c r="L363" s="43" t="n"/>
      <c r="M363" s="36" t="n"/>
      <c r="N363" s="44" t="n"/>
      <c r="O363" s="36" t="n"/>
      <c r="P363" s="33">
        <f>IF(C363="","",Commercial_Id)</f>
        <v/>
      </c>
      <c r="Q363" s="34">
        <f>IF(AC363="","",IF(AD363=1,"C"&amp;TEXT(SUM(AD$6:AD363),"0000"),INDEX(Q$6:Q362,MATCH(AC363,AC$6:AC362,0))))</f>
        <v/>
      </c>
      <c r="R363" s="34">
        <f>IF(C363="","",IF(L363="☑ Oui","Annulée",IF(OR(E363="Vente directe",K363&lt;&gt;""),"Livrée",IF(J363&lt;&gt;"","Confirmée","En attente"))))</f>
        <v/>
      </c>
      <c r="S363" s="34">
        <f>IF(F363="","",IFERROR(VLOOKUP(F363,T_Produits,2,FALSE),""))</f>
        <v/>
      </c>
      <c r="T363" s="40">
        <f>IF(F363="","",IFERROR(1/(1/VLOOKUP(F363,T_Produits,3,FALSE)),""))</f>
        <v/>
      </c>
      <c r="U363" s="40">
        <f>IF(H363&lt;&gt;"",H363,T363)</f>
        <v/>
      </c>
      <c r="V363" s="40">
        <f>IF(OR(G363="",U363=""),"",G363*U363-N(I363))</f>
        <v/>
      </c>
      <c r="W363" s="39">
        <f>IF(D363="","",IFERROR(VALUE(MID(D363,LEN(D363)-3,3)),""))</f>
        <v/>
      </c>
      <c r="X363" s="33">
        <f>IF(W363="","",P363&amp;"|"&amp;W363)</f>
        <v/>
      </c>
      <c r="Y363" s="33">
        <f>IF(W363="","",IF(P363="À RENSEIGNER","GIC",P363)&amp;"-"&amp;TEXT(W363,"000"))</f>
        <v/>
      </c>
      <c r="Z363" s="33">
        <f>IF(X363="","",IFERROR(INDEX(Cl_nom,MATCH(X363,Cl_cle,0)),"(client introuvable)"))</f>
        <v/>
      </c>
      <c r="AA363" s="33">
        <f>IF(X363="","",IFERROR(INDEX(Cl_quartier,MATCH(X363,Cl_cle,0))&amp;"",""))</f>
        <v/>
      </c>
      <c r="AB363" s="45">
        <f>IF(R363&lt;&gt;"Livrée",0,IF(K363&lt;&gt;"",K363,C363))</f>
        <v/>
      </c>
      <c r="AC363" s="33">
        <f>IF(OR(C363="",W363=""),"",P363&amp;"|"&amp;W363&amp;"|"&amp;C363&amp;"|"&amp;E363)</f>
        <v/>
      </c>
      <c r="AD363" s="39">
        <f>IF(AC363="","",IF(COUNTIF(AC$6:AC363,AC363)=1,1,0))</f>
        <v/>
      </c>
      <c r="AE363" s="39">
        <f>IF(AB363=0,"",IF(COUNTIFS(X$6:X363,X363,AB$6:AB363,AB363)=1,1,0))</f>
        <v/>
      </c>
      <c r="AF363" s="34">
        <f>IF(C363="","",YEAR(C363-WEEKDAY(C363,2)+4)&amp;"-S"&amp;TEXT(INT((C363-DATE(YEAR(C363-WEEKDAY(C363,2)+4),1,3)+WEEKDAY(DATE(YEAR(C363-WEEKDAY(C363,2)+4),1,3),2)+5)/7),"00"))</f>
        <v/>
      </c>
    </row>
    <row r="364" ht="18" customHeight="1">
      <c r="A364" s="39" t="n">
        <v>359</v>
      </c>
      <c r="B364" s="33">
        <f>IF(C364="","",IF(P364="À RENSEIGNER","GIC",P364)&amp;"-C"&amp;TEXT(A364,"00000"))</f>
        <v/>
      </c>
      <c r="C364" s="32" t="n"/>
      <c r="D364" s="36" t="n"/>
      <c r="E364" s="36" t="n"/>
      <c r="F364" s="36" t="n"/>
      <c r="G364" s="42" t="n"/>
      <c r="H364" s="37" t="n"/>
      <c r="I364" s="37" t="n"/>
      <c r="J364" s="32" t="n"/>
      <c r="K364" s="32" t="n"/>
      <c r="L364" s="43" t="n"/>
      <c r="M364" s="36" t="n"/>
      <c r="N364" s="44" t="n"/>
      <c r="O364" s="36" t="n"/>
      <c r="P364" s="33">
        <f>IF(C364="","",Commercial_Id)</f>
        <v/>
      </c>
      <c r="Q364" s="34">
        <f>IF(AC364="","",IF(AD364=1,"C"&amp;TEXT(SUM(AD$6:AD364),"0000"),INDEX(Q$6:Q363,MATCH(AC364,AC$6:AC363,0))))</f>
        <v/>
      </c>
      <c r="R364" s="34">
        <f>IF(C364="","",IF(L364="☑ Oui","Annulée",IF(OR(E364="Vente directe",K364&lt;&gt;""),"Livrée",IF(J364&lt;&gt;"","Confirmée","En attente"))))</f>
        <v/>
      </c>
      <c r="S364" s="34">
        <f>IF(F364="","",IFERROR(VLOOKUP(F364,T_Produits,2,FALSE),""))</f>
        <v/>
      </c>
      <c r="T364" s="40">
        <f>IF(F364="","",IFERROR(1/(1/VLOOKUP(F364,T_Produits,3,FALSE)),""))</f>
        <v/>
      </c>
      <c r="U364" s="40">
        <f>IF(H364&lt;&gt;"",H364,T364)</f>
        <v/>
      </c>
      <c r="V364" s="40">
        <f>IF(OR(G364="",U364=""),"",G364*U364-N(I364))</f>
        <v/>
      </c>
      <c r="W364" s="39">
        <f>IF(D364="","",IFERROR(VALUE(MID(D364,LEN(D364)-3,3)),""))</f>
        <v/>
      </c>
      <c r="X364" s="33">
        <f>IF(W364="","",P364&amp;"|"&amp;W364)</f>
        <v/>
      </c>
      <c r="Y364" s="33">
        <f>IF(W364="","",IF(P364="À RENSEIGNER","GIC",P364)&amp;"-"&amp;TEXT(W364,"000"))</f>
        <v/>
      </c>
      <c r="Z364" s="33">
        <f>IF(X364="","",IFERROR(INDEX(Cl_nom,MATCH(X364,Cl_cle,0)),"(client introuvable)"))</f>
        <v/>
      </c>
      <c r="AA364" s="33">
        <f>IF(X364="","",IFERROR(INDEX(Cl_quartier,MATCH(X364,Cl_cle,0))&amp;"",""))</f>
        <v/>
      </c>
      <c r="AB364" s="45">
        <f>IF(R364&lt;&gt;"Livrée",0,IF(K364&lt;&gt;"",K364,C364))</f>
        <v/>
      </c>
      <c r="AC364" s="33">
        <f>IF(OR(C364="",W364=""),"",P364&amp;"|"&amp;W364&amp;"|"&amp;C364&amp;"|"&amp;E364)</f>
        <v/>
      </c>
      <c r="AD364" s="39">
        <f>IF(AC364="","",IF(COUNTIF(AC$6:AC364,AC364)=1,1,0))</f>
        <v/>
      </c>
      <c r="AE364" s="39">
        <f>IF(AB364=0,"",IF(COUNTIFS(X$6:X364,X364,AB$6:AB364,AB364)=1,1,0))</f>
        <v/>
      </c>
      <c r="AF364" s="34">
        <f>IF(C364="","",YEAR(C364-WEEKDAY(C364,2)+4)&amp;"-S"&amp;TEXT(INT((C364-DATE(YEAR(C364-WEEKDAY(C364,2)+4),1,3)+WEEKDAY(DATE(YEAR(C364-WEEKDAY(C364,2)+4),1,3),2)+5)/7),"00"))</f>
        <v/>
      </c>
    </row>
    <row r="365" ht="18" customHeight="1">
      <c r="A365" s="39" t="n">
        <v>360</v>
      </c>
      <c r="B365" s="33">
        <f>IF(C365="","",IF(P365="À RENSEIGNER","GIC",P365)&amp;"-C"&amp;TEXT(A365,"00000"))</f>
        <v/>
      </c>
      <c r="C365" s="32" t="n"/>
      <c r="D365" s="36" t="n"/>
      <c r="E365" s="36" t="n"/>
      <c r="F365" s="36" t="n"/>
      <c r="G365" s="42" t="n"/>
      <c r="H365" s="37" t="n"/>
      <c r="I365" s="37" t="n"/>
      <c r="J365" s="32" t="n"/>
      <c r="K365" s="32" t="n"/>
      <c r="L365" s="43" t="n"/>
      <c r="M365" s="36" t="n"/>
      <c r="N365" s="44" t="n"/>
      <c r="O365" s="36" t="n"/>
      <c r="P365" s="33">
        <f>IF(C365="","",Commercial_Id)</f>
        <v/>
      </c>
      <c r="Q365" s="34">
        <f>IF(AC365="","",IF(AD365=1,"C"&amp;TEXT(SUM(AD$6:AD365),"0000"),INDEX(Q$6:Q364,MATCH(AC365,AC$6:AC364,0))))</f>
        <v/>
      </c>
      <c r="R365" s="34">
        <f>IF(C365="","",IF(L365="☑ Oui","Annulée",IF(OR(E365="Vente directe",K365&lt;&gt;""),"Livrée",IF(J365&lt;&gt;"","Confirmée","En attente"))))</f>
        <v/>
      </c>
      <c r="S365" s="34">
        <f>IF(F365="","",IFERROR(VLOOKUP(F365,T_Produits,2,FALSE),""))</f>
        <v/>
      </c>
      <c r="T365" s="40">
        <f>IF(F365="","",IFERROR(1/(1/VLOOKUP(F365,T_Produits,3,FALSE)),""))</f>
        <v/>
      </c>
      <c r="U365" s="40">
        <f>IF(H365&lt;&gt;"",H365,T365)</f>
        <v/>
      </c>
      <c r="V365" s="40">
        <f>IF(OR(G365="",U365=""),"",G365*U365-N(I365))</f>
        <v/>
      </c>
      <c r="W365" s="39">
        <f>IF(D365="","",IFERROR(VALUE(MID(D365,LEN(D365)-3,3)),""))</f>
        <v/>
      </c>
      <c r="X365" s="33">
        <f>IF(W365="","",P365&amp;"|"&amp;W365)</f>
        <v/>
      </c>
      <c r="Y365" s="33">
        <f>IF(W365="","",IF(P365="À RENSEIGNER","GIC",P365)&amp;"-"&amp;TEXT(W365,"000"))</f>
        <v/>
      </c>
      <c r="Z365" s="33">
        <f>IF(X365="","",IFERROR(INDEX(Cl_nom,MATCH(X365,Cl_cle,0)),"(client introuvable)"))</f>
        <v/>
      </c>
      <c r="AA365" s="33">
        <f>IF(X365="","",IFERROR(INDEX(Cl_quartier,MATCH(X365,Cl_cle,0))&amp;"",""))</f>
        <v/>
      </c>
      <c r="AB365" s="45">
        <f>IF(R365&lt;&gt;"Livrée",0,IF(K365&lt;&gt;"",K365,C365))</f>
        <v/>
      </c>
      <c r="AC365" s="33">
        <f>IF(OR(C365="",W365=""),"",P365&amp;"|"&amp;W365&amp;"|"&amp;C365&amp;"|"&amp;E365)</f>
        <v/>
      </c>
      <c r="AD365" s="39">
        <f>IF(AC365="","",IF(COUNTIF(AC$6:AC365,AC365)=1,1,0))</f>
        <v/>
      </c>
      <c r="AE365" s="39">
        <f>IF(AB365=0,"",IF(COUNTIFS(X$6:X365,X365,AB$6:AB365,AB365)=1,1,0))</f>
        <v/>
      </c>
      <c r="AF365" s="34">
        <f>IF(C365="","",YEAR(C365-WEEKDAY(C365,2)+4)&amp;"-S"&amp;TEXT(INT((C365-DATE(YEAR(C365-WEEKDAY(C365,2)+4),1,3)+WEEKDAY(DATE(YEAR(C365-WEEKDAY(C365,2)+4),1,3),2)+5)/7),"00"))</f>
        <v/>
      </c>
    </row>
    <row r="366" ht="18" customHeight="1">
      <c r="A366" s="39" t="n">
        <v>361</v>
      </c>
      <c r="B366" s="33">
        <f>IF(C366="","",IF(P366="À RENSEIGNER","GIC",P366)&amp;"-C"&amp;TEXT(A366,"00000"))</f>
        <v/>
      </c>
      <c r="C366" s="32" t="n"/>
      <c r="D366" s="36" t="n"/>
      <c r="E366" s="36" t="n"/>
      <c r="F366" s="36" t="n"/>
      <c r="G366" s="42" t="n"/>
      <c r="H366" s="37" t="n"/>
      <c r="I366" s="37" t="n"/>
      <c r="J366" s="32" t="n"/>
      <c r="K366" s="32" t="n"/>
      <c r="L366" s="43" t="n"/>
      <c r="M366" s="36" t="n"/>
      <c r="N366" s="44" t="n"/>
      <c r="O366" s="36" t="n"/>
      <c r="P366" s="33">
        <f>IF(C366="","",Commercial_Id)</f>
        <v/>
      </c>
      <c r="Q366" s="34">
        <f>IF(AC366="","",IF(AD366=1,"C"&amp;TEXT(SUM(AD$6:AD366),"0000"),INDEX(Q$6:Q365,MATCH(AC366,AC$6:AC365,0))))</f>
        <v/>
      </c>
      <c r="R366" s="34">
        <f>IF(C366="","",IF(L366="☑ Oui","Annulée",IF(OR(E366="Vente directe",K366&lt;&gt;""),"Livrée",IF(J366&lt;&gt;"","Confirmée","En attente"))))</f>
        <v/>
      </c>
      <c r="S366" s="34">
        <f>IF(F366="","",IFERROR(VLOOKUP(F366,T_Produits,2,FALSE),""))</f>
        <v/>
      </c>
      <c r="T366" s="40">
        <f>IF(F366="","",IFERROR(1/(1/VLOOKUP(F366,T_Produits,3,FALSE)),""))</f>
        <v/>
      </c>
      <c r="U366" s="40">
        <f>IF(H366&lt;&gt;"",H366,T366)</f>
        <v/>
      </c>
      <c r="V366" s="40">
        <f>IF(OR(G366="",U366=""),"",G366*U366-N(I366))</f>
        <v/>
      </c>
      <c r="W366" s="39">
        <f>IF(D366="","",IFERROR(VALUE(MID(D366,LEN(D366)-3,3)),""))</f>
        <v/>
      </c>
      <c r="X366" s="33">
        <f>IF(W366="","",P366&amp;"|"&amp;W366)</f>
        <v/>
      </c>
      <c r="Y366" s="33">
        <f>IF(W366="","",IF(P366="À RENSEIGNER","GIC",P366)&amp;"-"&amp;TEXT(W366,"000"))</f>
        <v/>
      </c>
      <c r="Z366" s="33">
        <f>IF(X366="","",IFERROR(INDEX(Cl_nom,MATCH(X366,Cl_cle,0)),"(client introuvable)"))</f>
        <v/>
      </c>
      <c r="AA366" s="33">
        <f>IF(X366="","",IFERROR(INDEX(Cl_quartier,MATCH(X366,Cl_cle,0))&amp;"",""))</f>
        <v/>
      </c>
      <c r="AB366" s="45">
        <f>IF(R366&lt;&gt;"Livrée",0,IF(K366&lt;&gt;"",K366,C366))</f>
        <v/>
      </c>
      <c r="AC366" s="33">
        <f>IF(OR(C366="",W366=""),"",P366&amp;"|"&amp;W366&amp;"|"&amp;C366&amp;"|"&amp;E366)</f>
        <v/>
      </c>
      <c r="AD366" s="39">
        <f>IF(AC366="","",IF(COUNTIF(AC$6:AC366,AC366)=1,1,0))</f>
        <v/>
      </c>
      <c r="AE366" s="39">
        <f>IF(AB366=0,"",IF(COUNTIFS(X$6:X366,X366,AB$6:AB366,AB366)=1,1,0))</f>
        <v/>
      </c>
      <c r="AF366" s="34">
        <f>IF(C366="","",YEAR(C366-WEEKDAY(C366,2)+4)&amp;"-S"&amp;TEXT(INT((C366-DATE(YEAR(C366-WEEKDAY(C366,2)+4),1,3)+WEEKDAY(DATE(YEAR(C366-WEEKDAY(C366,2)+4),1,3),2)+5)/7),"00"))</f>
        <v/>
      </c>
    </row>
    <row r="367" ht="18" customHeight="1">
      <c r="A367" s="39" t="n">
        <v>362</v>
      </c>
      <c r="B367" s="33">
        <f>IF(C367="","",IF(P367="À RENSEIGNER","GIC",P367)&amp;"-C"&amp;TEXT(A367,"00000"))</f>
        <v/>
      </c>
      <c r="C367" s="32" t="n"/>
      <c r="D367" s="36" t="n"/>
      <c r="E367" s="36" t="n"/>
      <c r="F367" s="36" t="n"/>
      <c r="G367" s="42" t="n"/>
      <c r="H367" s="37" t="n"/>
      <c r="I367" s="37" t="n"/>
      <c r="J367" s="32" t="n"/>
      <c r="K367" s="32" t="n"/>
      <c r="L367" s="43" t="n"/>
      <c r="M367" s="36" t="n"/>
      <c r="N367" s="44" t="n"/>
      <c r="O367" s="36" t="n"/>
      <c r="P367" s="33">
        <f>IF(C367="","",Commercial_Id)</f>
        <v/>
      </c>
      <c r="Q367" s="34">
        <f>IF(AC367="","",IF(AD367=1,"C"&amp;TEXT(SUM(AD$6:AD367),"0000"),INDEX(Q$6:Q366,MATCH(AC367,AC$6:AC366,0))))</f>
        <v/>
      </c>
      <c r="R367" s="34">
        <f>IF(C367="","",IF(L367="☑ Oui","Annulée",IF(OR(E367="Vente directe",K367&lt;&gt;""),"Livrée",IF(J367&lt;&gt;"","Confirmée","En attente"))))</f>
        <v/>
      </c>
      <c r="S367" s="34">
        <f>IF(F367="","",IFERROR(VLOOKUP(F367,T_Produits,2,FALSE),""))</f>
        <v/>
      </c>
      <c r="T367" s="40">
        <f>IF(F367="","",IFERROR(1/(1/VLOOKUP(F367,T_Produits,3,FALSE)),""))</f>
        <v/>
      </c>
      <c r="U367" s="40">
        <f>IF(H367&lt;&gt;"",H367,T367)</f>
        <v/>
      </c>
      <c r="V367" s="40">
        <f>IF(OR(G367="",U367=""),"",G367*U367-N(I367))</f>
        <v/>
      </c>
      <c r="W367" s="39">
        <f>IF(D367="","",IFERROR(VALUE(MID(D367,LEN(D367)-3,3)),""))</f>
        <v/>
      </c>
      <c r="X367" s="33">
        <f>IF(W367="","",P367&amp;"|"&amp;W367)</f>
        <v/>
      </c>
      <c r="Y367" s="33">
        <f>IF(W367="","",IF(P367="À RENSEIGNER","GIC",P367)&amp;"-"&amp;TEXT(W367,"000"))</f>
        <v/>
      </c>
      <c r="Z367" s="33">
        <f>IF(X367="","",IFERROR(INDEX(Cl_nom,MATCH(X367,Cl_cle,0)),"(client introuvable)"))</f>
        <v/>
      </c>
      <c r="AA367" s="33">
        <f>IF(X367="","",IFERROR(INDEX(Cl_quartier,MATCH(X367,Cl_cle,0))&amp;"",""))</f>
        <v/>
      </c>
      <c r="AB367" s="45">
        <f>IF(R367&lt;&gt;"Livrée",0,IF(K367&lt;&gt;"",K367,C367))</f>
        <v/>
      </c>
      <c r="AC367" s="33">
        <f>IF(OR(C367="",W367=""),"",P367&amp;"|"&amp;W367&amp;"|"&amp;C367&amp;"|"&amp;E367)</f>
        <v/>
      </c>
      <c r="AD367" s="39">
        <f>IF(AC367="","",IF(COUNTIF(AC$6:AC367,AC367)=1,1,0))</f>
        <v/>
      </c>
      <c r="AE367" s="39">
        <f>IF(AB367=0,"",IF(COUNTIFS(X$6:X367,X367,AB$6:AB367,AB367)=1,1,0))</f>
        <v/>
      </c>
      <c r="AF367" s="34">
        <f>IF(C367="","",YEAR(C367-WEEKDAY(C367,2)+4)&amp;"-S"&amp;TEXT(INT((C367-DATE(YEAR(C367-WEEKDAY(C367,2)+4),1,3)+WEEKDAY(DATE(YEAR(C367-WEEKDAY(C367,2)+4),1,3),2)+5)/7),"00"))</f>
        <v/>
      </c>
    </row>
    <row r="368" ht="18" customHeight="1">
      <c r="A368" s="39" t="n">
        <v>363</v>
      </c>
      <c r="B368" s="33">
        <f>IF(C368="","",IF(P368="À RENSEIGNER","GIC",P368)&amp;"-C"&amp;TEXT(A368,"00000"))</f>
        <v/>
      </c>
      <c r="C368" s="32" t="n"/>
      <c r="D368" s="36" t="n"/>
      <c r="E368" s="36" t="n"/>
      <c r="F368" s="36" t="n"/>
      <c r="G368" s="42" t="n"/>
      <c r="H368" s="37" t="n"/>
      <c r="I368" s="37" t="n"/>
      <c r="J368" s="32" t="n"/>
      <c r="K368" s="32" t="n"/>
      <c r="L368" s="43" t="n"/>
      <c r="M368" s="36" t="n"/>
      <c r="N368" s="44" t="n"/>
      <c r="O368" s="36" t="n"/>
      <c r="P368" s="33">
        <f>IF(C368="","",Commercial_Id)</f>
        <v/>
      </c>
      <c r="Q368" s="34">
        <f>IF(AC368="","",IF(AD368=1,"C"&amp;TEXT(SUM(AD$6:AD368),"0000"),INDEX(Q$6:Q367,MATCH(AC368,AC$6:AC367,0))))</f>
        <v/>
      </c>
      <c r="R368" s="34">
        <f>IF(C368="","",IF(L368="☑ Oui","Annulée",IF(OR(E368="Vente directe",K368&lt;&gt;""),"Livrée",IF(J368&lt;&gt;"","Confirmée","En attente"))))</f>
        <v/>
      </c>
      <c r="S368" s="34">
        <f>IF(F368="","",IFERROR(VLOOKUP(F368,T_Produits,2,FALSE),""))</f>
        <v/>
      </c>
      <c r="T368" s="40">
        <f>IF(F368="","",IFERROR(1/(1/VLOOKUP(F368,T_Produits,3,FALSE)),""))</f>
        <v/>
      </c>
      <c r="U368" s="40">
        <f>IF(H368&lt;&gt;"",H368,T368)</f>
        <v/>
      </c>
      <c r="V368" s="40">
        <f>IF(OR(G368="",U368=""),"",G368*U368-N(I368))</f>
        <v/>
      </c>
      <c r="W368" s="39">
        <f>IF(D368="","",IFERROR(VALUE(MID(D368,LEN(D368)-3,3)),""))</f>
        <v/>
      </c>
      <c r="X368" s="33">
        <f>IF(W368="","",P368&amp;"|"&amp;W368)</f>
        <v/>
      </c>
      <c r="Y368" s="33">
        <f>IF(W368="","",IF(P368="À RENSEIGNER","GIC",P368)&amp;"-"&amp;TEXT(W368,"000"))</f>
        <v/>
      </c>
      <c r="Z368" s="33">
        <f>IF(X368="","",IFERROR(INDEX(Cl_nom,MATCH(X368,Cl_cle,0)),"(client introuvable)"))</f>
        <v/>
      </c>
      <c r="AA368" s="33">
        <f>IF(X368="","",IFERROR(INDEX(Cl_quartier,MATCH(X368,Cl_cle,0))&amp;"",""))</f>
        <v/>
      </c>
      <c r="AB368" s="45">
        <f>IF(R368&lt;&gt;"Livrée",0,IF(K368&lt;&gt;"",K368,C368))</f>
        <v/>
      </c>
      <c r="AC368" s="33">
        <f>IF(OR(C368="",W368=""),"",P368&amp;"|"&amp;W368&amp;"|"&amp;C368&amp;"|"&amp;E368)</f>
        <v/>
      </c>
      <c r="AD368" s="39">
        <f>IF(AC368="","",IF(COUNTIF(AC$6:AC368,AC368)=1,1,0))</f>
        <v/>
      </c>
      <c r="AE368" s="39">
        <f>IF(AB368=0,"",IF(COUNTIFS(X$6:X368,X368,AB$6:AB368,AB368)=1,1,0))</f>
        <v/>
      </c>
      <c r="AF368" s="34">
        <f>IF(C368="","",YEAR(C368-WEEKDAY(C368,2)+4)&amp;"-S"&amp;TEXT(INT((C368-DATE(YEAR(C368-WEEKDAY(C368,2)+4),1,3)+WEEKDAY(DATE(YEAR(C368-WEEKDAY(C368,2)+4),1,3),2)+5)/7),"00"))</f>
        <v/>
      </c>
    </row>
    <row r="369" ht="18" customHeight="1">
      <c r="A369" s="39" t="n">
        <v>364</v>
      </c>
      <c r="B369" s="33">
        <f>IF(C369="","",IF(P369="À RENSEIGNER","GIC",P369)&amp;"-C"&amp;TEXT(A369,"00000"))</f>
        <v/>
      </c>
      <c r="C369" s="32" t="n"/>
      <c r="D369" s="36" t="n"/>
      <c r="E369" s="36" t="n"/>
      <c r="F369" s="36" t="n"/>
      <c r="G369" s="42" t="n"/>
      <c r="H369" s="37" t="n"/>
      <c r="I369" s="37" t="n"/>
      <c r="J369" s="32" t="n"/>
      <c r="K369" s="32" t="n"/>
      <c r="L369" s="43" t="n"/>
      <c r="M369" s="36" t="n"/>
      <c r="N369" s="44" t="n"/>
      <c r="O369" s="36" t="n"/>
      <c r="P369" s="33">
        <f>IF(C369="","",Commercial_Id)</f>
        <v/>
      </c>
      <c r="Q369" s="34">
        <f>IF(AC369="","",IF(AD369=1,"C"&amp;TEXT(SUM(AD$6:AD369),"0000"),INDEX(Q$6:Q368,MATCH(AC369,AC$6:AC368,0))))</f>
        <v/>
      </c>
      <c r="R369" s="34">
        <f>IF(C369="","",IF(L369="☑ Oui","Annulée",IF(OR(E369="Vente directe",K369&lt;&gt;""),"Livrée",IF(J369&lt;&gt;"","Confirmée","En attente"))))</f>
        <v/>
      </c>
      <c r="S369" s="34">
        <f>IF(F369="","",IFERROR(VLOOKUP(F369,T_Produits,2,FALSE),""))</f>
        <v/>
      </c>
      <c r="T369" s="40">
        <f>IF(F369="","",IFERROR(1/(1/VLOOKUP(F369,T_Produits,3,FALSE)),""))</f>
        <v/>
      </c>
      <c r="U369" s="40">
        <f>IF(H369&lt;&gt;"",H369,T369)</f>
        <v/>
      </c>
      <c r="V369" s="40">
        <f>IF(OR(G369="",U369=""),"",G369*U369-N(I369))</f>
        <v/>
      </c>
      <c r="W369" s="39">
        <f>IF(D369="","",IFERROR(VALUE(MID(D369,LEN(D369)-3,3)),""))</f>
        <v/>
      </c>
      <c r="X369" s="33">
        <f>IF(W369="","",P369&amp;"|"&amp;W369)</f>
        <v/>
      </c>
      <c r="Y369" s="33">
        <f>IF(W369="","",IF(P369="À RENSEIGNER","GIC",P369)&amp;"-"&amp;TEXT(W369,"000"))</f>
        <v/>
      </c>
      <c r="Z369" s="33">
        <f>IF(X369="","",IFERROR(INDEX(Cl_nom,MATCH(X369,Cl_cle,0)),"(client introuvable)"))</f>
        <v/>
      </c>
      <c r="AA369" s="33">
        <f>IF(X369="","",IFERROR(INDEX(Cl_quartier,MATCH(X369,Cl_cle,0))&amp;"",""))</f>
        <v/>
      </c>
      <c r="AB369" s="45">
        <f>IF(R369&lt;&gt;"Livrée",0,IF(K369&lt;&gt;"",K369,C369))</f>
        <v/>
      </c>
      <c r="AC369" s="33">
        <f>IF(OR(C369="",W369=""),"",P369&amp;"|"&amp;W369&amp;"|"&amp;C369&amp;"|"&amp;E369)</f>
        <v/>
      </c>
      <c r="AD369" s="39">
        <f>IF(AC369="","",IF(COUNTIF(AC$6:AC369,AC369)=1,1,0))</f>
        <v/>
      </c>
      <c r="AE369" s="39">
        <f>IF(AB369=0,"",IF(COUNTIFS(X$6:X369,X369,AB$6:AB369,AB369)=1,1,0))</f>
        <v/>
      </c>
      <c r="AF369" s="34">
        <f>IF(C369="","",YEAR(C369-WEEKDAY(C369,2)+4)&amp;"-S"&amp;TEXT(INT((C369-DATE(YEAR(C369-WEEKDAY(C369,2)+4),1,3)+WEEKDAY(DATE(YEAR(C369-WEEKDAY(C369,2)+4),1,3),2)+5)/7),"00"))</f>
        <v/>
      </c>
    </row>
    <row r="370" ht="18" customHeight="1">
      <c r="A370" s="39" t="n">
        <v>365</v>
      </c>
      <c r="B370" s="33">
        <f>IF(C370="","",IF(P370="À RENSEIGNER","GIC",P370)&amp;"-C"&amp;TEXT(A370,"00000"))</f>
        <v/>
      </c>
      <c r="C370" s="32" t="n"/>
      <c r="D370" s="36" t="n"/>
      <c r="E370" s="36" t="n"/>
      <c r="F370" s="36" t="n"/>
      <c r="G370" s="42" t="n"/>
      <c r="H370" s="37" t="n"/>
      <c r="I370" s="37" t="n"/>
      <c r="J370" s="32" t="n"/>
      <c r="K370" s="32" t="n"/>
      <c r="L370" s="43" t="n"/>
      <c r="M370" s="36" t="n"/>
      <c r="N370" s="44" t="n"/>
      <c r="O370" s="36" t="n"/>
      <c r="P370" s="33">
        <f>IF(C370="","",Commercial_Id)</f>
        <v/>
      </c>
      <c r="Q370" s="34">
        <f>IF(AC370="","",IF(AD370=1,"C"&amp;TEXT(SUM(AD$6:AD370),"0000"),INDEX(Q$6:Q369,MATCH(AC370,AC$6:AC369,0))))</f>
        <v/>
      </c>
      <c r="R370" s="34">
        <f>IF(C370="","",IF(L370="☑ Oui","Annulée",IF(OR(E370="Vente directe",K370&lt;&gt;""),"Livrée",IF(J370&lt;&gt;"","Confirmée","En attente"))))</f>
        <v/>
      </c>
      <c r="S370" s="34">
        <f>IF(F370="","",IFERROR(VLOOKUP(F370,T_Produits,2,FALSE),""))</f>
        <v/>
      </c>
      <c r="T370" s="40">
        <f>IF(F370="","",IFERROR(1/(1/VLOOKUP(F370,T_Produits,3,FALSE)),""))</f>
        <v/>
      </c>
      <c r="U370" s="40">
        <f>IF(H370&lt;&gt;"",H370,T370)</f>
        <v/>
      </c>
      <c r="V370" s="40">
        <f>IF(OR(G370="",U370=""),"",G370*U370-N(I370))</f>
        <v/>
      </c>
      <c r="W370" s="39">
        <f>IF(D370="","",IFERROR(VALUE(MID(D370,LEN(D370)-3,3)),""))</f>
        <v/>
      </c>
      <c r="X370" s="33">
        <f>IF(W370="","",P370&amp;"|"&amp;W370)</f>
        <v/>
      </c>
      <c r="Y370" s="33">
        <f>IF(W370="","",IF(P370="À RENSEIGNER","GIC",P370)&amp;"-"&amp;TEXT(W370,"000"))</f>
        <v/>
      </c>
      <c r="Z370" s="33">
        <f>IF(X370="","",IFERROR(INDEX(Cl_nom,MATCH(X370,Cl_cle,0)),"(client introuvable)"))</f>
        <v/>
      </c>
      <c r="AA370" s="33">
        <f>IF(X370="","",IFERROR(INDEX(Cl_quartier,MATCH(X370,Cl_cle,0))&amp;"",""))</f>
        <v/>
      </c>
      <c r="AB370" s="45">
        <f>IF(R370&lt;&gt;"Livrée",0,IF(K370&lt;&gt;"",K370,C370))</f>
        <v/>
      </c>
      <c r="AC370" s="33">
        <f>IF(OR(C370="",W370=""),"",P370&amp;"|"&amp;W370&amp;"|"&amp;C370&amp;"|"&amp;E370)</f>
        <v/>
      </c>
      <c r="AD370" s="39">
        <f>IF(AC370="","",IF(COUNTIF(AC$6:AC370,AC370)=1,1,0))</f>
        <v/>
      </c>
      <c r="AE370" s="39">
        <f>IF(AB370=0,"",IF(COUNTIFS(X$6:X370,X370,AB$6:AB370,AB370)=1,1,0))</f>
        <v/>
      </c>
      <c r="AF370" s="34">
        <f>IF(C370="","",YEAR(C370-WEEKDAY(C370,2)+4)&amp;"-S"&amp;TEXT(INT((C370-DATE(YEAR(C370-WEEKDAY(C370,2)+4),1,3)+WEEKDAY(DATE(YEAR(C370-WEEKDAY(C370,2)+4),1,3),2)+5)/7),"00"))</f>
        <v/>
      </c>
    </row>
    <row r="371" ht="18" customHeight="1">
      <c r="A371" s="39" t="n">
        <v>366</v>
      </c>
      <c r="B371" s="33">
        <f>IF(C371="","",IF(P371="À RENSEIGNER","GIC",P371)&amp;"-C"&amp;TEXT(A371,"00000"))</f>
        <v/>
      </c>
      <c r="C371" s="32" t="n"/>
      <c r="D371" s="36" t="n"/>
      <c r="E371" s="36" t="n"/>
      <c r="F371" s="36" t="n"/>
      <c r="G371" s="42" t="n"/>
      <c r="H371" s="37" t="n"/>
      <c r="I371" s="37" t="n"/>
      <c r="J371" s="32" t="n"/>
      <c r="K371" s="32" t="n"/>
      <c r="L371" s="43" t="n"/>
      <c r="M371" s="36" t="n"/>
      <c r="N371" s="44" t="n"/>
      <c r="O371" s="36" t="n"/>
      <c r="P371" s="33">
        <f>IF(C371="","",Commercial_Id)</f>
        <v/>
      </c>
      <c r="Q371" s="34">
        <f>IF(AC371="","",IF(AD371=1,"C"&amp;TEXT(SUM(AD$6:AD371),"0000"),INDEX(Q$6:Q370,MATCH(AC371,AC$6:AC370,0))))</f>
        <v/>
      </c>
      <c r="R371" s="34">
        <f>IF(C371="","",IF(L371="☑ Oui","Annulée",IF(OR(E371="Vente directe",K371&lt;&gt;""),"Livrée",IF(J371&lt;&gt;"","Confirmée","En attente"))))</f>
        <v/>
      </c>
      <c r="S371" s="34">
        <f>IF(F371="","",IFERROR(VLOOKUP(F371,T_Produits,2,FALSE),""))</f>
        <v/>
      </c>
      <c r="T371" s="40">
        <f>IF(F371="","",IFERROR(1/(1/VLOOKUP(F371,T_Produits,3,FALSE)),""))</f>
        <v/>
      </c>
      <c r="U371" s="40">
        <f>IF(H371&lt;&gt;"",H371,T371)</f>
        <v/>
      </c>
      <c r="V371" s="40">
        <f>IF(OR(G371="",U371=""),"",G371*U371-N(I371))</f>
        <v/>
      </c>
      <c r="W371" s="39">
        <f>IF(D371="","",IFERROR(VALUE(MID(D371,LEN(D371)-3,3)),""))</f>
        <v/>
      </c>
      <c r="X371" s="33">
        <f>IF(W371="","",P371&amp;"|"&amp;W371)</f>
        <v/>
      </c>
      <c r="Y371" s="33">
        <f>IF(W371="","",IF(P371="À RENSEIGNER","GIC",P371)&amp;"-"&amp;TEXT(W371,"000"))</f>
        <v/>
      </c>
      <c r="Z371" s="33">
        <f>IF(X371="","",IFERROR(INDEX(Cl_nom,MATCH(X371,Cl_cle,0)),"(client introuvable)"))</f>
        <v/>
      </c>
      <c r="AA371" s="33">
        <f>IF(X371="","",IFERROR(INDEX(Cl_quartier,MATCH(X371,Cl_cle,0))&amp;"",""))</f>
        <v/>
      </c>
      <c r="AB371" s="45">
        <f>IF(R371&lt;&gt;"Livrée",0,IF(K371&lt;&gt;"",K371,C371))</f>
        <v/>
      </c>
      <c r="AC371" s="33">
        <f>IF(OR(C371="",W371=""),"",P371&amp;"|"&amp;W371&amp;"|"&amp;C371&amp;"|"&amp;E371)</f>
        <v/>
      </c>
      <c r="AD371" s="39">
        <f>IF(AC371="","",IF(COUNTIF(AC$6:AC371,AC371)=1,1,0))</f>
        <v/>
      </c>
      <c r="AE371" s="39">
        <f>IF(AB371=0,"",IF(COUNTIFS(X$6:X371,X371,AB$6:AB371,AB371)=1,1,0))</f>
        <v/>
      </c>
      <c r="AF371" s="34">
        <f>IF(C371="","",YEAR(C371-WEEKDAY(C371,2)+4)&amp;"-S"&amp;TEXT(INT((C371-DATE(YEAR(C371-WEEKDAY(C371,2)+4),1,3)+WEEKDAY(DATE(YEAR(C371-WEEKDAY(C371,2)+4),1,3),2)+5)/7),"00"))</f>
        <v/>
      </c>
    </row>
    <row r="372" ht="18" customHeight="1">
      <c r="A372" s="39" t="n">
        <v>367</v>
      </c>
      <c r="B372" s="33">
        <f>IF(C372="","",IF(P372="À RENSEIGNER","GIC",P372)&amp;"-C"&amp;TEXT(A372,"00000"))</f>
        <v/>
      </c>
      <c r="C372" s="32" t="n"/>
      <c r="D372" s="36" t="n"/>
      <c r="E372" s="36" t="n"/>
      <c r="F372" s="36" t="n"/>
      <c r="G372" s="42" t="n"/>
      <c r="H372" s="37" t="n"/>
      <c r="I372" s="37" t="n"/>
      <c r="J372" s="32" t="n"/>
      <c r="K372" s="32" t="n"/>
      <c r="L372" s="43" t="n"/>
      <c r="M372" s="36" t="n"/>
      <c r="N372" s="44" t="n"/>
      <c r="O372" s="36" t="n"/>
      <c r="P372" s="33">
        <f>IF(C372="","",Commercial_Id)</f>
        <v/>
      </c>
      <c r="Q372" s="34">
        <f>IF(AC372="","",IF(AD372=1,"C"&amp;TEXT(SUM(AD$6:AD372),"0000"),INDEX(Q$6:Q371,MATCH(AC372,AC$6:AC371,0))))</f>
        <v/>
      </c>
      <c r="R372" s="34">
        <f>IF(C372="","",IF(L372="☑ Oui","Annulée",IF(OR(E372="Vente directe",K372&lt;&gt;""),"Livrée",IF(J372&lt;&gt;"","Confirmée","En attente"))))</f>
        <v/>
      </c>
      <c r="S372" s="34">
        <f>IF(F372="","",IFERROR(VLOOKUP(F372,T_Produits,2,FALSE),""))</f>
        <v/>
      </c>
      <c r="T372" s="40">
        <f>IF(F372="","",IFERROR(1/(1/VLOOKUP(F372,T_Produits,3,FALSE)),""))</f>
        <v/>
      </c>
      <c r="U372" s="40">
        <f>IF(H372&lt;&gt;"",H372,T372)</f>
        <v/>
      </c>
      <c r="V372" s="40">
        <f>IF(OR(G372="",U372=""),"",G372*U372-N(I372))</f>
        <v/>
      </c>
      <c r="W372" s="39">
        <f>IF(D372="","",IFERROR(VALUE(MID(D372,LEN(D372)-3,3)),""))</f>
        <v/>
      </c>
      <c r="X372" s="33">
        <f>IF(W372="","",P372&amp;"|"&amp;W372)</f>
        <v/>
      </c>
      <c r="Y372" s="33">
        <f>IF(W372="","",IF(P372="À RENSEIGNER","GIC",P372)&amp;"-"&amp;TEXT(W372,"000"))</f>
        <v/>
      </c>
      <c r="Z372" s="33">
        <f>IF(X372="","",IFERROR(INDEX(Cl_nom,MATCH(X372,Cl_cle,0)),"(client introuvable)"))</f>
        <v/>
      </c>
      <c r="AA372" s="33">
        <f>IF(X372="","",IFERROR(INDEX(Cl_quartier,MATCH(X372,Cl_cle,0))&amp;"",""))</f>
        <v/>
      </c>
      <c r="AB372" s="45">
        <f>IF(R372&lt;&gt;"Livrée",0,IF(K372&lt;&gt;"",K372,C372))</f>
        <v/>
      </c>
      <c r="AC372" s="33">
        <f>IF(OR(C372="",W372=""),"",P372&amp;"|"&amp;W372&amp;"|"&amp;C372&amp;"|"&amp;E372)</f>
        <v/>
      </c>
      <c r="AD372" s="39">
        <f>IF(AC372="","",IF(COUNTIF(AC$6:AC372,AC372)=1,1,0))</f>
        <v/>
      </c>
      <c r="AE372" s="39">
        <f>IF(AB372=0,"",IF(COUNTIFS(X$6:X372,X372,AB$6:AB372,AB372)=1,1,0))</f>
        <v/>
      </c>
      <c r="AF372" s="34">
        <f>IF(C372="","",YEAR(C372-WEEKDAY(C372,2)+4)&amp;"-S"&amp;TEXT(INT((C372-DATE(YEAR(C372-WEEKDAY(C372,2)+4),1,3)+WEEKDAY(DATE(YEAR(C372-WEEKDAY(C372,2)+4),1,3),2)+5)/7),"00"))</f>
        <v/>
      </c>
    </row>
    <row r="373" ht="18" customHeight="1">
      <c r="A373" s="39" t="n">
        <v>368</v>
      </c>
      <c r="B373" s="33">
        <f>IF(C373="","",IF(P373="À RENSEIGNER","GIC",P373)&amp;"-C"&amp;TEXT(A373,"00000"))</f>
        <v/>
      </c>
      <c r="C373" s="32" t="n"/>
      <c r="D373" s="36" t="n"/>
      <c r="E373" s="36" t="n"/>
      <c r="F373" s="36" t="n"/>
      <c r="G373" s="42" t="n"/>
      <c r="H373" s="37" t="n"/>
      <c r="I373" s="37" t="n"/>
      <c r="J373" s="32" t="n"/>
      <c r="K373" s="32" t="n"/>
      <c r="L373" s="43" t="n"/>
      <c r="M373" s="36" t="n"/>
      <c r="N373" s="44" t="n"/>
      <c r="O373" s="36" t="n"/>
      <c r="P373" s="33">
        <f>IF(C373="","",Commercial_Id)</f>
        <v/>
      </c>
      <c r="Q373" s="34">
        <f>IF(AC373="","",IF(AD373=1,"C"&amp;TEXT(SUM(AD$6:AD373),"0000"),INDEX(Q$6:Q372,MATCH(AC373,AC$6:AC372,0))))</f>
        <v/>
      </c>
      <c r="R373" s="34">
        <f>IF(C373="","",IF(L373="☑ Oui","Annulée",IF(OR(E373="Vente directe",K373&lt;&gt;""),"Livrée",IF(J373&lt;&gt;"","Confirmée","En attente"))))</f>
        <v/>
      </c>
      <c r="S373" s="34">
        <f>IF(F373="","",IFERROR(VLOOKUP(F373,T_Produits,2,FALSE),""))</f>
        <v/>
      </c>
      <c r="T373" s="40">
        <f>IF(F373="","",IFERROR(1/(1/VLOOKUP(F373,T_Produits,3,FALSE)),""))</f>
        <v/>
      </c>
      <c r="U373" s="40">
        <f>IF(H373&lt;&gt;"",H373,T373)</f>
        <v/>
      </c>
      <c r="V373" s="40">
        <f>IF(OR(G373="",U373=""),"",G373*U373-N(I373))</f>
        <v/>
      </c>
      <c r="W373" s="39">
        <f>IF(D373="","",IFERROR(VALUE(MID(D373,LEN(D373)-3,3)),""))</f>
        <v/>
      </c>
      <c r="X373" s="33">
        <f>IF(W373="","",P373&amp;"|"&amp;W373)</f>
        <v/>
      </c>
      <c r="Y373" s="33">
        <f>IF(W373="","",IF(P373="À RENSEIGNER","GIC",P373)&amp;"-"&amp;TEXT(W373,"000"))</f>
        <v/>
      </c>
      <c r="Z373" s="33">
        <f>IF(X373="","",IFERROR(INDEX(Cl_nom,MATCH(X373,Cl_cle,0)),"(client introuvable)"))</f>
        <v/>
      </c>
      <c r="AA373" s="33">
        <f>IF(X373="","",IFERROR(INDEX(Cl_quartier,MATCH(X373,Cl_cle,0))&amp;"",""))</f>
        <v/>
      </c>
      <c r="AB373" s="45">
        <f>IF(R373&lt;&gt;"Livrée",0,IF(K373&lt;&gt;"",K373,C373))</f>
        <v/>
      </c>
      <c r="AC373" s="33">
        <f>IF(OR(C373="",W373=""),"",P373&amp;"|"&amp;W373&amp;"|"&amp;C373&amp;"|"&amp;E373)</f>
        <v/>
      </c>
      <c r="AD373" s="39">
        <f>IF(AC373="","",IF(COUNTIF(AC$6:AC373,AC373)=1,1,0))</f>
        <v/>
      </c>
      <c r="AE373" s="39">
        <f>IF(AB373=0,"",IF(COUNTIFS(X$6:X373,X373,AB$6:AB373,AB373)=1,1,0))</f>
        <v/>
      </c>
      <c r="AF373" s="34">
        <f>IF(C373="","",YEAR(C373-WEEKDAY(C373,2)+4)&amp;"-S"&amp;TEXT(INT((C373-DATE(YEAR(C373-WEEKDAY(C373,2)+4),1,3)+WEEKDAY(DATE(YEAR(C373-WEEKDAY(C373,2)+4),1,3),2)+5)/7),"00"))</f>
        <v/>
      </c>
    </row>
    <row r="374" ht="18" customHeight="1">
      <c r="A374" s="39" t="n">
        <v>369</v>
      </c>
      <c r="B374" s="33">
        <f>IF(C374="","",IF(P374="À RENSEIGNER","GIC",P374)&amp;"-C"&amp;TEXT(A374,"00000"))</f>
        <v/>
      </c>
      <c r="C374" s="32" t="n"/>
      <c r="D374" s="36" t="n"/>
      <c r="E374" s="36" t="n"/>
      <c r="F374" s="36" t="n"/>
      <c r="G374" s="42" t="n"/>
      <c r="H374" s="37" t="n"/>
      <c r="I374" s="37" t="n"/>
      <c r="J374" s="32" t="n"/>
      <c r="K374" s="32" t="n"/>
      <c r="L374" s="43" t="n"/>
      <c r="M374" s="36" t="n"/>
      <c r="N374" s="44" t="n"/>
      <c r="O374" s="36" t="n"/>
      <c r="P374" s="33">
        <f>IF(C374="","",Commercial_Id)</f>
        <v/>
      </c>
      <c r="Q374" s="34">
        <f>IF(AC374="","",IF(AD374=1,"C"&amp;TEXT(SUM(AD$6:AD374),"0000"),INDEX(Q$6:Q373,MATCH(AC374,AC$6:AC373,0))))</f>
        <v/>
      </c>
      <c r="R374" s="34">
        <f>IF(C374="","",IF(L374="☑ Oui","Annulée",IF(OR(E374="Vente directe",K374&lt;&gt;""),"Livrée",IF(J374&lt;&gt;"","Confirmée","En attente"))))</f>
        <v/>
      </c>
      <c r="S374" s="34">
        <f>IF(F374="","",IFERROR(VLOOKUP(F374,T_Produits,2,FALSE),""))</f>
        <v/>
      </c>
      <c r="T374" s="40">
        <f>IF(F374="","",IFERROR(1/(1/VLOOKUP(F374,T_Produits,3,FALSE)),""))</f>
        <v/>
      </c>
      <c r="U374" s="40">
        <f>IF(H374&lt;&gt;"",H374,T374)</f>
        <v/>
      </c>
      <c r="V374" s="40">
        <f>IF(OR(G374="",U374=""),"",G374*U374-N(I374))</f>
        <v/>
      </c>
      <c r="W374" s="39">
        <f>IF(D374="","",IFERROR(VALUE(MID(D374,LEN(D374)-3,3)),""))</f>
        <v/>
      </c>
      <c r="X374" s="33">
        <f>IF(W374="","",P374&amp;"|"&amp;W374)</f>
        <v/>
      </c>
      <c r="Y374" s="33">
        <f>IF(W374="","",IF(P374="À RENSEIGNER","GIC",P374)&amp;"-"&amp;TEXT(W374,"000"))</f>
        <v/>
      </c>
      <c r="Z374" s="33">
        <f>IF(X374="","",IFERROR(INDEX(Cl_nom,MATCH(X374,Cl_cle,0)),"(client introuvable)"))</f>
        <v/>
      </c>
      <c r="AA374" s="33">
        <f>IF(X374="","",IFERROR(INDEX(Cl_quartier,MATCH(X374,Cl_cle,0))&amp;"",""))</f>
        <v/>
      </c>
      <c r="AB374" s="45">
        <f>IF(R374&lt;&gt;"Livrée",0,IF(K374&lt;&gt;"",K374,C374))</f>
        <v/>
      </c>
      <c r="AC374" s="33">
        <f>IF(OR(C374="",W374=""),"",P374&amp;"|"&amp;W374&amp;"|"&amp;C374&amp;"|"&amp;E374)</f>
        <v/>
      </c>
      <c r="AD374" s="39">
        <f>IF(AC374="","",IF(COUNTIF(AC$6:AC374,AC374)=1,1,0))</f>
        <v/>
      </c>
      <c r="AE374" s="39">
        <f>IF(AB374=0,"",IF(COUNTIFS(X$6:X374,X374,AB$6:AB374,AB374)=1,1,0))</f>
        <v/>
      </c>
      <c r="AF374" s="34">
        <f>IF(C374="","",YEAR(C374-WEEKDAY(C374,2)+4)&amp;"-S"&amp;TEXT(INT((C374-DATE(YEAR(C374-WEEKDAY(C374,2)+4),1,3)+WEEKDAY(DATE(YEAR(C374-WEEKDAY(C374,2)+4),1,3),2)+5)/7),"00"))</f>
        <v/>
      </c>
    </row>
    <row r="375" ht="18" customHeight="1">
      <c r="A375" s="39" t="n">
        <v>370</v>
      </c>
      <c r="B375" s="33">
        <f>IF(C375="","",IF(P375="À RENSEIGNER","GIC",P375)&amp;"-C"&amp;TEXT(A375,"00000"))</f>
        <v/>
      </c>
      <c r="C375" s="32" t="n"/>
      <c r="D375" s="36" t="n"/>
      <c r="E375" s="36" t="n"/>
      <c r="F375" s="36" t="n"/>
      <c r="G375" s="42" t="n"/>
      <c r="H375" s="37" t="n"/>
      <c r="I375" s="37" t="n"/>
      <c r="J375" s="32" t="n"/>
      <c r="K375" s="32" t="n"/>
      <c r="L375" s="43" t="n"/>
      <c r="M375" s="36" t="n"/>
      <c r="N375" s="44" t="n"/>
      <c r="O375" s="36" t="n"/>
      <c r="P375" s="33">
        <f>IF(C375="","",Commercial_Id)</f>
        <v/>
      </c>
      <c r="Q375" s="34">
        <f>IF(AC375="","",IF(AD375=1,"C"&amp;TEXT(SUM(AD$6:AD375),"0000"),INDEX(Q$6:Q374,MATCH(AC375,AC$6:AC374,0))))</f>
        <v/>
      </c>
      <c r="R375" s="34">
        <f>IF(C375="","",IF(L375="☑ Oui","Annulée",IF(OR(E375="Vente directe",K375&lt;&gt;""),"Livrée",IF(J375&lt;&gt;"","Confirmée","En attente"))))</f>
        <v/>
      </c>
      <c r="S375" s="34">
        <f>IF(F375="","",IFERROR(VLOOKUP(F375,T_Produits,2,FALSE),""))</f>
        <v/>
      </c>
      <c r="T375" s="40">
        <f>IF(F375="","",IFERROR(1/(1/VLOOKUP(F375,T_Produits,3,FALSE)),""))</f>
        <v/>
      </c>
      <c r="U375" s="40">
        <f>IF(H375&lt;&gt;"",H375,T375)</f>
        <v/>
      </c>
      <c r="V375" s="40">
        <f>IF(OR(G375="",U375=""),"",G375*U375-N(I375))</f>
        <v/>
      </c>
      <c r="W375" s="39">
        <f>IF(D375="","",IFERROR(VALUE(MID(D375,LEN(D375)-3,3)),""))</f>
        <v/>
      </c>
      <c r="X375" s="33">
        <f>IF(W375="","",P375&amp;"|"&amp;W375)</f>
        <v/>
      </c>
      <c r="Y375" s="33">
        <f>IF(W375="","",IF(P375="À RENSEIGNER","GIC",P375)&amp;"-"&amp;TEXT(W375,"000"))</f>
        <v/>
      </c>
      <c r="Z375" s="33">
        <f>IF(X375="","",IFERROR(INDEX(Cl_nom,MATCH(X375,Cl_cle,0)),"(client introuvable)"))</f>
        <v/>
      </c>
      <c r="AA375" s="33">
        <f>IF(X375="","",IFERROR(INDEX(Cl_quartier,MATCH(X375,Cl_cle,0))&amp;"",""))</f>
        <v/>
      </c>
      <c r="AB375" s="45">
        <f>IF(R375&lt;&gt;"Livrée",0,IF(K375&lt;&gt;"",K375,C375))</f>
        <v/>
      </c>
      <c r="AC375" s="33">
        <f>IF(OR(C375="",W375=""),"",P375&amp;"|"&amp;W375&amp;"|"&amp;C375&amp;"|"&amp;E375)</f>
        <v/>
      </c>
      <c r="AD375" s="39">
        <f>IF(AC375="","",IF(COUNTIF(AC$6:AC375,AC375)=1,1,0))</f>
        <v/>
      </c>
      <c r="AE375" s="39">
        <f>IF(AB375=0,"",IF(COUNTIFS(X$6:X375,X375,AB$6:AB375,AB375)=1,1,0))</f>
        <v/>
      </c>
      <c r="AF375" s="34">
        <f>IF(C375="","",YEAR(C375-WEEKDAY(C375,2)+4)&amp;"-S"&amp;TEXT(INT((C375-DATE(YEAR(C375-WEEKDAY(C375,2)+4),1,3)+WEEKDAY(DATE(YEAR(C375-WEEKDAY(C375,2)+4),1,3),2)+5)/7),"00"))</f>
        <v/>
      </c>
    </row>
    <row r="376" ht="18" customHeight="1">
      <c r="A376" s="39" t="n">
        <v>371</v>
      </c>
      <c r="B376" s="33">
        <f>IF(C376="","",IF(P376="À RENSEIGNER","GIC",P376)&amp;"-C"&amp;TEXT(A376,"00000"))</f>
        <v/>
      </c>
      <c r="C376" s="32" t="n"/>
      <c r="D376" s="36" t="n"/>
      <c r="E376" s="36" t="n"/>
      <c r="F376" s="36" t="n"/>
      <c r="G376" s="42" t="n"/>
      <c r="H376" s="37" t="n"/>
      <c r="I376" s="37" t="n"/>
      <c r="J376" s="32" t="n"/>
      <c r="K376" s="32" t="n"/>
      <c r="L376" s="43" t="n"/>
      <c r="M376" s="36" t="n"/>
      <c r="N376" s="44" t="n"/>
      <c r="O376" s="36" t="n"/>
      <c r="P376" s="33">
        <f>IF(C376="","",Commercial_Id)</f>
        <v/>
      </c>
      <c r="Q376" s="34">
        <f>IF(AC376="","",IF(AD376=1,"C"&amp;TEXT(SUM(AD$6:AD376),"0000"),INDEX(Q$6:Q375,MATCH(AC376,AC$6:AC375,0))))</f>
        <v/>
      </c>
      <c r="R376" s="34">
        <f>IF(C376="","",IF(L376="☑ Oui","Annulée",IF(OR(E376="Vente directe",K376&lt;&gt;""),"Livrée",IF(J376&lt;&gt;"","Confirmée","En attente"))))</f>
        <v/>
      </c>
      <c r="S376" s="34">
        <f>IF(F376="","",IFERROR(VLOOKUP(F376,T_Produits,2,FALSE),""))</f>
        <v/>
      </c>
      <c r="T376" s="40">
        <f>IF(F376="","",IFERROR(1/(1/VLOOKUP(F376,T_Produits,3,FALSE)),""))</f>
        <v/>
      </c>
      <c r="U376" s="40">
        <f>IF(H376&lt;&gt;"",H376,T376)</f>
        <v/>
      </c>
      <c r="V376" s="40">
        <f>IF(OR(G376="",U376=""),"",G376*U376-N(I376))</f>
        <v/>
      </c>
      <c r="W376" s="39">
        <f>IF(D376="","",IFERROR(VALUE(MID(D376,LEN(D376)-3,3)),""))</f>
        <v/>
      </c>
      <c r="X376" s="33">
        <f>IF(W376="","",P376&amp;"|"&amp;W376)</f>
        <v/>
      </c>
      <c r="Y376" s="33">
        <f>IF(W376="","",IF(P376="À RENSEIGNER","GIC",P376)&amp;"-"&amp;TEXT(W376,"000"))</f>
        <v/>
      </c>
      <c r="Z376" s="33">
        <f>IF(X376="","",IFERROR(INDEX(Cl_nom,MATCH(X376,Cl_cle,0)),"(client introuvable)"))</f>
        <v/>
      </c>
      <c r="AA376" s="33">
        <f>IF(X376="","",IFERROR(INDEX(Cl_quartier,MATCH(X376,Cl_cle,0))&amp;"",""))</f>
        <v/>
      </c>
      <c r="AB376" s="45">
        <f>IF(R376&lt;&gt;"Livrée",0,IF(K376&lt;&gt;"",K376,C376))</f>
        <v/>
      </c>
      <c r="AC376" s="33">
        <f>IF(OR(C376="",W376=""),"",P376&amp;"|"&amp;W376&amp;"|"&amp;C376&amp;"|"&amp;E376)</f>
        <v/>
      </c>
      <c r="AD376" s="39">
        <f>IF(AC376="","",IF(COUNTIF(AC$6:AC376,AC376)=1,1,0))</f>
        <v/>
      </c>
      <c r="AE376" s="39">
        <f>IF(AB376=0,"",IF(COUNTIFS(X$6:X376,X376,AB$6:AB376,AB376)=1,1,0))</f>
        <v/>
      </c>
      <c r="AF376" s="34">
        <f>IF(C376="","",YEAR(C376-WEEKDAY(C376,2)+4)&amp;"-S"&amp;TEXT(INT((C376-DATE(YEAR(C376-WEEKDAY(C376,2)+4),1,3)+WEEKDAY(DATE(YEAR(C376-WEEKDAY(C376,2)+4),1,3),2)+5)/7),"00"))</f>
        <v/>
      </c>
    </row>
    <row r="377" ht="18" customHeight="1">
      <c r="A377" s="39" t="n">
        <v>372</v>
      </c>
      <c r="B377" s="33">
        <f>IF(C377="","",IF(P377="À RENSEIGNER","GIC",P377)&amp;"-C"&amp;TEXT(A377,"00000"))</f>
        <v/>
      </c>
      <c r="C377" s="32" t="n"/>
      <c r="D377" s="36" t="n"/>
      <c r="E377" s="36" t="n"/>
      <c r="F377" s="36" t="n"/>
      <c r="G377" s="42" t="n"/>
      <c r="H377" s="37" t="n"/>
      <c r="I377" s="37" t="n"/>
      <c r="J377" s="32" t="n"/>
      <c r="K377" s="32" t="n"/>
      <c r="L377" s="43" t="n"/>
      <c r="M377" s="36" t="n"/>
      <c r="N377" s="44" t="n"/>
      <c r="O377" s="36" t="n"/>
      <c r="P377" s="33">
        <f>IF(C377="","",Commercial_Id)</f>
        <v/>
      </c>
      <c r="Q377" s="34">
        <f>IF(AC377="","",IF(AD377=1,"C"&amp;TEXT(SUM(AD$6:AD377),"0000"),INDEX(Q$6:Q376,MATCH(AC377,AC$6:AC376,0))))</f>
        <v/>
      </c>
      <c r="R377" s="34">
        <f>IF(C377="","",IF(L377="☑ Oui","Annulée",IF(OR(E377="Vente directe",K377&lt;&gt;""),"Livrée",IF(J377&lt;&gt;"","Confirmée","En attente"))))</f>
        <v/>
      </c>
      <c r="S377" s="34">
        <f>IF(F377="","",IFERROR(VLOOKUP(F377,T_Produits,2,FALSE),""))</f>
        <v/>
      </c>
      <c r="T377" s="40">
        <f>IF(F377="","",IFERROR(1/(1/VLOOKUP(F377,T_Produits,3,FALSE)),""))</f>
        <v/>
      </c>
      <c r="U377" s="40">
        <f>IF(H377&lt;&gt;"",H377,T377)</f>
        <v/>
      </c>
      <c r="V377" s="40">
        <f>IF(OR(G377="",U377=""),"",G377*U377-N(I377))</f>
        <v/>
      </c>
      <c r="W377" s="39">
        <f>IF(D377="","",IFERROR(VALUE(MID(D377,LEN(D377)-3,3)),""))</f>
        <v/>
      </c>
      <c r="X377" s="33">
        <f>IF(W377="","",P377&amp;"|"&amp;W377)</f>
        <v/>
      </c>
      <c r="Y377" s="33">
        <f>IF(W377="","",IF(P377="À RENSEIGNER","GIC",P377)&amp;"-"&amp;TEXT(W377,"000"))</f>
        <v/>
      </c>
      <c r="Z377" s="33">
        <f>IF(X377="","",IFERROR(INDEX(Cl_nom,MATCH(X377,Cl_cle,0)),"(client introuvable)"))</f>
        <v/>
      </c>
      <c r="AA377" s="33">
        <f>IF(X377="","",IFERROR(INDEX(Cl_quartier,MATCH(X377,Cl_cle,0))&amp;"",""))</f>
        <v/>
      </c>
      <c r="AB377" s="45">
        <f>IF(R377&lt;&gt;"Livrée",0,IF(K377&lt;&gt;"",K377,C377))</f>
        <v/>
      </c>
      <c r="AC377" s="33">
        <f>IF(OR(C377="",W377=""),"",P377&amp;"|"&amp;W377&amp;"|"&amp;C377&amp;"|"&amp;E377)</f>
        <v/>
      </c>
      <c r="AD377" s="39">
        <f>IF(AC377="","",IF(COUNTIF(AC$6:AC377,AC377)=1,1,0))</f>
        <v/>
      </c>
      <c r="AE377" s="39">
        <f>IF(AB377=0,"",IF(COUNTIFS(X$6:X377,X377,AB$6:AB377,AB377)=1,1,0))</f>
        <v/>
      </c>
      <c r="AF377" s="34">
        <f>IF(C377="","",YEAR(C377-WEEKDAY(C377,2)+4)&amp;"-S"&amp;TEXT(INT((C377-DATE(YEAR(C377-WEEKDAY(C377,2)+4),1,3)+WEEKDAY(DATE(YEAR(C377-WEEKDAY(C377,2)+4),1,3),2)+5)/7),"00"))</f>
        <v/>
      </c>
    </row>
    <row r="378" ht="18" customHeight="1">
      <c r="A378" s="39" t="n">
        <v>373</v>
      </c>
      <c r="B378" s="33">
        <f>IF(C378="","",IF(P378="À RENSEIGNER","GIC",P378)&amp;"-C"&amp;TEXT(A378,"00000"))</f>
        <v/>
      </c>
      <c r="C378" s="32" t="n"/>
      <c r="D378" s="36" t="n"/>
      <c r="E378" s="36" t="n"/>
      <c r="F378" s="36" t="n"/>
      <c r="G378" s="42" t="n"/>
      <c r="H378" s="37" t="n"/>
      <c r="I378" s="37" t="n"/>
      <c r="J378" s="32" t="n"/>
      <c r="K378" s="32" t="n"/>
      <c r="L378" s="43" t="n"/>
      <c r="M378" s="36" t="n"/>
      <c r="N378" s="44" t="n"/>
      <c r="O378" s="36" t="n"/>
      <c r="P378" s="33">
        <f>IF(C378="","",Commercial_Id)</f>
        <v/>
      </c>
      <c r="Q378" s="34">
        <f>IF(AC378="","",IF(AD378=1,"C"&amp;TEXT(SUM(AD$6:AD378),"0000"),INDEX(Q$6:Q377,MATCH(AC378,AC$6:AC377,0))))</f>
        <v/>
      </c>
      <c r="R378" s="34">
        <f>IF(C378="","",IF(L378="☑ Oui","Annulée",IF(OR(E378="Vente directe",K378&lt;&gt;""),"Livrée",IF(J378&lt;&gt;"","Confirmée","En attente"))))</f>
        <v/>
      </c>
      <c r="S378" s="34">
        <f>IF(F378="","",IFERROR(VLOOKUP(F378,T_Produits,2,FALSE),""))</f>
        <v/>
      </c>
      <c r="T378" s="40">
        <f>IF(F378="","",IFERROR(1/(1/VLOOKUP(F378,T_Produits,3,FALSE)),""))</f>
        <v/>
      </c>
      <c r="U378" s="40">
        <f>IF(H378&lt;&gt;"",H378,T378)</f>
        <v/>
      </c>
      <c r="V378" s="40">
        <f>IF(OR(G378="",U378=""),"",G378*U378-N(I378))</f>
        <v/>
      </c>
      <c r="W378" s="39">
        <f>IF(D378="","",IFERROR(VALUE(MID(D378,LEN(D378)-3,3)),""))</f>
        <v/>
      </c>
      <c r="X378" s="33">
        <f>IF(W378="","",P378&amp;"|"&amp;W378)</f>
        <v/>
      </c>
      <c r="Y378" s="33">
        <f>IF(W378="","",IF(P378="À RENSEIGNER","GIC",P378)&amp;"-"&amp;TEXT(W378,"000"))</f>
        <v/>
      </c>
      <c r="Z378" s="33">
        <f>IF(X378="","",IFERROR(INDEX(Cl_nom,MATCH(X378,Cl_cle,0)),"(client introuvable)"))</f>
        <v/>
      </c>
      <c r="AA378" s="33">
        <f>IF(X378="","",IFERROR(INDEX(Cl_quartier,MATCH(X378,Cl_cle,0))&amp;"",""))</f>
        <v/>
      </c>
      <c r="AB378" s="45">
        <f>IF(R378&lt;&gt;"Livrée",0,IF(K378&lt;&gt;"",K378,C378))</f>
        <v/>
      </c>
      <c r="AC378" s="33">
        <f>IF(OR(C378="",W378=""),"",P378&amp;"|"&amp;W378&amp;"|"&amp;C378&amp;"|"&amp;E378)</f>
        <v/>
      </c>
      <c r="AD378" s="39">
        <f>IF(AC378="","",IF(COUNTIF(AC$6:AC378,AC378)=1,1,0))</f>
        <v/>
      </c>
      <c r="AE378" s="39">
        <f>IF(AB378=0,"",IF(COUNTIFS(X$6:X378,X378,AB$6:AB378,AB378)=1,1,0))</f>
        <v/>
      </c>
      <c r="AF378" s="34">
        <f>IF(C378="","",YEAR(C378-WEEKDAY(C378,2)+4)&amp;"-S"&amp;TEXT(INT((C378-DATE(YEAR(C378-WEEKDAY(C378,2)+4),1,3)+WEEKDAY(DATE(YEAR(C378-WEEKDAY(C378,2)+4),1,3),2)+5)/7),"00"))</f>
        <v/>
      </c>
    </row>
    <row r="379" ht="18" customHeight="1">
      <c r="A379" s="39" t="n">
        <v>374</v>
      </c>
      <c r="B379" s="33">
        <f>IF(C379="","",IF(P379="À RENSEIGNER","GIC",P379)&amp;"-C"&amp;TEXT(A379,"00000"))</f>
        <v/>
      </c>
      <c r="C379" s="32" t="n"/>
      <c r="D379" s="36" t="n"/>
      <c r="E379" s="36" t="n"/>
      <c r="F379" s="36" t="n"/>
      <c r="G379" s="42" t="n"/>
      <c r="H379" s="37" t="n"/>
      <c r="I379" s="37" t="n"/>
      <c r="J379" s="32" t="n"/>
      <c r="K379" s="32" t="n"/>
      <c r="L379" s="43" t="n"/>
      <c r="M379" s="36" t="n"/>
      <c r="N379" s="44" t="n"/>
      <c r="O379" s="36" t="n"/>
      <c r="P379" s="33">
        <f>IF(C379="","",Commercial_Id)</f>
        <v/>
      </c>
      <c r="Q379" s="34">
        <f>IF(AC379="","",IF(AD379=1,"C"&amp;TEXT(SUM(AD$6:AD379),"0000"),INDEX(Q$6:Q378,MATCH(AC379,AC$6:AC378,0))))</f>
        <v/>
      </c>
      <c r="R379" s="34">
        <f>IF(C379="","",IF(L379="☑ Oui","Annulée",IF(OR(E379="Vente directe",K379&lt;&gt;""),"Livrée",IF(J379&lt;&gt;"","Confirmée","En attente"))))</f>
        <v/>
      </c>
      <c r="S379" s="34">
        <f>IF(F379="","",IFERROR(VLOOKUP(F379,T_Produits,2,FALSE),""))</f>
        <v/>
      </c>
      <c r="T379" s="40">
        <f>IF(F379="","",IFERROR(1/(1/VLOOKUP(F379,T_Produits,3,FALSE)),""))</f>
        <v/>
      </c>
      <c r="U379" s="40">
        <f>IF(H379&lt;&gt;"",H379,T379)</f>
        <v/>
      </c>
      <c r="V379" s="40">
        <f>IF(OR(G379="",U379=""),"",G379*U379-N(I379))</f>
        <v/>
      </c>
      <c r="W379" s="39">
        <f>IF(D379="","",IFERROR(VALUE(MID(D379,LEN(D379)-3,3)),""))</f>
        <v/>
      </c>
      <c r="X379" s="33">
        <f>IF(W379="","",P379&amp;"|"&amp;W379)</f>
        <v/>
      </c>
      <c r="Y379" s="33">
        <f>IF(W379="","",IF(P379="À RENSEIGNER","GIC",P379)&amp;"-"&amp;TEXT(W379,"000"))</f>
        <v/>
      </c>
      <c r="Z379" s="33">
        <f>IF(X379="","",IFERROR(INDEX(Cl_nom,MATCH(X379,Cl_cle,0)),"(client introuvable)"))</f>
        <v/>
      </c>
      <c r="AA379" s="33">
        <f>IF(X379="","",IFERROR(INDEX(Cl_quartier,MATCH(X379,Cl_cle,0))&amp;"",""))</f>
        <v/>
      </c>
      <c r="AB379" s="45">
        <f>IF(R379&lt;&gt;"Livrée",0,IF(K379&lt;&gt;"",K379,C379))</f>
        <v/>
      </c>
      <c r="AC379" s="33">
        <f>IF(OR(C379="",W379=""),"",P379&amp;"|"&amp;W379&amp;"|"&amp;C379&amp;"|"&amp;E379)</f>
        <v/>
      </c>
      <c r="AD379" s="39">
        <f>IF(AC379="","",IF(COUNTIF(AC$6:AC379,AC379)=1,1,0))</f>
        <v/>
      </c>
      <c r="AE379" s="39">
        <f>IF(AB379=0,"",IF(COUNTIFS(X$6:X379,X379,AB$6:AB379,AB379)=1,1,0))</f>
        <v/>
      </c>
      <c r="AF379" s="34">
        <f>IF(C379="","",YEAR(C379-WEEKDAY(C379,2)+4)&amp;"-S"&amp;TEXT(INT((C379-DATE(YEAR(C379-WEEKDAY(C379,2)+4),1,3)+WEEKDAY(DATE(YEAR(C379-WEEKDAY(C379,2)+4),1,3),2)+5)/7),"00"))</f>
        <v/>
      </c>
    </row>
    <row r="380" ht="18" customHeight="1">
      <c r="A380" s="39" t="n">
        <v>375</v>
      </c>
      <c r="B380" s="33">
        <f>IF(C380="","",IF(P380="À RENSEIGNER","GIC",P380)&amp;"-C"&amp;TEXT(A380,"00000"))</f>
        <v/>
      </c>
      <c r="C380" s="32" t="n"/>
      <c r="D380" s="36" t="n"/>
      <c r="E380" s="36" t="n"/>
      <c r="F380" s="36" t="n"/>
      <c r="G380" s="42" t="n"/>
      <c r="H380" s="37" t="n"/>
      <c r="I380" s="37" t="n"/>
      <c r="J380" s="32" t="n"/>
      <c r="K380" s="32" t="n"/>
      <c r="L380" s="43" t="n"/>
      <c r="M380" s="36" t="n"/>
      <c r="N380" s="44" t="n"/>
      <c r="O380" s="36" t="n"/>
      <c r="P380" s="33">
        <f>IF(C380="","",Commercial_Id)</f>
        <v/>
      </c>
      <c r="Q380" s="34">
        <f>IF(AC380="","",IF(AD380=1,"C"&amp;TEXT(SUM(AD$6:AD380),"0000"),INDEX(Q$6:Q379,MATCH(AC380,AC$6:AC379,0))))</f>
        <v/>
      </c>
      <c r="R380" s="34">
        <f>IF(C380="","",IF(L380="☑ Oui","Annulée",IF(OR(E380="Vente directe",K380&lt;&gt;""),"Livrée",IF(J380&lt;&gt;"","Confirmée","En attente"))))</f>
        <v/>
      </c>
      <c r="S380" s="34">
        <f>IF(F380="","",IFERROR(VLOOKUP(F380,T_Produits,2,FALSE),""))</f>
        <v/>
      </c>
      <c r="T380" s="40">
        <f>IF(F380="","",IFERROR(1/(1/VLOOKUP(F380,T_Produits,3,FALSE)),""))</f>
        <v/>
      </c>
      <c r="U380" s="40">
        <f>IF(H380&lt;&gt;"",H380,T380)</f>
        <v/>
      </c>
      <c r="V380" s="40">
        <f>IF(OR(G380="",U380=""),"",G380*U380-N(I380))</f>
        <v/>
      </c>
      <c r="W380" s="39">
        <f>IF(D380="","",IFERROR(VALUE(MID(D380,LEN(D380)-3,3)),""))</f>
        <v/>
      </c>
      <c r="X380" s="33">
        <f>IF(W380="","",P380&amp;"|"&amp;W380)</f>
        <v/>
      </c>
      <c r="Y380" s="33">
        <f>IF(W380="","",IF(P380="À RENSEIGNER","GIC",P380)&amp;"-"&amp;TEXT(W380,"000"))</f>
        <v/>
      </c>
      <c r="Z380" s="33">
        <f>IF(X380="","",IFERROR(INDEX(Cl_nom,MATCH(X380,Cl_cle,0)),"(client introuvable)"))</f>
        <v/>
      </c>
      <c r="AA380" s="33">
        <f>IF(X380="","",IFERROR(INDEX(Cl_quartier,MATCH(X380,Cl_cle,0))&amp;"",""))</f>
        <v/>
      </c>
      <c r="AB380" s="45">
        <f>IF(R380&lt;&gt;"Livrée",0,IF(K380&lt;&gt;"",K380,C380))</f>
        <v/>
      </c>
      <c r="AC380" s="33">
        <f>IF(OR(C380="",W380=""),"",P380&amp;"|"&amp;W380&amp;"|"&amp;C380&amp;"|"&amp;E380)</f>
        <v/>
      </c>
      <c r="AD380" s="39">
        <f>IF(AC380="","",IF(COUNTIF(AC$6:AC380,AC380)=1,1,0))</f>
        <v/>
      </c>
      <c r="AE380" s="39">
        <f>IF(AB380=0,"",IF(COUNTIFS(X$6:X380,X380,AB$6:AB380,AB380)=1,1,0))</f>
        <v/>
      </c>
      <c r="AF380" s="34">
        <f>IF(C380="","",YEAR(C380-WEEKDAY(C380,2)+4)&amp;"-S"&amp;TEXT(INT((C380-DATE(YEAR(C380-WEEKDAY(C380,2)+4),1,3)+WEEKDAY(DATE(YEAR(C380-WEEKDAY(C380,2)+4),1,3),2)+5)/7),"00"))</f>
        <v/>
      </c>
    </row>
    <row r="381" ht="18" customHeight="1">
      <c r="A381" s="39" t="n">
        <v>376</v>
      </c>
      <c r="B381" s="33">
        <f>IF(C381="","",IF(P381="À RENSEIGNER","GIC",P381)&amp;"-C"&amp;TEXT(A381,"00000"))</f>
        <v/>
      </c>
      <c r="C381" s="32" t="n"/>
      <c r="D381" s="36" t="n"/>
      <c r="E381" s="36" t="n"/>
      <c r="F381" s="36" t="n"/>
      <c r="G381" s="42" t="n"/>
      <c r="H381" s="37" t="n"/>
      <c r="I381" s="37" t="n"/>
      <c r="J381" s="32" t="n"/>
      <c r="K381" s="32" t="n"/>
      <c r="L381" s="43" t="n"/>
      <c r="M381" s="36" t="n"/>
      <c r="N381" s="44" t="n"/>
      <c r="O381" s="36" t="n"/>
      <c r="P381" s="33">
        <f>IF(C381="","",Commercial_Id)</f>
        <v/>
      </c>
      <c r="Q381" s="34">
        <f>IF(AC381="","",IF(AD381=1,"C"&amp;TEXT(SUM(AD$6:AD381),"0000"),INDEX(Q$6:Q380,MATCH(AC381,AC$6:AC380,0))))</f>
        <v/>
      </c>
      <c r="R381" s="34">
        <f>IF(C381="","",IF(L381="☑ Oui","Annulée",IF(OR(E381="Vente directe",K381&lt;&gt;""),"Livrée",IF(J381&lt;&gt;"","Confirmée","En attente"))))</f>
        <v/>
      </c>
      <c r="S381" s="34">
        <f>IF(F381="","",IFERROR(VLOOKUP(F381,T_Produits,2,FALSE),""))</f>
        <v/>
      </c>
      <c r="T381" s="40">
        <f>IF(F381="","",IFERROR(1/(1/VLOOKUP(F381,T_Produits,3,FALSE)),""))</f>
        <v/>
      </c>
      <c r="U381" s="40">
        <f>IF(H381&lt;&gt;"",H381,T381)</f>
        <v/>
      </c>
      <c r="V381" s="40">
        <f>IF(OR(G381="",U381=""),"",G381*U381-N(I381))</f>
        <v/>
      </c>
      <c r="W381" s="39">
        <f>IF(D381="","",IFERROR(VALUE(MID(D381,LEN(D381)-3,3)),""))</f>
        <v/>
      </c>
      <c r="X381" s="33">
        <f>IF(W381="","",P381&amp;"|"&amp;W381)</f>
        <v/>
      </c>
      <c r="Y381" s="33">
        <f>IF(W381="","",IF(P381="À RENSEIGNER","GIC",P381)&amp;"-"&amp;TEXT(W381,"000"))</f>
        <v/>
      </c>
      <c r="Z381" s="33">
        <f>IF(X381="","",IFERROR(INDEX(Cl_nom,MATCH(X381,Cl_cle,0)),"(client introuvable)"))</f>
        <v/>
      </c>
      <c r="AA381" s="33">
        <f>IF(X381="","",IFERROR(INDEX(Cl_quartier,MATCH(X381,Cl_cle,0))&amp;"",""))</f>
        <v/>
      </c>
      <c r="AB381" s="45">
        <f>IF(R381&lt;&gt;"Livrée",0,IF(K381&lt;&gt;"",K381,C381))</f>
        <v/>
      </c>
      <c r="AC381" s="33">
        <f>IF(OR(C381="",W381=""),"",P381&amp;"|"&amp;W381&amp;"|"&amp;C381&amp;"|"&amp;E381)</f>
        <v/>
      </c>
      <c r="AD381" s="39">
        <f>IF(AC381="","",IF(COUNTIF(AC$6:AC381,AC381)=1,1,0))</f>
        <v/>
      </c>
      <c r="AE381" s="39">
        <f>IF(AB381=0,"",IF(COUNTIFS(X$6:X381,X381,AB$6:AB381,AB381)=1,1,0))</f>
        <v/>
      </c>
      <c r="AF381" s="34">
        <f>IF(C381="","",YEAR(C381-WEEKDAY(C381,2)+4)&amp;"-S"&amp;TEXT(INT((C381-DATE(YEAR(C381-WEEKDAY(C381,2)+4),1,3)+WEEKDAY(DATE(YEAR(C381-WEEKDAY(C381,2)+4),1,3),2)+5)/7),"00"))</f>
        <v/>
      </c>
    </row>
    <row r="382" ht="18" customHeight="1">
      <c r="A382" s="39" t="n">
        <v>377</v>
      </c>
      <c r="B382" s="33">
        <f>IF(C382="","",IF(P382="À RENSEIGNER","GIC",P382)&amp;"-C"&amp;TEXT(A382,"00000"))</f>
        <v/>
      </c>
      <c r="C382" s="32" t="n"/>
      <c r="D382" s="36" t="n"/>
      <c r="E382" s="36" t="n"/>
      <c r="F382" s="36" t="n"/>
      <c r="G382" s="42" t="n"/>
      <c r="H382" s="37" t="n"/>
      <c r="I382" s="37" t="n"/>
      <c r="J382" s="32" t="n"/>
      <c r="K382" s="32" t="n"/>
      <c r="L382" s="43" t="n"/>
      <c r="M382" s="36" t="n"/>
      <c r="N382" s="44" t="n"/>
      <c r="O382" s="36" t="n"/>
      <c r="P382" s="33">
        <f>IF(C382="","",Commercial_Id)</f>
        <v/>
      </c>
      <c r="Q382" s="34">
        <f>IF(AC382="","",IF(AD382=1,"C"&amp;TEXT(SUM(AD$6:AD382),"0000"),INDEX(Q$6:Q381,MATCH(AC382,AC$6:AC381,0))))</f>
        <v/>
      </c>
      <c r="R382" s="34">
        <f>IF(C382="","",IF(L382="☑ Oui","Annulée",IF(OR(E382="Vente directe",K382&lt;&gt;""),"Livrée",IF(J382&lt;&gt;"","Confirmée","En attente"))))</f>
        <v/>
      </c>
      <c r="S382" s="34">
        <f>IF(F382="","",IFERROR(VLOOKUP(F382,T_Produits,2,FALSE),""))</f>
        <v/>
      </c>
      <c r="T382" s="40">
        <f>IF(F382="","",IFERROR(1/(1/VLOOKUP(F382,T_Produits,3,FALSE)),""))</f>
        <v/>
      </c>
      <c r="U382" s="40">
        <f>IF(H382&lt;&gt;"",H382,T382)</f>
        <v/>
      </c>
      <c r="V382" s="40">
        <f>IF(OR(G382="",U382=""),"",G382*U382-N(I382))</f>
        <v/>
      </c>
      <c r="W382" s="39">
        <f>IF(D382="","",IFERROR(VALUE(MID(D382,LEN(D382)-3,3)),""))</f>
        <v/>
      </c>
      <c r="X382" s="33">
        <f>IF(W382="","",P382&amp;"|"&amp;W382)</f>
        <v/>
      </c>
      <c r="Y382" s="33">
        <f>IF(W382="","",IF(P382="À RENSEIGNER","GIC",P382)&amp;"-"&amp;TEXT(W382,"000"))</f>
        <v/>
      </c>
      <c r="Z382" s="33">
        <f>IF(X382="","",IFERROR(INDEX(Cl_nom,MATCH(X382,Cl_cle,0)),"(client introuvable)"))</f>
        <v/>
      </c>
      <c r="AA382" s="33">
        <f>IF(X382="","",IFERROR(INDEX(Cl_quartier,MATCH(X382,Cl_cle,0))&amp;"",""))</f>
        <v/>
      </c>
      <c r="AB382" s="45">
        <f>IF(R382&lt;&gt;"Livrée",0,IF(K382&lt;&gt;"",K382,C382))</f>
        <v/>
      </c>
      <c r="AC382" s="33">
        <f>IF(OR(C382="",W382=""),"",P382&amp;"|"&amp;W382&amp;"|"&amp;C382&amp;"|"&amp;E382)</f>
        <v/>
      </c>
      <c r="AD382" s="39">
        <f>IF(AC382="","",IF(COUNTIF(AC$6:AC382,AC382)=1,1,0))</f>
        <v/>
      </c>
      <c r="AE382" s="39">
        <f>IF(AB382=0,"",IF(COUNTIFS(X$6:X382,X382,AB$6:AB382,AB382)=1,1,0))</f>
        <v/>
      </c>
      <c r="AF382" s="34">
        <f>IF(C382="","",YEAR(C382-WEEKDAY(C382,2)+4)&amp;"-S"&amp;TEXT(INT((C382-DATE(YEAR(C382-WEEKDAY(C382,2)+4),1,3)+WEEKDAY(DATE(YEAR(C382-WEEKDAY(C382,2)+4),1,3),2)+5)/7),"00"))</f>
        <v/>
      </c>
    </row>
    <row r="383" ht="18" customHeight="1">
      <c r="A383" s="39" t="n">
        <v>378</v>
      </c>
      <c r="B383" s="33">
        <f>IF(C383="","",IF(P383="À RENSEIGNER","GIC",P383)&amp;"-C"&amp;TEXT(A383,"00000"))</f>
        <v/>
      </c>
      <c r="C383" s="32" t="n"/>
      <c r="D383" s="36" t="n"/>
      <c r="E383" s="36" t="n"/>
      <c r="F383" s="36" t="n"/>
      <c r="G383" s="42" t="n"/>
      <c r="H383" s="37" t="n"/>
      <c r="I383" s="37" t="n"/>
      <c r="J383" s="32" t="n"/>
      <c r="K383" s="32" t="n"/>
      <c r="L383" s="43" t="n"/>
      <c r="M383" s="36" t="n"/>
      <c r="N383" s="44" t="n"/>
      <c r="O383" s="36" t="n"/>
      <c r="P383" s="33">
        <f>IF(C383="","",Commercial_Id)</f>
        <v/>
      </c>
      <c r="Q383" s="34">
        <f>IF(AC383="","",IF(AD383=1,"C"&amp;TEXT(SUM(AD$6:AD383),"0000"),INDEX(Q$6:Q382,MATCH(AC383,AC$6:AC382,0))))</f>
        <v/>
      </c>
      <c r="R383" s="34">
        <f>IF(C383="","",IF(L383="☑ Oui","Annulée",IF(OR(E383="Vente directe",K383&lt;&gt;""),"Livrée",IF(J383&lt;&gt;"","Confirmée","En attente"))))</f>
        <v/>
      </c>
      <c r="S383" s="34">
        <f>IF(F383="","",IFERROR(VLOOKUP(F383,T_Produits,2,FALSE),""))</f>
        <v/>
      </c>
      <c r="T383" s="40">
        <f>IF(F383="","",IFERROR(1/(1/VLOOKUP(F383,T_Produits,3,FALSE)),""))</f>
        <v/>
      </c>
      <c r="U383" s="40">
        <f>IF(H383&lt;&gt;"",H383,T383)</f>
        <v/>
      </c>
      <c r="V383" s="40">
        <f>IF(OR(G383="",U383=""),"",G383*U383-N(I383))</f>
        <v/>
      </c>
      <c r="W383" s="39">
        <f>IF(D383="","",IFERROR(VALUE(MID(D383,LEN(D383)-3,3)),""))</f>
        <v/>
      </c>
      <c r="X383" s="33">
        <f>IF(W383="","",P383&amp;"|"&amp;W383)</f>
        <v/>
      </c>
      <c r="Y383" s="33">
        <f>IF(W383="","",IF(P383="À RENSEIGNER","GIC",P383)&amp;"-"&amp;TEXT(W383,"000"))</f>
        <v/>
      </c>
      <c r="Z383" s="33">
        <f>IF(X383="","",IFERROR(INDEX(Cl_nom,MATCH(X383,Cl_cle,0)),"(client introuvable)"))</f>
        <v/>
      </c>
      <c r="AA383" s="33">
        <f>IF(X383="","",IFERROR(INDEX(Cl_quartier,MATCH(X383,Cl_cle,0))&amp;"",""))</f>
        <v/>
      </c>
      <c r="AB383" s="45">
        <f>IF(R383&lt;&gt;"Livrée",0,IF(K383&lt;&gt;"",K383,C383))</f>
        <v/>
      </c>
      <c r="AC383" s="33">
        <f>IF(OR(C383="",W383=""),"",P383&amp;"|"&amp;W383&amp;"|"&amp;C383&amp;"|"&amp;E383)</f>
        <v/>
      </c>
      <c r="AD383" s="39">
        <f>IF(AC383="","",IF(COUNTIF(AC$6:AC383,AC383)=1,1,0))</f>
        <v/>
      </c>
      <c r="AE383" s="39">
        <f>IF(AB383=0,"",IF(COUNTIFS(X$6:X383,X383,AB$6:AB383,AB383)=1,1,0))</f>
        <v/>
      </c>
      <c r="AF383" s="34">
        <f>IF(C383="","",YEAR(C383-WEEKDAY(C383,2)+4)&amp;"-S"&amp;TEXT(INT((C383-DATE(YEAR(C383-WEEKDAY(C383,2)+4),1,3)+WEEKDAY(DATE(YEAR(C383-WEEKDAY(C383,2)+4),1,3),2)+5)/7),"00"))</f>
        <v/>
      </c>
    </row>
    <row r="384" ht="18" customHeight="1">
      <c r="A384" s="39" t="n">
        <v>379</v>
      </c>
      <c r="B384" s="33">
        <f>IF(C384="","",IF(P384="À RENSEIGNER","GIC",P384)&amp;"-C"&amp;TEXT(A384,"00000"))</f>
        <v/>
      </c>
      <c r="C384" s="32" t="n"/>
      <c r="D384" s="36" t="n"/>
      <c r="E384" s="36" t="n"/>
      <c r="F384" s="36" t="n"/>
      <c r="G384" s="42" t="n"/>
      <c r="H384" s="37" t="n"/>
      <c r="I384" s="37" t="n"/>
      <c r="J384" s="32" t="n"/>
      <c r="K384" s="32" t="n"/>
      <c r="L384" s="43" t="n"/>
      <c r="M384" s="36" t="n"/>
      <c r="N384" s="44" t="n"/>
      <c r="O384" s="36" t="n"/>
      <c r="P384" s="33">
        <f>IF(C384="","",Commercial_Id)</f>
        <v/>
      </c>
      <c r="Q384" s="34">
        <f>IF(AC384="","",IF(AD384=1,"C"&amp;TEXT(SUM(AD$6:AD384),"0000"),INDEX(Q$6:Q383,MATCH(AC384,AC$6:AC383,0))))</f>
        <v/>
      </c>
      <c r="R384" s="34">
        <f>IF(C384="","",IF(L384="☑ Oui","Annulée",IF(OR(E384="Vente directe",K384&lt;&gt;""),"Livrée",IF(J384&lt;&gt;"","Confirmée","En attente"))))</f>
        <v/>
      </c>
      <c r="S384" s="34">
        <f>IF(F384="","",IFERROR(VLOOKUP(F384,T_Produits,2,FALSE),""))</f>
        <v/>
      </c>
      <c r="T384" s="40">
        <f>IF(F384="","",IFERROR(1/(1/VLOOKUP(F384,T_Produits,3,FALSE)),""))</f>
        <v/>
      </c>
      <c r="U384" s="40">
        <f>IF(H384&lt;&gt;"",H384,T384)</f>
        <v/>
      </c>
      <c r="V384" s="40">
        <f>IF(OR(G384="",U384=""),"",G384*U384-N(I384))</f>
        <v/>
      </c>
      <c r="W384" s="39">
        <f>IF(D384="","",IFERROR(VALUE(MID(D384,LEN(D384)-3,3)),""))</f>
        <v/>
      </c>
      <c r="X384" s="33">
        <f>IF(W384="","",P384&amp;"|"&amp;W384)</f>
        <v/>
      </c>
      <c r="Y384" s="33">
        <f>IF(W384="","",IF(P384="À RENSEIGNER","GIC",P384)&amp;"-"&amp;TEXT(W384,"000"))</f>
        <v/>
      </c>
      <c r="Z384" s="33">
        <f>IF(X384="","",IFERROR(INDEX(Cl_nom,MATCH(X384,Cl_cle,0)),"(client introuvable)"))</f>
        <v/>
      </c>
      <c r="AA384" s="33">
        <f>IF(X384="","",IFERROR(INDEX(Cl_quartier,MATCH(X384,Cl_cle,0))&amp;"",""))</f>
        <v/>
      </c>
      <c r="AB384" s="45">
        <f>IF(R384&lt;&gt;"Livrée",0,IF(K384&lt;&gt;"",K384,C384))</f>
        <v/>
      </c>
      <c r="AC384" s="33">
        <f>IF(OR(C384="",W384=""),"",P384&amp;"|"&amp;W384&amp;"|"&amp;C384&amp;"|"&amp;E384)</f>
        <v/>
      </c>
      <c r="AD384" s="39">
        <f>IF(AC384="","",IF(COUNTIF(AC$6:AC384,AC384)=1,1,0))</f>
        <v/>
      </c>
      <c r="AE384" s="39">
        <f>IF(AB384=0,"",IF(COUNTIFS(X$6:X384,X384,AB$6:AB384,AB384)=1,1,0))</f>
        <v/>
      </c>
      <c r="AF384" s="34">
        <f>IF(C384="","",YEAR(C384-WEEKDAY(C384,2)+4)&amp;"-S"&amp;TEXT(INT((C384-DATE(YEAR(C384-WEEKDAY(C384,2)+4),1,3)+WEEKDAY(DATE(YEAR(C384-WEEKDAY(C384,2)+4),1,3),2)+5)/7),"00"))</f>
        <v/>
      </c>
    </row>
    <row r="385" ht="18" customHeight="1">
      <c r="A385" s="39" t="n">
        <v>380</v>
      </c>
      <c r="B385" s="33">
        <f>IF(C385="","",IF(P385="À RENSEIGNER","GIC",P385)&amp;"-C"&amp;TEXT(A385,"00000"))</f>
        <v/>
      </c>
      <c r="C385" s="32" t="n"/>
      <c r="D385" s="36" t="n"/>
      <c r="E385" s="36" t="n"/>
      <c r="F385" s="36" t="n"/>
      <c r="G385" s="42" t="n"/>
      <c r="H385" s="37" t="n"/>
      <c r="I385" s="37" t="n"/>
      <c r="J385" s="32" t="n"/>
      <c r="K385" s="32" t="n"/>
      <c r="L385" s="43" t="n"/>
      <c r="M385" s="36" t="n"/>
      <c r="N385" s="44" t="n"/>
      <c r="O385" s="36" t="n"/>
      <c r="P385" s="33">
        <f>IF(C385="","",Commercial_Id)</f>
        <v/>
      </c>
      <c r="Q385" s="34">
        <f>IF(AC385="","",IF(AD385=1,"C"&amp;TEXT(SUM(AD$6:AD385),"0000"),INDEX(Q$6:Q384,MATCH(AC385,AC$6:AC384,0))))</f>
        <v/>
      </c>
      <c r="R385" s="34">
        <f>IF(C385="","",IF(L385="☑ Oui","Annulée",IF(OR(E385="Vente directe",K385&lt;&gt;""),"Livrée",IF(J385&lt;&gt;"","Confirmée","En attente"))))</f>
        <v/>
      </c>
      <c r="S385" s="34">
        <f>IF(F385="","",IFERROR(VLOOKUP(F385,T_Produits,2,FALSE),""))</f>
        <v/>
      </c>
      <c r="T385" s="40">
        <f>IF(F385="","",IFERROR(1/(1/VLOOKUP(F385,T_Produits,3,FALSE)),""))</f>
        <v/>
      </c>
      <c r="U385" s="40">
        <f>IF(H385&lt;&gt;"",H385,T385)</f>
        <v/>
      </c>
      <c r="V385" s="40">
        <f>IF(OR(G385="",U385=""),"",G385*U385-N(I385))</f>
        <v/>
      </c>
      <c r="W385" s="39">
        <f>IF(D385="","",IFERROR(VALUE(MID(D385,LEN(D385)-3,3)),""))</f>
        <v/>
      </c>
      <c r="X385" s="33">
        <f>IF(W385="","",P385&amp;"|"&amp;W385)</f>
        <v/>
      </c>
      <c r="Y385" s="33">
        <f>IF(W385="","",IF(P385="À RENSEIGNER","GIC",P385)&amp;"-"&amp;TEXT(W385,"000"))</f>
        <v/>
      </c>
      <c r="Z385" s="33">
        <f>IF(X385="","",IFERROR(INDEX(Cl_nom,MATCH(X385,Cl_cle,0)),"(client introuvable)"))</f>
        <v/>
      </c>
      <c r="AA385" s="33">
        <f>IF(X385="","",IFERROR(INDEX(Cl_quartier,MATCH(X385,Cl_cle,0))&amp;"",""))</f>
        <v/>
      </c>
      <c r="AB385" s="45">
        <f>IF(R385&lt;&gt;"Livrée",0,IF(K385&lt;&gt;"",K385,C385))</f>
        <v/>
      </c>
      <c r="AC385" s="33">
        <f>IF(OR(C385="",W385=""),"",P385&amp;"|"&amp;W385&amp;"|"&amp;C385&amp;"|"&amp;E385)</f>
        <v/>
      </c>
      <c r="AD385" s="39">
        <f>IF(AC385="","",IF(COUNTIF(AC$6:AC385,AC385)=1,1,0))</f>
        <v/>
      </c>
      <c r="AE385" s="39">
        <f>IF(AB385=0,"",IF(COUNTIFS(X$6:X385,X385,AB$6:AB385,AB385)=1,1,0))</f>
        <v/>
      </c>
      <c r="AF385" s="34">
        <f>IF(C385="","",YEAR(C385-WEEKDAY(C385,2)+4)&amp;"-S"&amp;TEXT(INT((C385-DATE(YEAR(C385-WEEKDAY(C385,2)+4),1,3)+WEEKDAY(DATE(YEAR(C385-WEEKDAY(C385,2)+4),1,3),2)+5)/7),"00"))</f>
        <v/>
      </c>
    </row>
    <row r="386" ht="18" customHeight="1">
      <c r="A386" s="39" t="n">
        <v>381</v>
      </c>
      <c r="B386" s="33">
        <f>IF(C386="","",IF(P386="À RENSEIGNER","GIC",P386)&amp;"-C"&amp;TEXT(A386,"00000"))</f>
        <v/>
      </c>
      <c r="C386" s="32" t="n"/>
      <c r="D386" s="36" t="n"/>
      <c r="E386" s="36" t="n"/>
      <c r="F386" s="36" t="n"/>
      <c r="G386" s="42" t="n"/>
      <c r="H386" s="37" t="n"/>
      <c r="I386" s="37" t="n"/>
      <c r="J386" s="32" t="n"/>
      <c r="K386" s="32" t="n"/>
      <c r="L386" s="43" t="n"/>
      <c r="M386" s="36" t="n"/>
      <c r="N386" s="44" t="n"/>
      <c r="O386" s="36" t="n"/>
      <c r="P386" s="33">
        <f>IF(C386="","",Commercial_Id)</f>
        <v/>
      </c>
      <c r="Q386" s="34">
        <f>IF(AC386="","",IF(AD386=1,"C"&amp;TEXT(SUM(AD$6:AD386),"0000"),INDEX(Q$6:Q385,MATCH(AC386,AC$6:AC385,0))))</f>
        <v/>
      </c>
      <c r="R386" s="34">
        <f>IF(C386="","",IF(L386="☑ Oui","Annulée",IF(OR(E386="Vente directe",K386&lt;&gt;""),"Livrée",IF(J386&lt;&gt;"","Confirmée","En attente"))))</f>
        <v/>
      </c>
      <c r="S386" s="34">
        <f>IF(F386="","",IFERROR(VLOOKUP(F386,T_Produits,2,FALSE),""))</f>
        <v/>
      </c>
      <c r="T386" s="40">
        <f>IF(F386="","",IFERROR(1/(1/VLOOKUP(F386,T_Produits,3,FALSE)),""))</f>
        <v/>
      </c>
      <c r="U386" s="40">
        <f>IF(H386&lt;&gt;"",H386,T386)</f>
        <v/>
      </c>
      <c r="V386" s="40">
        <f>IF(OR(G386="",U386=""),"",G386*U386-N(I386))</f>
        <v/>
      </c>
      <c r="W386" s="39">
        <f>IF(D386="","",IFERROR(VALUE(MID(D386,LEN(D386)-3,3)),""))</f>
        <v/>
      </c>
      <c r="X386" s="33">
        <f>IF(W386="","",P386&amp;"|"&amp;W386)</f>
        <v/>
      </c>
      <c r="Y386" s="33">
        <f>IF(W386="","",IF(P386="À RENSEIGNER","GIC",P386)&amp;"-"&amp;TEXT(W386,"000"))</f>
        <v/>
      </c>
      <c r="Z386" s="33">
        <f>IF(X386="","",IFERROR(INDEX(Cl_nom,MATCH(X386,Cl_cle,0)),"(client introuvable)"))</f>
        <v/>
      </c>
      <c r="AA386" s="33">
        <f>IF(X386="","",IFERROR(INDEX(Cl_quartier,MATCH(X386,Cl_cle,0))&amp;"",""))</f>
        <v/>
      </c>
      <c r="AB386" s="45">
        <f>IF(R386&lt;&gt;"Livrée",0,IF(K386&lt;&gt;"",K386,C386))</f>
        <v/>
      </c>
      <c r="AC386" s="33">
        <f>IF(OR(C386="",W386=""),"",P386&amp;"|"&amp;W386&amp;"|"&amp;C386&amp;"|"&amp;E386)</f>
        <v/>
      </c>
      <c r="AD386" s="39">
        <f>IF(AC386="","",IF(COUNTIF(AC$6:AC386,AC386)=1,1,0))</f>
        <v/>
      </c>
      <c r="AE386" s="39">
        <f>IF(AB386=0,"",IF(COUNTIFS(X$6:X386,X386,AB$6:AB386,AB386)=1,1,0))</f>
        <v/>
      </c>
      <c r="AF386" s="34">
        <f>IF(C386="","",YEAR(C386-WEEKDAY(C386,2)+4)&amp;"-S"&amp;TEXT(INT((C386-DATE(YEAR(C386-WEEKDAY(C386,2)+4),1,3)+WEEKDAY(DATE(YEAR(C386-WEEKDAY(C386,2)+4),1,3),2)+5)/7),"00"))</f>
        <v/>
      </c>
    </row>
    <row r="387" ht="18" customHeight="1">
      <c r="A387" s="39" t="n">
        <v>382</v>
      </c>
      <c r="B387" s="33">
        <f>IF(C387="","",IF(P387="À RENSEIGNER","GIC",P387)&amp;"-C"&amp;TEXT(A387,"00000"))</f>
        <v/>
      </c>
      <c r="C387" s="32" t="n"/>
      <c r="D387" s="36" t="n"/>
      <c r="E387" s="36" t="n"/>
      <c r="F387" s="36" t="n"/>
      <c r="G387" s="42" t="n"/>
      <c r="H387" s="37" t="n"/>
      <c r="I387" s="37" t="n"/>
      <c r="J387" s="32" t="n"/>
      <c r="K387" s="32" t="n"/>
      <c r="L387" s="43" t="n"/>
      <c r="M387" s="36" t="n"/>
      <c r="N387" s="44" t="n"/>
      <c r="O387" s="36" t="n"/>
      <c r="P387" s="33">
        <f>IF(C387="","",Commercial_Id)</f>
        <v/>
      </c>
      <c r="Q387" s="34">
        <f>IF(AC387="","",IF(AD387=1,"C"&amp;TEXT(SUM(AD$6:AD387),"0000"),INDEX(Q$6:Q386,MATCH(AC387,AC$6:AC386,0))))</f>
        <v/>
      </c>
      <c r="R387" s="34">
        <f>IF(C387="","",IF(L387="☑ Oui","Annulée",IF(OR(E387="Vente directe",K387&lt;&gt;""),"Livrée",IF(J387&lt;&gt;"","Confirmée","En attente"))))</f>
        <v/>
      </c>
      <c r="S387" s="34">
        <f>IF(F387="","",IFERROR(VLOOKUP(F387,T_Produits,2,FALSE),""))</f>
        <v/>
      </c>
      <c r="T387" s="40">
        <f>IF(F387="","",IFERROR(1/(1/VLOOKUP(F387,T_Produits,3,FALSE)),""))</f>
        <v/>
      </c>
      <c r="U387" s="40">
        <f>IF(H387&lt;&gt;"",H387,T387)</f>
        <v/>
      </c>
      <c r="V387" s="40">
        <f>IF(OR(G387="",U387=""),"",G387*U387-N(I387))</f>
        <v/>
      </c>
      <c r="W387" s="39">
        <f>IF(D387="","",IFERROR(VALUE(MID(D387,LEN(D387)-3,3)),""))</f>
        <v/>
      </c>
      <c r="X387" s="33">
        <f>IF(W387="","",P387&amp;"|"&amp;W387)</f>
        <v/>
      </c>
      <c r="Y387" s="33">
        <f>IF(W387="","",IF(P387="À RENSEIGNER","GIC",P387)&amp;"-"&amp;TEXT(W387,"000"))</f>
        <v/>
      </c>
      <c r="Z387" s="33">
        <f>IF(X387="","",IFERROR(INDEX(Cl_nom,MATCH(X387,Cl_cle,0)),"(client introuvable)"))</f>
        <v/>
      </c>
      <c r="AA387" s="33">
        <f>IF(X387="","",IFERROR(INDEX(Cl_quartier,MATCH(X387,Cl_cle,0))&amp;"",""))</f>
        <v/>
      </c>
      <c r="AB387" s="45">
        <f>IF(R387&lt;&gt;"Livrée",0,IF(K387&lt;&gt;"",K387,C387))</f>
        <v/>
      </c>
      <c r="AC387" s="33">
        <f>IF(OR(C387="",W387=""),"",P387&amp;"|"&amp;W387&amp;"|"&amp;C387&amp;"|"&amp;E387)</f>
        <v/>
      </c>
      <c r="AD387" s="39">
        <f>IF(AC387="","",IF(COUNTIF(AC$6:AC387,AC387)=1,1,0))</f>
        <v/>
      </c>
      <c r="AE387" s="39">
        <f>IF(AB387=0,"",IF(COUNTIFS(X$6:X387,X387,AB$6:AB387,AB387)=1,1,0))</f>
        <v/>
      </c>
      <c r="AF387" s="34">
        <f>IF(C387="","",YEAR(C387-WEEKDAY(C387,2)+4)&amp;"-S"&amp;TEXT(INT((C387-DATE(YEAR(C387-WEEKDAY(C387,2)+4),1,3)+WEEKDAY(DATE(YEAR(C387-WEEKDAY(C387,2)+4),1,3),2)+5)/7),"00"))</f>
        <v/>
      </c>
    </row>
    <row r="388" ht="18" customHeight="1">
      <c r="A388" s="39" t="n">
        <v>383</v>
      </c>
      <c r="B388" s="33">
        <f>IF(C388="","",IF(P388="À RENSEIGNER","GIC",P388)&amp;"-C"&amp;TEXT(A388,"00000"))</f>
        <v/>
      </c>
      <c r="C388" s="32" t="n"/>
      <c r="D388" s="36" t="n"/>
      <c r="E388" s="36" t="n"/>
      <c r="F388" s="36" t="n"/>
      <c r="G388" s="42" t="n"/>
      <c r="H388" s="37" t="n"/>
      <c r="I388" s="37" t="n"/>
      <c r="J388" s="32" t="n"/>
      <c r="K388" s="32" t="n"/>
      <c r="L388" s="43" t="n"/>
      <c r="M388" s="36" t="n"/>
      <c r="N388" s="44" t="n"/>
      <c r="O388" s="36" t="n"/>
      <c r="P388" s="33">
        <f>IF(C388="","",Commercial_Id)</f>
        <v/>
      </c>
      <c r="Q388" s="34">
        <f>IF(AC388="","",IF(AD388=1,"C"&amp;TEXT(SUM(AD$6:AD388),"0000"),INDEX(Q$6:Q387,MATCH(AC388,AC$6:AC387,0))))</f>
        <v/>
      </c>
      <c r="R388" s="34">
        <f>IF(C388="","",IF(L388="☑ Oui","Annulée",IF(OR(E388="Vente directe",K388&lt;&gt;""),"Livrée",IF(J388&lt;&gt;"","Confirmée","En attente"))))</f>
        <v/>
      </c>
      <c r="S388" s="34">
        <f>IF(F388="","",IFERROR(VLOOKUP(F388,T_Produits,2,FALSE),""))</f>
        <v/>
      </c>
      <c r="T388" s="40">
        <f>IF(F388="","",IFERROR(1/(1/VLOOKUP(F388,T_Produits,3,FALSE)),""))</f>
        <v/>
      </c>
      <c r="U388" s="40">
        <f>IF(H388&lt;&gt;"",H388,T388)</f>
        <v/>
      </c>
      <c r="V388" s="40">
        <f>IF(OR(G388="",U388=""),"",G388*U388-N(I388))</f>
        <v/>
      </c>
      <c r="W388" s="39">
        <f>IF(D388="","",IFERROR(VALUE(MID(D388,LEN(D388)-3,3)),""))</f>
        <v/>
      </c>
      <c r="X388" s="33">
        <f>IF(W388="","",P388&amp;"|"&amp;W388)</f>
        <v/>
      </c>
      <c r="Y388" s="33">
        <f>IF(W388="","",IF(P388="À RENSEIGNER","GIC",P388)&amp;"-"&amp;TEXT(W388,"000"))</f>
        <v/>
      </c>
      <c r="Z388" s="33">
        <f>IF(X388="","",IFERROR(INDEX(Cl_nom,MATCH(X388,Cl_cle,0)),"(client introuvable)"))</f>
        <v/>
      </c>
      <c r="AA388" s="33">
        <f>IF(X388="","",IFERROR(INDEX(Cl_quartier,MATCH(X388,Cl_cle,0))&amp;"",""))</f>
        <v/>
      </c>
      <c r="AB388" s="45">
        <f>IF(R388&lt;&gt;"Livrée",0,IF(K388&lt;&gt;"",K388,C388))</f>
        <v/>
      </c>
      <c r="AC388" s="33">
        <f>IF(OR(C388="",W388=""),"",P388&amp;"|"&amp;W388&amp;"|"&amp;C388&amp;"|"&amp;E388)</f>
        <v/>
      </c>
      <c r="AD388" s="39">
        <f>IF(AC388="","",IF(COUNTIF(AC$6:AC388,AC388)=1,1,0))</f>
        <v/>
      </c>
      <c r="AE388" s="39">
        <f>IF(AB388=0,"",IF(COUNTIFS(X$6:X388,X388,AB$6:AB388,AB388)=1,1,0))</f>
        <v/>
      </c>
      <c r="AF388" s="34">
        <f>IF(C388="","",YEAR(C388-WEEKDAY(C388,2)+4)&amp;"-S"&amp;TEXT(INT((C388-DATE(YEAR(C388-WEEKDAY(C388,2)+4),1,3)+WEEKDAY(DATE(YEAR(C388-WEEKDAY(C388,2)+4),1,3),2)+5)/7),"00"))</f>
        <v/>
      </c>
    </row>
    <row r="389" ht="18" customHeight="1">
      <c r="A389" s="39" t="n">
        <v>384</v>
      </c>
      <c r="B389" s="33">
        <f>IF(C389="","",IF(P389="À RENSEIGNER","GIC",P389)&amp;"-C"&amp;TEXT(A389,"00000"))</f>
        <v/>
      </c>
      <c r="C389" s="32" t="n"/>
      <c r="D389" s="36" t="n"/>
      <c r="E389" s="36" t="n"/>
      <c r="F389" s="36" t="n"/>
      <c r="G389" s="42" t="n"/>
      <c r="H389" s="37" t="n"/>
      <c r="I389" s="37" t="n"/>
      <c r="J389" s="32" t="n"/>
      <c r="K389" s="32" t="n"/>
      <c r="L389" s="43" t="n"/>
      <c r="M389" s="36" t="n"/>
      <c r="N389" s="44" t="n"/>
      <c r="O389" s="36" t="n"/>
      <c r="P389" s="33">
        <f>IF(C389="","",Commercial_Id)</f>
        <v/>
      </c>
      <c r="Q389" s="34">
        <f>IF(AC389="","",IF(AD389=1,"C"&amp;TEXT(SUM(AD$6:AD389),"0000"),INDEX(Q$6:Q388,MATCH(AC389,AC$6:AC388,0))))</f>
        <v/>
      </c>
      <c r="R389" s="34">
        <f>IF(C389="","",IF(L389="☑ Oui","Annulée",IF(OR(E389="Vente directe",K389&lt;&gt;""),"Livrée",IF(J389&lt;&gt;"","Confirmée","En attente"))))</f>
        <v/>
      </c>
      <c r="S389" s="34">
        <f>IF(F389="","",IFERROR(VLOOKUP(F389,T_Produits,2,FALSE),""))</f>
        <v/>
      </c>
      <c r="T389" s="40">
        <f>IF(F389="","",IFERROR(1/(1/VLOOKUP(F389,T_Produits,3,FALSE)),""))</f>
        <v/>
      </c>
      <c r="U389" s="40">
        <f>IF(H389&lt;&gt;"",H389,T389)</f>
        <v/>
      </c>
      <c r="V389" s="40">
        <f>IF(OR(G389="",U389=""),"",G389*U389-N(I389))</f>
        <v/>
      </c>
      <c r="W389" s="39">
        <f>IF(D389="","",IFERROR(VALUE(MID(D389,LEN(D389)-3,3)),""))</f>
        <v/>
      </c>
      <c r="X389" s="33">
        <f>IF(W389="","",P389&amp;"|"&amp;W389)</f>
        <v/>
      </c>
      <c r="Y389" s="33">
        <f>IF(W389="","",IF(P389="À RENSEIGNER","GIC",P389)&amp;"-"&amp;TEXT(W389,"000"))</f>
        <v/>
      </c>
      <c r="Z389" s="33">
        <f>IF(X389="","",IFERROR(INDEX(Cl_nom,MATCH(X389,Cl_cle,0)),"(client introuvable)"))</f>
        <v/>
      </c>
      <c r="AA389" s="33">
        <f>IF(X389="","",IFERROR(INDEX(Cl_quartier,MATCH(X389,Cl_cle,0))&amp;"",""))</f>
        <v/>
      </c>
      <c r="AB389" s="45">
        <f>IF(R389&lt;&gt;"Livrée",0,IF(K389&lt;&gt;"",K389,C389))</f>
        <v/>
      </c>
      <c r="AC389" s="33">
        <f>IF(OR(C389="",W389=""),"",P389&amp;"|"&amp;W389&amp;"|"&amp;C389&amp;"|"&amp;E389)</f>
        <v/>
      </c>
      <c r="AD389" s="39">
        <f>IF(AC389="","",IF(COUNTIF(AC$6:AC389,AC389)=1,1,0))</f>
        <v/>
      </c>
      <c r="AE389" s="39">
        <f>IF(AB389=0,"",IF(COUNTIFS(X$6:X389,X389,AB$6:AB389,AB389)=1,1,0))</f>
        <v/>
      </c>
      <c r="AF389" s="34">
        <f>IF(C389="","",YEAR(C389-WEEKDAY(C389,2)+4)&amp;"-S"&amp;TEXT(INT((C389-DATE(YEAR(C389-WEEKDAY(C389,2)+4),1,3)+WEEKDAY(DATE(YEAR(C389-WEEKDAY(C389,2)+4),1,3),2)+5)/7),"00"))</f>
        <v/>
      </c>
    </row>
    <row r="390" ht="18" customHeight="1">
      <c r="A390" s="39" t="n">
        <v>385</v>
      </c>
      <c r="B390" s="33">
        <f>IF(C390="","",IF(P390="À RENSEIGNER","GIC",P390)&amp;"-C"&amp;TEXT(A390,"00000"))</f>
        <v/>
      </c>
      <c r="C390" s="32" t="n"/>
      <c r="D390" s="36" t="n"/>
      <c r="E390" s="36" t="n"/>
      <c r="F390" s="36" t="n"/>
      <c r="G390" s="42" t="n"/>
      <c r="H390" s="37" t="n"/>
      <c r="I390" s="37" t="n"/>
      <c r="J390" s="32" t="n"/>
      <c r="K390" s="32" t="n"/>
      <c r="L390" s="43" t="n"/>
      <c r="M390" s="36" t="n"/>
      <c r="N390" s="44" t="n"/>
      <c r="O390" s="36" t="n"/>
      <c r="P390" s="33">
        <f>IF(C390="","",Commercial_Id)</f>
        <v/>
      </c>
      <c r="Q390" s="34">
        <f>IF(AC390="","",IF(AD390=1,"C"&amp;TEXT(SUM(AD$6:AD390),"0000"),INDEX(Q$6:Q389,MATCH(AC390,AC$6:AC389,0))))</f>
        <v/>
      </c>
      <c r="R390" s="34">
        <f>IF(C390="","",IF(L390="☑ Oui","Annulée",IF(OR(E390="Vente directe",K390&lt;&gt;""),"Livrée",IF(J390&lt;&gt;"","Confirmée","En attente"))))</f>
        <v/>
      </c>
      <c r="S390" s="34">
        <f>IF(F390="","",IFERROR(VLOOKUP(F390,T_Produits,2,FALSE),""))</f>
        <v/>
      </c>
      <c r="T390" s="40">
        <f>IF(F390="","",IFERROR(1/(1/VLOOKUP(F390,T_Produits,3,FALSE)),""))</f>
        <v/>
      </c>
      <c r="U390" s="40">
        <f>IF(H390&lt;&gt;"",H390,T390)</f>
        <v/>
      </c>
      <c r="V390" s="40">
        <f>IF(OR(G390="",U390=""),"",G390*U390-N(I390))</f>
        <v/>
      </c>
      <c r="W390" s="39">
        <f>IF(D390="","",IFERROR(VALUE(MID(D390,LEN(D390)-3,3)),""))</f>
        <v/>
      </c>
      <c r="X390" s="33">
        <f>IF(W390="","",P390&amp;"|"&amp;W390)</f>
        <v/>
      </c>
      <c r="Y390" s="33">
        <f>IF(W390="","",IF(P390="À RENSEIGNER","GIC",P390)&amp;"-"&amp;TEXT(W390,"000"))</f>
        <v/>
      </c>
      <c r="Z390" s="33">
        <f>IF(X390="","",IFERROR(INDEX(Cl_nom,MATCH(X390,Cl_cle,0)),"(client introuvable)"))</f>
        <v/>
      </c>
      <c r="AA390" s="33">
        <f>IF(X390="","",IFERROR(INDEX(Cl_quartier,MATCH(X390,Cl_cle,0))&amp;"",""))</f>
        <v/>
      </c>
      <c r="AB390" s="45">
        <f>IF(R390&lt;&gt;"Livrée",0,IF(K390&lt;&gt;"",K390,C390))</f>
        <v/>
      </c>
      <c r="AC390" s="33">
        <f>IF(OR(C390="",W390=""),"",P390&amp;"|"&amp;W390&amp;"|"&amp;C390&amp;"|"&amp;E390)</f>
        <v/>
      </c>
      <c r="AD390" s="39">
        <f>IF(AC390="","",IF(COUNTIF(AC$6:AC390,AC390)=1,1,0))</f>
        <v/>
      </c>
      <c r="AE390" s="39">
        <f>IF(AB390=0,"",IF(COUNTIFS(X$6:X390,X390,AB$6:AB390,AB390)=1,1,0))</f>
        <v/>
      </c>
      <c r="AF390" s="34">
        <f>IF(C390="","",YEAR(C390-WEEKDAY(C390,2)+4)&amp;"-S"&amp;TEXT(INT((C390-DATE(YEAR(C390-WEEKDAY(C390,2)+4),1,3)+WEEKDAY(DATE(YEAR(C390-WEEKDAY(C390,2)+4),1,3),2)+5)/7),"00"))</f>
        <v/>
      </c>
    </row>
    <row r="391" ht="18" customHeight="1">
      <c r="A391" s="39" t="n">
        <v>386</v>
      </c>
      <c r="B391" s="33">
        <f>IF(C391="","",IF(P391="À RENSEIGNER","GIC",P391)&amp;"-C"&amp;TEXT(A391,"00000"))</f>
        <v/>
      </c>
      <c r="C391" s="32" t="n"/>
      <c r="D391" s="36" t="n"/>
      <c r="E391" s="36" t="n"/>
      <c r="F391" s="36" t="n"/>
      <c r="G391" s="42" t="n"/>
      <c r="H391" s="37" t="n"/>
      <c r="I391" s="37" t="n"/>
      <c r="J391" s="32" t="n"/>
      <c r="K391" s="32" t="n"/>
      <c r="L391" s="43" t="n"/>
      <c r="M391" s="36" t="n"/>
      <c r="N391" s="44" t="n"/>
      <c r="O391" s="36" t="n"/>
      <c r="P391" s="33">
        <f>IF(C391="","",Commercial_Id)</f>
        <v/>
      </c>
      <c r="Q391" s="34">
        <f>IF(AC391="","",IF(AD391=1,"C"&amp;TEXT(SUM(AD$6:AD391),"0000"),INDEX(Q$6:Q390,MATCH(AC391,AC$6:AC390,0))))</f>
        <v/>
      </c>
      <c r="R391" s="34">
        <f>IF(C391="","",IF(L391="☑ Oui","Annulée",IF(OR(E391="Vente directe",K391&lt;&gt;""),"Livrée",IF(J391&lt;&gt;"","Confirmée","En attente"))))</f>
        <v/>
      </c>
      <c r="S391" s="34">
        <f>IF(F391="","",IFERROR(VLOOKUP(F391,T_Produits,2,FALSE),""))</f>
        <v/>
      </c>
      <c r="T391" s="40">
        <f>IF(F391="","",IFERROR(1/(1/VLOOKUP(F391,T_Produits,3,FALSE)),""))</f>
        <v/>
      </c>
      <c r="U391" s="40">
        <f>IF(H391&lt;&gt;"",H391,T391)</f>
        <v/>
      </c>
      <c r="V391" s="40">
        <f>IF(OR(G391="",U391=""),"",G391*U391-N(I391))</f>
        <v/>
      </c>
      <c r="W391" s="39">
        <f>IF(D391="","",IFERROR(VALUE(MID(D391,LEN(D391)-3,3)),""))</f>
        <v/>
      </c>
      <c r="X391" s="33">
        <f>IF(W391="","",P391&amp;"|"&amp;W391)</f>
        <v/>
      </c>
      <c r="Y391" s="33">
        <f>IF(W391="","",IF(P391="À RENSEIGNER","GIC",P391)&amp;"-"&amp;TEXT(W391,"000"))</f>
        <v/>
      </c>
      <c r="Z391" s="33">
        <f>IF(X391="","",IFERROR(INDEX(Cl_nom,MATCH(X391,Cl_cle,0)),"(client introuvable)"))</f>
        <v/>
      </c>
      <c r="AA391" s="33">
        <f>IF(X391="","",IFERROR(INDEX(Cl_quartier,MATCH(X391,Cl_cle,0))&amp;"",""))</f>
        <v/>
      </c>
      <c r="AB391" s="45">
        <f>IF(R391&lt;&gt;"Livrée",0,IF(K391&lt;&gt;"",K391,C391))</f>
        <v/>
      </c>
      <c r="AC391" s="33">
        <f>IF(OR(C391="",W391=""),"",P391&amp;"|"&amp;W391&amp;"|"&amp;C391&amp;"|"&amp;E391)</f>
        <v/>
      </c>
      <c r="AD391" s="39">
        <f>IF(AC391="","",IF(COUNTIF(AC$6:AC391,AC391)=1,1,0))</f>
        <v/>
      </c>
      <c r="AE391" s="39">
        <f>IF(AB391=0,"",IF(COUNTIFS(X$6:X391,X391,AB$6:AB391,AB391)=1,1,0))</f>
        <v/>
      </c>
      <c r="AF391" s="34">
        <f>IF(C391="","",YEAR(C391-WEEKDAY(C391,2)+4)&amp;"-S"&amp;TEXT(INT((C391-DATE(YEAR(C391-WEEKDAY(C391,2)+4),1,3)+WEEKDAY(DATE(YEAR(C391-WEEKDAY(C391,2)+4),1,3),2)+5)/7),"00"))</f>
        <v/>
      </c>
    </row>
    <row r="392" ht="18" customHeight="1">
      <c r="A392" s="39" t="n">
        <v>387</v>
      </c>
      <c r="B392" s="33">
        <f>IF(C392="","",IF(P392="À RENSEIGNER","GIC",P392)&amp;"-C"&amp;TEXT(A392,"00000"))</f>
        <v/>
      </c>
      <c r="C392" s="32" t="n"/>
      <c r="D392" s="36" t="n"/>
      <c r="E392" s="36" t="n"/>
      <c r="F392" s="36" t="n"/>
      <c r="G392" s="42" t="n"/>
      <c r="H392" s="37" t="n"/>
      <c r="I392" s="37" t="n"/>
      <c r="J392" s="32" t="n"/>
      <c r="K392" s="32" t="n"/>
      <c r="L392" s="43" t="n"/>
      <c r="M392" s="36" t="n"/>
      <c r="N392" s="44" t="n"/>
      <c r="O392" s="36" t="n"/>
      <c r="P392" s="33">
        <f>IF(C392="","",Commercial_Id)</f>
        <v/>
      </c>
      <c r="Q392" s="34">
        <f>IF(AC392="","",IF(AD392=1,"C"&amp;TEXT(SUM(AD$6:AD392),"0000"),INDEX(Q$6:Q391,MATCH(AC392,AC$6:AC391,0))))</f>
        <v/>
      </c>
      <c r="R392" s="34">
        <f>IF(C392="","",IF(L392="☑ Oui","Annulée",IF(OR(E392="Vente directe",K392&lt;&gt;""),"Livrée",IF(J392&lt;&gt;"","Confirmée","En attente"))))</f>
        <v/>
      </c>
      <c r="S392" s="34">
        <f>IF(F392="","",IFERROR(VLOOKUP(F392,T_Produits,2,FALSE),""))</f>
        <v/>
      </c>
      <c r="T392" s="40">
        <f>IF(F392="","",IFERROR(1/(1/VLOOKUP(F392,T_Produits,3,FALSE)),""))</f>
        <v/>
      </c>
      <c r="U392" s="40">
        <f>IF(H392&lt;&gt;"",H392,T392)</f>
        <v/>
      </c>
      <c r="V392" s="40">
        <f>IF(OR(G392="",U392=""),"",G392*U392-N(I392))</f>
        <v/>
      </c>
      <c r="W392" s="39">
        <f>IF(D392="","",IFERROR(VALUE(MID(D392,LEN(D392)-3,3)),""))</f>
        <v/>
      </c>
      <c r="X392" s="33">
        <f>IF(W392="","",P392&amp;"|"&amp;W392)</f>
        <v/>
      </c>
      <c r="Y392" s="33">
        <f>IF(W392="","",IF(P392="À RENSEIGNER","GIC",P392)&amp;"-"&amp;TEXT(W392,"000"))</f>
        <v/>
      </c>
      <c r="Z392" s="33">
        <f>IF(X392="","",IFERROR(INDEX(Cl_nom,MATCH(X392,Cl_cle,0)),"(client introuvable)"))</f>
        <v/>
      </c>
      <c r="AA392" s="33">
        <f>IF(X392="","",IFERROR(INDEX(Cl_quartier,MATCH(X392,Cl_cle,0))&amp;"",""))</f>
        <v/>
      </c>
      <c r="AB392" s="45">
        <f>IF(R392&lt;&gt;"Livrée",0,IF(K392&lt;&gt;"",K392,C392))</f>
        <v/>
      </c>
      <c r="AC392" s="33">
        <f>IF(OR(C392="",W392=""),"",P392&amp;"|"&amp;W392&amp;"|"&amp;C392&amp;"|"&amp;E392)</f>
        <v/>
      </c>
      <c r="AD392" s="39">
        <f>IF(AC392="","",IF(COUNTIF(AC$6:AC392,AC392)=1,1,0))</f>
        <v/>
      </c>
      <c r="AE392" s="39">
        <f>IF(AB392=0,"",IF(COUNTIFS(X$6:X392,X392,AB$6:AB392,AB392)=1,1,0))</f>
        <v/>
      </c>
      <c r="AF392" s="34">
        <f>IF(C392="","",YEAR(C392-WEEKDAY(C392,2)+4)&amp;"-S"&amp;TEXT(INT((C392-DATE(YEAR(C392-WEEKDAY(C392,2)+4),1,3)+WEEKDAY(DATE(YEAR(C392-WEEKDAY(C392,2)+4),1,3),2)+5)/7),"00"))</f>
        <v/>
      </c>
    </row>
    <row r="393" ht="18" customHeight="1">
      <c r="A393" s="39" t="n">
        <v>388</v>
      </c>
      <c r="B393" s="33">
        <f>IF(C393="","",IF(P393="À RENSEIGNER","GIC",P393)&amp;"-C"&amp;TEXT(A393,"00000"))</f>
        <v/>
      </c>
      <c r="C393" s="32" t="n"/>
      <c r="D393" s="36" t="n"/>
      <c r="E393" s="36" t="n"/>
      <c r="F393" s="36" t="n"/>
      <c r="G393" s="42" t="n"/>
      <c r="H393" s="37" t="n"/>
      <c r="I393" s="37" t="n"/>
      <c r="J393" s="32" t="n"/>
      <c r="K393" s="32" t="n"/>
      <c r="L393" s="43" t="n"/>
      <c r="M393" s="36" t="n"/>
      <c r="N393" s="44" t="n"/>
      <c r="O393" s="36" t="n"/>
      <c r="P393" s="33">
        <f>IF(C393="","",Commercial_Id)</f>
        <v/>
      </c>
      <c r="Q393" s="34">
        <f>IF(AC393="","",IF(AD393=1,"C"&amp;TEXT(SUM(AD$6:AD393),"0000"),INDEX(Q$6:Q392,MATCH(AC393,AC$6:AC392,0))))</f>
        <v/>
      </c>
      <c r="R393" s="34">
        <f>IF(C393="","",IF(L393="☑ Oui","Annulée",IF(OR(E393="Vente directe",K393&lt;&gt;""),"Livrée",IF(J393&lt;&gt;"","Confirmée","En attente"))))</f>
        <v/>
      </c>
      <c r="S393" s="34">
        <f>IF(F393="","",IFERROR(VLOOKUP(F393,T_Produits,2,FALSE),""))</f>
        <v/>
      </c>
      <c r="T393" s="40">
        <f>IF(F393="","",IFERROR(1/(1/VLOOKUP(F393,T_Produits,3,FALSE)),""))</f>
        <v/>
      </c>
      <c r="U393" s="40">
        <f>IF(H393&lt;&gt;"",H393,T393)</f>
        <v/>
      </c>
      <c r="V393" s="40">
        <f>IF(OR(G393="",U393=""),"",G393*U393-N(I393))</f>
        <v/>
      </c>
      <c r="W393" s="39">
        <f>IF(D393="","",IFERROR(VALUE(MID(D393,LEN(D393)-3,3)),""))</f>
        <v/>
      </c>
      <c r="X393" s="33">
        <f>IF(W393="","",P393&amp;"|"&amp;W393)</f>
        <v/>
      </c>
      <c r="Y393" s="33">
        <f>IF(W393="","",IF(P393="À RENSEIGNER","GIC",P393)&amp;"-"&amp;TEXT(W393,"000"))</f>
        <v/>
      </c>
      <c r="Z393" s="33">
        <f>IF(X393="","",IFERROR(INDEX(Cl_nom,MATCH(X393,Cl_cle,0)),"(client introuvable)"))</f>
        <v/>
      </c>
      <c r="AA393" s="33">
        <f>IF(X393="","",IFERROR(INDEX(Cl_quartier,MATCH(X393,Cl_cle,0))&amp;"",""))</f>
        <v/>
      </c>
      <c r="AB393" s="45">
        <f>IF(R393&lt;&gt;"Livrée",0,IF(K393&lt;&gt;"",K393,C393))</f>
        <v/>
      </c>
      <c r="AC393" s="33">
        <f>IF(OR(C393="",W393=""),"",P393&amp;"|"&amp;W393&amp;"|"&amp;C393&amp;"|"&amp;E393)</f>
        <v/>
      </c>
      <c r="AD393" s="39">
        <f>IF(AC393="","",IF(COUNTIF(AC$6:AC393,AC393)=1,1,0))</f>
        <v/>
      </c>
      <c r="AE393" s="39">
        <f>IF(AB393=0,"",IF(COUNTIFS(X$6:X393,X393,AB$6:AB393,AB393)=1,1,0))</f>
        <v/>
      </c>
      <c r="AF393" s="34">
        <f>IF(C393="","",YEAR(C393-WEEKDAY(C393,2)+4)&amp;"-S"&amp;TEXT(INT((C393-DATE(YEAR(C393-WEEKDAY(C393,2)+4),1,3)+WEEKDAY(DATE(YEAR(C393-WEEKDAY(C393,2)+4),1,3),2)+5)/7),"00"))</f>
        <v/>
      </c>
    </row>
    <row r="394" ht="18" customHeight="1">
      <c r="A394" s="39" t="n">
        <v>389</v>
      </c>
      <c r="B394" s="33">
        <f>IF(C394="","",IF(P394="À RENSEIGNER","GIC",P394)&amp;"-C"&amp;TEXT(A394,"00000"))</f>
        <v/>
      </c>
      <c r="C394" s="32" t="n"/>
      <c r="D394" s="36" t="n"/>
      <c r="E394" s="36" t="n"/>
      <c r="F394" s="36" t="n"/>
      <c r="G394" s="42" t="n"/>
      <c r="H394" s="37" t="n"/>
      <c r="I394" s="37" t="n"/>
      <c r="J394" s="32" t="n"/>
      <c r="K394" s="32" t="n"/>
      <c r="L394" s="43" t="n"/>
      <c r="M394" s="36" t="n"/>
      <c r="N394" s="44" t="n"/>
      <c r="O394" s="36" t="n"/>
      <c r="P394" s="33">
        <f>IF(C394="","",Commercial_Id)</f>
        <v/>
      </c>
      <c r="Q394" s="34">
        <f>IF(AC394="","",IF(AD394=1,"C"&amp;TEXT(SUM(AD$6:AD394),"0000"),INDEX(Q$6:Q393,MATCH(AC394,AC$6:AC393,0))))</f>
        <v/>
      </c>
      <c r="R394" s="34">
        <f>IF(C394="","",IF(L394="☑ Oui","Annulée",IF(OR(E394="Vente directe",K394&lt;&gt;""),"Livrée",IF(J394&lt;&gt;"","Confirmée","En attente"))))</f>
        <v/>
      </c>
      <c r="S394" s="34">
        <f>IF(F394="","",IFERROR(VLOOKUP(F394,T_Produits,2,FALSE),""))</f>
        <v/>
      </c>
      <c r="T394" s="40">
        <f>IF(F394="","",IFERROR(1/(1/VLOOKUP(F394,T_Produits,3,FALSE)),""))</f>
        <v/>
      </c>
      <c r="U394" s="40">
        <f>IF(H394&lt;&gt;"",H394,T394)</f>
        <v/>
      </c>
      <c r="V394" s="40">
        <f>IF(OR(G394="",U394=""),"",G394*U394-N(I394))</f>
        <v/>
      </c>
      <c r="W394" s="39">
        <f>IF(D394="","",IFERROR(VALUE(MID(D394,LEN(D394)-3,3)),""))</f>
        <v/>
      </c>
      <c r="X394" s="33">
        <f>IF(W394="","",P394&amp;"|"&amp;W394)</f>
        <v/>
      </c>
      <c r="Y394" s="33">
        <f>IF(W394="","",IF(P394="À RENSEIGNER","GIC",P394)&amp;"-"&amp;TEXT(W394,"000"))</f>
        <v/>
      </c>
      <c r="Z394" s="33">
        <f>IF(X394="","",IFERROR(INDEX(Cl_nom,MATCH(X394,Cl_cle,0)),"(client introuvable)"))</f>
        <v/>
      </c>
      <c r="AA394" s="33">
        <f>IF(X394="","",IFERROR(INDEX(Cl_quartier,MATCH(X394,Cl_cle,0))&amp;"",""))</f>
        <v/>
      </c>
      <c r="AB394" s="45">
        <f>IF(R394&lt;&gt;"Livrée",0,IF(K394&lt;&gt;"",K394,C394))</f>
        <v/>
      </c>
      <c r="AC394" s="33">
        <f>IF(OR(C394="",W394=""),"",P394&amp;"|"&amp;W394&amp;"|"&amp;C394&amp;"|"&amp;E394)</f>
        <v/>
      </c>
      <c r="AD394" s="39">
        <f>IF(AC394="","",IF(COUNTIF(AC$6:AC394,AC394)=1,1,0))</f>
        <v/>
      </c>
      <c r="AE394" s="39">
        <f>IF(AB394=0,"",IF(COUNTIFS(X$6:X394,X394,AB$6:AB394,AB394)=1,1,0))</f>
        <v/>
      </c>
      <c r="AF394" s="34">
        <f>IF(C394="","",YEAR(C394-WEEKDAY(C394,2)+4)&amp;"-S"&amp;TEXT(INT((C394-DATE(YEAR(C394-WEEKDAY(C394,2)+4),1,3)+WEEKDAY(DATE(YEAR(C394-WEEKDAY(C394,2)+4),1,3),2)+5)/7),"00"))</f>
        <v/>
      </c>
    </row>
    <row r="395" ht="18" customHeight="1">
      <c r="A395" s="39" t="n">
        <v>390</v>
      </c>
      <c r="B395" s="33">
        <f>IF(C395="","",IF(P395="À RENSEIGNER","GIC",P395)&amp;"-C"&amp;TEXT(A395,"00000"))</f>
        <v/>
      </c>
      <c r="C395" s="32" t="n"/>
      <c r="D395" s="36" t="n"/>
      <c r="E395" s="36" t="n"/>
      <c r="F395" s="36" t="n"/>
      <c r="G395" s="42" t="n"/>
      <c r="H395" s="37" t="n"/>
      <c r="I395" s="37" t="n"/>
      <c r="J395" s="32" t="n"/>
      <c r="K395" s="32" t="n"/>
      <c r="L395" s="43" t="n"/>
      <c r="M395" s="36" t="n"/>
      <c r="N395" s="44" t="n"/>
      <c r="O395" s="36" t="n"/>
      <c r="P395" s="33">
        <f>IF(C395="","",Commercial_Id)</f>
        <v/>
      </c>
      <c r="Q395" s="34">
        <f>IF(AC395="","",IF(AD395=1,"C"&amp;TEXT(SUM(AD$6:AD395),"0000"),INDEX(Q$6:Q394,MATCH(AC395,AC$6:AC394,0))))</f>
        <v/>
      </c>
      <c r="R395" s="34">
        <f>IF(C395="","",IF(L395="☑ Oui","Annulée",IF(OR(E395="Vente directe",K395&lt;&gt;""),"Livrée",IF(J395&lt;&gt;"","Confirmée","En attente"))))</f>
        <v/>
      </c>
      <c r="S395" s="34">
        <f>IF(F395="","",IFERROR(VLOOKUP(F395,T_Produits,2,FALSE),""))</f>
        <v/>
      </c>
      <c r="T395" s="40">
        <f>IF(F395="","",IFERROR(1/(1/VLOOKUP(F395,T_Produits,3,FALSE)),""))</f>
        <v/>
      </c>
      <c r="U395" s="40">
        <f>IF(H395&lt;&gt;"",H395,T395)</f>
        <v/>
      </c>
      <c r="V395" s="40">
        <f>IF(OR(G395="",U395=""),"",G395*U395-N(I395))</f>
        <v/>
      </c>
      <c r="W395" s="39">
        <f>IF(D395="","",IFERROR(VALUE(MID(D395,LEN(D395)-3,3)),""))</f>
        <v/>
      </c>
      <c r="X395" s="33">
        <f>IF(W395="","",P395&amp;"|"&amp;W395)</f>
        <v/>
      </c>
      <c r="Y395" s="33">
        <f>IF(W395="","",IF(P395="À RENSEIGNER","GIC",P395)&amp;"-"&amp;TEXT(W395,"000"))</f>
        <v/>
      </c>
      <c r="Z395" s="33">
        <f>IF(X395="","",IFERROR(INDEX(Cl_nom,MATCH(X395,Cl_cle,0)),"(client introuvable)"))</f>
        <v/>
      </c>
      <c r="AA395" s="33">
        <f>IF(X395="","",IFERROR(INDEX(Cl_quartier,MATCH(X395,Cl_cle,0))&amp;"",""))</f>
        <v/>
      </c>
      <c r="AB395" s="45">
        <f>IF(R395&lt;&gt;"Livrée",0,IF(K395&lt;&gt;"",K395,C395))</f>
        <v/>
      </c>
      <c r="AC395" s="33">
        <f>IF(OR(C395="",W395=""),"",P395&amp;"|"&amp;W395&amp;"|"&amp;C395&amp;"|"&amp;E395)</f>
        <v/>
      </c>
      <c r="AD395" s="39">
        <f>IF(AC395="","",IF(COUNTIF(AC$6:AC395,AC395)=1,1,0))</f>
        <v/>
      </c>
      <c r="AE395" s="39">
        <f>IF(AB395=0,"",IF(COUNTIFS(X$6:X395,X395,AB$6:AB395,AB395)=1,1,0))</f>
        <v/>
      </c>
      <c r="AF395" s="34">
        <f>IF(C395="","",YEAR(C395-WEEKDAY(C395,2)+4)&amp;"-S"&amp;TEXT(INT((C395-DATE(YEAR(C395-WEEKDAY(C395,2)+4),1,3)+WEEKDAY(DATE(YEAR(C395-WEEKDAY(C395,2)+4),1,3),2)+5)/7),"00"))</f>
        <v/>
      </c>
    </row>
    <row r="396" ht="18" customHeight="1">
      <c r="A396" s="39" t="n">
        <v>391</v>
      </c>
      <c r="B396" s="33">
        <f>IF(C396="","",IF(P396="À RENSEIGNER","GIC",P396)&amp;"-C"&amp;TEXT(A396,"00000"))</f>
        <v/>
      </c>
      <c r="C396" s="32" t="n"/>
      <c r="D396" s="36" t="n"/>
      <c r="E396" s="36" t="n"/>
      <c r="F396" s="36" t="n"/>
      <c r="G396" s="42" t="n"/>
      <c r="H396" s="37" t="n"/>
      <c r="I396" s="37" t="n"/>
      <c r="J396" s="32" t="n"/>
      <c r="K396" s="32" t="n"/>
      <c r="L396" s="43" t="n"/>
      <c r="M396" s="36" t="n"/>
      <c r="N396" s="44" t="n"/>
      <c r="O396" s="36" t="n"/>
      <c r="P396" s="33">
        <f>IF(C396="","",Commercial_Id)</f>
        <v/>
      </c>
      <c r="Q396" s="34">
        <f>IF(AC396="","",IF(AD396=1,"C"&amp;TEXT(SUM(AD$6:AD396),"0000"),INDEX(Q$6:Q395,MATCH(AC396,AC$6:AC395,0))))</f>
        <v/>
      </c>
      <c r="R396" s="34">
        <f>IF(C396="","",IF(L396="☑ Oui","Annulée",IF(OR(E396="Vente directe",K396&lt;&gt;""),"Livrée",IF(J396&lt;&gt;"","Confirmée","En attente"))))</f>
        <v/>
      </c>
      <c r="S396" s="34">
        <f>IF(F396="","",IFERROR(VLOOKUP(F396,T_Produits,2,FALSE),""))</f>
        <v/>
      </c>
      <c r="T396" s="40">
        <f>IF(F396="","",IFERROR(1/(1/VLOOKUP(F396,T_Produits,3,FALSE)),""))</f>
        <v/>
      </c>
      <c r="U396" s="40">
        <f>IF(H396&lt;&gt;"",H396,T396)</f>
        <v/>
      </c>
      <c r="V396" s="40">
        <f>IF(OR(G396="",U396=""),"",G396*U396-N(I396))</f>
        <v/>
      </c>
      <c r="W396" s="39">
        <f>IF(D396="","",IFERROR(VALUE(MID(D396,LEN(D396)-3,3)),""))</f>
        <v/>
      </c>
      <c r="X396" s="33">
        <f>IF(W396="","",P396&amp;"|"&amp;W396)</f>
        <v/>
      </c>
      <c r="Y396" s="33">
        <f>IF(W396="","",IF(P396="À RENSEIGNER","GIC",P396)&amp;"-"&amp;TEXT(W396,"000"))</f>
        <v/>
      </c>
      <c r="Z396" s="33">
        <f>IF(X396="","",IFERROR(INDEX(Cl_nom,MATCH(X396,Cl_cle,0)),"(client introuvable)"))</f>
        <v/>
      </c>
      <c r="AA396" s="33">
        <f>IF(X396="","",IFERROR(INDEX(Cl_quartier,MATCH(X396,Cl_cle,0))&amp;"",""))</f>
        <v/>
      </c>
      <c r="AB396" s="45">
        <f>IF(R396&lt;&gt;"Livrée",0,IF(K396&lt;&gt;"",K396,C396))</f>
        <v/>
      </c>
      <c r="AC396" s="33">
        <f>IF(OR(C396="",W396=""),"",P396&amp;"|"&amp;W396&amp;"|"&amp;C396&amp;"|"&amp;E396)</f>
        <v/>
      </c>
      <c r="AD396" s="39">
        <f>IF(AC396="","",IF(COUNTIF(AC$6:AC396,AC396)=1,1,0))</f>
        <v/>
      </c>
      <c r="AE396" s="39">
        <f>IF(AB396=0,"",IF(COUNTIFS(X$6:X396,X396,AB$6:AB396,AB396)=1,1,0))</f>
        <v/>
      </c>
      <c r="AF396" s="34">
        <f>IF(C396="","",YEAR(C396-WEEKDAY(C396,2)+4)&amp;"-S"&amp;TEXT(INT((C396-DATE(YEAR(C396-WEEKDAY(C396,2)+4),1,3)+WEEKDAY(DATE(YEAR(C396-WEEKDAY(C396,2)+4),1,3),2)+5)/7),"00"))</f>
        <v/>
      </c>
    </row>
    <row r="397" ht="18" customHeight="1">
      <c r="A397" s="39" t="n">
        <v>392</v>
      </c>
      <c r="B397" s="33">
        <f>IF(C397="","",IF(P397="À RENSEIGNER","GIC",P397)&amp;"-C"&amp;TEXT(A397,"00000"))</f>
        <v/>
      </c>
      <c r="C397" s="32" t="n"/>
      <c r="D397" s="36" t="n"/>
      <c r="E397" s="36" t="n"/>
      <c r="F397" s="36" t="n"/>
      <c r="G397" s="42" t="n"/>
      <c r="H397" s="37" t="n"/>
      <c r="I397" s="37" t="n"/>
      <c r="J397" s="32" t="n"/>
      <c r="K397" s="32" t="n"/>
      <c r="L397" s="43" t="n"/>
      <c r="M397" s="36" t="n"/>
      <c r="N397" s="44" t="n"/>
      <c r="O397" s="36" t="n"/>
      <c r="P397" s="33">
        <f>IF(C397="","",Commercial_Id)</f>
        <v/>
      </c>
      <c r="Q397" s="34">
        <f>IF(AC397="","",IF(AD397=1,"C"&amp;TEXT(SUM(AD$6:AD397),"0000"),INDEX(Q$6:Q396,MATCH(AC397,AC$6:AC396,0))))</f>
        <v/>
      </c>
      <c r="R397" s="34">
        <f>IF(C397="","",IF(L397="☑ Oui","Annulée",IF(OR(E397="Vente directe",K397&lt;&gt;""),"Livrée",IF(J397&lt;&gt;"","Confirmée","En attente"))))</f>
        <v/>
      </c>
      <c r="S397" s="34">
        <f>IF(F397="","",IFERROR(VLOOKUP(F397,T_Produits,2,FALSE),""))</f>
        <v/>
      </c>
      <c r="T397" s="40">
        <f>IF(F397="","",IFERROR(1/(1/VLOOKUP(F397,T_Produits,3,FALSE)),""))</f>
        <v/>
      </c>
      <c r="U397" s="40">
        <f>IF(H397&lt;&gt;"",H397,T397)</f>
        <v/>
      </c>
      <c r="V397" s="40">
        <f>IF(OR(G397="",U397=""),"",G397*U397-N(I397))</f>
        <v/>
      </c>
      <c r="W397" s="39">
        <f>IF(D397="","",IFERROR(VALUE(MID(D397,LEN(D397)-3,3)),""))</f>
        <v/>
      </c>
      <c r="X397" s="33">
        <f>IF(W397="","",P397&amp;"|"&amp;W397)</f>
        <v/>
      </c>
      <c r="Y397" s="33">
        <f>IF(W397="","",IF(P397="À RENSEIGNER","GIC",P397)&amp;"-"&amp;TEXT(W397,"000"))</f>
        <v/>
      </c>
      <c r="Z397" s="33">
        <f>IF(X397="","",IFERROR(INDEX(Cl_nom,MATCH(X397,Cl_cle,0)),"(client introuvable)"))</f>
        <v/>
      </c>
      <c r="AA397" s="33">
        <f>IF(X397="","",IFERROR(INDEX(Cl_quartier,MATCH(X397,Cl_cle,0))&amp;"",""))</f>
        <v/>
      </c>
      <c r="AB397" s="45">
        <f>IF(R397&lt;&gt;"Livrée",0,IF(K397&lt;&gt;"",K397,C397))</f>
        <v/>
      </c>
      <c r="AC397" s="33">
        <f>IF(OR(C397="",W397=""),"",P397&amp;"|"&amp;W397&amp;"|"&amp;C397&amp;"|"&amp;E397)</f>
        <v/>
      </c>
      <c r="AD397" s="39">
        <f>IF(AC397="","",IF(COUNTIF(AC$6:AC397,AC397)=1,1,0))</f>
        <v/>
      </c>
      <c r="AE397" s="39">
        <f>IF(AB397=0,"",IF(COUNTIFS(X$6:X397,X397,AB$6:AB397,AB397)=1,1,0))</f>
        <v/>
      </c>
      <c r="AF397" s="34">
        <f>IF(C397="","",YEAR(C397-WEEKDAY(C397,2)+4)&amp;"-S"&amp;TEXT(INT((C397-DATE(YEAR(C397-WEEKDAY(C397,2)+4),1,3)+WEEKDAY(DATE(YEAR(C397-WEEKDAY(C397,2)+4),1,3),2)+5)/7),"00"))</f>
        <v/>
      </c>
    </row>
    <row r="398" ht="18" customHeight="1">
      <c r="A398" s="39" t="n">
        <v>393</v>
      </c>
      <c r="B398" s="33">
        <f>IF(C398="","",IF(P398="À RENSEIGNER","GIC",P398)&amp;"-C"&amp;TEXT(A398,"00000"))</f>
        <v/>
      </c>
      <c r="C398" s="32" t="n"/>
      <c r="D398" s="36" t="n"/>
      <c r="E398" s="36" t="n"/>
      <c r="F398" s="36" t="n"/>
      <c r="G398" s="42" t="n"/>
      <c r="H398" s="37" t="n"/>
      <c r="I398" s="37" t="n"/>
      <c r="J398" s="32" t="n"/>
      <c r="K398" s="32" t="n"/>
      <c r="L398" s="43" t="n"/>
      <c r="M398" s="36" t="n"/>
      <c r="N398" s="44" t="n"/>
      <c r="O398" s="36" t="n"/>
      <c r="P398" s="33">
        <f>IF(C398="","",Commercial_Id)</f>
        <v/>
      </c>
      <c r="Q398" s="34">
        <f>IF(AC398="","",IF(AD398=1,"C"&amp;TEXT(SUM(AD$6:AD398),"0000"),INDEX(Q$6:Q397,MATCH(AC398,AC$6:AC397,0))))</f>
        <v/>
      </c>
      <c r="R398" s="34">
        <f>IF(C398="","",IF(L398="☑ Oui","Annulée",IF(OR(E398="Vente directe",K398&lt;&gt;""),"Livrée",IF(J398&lt;&gt;"","Confirmée","En attente"))))</f>
        <v/>
      </c>
      <c r="S398" s="34">
        <f>IF(F398="","",IFERROR(VLOOKUP(F398,T_Produits,2,FALSE),""))</f>
        <v/>
      </c>
      <c r="T398" s="40">
        <f>IF(F398="","",IFERROR(1/(1/VLOOKUP(F398,T_Produits,3,FALSE)),""))</f>
        <v/>
      </c>
      <c r="U398" s="40">
        <f>IF(H398&lt;&gt;"",H398,T398)</f>
        <v/>
      </c>
      <c r="V398" s="40">
        <f>IF(OR(G398="",U398=""),"",G398*U398-N(I398))</f>
        <v/>
      </c>
      <c r="W398" s="39">
        <f>IF(D398="","",IFERROR(VALUE(MID(D398,LEN(D398)-3,3)),""))</f>
        <v/>
      </c>
      <c r="X398" s="33">
        <f>IF(W398="","",P398&amp;"|"&amp;W398)</f>
        <v/>
      </c>
      <c r="Y398" s="33">
        <f>IF(W398="","",IF(P398="À RENSEIGNER","GIC",P398)&amp;"-"&amp;TEXT(W398,"000"))</f>
        <v/>
      </c>
      <c r="Z398" s="33">
        <f>IF(X398="","",IFERROR(INDEX(Cl_nom,MATCH(X398,Cl_cle,0)),"(client introuvable)"))</f>
        <v/>
      </c>
      <c r="AA398" s="33">
        <f>IF(X398="","",IFERROR(INDEX(Cl_quartier,MATCH(X398,Cl_cle,0))&amp;"",""))</f>
        <v/>
      </c>
      <c r="AB398" s="45">
        <f>IF(R398&lt;&gt;"Livrée",0,IF(K398&lt;&gt;"",K398,C398))</f>
        <v/>
      </c>
      <c r="AC398" s="33">
        <f>IF(OR(C398="",W398=""),"",P398&amp;"|"&amp;W398&amp;"|"&amp;C398&amp;"|"&amp;E398)</f>
        <v/>
      </c>
      <c r="AD398" s="39">
        <f>IF(AC398="","",IF(COUNTIF(AC$6:AC398,AC398)=1,1,0))</f>
        <v/>
      </c>
      <c r="AE398" s="39">
        <f>IF(AB398=0,"",IF(COUNTIFS(X$6:X398,X398,AB$6:AB398,AB398)=1,1,0))</f>
        <v/>
      </c>
      <c r="AF398" s="34">
        <f>IF(C398="","",YEAR(C398-WEEKDAY(C398,2)+4)&amp;"-S"&amp;TEXT(INT((C398-DATE(YEAR(C398-WEEKDAY(C398,2)+4),1,3)+WEEKDAY(DATE(YEAR(C398-WEEKDAY(C398,2)+4),1,3),2)+5)/7),"00"))</f>
        <v/>
      </c>
    </row>
    <row r="399" ht="18" customHeight="1">
      <c r="A399" s="39" t="n">
        <v>394</v>
      </c>
      <c r="B399" s="33">
        <f>IF(C399="","",IF(P399="À RENSEIGNER","GIC",P399)&amp;"-C"&amp;TEXT(A399,"00000"))</f>
        <v/>
      </c>
      <c r="C399" s="32" t="n"/>
      <c r="D399" s="36" t="n"/>
      <c r="E399" s="36" t="n"/>
      <c r="F399" s="36" t="n"/>
      <c r="G399" s="42" t="n"/>
      <c r="H399" s="37" t="n"/>
      <c r="I399" s="37" t="n"/>
      <c r="J399" s="32" t="n"/>
      <c r="K399" s="32" t="n"/>
      <c r="L399" s="43" t="n"/>
      <c r="M399" s="36" t="n"/>
      <c r="N399" s="44" t="n"/>
      <c r="O399" s="36" t="n"/>
      <c r="P399" s="33">
        <f>IF(C399="","",Commercial_Id)</f>
        <v/>
      </c>
      <c r="Q399" s="34">
        <f>IF(AC399="","",IF(AD399=1,"C"&amp;TEXT(SUM(AD$6:AD399),"0000"),INDEX(Q$6:Q398,MATCH(AC399,AC$6:AC398,0))))</f>
        <v/>
      </c>
      <c r="R399" s="34">
        <f>IF(C399="","",IF(L399="☑ Oui","Annulée",IF(OR(E399="Vente directe",K399&lt;&gt;""),"Livrée",IF(J399&lt;&gt;"","Confirmée","En attente"))))</f>
        <v/>
      </c>
      <c r="S399" s="34">
        <f>IF(F399="","",IFERROR(VLOOKUP(F399,T_Produits,2,FALSE),""))</f>
        <v/>
      </c>
      <c r="T399" s="40">
        <f>IF(F399="","",IFERROR(1/(1/VLOOKUP(F399,T_Produits,3,FALSE)),""))</f>
        <v/>
      </c>
      <c r="U399" s="40">
        <f>IF(H399&lt;&gt;"",H399,T399)</f>
        <v/>
      </c>
      <c r="V399" s="40">
        <f>IF(OR(G399="",U399=""),"",G399*U399-N(I399))</f>
        <v/>
      </c>
      <c r="W399" s="39">
        <f>IF(D399="","",IFERROR(VALUE(MID(D399,LEN(D399)-3,3)),""))</f>
        <v/>
      </c>
      <c r="X399" s="33">
        <f>IF(W399="","",P399&amp;"|"&amp;W399)</f>
        <v/>
      </c>
      <c r="Y399" s="33">
        <f>IF(W399="","",IF(P399="À RENSEIGNER","GIC",P399)&amp;"-"&amp;TEXT(W399,"000"))</f>
        <v/>
      </c>
      <c r="Z399" s="33">
        <f>IF(X399="","",IFERROR(INDEX(Cl_nom,MATCH(X399,Cl_cle,0)),"(client introuvable)"))</f>
        <v/>
      </c>
      <c r="AA399" s="33">
        <f>IF(X399="","",IFERROR(INDEX(Cl_quartier,MATCH(X399,Cl_cle,0))&amp;"",""))</f>
        <v/>
      </c>
      <c r="AB399" s="45">
        <f>IF(R399&lt;&gt;"Livrée",0,IF(K399&lt;&gt;"",K399,C399))</f>
        <v/>
      </c>
      <c r="AC399" s="33">
        <f>IF(OR(C399="",W399=""),"",P399&amp;"|"&amp;W399&amp;"|"&amp;C399&amp;"|"&amp;E399)</f>
        <v/>
      </c>
      <c r="AD399" s="39">
        <f>IF(AC399="","",IF(COUNTIF(AC$6:AC399,AC399)=1,1,0))</f>
        <v/>
      </c>
      <c r="AE399" s="39">
        <f>IF(AB399=0,"",IF(COUNTIFS(X$6:X399,X399,AB$6:AB399,AB399)=1,1,0))</f>
        <v/>
      </c>
      <c r="AF399" s="34">
        <f>IF(C399="","",YEAR(C399-WEEKDAY(C399,2)+4)&amp;"-S"&amp;TEXT(INT((C399-DATE(YEAR(C399-WEEKDAY(C399,2)+4),1,3)+WEEKDAY(DATE(YEAR(C399-WEEKDAY(C399,2)+4),1,3),2)+5)/7),"00"))</f>
        <v/>
      </c>
    </row>
    <row r="400" ht="18" customHeight="1">
      <c r="A400" s="39" t="n">
        <v>395</v>
      </c>
      <c r="B400" s="33">
        <f>IF(C400="","",IF(P400="À RENSEIGNER","GIC",P400)&amp;"-C"&amp;TEXT(A400,"00000"))</f>
        <v/>
      </c>
      <c r="C400" s="32" t="n"/>
      <c r="D400" s="36" t="n"/>
      <c r="E400" s="36" t="n"/>
      <c r="F400" s="36" t="n"/>
      <c r="G400" s="42" t="n"/>
      <c r="H400" s="37" t="n"/>
      <c r="I400" s="37" t="n"/>
      <c r="J400" s="32" t="n"/>
      <c r="K400" s="32" t="n"/>
      <c r="L400" s="43" t="n"/>
      <c r="M400" s="36" t="n"/>
      <c r="N400" s="44" t="n"/>
      <c r="O400" s="36" t="n"/>
      <c r="P400" s="33">
        <f>IF(C400="","",Commercial_Id)</f>
        <v/>
      </c>
      <c r="Q400" s="34">
        <f>IF(AC400="","",IF(AD400=1,"C"&amp;TEXT(SUM(AD$6:AD400),"0000"),INDEX(Q$6:Q399,MATCH(AC400,AC$6:AC399,0))))</f>
        <v/>
      </c>
      <c r="R400" s="34">
        <f>IF(C400="","",IF(L400="☑ Oui","Annulée",IF(OR(E400="Vente directe",K400&lt;&gt;""),"Livrée",IF(J400&lt;&gt;"","Confirmée","En attente"))))</f>
        <v/>
      </c>
      <c r="S400" s="34">
        <f>IF(F400="","",IFERROR(VLOOKUP(F400,T_Produits,2,FALSE),""))</f>
        <v/>
      </c>
      <c r="T400" s="40">
        <f>IF(F400="","",IFERROR(1/(1/VLOOKUP(F400,T_Produits,3,FALSE)),""))</f>
        <v/>
      </c>
      <c r="U400" s="40">
        <f>IF(H400&lt;&gt;"",H400,T400)</f>
        <v/>
      </c>
      <c r="V400" s="40">
        <f>IF(OR(G400="",U400=""),"",G400*U400-N(I400))</f>
        <v/>
      </c>
      <c r="W400" s="39">
        <f>IF(D400="","",IFERROR(VALUE(MID(D400,LEN(D400)-3,3)),""))</f>
        <v/>
      </c>
      <c r="X400" s="33">
        <f>IF(W400="","",P400&amp;"|"&amp;W400)</f>
        <v/>
      </c>
      <c r="Y400" s="33">
        <f>IF(W400="","",IF(P400="À RENSEIGNER","GIC",P400)&amp;"-"&amp;TEXT(W400,"000"))</f>
        <v/>
      </c>
      <c r="Z400" s="33">
        <f>IF(X400="","",IFERROR(INDEX(Cl_nom,MATCH(X400,Cl_cle,0)),"(client introuvable)"))</f>
        <v/>
      </c>
      <c r="AA400" s="33">
        <f>IF(X400="","",IFERROR(INDEX(Cl_quartier,MATCH(X400,Cl_cle,0))&amp;"",""))</f>
        <v/>
      </c>
      <c r="AB400" s="45">
        <f>IF(R400&lt;&gt;"Livrée",0,IF(K400&lt;&gt;"",K400,C400))</f>
        <v/>
      </c>
      <c r="AC400" s="33">
        <f>IF(OR(C400="",W400=""),"",P400&amp;"|"&amp;W400&amp;"|"&amp;C400&amp;"|"&amp;E400)</f>
        <v/>
      </c>
      <c r="AD400" s="39">
        <f>IF(AC400="","",IF(COUNTIF(AC$6:AC400,AC400)=1,1,0))</f>
        <v/>
      </c>
      <c r="AE400" s="39">
        <f>IF(AB400=0,"",IF(COUNTIFS(X$6:X400,X400,AB$6:AB400,AB400)=1,1,0))</f>
        <v/>
      </c>
      <c r="AF400" s="34">
        <f>IF(C400="","",YEAR(C400-WEEKDAY(C400,2)+4)&amp;"-S"&amp;TEXT(INT((C400-DATE(YEAR(C400-WEEKDAY(C400,2)+4),1,3)+WEEKDAY(DATE(YEAR(C400-WEEKDAY(C400,2)+4),1,3),2)+5)/7),"00"))</f>
        <v/>
      </c>
    </row>
    <row r="401" ht="18" customHeight="1">
      <c r="A401" s="39" t="n">
        <v>396</v>
      </c>
      <c r="B401" s="33">
        <f>IF(C401="","",IF(P401="À RENSEIGNER","GIC",P401)&amp;"-C"&amp;TEXT(A401,"00000"))</f>
        <v/>
      </c>
      <c r="C401" s="32" t="n"/>
      <c r="D401" s="36" t="n"/>
      <c r="E401" s="36" t="n"/>
      <c r="F401" s="36" t="n"/>
      <c r="G401" s="42" t="n"/>
      <c r="H401" s="37" t="n"/>
      <c r="I401" s="37" t="n"/>
      <c r="J401" s="32" t="n"/>
      <c r="K401" s="32" t="n"/>
      <c r="L401" s="43" t="n"/>
      <c r="M401" s="36" t="n"/>
      <c r="N401" s="44" t="n"/>
      <c r="O401" s="36" t="n"/>
      <c r="P401" s="33">
        <f>IF(C401="","",Commercial_Id)</f>
        <v/>
      </c>
      <c r="Q401" s="34">
        <f>IF(AC401="","",IF(AD401=1,"C"&amp;TEXT(SUM(AD$6:AD401),"0000"),INDEX(Q$6:Q400,MATCH(AC401,AC$6:AC400,0))))</f>
        <v/>
      </c>
      <c r="R401" s="34">
        <f>IF(C401="","",IF(L401="☑ Oui","Annulée",IF(OR(E401="Vente directe",K401&lt;&gt;""),"Livrée",IF(J401&lt;&gt;"","Confirmée","En attente"))))</f>
        <v/>
      </c>
      <c r="S401" s="34">
        <f>IF(F401="","",IFERROR(VLOOKUP(F401,T_Produits,2,FALSE),""))</f>
        <v/>
      </c>
      <c r="T401" s="40">
        <f>IF(F401="","",IFERROR(1/(1/VLOOKUP(F401,T_Produits,3,FALSE)),""))</f>
        <v/>
      </c>
      <c r="U401" s="40">
        <f>IF(H401&lt;&gt;"",H401,T401)</f>
        <v/>
      </c>
      <c r="V401" s="40">
        <f>IF(OR(G401="",U401=""),"",G401*U401-N(I401))</f>
        <v/>
      </c>
      <c r="W401" s="39">
        <f>IF(D401="","",IFERROR(VALUE(MID(D401,LEN(D401)-3,3)),""))</f>
        <v/>
      </c>
      <c r="X401" s="33">
        <f>IF(W401="","",P401&amp;"|"&amp;W401)</f>
        <v/>
      </c>
      <c r="Y401" s="33">
        <f>IF(W401="","",IF(P401="À RENSEIGNER","GIC",P401)&amp;"-"&amp;TEXT(W401,"000"))</f>
        <v/>
      </c>
      <c r="Z401" s="33">
        <f>IF(X401="","",IFERROR(INDEX(Cl_nom,MATCH(X401,Cl_cle,0)),"(client introuvable)"))</f>
        <v/>
      </c>
      <c r="AA401" s="33">
        <f>IF(X401="","",IFERROR(INDEX(Cl_quartier,MATCH(X401,Cl_cle,0))&amp;"",""))</f>
        <v/>
      </c>
      <c r="AB401" s="45">
        <f>IF(R401&lt;&gt;"Livrée",0,IF(K401&lt;&gt;"",K401,C401))</f>
        <v/>
      </c>
      <c r="AC401" s="33">
        <f>IF(OR(C401="",W401=""),"",P401&amp;"|"&amp;W401&amp;"|"&amp;C401&amp;"|"&amp;E401)</f>
        <v/>
      </c>
      <c r="AD401" s="39">
        <f>IF(AC401="","",IF(COUNTIF(AC$6:AC401,AC401)=1,1,0))</f>
        <v/>
      </c>
      <c r="AE401" s="39">
        <f>IF(AB401=0,"",IF(COUNTIFS(X$6:X401,X401,AB$6:AB401,AB401)=1,1,0))</f>
        <v/>
      </c>
      <c r="AF401" s="34">
        <f>IF(C401="","",YEAR(C401-WEEKDAY(C401,2)+4)&amp;"-S"&amp;TEXT(INT((C401-DATE(YEAR(C401-WEEKDAY(C401,2)+4),1,3)+WEEKDAY(DATE(YEAR(C401-WEEKDAY(C401,2)+4),1,3),2)+5)/7),"00"))</f>
        <v/>
      </c>
    </row>
    <row r="402" ht="18" customHeight="1">
      <c r="A402" s="39" t="n">
        <v>397</v>
      </c>
      <c r="B402" s="33">
        <f>IF(C402="","",IF(P402="À RENSEIGNER","GIC",P402)&amp;"-C"&amp;TEXT(A402,"00000"))</f>
        <v/>
      </c>
      <c r="C402" s="32" t="n"/>
      <c r="D402" s="36" t="n"/>
      <c r="E402" s="36" t="n"/>
      <c r="F402" s="36" t="n"/>
      <c r="G402" s="42" t="n"/>
      <c r="H402" s="37" t="n"/>
      <c r="I402" s="37" t="n"/>
      <c r="J402" s="32" t="n"/>
      <c r="K402" s="32" t="n"/>
      <c r="L402" s="43" t="n"/>
      <c r="M402" s="36" t="n"/>
      <c r="N402" s="44" t="n"/>
      <c r="O402" s="36" t="n"/>
      <c r="P402" s="33">
        <f>IF(C402="","",Commercial_Id)</f>
        <v/>
      </c>
      <c r="Q402" s="34">
        <f>IF(AC402="","",IF(AD402=1,"C"&amp;TEXT(SUM(AD$6:AD402),"0000"),INDEX(Q$6:Q401,MATCH(AC402,AC$6:AC401,0))))</f>
        <v/>
      </c>
      <c r="R402" s="34">
        <f>IF(C402="","",IF(L402="☑ Oui","Annulée",IF(OR(E402="Vente directe",K402&lt;&gt;""),"Livrée",IF(J402&lt;&gt;"","Confirmée","En attente"))))</f>
        <v/>
      </c>
      <c r="S402" s="34">
        <f>IF(F402="","",IFERROR(VLOOKUP(F402,T_Produits,2,FALSE),""))</f>
        <v/>
      </c>
      <c r="T402" s="40">
        <f>IF(F402="","",IFERROR(1/(1/VLOOKUP(F402,T_Produits,3,FALSE)),""))</f>
        <v/>
      </c>
      <c r="U402" s="40">
        <f>IF(H402&lt;&gt;"",H402,T402)</f>
        <v/>
      </c>
      <c r="V402" s="40">
        <f>IF(OR(G402="",U402=""),"",G402*U402-N(I402))</f>
        <v/>
      </c>
      <c r="W402" s="39">
        <f>IF(D402="","",IFERROR(VALUE(MID(D402,LEN(D402)-3,3)),""))</f>
        <v/>
      </c>
      <c r="X402" s="33">
        <f>IF(W402="","",P402&amp;"|"&amp;W402)</f>
        <v/>
      </c>
      <c r="Y402" s="33">
        <f>IF(W402="","",IF(P402="À RENSEIGNER","GIC",P402)&amp;"-"&amp;TEXT(W402,"000"))</f>
        <v/>
      </c>
      <c r="Z402" s="33">
        <f>IF(X402="","",IFERROR(INDEX(Cl_nom,MATCH(X402,Cl_cle,0)),"(client introuvable)"))</f>
        <v/>
      </c>
      <c r="AA402" s="33">
        <f>IF(X402="","",IFERROR(INDEX(Cl_quartier,MATCH(X402,Cl_cle,0))&amp;"",""))</f>
        <v/>
      </c>
      <c r="AB402" s="45">
        <f>IF(R402&lt;&gt;"Livrée",0,IF(K402&lt;&gt;"",K402,C402))</f>
        <v/>
      </c>
      <c r="AC402" s="33">
        <f>IF(OR(C402="",W402=""),"",P402&amp;"|"&amp;W402&amp;"|"&amp;C402&amp;"|"&amp;E402)</f>
        <v/>
      </c>
      <c r="AD402" s="39">
        <f>IF(AC402="","",IF(COUNTIF(AC$6:AC402,AC402)=1,1,0))</f>
        <v/>
      </c>
      <c r="AE402" s="39">
        <f>IF(AB402=0,"",IF(COUNTIFS(X$6:X402,X402,AB$6:AB402,AB402)=1,1,0))</f>
        <v/>
      </c>
      <c r="AF402" s="34">
        <f>IF(C402="","",YEAR(C402-WEEKDAY(C402,2)+4)&amp;"-S"&amp;TEXT(INT((C402-DATE(YEAR(C402-WEEKDAY(C402,2)+4),1,3)+WEEKDAY(DATE(YEAR(C402-WEEKDAY(C402,2)+4),1,3),2)+5)/7),"00"))</f>
        <v/>
      </c>
    </row>
    <row r="403" ht="18" customHeight="1">
      <c r="A403" s="39" t="n">
        <v>398</v>
      </c>
      <c r="B403" s="33">
        <f>IF(C403="","",IF(P403="À RENSEIGNER","GIC",P403)&amp;"-C"&amp;TEXT(A403,"00000"))</f>
        <v/>
      </c>
      <c r="C403" s="32" t="n"/>
      <c r="D403" s="36" t="n"/>
      <c r="E403" s="36" t="n"/>
      <c r="F403" s="36" t="n"/>
      <c r="G403" s="42" t="n"/>
      <c r="H403" s="37" t="n"/>
      <c r="I403" s="37" t="n"/>
      <c r="J403" s="32" t="n"/>
      <c r="K403" s="32" t="n"/>
      <c r="L403" s="43" t="n"/>
      <c r="M403" s="36" t="n"/>
      <c r="N403" s="44" t="n"/>
      <c r="O403" s="36" t="n"/>
      <c r="P403" s="33">
        <f>IF(C403="","",Commercial_Id)</f>
        <v/>
      </c>
      <c r="Q403" s="34">
        <f>IF(AC403="","",IF(AD403=1,"C"&amp;TEXT(SUM(AD$6:AD403),"0000"),INDEX(Q$6:Q402,MATCH(AC403,AC$6:AC402,0))))</f>
        <v/>
      </c>
      <c r="R403" s="34">
        <f>IF(C403="","",IF(L403="☑ Oui","Annulée",IF(OR(E403="Vente directe",K403&lt;&gt;""),"Livrée",IF(J403&lt;&gt;"","Confirmée","En attente"))))</f>
        <v/>
      </c>
      <c r="S403" s="34">
        <f>IF(F403="","",IFERROR(VLOOKUP(F403,T_Produits,2,FALSE),""))</f>
        <v/>
      </c>
      <c r="T403" s="40">
        <f>IF(F403="","",IFERROR(1/(1/VLOOKUP(F403,T_Produits,3,FALSE)),""))</f>
        <v/>
      </c>
      <c r="U403" s="40">
        <f>IF(H403&lt;&gt;"",H403,T403)</f>
        <v/>
      </c>
      <c r="V403" s="40">
        <f>IF(OR(G403="",U403=""),"",G403*U403-N(I403))</f>
        <v/>
      </c>
      <c r="W403" s="39">
        <f>IF(D403="","",IFERROR(VALUE(MID(D403,LEN(D403)-3,3)),""))</f>
        <v/>
      </c>
      <c r="X403" s="33">
        <f>IF(W403="","",P403&amp;"|"&amp;W403)</f>
        <v/>
      </c>
      <c r="Y403" s="33">
        <f>IF(W403="","",IF(P403="À RENSEIGNER","GIC",P403)&amp;"-"&amp;TEXT(W403,"000"))</f>
        <v/>
      </c>
      <c r="Z403" s="33">
        <f>IF(X403="","",IFERROR(INDEX(Cl_nom,MATCH(X403,Cl_cle,0)),"(client introuvable)"))</f>
        <v/>
      </c>
      <c r="AA403" s="33">
        <f>IF(X403="","",IFERROR(INDEX(Cl_quartier,MATCH(X403,Cl_cle,0))&amp;"",""))</f>
        <v/>
      </c>
      <c r="AB403" s="45">
        <f>IF(R403&lt;&gt;"Livrée",0,IF(K403&lt;&gt;"",K403,C403))</f>
        <v/>
      </c>
      <c r="AC403" s="33">
        <f>IF(OR(C403="",W403=""),"",P403&amp;"|"&amp;W403&amp;"|"&amp;C403&amp;"|"&amp;E403)</f>
        <v/>
      </c>
      <c r="AD403" s="39">
        <f>IF(AC403="","",IF(COUNTIF(AC$6:AC403,AC403)=1,1,0))</f>
        <v/>
      </c>
      <c r="AE403" s="39">
        <f>IF(AB403=0,"",IF(COUNTIFS(X$6:X403,X403,AB$6:AB403,AB403)=1,1,0))</f>
        <v/>
      </c>
      <c r="AF403" s="34">
        <f>IF(C403="","",YEAR(C403-WEEKDAY(C403,2)+4)&amp;"-S"&amp;TEXT(INT((C403-DATE(YEAR(C403-WEEKDAY(C403,2)+4),1,3)+WEEKDAY(DATE(YEAR(C403-WEEKDAY(C403,2)+4),1,3),2)+5)/7),"00"))</f>
        <v/>
      </c>
    </row>
    <row r="404" ht="18" customHeight="1">
      <c r="A404" s="39" t="n">
        <v>399</v>
      </c>
      <c r="B404" s="33">
        <f>IF(C404="","",IF(P404="À RENSEIGNER","GIC",P404)&amp;"-C"&amp;TEXT(A404,"00000"))</f>
        <v/>
      </c>
      <c r="C404" s="32" t="n"/>
      <c r="D404" s="36" t="n"/>
      <c r="E404" s="36" t="n"/>
      <c r="F404" s="36" t="n"/>
      <c r="G404" s="42" t="n"/>
      <c r="H404" s="37" t="n"/>
      <c r="I404" s="37" t="n"/>
      <c r="J404" s="32" t="n"/>
      <c r="K404" s="32" t="n"/>
      <c r="L404" s="43" t="n"/>
      <c r="M404" s="36" t="n"/>
      <c r="N404" s="44" t="n"/>
      <c r="O404" s="36" t="n"/>
      <c r="P404" s="33">
        <f>IF(C404="","",Commercial_Id)</f>
        <v/>
      </c>
      <c r="Q404" s="34">
        <f>IF(AC404="","",IF(AD404=1,"C"&amp;TEXT(SUM(AD$6:AD404),"0000"),INDEX(Q$6:Q403,MATCH(AC404,AC$6:AC403,0))))</f>
        <v/>
      </c>
      <c r="R404" s="34">
        <f>IF(C404="","",IF(L404="☑ Oui","Annulée",IF(OR(E404="Vente directe",K404&lt;&gt;""),"Livrée",IF(J404&lt;&gt;"","Confirmée","En attente"))))</f>
        <v/>
      </c>
      <c r="S404" s="34">
        <f>IF(F404="","",IFERROR(VLOOKUP(F404,T_Produits,2,FALSE),""))</f>
        <v/>
      </c>
      <c r="T404" s="40">
        <f>IF(F404="","",IFERROR(1/(1/VLOOKUP(F404,T_Produits,3,FALSE)),""))</f>
        <v/>
      </c>
      <c r="U404" s="40">
        <f>IF(H404&lt;&gt;"",H404,T404)</f>
        <v/>
      </c>
      <c r="V404" s="40">
        <f>IF(OR(G404="",U404=""),"",G404*U404-N(I404))</f>
        <v/>
      </c>
      <c r="W404" s="39">
        <f>IF(D404="","",IFERROR(VALUE(MID(D404,LEN(D404)-3,3)),""))</f>
        <v/>
      </c>
      <c r="X404" s="33">
        <f>IF(W404="","",P404&amp;"|"&amp;W404)</f>
        <v/>
      </c>
      <c r="Y404" s="33">
        <f>IF(W404="","",IF(P404="À RENSEIGNER","GIC",P404)&amp;"-"&amp;TEXT(W404,"000"))</f>
        <v/>
      </c>
      <c r="Z404" s="33">
        <f>IF(X404="","",IFERROR(INDEX(Cl_nom,MATCH(X404,Cl_cle,0)),"(client introuvable)"))</f>
        <v/>
      </c>
      <c r="AA404" s="33">
        <f>IF(X404="","",IFERROR(INDEX(Cl_quartier,MATCH(X404,Cl_cle,0))&amp;"",""))</f>
        <v/>
      </c>
      <c r="AB404" s="45">
        <f>IF(R404&lt;&gt;"Livrée",0,IF(K404&lt;&gt;"",K404,C404))</f>
        <v/>
      </c>
      <c r="AC404" s="33">
        <f>IF(OR(C404="",W404=""),"",P404&amp;"|"&amp;W404&amp;"|"&amp;C404&amp;"|"&amp;E404)</f>
        <v/>
      </c>
      <c r="AD404" s="39">
        <f>IF(AC404="","",IF(COUNTIF(AC$6:AC404,AC404)=1,1,0))</f>
        <v/>
      </c>
      <c r="AE404" s="39">
        <f>IF(AB404=0,"",IF(COUNTIFS(X$6:X404,X404,AB$6:AB404,AB404)=1,1,0))</f>
        <v/>
      </c>
      <c r="AF404" s="34">
        <f>IF(C404="","",YEAR(C404-WEEKDAY(C404,2)+4)&amp;"-S"&amp;TEXT(INT((C404-DATE(YEAR(C404-WEEKDAY(C404,2)+4),1,3)+WEEKDAY(DATE(YEAR(C404-WEEKDAY(C404,2)+4),1,3),2)+5)/7),"00"))</f>
        <v/>
      </c>
    </row>
    <row r="405" ht="18" customHeight="1">
      <c r="A405" s="39" t="n">
        <v>400</v>
      </c>
      <c r="B405" s="33">
        <f>IF(C405="","",IF(P405="À RENSEIGNER","GIC",P405)&amp;"-C"&amp;TEXT(A405,"00000"))</f>
        <v/>
      </c>
      <c r="C405" s="32" t="n"/>
      <c r="D405" s="36" t="n"/>
      <c r="E405" s="36" t="n"/>
      <c r="F405" s="36" t="n"/>
      <c r="G405" s="42" t="n"/>
      <c r="H405" s="37" t="n"/>
      <c r="I405" s="37" t="n"/>
      <c r="J405" s="32" t="n"/>
      <c r="K405" s="32" t="n"/>
      <c r="L405" s="43" t="n"/>
      <c r="M405" s="36" t="n"/>
      <c r="N405" s="44" t="n"/>
      <c r="O405" s="36" t="n"/>
      <c r="P405" s="33">
        <f>IF(C405="","",Commercial_Id)</f>
        <v/>
      </c>
      <c r="Q405" s="34">
        <f>IF(AC405="","",IF(AD405=1,"C"&amp;TEXT(SUM(AD$6:AD405),"0000"),INDEX(Q$6:Q404,MATCH(AC405,AC$6:AC404,0))))</f>
        <v/>
      </c>
      <c r="R405" s="34">
        <f>IF(C405="","",IF(L405="☑ Oui","Annulée",IF(OR(E405="Vente directe",K405&lt;&gt;""),"Livrée",IF(J405&lt;&gt;"","Confirmée","En attente"))))</f>
        <v/>
      </c>
      <c r="S405" s="34">
        <f>IF(F405="","",IFERROR(VLOOKUP(F405,T_Produits,2,FALSE),""))</f>
        <v/>
      </c>
      <c r="T405" s="40">
        <f>IF(F405="","",IFERROR(1/(1/VLOOKUP(F405,T_Produits,3,FALSE)),""))</f>
        <v/>
      </c>
      <c r="U405" s="40">
        <f>IF(H405&lt;&gt;"",H405,T405)</f>
        <v/>
      </c>
      <c r="V405" s="40">
        <f>IF(OR(G405="",U405=""),"",G405*U405-N(I405))</f>
        <v/>
      </c>
      <c r="W405" s="39">
        <f>IF(D405="","",IFERROR(VALUE(MID(D405,LEN(D405)-3,3)),""))</f>
        <v/>
      </c>
      <c r="X405" s="33">
        <f>IF(W405="","",P405&amp;"|"&amp;W405)</f>
        <v/>
      </c>
      <c r="Y405" s="33">
        <f>IF(W405="","",IF(P405="À RENSEIGNER","GIC",P405)&amp;"-"&amp;TEXT(W405,"000"))</f>
        <v/>
      </c>
      <c r="Z405" s="33">
        <f>IF(X405="","",IFERROR(INDEX(Cl_nom,MATCH(X405,Cl_cle,0)),"(client introuvable)"))</f>
        <v/>
      </c>
      <c r="AA405" s="33">
        <f>IF(X405="","",IFERROR(INDEX(Cl_quartier,MATCH(X405,Cl_cle,0))&amp;"",""))</f>
        <v/>
      </c>
      <c r="AB405" s="45">
        <f>IF(R405&lt;&gt;"Livrée",0,IF(K405&lt;&gt;"",K405,C405))</f>
        <v/>
      </c>
      <c r="AC405" s="33">
        <f>IF(OR(C405="",W405=""),"",P405&amp;"|"&amp;W405&amp;"|"&amp;C405&amp;"|"&amp;E405)</f>
        <v/>
      </c>
      <c r="AD405" s="39">
        <f>IF(AC405="","",IF(COUNTIF(AC$6:AC405,AC405)=1,1,0))</f>
        <v/>
      </c>
      <c r="AE405" s="39">
        <f>IF(AB405=0,"",IF(COUNTIFS(X$6:X405,X405,AB$6:AB405,AB405)=1,1,0))</f>
        <v/>
      </c>
      <c r="AF405" s="34">
        <f>IF(C405="","",YEAR(C405-WEEKDAY(C405,2)+4)&amp;"-S"&amp;TEXT(INT((C405-DATE(YEAR(C405-WEEKDAY(C405,2)+4),1,3)+WEEKDAY(DATE(YEAR(C405-WEEKDAY(C405,2)+4),1,3),2)+5)/7),"00"))</f>
        <v/>
      </c>
    </row>
    <row r="406" ht="18" customHeight="1">
      <c r="A406" s="39" t="n">
        <v>401</v>
      </c>
      <c r="B406" s="33">
        <f>IF(C406="","",IF(P406="À RENSEIGNER","GIC",P406)&amp;"-C"&amp;TEXT(A406,"00000"))</f>
        <v/>
      </c>
      <c r="C406" s="32" t="n"/>
      <c r="D406" s="36" t="n"/>
      <c r="E406" s="36" t="n"/>
      <c r="F406" s="36" t="n"/>
      <c r="G406" s="42" t="n"/>
      <c r="H406" s="37" t="n"/>
      <c r="I406" s="37" t="n"/>
      <c r="J406" s="32" t="n"/>
      <c r="K406" s="32" t="n"/>
      <c r="L406" s="43" t="n"/>
      <c r="M406" s="36" t="n"/>
      <c r="N406" s="44" t="n"/>
      <c r="O406" s="36" t="n"/>
      <c r="P406" s="33">
        <f>IF(C406="","",Commercial_Id)</f>
        <v/>
      </c>
      <c r="Q406" s="34">
        <f>IF(AC406="","",IF(AD406=1,"C"&amp;TEXT(SUM(AD$6:AD406),"0000"),INDEX(Q$6:Q405,MATCH(AC406,AC$6:AC405,0))))</f>
        <v/>
      </c>
      <c r="R406" s="34">
        <f>IF(C406="","",IF(L406="☑ Oui","Annulée",IF(OR(E406="Vente directe",K406&lt;&gt;""),"Livrée",IF(J406&lt;&gt;"","Confirmée","En attente"))))</f>
        <v/>
      </c>
      <c r="S406" s="34">
        <f>IF(F406="","",IFERROR(VLOOKUP(F406,T_Produits,2,FALSE),""))</f>
        <v/>
      </c>
      <c r="T406" s="40">
        <f>IF(F406="","",IFERROR(1/(1/VLOOKUP(F406,T_Produits,3,FALSE)),""))</f>
        <v/>
      </c>
      <c r="U406" s="40">
        <f>IF(H406&lt;&gt;"",H406,T406)</f>
        <v/>
      </c>
      <c r="V406" s="40">
        <f>IF(OR(G406="",U406=""),"",G406*U406-N(I406))</f>
        <v/>
      </c>
      <c r="W406" s="39">
        <f>IF(D406="","",IFERROR(VALUE(MID(D406,LEN(D406)-3,3)),""))</f>
        <v/>
      </c>
      <c r="X406" s="33">
        <f>IF(W406="","",P406&amp;"|"&amp;W406)</f>
        <v/>
      </c>
      <c r="Y406" s="33">
        <f>IF(W406="","",IF(P406="À RENSEIGNER","GIC",P406)&amp;"-"&amp;TEXT(W406,"000"))</f>
        <v/>
      </c>
      <c r="Z406" s="33">
        <f>IF(X406="","",IFERROR(INDEX(Cl_nom,MATCH(X406,Cl_cle,0)),"(client introuvable)"))</f>
        <v/>
      </c>
      <c r="AA406" s="33">
        <f>IF(X406="","",IFERROR(INDEX(Cl_quartier,MATCH(X406,Cl_cle,0))&amp;"",""))</f>
        <v/>
      </c>
      <c r="AB406" s="45">
        <f>IF(R406&lt;&gt;"Livrée",0,IF(K406&lt;&gt;"",K406,C406))</f>
        <v/>
      </c>
      <c r="AC406" s="33">
        <f>IF(OR(C406="",W406=""),"",P406&amp;"|"&amp;W406&amp;"|"&amp;C406&amp;"|"&amp;E406)</f>
        <v/>
      </c>
      <c r="AD406" s="39">
        <f>IF(AC406="","",IF(COUNTIF(AC$6:AC406,AC406)=1,1,0))</f>
        <v/>
      </c>
      <c r="AE406" s="39">
        <f>IF(AB406=0,"",IF(COUNTIFS(X$6:X406,X406,AB$6:AB406,AB406)=1,1,0))</f>
        <v/>
      </c>
      <c r="AF406" s="34">
        <f>IF(C406="","",YEAR(C406-WEEKDAY(C406,2)+4)&amp;"-S"&amp;TEXT(INT((C406-DATE(YEAR(C406-WEEKDAY(C406,2)+4),1,3)+WEEKDAY(DATE(YEAR(C406-WEEKDAY(C406,2)+4),1,3),2)+5)/7),"00"))</f>
        <v/>
      </c>
    </row>
    <row r="407" ht="18" customHeight="1">
      <c r="A407" s="39" t="n">
        <v>402</v>
      </c>
      <c r="B407" s="33">
        <f>IF(C407="","",IF(P407="À RENSEIGNER","GIC",P407)&amp;"-C"&amp;TEXT(A407,"00000"))</f>
        <v/>
      </c>
      <c r="C407" s="32" t="n"/>
      <c r="D407" s="36" t="n"/>
      <c r="E407" s="36" t="n"/>
      <c r="F407" s="36" t="n"/>
      <c r="G407" s="42" t="n"/>
      <c r="H407" s="37" t="n"/>
      <c r="I407" s="37" t="n"/>
      <c r="J407" s="32" t="n"/>
      <c r="K407" s="32" t="n"/>
      <c r="L407" s="43" t="n"/>
      <c r="M407" s="36" t="n"/>
      <c r="N407" s="44" t="n"/>
      <c r="O407" s="36" t="n"/>
      <c r="P407" s="33">
        <f>IF(C407="","",Commercial_Id)</f>
        <v/>
      </c>
      <c r="Q407" s="34">
        <f>IF(AC407="","",IF(AD407=1,"C"&amp;TEXT(SUM(AD$6:AD407),"0000"),INDEX(Q$6:Q406,MATCH(AC407,AC$6:AC406,0))))</f>
        <v/>
      </c>
      <c r="R407" s="34">
        <f>IF(C407="","",IF(L407="☑ Oui","Annulée",IF(OR(E407="Vente directe",K407&lt;&gt;""),"Livrée",IF(J407&lt;&gt;"","Confirmée","En attente"))))</f>
        <v/>
      </c>
      <c r="S407" s="34">
        <f>IF(F407="","",IFERROR(VLOOKUP(F407,T_Produits,2,FALSE),""))</f>
        <v/>
      </c>
      <c r="T407" s="40">
        <f>IF(F407="","",IFERROR(1/(1/VLOOKUP(F407,T_Produits,3,FALSE)),""))</f>
        <v/>
      </c>
      <c r="U407" s="40">
        <f>IF(H407&lt;&gt;"",H407,T407)</f>
        <v/>
      </c>
      <c r="V407" s="40">
        <f>IF(OR(G407="",U407=""),"",G407*U407-N(I407))</f>
        <v/>
      </c>
      <c r="W407" s="39">
        <f>IF(D407="","",IFERROR(VALUE(MID(D407,LEN(D407)-3,3)),""))</f>
        <v/>
      </c>
      <c r="X407" s="33">
        <f>IF(W407="","",P407&amp;"|"&amp;W407)</f>
        <v/>
      </c>
      <c r="Y407" s="33">
        <f>IF(W407="","",IF(P407="À RENSEIGNER","GIC",P407)&amp;"-"&amp;TEXT(W407,"000"))</f>
        <v/>
      </c>
      <c r="Z407" s="33">
        <f>IF(X407="","",IFERROR(INDEX(Cl_nom,MATCH(X407,Cl_cle,0)),"(client introuvable)"))</f>
        <v/>
      </c>
      <c r="AA407" s="33">
        <f>IF(X407="","",IFERROR(INDEX(Cl_quartier,MATCH(X407,Cl_cle,0))&amp;"",""))</f>
        <v/>
      </c>
      <c r="AB407" s="45">
        <f>IF(R407&lt;&gt;"Livrée",0,IF(K407&lt;&gt;"",K407,C407))</f>
        <v/>
      </c>
      <c r="AC407" s="33">
        <f>IF(OR(C407="",W407=""),"",P407&amp;"|"&amp;W407&amp;"|"&amp;C407&amp;"|"&amp;E407)</f>
        <v/>
      </c>
      <c r="AD407" s="39">
        <f>IF(AC407="","",IF(COUNTIF(AC$6:AC407,AC407)=1,1,0))</f>
        <v/>
      </c>
      <c r="AE407" s="39">
        <f>IF(AB407=0,"",IF(COUNTIFS(X$6:X407,X407,AB$6:AB407,AB407)=1,1,0))</f>
        <v/>
      </c>
      <c r="AF407" s="34">
        <f>IF(C407="","",YEAR(C407-WEEKDAY(C407,2)+4)&amp;"-S"&amp;TEXT(INT((C407-DATE(YEAR(C407-WEEKDAY(C407,2)+4),1,3)+WEEKDAY(DATE(YEAR(C407-WEEKDAY(C407,2)+4),1,3),2)+5)/7),"00"))</f>
        <v/>
      </c>
    </row>
    <row r="408" ht="18" customHeight="1">
      <c r="A408" s="39" t="n">
        <v>403</v>
      </c>
      <c r="B408" s="33">
        <f>IF(C408="","",IF(P408="À RENSEIGNER","GIC",P408)&amp;"-C"&amp;TEXT(A408,"00000"))</f>
        <v/>
      </c>
      <c r="C408" s="32" t="n"/>
      <c r="D408" s="36" t="n"/>
      <c r="E408" s="36" t="n"/>
      <c r="F408" s="36" t="n"/>
      <c r="G408" s="42" t="n"/>
      <c r="H408" s="37" t="n"/>
      <c r="I408" s="37" t="n"/>
      <c r="J408" s="32" t="n"/>
      <c r="K408" s="32" t="n"/>
      <c r="L408" s="43" t="n"/>
      <c r="M408" s="36" t="n"/>
      <c r="N408" s="44" t="n"/>
      <c r="O408" s="36" t="n"/>
      <c r="P408" s="33">
        <f>IF(C408="","",Commercial_Id)</f>
        <v/>
      </c>
      <c r="Q408" s="34">
        <f>IF(AC408="","",IF(AD408=1,"C"&amp;TEXT(SUM(AD$6:AD408),"0000"),INDEX(Q$6:Q407,MATCH(AC408,AC$6:AC407,0))))</f>
        <v/>
      </c>
      <c r="R408" s="34">
        <f>IF(C408="","",IF(L408="☑ Oui","Annulée",IF(OR(E408="Vente directe",K408&lt;&gt;""),"Livrée",IF(J408&lt;&gt;"","Confirmée","En attente"))))</f>
        <v/>
      </c>
      <c r="S408" s="34">
        <f>IF(F408="","",IFERROR(VLOOKUP(F408,T_Produits,2,FALSE),""))</f>
        <v/>
      </c>
      <c r="T408" s="40">
        <f>IF(F408="","",IFERROR(1/(1/VLOOKUP(F408,T_Produits,3,FALSE)),""))</f>
        <v/>
      </c>
      <c r="U408" s="40">
        <f>IF(H408&lt;&gt;"",H408,T408)</f>
        <v/>
      </c>
      <c r="V408" s="40">
        <f>IF(OR(G408="",U408=""),"",G408*U408-N(I408))</f>
        <v/>
      </c>
      <c r="W408" s="39">
        <f>IF(D408="","",IFERROR(VALUE(MID(D408,LEN(D408)-3,3)),""))</f>
        <v/>
      </c>
      <c r="X408" s="33">
        <f>IF(W408="","",P408&amp;"|"&amp;W408)</f>
        <v/>
      </c>
      <c r="Y408" s="33">
        <f>IF(W408="","",IF(P408="À RENSEIGNER","GIC",P408)&amp;"-"&amp;TEXT(W408,"000"))</f>
        <v/>
      </c>
      <c r="Z408" s="33">
        <f>IF(X408="","",IFERROR(INDEX(Cl_nom,MATCH(X408,Cl_cle,0)),"(client introuvable)"))</f>
        <v/>
      </c>
      <c r="AA408" s="33">
        <f>IF(X408="","",IFERROR(INDEX(Cl_quartier,MATCH(X408,Cl_cle,0))&amp;"",""))</f>
        <v/>
      </c>
      <c r="AB408" s="45">
        <f>IF(R408&lt;&gt;"Livrée",0,IF(K408&lt;&gt;"",K408,C408))</f>
        <v/>
      </c>
      <c r="AC408" s="33">
        <f>IF(OR(C408="",W408=""),"",P408&amp;"|"&amp;W408&amp;"|"&amp;C408&amp;"|"&amp;E408)</f>
        <v/>
      </c>
      <c r="AD408" s="39">
        <f>IF(AC408="","",IF(COUNTIF(AC$6:AC408,AC408)=1,1,0))</f>
        <v/>
      </c>
      <c r="AE408" s="39">
        <f>IF(AB408=0,"",IF(COUNTIFS(X$6:X408,X408,AB$6:AB408,AB408)=1,1,0))</f>
        <v/>
      </c>
      <c r="AF408" s="34">
        <f>IF(C408="","",YEAR(C408-WEEKDAY(C408,2)+4)&amp;"-S"&amp;TEXT(INT((C408-DATE(YEAR(C408-WEEKDAY(C408,2)+4),1,3)+WEEKDAY(DATE(YEAR(C408-WEEKDAY(C408,2)+4),1,3),2)+5)/7),"00"))</f>
        <v/>
      </c>
    </row>
    <row r="409" ht="18" customHeight="1">
      <c r="A409" s="39" t="n">
        <v>404</v>
      </c>
      <c r="B409" s="33">
        <f>IF(C409="","",IF(P409="À RENSEIGNER","GIC",P409)&amp;"-C"&amp;TEXT(A409,"00000"))</f>
        <v/>
      </c>
      <c r="C409" s="32" t="n"/>
      <c r="D409" s="36" t="n"/>
      <c r="E409" s="36" t="n"/>
      <c r="F409" s="36" t="n"/>
      <c r="G409" s="42" t="n"/>
      <c r="H409" s="37" t="n"/>
      <c r="I409" s="37" t="n"/>
      <c r="J409" s="32" t="n"/>
      <c r="K409" s="32" t="n"/>
      <c r="L409" s="43" t="n"/>
      <c r="M409" s="36" t="n"/>
      <c r="N409" s="44" t="n"/>
      <c r="O409" s="36" t="n"/>
      <c r="P409" s="33">
        <f>IF(C409="","",Commercial_Id)</f>
        <v/>
      </c>
      <c r="Q409" s="34">
        <f>IF(AC409="","",IF(AD409=1,"C"&amp;TEXT(SUM(AD$6:AD409),"0000"),INDEX(Q$6:Q408,MATCH(AC409,AC$6:AC408,0))))</f>
        <v/>
      </c>
      <c r="R409" s="34">
        <f>IF(C409="","",IF(L409="☑ Oui","Annulée",IF(OR(E409="Vente directe",K409&lt;&gt;""),"Livrée",IF(J409&lt;&gt;"","Confirmée","En attente"))))</f>
        <v/>
      </c>
      <c r="S409" s="34">
        <f>IF(F409="","",IFERROR(VLOOKUP(F409,T_Produits,2,FALSE),""))</f>
        <v/>
      </c>
      <c r="T409" s="40">
        <f>IF(F409="","",IFERROR(1/(1/VLOOKUP(F409,T_Produits,3,FALSE)),""))</f>
        <v/>
      </c>
      <c r="U409" s="40">
        <f>IF(H409&lt;&gt;"",H409,T409)</f>
        <v/>
      </c>
      <c r="V409" s="40">
        <f>IF(OR(G409="",U409=""),"",G409*U409-N(I409))</f>
        <v/>
      </c>
      <c r="W409" s="39">
        <f>IF(D409="","",IFERROR(VALUE(MID(D409,LEN(D409)-3,3)),""))</f>
        <v/>
      </c>
      <c r="X409" s="33">
        <f>IF(W409="","",P409&amp;"|"&amp;W409)</f>
        <v/>
      </c>
      <c r="Y409" s="33">
        <f>IF(W409="","",IF(P409="À RENSEIGNER","GIC",P409)&amp;"-"&amp;TEXT(W409,"000"))</f>
        <v/>
      </c>
      <c r="Z409" s="33">
        <f>IF(X409="","",IFERROR(INDEX(Cl_nom,MATCH(X409,Cl_cle,0)),"(client introuvable)"))</f>
        <v/>
      </c>
      <c r="AA409" s="33">
        <f>IF(X409="","",IFERROR(INDEX(Cl_quartier,MATCH(X409,Cl_cle,0))&amp;"",""))</f>
        <v/>
      </c>
      <c r="AB409" s="45">
        <f>IF(R409&lt;&gt;"Livrée",0,IF(K409&lt;&gt;"",K409,C409))</f>
        <v/>
      </c>
      <c r="AC409" s="33">
        <f>IF(OR(C409="",W409=""),"",P409&amp;"|"&amp;W409&amp;"|"&amp;C409&amp;"|"&amp;E409)</f>
        <v/>
      </c>
      <c r="AD409" s="39">
        <f>IF(AC409="","",IF(COUNTIF(AC$6:AC409,AC409)=1,1,0))</f>
        <v/>
      </c>
      <c r="AE409" s="39">
        <f>IF(AB409=0,"",IF(COUNTIFS(X$6:X409,X409,AB$6:AB409,AB409)=1,1,0))</f>
        <v/>
      </c>
      <c r="AF409" s="34">
        <f>IF(C409="","",YEAR(C409-WEEKDAY(C409,2)+4)&amp;"-S"&amp;TEXT(INT((C409-DATE(YEAR(C409-WEEKDAY(C409,2)+4),1,3)+WEEKDAY(DATE(YEAR(C409-WEEKDAY(C409,2)+4),1,3),2)+5)/7),"00"))</f>
        <v/>
      </c>
    </row>
    <row r="410" ht="18" customHeight="1">
      <c r="A410" s="39" t="n">
        <v>405</v>
      </c>
      <c r="B410" s="33">
        <f>IF(C410="","",IF(P410="À RENSEIGNER","GIC",P410)&amp;"-C"&amp;TEXT(A410,"00000"))</f>
        <v/>
      </c>
      <c r="C410" s="32" t="n"/>
      <c r="D410" s="36" t="n"/>
      <c r="E410" s="36" t="n"/>
      <c r="F410" s="36" t="n"/>
      <c r="G410" s="42" t="n"/>
      <c r="H410" s="37" t="n"/>
      <c r="I410" s="37" t="n"/>
      <c r="J410" s="32" t="n"/>
      <c r="K410" s="32" t="n"/>
      <c r="L410" s="43" t="n"/>
      <c r="M410" s="36" t="n"/>
      <c r="N410" s="44" t="n"/>
      <c r="O410" s="36" t="n"/>
      <c r="P410" s="33">
        <f>IF(C410="","",Commercial_Id)</f>
        <v/>
      </c>
      <c r="Q410" s="34">
        <f>IF(AC410="","",IF(AD410=1,"C"&amp;TEXT(SUM(AD$6:AD410),"0000"),INDEX(Q$6:Q409,MATCH(AC410,AC$6:AC409,0))))</f>
        <v/>
      </c>
      <c r="R410" s="34">
        <f>IF(C410="","",IF(L410="☑ Oui","Annulée",IF(OR(E410="Vente directe",K410&lt;&gt;""),"Livrée",IF(J410&lt;&gt;"","Confirmée","En attente"))))</f>
        <v/>
      </c>
      <c r="S410" s="34">
        <f>IF(F410="","",IFERROR(VLOOKUP(F410,T_Produits,2,FALSE),""))</f>
        <v/>
      </c>
      <c r="T410" s="40">
        <f>IF(F410="","",IFERROR(1/(1/VLOOKUP(F410,T_Produits,3,FALSE)),""))</f>
        <v/>
      </c>
      <c r="U410" s="40">
        <f>IF(H410&lt;&gt;"",H410,T410)</f>
        <v/>
      </c>
      <c r="V410" s="40">
        <f>IF(OR(G410="",U410=""),"",G410*U410-N(I410))</f>
        <v/>
      </c>
      <c r="W410" s="39">
        <f>IF(D410="","",IFERROR(VALUE(MID(D410,LEN(D410)-3,3)),""))</f>
        <v/>
      </c>
      <c r="X410" s="33">
        <f>IF(W410="","",P410&amp;"|"&amp;W410)</f>
        <v/>
      </c>
      <c r="Y410" s="33">
        <f>IF(W410="","",IF(P410="À RENSEIGNER","GIC",P410)&amp;"-"&amp;TEXT(W410,"000"))</f>
        <v/>
      </c>
      <c r="Z410" s="33">
        <f>IF(X410="","",IFERROR(INDEX(Cl_nom,MATCH(X410,Cl_cle,0)),"(client introuvable)"))</f>
        <v/>
      </c>
      <c r="AA410" s="33">
        <f>IF(X410="","",IFERROR(INDEX(Cl_quartier,MATCH(X410,Cl_cle,0))&amp;"",""))</f>
        <v/>
      </c>
      <c r="AB410" s="45">
        <f>IF(R410&lt;&gt;"Livrée",0,IF(K410&lt;&gt;"",K410,C410))</f>
        <v/>
      </c>
      <c r="AC410" s="33">
        <f>IF(OR(C410="",W410=""),"",P410&amp;"|"&amp;W410&amp;"|"&amp;C410&amp;"|"&amp;E410)</f>
        <v/>
      </c>
      <c r="AD410" s="39">
        <f>IF(AC410="","",IF(COUNTIF(AC$6:AC410,AC410)=1,1,0))</f>
        <v/>
      </c>
      <c r="AE410" s="39">
        <f>IF(AB410=0,"",IF(COUNTIFS(X$6:X410,X410,AB$6:AB410,AB410)=1,1,0))</f>
        <v/>
      </c>
      <c r="AF410" s="34">
        <f>IF(C410="","",YEAR(C410-WEEKDAY(C410,2)+4)&amp;"-S"&amp;TEXT(INT((C410-DATE(YEAR(C410-WEEKDAY(C410,2)+4),1,3)+WEEKDAY(DATE(YEAR(C410-WEEKDAY(C410,2)+4),1,3),2)+5)/7),"00"))</f>
        <v/>
      </c>
    </row>
    <row r="411" ht="18" customHeight="1">
      <c r="A411" s="39" t="n">
        <v>406</v>
      </c>
      <c r="B411" s="33">
        <f>IF(C411="","",IF(P411="À RENSEIGNER","GIC",P411)&amp;"-C"&amp;TEXT(A411,"00000"))</f>
        <v/>
      </c>
      <c r="C411" s="32" t="n"/>
      <c r="D411" s="36" t="n"/>
      <c r="E411" s="36" t="n"/>
      <c r="F411" s="36" t="n"/>
      <c r="G411" s="42" t="n"/>
      <c r="H411" s="37" t="n"/>
      <c r="I411" s="37" t="n"/>
      <c r="J411" s="32" t="n"/>
      <c r="K411" s="32" t="n"/>
      <c r="L411" s="43" t="n"/>
      <c r="M411" s="36" t="n"/>
      <c r="N411" s="44" t="n"/>
      <c r="O411" s="36" t="n"/>
      <c r="P411" s="33">
        <f>IF(C411="","",Commercial_Id)</f>
        <v/>
      </c>
      <c r="Q411" s="34">
        <f>IF(AC411="","",IF(AD411=1,"C"&amp;TEXT(SUM(AD$6:AD411),"0000"),INDEX(Q$6:Q410,MATCH(AC411,AC$6:AC410,0))))</f>
        <v/>
      </c>
      <c r="R411" s="34">
        <f>IF(C411="","",IF(L411="☑ Oui","Annulée",IF(OR(E411="Vente directe",K411&lt;&gt;""),"Livrée",IF(J411&lt;&gt;"","Confirmée","En attente"))))</f>
        <v/>
      </c>
      <c r="S411" s="34">
        <f>IF(F411="","",IFERROR(VLOOKUP(F411,T_Produits,2,FALSE),""))</f>
        <v/>
      </c>
      <c r="T411" s="40">
        <f>IF(F411="","",IFERROR(1/(1/VLOOKUP(F411,T_Produits,3,FALSE)),""))</f>
        <v/>
      </c>
      <c r="U411" s="40">
        <f>IF(H411&lt;&gt;"",H411,T411)</f>
        <v/>
      </c>
      <c r="V411" s="40">
        <f>IF(OR(G411="",U411=""),"",G411*U411-N(I411))</f>
        <v/>
      </c>
      <c r="W411" s="39">
        <f>IF(D411="","",IFERROR(VALUE(MID(D411,LEN(D411)-3,3)),""))</f>
        <v/>
      </c>
      <c r="X411" s="33">
        <f>IF(W411="","",P411&amp;"|"&amp;W411)</f>
        <v/>
      </c>
      <c r="Y411" s="33">
        <f>IF(W411="","",IF(P411="À RENSEIGNER","GIC",P411)&amp;"-"&amp;TEXT(W411,"000"))</f>
        <v/>
      </c>
      <c r="Z411" s="33">
        <f>IF(X411="","",IFERROR(INDEX(Cl_nom,MATCH(X411,Cl_cle,0)),"(client introuvable)"))</f>
        <v/>
      </c>
      <c r="AA411" s="33">
        <f>IF(X411="","",IFERROR(INDEX(Cl_quartier,MATCH(X411,Cl_cle,0))&amp;"",""))</f>
        <v/>
      </c>
      <c r="AB411" s="45">
        <f>IF(R411&lt;&gt;"Livrée",0,IF(K411&lt;&gt;"",K411,C411))</f>
        <v/>
      </c>
      <c r="AC411" s="33">
        <f>IF(OR(C411="",W411=""),"",P411&amp;"|"&amp;W411&amp;"|"&amp;C411&amp;"|"&amp;E411)</f>
        <v/>
      </c>
      <c r="AD411" s="39">
        <f>IF(AC411="","",IF(COUNTIF(AC$6:AC411,AC411)=1,1,0))</f>
        <v/>
      </c>
      <c r="AE411" s="39">
        <f>IF(AB411=0,"",IF(COUNTIFS(X$6:X411,X411,AB$6:AB411,AB411)=1,1,0))</f>
        <v/>
      </c>
      <c r="AF411" s="34">
        <f>IF(C411="","",YEAR(C411-WEEKDAY(C411,2)+4)&amp;"-S"&amp;TEXT(INT((C411-DATE(YEAR(C411-WEEKDAY(C411,2)+4),1,3)+WEEKDAY(DATE(YEAR(C411-WEEKDAY(C411,2)+4),1,3),2)+5)/7),"00"))</f>
        <v/>
      </c>
    </row>
    <row r="412" ht="18" customHeight="1">
      <c r="A412" s="39" t="n">
        <v>407</v>
      </c>
      <c r="B412" s="33">
        <f>IF(C412="","",IF(P412="À RENSEIGNER","GIC",P412)&amp;"-C"&amp;TEXT(A412,"00000"))</f>
        <v/>
      </c>
      <c r="C412" s="32" t="n"/>
      <c r="D412" s="36" t="n"/>
      <c r="E412" s="36" t="n"/>
      <c r="F412" s="36" t="n"/>
      <c r="G412" s="42" t="n"/>
      <c r="H412" s="37" t="n"/>
      <c r="I412" s="37" t="n"/>
      <c r="J412" s="32" t="n"/>
      <c r="K412" s="32" t="n"/>
      <c r="L412" s="43" t="n"/>
      <c r="M412" s="36" t="n"/>
      <c r="N412" s="44" t="n"/>
      <c r="O412" s="36" t="n"/>
      <c r="P412" s="33">
        <f>IF(C412="","",Commercial_Id)</f>
        <v/>
      </c>
      <c r="Q412" s="34">
        <f>IF(AC412="","",IF(AD412=1,"C"&amp;TEXT(SUM(AD$6:AD412),"0000"),INDEX(Q$6:Q411,MATCH(AC412,AC$6:AC411,0))))</f>
        <v/>
      </c>
      <c r="R412" s="34">
        <f>IF(C412="","",IF(L412="☑ Oui","Annulée",IF(OR(E412="Vente directe",K412&lt;&gt;""),"Livrée",IF(J412&lt;&gt;"","Confirmée","En attente"))))</f>
        <v/>
      </c>
      <c r="S412" s="34">
        <f>IF(F412="","",IFERROR(VLOOKUP(F412,T_Produits,2,FALSE),""))</f>
        <v/>
      </c>
      <c r="T412" s="40">
        <f>IF(F412="","",IFERROR(1/(1/VLOOKUP(F412,T_Produits,3,FALSE)),""))</f>
        <v/>
      </c>
      <c r="U412" s="40">
        <f>IF(H412&lt;&gt;"",H412,T412)</f>
        <v/>
      </c>
      <c r="V412" s="40">
        <f>IF(OR(G412="",U412=""),"",G412*U412-N(I412))</f>
        <v/>
      </c>
      <c r="W412" s="39">
        <f>IF(D412="","",IFERROR(VALUE(MID(D412,LEN(D412)-3,3)),""))</f>
        <v/>
      </c>
      <c r="X412" s="33">
        <f>IF(W412="","",P412&amp;"|"&amp;W412)</f>
        <v/>
      </c>
      <c r="Y412" s="33">
        <f>IF(W412="","",IF(P412="À RENSEIGNER","GIC",P412)&amp;"-"&amp;TEXT(W412,"000"))</f>
        <v/>
      </c>
      <c r="Z412" s="33">
        <f>IF(X412="","",IFERROR(INDEX(Cl_nom,MATCH(X412,Cl_cle,0)),"(client introuvable)"))</f>
        <v/>
      </c>
      <c r="AA412" s="33">
        <f>IF(X412="","",IFERROR(INDEX(Cl_quartier,MATCH(X412,Cl_cle,0))&amp;"",""))</f>
        <v/>
      </c>
      <c r="AB412" s="45">
        <f>IF(R412&lt;&gt;"Livrée",0,IF(K412&lt;&gt;"",K412,C412))</f>
        <v/>
      </c>
      <c r="AC412" s="33">
        <f>IF(OR(C412="",W412=""),"",P412&amp;"|"&amp;W412&amp;"|"&amp;C412&amp;"|"&amp;E412)</f>
        <v/>
      </c>
      <c r="AD412" s="39">
        <f>IF(AC412="","",IF(COUNTIF(AC$6:AC412,AC412)=1,1,0))</f>
        <v/>
      </c>
      <c r="AE412" s="39">
        <f>IF(AB412=0,"",IF(COUNTIFS(X$6:X412,X412,AB$6:AB412,AB412)=1,1,0))</f>
        <v/>
      </c>
      <c r="AF412" s="34">
        <f>IF(C412="","",YEAR(C412-WEEKDAY(C412,2)+4)&amp;"-S"&amp;TEXT(INT((C412-DATE(YEAR(C412-WEEKDAY(C412,2)+4),1,3)+WEEKDAY(DATE(YEAR(C412-WEEKDAY(C412,2)+4),1,3),2)+5)/7),"00"))</f>
        <v/>
      </c>
    </row>
    <row r="413" ht="18" customHeight="1">
      <c r="A413" s="39" t="n">
        <v>408</v>
      </c>
      <c r="B413" s="33">
        <f>IF(C413="","",IF(P413="À RENSEIGNER","GIC",P413)&amp;"-C"&amp;TEXT(A413,"00000"))</f>
        <v/>
      </c>
      <c r="C413" s="32" t="n"/>
      <c r="D413" s="36" t="n"/>
      <c r="E413" s="36" t="n"/>
      <c r="F413" s="36" t="n"/>
      <c r="G413" s="42" t="n"/>
      <c r="H413" s="37" t="n"/>
      <c r="I413" s="37" t="n"/>
      <c r="J413" s="32" t="n"/>
      <c r="K413" s="32" t="n"/>
      <c r="L413" s="43" t="n"/>
      <c r="M413" s="36" t="n"/>
      <c r="N413" s="44" t="n"/>
      <c r="O413" s="36" t="n"/>
      <c r="P413" s="33">
        <f>IF(C413="","",Commercial_Id)</f>
        <v/>
      </c>
      <c r="Q413" s="34">
        <f>IF(AC413="","",IF(AD413=1,"C"&amp;TEXT(SUM(AD$6:AD413),"0000"),INDEX(Q$6:Q412,MATCH(AC413,AC$6:AC412,0))))</f>
        <v/>
      </c>
      <c r="R413" s="34">
        <f>IF(C413="","",IF(L413="☑ Oui","Annulée",IF(OR(E413="Vente directe",K413&lt;&gt;""),"Livrée",IF(J413&lt;&gt;"","Confirmée","En attente"))))</f>
        <v/>
      </c>
      <c r="S413" s="34">
        <f>IF(F413="","",IFERROR(VLOOKUP(F413,T_Produits,2,FALSE),""))</f>
        <v/>
      </c>
      <c r="T413" s="40">
        <f>IF(F413="","",IFERROR(1/(1/VLOOKUP(F413,T_Produits,3,FALSE)),""))</f>
        <v/>
      </c>
      <c r="U413" s="40">
        <f>IF(H413&lt;&gt;"",H413,T413)</f>
        <v/>
      </c>
      <c r="V413" s="40">
        <f>IF(OR(G413="",U413=""),"",G413*U413-N(I413))</f>
        <v/>
      </c>
      <c r="W413" s="39">
        <f>IF(D413="","",IFERROR(VALUE(MID(D413,LEN(D413)-3,3)),""))</f>
        <v/>
      </c>
      <c r="X413" s="33">
        <f>IF(W413="","",P413&amp;"|"&amp;W413)</f>
        <v/>
      </c>
      <c r="Y413" s="33">
        <f>IF(W413="","",IF(P413="À RENSEIGNER","GIC",P413)&amp;"-"&amp;TEXT(W413,"000"))</f>
        <v/>
      </c>
      <c r="Z413" s="33">
        <f>IF(X413="","",IFERROR(INDEX(Cl_nom,MATCH(X413,Cl_cle,0)),"(client introuvable)"))</f>
        <v/>
      </c>
      <c r="AA413" s="33">
        <f>IF(X413="","",IFERROR(INDEX(Cl_quartier,MATCH(X413,Cl_cle,0))&amp;"",""))</f>
        <v/>
      </c>
      <c r="AB413" s="45">
        <f>IF(R413&lt;&gt;"Livrée",0,IF(K413&lt;&gt;"",K413,C413))</f>
        <v/>
      </c>
      <c r="AC413" s="33">
        <f>IF(OR(C413="",W413=""),"",P413&amp;"|"&amp;W413&amp;"|"&amp;C413&amp;"|"&amp;E413)</f>
        <v/>
      </c>
      <c r="AD413" s="39">
        <f>IF(AC413="","",IF(COUNTIF(AC$6:AC413,AC413)=1,1,0))</f>
        <v/>
      </c>
      <c r="AE413" s="39">
        <f>IF(AB413=0,"",IF(COUNTIFS(X$6:X413,X413,AB$6:AB413,AB413)=1,1,0))</f>
        <v/>
      </c>
      <c r="AF413" s="34">
        <f>IF(C413="","",YEAR(C413-WEEKDAY(C413,2)+4)&amp;"-S"&amp;TEXT(INT((C413-DATE(YEAR(C413-WEEKDAY(C413,2)+4),1,3)+WEEKDAY(DATE(YEAR(C413-WEEKDAY(C413,2)+4),1,3),2)+5)/7),"00"))</f>
        <v/>
      </c>
    </row>
    <row r="414" ht="18" customHeight="1">
      <c r="A414" s="39" t="n">
        <v>409</v>
      </c>
      <c r="B414" s="33">
        <f>IF(C414="","",IF(P414="À RENSEIGNER","GIC",P414)&amp;"-C"&amp;TEXT(A414,"00000"))</f>
        <v/>
      </c>
      <c r="C414" s="32" t="n"/>
      <c r="D414" s="36" t="n"/>
      <c r="E414" s="36" t="n"/>
      <c r="F414" s="36" t="n"/>
      <c r="G414" s="42" t="n"/>
      <c r="H414" s="37" t="n"/>
      <c r="I414" s="37" t="n"/>
      <c r="J414" s="32" t="n"/>
      <c r="K414" s="32" t="n"/>
      <c r="L414" s="43" t="n"/>
      <c r="M414" s="36" t="n"/>
      <c r="N414" s="44" t="n"/>
      <c r="O414" s="36" t="n"/>
      <c r="P414" s="33">
        <f>IF(C414="","",Commercial_Id)</f>
        <v/>
      </c>
      <c r="Q414" s="34">
        <f>IF(AC414="","",IF(AD414=1,"C"&amp;TEXT(SUM(AD$6:AD414),"0000"),INDEX(Q$6:Q413,MATCH(AC414,AC$6:AC413,0))))</f>
        <v/>
      </c>
      <c r="R414" s="34">
        <f>IF(C414="","",IF(L414="☑ Oui","Annulée",IF(OR(E414="Vente directe",K414&lt;&gt;""),"Livrée",IF(J414&lt;&gt;"","Confirmée","En attente"))))</f>
        <v/>
      </c>
      <c r="S414" s="34">
        <f>IF(F414="","",IFERROR(VLOOKUP(F414,T_Produits,2,FALSE),""))</f>
        <v/>
      </c>
      <c r="T414" s="40">
        <f>IF(F414="","",IFERROR(1/(1/VLOOKUP(F414,T_Produits,3,FALSE)),""))</f>
        <v/>
      </c>
      <c r="U414" s="40">
        <f>IF(H414&lt;&gt;"",H414,T414)</f>
        <v/>
      </c>
      <c r="V414" s="40">
        <f>IF(OR(G414="",U414=""),"",G414*U414-N(I414))</f>
        <v/>
      </c>
      <c r="W414" s="39">
        <f>IF(D414="","",IFERROR(VALUE(MID(D414,LEN(D414)-3,3)),""))</f>
        <v/>
      </c>
      <c r="X414" s="33">
        <f>IF(W414="","",P414&amp;"|"&amp;W414)</f>
        <v/>
      </c>
      <c r="Y414" s="33">
        <f>IF(W414="","",IF(P414="À RENSEIGNER","GIC",P414)&amp;"-"&amp;TEXT(W414,"000"))</f>
        <v/>
      </c>
      <c r="Z414" s="33">
        <f>IF(X414="","",IFERROR(INDEX(Cl_nom,MATCH(X414,Cl_cle,0)),"(client introuvable)"))</f>
        <v/>
      </c>
      <c r="AA414" s="33">
        <f>IF(X414="","",IFERROR(INDEX(Cl_quartier,MATCH(X414,Cl_cle,0))&amp;"",""))</f>
        <v/>
      </c>
      <c r="AB414" s="45">
        <f>IF(R414&lt;&gt;"Livrée",0,IF(K414&lt;&gt;"",K414,C414))</f>
        <v/>
      </c>
      <c r="AC414" s="33">
        <f>IF(OR(C414="",W414=""),"",P414&amp;"|"&amp;W414&amp;"|"&amp;C414&amp;"|"&amp;E414)</f>
        <v/>
      </c>
      <c r="AD414" s="39">
        <f>IF(AC414="","",IF(COUNTIF(AC$6:AC414,AC414)=1,1,0))</f>
        <v/>
      </c>
      <c r="AE414" s="39">
        <f>IF(AB414=0,"",IF(COUNTIFS(X$6:X414,X414,AB$6:AB414,AB414)=1,1,0))</f>
        <v/>
      </c>
      <c r="AF414" s="34">
        <f>IF(C414="","",YEAR(C414-WEEKDAY(C414,2)+4)&amp;"-S"&amp;TEXT(INT((C414-DATE(YEAR(C414-WEEKDAY(C414,2)+4),1,3)+WEEKDAY(DATE(YEAR(C414-WEEKDAY(C414,2)+4),1,3),2)+5)/7),"00"))</f>
        <v/>
      </c>
    </row>
    <row r="415" ht="18" customHeight="1">
      <c r="A415" s="39" t="n">
        <v>410</v>
      </c>
      <c r="B415" s="33">
        <f>IF(C415="","",IF(P415="À RENSEIGNER","GIC",P415)&amp;"-C"&amp;TEXT(A415,"00000"))</f>
        <v/>
      </c>
      <c r="C415" s="32" t="n"/>
      <c r="D415" s="36" t="n"/>
      <c r="E415" s="36" t="n"/>
      <c r="F415" s="36" t="n"/>
      <c r="G415" s="42" t="n"/>
      <c r="H415" s="37" t="n"/>
      <c r="I415" s="37" t="n"/>
      <c r="J415" s="32" t="n"/>
      <c r="K415" s="32" t="n"/>
      <c r="L415" s="43" t="n"/>
      <c r="M415" s="36" t="n"/>
      <c r="N415" s="44" t="n"/>
      <c r="O415" s="36" t="n"/>
      <c r="P415" s="33">
        <f>IF(C415="","",Commercial_Id)</f>
        <v/>
      </c>
      <c r="Q415" s="34">
        <f>IF(AC415="","",IF(AD415=1,"C"&amp;TEXT(SUM(AD$6:AD415),"0000"),INDEX(Q$6:Q414,MATCH(AC415,AC$6:AC414,0))))</f>
        <v/>
      </c>
      <c r="R415" s="34">
        <f>IF(C415="","",IF(L415="☑ Oui","Annulée",IF(OR(E415="Vente directe",K415&lt;&gt;""),"Livrée",IF(J415&lt;&gt;"","Confirmée","En attente"))))</f>
        <v/>
      </c>
      <c r="S415" s="34">
        <f>IF(F415="","",IFERROR(VLOOKUP(F415,T_Produits,2,FALSE),""))</f>
        <v/>
      </c>
      <c r="T415" s="40">
        <f>IF(F415="","",IFERROR(1/(1/VLOOKUP(F415,T_Produits,3,FALSE)),""))</f>
        <v/>
      </c>
      <c r="U415" s="40">
        <f>IF(H415&lt;&gt;"",H415,T415)</f>
        <v/>
      </c>
      <c r="V415" s="40">
        <f>IF(OR(G415="",U415=""),"",G415*U415-N(I415))</f>
        <v/>
      </c>
      <c r="W415" s="39">
        <f>IF(D415="","",IFERROR(VALUE(MID(D415,LEN(D415)-3,3)),""))</f>
        <v/>
      </c>
      <c r="X415" s="33">
        <f>IF(W415="","",P415&amp;"|"&amp;W415)</f>
        <v/>
      </c>
      <c r="Y415" s="33">
        <f>IF(W415="","",IF(P415="À RENSEIGNER","GIC",P415)&amp;"-"&amp;TEXT(W415,"000"))</f>
        <v/>
      </c>
      <c r="Z415" s="33">
        <f>IF(X415="","",IFERROR(INDEX(Cl_nom,MATCH(X415,Cl_cle,0)),"(client introuvable)"))</f>
        <v/>
      </c>
      <c r="AA415" s="33">
        <f>IF(X415="","",IFERROR(INDEX(Cl_quartier,MATCH(X415,Cl_cle,0))&amp;"",""))</f>
        <v/>
      </c>
      <c r="AB415" s="45">
        <f>IF(R415&lt;&gt;"Livrée",0,IF(K415&lt;&gt;"",K415,C415))</f>
        <v/>
      </c>
      <c r="AC415" s="33">
        <f>IF(OR(C415="",W415=""),"",P415&amp;"|"&amp;W415&amp;"|"&amp;C415&amp;"|"&amp;E415)</f>
        <v/>
      </c>
      <c r="AD415" s="39">
        <f>IF(AC415="","",IF(COUNTIF(AC$6:AC415,AC415)=1,1,0))</f>
        <v/>
      </c>
      <c r="AE415" s="39">
        <f>IF(AB415=0,"",IF(COUNTIFS(X$6:X415,X415,AB$6:AB415,AB415)=1,1,0))</f>
        <v/>
      </c>
      <c r="AF415" s="34">
        <f>IF(C415="","",YEAR(C415-WEEKDAY(C415,2)+4)&amp;"-S"&amp;TEXT(INT((C415-DATE(YEAR(C415-WEEKDAY(C415,2)+4),1,3)+WEEKDAY(DATE(YEAR(C415-WEEKDAY(C415,2)+4),1,3),2)+5)/7),"00"))</f>
        <v/>
      </c>
    </row>
    <row r="416" ht="18" customHeight="1">
      <c r="A416" s="39" t="n">
        <v>411</v>
      </c>
      <c r="B416" s="33">
        <f>IF(C416="","",IF(P416="À RENSEIGNER","GIC",P416)&amp;"-C"&amp;TEXT(A416,"00000"))</f>
        <v/>
      </c>
      <c r="C416" s="32" t="n"/>
      <c r="D416" s="36" t="n"/>
      <c r="E416" s="36" t="n"/>
      <c r="F416" s="36" t="n"/>
      <c r="G416" s="42" t="n"/>
      <c r="H416" s="37" t="n"/>
      <c r="I416" s="37" t="n"/>
      <c r="J416" s="32" t="n"/>
      <c r="K416" s="32" t="n"/>
      <c r="L416" s="43" t="n"/>
      <c r="M416" s="36" t="n"/>
      <c r="N416" s="44" t="n"/>
      <c r="O416" s="36" t="n"/>
      <c r="P416" s="33">
        <f>IF(C416="","",Commercial_Id)</f>
        <v/>
      </c>
      <c r="Q416" s="34">
        <f>IF(AC416="","",IF(AD416=1,"C"&amp;TEXT(SUM(AD$6:AD416),"0000"),INDEX(Q$6:Q415,MATCH(AC416,AC$6:AC415,0))))</f>
        <v/>
      </c>
      <c r="R416" s="34">
        <f>IF(C416="","",IF(L416="☑ Oui","Annulée",IF(OR(E416="Vente directe",K416&lt;&gt;""),"Livrée",IF(J416&lt;&gt;"","Confirmée","En attente"))))</f>
        <v/>
      </c>
      <c r="S416" s="34">
        <f>IF(F416="","",IFERROR(VLOOKUP(F416,T_Produits,2,FALSE),""))</f>
        <v/>
      </c>
      <c r="T416" s="40">
        <f>IF(F416="","",IFERROR(1/(1/VLOOKUP(F416,T_Produits,3,FALSE)),""))</f>
        <v/>
      </c>
      <c r="U416" s="40">
        <f>IF(H416&lt;&gt;"",H416,T416)</f>
        <v/>
      </c>
      <c r="V416" s="40">
        <f>IF(OR(G416="",U416=""),"",G416*U416-N(I416))</f>
        <v/>
      </c>
      <c r="W416" s="39">
        <f>IF(D416="","",IFERROR(VALUE(MID(D416,LEN(D416)-3,3)),""))</f>
        <v/>
      </c>
      <c r="X416" s="33">
        <f>IF(W416="","",P416&amp;"|"&amp;W416)</f>
        <v/>
      </c>
      <c r="Y416" s="33">
        <f>IF(W416="","",IF(P416="À RENSEIGNER","GIC",P416)&amp;"-"&amp;TEXT(W416,"000"))</f>
        <v/>
      </c>
      <c r="Z416" s="33">
        <f>IF(X416="","",IFERROR(INDEX(Cl_nom,MATCH(X416,Cl_cle,0)),"(client introuvable)"))</f>
        <v/>
      </c>
      <c r="AA416" s="33">
        <f>IF(X416="","",IFERROR(INDEX(Cl_quartier,MATCH(X416,Cl_cle,0))&amp;"",""))</f>
        <v/>
      </c>
      <c r="AB416" s="45">
        <f>IF(R416&lt;&gt;"Livrée",0,IF(K416&lt;&gt;"",K416,C416))</f>
        <v/>
      </c>
      <c r="AC416" s="33">
        <f>IF(OR(C416="",W416=""),"",P416&amp;"|"&amp;W416&amp;"|"&amp;C416&amp;"|"&amp;E416)</f>
        <v/>
      </c>
      <c r="AD416" s="39">
        <f>IF(AC416="","",IF(COUNTIF(AC$6:AC416,AC416)=1,1,0))</f>
        <v/>
      </c>
      <c r="AE416" s="39">
        <f>IF(AB416=0,"",IF(COUNTIFS(X$6:X416,X416,AB$6:AB416,AB416)=1,1,0))</f>
        <v/>
      </c>
      <c r="AF416" s="34">
        <f>IF(C416="","",YEAR(C416-WEEKDAY(C416,2)+4)&amp;"-S"&amp;TEXT(INT((C416-DATE(YEAR(C416-WEEKDAY(C416,2)+4),1,3)+WEEKDAY(DATE(YEAR(C416-WEEKDAY(C416,2)+4),1,3),2)+5)/7),"00"))</f>
        <v/>
      </c>
    </row>
    <row r="417" ht="18" customHeight="1">
      <c r="A417" s="39" t="n">
        <v>412</v>
      </c>
      <c r="B417" s="33">
        <f>IF(C417="","",IF(P417="À RENSEIGNER","GIC",P417)&amp;"-C"&amp;TEXT(A417,"00000"))</f>
        <v/>
      </c>
      <c r="C417" s="32" t="n"/>
      <c r="D417" s="36" t="n"/>
      <c r="E417" s="36" t="n"/>
      <c r="F417" s="36" t="n"/>
      <c r="G417" s="42" t="n"/>
      <c r="H417" s="37" t="n"/>
      <c r="I417" s="37" t="n"/>
      <c r="J417" s="32" t="n"/>
      <c r="K417" s="32" t="n"/>
      <c r="L417" s="43" t="n"/>
      <c r="M417" s="36" t="n"/>
      <c r="N417" s="44" t="n"/>
      <c r="O417" s="36" t="n"/>
      <c r="P417" s="33">
        <f>IF(C417="","",Commercial_Id)</f>
        <v/>
      </c>
      <c r="Q417" s="34">
        <f>IF(AC417="","",IF(AD417=1,"C"&amp;TEXT(SUM(AD$6:AD417),"0000"),INDEX(Q$6:Q416,MATCH(AC417,AC$6:AC416,0))))</f>
        <v/>
      </c>
      <c r="R417" s="34">
        <f>IF(C417="","",IF(L417="☑ Oui","Annulée",IF(OR(E417="Vente directe",K417&lt;&gt;""),"Livrée",IF(J417&lt;&gt;"","Confirmée","En attente"))))</f>
        <v/>
      </c>
      <c r="S417" s="34">
        <f>IF(F417="","",IFERROR(VLOOKUP(F417,T_Produits,2,FALSE),""))</f>
        <v/>
      </c>
      <c r="T417" s="40">
        <f>IF(F417="","",IFERROR(1/(1/VLOOKUP(F417,T_Produits,3,FALSE)),""))</f>
        <v/>
      </c>
      <c r="U417" s="40">
        <f>IF(H417&lt;&gt;"",H417,T417)</f>
        <v/>
      </c>
      <c r="V417" s="40">
        <f>IF(OR(G417="",U417=""),"",G417*U417-N(I417))</f>
        <v/>
      </c>
      <c r="W417" s="39">
        <f>IF(D417="","",IFERROR(VALUE(MID(D417,LEN(D417)-3,3)),""))</f>
        <v/>
      </c>
      <c r="X417" s="33">
        <f>IF(W417="","",P417&amp;"|"&amp;W417)</f>
        <v/>
      </c>
      <c r="Y417" s="33">
        <f>IF(W417="","",IF(P417="À RENSEIGNER","GIC",P417)&amp;"-"&amp;TEXT(W417,"000"))</f>
        <v/>
      </c>
      <c r="Z417" s="33">
        <f>IF(X417="","",IFERROR(INDEX(Cl_nom,MATCH(X417,Cl_cle,0)),"(client introuvable)"))</f>
        <v/>
      </c>
      <c r="AA417" s="33">
        <f>IF(X417="","",IFERROR(INDEX(Cl_quartier,MATCH(X417,Cl_cle,0))&amp;"",""))</f>
        <v/>
      </c>
      <c r="AB417" s="45">
        <f>IF(R417&lt;&gt;"Livrée",0,IF(K417&lt;&gt;"",K417,C417))</f>
        <v/>
      </c>
      <c r="AC417" s="33">
        <f>IF(OR(C417="",W417=""),"",P417&amp;"|"&amp;W417&amp;"|"&amp;C417&amp;"|"&amp;E417)</f>
        <v/>
      </c>
      <c r="AD417" s="39">
        <f>IF(AC417="","",IF(COUNTIF(AC$6:AC417,AC417)=1,1,0))</f>
        <v/>
      </c>
      <c r="AE417" s="39">
        <f>IF(AB417=0,"",IF(COUNTIFS(X$6:X417,X417,AB$6:AB417,AB417)=1,1,0))</f>
        <v/>
      </c>
      <c r="AF417" s="34">
        <f>IF(C417="","",YEAR(C417-WEEKDAY(C417,2)+4)&amp;"-S"&amp;TEXT(INT((C417-DATE(YEAR(C417-WEEKDAY(C417,2)+4),1,3)+WEEKDAY(DATE(YEAR(C417-WEEKDAY(C417,2)+4),1,3),2)+5)/7),"00"))</f>
        <v/>
      </c>
    </row>
    <row r="418" ht="18" customHeight="1">
      <c r="A418" s="39" t="n">
        <v>413</v>
      </c>
      <c r="B418" s="33">
        <f>IF(C418="","",IF(P418="À RENSEIGNER","GIC",P418)&amp;"-C"&amp;TEXT(A418,"00000"))</f>
        <v/>
      </c>
      <c r="C418" s="32" t="n"/>
      <c r="D418" s="36" t="n"/>
      <c r="E418" s="36" t="n"/>
      <c r="F418" s="36" t="n"/>
      <c r="G418" s="42" t="n"/>
      <c r="H418" s="37" t="n"/>
      <c r="I418" s="37" t="n"/>
      <c r="J418" s="32" t="n"/>
      <c r="K418" s="32" t="n"/>
      <c r="L418" s="43" t="n"/>
      <c r="M418" s="36" t="n"/>
      <c r="N418" s="44" t="n"/>
      <c r="O418" s="36" t="n"/>
      <c r="P418" s="33">
        <f>IF(C418="","",Commercial_Id)</f>
        <v/>
      </c>
      <c r="Q418" s="34">
        <f>IF(AC418="","",IF(AD418=1,"C"&amp;TEXT(SUM(AD$6:AD418),"0000"),INDEX(Q$6:Q417,MATCH(AC418,AC$6:AC417,0))))</f>
        <v/>
      </c>
      <c r="R418" s="34">
        <f>IF(C418="","",IF(L418="☑ Oui","Annulée",IF(OR(E418="Vente directe",K418&lt;&gt;""),"Livrée",IF(J418&lt;&gt;"","Confirmée","En attente"))))</f>
        <v/>
      </c>
      <c r="S418" s="34">
        <f>IF(F418="","",IFERROR(VLOOKUP(F418,T_Produits,2,FALSE),""))</f>
        <v/>
      </c>
      <c r="T418" s="40">
        <f>IF(F418="","",IFERROR(1/(1/VLOOKUP(F418,T_Produits,3,FALSE)),""))</f>
        <v/>
      </c>
      <c r="U418" s="40">
        <f>IF(H418&lt;&gt;"",H418,T418)</f>
        <v/>
      </c>
      <c r="V418" s="40">
        <f>IF(OR(G418="",U418=""),"",G418*U418-N(I418))</f>
        <v/>
      </c>
      <c r="W418" s="39">
        <f>IF(D418="","",IFERROR(VALUE(MID(D418,LEN(D418)-3,3)),""))</f>
        <v/>
      </c>
      <c r="X418" s="33">
        <f>IF(W418="","",P418&amp;"|"&amp;W418)</f>
        <v/>
      </c>
      <c r="Y418" s="33">
        <f>IF(W418="","",IF(P418="À RENSEIGNER","GIC",P418)&amp;"-"&amp;TEXT(W418,"000"))</f>
        <v/>
      </c>
      <c r="Z418" s="33">
        <f>IF(X418="","",IFERROR(INDEX(Cl_nom,MATCH(X418,Cl_cle,0)),"(client introuvable)"))</f>
        <v/>
      </c>
      <c r="AA418" s="33">
        <f>IF(X418="","",IFERROR(INDEX(Cl_quartier,MATCH(X418,Cl_cle,0))&amp;"",""))</f>
        <v/>
      </c>
      <c r="AB418" s="45">
        <f>IF(R418&lt;&gt;"Livrée",0,IF(K418&lt;&gt;"",K418,C418))</f>
        <v/>
      </c>
      <c r="AC418" s="33">
        <f>IF(OR(C418="",W418=""),"",P418&amp;"|"&amp;W418&amp;"|"&amp;C418&amp;"|"&amp;E418)</f>
        <v/>
      </c>
      <c r="AD418" s="39">
        <f>IF(AC418="","",IF(COUNTIF(AC$6:AC418,AC418)=1,1,0))</f>
        <v/>
      </c>
      <c r="AE418" s="39">
        <f>IF(AB418=0,"",IF(COUNTIFS(X$6:X418,X418,AB$6:AB418,AB418)=1,1,0))</f>
        <v/>
      </c>
      <c r="AF418" s="34">
        <f>IF(C418="","",YEAR(C418-WEEKDAY(C418,2)+4)&amp;"-S"&amp;TEXT(INT((C418-DATE(YEAR(C418-WEEKDAY(C418,2)+4),1,3)+WEEKDAY(DATE(YEAR(C418-WEEKDAY(C418,2)+4),1,3),2)+5)/7),"00"))</f>
        <v/>
      </c>
    </row>
    <row r="419" ht="18" customHeight="1">
      <c r="A419" s="39" t="n">
        <v>414</v>
      </c>
      <c r="B419" s="33">
        <f>IF(C419="","",IF(P419="À RENSEIGNER","GIC",P419)&amp;"-C"&amp;TEXT(A419,"00000"))</f>
        <v/>
      </c>
      <c r="C419" s="32" t="n"/>
      <c r="D419" s="36" t="n"/>
      <c r="E419" s="36" t="n"/>
      <c r="F419" s="36" t="n"/>
      <c r="G419" s="42" t="n"/>
      <c r="H419" s="37" t="n"/>
      <c r="I419" s="37" t="n"/>
      <c r="J419" s="32" t="n"/>
      <c r="K419" s="32" t="n"/>
      <c r="L419" s="43" t="n"/>
      <c r="M419" s="36" t="n"/>
      <c r="N419" s="44" t="n"/>
      <c r="O419" s="36" t="n"/>
      <c r="P419" s="33">
        <f>IF(C419="","",Commercial_Id)</f>
        <v/>
      </c>
      <c r="Q419" s="34">
        <f>IF(AC419="","",IF(AD419=1,"C"&amp;TEXT(SUM(AD$6:AD419),"0000"),INDEX(Q$6:Q418,MATCH(AC419,AC$6:AC418,0))))</f>
        <v/>
      </c>
      <c r="R419" s="34">
        <f>IF(C419="","",IF(L419="☑ Oui","Annulée",IF(OR(E419="Vente directe",K419&lt;&gt;""),"Livrée",IF(J419&lt;&gt;"","Confirmée","En attente"))))</f>
        <v/>
      </c>
      <c r="S419" s="34">
        <f>IF(F419="","",IFERROR(VLOOKUP(F419,T_Produits,2,FALSE),""))</f>
        <v/>
      </c>
      <c r="T419" s="40">
        <f>IF(F419="","",IFERROR(1/(1/VLOOKUP(F419,T_Produits,3,FALSE)),""))</f>
        <v/>
      </c>
      <c r="U419" s="40">
        <f>IF(H419&lt;&gt;"",H419,T419)</f>
        <v/>
      </c>
      <c r="V419" s="40">
        <f>IF(OR(G419="",U419=""),"",G419*U419-N(I419))</f>
        <v/>
      </c>
      <c r="W419" s="39">
        <f>IF(D419="","",IFERROR(VALUE(MID(D419,LEN(D419)-3,3)),""))</f>
        <v/>
      </c>
      <c r="X419" s="33">
        <f>IF(W419="","",P419&amp;"|"&amp;W419)</f>
        <v/>
      </c>
      <c r="Y419" s="33">
        <f>IF(W419="","",IF(P419="À RENSEIGNER","GIC",P419)&amp;"-"&amp;TEXT(W419,"000"))</f>
        <v/>
      </c>
      <c r="Z419" s="33">
        <f>IF(X419="","",IFERROR(INDEX(Cl_nom,MATCH(X419,Cl_cle,0)),"(client introuvable)"))</f>
        <v/>
      </c>
      <c r="AA419" s="33">
        <f>IF(X419="","",IFERROR(INDEX(Cl_quartier,MATCH(X419,Cl_cle,0))&amp;"",""))</f>
        <v/>
      </c>
      <c r="AB419" s="45">
        <f>IF(R419&lt;&gt;"Livrée",0,IF(K419&lt;&gt;"",K419,C419))</f>
        <v/>
      </c>
      <c r="AC419" s="33">
        <f>IF(OR(C419="",W419=""),"",P419&amp;"|"&amp;W419&amp;"|"&amp;C419&amp;"|"&amp;E419)</f>
        <v/>
      </c>
      <c r="AD419" s="39">
        <f>IF(AC419="","",IF(COUNTIF(AC$6:AC419,AC419)=1,1,0))</f>
        <v/>
      </c>
      <c r="AE419" s="39">
        <f>IF(AB419=0,"",IF(COUNTIFS(X$6:X419,X419,AB$6:AB419,AB419)=1,1,0))</f>
        <v/>
      </c>
      <c r="AF419" s="34">
        <f>IF(C419="","",YEAR(C419-WEEKDAY(C419,2)+4)&amp;"-S"&amp;TEXT(INT((C419-DATE(YEAR(C419-WEEKDAY(C419,2)+4),1,3)+WEEKDAY(DATE(YEAR(C419-WEEKDAY(C419,2)+4),1,3),2)+5)/7),"00"))</f>
        <v/>
      </c>
    </row>
    <row r="420" ht="18" customHeight="1">
      <c r="A420" s="39" t="n">
        <v>415</v>
      </c>
      <c r="B420" s="33">
        <f>IF(C420="","",IF(P420="À RENSEIGNER","GIC",P420)&amp;"-C"&amp;TEXT(A420,"00000"))</f>
        <v/>
      </c>
      <c r="C420" s="32" t="n"/>
      <c r="D420" s="36" t="n"/>
      <c r="E420" s="36" t="n"/>
      <c r="F420" s="36" t="n"/>
      <c r="G420" s="42" t="n"/>
      <c r="H420" s="37" t="n"/>
      <c r="I420" s="37" t="n"/>
      <c r="J420" s="32" t="n"/>
      <c r="K420" s="32" t="n"/>
      <c r="L420" s="43" t="n"/>
      <c r="M420" s="36" t="n"/>
      <c r="N420" s="44" t="n"/>
      <c r="O420" s="36" t="n"/>
      <c r="P420" s="33">
        <f>IF(C420="","",Commercial_Id)</f>
        <v/>
      </c>
      <c r="Q420" s="34">
        <f>IF(AC420="","",IF(AD420=1,"C"&amp;TEXT(SUM(AD$6:AD420),"0000"),INDEX(Q$6:Q419,MATCH(AC420,AC$6:AC419,0))))</f>
        <v/>
      </c>
      <c r="R420" s="34">
        <f>IF(C420="","",IF(L420="☑ Oui","Annulée",IF(OR(E420="Vente directe",K420&lt;&gt;""),"Livrée",IF(J420&lt;&gt;"","Confirmée","En attente"))))</f>
        <v/>
      </c>
      <c r="S420" s="34">
        <f>IF(F420="","",IFERROR(VLOOKUP(F420,T_Produits,2,FALSE),""))</f>
        <v/>
      </c>
      <c r="T420" s="40">
        <f>IF(F420="","",IFERROR(1/(1/VLOOKUP(F420,T_Produits,3,FALSE)),""))</f>
        <v/>
      </c>
      <c r="U420" s="40">
        <f>IF(H420&lt;&gt;"",H420,T420)</f>
        <v/>
      </c>
      <c r="V420" s="40">
        <f>IF(OR(G420="",U420=""),"",G420*U420-N(I420))</f>
        <v/>
      </c>
      <c r="W420" s="39">
        <f>IF(D420="","",IFERROR(VALUE(MID(D420,LEN(D420)-3,3)),""))</f>
        <v/>
      </c>
      <c r="X420" s="33">
        <f>IF(W420="","",P420&amp;"|"&amp;W420)</f>
        <v/>
      </c>
      <c r="Y420" s="33">
        <f>IF(W420="","",IF(P420="À RENSEIGNER","GIC",P420)&amp;"-"&amp;TEXT(W420,"000"))</f>
        <v/>
      </c>
      <c r="Z420" s="33">
        <f>IF(X420="","",IFERROR(INDEX(Cl_nom,MATCH(X420,Cl_cle,0)),"(client introuvable)"))</f>
        <v/>
      </c>
      <c r="AA420" s="33">
        <f>IF(X420="","",IFERROR(INDEX(Cl_quartier,MATCH(X420,Cl_cle,0))&amp;"",""))</f>
        <v/>
      </c>
      <c r="AB420" s="45">
        <f>IF(R420&lt;&gt;"Livrée",0,IF(K420&lt;&gt;"",K420,C420))</f>
        <v/>
      </c>
      <c r="AC420" s="33">
        <f>IF(OR(C420="",W420=""),"",P420&amp;"|"&amp;W420&amp;"|"&amp;C420&amp;"|"&amp;E420)</f>
        <v/>
      </c>
      <c r="AD420" s="39">
        <f>IF(AC420="","",IF(COUNTIF(AC$6:AC420,AC420)=1,1,0))</f>
        <v/>
      </c>
      <c r="AE420" s="39">
        <f>IF(AB420=0,"",IF(COUNTIFS(X$6:X420,X420,AB$6:AB420,AB420)=1,1,0))</f>
        <v/>
      </c>
      <c r="AF420" s="34">
        <f>IF(C420="","",YEAR(C420-WEEKDAY(C420,2)+4)&amp;"-S"&amp;TEXT(INT((C420-DATE(YEAR(C420-WEEKDAY(C420,2)+4),1,3)+WEEKDAY(DATE(YEAR(C420-WEEKDAY(C420,2)+4),1,3),2)+5)/7),"00"))</f>
        <v/>
      </c>
    </row>
    <row r="421" ht="18" customHeight="1">
      <c r="A421" s="39" t="n">
        <v>416</v>
      </c>
      <c r="B421" s="33">
        <f>IF(C421="","",IF(P421="À RENSEIGNER","GIC",P421)&amp;"-C"&amp;TEXT(A421,"00000"))</f>
        <v/>
      </c>
      <c r="C421" s="32" t="n"/>
      <c r="D421" s="36" t="n"/>
      <c r="E421" s="36" t="n"/>
      <c r="F421" s="36" t="n"/>
      <c r="G421" s="42" t="n"/>
      <c r="H421" s="37" t="n"/>
      <c r="I421" s="37" t="n"/>
      <c r="J421" s="32" t="n"/>
      <c r="K421" s="32" t="n"/>
      <c r="L421" s="43" t="n"/>
      <c r="M421" s="36" t="n"/>
      <c r="N421" s="44" t="n"/>
      <c r="O421" s="36" t="n"/>
      <c r="P421" s="33">
        <f>IF(C421="","",Commercial_Id)</f>
        <v/>
      </c>
      <c r="Q421" s="34">
        <f>IF(AC421="","",IF(AD421=1,"C"&amp;TEXT(SUM(AD$6:AD421),"0000"),INDEX(Q$6:Q420,MATCH(AC421,AC$6:AC420,0))))</f>
        <v/>
      </c>
      <c r="R421" s="34">
        <f>IF(C421="","",IF(L421="☑ Oui","Annulée",IF(OR(E421="Vente directe",K421&lt;&gt;""),"Livrée",IF(J421&lt;&gt;"","Confirmée","En attente"))))</f>
        <v/>
      </c>
      <c r="S421" s="34">
        <f>IF(F421="","",IFERROR(VLOOKUP(F421,T_Produits,2,FALSE),""))</f>
        <v/>
      </c>
      <c r="T421" s="40">
        <f>IF(F421="","",IFERROR(1/(1/VLOOKUP(F421,T_Produits,3,FALSE)),""))</f>
        <v/>
      </c>
      <c r="U421" s="40">
        <f>IF(H421&lt;&gt;"",H421,T421)</f>
        <v/>
      </c>
      <c r="V421" s="40">
        <f>IF(OR(G421="",U421=""),"",G421*U421-N(I421))</f>
        <v/>
      </c>
      <c r="W421" s="39">
        <f>IF(D421="","",IFERROR(VALUE(MID(D421,LEN(D421)-3,3)),""))</f>
        <v/>
      </c>
      <c r="X421" s="33">
        <f>IF(W421="","",P421&amp;"|"&amp;W421)</f>
        <v/>
      </c>
      <c r="Y421" s="33">
        <f>IF(W421="","",IF(P421="À RENSEIGNER","GIC",P421)&amp;"-"&amp;TEXT(W421,"000"))</f>
        <v/>
      </c>
      <c r="Z421" s="33">
        <f>IF(X421="","",IFERROR(INDEX(Cl_nom,MATCH(X421,Cl_cle,0)),"(client introuvable)"))</f>
        <v/>
      </c>
      <c r="AA421" s="33">
        <f>IF(X421="","",IFERROR(INDEX(Cl_quartier,MATCH(X421,Cl_cle,0))&amp;"",""))</f>
        <v/>
      </c>
      <c r="AB421" s="45">
        <f>IF(R421&lt;&gt;"Livrée",0,IF(K421&lt;&gt;"",K421,C421))</f>
        <v/>
      </c>
      <c r="AC421" s="33">
        <f>IF(OR(C421="",W421=""),"",P421&amp;"|"&amp;W421&amp;"|"&amp;C421&amp;"|"&amp;E421)</f>
        <v/>
      </c>
      <c r="AD421" s="39">
        <f>IF(AC421="","",IF(COUNTIF(AC$6:AC421,AC421)=1,1,0))</f>
        <v/>
      </c>
      <c r="AE421" s="39">
        <f>IF(AB421=0,"",IF(COUNTIFS(X$6:X421,X421,AB$6:AB421,AB421)=1,1,0))</f>
        <v/>
      </c>
      <c r="AF421" s="34">
        <f>IF(C421="","",YEAR(C421-WEEKDAY(C421,2)+4)&amp;"-S"&amp;TEXT(INT((C421-DATE(YEAR(C421-WEEKDAY(C421,2)+4),1,3)+WEEKDAY(DATE(YEAR(C421-WEEKDAY(C421,2)+4),1,3),2)+5)/7),"00"))</f>
        <v/>
      </c>
    </row>
    <row r="422" ht="18" customHeight="1">
      <c r="A422" s="39" t="n">
        <v>417</v>
      </c>
      <c r="B422" s="33">
        <f>IF(C422="","",IF(P422="À RENSEIGNER","GIC",P422)&amp;"-C"&amp;TEXT(A422,"00000"))</f>
        <v/>
      </c>
      <c r="C422" s="32" t="n"/>
      <c r="D422" s="36" t="n"/>
      <c r="E422" s="36" t="n"/>
      <c r="F422" s="36" t="n"/>
      <c r="G422" s="42" t="n"/>
      <c r="H422" s="37" t="n"/>
      <c r="I422" s="37" t="n"/>
      <c r="J422" s="32" t="n"/>
      <c r="K422" s="32" t="n"/>
      <c r="L422" s="43" t="n"/>
      <c r="M422" s="36" t="n"/>
      <c r="N422" s="44" t="n"/>
      <c r="O422" s="36" t="n"/>
      <c r="P422" s="33">
        <f>IF(C422="","",Commercial_Id)</f>
        <v/>
      </c>
      <c r="Q422" s="34">
        <f>IF(AC422="","",IF(AD422=1,"C"&amp;TEXT(SUM(AD$6:AD422),"0000"),INDEX(Q$6:Q421,MATCH(AC422,AC$6:AC421,0))))</f>
        <v/>
      </c>
      <c r="R422" s="34">
        <f>IF(C422="","",IF(L422="☑ Oui","Annulée",IF(OR(E422="Vente directe",K422&lt;&gt;""),"Livrée",IF(J422&lt;&gt;"","Confirmée","En attente"))))</f>
        <v/>
      </c>
      <c r="S422" s="34">
        <f>IF(F422="","",IFERROR(VLOOKUP(F422,T_Produits,2,FALSE),""))</f>
        <v/>
      </c>
      <c r="T422" s="40">
        <f>IF(F422="","",IFERROR(1/(1/VLOOKUP(F422,T_Produits,3,FALSE)),""))</f>
        <v/>
      </c>
      <c r="U422" s="40">
        <f>IF(H422&lt;&gt;"",H422,T422)</f>
        <v/>
      </c>
      <c r="V422" s="40">
        <f>IF(OR(G422="",U422=""),"",G422*U422-N(I422))</f>
        <v/>
      </c>
      <c r="W422" s="39">
        <f>IF(D422="","",IFERROR(VALUE(MID(D422,LEN(D422)-3,3)),""))</f>
        <v/>
      </c>
      <c r="X422" s="33">
        <f>IF(W422="","",P422&amp;"|"&amp;W422)</f>
        <v/>
      </c>
      <c r="Y422" s="33">
        <f>IF(W422="","",IF(P422="À RENSEIGNER","GIC",P422)&amp;"-"&amp;TEXT(W422,"000"))</f>
        <v/>
      </c>
      <c r="Z422" s="33">
        <f>IF(X422="","",IFERROR(INDEX(Cl_nom,MATCH(X422,Cl_cle,0)),"(client introuvable)"))</f>
        <v/>
      </c>
      <c r="AA422" s="33">
        <f>IF(X422="","",IFERROR(INDEX(Cl_quartier,MATCH(X422,Cl_cle,0))&amp;"",""))</f>
        <v/>
      </c>
      <c r="AB422" s="45">
        <f>IF(R422&lt;&gt;"Livrée",0,IF(K422&lt;&gt;"",K422,C422))</f>
        <v/>
      </c>
      <c r="AC422" s="33">
        <f>IF(OR(C422="",W422=""),"",P422&amp;"|"&amp;W422&amp;"|"&amp;C422&amp;"|"&amp;E422)</f>
        <v/>
      </c>
      <c r="AD422" s="39">
        <f>IF(AC422="","",IF(COUNTIF(AC$6:AC422,AC422)=1,1,0))</f>
        <v/>
      </c>
      <c r="AE422" s="39">
        <f>IF(AB422=0,"",IF(COUNTIFS(X$6:X422,X422,AB$6:AB422,AB422)=1,1,0))</f>
        <v/>
      </c>
      <c r="AF422" s="34">
        <f>IF(C422="","",YEAR(C422-WEEKDAY(C422,2)+4)&amp;"-S"&amp;TEXT(INT((C422-DATE(YEAR(C422-WEEKDAY(C422,2)+4),1,3)+WEEKDAY(DATE(YEAR(C422-WEEKDAY(C422,2)+4),1,3),2)+5)/7),"00"))</f>
        <v/>
      </c>
    </row>
    <row r="423" ht="18" customHeight="1">
      <c r="A423" s="39" t="n">
        <v>418</v>
      </c>
      <c r="B423" s="33">
        <f>IF(C423="","",IF(P423="À RENSEIGNER","GIC",P423)&amp;"-C"&amp;TEXT(A423,"00000"))</f>
        <v/>
      </c>
      <c r="C423" s="32" t="n"/>
      <c r="D423" s="36" t="n"/>
      <c r="E423" s="36" t="n"/>
      <c r="F423" s="36" t="n"/>
      <c r="G423" s="42" t="n"/>
      <c r="H423" s="37" t="n"/>
      <c r="I423" s="37" t="n"/>
      <c r="J423" s="32" t="n"/>
      <c r="K423" s="32" t="n"/>
      <c r="L423" s="43" t="n"/>
      <c r="M423" s="36" t="n"/>
      <c r="N423" s="44" t="n"/>
      <c r="O423" s="36" t="n"/>
      <c r="P423" s="33">
        <f>IF(C423="","",Commercial_Id)</f>
        <v/>
      </c>
      <c r="Q423" s="34">
        <f>IF(AC423="","",IF(AD423=1,"C"&amp;TEXT(SUM(AD$6:AD423),"0000"),INDEX(Q$6:Q422,MATCH(AC423,AC$6:AC422,0))))</f>
        <v/>
      </c>
      <c r="R423" s="34">
        <f>IF(C423="","",IF(L423="☑ Oui","Annulée",IF(OR(E423="Vente directe",K423&lt;&gt;""),"Livrée",IF(J423&lt;&gt;"","Confirmée","En attente"))))</f>
        <v/>
      </c>
      <c r="S423" s="34">
        <f>IF(F423="","",IFERROR(VLOOKUP(F423,T_Produits,2,FALSE),""))</f>
        <v/>
      </c>
      <c r="T423" s="40">
        <f>IF(F423="","",IFERROR(1/(1/VLOOKUP(F423,T_Produits,3,FALSE)),""))</f>
        <v/>
      </c>
      <c r="U423" s="40">
        <f>IF(H423&lt;&gt;"",H423,T423)</f>
        <v/>
      </c>
      <c r="V423" s="40">
        <f>IF(OR(G423="",U423=""),"",G423*U423-N(I423))</f>
        <v/>
      </c>
      <c r="W423" s="39">
        <f>IF(D423="","",IFERROR(VALUE(MID(D423,LEN(D423)-3,3)),""))</f>
        <v/>
      </c>
      <c r="X423" s="33">
        <f>IF(W423="","",P423&amp;"|"&amp;W423)</f>
        <v/>
      </c>
      <c r="Y423" s="33">
        <f>IF(W423="","",IF(P423="À RENSEIGNER","GIC",P423)&amp;"-"&amp;TEXT(W423,"000"))</f>
        <v/>
      </c>
      <c r="Z423" s="33">
        <f>IF(X423="","",IFERROR(INDEX(Cl_nom,MATCH(X423,Cl_cle,0)),"(client introuvable)"))</f>
        <v/>
      </c>
      <c r="AA423" s="33">
        <f>IF(X423="","",IFERROR(INDEX(Cl_quartier,MATCH(X423,Cl_cle,0))&amp;"",""))</f>
        <v/>
      </c>
      <c r="AB423" s="45">
        <f>IF(R423&lt;&gt;"Livrée",0,IF(K423&lt;&gt;"",K423,C423))</f>
        <v/>
      </c>
      <c r="AC423" s="33">
        <f>IF(OR(C423="",W423=""),"",P423&amp;"|"&amp;W423&amp;"|"&amp;C423&amp;"|"&amp;E423)</f>
        <v/>
      </c>
      <c r="AD423" s="39">
        <f>IF(AC423="","",IF(COUNTIF(AC$6:AC423,AC423)=1,1,0))</f>
        <v/>
      </c>
      <c r="AE423" s="39">
        <f>IF(AB423=0,"",IF(COUNTIFS(X$6:X423,X423,AB$6:AB423,AB423)=1,1,0))</f>
        <v/>
      </c>
      <c r="AF423" s="34">
        <f>IF(C423="","",YEAR(C423-WEEKDAY(C423,2)+4)&amp;"-S"&amp;TEXT(INT((C423-DATE(YEAR(C423-WEEKDAY(C423,2)+4),1,3)+WEEKDAY(DATE(YEAR(C423-WEEKDAY(C423,2)+4),1,3),2)+5)/7),"00"))</f>
        <v/>
      </c>
    </row>
    <row r="424" ht="18" customHeight="1">
      <c r="A424" s="39" t="n">
        <v>419</v>
      </c>
      <c r="B424" s="33">
        <f>IF(C424="","",IF(P424="À RENSEIGNER","GIC",P424)&amp;"-C"&amp;TEXT(A424,"00000"))</f>
        <v/>
      </c>
      <c r="C424" s="32" t="n"/>
      <c r="D424" s="36" t="n"/>
      <c r="E424" s="36" t="n"/>
      <c r="F424" s="36" t="n"/>
      <c r="G424" s="42" t="n"/>
      <c r="H424" s="37" t="n"/>
      <c r="I424" s="37" t="n"/>
      <c r="J424" s="32" t="n"/>
      <c r="K424" s="32" t="n"/>
      <c r="L424" s="43" t="n"/>
      <c r="M424" s="36" t="n"/>
      <c r="N424" s="44" t="n"/>
      <c r="O424" s="36" t="n"/>
      <c r="P424" s="33">
        <f>IF(C424="","",Commercial_Id)</f>
        <v/>
      </c>
      <c r="Q424" s="34">
        <f>IF(AC424="","",IF(AD424=1,"C"&amp;TEXT(SUM(AD$6:AD424),"0000"),INDEX(Q$6:Q423,MATCH(AC424,AC$6:AC423,0))))</f>
        <v/>
      </c>
      <c r="R424" s="34">
        <f>IF(C424="","",IF(L424="☑ Oui","Annulée",IF(OR(E424="Vente directe",K424&lt;&gt;""),"Livrée",IF(J424&lt;&gt;"","Confirmée","En attente"))))</f>
        <v/>
      </c>
      <c r="S424" s="34">
        <f>IF(F424="","",IFERROR(VLOOKUP(F424,T_Produits,2,FALSE),""))</f>
        <v/>
      </c>
      <c r="T424" s="40">
        <f>IF(F424="","",IFERROR(1/(1/VLOOKUP(F424,T_Produits,3,FALSE)),""))</f>
        <v/>
      </c>
      <c r="U424" s="40">
        <f>IF(H424&lt;&gt;"",H424,T424)</f>
        <v/>
      </c>
      <c r="V424" s="40">
        <f>IF(OR(G424="",U424=""),"",G424*U424-N(I424))</f>
        <v/>
      </c>
      <c r="W424" s="39">
        <f>IF(D424="","",IFERROR(VALUE(MID(D424,LEN(D424)-3,3)),""))</f>
        <v/>
      </c>
      <c r="X424" s="33">
        <f>IF(W424="","",P424&amp;"|"&amp;W424)</f>
        <v/>
      </c>
      <c r="Y424" s="33">
        <f>IF(W424="","",IF(P424="À RENSEIGNER","GIC",P424)&amp;"-"&amp;TEXT(W424,"000"))</f>
        <v/>
      </c>
      <c r="Z424" s="33">
        <f>IF(X424="","",IFERROR(INDEX(Cl_nom,MATCH(X424,Cl_cle,0)),"(client introuvable)"))</f>
        <v/>
      </c>
      <c r="AA424" s="33">
        <f>IF(X424="","",IFERROR(INDEX(Cl_quartier,MATCH(X424,Cl_cle,0))&amp;"",""))</f>
        <v/>
      </c>
      <c r="AB424" s="45">
        <f>IF(R424&lt;&gt;"Livrée",0,IF(K424&lt;&gt;"",K424,C424))</f>
        <v/>
      </c>
      <c r="AC424" s="33">
        <f>IF(OR(C424="",W424=""),"",P424&amp;"|"&amp;W424&amp;"|"&amp;C424&amp;"|"&amp;E424)</f>
        <v/>
      </c>
      <c r="AD424" s="39">
        <f>IF(AC424="","",IF(COUNTIF(AC$6:AC424,AC424)=1,1,0))</f>
        <v/>
      </c>
      <c r="AE424" s="39">
        <f>IF(AB424=0,"",IF(COUNTIFS(X$6:X424,X424,AB$6:AB424,AB424)=1,1,0))</f>
        <v/>
      </c>
      <c r="AF424" s="34">
        <f>IF(C424="","",YEAR(C424-WEEKDAY(C424,2)+4)&amp;"-S"&amp;TEXT(INT((C424-DATE(YEAR(C424-WEEKDAY(C424,2)+4),1,3)+WEEKDAY(DATE(YEAR(C424-WEEKDAY(C424,2)+4),1,3),2)+5)/7),"00"))</f>
        <v/>
      </c>
    </row>
    <row r="425" ht="18" customHeight="1">
      <c r="A425" s="39" t="n">
        <v>420</v>
      </c>
      <c r="B425" s="33">
        <f>IF(C425="","",IF(P425="À RENSEIGNER","GIC",P425)&amp;"-C"&amp;TEXT(A425,"00000"))</f>
        <v/>
      </c>
      <c r="C425" s="32" t="n"/>
      <c r="D425" s="36" t="n"/>
      <c r="E425" s="36" t="n"/>
      <c r="F425" s="36" t="n"/>
      <c r="G425" s="42" t="n"/>
      <c r="H425" s="37" t="n"/>
      <c r="I425" s="37" t="n"/>
      <c r="J425" s="32" t="n"/>
      <c r="K425" s="32" t="n"/>
      <c r="L425" s="43" t="n"/>
      <c r="M425" s="36" t="n"/>
      <c r="N425" s="44" t="n"/>
      <c r="O425" s="36" t="n"/>
      <c r="P425" s="33">
        <f>IF(C425="","",Commercial_Id)</f>
        <v/>
      </c>
      <c r="Q425" s="34">
        <f>IF(AC425="","",IF(AD425=1,"C"&amp;TEXT(SUM(AD$6:AD425),"0000"),INDEX(Q$6:Q424,MATCH(AC425,AC$6:AC424,0))))</f>
        <v/>
      </c>
      <c r="R425" s="34">
        <f>IF(C425="","",IF(L425="☑ Oui","Annulée",IF(OR(E425="Vente directe",K425&lt;&gt;""),"Livrée",IF(J425&lt;&gt;"","Confirmée","En attente"))))</f>
        <v/>
      </c>
      <c r="S425" s="34">
        <f>IF(F425="","",IFERROR(VLOOKUP(F425,T_Produits,2,FALSE),""))</f>
        <v/>
      </c>
      <c r="T425" s="40">
        <f>IF(F425="","",IFERROR(1/(1/VLOOKUP(F425,T_Produits,3,FALSE)),""))</f>
        <v/>
      </c>
      <c r="U425" s="40">
        <f>IF(H425&lt;&gt;"",H425,T425)</f>
        <v/>
      </c>
      <c r="V425" s="40">
        <f>IF(OR(G425="",U425=""),"",G425*U425-N(I425))</f>
        <v/>
      </c>
      <c r="W425" s="39">
        <f>IF(D425="","",IFERROR(VALUE(MID(D425,LEN(D425)-3,3)),""))</f>
        <v/>
      </c>
      <c r="X425" s="33">
        <f>IF(W425="","",P425&amp;"|"&amp;W425)</f>
        <v/>
      </c>
      <c r="Y425" s="33">
        <f>IF(W425="","",IF(P425="À RENSEIGNER","GIC",P425)&amp;"-"&amp;TEXT(W425,"000"))</f>
        <v/>
      </c>
      <c r="Z425" s="33">
        <f>IF(X425="","",IFERROR(INDEX(Cl_nom,MATCH(X425,Cl_cle,0)),"(client introuvable)"))</f>
        <v/>
      </c>
      <c r="AA425" s="33">
        <f>IF(X425="","",IFERROR(INDEX(Cl_quartier,MATCH(X425,Cl_cle,0))&amp;"",""))</f>
        <v/>
      </c>
      <c r="AB425" s="45">
        <f>IF(R425&lt;&gt;"Livrée",0,IF(K425&lt;&gt;"",K425,C425))</f>
        <v/>
      </c>
      <c r="AC425" s="33">
        <f>IF(OR(C425="",W425=""),"",P425&amp;"|"&amp;W425&amp;"|"&amp;C425&amp;"|"&amp;E425)</f>
        <v/>
      </c>
      <c r="AD425" s="39">
        <f>IF(AC425="","",IF(COUNTIF(AC$6:AC425,AC425)=1,1,0))</f>
        <v/>
      </c>
      <c r="AE425" s="39">
        <f>IF(AB425=0,"",IF(COUNTIFS(X$6:X425,X425,AB$6:AB425,AB425)=1,1,0))</f>
        <v/>
      </c>
      <c r="AF425" s="34">
        <f>IF(C425="","",YEAR(C425-WEEKDAY(C425,2)+4)&amp;"-S"&amp;TEXT(INT((C425-DATE(YEAR(C425-WEEKDAY(C425,2)+4),1,3)+WEEKDAY(DATE(YEAR(C425-WEEKDAY(C425,2)+4),1,3),2)+5)/7),"00"))</f>
        <v/>
      </c>
    </row>
    <row r="426" ht="18" customHeight="1">
      <c r="A426" s="39" t="n">
        <v>421</v>
      </c>
      <c r="B426" s="33">
        <f>IF(C426="","",IF(P426="À RENSEIGNER","GIC",P426)&amp;"-C"&amp;TEXT(A426,"00000"))</f>
        <v/>
      </c>
      <c r="C426" s="32" t="n"/>
      <c r="D426" s="36" t="n"/>
      <c r="E426" s="36" t="n"/>
      <c r="F426" s="36" t="n"/>
      <c r="G426" s="42" t="n"/>
      <c r="H426" s="37" t="n"/>
      <c r="I426" s="37" t="n"/>
      <c r="J426" s="32" t="n"/>
      <c r="K426" s="32" t="n"/>
      <c r="L426" s="43" t="n"/>
      <c r="M426" s="36" t="n"/>
      <c r="N426" s="44" t="n"/>
      <c r="O426" s="36" t="n"/>
      <c r="P426" s="33">
        <f>IF(C426="","",Commercial_Id)</f>
        <v/>
      </c>
      <c r="Q426" s="34">
        <f>IF(AC426="","",IF(AD426=1,"C"&amp;TEXT(SUM(AD$6:AD426),"0000"),INDEX(Q$6:Q425,MATCH(AC426,AC$6:AC425,0))))</f>
        <v/>
      </c>
      <c r="R426" s="34">
        <f>IF(C426="","",IF(L426="☑ Oui","Annulée",IF(OR(E426="Vente directe",K426&lt;&gt;""),"Livrée",IF(J426&lt;&gt;"","Confirmée","En attente"))))</f>
        <v/>
      </c>
      <c r="S426" s="34">
        <f>IF(F426="","",IFERROR(VLOOKUP(F426,T_Produits,2,FALSE),""))</f>
        <v/>
      </c>
      <c r="T426" s="40">
        <f>IF(F426="","",IFERROR(1/(1/VLOOKUP(F426,T_Produits,3,FALSE)),""))</f>
        <v/>
      </c>
      <c r="U426" s="40">
        <f>IF(H426&lt;&gt;"",H426,T426)</f>
        <v/>
      </c>
      <c r="V426" s="40">
        <f>IF(OR(G426="",U426=""),"",G426*U426-N(I426))</f>
        <v/>
      </c>
      <c r="W426" s="39">
        <f>IF(D426="","",IFERROR(VALUE(MID(D426,LEN(D426)-3,3)),""))</f>
        <v/>
      </c>
      <c r="X426" s="33">
        <f>IF(W426="","",P426&amp;"|"&amp;W426)</f>
        <v/>
      </c>
      <c r="Y426" s="33">
        <f>IF(W426="","",IF(P426="À RENSEIGNER","GIC",P426)&amp;"-"&amp;TEXT(W426,"000"))</f>
        <v/>
      </c>
      <c r="Z426" s="33">
        <f>IF(X426="","",IFERROR(INDEX(Cl_nom,MATCH(X426,Cl_cle,0)),"(client introuvable)"))</f>
        <v/>
      </c>
      <c r="AA426" s="33">
        <f>IF(X426="","",IFERROR(INDEX(Cl_quartier,MATCH(X426,Cl_cle,0))&amp;"",""))</f>
        <v/>
      </c>
      <c r="AB426" s="45">
        <f>IF(R426&lt;&gt;"Livrée",0,IF(K426&lt;&gt;"",K426,C426))</f>
        <v/>
      </c>
      <c r="AC426" s="33">
        <f>IF(OR(C426="",W426=""),"",P426&amp;"|"&amp;W426&amp;"|"&amp;C426&amp;"|"&amp;E426)</f>
        <v/>
      </c>
      <c r="AD426" s="39">
        <f>IF(AC426="","",IF(COUNTIF(AC$6:AC426,AC426)=1,1,0))</f>
        <v/>
      </c>
      <c r="AE426" s="39">
        <f>IF(AB426=0,"",IF(COUNTIFS(X$6:X426,X426,AB$6:AB426,AB426)=1,1,0))</f>
        <v/>
      </c>
      <c r="AF426" s="34">
        <f>IF(C426="","",YEAR(C426-WEEKDAY(C426,2)+4)&amp;"-S"&amp;TEXT(INT((C426-DATE(YEAR(C426-WEEKDAY(C426,2)+4),1,3)+WEEKDAY(DATE(YEAR(C426-WEEKDAY(C426,2)+4),1,3),2)+5)/7),"00"))</f>
        <v/>
      </c>
    </row>
    <row r="427" ht="18" customHeight="1">
      <c r="A427" s="39" t="n">
        <v>422</v>
      </c>
      <c r="B427" s="33">
        <f>IF(C427="","",IF(P427="À RENSEIGNER","GIC",P427)&amp;"-C"&amp;TEXT(A427,"00000"))</f>
        <v/>
      </c>
      <c r="C427" s="32" t="n"/>
      <c r="D427" s="36" t="n"/>
      <c r="E427" s="36" t="n"/>
      <c r="F427" s="36" t="n"/>
      <c r="G427" s="42" t="n"/>
      <c r="H427" s="37" t="n"/>
      <c r="I427" s="37" t="n"/>
      <c r="J427" s="32" t="n"/>
      <c r="K427" s="32" t="n"/>
      <c r="L427" s="43" t="n"/>
      <c r="M427" s="36" t="n"/>
      <c r="N427" s="44" t="n"/>
      <c r="O427" s="36" t="n"/>
      <c r="P427" s="33">
        <f>IF(C427="","",Commercial_Id)</f>
        <v/>
      </c>
      <c r="Q427" s="34">
        <f>IF(AC427="","",IF(AD427=1,"C"&amp;TEXT(SUM(AD$6:AD427),"0000"),INDEX(Q$6:Q426,MATCH(AC427,AC$6:AC426,0))))</f>
        <v/>
      </c>
      <c r="R427" s="34">
        <f>IF(C427="","",IF(L427="☑ Oui","Annulée",IF(OR(E427="Vente directe",K427&lt;&gt;""),"Livrée",IF(J427&lt;&gt;"","Confirmée","En attente"))))</f>
        <v/>
      </c>
      <c r="S427" s="34">
        <f>IF(F427="","",IFERROR(VLOOKUP(F427,T_Produits,2,FALSE),""))</f>
        <v/>
      </c>
      <c r="T427" s="40">
        <f>IF(F427="","",IFERROR(1/(1/VLOOKUP(F427,T_Produits,3,FALSE)),""))</f>
        <v/>
      </c>
      <c r="U427" s="40">
        <f>IF(H427&lt;&gt;"",H427,T427)</f>
        <v/>
      </c>
      <c r="V427" s="40">
        <f>IF(OR(G427="",U427=""),"",G427*U427-N(I427))</f>
        <v/>
      </c>
      <c r="W427" s="39">
        <f>IF(D427="","",IFERROR(VALUE(MID(D427,LEN(D427)-3,3)),""))</f>
        <v/>
      </c>
      <c r="X427" s="33">
        <f>IF(W427="","",P427&amp;"|"&amp;W427)</f>
        <v/>
      </c>
      <c r="Y427" s="33">
        <f>IF(W427="","",IF(P427="À RENSEIGNER","GIC",P427)&amp;"-"&amp;TEXT(W427,"000"))</f>
        <v/>
      </c>
      <c r="Z427" s="33">
        <f>IF(X427="","",IFERROR(INDEX(Cl_nom,MATCH(X427,Cl_cle,0)),"(client introuvable)"))</f>
        <v/>
      </c>
      <c r="AA427" s="33">
        <f>IF(X427="","",IFERROR(INDEX(Cl_quartier,MATCH(X427,Cl_cle,0))&amp;"",""))</f>
        <v/>
      </c>
      <c r="AB427" s="45">
        <f>IF(R427&lt;&gt;"Livrée",0,IF(K427&lt;&gt;"",K427,C427))</f>
        <v/>
      </c>
      <c r="AC427" s="33">
        <f>IF(OR(C427="",W427=""),"",P427&amp;"|"&amp;W427&amp;"|"&amp;C427&amp;"|"&amp;E427)</f>
        <v/>
      </c>
      <c r="AD427" s="39">
        <f>IF(AC427="","",IF(COUNTIF(AC$6:AC427,AC427)=1,1,0))</f>
        <v/>
      </c>
      <c r="AE427" s="39">
        <f>IF(AB427=0,"",IF(COUNTIFS(X$6:X427,X427,AB$6:AB427,AB427)=1,1,0))</f>
        <v/>
      </c>
      <c r="AF427" s="34">
        <f>IF(C427="","",YEAR(C427-WEEKDAY(C427,2)+4)&amp;"-S"&amp;TEXT(INT((C427-DATE(YEAR(C427-WEEKDAY(C427,2)+4),1,3)+WEEKDAY(DATE(YEAR(C427-WEEKDAY(C427,2)+4),1,3),2)+5)/7),"00"))</f>
        <v/>
      </c>
    </row>
    <row r="428" ht="18" customHeight="1">
      <c r="A428" s="39" t="n">
        <v>423</v>
      </c>
      <c r="B428" s="33">
        <f>IF(C428="","",IF(P428="À RENSEIGNER","GIC",P428)&amp;"-C"&amp;TEXT(A428,"00000"))</f>
        <v/>
      </c>
      <c r="C428" s="32" t="n"/>
      <c r="D428" s="36" t="n"/>
      <c r="E428" s="36" t="n"/>
      <c r="F428" s="36" t="n"/>
      <c r="G428" s="42" t="n"/>
      <c r="H428" s="37" t="n"/>
      <c r="I428" s="37" t="n"/>
      <c r="J428" s="32" t="n"/>
      <c r="K428" s="32" t="n"/>
      <c r="L428" s="43" t="n"/>
      <c r="M428" s="36" t="n"/>
      <c r="N428" s="44" t="n"/>
      <c r="O428" s="36" t="n"/>
      <c r="P428" s="33">
        <f>IF(C428="","",Commercial_Id)</f>
        <v/>
      </c>
      <c r="Q428" s="34">
        <f>IF(AC428="","",IF(AD428=1,"C"&amp;TEXT(SUM(AD$6:AD428),"0000"),INDEX(Q$6:Q427,MATCH(AC428,AC$6:AC427,0))))</f>
        <v/>
      </c>
      <c r="R428" s="34">
        <f>IF(C428="","",IF(L428="☑ Oui","Annulée",IF(OR(E428="Vente directe",K428&lt;&gt;""),"Livrée",IF(J428&lt;&gt;"","Confirmée","En attente"))))</f>
        <v/>
      </c>
      <c r="S428" s="34">
        <f>IF(F428="","",IFERROR(VLOOKUP(F428,T_Produits,2,FALSE),""))</f>
        <v/>
      </c>
      <c r="T428" s="40">
        <f>IF(F428="","",IFERROR(1/(1/VLOOKUP(F428,T_Produits,3,FALSE)),""))</f>
        <v/>
      </c>
      <c r="U428" s="40">
        <f>IF(H428&lt;&gt;"",H428,T428)</f>
        <v/>
      </c>
      <c r="V428" s="40">
        <f>IF(OR(G428="",U428=""),"",G428*U428-N(I428))</f>
        <v/>
      </c>
      <c r="W428" s="39">
        <f>IF(D428="","",IFERROR(VALUE(MID(D428,LEN(D428)-3,3)),""))</f>
        <v/>
      </c>
      <c r="X428" s="33">
        <f>IF(W428="","",P428&amp;"|"&amp;W428)</f>
        <v/>
      </c>
      <c r="Y428" s="33">
        <f>IF(W428="","",IF(P428="À RENSEIGNER","GIC",P428)&amp;"-"&amp;TEXT(W428,"000"))</f>
        <v/>
      </c>
      <c r="Z428" s="33">
        <f>IF(X428="","",IFERROR(INDEX(Cl_nom,MATCH(X428,Cl_cle,0)),"(client introuvable)"))</f>
        <v/>
      </c>
      <c r="AA428" s="33">
        <f>IF(X428="","",IFERROR(INDEX(Cl_quartier,MATCH(X428,Cl_cle,0))&amp;"",""))</f>
        <v/>
      </c>
      <c r="AB428" s="45">
        <f>IF(R428&lt;&gt;"Livrée",0,IF(K428&lt;&gt;"",K428,C428))</f>
        <v/>
      </c>
      <c r="AC428" s="33">
        <f>IF(OR(C428="",W428=""),"",P428&amp;"|"&amp;W428&amp;"|"&amp;C428&amp;"|"&amp;E428)</f>
        <v/>
      </c>
      <c r="AD428" s="39">
        <f>IF(AC428="","",IF(COUNTIF(AC$6:AC428,AC428)=1,1,0))</f>
        <v/>
      </c>
      <c r="AE428" s="39">
        <f>IF(AB428=0,"",IF(COUNTIFS(X$6:X428,X428,AB$6:AB428,AB428)=1,1,0))</f>
        <v/>
      </c>
      <c r="AF428" s="34">
        <f>IF(C428="","",YEAR(C428-WEEKDAY(C428,2)+4)&amp;"-S"&amp;TEXT(INT((C428-DATE(YEAR(C428-WEEKDAY(C428,2)+4),1,3)+WEEKDAY(DATE(YEAR(C428-WEEKDAY(C428,2)+4),1,3),2)+5)/7),"00"))</f>
        <v/>
      </c>
    </row>
    <row r="429" ht="18" customHeight="1">
      <c r="A429" s="39" t="n">
        <v>424</v>
      </c>
      <c r="B429" s="33">
        <f>IF(C429="","",IF(P429="À RENSEIGNER","GIC",P429)&amp;"-C"&amp;TEXT(A429,"00000"))</f>
        <v/>
      </c>
      <c r="C429" s="32" t="n"/>
      <c r="D429" s="36" t="n"/>
      <c r="E429" s="36" t="n"/>
      <c r="F429" s="36" t="n"/>
      <c r="G429" s="42" t="n"/>
      <c r="H429" s="37" t="n"/>
      <c r="I429" s="37" t="n"/>
      <c r="J429" s="32" t="n"/>
      <c r="K429" s="32" t="n"/>
      <c r="L429" s="43" t="n"/>
      <c r="M429" s="36" t="n"/>
      <c r="N429" s="44" t="n"/>
      <c r="O429" s="36" t="n"/>
      <c r="P429" s="33">
        <f>IF(C429="","",Commercial_Id)</f>
        <v/>
      </c>
      <c r="Q429" s="34">
        <f>IF(AC429="","",IF(AD429=1,"C"&amp;TEXT(SUM(AD$6:AD429),"0000"),INDEX(Q$6:Q428,MATCH(AC429,AC$6:AC428,0))))</f>
        <v/>
      </c>
      <c r="R429" s="34">
        <f>IF(C429="","",IF(L429="☑ Oui","Annulée",IF(OR(E429="Vente directe",K429&lt;&gt;""),"Livrée",IF(J429&lt;&gt;"","Confirmée","En attente"))))</f>
        <v/>
      </c>
      <c r="S429" s="34">
        <f>IF(F429="","",IFERROR(VLOOKUP(F429,T_Produits,2,FALSE),""))</f>
        <v/>
      </c>
      <c r="T429" s="40">
        <f>IF(F429="","",IFERROR(1/(1/VLOOKUP(F429,T_Produits,3,FALSE)),""))</f>
        <v/>
      </c>
      <c r="U429" s="40">
        <f>IF(H429&lt;&gt;"",H429,T429)</f>
        <v/>
      </c>
      <c r="V429" s="40">
        <f>IF(OR(G429="",U429=""),"",G429*U429-N(I429))</f>
        <v/>
      </c>
      <c r="W429" s="39">
        <f>IF(D429="","",IFERROR(VALUE(MID(D429,LEN(D429)-3,3)),""))</f>
        <v/>
      </c>
      <c r="X429" s="33">
        <f>IF(W429="","",P429&amp;"|"&amp;W429)</f>
        <v/>
      </c>
      <c r="Y429" s="33">
        <f>IF(W429="","",IF(P429="À RENSEIGNER","GIC",P429)&amp;"-"&amp;TEXT(W429,"000"))</f>
        <v/>
      </c>
      <c r="Z429" s="33">
        <f>IF(X429="","",IFERROR(INDEX(Cl_nom,MATCH(X429,Cl_cle,0)),"(client introuvable)"))</f>
        <v/>
      </c>
      <c r="AA429" s="33">
        <f>IF(X429="","",IFERROR(INDEX(Cl_quartier,MATCH(X429,Cl_cle,0))&amp;"",""))</f>
        <v/>
      </c>
      <c r="AB429" s="45">
        <f>IF(R429&lt;&gt;"Livrée",0,IF(K429&lt;&gt;"",K429,C429))</f>
        <v/>
      </c>
      <c r="AC429" s="33">
        <f>IF(OR(C429="",W429=""),"",P429&amp;"|"&amp;W429&amp;"|"&amp;C429&amp;"|"&amp;E429)</f>
        <v/>
      </c>
      <c r="AD429" s="39">
        <f>IF(AC429="","",IF(COUNTIF(AC$6:AC429,AC429)=1,1,0))</f>
        <v/>
      </c>
      <c r="AE429" s="39">
        <f>IF(AB429=0,"",IF(COUNTIFS(X$6:X429,X429,AB$6:AB429,AB429)=1,1,0))</f>
        <v/>
      </c>
      <c r="AF429" s="34">
        <f>IF(C429="","",YEAR(C429-WEEKDAY(C429,2)+4)&amp;"-S"&amp;TEXT(INT((C429-DATE(YEAR(C429-WEEKDAY(C429,2)+4),1,3)+WEEKDAY(DATE(YEAR(C429-WEEKDAY(C429,2)+4),1,3),2)+5)/7),"00"))</f>
        <v/>
      </c>
    </row>
    <row r="430" ht="18" customHeight="1">
      <c r="A430" s="39" t="n">
        <v>425</v>
      </c>
      <c r="B430" s="33">
        <f>IF(C430="","",IF(P430="À RENSEIGNER","GIC",P430)&amp;"-C"&amp;TEXT(A430,"00000"))</f>
        <v/>
      </c>
      <c r="C430" s="32" t="n"/>
      <c r="D430" s="36" t="n"/>
      <c r="E430" s="36" t="n"/>
      <c r="F430" s="36" t="n"/>
      <c r="G430" s="42" t="n"/>
      <c r="H430" s="37" t="n"/>
      <c r="I430" s="37" t="n"/>
      <c r="J430" s="32" t="n"/>
      <c r="K430" s="32" t="n"/>
      <c r="L430" s="43" t="n"/>
      <c r="M430" s="36" t="n"/>
      <c r="N430" s="44" t="n"/>
      <c r="O430" s="36" t="n"/>
      <c r="P430" s="33">
        <f>IF(C430="","",Commercial_Id)</f>
        <v/>
      </c>
      <c r="Q430" s="34">
        <f>IF(AC430="","",IF(AD430=1,"C"&amp;TEXT(SUM(AD$6:AD430),"0000"),INDEX(Q$6:Q429,MATCH(AC430,AC$6:AC429,0))))</f>
        <v/>
      </c>
      <c r="R430" s="34">
        <f>IF(C430="","",IF(L430="☑ Oui","Annulée",IF(OR(E430="Vente directe",K430&lt;&gt;""),"Livrée",IF(J430&lt;&gt;"","Confirmée","En attente"))))</f>
        <v/>
      </c>
      <c r="S430" s="34">
        <f>IF(F430="","",IFERROR(VLOOKUP(F430,T_Produits,2,FALSE),""))</f>
        <v/>
      </c>
      <c r="T430" s="40">
        <f>IF(F430="","",IFERROR(1/(1/VLOOKUP(F430,T_Produits,3,FALSE)),""))</f>
        <v/>
      </c>
      <c r="U430" s="40">
        <f>IF(H430&lt;&gt;"",H430,T430)</f>
        <v/>
      </c>
      <c r="V430" s="40">
        <f>IF(OR(G430="",U430=""),"",G430*U430-N(I430))</f>
        <v/>
      </c>
      <c r="W430" s="39">
        <f>IF(D430="","",IFERROR(VALUE(MID(D430,LEN(D430)-3,3)),""))</f>
        <v/>
      </c>
      <c r="X430" s="33">
        <f>IF(W430="","",P430&amp;"|"&amp;W430)</f>
        <v/>
      </c>
      <c r="Y430" s="33">
        <f>IF(W430="","",IF(P430="À RENSEIGNER","GIC",P430)&amp;"-"&amp;TEXT(W430,"000"))</f>
        <v/>
      </c>
      <c r="Z430" s="33">
        <f>IF(X430="","",IFERROR(INDEX(Cl_nom,MATCH(X430,Cl_cle,0)),"(client introuvable)"))</f>
        <v/>
      </c>
      <c r="AA430" s="33">
        <f>IF(X430="","",IFERROR(INDEX(Cl_quartier,MATCH(X430,Cl_cle,0))&amp;"",""))</f>
        <v/>
      </c>
      <c r="AB430" s="45">
        <f>IF(R430&lt;&gt;"Livrée",0,IF(K430&lt;&gt;"",K430,C430))</f>
        <v/>
      </c>
      <c r="AC430" s="33">
        <f>IF(OR(C430="",W430=""),"",P430&amp;"|"&amp;W430&amp;"|"&amp;C430&amp;"|"&amp;E430)</f>
        <v/>
      </c>
      <c r="AD430" s="39">
        <f>IF(AC430="","",IF(COUNTIF(AC$6:AC430,AC430)=1,1,0))</f>
        <v/>
      </c>
      <c r="AE430" s="39">
        <f>IF(AB430=0,"",IF(COUNTIFS(X$6:X430,X430,AB$6:AB430,AB430)=1,1,0))</f>
        <v/>
      </c>
      <c r="AF430" s="34">
        <f>IF(C430="","",YEAR(C430-WEEKDAY(C430,2)+4)&amp;"-S"&amp;TEXT(INT((C430-DATE(YEAR(C430-WEEKDAY(C430,2)+4),1,3)+WEEKDAY(DATE(YEAR(C430-WEEKDAY(C430,2)+4),1,3),2)+5)/7),"00"))</f>
        <v/>
      </c>
    </row>
    <row r="431" ht="18" customHeight="1">
      <c r="A431" s="39" t="n">
        <v>426</v>
      </c>
      <c r="B431" s="33">
        <f>IF(C431="","",IF(P431="À RENSEIGNER","GIC",P431)&amp;"-C"&amp;TEXT(A431,"00000"))</f>
        <v/>
      </c>
      <c r="C431" s="32" t="n"/>
      <c r="D431" s="36" t="n"/>
      <c r="E431" s="36" t="n"/>
      <c r="F431" s="36" t="n"/>
      <c r="G431" s="42" t="n"/>
      <c r="H431" s="37" t="n"/>
      <c r="I431" s="37" t="n"/>
      <c r="J431" s="32" t="n"/>
      <c r="K431" s="32" t="n"/>
      <c r="L431" s="43" t="n"/>
      <c r="M431" s="36" t="n"/>
      <c r="N431" s="44" t="n"/>
      <c r="O431" s="36" t="n"/>
      <c r="P431" s="33">
        <f>IF(C431="","",Commercial_Id)</f>
        <v/>
      </c>
      <c r="Q431" s="34">
        <f>IF(AC431="","",IF(AD431=1,"C"&amp;TEXT(SUM(AD$6:AD431),"0000"),INDEX(Q$6:Q430,MATCH(AC431,AC$6:AC430,0))))</f>
        <v/>
      </c>
      <c r="R431" s="34">
        <f>IF(C431="","",IF(L431="☑ Oui","Annulée",IF(OR(E431="Vente directe",K431&lt;&gt;""),"Livrée",IF(J431&lt;&gt;"","Confirmée","En attente"))))</f>
        <v/>
      </c>
      <c r="S431" s="34">
        <f>IF(F431="","",IFERROR(VLOOKUP(F431,T_Produits,2,FALSE),""))</f>
        <v/>
      </c>
      <c r="T431" s="40">
        <f>IF(F431="","",IFERROR(1/(1/VLOOKUP(F431,T_Produits,3,FALSE)),""))</f>
        <v/>
      </c>
      <c r="U431" s="40">
        <f>IF(H431&lt;&gt;"",H431,T431)</f>
        <v/>
      </c>
      <c r="V431" s="40">
        <f>IF(OR(G431="",U431=""),"",G431*U431-N(I431))</f>
        <v/>
      </c>
      <c r="W431" s="39">
        <f>IF(D431="","",IFERROR(VALUE(MID(D431,LEN(D431)-3,3)),""))</f>
        <v/>
      </c>
      <c r="X431" s="33">
        <f>IF(W431="","",P431&amp;"|"&amp;W431)</f>
        <v/>
      </c>
      <c r="Y431" s="33">
        <f>IF(W431="","",IF(P431="À RENSEIGNER","GIC",P431)&amp;"-"&amp;TEXT(W431,"000"))</f>
        <v/>
      </c>
      <c r="Z431" s="33">
        <f>IF(X431="","",IFERROR(INDEX(Cl_nom,MATCH(X431,Cl_cle,0)),"(client introuvable)"))</f>
        <v/>
      </c>
      <c r="AA431" s="33">
        <f>IF(X431="","",IFERROR(INDEX(Cl_quartier,MATCH(X431,Cl_cle,0))&amp;"",""))</f>
        <v/>
      </c>
      <c r="AB431" s="45">
        <f>IF(R431&lt;&gt;"Livrée",0,IF(K431&lt;&gt;"",K431,C431))</f>
        <v/>
      </c>
      <c r="AC431" s="33">
        <f>IF(OR(C431="",W431=""),"",P431&amp;"|"&amp;W431&amp;"|"&amp;C431&amp;"|"&amp;E431)</f>
        <v/>
      </c>
      <c r="AD431" s="39">
        <f>IF(AC431="","",IF(COUNTIF(AC$6:AC431,AC431)=1,1,0))</f>
        <v/>
      </c>
      <c r="AE431" s="39">
        <f>IF(AB431=0,"",IF(COUNTIFS(X$6:X431,X431,AB$6:AB431,AB431)=1,1,0))</f>
        <v/>
      </c>
      <c r="AF431" s="34">
        <f>IF(C431="","",YEAR(C431-WEEKDAY(C431,2)+4)&amp;"-S"&amp;TEXT(INT((C431-DATE(YEAR(C431-WEEKDAY(C431,2)+4),1,3)+WEEKDAY(DATE(YEAR(C431-WEEKDAY(C431,2)+4),1,3),2)+5)/7),"00"))</f>
        <v/>
      </c>
    </row>
    <row r="432" ht="18" customHeight="1">
      <c r="A432" s="39" t="n">
        <v>427</v>
      </c>
      <c r="B432" s="33">
        <f>IF(C432="","",IF(P432="À RENSEIGNER","GIC",P432)&amp;"-C"&amp;TEXT(A432,"00000"))</f>
        <v/>
      </c>
      <c r="C432" s="32" t="n"/>
      <c r="D432" s="36" t="n"/>
      <c r="E432" s="36" t="n"/>
      <c r="F432" s="36" t="n"/>
      <c r="G432" s="42" t="n"/>
      <c r="H432" s="37" t="n"/>
      <c r="I432" s="37" t="n"/>
      <c r="J432" s="32" t="n"/>
      <c r="K432" s="32" t="n"/>
      <c r="L432" s="43" t="n"/>
      <c r="M432" s="36" t="n"/>
      <c r="N432" s="44" t="n"/>
      <c r="O432" s="36" t="n"/>
      <c r="P432" s="33">
        <f>IF(C432="","",Commercial_Id)</f>
        <v/>
      </c>
      <c r="Q432" s="34">
        <f>IF(AC432="","",IF(AD432=1,"C"&amp;TEXT(SUM(AD$6:AD432),"0000"),INDEX(Q$6:Q431,MATCH(AC432,AC$6:AC431,0))))</f>
        <v/>
      </c>
      <c r="R432" s="34">
        <f>IF(C432="","",IF(L432="☑ Oui","Annulée",IF(OR(E432="Vente directe",K432&lt;&gt;""),"Livrée",IF(J432&lt;&gt;"","Confirmée","En attente"))))</f>
        <v/>
      </c>
      <c r="S432" s="34">
        <f>IF(F432="","",IFERROR(VLOOKUP(F432,T_Produits,2,FALSE),""))</f>
        <v/>
      </c>
      <c r="T432" s="40">
        <f>IF(F432="","",IFERROR(1/(1/VLOOKUP(F432,T_Produits,3,FALSE)),""))</f>
        <v/>
      </c>
      <c r="U432" s="40">
        <f>IF(H432&lt;&gt;"",H432,T432)</f>
        <v/>
      </c>
      <c r="V432" s="40">
        <f>IF(OR(G432="",U432=""),"",G432*U432-N(I432))</f>
        <v/>
      </c>
      <c r="W432" s="39">
        <f>IF(D432="","",IFERROR(VALUE(MID(D432,LEN(D432)-3,3)),""))</f>
        <v/>
      </c>
      <c r="X432" s="33">
        <f>IF(W432="","",P432&amp;"|"&amp;W432)</f>
        <v/>
      </c>
      <c r="Y432" s="33">
        <f>IF(W432="","",IF(P432="À RENSEIGNER","GIC",P432)&amp;"-"&amp;TEXT(W432,"000"))</f>
        <v/>
      </c>
      <c r="Z432" s="33">
        <f>IF(X432="","",IFERROR(INDEX(Cl_nom,MATCH(X432,Cl_cle,0)),"(client introuvable)"))</f>
        <v/>
      </c>
      <c r="AA432" s="33">
        <f>IF(X432="","",IFERROR(INDEX(Cl_quartier,MATCH(X432,Cl_cle,0))&amp;"",""))</f>
        <v/>
      </c>
      <c r="AB432" s="45">
        <f>IF(R432&lt;&gt;"Livrée",0,IF(K432&lt;&gt;"",K432,C432))</f>
        <v/>
      </c>
      <c r="AC432" s="33">
        <f>IF(OR(C432="",W432=""),"",P432&amp;"|"&amp;W432&amp;"|"&amp;C432&amp;"|"&amp;E432)</f>
        <v/>
      </c>
      <c r="AD432" s="39">
        <f>IF(AC432="","",IF(COUNTIF(AC$6:AC432,AC432)=1,1,0))</f>
        <v/>
      </c>
      <c r="AE432" s="39">
        <f>IF(AB432=0,"",IF(COUNTIFS(X$6:X432,X432,AB$6:AB432,AB432)=1,1,0))</f>
        <v/>
      </c>
      <c r="AF432" s="34">
        <f>IF(C432="","",YEAR(C432-WEEKDAY(C432,2)+4)&amp;"-S"&amp;TEXT(INT((C432-DATE(YEAR(C432-WEEKDAY(C432,2)+4),1,3)+WEEKDAY(DATE(YEAR(C432-WEEKDAY(C432,2)+4),1,3),2)+5)/7),"00"))</f>
        <v/>
      </c>
    </row>
    <row r="433" ht="18" customHeight="1">
      <c r="A433" s="39" t="n">
        <v>428</v>
      </c>
      <c r="B433" s="33">
        <f>IF(C433="","",IF(P433="À RENSEIGNER","GIC",P433)&amp;"-C"&amp;TEXT(A433,"00000"))</f>
        <v/>
      </c>
      <c r="C433" s="32" t="n"/>
      <c r="D433" s="36" t="n"/>
      <c r="E433" s="36" t="n"/>
      <c r="F433" s="36" t="n"/>
      <c r="G433" s="42" t="n"/>
      <c r="H433" s="37" t="n"/>
      <c r="I433" s="37" t="n"/>
      <c r="J433" s="32" t="n"/>
      <c r="K433" s="32" t="n"/>
      <c r="L433" s="43" t="n"/>
      <c r="M433" s="36" t="n"/>
      <c r="N433" s="44" t="n"/>
      <c r="O433" s="36" t="n"/>
      <c r="P433" s="33">
        <f>IF(C433="","",Commercial_Id)</f>
        <v/>
      </c>
      <c r="Q433" s="34">
        <f>IF(AC433="","",IF(AD433=1,"C"&amp;TEXT(SUM(AD$6:AD433),"0000"),INDEX(Q$6:Q432,MATCH(AC433,AC$6:AC432,0))))</f>
        <v/>
      </c>
      <c r="R433" s="34">
        <f>IF(C433="","",IF(L433="☑ Oui","Annulée",IF(OR(E433="Vente directe",K433&lt;&gt;""),"Livrée",IF(J433&lt;&gt;"","Confirmée","En attente"))))</f>
        <v/>
      </c>
      <c r="S433" s="34">
        <f>IF(F433="","",IFERROR(VLOOKUP(F433,T_Produits,2,FALSE),""))</f>
        <v/>
      </c>
      <c r="T433" s="40">
        <f>IF(F433="","",IFERROR(1/(1/VLOOKUP(F433,T_Produits,3,FALSE)),""))</f>
        <v/>
      </c>
      <c r="U433" s="40">
        <f>IF(H433&lt;&gt;"",H433,T433)</f>
        <v/>
      </c>
      <c r="V433" s="40">
        <f>IF(OR(G433="",U433=""),"",G433*U433-N(I433))</f>
        <v/>
      </c>
      <c r="W433" s="39">
        <f>IF(D433="","",IFERROR(VALUE(MID(D433,LEN(D433)-3,3)),""))</f>
        <v/>
      </c>
      <c r="X433" s="33">
        <f>IF(W433="","",P433&amp;"|"&amp;W433)</f>
        <v/>
      </c>
      <c r="Y433" s="33">
        <f>IF(W433="","",IF(P433="À RENSEIGNER","GIC",P433)&amp;"-"&amp;TEXT(W433,"000"))</f>
        <v/>
      </c>
      <c r="Z433" s="33">
        <f>IF(X433="","",IFERROR(INDEX(Cl_nom,MATCH(X433,Cl_cle,0)),"(client introuvable)"))</f>
        <v/>
      </c>
      <c r="AA433" s="33">
        <f>IF(X433="","",IFERROR(INDEX(Cl_quartier,MATCH(X433,Cl_cle,0))&amp;"",""))</f>
        <v/>
      </c>
      <c r="AB433" s="45">
        <f>IF(R433&lt;&gt;"Livrée",0,IF(K433&lt;&gt;"",K433,C433))</f>
        <v/>
      </c>
      <c r="AC433" s="33">
        <f>IF(OR(C433="",W433=""),"",P433&amp;"|"&amp;W433&amp;"|"&amp;C433&amp;"|"&amp;E433)</f>
        <v/>
      </c>
      <c r="AD433" s="39">
        <f>IF(AC433="","",IF(COUNTIF(AC$6:AC433,AC433)=1,1,0))</f>
        <v/>
      </c>
      <c r="AE433" s="39">
        <f>IF(AB433=0,"",IF(COUNTIFS(X$6:X433,X433,AB$6:AB433,AB433)=1,1,0))</f>
        <v/>
      </c>
      <c r="AF433" s="34">
        <f>IF(C433="","",YEAR(C433-WEEKDAY(C433,2)+4)&amp;"-S"&amp;TEXT(INT((C433-DATE(YEAR(C433-WEEKDAY(C433,2)+4),1,3)+WEEKDAY(DATE(YEAR(C433-WEEKDAY(C433,2)+4),1,3),2)+5)/7),"00"))</f>
        <v/>
      </c>
    </row>
    <row r="434" ht="18" customHeight="1">
      <c r="A434" s="39" t="n">
        <v>429</v>
      </c>
      <c r="B434" s="33">
        <f>IF(C434="","",IF(P434="À RENSEIGNER","GIC",P434)&amp;"-C"&amp;TEXT(A434,"00000"))</f>
        <v/>
      </c>
      <c r="C434" s="32" t="n"/>
      <c r="D434" s="36" t="n"/>
      <c r="E434" s="36" t="n"/>
      <c r="F434" s="36" t="n"/>
      <c r="G434" s="42" t="n"/>
      <c r="H434" s="37" t="n"/>
      <c r="I434" s="37" t="n"/>
      <c r="J434" s="32" t="n"/>
      <c r="K434" s="32" t="n"/>
      <c r="L434" s="43" t="n"/>
      <c r="M434" s="36" t="n"/>
      <c r="N434" s="44" t="n"/>
      <c r="O434" s="36" t="n"/>
      <c r="P434" s="33">
        <f>IF(C434="","",Commercial_Id)</f>
        <v/>
      </c>
      <c r="Q434" s="34">
        <f>IF(AC434="","",IF(AD434=1,"C"&amp;TEXT(SUM(AD$6:AD434),"0000"),INDEX(Q$6:Q433,MATCH(AC434,AC$6:AC433,0))))</f>
        <v/>
      </c>
      <c r="R434" s="34">
        <f>IF(C434="","",IF(L434="☑ Oui","Annulée",IF(OR(E434="Vente directe",K434&lt;&gt;""),"Livrée",IF(J434&lt;&gt;"","Confirmée","En attente"))))</f>
        <v/>
      </c>
      <c r="S434" s="34">
        <f>IF(F434="","",IFERROR(VLOOKUP(F434,T_Produits,2,FALSE),""))</f>
        <v/>
      </c>
      <c r="T434" s="40">
        <f>IF(F434="","",IFERROR(1/(1/VLOOKUP(F434,T_Produits,3,FALSE)),""))</f>
        <v/>
      </c>
      <c r="U434" s="40">
        <f>IF(H434&lt;&gt;"",H434,T434)</f>
        <v/>
      </c>
      <c r="V434" s="40">
        <f>IF(OR(G434="",U434=""),"",G434*U434-N(I434))</f>
        <v/>
      </c>
      <c r="W434" s="39">
        <f>IF(D434="","",IFERROR(VALUE(MID(D434,LEN(D434)-3,3)),""))</f>
        <v/>
      </c>
      <c r="X434" s="33">
        <f>IF(W434="","",P434&amp;"|"&amp;W434)</f>
        <v/>
      </c>
      <c r="Y434" s="33">
        <f>IF(W434="","",IF(P434="À RENSEIGNER","GIC",P434)&amp;"-"&amp;TEXT(W434,"000"))</f>
        <v/>
      </c>
      <c r="Z434" s="33">
        <f>IF(X434="","",IFERROR(INDEX(Cl_nom,MATCH(X434,Cl_cle,0)),"(client introuvable)"))</f>
        <v/>
      </c>
      <c r="AA434" s="33">
        <f>IF(X434="","",IFERROR(INDEX(Cl_quartier,MATCH(X434,Cl_cle,0))&amp;"",""))</f>
        <v/>
      </c>
      <c r="AB434" s="45">
        <f>IF(R434&lt;&gt;"Livrée",0,IF(K434&lt;&gt;"",K434,C434))</f>
        <v/>
      </c>
      <c r="AC434" s="33">
        <f>IF(OR(C434="",W434=""),"",P434&amp;"|"&amp;W434&amp;"|"&amp;C434&amp;"|"&amp;E434)</f>
        <v/>
      </c>
      <c r="AD434" s="39">
        <f>IF(AC434="","",IF(COUNTIF(AC$6:AC434,AC434)=1,1,0))</f>
        <v/>
      </c>
      <c r="AE434" s="39">
        <f>IF(AB434=0,"",IF(COUNTIFS(X$6:X434,X434,AB$6:AB434,AB434)=1,1,0))</f>
        <v/>
      </c>
      <c r="AF434" s="34">
        <f>IF(C434="","",YEAR(C434-WEEKDAY(C434,2)+4)&amp;"-S"&amp;TEXT(INT((C434-DATE(YEAR(C434-WEEKDAY(C434,2)+4),1,3)+WEEKDAY(DATE(YEAR(C434-WEEKDAY(C434,2)+4),1,3),2)+5)/7),"00"))</f>
        <v/>
      </c>
    </row>
    <row r="435" ht="18" customHeight="1">
      <c r="A435" s="39" t="n">
        <v>430</v>
      </c>
      <c r="B435" s="33">
        <f>IF(C435="","",IF(P435="À RENSEIGNER","GIC",P435)&amp;"-C"&amp;TEXT(A435,"00000"))</f>
        <v/>
      </c>
      <c r="C435" s="32" t="n"/>
      <c r="D435" s="36" t="n"/>
      <c r="E435" s="36" t="n"/>
      <c r="F435" s="36" t="n"/>
      <c r="G435" s="42" t="n"/>
      <c r="H435" s="37" t="n"/>
      <c r="I435" s="37" t="n"/>
      <c r="J435" s="32" t="n"/>
      <c r="K435" s="32" t="n"/>
      <c r="L435" s="43" t="n"/>
      <c r="M435" s="36" t="n"/>
      <c r="N435" s="44" t="n"/>
      <c r="O435" s="36" t="n"/>
      <c r="P435" s="33">
        <f>IF(C435="","",Commercial_Id)</f>
        <v/>
      </c>
      <c r="Q435" s="34">
        <f>IF(AC435="","",IF(AD435=1,"C"&amp;TEXT(SUM(AD$6:AD435),"0000"),INDEX(Q$6:Q434,MATCH(AC435,AC$6:AC434,0))))</f>
        <v/>
      </c>
      <c r="R435" s="34">
        <f>IF(C435="","",IF(L435="☑ Oui","Annulée",IF(OR(E435="Vente directe",K435&lt;&gt;""),"Livrée",IF(J435&lt;&gt;"","Confirmée","En attente"))))</f>
        <v/>
      </c>
      <c r="S435" s="34">
        <f>IF(F435="","",IFERROR(VLOOKUP(F435,T_Produits,2,FALSE),""))</f>
        <v/>
      </c>
      <c r="T435" s="40">
        <f>IF(F435="","",IFERROR(1/(1/VLOOKUP(F435,T_Produits,3,FALSE)),""))</f>
        <v/>
      </c>
      <c r="U435" s="40">
        <f>IF(H435&lt;&gt;"",H435,T435)</f>
        <v/>
      </c>
      <c r="V435" s="40">
        <f>IF(OR(G435="",U435=""),"",G435*U435-N(I435))</f>
        <v/>
      </c>
      <c r="W435" s="39">
        <f>IF(D435="","",IFERROR(VALUE(MID(D435,LEN(D435)-3,3)),""))</f>
        <v/>
      </c>
      <c r="X435" s="33">
        <f>IF(W435="","",P435&amp;"|"&amp;W435)</f>
        <v/>
      </c>
      <c r="Y435" s="33">
        <f>IF(W435="","",IF(P435="À RENSEIGNER","GIC",P435)&amp;"-"&amp;TEXT(W435,"000"))</f>
        <v/>
      </c>
      <c r="Z435" s="33">
        <f>IF(X435="","",IFERROR(INDEX(Cl_nom,MATCH(X435,Cl_cle,0)),"(client introuvable)"))</f>
        <v/>
      </c>
      <c r="AA435" s="33">
        <f>IF(X435="","",IFERROR(INDEX(Cl_quartier,MATCH(X435,Cl_cle,0))&amp;"",""))</f>
        <v/>
      </c>
      <c r="AB435" s="45">
        <f>IF(R435&lt;&gt;"Livrée",0,IF(K435&lt;&gt;"",K435,C435))</f>
        <v/>
      </c>
      <c r="AC435" s="33">
        <f>IF(OR(C435="",W435=""),"",P435&amp;"|"&amp;W435&amp;"|"&amp;C435&amp;"|"&amp;E435)</f>
        <v/>
      </c>
      <c r="AD435" s="39">
        <f>IF(AC435="","",IF(COUNTIF(AC$6:AC435,AC435)=1,1,0))</f>
        <v/>
      </c>
      <c r="AE435" s="39">
        <f>IF(AB435=0,"",IF(COUNTIFS(X$6:X435,X435,AB$6:AB435,AB435)=1,1,0))</f>
        <v/>
      </c>
      <c r="AF435" s="34">
        <f>IF(C435="","",YEAR(C435-WEEKDAY(C435,2)+4)&amp;"-S"&amp;TEXT(INT((C435-DATE(YEAR(C435-WEEKDAY(C435,2)+4),1,3)+WEEKDAY(DATE(YEAR(C435-WEEKDAY(C435,2)+4),1,3),2)+5)/7),"00"))</f>
        <v/>
      </c>
    </row>
    <row r="436" ht="18" customHeight="1">
      <c r="A436" s="39" t="n">
        <v>431</v>
      </c>
      <c r="B436" s="33">
        <f>IF(C436="","",IF(P436="À RENSEIGNER","GIC",P436)&amp;"-C"&amp;TEXT(A436,"00000"))</f>
        <v/>
      </c>
      <c r="C436" s="32" t="n"/>
      <c r="D436" s="36" t="n"/>
      <c r="E436" s="36" t="n"/>
      <c r="F436" s="36" t="n"/>
      <c r="G436" s="42" t="n"/>
      <c r="H436" s="37" t="n"/>
      <c r="I436" s="37" t="n"/>
      <c r="J436" s="32" t="n"/>
      <c r="K436" s="32" t="n"/>
      <c r="L436" s="43" t="n"/>
      <c r="M436" s="36" t="n"/>
      <c r="N436" s="44" t="n"/>
      <c r="O436" s="36" t="n"/>
      <c r="P436" s="33">
        <f>IF(C436="","",Commercial_Id)</f>
        <v/>
      </c>
      <c r="Q436" s="34">
        <f>IF(AC436="","",IF(AD436=1,"C"&amp;TEXT(SUM(AD$6:AD436),"0000"),INDEX(Q$6:Q435,MATCH(AC436,AC$6:AC435,0))))</f>
        <v/>
      </c>
      <c r="R436" s="34">
        <f>IF(C436="","",IF(L436="☑ Oui","Annulée",IF(OR(E436="Vente directe",K436&lt;&gt;""),"Livrée",IF(J436&lt;&gt;"","Confirmée","En attente"))))</f>
        <v/>
      </c>
      <c r="S436" s="34">
        <f>IF(F436="","",IFERROR(VLOOKUP(F436,T_Produits,2,FALSE),""))</f>
        <v/>
      </c>
      <c r="T436" s="40">
        <f>IF(F436="","",IFERROR(1/(1/VLOOKUP(F436,T_Produits,3,FALSE)),""))</f>
        <v/>
      </c>
      <c r="U436" s="40">
        <f>IF(H436&lt;&gt;"",H436,T436)</f>
        <v/>
      </c>
      <c r="V436" s="40">
        <f>IF(OR(G436="",U436=""),"",G436*U436-N(I436))</f>
        <v/>
      </c>
      <c r="W436" s="39">
        <f>IF(D436="","",IFERROR(VALUE(MID(D436,LEN(D436)-3,3)),""))</f>
        <v/>
      </c>
      <c r="X436" s="33">
        <f>IF(W436="","",P436&amp;"|"&amp;W436)</f>
        <v/>
      </c>
      <c r="Y436" s="33">
        <f>IF(W436="","",IF(P436="À RENSEIGNER","GIC",P436)&amp;"-"&amp;TEXT(W436,"000"))</f>
        <v/>
      </c>
      <c r="Z436" s="33">
        <f>IF(X436="","",IFERROR(INDEX(Cl_nom,MATCH(X436,Cl_cle,0)),"(client introuvable)"))</f>
        <v/>
      </c>
      <c r="AA436" s="33">
        <f>IF(X436="","",IFERROR(INDEX(Cl_quartier,MATCH(X436,Cl_cle,0))&amp;"",""))</f>
        <v/>
      </c>
      <c r="AB436" s="45">
        <f>IF(R436&lt;&gt;"Livrée",0,IF(K436&lt;&gt;"",K436,C436))</f>
        <v/>
      </c>
      <c r="AC436" s="33">
        <f>IF(OR(C436="",W436=""),"",P436&amp;"|"&amp;W436&amp;"|"&amp;C436&amp;"|"&amp;E436)</f>
        <v/>
      </c>
      <c r="AD436" s="39">
        <f>IF(AC436="","",IF(COUNTIF(AC$6:AC436,AC436)=1,1,0))</f>
        <v/>
      </c>
      <c r="AE436" s="39">
        <f>IF(AB436=0,"",IF(COUNTIFS(X$6:X436,X436,AB$6:AB436,AB436)=1,1,0))</f>
        <v/>
      </c>
      <c r="AF436" s="34">
        <f>IF(C436="","",YEAR(C436-WEEKDAY(C436,2)+4)&amp;"-S"&amp;TEXT(INT((C436-DATE(YEAR(C436-WEEKDAY(C436,2)+4),1,3)+WEEKDAY(DATE(YEAR(C436-WEEKDAY(C436,2)+4),1,3),2)+5)/7),"00"))</f>
        <v/>
      </c>
    </row>
    <row r="437" ht="18" customHeight="1">
      <c r="A437" s="39" t="n">
        <v>432</v>
      </c>
      <c r="B437" s="33">
        <f>IF(C437="","",IF(P437="À RENSEIGNER","GIC",P437)&amp;"-C"&amp;TEXT(A437,"00000"))</f>
        <v/>
      </c>
      <c r="C437" s="32" t="n"/>
      <c r="D437" s="36" t="n"/>
      <c r="E437" s="36" t="n"/>
      <c r="F437" s="36" t="n"/>
      <c r="G437" s="42" t="n"/>
      <c r="H437" s="37" t="n"/>
      <c r="I437" s="37" t="n"/>
      <c r="J437" s="32" t="n"/>
      <c r="K437" s="32" t="n"/>
      <c r="L437" s="43" t="n"/>
      <c r="M437" s="36" t="n"/>
      <c r="N437" s="44" t="n"/>
      <c r="O437" s="36" t="n"/>
      <c r="P437" s="33">
        <f>IF(C437="","",Commercial_Id)</f>
        <v/>
      </c>
      <c r="Q437" s="34">
        <f>IF(AC437="","",IF(AD437=1,"C"&amp;TEXT(SUM(AD$6:AD437),"0000"),INDEX(Q$6:Q436,MATCH(AC437,AC$6:AC436,0))))</f>
        <v/>
      </c>
      <c r="R437" s="34">
        <f>IF(C437="","",IF(L437="☑ Oui","Annulée",IF(OR(E437="Vente directe",K437&lt;&gt;""),"Livrée",IF(J437&lt;&gt;"","Confirmée","En attente"))))</f>
        <v/>
      </c>
      <c r="S437" s="34">
        <f>IF(F437="","",IFERROR(VLOOKUP(F437,T_Produits,2,FALSE),""))</f>
        <v/>
      </c>
      <c r="T437" s="40">
        <f>IF(F437="","",IFERROR(1/(1/VLOOKUP(F437,T_Produits,3,FALSE)),""))</f>
        <v/>
      </c>
      <c r="U437" s="40">
        <f>IF(H437&lt;&gt;"",H437,T437)</f>
        <v/>
      </c>
      <c r="V437" s="40">
        <f>IF(OR(G437="",U437=""),"",G437*U437-N(I437))</f>
        <v/>
      </c>
      <c r="W437" s="39">
        <f>IF(D437="","",IFERROR(VALUE(MID(D437,LEN(D437)-3,3)),""))</f>
        <v/>
      </c>
      <c r="X437" s="33">
        <f>IF(W437="","",P437&amp;"|"&amp;W437)</f>
        <v/>
      </c>
      <c r="Y437" s="33">
        <f>IF(W437="","",IF(P437="À RENSEIGNER","GIC",P437)&amp;"-"&amp;TEXT(W437,"000"))</f>
        <v/>
      </c>
      <c r="Z437" s="33">
        <f>IF(X437="","",IFERROR(INDEX(Cl_nom,MATCH(X437,Cl_cle,0)),"(client introuvable)"))</f>
        <v/>
      </c>
      <c r="AA437" s="33">
        <f>IF(X437="","",IFERROR(INDEX(Cl_quartier,MATCH(X437,Cl_cle,0))&amp;"",""))</f>
        <v/>
      </c>
      <c r="AB437" s="45">
        <f>IF(R437&lt;&gt;"Livrée",0,IF(K437&lt;&gt;"",K437,C437))</f>
        <v/>
      </c>
      <c r="AC437" s="33">
        <f>IF(OR(C437="",W437=""),"",P437&amp;"|"&amp;W437&amp;"|"&amp;C437&amp;"|"&amp;E437)</f>
        <v/>
      </c>
      <c r="AD437" s="39">
        <f>IF(AC437="","",IF(COUNTIF(AC$6:AC437,AC437)=1,1,0))</f>
        <v/>
      </c>
      <c r="AE437" s="39">
        <f>IF(AB437=0,"",IF(COUNTIFS(X$6:X437,X437,AB$6:AB437,AB437)=1,1,0))</f>
        <v/>
      </c>
      <c r="AF437" s="34">
        <f>IF(C437="","",YEAR(C437-WEEKDAY(C437,2)+4)&amp;"-S"&amp;TEXT(INT((C437-DATE(YEAR(C437-WEEKDAY(C437,2)+4),1,3)+WEEKDAY(DATE(YEAR(C437-WEEKDAY(C437,2)+4),1,3),2)+5)/7),"00"))</f>
        <v/>
      </c>
    </row>
    <row r="438" ht="18" customHeight="1">
      <c r="A438" s="39" t="n">
        <v>433</v>
      </c>
      <c r="B438" s="33">
        <f>IF(C438="","",IF(P438="À RENSEIGNER","GIC",P438)&amp;"-C"&amp;TEXT(A438,"00000"))</f>
        <v/>
      </c>
      <c r="C438" s="32" t="n"/>
      <c r="D438" s="36" t="n"/>
      <c r="E438" s="36" t="n"/>
      <c r="F438" s="36" t="n"/>
      <c r="G438" s="42" t="n"/>
      <c r="H438" s="37" t="n"/>
      <c r="I438" s="37" t="n"/>
      <c r="J438" s="32" t="n"/>
      <c r="K438" s="32" t="n"/>
      <c r="L438" s="43" t="n"/>
      <c r="M438" s="36" t="n"/>
      <c r="N438" s="44" t="n"/>
      <c r="O438" s="36" t="n"/>
      <c r="P438" s="33">
        <f>IF(C438="","",Commercial_Id)</f>
        <v/>
      </c>
      <c r="Q438" s="34">
        <f>IF(AC438="","",IF(AD438=1,"C"&amp;TEXT(SUM(AD$6:AD438),"0000"),INDEX(Q$6:Q437,MATCH(AC438,AC$6:AC437,0))))</f>
        <v/>
      </c>
      <c r="R438" s="34">
        <f>IF(C438="","",IF(L438="☑ Oui","Annulée",IF(OR(E438="Vente directe",K438&lt;&gt;""),"Livrée",IF(J438&lt;&gt;"","Confirmée","En attente"))))</f>
        <v/>
      </c>
      <c r="S438" s="34">
        <f>IF(F438="","",IFERROR(VLOOKUP(F438,T_Produits,2,FALSE),""))</f>
        <v/>
      </c>
      <c r="T438" s="40">
        <f>IF(F438="","",IFERROR(1/(1/VLOOKUP(F438,T_Produits,3,FALSE)),""))</f>
        <v/>
      </c>
      <c r="U438" s="40">
        <f>IF(H438&lt;&gt;"",H438,T438)</f>
        <v/>
      </c>
      <c r="V438" s="40">
        <f>IF(OR(G438="",U438=""),"",G438*U438-N(I438))</f>
        <v/>
      </c>
      <c r="W438" s="39">
        <f>IF(D438="","",IFERROR(VALUE(MID(D438,LEN(D438)-3,3)),""))</f>
        <v/>
      </c>
      <c r="X438" s="33">
        <f>IF(W438="","",P438&amp;"|"&amp;W438)</f>
        <v/>
      </c>
      <c r="Y438" s="33">
        <f>IF(W438="","",IF(P438="À RENSEIGNER","GIC",P438)&amp;"-"&amp;TEXT(W438,"000"))</f>
        <v/>
      </c>
      <c r="Z438" s="33">
        <f>IF(X438="","",IFERROR(INDEX(Cl_nom,MATCH(X438,Cl_cle,0)),"(client introuvable)"))</f>
        <v/>
      </c>
      <c r="AA438" s="33">
        <f>IF(X438="","",IFERROR(INDEX(Cl_quartier,MATCH(X438,Cl_cle,0))&amp;"",""))</f>
        <v/>
      </c>
      <c r="AB438" s="45">
        <f>IF(R438&lt;&gt;"Livrée",0,IF(K438&lt;&gt;"",K438,C438))</f>
        <v/>
      </c>
      <c r="AC438" s="33">
        <f>IF(OR(C438="",W438=""),"",P438&amp;"|"&amp;W438&amp;"|"&amp;C438&amp;"|"&amp;E438)</f>
        <v/>
      </c>
      <c r="AD438" s="39">
        <f>IF(AC438="","",IF(COUNTIF(AC$6:AC438,AC438)=1,1,0))</f>
        <v/>
      </c>
      <c r="AE438" s="39">
        <f>IF(AB438=0,"",IF(COUNTIFS(X$6:X438,X438,AB$6:AB438,AB438)=1,1,0))</f>
        <v/>
      </c>
      <c r="AF438" s="34">
        <f>IF(C438="","",YEAR(C438-WEEKDAY(C438,2)+4)&amp;"-S"&amp;TEXT(INT((C438-DATE(YEAR(C438-WEEKDAY(C438,2)+4),1,3)+WEEKDAY(DATE(YEAR(C438-WEEKDAY(C438,2)+4),1,3),2)+5)/7),"00"))</f>
        <v/>
      </c>
    </row>
    <row r="439" ht="18" customHeight="1">
      <c r="A439" s="39" t="n">
        <v>434</v>
      </c>
      <c r="B439" s="33">
        <f>IF(C439="","",IF(P439="À RENSEIGNER","GIC",P439)&amp;"-C"&amp;TEXT(A439,"00000"))</f>
        <v/>
      </c>
      <c r="C439" s="32" t="n"/>
      <c r="D439" s="36" t="n"/>
      <c r="E439" s="36" t="n"/>
      <c r="F439" s="36" t="n"/>
      <c r="G439" s="42" t="n"/>
      <c r="H439" s="37" t="n"/>
      <c r="I439" s="37" t="n"/>
      <c r="J439" s="32" t="n"/>
      <c r="K439" s="32" t="n"/>
      <c r="L439" s="43" t="n"/>
      <c r="M439" s="36" t="n"/>
      <c r="N439" s="44" t="n"/>
      <c r="O439" s="36" t="n"/>
      <c r="P439" s="33">
        <f>IF(C439="","",Commercial_Id)</f>
        <v/>
      </c>
      <c r="Q439" s="34">
        <f>IF(AC439="","",IF(AD439=1,"C"&amp;TEXT(SUM(AD$6:AD439),"0000"),INDEX(Q$6:Q438,MATCH(AC439,AC$6:AC438,0))))</f>
        <v/>
      </c>
      <c r="R439" s="34">
        <f>IF(C439="","",IF(L439="☑ Oui","Annulée",IF(OR(E439="Vente directe",K439&lt;&gt;""),"Livrée",IF(J439&lt;&gt;"","Confirmée","En attente"))))</f>
        <v/>
      </c>
      <c r="S439" s="34">
        <f>IF(F439="","",IFERROR(VLOOKUP(F439,T_Produits,2,FALSE),""))</f>
        <v/>
      </c>
      <c r="T439" s="40">
        <f>IF(F439="","",IFERROR(1/(1/VLOOKUP(F439,T_Produits,3,FALSE)),""))</f>
        <v/>
      </c>
      <c r="U439" s="40">
        <f>IF(H439&lt;&gt;"",H439,T439)</f>
        <v/>
      </c>
      <c r="V439" s="40">
        <f>IF(OR(G439="",U439=""),"",G439*U439-N(I439))</f>
        <v/>
      </c>
      <c r="W439" s="39">
        <f>IF(D439="","",IFERROR(VALUE(MID(D439,LEN(D439)-3,3)),""))</f>
        <v/>
      </c>
      <c r="X439" s="33">
        <f>IF(W439="","",P439&amp;"|"&amp;W439)</f>
        <v/>
      </c>
      <c r="Y439" s="33">
        <f>IF(W439="","",IF(P439="À RENSEIGNER","GIC",P439)&amp;"-"&amp;TEXT(W439,"000"))</f>
        <v/>
      </c>
      <c r="Z439" s="33">
        <f>IF(X439="","",IFERROR(INDEX(Cl_nom,MATCH(X439,Cl_cle,0)),"(client introuvable)"))</f>
        <v/>
      </c>
      <c r="AA439" s="33">
        <f>IF(X439="","",IFERROR(INDEX(Cl_quartier,MATCH(X439,Cl_cle,0))&amp;"",""))</f>
        <v/>
      </c>
      <c r="AB439" s="45">
        <f>IF(R439&lt;&gt;"Livrée",0,IF(K439&lt;&gt;"",K439,C439))</f>
        <v/>
      </c>
      <c r="AC439" s="33">
        <f>IF(OR(C439="",W439=""),"",P439&amp;"|"&amp;W439&amp;"|"&amp;C439&amp;"|"&amp;E439)</f>
        <v/>
      </c>
      <c r="AD439" s="39">
        <f>IF(AC439="","",IF(COUNTIF(AC$6:AC439,AC439)=1,1,0))</f>
        <v/>
      </c>
      <c r="AE439" s="39">
        <f>IF(AB439=0,"",IF(COUNTIFS(X$6:X439,X439,AB$6:AB439,AB439)=1,1,0))</f>
        <v/>
      </c>
      <c r="AF439" s="34">
        <f>IF(C439="","",YEAR(C439-WEEKDAY(C439,2)+4)&amp;"-S"&amp;TEXT(INT((C439-DATE(YEAR(C439-WEEKDAY(C439,2)+4),1,3)+WEEKDAY(DATE(YEAR(C439-WEEKDAY(C439,2)+4),1,3),2)+5)/7),"00"))</f>
        <v/>
      </c>
    </row>
    <row r="440" ht="18" customHeight="1">
      <c r="A440" s="39" t="n">
        <v>435</v>
      </c>
      <c r="B440" s="33">
        <f>IF(C440="","",IF(P440="À RENSEIGNER","GIC",P440)&amp;"-C"&amp;TEXT(A440,"00000"))</f>
        <v/>
      </c>
      <c r="C440" s="32" t="n"/>
      <c r="D440" s="36" t="n"/>
      <c r="E440" s="36" t="n"/>
      <c r="F440" s="36" t="n"/>
      <c r="G440" s="42" t="n"/>
      <c r="H440" s="37" t="n"/>
      <c r="I440" s="37" t="n"/>
      <c r="J440" s="32" t="n"/>
      <c r="K440" s="32" t="n"/>
      <c r="L440" s="43" t="n"/>
      <c r="M440" s="36" t="n"/>
      <c r="N440" s="44" t="n"/>
      <c r="O440" s="36" t="n"/>
      <c r="P440" s="33">
        <f>IF(C440="","",Commercial_Id)</f>
        <v/>
      </c>
      <c r="Q440" s="34">
        <f>IF(AC440="","",IF(AD440=1,"C"&amp;TEXT(SUM(AD$6:AD440),"0000"),INDEX(Q$6:Q439,MATCH(AC440,AC$6:AC439,0))))</f>
        <v/>
      </c>
      <c r="R440" s="34">
        <f>IF(C440="","",IF(L440="☑ Oui","Annulée",IF(OR(E440="Vente directe",K440&lt;&gt;""),"Livrée",IF(J440&lt;&gt;"","Confirmée","En attente"))))</f>
        <v/>
      </c>
      <c r="S440" s="34">
        <f>IF(F440="","",IFERROR(VLOOKUP(F440,T_Produits,2,FALSE),""))</f>
        <v/>
      </c>
      <c r="T440" s="40">
        <f>IF(F440="","",IFERROR(1/(1/VLOOKUP(F440,T_Produits,3,FALSE)),""))</f>
        <v/>
      </c>
      <c r="U440" s="40">
        <f>IF(H440&lt;&gt;"",H440,T440)</f>
        <v/>
      </c>
      <c r="V440" s="40">
        <f>IF(OR(G440="",U440=""),"",G440*U440-N(I440))</f>
        <v/>
      </c>
      <c r="W440" s="39">
        <f>IF(D440="","",IFERROR(VALUE(MID(D440,LEN(D440)-3,3)),""))</f>
        <v/>
      </c>
      <c r="X440" s="33">
        <f>IF(W440="","",P440&amp;"|"&amp;W440)</f>
        <v/>
      </c>
      <c r="Y440" s="33">
        <f>IF(W440="","",IF(P440="À RENSEIGNER","GIC",P440)&amp;"-"&amp;TEXT(W440,"000"))</f>
        <v/>
      </c>
      <c r="Z440" s="33">
        <f>IF(X440="","",IFERROR(INDEX(Cl_nom,MATCH(X440,Cl_cle,0)),"(client introuvable)"))</f>
        <v/>
      </c>
      <c r="AA440" s="33">
        <f>IF(X440="","",IFERROR(INDEX(Cl_quartier,MATCH(X440,Cl_cle,0))&amp;"",""))</f>
        <v/>
      </c>
      <c r="AB440" s="45">
        <f>IF(R440&lt;&gt;"Livrée",0,IF(K440&lt;&gt;"",K440,C440))</f>
        <v/>
      </c>
      <c r="AC440" s="33">
        <f>IF(OR(C440="",W440=""),"",P440&amp;"|"&amp;W440&amp;"|"&amp;C440&amp;"|"&amp;E440)</f>
        <v/>
      </c>
      <c r="AD440" s="39">
        <f>IF(AC440="","",IF(COUNTIF(AC$6:AC440,AC440)=1,1,0))</f>
        <v/>
      </c>
      <c r="AE440" s="39">
        <f>IF(AB440=0,"",IF(COUNTIFS(X$6:X440,X440,AB$6:AB440,AB440)=1,1,0))</f>
        <v/>
      </c>
      <c r="AF440" s="34">
        <f>IF(C440="","",YEAR(C440-WEEKDAY(C440,2)+4)&amp;"-S"&amp;TEXT(INT((C440-DATE(YEAR(C440-WEEKDAY(C440,2)+4),1,3)+WEEKDAY(DATE(YEAR(C440-WEEKDAY(C440,2)+4),1,3),2)+5)/7),"00"))</f>
        <v/>
      </c>
    </row>
    <row r="441" ht="18" customHeight="1">
      <c r="A441" s="39" t="n">
        <v>436</v>
      </c>
      <c r="B441" s="33">
        <f>IF(C441="","",IF(P441="À RENSEIGNER","GIC",P441)&amp;"-C"&amp;TEXT(A441,"00000"))</f>
        <v/>
      </c>
      <c r="C441" s="32" t="n"/>
      <c r="D441" s="36" t="n"/>
      <c r="E441" s="36" t="n"/>
      <c r="F441" s="36" t="n"/>
      <c r="G441" s="42" t="n"/>
      <c r="H441" s="37" t="n"/>
      <c r="I441" s="37" t="n"/>
      <c r="J441" s="32" t="n"/>
      <c r="K441" s="32" t="n"/>
      <c r="L441" s="43" t="n"/>
      <c r="M441" s="36" t="n"/>
      <c r="N441" s="44" t="n"/>
      <c r="O441" s="36" t="n"/>
      <c r="P441" s="33">
        <f>IF(C441="","",Commercial_Id)</f>
        <v/>
      </c>
      <c r="Q441" s="34">
        <f>IF(AC441="","",IF(AD441=1,"C"&amp;TEXT(SUM(AD$6:AD441),"0000"),INDEX(Q$6:Q440,MATCH(AC441,AC$6:AC440,0))))</f>
        <v/>
      </c>
      <c r="R441" s="34">
        <f>IF(C441="","",IF(L441="☑ Oui","Annulée",IF(OR(E441="Vente directe",K441&lt;&gt;""),"Livrée",IF(J441&lt;&gt;"","Confirmée","En attente"))))</f>
        <v/>
      </c>
      <c r="S441" s="34">
        <f>IF(F441="","",IFERROR(VLOOKUP(F441,T_Produits,2,FALSE),""))</f>
        <v/>
      </c>
      <c r="T441" s="40">
        <f>IF(F441="","",IFERROR(1/(1/VLOOKUP(F441,T_Produits,3,FALSE)),""))</f>
        <v/>
      </c>
      <c r="U441" s="40">
        <f>IF(H441&lt;&gt;"",H441,T441)</f>
        <v/>
      </c>
      <c r="V441" s="40">
        <f>IF(OR(G441="",U441=""),"",G441*U441-N(I441))</f>
        <v/>
      </c>
      <c r="W441" s="39">
        <f>IF(D441="","",IFERROR(VALUE(MID(D441,LEN(D441)-3,3)),""))</f>
        <v/>
      </c>
      <c r="X441" s="33">
        <f>IF(W441="","",P441&amp;"|"&amp;W441)</f>
        <v/>
      </c>
      <c r="Y441" s="33">
        <f>IF(W441="","",IF(P441="À RENSEIGNER","GIC",P441)&amp;"-"&amp;TEXT(W441,"000"))</f>
        <v/>
      </c>
      <c r="Z441" s="33">
        <f>IF(X441="","",IFERROR(INDEX(Cl_nom,MATCH(X441,Cl_cle,0)),"(client introuvable)"))</f>
        <v/>
      </c>
      <c r="AA441" s="33">
        <f>IF(X441="","",IFERROR(INDEX(Cl_quartier,MATCH(X441,Cl_cle,0))&amp;"",""))</f>
        <v/>
      </c>
      <c r="AB441" s="45">
        <f>IF(R441&lt;&gt;"Livrée",0,IF(K441&lt;&gt;"",K441,C441))</f>
        <v/>
      </c>
      <c r="AC441" s="33">
        <f>IF(OR(C441="",W441=""),"",P441&amp;"|"&amp;W441&amp;"|"&amp;C441&amp;"|"&amp;E441)</f>
        <v/>
      </c>
      <c r="AD441" s="39">
        <f>IF(AC441="","",IF(COUNTIF(AC$6:AC441,AC441)=1,1,0))</f>
        <v/>
      </c>
      <c r="AE441" s="39">
        <f>IF(AB441=0,"",IF(COUNTIFS(X$6:X441,X441,AB$6:AB441,AB441)=1,1,0))</f>
        <v/>
      </c>
      <c r="AF441" s="34">
        <f>IF(C441="","",YEAR(C441-WEEKDAY(C441,2)+4)&amp;"-S"&amp;TEXT(INT((C441-DATE(YEAR(C441-WEEKDAY(C441,2)+4),1,3)+WEEKDAY(DATE(YEAR(C441-WEEKDAY(C441,2)+4),1,3),2)+5)/7),"00"))</f>
        <v/>
      </c>
    </row>
    <row r="442" ht="18" customHeight="1">
      <c r="A442" s="39" t="n">
        <v>437</v>
      </c>
      <c r="B442" s="33">
        <f>IF(C442="","",IF(P442="À RENSEIGNER","GIC",P442)&amp;"-C"&amp;TEXT(A442,"00000"))</f>
        <v/>
      </c>
      <c r="C442" s="32" t="n"/>
      <c r="D442" s="36" t="n"/>
      <c r="E442" s="36" t="n"/>
      <c r="F442" s="36" t="n"/>
      <c r="G442" s="42" t="n"/>
      <c r="H442" s="37" t="n"/>
      <c r="I442" s="37" t="n"/>
      <c r="J442" s="32" t="n"/>
      <c r="K442" s="32" t="n"/>
      <c r="L442" s="43" t="n"/>
      <c r="M442" s="36" t="n"/>
      <c r="N442" s="44" t="n"/>
      <c r="O442" s="36" t="n"/>
      <c r="P442" s="33">
        <f>IF(C442="","",Commercial_Id)</f>
        <v/>
      </c>
      <c r="Q442" s="34">
        <f>IF(AC442="","",IF(AD442=1,"C"&amp;TEXT(SUM(AD$6:AD442),"0000"),INDEX(Q$6:Q441,MATCH(AC442,AC$6:AC441,0))))</f>
        <v/>
      </c>
      <c r="R442" s="34">
        <f>IF(C442="","",IF(L442="☑ Oui","Annulée",IF(OR(E442="Vente directe",K442&lt;&gt;""),"Livrée",IF(J442&lt;&gt;"","Confirmée","En attente"))))</f>
        <v/>
      </c>
      <c r="S442" s="34">
        <f>IF(F442="","",IFERROR(VLOOKUP(F442,T_Produits,2,FALSE),""))</f>
        <v/>
      </c>
      <c r="T442" s="40">
        <f>IF(F442="","",IFERROR(1/(1/VLOOKUP(F442,T_Produits,3,FALSE)),""))</f>
        <v/>
      </c>
      <c r="U442" s="40">
        <f>IF(H442&lt;&gt;"",H442,T442)</f>
        <v/>
      </c>
      <c r="V442" s="40">
        <f>IF(OR(G442="",U442=""),"",G442*U442-N(I442))</f>
        <v/>
      </c>
      <c r="W442" s="39">
        <f>IF(D442="","",IFERROR(VALUE(MID(D442,LEN(D442)-3,3)),""))</f>
        <v/>
      </c>
      <c r="X442" s="33">
        <f>IF(W442="","",P442&amp;"|"&amp;W442)</f>
        <v/>
      </c>
      <c r="Y442" s="33">
        <f>IF(W442="","",IF(P442="À RENSEIGNER","GIC",P442)&amp;"-"&amp;TEXT(W442,"000"))</f>
        <v/>
      </c>
      <c r="Z442" s="33">
        <f>IF(X442="","",IFERROR(INDEX(Cl_nom,MATCH(X442,Cl_cle,0)),"(client introuvable)"))</f>
        <v/>
      </c>
      <c r="AA442" s="33">
        <f>IF(X442="","",IFERROR(INDEX(Cl_quartier,MATCH(X442,Cl_cle,0))&amp;"",""))</f>
        <v/>
      </c>
      <c r="AB442" s="45">
        <f>IF(R442&lt;&gt;"Livrée",0,IF(K442&lt;&gt;"",K442,C442))</f>
        <v/>
      </c>
      <c r="AC442" s="33">
        <f>IF(OR(C442="",W442=""),"",P442&amp;"|"&amp;W442&amp;"|"&amp;C442&amp;"|"&amp;E442)</f>
        <v/>
      </c>
      <c r="AD442" s="39">
        <f>IF(AC442="","",IF(COUNTIF(AC$6:AC442,AC442)=1,1,0))</f>
        <v/>
      </c>
      <c r="AE442" s="39">
        <f>IF(AB442=0,"",IF(COUNTIFS(X$6:X442,X442,AB$6:AB442,AB442)=1,1,0))</f>
        <v/>
      </c>
      <c r="AF442" s="34">
        <f>IF(C442="","",YEAR(C442-WEEKDAY(C442,2)+4)&amp;"-S"&amp;TEXT(INT((C442-DATE(YEAR(C442-WEEKDAY(C442,2)+4),1,3)+WEEKDAY(DATE(YEAR(C442-WEEKDAY(C442,2)+4),1,3),2)+5)/7),"00"))</f>
        <v/>
      </c>
    </row>
    <row r="443" ht="18" customHeight="1">
      <c r="A443" s="39" t="n">
        <v>438</v>
      </c>
      <c r="B443" s="33">
        <f>IF(C443="","",IF(P443="À RENSEIGNER","GIC",P443)&amp;"-C"&amp;TEXT(A443,"00000"))</f>
        <v/>
      </c>
      <c r="C443" s="32" t="n"/>
      <c r="D443" s="36" t="n"/>
      <c r="E443" s="36" t="n"/>
      <c r="F443" s="36" t="n"/>
      <c r="G443" s="42" t="n"/>
      <c r="H443" s="37" t="n"/>
      <c r="I443" s="37" t="n"/>
      <c r="J443" s="32" t="n"/>
      <c r="K443" s="32" t="n"/>
      <c r="L443" s="43" t="n"/>
      <c r="M443" s="36" t="n"/>
      <c r="N443" s="44" t="n"/>
      <c r="O443" s="36" t="n"/>
      <c r="P443" s="33">
        <f>IF(C443="","",Commercial_Id)</f>
        <v/>
      </c>
      <c r="Q443" s="34">
        <f>IF(AC443="","",IF(AD443=1,"C"&amp;TEXT(SUM(AD$6:AD443),"0000"),INDEX(Q$6:Q442,MATCH(AC443,AC$6:AC442,0))))</f>
        <v/>
      </c>
      <c r="R443" s="34">
        <f>IF(C443="","",IF(L443="☑ Oui","Annulée",IF(OR(E443="Vente directe",K443&lt;&gt;""),"Livrée",IF(J443&lt;&gt;"","Confirmée","En attente"))))</f>
        <v/>
      </c>
      <c r="S443" s="34">
        <f>IF(F443="","",IFERROR(VLOOKUP(F443,T_Produits,2,FALSE),""))</f>
        <v/>
      </c>
      <c r="T443" s="40">
        <f>IF(F443="","",IFERROR(1/(1/VLOOKUP(F443,T_Produits,3,FALSE)),""))</f>
        <v/>
      </c>
      <c r="U443" s="40">
        <f>IF(H443&lt;&gt;"",H443,T443)</f>
        <v/>
      </c>
      <c r="V443" s="40">
        <f>IF(OR(G443="",U443=""),"",G443*U443-N(I443))</f>
        <v/>
      </c>
      <c r="W443" s="39">
        <f>IF(D443="","",IFERROR(VALUE(MID(D443,LEN(D443)-3,3)),""))</f>
        <v/>
      </c>
      <c r="X443" s="33">
        <f>IF(W443="","",P443&amp;"|"&amp;W443)</f>
        <v/>
      </c>
      <c r="Y443" s="33">
        <f>IF(W443="","",IF(P443="À RENSEIGNER","GIC",P443)&amp;"-"&amp;TEXT(W443,"000"))</f>
        <v/>
      </c>
      <c r="Z443" s="33">
        <f>IF(X443="","",IFERROR(INDEX(Cl_nom,MATCH(X443,Cl_cle,0)),"(client introuvable)"))</f>
        <v/>
      </c>
      <c r="AA443" s="33">
        <f>IF(X443="","",IFERROR(INDEX(Cl_quartier,MATCH(X443,Cl_cle,0))&amp;"",""))</f>
        <v/>
      </c>
      <c r="AB443" s="45">
        <f>IF(R443&lt;&gt;"Livrée",0,IF(K443&lt;&gt;"",K443,C443))</f>
        <v/>
      </c>
      <c r="AC443" s="33">
        <f>IF(OR(C443="",W443=""),"",P443&amp;"|"&amp;W443&amp;"|"&amp;C443&amp;"|"&amp;E443)</f>
        <v/>
      </c>
      <c r="AD443" s="39">
        <f>IF(AC443="","",IF(COUNTIF(AC$6:AC443,AC443)=1,1,0))</f>
        <v/>
      </c>
      <c r="AE443" s="39">
        <f>IF(AB443=0,"",IF(COUNTIFS(X$6:X443,X443,AB$6:AB443,AB443)=1,1,0))</f>
        <v/>
      </c>
      <c r="AF443" s="34">
        <f>IF(C443="","",YEAR(C443-WEEKDAY(C443,2)+4)&amp;"-S"&amp;TEXT(INT((C443-DATE(YEAR(C443-WEEKDAY(C443,2)+4),1,3)+WEEKDAY(DATE(YEAR(C443-WEEKDAY(C443,2)+4),1,3),2)+5)/7),"00"))</f>
        <v/>
      </c>
    </row>
    <row r="444" ht="18" customHeight="1">
      <c r="A444" s="39" t="n">
        <v>439</v>
      </c>
      <c r="B444" s="33">
        <f>IF(C444="","",IF(P444="À RENSEIGNER","GIC",P444)&amp;"-C"&amp;TEXT(A444,"00000"))</f>
        <v/>
      </c>
      <c r="C444" s="32" t="n"/>
      <c r="D444" s="36" t="n"/>
      <c r="E444" s="36" t="n"/>
      <c r="F444" s="36" t="n"/>
      <c r="G444" s="42" t="n"/>
      <c r="H444" s="37" t="n"/>
      <c r="I444" s="37" t="n"/>
      <c r="J444" s="32" t="n"/>
      <c r="K444" s="32" t="n"/>
      <c r="L444" s="43" t="n"/>
      <c r="M444" s="36" t="n"/>
      <c r="N444" s="44" t="n"/>
      <c r="O444" s="36" t="n"/>
      <c r="P444" s="33">
        <f>IF(C444="","",Commercial_Id)</f>
        <v/>
      </c>
      <c r="Q444" s="34">
        <f>IF(AC444="","",IF(AD444=1,"C"&amp;TEXT(SUM(AD$6:AD444),"0000"),INDEX(Q$6:Q443,MATCH(AC444,AC$6:AC443,0))))</f>
        <v/>
      </c>
      <c r="R444" s="34">
        <f>IF(C444="","",IF(L444="☑ Oui","Annulée",IF(OR(E444="Vente directe",K444&lt;&gt;""),"Livrée",IF(J444&lt;&gt;"","Confirmée","En attente"))))</f>
        <v/>
      </c>
      <c r="S444" s="34">
        <f>IF(F444="","",IFERROR(VLOOKUP(F444,T_Produits,2,FALSE),""))</f>
        <v/>
      </c>
      <c r="T444" s="40">
        <f>IF(F444="","",IFERROR(1/(1/VLOOKUP(F444,T_Produits,3,FALSE)),""))</f>
        <v/>
      </c>
      <c r="U444" s="40">
        <f>IF(H444&lt;&gt;"",H444,T444)</f>
        <v/>
      </c>
      <c r="V444" s="40">
        <f>IF(OR(G444="",U444=""),"",G444*U444-N(I444))</f>
        <v/>
      </c>
      <c r="W444" s="39">
        <f>IF(D444="","",IFERROR(VALUE(MID(D444,LEN(D444)-3,3)),""))</f>
        <v/>
      </c>
      <c r="X444" s="33">
        <f>IF(W444="","",P444&amp;"|"&amp;W444)</f>
        <v/>
      </c>
      <c r="Y444" s="33">
        <f>IF(W444="","",IF(P444="À RENSEIGNER","GIC",P444)&amp;"-"&amp;TEXT(W444,"000"))</f>
        <v/>
      </c>
      <c r="Z444" s="33">
        <f>IF(X444="","",IFERROR(INDEX(Cl_nom,MATCH(X444,Cl_cle,0)),"(client introuvable)"))</f>
        <v/>
      </c>
      <c r="AA444" s="33">
        <f>IF(X444="","",IFERROR(INDEX(Cl_quartier,MATCH(X444,Cl_cle,0))&amp;"",""))</f>
        <v/>
      </c>
      <c r="AB444" s="45">
        <f>IF(R444&lt;&gt;"Livrée",0,IF(K444&lt;&gt;"",K444,C444))</f>
        <v/>
      </c>
      <c r="AC444" s="33">
        <f>IF(OR(C444="",W444=""),"",P444&amp;"|"&amp;W444&amp;"|"&amp;C444&amp;"|"&amp;E444)</f>
        <v/>
      </c>
      <c r="AD444" s="39">
        <f>IF(AC444="","",IF(COUNTIF(AC$6:AC444,AC444)=1,1,0))</f>
        <v/>
      </c>
      <c r="AE444" s="39">
        <f>IF(AB444=0,"",IF(COUNTIFS(X$6:X444,X444,AB$6:AB444,AB444)=1,1,0))</f>
        <v/>
      </c>
      <c r="AF444" s="34">
        <f>IF(C444="","",YEAR(C444-WEEKDAY(C444,2)+4)&amp;"-S"&amp;TEXT(INT((C444-DATE(YEAR(C444-WEEKDAY(C444,2)+4),1,3)+WEEKDAY(DATE(YEAR(C444-WEEKDAY(C444,2)+4),1,3),2)+5)/7),"00"))</f>
        <v/>
      </c>
    </row>
    <row r="445" ht="18" customHeight="1">
      <c r="A445" s="39" t="n">
        <v>440</v>
      </c>
      <c r="B445" s="33">
        <f>IF(C445="","",IF(P445="À RENSEIGNER","GIC",P445)&amp;"-C"&amp;TEXT(A445,"00000"))</f>
        <v/>
      </c>
      <c r="C445" s="32" t="n"/>
      <c r="D445" s="36" t="n"/>
      <c r="E445" s="36" t="n"/>
      <c r="F445" s="36" t="n"/>
      <c r="G445" s="42" t="n"/>
      <c r="H445" s="37" t="n"/>
      <c r="I445" s="37" t="n"/>
      <c r="J445" s="32" t="n"/>
      <c r="K445" s="32" t="n"/>
      <c r="L445" s="43" t="n"/>
      <c r="M445" s="36" t="n"/>
      <c r="N445" s="44" t="n"/>
      <c r="O445" s="36" t="n"/>
      <c r="P445" s="33">
        <f>IF(C445="","",Commercial_Id)</f>
        <v/>
      </c>
      <c r="Q445" s="34">
        <f>IF(AC445="","",IF(AD445=1,"C"&amp;TEXT(SUM(AD$6:AD445),"0000"),INDEX(Q$6:Q444,MATCH(AC445,AC$6:AC444,0))))</f>
        <v/>
      </c>
      <c r="R445" s="34">
        <f>IF(C445="","",IF(L445="☑ Oui","Annulée",IF(OR(E445="Vente directe",K445&lt;&gt;""),"Livrée",IF(J445&lt;&gt;"","Confirmée","En attente"))))</f>
        <v/>
      </c>
      <c r="S445" s="34">
        <f>IF(F445="","",IFERROR(VLOOKUP(F445,T_Produits,2,FALSE),""))</f>
        <v/>
      </c>
      <c r="T445" s="40">
        <f>IF(F445="","",IFERROR(1/(1/VLOOKUP(F445,T_Produits,3,FALSE)),""))</f>
        <v/>
      </c>
      <c r="U445" s="40">
        <f>IF(H445&lt;&gt;"",H445,T445)</f>
        <v/>
      </c>
      <c r="V445" s="40">
        <f>IF(OR(G445="",U445=""),"",G445*U445-N(I445))</f>
        <v/>
      </c>
      <c r="W445" s="39">
        <f>IF(D445="","",IFERROR(VALUE(MID(D445,LEN(D445)-3,3)),""))</f>
        <v/>
      </c>
      <c r="X445" s="33">
        <f>IF(W445="","",P445&amp;"|"&amp;W445)</f>
        <v/>
      </c>
      <c r="Y445" s="33">
        <f>IF(W445="","",IF(P445="À RENSEIGNER","GIC",P445)&amp;"-"&amp;TEXT(W445,"000"))</f>
        <v/>
      </c>
      <c r="Z445" s="33">
        <f>IF(X445="","",IFERROR(INDEX(Cl_nom,MATCH(X445,Cl_cle,0)),"(client introuvable)"))</f>
        <v/>
      </c>
      <c r="AA445" s="33">
        <f>IF(X445="","",IFERROR(INDEX(Cl_quartier,MATCH(X445,Cl_cle,0))&amp;"",""))</f>
        <v/>
      </c>
      <c r="AB445" s="45">
        <f>IF(R445&lt;&gt;"Livrée",0,IF(K445&lt;&gt;"",K445,C445))</f>
        <v/>
      </c>
      <c r="AC445" s="33">
        <f>IF(OR(C445="",W445=""),"",P445&amp;"|"&amp;W445&amp;"|"&amp;C445&amp;"|"&amp;E445)</f>
        <v/>
      </c>
      <c r="AD445" s="39">
        <f>IF(AC445="","",IF(COUNTIF(AC$6:AC445,AC445)=1,1,0))</f>
        <v/>
      </c>
      <c r="AE445" s="39">
        <f>IF(AB445=0,"",IF(COUNTIFS(X$6:X445,X445,AB$6:AB445,AB445)=1,1,0))</f>
        <v/>
      </c>
      <c r="AF445" s="34">
        <f>IF(C445="","",YEAR(C445-WEEKDAY(C445,2)+4)&amp;"-S"&amp;TEXT(INT((C445-DATE(YEAR(C445-WEEKDAY(C445,2)+4),1,3)+WEEKDAY(DATE(YEAR(C445-WEEKDAY(C445,2)+4),1,3),2)+5)/7),"00"))</f>
        <v/>
      </c>
    </row>
    <row r="446" ht="18" customHeight="1">
      <c r="A446" s="39" t="n">
        <v>441</v>
      </c>
      <c r="B446" s="33">
        <f>IF(C446="","",IF(P446="À RENSEIGNER","GIC",P446)&amp;"-C"&amp;TEXT(A446,"00000"))</f>
        <v/>
      </c>
      <c r="C446" s="32" t="n"/>
      <c r="D446" s="36" t="n"/>
      <c r="E446" s="36" t="n"/>
      <c r="F446" s="36" t="n"/>
      <c r="G446" s="42" t="n"/>
      <c r="H446" s="37" t="n"/>
      <c r="I446" s="37" t="n"/>
      <c r="J446" s="32" t="n"/>
      <c r="K446" s="32" t="n"/>
      <c r="L446" s="43" t="n"/>
      <c r="M446" s="36" t="n"/>
      <c r="N446" s="44" t="n"/>
      <c r="O446" s="36" t="n"/>
      <c r="P446" s="33">
        <f>IF(C446="","",Commercial_Id)</f>
        <v/>
      </c>
      <c r="Q446" s="34">
        <f>IF(AC446="","",IF(AD446=1,"C"&amp;TEXT(SUM(AD$6:AD446),"0000"),INDEX(Q$6:Q445,MATCH(AC446,AC$6:AC445,0))))</f>
        <v/>
      </c>
      <c r="R446" s="34">
        <f>IF(C446="","",IF(L446="☑ Oui","Annulée",IF(OR(E446="Vente directe",K446&lt;&gt;""),"Livrée",IF(J446&lt;&gt;"","Confirmée","En attente"))))</f>
        <v/>
      </c>
      <c r="S446" s="34">
        <f>IF(F446="","",IFERROR(VLOOKUP(F446,T_Produits,2,FALSE),""))</f>
        <v/>
      </c>
      <c r="T446" s="40">
        <f>IF(F446="","",IFERROR(1/(1/VLOOKUP(F446,T_Produits,3,FALSE)),""))</f>
        <v/>
      </c>
      <c r="U446" s="40">
        <f>IF(H446&lt;&gt;"",H446,T446)</f>
        <v/>
      </c>
      <c r="V446" s="40">
        <f>IF(OR(G446="",U446=""),"",G446*U446-N(I446))</f>
        <v/>
      </c>
      <c r="W446" s="39">
        <f>IF(D446="","",IFERROR(VALUE(MID(D446,LEN(D446)-3,3)),""))</f>
        <v/>
      </c>
      <c r="X446" s="33">
        <f>IF(W446="","",P446&amp;"|"&amp;W446)</f>
        <v/>
      </c>
      <c r="Y446" s="33">
        <f>IF(W446="","",IF(P446="À RENSEIGNER","GIC",P446)&amp;"-"&amp;TEXT(W446,"000"))</f>
        <v/>
      </c>
      <c r="Z446" s="33">
        <f>IF(X446="","",IFERROR(INDEX(Cl_nom,MATCH(X446,Cl_cle,0)),"(client introuvable)"))</f>
        <v/>
      </c>
      <c r="AA446" s="33">
        <f>IF(X446="","",IFERROR(INDEX(Cl_quartier,MATCH(X446,Cl_cle,0))&amp;"",""))</f>
        <v/>
      </c>
      <c r="AB446" s="45">
        <f>IF(R446&lt;&gt;"Livrée",0,IF(K446&lt;&gt;"",K446,C446))</f>
        <v/>
      </c>
      <c r="AC446" s="33">
        <f>IF(OR(C446="",W446=""),"",P446&amp;"|"&amp;W446&amp;"|"&amp;C446&amp;"|"&amp;E446)</f>
        <v/>
      </c>
      <c r="AD446" s="39">
        <f>IF(AC446="","",IF(COUNTIF(AC$6:AC446,AC446)=1,1,0))</f>
        <v/>
      </c>
      <c r="AE446" s="39">
        <f>IF(AB446=0,"",IF(COUNTIFS(X$6:X446,X446,AB$6:AB446,AB446)=1,1,0))</f>
        <v/>
      </c>
      <c r="AF446" s="34">
        <f>IF(C446="","",YEAR(C446-WEEKDAY(C446,2)+4)&amp;"-S"&amp;TEXT(INT((C446-DATE(YEAR(C446-WEEKDAY(C446,2)+4),1,3)+WEEKDAY(DATE(YEAR(C446-WEEKDAY(C446,2)+4),1,3),2)+5)/7),"00"))</f>
        <v/>
      </c>
    </row>
    <row r="447" ht="18" customHeight="1">
      <c r="A447" s="39" t="n">
        <v>442</v>
      </c>
      <c r="B447" s="33">
        <f>IF(C447="","",IF(P447="À RENSEIGNER","GIC",P447)&amp;"-C"&amp;TEXT(A447,"00000"))</f>
        <v/>
      </c>
      <c r="C447" s="32" t="n"/>
      <c r="D447" s="36" t="n"/>
      <c r="E447" s="36" t="n"/>
      <c r="F447" s="36" t="n"/>
      <c r="G447" s="42" t="n"/>
      <c r="H447" s="37" t="n"/>
      <c r="I447" s="37" t="n"/>
      <c r="J447" s="32" t="n"/>
      <c r="K447" s="32" t="n"/>
      <c r="L447" s="43" t="n"/>
      <c r="M447" s="36" t="n"/>
      <c r="N447" s="44" t="n"/>
      <c r="O447" s="36" t="n"/>
      <c r="P447" s="33">
        <f>IF(C447="","",Commercial_Id)</f>
        <v/>
      </c>
      <c r="Q447" s="34">
        <f>IF(AC447="","",IF(AD447=1,"C"&amp;TEXT(SUM(AD$6:AD447),"0000"),INDEX(Q$6:Q446,MATCH(AC447,AC$6:AC446,0))))</f>
        <v/>
      </c>
      <c r="R447" s="34">
        <f>IF(C447="","",IF(L447="☑ Oui","Annulée",IF(OR(E447="Vente directe",K447&lt;&gt;""),"Livrée",IF(J447&lt;&gt;"","Confirmée","En attente"))))</f>
        <v/>
      </c>
      <c r="S447" s="34">
        <f>IF(F447="","",IFERROR(VLOOKUP(F447,T_Produits,2,FALSE),""))</f>
        <v/>
      </c>
      <c r="T447" s="40">
        <f>IF(F447="","",IFERROR(1/(1/VLOOKUP(F447,T_Produits,3,FALSE)),""))</f>
        <v/>
      </c>
      <c r="U447" s="40">
        <f>IF(H447&lt;&gt;"",H447,T447)</f>
        <v/>
      </c>
      <c r="V447" s="40">
        <f>IF(OR(G447="",U447=""),"",G447*U447-N(I447))</f>
        <v/>
      </c>
      <c r="W447" s="39">
        <f>IF(D447="","",IFERROR(VALUE(MID(D447,LEN(D447)-3,3)),""))</f>
        <v/>
      </c>
      <c r="X447" s="33">
        <f>IF(W447="","",P447&amp;"|"&amp;W447)</f>
        <v/>
      </c>
      <c r="Y447" s="33">
        <f>IF(W447="","",IF(P447="À RENSEIGNER","GIC",P447)&amp;"-"&amp;TEXT(W447,"000"))</f>
        <v/>
      </c>
      <c r="Z447" s="33">
        <f>IF(X447="","",IFERROR(INDEX(Cl_nom,MATCH(X447,Cl_cle,0)),"(client introuvable)"))</f>
        <v/>
      </c>
      <c r="AA447" s="33">
        <f>IF(X447="","",IFERROR(INDEX(Cl_quartier,MATCH(X447,Cl_cle,0))&amp;"",""))</f>
        <v/>
      </c>
      <c r="AB447" s="45">
        <f>IF(R447&lt;&gt;"Livrée",0,IF(K447&lt;&gt;"",K447,C447))</f>
        <v/>
      </c>
      <c r="AC447" s="33">
        <f>IF(OR(C447="",W447=""),"",P447&amp;"|"&amp;W447&amp;"|"&amp;C447&amp;"|"&amp;E447)</f>
        <v/>
      </c>
      <c r="AD447" s="39">
        <f>IF(AC447="","",IF(COUNTIF(AC$6:AC447,AC447)=1,1,0))</f>
        <v/>
      </c>
      <c r="AE447" s="39">
        <f>IF(AB447=0,"",IF(COUNTIFS(X$6:X447,X447,AB$6:AB447,AB447)=1,1,0))</f>
        <v/>
      </c>
      <c r="AF447" s="34">
        <f>IF(C447="","",YEAR(C447-WEEKDAY(C447,2)+4)&amp;"-S"&amp;TEXT(INT((C447-DATE(YEAR(C447-WEEKDAY(C447,2)+4),1,3)+WEEKDAY(DATE(YEAR(C447-WEEKDAY(C447,2)+4),1,3),2)+5)/7),"00"))</f>
        <v/>
      </c>
    </row>
    <row r="448" ht="18" customHeight="1">
      <c r="A448" s="39" t="n">
        <v>443</v>
      </c>
      <c r="B448" s="33">
        <f>IF(C448="","",IF(P448="À RENSEIGNER","GIC",P448)&amp;"-C"&amp;TEXT(A448,"00000"))</f>
        <v/>
      </c>
      <c r="C448" s="32" t="n"/>
      <c r="D448" s="36" t="n"/>
      <c r="E448" s="36" t="n"/>
      <c r="F448" s="36" t="n"/>
      <c r="G448" s="42" t="n"/>
      <c r="H448" s="37" t="n"/>
      <c r="I448" s="37" t="n"/>
      <c r="J448" s="32" t="n"/>
      <c r="K448" s="32" t="n"/>
      <c r="L448" s="43" t="n"/>
      <c r="M448" s="36" t="n"/>
      <c r="N448" s="44" t="n"/>
      <c r="O448" s="36" t="n"/>
      <c r="P448" s="33">
        <f>IF(C448="","",Commercial_Id)</f>
        <v/>
      </c>
      <c r="Q448" s="34">
        <f>IF(AC448="","",IF(AD448=1,"C"&amp;TEXT(SUM(AD$6:AD448),"0000"),INDEX(Q$6:Q447,MATCH(AC448,AC$6:AC447,0))))</f>
        <v/>
      </c>
      <c r="R448" s="34">
        <f>IF(C448="","",IF(L448="☑ Oui","Annulée",IF(OR(E448="Vente directe",K448&lt;&gt;""),"Livrée",IF(J448&lt;&gt;"","Confirmée","En attente"))))</f>
        <v/>
      </c>
      <c r="S448" s="34">
        <f>IF(F448="","",IFERROR(VLOOKUP(F448,T_Produits,2,FALSE),""))</f>
        <v/>
      </c>
      <c r="T448" s="40">
        <f>IF(F448="","",IFERROR(1/(1/VLOOKUP(F448,T_Produits,3,FALSE)),""))</f>
        <v/>
      </c>
      <c r="U448" s="40">
        <f>IF(H448&lt;&gt;"",H448,T448)</f>
        <v/>
      </c>
      <c r="V448" s="40">
        <f>IF(OR(G448="",U448=""),"",G448*U448-N(I448))</f>
        <v/>
      </c>
      <c r="W448" s="39">
        <f>IF(D448="","",IFERROR(VALUE(MID(D448,LEN(D448)-3,3)),""))</f>
        <v/>
      </c>
      <c r="X448" s="33">
        <f>IF(W448="","",P448&amp;"|"&amp;W448)</f>
        <v/>
      </c>
      <c r="Y448" s="33">
        <f>IF(W448="","",IF(P448="À RENSEIGNER","GIC",P448)&amp;"-"&amp;TEXT(W448,"000"))</f>
        <v/>
      </c>
      <c r="Z448" s="33">
        <f>IF(X448="","",IFERROR(INDEX(Cl_nom,MATCH(X448,Cl_cle,0)),"(client introuvable)"))</f>
        <v/>
      </c>
      <c r="AA448" s="33">
        <f>IF(X448="","",IFERROR(INDEX(Cl_quartier,MATCH(X448,Cl_cle,0))&amp;"",""))</f>
        <v/>
      </c>
      <c r="AB448" s="45">
        <f>IF(R448&lt;&gt;"Livrée",0,IF(K448&lt;&gt;"",K448,C448))</f>
        <v/>
      </c>
      <c r="AC448" s="33">
        <f>IF(OR(C448="",W448=""),"",P448&amp;"|"&amp;W448&amp;"|"&amp;C448&amp;"|"&amp;E448)</f>
        <v/>
      </c>
      <c r="AD448" s="39">
        <f>IF(AC448="","",IF(COUNTIF(AC$6:AC448,AC448)=1,1,0))</f>
        <v/>
      </c>
      <c r="AE448" s="39">
        <f>IF(AB448=0,"",IF(COUNTIFS(X$6:X448,X448,AB$6:AB448,AB448)=1,1,0))</f>
        <v/>
      </c>
      <c r="AF448" s="34">
        <f>IF(C448="","",YEAR(C448-WEEKDAY(C448,2)+4)&amp;"-S"&amp;TEXT(INT((C448-DATE(YEAR(C448-WEEKDAY(C448,2)+4),1,3)+WEEKDAY(DATE(YEAR(C448-WEEKDAY(C448,2)+4),1,3),2)+5)/7),"00"))</f>
        <v/>
      </c>
    </row>
    <row r="449" ht="18" customHeight="1">
      <c r="A449" s="39" t="n">
        <v>444</v>
      </c>
      <c r="B449" s="33">
        <f>IF(C449="","",IF(P449="À RENSEIGNER","GIC",P449)&amp;"-C"&amp;TEXT(A449,"00000"))</f>
        <v/>
      </c>
      <c r="C449" s="32" t="n"/>
      <c r="D449" s="36" t="n"/>
      <c r="E449" s="36" t="n"/>
      <c r="F449" s="36" t="n"/>
      <c r="G449" s="42" t="n"/>
      <c r="H449" s="37" t="n"/>
      <c r="I449" s="37" t="n"/>
      <c r="J449" s="32" t="n"/>
      <c r="K449" s="32" t="n"/>
      <c r="L449" s="43" t="n"/>
      <c r="M449" s="36" t="n"/>
      <c r="N449" s="44" t="n"/>
      <c r="O449" s="36" t="n"/>
      <c r="P449" s="33">
        <f>IF(C449="","",Commercial_Id)</f>
        <v/>
      </c>
      <c r="Q449" s="34">
        <f>IF(AC449="","",IF(AD449=1,"C"&amp;TEXT(SUM(AD$6:AD449),"0000"),INDEX(Q$6:Q448,MATCH(AC449,AC$6:AC448,0))))</f>
        <v/>
      </c>
      <c r="R449" s="34">
        <f>IF(C449="","",IF(L449="☑ Oui","Annulée",IF(OR(E449="Vente directe",K449&lt;&gt;""),"Livrée",IF(J449&lt;&gt;"","Confirmée","En attente"))))</f>
        <v/>
      </c>
      <c r="S449" s="34">
        <f>IF(F449="","",IFERROR(VLOOKUP(F449,T_Produits,2,FALSE),""))</f>
        <v/>
      </c>
      <c r="T449" s="40">
        <f>IF(F449="","",IFERROR(1/(1/VLOOKUP(F449,T_Produits,3,FALSE)),""))</f>
        <v/>
      </c>
      <c r="U449" s="40">
        <f>IF(H449&lt;&gt;"",H449,T449)</f>
        <v/>
      </c>
      <c r="V449" s="40">
        <f>IF(OR(G449="",U449=""),"",G449*U449-N(I449))</f>
        <v/>
      </c>
      <c r="W449" s="39">
        <f>IF(D449="","",IFERROR(VALUE(MID(D449,LEN(D449)-3,3)),""))</f>
        <v/>
      </c>
      <c r="X449" s="33">
        <f>IF(W449="","",P449&amp;"|"&amp;W449)</f>
        <v/>
      </c>
      <c r="Y449" s="33">
        <f>IF(W449="","",IF(P449="À RENSEIGNER","GIC",P449)&amp;"-"&amp;TEXT(W449,"000"))</f>
        <v/>
      </c>
      <c r="Z449" s="33">
        <f>IF(X449="","",IFERROR(INDEX(Cl_nom,MATCH(X449,Cl_cle,0)),"(client introuvable)"))</f>
        <v/>
      </c>
      <c r="AA449" s="33">
        <f>IF(X449="","",IFERROR(INDEX(Cl_quartier,MATCH(X449,Cl_cle,0))&amp;"",""))</f>
        <v/>
      </c>
      <c r="AB449" s="45">
        <f>IF(R449&lt;&gt;"Livrée",0,IF(K449&lt;&gt;"",K449,C449))</f>
        <v/>
      </c>
      <c r="AC449" s="33">
        <f>IF(OR(C449="",W449=""),"",P449&amp;"|"&amp;W449&amp;"|"&amp;C449&amp;"|"&amp;E449)</f>
        <v/>
      </c>
      <c r="AD449" s="39">
        <f>IF(AC449="","",IF(COUNTIF(AC$6:AC449,AC449)=1,1,0))</f>
        <v/>
      </c>
      <c r="AE449" s="39">
        <f>IF(AB449=0,"",IF(COUNTIFS(X$6:X449,X449,AB$6:AB449,AB449)=1,1,0))</f>
        <v/>
      </c>
      <c r="AF449" s="34">
        <f>IF(C449="","",YEAR(C449-WEEKDAY(C449,2)+4)&amp;"-S"&amp;TEXT(INT((C449-DATE(YEAR(C449-WEEKDAY(C449,2)+4),1,3)+WEEKDAY(DATE(YEAR(C449-WEEKDAY(C449,2)+4),1,3),2)+5)/7),"00"))</f>
        <v/>
      </c>
    </row>
    <row r="450" ht="18" customHeight="1">
      <c r="A450" s="39" t="n">
        <v>445</v>
      </c>
      <c r="B450" s="33">
        <f>IF(C450="","",IF(P450="À RENSEIGNER","GIC",P450)&amp;"-C"&amp;TEXT(A450,"00000"))</f>
        <v/>
      </c>
      <c r="C450" s="32" t="n"/>
      <c r="D450" s="36" t="n"/>
      <c r="E450" s="36" t="n"/>
      <c r="F450" s="36" t="n"/>
      <c r="G450" s="42" t="n"/>
      <c r="H450" s="37" t="n"/>
      <c r="I450" s="37" t="n"/>
      <c r="J450" s="32" t="n"/>
      <c r="K450" s="32" t="n"/>
      <c r="L450" s="43" t="n"/>
      <c r="M450" s="36" t="n"/>
      <c r="N450" s="44" t="n"/>
      <c r="O450" s="36" t="n"/>
      <c r="P450" s="33">
        <f>IF(C450="","",Commercial_Id)</f>
        <v/>
      </c>
      <c r="Q450" s="34">
        <f>IF(AC450="","",IF(AD450=1,"C"&amp;TEXT(SUM(AD$6:AD450),"0000"),INDEX(Q$6:Q449,MATCH(AC450,AC$6:AC449,0))))</f>
        <v/>
      </c>
      <c r="R450" s="34">
        <f>IF(C450="","",IF(L450="☑ Oui","Annulée",IF(OR(E450="Vente directe",K450&lt;&gt;""),"Livrée",IF(J450&lt;&gt;"","Confirmée","En attente"))))</f>
        <v/>
      </c>
      <c r="S450" s="34">
        <f>IF(F450="","",IFERROR(VLOOKUP(F450,T_Produits,2,FALSE),""))</f>
        <v/>
      </c>
      <c r="T450" s="40">
        <f>IF(F450="","",IFERROR(1/(1/VLOOKUP(F450,T_Produits,3,FALSE)),""))</f>
        <v/>
      </c>
      <c r="U450" s="40">
        <f>IF(H450&lt;&gt;"",H450,T450)</f>
        <v/>
      </c>
      <c r="V450" s="40">
        <f>IF(OR(G450="",U450=""),"",G450*U450-N(I450))</f>
        <v/>
      </c>
      <c r="W450" s="39">
        <f>IF(D450="","",IFERROR(VALUE(MID(D450,LEN(D450)-3,3)),""))</f>
        <v/>
      </c>
      <c r="X450" s="33">
        <f>IF(W450="","",P450&amp;"|"&amp;W450)</f>
        <v/>
      </c>
      <c r="Y450" s="33">
        <f>IF(W450="","",IF(P450="À RENSEIGNER","GIC",P450)&amp;"-"&amp;TEXT(W450,"000"))</f>
        <v/>
      </c>
      <c r="Z450" s="33">
        <f>IF(X450="","",IFERROR(INDEX(Cl_nom,MATCH(X450,Cl_cle,0)),"(client introuvable)"))</f>
        <v/>
      </c>
      <c r="AA450" s="33">
        <f>IF(X450="","",IFERROR(INDEX(Cl_quartier,MATCH(X450,Cl_cle,0))&amp;"",""))</f>
        <v/>
      </c>
      <c r="AB450" s="45">
        <f>IF(R450&lt;&gt;"Livrée",0,IF(K450&lt;&gt;"",K450,C450))</f>
        <v/>
      </c>
      <c r="AC450" s="33">
        <f>IF(OR(C450="",W450=""),"",P450&amp;"|"&amp;W450&amp;"|"&amp;C450&amp;"|"&amp;E450)</f>
        <v/>
      </c>
      <c r="AD450" s="39">
        <f>IF(AC450="","",IF(COUNTIF(AC$6:AC450,AC450)=1,1,0))</f>
        <v/>
      </c>
      <c r="AE450" s="39">
        <f>IF(AB450=0,"",IF(COUNTIFS(X$6:X450,X450,AB$6:AB450,AB450)=1,1,0))</f>
        <v/>
      </c>
      <c r="AF450" s="34">
        <f>IF(C450="","",YEAR(C450-WEEKDAY(C450,2)+4)&amp;"-S"&amp;TEXT(INT((C450-DATE(YEAR(C450-WEEKDAY(C450,2)+4),1,3)+WEEKDAY(DATE(YEAR(C450-WEEKDAY(C450,2)+4),1,3),2)+5)/7),"00"))</f>
        <v/>
      </c>
    </row>
    <row r="451" ht="18" customHeight="1">
      <c r="A451" s="39" t="n">
        <v>446</v>
      </c>
      <c r="B451" s="33">
        <f>IF(C451="","",IF(P451="À RENSEIGNER","GIC",P451)&amp;"-C"&amp;TEXT(A451,"00000"))</f>
        <v/>
      </c>
      <c r="C451" s="32" t="n"/>
      <c r="D451" s="36" t="n"/>
      <c r="E451" s="36" t="n"/>
      <c r="F451" s="36" t="n"/>
      <c r="G451" s="42" t="n"/>
      <c r="H451" s="37" t="n"/>
      <c r="I451" s="37" t="n"/>
      <c r="J451" s="32" t="n"/>
      <c r="K451" s="32" t="n"/>
      <c r="L451" s="43" t="n"/>
      <c r="M451" s="36" t="n"/>
      <c r="N451" s="44" t="n"/>
      <c r="O451" s="36" t="n"/>
      <c r="P451" s="33">
        <f>IF(C451="","",Commercial_Id)</f>
        <v/>
      </c>
      <c r="Q451" s="34">
        <f>IF(AC451="","",IF(AD451=1,"C"&amp;TEXT(SUM(AD$6:AD451),"0000"),INDEX(Q$6:Q450,MATCH(AC451,AC$6:AC450,0))))</f>
        <v/>
      </c>
      <c r="R451" s="34">
        <f>IF(C451="","",IF(L451="☑ Oui","Annulée",IF(OR(E451="Vente directe",K451&lt;&gt;""),"Livrée",IF(J451&lt;&gt;"","Confirmée","En attente"))))</f>
        <v/>
      </c>
      <c r="S451" s="34">
        <f>IF(F451="","",IFERROR(VLOOKUP(F451,T_Produits,2,FALSE),""))</f>
        <v/>
      </c>
      <c r="T451" s="40">
        <f>IF(F451="","",IFERROR(1/(1/VLOOKUP(F451,T_Produits,3,FALSE)),""))</f>
        <v/>
      </c>
      <c r="U451" s="40">
        <f>IF(H451&lt;&gt;"",H451,T451)</f>
        <v/>
      </c>
      <c r="V451" s="40">
        <f>IF(OR(G451="",U451=""),"",G451*U451-N(I451))</f>
        <v/>
      </c>
      <c r="W451" s="39">
        <f>IF(D451="","",IFERROR(VALUE(MID(D451,LEN(D451)-3,3)),""))</f>
        <v/>
      </c>
      <c r="X451" s="33">
        <f>IF(W451="","",P451&amp;"|"&amp;W451)</f>
        <v/>
      </c>
      <c r="Y451" s="33">
        <f>IF(W451="","",IF(P451="À RENSEIGNER","GIC",P451)&amp;"-"&amp;TEXT(W451,"000"))</f>
        <v/>
      </c>
      <c r="Z451" s="33">
        <f>IF(X451="","",IFERROR(INDEX(Cl_nom,MATCH(X451,Cl_cle,0)),"(client introuvable)"))</f>
        <v/>
      </c>
      <c r="AA451" s="33">
        <f>IF(X451="","",IFERROR(INDEX(Cl_quartier,MATCH(X451,Cl_cle,0))&amp;"",""))</f>
        <v/>
      </c>
      <c r="AB451" s="45">
        <f>IF(R451&lt;&gt;"Livrée",0,IF(K451&lt;&gt;"",K451,C451))</f>
        <v/>
      </c>
      <c r="AC451" s="33">
        <f>IF(OR(C451="",W451=""),"",P451&amp;"|"&amp;W451&amp;"|"&amp;C451&amp;"|"&amp;E451)</f>
        <v/>
      </c>
      <c r="AD451" s="39">
        <f>IF(AC451="","",IF(COUNTIF(AC$6:AC451,AC451)=1,1,0))</f>
        <v/>
      </c>
      <c r="AE451" s="39">
        <f>IF(AB451=0,"",IF(COUNTIFS(X$6:X451,X451,AB$6:AB451,AB451)=1,1,0))</f>
        <v/>
      </c>
      <c r="AF451" s="34">
        <f>IF(C451="","",YEAR(C451-WEEKDAY(C451,2)+4)&amp;"-S"&amp;TEXT(INT((C451-DATE(YEAR(C451-WEEKDAY(C451,2)+4),1,3)+WEEKDAY(DATE(YEAR(C451-WEEKDAY(C451,2)+4),1,3),2)+5)/7),"00"))</f>
        <v/>
      </c>
    </row>
    <row r="452" ht="18" customHeight="1">
      <c r="A452" s="39" t="n">
        <v>447</v>
      </c>
      <c r="B452" s="33">
        <f>IF(C452="","",IF(P452="À RENSEIGNER","GIC",P452)&amp;"-C"&amp;TEXT(A452,"00000"))</f>
        <v/>
      </c>
      <c r="C452" s="32" t="n"/>
      <c r="D452" s="36" t="n"/>
      <c r="E452" s="36" t="n"/>
      <c r="F452" s="36" t="n"/>
      <c r="G452" s="42" t="n"/>
      <c r="H452" s="37" t="n"/>
      <c r="I452" s="37" t="n"/>
      <c r="J452" s="32" t="n"/>
      <c r="K452" s="32" t="n"/>
      <c r="L452" s="43" t="n"/>
      <c r="M452" s="36" t="n"/>
      <c r="N452" s="44" t="n"/>
      <c r="O452" s="36" t="n"/>
      <c r="P452" s="33">
        <f>IF(C452="","",Commercial_Id)</f>
        <v/>
      </c>
      <c r="Q452" s="34">
        <f>IF(AC452="","",IF(AD452=1,"C"&amp;TEXT(SUM(AD$6:AD452),"0000"),INDEX(Q$6:Q451,MATCH(AC452,AC$6:AC451,0))))</f>
        <v/>
      </c>
      <c r="R452" s="34">
        <f>IF(C452="","",IF(L452="☑ Oui","Annulée",IF(OR(E452="Vente directe",K452&lt;&gt;""),"Livrée",IF(J452&lt;&gt;"","Confirmée","En attente"))))</f>
        <v/>
      </c>
      <c r="S452" s="34">
        <f>IF(F452="","",IFERROR(VLOOKUP(F452,T_Produits,2,FALSE),""))</f>
        <v/>
      </c>
      <c r="T452" s="40">
        <f>IF(F452="","",IFERROR(1/(1/VLOOKUP(F452,T_Produits,3,FALSE)),""))</f>
        <v/>
      </c>
      <c r="U452" s="40">
        <f>IF(H452&lt;&gt;"",H452,T452)</f>
        <v/>
      </c>
      <c r="V452" s="40">
        <f>IF(OR(G452="",U452=""),"",G452*U452-N(I452))</f>
        <v/>
      </c>
      <c r="W452" s="39">
        <f>IF(D452="","",IFERROR(VALUE(MID(D452,LEN(D452)-3,3)),""))</f>
        <v/>
      </c>
      <c r="X452" s="33">
        <f>IF(W452="","",P452&amp;"|"&amp;W452)</f>
        <v/>
      </c>
      <c r="Y452" s="33">
        <f>IF(W452="","",IF(P452="À RENSEIGNER","GIC",P452)&amp;"-"&amp;TEXT(W452,"000"))</f>
        <v/>
      </c>
      <c r="Z452" s="33">
        <f>IF(X452="","",IFERROR(INDEX(Cl_nom,MATCH(X452,Cl_cle,0)),"(client introuvable)"))</f>
        <v/>
      </c>
      <c r="AA452" s="33">
        <f>IF(X452="","",IFERROR(INDEX(Cl_quartier,MATCH(X452,Cl_cle,0))&amp;"",""))</f>
        <v/>
      </c>
      <c r="AB452" s="45">
        <f>IF(R452&lt;&gt;"Livrée",0,IF(K452&lt;&gt;"",K452,C452))</f>
        <v/>
      </c>
      <c r="AC452" s="33">
        <f>IF(OR(C452="",W452=""),"",P452&amp;"|"&amp;W452&amp;"|"&amp;C452&amp;"|"&amp;E452)</f>
        <v/>
      </c>
      <c r="AD452" s="39">
        <f>IF(AC452="","",IF(COUNTIF(AC$6:AC452,AC452)=1,1,0))</f>
        <v/>
      </c>
      <c r="AE452" s="39">
        <f>IF(AB452=0,"",IF(COUNTIFS(X$6:X452,X452,AB$6:AB452,AB452)=1,1,0))</f>
        <v/>
      </c>
      <c r="AF452" s="34">
        <f>IF(C452="","",YEAR(C452-WEEKDAY(C452,2)+4)&amp;"-S"&amp;TEXT(INT((C452-DATE(YEAR(C452-WEEKDAY(C452,2)+4),1,3)+WEEKDAY(DATE(YEAR(C452-WEEKDAY(C452,2)+4),1,3),2)+5)/7),"00"))</f>
        <v/>
      </c>
    </row>
    <row r="453" ht="18" customHeight="1">
      <c r="A453" s="39" t="n">
        <v>448</v>
      </c>
      <c r="B453" s="33">
        <f>IF(C453="","",IF(P453="À RENSEIGNER","GIC",P453)&amp;"-C"&amp;TEXT(A453,"00000"))</f>
        <v/>
      </c>
      <c r="C453" s="32" t="n"/>
      <c r="D453" s="36" t="n"/>
      <c r="E453" s="36" t="n"/>
      <c r="F453" s="36" t="n"/>
      <c r="G453" s="42" t="n"/>
      <c r="H453" s="37" t="n"/>
      <c r="I453" s="37" t="n"/>
      <c r="J453" s="32" t="n"/>
      <c r="K453" s="32" t="n"/>
      <c r="L453" s="43" t="n"/>
      <c r="M453" s="36" t="n"/>
      <c r="N453" s="44" t="n"/>
      <c r="O453" s="36" t="n"/>
      <c r="P453" s="33">
        <f>IF(C453="","",Commercial_Id)</f>
        <v/>
      </c>
      <c r="Q453" s="34">
        <f>IF(AC453="","",IF(AD453=1,"C"&amp;TEXT(SUM(AD$6:AD453),"0000"),INDEX(Q$6:Q452,MATCH(AC453,AC$6:AC452,0))))</f>
        <v/>
      </c>
      <c r="R453" s="34">
        <f>IF(C453="","",IF(L453="☑ Oui","Annulée",IF(OR(E453="Vente directe",K453&lt;&gt;""),"Livrée",IF(J453&lt;&gt;"","Confirmée","En attente"))))</f>
        <v/>
      </c>
      <c r="S453" s="34">
        <f>IF(F453="","",IFERROR(VLOOKUP(F453,T_Produits,2,FALSE),""))</f>
        <v/>
      </c>
      <c r="T453" s="40">
        <f>IF(F453="","",IFERROR(1/(1/VLOOKUP(F453,T_Produits,3,FALSE)),""))</f>
        <v/>
      </c>
      <c r="U453" s="40">
        <f>IF(H453&lt;&gt;"",H453,T453)</f>
        <v/>
      </c>
      <c r="V453" s="40">
        <f>IF(OR(G453="",U453=""),"",G453*U453-N(I453))</f>
        <v/>
      </c>
      <c r="W453" s="39">
        <f>IF(D453="","",IFERROR(VALUE(MID(D453,LEN(D453)-3,3)),""))</f>
        <v/>
      </c>
      <c r="X453" s="33">
        <f>IF(W453="","",P453&amp;"|"&amp;W453)</f>
        <v/>
      </c>
      <c r="Y453" s="33">
        <f>IF(W453="","",IF(P453="À RENSEIGNER","GIC",P453)&amp;"-"&amp;TEXT(W453,"000"))</f>
        <v/>
      </c>
      <c r="Z453" s="33">
        <f>IF(X453="","",IFERROR(INDEX(Cl_nom,MATCH(X453,Cl_cle,0)),"(client introuvable)"))</f>
        <v/>
      </c>
      <c r="AA453" s="33">
        <f>IF(X453="","",IFERROR(INDEX(Cl_quartier,MATCH(X453,Cl_cle,0))&amp;"",""))</f>
        <v/>
      </c>
      <c r="AB453" s="45">
        <f>IF(R453&lt;&gt;"Livrée",0,IF(K453&lt;&gt;"",K453,C453))</f>
        <v/>
      </c>
      <c r="AC453" s="33">
        <f>IF(OR(C453="",W453=""),"",P453&amp;"|"&amp;W453&amp;"|"&amp;C453&amp;"|"&amp;E453)</f>
        <v/>
      </c>
      <c r="AD453" s="39">
        <f>IF(AC453="","",IF(COUNTIF(AC$6:AC453,AC453)=1,1,0))</f>
        <v/>
      </c>
      <c r="AE453" s="39">
        <f>IF(AB453=0,"",IF(COUNTIFS(X$6:X453,X453,AB$6:AB453,AB453)=1,1,0))</f>
        <v/>
      </c>
      <c r="AF453" s="34">
        <f>IF(C453="","",YEAR(C453-WEEKDAY(C453,2)+4)&amp;"-S"&amp;TEXT(INT((C453-DATE(YEAR(C453-WEEKDAY(C453,2)+4),1,3)+WEEKDAY(DATE(YEAR(C453-WEEKDAY(C453,2)+4),1,3),2)+5)/7),"00"))</f>
        <v/>
      </c>
    </row>
    <row r="454" ht="18" customHeight="1">
      <c r="A454" s="39" t="n">
        <v>449</v>
      </c>
      <c r="B454" s="33">
        <f>IF(C454="","",IF(P454="À RENSEIGNER","GIC",P454)&amp;"-C"&amp;TEXT(A454,"00000"))</f>
        <v/>
      </c>
      <c r="C454" s="32" t="n"/>
      <c r="D454" s="36" t="n"/>
      <c r="E454" s="36" t="n"/>
      <c r="F454" s="36" t="n"/>
      <c r="G454" s="42" t="n"/>
      <c r="H454" s="37" t="n"/>
      <c r="I454" s="37" t="n"/>
      <c r="J454" s="32" t="n"/>
      <c r="K454" s="32" t="n"/>
      <c r="L454" s="43" t="n"/>
      <c r="M454" s="36" t="n"/>
      <c r="N454" s="44" t="n"/>
      <c r="O454" s="36" t="n"/>
      <c r="P454" s="33">
        <f>IF(C454="","",Commercial_Id)</f>
        <v/>
      </c>
      <c r="Q454" s="34">
        <f>IF(AC454="","",IF(AD454=1,"C"&amp;TEXT(SUM(AD$6:AD454),"0000"),INDEX(Q$6:Q453,MATCH(AC454,AC$6:AC453,0))))</f>
        <v/>
      </c>
      <c r="R454" s="34">
        <f>IF(C454="","",IF(L454="☑ Oui","Annulée",IF(OR(E454="Vente directe",K454&lt;&gt;""),"Livrée",IF(J454&lt;&gt;"","Confirmée","En attente"))))</f>
        <v/>
      </c>
      <c r="S454" s="34">
        <f>IF(F454="","",IFERROR(VLOOKUP(F454,T_Produits,2,FALSE),""))</f>
        <v/>
      </c>
      <c r="T454" s="40">
        <f>IF(F454="","",IFERROR(1/(1/VLOOKUP(F454,T_Produits,3,FALSE)),""))</f>
        <v/>
      </c>
      <c r="U454" s="40">
        <f>IF(H454&lt;&gt;"",H454,T454)</f>
        <v/>
      </c>
      <c r="V454" s="40">
        <f>IF(OR(G454="",U454=""),"",G454*U454-N(I454))</f>
        <v/>
      </c>
      <c r="W454" s="39">
        <f>IF(D454="","",IFERROR(VALUE(MID(D454,LEN(D454)-3,3)),""))</f>
        <v/>
      </c>
      <c r="X454" s="33">
        <f>IF(W454="","",P454&amp;"|"&amp;W454)</f>
        <v/>
      </c>
      <c r="Y454" s="33">
        <f>IF(W454="","",IF(P454="À RENSEIGNER","GIC",P454)&amp;"-"&amp;TEXT(W454,"000"))</f>
        <v/>
      </c>
      <c r="Z454" s="33">
        <f>IF(X454="","",IFERROR(INDEX(Cl_nom,MATCH(X454,Cl_cle,0)),"(client introuvable)"))</f>
        <v/>
      </c>
      <c r="AA454" s="33">
        <f>IF(X454="","",IFERROR(INDEX(Cl_quartier,MATCH(X454,Cl_cle,0))&amp;"",""))</f>
        <v/>
      </c>
      <c r="AB454" s="45">
        <f>IF(R454&lt;&gt;"Livrée",0,IF(K454&lt;&gt;"",K454,C454))</f>
        <v/>
      </c>
      <c r="AC454" s="33">
        <f>IF(OR(C454="",W454=""),"",P454&amp;"|"&amp;W454&amp;"|"&amp;C454&amp;"|"&amp;E454)</f>
        <v/>
      </c>
      <c r="AD454" s="39">
        <f>IF(AC454="","",IF(COUNTIF(AC$6:AC454,AC454)=1,1,0))</f>
        <v/>
      </c>
      <c r="AE454" s="39">
        <f>IF(AB454=0,"",IF(COUNTIFS(X$6:X454,X454,AB$6:AB454,AB454)=1,1,0))</f>
        <v/>
      </c>
      <c r="AF454" s="34">
        <f>IF(C454="","",YEAR(C454-WEEKDAY(C454,2)+4)&amp;"-S"&amp;TEXT(INT((C454-DATE(YEAR(C454-WEEKDAY(C454,2)+4),1,3)+WEEKDAY(DATE(YEAR(C454-WEEKDAY(C454,2)+4),1,3),2)+5)/7),"00"))</f>
        <v/>
      </c>
    </row>
    <row r="455" ht="18" customHeight="1">
      <c r="A455" s="39" t="n">
        <v>450</v>
      </c>
      <c r="B455" s="33">
        <f>IF(C455="","",IF(P455="À RENSEIGNER","GIC",P455)&amp;"-C"&amp;TEXT(A455,"00000"))</f>
        <v/>
      </c>
      <c r="C455" s="32" t="n"/>
      <c r="D455" s="36" t="n"/>
      <c r="E455" s="36" t="n"/>
      <c r="F455" s="36" t="n"/>
      <c r="G455" s="42" t="n"/>
      <c r="H455" s="37" t="n"/>
      <c r="I455" s="37" t="n"/>
      <c r="J455" s="32" t="n"/>
      <c r="K455" s="32" t="n"/>
      <c r="L455" s="43" t="n"/>
      <c r="M455" s="36" t="n"/>
      <c r="N455" s="44" t="n"/>
      <c r="O455" s="36" t="n"/>
      <c r="P455" s="33">
        <f>IF(C455="","",Commercial_Id)</f>
        <v/>
      </c>
      <c r="Q455" s="34">
        <f>IF(AC455="","",IF(AD455=1,"C"&amp;TEXT(SUM(AD$6:AD455),"0000"),INDEX(Q$6:Q454,MATCH(AC455,AC$6:AC454,0))))</f>
        <v/>
      </c>
      <c r="R455" s="34">
        <f>IF(C455="","",IF(L455="☑ Oui","Annulée",IF(OR(E455="Vente directe",K455&lt;&gt;""),"Livrée",IF(J455&lt;&gt;"","Confirmée","En attente"))))</f>
        <v/>
      </c>
      <c r="S455" s="34">
        <f>IF(F455="","",IFERROR(VLOOKUP(F455,T_Produits,2,FALSE),""))</f>
        <v/>
      </c>
      <c r="T455" s="40">
        <f>IF(F455="","",IFERROR(1/(1/VLOOKUP(F455,T_Produits,3,FALSE)),""))</f>
        <v/>
      </c>
      <c r="U455" s="40">
        <f>IF(H455&lt;&gt;"",H455,T455)</f>
        <v/>
      </c>
      <c r="V455" s="40">
        <f>IF(OR(G455="",U455=""),"",G455*U455-N(I455))</f>
        <v/>
      </c>
      <c r="W455" s="39">
        <f>IF(D455="","",IFERROR(VALUE(MID(D455,LEN(D455)-3,3)),""))</f>
        <v/>
      </c>
      <c r="X455" s="33">
        <f>IF(W455="","",P455&amp;"|"&amp;W455)</f>
        <v/>
      </c>
      <c r="Y455" s="33">
        <f>IF(W455="","",IF(P455="À RENSEIGNER","GIC",P455)&amp;"-"&amp;TEXT(W455,"000"))</f>
        <v/>
      </c>
      <c r="Z455" s="33">
        <f>IF(X455="","",IFERROR(INDEX(Cl_nom,MATCH(X455,Cl_cle,0)),"(client introuvable)"))</f>
        <v/>
      </c>
      <c r="AA455" s="33">
        <f>IF(X455="","",IFERROR(INDEX(Cl_quartier,MATCH(X455,Cl_cle,0))&amp;"",""))</f>
        <v/>
      </c>
      <c r="AB455" s="45">
        <f>IF(R455&lt;&gt;"Livrée",0,IF(K455&lt;&gt;"",K455,C455))</f>
        <v/>
      </c>
      <c r="AC455" s="33">
        <f>IF(OR(C455="",W455=""),"",P455&amp;"|"&amp;W455&amp;"|"&amp;C455&amp;"|"&amp;E455)</f>
        <v/>
      </c>
      <c r="AD455" s="39">
        <f>IF(AC455="","",IF(COUNTIF(AC$6:AC455,AC455)=1,1,0))</f>
        <v/>
      </c>
      <c r="AE455" s="39">
        <f>IF(AB455=0,"",IF(COUNTIFS(X$6:X455,X455,AB$6:AB455,AB455)=1,1,0))</f>
        <v/>
      </c>
      <c r="AF455" s="34">
        <f>IF(C455="","",YEAR(C455-WEEKDAY(C455,2)+4)&amp;"-S"&amp;TEXT(INT((C455-DATE(YEAR(C455-WEEKDAY(C455,2)+4),1,3)+WEEKDAY(DATE(YEAR(C455-WEEKDAY(C455,2)+4),1,3),2)+5)/7),"00"))</f>
        <v/>
      </c>
    </row>
    <row r="456" ht="18" customHeight="1">
      <c r="A456" s="39" t="n">
        <v>451</v>
      </c>
      <c r="B456" s="33">
        <f>IF(C456="","",IF(P456="À RENSEIGNER","GIC",P456)&amp;"-C"&amp;TEXT(A456,"00000"))</f>
        <v/>
      </c>
      <c r="C456" s="32" t="n"/>
      <c r="D456" s="36" t="n"/>
      <c r="E456" s="36" t="n"/>
      <c r="F456" s="36" t="n"/>
      <c r="G456" s="42" t="n"/>
      <c r="H456" s="37" t="n"/>
      <c r="I456" s="37" t="n"/>
      <c r="J456" s="32" t="n"/>
      <c r="K456" s="32" t="n"/>
      <c r="L456" s="43" t="n"/>
      <c r="M456" s="36" t="n"/>
      <c r="N456" s="44" t="n"/>
      <c r="O456" s="36" t="n"/>
      <c r="P456" s="33">
        <f>IF(C456="","",Commercial_Id)</f>
        <v/>
      </c>
      <c r="Q456" s="34">
        <f>IF(AC456="","",IF(AD456=1,"C"&amp;TEXT(SUM(AD$6:AD456),"0000"),INDEX(Q$6:Q455,MATCH(AC456,AC$6:AC455,0))))</f>
        <v/>
      </c>
      <c r="R456" s="34">
        <f>IF(C456="","",IF(L456="☑ Oui","Annulée",IF(OR(E456="Vente directe",K456&lt;&gt;""),"Livrée",IF(J456&lt;&gt;"","Confirmée","En attente"))))</f>
        <v/>
      </c>
      <c r="S456" s="34">
        <f>IF(F456="","",IFERROR(VLOOKUP(F456,T_Produits,2,FALSE),""))</f>
        <v/>
      </c>
      <c r="T456" s="40">
        <f>IF(F456="","",IFERROR(1/(1/VLOOKUP(F456,T_Produits,3,FALSE)),""))</f>
        <v/>
      </c>
      <c r="U456" s="40">
        <f>IF(H456&lt;&gt;"",H456,T456)</f>
        <v/>
      </c>
      <c r="V456" s="40">
        <f>IF(OR(G456="",U456=""),"",G456*U456-N(I456))</f>
        <v/>
      </c>
      <c r="W456" s="39">
        <f>IF(D456="","",IFERROR(VALUE(MID(D456,LEN(D456)-3,3)),""))</f>
        <v/>
      </c>
      <c r="X456" s="33">
        <f>IF(W456="","",P456&amp;"|"&amp;W456)</f>
        <v/>
      </c>
      <c r="Y456" s="33">
        <f>IF(W456="","",IF(P456="À RENSEIGNER","GIC",P456)&amp;"-"&amp;TEXT(W456,"000"))</f>
        <v/>
      </c>
      <c r="Z456" s="33">
        <f>IF(X456="","",IFERROR(INDEX(Cl_nom,MATCH(X456,Cl_cle,0)),"(client introuvable)"))</f>
        <v/>
      </c>
      <c r="AA456" s="33">
        <f>IF(X456="","",IFERROR(INDEX(Cl_quartier,MATCH(X456,Cl_cle,0))&amp;"",""))</f>
        <v/>
      </c>
      <c r="AB456" s="45">
        <f>IF(R456&lt;&gt;"Livrée",0,IF(K456&lt;&gt;"",K456,C456))</f>
        <v/>
      </c>
      <c r="AC456" s="33">
        <f>IF(OR(C456="",W456=""),"",P456&amp;"|"&amp;W456&amp;"|"&amp;C456&amp;"|"&amp;E456)</f>
        <v/>
      </c>
      <c r="AD456" s="39">
        <f>IF(AC456="","",IF(COUNTIF(AC$6:AC456,AC456)=1,1,0))</f>
        <v/>
      </c>
      <c r="AE456" s="39">
        <f>IF(AB456=0,"",IF(COUNTIFS(X$6:X456,X456,AB$6:AB456,AB456)=1,1,0))</f>
        <v/>
      </c>
      <c r="AF456" s="34">
        <f>IF(C456="","",YEAR(C456-WEEKDAY(C456,2)+4)&amp;"-S"&amp;TEXT(INT((C456-DATE(YEAR(C456-WEEKDAY(C456,2)+4),1,3)+WEEKDAY(DATE(YEAR(C456-WEEKDAY(C456,2)+4),1,3),2)+5)/7),"00"))</f>
        <v/>
      </c>
    </row>
    <row r="457" ht="18" customHeight="1">
      <c r="A457" s="39" t="n">
        <v>452</v>
      </c>
      <c r="B457" s="33">
        <f>IF(C457="","",IF(P457="À RENSEIGNER","GIC",P457)&amp;"-C"&amp;TEXT(A457,"00000"))</f>
        <v/>
      </c>
      <c r="C457" s="32" t="n"/>
      <c r="D457" s="36" t="n"/>
      <c r="E457" s="36" t="n"/>
      <c r="F457" s="36" t="n"/>
      <c r="G457" s="42" t="n"/>
      <c r="H457" s="37" t="n"/>
      <c r="I457" s="37" t="n"/>
      <c r="J457" s="32" t="n"/>
      <c r="K457" s="32" t="n"/>
      <c r="L457" s="43" t="n"/>
      <c r="M457" s="36" t="n"/>
      <c r="N457" s="44" t="n"/>
      <c r="O457" s="36" t="n"/>
      <c r="P457" s="33">
        <f>IF(C457="","",Commercial_Id)</f>
        <v/>
      </c>
      <c r="Q457" s="34">
        <f>IF(AC457="","",IF(AD457=1,"C"&amp;TEXT(SUM(AD$6:AD457),"0000"),INDEX(Q$6:Q456,MATCH(AC457,AC$6:AC456,0))))</f>
        <v/>
      </c>
      <c r="R457" s="34">
        <f>IF(C457="","",IF(L457="☑ Oui","Annulée",IF(OR(E457="Vente directe",K457&lt;&gt;""),"Livrée",IF(J457&lt;&gt;"","Confirmée","En attente"))))</f>
        <v/>
      </c>
      <c r="S457" s="34">
        <f>IF(F457="","",IFERROR(VLOOKUP(F457,T_Produits,2,FALSE),""))</f>
        <v/>
      </c>
      <c r="T457" s="40">
        <f>IF(F457="","",IFERROR(1/(1/VLOOKUP(F457,T_Produits,3,FALSE)),""))</f>
        <v/>
      </c>
      <c r="U457" s="40">
        <f>IF(H457&lt;&gt;"",H457,T457)</f>
        <v/>
      </c>
      <c r="V457" s="40">
        <f>IF(OR(G457="",U457=""),"",G457*U457-N(I457))</f>
        <v/>
      </c>
      <c r="W457" s="39">
        <f>IF(D457="","",IFERROR(VALUE(MID(D457,LEN(D457)-3,3)),""))</f>
        <v/>
      </c>
      <c r="X457" s="33">
        <f>IF(W457="","",P457&amp;"|"&amp;W457)</f>
        <v/>
      </c>
      <c r="Y457" s="33">
        <f>IF(W457="","",IF(P457="À RENSEIGNER","GIC",P457)&amp;"-"&amp;TEXT(W457,"000"))</f>
        <v/>
      </c>
      <c r="Z457" s="33">
        <f>IF(X457="","",IFERROR(INDEX(Cl_nom,MATCH(X457,Cl_cle,0)),"(client introuvable)"))</f>
        <v/>
      </c>
      <c r="AA457" s="33">
        <f>IF(X457="","",IFERROR(INDEX(Cl_quartier,MATCH(X457,Cl_cle,0))&amp;"",""))</f>
        <v/>
      </c>
      <c r="AB457" s="45">
        <f>IF(R457&lt;&gt;"Livrée",0,IF(K457&lt;&gt;"",K457,C457))</f>
        <v/>
      </c>
      <c r="AC457" s="33">
        <f>IF(OR(C457="",W457=""),"",P457&amp;"|"&amp;W457&amp;"|"&amp;C457&amp;"|"&amp;E457)</f>
        <v/>
      </c>
      <c r="AD457" s="39">
        <f>IF(AC457="","",IF(COUNTIF(AC$6:AC457,AC457)=1,1,0))</f>
        <v/>
      </c>
      <c r="AE457" s="39">
        <f>IF(AB457=0,"",IF(COUNTIFS(X$6:X457,X457,AB$6:AB457,AB457)=1,1,0))</f>
        <v/>
      </c>
      <c r="AF457" s="34">
        <f>IF(C457="","",YEAR(C457-WEEKDAY(C457,2)+4)&amp;"-S"&amp;TEXT(INT((C457-DATE(YEAR(C457-WEEKDAY(C457,2)+4),1,3)+WEEKDAY(DATE(YEAR(C457-WEEKDAY(C457,2)+4),1,3),2)+5)/7),"00"))</f>
        <v/>
      </c>
    </row>
    <row r="458" ht="18" customHeight="1">
      <c r="A458" s="39" t="n">
        <v>453</v>
      </c>
      <c r="B458" s="33">
        <f>IF(C458="","",IF(P458="À RENSEIGNER","GIC",P458)&amp;"-C"&amp;TEXT(A458,"00000"))</f>
        <v/>
      </c>
      <c r="C458" s="32" t="n"/>
      <c r="D458" s="36" t="n"/>
      <c r="E458" s="36" t="n"/>
      <c r="F458" s="36" t="n"/>
      <c r="G458" s="42" t="n"/>
      <c r="H458" s="37" t="n"/>
      <c r="I458" s="37" t="n"/>
      <c r="J458" s="32" t="n"/>
      <c r="K458" s="32" t="n"/>
      <c r="L458" s="43" t="n"/>
      <c r="M458" s="36" t="n"/>
      <c r="N458" s="44" t="n"/>
      <c r="O458" s="36" t="n"/>
      <c r="P458" s="33">
        <f>IF(C458="","",Commercial_Id)</f>
        <v/>
      </c>
      <c r="Q458" s="34">
        <f>IF(AC458="","",IF(AD458=1,"C"&amp;TEXT(SUM(AD$6:AD458),"0000"),INDEX(Q$6:Q457,MATCH(AC458,AC$6:AC457,0))))</f>
        <v/>
      </c>
      <c r="R458" s="34">
        <f>IF(C458="","",IF(L458="☑ Oui","Annulée",IF(OR(E458="Vente directe",K458&lt;&gt;""),"Livrée",IF(J458&lt;&gt;"","Confirmée","En attente"))))</f>
        <v/>
      </c>
      <c r="S458" s="34">
        <f>IF(F458="","",IFERROR(VLOOKUP(F458,T_Produits,2,FALSE),""))</f>
        <v/>
      </c>
      <c r="T458" s="40">
        <f>IF(F458="","",IFERROR(1/(1/VLOOKUP(F458,T_Produits,3,FALSE)),""))</f>
        <v/>
      </c>
      <c r="U458" s="40">
        <f>IF(H458&lt;&gt;"",H458,T458)</f>
        <v/>
      </c>
      <c r="V458" s="40">
        <f>IF(OR(G458="",U458=""),"",G458*U458-N(I458))</f>
        <v/>
      </c>
      <c r="W458" s="39">
        <f>IF(D458="","",IFERROR(VALUE(MID(D458,LEN(D458)-3,3)),""))</f>
        <v/>
      </c>
      <c r="X458" s="33">
        <f>IF(W458="","",P458&amp;"|"&amp;W458)</f>
        <v/>
      </c>
      <c r="Y458" s="33">
        <f>IF(W458="","",IF(P458="À RENSEIGNER","GIC",P458)&amp;"-"&amp;TEXT(W458,"000"))</f>
        <v/>
      </c>
      <c r="Z458" s="33">
        <f>IF(X458="","",IFERROR(INDEX(Cl_nom,MATCH(X458,Cl_cle,0)),"(client introuvable)"))</f>
        <v/>
      </c>
      <c r="AA458" s="33">
        <f>IF(X458="","",IFERROR(INDEX(Cl_quartier,MATCH(X458,Cl_cle,0))&amp;"",""))</f>
        <v/>
      </c>
      <c r="AB458" s="45">
        <f>IF(R458&lt;&gt;"Livrée",0,IF(K458&lt;&gt;"",K458,C458))</f>
        <v/>
      </c>
      <c r="AC458" s="33">
        <f>IF(OR(C458="",W458=""),"",P458&amp;"|"&amp;W458&amp;"|"&amp;C458&amp;"|"&amp;E458)</f>
        <v/>
      </c>
      <c r="AD458" s="39">
        <f>IF(AC458="","",IF(COUNTIF(AC$6:AC458,AC458)=1,1,0))</f>
        <v/>
      </c>
      <c r="AE458" s="39">
        <f>IF(AB458=0,"",IF(COUNTIFS(X$6:X458,X458,AB$6:AB458,AB458)=1,1,0))</f>
        <v/>
      </c>
      <c r="AF458" s="34">
        <f>IF(C458="","",YEAR(C458-WEEKDAY(C458,2)+4)&amp;"-S"&amp;TEXT(INT((C458-DATE(YEAR(C458-WEEKDAY(C458,2)+4),1,3)+WEEKDAY(DATE(YEAR(C458-WEEKDAY(C458,2)+4),1,3),2)+5)/7),"00"))</f>
        <v/>
      </c>
    </row>
    <row r="459" ht="18" customHeight="1">
      <c r="A459" s="39" t="n">
        <v>454</v>
      </c>
      <c r="B459" s="33">
        <f>IF(C459="","",IF(P459="À RENSEIGNER","GIC",P459)&amp;"-C"&amp;TEXT(A459,"00000"))</f>
        <v/>
      </c>
      <c r="C459" s="32" t="n"/>
      <c r="D459" s="36" t="n"/>
      <c r="E459" s="36" t="n"/>
      <c r="F459" s="36" t="n"/>
      <c r="G459" s="42" t="n"/>
      <c r="H459" s="37" t="n"/>
      <c r="I459" s="37" t="n"/>
      <c r="J459" s="32" t="n"/>
      <c r="K459" s="32" t="n"/>
      <c r="L459" s="43" t="n"/>
      <c r="M459" s="36" t="n"/>
      <c r="N459" s="44" t="n"/>
      <c r="O459" s="36" t="n"/>
      <c r="P459" s="33">
        <f>IF(C459="","",Commercial_Id)</f>
        <v/>
      </c>
      <c r="Q459" s="34">
        <f>IF(AC459="","",IF(AD459=1,"C"&amp;TEXT(SUM(AD$6:AD459),"0000"),INDEX(Q$6:Q458,MATCH(AC459,AC$6:AC458,0))))</f>
        <v/>
      </c>
      <c r="R459" s="34">
        <f>IF(C459="","",IF(L459="☑ Oui","Annulée",IF(OR(E459="Vente directe",K459&lt;&gt;""),"Livrée",IF(J459&lt;&gt;"","Confirmée","En attente"))))</f>
        <v/>
      </c>
      <c r="S459" s="34">
        <f>IF(F459="","",IFERROR(VLOOKUP(F459,T_Produits,2,FALSE),""))</f>
        <v/>
      </c>
      <c r="T459" s="40">
        <f>IF(F459="","",IFERROR(1/(1/VLOOKUP(F459,T_Produits,3,FALSE)),""))</f>
        <v/>
      </c>
      <c r="U459" s="40">
        <f>IF(H459&lt;&gt;"",H459,T459)</f>
        <v/>
      </c>
      <c r="V459" s="40">
        <f>IF(OR(G459="",U459=""),"",G459*U459-N(I459))</f>
        <v/>
      </c>
      <c r="W459" s="39">
        <f>IF(D459="","",IFERROR(VALUE(MID(D459,LEN(D459)-3,3)),""))</f>
        <v/>
      </c>
      <c r="X459" s="33">
        <f>IF(W459="","",P459&amp;"|"&amp;W459)</f>
        <v/>
      </c>
      <c r="Y459" s="33">
        <f>IF(W459="","",IF(P459="À RENSEIGNER","GIC",P459)&amp;"-"&amp;TEXT(W459,"000"))</f>
        <v/>
      </c>
      <c r="Z459" s="33">
        <f>IF(X459="","",IFERROR(INDEX(Cl_nom,MATCH(X459,Cl_cle,0)),"(client introuvable)"))</f>
        <v/>
      </c>
      <c r="AA459" s="33">
        <f>IF(X459="","",IFERROR(INDEX(Cl_quartier,MATCH(X459,Cl_cle,0))&amp;"",""))</f>
        <v/>
      </c>
      <c r="AB459" s="45">
        <f>IF(R459&lt;&gt;"Livrée",0,IF(K459&lt;&gt;"",K459,C459))</f>
        <v/>
      </c>
      <c r="AC459" s="33">
        <f>IF(OR(C459="",W459=""),"",P459&amp;"|"&amp;W459&amp;"|"&amp;C459&amp;"|"&amp;E459)</f>
        <v/>
      </c>
      <c r="AD459" s="39">
        <f>IF(AC459="","",IF(COUNTIF(AC$6:AC459,AC459)=1,1,0))</f>
        <v/>
      </c>
      <c r="AE459" s="39">
        <f>IF(AB459=0,"",IF(COUNTIFS(X$6:X459,X459,AB$6:AB459,AB459)=1,1,0))</f>
        <v/>
      </c>
      <c r="AF459" s="34">
        <f>IF(C459="","",YEAR(C459-WEEKDAY(C459,2)+4)&amp;"-S"&amp;TEXT(INT((C459-DATE(YEAR(C459-WEEKDAY(C459,2)+4),1,3)+WEEKDAY(DATE(YEAR(C459-WEEKDAY(C459,2)+4),1,3),2)+5)/7),"00"))</f>
        <v/>
      </c>
    </row>
    <row r="460" ht="18" customHeight="1">
      <c r="A460" s="39" t="n">
        <v>455</v>
      </c>
      <c r="B460" s="33">
        <f>IF(C460="","",IF(P460="À RENSEIGNER","GIC",P460)&amp;"-C"&amp;TEXT(A460,"00000"))</f>
        <v/>
      </c>
      <c r="C460" s="32" t="n"/>
      <c r="D460" s="36" t="n"/>
      <c r="E460" s="36" t="n"/>
      <c r="F460" s="36" t="n"/>
      <c r="G460" s="42" t="n"/>
      <c r="H460" s="37" t="n"/>
      <c r="I460" s="37" t="n"/>
      <c r="J460" s="32" t="n"/>
      <c r="K460" s="32" t="n"/>
      <c r="L460" s="43" t="n"/>
      <c r="M460" s="36" t="n"/>
      <c r="N460" s="44" t="n"/>
      <c r="O460" s="36" t="n"/>
      <c r="P460" s="33">
        <f>IF(C460="","",Commercial_Id)</f>
        <v/>
      </c>
      <c r="Q460" s="34">
        <f>IF(AC460="","",IF(AD460=1,"C"&amp;TEXT(SUM(AD$6:AD460),"0000"),INDEX(Q$6:Q459,MATCH(AC460,AC$6:AC459,0))))</f>
        <v/>
      </c>
      <c r="R460" s="34">
        <f>IF(C460="","",IF(L460="☑ Oui","Annulée",IF(OR(E460="Vente directe",K460&lt;&gt;""),"Livrée",IF(J460&lt;&gt;"","Confirmée","En attente"))))</f>
        <v/>
      </c>
      <c r="S460" s="34">
        <f>IF(F460="","",IFERROR(VLOOKUP(F460,T_Produits,2,FALSE),""))</f>
        <v/>
      </c>
      <c r="T460" s="40">
        <f>IF(F460="","",IFERROR(1/(1/VLOOKUP(F460,T_Produits,3,FALSE)),""))</f>
        <v/>
      </c>
      <c r="U460" s="40">
        <f>IF(H460&lt;&gt;"",H460,T460)</f>
        <v/>
      </c>
      <c r="V460" s="40">
        <f>IF(OR(G460="",U460=""),"",G460*U460-N(I460))</f>
        <v/>
      </c>
      <c r="W460" s="39">
        <f>IF(D460="","",IFERROR(VALUE(MID(D460,LEN(D460)-3,3)),""))</f>
        <v/>
      </c>
      <c r="X460" s="33">
        <f>IF(W460="","",P460&amp;"|"&amp;W460)</f>
        <v/>
      </c>
      <c r="Y460" s="33">
        <f>IF(W460="","",IF(P460="À RENSEIGNER","GIC",P460)&amp;"-"&amp;TEXT(W460,"000"))</f>
        <v/>
      </c>
      <c r="Z460" s="33">
        <f>IF(X460="","",IFERROR(INDEX(Cl_nom,MATCH(X460,Cl_cle,0)),"(client introuvable)"))</f>
        <v/>
      </c>
      <c r="AA460" s="33">
        <f>IF(X460="","",IFERROR(INDEX(Cl_quartier,MATCH(X460,Cl_cle,0))&amp;"",""))</f>
        <v/>
      </c>
      <c r="AB460" s="45">
        <f>IF(R460&lt;&gt;"Livrée",0,IF(K460&lt;&gt;"",K460,C460))</f>
        <v/>
      </c>
      <c r="AC460" s="33">
        <f>IF(OR(C460="",W460=""),"",P460&amp;"|"&amp;W460&amp;"|"&amp;C460&amp;"|"&amp;E460)</f>
        <v/>
      </c>
      <c r="AD460" s="39">
        <f>IF(AC460="","",IF(COUNTIF(AC$6:AC460,AC460)=1,1,0))</f>
        <v/>
      </c>
      <c r="AE460" s="39">
        <f>IF(AB460=0,"",IF(COUNTIFS(X$6:X460,X460,AB$6:AB460,AB460)=1,1,0))</f>
        <v/>
      </c>
      <c r="AF460" s="34">
        <f>IF(C460="","",YEAR(C460-WEEKDAY(C460,2)+4)&amp;"-S"&amp;TEXT(INT((C460-DATE(YEAR(C460-WEEKDAY(C460,2)+4),1,3)+WEEKDAY(DATE(YEAR(C460-WEEKDAY(C460,2)+4),1,3),2)+5)/7),"00"))</f>
        <v/>
      </c>
    </row>
    <row r="461" ht="18" customHeight="1">
      <c r="A461" s="39" t="n">
        <v>456</v>
      </c>
      <c r="B461" s="33">
        <f>IF(C461="","",IF(P461="À RENSEIGNER","GIC",P461)&amp;"-C"&amp;TEXT(A461,"00000"))</f>
        <v/>
      </c>
      <c r="C461" s="32" t="n"/>
      <c r="D461" s="36" t="n"/>
      <c r="E461" s="36" t="n"/>
      <c r="F461" s="36" t="n"/>
      <c r="G461" s="42" t="n"/>
      <c r="H461" s="37" t="n"/>
      <c r="I461" s="37" t="n"/>
      <c r="J461" s="32" t="n"/>
      <c r="K461" s="32" t="n"/>
      <c r="L461" s="43" t="n"/>
      <c r="M461" s="36" t="n"/>
      <c r="N461" s="44" t="n"/>
      <c r="O461" s="36" t="n"/>
      <c r="P461" s="33">
        <f>IF(C461="","",Commercial_Id)</f>
        <v/>
      </c>
      <c r="Q461" s="34">
        <f>IF(AC461="","",IF(AD461=1,"C"&amp;TEXT(SUM(AD$6:AD461),"0000"),INDEX(Q$6:Q460,MATCH(AC461,AC$6:AC460,0))))</f>
        <v/>
      </c>
      <c r="R461" s="34">
        <f>IF(C461="","",IF(L461="☑ Oui","Annulée",IF(OR(E461="Vente directe",K461&lt;&gt;""),"Livrée",IF(J461&lt;&gt;"","Confirmée","En attente"))))</f>
        <v/>
      </c>
      <c r="S461" s="34">
        <f>IF(F461="","",IFERROR(VLOOKUP(F461,T_Produits,2,FALSE),""))</f>
        <v/>
      </c>
      <c r="T461" s="40">
        <f>IF(F461="","",IFERROR(1/(1/VLOOKUP(F461,T_Produits,3,FALSE)),""))</f>
        <v/>
      </c>
      <c r="U461" s="40">
        <f>IF(H461&lt;&gt;"",H461,T461)</f>
        <v/>
      </c>
      <c r="V461" s="40">
        <f>IF(OR(G461="",U461=""),"",G461*U461-N(I461))</f>
        <v/>
      </c>
      <c r="W461" s="39">
        <f>IF(D461="","",IFERROR(VALUE(MID(D461,LEN(D461)-3,3)),""))</f>
        <v/>
      </c>
      <c r="X461" s="33">
        <f>IF(W461="","",P461&amp;"|"&amp;W461)</f>
        <v/>
      </c>
      <c r="Y461" s="33">
        <f>IF(W461="","",IF(P461="À RENSEIGNER","GIC",P461)&amp;"-"&amp;TEXT(W461,"000"))</f>
        <v/>
      </c>
      <c r="Z461" s="33">
        <f>IF(X461="","",IFERROR(INDEX(Cl_nom,MATCH(X461,Cl_cle,0)),"(client introuvable)"))</f>
        <v/>
      </c>
      <c r="AA461" s="33">
        <f>IF(X461="","",IFERROR(INDEX(Cl_quartier,MATCH(X461,Cl_cle,0))&amp;"",""))</f>
        <v/>
      </c>
      <c r="AB461" s="45">
        <f>IF(R461&lt;&gt;"Livrée",0,IF(K461&lt;&gt;"",K461,C461))</f>
        <v/>
      </c>
      <c r="AC461" s="33">
        <f>IF(OR(C461="",W461=""),"",P461&amp;"|"&amp;W461&amp;"|"&amp;C461&amp;"|"&amp;E461)</f>
        <v/>
      </c>
      <c r="AD461" s="39">
        <f>IF(AC461="","",IF(COUNTIF(AC$6:AC461,AC461)=1,1,0))</f>
        <v/>
      </c>
      <c r="AE461" s="39">
        <f>IF(AB461=0,"",IF(COUNTIFS(X$6:X461,X461,AB$6:AB461,AB461)=1,1,0))</f>
        <v/>
      </c>
      <c r="AF461" s="34">
        <f>IF(C461="","",YEAR(C461-WEEKDAY(C461,2)+4)&amp;"-S"&amp;TEXT(INT((C461-DATE(YEAR(C461-WEEKDAY(C461,2)+4),1,3)+WEEKDAY(DATE(YEAR(C461-WEEKDAY(C461,2)+4),1,3),2)+5)/7),"00"))</f>
        <v/>
      </c>
    </row>
    <row r="462" ht="18" customHeight="1">
      <c r="A462" s="39" t="n">
        <v>457</v>
      </c>
      <c r="B462" s="33">
        <f>IF(C462="","",IF(P462="À RENSEIGNER","GIC",P462)&amp;"-C"&amp;TEXT(A462,"00000"))</f>
        <v/>
      </c>
      <c r="C462" s="32" t="n"/>
      <c r="D462" s="36" t="n"/>
      <c r="E462" s="36" t="n"/>
      <c r="F462" s="36" t="n"/>
      <c r="G462" s="42" t="n"/>
      <c r="H462" s="37" t="n"/>
      <c r="I462" s="37" t="n"/>
      <c r="J462" s="32" t="n"/>
      <c r="K462" s="32" t="n"/>
      <c r="L462" s="43" t="n"/>
      <c r="M462" s="36" t="n"/>
      <c r="N462" s="44" t="n"/>
      <c r="O462" s="36" t="n"/>
      <c r="P462" s="33">
        <f>IF(C462="","",Commercial_Id)</f>
        <v/>
      </c>
      <c r="Q462" s="34">
        <f>IF(AC462="","",IF(AD462=1,"C"&amp;TEXT(SUM(AD$6:AD462),"0000"),INDEX(Q$6:Q461,MATCH(AC462,AC$6:AC461,0))))</f>
        <v/>
      </c>
      <c r="R462" s="34">
        <f>IF(C462="","",IF(L462="☑ Oui","Annulée",IF(OR(E462="Vente directe",K462&lt;&gt;""),"Livrée",IF(J462&lt;&gt;"","Confirmée","En attente"))))</f>
        <v/>
      </c>
      <c r="S462" s="34">
        <f>IF(F462="","",IFERROR(VLOOKUP(F462,T_Produits,2,FALSE),""))</f>
        <v/>
      </c>
      <c r="T462" s="40">
        <f>IF(F462="","",IFERROR(1/(1/VLOOKUP(F462,T_Produits,3,FALSE)),""))</f>
        <v/>
      </c>
      <c r="U462" s="40">
        <f>IF(H462&lt;&gt;"",H462,T462)</f>
        <v/>
      </c>
      <c r="V462" s="40">
        <f>IF(OR(G462="",U462=""),"",G462*U462-N(I462))</f>
        <v/>
      </c>
      <c r="W462" s="39">
        <f>IF(D462="","",IFERROR(VALUE(MID(D462,LEN(D462)-3,3)),""))</f>
        <v/>
      </c>
      <c r="X462" s="33">
        <f>IF(W462="","",P462&amp;"|"&amp;W462)</f>
        <v/>
      </c>
      <c r="Y462" s="33">
        <f>IF(W462="","",IF(P462="À RENSEIGNER","GIC",P462)&amp;"-"&amp;TEXT(W462,"000"))</f>
        <v/>
      </c>
      <c r="Z462" s="33">
        <f>IF(X462="","",IFERROR(INDEX(Cl_nom,MATCH(X462,Cl_cle,0)),"(client introuvable)"))</f>
        <v/>
      </c>
      <c r="AA462" s="33">
        <f>IF(X462="","",IFERROR(INDEX(Cl_quartier,MATCH(X462,Cl_cle,0))&amp;"",""))</f>
        <v/>
      </c>
      <c r="AB462" s="45">
        <f>IF(R462&lt;&gt;"Livrée",0,IF(K462&lt;&gt;"",K462,C462))</f>
        <v/>
      </c>
      <c r="AC462" s="33">
        <f>IF(OR(C462="",W462=""),"",P462&amp;"|"&amp;W462&amp;"|"&amp;C462&amp;"|"&amp;E462)</f>
        <v/>
      </c>
      <c r="AD462" s="39">
        <f>IF(AC462="","",IF(COUNTIF(AC$6:AC462,AC462)=1,1,0))</f>
        <v/>
      </c>
      <c r="AE462" s="39">
        <f>IF(AB462=0,"",IF(COUNTIFS(X$6:X462,X462,AB$6:AB462,AB462)=1,1,0))</f>
        <v/>
      </c>
      <c r="AF462" s="34">
        <f>IF(C462="","",YEAR(C462-WEEKDAY(C462,2)+4)&amp;"-S"&amp;TEXT(INT((C462-DATE(YEAR(C462-WEEKDAY(C462,2)+4),1,3)+WEEKDAY(DATE(YEAR(C462-WEEKDAY(C462,2)+4),1,3),2)+5)/7),"00"))</f>
        <v/>
      </c>
    </row>
    <row r="463" ht="18" customHeight="1">
      <c r="A463" s="39" t="n">
        <v>458</v>
      </c>
      <c r="B463" s="33">
        <f>IF(C463="","",IF(P463="À RENSEIGNER","GIC",P463)&amp;"-C"&amp;TEXT(A463,"00000"))</f>
        <v/>
      </c>
      <c r="C463" s="32" t="n"/>
      <c r="D463" s="36" t="n"/>
      <c r="E463" s="36" t="n"/>
      <c r="F463" s="36" t="n"/>
      <c r="G463" s="42" t="n"/>
      <c r="H463" s="37" t="n"/>
      <c r="I463" s="37" t="n"/>
      <c r="J463" s="32" t="n"/>
      <c r="K463" s="32" t="n"/>
      <c r="L463" s="43" t="n"/>
      <c r="M463" s="36" t="n"/>
      <c r="N463" s="44" t="n"/>
      <c r="O463" s="36" t="n"/>
      <c r="P463" s="33">
        <f>IF(C463="","",Commercial_Id)</f>
        <v/>
      </c>
      <c r="Q463" s="34">
        <f>IF(AC463="","",IF(AD463=1,"C"&amp;TEXT(SUM(AD$6:AD463),"0000"),INDEX(Q$6:Q462,MATCH(AC463,AC$6:AC462,0))))</f>
        <v/>
      </c>
      <c r="R463" s="34">
        <f>IF(C463="","",IF(L463="☑ Oui","Annulée",IF(OR(E463="Vente directe",K463&lt;&gt;""),"Livrée",IF(J463&lt;&gt;"","Confirmée","En attente"))))</f>
        <v/>
      </c>
      <c r="S463" s="34">
        <f>IF(F463="","",IFERROR(VLOOKUP(F463,T_Produits,2,FALSE),""))</f>
        <v/>
      </c>
      <c r="T463" s="40">
        <f>IF(F463="","",IFERROR(1/(1/VLOOKUP(F463,T_Produits,3,FALSE)),""))</f>
        <v/>
      </c>
      <c r="U463" s="40">
        <f>IF(H463&lt;&gt;"",H463,T463)</f>
        <v/>
      </c>
      <c r="V463" s="40">
        <f>IF(OR(G463="",U463=""),"",G463*U463-N(I463))</f>
        <v/>
      </c>
      <c r="W463" s="39">
        <f>IF(D463="","",IFERROR(VALUE(MID(D463,LEN(D463)-3,3)),""))</f>
        <v/>
      </c>
      <c r="X463" s="33">
        <f>IF(W463="","",P463&amp;"|"&amp;W463)</f>
        <v/>
      </c>
      <c r="Y463" s="33">
        <f>IF(W463="","",IF(P463="À RENSEIGNER","GIC",P463)&amp;"-"&amp;TEXT(W463,"000"))</f>
        <v/>
      </c>
      <c r="Z463" s="33">
        <f>IF(X463="","",IFERROR(INDEX(Cl_nom,MATCH(X463,Cl_cle,0)),"(client introuvable)"))</f>
        <v/>
      </c>
      <c r="AA463" s="33">
        <f>IF(X463="","",IFERROR(INDEX(Cl_quartier,MATCH(X463,Cl_cle,0))&amp;"",""))</f>
        <v/>
      </c>
      <c r="AB463" s="45">
        <f>IF(R463&lt;&gt;"Livrée",0,IF(K463&lt;&gt;"",K463,C463))</f>
        <v/>
      </c>
      <c r="AC463" s="33">
        <f>IF(OR(C463="",W463=""),"",P463&amp;"|"&amp;W463&amp;"|"&amp;C463&amp;"|"&amp;E463)</f>
        <v/>
      </c>
      <c r="AD463" s="39">
        <f>IF(AC463="","",IF(COUNTIF(AC$6:AC463,AC463)=1,1,0))</f>
        <v/>
      </c>
      <c r="AE463" s="39">
        <f>IF(AB463=0,"",IF(COUNTIFS(X$6:X463,X463,AB$6:AB463,AB463)=1,1,0))</f>
        <v/>
      </c>
      <c r="AF463" s="34">
        <f>IF(C463="","",YEAR(C463-WEEKDAY(C463,2)+4)&amp;"-S"&amp;TEXT(INT((C463-DATE(YEAR(C463-WEEKDAY(C463,2)+4),1,3)+WEEKDAY(DATE(YEAR(C463-WEEKDAY(C463,2)+4),1,3),2)+5)/7),"00"))</f>
        <v/>
      </c>
    </row>
    <row r="464" ht="18" customHeight="1">
      <c r="A464" s="39" t="n">
        <v>459</v>
      </c>
      <c r="B464" s="33">
        <f>IF(C464="","",IF(P464="À RENSEIGNER","GIC",P464)&amp;"-C"&amp;TEXT(A464,"00000"))</f>
        <v/>
      </c>
      <c r="C464" s="32" t="n"/>
      <c r="D464" s="36" t="n"/>
      <c r="E464" s="36" t="n"/>
      <c r="F464" s="36" t="n"/>
      <c r="G464" s="42" t="n"/>
      <c r="H464" s="37" t="n"/>
      <c r="I464" s="37" t="n"/>
      <c r="J464" s="32" t="n"/>
      <c r="K464" s="32" t="n"/>
      <c r="L464" s="43" t="n"/>
      <c r="M464" s="36" t="n"/>
      <c r="N464" s="44" t="n"/>
      <c r="O464" s="36" t="n"/>
      <c r="P464" s="33">
        <f>IF(C464="","",Commercial_Id)</f>
        <v/>
      </c>
      <c r="Q464" s="34">
        <f>IF(AC464="","",IF(AD464=1,"C"&amp;TEXT(SUM(AD$6:AD464),"0000"),INDEX(Q$6:Q463,MATCH(AC464,AC$6:AC463,0))))</f>
        <v/>
      </c>
      <c r="R464" s="34">
        <f>IF(C464="","",IF(L464="☑ Oui","Annulée",IF(OR(E464="Vente directe",K464&lt;&gt;""),"Livrée",IF(J464&lt;&gt;"","Confirmée","En attente"))))</f>
        <v/>
      </c>
      <c r="S464" s="34">
        <f>IF(F464="","",IFERROR(VLOOKUP(F464,T_Produits,2,FALSE),""))</f>
        <v/>
      </c>
      <c r="T464" s="40">
        <f>IF(F464="","",IFERROR(1/(1/VLOOKUP(F464,T_Produits,3,FALSE)),""))</f>
        <v/>
      </c>
      <c r="U464" s="40">
        <f>IF(H464&lt;&gt;"",H464,T464)</f>
        <v/>
      </c>
      <c r="V464" s="40">
        <f>IF(OR(G464="",U464=""),"",G464*U464-N(I464))</f>
        <v/>
      </c>
      <c r="W464" s="39">
        <f>IF(D464="","",IFERROR(VALUE(MID(D464,LEN(D464)-3,3)),""))</f>
        <v/>
      </c>
      <c r="X464" s="33">
        <f>IF(W464="","",P464&amp;"|"&amp;W464)</f>
        <v/>
      </c>
      <c r="Y464" s="33">
        <f>IF(W464="","",IF(P464="À RENSEIGNER","GIC",P464)&amp;"-"&amp;TEXT(W464,"000"))</f>
        <v/>
      </c>
      <c r="Z464" s="33">
        <f>IF(X464="","",IFERROR(INDEX(Cl_nom,MATCH(X464,Cl_cle,0)),"(client introuvable)"))</f>
        <v/>
      </c>
      <c r="AA464" s="33">
        <f>IF(X464="","",IFERROR(INDEX(Cl_quartier,MATCH(X464,Cl_cle,0))&amp;"",""))</f>
        <v/>
      </c>
      <c r="AB464" s="45">
        <f>IF(R464&lt;&gt;"Livrée",0,IF(K464&lt;&gt;"",K464,C464))</f>
        <v/>
      </c>
      <c r="AC464" s="33">
        <f>IF(OR(C464="",W464=""),"",P464&amp;"|"&amp;W464&amp;"|"&amp;C464&amp;"|"&amp;E464)</f>
        <v/>
      </c>
      <c r="AD464" s="39">
        <f>IF(AC464="","",IF(COUNTIF(AC$6:AC464,AC464)=1,1,0))</f>
        <v/>
      </c>
      <c r="AE464" s="39">
        <f>IF(AB464=0,"",IF(COUNTIFS(X$6:X464,X464,AB$6:AB464,AB464)=1,1,0))</f>
        <v/>
      </c>
      <c r="AF464" s="34">
        <f>IF(C464="","",YEAR(C464-WEEKDAY(C464,2)+4)&amp;"-S"&amp;TEXT(INT((C464-DATE(YEAR(C464-WEEKDAY(C464,2)+4),1,3)+WEEKDAY(DATE(YEAR(C464-WEEKDAY(C464,2)+4),1,3),2)+5)/7),"00"))</f>
        <v/>
      </c>
    </row>
    <row r="465" ht="18" customHeight="1">
      <c r="A465" s="39" t="n">
        <v>460</v>
      </c>
      <c r="B465" s="33">
        <f>IF(C465="","",IF(P465="À RENSEIGNER","GIC",P465)&amp;"-C"&amp;TEXT(A465,"00000"))</f>
        <v/>
      </c>
      <c r="C465" s="32" t="n"/>
      <c r="D465" s="36" t="n"/>
      <c r="E465" s="36" t="n"/>
      <c r="F465" s="36" t="n"/>
      <c r="G465" s="42" t="n"/>
      <c r="H465" s="37" t="n"/>
      <c r="I465" s="37" t="n"/>
      <c r="J465" s="32" t="n"/>
      <c r="K465" s="32" t="n"/>
      <c r="L465" s="43" t="n"/>
      <c r="M465" s="36" t="n"/>
      <c r="N465" s="44" t="n"/>
      <c r="O465" s="36" t="n"/>
      <c r="P465" s="33">
        <f>IF(C465="","",Commercial_Id)</f>
        <v/>
      </c>
      <c r="Q465" s="34">
        <f>IF(AC465="","",IF(AD465=1,"C"&amp;TEXT(SUM(AD$6:AD465),"0000"),INDEX(Q$6:Q464,MATCH(AC465,AC$6:AC464,0))))</f>
        <v/>
      </c>
      <c r="R465" s="34">
        <f>IF(C465="","",IF(L465="☑ Oui","Annulée",IF(OR(E465="Vente directe",K465&lt;&gt;""),"Livrée",IF(J465&lt;&gt;"","Confirmée","En attente"))))</f>
        <v/>
      </c>
      <c r="S465" s="34">
        <f>IF(F465="","",IFERROR(VLOOKUP(F465,T_Produits,2,FALSE),""))</f>
        <v/>
      </c>
      <c r="T465" s="40">
        <f>IF(F465="","",IFERROR(1/(1/VLOOKUP(F465,T_Produits,3,FALSE)),""))</f>
        <v/>
      </c>
      <c r="U465" s="40">
        <f>IF(H465&lt;&gt;"",H465,T465)</f>
        <v/>
      </c>
      <c r="V465" s="40">
        <f>IF(OR(G465="",U465=""),"",G465*U465-N(I465))</f>
        <v/>
      </c>
      <c r="W465" s="39">
        <f>IF(D465="","",IFERROR(VALUE(MID(D465,LEN(D465)-3,3)),""))</f>
        <v/>
      </c>
      <c r="X465" s="33">
        <f>IF(W465="","",P465&amp;"|"&amp;W465)</f>
        <v/>
      </c>
      <c r="Y465" s="33">
        <f>IF(W465="","",IF(P465="À RENSEIGNER","GIC",P465)&amp;"-"&amp;TEXT(W465,"000"))</f>
        <v/>
      </c>
      <c r="Z465" s="33">
        <f>IF(X465="","",IFERROR(INDEX(Cl_nom,MATCH(X465,Cl_cle,0)),"(client introuvable)"))</f>
        <v/>
      </c>
      <c r="AA465" s="33">
        <f>IF(X465="","",IFERROR(INDEX(Cl_quartier,MATCH(X465,Cl_cle,0))&amp;"",""))</f>
        <v/>
      </c>
      <c r="AB465" s="45">
        <f>IF(R465&lt;&gt;"Livrée",0,IF(K465&lt;&gt;"",K465,C465))</f>
        <v/>
      </c>
      <c r="AC465" s="33">
        <f>IF(OR(C465="",W465=""),"",P465&amp;"|"&amp;W465&amp;"|"&amp;C465&amp;"|"&amp;E465)</f>
        <v/>
      </c>
      <c r="AD465" s="39">
        <f>IF(AC465="","",IF(COUNTIF(AC$6:AC465,AC465)=1,1,0))</f>
        <v/>
      </c>
      <c r="AE465" s="39">
        <f>IF(AB465=0,"",IF(COUNTIFS(X$6:X465,X465,AB$6:AB465,AB465)=1,1,0))</f>
        <v/>
      </c>
      <c r="AF465" s="34">
        <f>IF(C465="","",YEAR(C465-WEEKDAY(C465,2)+4)&amp;"-S"&amp;TEXT(INT((C465-DATE(YEAR(C465-WEEKDAY(C465,2)+4),1,3)+WEEKDAY(DATE(YEAR(C465-WEEKDAY(C465,2)+4),1,3),2)+5)/7),"00"))</f>
        <v/>
      </c>
    </row>
    <row r="466" ht="18" customHeight="1">
      <c r="A466" s="39" t="n">
        <v>461</v>
      </c>
      <c r="B466" s="33">
        <f>IF(C466="","",IF(P466="À RENSEIGNER","GIC",P466)&amp;"-C"&amp;TEXT(A466,"00000"))</f>
        <v/>
      </c>
      <c r="C466" s="32" t="n"/>
      <c r="D466" s="36" t="n"/>
      <c r="E466" s="36" t="n"/>
      <c r="F466" s="36" t="n"/>
      <c r="G466" s="42" t="n"/>
      <c r="H466" s="37" t="n"/>
      <c r="I466" s="37" t="n"/>
      <c r="J466" s="32" t="n"/>
      <c r="K466" s="32" t="n"/>
      <c r="L466" s="43" t="n"/>
      <c r="M466" s="36" t="n"/>
      <c r="N466" s="44" t="n"/>
      <c r="O466" s="36" t="n"/>
      <c r="P466" s="33">
        <f>IF(C466="","",Commercial_Id)</f>
        <v/>
      </c>
      <c r="Q466" s="34">
        <f>IF(AC466="","",IF(AD466=1,"C"&amp;TEXT(SUM(AD$6:AD466),"0000"),INDEX(Q$6:Q465,MATCH(AC466,AC$6:AC465,0))))</f>
        <v/>
      </c>
      <c r="R466" s="34">
        <f>IF(C466="","",IF(L466="☑ Oui","Annulée",IF(OR(E466="Vente directe",K466&lt;&gt;""),"Livrée",IF(J466&lt;&gt;"","Confirmée","En attente"))))</f>
        <v/>
      </c>
      <c r="S466" s="34">
        <f>IF(F466="","",IFERROR(VLOOKUP(F466,T_Produits,2,FALSE),""))</f>
        <v/>
      </c>
      <c r="T466" s="40">
        <f>IF(F466="","",IFERROR(1/(1/VLOOKUP(F466,T_Produits,3,FALSE)),""))</f>
        <v/>
      </c>
      <c r="U466" s="40">
        <f>IF(H466&lt;&gt;"",H466,T466)</f>
        <v/>
      </c>
      <c r="V466" s="40">
        <f>IF(OR(G466="",U466=""),"",G466*U466-N(I466))</f>
        <v/>
      </c>
      <c r="W466" s="39">
        <f>IF(D466="","",IFERROR(VALUE(MID(D466,LEN(D466)-3,3)),""))</f>
        <v/>
      </c>
      <c r="X466" s="33">
        <f>IF(W466="","",P466&amp;"|"&amp;W466)</f>
        <v/>
      </c>
      <c r="Y466" s="33">
        <f>IF(W466="","",IF(P466="À RENSEIGNER","GIC",P466)&amp;"-"&amp;TEXT(W466,"000"))</f>
        <v/>
      </c>
      <c r="Z466" s="33">
        <f>IF(X466="","",IFERROR(INDEX(Cl_nom,MATCH(X466,Cl_cle,0)),"(client introuvable)"))</f>
        <v/>
      </c>
      <c r="AA466" s="33">
        <f>IF(X466="","",IFERROR(INDEX(Cl_quartier,MATCH(X466,Cl_cle,0))&amp;"",""))</f>
        <v/>
      </c>
      <c r="AB466" s="45">
        <f>IF(R466&lt;&gt;"Livrée",0,IF(K466&lt;&gt;"",K466,C466))</f>
        <v/>
      </c>
      <c r="AC466" s="33">
        <f>IF(OR(C466="",W466=""),"",P466&amp;"|"&amp;W466&amp;"|"&amp;C466&amp;"|"&amp;E466)</f>
        <v/>
      </c>
      <c r="AD466" s="39">
        <f>IF(AC466="","",IF(COUNTIF(AC$6:AC466,AC466)=1,1,0))</f>
        <v/>
      </c>
      <c r="AE466" s="39">
        <f>IF(AB466=0,"",IF(COUNTIFS(X$6:X466,X466,AB$6:AB466,AB466)=1,1,0))</f>
        <v/>
      </c>
      <c r="AF466" s="34">
        <f>IF(C466="","",YEAR(C466-WEEKDAY(C466,2)+4)&amp;"-S"&amp;TEXT(INT((C466-DATE(YEAR(C466-WEEKDAY(C466,2)+4),1,3)+WEEKDAY(DATE(YEAR(C466-WEEKDAY(C466,2)+4),1,3),2)+5)/7),"00"))</f>
        <v/>
      </c>
    </row>
    <row r="467" ht="18" customHeight="1">
      <c r="A467" s="39" t="n">
        <v>462</v>
      </c>
      <c r="B467" s="33">
        <f>IF(C467="","",IF(P467="À RENSEIGNER","GIC",P467)&amp;"-C"&amp;TEXT(A467,"00000"))</f>
        <v/>
      </c>
      <c r="C467" s="32" t="n"/>
      <c r="D467" s="36" t="n"/>
      <c r="E467" s="36" t="n"/>
      <c r="F467" s="36" t="n"/>
      <c r="G467" s="42" t="n"/>
      <c r="H467" s="37" t="n"/>
      <c r="I467" s="37" t="n"/>
      <c r="J467" s="32" t="n"/>
      <c r="K467" s="32" t="n"/>
      <c r="L467" s="43" t="n"/>
      <c r="M467" s="36" t="n"/>
      <c r="N467" s="44" t="n"/>
      <c r="O467" s="36" t="n"/>
      <c r="P467" s="33">
        <f>IF(C467="","",Commercial_Id)</f>
        <v/>
      </c>
      <c r="Q467" s="34">
        <f>IF(AC467="","",IF(AD467=1,"C"&amp;TEXT(SUM(AD$6:AD467),"0000"),INDEX(Q$6:Q466,MATCH(AC467,AC$6:AC466,0))))</f>
        <v/>
      </c>
      <c r="R467" s="34">
        <f>IF(C467="","",IF(L467="☑ Oui","Annulée",IF(OR(E467="Vente directe",K467&lt;&gt;""),"Livrée",IF(J467&lt;&gt;"","Confirmée","En attente"))))</f>
        <v/>
      </c>
      <c r="S467" s="34">
        <f>IF(F467="","",IFERROR(VLOOKUP(F467,T_Produits,2,FALSE),""))</f>
        <v/>
      </c>
      <c r="T467" s="40">
        <f>IF(F467="","",IFERROR(1/(1/VLOOKUP(F467,T_Produits,3,FALSE)),""))</f>
        <v/>
      </c>
      <c r="U467" s="40">
        <f>IF(H467&lt;&gt;"",H467,T467)</f>
        <v/>
      </c>
      <c r="V467" s="40">
        <f>IF(OR(G467="",U467=""),"",G467*U467-N(I467))</f>
        <v/>
      </c>
      <c r="W467" s="39">
        <f>IF(D467="","",IFERROR(VALUE(MID(D467,LEN(D467)-3,3)),""))</f>
        <v/>
      </c>
      <c r="X467" s="33">
        <f>IF(W467="","",P467&amp;"|"&amp;W467)</f>
        <v/>
      </c>
      <c r="Y467" s="33">
        <f>IF(W467="","",IF(P467="À RENSEIGNER","GIC",P467)&amp;"-"&amp;TEXT(W467,"000"))</f>
        <v/>
      </c>
      <c r="Z467" s="33">
        <f>IF(X467="","",IFERROR(INDEX(Cl_nom,MATCH(X467,Cl_cle,0)),"(client introuvable)"))</f>
        <v/>
      </c>
      <c r="AA467" s="33">
        <f>IF(X467="","",IFERROR(INDEX(Cl_quartier,MATCH(X467,Cl_cle,0))&amp;"",""))</f>
        <v/>
      </c>
      <c r="AB467" s="45">
        <f>IF(R467&lt;&gt;"Livrée",0,IF(K467&lt;&gt;"",K467,C467))</f>
        <v/>
      </c>
      <c r="AC467" s="33">
        <f>IF(OR(C467="",W467=""),"",P467&amp;"|"&amp;W467&amp;"|"&amp;C467&amp;"|"&amp;E467)</f>
        <v/>
      </c>
      <c r="AD467" s="39">
        <f>IF(AC467="","",IF(COUNTIF(AC$6:AC467,AC467)=1,1,0))</f>
        <v/>
      </c>
      <c r="AE467" s="39">
        <f>IF(AB467=0,"",IF(COUNTIFS(X$6:X467,X467,AB$6:AB467,AB467)=1,1,0))</f>
        <v/>
      </c>
      <c r="AF467" s="34">
        <f>IF(C467="","",YEAR(C467-WEEKDAY(C467,2)+4)&amp;"-S"&amp;TEXT(INT((C467-DATE(YEAR(C467-WEEKDAY(C467,2)+4),1,3)+WEEKDAY(DATE(YEAR(C467-WEEKDAY(C467,2)+4),1,3),2)+5)/7),"00"))</f>
        <v/>
      </c>
    </row>
    <row r="468" ht="18" customHeight="1">
      <c r="A468" s="39" t="n">
        <v>463</v>
      </c>
      <c r="B468" s="33">
        <f>IF(C468="","",IF(P468="À RENSEIGNER","GIC",P468)&amp;"-C"&amp;TEXT(A468,"00000"))</f>
        <v/>
      </c>
      <c r="C468" s="32" t="n"/>
      <c r="D468" s="36" t="n"/>
      <c r="E468" s="36" t="n"/>
      <c r="F468" s="36" t="n"/>
      <c r="G468" s="42" t="n"/>
      <c r="H468" s="37" t="n"/>
      <c r="I468" s="37" t="n"/>
      <c r="J468" s="32" t="n"/>
      <c r="K468" s="32" t="n"/>
      <c r="L468" s="43" t="n"/>
      <c r="M468" s="36" t="n"/>
      <c r="N468" s="44" t="n"/>
      <c r="O468" s="36" t="n"/>
      <c r="P468" s="33">
        <f>IF(C468="","",Commercial_Id)</f>
        <v/>
      </c>
      <c r="Q468" s="34">
        <f>IF(AC468="","",IF(AD468=1,"C"&amp;TEXT(SUM(AD$6:AD468),"0000"),INDEX(Q$6:Q467,MATCH(AC468,AC$6:AC467,0))))</f>
        <v/>
      </c>
      <c r="R468" s="34">
        <f>IF(C468="","",IF(L468="☑ Oui","Annulée",IF(OR(E468="Vente directe",K468&lt;&gt;""),"Livrée",IF(J468&lt;&gt;"","Confirmée","En attente"))))</f>
        <v/>
      </c>
      <c r="S468" s="34">
        <f>IF(F468="","",IFERROR(VLOOKUP(F468,T_Produits,2,FALSE),""))</f>
        <v/>
      </c>
      <c r="T468" s="40">
        <f>IF(F468="","",IFERROR(1/(1/VLOOKUP(F468,T_Produits,3,FALSE)),""))</f>
        <v/>
      </c>
      <c r="U468" s="40">
        <f>IF(H468&lt;&gt;"",H468,T468)</f>
        <v/>
      </c>
      <c r="V468" s="40">
        <f>IF(OR(G468="",U468=""),"",G468*U468-N(I468))</f>
        <v/>
      </c>
      <c r="W468" s="39">
        <f>IF(D468="","",IFERROR(VALUE(MID(D468,LEN(D468)-3,3)),""))</f>
        <v/>
      </c>
      <c r="X468" s="33">
        <f>IF(W468="","",P468&amp;"|"&amp;W468)</f>
        <v/>
      </c>
      <c r="Y468" s="33">
        <f>IF(W468="","",IF(P468="À RENSEIGNER","GIC",P468)&amp;"-"&amp;TEXT(W468,"000"))</f>
        <v/>
      </c>
      <c r="Z468" s="33">
        <f>IF(X468="","",IFERROR(INDEX(Cl_nom,MATCH(X468,Cl_cle,0)),"(client introuvable)"))</f>
        <v/>
      </c>
      <c r="AA468" s="33">
        <f>IF(X468="","",IFERROR(INDEX(Cl_quartier,MATCH(X468,Cl_cle,0))&amp;"",""))</f>
        <v/>
      </c>
      <c r="AB468" s="45">
        <f>IF(R468&lt;&gt;"Livrée",0,IF(K468&lt;&gt;"",K468,C468))</f>
        <v/>
      </c>
      <c r="AC468" s="33">
        <f>IF(OR(C468="",W468=""),"",P468&amp;"|"&amp;W468&amp;"|"&amp;C468&amp;"|"&amp;E468)</f>
        <v/>
      </c>
      <c r="AD468" s="39">
        <f>IF(AC468="","",IF(COUNTIF(AC$6:AC468,AC468)=1,1,0))</f>
        <v/>
      </c>
      <c r="AE468" s="39">
        <f>IF(AB468=0,"",IF(COUNTIFS(X$6:X468,X468,AB$6:AB468,AB468)=1,1,0))</f>
        <v/>
      </c>
      <c r="AF468" s="34">
        <f>IF(C468="","",YEAR(C468-WEEKDAY(C468,2)+4)&amp;"-S"&amp;TEXT(INT((C468-DATE(YEAR(C468-WEEKDAY(C468,2)+4),1,3)+WEEKDAY(DATE(YEAR(C468-WEEKDAY(C468,2)+4),1,3),2)+5)/7),"00"))</f>
        <v/>
      </c>
    </row>
    <row r="469" ht="18" customHeight="1">
      <c r="A469" s="39" t="n">
        <v>464</v>
      </c>
      <c r="B469" s="33">
        <f>IF(C469="","",IF(P469="À RENSEIGNER","GIC",P469)&amp;"-C"&amp;TEXT(A469,"00000"))</f>
        <v/>
      </c>
      <c r="C469" s="32" t="n"/>
      <c r="D469" s="36" t="n"/>
      <c r="E469" s="36" t="n"/>
      <c r="F469" s="36" t="n"/>
      <c r="G469" s="42" t="n"/>
      <c r="H469" s="37" t="n"/>
      <c r="I469" s="37" t="n"/>
      <c r="J469" s="32" t="n"/>
      <c r="K469" s="32" t="n"/>
      <c r="L469" s="43" t="n"/>
      <c r="M469" s="36" t="n"/>
      <c r="N469" s="44" t="n"/>
      <c r="O469" s="36" t="n"/>
      <c r="P469" s="33">
        <f>IF(C469="","",Commercial_Id)</f>
        <v/>
      </c>
      <c r="Q469" s="34">
        <f>IF(AC469="","",IF(AD469=1,"C"&amp;TEXT(SUM(AD$6:AD469),"0000"),INDEX(Q$6:Q468,MATCH(AC469,AC$6:AC468,0))))</f>
        <v/>
      </c>
      <c r="R469" s="34">
        <f>IF(C469="","",IF(L469="☑ Oui","Annulée",IF(OR(E469="Vente directe",K469&lt;&gt;""),"Livrée",IF(J469&lt;&gt;"","Confirmée","En attente"))))</f>
        <v/>
      </c>
      <c r="S469" s="34">
        <f>IF(F469="","",IFERROR(VLOOKUP(F469,T_Produits,2,FALSE),""))</f>
        <v/>
      </c>
      <c r="T469" s="40">
        <f>IF(F469="","",IFERROR(1/(1/VLOOKUP(F469,T_Produits,3,FALSE)),""))</f>
        <v/>
      </c>
      <c r="U469" s="40">
        <f>IF(H469&lt;&gt;"",H469,T469)</f>
        <v/>
      </c>
      <c r="V469" s="40">
        <f>IF(OR(G469="",U469=""),"",G469*U469-N(I469))</f>
        <v/>
      </c>
      <c r="W469" s="39">
        <f>IF(D469="","",IFERROR(VALUE(MID(D469,LEN(D469)-3,3)),""))</f>
        <v/>
      </c>
      <c r="X469" s="33">
        <f>IF(W469="","",P469&amp;"|"&amp;W469)</f>
        <v/>
      </c>
      <c r="Y469" s="33">
        <f>IF(W469="","",IF(P469="À RENSEIGNER","GIC",P469)&amp;"-"&amp;TEXT(W469,"000"))</f>
        <v/>
      </c>
      <c r="Z469" s="33">
        <f>IF(X469="","",IFERROR(INDEX(Cl_nom,MATCH(X469,Cl_cle,0)),"(client introuvable)"))</f>
        <v/>
      </c>
      <c r="AA469" s="33">
        <f>IF(X469="","",IFERROR(INDEX(Cl_quartier,MATCH(X469,Cl_cle,0))&amp;"",""))</f>
        <v/>
      </c>
      <c r="AB469" s="45">
        <f>IF(R469&lt;&gt;"Livrée",0,IF(K469&lt;&gt;"",K469,C469))</f>
        <v/>
      </c>
      <c r="AC469" s="33">
        <f>IF(OR(C469="",W469=""),"",P469&amp;"|"&amp;W469&amp;"|"&amp;C469&amp;"|"&amp;E469)</f>
        <v/>
      </c>
      <c r="AD469" s="39">
        <f>IF(AC469="","",IF(COUNTIF(AC$6:AC469,AC469)=1,1,0))</f>
        <v/>
      </c>
      <c r="AE469" s="39">
        <f>IF(AB469=0,"",IF(COUNTIFS(X$6:X469,X469,AB$6:AB469,AB469)=1,1,0))</f>
        <v/>
      </c>
      <c r="AF469" s="34">
        <f>IF(C469="","",YEAR(C469-WEEKDAY(C469,2)+4)&amp;"-S"&amp;TEXT(INT((C469-DATE(YEAR(C469-WEEKDAY(C469,2)+4),1,3)+WEEKDAY(DATE(YEAR(C469-WEEKDAY(C469,2)+4),1,3),2)+5)/7),"00"))</f>
        <v/>
      </c>
    </row>
    <row r="470" ht="18" customHeight="1">
      <c r="A470" s="39" t="n">
        <v>465</v>
      </c>
      <c r="B470" s="33">
        <f>IF(C470="","",IF(P470="À RENSEIGNER","GIC",P470)&amp;"-C"&amp;TEXT(A470,"00000"))</f>
        <v/>
      </c>
      <c r="C470" s="32" t="n"/>
      <c r="D470" s="36" t="n"/>
      <c r="E470" s="36" t="n"/>
      <c r="F470" s="36" t="n"/>
      <c r="G470" s="42" t="n"/>
      <c r="H470" s="37" t="n"/>
      <c r="I470" s="37" t="n"/>
      <c r="J470" s="32" t="n"/>
      <c r="K470" s="32" t="n"/>
      <c r="L470" s="43" t="n"/>
      <c r="M470" s="36" t="n"/>
      <c r="N470" s="44" t="n"/>
      <c r="O470" s="36" t="n"/>
      <c r="P470" s="33">
        <f>IF(C470="","",Commercial_Id)</f>
        <v/>
      </c>
      <c r="Q470" s="34">
        <f>IF(AC470="","",IF(AD470=1,"C"&amp;TEXT(SUM(AD$6:AD470),"0000"),INDEX(Q$6:Q469,MATCH(AC470,AC$6:AC469,0))))</f>
        <v/>
      </c>
      <c r="R470" s="34">
        <f>IF(C470="","",IF(L470="☑ Oui","Annulée",IF(OR(E470="Vente directe",K470&lt;&gt;""),"Livrée",IF(J470&lt;&gt;"","Confirmée","En attente"))))</f>
        <v/>
      </c>
      <c r="S470" s="34">
        <f>IF(F470="","",IFERROR(VLOOKUP(F470,T_Produits,2,FALSE),""))</f>
        <v/>
      </c>
      <c r="T470" s="40">
        <f>IF(F470="","",IFERROR(1/(1/VLOOKUP(F470,T_Produits,3,FALSE)),""))</f>
        <v/>
      </c>
      <c r="U470" s="40">
        <f>IF(H470&lt;&gt;"",H470,T470)</f>
        <v/>
      </c>
      <c r="V470" s="40">
        <f>IF(OR(G470="",U470=""),"",G470*U470-N(I470))</f>
        <v/>
      </c>
      <c r="W470" s="39">
        <f>IF(D470="","",IFERROR(VALUE(MID(D470,LEN(D470)-3,3)),""))</f>
        <v/>
      </c>
      <c r="X470" s="33">
        <f>IF(W470="","",P470&amp;"|"&amp;W470)</f>
        <v/>
      </c>
      <c r="Y470" s="33">
        <f>IF(W470="","",IF(P470="À RENSEIGNER","GIC",P470)&amp;"-"&amp;TEXT(W470,"000"))</f>
        <v/>
      </c>
      <c r="Z470" s="33">
        <f>IF(X470="","",IFERROR(INDEX(Cl_nom,MATCH(X470,Cl_cle,0)),"(client introuvable)"))</f>
        <v/>
      </c>
      <c r="AA470" s="33">
        <f>IF(X470="","",IFERROR(INDEX(Cl_quartier,MATCH(X470,Cl_cle,0))&amp;"",""))</f>
        <v/>
      </c>
      <c r="AB470" s="45">
        <f>IF(R470&lt;&gt;"Livrée",0,IF(K470&lt;&gt;"",K470,C470))</f>
        <v/>
      </c>
      <c r="AC470" s="33">
        <f>IF(OR(C470="",W470=""),"",P470&amp;"|"&amp;W470&amp;"|"&amp;C470&amp;"|"&amp;E470)</f>
        <v/>
      </c>
      <c r="AD470" s="39">
        <f>IF(AC470="","",IF(COUNTIF(AC$6:AC470,AC470)=1,1,0))</f>
        <v/>
      </c>
      <c r="AE470" s="39">
        <f>IF(AB470=0,"",IF(COUNTIFS(X$6:X470,X470,AB$6:AB470,AB470)=1,1,0))</f>
        <v/>
      </c>
      <c r="AF470" s="34">
        <f>IF(C470="","",YEAR(C470-WEEKDAY(C470,2)+4)&amp;"-S"&amp;TEXT(INT((C470-DATE(YEAR(C470-WEEKDAY(C470,2)+4),1,3)+WEEKDAY(DATE(YEAR(C470-WEEKDAY(C470,2)+4),1,3),2)+5)/7),"00"))</f>
        <v/>
      </c>
    </row>
    <row r="471" ht="18" customHeight="1">
      <c r="A471" s="39" t="n">
        <v>466</v>
      </c>
      <c r="B471" s="33">
        <f>IF(C471="","",IF(P471="À RENSEIGNER","GIC",P471)&amp;"-C"&amp;TEXT(A471,"00000"))</f>
        <v/>
      </c>
      <c r="C471" s="32" t="n"/>
      <c r="D471" s="36" t="n"/>
      <c r="E471" s="36" t="n"/>
      <c r="F471" s="36" t="n"/>
      <c r="G471" s="42" t="n"/>
      <c r="H471" s="37" t="n"/>
      <c r="I471" s="37" t="n"/>
      <c r="J471" s="32" t="n"/>
      <c r="K471" s="32" t="n"/>
      <c r="L471" s="43" t="n"/>
      <c r="M471" s="36" t="n"/>
      <c r="N471" s="44" t="n"/>
      <c r="O471" s="36" t="n"/>
      <c r="P471" s="33">
        <f>IF(C471="","",Commercial_Id)</f>
        <v/>
      </c>
      <c r="Q471" s="34">
        <f>IF(AC471="","",IF(AD471=1,"C"&amp;TEXT(SUM(AD$6:AD471),"0000"),INDEX(Q$6:Q470,MATCH(AC471,AC$6:AC470,0))))</f>
        <v/>
      </c>
      <c r="R471" s="34">
        <f>IF(C471="","",IF(L471="☑ Oui","Annulée",IF(OR(E471="Vente directe",K471&lt;&gt;""),"Livrée",IF(J471&lt;&gt;"","Confirmée","En attente"))))</f>
        <v/>
      </c>
      <c r="S471" s="34">
        <f>IF(F471="","",IFERROR(VLOOKUP(F471,T_Produits,2,FALSE),""))</f>
        <v/>
      </c>
      <c r="T471" s="40">
        <f>IF(F471="","",IFERROR(1/(1/VLOOKUP(F471,T_Produits,3,FALSE)),""))</f>
        <v/>
      </c>
      <c r="U471" s="40">
        <f>IF(H471&lt;&gt;"",H471,T471)</f>
        <v/>
      </c>
      <c r="V471" s="40">
        <f>IF(OR(G471="",U471=""),"",G471*U471-N(I471))</f>
        <v/>
      </c>
      <c r="W471" s="39">
        <f>IF(D471="","",IFERROR(VALUE(MID(D471,LEN(D471)-3,3)),""))</f>
        <v/>
      </c>
      <c r="X471" s="33">
        <f>IF(W471="","",P471&amp;"|"&amp;W471)</f>
        <v/>
      </c>
      <c r="Y471" s="33">
        <f>IF(W471="","",IF(P471="À RENSEIGNER","GIC",P471)&amp;"-"&amp;TEXT(W471,"000"))</f>
        <v/>
      </c>
      <c r="Z471" s="33">
        <f>IF(X471="","",IFERROR(INDEX(Cl_nom,MATCH(X471,Cl_cle,0)),"(client introuvable)"))</f>
        <v/>
      </c>
      <c r="AA471" s="33">
        <f>IF(X471="","",IFERROR(INDEX(Cl_quartier,MATCH(X471,Cl_cle,0))&amp;"",""))</f>
        <v/>
      </c>
      <c r="AB471" s="45">
        <f>IF(R471&lt;&gt;"Livrée",0,IF(K471&lt;&gt;"",K471,C471))</f>
        <v/>
      </c>
      <c r="AC471" s="33">
        <f>IF(OR(C471="",W471=""),"",P471&amp;"|"&amp;W471&amp;"|"&amp;C471&amp;"|"&amp;E471)</f>
        <v/>
      </c>
      <c r="AD471" s="39">
        <f>IF(AC471="","",IF(COUNTIF(AC$6:AC471,AC471)=1,1,0))</f>
        <v/>
      </c>
      <c r="AE471" s="39">
        <f>IF(AB471=0,"",IF(COUNTIFS(X$6:X471,X471,AB$6:AB471,AB471)=1,1,0))</f>
        <v/>
      </c>
      <c r="AF471" s="34">
        <f>IF(C471="","",YEAR(C471-WEEKDAY(C471,2)+4)&amp;"-S"&amp;TEXT(INT((C471-DATE(YEAR(C471-WEEKDAY(C471,2)+4),1,3)+WEEKDAY(DATE(YEAR(C471-WEEKDAY(C471,2)+4),1,3),2)+5)/7),"00"))</f>
        <v/>
      </c>
    </row>
    <row r="472" ht="18" customHeight="1">
      <c r="A472" s="39" t="n">
        <v>467</v>
      </c>
      <c r="B472" s="33">
        <f>IF(C472="","",IF(P472="À RENSEIGNER","GIC",P472)&amp;"-C"&amp;TEXT(A472,"00000"))</f>
        <v/>
      </c>
      <c r="C472" s="32" t="n"/>
      <c r="D472" s="36" t="n"/>
      <c r="E472" s="36" t="n"/>
      <c r="F472" s="36" t="n"/>
      <c r="G472" s="42" t="n"/>
      <c r="H472" s="37" t="n"/>
      <c r="I472" s="37" t="n"/>
      <c r="J472" s="32" t="n"/>
      <c r="K472" s="32" t="n"/>
      <c r="L472" s="43" t="n"/>
      <c r="M472" s="36" t="n"/>
      <c r="N472" s="44" t="n"/>
      <c r="O472" s="36" t="n"/>
      <c r="P472" s="33">
        <f>IF(C472="","",Commercial_Id)</f>
        <v/>
      </c>
      <c r="Q472" s="34">
        <f>IF(AC472="","",IF(AD472=1,"C"&amp;TEXT(SUM(AD$6:AD472),"0000"),INDEX(Q$6:Q471,MATCH(AC472,AC$6:AC471,0))))</f>
        <v/>
      </c>
      <c r="R472" s="34">
        <f>IF(C472="","",IF(L472="☑ Oui","Annulée",IF(OR(E472="Vente directe",K472&lt;&gt;""),"Livrée",IF(J472&lt;&gt;"","Confirmée","En attente"))))</f>
        <v/>
      </c>
      <c r="S472" s="34">
        <f>IF(F472="","",IFERROR(VLOOKUP(F472,T_Produits,2,FALSE),""))</f>
        <v/>
      </c>
      <c r="T472" s="40">
        <f>IF(F472="","",IFERROR(1/(1/VLOOKUP(F472,T_Produits,3,FALSE)),""))</f>
        <v/>
      </c>
      <c r="U472" s="40">
        <f>IF(H472&lt;&gt;"",H472,T472)</f>
        <v/>
      </c>
      <c r="V472" s="40">
        <f>IF(OR(G472="",U472=""),"",G472*U472-N(I472))</f>
        <v/>
      </c>
      <c r="W472" s="39">
        <f>IF(D472="","",IFERROR(VALUE(MID(D472,LEN(D472)-3,3)),""))</f>
        <v/>
      </c>
      <c r="X472" s="33">
        <f>IF(W472="","",P472&amp;"|"&amp;W472)</f>
        <v/>
      </c>
      <c r="Y472" s="33">
        <f>IF(W472="","",IF(P472="À RENSEIGNER","GIC",P472)&amp;"-"&amp;TEXT(W472,"000"))</f>
        <v/>
      </c>
      <c r="Z472" s="33">
        <f>IF(X472="","",IFERROR(INDEX(Cl_nom,MATCH(X472,Cl_cle,0)),"(client introuvable)"))</f>
        <v/>
      </c>
      <c r="AA472" s="33">
        <f>IF(X472="","",IFERROR(INDEX(Cl_quartier,MATCH(X472,Cl_cle,0))&amp;"",""))</f>
        <v/>
      </c>
      <c r="AB472" s="45">
        <f>IF(R472&lt;&gt;"Livrée",0,IF(K472&lt;&gt;"",K472,C472))</f>
        <v/>
      </c>
      <c r="AC472" s="33">
        <f>IF(OR(C472="",W472=""),"",P472&amp;"|"&amp;W472&amp;"|"&amp;C472&amp;"|"&amp;E472)</f>
        <v/>
      </c>
      <c r="AD472" s="39">
        <f>IF(AC472="","",IF(COUNTIF(AC$6:AC472,AC472)=1,1,0))</f>
        <v/>
      </c>
      <c r="AE472" s="39">
        <f>IF(AB472=0,"",IF(COUNTIFS(X$6:X472,X472,AB$6:AB472,AB472)=1,1,0))</f>
        <v/>
      </c>
      <c r="AF472" s="34">
        <f>IF(C472="","",YEAR(C472-WEEKDAY(C472,2)+4)&amp;"-S"&amp;TEXT(INT((C472-DATE(YEAR(C472-WEEKDAY(C472,2)+4),1,3)+WEEKDAY(DATE(YEAR(C472-WEEKDAY(C472,2)+4),1,3),2)+5)/7),"00"))</f>
        <v/>
      </c>
    </row>
    <row r="473" ht="18" customHeight="1">
      <c r="A473" s="39" t="n">
        <v>468</v>
      </c>
      <c r="B473" s="33">
        <f>IF(C473="","",IF(P473="À RENSEIGNER","GIC",P473)&amp;"-C"&amp;TEXT(A473,"00000"))</f>
        <v/>
      </c>
      <c r="C473" s="32" t="n"/>
      <c r="D473" s="36" t="n"/>
      <c r="E473" s="36" t="n"/>
      <c r="F473" s="36" t="n"/>
      <c r="G473" s="42" t="n"/>
      <c r="H473" s="37" t="n"/>
      <c r="I473" s="37" t="n"/>
      <c r="J473" s="32" t="n"/>
      <c r="K473" s="32" t="n"/>
      <c r="L473" s="43" t="n"/>
      <c r="M473" s="36" t="n"/>
      <c r="N473" s="44" t="n"/>
      <c r="O473" s="36" t="n"/>
      <c r="P473" s="33">
        <f>IF(C473="","",Commercial_Id)</f>
        <v/>
      </c>
      <c r="Q473" s="34">
        <f>IF(AC473="","",IF(AD473=1,"C"&amp;TEXT(SUM(AD$6:AD473),"0000"),INDEX(Q$6:Q472,MATCH(AC473,AC$6:AC472,0))))</f>
        <v/>
      </c>
      <c r="R473" s="34">
        <f>IF(C473="","",IF(L473="☑ Oui","Annulée",IF(OR(E473="Vente directe",K473&lt;&gt;""),"Livrée",IF(J473&lt;&gt;"","Confirmée","En attente"))))</f>
        <v/>
      </c>
      <c r="S473" s="34">
        <f>IF(F473="","",IFERROR(VLOOKUP(F473,T_Produits,2,FALSE),""))</f>
        <v/>
      </c>
      <c r="T473" s="40">
        <f>IF(F473="","",IFERROR(1/(1/VLOOKUP(F473,T_Produits,3,FALSE)),""))</f>
        <v/>
      </c>
      <c r="U473" s="40">
        <f>IF(H473&lt;&gt;"",H473,T473)</f>
        <v/>
      </c>
      <c r="V473" s="40">
        <f>IF(OR(G473="",U473=""),"",G473*U473-N(I473))</f>
        <v/>
      </c>
      <c r="W473" s="39">
        <f>IF(D473="","",IFERROR(VALUE(MID(D473,LEN(D473)-3,3)),""))</f>
        <v/>
      </c>
      <c r="X473" s="33">
        <f>IF(W473="","",P473&amp;"|"&amp;W473)</f>
        <v/>
      </c>
      <c r="Y473" s="33">
        <f>IF(W473="","",IF(P473="À RENSEIGNER","GIC",P473)&amp;"-"&amp;TEXT(W473,"000"))</f>
        <v/>
      </c>
      <c r="Z473" s="33">
        <f>IF(X473="","",IFERROR(INDEX(Cl_nom,MATCH(X473,Cl_cle,0)),"(client introuvable)"))</f>
        <v/>
      </c>
      <c r="AA473" s="33">
        <f>IF(X473="","",IFERROR(INDEX(Cl_quartier,MATCH(X473,Cl_cle,0))&amp;"",""))</f>
        <v/>
      </c>
      <c r="AB473" s="45">
        <f>IF(R473&lt;&gt;"Livrée",0,IF(K473&lt;&gt;"",K473,C473))</f>
        <v/>
      </c>
      <c r="AC473" s="33">
        <f>IF(OR(C473="",W473=""),"",P473&amp;"|"&amp;W473&amp;"|"&amp;C473&amp;"|"&amp;E473)</f>
        <v/>
      </c>
      <c r="AD473" s="39">
        <f>IF(AC473="","",IF(COUNTIF(AC$6:AC473,AC473)=1,1,0))</f>
        <v/>
      </c>
      <c r="AE473" s="39">
        <f>IF(AB473=0,"",IF(COUNTIFS(X$6:X473,X473,AB$6:AB473,AB473)=1,1,0))</f>
        <v/>
      </c>
      <c r="AF473" s="34">
        <f>IF(C473="","",YEAR(C473-WEEKDAY(C473,2)+4)&amp;"-S"&amp;TEXT(INT((C473-DATE(YEAR(C473-WEEKDAY(C473,2)+4),1,3)+WEEKDAY(DATE(YEAR(C473-WEEKDAY(C473,2)+4),1,3),2)+5)/7),"00"))</f>
        <v/>
      </c>
    </row>
    <row r="474" ht="18" customHeight="1">
      <c r="A474" s="39" t="n">
        <v>469</v>
      </c>
      <c r="B474" s="33">
        <f>IF(C474="","",IF(P474="À RENSEIGNER","GIC",P474)&amp;"-C"&amp;TEXT(A474,"00000"))</f>
        <v/>
      </c>
      <c r="C474" s="32" t="n"/>
      <c r="D474" s="36" t="n"/>
      <c r="E474" s="36" t="n"/>
      <c r="F474" s="36" t="n"/>
      <c r="G474" s="42" t="n"/>
      <c r="H474" s="37" t="n"/>
      <c r="I474" s="37" t="n"/>
      <c r="J474" s="32" t="n"/>
      <c r="K474" s="32" t="n"/>
      <c r="L474" s="43" t="n"/>
      <c r="M474" s="36" t="n"/>
      <c r="N474" s="44" t="n"/>
      <c r="O474" s="36" t="n"/>
      <c r="P474" s="33">
        <f>IF(C474="","",Commercial_Id)</f>
        <v/>
      </c>
      <c r="Q474" s="34">
        <f>IF(AC474="","",IF(AD474=1,"C"&amp;TEXT(SUM(AD$6:AD474),"0000"),INDEX(Q$6:Q473,MATCH(AC474,AC$6:AC473,0))))</f>
        <v/>
      </c>
      <c r="R474" s="34">
        <f>IF(C474="","",IF(L474="☑ Oui","Annulée",IF(OR(E474="Vente directe",K474&lt;&gt;""),"Livrée",IF(J474&lt;&gt;"","Confirmée","En attente"))))</f>
        <v/>
      </c>
      <c r="S474" s="34">
        <f>IF(F474="","",IFERROR(VLOOKUP(F474,T_Produits,2,FALSE),""))</f>
        <v/>
      </c>
      <c r="T474" s="40">
        <f>IF(F474="","",IFERROR(1/(1/VLOOKUP(F474,T_Produits,3,FALSE)),""))</f>
        <v/>
      </c>
      <c r="U474" s="40">
        <f>IF(H474&lt;&gt;"",H474,T474)</f>
        <v/>
      </c>
      <c r="V474" s="40">
        <f>IF(OR(G474="",U474=""),"",G474*U474-N(I474))</f>
        <v/>
      </c>
      <c r="W474" s="39">
        <f>IF(D474="","",IFERROR(VALUE(MID(D474,LEN(D474)-3,3)),""))</f>
        <v/>
      </c>
      <c r="X474" s="33">
        <f>IF(W474="","",P474&amp;"|"&amp;W474)</f>
        <v/>
      </c>
      <c r="Y474" s="33">
        <f>IF(W474="","",IF(P474="À RENSEIGNER","GIC",P474)&amp;"-"&amp;TEXT(W474,"000"))</f>
        <v/>
      </c>
      <c r="Z474" s="33">
        <f>IF(X474="","",IFERROR(INDEX(Cl_nom,MATCH(X474,Cl_cle,0)),"(client introuvable)"))</f>
        <v/>
      </c>
      <c r="AA474" s="33">
        <f>IF(X474="","",IFERROR(INDEX(Cl_quartier,MATCH(X474,Cl_cle,0))&amp;"",""))</f>
        <v/>
      </c>
      <c r="AB474" s="45">
        <f>IF(R474&lt;&gt;"Livrée",0,IF(K474&lt;&gt;"",K474,C474))</f>
        <v/>
      </c>
      <c r="AC474" s="33">
        <f>IF(OR(C474="",W474=""),"",P474&amp;"|"&amp;W474&amp;"|"&amp;C474&amp;"|"&amp;E474)</f>
        <v/>
      </c>
      <c r="AD474" s="39">
        <f>IF(AC474="","",IF(COUNTIF(AC$6:AC474,AC474)=1,1,0))</f>
        <v/>
      </c>
      <c r="AE474" s="39">
        <f>IF(AB474=0,"",IF(COUNTIFS(X$6:X474,X474,AB$6:AB474,AB474)=1,1,0))</f>
        <v/>
      </c>
      <c r="AF474" s="34">
        <f>IF(C474="","",YEAR(C474-WEEKDAY(C474,2)+4)&amp;"-S"&amp;TEXT(INT((C474-DATE(YEAR(C474-WEEKDAY(C474,2)+4),1,3)+WEEKDAY(DATE(YEAR(C474-WEEKDAY(C474,2)+4),1,3),2)+5)/7),"00"))</f>
        <v/>
      </c>
    </row>
    <row r="475" ht="18" customHeight="1">
      <c r="A475" s="39" t="n">
        <v>470</v>
      </c>
      <c r="B475" s="33">
        <f>IF(C475="","",IF(P475="À RENSEIGNER","GIC",P475)&amp;"-C"&amp;TEXT(A475,"00000"))</f>
        <v/>
      </c>
      <c r="C475" s="32" t="n"/>
      <c r="D475" s="36" t="n"/>
      <c r="E475" s="36" t="n"/>
      <c r="F475" s="36" t="n"/>
      <c r="G475" s="42" t="n"/>
      <c r="H475" s="37" t="n"/>
      <c r="I475" s="37" t="n"/>
      <c r="J475" s="32" t="n"/>
      <c r="K475" s="32" t="n"/>
      <c r="L475" s="43" t="n"/>
      <c r="M475" s="36" t="n"/>
      <c r="N475" s="44" t="n"/>
      <c r="O475" s="36" t="n"/>
      <c r="P475" s="33">
        <f>IF(C475="","",Commercial_Id)</f>
        <v/>
      </c>
      <c r="Q475" s="34">
        <f>IF(AC475="","",IF(AD475=1,"C"&amp;TEXT(SUM(AD$6:AD475),"0000"),INDEX(Q$6:Q474,MATCH(AC475,AC$6:AC474,0))))</f>
        <v/>
      </c>
      <c r="R475" s="34">
        <f>IF(C475="","",IF(L475="☑ Oui","Annulée",IF(OR(E475="Vente directe",K475&lt;&gt;""),"Livrée",IF(J475&lt;&gt;"","Confirmée","En attente"))))</f>
        <v/>
      </c>
      <c r="S475" s="34">
        <f>IF(F475="","",IFERROR(VLOOKUP(F475,T_Produits,2,FALSE),""))</f>
        <v/>
      </c>
      <c r="T475" s="40">
        <f>IF(F475="","",IFERROR(1/(1/VLOOKUP(F475,T_Produits,3,FALSE)),""))</f>
        <v/>
      </c>
      <c r="U475" s="40">
        <f>IF(H475&lt;&gt;"",H475,T475)</f>
        <v/>
      </c>
      <c r="V475" s="40">
        <f>IF(OR(G475="",U475=""),"",G475*U475-N(I475))</f>
        <v/>
      </c>
      <c r="W475" s="39">
        <f>IF(D475="","",IFERROR(VALUE(MID(D475,LEN(D475)-3,3)),""))</f>
        <v/>
      </c>
      <c r="X475" s="33">
        <f>IF(W475="","",P475&amp;"|"&amp;W475)</f>
        <v/>
      </c>
      <c r="Y475" s="33">
        <f>IF(W475="","",IF(P475="À RENSEIGNER","GIC",P475)&amp;"-"&amp;TEXT(W475,"000"))</f>
        <v/>
      </c>
      <c r="Z475" s="33">
        <f>IF(X475="","",IFERROR(INDEX(Cl_nom,MATCH(X475,Cl_cle,0)),"(client introuvable)"))</f>
        <v/>
      </c>
      <c r="AA475" s="33">
        <f>IF(X475="","",IFERROR(INDEX(Cl_quartier,MATCH(X475,Cl_cle,0))&amp;"",""))</f>
        <v/>
      </c>
      <c r="AB475" s="45">
        <f>IF(R475&lt;&gt;"Livrée",0,IF(K475&lt;&gt;"",K475,C475))</f>
        <v/>
      </c>
      <c r="AC475" s="33">
        <f>IF(OR(C475="",W475=""),"",P475&amp;"|"&amp;W475&amp;"|"&amp;C475&amp;"|"&amp;E475)</f>
        <v/>
      </c>
      <c r="AD475" s="39">
        <f>IF(AC475="","",IF(COUNTIF(AC$6:AC475,AC475)=1,1,0))</f>
        <v/>
      </c>
      <c r="AE475" s="39">
        <f>IF(AB475=0,"",IF(COUNTIFS(X$6:X475,X475,AB$6:AB475,AB475)=1,1,0))</f>
        <v/>
      </c>
      <c r="AF475" s="34">
        <f>IF(C475="","",YEAR(C475-WEEKDAY(C475,2)+4)&amp;"-S"&amp;TEXT(INT((C475-DATE(YEAR(C475-WEEKDAY(C475,2)+4),1,3)+WEEKDAY(DATE(YEAR(C475-WEEKDAY(C475,2)+4),1,3),2)+5)/7),"00"))</f>
        <v/>
      </c>
    </row>
    <row r="476" ht="18" customHeight="1">
      <c r="A476" s="39" t="n">
        <v>471</v>
      </c>
      <c r="B476" s="33">
        <f>IF(C476="","",IF(P476="À RENSEIGNER","GIC",P476)&amp;"-C"&amp;TEXT(A476,"00000"))</f>
        <v/>
      </c>
      <c r="C476" s="32" t="n"/>
      <c r="D476" s="36" t="n"/>
      <c r="E476" s="36" t="n"/>
      <c r="F476" s="36" t="n"/>
      <c r="G476" s="42" t="n"/>
      <c r="H476" s="37" t="n"/>
      <c r="I476" s="37" t="n"/>
      <c r="J476" s="32" t="n"/>
      <c r="K476" s="32" t="n"/>
      <c r="L476" s="43" t="n"/>
      <c r="M476" s="36" t="n"/>
      <c r="N476" s="44" t="n"/>
      <c r="O476" s="36" t="n"/>
      <c r="P476" s="33">
        <f>IF(C476="","",Commercial_Id)</f>
        <v/>
      </c>
      <c r="Q476" s="34">
        <f>IF(AC476="","",IF(AD476=1,"C"&amp;TEXT(SUM(AD$6:AD476),"0000"),INDEX(Q$6:Q475,MATCH(AC476,AC$6:AC475,0))))</f>
        <v/>
      </c>
      <c r="R476" s="34">
        <f>IF(C476="","",IF(L476="☑ Oui","Annulée",IF(OR(E476="Vente directe",K476&lt;&gt;""),"Livrée",IF(J476&lt;&gt;"","Confirmée","En attente"))))</f>
        <v/>
      </c>
      <c r="S476" s="34">
        <f>IF(F476="","",IFERROR(VLOOKUP(F476,T_Produits,2,FALSE),""))</f>
        <v/>
      </c>
      <c r="T476" s="40">
        <f>IF(F476="","",IFERROR(1/(1/VLOOKUP(F476,T_Produits,3,FALSE)),""))</f>
        <v/>
      </c>
      <c r="U476" s="40">
        <f>IF(H476&lt;&gt;"",H476,T476)</f>
        <v/>
      </c>
      <c r="V476" s="40">
        <f>IF(OR(G476="",U476=""),"",G476*U476-N(I476))</f>
        <v/>
      </c>
      <c r="W476" s="39">
        <f>IF(D476="","",IFERROR(VALUE(MID(D476,LEN(D476)-3,3)),""))</f>
        <v/>
      </c>
      <c r="X476" s="33">
        <f>IF(W476="","",P476&amp;"|"&amp;W476)</f>
        <v/>
      </c>
      <c r="Y476" s="33">
        <f>IF(W476="","",IF(P476="À RENSEIGNER","GIC",P476)&amp;"-"&amp;TEXT(W476,"000"))</f>
        <v/>
      </c>
      <c r="Z476" s="33">
        <f>IF(X476="","",IFERROR(INDEX(Cl_nom,MATCH(X476,Cl_cle,0)),"(client introuvable)"))</f>
        <v/>
      </c>
      <c r="AA476" s="33">
        <f>IF(X476="","",IFERROR(INDEX(Cl_quartier,MATCH(X476,Cl_cle,0))&amp;"",""))</f>
        <v/>
      </c>
      <c r="AB476" s="45">
        <f>IF(R476&lt;&gt;"Livrée",0,IF(K476&lt;&gt;"",K476,C476))</f>
        <v/>
      </c>
      <c r="AC476" s="33">
        <f>IF(OR(C476="",W476=""),"",P476&amp;"|"&amp;W476&amp;"|"&amp;C476&amp;"|"&amp;E476)</f>
        <v/>
      </c>
      <c r="AD476" s="39">
        <f>IF(AC476="","",IF(COUNTIF(AC$6:AC476,AC476)=1,1,0))</f>
        <v/>
      </c>
      <c r="AE476" s="39">
        <f>IF(AB476=0,"",IF(COUNTIFS(X$6:X476,X476,AB$6:AB476,AB476)=1,1,0))</f>
        <v/>
      </c>
      <c r="AF476" s="34">
        <f>IF(C476="","",YEAR(C476-WEEKDAY(C476,2)+4)&amp;"-S"&amp;TEXT(INT((C476-DATE(YEAR(C476-WEEKDAY(C476,2)+4),1,3)+WEEKDAY(DATE(YEAR(C476-WEEKDAY(C476,2)+4),1,3),2)+5)/7),"00"))</f>
        <v/>
      </c>
    </row>
    <row r="477" ht="18" customHeight="1">
      <c r="A477" s="39" t="n">
        <v>472</v>
      </c>
      <c r="B477" s="33">
        <f>IF(C477="","",IF(P477="À RENSEIGNER","GIC",P477)&amp;"-C"&amp;TEXT(A477,"00000"))</f>
        <v/>
      </c>
      <c r="C477" s="32" t="n"/>
      <c r="D477" s="36" t="n"/>
      <c r="E477" s="36" t="n"/>
      <c r="F477" s="36" t="n"/>
      <c r="G477" s="42" t="n"/>
      <c r="H477" s="37" t="n"/>
      <c r="I477" s="37" t="n"/>
      <c r="J477" s="32" t="n"/>
      <c r="K477" s="32" t="n"/>
      <c r="L477" s="43" t="n"/>
      <c r="M477" s="36" t="n"/>
      <c r="N477" s="44" t="n"/>
      <c r="O477" s="36" t="n"/>
      <c r="P477" s="33">
        <f>IF(C477="","",Commercial_Id)</f>
        <v/>
      </c>
      <c r="Q477" s="34">
        <f>IF(AC477="","",IF(AD477=1,"C"&amp;TEXT(SUM(AD$6:AD477),"0000"),INDEX(Q$6:Q476,MATCH(AC477,AC$6:AC476,0))))</f>
        <v/>
      </c>
      <c r="R477" s="34">
        <f>IF(C477="","",IF(L477="☑ Oui","Annulée",IF(OR(E477="Vente directe",K477&lt;&gt;""),"Livrée",IF(J477&lt;&gt;"","Confirmée","En attente"))))</f>
        <v/>
      </c>
      <c r="S477" s="34">
        <f>IF(F477="","",IFERROR(VLOOKUP(F477,T_Produits,2,FALSE),""))</f>
        <v/>
      </c>
      <c r="T477" s="40">
        <f>IF(F477="","",IFERROR(1/(1/VLOOKUP(F477,T_Produits,3,FALSE)),""))</f>
        <v/>
      </c>
      <c r="U477" s="40">
        <f>IF(H477&lt;&gt;"",H477,T477)</f>
        <v/>
      </c>
      <c r="V477" s="40">
        <f>IF(OR(G477="",U477=""),"",G477*U477-N(I477))</f>
        <v/>
      </c>
      <c r="W477" s="39">
        <f>IF(D477="","",IFERROR(VALUE(MID(D477,LEN(D477)-3,3)),""))</f>
        <v/>
      </c>
      <c r="X477" s="33">
        <f>IF(W477="","",P477&amp;"|"&amp;W477)</f>
        <v/>
      </c>
      <c r="Y477" s="33">
        <f>IF(W477="","",IF(P477="À RENSEIGNER","GIC",P477)&amp;"-"&amp;TEXT(W477,"000"))</f>
        <v/>
      </c>
      <c r="Z477" s="33">
        <f>IF(X477="","",IFERROR(INDEX(Cl_nom,MATCH(X477,Cl_cle,0)),"(client introuvable)"))</f>
        <v/>
      </c>
      <c r="AA477" s="33">
        <f>IF(X477="","",IFERROR(INDEX(Cl_quartier,MATCH(X477,Cl_cle,0))&amp;"",""))</f>
        <v/>
      </c>
      <c r="AB477" s="45">
        <f>IF(R477&lt;&gt;"Livrée",0,IF(K477&lt;&gt;"",K477,C477))</f>
        <v/>
      </c>
      <c r="AC477" s="33">
        <f>IF(OR(C477="",W477=""),"",P477&amp;"|"&amp;W477&amp;"|"&amp;C477&amp;"|"&amp;E477)</f>
        <v/>
      </c>
      <c r="AD477" s="39">
        <f>IF(AC477="","",IF(COUNTIF(AC$6:AC477,AC477)=1,1,0))</f>
        <v/>
      </c>
      <c r="AE477" s="39">
        <f>IF(AB477=0,"",IF(COUNTIFS(X$6:X477,X477,AB$6:AB477,AB477)=1,1,0))</f>
        <v/>
      </c>
      <c r="AF477" s="34">
        <f>IF(C477="","",YEAR(C477-WEEKDAY(C477,2)+4)&amp;"-S"&amp;TEXT(INT((C477-DATE(YEAR(C477-WEEKDAY(C477,2)+4),1,3)+WEEKDAY(DATE(YEAR(C477-WEEKDAY(C477,2)+4),1,3),2)+5)/7),"00"))</f>
        <v/>
      </c>
    </row>
    <row r="478" ht="18" customHeight="1">
      <c r="A478" s="39" t="n">
        <v>473</v>
      </c>
      <c r="B478" s="33">
        <f>IF(C478="","",IF(P478="À RENSEIGNER","GIC",P478)&amp;"-C"&amp;TEXT(A478,"00000"))</f>
        <v/>
      </c>
      <c r="C478" s="32" t="n"/>
      <c r="D478" s="36" t="n"/>
      <c r="E478" s="36" t="n"/>
      <c r="F478" s="36" t="n"/>
      <c r="G478" s="42" t="n"/>
      <c r="H478" s="37" t="n"/>
      <c r="I478" s="37" t="n"/>
      <c r="J478" s="32" t="n"/>
      <c r="K478" s="32" t="n"/>
      <c r="L478" s="43" t="n"/>
      <c r="M478" s="36" t="n"/>
      <c r="N478" s="44" t="n"/>
      <c r="O478" s="36" t="n"/>
      <c r="P478" s="33">
        <f>IF(C478="","",Commercial_Id)</f>
        <v/>
      </c>
      <c r="Q478" s="34">
        <f>IF(AC478="","",IF(AD478=1,"C"&amp;TEXT(SUM(AD$6:AD478),"0000"),INDEX(Q$6:Q477,MATCH(AC478,AC$6:AC477,0))))</f>
        <v/>
      </c>
      <c r="R478" s="34">
        <f>IF(C478="","",IF(L478="☑ Oui","Annulée",IF(OR(E478="Vente directe",K478&lt;&gt;""),"Livrée",IF(J478&lt;&gt;"","Confirmée","En attente"))))</f>
        <v/>
      </c>
      <c r="S478" s="34">
        <f>IF(F478="","",IFERROR(VLOOKUP(F478,T_Produits,2,FALSE),""))</f>
        <v/>
      </c>
      <c r="T478" s="40">
        <f>IF(F478="","",IFERROR(1/(1/VLOOKUP(F478,T_Produits,3,FALSE)),""))</f>
        <v/>
      </c>
      <c r="U478" s="40">
        <f>IF(H478&lt;&gt;"",H478,T478)</f>
        <v/>
      </c>
      <c r="V478" s="40">
        <f>IF(OR(G478="",U478=""),"",G478*U478-N(I478))</f>
        <v/>
      </c>
      <c r="W478" s="39">
        <f>IF(D478="","",IFERROR(VALUE(MID(D478,LEN(D478)-3,3)),""))</f>
        <v/>
      </c>
      <c r="X478" s="33">
        <f>IF(W478="","",P478&amp;"|"&amp;W478)</f>
        <v/>
      </c>
      <c r="Y478" s="33">
        <f>IF(W478="","",IF(P478="À RENSEIGNER","GIC",P478)&amp;"-"&amp;TEXT(W478,"000"))</f>
        <v/>
      </c>
      <c r="Z478" s="33">
        <f>IF(X478="","",IFERROR(INDEX(Cl_nom,MATCH(X478,Cl_cle,0)),"(client introuvable)"))</f>
        <v/>
      </c>
      <c r="AA478" s="33">
        <f>IF(X478="","",IFERROR(INDEX(Cl_quartier,MATCH(X478,Cl_cle,0))&amp;"",""))</f>
        <v/>
      </c>
      <c r="AB478" s="45">
        <f>IF(R478&lt;&gt;"Livrée",0,IF(K478&lt;&gt;"",K478,C478))</f>
        <v/>
      </c>
      <c r="AC478" s="33">
        <f>IF(OR(C478="",W478=""),"",P478&amp;"|"&amp;W478&amp;"|"&amp;C478&amp;"|"&amp;E478)</f>
        <v/>
      </c>
      <c r="AD478" s="39">
        <f>IF(AC478="","",IF(COUNTIF(AC$6:AC478,AC478)=1,1,0))</f>
        <v/>
      </c>
      <c r="AE478" s="39">
        <f>IF(AB478=0,"",IF(COUNTIFS(X$6:X478,X478,AB$6:AB478,AB478)=1,1,0))</f>
        <v/>
      </c>
      <c r="AF478" s="34">
        <f>IF(C478="","",YEAR(C478-WEEKDAY(C478,2)+4)&amp;"-S"&amp;TEXT(INT((C478-DATE(YEAR(C478-WEEKDAY(C478,2)+4),1,3)+WEEKDAY(DATE(YEAR(C478-WEEKDAY(C478,2)+4),1,3),2)+5)/7),"00"))</f>
        <v/>
      </c>
    </row>
    <row r="479" ht="18" customHeight="1">
      <c r="A479" s="39" t="n">
        <v>474</v>
      </c>
      <c r="B479" s="33">
        <f>IF(C479="","",IF(P479="À RENSEIGNER","GIC",P479)&amp;"-C"&amp;TEXT(A479,"00000"))</f>
        <v/>
      </c>
      <c r="C479" s="32" t="n"/>
      <c r="D479" s="36" t="n"/>
      <c r="E479" s="36" t="n"/>
      <c r="F479" s="36" t="n"/>
      <c r="G479" s="42" t="n"/>
      <c r="H479" s="37" t="n"/>
      <c r="I479" s="37" t="n"/>
      <c r="J479" s="32" t="n"/>
      <c r="K479" s="32" t="n"/>
      <c r="L479" s="43" t="n"/>
      <c r="M479" s="36" t="n"/>
      <c r="N479" s="44" t="n"/>
      <c r="O479" s="36" t="n"/>
      <c r="P479" s="33">
        <f>IF(C479="","",Commercial_Id)</f>
        <v/>
      </c>
      <c r="Q479" s="34">
        <f>IF(AC479="","",IF(AD479=1,"C"&amp;TEXT(SUM(AD$6:AD479),"0000"),INDEX(Q$6:Q478,MATCH(AC479,AC$6:AC478,0))))</f>
        <v/>
      </c>
      <c r="R479" s="34">
        <f>IF(C479="","",IF(L479="☑ Oui","Annulée",IF(OR(E479="Vente directe",K479&lt;&gt;""),"Livrée",IF(J479&lt;&gt;"","Confirmée","En attente"))))</f>
        <v/>
      </c>
      <c r="S479" s="34">
        <f>IF(F479="","",IFERROR(VLOOKUP(F479,T_Produits,2,FALSE),""))</f>
        <v/>
      </c>
      <c r="T479" s="40">
        <f>IF(F479="","",IFERROR(1/(1/VLOOKUP(F479,T_Produits,3,FALSE)),""))</f>
        <v/>
      </c>
      <c r="U479" s="40">
        <f>IF(H479&lt;&gt;"",H479,T479)</f>
        <v/>
      </c>
      <c r="V479" s="40">
        <f>IF(OR(G479="",U479=""),"",G479*U479-N(I479))</f>
        <v/>
      </c>
      <c r="W479" s="39">
        <f>IF(D479="","",IFERROR(VALUE(MID(D479,LEN(D479)-3,3)),""))</f>
        <v/>
      </c>
      <c r="X479" s="33">
        <f>IF(W479="","",P479&amp;"|"&amp;W479)</f>
        <v/>
      </c>
      <c r="Y479" s="33">
        <f>IF(W479="","",IF(P479="À RENSEIGNER","GIC",P479)&amp;"-"&amp;TEXT(W479,"000"))</f>
        <v/>
      </c>
      <c r="Z479" s="33">
        <f>IF(X479="","",IFERROR(INDEX(Cl_nom,MATCH(X479,Cl_cle,0)),"(client introuvable)"))</f>
        <v/>
      </c>
      <c r="AA479" s="33">
        <f>IF(X479="","",IFERROR(INDEX(Cl_quartier,MATCH(X479,Cl_cle,0))&amp;"",""))</f>
        <v/>
      </c>
      <c r="AB479" s="45">
        <f>IF(R479&lt;&gt;"Livrée",0,IF(K479&lt;&gt;"",K479,C479))</f>
        <v/>
      </c>
      <c r="AC479" s="33">
        <f>IF(OR(C479="",W479=""),"",P479&amp;"|"&amp;W479&amp;"|"&amp;C479&amp;"|"&amp;E479)</f>
        <v/>
      </c>
      <c r="AD479" s="39">
        <f>IF(AC479="","",IF(COUNTIF(AC$6:AC479,AC479)=1,1,0))</f>
        <v/>
      </c>
      <c r="AE479" s="39">
        <f>IF(AB479=0,"",IF(COUNTIFS(X$6:X479,X479,AB$6:AB479,AB479)=1,1,0))</f>
        <v/>
      </c>
      <c r="AF479" s="34">
        <f>IF(C479="","",YEAR(C479-WEEKDAY(C479,2)+4)&amp;"-S"&amp;TEXT(INT((C479-DATE(YEAR(C479-WEEKDAY(C479,2)+4),1,3)+WEEKDAY(DATE(YEAR(C479-WEEKDAY(C479,2)+4),1,3),2)+5)/7),"00"))</f>
        <v/>
      </c>
    </row>
    <row r="480" ht="18" customHeight="1">
      <c r="A480" s="39" t="n">
        <v>475</v>
      </c>
      <c r="B480" s="33">
        <f>IF(C480="","",IF(P480="À RENSEIGNER","GIC",P480)&amp;"-C"&amp;TEXT(A480,"00000"))</f>
        <v/>
      </c>
      <c r="C480" s="32" t="n"/>
      <c r="D480" s="36" t="n"/>
      <c r="E480" s="36" t="n"/>
      <c r="F480" s="36" t="n"/>
      <c r="G480" s="42" t="n"/>
      <c r="H480" s="37" t="n"/>
      <c r="I480" s="37" t="n"/>
      <c r="J480" s="32" t="n"/>
      <c r="K480" s="32" t="n"/>
      <c r="L480" s="43" t="n"/>
      <c r="M480" s="36" t="n"/>
      <c r="N480" s="44" t="n"/>
      <c r="O480" s="36" t="n"/>
      <c r="P480" s="33">
        <f>IF(C480="","",Commercial_Id)</f>
        <v/>
      </c>
      <c r="Q480" s="34">
        <f>IF(AC480="","",IF(AD480=1,"C"&amp;TEXT(SUM(AD$6:AD480),"0000"),INDEX(Q$6:Q479,MATCH(AC480,AC$6:AC479,0))))</f>
        <v/>
      </c>
      <c r="R480" s="34">
        <f>IF(C480="","",IF(L480="☑ Oui","Annulée",IF(OR(E480="Vente directe",K480&lt;&gt;""),"Livrée",IF(J480&lt;&gt;"","Confirmée","En attente"))))</f>
        <v/>
      </c>
      <c r="S480" s="34">
        <f>IF(F480="","",IFERROR(VLOOKUP(F480,T_Produits,2,FALSE),""))</f>
        <v/>
      </c>
      <c r="T480" s="40">
        <f>IF(F480="","",IFERROR(1/(1/VLOOKUP(F480,T_Produits,3,FALSE)),""))</f>
        <v/>
      </c>
      <c r="U480" s="40">
        <f>IF(H480&lt;&gt;"",H480,T480)</f>
        <v/>
      </c>
      <c r="V480" s="40">
        <f>IF(OR(G480="",U480=""),"",G480*U480-N(I480))</f>
        <v/>
      </c>
      <c r="W480" s="39">
        <f>IF(D480="","",IFERROR(VALUE(MID(D480,LEN(D480)-3,3)),""))</f>
        <v/>
      </c>
      <c r="X480" s="33">
        <f>IF(W480="","",P480&amp;"|"&amp;W480)</f>
        <v/>
      </c>
      <c r="Y480" s="33">
        <f>IF(W480="","",IF(P480="À RENSEIGNER","GIC",P480)&amp;"-"&amp;TEXT(W480,"000"))</f>
        <v/>
      </c>
      <c r="Z480" s="33">
        <f>IF(X480="","",IFERROR(INDEX(Cl_nom,MATCH(X480,Cl_cle,0)),"(client introuvable)"))</f>
        <v/>
      </c>
      <c r="AA480" s="33">
        <f>IF(X480="","",IFERROR(INDEX(Cl_quartier,MATCH(X480,Cl_cle,0))&amp;"",""))</f>
        <v/>
      </c>
      <c r="AB480" s="45">
        <f>IF(R480&lt;&gt;"Livrée",0,IF(K480&lt;&gt;"",K480,C480))</f>
        <v/>
      </c>
      <c r="AC480" s="33">
        <f>IF(OR(C480="",W480=""),"",P480&amp;"|"&amp;W480&amp;"|"&amp;C480&amp;"|"&amp;E480)</f>
        <v/>
      </c>
      <c r="AD480" s="39">
        <f>IF(AC480="","",IF(COUNTIF(AC$6:AC480,AC480)=1,1,0))</f>
        <v/>
      </c>
      <c r="AE480" s="39">
        <f>IF(AB480=0,"",IF(COUNTIFS(X$6:X480,X480,AB$6:AB480,AB480)=1,1,0))</f>
        <v/>
      </c>
      <c r="AF480" s="34">
        <f>IF(C480="","",YEAR(C480-WEEKDAY(C480,2)+4)&amp;"-S"&amp;TEXT(INT((C480-DATE(YEAR(C480-WEEKDAY(C480,2)+4),1,3)+WEEKDAY(DATE(YEAR(C480-WEEKDAY(C480,2)+4),1,3),2)+5)/7),"00"))</f>
        <v/>
      </c>
    </row>
    <row r="481" ht="18" customHeight="1">
      <c r="A481" s="39" t="n">
        <v>476</v>
      </c>
      <c r="B481" s="33">
        <f>IF(C481="","",IF(P481="À RENSEIGNER","GIC",P481)&amp;"-C"&amp;TEXT(A481,"00000"))</f>
        <v/>
      </c>
      <c r="C481" s="32" t="n"/>
      <c r="D481" s="36" t="n"/>
      <c r="E481" s="36" t="n"/>
      <c r="F481" s="36" t="n"/>
      <c r="G481" s="42" t="n"/>
      <c r="H481" s="37" t="n"/>
      <c r="I481" s="37" t="n"/>
      <c r="J481" s="32" t="n"/>
      <c r="K481" s="32" t="n"/>
      <c r="L481" s="43" t="n"/>
      <c r="M481" s="36" t="n"/>
      <c r="N481" s="44" t="n"/>
      <c r="O481" s="36" t="n"/>
      <c r="P481" s="33">
        <f>IF(C481="","",Commercial_Id)</f>
        <v/>
      </c>
      <c r="Q481" s="34">
        <f>IF(AC481="","",IF(AD481=1,"C"&amp;TEXT(SUM(AD$6:AD481),"0000"),INDEX(Q$6:Q480,MATCH(AC481,AC$6:AC480,0))))</f>
        <v/>
      </c>
      <c r="R481" s="34">
        <f>IF(C481="","",IF(L481="☑ Oui","Annulée",IF(OR(E481="Vente directe",K481&lt;&gt;""),"Livrée",IF(J481&lt;&gt;"","Confirmée","En attente"))))</f>
        <v/>
      </c>
      <c r="S481" s="34">
        <f>IF(F481="","",IFERROR(VLOOKUP(F481,T_Produits,2,FALSE),""))</f>
        <v/>
      </c>
      <c r="T481" s="40">
        <f>IF(F481="","",IFERROR(1/(1/VLOOKUP(F481,T_Produits,3,FALSE)),""))</f>
        <v/>
      </c>
      <c r="U481" s="40">
        <f>IF(H481&lt;&gt;"",H481,T481)</f>
        <v/>
      </c>
      <c r="V481" s="40">
        <f>IF(OR(G481="",U481=""),"",G481*U481-N(I481))</f>
        <v/>
      </c>
      <c r="W481" s="39">
        <f>IF(D481="","",IFERROR(VALUE(MID(D481,LEN(D481)-3,3)),""))</f>
        <v/>
      </c>
      <c r="X481" s="33">
        <f>IF(W481="","",P481&amp;"|"&amp;W481)</f>
        <v/>
      </c>
      <c r="Y481" s="33">
        <f>IF(W481="","",IF(P481="À RENSEIGNER","GIC",P481)&amp;"-"&amp;TEXT(W481,"000"))</f>
        <v/>
      </c>
      <c r="Z481" s="33">
        <f>IF(X481="","",IFERROR(INDEX(Cl_nom,MATCH(X481,Cl_cle,0)),"(client introuvable)"))</f>
        <v/>
      </c>
      <c r="AA481" s="33">
        <f>IF(X481="","",IFERROR(INDEX(Cl_quartier,MATCH(X481,Cl_cle,0))&amp;"",""))</f>
        <v/>
      </c>
      <c r="AB481" s="45">
        <f>IF(R481&lt;&gt;"Livrée",0,IF(K481&lt;&gt;"",K481,C481))</f>
        <v/>
      </c>
      <c r="AC481" s="33">
        <f>IF(OR(C481="",W481=""),"",P481&amp;"|"&amp;W481&amp;"|"&amp;C481&amp;"|"&amp;E481)</f>
        <v/>
      </c>
      <c r="AD481" s="39">
        <f>IF(AC481="","",IF(COUNTIF(AC$6:AC481,AC481)=1,1,0))</f>
        <v/>
      </c>
      <c r="AE481" s="39">
        <f>IF(AB481=0,"",IF(COUNTIFS(X$6:X481,X481,AB$6:AB481,AB481)=1,1,0))</f>
        <v/>
      </c>
      <c r="AF481" s="34">
        <f>IF(C481="","",YEAR(C481-WEEKDAY(C481,2)+4)&amp;"-S"&amp;TEXT(INT((C481-DATE(YEAR(C481-WEEKDAY(C481,2)+4),1,3)+WEEKDAY(DATE(YEAR(C481-WEEKDAY(C481,2)+4),1,3),2)+5)/7),"00"))</f>
        <v/>
      </c>
    </row>
    <row r="482" ht="18" customHeight="1">
      <c r="A482" s="39" t="n">
        <v>477</v>
      </c>
      <c r="B482" s="33">
        <f>IF(C482="","",IF(P482="À RENSEIGNER","GIC",P482)&amp;"-C"&amp;TEXT(A482,"00000"))</f>
        <v/>
      </c>
      <c r="C482" s="32" t="n"/>
      <c r="D482" s="36" t="n"/>
      <c r="E482" s="36" t="n"/>
      <c r="F482" s="36" t="n"/>
      <c r="G482" s="42" t="n"/>
      <c r="H482" s="37" t="n"/>
      <c r="I482" s="37" t="n"/>
      <c r="J482" s="32" t="n"/>
      <c r="K482" s="32" t="n"/>
      <c r="L482" s="43" t="n"/>
      <c r="M482" s="36" t="n"/>
      <c r="N482" s="44" t="n"/>
      <c r="O482" s="36" t="n"/>
      <c r="P482" s="33">
        <f>IF(C482="","",Commercial_Id)</f>
        <v/>
      </c>
      <c r="Q482" s="34">
        <f>IF(AC482="","",IF(AD482=1,"C"&amp;TEXT(SUM(AD$6:AD482),"0000"),INDEX(Q$6:Q481,MATCH(AC482,AC$6:AC481,0))))</f>
        <v/>
      </c>
      <c r="R482" s="34">
        <f>IF(C482="","",IF(L482="☑ Oui","Annulée",IF(OR(E482="Vente directe",K482&lt;&gt;""),"Livrée",IF(J482&lt;&gt;"","Confirmée","En attente"))))</f>
        <v/>
      </c>
      <c r="S482" s="34">
        <f>IF(F482="","",IFERROR(VLOOKUP(F482,T_Produits,2,FALSE),""))</f>
        <v/>
      </c>
      <c r="T482" s="40">
        <f>IF(F482="","",IFERROR(1/(1/VLOOKUP(F482,T_Produits,3,FALSE)),""))</f>
        <v/>
      </c>
      <c r="U482" s="40">
        <f>IF(H482&lt;&gt;"",H482,T482)</f>
        <v/>
      </c>
      <c r="V482" s="40">
        <f>IF(OR(G482="",U482=""),"",G482*U482-N(I482))</f>
        <v/>
      </c>
      <c r="W482" s="39">
        <f>IF(D482="","",IFERROR(VALUE(MID(D482,LEN(D482)-3,3)),""))</f>
        <v/>
      </c>
      <c r="X482" s="33">
        <f>IF(W482="","",P482&amp;"|"&amp;W482)</f>
        <v/>
      </c>
      <c r="Y482" s="33">
        <f>IF(W482="","",IF(P482="À RENSEIGNER","GIC",P482)&amp;"-"&amp;TEXT(W482,"000"))</f>
        <v/>
      </c>
      <c r="Z482" s="33">
        <f>IF(X482="","",IFERROR(INDEX(Cl_nom,MATCH(X482,Cl_cle,0)),"(client introuvable)"))</f>
        <v/>
      </c>
      <c r="AA482" s="33">
        <f>IF(X482="","",IFERROR(INDEX(Cl_quartier,MATCH(X482,Cl_cle,0))&amp;"",""))</f>
        <v/>
      </c>
      <c r="AB482" s="45">
        <f>IF(R482&lt;&gt;"Livrée",0,IF(K482&lt;&gt;"",K482,C482))</f>
        <v/>
      </c>
      <c r="AC482" s="33">
        <f>IF(OR(C482="",W482=""),"",P482&amp;"|"&amp;W482&amp;"|"&amp;C482&amp;"|"&amp;E482)</f>
        <v/>
      </c>
      <c r="AD482" s="39">
        <f>IF(AC482="","",IF(COUNTIF(AC$6:AC482,AC482)=1,1,0))</f>
        <v/>
      </c>
      <c r="AE482" s="39">
        <f>IF(AB482=0,"",IF(COUNTIFS(X$6:X482,X482,AB$6:AB482,AB482)=1,1,0))</f>
        <v/>
      </c>
      <c r="AF482" s="34">
        <f>IF(C482="","",YEAR(C482-WEEKDAY(C482,2)+4)&amp;"-S"&amp;TEXT(INT((C482-DATE(YEAR(C482-WEEKDAY(C482,2)+4),1,3)+WEEKDAY(DATE(YEAR(C482-WEEKDAY(C482,2)+4),1,3),2)+5)/7),"00"))</f>
        <v/>
      </c>
    </row>
    <row r="483" ht="18" customHeight="1">
      <c r="A483" s="39" t="n">
        <v>478</v>
      </c>
      <c r="B483" s="33">
        <f>IF(C483="","",IF(P483="À RENSEIGNER","GIC",P483)&amp;"-C"&amp;TEXT(A483,"00000"))</f>
        <v/>
      </c>
      <c r="C483" s="32" t="n"/>
      <c r="D483" s="36" t="n"/>
      <c r="E483" s="36" t="n"/>
      <c r="F483" s="36" t="n"/>
      <c r="G483" s="42" t="n"/>
      <c r="H483" s="37" t="n"/>
      <c r="I483" s="37" t="n"/>
      <c r="J483" s="32" t="n"/>
      <c r="K483" s="32" t="n"/>
      <c r="L483" s="43" t="n"/>
      <c r="M483" s="36" t="n"/>
      <c r="N483" s="44" t="n"/>
      <c r="O483" s="36" t="n"/>
      <c r="P483" s="33">
        <f>IF(C483="","",Commercial_Id)</f>
        <v/>
      </c>
      <c r="Q483" s="34">
        <f>IF(AC483="","",IF(AD483=1,"C"&amp;TEXT(SUM(AD$6:AD483),"0000"),INDEX(Q$6:Q482,MATCH(AC483,AC$6:AC482,0))))</f>
        <v/>
      </c>
      <c r="R483" s="34">
        <f>IF(C483="","",IF(L483="☑ Oui","Annulée",IF(OR(E483="Vente directe",K483&lt;&gt;""),"Livrée",IF(J483&lt;&gt;"","Confirmée","En attente"))))</f>
        <v/>
      </c>
      <c r="S483" s="34">
        <f>IF(F483="","",IFERROR(VLOOKUP(F483,T_Produits,2,FALSE),""))</f>
        <v/>
      </c>
      <c r="T483" s="40">
        <f>IF(F483="","",IFERROR(1/(1/VLOOKUP(F483,T_Produits,3,FALSE)),""))</f>
        <v/>
      </c>
      <c r="U483" s="40">
        <f>IF(H483&lt;&gt;"",H483,T483)</f>
        <v/>
      </c>
      <c r="V483" s="40">
        <f>IF(OR(G483="",U483=""),"",G483*U483-N(I483))</f>
        <v/>
      </c>
      <c r="W483" s="39">
        <f>IF(D483="","",IFERROR(VALUE(MID(D483,LEN(D483)-3,3)),""))</f>
        <v/>
      </c>
      <c r="X483" s="33">
        <f>IF(W483="","",P483&amp;"|"&amp;W483)</f>
        <v/>
      </c>
      <c r="Y483" s="33">
        <f>IF(W483="","",IF(P483="À RENSEIGNER","GIC",P483)&amp;"-"&amp;TEXT(W483,"000"))</f>
        <v/>
      </c>
      <c r="Z483" s="33">
        <f>IF(X483="","",IFERROR(INDEX(Cl_nom,MATCH(X483,Cl_cle,0)),"(client introuvable)"))</f>
        <v/>
      </c>
      <c r="AA483" s="33">
        <f>IF(X483="","",IFERROR(INDEX(Cl_quartier,MATCH(X483,Cl_cle,0))&amp;"",""))</f>
        <v/>
      </c>
      <c r="AB483" s="45">
        <f>IF(R483&lt;&gt;"Livrée",0,IF(K483&lt;&gt;"",K483,C483))</f>
        <v/>
      </c>
      <c r="AC483" s="33">
        <f>IF(OR(C483="",W483=""),"",P483&amp;"|"&amp;W483&amp;"|"&amp;C483&amp;"|"&amp;E483)</f>
        <v/>
      </c>
      <c r="AD483" s="39">
        <f>IF(AC483="","",IF(COUNTIF(AC$6:AC483,AC483)=1,1,0))</f>
        <v/>
      </c>
      <c r="AE483" s="39">
        <f>IF(AB483=0,"",IF(COUNTIFS(X$6:X483,X483,AB$6:AB483,AB483)=1,1,0))</f>
        <v/>
      </c>
      <c r="AF483" s="34">
        <f>IF(C483="","",YEAR(C483-WEEKDAY(C483,2)+4)&amp;"-S"&amp;TEXT(INT((C483-DATE(YEAR(C483-WEEKDAY(C483,2)+4),1,3)+WEEKDAY(DATE(YEAR(C483-WEEKDAY(C483,2)+4),1,3),2)+5)/7),"00"))</f>
        <v/>
      </c>
    </row>
    <row r="484" ht="18" customHeight="1">
      <c r="A484" s="39" t="n">
        <v>479</v>
      </c>
      <c r="B484" s="33">
        <f>IF(C484="","",IF(P484="À RENSEIGNER","GIC",P484)&amp;"-C"&amp;TEXT(A484,"00000"))</f>
        <v/>
      </c>
      <c r="C484" s="32" t="n"/>
      <c r="D484" s="36" t="n"/>
      <c r="E484" s="36" t="n"/>
      <c r="F484" s="36" t="n"/>
      <c r="G484" s="42" t="n"/>
      <c r="H484" s="37" t="n"/>
      <c r="I484" s="37" t="n"/>
      <c r="J484" s="32" t="n"/>
      <c r="K484" s="32" t="n"/>
      <c r="L484" s="43" t="n"/>
      <c r="M484" s="36" t="n"/>
      <c r="N484" s="44" t="n"/>
      <c r="O484" s="36" t="n"/>
      <c r="P484" s="33">
        <f>IF(C484="","",Commercial_Id)</f>
        <v/>
      </c>
      <c r="Q484" s="34">
        <f>IF(AC484="","",IF(AD484=1,"C"&amp;TEXT(SUM(AD$6:AD484),"0000"),INDEX(Q$6:Q483,MATCH(AC484,AC$6:AC483,0))))</f>
        <v/>
      </c>
      <c r="R484" s="34">
        <f>IF(C484="","",IF(L484="☑ Oui","Annulée",IF(OR(E484="Vente directe",K484&lt;&gt;""),"Livrée",IF(J484&lt;&gt;"","Confirmée","En attente"))))</f>
        <v/>
      </c>
      <c r="S484" s="34">
        <f>IF(F484="","",IFERROR(VLOOKUP(F484,T_Produits,2,FALSE),""))</f>
        <v/>
      </c>
      <c r="T484" s="40">
        <f>IF(F484="","",IFERROR(1/(1/VLOOKUP(F484,T_Produits,3,FALSE)),""))</f>
        <v/>
      </c>
      <c r="U484" s="40">
        <f>IF(H484&lt;&gt;"",H484,T484)</f>
        <v/>
      </c>
      <c r="V484" s="40">
        <f>IF(OR(G484="",U484=""),"",G484*U484-N(I484))</f>
        <v/>
      </c>
      <c r="W484" s="39">
        <f>IF(D484="","",IFERROR(VALUE(MID(D484,LEN(D484)-3,3)),""))</f>
        <v/>
      </c>
      <c r="X484" s="33">
        <f>IF(W484="","",P484&amp;"|"&amp;W484)</f>
        <v/>
      </c>
      <c r="Y484" s="33">
        <f>IF(W484="","",IF(P484="À RENSEIGNER","GIC",P484)&amp;"-"&amp;TEXT(W484,"000"))</f>
        <v/>
      </c>
      <c r="Z484" s="33">
        <f>IF(X484="","",IFERROR(INDEX(Cl_nom,MATCH(X484,Cl_cle,0)),"(client introuvable)"))</f>
        <v/>
      </c>
      <c r="AA484" s="33">
        <f>IF(X484="","",IFERROR(INDEX(Cl_quartier,MATCH(X484,Cl_cle,0))&amp;"",""))</f>
        <v/>
      </c>
      <c r="AB484" s="45">
        <f>IF(R484&lt;&gt;"Livrée",0,IF(K484&lt;&gt;"",K484,C484))</f>
        <v/>
      </c>
      <c r="AC484" s="33">
        <f>IF(OR(C484="",W484=""),"",P484&amp;"|"&amp;W484&amp;"|"&amp;C484&amp;"|"&amp;E484)</f>
        <v/>
      </c>
      <c r="AD484" s="39">
        <f>IF(AC484="","",IF(COUNTIF(AC$6:AC484,AC484)=1,1,0))</f>
        <v/>
      </c>
      <c r="AE484" s="39">
        <f>IF(AB484=0,"",IF(COUNTIFS(X$6:X484,X484,AB$6:AB484,AB484)=1,1,0))</f>
        <v/>
      </c>
      <c r="AF484" s="34">
        <f>IF(C484="","",YEAR(C484-WEEKDAY(C484,2)+4)&amp;"-S"&amp;TEXT(INT((C484-DATE(YEAR(C484-WEEKDAY(C484,2)+4),1,3)+WEEKDAY(DATE(YEAR(C484-WEEKDAY(C484,2)+4),1,3),2)+5)/7),"00"))</f>
        <v/>
      </c>
    </row>
    <row r="485" ht="18" customHeight="1">
      <c r="A485" s="39" t="n">
        <v>480</v>
      </c>
      <c r="B485" s="33">
        <f>IF(C485="","",IF(P485="À RENSEIGNER","GIC",P485)&amp;"-C"&amp;TEXT(A485,"00000"))</f>
        <v/>
      </c>
      <c r="C485" s="32" t="n"/>
      <c r="D485" s="36" t="n"/>
      <c r="E485" s="36" t="n"/>
      <c r="F485" s="36" t="n"/>
      <c r="G485" s="42" t="n"/>
      <c r="H485" s="37" t="n"/>
      <c r="I485" s="37" t="n"/>
      <c r="J485" s="32" t="n"/>
      <c r="K485" s="32" t="n"/>
      <c r="L485" s="43" t="n"/>
      <c r="M485" s="36" t="n"/>
      <c r="N485" s="44" t="n"/>
      <c r="O485" s="36" t="n"/>
      <c r="P485" s="33">
        <f>IF(C485="","",Commercial_Id)</f>
        <v/>
      </c>
      <c r="Q485" s="34">
        <f>IF(AC485="","",IF(AD485=1,"C"&amp;TEXT(SUM(AD$6:AD485),"0000"),INDEX(Q$6:Q484,MATCH(AC485,AC$6:AC484,0))))</f>
        <v/>
      </c>
      <c r="R485" s="34">
        <f>IF(C485="","",IF(L485="☑ Oui","Annulée",IF(OR(E485="Vente directe",K485&lt;&gt;""),"Livrée",IF(J485&lt;&gt;"","Confirmée","En attente"))))</f>
        <v/>
      </c>
      <c r="S485" s="34">
        <f>IF(F485="","",IFERROR(VLOOKUP(F485,T_Produits,2,FALSE),""))</f>
        <v/>
      </c>
      <c r="T485" s="40">
        <f>IF(F485="","",IFERROR(1/(1/VLOOKUP(F485,T_Produits,3,FALSE)),""))</f>
        <v/>
      </c>
      <c r="U485" s="40">
        <f>IF(H485&lt;&gt;"",H485,T485)</f>
        <v/>
      </c>
      <c r="V485" s="40">
        <f>IF(OR(G485="",U485=""),"",G485*U485-N(I485))</f>
        <v/>
      </c>
      <c r="W485" s="39">
        <f>IF(D485="","",IFERROR(VALUE(MID(D485,LEN(D485)-3,3)),""))</f>
        <v/>
      </c>
      <c r="X485" s="33">
        <f>IF(W485="","",P485&amp;"|"&amp;W485)</f>
        <v/>
      </c>
      <c r="Y485" s="33">
        <f>IF(W485="","",IF(P485="À RENSEIGNER","GIC",P485)&amp;"-"&amp;TEXT(W485,"000"))</f>
        <v/>
      </c>
      <c r="Z485" s="33">
        <f>IF(X485="","",IFERROR(INDEX(Cl_nom,MATCH(X485,Cl_cle,0)),"(client introuvable)"))</f>
        <v/>
      </c>
      <c r="AA485" s="33">
        <f>IF(X485="","",IFERROR(INDEX(Cl_quartier,MATCH(X485,Cl_cle,0))&amp;"",""))</f>
        <v/>
      </c>
      <c r="AB485" s="45">
        <f>IF(R485&lt;&gt;"Livrée",0,IF(K485&lt;&gt;"",K485,C485))</f>
        <v/>
      </c>
      <c r="AC485" s="33">
        <f>IF(OR(C485="",W485=""),"",P485&amp;"|"&amp;W485&amp;"|"&amp;C485&amp;"|"&amp;E485)</f>
        <v/>
      </c>
      <c r="AD485" s="39">
        <f>IF(AC485="","",IF(COUNTIF(AC$6:AC485,AC485)=1,1,0))</f>
        <v/>
      </c>
      <c r="AE485" s="39">
        <f>IF(AB485=0,"",IF(COUNTIFS(X$6:X485,X485,AB$6:AB485,AB485)=1,1,0))</f>
        <v/>
      </c>
      <c r="AF485" s="34">
        <f>IF(C485="","",YEAR(C485-WEEKDAY(C485,2)+4)&amp;"-S"&amp;TEXT(INT((C485-DATE(YEAR(C485-WEEKDAY(C485,2)+4),1,3)+WEEKDAY(DATE(YEAR(C485-WEEKDAY(C485,2)+4),1,3),2)+5)/7),"00"))</f>
        <v/>
      </c>
    </row>
    <row r="486" ht="18" customHeight="1">
      <c r="A486" s="39" t="n">
        <v>481</v>
      </c>
      <c r="B486" s="33">
        <f>IF(C486="","",IF(P486="À RENSEIGNER","GIC",P486)&amp;"-C"&amp;TEXT(A486,"00000"))</f>
        <v/>
      </c>
      <c r="C486" s="32" t="n"/>
      <c r="D486" s="36" t="n"/>
      <c r="E486" s="36" t="n"/>
      <c r="F486" s="36" t="n"/>
      <c r="G486" s="42" t="n"/>
      <c r="H486" s="37" t="n"/>
      <c r="I486" s="37" t="n"/>
      <c r="J486" s="32" t="n"/>
      <c r="K486" s="32" t="n"/>
      <c r="L486" s="43" t="n"/>
      <c r="M486" s="36" t="n"/>
      <c r="N486" s="44" t="n"/>
      <c r="O486" s="36" t="n"/>
      <c r="P486" s="33">
        <f>IF(C486="","",Commercial_Id)</f>
        <v/>
      </c>
      <c r="Q486" s="34">
        <f>IF(AC486="","",IF(AD486=1,"C"&amp;TEXT(SUM(AD$6:AD486),"0000"),INDEX(Q$6:Q485,MATCH(AC486,AC$6:AC485,0))))</f>
        <v/>
      </c>
      <c r="R486" s="34">
        <f>IF(C486="","",IF(L486="☑ Oui","Annulée",IF(OR(E486="Vente directe",K486&lt;&gt;""),"Livrée",IF(J486&lt;&gt;"","Confirmée","En attente"))))</f>
        <v/>
      </c>
      <c r="S486" s="34">
        <f>IF(F486="","",IFERROR(VLOOKUP(F486,T_Produits,2,FALSE),""))</f>
        <v/>
      </c>
      <c r="T486" s="40">
        <f>IF(F486="","",IFERROR(1/(1/VLOOKUP(F486,T_Produits,3,FALSE)),""))</f>
        <v/>
      </c>
      <c r="U486" s="40">
        <f>IF(H486&lt;&gt;"",H486,T486)</f>
        <v/>
      </c>
      <c r="V486" s="40">
        <f>IF(OR(G486="",U486=""),"",G486*U486-N(I486))</f>
        <v/>
      </c>
      <c r="W486" s="39">
        <f>IF(D486="","",IFERROR(VALUE(MID(D486,LEN(D486)-3,3)),""))</f>
        <v/>
      </c>
      <c r="X486" s="33">
        <f>IF(W486="","",P486&amp;"|"&amp;W486)</f>
        <v/>
      </c>
      <c r="Y486" s="33">
        <f>IF(W486="","",IF(P486="À RENSEIGNER","GIC",P486)&amp;"-"&amp;TEXT(W486,"000"))</f>
        <v/>
      </c>
      <c r="Z486" s="33">
        <f>IF(X486="","",IFERROR(INDEX(Cl_nom,MATCH(X486,Cl_cle,0)),"(client introuvable)"))</f>
        <v/>
      </c>
      <c r="AA486" s="33">
        <f>IF(X486="","",IFERROR(INDEX(Cl_quartier,MATCH(X486,Cl_cle,0))&amp;"",""))</f>
        <v/>
      </c>
      <c r="AB486" s="45">
        <f>IF(R486&lt;&gt;"Livrée",0,IF(K486&lt;&gt;"",K486,C486))</f>
        <v/>
      </c>
      <c r="AC486" s="33">
        <f>IF(OR(C486="",W486=""),"",P486&amp;"|"&amp;W486&amp;"|"&amp;C486&amp;"|"&amp;E486)</f>
        <v/>
      </c>
      <c r="AD486" s="39">
        <f>IF(AC486="","",IF(COUNTIF(AC$6:AC486,AC486)=1,1,0))</f>
        <v/>
      </c>
      <c r="AE486" s="39">
        <f>IF(AB486=0,"",IF(COUNTIFS(X$6:X486,X486,AB$6:AB486,AB486)=1,1,0))</f>
        <v/>
      </c>
      <c r="AF486" s="34">
        <f>IF(C486="","",YEAR(C486-WEEKDAY(C486,2)+4)&amp;"-S"&amp;TEXT(INT((C486-DATE(YEAR(C486-WEEKDAY(C486,2)+4),1,3)+WEEKDAY(DATE(YEAR(C486-WEEKDAY(C486,2)+4),1,3),2)+5)/7),"00"))</f>
        <v/>
      </c>
    </row>
    <row r="487" ht="18" customHeight="1">
      <c r="A487" s="39" t="n">
        <v>482</v>
      </c>
      <c r="B487" s="33">
        <f>IF(C487="","",IF(P487="À RENSEIGNER","GIC",P487)&amp;"-C"&amp;TEXT(A487,"00000"))</f>
        <v/>
      </c>
      <c r="C487" s="32" t="n"/>
      <c r="D487" s="36" t="n"/>
      <c r="E487" s="36" t="n"/>
      <c r="F487" s="36" t="n"/>
      <c r="G487" s="42" t="n"/>
      <c r="H487" s="37" t="n"/>
      <c r="I487" s="37" t="n"/>
      <c r="J487" s="32" t="n"/>
      <c r="K487" s="32" t="n"/>
      <c r="L487" s="43" t="n"/>
      <c r="M487" s="36" t="n"/>
      <c r="N487" s="44" t="n"/>
      <c r="O487" s="36" t="n"/>
      <c r="P487" s="33">
        <f>IF(C487="","",Commercial_Id)</f>
        <v/>
      </c>
      <c r="Q487" s="34">
        <f>IF(AC487="","",IF(AD487=1,"C"&amp;TEXT(SUM(AD$6:AD487),"0000"),INDEX(Q$6:Q486,MATCH(AC487,AC$6:AC486,0))))</f>
        <v/>
      </c>
      <c r="R487" s="34">
        <f>IF(C487="","",IF(L487="☑ Oui","Annulée",IF(OR(E487="Vente directe",K487&lt;&gt;""),"Livrée",IF(J487&lt;&gt;"","Confirmée","En attente"))))</f>
        <v/>
      </c>
      <c r="S487" s="34">
        <f>IF(F487="","",IFERROR(VLOOKUP(F487,T_Produits,2,FALSE),""))</f>
        <v/>
      </c>
      <c r="T487" s="40">
        <f>IF(F487="","",IFERROR(1/(1/VLOOKUP(F487,T_Produits,3,FALSE)),""))</f>
        <v/>
      </c>
      <c r="U487" s="40">
        <f>IF(H487&lt;&gt;"",H487,T487)</f>
        <v/>
      </c>
      <c r="V487" s="40">
        <f>IF(OR(G487="",U487=""),"",G487*U487-N(I487))</f>
        <v/>
      </c>
      <c r="W487" s="39">
        <f>IF(D487="","",IFERROR(VALUE(MID(D487,LEN(D487)-3,3)),""))</f>
        <v/>
      </c>
      <c r="X487" s="33">
        <f>IF(W487="","",P487&amp;"|"&amp;W487)</f>
        <v/>
      </c>
      <c r="Y487" s="33">
        <f>IF(W487="","",IF(P487="À RENSEIGNER","GIC",P487)&amp;"-"&amp;TEXT(W487,"000"))</f>
        <v/>
      </c>
      <c r="Z487" s="33">
        <f>IF(X487="","",IFERROR(INDEX(Cl_nom,MATCH(X487,Cl_cle,0)),"(client introuvable)"))</f>
        <v/>
      </c>
      <c r="AA487" s="33">
        <f>IF(X487="","",IFERROR(INDEX(Cl_quartier,MATCH(X487,Cl_cle,0))&amp;"",""))</f>
        <v/>
      </c>
      <c r="AB487" s="45">
        <f>IF(R487&lt;&gt;"Livrée",0,IF(K487&lt;&gt;"",K487,C487))</f>
        <v/>
      </c>
      <c r="AC487" s="33">
        <f>IF(OR(C487="",W487=""),"",P487&amp;"|"&amp;W487&amp;"|"&amp;C487&amp;"|"&amp;E487)</f>
        <v/>
      </c>
      <c r="AD487" s="39">
        <f>IF(AC487="","",IF(COUNTIF(AC$6:AC487,AC487)=1,1,0))</f>
        <v/>
      </c>
      <c r="AE487" s="39">
        <f>IF(AB487=0,"",IF(COUNTIFS(X$6:X487,X487,AB$6:AB487,AB487)=1,1,0))</f>
        <v/>
      </c>
      <c r="AF487" s="34">
        <f>IF(C487="","",YEAR(C487-WEEKDAY(C487,2)+4)&amp;"-S"&amp;TEXT(INT((C487-DATE(YEAR(C487-WEEKDAY(C487,2)+4),1,3)+WEEKDAY(DATE(YEAR(C487-WEEKDAY(C487,2)+4),1,3),2)+5)/7),"00"))</f>
        <v/>
      </c>
    </row>
    <row r="488" ht="18" customHeight="1">
      <c r="A488" s="39" t="n">
        <v>483</v>
      </c>
      <c r="B488" s="33">
        <f>IF(C488="","",IF(P488="À RENSEIGNER","GIC",P488)&amp;"-C"&amp;TEXT(A488,"00000"))</f>
        <v/>
      </c>
      <c r="C488" s="32" t="n"/>
      <c r="D488" s="36" t="n"/>
      <c r="E488" s="36" t="n"/>
      <c r="F488" s="36" t="n"/>
      <c r="G488" s="42" t="n"/>
      <c r="H488" s="37" t="n"/>
      <c r="I488" s="37" t="n"/>
      <c r="J488" s="32" t="n"/>
      <c r="K488" s="32" t="n"/>
      <c r="L488" s="43" t="n"/>
      <c r="M488" s="36" t="n"/>
      <c r="N488" s="44" t="n"/>
      <c r="O488" s="36" t="n"/>
      <c r="P488" s="33">
        <f>IF(C488="","",Commercial_Id)</f>
        <v/>
      </c>
      <c r="Q488" s="34">
        <f>IF(AC488="","",IF(AD488=1,"C"&amp;TEXT(SUM(AD$6:AD488),"0000"),INDEX(Q$6:Q487,MATCH(AC488,AC$6:AC487,0))))</f>
        <v/>
      </c>
      <c r="R488" s="34">
        <f>IF(C488="","",IF(L488="☑ Oui","Annulée",IF(OR(E488="Vente directe",K488&lt;&gt;""),"Livrée",IF(J488&lt;&gt;"","Confirmée","En attente"))))</f>
        <v/>
      </c>
      <c r="S488" s="34">
        <f>IF(F488="","",IFERROR(VLOOKUP(F488,T_Produits,2,FALSE),""))</f>
        <v/>
      </c>
      <c r="T488" s="40">
        <f>IF(F488="","",IFERROR(1/(1/VLOOKUP(F488,T_Produits,3,FALSE)),""))</f>
        <v/>
      </c>
      <c r="U488" s="40">
        <f>IF(H488&lt;&gt;"",H488,T488)</f>
        <v/>
      </c>
      <c r="V488" s="40">
        <f>IF(OR(G488="",U488=""),"",G488*U488-N(I488))</f>
        <v/>
      </c>
      <c r="W488" s="39">
        <f>IF(D488="","",IFERROR(VALUE(MID(D488,LEN(D488)-3,3)),""))</f>
        <v/>
      </c>
      <c r="X488" s="33">
        <f>IF(W488="","",P488&amp;"|"&amp;W488)</f>
        <v/>
      </c>
      <c r="Y488" s="33">
        <f>IF(W488="","",IF(P488="À RENSEIGNER","GIC",P488)&amp;"-"&amp;TEXT(W488,"000"))</f>
        <v/>
      </c>
      <c r="Z488" s="33">
        <f>IF(X488="","",IFERROR(INDEX(Cl_nom,MATCH(X488,Cl_cle,0)),"(client introuvable)"))</f>
        <v/>
      </c>
      <c r="AA488" s="33">
        <f>IF(X488="","",IFERROR(INDEX(Cl_quartier,MATCH(X488,Cl_cle,0))&amp;"",""))</f>
        <v/>
      </c>
      <c r="AB488" s="45">
        <f>IF(R488&lt;&gt;"Livrée",0,IF(K488&lt;&gt;"",K488,C488))</f>
        <v/>
      </c>
      <c r="AC488" s="33">
        <f>IF(OR(C488="",W488=""),"",P488&amp;"|"&amp;W488&amp;"|"&amp;C488&amp;"|"&amp;E488)</f>
        <v/>
      </c>
      <c r="AD488" s="39">
        <f>IF(AC488="","",IF(COUNTIF(AC$6:AC488,AC488)=1,1,0))</f>
        <v/>
      </c>
      <c r="AE488" s="39">
        <f>IF(AB488=0,"",IF(COUNTIFS(X$6:X488,X488,AB$6:AB488,AB488)=1,1,0))</f>
        <v/>
      </c>
      <c r="AF488" s="34">
        <f>IF(C488="","",YEAR(C488-WEEKDAY(C488,2)+4)&amp;"-S"&amp;TEXT(INT((C488-DATE(YEAR(C488-WEEKDAY(C488,2)+4),1,3)+WEEKDAY(DATE(YEAR(C488-WEEKDAY(C488,2)+4),1,3),2)+5)/7),"00"))</f>
        <v/>
      </c>
    </row>
    <row r="489" ht="18" customHeight="1">
      <c r="A489" s="39" t="n">
        <v>484</v>
      </c>
      <c r="B489" s="33">
        <f>IF(C489="","",IF(P489="À RENSEIGNER","GIC",P489)&amp;"-C"&amp;TEXT(A489,"00000"))</f>
        <v/>
      </c>
      <c r="C489" s="32" t="n"/>
      <c r="D489" s="36" t="n"/>
      <c r="E489" s="36" t="n"/>
      <c r="F489" s="36" t="n"/>
      <c r="G489" s="42" t="n"/>
      <c r="H489" s="37" t="n"/>
      <c r="I489" s="37" t="n"/>
      <c r="J489" s="32" t="n"/>
      <c r="K489" s="32" t="n"/>
      <c r="L489" s="43" t="n"/>
      <c r="M489" s="36" t="n"/>
      <c r="N489" s="44" t="n"/>
      <c r="O489" s="36" t="n"/>
      <c r="P489" s="33">
        <f>IF(C489="","",Commercial_Id)</f>
        <v/>
      </c>
      <c r="Q489" s="34">
        <f>IF(AC489="","",IF(AD489=1,"C"&amp;TEXT(SUM(AD$6:AD489),"0000"),INDEX(Q$6:Q488,MATCH(AC489,AC$6:AC488,0))))</f>
        <v/>
      </c>
      <c r="R489" s="34">
        <f>IF(C489="","",IF(L489="☑ Oui","Annulée",IF(OR(E489="Vente directe",K489&lt;&gt;""),"Livrée",IF(J489&lt;&gt;"","Confirmée","En attente"))))</f>
        <v/>
      </c>
      <c r="S489" s="34">
        <f>IF(F489="","",IFERROR(VLOOKUP(F489,T_Produits,2,FALSE),""))</f>
        <v/>
      </c>
      <c r="T489" s="40">
        <f>IF(F489="","",IFERROR(1/(1/VLOOKUP(F489,T_Produits,3,FALSE)),""))</f>
        <v/>
      </c>
      <c r="U489" s="40">
        <f>IF(H489&lt;&gt;"",H489,T489)</f>
        <v/>
      </c>
      <c r="V489" s="40">
        <f>IF(OR(G489="",U489=""),"",G489*U489-N(I489))</f>
        <v/>
      </c>
      <c r="W489" s="39">
        <f>IF(D489="","",IFERROR(VALUE(MID(D489,LEN(D489)-3,3)),""))</f>
        <v/>
      </c>
      <c r="X489" s="33">
        <f>IF(W489="","",P489&amp;"|"&amp;W489)</f>
        <v/>
      </c>
      <c r="Y489" s="33">
        <f>IF(W489="","",IF(P489="À RENSEIGNER","GIC",P489)&amp;"-"&amp;TEXT(W489,"000"))</f>
        <v/>
      </c>
      <c r="Z489" s="33">
        <f>IF(X489="","",IFERROR(INDEX(Cl_nom,MATCH(X489,Cl_cle,0)),"(client introuvable)"))</f>
        <v/>
      </c>
      <c r="AA489" s="33">
        <f>IF(X489="","",IFERROR(INDEX(Cl_quartier,MATCH(X489,Cl_cle,0))&amp;"",""))</f>
        <v/>
      </c>
      <c r="AB489" s="45">
        <f>IF(R489&lt;&gt;"Livrée",0,IF(K489&lt;&gt;"",K489,C489))</f>
        <v/>
      </c>
      <c r="AC489" s="33">
        <f>IF(OR(C489="",W489=""),"",P489&amp;"|"&amp;W489&amp;"|"&amp;C489&amp;"|"&amp;E489)</f>
        <v/>
      </c>
      <c r="AD489" s="39">
        <f>IF(AC489="","",IF(COUNTIF(AC$6:AC489,AC489)=1,1,0))</f>
        <v/>
      </c>
      <c r="AE489" s="39">
        <f>IF(AB489=0,"",IF(COUNTIFS(X$6:X489,X489,AB$6:AB489,AB489)=1,1,0))</f>
        <v/>
      </c>
      <c r="AF489" s="34">
        <f>IF(C489="","",YEAR(C489-WEEKDAY(C489,2)+4)&amp;"-S"&amp;TEXT(INT((C489-DATE(YEAR(C489-WEEKDAY(C489,2)+4),1,3)+WEEKDAY(DATE(YEAR(C489-WEEKDAY(C489,2)+4),1,3),2)+5)/7),"00"))</f>
        <v/>
      </c>
    </row>
    <row r="490" ht="18" customHeight="1">
      <c r="A490" s="39" t="n">
        <v>485</v>
      </c>
      <c r="B490" s="33">
        <f>IF(C490="","",IF(P490="À RENSEIGNER","GIC",P490)&amp;"-C"&amp;TEXT(A490,"00000"))</f>
        <v/>
      </c>
      <c r="C490" s="32" t="n"/>
      <c r="D490" s="36" t="n"/>
      <c r="E490" s="36" t="n"/>
      <c r="F490" s="36" t="n"/>
      <c r="G490" s="42" t="n"/>
      <c r="H490" s="37" t="n"/>
      <c r="I490" s="37" t="n"/>
      <c r="J490" s="32" t="n"/>
      <c r="K490" s="32" t="n"/>
      <c r="L490" s="43" t="n"/>
      <c r="M490" s="36" t="n"/>
      <c r="N490" s="44" t="n"/>
      <c r="O490" s="36" t="n"/>
      <c r="P490" s="33">
        <f>IF(C490="","",Commercial_Id)</f>
        <v/>
      </c>
      <c r="Q490" s="34">
        <f>IF(AC490="","",IF(AD490=1,"C"&amp;TEXT(SUM(AD$6:AD490),"0000"),INDEX(Q$6:Q489,MATCH(AC490,AC$6:AC489,0))))</f>
        <v/>
      </c>
      <c r="R490" s="34">
        <f>IF(C490="","",IF(L490="☑ Oui","Annulée",IF(OR(E490="Vente directe",K490&lt;&gt;""),"Livrée",IF(J490&lt;&gt;"","Confirmée","En attente"))))</f>
        <v/>
      </c>
      <c r="S490" s="34">
        <f>IF(F490="","",IFERROR(VLOOKUP(F490,T_Produits,2,FALSE),""))</f>
        <v/>
      </c>
      <c r="T490" s="40">
        <f>IF(F490="","",IFERROR(1/(1/VLOOKUP(F490,T_Produits,3,FALSE)),""))</f>
        <v/>
      </c>
      <c r="U490" s="40">
        <f>IF(H490&lt;&gt;"",H490,T490)</f>
        <v/>
      </c>
      <c r="V490" s="40">
        <f>IF(OR(G490="",U490=""),"",G490*U490-N(I490))</f>
        <v/>
      </c>
      <c r="W490" s="39">
        <f>IF(D490="","",IFERROR(VALUE(MID(D490,LEN(D490)-3,3)),""))</f>
        <v/>
      </c>
      <c r="X490" s="33">
        <f>IF(W490="","",P490&amp;"|"&amp;W490)</f>
        <v/>
      </c>
      <c r="Y490" s="33">
        <f>IF(W490="","",IF(P490="À RENSEIGNER","GIC",P490)&amp;"-"&amp;TEXT(W490,"000"))</f>
        <v/>
      </c>
      <c r="Z490" s="33">
        <f>IF(X490="","",IFERROR(INDEX(Cl_nom,MATCH(X490,Cl_cle,0)),"(client introuvable)"))</f>
        <v/>
      </c>
      <c r="AA490" s="33">
        <f>IF(X490="","",IFERROR(INDEX(Cl_quartier,MATCH(X490,Cl_cle,0))&amp;"",""))</f>
        <v/>
      </c>
      <c r="AB490" s="45">
        <f>IF(R490&lt;&gt;"Livrée",0,IF(K490&lt;&gt;"",K490,C490))</f>
        <v/>
      </c>
      <c r="AC490" s="33">
        <f>IF(OR(C490="",W490=""),"",P490&amp;"|"&amp;W490&amp;"|"&amp;C490&amp;"|"&amp;E490)</f>
        <v/>
      </c>
      <c r="AD490" s="39">
        <f>IF(AC490="","",IF(COUNTIF(AC$6:AC490,AC490)=1,1,0))</f>
        <v/>
      </c>
      <c r="AE490" s="39">
        <f>IF(AB490=0,"",IF(COUNTIFS(X$6:X490,X490,AB$6:AB490,AB490)=1,1,0))</f>
        <v/>
      </c>
      <c r="AF490" s="34">
        <f>IF(C490="","",YEAR(C490-WEEKDAY(C490,2)+4)&amp;"-S"&amp;TEXT(INT((C490-DATE(YEAR(C490-WEEKDAY(C490,2)+4),1,3)+WEEKDAY(DATE(YEAR(C490-WEEKDAY(C490,2)+4),1,3),2)+5)/7),"00"))</f>
        <v/>
      </c>
    </row>
    <row r="491" ht="18" customHeight="1">
      <c r="A491" s="39" t="n">
        <v>486</v>
      </c>
      <c r="B491" s="33">
        <f>IF(C491="","",IF(P491="À RENSEIGNER","GIC",P491)&amp;"-C"&amp;TEXT(A491,"00000"))</f>
        <v/>
      </c>
      <c r="C491" s="32" t="n"/>
      <c r="D491" s="36" t="n"/>
      <c r="E491" s="36" t="n"/>
      <c r="F491" s="36" t="n"/>
      <c r="G491" s="42" t="n"/>
      <c r="H491" s="37" t="n"/>
      <c r="I491" s="37" t="n"/>
      <c r="J491" s="32" t="n"/>
      <c r="K491" s="32" t="n"/>
      <c r="L491" s="43" t="n"/>
      <c r="M491" s="36" t="n"/>
      <c r="N491" s="44" t="n"/>
      <c r="O491" s="36" t="n"/>
      <c r="P491" s="33">
        <f>IF(C491="","",Commercial_Id)</f>
        <v/>
      </c>
      <c r="Q491" s="34">
        <f>IF(AC491="","",IF(AD491=1,"C"&amp;TEXT(SUM(AD$6:AD491),"0000"),INDEX(Q$6:Q490,MATCH(AC491,AC$6:AC490,0))))</f>
        <v/>
      </c>
      <c r="R491" s="34">
        <f>IF(C491="","",IF(L491="☑ Oui","Annulée",IF(OR(E491="Vente directe",K491&lt;&gt;""),"Livrée",IF(J491&lt;&gt;"","Confirmée","En attente"))))</f>
        <v/>
      </c>
      <c r="S491" s="34">
        <f>IF(F491="","",IFERROR(VLOOKUP(F491,T_Produits,2,FALSE),""))</f>
        <v/>
      </c>
      <c r="T491" s="40">
        <f>IF(F491="","",IFERROR(1/(1/VLOOKUP(F491,T_Produits,3,FALSE)),""))</f>
        <v/>
      </c>
      <c r="U491" s="40">
        <f>IF(H491&lt;&gt;"",H491,T491)</f>
        <v/>
      </c>
      <c r="V491" s="40">
        <f>IF(OR(G491="",U491=""),"",G491*U491-N(I491))</f>
        <v/>
      </c>
      <c r="W491" s="39">
        <f>IF(D491="","",IFERROR(VALUE(MID(D491,LEN(D491)-3,3)),""))</f>
        <v/>
      </c>
      <c r="X491" s="33">
        <f>IF(W491="","",P491&amp;"|"&amp;W491)</f>
        <v/>
      </c>
      <c r="Y491" s="33">
        <f>IF(W491="","",IF(P491="À RENSEIGNER","GIC",P491)&amp;"-"&amp;TEXT(W491,"000"))</f>
        <v/>
      </c>
      <c r="Z491" s="33">
        <f>IF(X491="","",IFERROR(INDEX(Cl_nom,MATCH(X491,Cl_cle,0)),"(client introuvable)"))</f>
        <v/>
      </c>
      <c r="AA491" s="33">
        <f>IF(X491="","",IFERROR(INDEX(Cl_quartier,MATCH(X491,Cl_cle,0))&amp;"",""))</f>
        <v/>
      </c>
      <c r="AB491" s="45">
        <f>IF(R491&lt;&gt;"Livrée",0,IF(K491&lt;&gt;"",K491,C491))</f>
        <v/>
      </c>
      <c r="AC491" s="33">
        <f>IF(OR(C491="",W491=""),"",P491&amp;"|"&amp;W491&amp;"|"&amp;C491&amp;"|"&amp;E491)</f>
        <v/>
      </c>
      <c r="AD491" s="39">
        <f>IF(AC491="","",IF(COUNTIF(AC$6:AC491,AC491)=1,1,0))</f>
        <v/>
      </c>
      <c r="AE491" s="39">
        <f>IF(AB491=0,"",IF(COUNTIFS(X$6:X491,X491,AB$6:AB491,AB491)=1,1,0))</f>
        <v/>
      </c>
      <c r="AF491" s="34">
        <f>IF(C491="","",YEAR(C491-WEEKDAY(C491,2)+4)&amp;"-S"&amp;TEXT(INT((C491-DATE(YEAR(C491-WEEKDAY(C491,2)+4),1,3)+WEEKDAY(DATE(YEAR(C491-WEEKDAY(C491,2)+4),1,3),2)+5)/7),"00"))</f>
        <v/>
      </c>
    </row>
    <row r="492" ht="18" customHeight="1">
      <c r="A492" s="39" t="n">
        <v>487</v>
      </c>
      <c r="B492" s="33">
        <f>IF(C492="","",IF(P492="À RENSEIGNER","GIC",P492)&amp;"-C"&amp;TEXT(A492,"00000"))</f>
        <v/>
      </c>
      <c r="C492" s="32" t="n"/>
      <c r="D492" s="36" t="n"/>
      <c r="E492" s="36" t="n"/>
      <c r="F492" s="36" t="n"/>
      <c r="G492" s="42" t="n"/>
      <c r="H492" s="37" t="n"/>
      <c r="I492" s="37" t="n"/>
      <c r="J492" s="32" t="n"/>
      <c r="K492" s="32" t="n"/>
      <c r="L492" s="43" t="n"/>
      <c r="M492" s="36" t="n"/>
      <c r="N492" s="44" t="n"/>
      <c r="O492" s="36" t="n"/>
      <c r="P492" s="33">
        <f>IF(C492="","",Commercial_Id)</f>
        <v/>
      </c>
      <c r="Q492" s="34">
        <f>IF(AC492="","",IF(AD492=1,"C"&amp;TEXT(SUM(AD$6:AD492),"0000"),INDEX(Q$6:Q491,MATCH(AC492,AC$6:AC491,0))))</f>
        <v/>
      </c>
      <c r="R492" s="34">
        <f>IF(C492="","",IF(L492="☑ Oui","Annulée",IF(OR(E492="Vente directe",K492&lt;&gt;""),"Livrée",IF(J492&lt;&gt;"","Confirmée","En attente"))))</f>
        <v/>
      </c>
      <c r="S492" s="34">
        <f>IF(F492="","",IFERROR(VLOOKUP(F492,T_Produits,2,FALSE),""))</f>
        <v/>
      </c>
      <c r="T492" s="40">
        <f>IF(F492="","",IFERROR(1/(1/VLOOKUP(F492,T_Produits,3,FALSE)),""))</f>
        <v/>
      </c>
      <c r="U492" s="40">
        <f>IF(H492&lt;&gt;"",H492,T492)</f>
        <v/>
      </c>
      <c r="V492" s="40">
        <f>IF(OR(G492="",U492=""),"",G492*U492-N(I492))</f>
        <v/>
      </c>
      <c r="W492" s="39">
        <f>IF(D492="","",IFERROR(VALUE(MID(D492,LEN(D492)-3,3)),""))</f>
        <v/>
      </c>
      <c r="X492" s="33">
        <f>IF(W492="","",P492&amp;"|"&amp;W492)</f>
        <v/>
      </c>
      <c r="Y492" s="33">
        <f>IF(W492="","",IF(P492="À RENSEIGNER","GIC",P492)&amp;"-"&amp;TEXT(W492,"000"))</f>
        <v/>
      </c>
      <c r="Z492" s="33">
        <f>IF(X492="","",IFERROR(INDEX(Cl_nom,MATCH(X492,Cl_cle,0)),"(client introuvable)"))</f>
        <v/>
      </c>
      <c r="AA492" s="33">
        <f>IF(X492="","",IFERROR(INDEX(Cl_quartier,MATCH(X492,Cl_cle,0))&amp;"",""))</f>
        <v/>
      </c>
      <c r="AB492" s="45">
        <f>IF(R492&lt;&gt;"Livrée",0,IF(K492&lt;&gt;"",K492,C492))</f>
        <v/>
      </c>
      <c r="AC492" s="33">
        <f>IF(OR(C492="",W492=""),"",P492&amp;"|"&amp;W492&amp;"|"&amp;C492&amp;"|"&amp;E492)</f>
        <v/>
      </c>
      <c r="AD492" s="39">
        <f>IF(AC492="","",IF(COUNTIF(AC$6:AC492,AC492)=1,1,0))</f>
        <v/>
      </c>
      <c r="AE492" s="39">
        <f>IF(AB492=0,"",IF(COUNTIFS(X$6:X492,X492,AB$6:AB492,AB492)=1,1,0))</f>
        <v/>
      </c>
      <c r="AF492" s="34">
        <f>IF(C492="","",YEAR(C492-WEEKDAY(C492,2)+4)&amp;"-S"&amp;TEXT(INT((C492-DATE(YEAR(C492-WEEKDAY(C492,2)+4),1,3)+WEEKDAY(DATE(YEAR(C492-WEEKDAY(C492,2)+4),1,3),2)+5)/7),"00"))</f>
        <v/>
      </c>
    </row>
    <row r="493" ht="18" customHeight="1">
      <c r="A493" s="39" t="n">
        <v>488</v>
      </c>
      <c r="B493" s="33">
        <f>IF(C493="","",IF(P493="À RENSEIGNER","GIC",P493)&amp;"-C"&amp;TEXT(A493,"00000"))</f>
        <v/>
      </c>
      <c r="C493" s="32" t="n"/>
      <c r="D493" s="36" t="n"/>
      <c r="E493" s="36" t="n"/>
      <c r="F493" s="36" t="n"/>
      <c r="G493" s="42" t="n"/>
      <c r="H493" s="37" t="n"/>
      <c r="I493" s="37" t="n"/>
      <c r="J493" s="32" t="n"/>
      <c r="K493" s="32" t="n"/>
      <c r="L493" s="43" t="n"/>
      <c r="M493" s="36" t="n"/>
      <c r="N493" s="44" t="n"/>
      <c r="O493" s="36" t="n"/>
      <c r="P493" s="33">
        <f>IF(C493="","",Commercial_Id)</f>
        <v/>
      </c>
      <c r="Q493" s="34">
        <f>IF(AC493="","",IF(AD493=1,"C"&amp;TEXT(SUM(AD$6:AD493),"0000"),INDEX(Q$6:Q492,MATCH(AC493,AC$6:AC492,0))))</f>
        <v/>
      </c>
      <c r="R493" s="34">
        <f>IF(C493="","",IF(L493="☑ Oui","Annulée",IF(OR(E493="Vente directe",K493&lt;&gt;""),"Livrée",IF(J493&lt;&gt;"","Confirmée","En attente"))))</f>
        <v/>
      </c>
      <c r="S493" s="34">
        <f>IF(F493="","",IFERROR(VLOOKUP(F493,T_Produits,2,FALSE),""))</f>
        <v/>
      </c>
      <c r="T493" s="40">
        <f>IF(F493="","",IFERROR(1/(1/VLOOKUP(F493,T_Produits,3,FALSE)),""))</f>
        <v/>
      </c>
      <c r="U493" s="40">
        <f>IF(H493&lt;&gt;"",H493,T493)</f>
        <v/>
      </c>
      <c r="V493" s="40">
        <f>IF(OR(G493="",U493=""),"",G493*U493-N(I493))</f>
        <v/>
      </c>
      <c r="W493" s="39">
        <f>IF(D493="","",IFERROR(VALUE(MID(D493,LEN(D493)-3,3)),""))</f>
        <v/>
      </c>
      <c r="X493" s="33">
        <f>IF(W493="","",P493&amp;"|"&amp;W493)</f>
        <v/>
      </c>
      <c r="Y493" s="33">
        <f>IF(W493="","",IF(P493="À RENSEIGNER","GIC",P493)&amp;"-"&amp;TEXT(W493,"000"))</f>
        <v/>
      </c>
      <c r="Z493" s="33">
        <f>IF(X493="","",IFERROR(INDEX(Cl_nom,MATCH(X493,Cl_cle,0)),"(client introuvable)"))</f>
        <v/>
      </c>
      <c r="AA493" s="33">
        <f>IF(X493="","",IFERROR(INDEX(Cl_quartier,MATCH(X493,Cl_cle,0))&amp;"",""))</f>
        <v/>
      </c>
      <c r="AB493" s="45">
        <f>IF(R493&lt;&gt;"Livrée",0,IF(K493&lt;&gt;"",K493,C493))</f>
        <v/>
      </c>
      <c r="AC493" s="33">
        <f>IF(OR(C493="",W493=""),"",P493&amp;"|"&amp;W493&amp;"|"&amp;C493&amp;"|"&amp;E493)</f>
        <v/>
      </c>
      <c r="AD493" s="39">
        <f>IF(AC493="","",IF(COUNTIF(AC$6:AC493,AC493)=1,1,0))</f>
        <v/>
      </c>
      <c r="AE493" s="39">
        <f>IF(AB493=0,"",IF(COUNTIFS(X$6:X493,X493,AB$6:AB493,AB493)=1,1,0))</f>
        <v/>
      </c>
      <c r="AF493" s="34">
        <f>IF(C493="","",YEAR(C493-WEEKDAY(C493,2)+4)&amp;"-S"&amp;TEXT(INT((C493-DATE(YEAR(C493-WEEKDAY(C493,2)+4),1,3)+WEEKDAY(DATE(YEAR(C493-WEEKDAY(C493,2)+4),1,3),2)+5)/7),"00"))</f>
        <v/>
      </c>
    </row>
    <row r="494" ht="18" customHeight="1">
      <c r="A494" s="39" t="n">
        <v>489</v>
      </c>
      <c r="B494" s="33">
        <f>IF(C494="","",IF(P494="À RENSEIGNER","GIC",P494)&amp;"-C"&amp;TEXT(A494,"00000"))</f>
        <v/>
      </c>
      <c r="C494" s="32" t="n"/>
      <c r="D494" s="36" t="n"/>
      <c r="E494" s="36" t="n"/>
      <c r="F494" s="36" t="n"/>
      <c r="G494" s="42" t="n"/>
      <c r="H494" s="37" t="n"/>
      <c r="I494" s="37" t="n"/>
      <c r="J494" s="32" t="n"/>
      <c r="K494" s="32" t="n"/>
      <c r="L494" s="43" t="n"/>
      <c r="M494" s="36" t="n"/>
      <c r="N494" s="44" t="n"/>
      <c r="O494" s="36" t="n"/>
      <c r="P494" s="33">
        <f>IF(C494="","",Commercial_Id)</f>
        <v/>
      </c>
      <c r="Q494" s="34">
        <f>IF(AC494="","",IF(AD494=1,"C"&amp;TEXT(SUM(AD$6:AD494),"0000"),INDEX(Q$6:Q493,MATCH(AC494,AC$6:AC493,0))))</f>
        <v/>
      </c>
      <c r="R494" s="34">
        <f>IF(C494="","",IF(L494="☑ Oui","Annulée",IF(OR(E494="Vente directe",K494&lt;&gt;""),"Livrée",IF(J494&lt;&gt;"","Confirmée","En attente"))))</f>
        <v/>
      </c>
      <c r="S494" s="34">
        <f>IF(F494="","",IFERROR(VLOOKUP(F494,T_Produits,2,FALSE),""))</f>
        <v/>
      </c>
      <c r="T494" s="40">
        <f>IF(F494="","",IFERROR(1/(1/VLOOKUP(F494,T_Produits,3,FALSE)),""))</f>
        <v/>
      </c>
      <c r="U494" s="40">
        <f>IF(H494&lt;&gt;"",H494,T494)</f>
        <v/>
      </c>
      <c r="V494" s="40">
        <f>IF(OR(G494="",U494=""),"",G494*U494-N(I494))</f>
        <v/>
      </c>
      <c r="W494" s="39">
        <f>IF(D494="","",IFERROR(VALUE(MID(D494,LEN(D494)-3,3)),""))</f>
        <v/>
      </c>
      <c r="X494" s="33">
        <f>IF(W494="","",P494&amp;"|"&amp;W494)</f>
        <v/>
      </c>
      <c r="Y494" s="33">
        <f>IF(W494="","",IF(P494="À RENSEIGNER","GIC",P494)&amp;"-"&amp;TEXT(W494,"000"))</f>
        <v/>
      </c>
      <c r="Z494" s="33">
        <f>IF(X494="","",IFERROR(INDEX(Cl_nom,MATCH(X494,Cl_cle,0)),"(client introuvable)"))</f>
        <v/>
      </c>
      <c r="AA494" s="33">
        <f>IF(X494="","",IFERROR(INDEX(Cl_quartier,MATCH(X494,Cl_cle,0))&amp;"",""))</f>
        <v/>
      </c>
      <c r="AB494" s="45">
        <f>IF(R494&lt;&gt;"Livrée",0,IF(K494&lt;&gt;"",K494,C494))</f>
        <v/>
      </c>
      <c r="AC494" s="33">
        <f>IF(OR(C494="",W494=""),"",P494&amp;"|"&amp;W494&amp;"|"&amp;C494&amp;"|"&amp;E494)</f>
        <v/>
      </c>
      <c r="AD494" s="39">
        <f>IF(AC494="","",IF(COUNTIF(AC$6:AC494,AC494)=1,1,0))</f>
        <v/>
      </c>
      <c r="AE494" s="39">
        <f>IF(AB494=0,"",IF(COUNTIFS(X$6:X494,X494,AB$6:AB494,AB494)=1,1,0))</f>
        <v/>
      </c>
      <c r="AF494" s="34">
        <f>IF(C494="","",YEAR(C494-WEEKDAY(C494,2)+4)&amp;"-S"&amp;TEXT(INT((C494-DATE(YEAR(C494-WEEKDAY(C494,2)+4),1,3)+WEEKDAY(DATE(YEAR(C494-WEEKDAY(C494,2)+4),1,3),2)+5)/7),"00"))</f>
        <v/>
      </c>
    </row>
    <row r="495" ht="18" customHeight="1">
      <c r="A495" s="39" t="n">
        <v>490</v>
      </c>
      <c r="B495" s="33">
        <f>IF(C495="","",IF(P495="À RENSEIGNER","GIC",P495)&amp;"-C"&amp;TEXT(A495,"00000"))</f>
        <v/>
      </c>
      <c r="C495" s="32" t="n"/>
      <c r="D495" s="36" t="n"/>
      <c r="E495" s="36" t="n"/>
      <c r="F495" s="36" t="n"/>
      <c r="G495" s="42" t="n"/>
      <c r="H495" s="37" t="n"/>
      <c r="I495" s="37" t="n"/>
      <c r="J495" s="32" t="n"/>
      <c r="K495" s="32" t="n"/>
      <c r="L495" s="43" t="n"/>
      <c r="M495" s="36" t="n"/>
      <c r="N495" s="44" t="n"/>
      <c r="O495" s="36" t="n"/>
      <c r="P495" s="33">
        <f>IF(C495="","",Commercial_Id)</f>
        <v/>
      </c>
      <c r="Q495" s="34">
        <f>IF(AC495="","",IF(AD495=1,"C"&amp;TEXT(SUM(AD$6:AD495),"0000"),INDEX(Q$6:Q494,MATCH(AC495,AC$6:AC494,0))))</f>
        <v/>
      </c>
      <c r="R495" s="34">
        <f>IF(C495="","",IF(L495="☑ Oui","Annulée",IF(OR(E495="Vente directe",K495&lt;&gt;""),"Livrée",IF(J495&lt;&gt;"","Confirmée","En attente"))))</f>
        <v/>
      </c>
      <c r="S495" s="34">
        <f>IF(F495="","",IFERROR(VLOOKUP(F495,T_Produits,2,FALSE),""))</f>
        <v/>
      </c>
      <c r="T495" s="40">
        <f>IF(F495="","",IFERROR(1/(1/VLOOKUP(F495,T_Produits,3,FALSE)),""))</f>
        <v/>
      </c>
      <c r="U495" s="40">
        <f>IF(H495&lt;&gt;"",H495,T495)</f>
        <v/>
      </c>
      <c r="V495" s="40">
        <f>IF(OR(G495="",U495=""),"",G495*U495-N(I495))</f>
        <v/>
      </c>
      <c r="W495" s="39">
        <f>IF(D495="","",IFERROR(VALUE(MID(D495,LEN(D495)-3,3)),""))</f>
        <v/>
      </c>
      <c r="X495" s="33">
        <f>IF(W495="","",P495&amp;"|"&amp;W495)</f>
        <v/>
      </c>
      <c r="Y495" s="33">
        <f>IF(W495="","",IF(P495="À RENSEIGNER","GIC",P495)&amp;"-"&amp;TEXT(W495,"000"))</f>
        <v/>
      </c>
      <c r="Z495" s="33">
        <f>IF(X495="","",IFERROR(INDEX(Cl_nom,MATCH(X495,Cl_cle,0)),"(client introuvable)"))</f>
        <v/>
      </c>
      <c r="AA495" s="33">
        <f>IF(X495="","",IFERROR(INDEX(Cl_quartier,MATCH(X495,Cl_cle,0))&amp;"",""))</f>
        <v/>
      </c>
      <c r="AB495" s="45">
        <f>IF(R495&lt;&gt;"Livrée",0,IF(K495&lt;&gt;"",K495,C495))</f>
        <v/>
      </c>
      <c r="AC495" s="33">
        <f>IF(OR(C495="",W495=""),"",P495&amp;"|"&amp;W495&amp;"|"&amp;C495&amp;"|"&amp;E495)</f>
        <v/>
      </c>
      <c r="AD495" s="39">
        <f>IF(AC495="","",IF(COUNTIF(AC$6:AC495,AC495)=1,1,0))</f>
        <v/>
      </c>
      <c r="AE495" s="39">
        <f>IF(AB495=0,"",IF(COUNTIFS(X$6:X495,X495,AB$6:AB495,AB495)=1,1,0))</f>
        <v/>
      </c>
      <c r="AF495" s="34">
        <f>IF(C495="","",YEAR(C495-WEEKDAY(C495,2)+4)&amp;"-S"&amp;TEXT(INT((C495-DATE(YEAR(C495-WEEKDAY(C495,2)+4),1,3)+WEEKDAY(DATE(YEAR(C495-WEEKDAY(C495,2)+4),1,3),2)+5)/7),"00"))</f>
        <v/>
      </c>
    </row>
    <row r="496" ht="18" customHeight="1">
      <c r="A496" s="39" t="n">
        <v>491</v>
      </c>
      <c r="B496" s="33">
        <f>IF(C496="","",IF(P496="À RENSEIGNER","GIC",P496)&amp;"-C"&amp;TEXT(A496,"00000"))</f>
        <v/>
      </c>
      <c r="C496" s="32" t="n"/>
      <c r="D496" s="36" t="n"/>
      <c r="E496" s="36" t="n"/>
      <c r="F496" s="36" t="n"/>
      <c r="G496" s="42" t="n"/>
      <c r="H496" s="37" t="n"/>
      <c r="I496" s="37" t="n"/>
      <c r="J496" s="32" t="n"/>
      <c r="K496" s="32" t="n"/>
      <c r="L496" s="43" t="n"/>
      <c r="M496" s="36" t="n"/>
      <c r="N496" s="44" t="n"/>
      <c r="O496" s="36" t="n"/>
      <c r="P496" s="33">
        <f>IF(C496="","",Commercial_Id)</f>
        <v/>
      </c>
      <c r="Q496" s="34">
        <f>IF(AC496="","",IF(AD496=1,"C"&amp;TEXT(SUM(AD$6:AD496),"0000"),INDEX(Q$6:Q495,MATCH(AC496,AC$6:AC495,0))))</f>
        <v/>
      </c>
      <c r="R496" s="34">
        <f>IF(C496="","",IF(L496="☑ Oui","Annulée",IF(OR(E496="Vente directe",K496&lt;&gt;""),"Livrée",IF(J496&lt;&gt;"","Confirmée","En attente"))))</f>
        <v/>
      </c>
      <c r="S496" s="34">
        <f>IF(F496="","",IFERROR(VLOOKUP(F496,T_Produits,2,FALSE),""))</f>
        <v/>
      </c>
      <c r="T496" s="40">
        <f>IF(F496="","",IFERROR(1/(1/VLOOKUP(F496,T_Produits,3,FALSE)),""))</f>
        <v/>
      </c>
      <c r="U496" s="40">
        <f>IF(H496&lt;&gt;"",H496,T496)</f>
        <v/>
      </c>
      <c r="V496" s="40">
        <f>IF(OR(G496="",U496=""),"",G496*U496-N(I496))</f>
        <v/>
      </c>
      <c r="W496" s="39">
        <f>IF(D496="","",IFERROR(VALUE(MID(D496,LEN(D496)-3,3)),""))</f>
        <v/>
      </c>
      <c r="X496" s="33">
        <f>IF(W496="","",P496&amp;"|"&amp;W496)</f>
        <v/>
      </c>
      <c r="Y496" s="33">
        <f>IF(W496="","",IF(P496="À RENSEIGNER","GIC",P496)&amp;"-"&amp;TEXT(W496,"000"))</f>
        <v/>
      </c>
      <c r="Z496" s="33">
        <f>IF(X496="","",IFERROR(INDEX(Cl_nom,MATCH(X496,Cl_cle,0)),"(client introuvable)"))</f>
        <v/>
      </c>
      <c r="AA496" s="33">
        <f>IF(X496="","",IFERROR(INDEX(Cl_quartier,MATCH(X496,Cl_cle,0))&amp;"",""))</f>
        <v/>
      </c>
      <c r="AB496" s="45">
        <f>IF(R496&lt;&gt;"Livrée",0,IF(K496&lt;&gt;"",K496,C496))</f>
        <v/>
      </c>
      <c r="AC496" s="33">
        <f>IF(OR(C496="",W496=""),"",P496&amp;"|"&amp;W496&amp;"|"&amp;C496&amp;"|"&amp;E496)</f>
        <v/>
      </c>
      <c r="AD496" s="39">
        <f>IF(AC496="","",IF(COUNTIF(AC$6:AC496,AC496)=1,1,0))</f>
        <v/>
      </c>
      <c r="AE496" s="39">
        <f>IF(AB496=0,"",IF(COUNTIFS(X$6:X496,X496,AB$6:AB496,AB496)=1,1,0))</f>
        <v/>
      </c>
      <c r="AF496" s="34">
        <f>IF(C496="","",YEAR(C496-WEEKDAY(C496,2)+4)&amp;"-S"&amp;TEXT(INT((C496-DATE(YEAR(C496-WEEKDAY(C496,2)+4),1,3)+WEEKDAY(DATE(YEAR(C496-WEEKDAY(C496,2)+4),1,3),2)+5)/7),"00"))</f>
        <v/>
      </c>
    </row>
    <row r="497" ht="18" customHeight="1">
      <c r="A497" s="39" t="n">
        <v>492</v>
      </c>
      <c r="B497" s="33">
        <f>IF(C497="","",IF(P497="À RENSEIGNER","GIC",P497)&amp;"-C"&amp;TEXT(A497,"00000"))</f>
        <v/>
      </c>
      <c r="C497" s="32" t="n"/>
      <c r="D497" s="36" t="n"/>
      <c r="E497" s="36" t="n"/>
      <c r="F497" s="36" t="n"/>
      <c r="G497" s="42" t="n"/>
      <c r="H497" s="37" t="n"/>
      <c r="I497" s="37" t="n"/>
      <c r="J497" s="32" t="n"/>
      <c r="K497" s="32" t="n"/>
      <c r="L497" s="43" t="n"/>
      <c r="M497" s="36" t="n"/>
      <c r="N497" s="44" t="n"/>
      <c r="O497" s="36" t="n"/>
      <c r="P497" s="33">
        <f>IF(C497="","",Commercial_Id)</f>
        <v/>
      </c>
      <c r="Q497" s="34">
        <f>IF(AC497="","",IF(AD497=1,"C"&amp;TEXT(SUM(AD$6:AD497),"0000"),INDEX(Q$6:Q496,MATCH(AC497,AC$6:AC496,0))))</f>
        <v/>
      </c>
      <c r="R497" s="34">
        <f>IF(C497="","",IF(L497="☑ Oui","Annulée",IF(OR(E497="Vente directe",K497&lt;&gt;""),"Livrée",IF(J497&lt;&gt;"","Confirmée","En attente"))))</f>
        <v/>
      </c>
      <c r="S497" s="34">
        <f>IF(F497="","",IFERROR(VLOOKUP(F497,T_Produits,2,FALSE),""))</f>
        <v/>
      </c>
      <c r="T497" s="40">
        <f>IF(F497="","",IFERROR(1/(1/VLOOKUP(F497,T_Produits,3,FALSE)),""))</f>
        <v/>
      </c>
      <c r="U497" s="40">
        <f>IF(H497&lt;&gt;"",H497,T497)</f>
        <v/>
      </c>
      <c r="V497" s="40">
        <f>IF(OR(G497="",U497=""),"",G497*U497-N(I497))</f>
        <v/>
      </c>
      <c r="W497" s="39">
        <f>IF(D497="","",IFERROR(VALUE(MID(D497,LEN(D497)-3,3)),""))</f>
        <v/>
      </c>
      <c r="X497" s="33">
        <f>IF(W497="","",P497&amp;"|"&amp;W497)</f>
        <v/>
      </c>
      <c r="Y497" s="33">
        <f>IF(W497="","",IF(P497="À RENSEIGNER","GIC",P497)&amp;"-"&amp;TEXT(W497,"000"))</f>
        <v/>
      </c>
      <c r="Z497" s="33">
        <f>IF(X497="","",IFERROR(INDEX(Cl_nom,MATCH(X497,Cl_cle,0)),"(client introuvable)"))</f>
        <v/>
      </c>
      <c r="AA497" s="33">
        <f>IF(X497="","",IFERROR(INDEX(Cl_quartier,MATCH(X497,Cl_cle,0))&amp;"",""))</f>
        <v/>
      </c>
      <c r="AB497" s="45">
        <f>IF(R497&lt;&gt;"Livrée",0,IF(K497&lt;&gt;"",K497,C497))</f>
        <v/>
      </c>
      <c r="AC497" s="33">
        <f>IF(OR(C497="",W497=""),"",P497&amp;"|"&amp;W497&amp;"|"&amp;C497&amp;"|"&amp;E497)</f>
        <v/>
      </c>
      <c r="AD497" s="39">
        <f>IF(AC497="","",IF(COUNTIF(AC$6:AC497,AC497)=1,1,0))</f>
        <v/>
      </c>
      <c r="AE497" s="39">
        <f>IF(AB497=0,"",IF(COUNTIFS(X$6:X497,X497,AB$6:AB497,AB497)=1,1,0))</f>
        <v/>
      </c>
      <c r="AF497" s="34">
        <f>IF(C497="","",YEAR(C497-WEEKDAY(C497,2)+4)&amp;"-S"&amp;TEXT(INT((C497-DATE(YEAR(C497-WEEKDAY(C497,2)+4),1,3)+WEEKDAY(DATE(YEAR(C497-WEEKDAY(C497,2)+4),1,3),2)+5)/7),"00"))</f>
        <v/>
      </c>
    </row>
    <row r="498" ht="18" customHeight="1">
      <c r="A498" s="39" t="n">
        <v>493</v>
      </c>
      <c r="B498" s="33">
        <f>IF(C498="","",IF(P498="À RENSEIGNER","GIC",P498)&amp;"-C"&amp;TEXT(A498,"00000"))</f>
        <v/>
      </c>
      <c r="C498" s="32" t="n"/>
      <c r="D498" s="36" t="n"/>
      <c r="E498" s="36" t="n"/>
      <c r="F498" s="36" t="n"/>
      <c r="G498" s="42" t="n"/>
      <c r="H498" s="37" t="n"/>
      <c r="I498" s="37" t="n"/>
      <c r="J498" s="32" t="n"/>
      <c r="K498" s="32" t="n"/>
      <c r="L498" s="43" t="n"/>
      <c r="M498" s="36" t="n"/>
      <c r="N498" s="44" t="n"/>
      <c r="O498" s="36" t="n"/>
      <c r="P498" s="33">
        <f>IF(C498="","",Commercial_Id)</f>
        <v/>
      </c>
      <c r="Q498" s="34">
        <f>IF(AC498="","",IF(AD498=1,"C"&amp;TEXT(SUM(AD$6:AD498),"0000"),INDEX(Q$6:Q497,MATCH(AC498,AC$6:AC497,0))))</f>
        <v/>
      </c>
      <c r="R498" s="34">
        <f>IF(C498="","",IF(L498="☑ Oui","Annulée",IF(OR(E498="Vente directe",K498&lt;&gt;""),"Livrée",IF(J498&lt;&gt;"","Confirmée","En attente"))))</f>
        <v/>
      </c>
      <c r="S498" s="34">
        <f>IF(F498="","",IFERROR(VLOOKUP(F498,T_Produits,2,FALSE),""))</f>
        <v/>
      </c>
      <c r="T498" s="40">
        <f>IF(F498="","",IFERROR(1/(1/VLOOKUP(F498,T_Produits,3,FALSE)),""))</f>
        <v/>
      </c>
      <c r="U498" s="40">
        <f>IF(H498&lt;&gt;"",H498,T498)</f>
        <v/>
      </c>
      <c r="V498" s="40">
        <f>IF(OR(G498="",U498=""),"",G498*U498-N(I498))</f>
        <v/>
      </c>
      <c r="W498" s="39">
        <f>IF(D498="","",IFERROR(VALUE(MID(D498,LEN(D498)-3,3)),""))</f>
        <v/>
      </c>
      <c r="X498" s="33">
        <f>IF(W498="","",P498&amp;"|"&amp;W498)</f>
        <v/>
      </c>
      <c r="Y498" s="33">
        <f>IF(W498="","",IF(P498="À RENSEIGNER","GIC",P498)&amp;"-"&amp;TEXT(W498,"000"))</f>
        <v/>
      </c>
      <c r="Z498" s="33">
        <f>IF(X498="","",IFERROR(INDEX(Cl_nom,MATCH(X498,Cl_cle,0)),"(client introuvable)"))</f>
        <v/>
      </c>
      <c r="AA498" s="33">
        <f>IF(X498="","",IFERROR(INDEX(Cl_quartier,MATCH(X498,Cl_cle,0))&amp;"",""))</f>
        <v/>
      </c>
      <c r="AB498" s="45">
        <f>IF(R498&lt;&gt;"Livrée",0,IF(K498&lt;&gt;"",K498,C498))</f>
        <v/>
      </c>
      <c r="AC498" s="33">
        <f>IF(OR(C498="",W498=""),"",P498&amp;"|"&amp;W498&amp;"|"&amp;C498&amp;"|"&amp;E498)</f>
        <v/>
      </c>
      <c r="AD498" s="39">
        <f>IF(AC498="","",IF(COUNTIF(AC$6:AC498,AC498)=1,1,0))</f>
        <v/>
      </c>
      <c r="AE498" s="39">
        <f>IF(AB498=0,"",IF(COUNTIFS(X$6:X498,X498,AB$6:AB498,AB498)=1,1,0))</f>
        <v/>
      </c>
      <c r="AF498" s="34">
        <f>IF(C498="","",YEAR(C498-WEEKDAY(C498,2)+4)&amp;"-S"&amp;TEXT(INT((C498-DATE(YEAR(C498-WEEKDAY(C498,2)+4),1,3)+WEEKDAY(DATE(YEAR(C498-WEEKDAY(C498,2)+4),1,3),2)+5)/7),"00"))</f>
        <v/>
      </c>
    </row>
    <row r="499" ht="18" customHeight="1">
      <c r="A499" s="39" t="n">
        <v>494</v>
      </c>
      <c r="B499" s="33">
        <f>IF(C499="","",IF(P499="À RENSEIGNER","GIC",P499)&amp;"-C"&amp;TEXT(A499,"00000"))</f>
        <v/>
      </c>
      <c r="C499" s="32" t="n"/>
      <c r="D499" s="36" t="n"/>
      <c r="E499" s="36" t="n"/>
      <c r="F499" s="36" t="n"/>
      <c r="G499" s="42" t="n"/>
      <c r="H499" s="37" t="n"/>
      <c r="I499" s="37" t="n"/>
      <c r="J499" s="32" t="n"/>
      <c r="K499" s="32" t="n"/>
      <c r="L499" s="43" t="n"/>
      <c r="M499" s="36" t="n"/>
      <c r="N499" s="44" t="n"/>
      <c r="O499" s="36" t="n"/>
      <c r="P499" s="33">
        <f>IF(C499="","",Commercial_Id)</f>
        <v/>
      </c>
      <c r="Q499" s="34">
        <f>IF(AC499="","",IF(AD499=1,"C"&amp;TEXT(SUM(AD$6:AD499),"0000"),INDEX(Q$6:Q498,MATCH(AC499,AC$6:AC498,0))))</f>
        <v/>
      </c>
      <c r="R499" s="34">
        <f>IF(C499="","",IF(L499="☑ Oui","Annulée",IF(OR(E499="Vente directe",K499&lt;&gt;""),"Livrée",IF(J499&lt;&gt;"","Confirmée","En attente"))))</f>
        <v/>
      </c>
      <c r="S499" s="34">
        <f>IF(F499="","",IFERROR(VLOOKUP(F499,T_Produits,2,FALSE),""))</f>
        <v/>
      </c>
      <c r="T499" s="40">
        <f>IF(F499="","",IFERROR(1/(1/VLOOKUP(F499,T_Produits,3,FALSE)),""))</f>
        <v/>
      </c>
      <c r="U499" s="40">
        <f>IF(H499&lt;&gt;"",H499,T499)</f>
        <v/>
      </c>
      <c r="V499" s="40">
        <f>IF(OR(G499="",U499=""),"",G499*U499-N(I499))</f>
        <v/>
      </c>
      <c r="W499" s="39">
        <f>IF(D499="","",IFERROR(VALUE(MID(D499,LEN(D499)-3,3)),""))</f>
        <v/>
      </c>
      <c r="X499" s="33">
        <f>IF(W499="","",P499&amp;"|"&amp;W499)</f>
        <v/>
      </c>
      <c r="Y499" s="33">
        <f>IF(W499="","",IF(P499="À RENSEIGNER","GIC",P499)&amp;"-"&amp;TEXT(W499,"000"))</f>
        <v/>
      </c>
      <c r="Z499" s="33">
        <f>IF(X499="","",IFERROR(INDEX(Cl_nom,MATCH(X499,Cl_cle,0)),"(client introuvable)"))</f>
        <v/>
      </c>
      <c r="AA499" s="33">
        <f>IF(X499="","",IFERROR(INDEX(Cl_quartier,MATCH(X499,Cl_cle,0))&amp;"",""))</f>
        <v/>
      </c>
      <c r="AB499" s="45">
        <f>IF(R499&lt;&gt;"Livrée",0,IF(K499&lt;&gt;"",K499,C499))</f>
        <v/>
      </c>
      <c r="AC499" s="33">
        <f>IF(OR(C499="",W499=""),"",P499&amp;"|"&amp;W499&amp;"|"&amp;C499&amp;"|"&amp;E499)</f>
        <v/>
      </c>
      <c r="AD499" s="39">
        <f>IF(AC499="","",IF(COUNTIF(AC$6:AC499,AC499)=1,1,0))</f>
        <v/>
      </c>
      <c r="AE499" s="39">
        <f>IF(AB499=0,"",IF(COUNTIFS(X$6:X499,X499,AB$6:AB499,AB499)=1,1,0))</f>
        <v/>
      </c>
      <c r="AF499" s="34">
        <f>IF(C499="","",YEAR(C499-WEEKDAY(C499,2)+4)&amp;"-S"&amp;TEXT(INT((C499-DATE(YEAR(C499-WEEKDAY(C499,2)+4),1,3)+WEEKDAY(DATE(YEAR(C499-WEEKDAY(C499,2)+4),1,3),2)+5)/7),"00"))</f>
        <v/>
      </c>
    </row>
    <row r="500" ht="18" customHeight="1">
      <c r="A500" s="39" t="n">
        <v>495</v>
      </c>
      <c r="B500" s="33">
        <f>IF(C500="","",IF(P500="À RENSEIGNER","GIC",P500)&amp;"-C"&amp;TEXT(A500,"00000"))</f>
        <v/>
      </c>
      <c r="C500" s="32" t="n"/>
      <c r="D500" s="36" t="n"/>
      <c r="E500" s="36" t="n"/>
      <c r="F500" s="36" t="n"/>
      <c r="G500" s="42" t="n"/>
      <c r="H500" s="37" t="n"/>
      <c r="I500" s="37" t="n"/>
      <c r="J500" s="32" t="n"/>
      <c r="K500" s="32" t="n"/>
      <c r="L500" s="43" t="n"/>
      <c r="M500" s="36" t="n"/>
      <c r="N500" s="44" t="n"/>
      <c r="O500" s="36" t="n"/>
      <c r="P500" s="33">
        <f>IF(C500="","",Commercial_Id)</f>
        <v/>
      </c>
      <c r="Q500" s="34">
        <f>IF(AC500="","",IF(AD500=1,"C"&amp;TEXT(SUM(AD$6:AD500),"0000"),INDEX(Q$6:Q499,MATCH(AC500,AC$6:AC499,0))))</f>
        <v/>
      </c>
      <c r="R500" s="34">
        <f>IF(C500="","",IF(L500="☑ Oui","Annulée",IF(OR(E500="Vente directe",K500&lt;&gt;""),"Livrée",IF(J500&lt;&gt;"","Confirmée","En attente"))))</f>
        <v/>
      </c>
      <c r="S500" s="34">
        <f>IF(F500="","",IFERROR(VLOOKUP(F500,T_Produits,2,FALSE),""))</f>
        <v/>
      </c>
      <c r="T500" s="40">
        <f>IF(F500="","",IFERROR(1/(1/VLOOKUP(F500,T_Produits,3,FALSE)),""))</f>
        <v/>
      </c>
      <c r="U500" s="40">
        <f>IF(H500&lt;&gt;"",H500,T500)</f>
        <v/>
      </c>
      <c r="V500" s="40">
        <f>IF(OR(G500="",U500=""),"",G500*U500-N(I500))</f>
        <v/>
      </c>
      <c r="W500" s="39">
        <f>IF(D500="","",IFERROR(VALUE(MID(D500,LEN(D500)-3,3)),""))</f>
        <v/>
      </c>
      <c r="X500" s="33">
        <f>IF(W500="","",P500&amp;"|"&amp;W500)</f>
        <v/>
      </c>
      <c r="Y500" s="33">
        <f>IF(W500="","",IF(P500="À RENSEIGNER","GIC",P500)&amp;"-"&amp;TEXT(W500,"000"))</f>
        <v/>
      </c>
      <c r="Z500" s="33">
        <f>IF(X500="","",IFERROR(INDEX(Cl_nom,MATCH(X500,Cl_cle,0)),"(client introuvable)"))</f>
        <v/>
      </c>
      <c r="AA500" s="33">
        <f>IF(X500="","",IFERROR(INDEX(Cl_quartier,MATCH(X500,Cl_cle,0))&amp;"",""))</f>
        <v/>
      </c>
      <c r="AB500" s="45">
        <f>IF(R500&lt;&gt;"Livrée",0,IF(K500&lt;&gt;"",K500,C500))</f>
        <v/>
      </c>
      <c r="AC500" s="33">
        <f>IF(OR(C500="",W500=""),"",P500&amp;"|"&amp;W500&amp;"|"&amp;C500&amp;"|"&amp;E500)</f>
        <v/>
      </c>
      <c r="AD500" s="39">
        <f>IF(AC500="","",IF(COUNTIF(AC$6:AC500,AC500)=1,1,0))</f>
        <v/>
      </c>
      <c r="AE500" s="39">
        <f>IF(AB500=0,"",IF(COUNTIFS(X$6:X500,X500,AB$6:AB500,AB500)=1,1,0))</f>
        <v/>
      </c>
      <c r="AF500" s="34">
        <f>IF(C500="","",YEAR(C500-WEEKDAY(C500,2)+4)&amp;"-S"&amp;TEXT(INT((C500-DATE(YEAR(C500-WEEKDAY(C500,2)+4),1,3)+WEEKDAY(DATE(YEAR(C500-WEEKDAY(C500,2)+4),1,3),2)+5)/7),"00"))</f>
        <v/>
      </c>
    </row>
    <row r="501" ht="18" customHeight="1">
      <c r="A501" s="39" t="n">
        <v>496</v>
      </c>
      <c r="B501" s="33">
        <f>IF(C501="","",IF(P501="À RENSEIGNER","GIC",P501)&amp;"-C"&amp;TEXT(A501,"00000"))</f>
        <v/>
      </c>
      <c r="C501" s="32" t="n"/>
      <c r="D501" s="36" t="n"/>
      <c r="E501" s="36" t="n"/>
      <c r="F501" s="36" t="n"/>
      <c r="G501" s="42" t="n"/>
      <c r="H501" s="37" t="n"/>
      <c r="I501" s="37" t="n"/>
      <c r="J501" s="32" t="n"/>
      <c r="K501" s="32" t="n"/>
      <c r="L501" s="43" t="n"/>
      <c r="M501" s="36" t="n"/>
      <c r="N501" s="44" t="n"/>
      <c r="O501" s="36" t="n"/>
      <c r="P501" s="33">
        <f>IF(C501="","",Commercial_Id)</f>
        <v/>
      </c>
      <c r="Q501" s="34">
        <f>IF(AC501="","",IF(AD501=1,"C"&amp;TEXT(SUM(AD$6:AD501),"0000"),INDEX(Q$6:Q500,MATCH(AC501,AC$6:AC500,0))))</f>
        <v/>
      </c>
      <c r="R501" s="34">
        <f>IF(C501="","",IF(L501="☑ Oui","Annulée",IF(OR(E501="Vente directe",K501&lt;&gt;""),"Livrée",IF(J501&lt;&gt;"","Confirmée","En attente"))))</f>
        <v/>
      </c>
      <c r="S501" s="34">
        <f>IF(F501="","",IFERROR(VLOOKUP(F501,T_Produits,2,FALSE),""))</f>
        <v/>
      </c>
      <c r="T501" s="40">
        <f>IF(F501="","",IFERROR(1/(1/VLOOKUP(F501,T_Produits,3,FALSE)),""))</f>
        <v/>
      </c>
      <c r="U501" s="40">
        <f>IF(H501&lt;&gt;"",H501,T501)</f>
        <v/>
      </c>
      <c r="V501" s="40">
        <f>IF(OR(G501="",U501=""),"",G501*U501-N(I501))</f>
        <v/>
      </c>
      <c r="W501" s="39">
        <f>IF(D501="","",IFERROR(VALUE(MID(D501,LEN(D501)-3,3)),""))</f>
        <v/>
      </c>
      <c r="X501" s="33">
        <f>IF(W501="","",P501&amp;"|"&amp;W501)</f>
        <v/>
      </c>
      <c r="Y501" s="33">
        <f>IF(W501="","",IF(P501="À RENSEIGNER","GIC",P501)&amp;"-"&amp;TEXT(W501,"000"))</f>
        <v/>
      </c>
      <c r="Z501" s="33">
        <f>IF(X501="","",IFERROR(INDEX(Cl_nom,MATCH(X501,Cl_cle,0)),"(client introuvable)"))</f>
        <v/>
      </c>
      <c r="AA501" s="33">
        <f>IF(X501="","",IFERROR(INDEX(Cl_quartier,MATCH(X501,Cl_cle,0))&amp;"",""))</f>
        <v/>
      </c>
      <c r="AB501" s="45">
        <f>IF(R501&lt;&gt;"Livrée",0,IF(K501&lt;&gt;"",K501,C501))</f>
        <v/>
      </c>
      <c r="AC501" s="33">
        <f>IF(OR(C501="",W501=""),"",P501&amp;"|"&amp;W501&amp;"|"&amp;C501&amp;"|"&amp;E501)</f>
        <v/>
      </c>
      <c r="AD501" s="39">
        <f>IF(AC501="","",IF(COUNTIF(AC$6:AC501,AC501)=1,1,0))</f>
        <v/>
      </c>
      <c r="AE501" s="39">
        <f>IF(AB501=0,"",IF(COUNTIFS(X$6:X501,X501,AB$6:AB501,AB501)=1,1,0))</f>
        <v/>
      </c>
      <c r="AF501" s="34">
        <f>IF(C501="","",YEAR(C501-WEEKDAY(C501,2)+4)&amp;"-S"&amp;TEXT(INT((C501-DATE(YEAR(C501-WEEKDAY(C501,2)+4),1,3)+WEEKDAY(DATE(YEAR(C501-WEEKDAY(C501,2)+4),1,3),2)+5)/7),"00"))</f>
        <v/>
      </c>
    </row>
    <row r="502" ht="18" customHeight="1">
      <c r="A502" s="39" t="n">
        <v>497</v>
      </c>
      <c r="B502" s="33">
        <f>IF(C502="","",IF(P502="À RENSEIGNER","GIC",P502)&amp;"-C"&amp;TEXT(A502,"00000"))</f>
        <v/>
      </c>
      <c r="C502" s="32" t="n"/>
      <c r="D502" s="36" t="n"/>
      <c r="E502" s="36" t="n"/>
      <c r="F502" s="36" t="n"/>
      <c r="G502" s="42" t="n"/>
      <c r="H502" s="37" t="n"/>
      <c r="I502" s="37" t="n"/>
      <c r="J502" s="32" t="n"/>
      <c r="K502" s="32" t="n"/>
      <c r="L502" s="43" t="n"/>
      <c r="M502" s="36" t="n"/>
      <c r="N502" s="44" t="n"/>
      <c r="O502" s="36" t="n"/>
      <c r="P502" s="33">
        <f>IF(C502="","",Commercial_Id)</f>
        <v/>
      </c>
      <c r="Q502" s="34">
        <f>IF(AC502="","",IF(AD502=1,"C"&amp;TEXT(SUM(AD$6:AD502),"0000"),INDEX(Q$6:Q501,MATCH(AC502,AC$6:AC501,0))))</f>
        <v/>
      </c>
      <c r="R502" s="34">
        <f>IF(C502="","",IF(L502="☑ Oui","Annulée",IF(OR(E502="Vente directe",K502&lt;&gt;""),"Livrée",IF(J502&lt;&gt;"","Confirmée","En attente"))))</f>
        <v/>
      </c>
      <c r="S502" s="34">
        <f>IF(F502="","",IFERROR(VLOOKUP(F502,T_Produits,2,FALSE),""))</f>
        <v/>
      </c>
      <c r="T502" s="40">
        <f>IF(F502="","",IFERROR(1/(1/VLOOKUP(F502,T_Produits,3,FALSE)),""))</f>
        <v/>
      </c>
      <c r="U502" s="40">
        <f>IF(H502&lt;&gt;"",H502,T502)</f>
        <v/>
      </c>
      <c r="V502" s="40">
        <f>IF(OR(G502="",U502=""),"",G502*U502-N(I502))</f>
        <v/>
      </c>
      <c r="W502" s="39">
        <f>IF(D502="","",IFERROR(VALUE(MID(D502,LEN(D502)-3,3)),""))</f>
        <v/>
      </c>
      <c r="X502" s="33">
        <f>IF(W502="","",P502&amp;"|"&amp;W502)</f>
        <v/>
      </c>
      <c r="Y502" s="33">
        <f>IF(W502="","",IF(P502="À RENSEIGNER","GIC",P502)&amp;"-"&amp;TEXT(W502,"000"))</f>
        <v/>
      </c>
      <c r="Z502" s="33">
        <f>IF(X502="","",IFERROR(INDEX(Cl_nom,MATCH(X502,Cl_cle,0)),"(client introuvable)"))</f>
        <v/>
      </c>
      <c r="AA502" s="33">
        <f>IF(X502="","",IFERROR(INDEX(Cl_quartier,MATCH(X502,Cl_cle,0))&amp;"",""))</f>
        <v/>
      </c>
      <c r="AB502" s="45">
        <f>IF(R502&lt;&gt;"Livrée",0,IF(K502&lt;&gt;"",K502,C502))</f>
        <v/>
      </c>
      <c r="AC502" s="33">
        <f>IF(OR(C502="",W502=""),"",P502&amp;"|"&amp;W502&amp;"|"&amp;C502&amp;"|"&amp;E502)</f>
        <v/>
      </c>
      <c r="AD502" s="39">
        <f>IF(AC502="","",IF(COUNTIF(AC$6:AC502,AC502)=1,1,0))</f>
        <v/>
      </c>
      <c r="AE502" s="39">
        <f>IF(AB502=0,"",IF(COUNTIFS(X$6:X502,X502,AB$6:AB502,AB502)=1,1,0))</f>
        <v/>
      </c>
      <c r="AF502" s="34">
        <f>IF(C502="","",YEAR(C502-WEEKDAY(C502,2)+4)&amp;"-S"&amp;TEXT(INT((C502-DATE(YEAR(C502-WEEKDAY(C502,2)+4),1,3)+WEEKDAY(DATE(YEAR(C502-WEEKDAY(C502,2)+4),1,3),2)+5)/7),"00"))</f>
        <v/>
      </c>
    </row>
    <row r="503" ht="18" customHeight="1">
      <c r="A503" s="39" t="n">
        <v>498</v>
      </c>
      <c r="B503" s="33">
        <f>IF(C503="","",IF(P503="À RENSEIGNER","GIC",P503)&amp;"-C"&amp;TEXT(A503,"00000"))</f>
        <v/>
      </c>
      <c r="C503" s="32" t="n"/>
      <c r="D503" s="36" t="n"/>
      <c r="E503" s="36" t="n"/>
      <c r="F503" s="36" t="n"/>
      <c r="G503" s="42" t="n"/>
      <c r="H503" s="37" t="n"/>
      <c r="I503" s="37" t="n"/>
      <c r="J503" s="32" t="n"/>
      <c r="K503" s="32" t="n"/>
      <c r="L503" s="43" t="n"/>
      <c r="M503" s="36" t="n"/>
      <c r="N503" s="44" t="n"/>
      <c r="O503" s="36" t="n"/>
      <c r="P503" s="33">
        <f>IF(C503="","",Commercial_Id)</f>
        <v/>
      </c>
      <c r="Q503" s="34">
        <f>IF(AC503="","",IF(AD503=1,"C"&amp;TEXT(SUM(AD$6:AD503),"0000"),INDEX(Q$6:Q502,MATCH(AC503,AC$6:AC502,0))))</f>
        <v/>
      </c>
      <c r="R503" s="34">
        <f>IF(C503="","",IF(L503="☑ Oui","Annulée",IF(OR(E503="Vente directe",K503&lt;&gt;""),"Livrée",IF(J503&lt;&gt;"","Confirmée","En attente"))))</f>
        <v/>
      </c>
      <c r="S503" s="34">
        <f>IF(F503="","",IFERROR(VLOOKUP(F503,T_Produits,2,FALSE),""))</f>
        <v/>
      </c>
      <c r="T503" s="40">
        <f>IF(F503="","",IFERROR(1/(1/VLOOKUP(F503,T_Produits,3,FALSE)),""))</f>
        <v/>
      </c>
      <c r="U503" s="40">
        <f>IF(H503&lt;&gt;"",H503,T503)</f>
        <v/>
      </c>
      <c r="V503" s="40">
        <f>IF(OR(G503="",U503=""),"",G503*U503-N(I503))</f>
        <v/>
      </c>
      <c r="W503" s="39">
        <f>IF(D503="","",IFERROR(VALUE(MID(D503,LEN(D503)-3,3)),""))</f>
        <v/>
      </c>
      <c r="X503" s="33">
        <f>IF(W503="","",P503&amp;"|"&amp;W503)</f>
        <v/>
      </c>
      <c r="Y503" s="33">
        <f>IF(W503="","",IF(P503="À RENSEIGNER","GIC",P503)&amp;"-"&amp;TEXT(W503,"000"))</f>
        <v/>
      </c>
      <c r="Z503" s="33">
        <f>IF(X503="","",IFERROR(INDEX(Cl_nom,MATCH(X503,Cl_cle,0)),"(client introuvable)"))</f>
        <v/>
      </c>
      <c r="AA503" s="33">
        <f>IF(X503="","",IFERROR(INDEX(Cl_quartier,MATCH(X503,Cl_cle,0))&amp;"",""))</f>
        <v/>
      </c>
      <c r="AB503" s="45">
        <f>IF(R503&lt;&gt;"Livrée",0,IF(K503&lt;&gt;"",K503,C503))</f>
        <v/>
      </c>
      <c r="AC503" s="33">
        <f>IF(OR(C503="",W503=""),"",P503&amp;"|"&amp;W503&amp;"|"&amp;C503&amp;"|"&amp;E503)</f>
        <v/>
      </c>
      <c r="AD503" s="39">
        <f>IF(AC503="","",IF(COUNTIF(AC$6:AC503,AC503)=1,1,0))</f>
        <v/>
      </c>
      <c r="AE503" s="39">
        <f>IF(AB503=0,"",IF(COUNTIFS(X$6:X503,X503,AB$6:AB503,AB503)=1,1,0))</f>
        <v/>
      </c>
      <c r="AF503" s="34">
        <f>IF(C503="","",YEAR(C503-WEEKDAY(C503,2)+4)&amp;"-S"&amp;TEXT(INT((C503-DATE(YEAR(C503-WEEKDAY(C503,2)+4),1,3)+WEEKDAY(DATE(YEAR(C503-WEEKDAY(C503,2)+4),1,3),2)+5)/7),"00"))</f>
        <v/>
      </c>
    </row>
    <row r="504" ht="18" customHeight="1">
      <c r="A504" s="39" t="n">
        <v>499</v>
      </c>
      <c r="B504" s="33">
        <f>IF(C504="","",IF(P504="À RENSEIGNER","GIC",P504)&amp;"-C"&amp;TEXT(A504,"00000"))</f>
        <v/>
      </c>
      <c r="C504" s="32" t="n"/>
      <c r="D504" s="36" t="n"/>
      <c r="E504" s="36" t="n"/>
      <c r="F504" s="36" t="n"/>
      <c r="G504" s="42" t="n"/>
      <c r="H504" s="37" t="n"/>
      <c r="I504" s="37" t="n"/>
      <c r="J504" s="32" t="n"/>
      <c r="K504" s="32" t="n"/>
      <c r="L504" s="43" t="n"/>
      <c r="M504" s="36" t="n"/>
      <c r="N504" s="44" t="n"/>
      <c r="O504" s="36" t="n"/>
      <c r="P504" s="33">
        <f>IF(C504="","",Commercial_Id)</f>
        <v/>
      </c>
      <c r="Q504" s="34">
        <f>IF(AC504="","",IF(AD504=1,"C"&amp;TEXT(SUM(AD$6:AD504),"0000"),INDEX(Q$6:Q503,MATCH(AC504,AC$6:AC503,0))))</f>
        <v/>
      </c>
      <c r="R504" s="34">
        <f>IF(C504="","",IF(L504="☑ Oui","Annulée",IF(OR(E504="Vente directe",K504&lt;&gt;""),"Livrée",IF(J504&lt;&gt;"","Confirmée","En attente"))))</f>
        <v/>
      </c>
      <c r="S504" s="34">
        <f>IF(F504="","",IFERROR(VLOOKUP(F504,T_Produits,2,FALSE),""))</f>
        <v/>
      </c>
      <c r="T504" s="40">
        <f>IF(F504="","",IFERROR(1/(1/VLOOKUP(F504,T_Produits,3,FALSE)),""))</f>
        <v/>
      </c>
      <c r="U504" s="40">
        <f>IF(H504&lt;&gt;"",H504,T504)</f>
        <v/>
      </c>
      <c r="V504" s="40">
        <f>IF(OR(G504="",U504=""),"",G504*U504-N(I504))</f>
        <v/>
      </c>
      <c r="W504" s="39">
        <f>IF(D504="","",IFERROR(VALUE(MID(D504,LEN(D504)-3,3)),""))</f>
        <v/>
      </c>
      <c r="X504" s="33">
        <f>IF(W504="","",P504&amp;"|"&amp;W504)</f>
        <v/>
      </c>
      <c r="Y504" s="33">
        <f>IF(W504="","",IF(P504="À RENSEIGNER","GIC",P504)&amp;"-"&amp;TEXT(W504,"000"))</f>
        <v/>
      </c>
      <c r="Z504" s="33">
        <f>IF(X504="","",IFERROR(INDEX(Cl_nom,MATCH(X504,Cl_cle,0)),"(client introuvable)"))</f>
        <v/>
      </c>
      <c r="AA504" s="33">
        <f>IF(X504="","",IFERROR(INDEX(Cl_quartier,MATCH(X504,Cl_cle,0))&amp;"",""))</f>
        <v/>
      </c>
      <c r="AB504" s="45">
        <f>IF(R504&lt;&gt;"Livrée",0,IF(K504&lt;&gt;"",K504,C504))</f>
        <v/>
      </c>
      <c r="AC504" s="33">
        <f>IF(OR(C504="",W504=""),"",P504&amp;"|"&amp;W504&amp;"|"&amp;C504&amp;"|"&amp;E504)</f>
        <v/>
      </c>
      <c r="AD504" s="39">
        <f>IF(AC504="","",IF(COUNTIF(AC$6:AC504,AC504)=1,1,0))</f>
        <v/>
      </c>
      <c r="AE504" s="39">
        <f>IF(AB504=0,"",IF(COUNTIFS(X$6:X504,X504,AB$6:AB504,AB504)=1,1,0))</f>
        <v/>
      </c>
      <c r="AF504" s="34">
        <f>IF(C504="","",YEAR(C504-WEEKDAY(C504,2)+4)&amp;"-S"&amp;TEXT(INT((C504-DATE(YEAR(C504-WEEKDAY(C504,2)+4),1,3)+WEEKDAY(DATE(YEAR(C504-WEEKDAY(C504,2)+4),1,3),2)+5)/7),"00"))</f>
        <v/>
      </c>
    </row>
    <row r="505" ht="18" customHeight="1">
      <c r="A505" s="39" t="n">
        <v>500</v>
      </c>
      <c r="B505" s="33">
        <f>IF(C505="","",IF(P505="À RENSEIGNER","GIC",P505)&amp;"-C"&amp;TEXT(A505,"00000"))</f>
        <v/>
      </c>
      <c r="C505" s="32" t="n"/>
      <c r="D505" s="36" t="n"/>
      <c r="E505" s="36" t="n"/>
      <c r="F505" s="36" t="n"/>
      <c r="G505" s="42" t="n"/>
      <c r="H505" s="37" t="n"/>
      <c r="I505" s="37" t="n"/>
      <c r="J505" s="32" t="n"/>
      <c r="K505" s="32" t="n"/>
      <c r="L505" s="43" t="n"/>
      <c r="M505" s="36" t="n"/>
      <c r="N505" s="44" t="n"/>
      <c r="O505" s="36" t="n"/>
      <c r="P505" s="33">
        <f>IF(C505="","",Commercial_Id)</f>
        <v/>
      </c>
      <c r="Q505" s="34">
        <f>IF(AC505="","",IF(AD505=1,"C"&amp;TEXT(SUM(AD$6:AD505),"0000"),INDEX(Q$6:Q504,MATCH(AC505,AC$6:AC504,0))))</f>
        <v/>
      </c>
      <c r="R505" s="34">
        <f>IF(C505="","",IF(L505="☑ Oui","Annulée",IF(OR(E505="Vente directe",K505&lt;&gt;""),"Livrée",IF(J505&lt;&gt;"","Confirmée","En attente"))))</f>
        <v/>
      </c>
      <c r="S505" s="34">
        <f>IF(F505="","",IFERROR(VLOOKUP(F505,T_Produits,2,FALSE),""))</f>
        <v/>
      </c>
      <c r="T505" s="40">
        <f>IF(F505="","",IFERROR(1/(1/VLOOKUP(F505,T_Produits,3,FALSE)),""))</f>
        <v/>
      </c>
      <c r="U505" s="40">
        <f>IF(H505&lt;&gt;"",H505,T505)</f>
        <v/>
      </c>
      <c r="V505" s="40">
        <f>IF(OR(G505="",U505=""),"",G505*U505-N(I505))</f>
        <v/>
      </c>
      <c r="W505" s="39">
        <f>IF(D505="","",IFERROR(VALUE(MID(D505,LEN(D505)-3,3)),""))</f>
        <v/>
      </c>
      <c r="X505" s="33">
        <f>IF(W505="","",P505&amp;"|"&amp;W505)</f>
        <v/>
      </c>
      <c r="Y505" s="33">
        <f>IF(W505="","",IF(P505="À RENSEIGNER","GIC",P505)&amp;"-"&amp;TEXT(W505,"000"))</f>
        <v/>
      </c>
      <c r="Z505" s="33">
        <f>IF(X505="","",IFERROR(INDEX(Cl_nom,MATCH(X505,Cl_cle,0)),"(client introuvable)"))</f>
        <v/>
      </c>
      <c r="AA505" s="33">
        <f>IF(X505="","",IFERROR(INDEX(Cl_quartier,MATCH(X505,Cl_cle,0))&amp;"",""))</f>
        <v/>
      </c>
      <c r="AB505" s="45">
        <f>IF(R505&lt;&gt;"Livrée",0,IF(K505&lt;&gt;"",K505,C505))</f>
        <v/>
      </c>
      <c r="AC505" s="33">
        <f>IF(OR(C505="",W505=""),"",P505&amp;"|"&amp;W505&amp;"|"&amp;C505&amp;"|"&amp;E505)</f>
        <v/>
      </c>
      <c r="AD505" s="39">
        <f>IF(AC505="","",IF(COUNTIF(AC$6:AC505,AC505)=1,1,0))</f>
        <v/>
      </c>
      <c r="AE505" s="39">
        <f>IF(AB505=0,"",IF(COUNTIFS(X$6:X505,X505,AB$6:AB505,AB505)=1,1,0))</f>
        <v/>
      </c>
      <c r="AF505" s="34">
        <f>IF(C505="","",YEAR(C505-WEEKDAY(C505,2)+4)&amp;"-S"&amp;TEXT(INT((C505-DATE(YEAR(C505-WEEKDAY(C505,2)+4),1,3)+WEEKDAY(DATE(YEAR(C505-WEEKDAY(C505,2)+4),1,3),2)+5)/7),"00"))</f>
        <v/>
      </c>
    </row>
    <row r="506" ht="18" customHeight="1">
      <c r="A506" s="39" t="n">
        <v>501</v>
      </c>
      <c r="B506" s="33">
        <f>IF(C506="","",IF(P506="À RENSEIGNER","GIC",P506)&amp;"-C"&amp;TEXT(A506,"00000"))</f>
        <v/>
      </c>
      <c r="C506" s="32" t="n"/>
      <c r="D506" s="36" t="n"/>
      <c r="E506" s="36" t="n"/>
      <c r="F506" s="36" t="n"/>
      <c r="G506" s="42" t="n"/>
      <c r="H506" s="37" t="n"/>
      <c r="I506" s="37" t="n"/>
      <c r="J506" s="32" t="n"/>
      <c r="K506" s="32" t="n"/>
      <c r="L506" s="43" t="n"/>
      <c r="M506" s="36" t="n"/>
      <c r="N506" s="44" t="n"/>
      <c r="O506" s="36" t="n"/>
      <c r="P506" s="33">
        <f>IF(C506="","",Commercial_Id)</f>
        <v/>
      </c>
      <c r="Q506" s="34">
        <f>IF(AC506="","",IF(AD506=1,"C"&amp;TEXT(SUM(AD$6:AD506),"0000"),INDEX(Q$6:Q505,MATCH(AC506,AC$6:AC505,0))))</f>
        <v/>
      </c>
      <c r="R506" s="34">
        <f>IF(C506="","",IF(L506="☑ Oui","Annulée",IF(OR(E506="Vente directe",K506&lt;&gt;""),"Livrée",IF(J506&lt;&gt;"","Confirmée","En attente"))))</f>
        <v/>
      </c>
      <c r="S506" s="34">
        <f>IF(F506="","",IFERROR(VLOOKUP(F506,T_Produits,2,FALSE),""))</f>
        <v/>
      </c>
      <c r="T506" s="40">
        <f>IF(F506="","",IFERROR(1/(1/VLOOKUP(F506,T_Produits,3,FALSE)),""))</f>
        <v/>
      </c>
      <c r="U506" s="40">
        <f>IF(H506&lt;&gt;"",H506,T506)</f>
        <v/>
      </c>
      <c r="V506" s="40">
        <f>IF(OR(G506="",U506=""),"",G506*U506-N(I506))</f>
        <v/>
      </c>
      <c r="W506" s="39">
        <f>IF(D506="","",IFERROR(VALUE(MID(D506,LEN(D506)-3,3)),""))</f>
        <v/>
      </c>
      <c r="X506" s="33">
        <f>IF(W506="","",P506&amp;"|"&amp;W506)</f>
        <v/>
      </c>
      <c r="Y506" s="33">
        <f>IF(W506="","",IF(P506="À RENSEIGNER","GIC",P506)&amp;"-"&amp;TEXT(W506,"000"))</f>
        <v/>
      </c>
      <c r="Z506" s="33">
        <f>IF(X506="","",IFERROR(INDEX(Cl_nom,MATCH(X506,Cl_cle,0)),"(client introuvable)"))</f>
        <v/>
      </c>
      <c r="AA506" s="33">
        <f>IF(X506="","",IFERROR(INDEX(Cl_quartier,MATCH(X506,Cl_cle,0))&amp;"",""))</f>
        <v/>
      </c>
      <c r="AB506" s="45">
        <f>IF(R506&lt;&gt;"Livrée",0,IF(K506&lt;&gt;"",K506,C506))</f>
        <v/>
      </c>
      <c r="AC506" s="33">
        <f>IF(OR(C506="",W506=""),"",P506&amp;"|"&amp;W506&amp;"|"&amp;C506&amp;"|"&amp;E506)</f>
        <v/>
      </c>
      <c r="AD506" s="39">
        <f>IF(AC506="","",IF(COUNTIF(AC$6:AC506,AC506)=1,1,0))</f>
        <v/>
      </c>
      <c r="AE506" s="39">
        <f>IF(AB506=0,"",IF(COUNTIFS(X$6:X506,X506,AB$6:AB506,AB506)=1,1,0))</f>
        <v/>
      </c>
      <c r="AF506" s="34">
        <f>IF(C506="","",YEAR(C506-WEEKDAY(C506,2)+4)&amp;"-S"&amp;TEXT(INT((C506-DATE(YEAR(C506-WEEKDAY(C506,2)+4),1,3)+WEEKDAY(DATE(YEAR(C506-WEEKDAY(C506,2)+4),1,3),2)+5)/7),"00"))</f>
        <v/>
      </c>
    </row>
    <row r="507" ht="18" customHeight="1">
      <c r="A507" s="39" t="n">
        <v>502</v>
      </c>
      <c r="B507" s="33">
        <f>IF(C507="","",IF(P507="À RENSEIGNER","GIC",P507)&amp;"-C"&amp;TEXT(A507,"00000"))</f>
        <v/>
      </c>
      <c r="C507" s="32" t="n"/>
      <c r="D507" s="36" t="n"/>
      <c r="E507" s="36" t="n"/>
      <c r="F507" s="36" t="n"/>
      <c r="G507" s="42" t="n"/>
      <c r="H507" s="37" t="n"/>
      <c r="I507" s="37" t="n"/>
      <c r="J507" s="32" t="n"/>
      <c r="K507" s="32" t="n"/>
      <c r="L507" s="43" t="n"/>
      <c r="M507" s="36" t="n"/>
      <c r="N507" s="44" t="n"/>
      <c r="O507" s="36" t="n"/>
      <c r="P507" s="33">
        <f>IF(C507="","",Commercial_Id)</f>
        <v/>
      </c>
      <c r="Q507" s="34">
        <f>IF(AC507="","",IF(AD507=1,"C"&amp;TEXT(SUM(AD$6:AD507),"0000"),INDEX(Q$6:Q506,MATCH(AC507,AC$6:AC506,0))))</f>
        <v/>
      </c>
      <c r="R507" s="34">
        <f>IF(C507="","",IF(L507="☑ Oui","Annulée",IF(OR(E507="Vente directe",K507&lt;&gt;""),"Livrée",IF(J507&lt;&gt;"","Confirmée","En attente"))))</f>
        <v/>
      </c>
      <c r="S507" s="34">
        <f>IF(F507="","",IFERROR(VLOOKUP(F507,T_Produits,2,FALSE),""))</f>
        <v/>
      </c>
      <c r="T507" s="40">
        <f>IF(F507="","",IFERROR(1/(1/VLOOKUP(F507,T_Produits,3,FALSE)),""))</f>
        <v/>
      </c>
      <c r="U507" s="40">
        <f>IF(H507&lt;&gt;"",H507,T507)</f>
        <v/>
      </c>
      <c r="V507" s="40">
        <f>IF(OR(G507="",U507=""),"",G507*U507-N(I507))</f>
        <v/>
      </c>
      <c r="W507" s="39">
        <f>IF(D507="","",IFERROR(VALUE(MID(D507,LEN(D507)-3,3)),""))</f>
        <v/>
      </c>
      <c r="X507" s="33">
        <f>IF(W507="","",P507&amp;"|"&amp;W507)</f>
        <v/>
      </c>
      <c r="Y507" s="33">
        <f>IF(W507="","",IF(P507="À RENSEIGNER","GIC",P507)&amp;"-"&amp;TEXT(W507,"000"))</f>
        <v/>
      </c>
      <c r="Z507" s="33">
        <f>IF(X507="","",IFERROR(INDEX(Cl_nom,MATCH(X507,Cl_cle,0)),"(client introuvable)"))</f>
        <v/>
      </c>
      <c r="AA507" s="33">
        <f>IF(X507="","",IFERROR(INDEX(Cl_quartier,MATCH(X507,Cl_cle,0))&amp;"",""))</f>
        <v/>
      </c>
      <c r="AB507" s="45">
        <f>IF(R507&lt;&gt;"Livrée",0,IF(K507&lt;&gt;"",K507,C507))</f>
        <v/>
      </c>
      <c r="AC507" s="33">
        <f>IF(OR(C507="",W507=""),"",P507&amp;"|"&amp;W507&amp;"|"&amp;C507&amp;"|"&amp;E507)</f>
        <v/>
      </c>
      <c r="AD507" s="39">
        <f>IF(AC507="","",IF(COUNTIF(AC$6:AC507,AC507)=1,1,0))</f>
        <v/>
      </c>
      <c r="AE507" s="39">
        <f>IF(AB507=0,"",IF(COUNTIFS(X$6:X507,X507,AB$6:AB507,AB507)=1,1,0))</f>
        <v/>
      </c>
      <c r="AF507" s="34">
        <f>IF(C507="","",YEAR(C507-WEEKDAY(C507,2)+4)&amp;"-S"&amp;TEXT(INT((C507-DATE(YEAR(C507-WEEKDAY(C507,2)+4),1,3)+WEEKDAY(DATE(YEAR(C507-WEEKDAY(C507,2)+4),1,3),2)+5)/7),"00"))</f>
        <v/>
      </c>
    </row>
    <row r="508" ht="18" customHeight="1">
      <c r="A508" s="39" t="n">
        <v>503</v>
      </c>
      <c r="B508" s="33">
        <f>IF(C508="","",IF(P508="À RENSEIGNER","GIC",P508)&amp;"-C"&amp;TEXT(A508,"00000"))</f>
        <v/>
      </c>
      <c r="C508" s="32" t="n"/>
      <c r="D508" s="36" t="n"/>
      <c r="E508" s="36" t="n"/>
      <c r="F508" s="36" t="n"/>
      <c r="G508" s="42" t="n"/>
      <c r="H508" s="37" t="n"/>
      <c r="I508" s="37" t="n"/>
      <c r="J508" s="32" t="n"/>
      <c r="K508" s="32" t="n"/>
      <c r="L508" s="43" t="n"/>
      <c r="M508" s="36" t="n"/>
      <c r="N508" s="44" t="n"/>
      <c r="O508" s="36" t="n"/>
      <c r="P508" s="33">
        <f>IF(C508="","",Commercial_Id)</f>
        <v/>
      </c>
      <c r="Q508" s="34">
        <f>IF(AC508="","",IF(AD508=1,"C"&amp;TEXT(SUM(AD$6:AD508),"0000"),INDEX(Q$6:Q507,MATCH(AC508,AC$6:AC507,0))))</f>
        <v/>
      </c>
      <c r="R508" s="34">
        <f>IF(C508="","",IF(L508="☑ Oui","Annulée",IF(OR(E508="Vente directe",K508&lt;&gt;""),"Livrée",IF(J508&lt;&gt;"","Confirmée","En attente"))))</f>
        <v/>
      </c>
      <c r="S508" s="34">
        <f>IF(F508="","",IFERROR(VLOOKUP(F508,T_Produits,2,FALSE),""))</f>
        <v/>
      </c>
      <c r="T508" s="40">
        <f>IF(F508="","",IFERROR(1/(1/VLOOKUP(F508,T_Produits,3,FALSE)),""))</f>
        <v/>
      </c>
      <c r="U508" s="40">
        <f>IF(H508&lt;&gt;"",H508,T508)</f>
        <v/>
      </c>
      <c r="V508" s="40">
        <f>IF(OR(G508="",U508=""),"",G508*U508-N(I508))</f>
        <v/>
      </c>
      <c r="W508" s="39">
        <f>IF(D508="","",IFERROR(VALUE(MID(D508,LEN(D508)-3,3)),""))</f>
        <v/>
      </c>
      <c r="X508" s="33">
        <f>IF(W508="","",P508&amp;"|"&amp;W508)</f>
        <v/>
      </c>
      <c r="Y508" s="33">
        <f>IF(W508="","",IF(P508="À RENSEIGNER","GIC",P508)&amp;"-"&amp;TEXT(W508,"000"))</f>
        <v/>
      </c>
      <c r="Z508" s="33">
        <f>IF(X508="","",IFERROR(INDEX(Cl_nom,MATCH(X508,Cl_cle,0)),"(client introuvable)"))</f>
        <v/>
      </c>
      <c r="AA508" s="33">
        <f>IF(X508="","",IFERROR(INDEX(Cl_quartier,MATCH(X508,Cl_cle,0))&amp;"",""))</f>
        <v/>
      </c>
      <c r="AB508" s="45">
        <f>IF(R508&lt;&gt;"Livrée",0,IF(K508&lt;&gt;"",K508,C508))</f>
        <v/>
      </c>
      <c r="AC508" s="33">
        <f>IF(OR(C508="",W508=""),"",P508&amp;"|"&amp;W508&amp;"|"&amp;C508&amp;"|"&amp;E508)</f>
        <v/>
      </c>
      <c r="AD508" s="39">
        <f>IF(AC508="","",IF(COUNTIF(AC$6:AC508,AC508)=1,1,0))</f>
        <v/>
      </c>
      <c r="AE508" s="39">
        <f>IF(AB508=0,"",IF(COUNTIFS(X$6:X508,X508,AB$6:AB508,AB508)=1,1,0))</f>
        <v/>
      </c>
      <c r="AF508" s="34">
        <f>IF(C508="","",YEAR(C508-WEEKDAY(C508,2)+4)&amp;"-S"&amp;TEXT(INT((C508-DATE(YEAR(C508-WEEKDAY(C508,2)+4),1,3)+WEEKDAY(DATE(YEAR(C508-WEEKDAY(C508,2)+4),1,3),2)+5)/7),"00"))</f>
        <v/>
      </c>
    </row>
    <row r="509" ht="18" customHeight="1">
      <c r="A509" s="39" t="n">
        <v>504</v>
      </c>
      <c r="B509" s="33">
        <f>IF(C509="","",IF(P509="À RENSEIGNER","GIC",P509)&amp;"-C"&amp;TEXT(A509,"00000"))</f>
        <v/>
      </c>
      <c r="C509" s="32" t="n"/>
      <c r="D509" s="36" t="n"/>
      <c r="E509" s="36" t="n"/>
      <c r="F509" s="36" t="n"/>
      <c r="G509" s="42" t="n"/>
      <c r="H509" s="37" t="n"/>
      <c r="I509" s="37" t="n"/>
      <c r="J509" s="32" t="n"/>
      <c r="K509" s="32" t="n"/>
      <c r="L509" s="43" t="n"/>
      <c r="M509" s="36" t="n"/>
      <c r="N509" s="44" t="n"/>
      <c r="O509" s="36" t="n"/>
      <c r="P509" s="33">
        <f>IF(C509="","",Commercial_Id)</f>
        <v/>
      </c>
      <c r="Q509" s="34">
        <f>IF(AC509="","",IF(AD509=1,"C"&amp;TEXT(SUM(AD$6:AD509),"0000"),INDEX(Q$6:Q508,MATCH(AC509,AC$6:AC508,0))))</f>
        <v/>
      </c>
      <c r="R509" s="34">
        <f>IF(C509="","",IF(L509="☑ Oui","Annulée",IF(OR(E509="Vente directe",K509&lt;&gt;""),"Livrée",IF(J509&lt;&gt;"","Confirmée","En attente"))))</f>
        <v/>
      </c>
      <c r="S509" s="34">
        <f>IF(F509="","",IFERROR(VLOOKUP(F509,T_Produits,2,FALSE),""))</f>
        <v/>
      </c>
      <c r="T509" s="40">
        <f>IF(F509="","",IFERROR(1/(1/VLOOKUP(F509,T_Produits,3,FALSE)),""))</f>
        <v/>
      </c>
      <c r="U509" s="40">
        <f>IF(H509&lt;&gt;"",H509,T509)</f>
        <v/>
      </c>
      <c r="V509" s="40">
        <f>IF(OR(G509="",U509=""),"",G509*U509-N(I509))</f>
        <v/>
      </c>
      <c r="W509" s="39">
        <f>IF(D509="","",IFERROR(VALUE(MID(D509,LEN(D509)-3,3)),""))</f>
        <v/>
      </c>
      <c r="X509" s="33">
        <f>IF(W509="","",P509&amp;"|"&amp;W509)</f>
        <v/>
      </c>
      <c r="Y509" s="33">
        <f>IF(W509="","",IF(P509="À RENSEIGNER","GIC",P509)&amp;"-"&amp;TEXT(W509,"000"))</f>
        <v/>
      </c>
      <c r="Z509" s="33">
        <f>IF(X509="","",IFERROR(INDEX(Cl_nom,MATCH(X509,Cl_cle,0)),"(client introuvable)"))</f>
        <v/>
      </c>
      <c r="AA509" s="33">
        <f>IF(X509="","",IFERROR(INDEX(Cl_quartier,MATCH(X509,Cl_cle,0))&amp;"",""))</f>
        <v/>
      </c>
      <c r="AB509" s="45">
        <f>IF(R509&lt;&gt;"Livrée",0,IF(K509&lt;&gt;"",K509,C509))</f>
        <v/>
      </c>
      <c r="AC509" s="33">
        <f>IF(OR(C509="",W509=""),"",P509&amp;"|"&amp;W509&amp;"|"&amp;C509&amp;"|"&amp;E509)</f>
        <v/>
      </c>
      <c r="AD509" s="39">
        <f>IF(AC509="","",IF(COUNTIF(AC$6:AC509,AC509)=1,1,0))</f>
        <v/>
      </c>
      <c r="AE509" s="39">
        <f>IF(AB509=0,"",IF(COUNTIFS(X$6:X509,X509,AB$6:AB509,AB509)=1,1,0))</f>
        <v/>
      </c>
      <c r="AF509" s="34">
        <f>IF(C509="","",YEAR(C509-WEEKDAY(C509,2)+4)&amp;"-S"&amp;TEXT(INT((C509-DATE(YEAR(C509-WEEKDAY(C509,2)+4),1,3)+WEEKDAY(DATE(YEAR(C509-WEEKDAY(C509,2)+4),1,3),2)+5)/7),"00"))</f>
        <v/>
      </c>
    </row>
    <row r="510" ht="18" customHeight="1">
      <c r="A510" s="39" t="n">
        <v>505</v>
      </c>
      <c r="B510" s="33">
        <f>IF(C510="","",IF(P510="À RENSEIGNER","GIC",P510)&amp;"-C"&amp;TEXT(A510,"00000"))</f>
        <v/>
      </c>
      <c r="C510" s="32" t="n"/>
      <c r="D510" s="36" t="n"/>
      <c r="E510" s="36" t="n"/>
      <c r="F510" s="36" t="n"/>
      <c r="G510" s="42" t="n"/>
      <c r="H510" s="37" t="n"/>
      <c r="I510" s="37" t="n"/>
      <c r="J510" s="32" t="n"/>
      <c r="K510" s="32" t="n"/>
      <c r="L510" s="43" t="n"/>
      <c r="M510" s="36" t="n"/>
      <c r="N510" s="44" t="n"/>
      <c r="O510" s="36" t="n"/>
      <c r="P510" s="33">
        <f>IF(C510="","",Commercial_Id)</f>
        <v/>
      </c>
      <c r="Q510" s="34">
        <f>IF(AC510="","",IF(AD510=1,"C"&amp;TEXT(SUM(AD$6:AD510),"0000"),INDEX(Q$6:Q509,MATCH(AC510,AC$6:AC509,0))))</f>
        <v/>
      </c>
      <c r="R510" s="34">
        <f>IF(C510="","",IF(L510="☑ Oui","Annulée",IF(OR(E510="Vente directe",K510&lt;&gt;""),"Livrée",IF(J510&lt;&gt;"","Confirmée","En attente"))))</f>
        <v/>
      </c>
      <c r="S510" s="34">
        <f>IF(F510="","",IFERROR(VLOOKUP(F510,T_Produits,2,FALSE),""))</f>
        <v/>
      </c>
      <c r="T510" s="40">
        <f>IF(F510="","",IFERROR(1/(1/VLOOKUP(F510,T_Produits,3,FALSE)),""))</f>
        <v/>
      </c>
      <c r="U510" s="40">
        <f>IF(H510&lt;&gt;"",H510,T510)</f>
        <v/>
      </c>
      <c r="V510" s="40">
        <f>IF(OR(G510="",U510=""),"",G510*U510-N(I510))</f>
        <v/>
      </c>
      <c r="W510" s="39">
        <f>IF(D510="","",IFERROR(VALUE(MID(D510,LEN(D510)-3,3)),""))</f>
        <v/>
      </c>
      <c r="X510" s="33">
        <f>IF(W510="","",P510&amp;"|"&amp;W510)</f>
        <v/>
      </c>
      <c r="Y510" s="33">
        <f>IF(W510="","",IF(P510="À RENSEIGNER","GIC",P510)&amp;"-"&amp;TEXT(W510,"000"))</f>
        <v/>
      </c>
      <c r="Z510" s="33">
        <f>IF(X510="","",IFERROR(INDEX(Cl_nom,MATCH(X510,Cl_cle,0)),"(client introuvable)"))</f>
        <v/>
      </c>
      <c r="AA510" s="33">
        <f>IF(X510="","",IFERROR(INDEX(Cl_quartier,MATCH(X510,Cl_cle,0))&amp;"",""))</f>
        <v/>
      </c>
      <c r="AB510" s="45">
        <f>IF(R510&lt;&gt;"Livrée",0,IF(K510&lt;&gt;"",K510,C510))</f>
        <v/>
      </c>
      <c r="AC510" s="33">
        <f>IF(OR(C510="",W510=""),"",P510&amp;"|"&amp;W510&amp;"|"&amp;C510&amp;"|"&amp;E510)</f>
        <v/>
      </c>
      <c r="AD510" s="39">
        <f>IF(AC510="","",IF(COUNTIF(AC$6:AC510,AC510)=1,1,0))</f>
        <v/>
      </c>
      <c r="AE510" s="39">
        <f>IF(AB510=0,"",IF(COUNTIFS(X$6:X510,X510,AB$6:AB510,AB510)=1,1,0))</f>
        <v/>
      </c>
      <c r="AF510" s="34">
        <f>IF(C510="","",YEAR(C510-WEEKDAY(C510,2)+4)&amp;"-S"&amp;TEXT(INT((C510-DATE(YEAR(C510-WEEKDAY(C510,2)+4),1,3)+WEEKDAY(DATE(YEAR(C510-WEEKDAY(C510,2)+4),1,3),2)+5)/7),"00"))</f>
        <v/>
      </c>
    </row>
    <row r="511" ht="18" customHeight="1">
      <c r="A511" s="39" t="n">
        <v>506</v>
      </c>
      <c r="B511" s="33">
        <f>IF(C511="","",IF(P511="À RENSEIGNER","GIC",P511)&amp;"-C"&amp;TEXT(A511,"00000"))</f>
        <v/>
      </c>
      <c r="C511" s="32" t="n"/>
      <c r="D511" s="36" t="n"/>
      <c r="E511" s="36" t="n"/>
      <c r="F511" s="36" t="n"/>
      <c r="G511" s="42" t="n"/>
      <c r="H511" s="37" t="n"/>
      <c r="I511" s="37" t="n"/>
      <c r="J511" s="32" t="n"/>
      <c r="K511" s="32" t="n"/>
      <c r="L511" s="43" t="n"/>
      <c r="M511" s="36" t="n"/>
      <c r="N511" s="44" t="n"/>
      <c r="O511" s="36" t="n"/>
      <c r="P511" s="33">
        <f>IF(C511="","",Commercial_Id)</f>
        <v/>
      </c>
      <c r="Q511" s="34">
        <f>IF(AC511="","",IF(AD511=1,"C"&amp;TEXT(SUM(AD$6:AD511),"0000"),INDEX(Q$6:Q510,MATCH(AC511,AC$6:AC510,0))))</f>
        <v/>
      </c>
      <c r="R511" s="34">
        <f>IF(C511="","",IF(L511="☑ Oui","Annulée",IF(OR(E511="Vente directe",K511&lt;&gt;""),"Livrée",IF(J511&lt;&gt;"","Confirmée","En attente"))))</f>
        <v/>
      </c>
      <c r="S511" s="34">
        <f>IF(F511="","",IFERROR(VLOOKUP(F511,T_Produits,2,FALSE),""))</f>
        <v/>
      </c>
      <c r="T511" s="40">
        <f>IF(F511="","",IFERROR(1/(1/VLOOKUP(F511,T_Produits,3,FALSE)),""))</f>
        <v/>
      </c>
      <c r="U511" s="40">
        <f>IF(H511&lt;&gt;"",H511,T511)</f>
        <v/>
      </c>
      <c r="V511" s="40">
        <f>IF(OR(G511="",U511=""),"",G511*U511-N(I511))</f>
        <v/>
      </c>
      <c r="W511" s="39">
        <f>IF(D511="","",IFERROR(VALUE(MID(D511,LEN(D511)-3,3)),""))</f>
        <v/>
      </c>
      <c r="X511" s="33">
        <f>IF(W511="","",P511&amp;"|"&amp;W511)</f>
        <v/>
      </c>
      <c r="Y511" s="33">
        <f>IF(W511="","",IF(P511="À RENSEIGNER","GIC",P511)&amp;"-"&amp;TEXT(W511,"000"))</f>
        <v/>
      </c>
      <c r="Z511" s="33">
        <f>IF(X511="","",IFERROR(INDEX(Cl_nom,MATCH(X511,Cl_cle,0)),"(client introuvable)"))</f>
        <v/>
      </c>
      <c r="AA511" s="33">
        <f>IF(X511="","",IFERROR(INDEX(Cl_quartier,MATCH(X511,Cl_cle,0))&amp;"",""))</f>
        <v/>
      </c>
      <c r="AB511" s="45">
        <f>IF(R511&lt;&gt;"Livrée",0,IF(K511&lt;&gt;"",K511,C511))</f>
        <v/>
      </c>
      <c r="AC511" s="33">
        <f>IF(OR(C511="",W511=""),"",P511&amp;"|"&amp;W511&amp;"|"&amp;C511&amp;"|"&amp;E511)</f>
        <v/>
      </c>
      <c r="AD511" s="39">
        <f>IF(AC511="","",IF(COUNTIF(AC$6:AC511,AC511)=1,1,0))</f>
        <v/>
      </c>
      <c r="AE511" s="39">
        <f>IF(AB511=0,"",IF(COUNTIFS(X$6:X511,X511,AB$6:AB511,AB511)=1,1,0))</f>
        <v/>
      </c>
      <c r="AF511" s="34">
        <f>IF(C511="","",YEAR(C511-WEEKDAY(C511,2)+4)&amp;"-S"&amp;TEXT(INT((C511-DATE(YEAR(C511-WEEKDAY(C511,2)+4),1,3)+WEEKDAY(DATE(YEAR(C511-WEEKDAY(C511,2)+4),1,3),2)+5)/7),"00"))</f>
        <v/>
      </c>
    </row>
    <row r="512" ht="18" customHeight="1">
      <c r="A512" s="39" t="n">
        <v>507</v>
      </c>
      <c r="B512" s="33">
        <f>IF(C512="","",IF(P512="À RENSEIGNER","GIC",P512)&amp;"-C"&amp;TEXT(A512,"00000"))</f>
        <v/>
      </c>
      <c r="C512" s="32" t="n"/>
      <c r="D512" s="36" t="n"/>
      <c r="E512" s="36" t="n"/>
      <c r="F512" s="36" t="n"/>
      <c r="G512" s="42" t="n"/>
      <c r="H512" s="37" t="n"/>
      <c r="I512" s="37" t="n"/>
      <c r="J512" s="32" t="n"/>
      <c r="K512" s="32" t="n"/>
      <c r="L512" s="43" t="n"/>
      <c r="M512" s="36" t="n"/>
      <c r="N512" s="44" t="n"/>
      <c r="O512" s="36" t="n"/>
      <c r="P512" s="33">
        <f>IF(C512="","",Commercial_Id)</f>
        <v/>
      </c>
      <c r="Q512" s="34">
        <f>IF(AC512="","",IF(AD512=1,"C"&amp;TEXT(SUM(AD$6:AD512),"0000"),INDEX(Q$6:Q511,MATCH(AC512,AC$6:AC511,0))))</f>
        <v/>
      </c>
      <c r="R512" s="34">
        <f>IF(C512="","",IF(L512="☑ Oui","Annulée",IF(OR(E512="Vente directe",K512&lt;&gt;""),"Livrée",IF(J512&lt;&gt;"","Confirmée","En attente"))))</f>
        <v/>
      </c>
      <c r="S512" s="34">
        <f>IF(F512="","",IFERROR(VLOOKUP(F512,T_Produits,2,FALSE),""))</f>
        <v/>
      </c>
      <c r="T512" s="40">
        <f>IF(F512="","",IFERROR(1/(1/VLOOKUP(F512,T_Produits,3,FALSE)),""))</f>
        <v/>
      </c>
      <c r="U512" s="40">
        <f>IF(H512&lt;&gt;"",H512,T512)</f>
        <v/>
      </c>
      <c r="V512" s="40">
        <f>IF(OR(G512="",U512=""),"",G512*U512-N(I512))</f>
        <v/>
      </c>
      <c r="W512" s="39">
        <f>IF(D512="","",IFERROR(VALUE(MID(D512,LEN(D512)-3,3)),""))</f>
        <v/>
      </c>
      <c r="X512" s="33">
        <f>IF(W512="","",P512&amp;"|"&amp;W512)</f>
        <v/>
      </c>
      <c r="Y512" s="33">
        <f>IF(W512="","",IF(P512="À RENSEIGNER","GIC",P512)&amp;"-"&amp;TEXT(W512,"000"))</f>
        <v/>
      </c>
      <c r="Z512" s="33">
        <f>IF(X512="","",IFERROR(INDEX(Cl_nom,MATCH(X512,Cl_cle,0)),"(client introuvable)"))</f>
        <v/>
      </c>
      <c r="AA512" s="33">
        <f>IF(X512="","",IFERROR(INDEX(Cl_quartier,MATCH(X512,Cl_cle,0))&amp;"",""))</f>
        <v/>
      </c>
      <c r="AB512" s="45">
        <f>IF(R512&lt;&gt;"Livrée",0,IF(K512&lt;&gt;"",K512,C512))</f>
        <v/>
      </c>
      <c r="AC512" s="33">
        <f>IF(OR(C512="",W512=""),"",P512&amp;"|"&amp;W512&amp;"|"&amp;C512&amp;"|"&amp;E512)</f>
        <v/>
      </c>
      <c r="AD512" s="39">
        <f>IF(AC512="","",IF(COUNTIF(AC$6:AC512,AC512)=1,1,0))</f>
        <v/>
      </c>
      <c r="AE512" s="39">
        <f>IF(AB512=0,"",IF(COUNTIFS(X$6:X512,X512,AB$6:AB512,AB512)=1,1,0))</f>
        <v/>
      </c>
      <c r="AF512" s="34">
        <f>IF(C512="","",YEAR(C512-WEEKDAY(C512,2)+4)&amp;"-S"&amp;TEXT(INT((C512-DATE(YEAR(C512-WEEKDAY(C512,2)+4),1,3)+WEEKDAY(DATE(YEAR(C512-WEEKDAY(C512,2)+4),1,3),2)+5)/7),"00"))</f>
        <v/>
      </c>
    </row>
    <row r="513" ht="18" customHeight="1">
      <c r="A513" s="39" t="n">
        <v>508</v>
      </c>
      <c r="B513" s="33">
        <f>IF(C513="","",IF(P513="À RENSEIGNER","GIC",P513)&amp;"-C"&amp;TEXT(A513,"00000"))</f>
        <v/>
      </c>
      <c r="C513" s="32" t="n"/>
      <c r="D513" s="36" t="n"/>
      <c r="E513" s="36" t="n"/>
      <c r="F513" s="36" t="n"/>
      <c r="G513" s="42" t="n"/>
      <c r="H513" s="37" t="n"/>
      <c r="I513" s="37" t="n"/>
      <c r="J513" s="32" t="n"/>
      <c r="K513" s="32" t="n"/>
      <c r="L513" s="43" t="n"/>
      <c r="M513" s="36" t="n"/>
      <c r="N513" s="44" t="n"/>
      <c r="O513" s="36" t="n"/>
      <c r="P513" s="33">
        <f>IF(C513="","",Commercial_Id)</f>
        <v/>
      </c>
      <c r="Q513" s="34">
        <f>IF(AC513="","",IF(AD513=1,"C"&amp;TEXT(SUM(AD$6:AD513),"0000"),INDEX(Q$6:Q512,MATCH(AC513,AC$6:AC512,0))))</f>
        <v/>
      </c>
      <c r="R513" s="34">
        <f>IF(C513="","",IF(L513="☑ Oui","Annulée",IF(OR(E513="Vente directe",K513&lt;&gt;""),"Livrée",IF(J513&lt;&gt;"","Confirmée","En attente"))))</f>
        <v/>
      </c>
      <c r="S513" s="34">
        <f>IF(F513="","",IFERROR(VLOOKUP(F513,T_Produits,2,FALSE),""))</f>
        <v/>
      </c>
      <c r="T513" s="40">
        <f>IF(F513="","",IFERROR(1/(1/VLOOKUP(F513,T_Produits,3,FALSE)),""))</f>
        <v/>
      </c>
      <c r="U513" s="40">
        <f>IF(H513&lt;&gt;"",H513,T513)</f>
        <v/>
      </c>
      <c r="V513" s="40">
        <f>IF(OR(G513="",U513=""),"",G513*U513-N(I513))</f>
        <v/>
      </c>
      <c r="W513" s="39">
        <f>IF(D513="","",IFERROR(VALUE(MID(D513,LEN(D513)-3,3)),""))</f>
        <v/>
      </c>
      <c r="X513" s="33">
        <f>IF(W513="","",P513&amp;"|"&amp;W513)</f>
        <v/>
      </c>
      <c r="Y513" s="33">
        <f>IF(W513="","",IF(P513="À RENSEIGNER","GIC",P513)&amp;"-"&amp;TEXT(W513,"000"))</f>
        <v/>
      </c>
      <c r="Z513" s="33">
        <f>IF(X513="","",IFERROR(INDEX(Cl_nom,MATCH(X513,Cl_cle,0)),"(client introuvable)"))</f>
        <v/>
      </c>
      <c r="AA513" s="33">
        <f>IF(X513="","",IFERROR(INDEX(Cl_quartier,MATCH(X513,Cl_cle,0))&amp;"",""))</f>
        <v/>
      </c>
      <c r="AB513" s="45">
        <f>IF(R513&lt;&gt;"Livrée",0,IF(K513&lt;&gt;"",K513,C513))</f>
        <v/>
      </c>
      <c r="AC513" s="33">
        <f>IF(OR(C513="",W513=""),"",P513&amp;"|"&amp;W513&amp;"|"&amp;C513&amp;"|"&amp;E513)</f>
        <v/>
      </c>
      <c r="AD513" s="39">
        <f>IF(AC513="","",IF(COUNTIF(AC$6:AC513,AC513)=1,1,0))</f>
        <v/>
      </c>
      <c r="AE513" s="39">
        <f>IF(AB513=0,"",IF(COUNTIFS(X$6:X513,X513,AB$6:AB513,AB513)=1,1,0))</f>
        <v/>
      </c>
      <c r="AF513" s="34">
        <f>IF(C513="","",YEAR(C513-WEEKDAY(C513,2)+4)&amp;"-S"&amp;TEXT(INT((C513-DATE(YEAR(C513-WEEKDAY(C513,2)+4),1,3)+WEEKDAY(DATE(YEAR(C513-WEEKDAY(C513,2)+4),1,3),2)+5)/7),"00"))</f>
        <v/>
      </c>
    </row>
    <row r="514" ht="18" customHeight="1">
      <c r="A514" s="39" t="n">
        <v>509</v>
      </c>
      <c r="B514" s="33">
        <f>IF(C514="","",IF(P514="À RENSEIGNER","GIC",P514)&amp;"-C"&amp;TEXT(A514,"00000"))</f>
        <v/>
      </c>
      <c r="C514" s="32" t="n"/>
      <c r="D514" s="36" t="n"/>
      <c r="E514" s="36" t="n"/>
      <c r="F514" s="36" t="n"/>
      <c r="G514" s="42" t="n"/>
      <c r="H514" s="37" t="n"/>
      <c r="I514" s="37" t="n"/>
      <c r="J514" s="32" t="n"/>
      <c r="K514" s="32" t="n"/>
      <c r="L514" s="43" t="n"/>
      <c r="M514" s="36" t="n"/>
      <c r="N514" s="44" t="n"/>
      <c r="O514" s="36" t="n"/>
      <c r="P514" s="33">
        <f>IF(C514="","",Commercial_Id)</f>
        <v/>
      </c>
      <c r="Q514" s="34">
        <f>IF(AC514="","",IF(AD514=1,"C"&amp;TEXT(SUM(AD$6:AD514),"0000"),INDEX(Q$6:Q513,MATCH(AC514,AC$6:AC513,0))))</f>
        <v/>
      </c>
      <c r="R514" s="34">
        <f>IF(C514="","",IF(L514="☑ Oui","Annulée",IF(OR(E514="Vente directe",K514&lt;&gt;""),"Livrée",IF(J514&lt;&gt;"","Confirmée","En attente"))))</f>
        <v/>
      </c>
      <c r="S514" s="34">
        <f>IF(F514="","",IFERROR(VLOOKUP(F514,T_Produits,2,FALSE),""))</f>
        <v/>
      </c>
      <c r="T514" s="40">
        <f>IF(F514="","",IFERROR(1/(1/VLOOKUP(F514,T_Produits,3,FALSE)),""))</f>
        <v/>
      </c>
      <c r="U514" s="40">
        <f>IF(H514&lt;&gt;"",H514,T514)</f>
        <v/>
      </c>
      <c r="V514" s="40">
        <f>IF(OR(G514="",U514=""),"",G514*U514-N(I514))</f>
        <v/>
      </c>
      <c r="W514" s="39">
        <f>IF(D514="","",IFERROR(VALUE(MID(D514,LEN(D514)-3,3)),""))</f>
        <v/>
      </c>
      <c r="X514" s="33">
        <f>IF(W514="","",P514&amp;"|"&amp;W514)</f>
        <v/>
      </c>
      <c r="Y514" s="33">
        <f>IF(W514="","",IF(P514="À RENSEIGNER","GIC",P514)&amp;"-"&amp;TEXT(W514,"000"))</f>
        <v/>
      </c>
      <c r="Z514" s="33">
        <f>IF(X514="","",IFERROR(INDEX(Cl_nom,MATCH(X514,Cl_cle,0)),"(client introuvable)"))</f>
        <v/>
      </c>
      <c r="AA514" s="33">
        <f>IF(X514="","",IFERROR(INDEX(Cl_quartier,MATCH(X514,Cl_cle,0))&amp;"",""))</f>
        <v/>
      </c>
      <c r="AB514" s="45">
        <f>IF(R514&lt;&gt;"Livrée",0,IF(K514&lt;&gt;"",K514,C514))</f>
        <v/>
      </c>
      <c r="AC514" s="33">
        <f>IF(OR(C514="",W514=""),"",P514&amp;"|"&amp;W514&amp;"|"&amp;C514&amp;"|"&amp;E514)</f>
        <v/>
      </c>
      <c r="AD514" s="39">
        <f>IF(AC514="","",IF(COUNTIF(AC$6:AC514,AC514)=1,1,0))</f>
        <v/>
      </c>
      <c r="AE514" s="39">
        <f>IF(AB514=0,"",IF(COUNTIFS(X$6:X514,X514,AB$6:AB514,AB514)=1,1,0))</f>
        <v/>
      </c>
      <c r="AF514" s="34">
        <f>IF(C514="","",YEAR(C514-WEEKDAY(C514,2)+4)&amp;"-S"&amp;TEXT(INT((C514-DATE(YEAR(C514-WEEKDAY(C514,2)+4),1,3)+WEEKDAY(DATE(YEAR(C514-WEEKDAY(C514,2)+4),1,3),2)+5)/7),"00"))</f>
        <v/>
      </c>
    </row>
    <row r="515" ht="18" customHeight="1">
      <c r="A515" s="39" t="n">
        <v>510</v>
      </c>
      <c r="B515" s="33">
        <f>IF(C515="","",IF(P515="À RENSEIGNER","GIC",P515)&amp;"-C"&amp;TEXT(A515,"00000"))</f>
        <v/>
      </c>
      <c r="C515" s="32" t="n"/>
      <c r="D515" s="36" t="n"/>
      <c r="E515" s="36" t="n"/>
      <c r="F515" s="36" t="n"/>
      <c r="G515" s="42" t="n"/>
      <c r="H515" s="37" t="n"/>
      <c r="I515" s="37" t="n"/>
      <c r="J515" s="32" t="n"/>
      <c r="K515" s="32" t="n"/>
      <c r="L515" s="43" t="n"/>
      <c r="M515" s="36" t="n"/>
      <c r="N515" s="44" t="n"/>
      <c r="O515" s="36" t="n"/>
      <c r="P515" s="33">
        <f>IF(C515="","",Commercial_Id)</f>
        <v/>
      </c>
      <c r="Q515" s="34">
        <f>IF(AC515="","",IF(AD515=1,"C"&amp;TEXT(SUM(AD$6:AD515),"0000"),INDEX(Q$6:Q514,MATCH(AC515,AC$6:AC514,0))))</f>
        <v/>
      </c>
      <c r="R515" s="34">
        <f>IF(C515="","",IF(L515="☑ Oui","Annulée",IF(OR(E515="Vente directe",K515&lt;&gt;""),"Livrée",IF(J515&lt;&gt;"","Confirmée","En attente"))))</f>
        <v/>
      </c>
      <c r="S515" s="34">
        <f>IF(F515="","",IFERROR(VLOOKUP(F515,T_Produits,2,FALSE),""))</f>
        <v/>
      </c>
      <c r="T515" s="40">
        <f>IF(F515="","",IFERROR(1/(1/VLOOKUP(F515,T_Produits,3,FALSE)),""))</f>
        <v/>
      </c>
      <c r="U515" s="40">
        <f>IF(H515&lt;&gt;"",H515,T515)</f>
        <v/>
      </c>
      <c r="V515" s="40">
        <f>IF(OR(G515="",U515=""),"",G515*U515-N(I515))</f>
        <v/>
      </c>
      <c r="W515" s="39">
        <f>IF(D515="","",IFERROR(VALUE(MID(D515,LEN(D515)-3,3)),""))</f>
        <v/>
      </c>
      <c r="X515" s="33">
        <f>IF(W515="","",P515&amp;"|"&amp;W515)</f>
        <v/>
      </c>
      <c r="Y515" s="33">
        <f>IF(W515="","",IF(P515="À RENSEIGNER","GIC",P515)&amp;"-"&amp;TEXT(W515,"000"))</f>
        <v/>
      </c>
      <c r="Z515" s="33">
        <f>IF(X515="","",IFERROR(INDEX(Cl_nom,MATCH(X515,Cl_cle,0)),"(client introuvable)"))</f>
        <v/>
      </c>
      <c r="AA515" s="33">
        <f>IF(X515="","",IFERROR(INDEX(Cl_quartier,MATCH(X515,Cl_cle,0))&amp;"",""))</f>
        <v/>
      </c>
      <c r="AB515" s="45">
        <f>IF(R515&lt;&gt;"Livrée",0,IF(K515&lt;&gt;"",K515,C515))</f>
        <v/>
      </c>
      <c r="AC515" s="33">
        <f>IF(OR(C515="",W515=""),"",P515&amp;"|"&amp;W515&amp;"|"&amp;C515&amp;"|"&amp;E515)</f>
        <v/>
      </c>
      <c r="AD515" s="39">
        <f>IF(AC515="","",IF(COUNTIF(AC$6:AC515,AC515)=1,1,0))</f>
        <v/>
      </c>
      <c r="AE515" s="39">
        <f>IF(AB515=0,"",IF(COUNTIFS(X$6:X515,X515,AB$6:AB515,AB515)=1,1,0))</f>
        <v/>
      </c>
      <c r="AF515" s="34">
        <f>IF(C515="","",YEAR(C515-WEEKDAY(C515,2)+4)&amp;"-S"&amp;TEXT(INT((C515-DATE(YEAR(C515-WEEKDAY(C515,2)+4),1,3)+WEEKDAY(DATE(YEAR(C515-WEEKDAY(C515,2)+4),1,3),2)+5)/7),"00"))</f>
        <v/>
      </c>
    </row>
    <row r="516" ht="18" customHeight="1">
      <c r="A516" s="39" t="n">
        <v>511</v>
      </c>
      <c r="B516" s="33">
        <f>IF(C516="","",IF(P516="À RENSEIGNER","GIC",P516)&amp;"-C"&amp;TEXT(A516,"00000"))</f>
        <v/>
      </c>
      <c r="C516" s="32" t="n"/>
      <c r="D516" s="36" t="n"/>
      <c r="E516" s="36" t="n"/>
      <c r="F516" s="36" t="n"/>
      <c r="G516" s="42" t="n"/>
      <c r="H516" s="37" t="n"/>
      <c r="I516" s="37" t="n"/>
      <c r="J516" s="32" t="n"/>
      <c r="K516" s="32" t="n"/>
      <c r="L516" s="43" t="n"/>
      <c r="M516" s="36" t="n"/>
      <c r="N516" s="44" t="n"/>
      <c r="O516" s="36" t="n"/>
      <c r="P516" s="33">
        <f>IF(C516="","",Commercial_Id)</f>
        <v/>
      </c>
      <c r="Q516" s="34">
        <f>IF(AC516="","",IF(AD516=1,"C"&amp;TEXT(SUM(AD$6:AD516),"0000"),INDEX(Q$6:Q515,MATCH(AC516,AC$6:AC515,0))))</f>
        <v/>
      </c>
      <c r="R516" s="34">
        <f>IF(C516="","",IF(L516="☑ Oui","Annulée",IF(OR(E516="Vente directe",K516&lt;&gt;""),"Livrée",IF(J516&lt;&gt;"","Confirmée","En attente"))))</f>
        <v/>
      </c>
      <c r="S516" s="34">
        <f>IF(F516="","",IFERROR(VLOOKUP(F516,T_Produits,2,FALSE),""))</f>
        <v/>
      </c>
      <c r="T516" s="40">
        <f>IF(F516="","",IFERROR(1/(1/VLOOKUP(F516,T_Produits,3,FALSE)),""))</f>
        <v/>
      </c>
      <c r="U516" s="40">
        <f>IF(H516&lt;&gt;"",H516,T516)</f>
        <v/>
      </c>
      <c r="V516" s="40">
        <f>IF(OR(G516="",U516=""),"",G516*U516-N(I516))</f>
        <v/>
      </c>
      <c r="W516" s="39">
        <f>IF(D516="","",IFERROR(VALUE(MID(D516,LEN(D516)-3,3)),""))</f>
        <v/>
      </c>
      <c r="X516" s="33">
        <f>IF(W516="","",P516&amp;"|"&amp;W516)</f>
        <v/>
      </c>
      <c r="Y516" s="33">
        <f>IF(W516="","",IF(P516="À RENSEIGNER","GIC",P516)&amp;"-"&amp;TEXT(W516,"000"))</f>
        <v/>
      </c>
      <c r="Z516" s="33">
        <f>IF(X516="","",IFERROR(INDEX(Cl_nom,MATCH(X516,Cl_cle,0)),"(client introuvable)"))</f>
        <v/>
      </c>
      <c r="AA516" s="33">
        <f>IF(X516="","",IFERROR(INDEX(Cl_quartier,MATCH(X516,Cl_cle,0))&amp;"",""))</f>
        <v/>
      </c>
      <c r="AB516" s="45">
        <f>IF(R516&lt;&gt;"Livrée",0,IF(K516&lt;&gt;"",K516,C516))</f>
        <v/>
      </c>
      <c r="AC516" s="33">
        <f>IF(OR(C516="",W516=""),"",P516&amp;"|"&amp;W516&amp;"|"&amp;C516&amp;"|"&amp;E516)</f>
        <v/>
      </c>
      <c r="AD516" s="39">
        <f>IF(AC516="","",IF(COUNTIF(AC$6:AC516,AC516)=1,1,0))</f>
        <v/>
      </c>
      <c r="AE516" s="39">
        <f>IF(AB516=0,"",IF(COUNTIFS(X$6:X516,X516,AB$6:AB516,AB516)=1,1,0))</f>
        <v/>
      </c>
      <c r="AF516" s="34">
        <f>IF(C516="","",YEAR(C516-WEEKDAY(C516,2)+4)&amp;"-S"&amp;TEXT(INT((C516-DATE(YEAR(C516-WEEKDAY(C516,2)+4),1,3)+WEEKDAY(DATE(YEAR(C516-WEEKDAY(C516,2)+4),1,3),2)+5)/7),"00"))</f>
        <v/>
      </c>
    </row>
    <row r="517" ht="18" customHeight="1">
      <c r="A517" s="39" t="n">
        <v>512</v>
      </c>
      <c r="B517" s="33">
        <f>IF(C517="","",IF(P517="À RENSEIGNER","GIC",P517)&amp;"-C"&amp;TEXT(A517,"00000"))</f>
        <v/>
      </c>
      <c r="C517" s="32" t="n"/>
      <c r="D517" s="36" t="n"/>
      <c r="E517" s="36" t="n"/>
      <c r="F517" s="36" t="n"/>
      <c r="G517" s="42" t="n"/>
      <c r="H517" s="37" t="n"/>
      <c r="I517" s="37" t="n"/>
      <c r="J517" s="32" t="n"/>
      <c r="K517" s="32" t="n"/>
      <c r="L517" s="43" t="n"/>
      <c r="M517" s="36" t="n"/>
      <c r="N517" s="44" t="n"/>
      <c r="O517" s="36" t="n"/>
      <c r="P517" s="33">
        <f>IF(C517="","",Commercial_Id)</f>
        <v/>
      </c>
      <c r="Q517" s="34">
        <f>IF(AC517="","",IF(AD517=1,"C"&amp;TEXT(SUM(AD$6:AD517),"0000"),INDEX(Q$6:Q516,MATCH(AC517,AC$6:AC516,0))))</f>
        <v/>
      </c>
      <c r="R517" s="34">
        <f>IF(C517="","",IF(L517="☑ Oui","Annulée",IF(OR(E517="Vente directe",K517&lt;&gt;""),"Livrée",IF(J517&lt;&gt;"","Confirmée","En attente"))))</f>
        <v/>
      </c>
      <c r="S517" s="34">
        <f>IF(F517="","",IFERROR(VLOOKUP(F517,T_Produits,2,FALSE),""))</f>
        <v/>
      </c>
      <c r="T517" s="40">
        <f>IF(F517="","",IFERROR(1/(1/VLOOKUP(F517,T_Produits,3,FALSE)),""))</f>
        <v/>
      </c>
      <c r="U517" s="40">
        <f>IF(H517&lt;&gt;"",H517,T517)</f>
        <v/>
      </c>
      <c r="V517" s="40">
        <f>IF(OR(G517="",U517=""),"",G517*U517-N(I517))</f>
        <v/>
      </c>
      <c r="W517" s="39">
        <f>IF(D517="","",IFERROR(VALUE(MID(D517,LEN(D517)-3,3)),""))</f>
        <v/>
      </c>
      <c r="X517" s="33">
        <f>IF(W517="","",P517&amp;"|"&amp;W517)</f>
        <v/>
      </c>
      <c r="Y517" s="33">
        <f>IF(W517="","",IF(P517="À RENSEIGNER","GIC",P517)&amp;"-"&amp;TEXT(W517,"000"))</f>
        <v/>
      </c>
      <c r="Z517" s="33">
        <f>IF(X517="","",IFERROR(INDEX(Cl_nom,MATCH(X517,Cl_cle,0)),"(client introuvable)"))</f>
        <v/>
      </c>
      <c r="AA517" s="33">
        <f>IF(X517="","",IFERROR(INDEX(Cl_quartier,MATCH(X517,Cl_cle,0))&amp;"",""))</f>
        <v/>
      </c>
      <c r="AB517" s="45">
        <f>IF(R517&lt;&gt;"Livrée",0,IF(K517&lt;&gt;"",K517,C517))</f>
        <v/>
      </c>
      <c r="AC517" s="33">
        <f>IF(OR(C517="",W517=""),"",P517&amp;"|"&amp;W517&amp;"|"&amp;C517&amp;"|"&amp;E517)</f>
        <v/>
      </c>
      <c r="AD517" s="39">
        <f>IF(AC517="","",IF(COUNTIF(AC$6:AC517,AC517)=1,1,0))</f>
        <v/>
      </c>
      <c r="AE517" s="39">
        <f>IF(AB517=0,"",IF(COUNTIFS(X$6:X517,X517,AB$6:AB517,AB517)=1,1,0))</f>
        <v/>
      </c>
      <c r="AF517" s="34">
        <f>IF(C517="","",YEAR(C517-WEEKDAY(C517,2)+4)&amp;"-S"&amp;TEXT(INT((C517-DATE(YEAR(C517-WEEKDAY(C517,2)+4),1,3)+WEEKDAY(DATE(YEAR(C517-WEEKDAY(C517,2)+4),1,3),2)+5)/7),"00"))</f>
        <v/>
      </c>
    </row>
    <row r="518" ht="18" customHeight="1">
      <c r="A518" s="39" t="n">
        <v>513</v>
      </c>
      <c r="B518" s="33">
        <f>IF(C518="","",IF(P518="À RENSEIGNER","GIC",P518)&amp;"-C"&amp;TEXT(A518,"00000"))</f>
        <v/>
      </c>
      <c r="C518" s="32" t="n"/>
      <c r="D518" s="36" t="n"/>
      <c r="E518" s="36" t="n"/>
      <c r="F518" s="36" t="n"/>
      <c r="G518" s="42" t="n"/>
      <c r="H518" s="37" t="n"/>
      <c r="I518" s="37" t="n"/>
      <c r="J518" s="32" t="n"/>
      <c r="K518" s="32" t="n"/>
      <c r="L518" s="43" t="n"/>
      <c r="M518" s="36" t="n"/>
      <c r="N518" s="44" t="n"/>
      <c r="O518" s="36" t="n"/>
      <c r="P518" s="33">
        <f>IF(C518="","",Commercial_Id)</f>
        <v/>
      </c>
      <c r="Q518" s="34">
        <f>IF(AC518="","",IF(AD518=1,"C"&amp;TEXT(SUM(AD$6:AD518),"0000"),INDEX(Q$6:Q517,MATCH(AC518,AC$6:AC517,0))))</f>
        <v/>
      </c>
      <c r="R518" s="34">
        <f>IF(C518="","",IF(L518="☑ Oui","Annulée",IF(OR(E518="Vente directe",K518&lt;&gt;""),"Livrée",IF(J518&lt;&gt;"","Confirmée","En attente"))))</f>
        <v/>
      </c>
      <c r="S518" s="34">
        <f>IF(F518="","",IFERROR(VLOOKUP(F518,T_Produits,2,FALSE),""))</f>
        <v/>
      </c>
      <c r="T518" s="40">
        <f>IF(F518="","",IFERROR(1/(1/VLOOKUP(F518,T_Produits,3,FALSE)),""))</f>
        <v/>
      </c>
      <c r="U518" s="40">
        <f>IF(H518&lt;&gt;"",H518,T518)</f>
        <v/>
      </c>
      <c r="V518" s="40">
        <f>IF(OR(G518="",U518=""),"",G518*U518-N(I518))</f>
        <v/>
      </c>
      <c r="W518" s="39">
        <f>IF(D518="","",IFERROR(VALUE(MID(D518,LEN(D518)-3,3)),""))</f>
        <v/>
      </c>
      <c r="X518" s="33">
        <f>IF(W518="","",P518&amp;"|"&amp;W518)</f>
        <v/>
      </c>
      <c r="Y518" s="33">
        <f>IF(W518="","",IF(P518="À RENSEIGNER","GIC",P518)&amp;"-"&amp;TEXT(W518,"000"))</f>
        <v/>
      </c>
      <c r="Z518" s="33">
        <f>IF(X518="","",IFERROR(INDEX(Cl_nom,MATCH(X518,Cl_cle,0)),"(client introuvable)"))</f>
        <v/>
      </c>
      <c r="AA518" s="33">
        <f>IF(X518="","",IFERROR(INDEX(Cl_quartier,MATCH(X518,Cl_cle,0))&amp;"",""))</f>
        <v/>
      </c>
      <c r="AB518" s="45">
        <f>IF(R518&lt;&gt;"Livrée",0,IF(K518&lt;&gt;"",K518,C518))</f>
        <v/>
      </c>
      <c r="AC518" s="33">
        <f>IF(OR(C518="",W518=""),"",P518&amp;"|"&amp;W518&amp;"|"&amp;C518&amp;"|"&amp;E518)</f>
        <v/>
      </c>
      <c r="AD518" s="39">
        <f>IF(AC518="","",IF(COUNTIF(AC$6:AC518,AC518)=1,1,0))</f>
        <v/>
      </c>
      <c r="AE518" s="39">
        <f>IF(AB518=0,"",IF(COUNTIFS(X$6:X518,X518,AB$6:AB518,AB518)=1,1,0))</f>
        <v/>
      </c>
      <c r="AF518" s="34">
        <f>IF(C518="","",YEAR(C518-WEEKDAY(C518,2)+4)&amp;"-S"&amp;TEXT(INT((C518-DATE(YEAR(C518-WEEKDAY(C518,2)+4),1,3)+WEEKDAY(DATE(YEAR(C518-WEEKDAY(C518,2)+4),1,3),2)+5)/7),"00"))</f>
        <v/>
      </c>
    </row>
    <row r="519" ht="18" customHeight="1">
      <c r="A519" s="39" t="n">
        <v>514</v>
      </c>
      <c r="B519" s="33">
        <f>IF(C519="","",IF(P519="À RENSEIGNER","GIC",P519)&amp;"-C"&amp;TEXT(A519,"00000"))</f>
        <v/>
      </c>
      <c r="C519" s="32" t="n"/>
      <c r="D519" s="36" t="n"/>
      <c r="E519" s="36" t="n"/>
      <c r="F519" s="36" t="n"/>
      <c r="G519" s="42" t="n"/>
      <c r="H519" s="37" t="n"/>
      <c r="I519" s="37" t="n"/>
      <c r="J519" s="32" t="n"/>
      <c r="K519" s="32" t="n"/>
      <c r="L519" s="43" t="n"/>
      <c r="M519" s="36" t="n"/>
      <c r="N519" s="44" t="n"/>
      <c r="O519" s="36" t="n"/>
      <c r="P519" s="33">
        <f>IF(C519="","",Commercial_Id)</f>
        <v/>
      </c>
      <c r="Q519" s="34">
        <f>IF(AC519="","",IF(AD519=1,"C"&amp;TEXT(SUM(AD$6:AD519),"0000"),INDEX(Q$6:Q518,MATCH(AC519,AC$6:AC518,0))))</f>
        <v/>
      </c>
      <c r="R519" s="34">
        <f>IF(C519="","",IF(L519="☑ Oui","Annulée",IF(OR(E519="Vente directe",K519&lt;&gt;""),"Livrée",IF(J519&lt;&gt;"","Confirmée","En attente"))))</f>
        <v/>
      </c>
      <c r="S519" s="34">
        <f>IF(F519="","",IFERROR(VLOOKUP(F519,T_Produits,2,FALSE),""))</f>
        <v/>
      </c>
      <c r="T519" s="40">
        <f>IF(F519="","",IFERROR(1/(1/VLOOKUP(F519,T_Produits,3,FALSE)),""))</f>
        <v/>
      </c>
      <c r="U519" s="40">
        <f>IF(H519&lt;&gt;"",H519,T519)</f>
        <v/>
      </c>
      <c r="V519" s="40">
        <f>IF(OR(G519="",U519=""),"",G519*U519-N(I519))</f>
        <v/>
      </c>
      <c r="W519" s="39">
        <f>IF(D519="","",IFERROR(VALUE(MID(D519,LEN(D519)-3,3)),""))</f>
        <v/>
      </c>
      <c r="X519" s="33">
        <f>IF(W519="","",P519&amp;"|"&amp;W519)</f>
        <v/>
      </c>
      <c r="Y519" s="33">
        <f>IF(W519="","",IF(P519="À RENSEIGNER","GIC",P519)&amp;"-"&amp;TEXT(W519,"000"))</f>
        <v/>
      </c>
      <c r="Z519" s="33">
        <f>IF(X519="","",IFERROR(INDEX(Cl_nom,MATCH(X519,Cl_cle,0)),"(client introuvable)"))</f>
        <v/>
      </c>
      <c r="AA519" s="33">
        <f>IF(X519="","",IFERROR(INDEX(Cl_quartier,MATCH(X519,Cl_cle,0))&amp;"",""))</f>
        <v/>
      </c>
      <c r="AB519" s="45">
        <f>IF(R519&lt;&gt;"Livrée",0,IF(K519&lt;&gt;"",K519,C519))</f>
        <v/>
      </c>
      <c r="AC519" s="33">
        <f>IF(OR(C519="",W519=""),"",P519&amp;"|"&amp;W519&amp;"|"&amp;C519&amp;"|"&amp;E519)</f>
        <v/>
      </c>
      <c r="AD519" s="39">
        <f>IF(AC519="","",IF(COUNTIF(AC$6:AC519,AC519)=1,1,0))</f>
        <v/>
      </c>
      <c r="AE519" s="39">
        <f>IF(AB519=0,"",IF(COUNTIFS(X$6:X519,X519,AB$6:AB519,AB519)=1,1,0))</f>
        <v/>
      </c>
      <c r="AF519" s="34">
        <f>IF(C519="","",YEAR(C519-WEEKDAY(C519,2)+4)&amp;"-S"&amp;TEXT(INT((C519-DATE(YEAR(C519-WEEKDAY(C519,2)+4),1,3)+WEEKDAY(DATE(YEAR(C519-WEEKDAY(C519,2)+4),1,3),2)+5)/7),"00"))</f>
        <v/>
      </c>
    </row>
    <row r="520" ht="18" customHeight="1">
      <c r="A520" s="39" t="n">
        <v>515</v>
      </c>
      <c r="B520" s="33">
        <f>IF(C520="","",IF(P520="À RENSEIGNER","GIC",P520)&amp;"-C"&amp;TEXT(A520,"00000"))</f>
        <v/>
      </c>
      <c r="C520" s="32" t="n"/>
      <c r="D520" s="36" t="n"/>
      <c r="E520" s="36" t="n"/>
      <c r="F520" s="36" t="n"/>
      <c r="G520" s="42" t="n"/>
      <c r="H520" s="37" t="n"/>
      <c r="I520" s="37" t="n"/>
      <c r="J520" s="32" t="n"/>
      <c r="K520" s="32" t="n"/>
      <c r="L520" s="43" t="n"/>
      <c r="M520" s="36" t="n"/>
      <c r="N520" s="44" t="n"/>
      <c r="O520" s="36" t="n"/>
      <c r="P520" s="33">
        <f>IF(C520="","",Commercial_Id)</f>
        <v/>
      </c>
      <c r="Q520" s="34">
        <f>IF(AC520="","",IF(AD520=1,"C"&amp;TEXT(SUM(AD$6:AD520),"0000"),INDEX(Q$6:Q519,MATCH(AC520,AC$6:AC519,0))))</f>
        <v/>
      </c>
      <c r="R520" s="34">
        <f>IF(C520="","",IF(L520="☑ Oui","Annulée",IF(OR(E520="Vente directe",K520&lt;&gt;""),"Livrée",IF(J520&lt;&gt;"","Confirmée","En attente"))))</f>
        <v/>
      </c>
      <c r="S520" s="34">
        <f>IF(F520="","",IFERROR(VLOOKUP(F520,T_Produits,2,FALSE),""))</f>
        <v/>
      </c>
      <c r="T520" s="40">
        <f>IF(F520="","",IFERROR(1/(1/VLOOKUP(F520,T_Produits,3,FALSE)),""))</f>
        <v/>
      </c>
      <c r="U520" s="40">
        <f>IF(H520&lt;&gt;"",H520,T520)</f>
        <v/>
      </c>
      <c r="V520" s="40">
        <f>IF(OR(G520="",U520=""),"",G520*U520-N(I520))</f>
        <v/>
      </c>
      <c r="W520" s="39">
        <f>IF(D520="","",IFERROR(VALUE(MID(D520,LEN(D520)-3,3)),""))</f>
        <v/>
      </c>
      <c r="X520" s="33">
        <f>IF(W520="","",P520&amp;"|"&amp;W520)</f>
        <v/>
      </c>
      <c r="Y520" s="33">
        <f>IF(W520="","",IF(P520="À RENSEIGNER","GIC",P520)&amp;"-"&amp;TEXT(W520,"000"))</f>
        <v/>
      </c>
      <c r="Z520" s="33">
        <f>IF(X520="","",IFERROR(INDEX(Cl_nom,MATCH(X520,Cl_cle,0)),"(client introuvable)"))</f>
        <v/>
      </c>
      <c r="AA520" s="33">
        <f>IF(X520="","",IFERROR(INDEX(Cl_quartier,MATCH(X520,Cl_cle,0))&amp;"",""))</f>
        <v/>
      </c>
      <c r="AB520" s="45">
        <f>IF(R520&lt;&gt;"Livrée",0,IF(K520&lt;&gt;"",K520,C520))</f>
        <v/>
      </c>
      <c r="AC520" s="33">
        <f>IF(OR(C520="",W520=""),"",P520&amp;"|"&amp;W520&amp;"|"&amp;C520&amp;"|"&amp;E520)</f>
        <v/>
      </c>
      <c r="AD520" s="39">
        <f>IF(AC520="","",IF(COUNTIF(AC$6:AC520,AC520)=1,1,0))</f>
        <v/>
      </c>
      <c r="AE520" s="39">
        <f>IF(AB520=0,"",IF(COUNTIFS(X$6:X520,X520,AB$6:AB520,AB520)=1,1,0))</f>
        <v/>
      </c>
      <c r="AF520" s="34">
        <f>IF(C520="","",YEAR(C520-WEEKDAY(C520,2)+4)&amp;"-S"&amp;TEXT(INT((C520-DATE(YEAR(C520-WEEKDAY(C520,2)+4),1,3)+WEEKDAY(DATE(YEAR(C520-WEEKDAY(C520,2)+4),1,3),2)+5)/7),"00"))</f>
        <v/>
      </c>
    </row>
    <row r="521" ht="18" customHeight="1">
      <c r="A521" s="39" t="n">
        <v>516</v>
      </c>
      <c r="B521" s="33">
        <f>IF(C521="","",IF(P521="À RENSEIGNER","GIC",P521)&amp;"-C"&amp;TEXT(A521,"00000"))</f>
        <v/>
      </c>
      <c r="C521" s="32" t="n"/>
      <c r="D521" s="36" t="n"/>
      <c r="E521" s="36" t="n"/>
      <c r="F521" s="36" t="n"/>
      <c r="G521" s="42" t="n"/>
      <c r="H521" s="37" t="n"/>
      <c r="I521" s="37" t="n"/>
      <c r="J521" s="32" t="n"/>
      <c r="K521" s="32" t="n"/>
      <c r="L521" s="43" t="n"/>
      <c r="M521" s="36" t="n"/>
      <c r="N521" s="44" t="n"/>
      <c r="O521" s="36" t="n"/>
      <c r="P521" s="33">
        <f>IF(C521="","",Commercial_Id)</f>
        <v/>
      </c>
      <c r="Q521" s="34">
        <f>IF(AC521="","",IF(AD521=1,"C"&amp;TEXT(SUM(AD$6:AD521),"0000"),INDEX(Q$6:Q520,MATCH(AC521,AC$6:AC520,0))))</f>
        <v/>
      </c>
      <c r="R521" s="34">
        <f>IF(C521="","",IF(L521="☑ Oui","Annulée",IF(OR(E521="Vente directe",K521&lt;&gt;""),"Livrée",IF(J521&lt;&gt;"","Confirmée","En attente"))))</f>
        <v/>
      </c>
      <c r="S521" s="34">
        <f>IF(F521="","",IFERROR(VLOOKUP(F521,T_Produits,2,FALSE),""))</f>
        <v/>
      </c>
      <c r="T521" s="40">
        <f>IF(F521="","",IFERROR(1/(1/VLOOKUP(F521,T_Produits,3,FALSE)),""))</f>
        <v/>
      </c>
      <c r="U521" s="40">
        <f>IF(H521&lt;&gt;"",H521,T521)</f>
        <v/>
      </c>
      <c r="V521" s="40">
        <f>IF(OR(G521="",U521=""),"",G521*U521-N(I521))</f>
        <v/>
      </c>
      <c r="W521" s="39">
        <f>IF(D521="","",IFERROR(VALUE(MID(D521,LEN(D521)-3,3)),""))</f>
        <v/>
      </c>
      <c r="X521" s="33">
        <f>IF(W521="","",P521&amp;"|"&amp;W521)</f>
        <v/>
      </c>
      <c r="Y521" s="33">
        <f>IF(W521="","",IF(P521="À RENSEIGNER","GIC",P521)&amp;"-"&amp;TEXT(W521,"000"))</f>
        <v/>
      </c>
      <c r="Z521" s="33">
        <f>IF(X521="","",IFERROR(INDEX(Cl_nom,MATCH(X521,Cl_cle,0)),"(client introuvable)"))</f>
        <v/>
      </c>
      <c r="AA521" s="33">
        <f>IF(X521="","",IFERROR(INDEX(Cl_quartier,MATCH(X521,Cl_cle,0))&amp;"",""))</f>
        <v/>
      </c>
      <c r="AB521" s="45">
        <f>IF(R521&lt;&gt;"Livrée",0,IF(K521&lt;&gt;"",K521,C521))</f>
        <v/>
      </c>
      <c r="AC521" s="33">
        <f>IF(OR(C521="",W521=""),"",P521&amp;"|"&amp;W521&amp;"|"&amp;C521&amp;"|"&amp;E521)</f>
        <v/>
      </c>
      <c r="AD521" s="39">
        <f>IF(AC521="","",IF(COUNTIF(AC$6:AC521,AC521)=1,1,0))</f>
        <v/>
      </c>
      <c r="AE521" s="39">
        <f>IF(AB521=0,"",IF(COUNTIFS(X$6:X521,X521,AB$6:AB521,AB521)=1,1,0))</f>
        <v/>
      </c>
      <c r="AF521" s="34">
        <f>IF(C521="","",YEAR(C521-WEEKDAY(C521,2)+4)&amp;"-S"&amp;TEXT(INT((C521-DATE(YEAR(C521-WEEKDAY(C521,2)+4),1,3)+WEEKDAY(DATE(YEAR(C521-WEEKDAY(C521,2)+4),1,3),2)+5)/7),"00"))</f>
        <v/>
      </c>
    </row>
    <row r="522" ht="18" customHeight="1">
      <c r="A522" s="39" t="n">
        <v>517</v>
      </c>
      <c r="B522" s="33">
        <f>IF(C522="","",IF(P522="À RENSEIGNER","GIC",P522)&amp;"-C"&amp;TEXT(A522,"00000"))</f>
        <v/>
      </c>
      <c r="C522" s="32" t="n"/>
      <c r="D522" s="36" t="n"/>
      <c r="E522" s="36" t="n"/>
      <c r="F522" s="36" t="n"/>
      <c r="G522" s="42" t="n"/>
      <c r="H522" s="37" t="n"/>
      <c r="I522" s="37" t="n"/>
      <c r="J522" s="32" t="n"/>
      <c r="K522" s="32" t="n"/>
      <c r="L522" s="43" t="n"/>
      <c r="M522" s="36" t="n"/>
      <c r="N522" s="44" t="n"/>
      <c r="O522" s="36" t="n"/>
      <c r="P522" s="33">
        <f>IF(C522="","",Commercial_Id)</f>
        <v/>
      </c>
      <c r="Q522" s="34">
        <f>IF(AC522="","",IF(AD522=1,"C"&amp;TEXT(SUM(AD$6:AD522),"0000"),INDEX(Q$6:Q521,MATCH(AC522,AC$6:AC521,0))))</f>
        <v/>
      </c>
      <c r="R522" s="34">
        <f>IF(C522="","",IF(L522="☑ Oui","Annulée",IF(OR(E522="Vente directe",K522&lt;&gt;""),"Livrée",IF(J522&lt;&gt;"","Confirmée","En attente"))))</f>
        <v/>
      </c>
      <c r="S522" s="34">
        <f>IF(F522="","",IFERROR(VLOOKUP(F522,T_Produits,2,FALSE),""))</f>
        <v/>
      </c>
      <c r="T522" s="40">
        <f>IF(F522="","",IFERROR(1/(1/VLOOKUP(F522,T_Produits,3,FALSE)),""))</f>
        <v/>
      </c>
      <c r="U522" s="40">
        <f>IF(H522&lt;&gt;"",H522,T522)</f>
        <v/>
      </c>
      <c r="V522" s="40">
        <f>IF(OR(G522="",U522=""),"",G522*U522-N(I522))</f>
        <v/>
      </c>
      <c r="W522" s="39">
        <f>IF(D522="","",IFERROR(VALUE(MID(D522,LEN(D522)-3,3)),""))</f>
        <v/>
      </c>
      <c r="X522" s="33">
        <f>IF(W522="","",P522&amp;"|"&amp;W522)</f>
        <v/>
      </c>
      <c r="Y522" s="33">
        <f>IF(W522="","",IF(P522="À RENSEIGNER","GIC",P522)&amp;"-"&amp;TEXT(W522,"000"))</f>
        <v/>
      </c>
      <c r="Z522" s="33">
        <f>IF(X522="","",IFERROR(INDEX(Cl_nom,MATCH(X522,Cl_cle,0)),"(client introuvable)"))</f>
        <v/>
      </c>
      <c r="AA522" s="33">
        <f>IF(X522="","",IFERROR(INDEX(Cl_quartier,MATCH(X522,Cl_cle,0))&amp;"",""))</f>
        <v/>
      </c>
      <c r="AB522" s="45">
        <f>IF(R522&lt;&gt;"Livrée",0,IF(K522&lt;&gt;"",K522,C522))</f>
        <v/>
      </c>
      <c r="AC522" s="33">
        <f>IF(OR(C522="",W522=""),"",P522&amp;"|"&amp;W522&amp;"|"&amp;C522&amp;"|"&amp;E522)</f>
        <v/>
      </c>
      <c r="AD522" s="39">
        <f>IF(AC522="","",IF(COUNTIF(AC$6:AC522,AC522)=1,1,0))</f>
        <v/>
      </c>
      <c r="AE522" s="39">
        <f>IF(AB522=0,"",IF(COUNTIFS(X$6:X522,X522,AB$6:AB522,AB522)=1,1,0))</f>
        <v/>
      </c>
      <c r="AF522" s="34">
        <f>IF(C522="","",YEAR(C522-WEEKDAY(C522,2)+4)&amp;"-S"&amp;TEXT(INT((C522-DATE(YEAR(C522-WEEKDAY(C522,2)+4),1,3)+WEEKDAY(DATE(YEAR(C522-WEEKDAY(C522,2)+4),1,3),2)+5)/7),"00"))</f>
        <v/>
      </c>
    </row>
    <row r="523" ht="18" customHeight="1">
      <c r="A523" s="39" t="n">
        <v>518</v>
      </c>
      <c r="B523" s="33">
        <f>IF(C523="","",IF(P523="À RENSEIGNER","GIC",P523)&amp;"-C"&amp;TEXT(A523,"00000"))</f>
        <v/>
      </c>
      <c r="C523" s="32" t="n"/>
      <c r="D523" s="36" t="n"/>
      <c r="E523" s="36" t="n"/>
      <c r="F523" s="36" t="n"/>
      <c r="G523" s="42" t="n"/>
      <c r="H523" s="37" t="n"/>
      <c r="I523" s="37" t="n"/>
      <c r="J523" s="32" t="n"/>
      <c r="K523" s="32" t="n"/>
      <c r="L523" s="43" t="n"/>
      <c r="M523" s="36" t="n"/>
      <c r="N523" s="44" t="n"/>
      <c r="O523" s="36" t="n"/>
      <c r="P523" s="33">
        <f>IF(C523="","",Commercial_Id)</f>
        <v/>
      </c>
      <c r="Q523" s="34">
        <f>IF(AC523="","",IF(AD523=1,"C"&amp;TEXT(SUM(AD$6:AD523),"0000"),INDEX(Q$6:Q522,MATCH(AC523,AC$6:AC522,0))))</f>
        <v/>
      </c>
      <c r="R523" s="34">
        <f>IF(C523="","",IF(L523="☑ Oui","Annulée",IF(OR(E523="Vente directe",K523&lt;&gt;""),"Livrée",IF(J523&lt;&gt;"","Confirmée","En attente"))))</f>
        <v/>
      </c>
      <c r="S523" s="34">
        <f>IF(F523="","",IFERROR(VLOOKUP(F523,T_Produits,2,FALSE),""))</f>
        <v/>
      </c>
      <c r="T523" s="40">
        <f>IF(F523="","",IFERROR(1/(1/VLOOKUP(F523,T_Produits,3,FALSE)),""))</f>
        <v/>
      </c>
      <c r="U523" s="40">
        <f>IF(H523&lt;&gt;"",H523,T523)</f>
        <v/>
      </c>
      <c r="V523" s="40">
        <f>IF(OR(G523="",U523=""),"",G523*U523-N(I523))</f>
        <v/>
      </c>
      <c r="W523" s="39">
        <f>IF(D523="","",IFERROR(VALUE(MID(D523,LEN(D523)-3,3)),""))</f>
        <v/>
      </c>
      <c r="X523" s="33">
        <f>IF(W523="","",P523&amp;"|"&amp;W523)</f>
        <v/>
      </c>
      <c r="Y523" s="33">
        <f>IF(W523="","",IF(P523="À RENSEIGNER","GIC",P523)&amp;"-"&amp;TEXT(W523,"000"))</f>
        <v/>
      </c>
      <c r="Z523" s="33">
        <f>IF(X523="","",IFERROR(INDEX(Cl_nom,MATCH(X523,Cl_cle,0)),"(client introuvable)"))</f>
        <v/>
      </c>
      <c r="AA523" s="33">
        <f>IF(X523="","",IFERROR(INDEX(Cl_quartier,MATCH(X523,Cl_cle,0))&amp;"",""))</f>
        <v/>
      </c>
      <c r="AB523" s="45">
        <f>IF(R523&lt;&gt;"Livrée",0,IF(K523&lt;&gt;"",K523,C523))</f>
        <v/>
      </c>
      <c r="AC523" s="33">
        <f>IF(OR(C523="",W523=""),"",P523&amp;"|"&amp;W523&amp;"|"&amp;C523&amp;"|"&amp;E523)</f>
        <v/>
      </c>
      <c r="AD523" s="39">
        <f>IF(AC523="","",IF(COUNTIF(AC$6:AC523,AC523)=1,1,0))</f>
        <v/>
      </c>
      <c r="AE523" s="39">
        <f>IF(AB523=0,"",IF(COUNTIFS(X$6:X523,X523,AB$6:AB523,AB523)=1,1,0))</f>
        <v/>
      </c>
      <c r="AF523" s="34">
        <f>IF(C523="","",YEAR(C523-WEEKDAY(C523,2)+4)&amp;"-S"&amp;TEXT(INT((C523-DATE(YEAR(C523-WEEKDAY(C523,2)+4),1,3)+WEEKDAY(DATE(YEAR(C523-WEEKDAY(C523,2)+4),1,3),2)+5)/7),"00"))</f>
        <v/>
      </c>
    </row>
    <row r="524" ht="18" customHeight="1">
      <c r="A524" s="39" t="n">
        <v>519</v>
      </c>
      <c r="B524" s="33">
        <f>IF(C524="","",IF(P524="À RENSEIGNER","GIC",P524)&amp;"-C"&amp;TEXT(A524,"00000"))</f>
        <v/>
      </c>
      <c r="C524" s="32" t="n"/>
      <c r="D524" s="36" t="n"/>
      <c r="E524" s="36" t="n"/>
      <c r="F524" s="36" t="n"/>
      <c r="G524" s="42" t="n"/>
      <c r="H524" s="37" t="n"/>
      <c r="I524" s="37" t="n"/>
      <c r="J524" s="32" t="n"/>
      <c r="K524" s="32" t="n"/>
      <c r="L524" s="43" t="n"/>
      <c r="M524" s="36" t="n"/>
      <c r="N524" s="44" t="n"/>
      <c r="O524" s="36" t="n"/>
      <c r="P524" s="33">
        <f>IF(C524="","",Commercial_Id)</f>
        <v/>
      </c>
      <c r="Q524" s="34">
        <f>IF(AC524="","",IF(AD524=1,"C"&amp;TEXT(SUM(AD$6:AD524),"0000"),INDEX(Q$6:Q523,MATCH(AC524,AC$6:AC523,0))))</f>
        <v/>
      </c>
      <c r="R524" s="34">
        <f>IF(C524="","",IF(L524="☑ Oui","Annulée",IF(OR(E524="Vente directe",K524&lt;&gt;""),"Livrée",IF(J524&lt;&gt;"","Confirmée","En attente"))))</f>
        <v/>
      </c>
      <c r="S524" s="34">
        <f>IF(F524="","",IFERROR(VLOOKUP(F524,T_Produits,2,FALSE),""))</f>
        <v/>
      </c>
      <c r="T524" s="40">
        <f>IF(F524="","",IFERROR(1/(1/VLOOKUP(F524,T_Produits,3,FALSE)),""))</f>
        <v/>
      </c>
      <c r="U524" s="40">
        <f>IF(H524&lt;&gt;"",H524,T524)</f>
        <v/>
      </c>
      <c r="V524" s="40">
        <f>IF(OR(G524="",U524=""),"",G524*U524-N(I524))</f>
        <v/>
      </c>
      <c r="W524" s="39">
        <f>IF(D524="","",IFERROR(VALUE(MID(D524,LEN(D524)-3,3)),""))</f>
        <v/>
      </c>
      <c r="X524" s="33">
        <f>IF(W524="","",P524&amp;"|"&amp;W524)</f>
        <v/>
      </c>
      <c r="Y524" s="33">
        <f>IF(W524="","",IF(P524="À RENSEIGNER","GIC",P524)&amp;"-"&amp;TEXT(W524,"000"))</f>
        <v/>
      </c>
      <c r="Z524" s="33">
        <f>IF(X524="","",IFERROR(INDEX(Cl_nom,MATCH(X524,Cl_cle,0)),"(client introuvable)"))</f>
        <v/>
      </c>
      <c r="AA524" s="33">
        <f>IF(X524="","",IFERROR(INDEX(Cl_quartier,MATCH(X524,Cl_cle,0))&amp;"",""))</f>
        <v/>
      </c>
      <c r="AB524" s="45">
        <f>IF(R524&lt;&gt;"Livrée",0,IF(K524&lt;&gt;"",K524,C524))</f>
        <v/>
      </c>
      <c r="AC524" s="33">
        <f>IF(OR(C524="",W524=""),"",P524&amp;"|"&amp;W524&amp;"|"&amp;C524&amp;"|"&amp;E524)</f>
        <v/>
      </c>
      <c r="AD524" s="39">
        <f>IF(AC524="","",IF(COUNTIF(AC$6:AC524,AC524)=1,1,0))</f>
        <v/>
      </c>
      <c r="AE524" s="39">
        <f>IF(AB524=0,"",IF(COUNTIFS(X$6:X524,X524,AB$6:AB524,AB524)=1,1,0))</f>
        <v/>
      </c>
      <c r="AF524" s="34">
        <f>IF(C524="","",YEAR(C524-WEEKDAY(C524,2)+4)&amp;"-S"&amp;TEXT(INT((C524-DATE(YEAR(C524-WEEKDAY(C524,2)+4),1,3)+WEEKDAY(DATE(YEAR(C524-WEEKDAY(C524,2)+4),1,3),2)+5)/7),"00"))</f>
        <v/>
      </c>
    </row>
    <row r="525" ht="18" customHeight="1">
      <c r="A525" s="39" t="n">
        <v>520</v>
      </c>
      <c r="B525" s="33">
        <f>IF(C525="","",IF(P525="À RENSEIGNER","GIC",P525)&amp;"-C"&amp;TEXT(A525,"00000"))</f>
        <v/>
      </c>
      <c r="C525" s="32" t="n"/>
      <c r="D525" s="36" t="n"/>
      <c r="E525" s="36" t="n"/>
      <c r="F525" s="36" t="n"/>
      <c r="G525" s="42" t="n"/>
      <c r="H525" s="37" t="n"/>
      <c r="I525" s="37" t="n"/>
      <c r="J525" s="32" t="n"/>
      <c r="K525" s="32" t="n"/>
      <c r="L525" s="43" t="n"/>
      <c r="M525" s="36" t="n"/>
      <c r="N525" s="44" t="n"/>
      <c r="O525" s="36" t="n"/>
      <c r="P525" s="33">
        <f>IF(C525="","",Commercial_Id)</f>
        <v/>
      </c>
      <c r="Q525" s="34">
        <f>IF(AC525="","",IF(AD525=1,"C"&amp;TEXT(SUM(AD$6:AD525),"0000"),INDEX(Q$6:Q524,MATCH(AC525,AC$6:AC524,0))))</f>
        <v/>
      </c>
      <c r="R525" s="34">
        <f>IF(C525="","",IF(L525="☑ Oui","Annulée",IF(OR(E525="Vente directe",K525&lt;&gt;""),"Livrée",IF(J525&lt;&gt;"","Confirmée","En attente"))))</f>
        <v/>
      </c>
      <c r="S525" s="34">
        <f>IF(F525="","",IFERROR(VLOOKUP(F525,T_Produits,2,FALSE),""))</f>
        <v/>
      </c>
      <c r="T525" s="40">
        <f>IF(F525="","",IFERROR(1/(1/VLOOKUP(F525,T_Produits,3,FALSE)),""))</f>
        <v/>
      </c>
      <c r="U525" s="40">
        <f>IF(H525&lt;&gt;"",H525,T525)</f>
        <v/>
      </c>
      <c r="V525" s="40">
        <f>IF(OR(G525="",U525=""),"",G525*U525-N(I525))</f>
        <v/>
      </c>
      <c r="W525" s="39">
        <f>IF(D525="","",IFERROR(VALUE(MID(D525,LEN(D525)-3,3)),""))</f>
        <v/>
      </c>
      <c r="X525" s="33">
        <f>IF(W525="","",P525&amp;"|"&amp;W525)</f>
        <v/>
      </c>
      <c r="Y525" s="33">
        <f>IF(W525="","",IF(P525="À RENSEIGNER","GIC",P525)&amp;"-"&amp;TEXT(W525,"000"))</f>
        <v/>
      </c>
      <c r="Z525" s="33">
        <f>IF(X525="","",IFERROR(INDEX(Cl_nom,MATCH(X525,Cl_cle,0)),"(client introuvable)"))</f>
        <v/>
      </c>
      <c r="AA525" s="33">
        <f>IF(X525="","",IFERROR(INDEX(Cl_quartier,MATCH(X525,Cl_cle,0))&amp;"",""))</f>
        <v/>
      </c>
      <c r="AB525" s="45">
        <f>IF(R525&lt;&gt;"Livrée",0,IF(K525&lt;&gt;"",K525,C525))</f>
        <v/>
      </c>
      <c r="AC525" s="33">
        <f>IF(OR(C525="",W525=""),"",P525&amp;"|"&amp;W525&amp;"|"&amp;C525&amp;"|"&amp;E525)</f>
        <v/>
      </c>
      <c r="AD525" s="39">
        <f>IF(AC525="","",IF(COUNTIF(AC$6:AC525,AC525)=1,1,0))</f>
        <v/>
      </c>
      <c r="AE525" s="39">
        <f>IF(AB525=0,"",IF(COUNTIFS(X$6:X525,X525,AB$6:AB525,AB525)=1,1,0))</f>
        <v/>
      </c>
      <c r="AF525" s="34">
        <f>IF(C525="","",YEAR(C525-WEEKDAY(C525,2)+4)&amp;"-S"&amp;TEXT(INT((C525-DATE(YEAR(C525-WEEKDAY(C525,2)+4),1,3)+WEEKDAY(DATE(YEAR(C525-WEEKDAY(C525,2)+4),1,3),2)+5)/7),"00"))</f>
        <v/>
      </c>
    </row>
    <row r="526" ht="18" customHeight="1">
      <c r="A526" s="39" t="n">
        <v>521</v>
      </c>
      <c r="B526" s="33">
        <f>IF(C526="","",IF(P526="À RENSEIGNER","GIC",P526)&amp;"-C"&amp;TEXT(A526,"00000"))</f>
        <v/>
      </c>
      <c r="C526" s="32" t="n"/>
      <c r="D526" s="36" t="n"/>
      <c r="E526" s="36" t="n"/>
      <c r="F526" s="36" t="n"/>
      <c r="G526" s="42" t="n"/>
      <c r="H526" s="37" t="n"/>
      <c r="I526" s="37" t="n"/>
      <c r="J526" s="32" t="n"/>
      <c r="K526" s="32" t="n"/>
      <c r="L526" s="43" t="n"/>
      <c r="M526" s="36" t="n"/>
      <c r="N526" s="44" t="n"/>
      <c r="O526" s="36" t="n"/>
      <c r="P526" s="33">
        <f>IF(C526="","",Commercial_Id)</f>
        <v/>
      </c>
      <c r="Q526" s="34">
        <f>IF(AC526="","",IF(AD526=1,"C"&amp;TEXT(SUM(AD$6:AD526),"0000"),INDEX(Q$6:Q525,MATCH(AC526,AC$6:AC525,0))))</f>
        <v/>
      </c>
      <c r="R526" s="34">
        <f>IF(C526="","",IF(L526="☑ Oui","Annulée",IF(OR(E526="Vente directe",K526&lt;&gt;""),"Livrée",IF(J526&lt;&gt;"","Confirmée","En attente"))))</f>
        <v/>
      </c>
      <c r="S526" s="34">
        <f>IF(F526="","",IFERROR(VLOOKUP(F526,T_Produits,2,FALSE),""))</f>
        <v/>
      </c>
      <c r="T526" s="40">
        <f>IF(F526="","",IFERROR(1/(1/VLOOKUP(F526,T_Produits,3,FALSE)),""))</f>
        <v/>
      </c>
      <c r="U526" s="40">
        <f>IF(H526&lt;&gt;"",H526,T526)</f>
        <v/>
      </c>
      <c r="V526" s="40">
        <f>IF(OR(G526="",U526=""),"",G526*U526-N(I526))</f>
        <v/>
      </c>
      <c r="W526" s="39">
        <f>IF(D526="","",IFERROR(VALUE(MID(D526,LEN(D526)-3,3)),""))</f>
        <v/>
      </c>
      <c r="X526" s="33">
        <f>IF(W526="","",P526&amp;"|"&amp;W526)</f>
        <v/>
      </c>
      <c r="Y526" s="33">
        <f>IF(W526="","",IF(P526="À RENSEIGNER","GIC",P526)&amp;"-"&amp;TEXT(W526,"000"))</f>
        <v/>
      </c>
      <c r="Z526" s="33">
        <f>IF(X526="","",IFERROR(INDEX(Cl_nom,MATCH(X526,Cl_cle,0)),"(client introuvable)"))</f>
        <v/>
      </c>
      <c r="AA526" s="33">
        <f>IF(X526="","",IFERROR(INDEX(Cl_quartier,MATCH(X526,Cl_cle,0))&amp;"",""))</f>
        <v/>
      </c>
      <c r="AB526" s="45">
        <f>IF(R526&lt;&gt;"Livrée",0,IF(K526&lt;&gt;"",K526,C526))</f>
        <v/>
      </c>
      <c r="AC526" s="33">
        <f>IF(OR(C526="",W526=""),"",P526&amp;"|"&amp;W526&amp;"|"&amp;C526&amp;"|"&amp;E526)</f>
        <v/>
      </c>
      <c r="AD526" s="39">
        <f>IF(AC526="","",IF(COUNTIF(AC$6:AC526,AC526)=1,1,0))</f>
        <v/>
      </c>
      <c r="AE526" s="39">
        <f>IF(AB526=0,"",IF(COUNTIFS(X$6:X526,X526,AB$6:AB526,AB526)=1,1,0))</f>
        <v/>
      </c>
      <c r="AF526" s="34">
        <f>IF(C526="","",YEAR(C526-WEEKDAY(C526,2)+4)&amp;"-S"&amp;TEXT(INT((C526-DATE(YEAR(C526-WEEKDAY(C526,2)+4),1,3)+WEEKDAY(DATE(YEAR(C526-WEEKDAY(C526,2)+4),1,3),2)+5)/7),"00"))</f>
        <v/>
      </c>
    </row>
    <row r="527" ht="18" customHeight="1">
      <c r="A527" s="39" t="n">
        <v>522</v>
      </c>
      <c r="B527" s="33">
        <f>IF(C527="","",IF(P527="À RENSEIGNER","GIC",P527)&amp;"-C"&amp;TEXT(A527,"00000"))</f>
        <v/>
      </c>
      <c r="C527" s="32" t="n"/>
      <c r="D527" s="36" t="n"/>
      <c r="E527" s="36" t="n"/>
      <c r="F527" s="36" t="n"/>
      <c r="G527" s="42" t="n"/>
      <c r="H527" s="37" t="n"/>
      <c r="I527" s="37" t="n"/>
      <c r="J527" s="32" t="n"/>
      <c r="K527" s="32" t="n"/>
      <c r="L527" s="43" t="n"/>
      <c r="M527" s="36" t="n"/>
      <c r="N527" s="44" t="n"/>
      <c r="O527" s="36" t="n"/>
      <c r="P527" s="33">
        <f>IF(C527="","",Commercial_Id)</f>
        <v/>
      </c>
      <c r="Q527" s="34">
        <f>IF(AC527="","",IF(AD527=1,"C"&amp;TEXT(SUM(AD$6:AD527),"0000"),INDEX(Q$6:Q526,MATCH(AC527,AC$6:AC526,0))))</f>
        <v/>
      </c>
      <c r="R527" s="34">
        <f>IF(C527="","",IF(L527="☑ Oui","Annulée",IF(OR(E527="Vente directe",K527&lt;&gt;""),"Livrée",IF(J527&lt;&gt;"","Confirmée","En attente"))))</f>
        <v/>
      </c>
      <c r="S527" s="34">
        <f>IF(F527="","",IFERROR(VLOOKUP(F527,T_Produits,2,FALSE),""))</f>
        <v/>
      </c>
      <c r="T527" s="40">
        <f>IF(F527="","",IFERROR(1/(1/VLOOKUP(F527,T_Produits,3,FALSE)),""))</f>
        <v/>
      </c>
      <c r="U527" s="40">
        <f>IF(H527&lt;&gt;"",H527,T527)</f>
        <v/>
      </c>
      <c r="V527" s="40">
        <f>IF(OR(G527="",U527=""),"",G527*U527-N(I527))</f>
        <v/>
      </c>
      <c r="W527" s="39">
        <f>IF(D527="","",IFERROR(VALUE(MID(D527,LEN(D527)-3,3)),""))</f>
        <v/>
      </c>
      <c r="X527" s="33">
        <f>IF(W527="","",P527&amp;"|"&amp;W527)</f>
        <v/>
      </c>
      <c r="Y527" s="33">
        <f>IF(W527="","",IF(P527="À RENSEIGNER","GIC",P527)&amp;"-"&amp;TEXT(W527,"000"))</f>
        <v/>
      </c>
      <c r="Z527" s="33">
        <f>IF(X527="","",IFERROR(INDEX(Cl_nom,MATCH(X527,Cl_cle,0)),"(client introuvable)"))</f>
        <v/>
      </c>
      <c r="AA527" s="33">
        <f>IF(X527="","",IFERROR(INDEX(Cl_quartier,MATCH(X527,Cl_cle,0))&amp;"",""))</f>
        <v/>
      </c>
      <c r="AB527" s="45">
        <f>IF(R527&lt;&gt;"Livrée",0,IF(K527&lt;&gt;"",K527,C527))</f>
        <v/>
      </c>
      <c r="AC527" s="33">
        <f>IF(OR(C527="",W527=""),"",P527&amp;"|"&amp;W527&amp;"|"&amp;C527&amp;"|"&amp;E527)</f>
        <v/>
      </c>
      <c r="AD527" s="39">
        <f>IF(AC527="","",IF(COUNTIF(AC$6:AC527,AC527)=1,1,0))</f>
        <v/>
      </c>
      <c r="AE527" s="39">
        <f>IF(AB527=0,"",IF(COUNTIFS(X$6:X527,X527,AB$6:AB527,AB527)=1,1,0))</f>
        <v/>
      </c>
      <c r="AF527" s="34">
        <f>IF(C527="","",YEAR(C527-WEEKDAY(C527,2)+4)&amp;"-S"&amp;TEXT(INT((C527-DATE(YEAR(C527-WEEKDAY(C527,2)+4),1,3)+WEEKDAY(DATE(YEAR(C527-WEEKDAY(C527,2)+4),1,3),2)+5)/7),"00"))</f>
        <v/>
      </c>
    </row>
    <row r="528" ht="18" customHeight="1">
      <c r="A528" s="39" t="n">
        <v>523</v>
      </c>
      <c r="B528" s="33">
        <f>IF(C528="","",IF(P528="À RENSEIGNER","GIC",P528)&amp;"-C"&amp;TEXT(A528,"00000"))</f>
        <v/>
      </c>
      <c r="C528" s="32" t="n"/>
      <c r="D528" s="36" t="n"/>
      <c r="E528" s="36" t="n"/>
      <c r="F528" s="36" t="n"/>
      <c r="G528" s="42" t="n"/>
      <c r="H528" s="37" t="n"/>
      <c r="I528" s="37" t="n"/>
      <c r="J528" s="32" t="n"/>
      <c r="K528" s="32" t="n"/>
      <c r="L528" s="43" t="n"/>
      <c r="M528" s="36" t="n"/>
      <c r="N528" s="44" t="n"/>
      <c r="O528" s="36" t="n"/>
      <c r="P528" s="33">
        <f>IF(C528="","",Commercial_Id)</f>
        <v/>
      </c>
      <c r="Q528" s="34">
        <f>IF(AC528="","",IF(AD528=1,"C"&amp;TEXT(SUM(AD$6:AD528),"0000"),INDEX(Q$6:Q527,MATCH(AC528,AC$6:AC527,0))))</f>
        <v/>
      </c>
      <c r="R528" s="34">
        <f>IF(C528="","",IF(L528="☑ Oui","Annulée",IF(OR(E528="Vente directe",K528&lt;&gt;""),"Livrée",IF(J528&lt;&gt;"","Confirmée","En attente"))))</f>
        <v/>
      </c>
      <c r="S528" s="34">
        <f>IF(F528="","",IFERROR(VLOOKUP(F528,T_Produits,2,FALSE),""))</f>
        <v/>
      </c>
      <c r="T528" s="40">
        <f>IF(F528="","",IFERROR(1/(1/VLOOKUP(F528,T_Produits,3,FALSE)),""))</f>
        <v/>
      </c>
      <c r="U528" s="40">
        <f>IF(H528&lt;&gt;"",H528,T528)</f>
        <v/>
      </c>
      <c r="V528" s="40">
        <f>IF(OR(G528="",U528=""),"",G528*U528-N(I528))</f>
        <v/>
      </c>
      <c r="W528" s="39">
        <f>IF(D528="","",IFERROR(VALUE(MID(D528,LEN(D528)-3,3)),""))</f>
        <v/>
      </c>
      <c r="X528" s="33">
        <f>IF(W528="","",P528&amp;"|"&amp;W528)</f>
        <v/>
      </c>
      <c r="Y528" s="33">
        <f>IF(W528="","",IF(P528="À RENSEIGNER","GIC",P528)&amp;"-"&amp;TEXT(W528,"000"))</f>
        <v/>
      </c>
      <c r="Z528" s="33">
        <f>IF(X528="","",IFERROR(INDEX(Cl_nom,MATCH(X528,Cl_cle,0)),"(client introuvable)"))</f>
        <v/>
      </c>
      <c r="AA528" s="33">
        <f>IF(X528="","",IFERROR(INDEX(Cl_quartier,MATCH(X528,Cl_cle,0))&amp;"",""))</f>
        <v/>
      </c>
      <c r="AB528" s="45">
        <f>IF(R528&lt;&gt;"Livrée",0,IF(K528&lt;&gt;"",K528,C528))</f>
        <v/>
      </c>
      <c r="AC528" s="33">
        <f>IF(OR(C528="",W528=""),"",P528&amp;"|"&amp;W528&amp;"|"&amp;C528&amp;"|"&amp;E528)</f>
        <v/>
      </c>
      <c r="AD528" s="39">
        <f>IF(AC528="","",IF(COUNTIF(AC$6:AC528,AC528)=1,1,0))</f>
        <v/>
      </c>
      <c r="AE528" s="39">
        <f>IF(AB528=0,"",IF(COUNTIFS(X$6:X528,X528,AB$6:AB528,AB528)=1,1,0))</f>
        <v/>
      </c>
      <c r="AF528" s="34">
        <f>IF(C528="","",YEAR(C528-WEEKDAY(C528,2)+4)&amp;"-S"&amp;TEXT(INT((C528-DATE(YEAR(C528-WEEKDAY(C528,2)+4),1,3)+WEEKDAY(DATE(YEAR(C528-WEEKDAY(C528,2)+4),1,3),2)+5)/7),"00"))</f>
        <v/>
      </c>
    </row>
    <row r="529" ht="18" customHeight="1">
      <c r="A529" s="39" t="n">
        <v>524</v>
      </c>
      <c r="B529" s="33">
        <f>IF(C529="","",IF(P529="À RENSEIGNER","GIC",P529)&amp;"-C"&amp;TEXT(A529,"00000"))</f>
        <v/>
      </c>
      <c r="C529" s="32" t="n"/>
      <c r="D529" s="36" t="n"/>
      <c r="E529" s="36" t="n"/>
      <c r="F529" s="36" t="n"/>
      <c r="G529" s="42" t="n"/>
      <c r="H529" s="37" t="n"/>
      <c r="I529" s="37" t="n"/>
      <c r="J529" s="32" t="n"/>
      <c r="K529" s="32" t="n"/>
      <c r="L529" s="43" t="n"/>
      <c r="M529" s="36" t="n"/>
      <c r="N529" s="44" t="n"/>
      <c r="O529" s="36" t="n"/>
      <c r="P529" s="33">
        <f>IF(C529="","",Commercial_Id)</f>
        <v/>
      </c>
      <c r="Q529" s="34">
        <f>IF(AC529="","",IF(AD529=1,"C"&amp;TEXT(SUM(AD$6:AD529),"0000"),INDEX(Q$6:Q528,MATCH(AC529,AC$6:AC528,0))))</f>
        <v/>
      </c>
      <c r="R529" s="34">
        <f>IF(C529="","",IF(L529="☑ Oui","Annulée",IF(OR(E529="Vente directe",K529&lt;&gt;""),"Livrée",IF(J529&lt;&gt;"","Confirmée","En attente"))))</f>
        <v/>
      </c>
      <c r="S529" s="34">
        <f>IF(F529="","",IFERROR(VLOOKUP(F529,T_Produits,2,FALSE),""))</f>
        <v/>
      </c>
      <c r="T529" s="40">
        <f>IF(F529="","",IFERROR(1/(1/VLOOKUP(F529,T_Produits,3,FALSE)),""))</f>
        <v/>
      </c>
      <c r="U529" s="40">
        <f>IF(H529&lt;&gt;"",H529,T529)</f>
        <v/>
      </c>
      <c r="V529" s="40">
        <f>IF(OR(G529="",U529=""),"",G529*U529-N(I529))</f>
        <v/>
      </c>
      <c r="W529" s="39">
        <f>IF(D529="","",IFERROR(VALUE(MID(D529,LEN(D529)-3,3)),""))</f>
        <v/>
      </c>
      <c r="X529" s="33">
        <f>IF(W529="","",P529&amp;"|"&amp;W529)</f>
        <v/>
      </c>
      <c r="Y529" s="33">
        <f>IF(W529="","",IF(P529="À RENSEIGNER","GIC",P529)&amp;"-"&amp;TEXT(W529,"000"))</f>
        <v/>
      </c>
      <c r="Z529" s="33">
        <f>IF(X529="","",IFERROR(INDEX(Cl_nom,MATCH(X529,Cl_cle,0)),"(client introuvable)"))</f>
        <v/>
      </c>
      <c r="AA529" s="33">
        <f>IF(X529="","",IFERROR(INDEX(Cl_quartier,MATCH(X529,Cl_cle,0))&amp;"",""))</f>
        <v/>
      </c>
      <c r="AB529" s="45">
        <f>IF(R529&lt;&gt;"Livrée",0,IF(K529&lt;&gt;"",K529,C529))</f>
        <v/>
      </c>
      <c r="AC529" s="33">
        <f>IF(OR(C529="",W529=""),"",P529&amp;"|"&amp;W529&amp;"|"&amp;C529&amp;"|"&amp;E529)</f>
        <v/>
      </c>
      <c r="AD529" s="39">
        <f>IF(AC529="","",IF(COUNTIF(AC$6:AC529,AC529)=1,1,0))</f>
        <v/>
      </c>
      <c r="AE529" s="39">
        <f>IF(AB529=0,"",IF(COUNTIFS(X$6:X529,X529,AB$6:AB529,AB529)=1,1,0))</f>
        <v/>
      </c>
      <c r="AF529" s="34">
        <f>IF(C529="","",YEAR(C529-WEEKDAY(C529,2)+4)&amp;"-S"&amp;TEXT(INT((C529-DATE(YEAR(C529-WEEKDAY(C529,2)+4),1,3)+WEEKDAY(DATE(YEAR(C529-WEEKDAY(C529,2)+4),1,3),2)+5)/7),"00"))</f>
        <v/>
      </c>
    </row>
    <row r="530" ht="18" customHeight="1">
      <c r="A530" s="39" t="n">
        <v>525</v>
      </c>
      <c r="B530" s="33">
        <f>IF(C530="","",IF(P530="À RENSEIGNER","GIC",P530)&amp;"-C"&amp;TEXT(A530,"00000"))</f>
        <v/>
      </c>
      <c r="C530" s="32" t="n"/>
      <c r="D530" s="36" t="n"/>
      <c r="E530" s="36" t="n"/>
      <c r="F530" s="36" t="n"/>
      <c r="G530" s="42" t="n"/>
      <c r="H530" s="37" t="n"/>
      <c r="I530" s="37" t="n"/>
      <c r="J530" s="32" t="n"/>
      <c r="K530" s="32" t="n"/>
      <c r="L530" s="43" t="n"/>
      <c r="M530" s="36" t="n"/>
      <c r="N530" s="44" t="n"/>
      <c r="O530" s="36" t="n"/>
      <c r="P530" s="33">
        <f>IF(C530="","",Commercial_Id)</f>
        <v/>
      </c>
      <c r="Q530" s="34">
        <f>IF(AC530="","",IF(AD530=1,"C"&amp;TEXT(SUM(AD$6:AD530),"0000"),INDEX(Q$6:Q529,MATCH(AC530,AC$6:AC529,0))))</f>
        <v/>
      </c>
      <c r="R530" s="34">
        <f>IF(C530="","",IF(L530="☑ Oui","Annulée",IF(OR(E530="Vente directe",K530&lt;&gt;""),"Livrée",IF(J530&lt;&gt;"","Confirmée","En attente"))))</f>
        <v/>
      </c>
      <c r="S530" s="34">
        <f>IF(F530="","",IFERROR(VLOOKUP(F530,T_Produits,2,FALSE),""))</f>
        <v/>
      </c>
      <c r="T530" s="40">
        <f>IF(F530="","",IFERROR(1/(1/VLOOKUP(F530,T_Produits,3,FALSE)),""))</f>
        <v/>
      </c>
      <c r="U530" s="40">
        <f>IF(H530&lt;&gt;"",H530,T530)</f>
        <v/>
      </c>
      <c r="V530" s="40">
        <f>IF(OR(G530="",U530=""),"",G530*U530-N(I530))</f>
        <v/>
      </c>
      <c r="W530" s="39">
        <f>IF(D530="","",IFERROR(VALUE(MID(D530,LEN(D530)-3,3)),""))</f>
        <v/>
      </c>
      <c r="X530" s="33">
        <f>IF(W530="","",P530&amp;"|"&amp;W530)</f>
        <v/>
      </c>
      <c r="Y530" s="33">
        <f>IF(W530="","",IF(P530="À RENSEIGNER","GIC",P530)&amp;"-"&amp;TEXT(W530,"000"))</f>
        <v/>
      </c>
      <c r="Z530" s="33">
        <f>IF(X530="","",IFERROR(INDEX(Cl_nom,MATCH(X530,Cl_cle,0)),"(client introuvable)"))</f>
        <v/>
      </c>
      <c r="AA530" s="33">
        <f>IF(X530="","",IFERROR(INDEX(Cl_quartier,MATCH(X530,Cl_cle,0))&amp;"",""))</f>
        <v/>
      </c>
      <c r="AB530" s="45">
        <f>IF(R530&lt;&gt;"Livrée",0,IF(K530&lt;&gt;"",K530,C530))</f>
        <v/>
      </c>
      <c r="AC530" s="33">
        <f>IF(OR(C530="",W530=""),"",P530&amp;"|"&amp;W530&amp;"|"&amp;C530&amp;"|"&amp;E530)</f>
        <v/>
      </c>
      <c r="AD530" s="39">
        <f>IF(AC530="","",IF(COUNTIF(AC$6:AC530,AC530)=1,1,0))</f>
        <v/>
      </c>
      <c r="AE530" s="39">
        <f>IF(AB530=0,"",IF(COUNTIFS(X$6:X530,X530,AB$6:AB530,AB530)=1,1,0))</f>
        <v/>
      </c>
      <c r="AF530" s="34">
        <f>IF(C530="","",YEAR(C530-WEEKDAY(C530,2)+4)&amp;"-S"&amp;TEXT(INT((C530-DATE(YEAR(C530-WEEKDAY(C530,2)+4),1,3)+WEEKDAY(DATE(YEAR(C530-WEEKDAY(C530,2)+4),1,3),2)+5)/7),"00"))</f>
        <v/>
      </c>
    </row>
    <row r="531" ht="18" customHeight="1">
      <c r="A531" s="39" t="n">
        <v>526</v>
      </c>
      <c r="B531" s="33">
        <f>IF(C531="","",IF(P531="À RENSEIGNER","GIC",P531)&amp;"-C"&amp;TEXT(A531,"00000"))</f>
        <v/>
      </c>
      <c r="C531" s="32" t="n"/>
      <c r="D531" s="36" t="n"/>
      <c r="E531" s="36" t="n"/>
      <c r="F531" s="36" t="n"/>
      <c r="G531" s="42" t="n"/>
      <c r="H531" s="37" t="n"/>
      <c r="I531" s="37" t="n"/>
      <c r="J531" s="32" t="n"/>
      <c r="K531" s="32" t="n"/>
      <c r="L531" s="43" t="n"/>
      <c r="M531" s="36" t="n"/>
      <c r="N531" s="44" t="n"/>
      <c r="O531" s="36" t="n"/>
      <c r="P531" s="33">
        <f>IF(C531="","",Commercial_Id)</f>
        <v/>
      </c>
      <c r="Q531" s="34">
        <f>IF(AC531="","",IF(AD531=1,"C"&amp;TEXT(SUM(AD$6:AD531),"0000"),INDEX(Q$6:Q530,MATCH(AC531,AC$6:AC530,0))))</f>
        <v/>
      </c>
      <c r="R531" s="34">
        <f>IF(C531="","",IF(L531="☑ Oui","Annulée",IF(OR(E531="Vente directe",K531&lt;&gt;""),"Livrée",IF(J531&lt;&gt;"","Confirmée","En attente"))))</f>
        <v/>
      </c>
      <c r="S531" s="34">
        <f>IF(F531="","",IFERROR(VLOOKUP(F531,T_Produits,2,FALSE),""))</f>
        <v/>
      </c>
      <c r="T531" s="40">
        <f>IF(F531="","",IFERROR(1/(1/VLOOKUP(F531,T_Produits,3,FALSE)),""))</f>
        <v/>
      </c>
      <c r="U531" s="40">
        <f>IF(H531&lt;&gt;"",H531,T531)</f>
        <v/>
      </c>
      <c r="V531" s="40">
        <f>IF(OR(G531="",U531=""),"",G531*U531-N(I531))</f>
        <v/>
      </c>
      <c r="W531" s="39">
        <f>IF(D531="","",IFERROR(VALUE(MID(D531,LEN(D531)-3,3)),""))</f>
        <v/>
      </c>
      <c r="X531" s="33">
        <f>IF(W531="","",P531&amp;"|"&amp;W531)</f>
        <v/>
      </c>
      <c r="Y531" s="33">
        <f>IF(W531="","",IF(P531="À RENSEIGNER","GIC",P531)&amp;"-"&amp;TEXT(W531,"000"))</f>
        <v/>
      </c>
      <c r="Z531" s="33">
        <f>IF(X531="","",IFERROR(INDEX(Cl_nom,MATCH(X531,Cl_cle,0)),"(client introuvable)"))</f>
        <v/>
      </c>
      <c r="AA531" s="33">
        <f>IF(X531="","",IFERROR(INDEX(Cl_quartier,MATCH(X531,Cl_cle,0))&amp;"",""))</f>
        <v/>
      </c>
      <c r="AB531" s="45">
        <f>IF(R531&lt;&gt;"Livrée",0,IF(K531&lt;&gt;"",K531,C531))</f>
        <v/>
      </c>
      <c r="AC531" s="33">
        <f>IF(OR(C531="",W531=""),"",P531&amp;"|"&amp;W531&amp;"|"&amp;C531&amp;"|"&amp;E531)</f>
        <v/>
      </c>
      <c r="AD531" s="39">
        <f>IF(AC531="","",IF(COUNTIF(AC$6:AC531,AC531)=1,1,0))</f>
        <v/>
      </c>
      <c r="AE531" s="39">
        <f>IF(AB531=0,"",IF(COUNTIFS(X$6:X531,X531,AB$6:AB531,AB531)=1,1,0))</f>
        <v/>
      </c>
      <c r="AF531" s="34">
        <f>IF(C531="","",YEAR(C531-WEEKDAY(C531,2)+4)&amp;"-S"&amp;TEXT(INT((C531-DATE(YEAR(C531-WEEKDAY(C531,2)+4),1,3)+WEEKDAY(DATE(YEAR(C531-WEEKDAY(C531,2)+4),1,3),2)+5)/7),"00"))</f>
        <v/>
      </c>
    </row>
    <row r="532" ht="18" customHeight="1">
      <c r="A532" s="39" t="n">
        <v>527</v>
      </c>
      <c r="B532" s="33">
        <f>IF(C532="","",IF(P532="À RENSEIGNER","GIC",P532)&amp;"-C"&amp;TEXT(A532,"00000"))</f>
        <v/>
      </c>
      <c r="C532" s="32" t="n"/>
      <c r="D532" s="36" t="n"/>
      <c r="E532" s="36" t="n"/>
      <c r="F532" s="36" t="n"/>
      <c r="G532" s="42" t="n"/>
      <c r="H532" s="37" t="n"/>
      <c r="I532" s="37" t="n"/>
      <c r="J532" s="32" t="n"/>
      <c r="K532" s="32" t="n"/>
      <c r="L532" s="43" t="n"/>
      <c r="M532" s="36" t="n"/>
      <c r="N532" s="44" t="n"/>
      <c r="O532" s="36" t="n"/>
      <c r="P532" s="33">
        <f>IF(C532="","",Commercial_Id)</f>
        <v/>
      </c>
      <c r="Q532" s="34">
        <f>IF(AC532="","",IF(AD532=1,"C"&amp;TEXT(SUM(AD$6:AD532),"0000"),INDEX(Q$6:Q531,MATCH(AC532,AC$6:AC531,0))))</f>
        <v/>
      </c>
      <c r="R532" s="34">
        <f>IF(C532="","",IF(L532="☑ Oui","Annulée",IF(OR(E532="Vente directe",K532&lt;&gt;""),"Livrée",IF(J532&lt;&gt;"","Confirmée","En attente"))))</f>
        <v/>
      </c>
      <c r="S532" s="34">
        <f>IF(F532="","",IFERROR(VLOOKUP(F532,T_Produits,2,FALSE),""))</f>
        <v/>
      </c>
      <c r="T532" s="40">
        <f>IF(F532="","",IFERROR(1/(1/VLOOKUP(F532,T_Produits,3,FALSE)),""))</f>
        <v/>
      </c>
      <c r="U532" s="40">
        <f>IF(H532&lt;&gt;"",H532,T532)</f>
        <v/>
      </c>
      <c r="V532" s="40">
        <f>IF(OR(G532="",U532=""),"",G532*U532-N(I532))</f>
        <v/>
      </c>
      <c r="W532" s="39">
        <f>IF(D532="","",IFERROR(VALUE(MID(D532,LEN(D532)-3,3)),""))</f>
        <v/>
      </c>
      <c r="X532" s="33">
        <f>IF(W532="","",P532&amp;"|"&amp;W532)</f>
        <v/>
      </c>
      <c r="Y532" s="33">
        <f>IF(W532="","",IF(P532="À RENSEIGNER","GIC",P532)&amp;"-"&amp;TEXT(W532,"000"))</f>
        <v/>
      </c>
      <c r="Z532" s="33">
        <f>IF(X532="","",IFERROR(INDEX(Cl_nom,MATCH(X532,Cl_cle,0)),"(client introuvable)"))</f>
        <v/>
      </c>
      <c r="AA532" s="33">
        <f>IF(X532="","",IFERROR(INDEX(Cl_quartier,MATCH(X532,Cl_cle,0))&amp;"",""))</f>
        <v/>
      </c>
      <c r="AB532" s="45">
        <f>IF(R532&lt;&gt;"Livrée",0,IF(K532&lt;&gt;"",K532,C532))</f>
        <v/>
      </c>
      <c r="AC532" s="33">
        <f>IF(OR(C532="",W532=""),"",P532&amp;"|"&amp;W532&amp;"|"&amp;C532&amp;"|"&amp;E532)</f>
        <v/>
      </c>
      <c r="AD532" s="39">
        <f>IF(AC532="","",IF(COUNTIF(AC$6:AC532,AC532)=1,1,0))</f>
        <v/>
      </c>
      <c r="AE532" s="39">
        <f>IF(AB532=0,"",IF(COUNTIFS(X$6:X532,X532,AB$6:AB532,AB532)=1,1,0))</f>
        <v/>
      </c>
      <c r="AF532" s="34">
        <f>IF(C532="","",YEAR(C532-WEEKDAY(C532,2)+4)&amp;"-S"&amp;TEXT(INT((C532-DATE(YEAR(C532-WEEKDAY(C532,2)+4),1,3)+WEEKDAY(DATE(YEAR(C532-WEEKDAY(C532,2)+4),1,3),2)+5)/7),"00"))</f>
        <v/>
      </c>
    </row>
    <row r="533" ht="18" customHeight="1">
      <c r="A533" s="39" t="n">
        <v>528</v>
      </c>
      <c r="B533" s="33">
        <f>IF(C533="","",IF(P533="À RENSEIGNER","GIC",P533)&amp;"-C"&amp;TEXT(A533,"00000"))</f>
        <v/>
      </c>
      <c r="C533" s="32" t="n"/>
      <c r="D533" s="36" t="n"/>
      <c r="E533" s="36" t="n"/>
      <c r="F533" s="36" t="n"/>
      <c r="G533" s="42" t="n"/>
      <c r="H533" s="37" t="n"/>
      <c r="I533" s="37" t="n"/>
      <c r="J533" s="32" t="n"/>
      <c r="K533" s="32" t="n"/>
      <c r="L533" s="43" t="n"/>
      <c r="M533" s="36" t="n"/>
      <c r="N533" s="44" t="n"/>
      <c r="O533" s="36" t="n"/>
      <c r="P533" s="33">
        <f>IF(C533="","",Commercial_Id)</f>
        <v/>
      </c>
      <c r="Q533" s="34">
        <f>IF(AC533="","",IF(AD533=1,"C"&amp;TEXT(SUM(AD$6:AD533),"0000"),INDEX(Q$6:Q532,MATCH(AC533,AC$6:AC532,0))))</f>
        <v/>
      </c>
      <c r="R533" s="34">
        <f>IF(C533="","",IF(L533="☑ Oui","Annulée",IF(OR(E533="Vente directe",K533&lt;&gt;""),"Livrée",IF(J533&lt;&gt;"","Confirmée","En attente"))))</f>
        <v/>
      </c>
      <c r="S533" s="34">
        <f>IF(F533="","",IFERROR(VLOOKUP(F533,T_Produits,2,FALSE),""))</f>
        <v/>
      </c>
      <c r="T533" s="40">
        <f>IF(F533="","",IFERROR(1/(1/VLOOKUP(F533,T_Produits,3,FALSE)),""))</f>
        <v/>
      </c>
      <c r="U533" s="40">
        <f>IF(H533&lt;&gt;"",H533,T533)</f>
        <v/>
      </c>
      <c r="V533" s="40">
        <f>IF(OR(G533="",U533=""),"",G533*U533-N(I533))</f>
        <v/>
      </c>
      <c r="W533" s="39">
        <f>IF(D533="","",IFERROR(VALUE(MID(D533,LEN(D533)-3,3)),""))</f>
        <v/>
      </c>
      <c r="X533" s="33">
        <f>IF(W533="","",P533&amp;"|"&amp;W533)</f>
        <v/>
      </c>
      <c r="Y533" s="33">
        <f>IF(W533="","",IF(P533="À RENSEIGNER","GIC",P533)&amp;"-"&amp;TEXT(W533,"000"))</f>
        <v/>
      </c>
      <c r="Z533" s="33">
        <f>IF(X533="","",IFERROR(INDEX(Cl_nom,MATCH(X533,Cl_cle,0)),"(client introuvable)"))</f>
        <v/>
      </c>
      <c r="AA533" s="33">
        <f>IF(X533="","",IFERROR(INDEX(Cl_quartier,MATCH(X533,Cl_cle,0))&amp;"",""))</f>
        <v/>
      </c>
      <c r="AB533" s="45">
        <f>IF(R533&lt;&gt;"Livrée",0,IF(K533&lt;&gt;"",K533,C533))</f>
        <v/>
      </c>
      <c r="AC533" s="33">
        <f>IF(OR(C533="",W533=""),"",P533&amp;"|"&amp;W533&amp;"|"&amp;C533&amp;"|"&amp;E533)</f>
        <v/>
      </c>
      <c r="AD533" s="39">
        <f>IF(AC533="","",IF(COUNTIF(AC$6:AC533,AC533)=1,1,0))</f>
        <v/>
      </c>
      <c r="AE533" s="39">
        <f>IF(AB533=0,"",IF(COUNTIFS(X$6:X533,X533,AB$6:AB533,AB533)=1,1,0))</f>
        <v/>
      </c>
      <c r="AF533" s="34">
        <f>IF(C533="","",YEAR(C533-WEEKDAY(C533,2)+4)&amp;"-S"&amp;TEXT(INT((C533-DATE(YEAR(C533-WEEKDAY(C533,2)+4),1,3)+WEEKDAY(DATE(YEAR(C533-WEEKDAY(C533,2)+4),1,3),2)+5)/7),"00"))</f>
        <v/>
      </c>
    </row>
    <row r="534" ht="18" customHeight="1">
      <c r="A534" s="39" t="n">
        <v>529</v>
      </c>
      <c r="B534" s="33">
        <f>IF(C534="","",IF(P534="À RENSEIGNER","GIC",P534)&amp;"-C"&amp;TEXT(A534,"00000"))</f>
        <v/>
      </c>
      <c r="C534" s="32" t="n"/>
      <c r="D534" s="36" t="n"/>
      <c r="E534" s="36" t="n"/>
      <c r="F534" s="36" t="n"/>
      <c r="G534" s="42" t="n"/>
      <c r="H534" s="37" t="n"/>
      <c r="I534" s="37" t="n"/>
      <c r="J534" s="32" t="n"/>
      <c r="K534" s="32" t="n"/>
      <c r="L534" s="43" t="n"/>
      <c r="M534" s="36" t="n"/>
      <c r="N534" s="44" t="n"/>
      <c r="O534" s="36" t="n"/>
      <c r="P534" s="33">
        <f>IF(C534="","",Commercial_Id)</f>
        <v/>
      </c>
      <c r="Q534" s="34">
        <f>IF(AC534="","",IF(AD534=1,"C"&amp;TEXT(SUM(AD$6:AD534),"0000"),INDEX(Q$6:Q533,MATCH(AC534,AC$6:AC533,0))))</f>
        <v/>
      </c>
      <c r="R534" s="34">
        <f>IF(C534="","",IF(L534="☑ Oui","Annulée",IF(OR(E534="Vente directe",K534&lt;&gt;""),"Livrée",IF(J534&lt;&gt;"","Confirmée","En attente"))))</f>
        <v/>
      </c>
      <c r="S534" s="34">
        <f>IF(F534="","",IFERROR(VLOOKUP(F534,T_Produits,2,FALSE),""))</f>
        <v/>
      </c>
      <c r="T534" s="40">
        <f>IF(F534="","",IFERROR(1/(1/VLOOKUP(F534,T_Produits,3,FALSE)),""))</f>
        <v/>
      </c>
      <c r="U534" s="40">
        <f>IF(H534&lt;&gt;"",H534,T534)</f>
        <v/>
      </c>
      <c r="V534" s="40">
        <f>IF(OR(G534="",U534=""),"",G534*U534-N(I534))</f>
        <v/>
      </c>
      <c r="W534" s="39">
        <f>IF(D534="","",IFERROR(VALUE(MID(D534,LEN(D534)-3,3)),""))</f>
        <v/>
      </c>
      <c r="X534" s="33">
        <f>IF(W534="","",P534&amp;"|"&amp;W534)</f>
        <v/>
      </c>
      <c r="Y534" s="33">
        <f>IF(W534="","",IF(P534="À RENSEIGNER","GIC",P534)&amp;"-"&amp;TEXT(W534,"000"))</f>
        <v/>
      </c>
      <c r="Z534" s="33">
        <f>IF(X534="","",IFERROR(INDEX(Cl_nom,MATCH(X534,Cl_cle,0)),"(client introuvable)"))</f>
        <v/>
      </c>
      <c r="AA534" s="33">
        <f>IF(X534="","",IFERROR(INDEX(Cl_quartier,MATCH(X534,Cl_cle,0))&amp;"",""))</f>
        <v/>
      </c>
      <c r="AB534" s="45">
        <f>IF(R534&lt;&gt;"Livrée",0,IF(K534&lt;&gt;"",K534,C534))</f>
        <v/>
      </c>
      <c r="AC534" s="33">
        <f>IF(OR(C534="",W534=""),"",P534&amp;"|"&amp;W534&amp;"|"&amp;C534&amp;"|"&amp;E534)</f>
        <v/>
      </c>
      <c r="AD534" s="39">
        <f>IF(AC534="","",IF(COUNTIF(AC$6:AC534,AC534)=1,1,0))</f>
        <v/>
      </c>
      <c r="AE534" s="39">
        <f>IF(AB534=0,"",IF(COUNTIFS(X$6:X534,X534,AB$6:AB534,AB534)=1,1,0))</f>
        <v/>
      </c>
      <c r="AF534" s="34">
        <f>IF(C534="","",YEAR(C534-WEEKDAY(C534,2)+4)&amp;"-S"&amp;TEXT(INT((C534-DATE(YEAR(C534-WEEKDAY(C534,2)+4),1,3)+WEEKDAY(DATE(YEAR(C534-WEEKDAY(C534,2)+4),1,3),2)+5)/7),"00"))</f>
        <v/>
      </c>
    </row>
    <row r="535" ht="18" customHeight="1">
      <c r="A535" s="39" t="n">
        <v>530</v>
      </c>
      <c r="B535" s="33">
        <f>IF(C535="","",IF(P535="À RENSEIGNER","GIC",P535)&amp;"-C"&amp;TEXT(A535,"00000"))</f>
        <v/>
      </c>
      <c r="C535" s="32" t="n"/>
      <c r="D535" s="36" t="n"/>
      <c r="E535" s="36" t="n"/>
      <c r="F535" s="36" t="n"/>
      <c r="G535" s="42" t="n"/>
      <c r="H535" s="37" t="n"/>
      <c r="I535" s="37" t="n"/>
      <c r="J535" s="32" t="n"/>
      <c r="K535" s="32" t="n"/>
      <c r="L535" s="43" t="n"/>
      <c r="M535" s="36" t="n"/>
      <c r="N535" s="44" t="n"/>
      <c r="O535" s="36" t="n"/>
      <c r="P535" s="33">
        <f>IF(C535="","",Commercial_Id)</f>
        <v/>
      </c>
      <c r="Q535" s="34">
        <f>IF(AC535="","",IF(AD535=1,"C"&amp;TEXT(SUM(AD$6:AD535),"0000"),INDEX(Q$6:Q534,MATCH(AC535,AC$6:AC534,0))))</f>
        <v/>
      </c>
      <c r="R535" s="34">
        <f>IF(C535="","",IF(L535="☑ Oui","Annulée",IF(OR(E535="Vente directe",K535&lt;&gt;""),"Livrée",IF(J535&lt;&gt;"","Confirmée","En attente"))))</f>
        <v/>
      </c>
      <c r="S535" s="34">
        <f>IF(F535="","",IFERROR(VLOOKUP(F535,T_Produits,2,FALSE),""))</f>
        <v/>
      </c>
      <c r="T535" s="40">
        <f>IF(F535="","",IFERROR(1/(1/VLOOKUP(F535,T_Produits,3,FALSE)),""))</f>
        <v/>
      </c>
      <c r="U535" s="40">
        <f>IF(H535&lt;&gt;"",H535,T535)</f>
        <v/>
      </c>
      <c r="V535" s="40">
        <f>IF(OR(G535="",U535=""),"",G535*U535-N(I535))</f>
        <v/>
      </c>
      <c r="W535" s="39">
        <f>IF(D535="","",IFERROR(VALUE(MID(D535,LEN(D535)-3,3)),""))</f>
        <v/>
      </c>
      <c r="X535" s="33">
        <f>IF(W535="","",P535&amp;"|"&amp;W535)</f>
        <v/>
      </c>
      <c r="Y535" s="33">
        <f>IF(W535="","",IF(P535="À RENSEIGNER","GIC",P535)&amp;"-"&amp;TEXT(W535,"000"))</f>
        <v/>
      </c>
      <c r="Z535" s="33">
        <f>IF(X535="","",IFERROR(INDEX(Cl_nom,MATCH(X535,Cl_cle,0)),"(client introuvable)"))</f>
        <v/>
      </c>
      <c r="AA535" s="33">
        <f>IF(X535="","",IFERROR(INDEX(Cl_quartier,MATCH(X535,Cl_cle,0))&amp;"",""))</f>
        <v/>
      </c>
      <c r="AB535" s="45">
        <f>IF(R535&lt;&gt;"Livrée",0,IF(K535&lt;&gt;"",K535,C535))</f>
        <v/>
      </c>
      <c r="AC535" s="33">
        <f>IF(OR(C535="",W535=""),"",P535&amp;"|"&amp;W535&amp;"|"&amp;C535&amp;"|"&amp;E535)</f>
        <v/>
      </c>
      <c r="AD535" s="39">
        <f>IF(AC535="","",IF(COUNTIF(AC$6:AC535,AC535)=1,1,0))</f>
        <v/>
      </c>
      <c r="AE535" s="39">
        <f>IF(AB535=0,"",IF(COUNTIFS(X$6:X535,X535,AB$6:AB535,AB535)=1,1,0))</f>
        <v/>
      </c>
      <c r="AF535" s="34">
        <f>IF(C535="","",YEAR(C535-WEEKDAY(C535,2)+4)&amp;"-S"&amp;TEXT(INT((C535-DATE(YEAR(C535-WEEKDAY(C535,2)+4),1,3)+WEEKDAY(DATE(YEAR(C535-WEEKDAY(C535,2)+4),1,3),2)+5)/7),"00"))</f>
        <v/>
      </c>
    </row>
    <row r="536" ht="18" customHeight="1">
      <c r="A536" s="39" t="n">
        <v>531</v>
      </c>
      <c r="B536" s="33">
        <f>IF(C536="","",IF(P536="À RENSEIGNER","GIC",P536)&amp;"-C"&amp;TEXT(A536,"00000"))</f>
        <v/>
      </c>
      <c r="C536" s="32" t="n"/>
      <c r="D536" s="36" t="n"/>
      <c r="E536" s="36" t="n"/>
      <c r="F536" s="36" t="n"/>
      <c r="G536" s="42" t="n"/>
      <c r="H536" s="37" t="n"/>
      <c r="I536" s="37" t="n"/>
      <c r="J536" s="32" t="n"/>
      <c r="K536" s="32" t="n"/>
      <c r="L536" s="43" t="n"/>
      <c r="M536" s="36" t="n"/>
      <c r="N536" s="44" t="n"/>
      <c r="O536" s="36" t="n"/>
      <c r="P536" s="33">
        <f>IF(C536="","",Commercial_Id)</f>
        <v/>
      </c>
      <c r="Q536" s="34">
        <f>IF(AC536="","",IF(AD536=1,"C"&amp;TEXT(SUM(AD$6:AD536),"0000"),INDEX(Q$6:Q535,MATCH(AC536,AC$6:AC535,0))))</f>
        <v/>
      </c>
      <c r="R536" s="34">
        <f>IF(C536="","",IF(L536="☑ Oui","Annulée",IF(OR(E536="Vente directe",K536&lt;&gt;""),"Livrée",IF(J536&lt;&gt;"","Confirmée","En attente"))))</f>
        <v/>
      </c>
      <c r="S536" s="34">
        <f>IF(F536="","",IFERROR(VLOOKUP(F536,T_Produits,2,FALSE),""))</f>
        <v/>
      </c>
      <c r="T536" s="40">
        <f>IF(F536="","",IFERROR(1/(1/VLOOKUP(F536,T_Produits,3,FALSE)),""))</f>
        <v/>
      </c>
      <c r="U536" s="40">
        <f>IF(H536&lt;&gt;"",H536,T536)</f>
        <v/>
      </c>
      <c r="V536" s="40">
        <f>IF(OR(G536="",U536=""),"",G536*U536-N(I536))</f>
        <v/>
      </c>
      <c r="W536" s="39">
        <f>IF(D536="","",IFERROR(VALUE(MID(D536,LEN(D536)-3,3)),""))</f>
        <v/>
      </c>
      <c r="X536" s="33">
        <f>IF(W536="","",P536&amp;"|"&amp;W536)</f>
        <v/>
      </c>
      <c r="Y536" s="33">
        <f>IF(W536="","",IF(P536="À RENSEIGNER","GIC",P536)&amp;"-"&amp;TEXT(W536,"000"))</f>
        <v/>
      </c>
      <c r="Z536" s="33">
        <f>IF(X536="","",IFERROR(INDEX(Cl_nom,MATCH(X536,Cl_cle,0)),"(client introuvable)"))</f>
        <v/>
      </c>
      <c r="AA536" s="33">
        <f>IF(X536="","",IFERROR(INDEX(Cl_quartier,MATCH(X536,Cl_cle,0))&amp;"",""))</f>
        <v/>
      </c>
      <c r="AB536" s="45">
        <f>IF(R536&lt;&gt;"Livrée",0,IF(K536&lt;&gt;"",K536,C536))</f>
        <v/>
      </c>
      <c r="AC536" s="33">
        <f>IF(OR(C536="",W536=""),"",P536&amp;"|"&amp;W536&amp;"|"&amp;C536&amp;"|"&amp;E536)</f>
        <v/>
      </c>
      <c r="AD536" s="39">
        <f>IF(AC536="","",IF(COUNTIF(AC$6:AC536,AC536)=1,1,0))</f>
        <v/>
      </c>
      <c r="AE536" s="39">
        <f>IF(AB536=0,"",IF(COUNTIFS(X$6:X536,X536,AB$6:AB536,AB536)=1,1,0))</f>
        <v/>
      </c>
      <c r="AF536" s="34">
        <f>IF(C536="","",YEAR(C536-WEEKDAY(C536,2)+4)&amp;"-S"&amp;TEXT(INT((C536-DATE(YEAR(C536-WEEKDAY(C536,2)+4),1,3)+WEEKDAY(DATE(YEAR(C536-WEEKDAY(C536,2)+4),1,3),2)+5)/7),"00"))</f>
        <v/>
      </c>
    </row>
    <row r="537" ht="18" customHeight="1">
      <c r="A537" s="39" t="n">
        <v>532</v>
      </c>
      <c r="B537" s="33">
        <f>IF(C537="","",IF(P537="À RENSEIGNER","GIC",P537)&amp;"-C"&amp;TEXT(A537,"00000"))</f>
        <v/>
      </c>
      <c r="C537" s="32" t="n"/>
      <c r="D537" s="36" t="n"/>
      <c r="E537" s="36" t="n"/>
      <c r="F537" s="36" t="n"/>
      <c r="G537" s="42" t="n"/>
      <c r="H537" s="37" t="n"/>
      <c r="I537" s="37" t="n"/>
      <c r="J537" s="32" t="n"/>
      <c r="K537" s="32" t="n"/>
      <c r="L537" s="43" t="n"/>
      <c r="M537" s="36" t="n"/>
      <c r="N537" s="44" t="n"/>
      <c r="O537" s="36" t="n"/>
      <c r="P537" s="33">
        <f>IF(C537="","",Commercial_Id)</f>
        <v/>
      </c>
      <c r="Q537" s="34">
        <f>IF(AC537="","",IF(AD537=1,"C"&amp;TEXT(SUM(AD$6:AD537),"0000"),INDEX(Q$6:Q536,MATCH(AC537,AC$6:AC536,0))))</f>
        <v/>
      </c>
      <c r="R537" s="34">
        <f>IF(C537="","",IF(L537="☑ Oui","Annulée",IF(OR(E537="Vente directe",K537&lt;&gt;""),"Livrée",IF(J537&lt;&gt;"","Confirmée","En attente"))))</f>
        <v/>
      </c>
      <c r="S537" s="34">
        <f>IF(F537="","",IFERROR(VLOOKUP(F537,T_Produits,2,FALSE),""))</f>
        <v/>
      </c>
      <c r="T537" s="40">
        <f>IF(F537="","",IFERROR(1/(1/VLOOKUP(F537,T_Produits,3,FALSE)),""))</f>
        <v/>
      </c>
      <c r="U537" s="40">
        <f>IF(H537&lt;&gt;"",H537,T537)</f>
        <v/>
      </c>
      <c r="V537" s="40">
        <f>IF(OR(G537="",U537=""),"",G537*U537-N(I537))</f>
        <v/>
      </c>
      <c r="W537" s="39">
        <f>IF(D537="","",IFERROR(VALUE(MID(D537,LEN(D537)-3,3)),""))</f>
        <v/>
      </c>
      <c r="X537" s="33">
        <f>IF(W537="","",P537&amp;"|"&amp;W537)</f>
        <v/>
      </c>
      <c r="Y537" s="33">
        <f>IF(W537="","",IF(P537="À RENSEIGNER","GIC",P537)&amp;"-"&amp;TEXT(W537,"000"))</f>
        <v/>
      </c>
      <c r="Z537" s="33">
        <f>IF(X537="","",IFERROR(INDEX(Cl_nom,MATCH(X537,Cl_cle,0)),"(client introuvable)"))</f>
        <v/>
      </c>
      <c r="AA537" s="33">
        <f>IF(X537="","",IFERROR(INDEX(Cl_quartier,MATCH(X537,Cl_cle,0))&amp;"",""))</f>
        <v/>
      </c>
      <c r="AB537" s="45">
        <f>IF(R537&lt;&gt;"Livrée",0,IF(K537&lt;&gt;"",K537,C537))</f>
        <v/>
      </c>
      <c r="AC537" s="33">
        <f>IF(OR(C537="",W537=""),"",P537&amp;"|"&amp;W537&amp;"|"&amp;C537&amp;"|"&amp;E537)</f>
        <v/>
      </c>
      <c r="AD537" s="39">
        <f>IF(AC537="","",IF(COUNTIF(AC$6:AC537,AC537)=1,1,0))</f>
        <v/>
      </c>
      <c r="AE537" s="39">
        <f>IF(AB537=0,"",IF(COUNTIFS(X$6:X537,X537,AB$6:AB537,AB537)=1,1,0))</f>
        <v/>
      </c>
      <c r="AF537" s="34">
        <f>IF(C537="","",YEAR(C537-WEEKDAY(C537,2)+4)&amp;"-S"&amp;TEXT(INT((C537-DATE(YEAR(C537-WEEKDAY(C537,2)+4),1,3)+WEEKDAY(DATE(YEAR(C537-WEEKDAY(C537,2)+4),1,3),2)+5)/7),"00"))</f>
        <v/>
      </c>
    </row>
    <row r="538" ht="18" customHeight="1">
      <c r="A538" s="39" t="n">
        <v>533</v>
      </c>
      <c r="B538" s="33">
        <f>IF(C538="","",IF(P538="À RENSEIGNER","GIC",P538)&amp;"-C"&amp;TEXT(A538,"00000"))</f>
        <v/>
      </c>
      <c r="C538" s="32" t="n"/>
      <c r="D538" s="36" t="n"/>
      <c r="E538" s="36" t="n"/>
      <c r="F538" s="36" t="n"/>
      <c r="G538" s="42" t="n"/>
      <c r="H538" s="37" t="n"/>
      <c r="I538" s="37" t="n"/>
      <c r="J538" s="32" t="n"/>
      <c r="K538" s="32" t="n"/>
      <c r="L538" s="43" t="n"/>
      <c r="M538" s="36" t="n"/>
      <c r="N538" s="44" t="n"/>
      <c r="O538" s="36" t="n"/>
      <c r="P538" s="33">
        <f>IF(C538="","",Commercial_Id)</f>
        <v/>
      </c>
      <c r="Q538" s="34">
        <f>IF(AC538="","",IF(AD538=1,"C"&amp;TEXT(SUM(AD$6:AD538),"0000"),INDEX(Q$6:Q537,MATCH(AC538,AC$6:AC537,0))))</f>
        <v/>
      </c>
      <c r="R538" s="34">
        <f>IF(C538="","",IF(L538="☑ Oui","Annulée",IF(OR(E538="Vente directe",K538&lt;&gt;""),"Livrée",IF(J538&lt;&gt;"","Confirmée","En attente"))))</f>
        <v/>
      </c>
      <c r="S538" s="34">
        <f>IF(F538="","",IFERROR(VLOOKUP(F538,T_Produits,2,FALSE),""))</f>
        <v/>
      </c>
      <c r="T538" s="40">
        <f>IF(F538="","",IFERROR(1/(1/VLOOKUP(F538,T_Produits,3,FALSE)),""))</f>
        <v/>
      </c>
      <c r="U538" s="40">
        <f>IF(H538&lt;&gt;"",H538,T538)</f>
        <v/>
      </c>
      <c r="V538" s="40">
        <f>IF(OR(G538="",U538=""),"",G538*U538-N(I538))</f>
        <v/>
      </c>
      <c r="W538" s="39">
        <f>IF(D538="","",IFERROR(VALUE(MID(D538,LEN(D538)-3,3)),""))</f>
        <v/>
      </c>
      <c r="X538" s="33">
        <f>IF(W538="","",P538&amp;"|"&amp;W538)</f>
        <v/>
      </c>
      <c r="Y538" s="33">
        <f>IF(W538="","",IF(P538="À RENSEIGNER","GIC",P538)&amp;"-"&amp;TEXT(W538,"000"))</f>
        <v/>
      </c>
      <c r="Z538" s="33">
        <f>IF(X538="","",IFERROR(INDEX(Cl_nom,MATCH(X538,Cl_cle,0)),"(client introuvable)"))</f>
        <v/>
      </c>
      <c r="AA538" s="33">
        <f>IF(X538="","",IFERROR(INDEX(Cl_quartier,MATCH(X538,Cl_cle,0))&amp;"",""))</f>
        <v/>
      </c>
      <c r="AB538" s="45">
        <f>IF(R538&lt;&gt;"Livrée",0,IF(K538&lt;&gt;"",K538,C538))</f>
        <v/>
      </c>
      <c r="AC538" s="33">
        <f>IF(OR(C538="",W538=""),"",P538&amp;"|"&amp;W538&amp;"|"&amp;C538&amp;"|"&amp;E538)</f>
        <v/>
      </c>
      <c r="AD538" s="39">
        <f>IF(AC538="","",IF(COUNTIF(AC$6:AC538,AC538)=1,1,0))</f>
        <v/>
      </c>
      <c r="AE538" s="39">
        <f>IF(AB538=0,"",IF(COUNTIFS(X$6:X538,X538,AB$6:AB538,AB538)=1,1,0))</f>
        <v/>
      </c>
      <c r="AF538" s="34">
        <f>IF(C538="","",YEAR(C538-WEEKDAY(C538,2)+4)&amp;"-S"&amp;TEXT(INT((C538-DATE(YEAR(C538-WEEKDAY(C538,2)+4),1,3)+WEEKDAY(DATE(YEAR(C538-WEEKDAY(C538,2)+4),1,3),2)+5)/7),"00"))</f>
        <v/>
      </c>
    </row>
    <row r="539" ht="18" customHeight="1">
      <c r="A539" s="39" t="n">
        <v>534</v>
      </c>
      <c r="B539" s="33">
        <f>IF(C539="","",IF(P539="À RENSEIGNER","GIC",P539)&amp;"-C"&amp;TEXT(A539,"00000"))</f>
        <v/>
      </c>
      <c r="C539" s="32" t="n"/>
      <c r="D539" s="36" t="n"/>
      <c r="E539" s="36" t="n"/>
      <c r="F539" s="36" t="n"/>
      <c r="G539" s="42" t="n"/>
      <c r="H539" s="37" t="n"/>
      <c r="I539" s="37" t="n"/>
      <c r="J539" s="32" t="n"/>
      <c r="K539" s="32" t="n"/>
      <c r="L539" s="43" t="n"/>
      <c r="M539" s="36" t="n"/>
      <c r="N539" s="44" t="n"/>
      <c r="O539" s="36" t="n"/>
      <c r="P539" s="33">
        <f>IF(C539="","",Commercial_Id)</f>
        <v/>
      </c>
      <c r="Q539" s="34">
        <f>IF(AC539="","",IF(AD539=1,"C"&amp;TEXT(SUM(AD$6:AD539),"0000"),INDEX(Q$6:Q538,MATCH(AC539,AC$6:AC538,0))))</f>
        <v/>
      </c>
      <c r="R539" s="34">
        <f>IF(C539="","",IF(L539="☑ Oui","Annulée",IF(OR(E539="Vente directe",K539&lt;&gt;""),"Livrée",IF(J539&lt;&gt;"","Confirmée","En attente"))))</f>
        <v/>
      </c>
      <c r="S539" s="34">
        <f>IF(F539="","",IFERROR(VLOOKUP(F539,T_Produits,2,FALSE),""))</f>
        <v/>
      </c>
      <c r="T539" s="40">
        <f>IF(F539="","",IFERROR(1/(1/VLOOKUP(F539,T_Produits,3,FALSE)),""))</f>
        <v/>
      </c>
      <c r="U539" s="40">
        <f>IF(H539&lt;&gt;"",H539,T539)</f>
        <v/>
      </c>
      <c r="V539" s="40">
        <f>IF(OR(G539="",U539=""),"",G539*U539-N(I539))</f>
        <v/>
      </c>
      <c r="W539" s="39">
        <f>IF(D539="","",IFERROR(VALUE(MID(D539,LEN(D539)-3,3)),""))</f>
        <v/>
      </c>
      <c r="X539" s="33">
        <f>IF(W539="","",P539&amp;"|"&amp;W539)</f>
        <v/>
      </c>
      <c r="Y539" s="33">
        <f>IF(W539="","",IF(P539="À RENSEIGNER","GIC",P539)&amp;"-"&amp;TEXT(W539,"000"))</f>
        <v/>
      </c>
      <c r="Z539" s="33">
        <f>IF(X539="","",IFERROR(INDEX(Cl_nom,MATCH(X539,Cl_cle,0)),"(client introuvable)"))</f>
        <v/>
      </c>
      <c r="AA539" s="33">
        <f>IF(X539="","",IFERROR(INDEX(Cl_quartier,MATCH(X539,Cl_cle,0))&amp;"",""))</f>
        <v/>
      </c>
      <c r="AB539" s="45">
        <f>IF(R539&lt;&gt;"Livrée",0,IF(K539&lt;&gt;"",K539,C539))</f>
        <v/>
      </c>
      <c r="AC539" s="33">
        <f>IF(OR(C539="",W539=""),"",P539&amp;"|"&amp;W539&amp;"|"&amp;C539&amp;"|"&amp;E539)</f>
        <v/>
      </c>
      <c r="AD539" s="39">
        <f>IF(AC539="","",IF(COUNTIF(AC$6:AC539,AC539)=1,1,0))</f>
        <v/>
      </c>
      <c r="AE539" s="39">
        <f>IF(AB539=0,"",IF(COUNTIFS(X$6:X539,X539,AB$6:AB539,AB539)=1,1,0))</f>
        <v/>
      </c>
      <c r="AF539" s="34">
        <f>IF(C539="","",YEAR(C539-WEEKDAY(C539,2)+4)&amp;"-S"&amp;TEXT(INT((C539-DATE(YEAR(C539-WEEKDAY(C539,2)+4),1,3)+WEEKDAY(DATE(YEAR(C539-WEEKDAY(C539,2)+4),1,3),2)+5)/7),"00"))</f>
        <v/>
      </c>
    </row>
    <row r="540" ht="18" customHeight="1">
      <c r="A540" s="39" t="n">
        <v>535</v>
      </c>
      <c r="B540" s="33">
        <f>IF(C540="","",IF(P540="À RENSEIGNER","GIC",P540)&amp;"-C"&amp;TEXT(A540,"00000"))</f>
        <v/>
      </c>
      <c r="C540" s="32" t="n"/>
      <c r="D540" s="36" t="n"/>
      <c r="E540" s="36" t="n"/>
      <c r="F540" s="36" t="n"/>
      <c r="G540" s="42" t="n"/>
      <c r="H540" s="37" t="n"/>
      <c r="I540" s="37" t="n"/>
      <c r="J540" s="32" t="n"/>
      <c r="K540" s="32" t="n"/>
      <c r="L540" s="43" t="n"/>
      <c r="M540" s="36" t="n"/>
      <c r="N540" s="44" t="n"/>
      <c r="O540" s="36" t="n"/>
      <c r="P540" s="33">
        <f>IF(C540="","",Commercial_Id)</f>
        <v/>
      </c>
      <c r="Q540" s="34">
        <f>IF(AC540="","",IF(AD540=1,"C"&amp;TEXT(SUM(AD$6:AD540),"0000"),INDEX(Q$6:Q539,MATCH(AC540,AC$6:AC539,0))))</f>
        <v/>
      </c>
      <c r="R540" s="34">
        <f>IF(C540="","",IF(L540="☑ Oui","Annulée",IF(OR(E540="Vente directe",K540&lt;&gt;""),"Livrée",IF(J540&lt;&gt;"","Confirmée","En attente"))))</f>
        <v/>
      </c>
      <c r="S540" s="34">
        <f>IF(F540="","",IFERROR(VLOOKUP(F540,T_Produits,2,FALSE),""))</f>
        <v/>
      </c>
      <c r="T540" s="40">
        <f>IF(F540="","",IFERROR(1/(1/VLOOKUP(F540,T_Produits,3,FALSE)),""))</f>
        <v/>
      </c>
      <c r="U540" s="40">
        <f>IF(H540&lt;&gt;"",H540,T540)</f>
        <v/>
      </c>
      <c r="V540" s="40">
        <f>IF(OR(G540="",U540=""),"",G540*U540-N(I540))</f>
        <v/>
      </c>
      <c r="W540" s="39">
        <f>IF(D540="","",IFERROR(VALUE(MID(D540,LEN(D540)-3,3)),""))</f>
        <v/>
      </c>
      <c r="X540" s="33">
        <f>IF(W540="","",P540&amp;"|"&amp;W540)</f>
        <v/>
      </c>
      <c r="Y540" s="33">
        <f>IF(W540="","",IF(P540="À RENSEIGNER","GIC",P540)&amp;"-"&amp;TEXT(W540,"000"))</f>
        <v/>
      </c>
      <c r="Z540" s="33">
        <f>IF(X540="","",IFERROR(INDEX(Cl_nom,MATCH(X540,Cl_cle,0)),"(client introuvable)"))</f>
        <v/>
      </c>
      <c r="AA540" s="33">
        <f>IF(X540="","",IFERROR(INDEX(Cl_quartier,MATCH(X540,Cl_cle,0))&amp;"",""))</f>
        <v/>
      </c>
      <c r="AB540" s="45">
        <f>IF(R540&lt;&gt;"Livrée",0,IF(K540&lt;&gt;"",K540,C540))</f>
        <v/>
      </c>
      <c r="AC540" s="33">
        <f>IF(OR(C540="",W540=""),"",P540&amp;"|"&amp;W540&amp;"|"&amp;C540&amp;"|"&amp;E540)</f>
        <v/>
      </c>
      <c r="AD540" s="39">
        <f>IF(AC540="","",IF(COUNTIF(AC$6:AC540,AC540)=1,1,0))</f>
        <v/>
      </c>
      <c r="AE540" s="39">
        <f>IF(AB540=0,"",IF(COUNTIFS(X$6:X540,X540,AB$6:AB540,AB540)=1,1,0))</f>
        <v/>
      </c>
      <c r="AF540" s="34">
        <f>IF(C540="","",YEAR(C540-WEEKDAY(C540,2)+4)&amp;"-S"&amp;TEXT(INT((C540-DATE(YEAR(C540-WEEKDAY(C540,2)+4),1,3)+WEEKDAY(DATE(YEAR(C540-WEEKDAY(C540,2)+4),1,3),2)+5)/7),"00"))</f>
        <v/>
      </c>
    </row>
    <row r="541" ht="18" customHeight="1">
      <c r="A541" s="39" t="n">
        <v>536</v>
      </c>
      <c r="B541" s="33">
        <f>IF(C541="","",IF(P541="À RENSEIGNER","GIC",P541)&amp;"-C"&amp;TEXT(A541,"00000"))</f>
        <v/>
      </c>
      <c r="C541" s="32" t="n"/>
      <c r="D541" s="36" t="n"/>
      <c r="E541" s="36" t="n"/>
      <c r="F541" s="36" t="n"/>
      <c r="G541" s="42" t="n"/>
      <c r="H541" s="37" t="n"/>
      <c r="I541" s="37" t="n"/>
      <c r="J541" s="32" t="n"/>
      <c r="K541" s="32" t="n"/>
      <c r="L541" s="43" t="n"/>
      <c r="M541" s="36" t="n"/>
      <c r="N541" s="44" t="n"/>
      <c r="O541" s="36" t="n"/>
      <c r="P541" s="33">
        <f>IF(C541="","",Commercial_Id)</f>
        <v/>
      </c>
      <c r="Q541" s="34">
        <f>IF(AC541="","",IF(AD541=1,"C"&amp;TEXT(SUM(AD$6:AD541),"0000"),INDEX(Q$6:Q540,MATCH(AC541,AC$6:AC540,0))))</f>
        <v/>
      </c>
      <c r="R541" s="34">
        <f>IF(C541="","",IF(L541="☑ Oui","Annulée",IF(OR(E541="Vente directe",K541&lt;&gt;""),"Livrée",IF(J541&lt;&gt;"","Confirmée","En attente"))))</f>
        <v/>
      </c>
      <c r="S541" s="34">
        <f>IF(F541="","",IFERROR(VLOOKUP(F541,T_Produits,2,FALSE),""))</f>
        <v/>
      </c>
      <c r="T541" s="40">
        <f>IF(F541="","",IFERROR(1/(1/VLOOKUP(F541,T_Produits,3,FALSE)),""))</f>
        <v/>
      </c>
      <c r="U541" s="40">
        <f>IF(H541&lt;&gt;"",H541,T541)</f>
        <v/>
      </c>
      <c r="V541" s="40">
        <f>IF(OR(G541="",U541=""),"",G541*U541-N(I541))</f>
        <v/>
      </c>
      <c r="W541" s="39">
        <f>IF(D541="","",IFERROR(VALUE(MID(D541,LEN(D541)-3,3)),""))</f>
        <v/>
      </c>
      <c r="X541" s="33">
        <f>IF(W541="","",P541&amp;"|"&amp;W541)</f>
        <v/>
      </c>
      <c r="Y541" s="33">
        <f>IF(W541="","",IF(P541="À RENSEIGNER","GIC",P541)&amp;"-"&amp;TEXT(W541,"000"))</f>
        <v/>
      </c>
      <c r="Z541" s="33">
        <f>IF(X541="","",IFERROR(INDEX(Cl_nom,MATCH(X541,Cl_cle,0)),"(client introuvable)"))</f>
        <v/>
      </c>
      <c r="AA541" s="33">
        <f>IF(X541="","",IFERROR(INDEX(Cl_quartier,MATCH(X541,Cl_cle,0))&amp;"",""))</f>
        <v/>
      </c>
      <c r="AB541" s="45">
        <f>IF(R541&lt;&gt;"Livrée",0,IF(K541&lt;&gt;"",K541,C541))</f>
        <v/>
      </c>
      <c r="AC541" s="33">
        <f>IF(OR(C541="",W541=""),"",P541&amp;"|"&amp;W541&amp;"|"&amp;C541&amp;"|"&amp;E541)</f>
        <v/>
      </c>
      <c r="AD541" s="39">
        <f>IF(AC541="","",IF(COUNTIF(AC$6:AC541,AC541)=1,1,0))</f>
        <v/>
      </c>
      <c r="AE541" s="39">
        <f>IF(AB541=0,"",IF(COUNTIFS(X$6:X541,X541,AB$6:AB541,AB541)=1,1,0))</f>
        <v/>
      </c>
      <c r="AF541" s="34">
        <f>IF(C541="","",YEAR(C541-WEEKDAY(C541,2)+4)&amp;"-S"&amp;TEXT(INT((C541-DATE(YEAR(C541-WEEKDAY(C541,2)+4),1,3)+WEEKDAY(DATE(YEAR(C541-WEEKDAY(C541,2)+4),1,3),2)+5)/7),"00"))</f>
        <v/>
      </c>
    </row>
    <row r="542" ht="18" customHeight="1">
      <c r="A542" s="39" t="n">
        <v>537</v>
      </c>
      <c r="B542" s="33">
        <f>IF(C542="","",IF(P542="À RENSEIGNER","GIC",P542)&amp;"-C"&amp;TEXT(A542,"00000"))</f>
        <v/>
      </c>
      <c r="C542" s="32" t="n"/>
      <c r="D542" s="36" t="n"/>
      <c r="E542" s="36" t="n"/>
      <c r="F542" s="36" t="n"/>
      <c r="G542" s="42" t="n"/>
      <c r="H542" s="37" t="n"/>
      <c r="I542" s="37" t="n"/>
      <c r="J542" s="32" t="n"/>
      <c r="K542" s="32" t="n"/>
      <c r="L542" s="43" t="n"/>
      <c r="M542" s="36" t="n"/>
      <c r="N542" s="44" t="n"/>
      <c r="O542" s="36" t="n"/>
      <c r="P542" s="33">
        <f>IF(C542="","",Commercial_Id)</f>
        <v/>
      </c>
      <c r="Q542" s="34">
        <f>IF(AC542="","",IF(AD542=1,"C"&amp;TEXT(SUM(AD$6:AD542),"0000"),INDEX(Q$6:Q541,MATCH(AC542,AC$6:AC541,0))))</f>
        <v/>
      </c>
      <c r="R542" s="34">
        <f>IF(C542="","",IF(L542="☑ Oui","Annulée",IF(OR(E542="Vente directe",K542&lt;&gt;""),"Livrée",IF(J542&lt;&gt;"","Confirmée","En attente"))))</f>
        <v/>
      </c>
      <c r="S542" s="34">
        <f>IF(F542="","",IFERROR(VLOOKUP(F542,T_Produits,2,FALSE),""))</f>
        <v/>
      </c>
      <c r="T542" s="40">
        <f>IF(F542="","",IFERROR(1/(1/VLOOKUP(F542,T_Produits,3,FALSE)),""))</f>
        <v/>
      </c>
      <c r="U542" s="40">
        <f>IF(H542&lt;&gt;"",H542,T542)</f>
        <v/>
      </c>
      <c r="V542" s="40">
        <f>IF(OR(G542="",U542=""),"",G542*U542-N(I542))</f>
        <v/>
      </c>
      <c r="W542" s="39">
        <f>IF(D542="","",IFERROR(VALUE(MID(D542,LEN(D542)-3,3)),""))</f>
        <v/>
      </c>
      <c r="X542" s="33">
        <f>IF(W542="","",P542&amp;"|"&amp;W542)</f>
        <v/>
      </c>
      <c r="Y542" s="33">
        <f>IF(W542="","",IF(P542="À RENSEIGNER","GIC",P542)&amp;"-"&amp;TEXT(W542,"000"))</f>
        <v/>
      </c>
      <c r="Z542" s="33">
        <f>IF(X542="","",IFERROR(INDEX(Cl_nom,MATCH(X542,Cl_cle,0)),"(client introuvable)"))</f>
        <v/>
      </c>
      <c r="AA542" s="33">
        <f>IF(X542="","",IFERROR(INDEX(Cl_quartier,MATCH(X542,Cl_cle,0))&amp;"",""))</f>
        <v/>
      </c>
      <c r="AB542" s="45">
        <f>IF(R542&lt;&gt;"Livrée",0,IF(K542&lt;&gt;"",K542,C542))</f>
        <v/>
      </c>
      <c r="AC542" s="33">
        <f>IF(OR(C542="",W542=""),"",P542&amp;"|"&amp;W542&amp;"|"&amp;C542&amp;"|"&amp;E542)</f>
        <v/>
      </c>
      <c r="AD542" s="39">
        <f>IF(AC542="","",IF(COUNTIF(AC$6:AC542,AC542)=1,1,0))</f>
        <v/>
      </c>
      <c r="AE542" s="39">
        <f>IF(AB542=0,"",IF(COUNTIFS(X$6:X542,X542,AB$6:AB542,AB542)=1,1,0))</f>
        <v/>
      </c>
      <c r="AF542" s="34">
        <f>IF(C542="","",YEAR(C542-WEEKDAY(C542,2)+4)&amp;"-S"&amp;TEXT(INT((C542-DATE(YEAR(C542-WEEKDAY(C542,2)+4),1,3)+WEEKDAY(DATE(YEAR(C542-WEEKDAY(C542,2)+4),1,3),2)+5)/7),"00"))</f>
        <v/>
      </c>
    </row>
    <row r="543" ht="18" customHeight="1">
      <c r="A543" s="39" t="n">
        <v>538</v>
      </c>
      <c r="B543" s="33">
        <f>IF(C543="","",IF(P543="À RENSEIGNER","GIC",P543)&amp;"-C"&amp;TEXT(A543,"00000"))</f>
        <v/>
      </c>
      <c r="C543" s="32" t="n"/>
      <c r="D543" s="36" t="n"/>
      <c r="E543" s="36" t="n"/>
      <c r="F543" s="36" t="n"/>
      <c r="G543" s="42" t="n"/>
      <c r="H543" s="37" t="n"/>
      <c r="I543" s="37" t="n"/>
      <c r="J543" s="32" t="n"/>
      <c r="K543" s="32" t="n"/>
      <c r="L543" s="43" t="n"/>
      <c r="M543" s="36" t="n"/>
      <c r="N543" s="44" t="n"/>
      <c r="O543" s="36" t="n"/>
      <c r="P543" s="33">
        <f>IF(C543="","",Commercial_Id)</f>
        <v/>
      </c>
      <c r="Q543" s="34">
        <f>IF(AC543="","",IF(AD543=1,"C"&amp;TEXT(SUM(AD$6:AD543),"0000"),INDEX(Q$6:Q542,MATCH(AC543,AC$6:AC542,0))))</f>
        <v/>
      </c>
      <c r="R543" s="34">
        <f>IF(C543="","",IF(L543="☑ Oui","Annulée",IF(OR(E543="Vente directe",K543&lt;&gt;""),"Livrée",IF(J543&lt;&gt;"","Confirmée","En attente"))))</f>
        <v/>
      </c>
      <c r="S543" s="34">
        <f>IF(F543="","",IFERROR(VLOOKUP(F543,T_Produits,2,FALSE),""))</f>
        <v/>
      </c>
      <c r="T543" s="40">
        <f>IF(F543="","",IFERROR(1/(1/VLOOKUP(F543,T_Produits,3,FALSE)),""))</f>
        <v/>
      </c>
      <c r="U543" s="40">
        <f>IF(H543&lt;&gt;"",H543,T543)</f>
        <v/>
      </c>
      <c r="V543" s="40">
        <f>IF(OR(G543="",U543=""),"",G543*U543-N(I543))</f>
        <v/>
      </c>
      <c r="W543" s="39">
        <f>IF(D543="","",IFERROR(VALUE(MID(D543,LEN(D543)-3,3)),""))</f>
        <v/>
      </c>
      <c r="X543" s="33">
        <f>IF(W543="","",P543&amp;"|"&amp;W543)</f>
        <v/>
      </c>
      <c r="Y543" s="33">
        <f>IF(W543="","",IF(P543="À RENSEIGNER","GIC",P543)&amp;"-"&amp;TEXT(W543,"000"))</f>
        <v/>
      </c>
      <c r="Z543" s="33">
        <f>IF(X543="","",IFERROR(INDEX(Cl_nom,MATCH(X543,Cl_cle,0)),"(client introuvable)"))</f>
        <v/>
      </c>
      <c r="AA543" s="33">
        <f>IF(X543="","",IFERROR(INDEX(Cl_quartier,MATCH(X543,Cl_cle,0))&amp;"",""))</f>
        <v/>
      </c>
      <c r="AB543" s="45">
        <f>IF(R543&lt;&gt;"Livrée",0,IF(K543&lt;&gt;"",K543,C543))</f>
        <v/>
      </c>
      <c r="AC543" s="33">
        <f>IF(OR(C543="",W543=""),"",P543&amp;"|"&amp;W543&amp;"|"&amp;C543&amp;"|"&amp;E543)</f>
        <v/>
      </c>
      <c r="AD543" s="39">
        <f>IF(AC543="","",IF(COUNTIF(AC$6:AC543,AC543)=1,1,0))</f>
        <v/>
      </c>
      <c r="AE543" s="39">
        <f>IF(AB543=0,"",IF(COUNTIFS(X$6:X543,X543,AB$6:AB543,AB543)=1,1,0))</f>
        <v/>
      </c>
      <c r="AF543" s="34">
        <f>IF(C543="","",YEAR(C543-WEEKDAY(C543,2)+4)&amp;"-S"&amp;TEXT(INT((C543-DATE(YEAR(C543-WEEKDAY(C543,2)+4),1,3)+WEEKDAY(DATE(YEAR(C543-WEEKDAY(C543,2)+4),1,3),2)+5)/7),"00"))</f>
        <v/>
      </c>
    </row>
    <row r="544" ht="18" customHeight="1">
      <c r="A544" s="39" t="n">
        <v>539</v>
      </c>
      <c r="B544" s="33">
        <f>IF(C544="","",IF(P544="À RENSEIGNER","GIC",P544)&amp;"-C"&amp;TEXT(A544,"00000"))</f>
        <v/>
      </c>
      <c r="C544" s="32" t="n"/>
      <c r="D544" s="36" t="n"/>
      <c r="E544" s="36" t="n"/>
      <c r="F544" s="36" t="n"/>
      <c r="G544" s="42" t="n"/>
      <c r="H544" s="37" t="n"/>
      <c r="I544" s="37" t="n"/>
      <c r="J544" s="32" t="n"/>
      <c r="K544" s="32" t="n"/>
      <c r="L544" s="43" t="n"/>
      <c r="M544" s="36" t="n"/>
      <c r="N544" s="44" t="n"/>
      <c r="O544" s="36" t="n"/>
      <c r="P544" s="33">
        <f>IF(C544="","",Commercial_Id)</f>
        <v/>
      </c>
      <c r="Q544" s="34">
        <f>IF(AC544="","",IF(AD544=1,"C"&amp;TEXT(SUM(AD$6:AD544),"0000"),INDEX(Q$6:Q543,MATCH(AC544,AC$6:AC543,0))))</f>
        <v/>
      </c>
      <c r="R544" s="34">
        <f>IF(C544="","",IF(L544="☑ Oui","Annulée",IF(OR(E544="Vente directe",K544&lt;&gt;""),"Livrée",IF(J544&lt;&gt;"","Confirmée","En attente"))))</f>
        <v/>
      </c>
      <c r="S544" s="34">
        <f>IF(F544="","",IFERROR(VLOOKUP(F544,T_Produits,2,FALSE),""))</f>
        <v/>
      </c>
      <c r="T544" s="40">
        <f>IF(F544="","",IFERROR(1/(1/VLOOKUP(F544,T_Produits,3,FALSE)),""))</f>
        <v/>
      </c>
      <c r="U544" s="40">
        <f>IF(H544&lt;&gt;"",H544,T544)</f>
        <v/>
      </c>
      <c r="V544" s="40">
        <f>IF(OR(G544="",U544=""),"",G544*U544-N(I544))</f>
        <v/>
      </c>
      <c r="W544" s="39">
        <f>IF(D544="","",IFERROR(VALUE(MID(D544,LEN(D544)-3,3)),""))</f>
        <v/>
      </c>
      <c r="X544" s="33">
        <f>IF(W544="","",P544&amp;"|"&amp;W544)</f>
        <v/>
      </c>
      <c r="Y544" s="33">
        <f>IF(W544="","",IF(P544="À RENSEIGNER","GIC",P544)&amp;"-"&amp;TEXT(W544,"000"))</f>
        <v/>
      </c>
      <c r="Z544" s="33">
        <f>IF(X544="","",IFERROR(INDEX(Cl_nom,MATCH(X544,Cl_cle,0)),"(client introuvable)"))</f>
        <v/>
      </c>
      <c r="AA544" s="33">
        <f>IF(X544="","",IFERROR(INDEX(Cl_quartier,MATCH(X544,Cl_cle,0))&amp;"",""))</f>
        <v/>
      </c>
      <c r="AB544" s="45">
        <f>IF(R544&lt;&gt;"Livrée",0,IF(K544&lt;&gt;"",K544,C544))</f>
        <v/>
      </c>
      <c r="AC544" s="33">
        <f>IF(OR(C544="",W544=""),"",P544&amp;"|"&amp;W544&amp;"|"&amp;C544&amp;"|"&amp;E544)</f>
        <v/>
      </c>
      <c r="AD544" s="39">
        <f>IF(AC544="","",IF(COUNTIF(AC$6:AC544,AC544)=1,1,0))</f>
        <v/>
      </c>
      <c r="AE544" s="39">
        <f>IF(AB544=0,"",IF(COUNTIFS(X$6:X544,X544,AB$6:AB544,AB544)=1,1,0))</f>
        <v/>
      </c>
      <c r="AF544" s="34">
        <f>IF(C544="","",YEAR(C544-WEEKDAY(C544,2)+4)&amp;"-S"&amp;TEXT(INT((C544-DATE(YEAR(C544-WEEKDAY(C544,2)+4),1,3)+WEEKDAY(DATE(YEAR(C544-WEEKDAY(C544,2)+4),1,3),2)+5)/7),"00"))</f>
        <v/>
      </c>
    </row>
    <row r="545" ht="18" customHeight="1">
      <c r="A545" s="39" t="n">
        <v>540</v>
      </c>
      <c r="B545" s="33">
        <f>IF(C545="","",IF(P545="À RENSEIGNER","GIC",P545)&amp;"-C"&amp;TEXT(A545,"00000"))</f>
        <v/>
      </c>
      <c r="C545" s="32" t="n"/>
      <c r="D545" s="36" t="n"/>
      <c r="E545" s="36" t="n"/>
      <c r="F545" s="36" t="n"/>
      <c r="G545" s="42" t="n"/>
      <c r="H545" s="37" t="n"/>
      <c r="I545" s="37" t="n"/>
      <c r="J545" s="32" t="n"/>
      <c r="K545" s="32" t="n"/>
      <c r="L545" s="43" t="n"/>
      <c r="M545" s="36" t="n"/>
      <c r="N545" s="44" t="n"/>
      <c r="O545" s="36" t="n"/>
      <c r="P545" s="33">
        <f>IF(C545="","",Commercial_Id)</f>
        <v/>
      </c>
      <c r="Q545" s="34">
        <f>IF(AC545="","",IF(AD545=1,"C"&amp;TEXT(SUM(AD$6:AD545),"0000"),INDEX(Q$6:Q544,MATCH(AC545,AC$6:AC544,0))))</f>
        <v/>
      </c>
      <c r="R545" s="34">
        <f>IF(C545="","",IF(L545="☑ Oui","Annulée",IF(OR(E545="Vente directe",K545&lt;&gt;""),"Livrée",IF(J545&lt;&gt;"","Confirmée","En attente"))))</f>
        <v/>
      </c>
      <c r="S545" s="34">
        <f>IF(F545="","",IFERROR(VLOOKUP(F545,T_Produits,2,FALSE),""))</f>
        <v/>
      </c>
      <c r="T545" s="40">
        <f>IF(F545="","",IFERROR(1/(1/VLOOKUP(F545,T_Produits,3,FALSE)),""))</f>
        <v/>
      </c>
      <c r="U545" s="40">
        <f>IF(H545&lt;&gt;"",H545,T545)</f>
        <v/>
      </c>
      <c r="V545" s="40">
        <f>IF(OR(G545="",U545=""),"",G545*U545-N(I545))</f>
        <v/>
      </c>
      <c r="W545" s="39">
        <f>IF(D545="","",IFERROR(VALUE(MID(D545,LEN(D545)-3,3)),""))</f>
        <v/>
      </c>
      <c r="X545" s="33">
        <f>IF(W545="","",P545&amp;"|"&amp;W545)</f>
        <v/>
      </c>
      <c r="Y545" s="33">
        <f>IF(W545="","",IF(P545="À RENSEIGNER","GIC",P545)&amp;"-"&amp;TEXT(W545,"000"))</f>
        <v/>
      </c>
      <c r="Z545" s="33">
        <f>IF(X545="","",IFERROR(INDEX(Cl_nom,MATCH(X545,Cl_cle,0)),"(client introuvable)"))</f>
        <v/>
      </c>
      <c r="AA545" s="33">
        <f>IF(X545="","",IFERROR(INDEX(Cl_quartier,MATCH(X545,Cl_cle,0))&amp;"",""))</f>
        <v/>
      </c>
      <c r="AB545" s="45">
        <f>IF(R545&lt;&gt;"Livrée",0,IF(K545&lt;&gt;"",K545,C545))</f>
        <v/>
      </c>
      <c r="AC545" s="33">
        <f>IF(OR(C545="",W545=""),"",P545&amp;"|"&amp;W545&amp;"|"&amp;C545&amp;"|"&amp;E545)</f>
        <v/>
      </c>
      <c r="AD545" s="39">
        <f>IF(AC545="","",IF(COUNTIF(AC$6:AC545,AC545)=1,1,0))</f>
        <v/>
      </c>
      <c r="AE545" s="39">
        <f>IF(AB545=0,"",IF(COUNTIFS(X$6:X545,X545,AB$6:AB545,AB545)=1,1,0))</f>
        <v/>
      </c>
      <c r="AF545" s="34">
        <f>IF(C545="","",YEAR(C545-WEEKDAY(C545,2)+4)&amp;"-S"&amp;TEXT(INT((C545-DATE(YEAR(C545-WEEKDAY(C545,2)+4),1,3)+WEEKDAY(DATE(YEAR(C545-WEEKDAY(C545,2)+4),1,3),2)+5)/7),"00"))</f>
        <v/>
      </c>
    </row>
    <row r="546" ht="18" customHeight="1">
      <c r="A546" s="39" t="n">
        <v>541</v>
      </c>
      <c r="B546" s="33">
        <f>IF(C546="","",IF(P546="À RENSEIGNER","GIC",P546)&amp;"-C"&amp;TEXT(A546,"00000"))</f>
        <v/>
      </c>
      <c r="C546" s="32" t="n"/>
      <c r="D546" s="36" t="n"/>
      <c r="E546" s="36" t="n"/>
      <c r="F546" s="36" t="n"/>
      <c r="G546" s="42" t="n"/>
      <c r="H546" s="37" t="n"/>
      <c r="I546" s="37" t="n"/>
      <c r="J546" s="32" t="n"/>
      <c r="K546" s="32" t="n"/>
      <c r="L546" s="43" t="n"/>
      <c r="M546" s="36" t="n"/>
      <c r="N546" s="44" t="n"/>
      <c r="O546" s="36" t="n"/>
      <c r="P546" s="33">
        <f>IF(C546="","",Commercial_Id)</f>
        <v/>
      </c>
      <c r="Q546" s="34">
        <f>IF(AC546="","",IF(AD546=1,"C"&amp;TEXT(SUM(AD$6:AD546),"0000"),INDEX(Q$6:Q545,MATCH(AC546,AC$6:AC545,0))))</f>
        <v/>
      </c>
      <c r="R546" s="34">
        <f>IF(C546="","",IF(L546="☑ Oui","Annulée",IF(OR(E546="Vente directe",K546&lt;&gt;""),"Livrée",IF(J546&lt;&gt;"","Confirmée","En attente"))))</f>
        <v/>
      </c>
      <c r="S546" s="34">
        <f>IF(F546="","",IFERROR(VLOOKUP(F546,T_Produits,2,FALSE),""))</f>
        <v/>
      </c>
      <c r="T546" s="40">
        <f>IF(F546="","",IFERROR(1/(1/VLOOKUP(F546,T_Produits,3,FALSE)),""))</f>
        <v/>
      </c>
      <c r="U546" s="40">
        <f>IF(H546&lt;&gt;"",H546,T546)</f>
        <v/>
      </c>
      <c r="V546" s="40">
        <f>IF(OR(G546="",U546=""),"",G546*U546-N(I546))</f>
        <v/>
      </c>
      <c r="W546" s="39">
        <f>IF(D546="","",IFERROR(VALUE(MID(D546,LEN(D546)-3,3)),""))</f>
        <v/>
      </c>
      <c r="X546" s="33">
        <f>IF(W546="","",P546&amp;"|"&amp;W546)</f>
        <v/>
      </c>
      <c r="Y546" s="33">
        <f>IF(W546="","",IF(P546="À RENSEIGNER","GIC",P546)&amp;"-"&amp;TEXT(W546,"000"))</f>
        <v/>
      </c>
      <c r="Z546" s="33">
        <f>IF(X546="","",IFERROR(INDEX(Cl_nom,MATCH(X546,Cl_cle,0)),"(client introuvable)"))</f>
        <v/>
      </c>
      <c r="AA546" s="33">
        <f>IF(X546="","",IFERROR(INDEX(Cl_quartier,MATCH(X546,Cl_cle,0))&amp;"",""))</f>
        <v/>
      </c>
      <c r="AB546" s="45">
        <f>IF(R546&lt;&gt;"Livrée",0,IF(K546&lt;&gt;"",K546,C546))</f>
        <v/>
      </c>
      <c r="AC546" s="33">
        <f>IF(OR(C546="",W546=""),"",P546&amp;"|"&amp;W546&amp;"|"&amp;C546&amp;"|"&amp;E546)</f>
        <v/>
      </c>
      <c r="AD546" s="39">
        <f>IF(AC546="","",IF(COUNTIF(AC$6:AC546,AC546)=1,1,0))</f>
        <v/>
      </c>
      <c r="AE546" s="39">
        <f>IF(AB546=0,"",IF(COUNTIFS(X$6:X546,X546,AB$6:AB546,AB546)=1,1,0))</f>
        <v/>
      </c>
      <c r="AF546" s="34">
        <f>IF(C546="","",YEAR(C546-WEEKDAY(C546,2)+4)&amp;"-S"&amp;TEXT(INT((C546-DATE(YEAR(C546-WEEKDAY(C546,2)+4),1,3)+WEEKDAY(DATE(YEAR(C546-WEEKDAY(C546,2)+4),1,3),2)+5)/7),"00"))</f>
        <v/>
      </c>
    </row>
    <row r="547" ht="18" customHeight="1">
      <c r="A547" s="39" t="n">
        <v>542</v>
      </c>
      <c r="B547" s="33">
        <f>IF(C547="","",IF(P547="À RENSEIGNER","GIC",P547)&amp;"-C"&amp;TEXT(A547,"00000"))</f>
        <v/>
      </c>
      <c r="C547" s="32" t="n"/>
      <c r="D547" s="36" t="n"/>
      <c r="E547" s="36" t="n"/>
      <c r="F547" s="36" t="n"/>
      <c r="G547" s="42" t="n"/>
      <c r="H547" s="37" t="n"/>
      <c r="I547" s="37" t="n"/>
      <c r="J547" s="32" t="n"/>
      <c r="K547" s="32" t="n"/>
      <c r="L547" s="43" t="n"/>
      <c r="M547" s="36" t="n"/>
      <c r="N547" s="44" t="n"/>
      <c r="O547" s="36" t="n"/>
      <c r="P547" s="33">
        <f>IF(C547="","",Commercial_Id)</f>
        <v/>
      </c>
      <c r="Q547" s="34">
        <f>IF(AC547="","",IF(AD547=1,"C"&amp;TEXT(SUM(AD$6:AD547),"0000"),INDEX(Q$6:Q546,MATCH(AC547,AC$6:AC546,0))))</f>
        <v/>
      </c>
      <c r="R547" s="34">
        <f>IF(C547="","",IF(L547="☑ Oui","Annulée",IF(OR(E547="Vente directe",K547&lt;&gt;""),"Livrée",IF(J547&lt;&gt;"","Confirmée","En attente"))))</f>
        <v/>
      </c>
      <c r="S547" s="34">
        <f>IF(F547="","",IFERROR(VLOOKUP(F547,T_Produits,2,FALSE),""))</f>
        <v/>
      </c>
      <c r="T547" s="40">
        <f>IF(F547="","",IFERROR(1/(1/VLOOKUP(F547,T_Produits,3,FALSE)),""))</f>
        <v/>
      </c>
      <c r="U547" s="40">
        <f>IF(H547&lt;&gt;"",H547,T547)</f>
        <v/>
      </c>
      <c r="V547" s="40">
        <f>IF(OR(G547="",U547=""),"",G547*U547-N(I547))</f>
        <v/>
      </c>
      <c r="W547" s="39">
        <f>IF(D547="","",IFERROR(VALUE(MID(D547,LEN(D547)-3,3)),""))</f>
        <v/>
      </c>
      <c r="X547" s="33">
        <f>IF(W547="","",P547&amp;"|"&amp;W547)</f>
        <v/>
      </c>
      <c r="Y547" s="33">
        <f>IF(W547="","",IF(P547="À RENSEIGNER","GIC",P547)&amp;"-"&amp;TEXT(W547,"000"))</f>
        <v/>
      </c>
      <c r="Z547" s="33">
        <f>IF(X547="","",IFERROR(INDEX(Cl_nom,MATCH(X547,Cl_cle,0)),"(client introuvable)"))</f>
        <v/>
      </c>
      <c r="AA547" s="33">
        <f>IF(X547="","",IFERROR(INDEX(Cl_quartier,MATCH(X547,Cl_cle,0))&amp;"",""))</f>
        <v/>
      </c>
      <c r="AB547" s="45">
        <f>IF(R547&lt;&gt;"Livrée",0,IF(K547&lt;&gt;"",K547,C547))</f>
        <v/>
      </c>
      <c r="AC547" s="33">
        <f>IF(OR(C547="",W547=""),"",P547&amp;"|"&amp;W547&amp;"|"&amp;C547&amp;"|"&amp;E547)</f>
        <v/>
      </c>
      <c r="AD547" s="39">
        <f>IF(AC547="","",IF(COUNTIF(AC$6:AC547,AC547)=1,1,0))</f>
        <v/>
      </c>
      <c r="AE547" s="39">
        <f>IF(AB547=0,"",IF(COUNTIFS(X$6:X547,X547,AB$6:AB547,AB547)=1,1,0))</f>
        <v/>
      </c>
      <c r="AF547" s="34">
        <f>IF(C547="","",YEAR(C547-WEEKDAY(C547,2)+4)&amp;"-S"&amp;TEXT(INT((C547-DATE(YEAR(C547-WEEKDAY(C547,2)+4),1,3)+WEEKDAY(DATE(YEAR(C547-WEEKDAY(C547,2)+4),1,3),2)+5)/7),"00"))</f>
        <v/>
      </c>
    </row>
    <row r="548" ht="18" customHeight="1">
      <c r="A548" s="39" t="n">
        <v>543</v>
      </c>
      <c r="B548" s="33">
        <f>IF(C548="","",IF(P548="À RENSEIGNER","GIC",P548)&amp;"-C"&amp;TEXT(A548,"00000"))</f>
        <v/>
      </c>
      <c r="C548" s="32" t="n"/>
      <c r="D548" s="36" t="n"/>
      <c r="E548" s="36" t="n"/>
      <c r="F548" s="36" t="n"/>
      <c r="G548" s="42" t="n"/>
      <c r="H548" s="37" t="n"/>
      <c r="I548" s="37" t="n"/>
      <c r="J548" s="32" t="n"/>
      <c r="K548" s="32" t="n"/>
      <c r="L548" s="43" t="n"/>
      <c r="M548" s="36" t="n"/>
      <c r="N548" s="44" t="n"/>
      <c r="O548" s="36" t="n"/>
      <c r="P548" s="33">
        <f>IF(C548="","",Commercial_Id)</f>
        <v/>
      </c>
      <c r="Q548" s="34">
        <f>IF(AC548="","",IF(AD548=1,"C"&amp;TEXT(SUM(AD$6:AD548),"0000"),INDEX(Q$6:Q547,MATCH(AC548,AC$6:AC547,0))))</f>
        <v/>
      </c>
      <c r="R548" s="34">
        <f>IF(C548="","",IF(L548="☑ Oui","Annulée",IF(OR(E548="Vente directe",K548&lt;&gt;""),"Livrée",IF(J548&lt;&gt;"","Confirmée","En attente"))))</f>
        <v/>
      </c>
      <c r="S548" s="34">
        <f>IF(F548="","",IFERROR(VLOOKUP(F548,T_Produits,2,FALSE),""))</f>
        <v/>
      </c>
      <c r="T548" s="40">
        <f>IF(F548="","",IFERROR(1/(1/VLOOKUP(F548,T_Produits,3,FALSE)),""))</f>
        <v/>
      </c>
      <c r="U548" s="40">
        <f>IF(H548&lt;&gt;"",H548,T548)</f>
        <v/>
      </c>
      <c r="V548" s="40">
        <f>IF(OR(G548="",U548=""),"",G548*U548-N(I548))</f>
        <v/>
      </c>
      <c r="W548" s="39">
        <f>IF(D548="","",IFERROR(VALUE(MID(D548,LEN(D548)-3,3)),""))</f>
        <v/>
      </c>
      <c r="X548" s="33">
        <f>IF(W548="","",P548&amp;"|"&amp;W548)</f>
        <v/>
      </c>
      <c r="Y548" s="33">
        <f>IF(W548="","",IF(P548="À RENSEIGNER","GIC",P548)&amp;"-"&amp;TEXT(W548,"000"))</f>
        <v/>
      </c>
      <c r="Z548" s="33">
        <f>IF(X548="","",IFERROR(INDEX(Cl_nom,MATCH(X548,Cl_cle,0)),"(client introuvable)"))</f>
        <v/>
      </c>
      <c r="AA548" s="33">
        <f>IF(X548="","",IFERROR(INDEX(Cl_quartier,MATCH(X548,Cl_cle,0))&amp;"",""))</f>
        <v/>
      </c>
      <c r="AB548" s="45">
        <f>IF(R548&lt;&gt;"Livrée",0,IF(K548&lt;&gt;"",K548,C548))</f>
        <v/>
      </c>
      <c r="AC548" s="33">
        <f>IF(OR(C548="",W548=""),"",P548&amp;"|"&amp;W548&amp;"|"&amp;C548&amp;"|"&amp;E548)</f>
        <v/>
      </c>
      <c r="AD548" s="39">
        <f>IF(AC548="","",IF(COUNTIF(AC$6:AC548,AC548)=1,1,0))</f>
        <v/>
      </c>
      <c r="AE548" s="39">
        <f>IF(AB548=0,"",IF(COUNTIFS(X$6:X548,X548,AB$6:AB548,AB548)=1,1,0))</f>
        <v/>
      </c>
      <c r="AF548" s="34">
        <f>IF(C548="","",YEAR(C548-WEEKDAY(C548,2)+4)&amp;"-S"&amp;TEXT(INT((C548-DATE(YEAR(C548-WEEKDAY(C548,2)+4),1,3)+WEEKDAY(DATE(YEAR(C548-WEEKDAY(C548,2)+4),1,3),2)+5)/7),"00"))</f>
        <v/>
      </c>
    </row>
    <row r="549" ht="18" customHeight="1">
      <c r="A549" s="39" t="n">
        <v>544</v>
      </c>
      <c r="B549" s="33">
        <f>IF(C549="","",IF(P549="À RENSEIGNER","GIC",P549)&amp;"-C"&amp;TEXT(A549,"00000"))</f>
        <v/>
      </c>
      <c r="C549" s="32" t="n"/>
      <c r="D549" s="36" t="n"/>
      <c r="E549" s="36" t="n"/>
      <c r="F549" s="36" t="n"/>
      <c r="G549" s="42" t="n"/>
      <c r="H549" s="37" t="n"/>
      <c r="I549" s="37" t="n"/>
      <c r="J549" s="32" t="n"/>
      <c r="K549" s="32" t="n"/>
      <c r="L549" s="43" t="n"/>
      <c r="M549" s="36" t="n"/>
      <c r="N549" s="44" t="n"/>
      <c r="O549" s="36" t="n"/>
      <c r="P549" s="33">
        <f>IF(C549="","",Commercial_Id)</f>
        <v/>
      </c>
      <c r="Q549" s="34">
        <f>IF(AC549="","",IF(AD549=1,"C"&amp;TEXT(SUM(AD$6:AD549),"0000"),INDEX(Q$6:Q548,MATCH(AC549,AC$6:AC548,0))))</f>
        <v/>
      </c>
      <c r="R549" s="34">
        <f>IF(C549="","",IF(L549="☑ Oui","Annulée",IF(OR(E549="Vente directe",K549&lt;&gt;""),"Livrée",IF(J549&lt;&gt;"","Confirmée","En attente"))))</f>
        <v/>
      </c>
      <c r="S549" s="34">
        <f>IF(F549="","",IFERROR(VLOOKUP(F549,T_Produits,2,FALSE),""))</f>
        <v/>
      </c>
      <c r="T549" s="40">
        <f>IF(F549="","",IFERROR(1/(1/VLOOKUP(F549,T_Produits,3,FALSE)),""))</f>
        <v/>
      </c>
      <c r="U549" s="40">
        <f>IF(H549&lt;&gt;"",H549,T549)</f>
        <v/>
      </c>
      <c r="V549" s="40">
        <f>IF(OR(G549="",U549=""),"",G549*U549-N(I549))</f>
        <v/>
      </c>
      <c r="W549" s="39">
        <f>IF(D549="","",IFERROR(VALUE(MID(D549,LEN(D549)-3,3)),""))</f>
        <v/>
      </c>
      <c r="X549" s="33">
        <f>IF(W549="","",P549&amp;"|"&amp;W549)</f>
        <v/>
      </c>
      <c r="Y549" s="33">
        <f>IF(W549="","",IF(P549="À RENSEIGNER","GIC",P549)&amp;"-"&amp;TEXT(W549,"000"))</f>
        <v/>
      </c>
      <c r="Z549" s="33">
        <f>IF(X549="","",IFERROR(INDEX(Cl_nom,MATCH(X549,Cl_cle,0)),"(client introuvable)"))</f>
        <v/>
      </c>
      <c r="AA549" s="33">
        <f>IF(X549="","",IFERROR(INDEX(Cl_quartier,MATCH(X549,Cl_cle,0))&amp;"",""))</f>
        <v/>
      </c>
      <c r="AB549" s="45">
        <f>IF(R549&lt;&gt;"Livrée",0,IF(K549&lt;&gt;"",K549,C549))</f>
        <v/>
      </c>
      <c r="AC549" s="33">
        <f>IF(OR(C549="",W549=""),"",P549&amp;"|"&amp;W549&amp;"|"&amp;C549&amp;"|"&amp;E549)</f>
        <v/>
      </c>
      <c r="AD549" s="39">
        <f>IF(AC549="","",IF(COUNTIF(AC$6:AC549,AC549)=1,1,0))</f>
        <v/>
      </c>
      <c r="AE549" s="39">
        <f>IF(AB549=0,"",IF(COUNTIFS(X$6:X549,X549,AB$6:AB549,AB549)=1,1,0))</f>
        <v/>
      </c>
      <c r="AF549" s="34">
        <f>IF(C549="","",YEAR(C549-WEEKDAY(C549,2)+4)&amp;"-S"&amp;TEXT(INT((C549-DATE(YEAR(C549-WEEKDAY(C549,2)+4),1,3)+WEEKDAY(DATE(YEAR(C549-WEEKDAY(C549,2)+4),1,3),2)+5)/7),"00"))</f>
        <v/>
      </c>
    </row>
    <row r="550" ht="18" customHeight="1">
      <c r="A550" s="39" t="n">
        <v>545</v>
      </c>
      <c r="B550" s="33">
        <f>IF(C550="","",IF(P550="À RENSEIGNER","GIC",P550)&amp;"-C"&amp;TEXT(A550,"00000"))</f>
        <v/>
      </c>
      <c r="C550" s="32" t="n"/>
      <c r="D550" s="36" t="n"/>
      <c r="E550" s="36" t="n"/>
      <c r="F550" s="36" t="n"/>
      <c r="G550" s="42" t="n"/>
      <c r="H550" s="37" t="n"/>
      <c r="I550" s="37" t="n"/>
      <c r="J550" s="32" t="n"/>
      <c r="K550" s="32" t="n"/>
      <c r="L550" s="43" t="n"/>
      <c r="M550" s="36" t="n"/>
      <c r="N550" s="44" t="n"/>
      <c r="O550" s="36" t="n"/>
      <c r="P550" s="33">
        <f>IF(C550="","",Commercial_Id)</f>
        <v/>
      </c>
      <c r="Q550" s="34">
        <f>IF(AC550="","",IF(AD550=1,"C"&amp;TEXT(SUM(AD$6:AD550),"0000"),INDEX(Q$6:Q549,MATCH(AC550,AC$6:AC549,0))))</f>
        <v/>
      </c>
      <c r="R550" s="34">
        <f>IF(C550="","",IF(L550="☑ Oui","Annulée",IF(OR(E550="Vente directe",K550&lt;&gt;""),"Livrée",IF(J550&lt;&gt;"","Confirmée","En attente"))))</f>
        <v/>
      </c>
      <c r="S550" s="34">
        <f>IF(F550="","",IFERROR(VLOOKUP(F550,T_Produits,2,FALSE),""))</f>
        <v/>
      </c>
      <c r="T550" s="40">
        <f>IF(F550="","",IFERROR(1/(1/VLOOKUP(F550,T_Produits,3,FALSE)),""))</f>
        <v/>
      </c>
      <c r="U550" s="40">
        <f>IF(H550&lt;&gt;"",H550,T550)</f>
        <v/>
      </c>
      <c r="V550" s="40">
        <f>IF(OR(G550="",U550=""),"",G550*U550-N(I550))</f>
        <v/>
      </c>
      <c r="W550" s="39">
        <f>IF(D550="","",IFERROR(VALUE(MID(D550,LEN(D550)-3,3)),""))</f>
        <v/>
      </c>
      <c r="X550" s="33">
        <f>IF(W550="","",P550&amp;"|"&amp;W550)</f>
        <v/>
      </c>
      <c r="Y550" s="33">
        <f>IF(W550="","",IF(P550="À RENSEIGNER","GIC",P550)&amp;"-"&amp;TEXT(W550,"000"))</f>
        <v/>
      </c>
      <c r="Z550" s="33">
        <f>IF(X550="","",IFERROR(INDEX(Cl_nom,MATCH(X550,Cl_cle,0)),"(client introuvable)"))</f>
        <v/>
      </c>
      <c r="AA550" s="33">
        <f>IF(X550="","",IFERROR(INDEX(Cl_quartier,MATCH(X550,Cl_cle,0))&amp;"",""))</f>
        <v/>
      </c>
      <c r="AB550" s="45">
        <f>IF(R550&lt;&gt;"Livrée",0,IF(K550&lt;&gt;"",K550,C550))</f>
        <v/>
      </c>
      <c r="AC550" s="33">
        <f>IF(OR(C550="",W550=""),"",P550&amp;"|"&amp;W550&amp;"|"&amp;C550&amp;"|"&amp;E550)</f>
        <v/>
      </c>
      <c r="AD550" s="39">
        <f>IF(AC550="","",IF(COUNTIF(AC$6:AC550,AC550)=1,1,0))</f>
        <v/>
      </c>
      <c r="AE550" s="39">
        <f>IF(AB550=0,"",IF(COUNTIFS(X$6:X550,X550,AB$6:AB550,AB550)=1,1,0))</f>
        <v/>
      </c>
      <c r="AF550" s="34">
        <f>IF(C550="","",YEAR(C550-WEEKDAY(C550,2)+4)&amp;"-S"&amp;TEXT(INT((C550-DATE(YEAR(C550-WEEKDAY(C550,2)+4),1,3)+WEEKDAY(DATE(YEAR(C550-WEEKDAY(C550,2)+4),1,3),2)+5)/7),"00"))</f>
        <v/>
      </c>
    </row>
    <row r="551" ht="18" customHeight="1">
      <c r="A551" s="39" t="n">
        <v>546</v>
      </c>
      <c r="B551" s="33">
        <f>IF(C551="","",IF(P551="À RENSEIGNER","GIC",P551)&amp;"-C"&amp;TEXT(A551,"00000"))</f>
        <v/>
      </c>
      <c r="C551" s="32" t="n"/>
      <c r="D551" s="36" t="n"/>
      <c r="E551" s="36" t="n"/>
      <c r="F551" s="36" t="n"/>
      <c r="G551" s="42" t="n"/>
      <c r="H551" s="37" t="n"/>
      <c r="I551" s="37" t="n"/>
      <c r="J551" s="32" t="n"/>
      <c r="K551" s="32" t="n"/>
      <c r="L551" s="43" t="n"/>
      <c r="M551" s="36" t="n"/>
      <c r="N551" s="44" t="n"/>
      <c r="O551" s="36" t="n"/>
      <c r="P551" s="33">
        <f>IF(C551="","",Commercial_Id)</f>
        <v/>
      </c>
      <c r="Q551" s="34">
        <f>IF(AC551="","",IF(AD551=1,"C"&amp;TEXT(SUM(AD$6:AD551),"0000"),INDEX(Q$6:Q550,MATCH(AC551,AC$6:AC550,0))))</f>
        <v/>
      </c>
      <c r="R551" s="34">
        <f>IF(C551="","",IF(L551="☑ Oui","Annulée",IF(OR(E551="Vente directe",K551&lt;&gt;""),"Livrée",IF(J551&lt;&gt;"","Confirmée","En attente"))))</f>
        <v/>
      </c>
      <c r="S551" s="34">
        <f>IF(F551="","",IFERROR(VLOOKUP(F551,T_Produits,2,FALSE),""))</f>
        <v/>
      </c>
      <c r="T551" s="40">
        <f>IF(F551="","",IFERROR(1/(1/VLOOKUP(F551,T_Produits,3,FALSE)),""))</f>
        <v/>
      </c>
      <c r="U551" s="40">
        <f>IF(H551&lt;&gt;"",H551,T551)</f>
        <v/>
      </c>
      <c r="V551" s="40">
        <f>IF(OR(G551="",U551=""),"",G551*U551-N(I551))</f>
        <v/>
      </c>
      <c r="W551" s="39">
        <f>IF(D551="","",IFERROR(VALUE(MID(D551,LEN(D551)-3,3)),""))</f>
        <v/>
      </c>
      <c r="X551" s="33">
        <f>IF(W551="","",P551&amp;"|"&amp;W551)</f>
        <v/>
      </c>
      <c r="Y551" s="33">
        <f>IF(W551="","",IF(P551="À RENSEIGNER","GIC",P551)&amp;"-"&amp;TEXT(W551,"000"))</f>
        <v/>
      </c>
      <c r="Z551" s="33">
        <f>IF(X551="","",IFERROR(INDEX(Cl_nom,MATCH(X551,Cl_cle,0)),"(client introuvable)"))</f>
        <v/>
      </c>
      <c r="AA551" s="33">
        <f>IF(X551="","",IFERROR(INDEX(Cl_quartier,MATCH(X551,Cl_cle,0))&amp;"",""))</f>
        <v/>
      </c>
      <c r="AB551" s="45">
        <f>IF(R551&lt;&gt;"Livrée",0,IF(K551&lt;&gt;"",K551,C551))</f>
        <v/>
      </c>
      <c r="AC551" s="33">
        <f>IF(OR(C551="",W551=""),"",P551&amp;"|"&amp;W551&amp;"|"&amp;C551&amp;"|"&amp;E551)</f>
        <v/>
      </c>
      <c r="AD551" s="39">
        <f>IF(AC551="","",IF(COUNTIF(AC$6:AC551,AC551)=1,1,0))</f>
        <v/>
      </c>
      <c r="AE551" s="39">
        <f>IF(AB551=0,"",IF(COUNTIFS(X$6:X551,X551,AB$6:AB551,AB551)=1,1,0))</f>
        <v/>
      </c>
      <c r="AF551" s="34">
        <f>IF(C551="","",YEAR(C551-WEEKDAY(C551,2)+4)&amp;"-S"&amp;TEXT(INT((C551-DATE(YEAR(C551-WEEKDAY(C551,2)+4),1,3)+WEEKDAY(DATE(YEAR(C551-WEEKDAY(C551,2)+4),1,3),2)+5)/7),"00"))</f>
        <v/>
      </c>
    </row>
    <row r="552" ht="18" customHeight="1">
      <c r="A552" s="39" t="n">
        <v>547</v>
      </c>
      <c r="B552" s="33">
        <f>IF(C552="","",IF(P552="À RENSEIGNER","GIC",P552)&amp;"-C"&amp;TEXT(A552,"00000"))</f>
        <v/>
      </c>
      <c r="C552" s="32" t="n"/>
      <c r="D552" s="36" t="n"/>
      <c r="E552" s="36" t="n"/>
      <c r="F552" s="36" t="n"/>
      <c r="G552" s="42" t="n"/>
      <c r="H552" s="37" t="n"/>
      <c r="I552" s="37" t="n"/>
      <c r="J552" s="32" t="n"/>
      <c r="K552" s="32" t="n"/>
      <c r="L552" s="43" t="n"/>
      <c r="M552" s="36" t="n"/>
      <c r="N552" s="44" t="n"/>
      <c r="O552" s="36" t="n"/>
      <c r="P552" s="33">
        <f>IF(C552="","",Commercial_Id)</f>
        <v/>
      </c>
      <c r="Q552" s="34">
        <f>IF(AC552="","",IF(AD552=1,"C"&amp;TEXT(SUM(AD$6:AD552),"0000"),INDEX(Q$6:Q551,MATCH(AC552,AC$6:AC551,0))))</f>
        <v/>
      </c>
      <c r="R552" s="34">
        <f>IF(C552="","",IF(L552="☑ Oui","Annulée",IF(OR(E552="Vente directe",K552&lt;&gt;""),"Livrée",IF(J552&lt;&gt;"","Confirmée","En attente"))))</f>
        <v/>
      </c>
      <c r="S552" s="34">
        <f>IF(F552="","",IFERROR(VLOOKUP(F552,T_Produits,2,FALSE),""))</f>
        <v/>
      </c>
      <c r="T552" s="40">
        <f>IF(F552="","",IFERROR(1/(1/VLOOKUP(F552,T_Produits,3,FALSE)),""))</f>
        <v/>
      </c>
      <c r="U552" s="40">
        <f>IF(H552&lt;&gt;"",H552,T552)</f>
        <v/>
      </c>
      <c r="V552" s="40">
        <f>IF(OR(G552="",U552=""),"",G552*U552-N(I552))</f>
        <v/>
      </c>
      <c r="W552" s="39">
        <f>IF(D552="","",IFERROR(VALUE(MID(D552,LEN(D552)-3,3)),""))</f>
        <v/>
      </c>
      <c r="X552" s="33">
        <f>IF(W552="","",P552&amp;"|"&amp;W552)</f>
        <v/>
      </c>
      <c r="Y552" s="33">
        <f>IF(W552="","",IF(P552="À RENSEIGNER","GIC",P552)&amp;"-"&amp;TEXT(W552,"000"))</f>
        <v/>
      </c>
      <c r="Z552" s="33">
        <f>IF(X552="","",IFERROR(INDEX(Cl_nom,MATCH(X552,Cl_cle,0)),"(client introuvable)"))</f>
        <v/>
      </c>
      <c r="AA552" s="33">
        <f>IF(X552="","",IFERROR(INDEX(Cl_quartier,MATCH(X552,Cl_cle,0))&amp;"",""))</f>
        <v/>
      </c>
      <c r="AB552" s="45">
        <f>IF(R552&lt;&gt;"Livrée",0,IF(K552&lt;&gt;"",K552,C552))</f>
        <v/>
      </c>
      <c r="AC552" s="33">
        <f>IF(OR(C552="",W552=""),"",P552&amp;"|"&amp;W552&amp;"|"&amp;C552&amp;"|"&amp;E552)</f>
        <v/>
      </c>
      <c r="AD552" s="39">
        <f>IF(AC552="","",IF(COUNTIF(AC$6:AC552,AC552)=1,1,0))</f>
        <v/>
      </c>
      <c r="AE552" s="39">
        <f>IF(AB552=0,"",IF(COUNTIFS(X$6:X552,X552,AB$6:AB552,AB552)=1,1,0))</f>
        <v/>
      </c>
      <c r="AF552" s="34">
        <f>IF(C552="","",YEAR(C552-WEEKDAY(C552,2)+4)&amp;"-S"&amp;TEXT(INT((C552-DATE(YEAR(C552-WEEKDAY(C552,2)+4),1,3)+WEEKDAY(DATE(YEAR(C552-WEEKDAY(C552,2)+4),1,3),2)+5)/7),"00"))</f>
        <v/>
      </c>
    </row>
    <row r="553" ht="18" customHeight="1">
      <c r="A553" s="39" t="n">
        <v>548</v>
      </c>
      <c r="B553" s="33">
        <f>IF(C553="","",IF(P553="À RENSEIGNER","GIC",P553)&amp;"-C"&amp;TEXT(A553,"00000"))</f>
        <v/>
      </c>
      <c r="C553" s="32" t="n"/>
      <c r="D553" s="36" t="n"/>
      <c r="E553" s="36" t="n"/>
      <c r="F553" s="36" t="n"/>
      <c r="G553" s="42" t="n"/>
      <c r="H553" s="37" t="n"/>
      <c r="I553" s="37" t="n"/>
      <c r="J553" s="32" t="n"/>
      <c r="K553" s="32" t="n"/>
      <c r="L553" s="43" t="n"/>
      <c r="M553" s="36" t="n"/>
      <c r="N553" s="44" t="n"/>
      <c r="O553" s="36" t="n"/>
      <c r="P553" s="33">
        <f>IF(C553="","",Commercial_Id)</f>
        <v/>
      </c>
      <c r="Q553" s="34">
        <f>IF(AC553="","",IF(AD553=1,"C"&amp;TEXT(SUM(AD$6:AD553),"0000"),INDEX(Q$6:Q552,MATCH(AC553,AC$6:AC552,0))))</f>
        <v/>
      </c>
      <c r="R553" s="34">
        <f>IF(C553="","",IF(L553="☑ Oui","Annulée",IF(OR(E553="Vente directe",K553&lt;&gt;""),"Livrée",IF(J553&lt;&gt;"","Confirmée","En attente"))))</f>
        <v/>
      </c>
      <c r="S553" s="34">
        <f>IF(F553="","",IFERROR(VLOOKUP(F553,T_Produits,2,FALSE),""))</f>
        <v/>
      </c>
      <c r="T553" s="40">
        <f>IF(F553="","",IFERROR(1/(1/VLOOKUP(F553,T_Produits,3,FALSE)),""))</f>
        <v/>
      </c>
      <c r="U553" s="40">
        <f>IF(H553&lt;&gt;"",H553,T553)</f>
        <v/>
      </c>
      <c r="V553" s="40">
        <f>IF(OR(G553="",U553=""),"",G553*U553-N(I553))</f>
        <v/>
      </c>
      <c r="W553" s="39">
        <f>IF(D553="","",IFERROR(VALUE(MID(D553,LEN(D553)-3,3)),""))</f>
        <v/>
      </c>
      <c r="X553" s="33">
        <f>IF(W553="","",P553&amp;"|"&amp;W553)</f>
        <v/>
      </c>
      <c r="Y553" s="33">
        <f>IF(W553="","",IF(P553="À RENSEIGNER","GIC",P553)&amp;"-"&amp;TEXT(W553,"000"))</f>
        <v/>
      </c>
      <c r="Z553" s="33">
        <f>IF(X553="","",IFERROR(INDEX(Cl_nom,MATCH(X553,Cl_cle,0)),"(client introuvable)"))</f>
        <v/>
      </c>
      <c r="AA553" s="33">
        <f>IF(X553="","",IFERROR(INDEX(Cl_quartier,MATCH(X553,Cl_cle,0))&amp;"",""))</f>
        <v/>
      </c>
      <c r="AB553" s="45">
        <f>IF(R553&lt;&gt;"Livrée",0,IF(K553&lt;&gt;"",K553,C553))</f>
        <v/>
      </c>
      <c r="AC553" s="33">
        <f>IF(OR(C553="",W553=""),"",P553&amp;"|"&amp;W553&amp;"|"&amp;C553&amp;"|"&amp;E553)</f>
        <v/>
      </c>
      <c r="AD553" s="39">
        <f>IF(AC553="","",IF(COUNTIF(AC$6:AC553,AC553)=1,1,0))</f>
        <v/>
      </c>
      <c r="AE553" s="39">
        <f>IF(AB553=0,"",IF(COUNTIFS(X$6:X553,X553,AB$6:AB553,AB553)=1,1,0))</f>
        <v/>
      </c>
      <c r="AF553" s="34">
        <f>IF(C553="","",YEAR(C553-WEEKDAY(C553,2)+4)&amp;"-S"&amp;TEXT(INT((C553-DATE(YEAR(C553-WEEKDAY(C553,2)+4),1,3)+WEEKDAY(DATE(YEAR(C553-WEEKDAY(C553,2)+4),1,3),2)+5)/7),"00"))</f>
        <v/>
      </c>
    </row>
    <row r="554" ht="18" customHeight="1">
      <c r="A554" s="39" t="n">
        <v>549</v>
      </c>
      <c r="B554" s="33">
        <f>IF(C554="","",IF(P554="À RENSEIGNER","GIC",P554)&amp;"-C"&amp;TEXT(A554,"00000"))</f>
        <v/>
      </c>
      <c r="C554" s="32" t="n"/>
      <c r="D554" s="36" t="n"/>
      <c r="E554" s="36" t="n"/>
      <c r="F554" s="36" t="n"/>
      <c r="G554" s="42" t="n"/>
      <c r="H554" s="37" t="n"/>
      <c r="I554" s="37" t="n"/>
      <c r="J554" s="32" t="n"/>
      <c r="K554" s="32" t="n"/>
      <c r="L554" s="43" t="n"/>
      <c r="M554" s="36" t="n"/>
      <c r="N554" s="44" t="n"/>
      <c r="O554" s="36" t="n"/>
      <c r="P554" s="33">
        <f>IF(C554="","",Commercial_Id)</f>
        <v/>
      </c>
      <c r="Q554" s="34">
        <f>IF(AC554="","",IF(AD554=1,"C"&amp;TEXT(SUM(AD$6:AD554),"0000"),INDEX(Q$6:Q553,MATCH(AC554,AC$6:AC553,0))))</f>
        <v/>
      </c>
      <c r="R554" s="34">
        <f>IF(C554="","",IF(L554="☑ Oui","Annulée",IF(OR(E554="Vente directe",K554&lt;&gt;""),"Livrée",IF(J554&lt;&gt;"","Confirmée","En attente"))))</f>
        <v/>
      </c>
      <c r="S554" s="34">
        <f>IF(F554="","",IFERROR(VLOOKUP(F554,T_Produits,2,FALSE),""))</f>
        <v/>
      </c>
      <c r="T554" s="40">
        <f>IF(F554="","",IFERROR(1/(1/VLOOKUP(F554,T_Produits,3,FALSE)),""))</f>
        <v/>
      </c>
      <c r="U554" s="40">
        <f>IF(H554&lt;&gt;"",H554,T554)</f>
        <v/>
      </c>
      <c r="V554" s="40">
        <f>IF(OR(G554="",U554=""),"",G554*U554-N(I554))</f>
        <v/>
      </c>
      <c r="W554" s="39">
        <f>IF(D554="","",IFERROR(VALUE(MID(D554,LEN(D554)-3,3)),""))</f>
        <v/>
      </c>
      <c r="X554" s="33">
        <f>IF(W554="","",P554&amp;"|"&amp;W554)</f>
        <v/>
      </c>
      <c r="Y554" s="33">
        <f>IF(W554="","",IF(P554="À RENSEIGNER","GIC",P554)&amp;"-"&amp;TEXT(W554,"000"))</f>
        <v/>
      </c>
      <c r="Z554" s="33">
        <f>IF(X554="","",IFERROR(INDEX(Cl_nom,MATCH(X554,Cl_cle,0)),"(client introuvable)"))</f>
        <v/>
      </c>
      <c r="AA554" s="33">
        <f>IF(X554="","",IFERROR(INDEX(Cl_quartier,MATCH(X554,Cl_cle,0))&amp;"",""))</f>
        <v/>
      </c>
      <c r="AB554" s="45">
        <f>IF(R554&lt;&gt;"Livrée",0,IF(K554&lt;&gt;"",K554,C554))</f>
        <v/>
      </c>
      <c r="AC554" s="33">
        <f>IF(OR(C554="",W554=""),"",P554&amp;"|"&amp;W554&amp;"|"&amp;C554&amp;"|"&amp;E554)</f>
        <v/>
      </c>
      <c r="AD554" s="39">
        <f>IF(AC554="","",IF(COUNTIF(AC$6:AC554,AC554)=1,1,0))</f>
        <v/>
      </c>
      <c r="AE554" s="39">
        <f>IF(AB554=0,"",IF(COUNTIFS(X$6:X554,X554,AB$6:AB554,AB554)=1,1,0))</f>
        <v/>
      </c>
      <c r="AF554" s="34">
        <f>IF(C554="","",YEAR(C554-WEEKDAY(C554,2)+4)&amp;"-S"&amp;TEXT(INT((C554-DATE(YEAR(C554-WEEKDAY(C554,2)+4),1,3)+WEEKDAY(DATE(YEAR(C554-WEEKDAY(C554,2)+4),1,3),2)+5)/7),"00"))</f>
        <v/>
      </c>
    </row>
    <row r="555" ht="18" customHeight="1">
      <c r="A555" s="39" t="n">
        <v>550</v>
      </c>
      <c r="B555" s="33">
        <f>IF(C555="","",IF(P555="À RENSEIGNER","GIC",P555)&amp;"-C"&amp;TEXT(A555,"00000"))</f>
        <v/>
      </c>
      <c r="C555" s="32" t="n"/>
      <c r="D555" s="36" t="n"/>
      <c r="E555" s="36" t="n"/>
      <c r="F555" s="36" t="n"/>
      <c r="G555" s="42" t="n"/>
      <c r="H555" s="37" t="n"/>
      <c r="I555" s="37" t="n"/>
      <c r="J555" s="32" t="n"/>
      <c r="K555" s="32" t="n"/>
      <c r="L555" s="43" t="n"/>
      <c r="M555" s="36" t="n"/>
      <c r="N555" s="44" t="n"/>
      <c r="O555" s="36" t="n"/>
      <c r="P555" s="33">
        <f>IF(C555="","",Commercial_Id)</f>
        <v/>
      </c>
      <c r="Q555" s="34">
        <f>IF(AC555="","",IF(AD555=1,"C"&amp;TEXT(SUM(AD$6:AD555),"0000"),INDEX(Q$6:Q554,MATCH(AC555,AC$6:AC554,0))))</f>
        <v/>
      </c>
      <c r="R555" s="34">
        <f>IF(C555="","",IF(L555="☑ Oui","Annulée",IF(OR(E555="Vente directe",K555&lt;&gt;""),"Livrée",IF(J555&lt;&gt;"","Confirmée","En attente"))))</f>
        <v/>
      </c>
      <c r="S555" s="34">
        <f>IF(F555="","",IFERROR(VLOOKUP(F555,T_Produits,2,FALSE),""))</f>
        <v/>
      </c>
      <c r="T555" s="40">
        <f>IF(F555="","",IFERROR(1/(1/VLOOKUP(F555,T_Produits,3,FALSE)),""))</f>
        <v/>
      </c>
      <c r="U555" s="40">
        <f>IF(H555&lt;&gt;"",H555,T555)</f>
        <v/>
      </c>
      <c r="V555" s="40">
        <f>IF(OR(G555="",U555=""),"",G555*U555-N(I555))</f>
        <v/>
      </c>
      <c r="W555" s="39">
        <f>IF(D555="","",IFERROR(VALUE(MID(D555,LEN(D555)-3,3)),""))</f>
        <v/>
      </c>
      <c r="X555" s="33">
        <f>IF(W555="","",P555&amp;"|"&amp;W555)</f>
        <v/>
      </c>
      <c r="Y555" s="33">
        <f>IF(W555="","",IF(P555="À RENSEIGNER","GIC",P555)&amp;"-"&amp;TEXT(W555,"000"))</f>
        <v/>
      </c>
      <c r="Z555" s="33">
        <f>IF(X555="","",IFERROR(INDEX(Cl_nom,MATCH(X555,Cl_cle,0)),"(client introuvable)"))</f>
        <v/>
      </c>
      <c r="AA555" s="33">
        <f>IF(X555="","",IFERROR(INDEX(Cl_quartier,MATCH(X555,Cl_cle,0))&amp;"",""))</f>
        <v/>
      </c>
      <c r="AB555" s="45">
        <f>IF(R555&lt;&gt;"Livrée",0,IF(K555&lt;&gt;"",K555,C555))</f>
        <v/>
      </c>
      <c r="AC555" s="33">
        <f>IF(OR(C555="",W555=""),"",P555&amp;"|"&amp;W555&amp;"|"&amp;C555&amp;"|"&amp;E555)</f>
        <v/>
      </c>
      <c r="AD555" s="39">
        <f>IF(AC555="","",IF(COUNTIF(AC$6:AC555,AC555)=1,1,0))</f>
        <v/>
      </c>
      <c r="AE555" s="39">
        <f>IF(AB555=0,"",IF(COUNTIFS(X$6:X555,X555,AB$6:AB555,AB555)=1,1,0))</f>
        <v/>
      </c>
      <c r="AF555" s="34">
        <f>IF(C555="","",YEAR(C555-WEEKDAY(C555,2)+4)&amp;"-S"&amp;TEXT(INT((C555-DATE(YEAR(C555-WEEKDAY(C555,2)+4),1,3)+WEEKDAY(DATE(YEAR(C555-WEEKDAY(C555,2)+4),1,3),2)+5)/7),"00"))</f>
        <v/>
      </c>
    </row>
    <row r="556" ht="18" customHeight="1">
      <c r="A556" s="39" t="n">
        <v>551</v>
      </c>
      <c r="B556" s="33">
        <f>IF(C556="","",IF(P556="À RENSEIGNER","GIC",P556)&amp;"-C"&amp;TEXT(A556,"00000"))</f>
        <v/>
      </c>
      <c r="C556" s="32" t="n"/>
      <c r="D556" s="36" t="n"/>
      <c r="E556" s="36" t="n"/>
      <c r="F556" s="36" t="n"/>
      <c r="G556" s="42" t="n"/>
      <c r="H556" s="37" t="n"/>
      <c r="I556" s="37" t="n"/>
      <c r="J556" s="32" t="n"/>
      <c r="K556" s="32" t="n"/>
      <c r="L556" s="43" t="n"/>
      <c r="M556" s="36" t="n"/>
      <c r="N556" s="44" t="n"/>
      <c r="O556" s="36" t="n"/>
      <c r="P556" s="33">
        <f>IF(C556="","",Commercial_Id)</f>
        <v/>
      </c>
      <c r="Q556" s="34">
        <f>IF(AC556="","",IF(AD556=1,"C"&amp;TEXT(SUM(AD$6:AD556),"0000"),INDEX(Q$6:Q555,MATCH(AC556,AC$6:AC555,0))))</f>
        <v/>
      </c>
      <c r="R556" s="34">
        <f>IF(C556="","",IF(L556="☑ Oui","Annulée",IF(OR(E556="Vente directe",K556&lt;&gt;""),"Livrée",IF(J556&lt;&gt;"","Confirmée","En attente"))))</f>
        <v/>
      </c>
      <c r="S556" s="34">
        <f>IF(F556="","",IFERROR(VLOOKUP(F556,T_Produits,2,FALSE),""))</f>
        <v/>
      </c>
      <c r="T556" s="40">
        <f>IF(F556="","",IFERROR(1/(1/VLOOKUP(F556,T_Produits,3,FALSE)),""))</f>
        <v/>
      </c>
      <c r="U556" s="40">
        <f>IF(H556&lt;&gt;"",H556,T556)</f>
        <v/>
      </c>
      <c r="V556" s="40">
        <f>IF(OR(G556="",U556=""),"",G556*U556-N(I556))</f>
        <v/>
      </c>
      <c r="W556" s="39">
        <f>IF(D556="","",IFERROR(VALUE(MID(D556,LEN(D556)-3,3)),""))</f>
        <v/>
      </c>
      <c r="X556" s="33">
        <f>IF(W556="","",P556&amp;"|"&amp;W556)</f>
        <v/>
      </c>
      <c r="Y556" s="33">
        <f>IF(W556="","",IF(P556="À RENSEIGNER","GIC",P556)&amp;"-"&amp;TEXT(W556,"000"))</f>
        <v/>
      </c>
      <c r="Z556" s="33">
        <f>IF(X556="","",IFERROR(INDEX(Cl_nom,MATCH(X556,Cl_cle,0)),"(client introuvable)"))</f>
        <v/>
      </c>
      <c r="AA556" s="33">
        <f>IF(X556="","",IFERROR(INDEX(Cl_quartier,MATCH(X556,Cl_cle,0))&amp;"",""))</f>
        <v/>
      </c>
      <c r="AB556" s="45">
        <f>IF(R556&lt;&gt;"Livrée",0,IF(K556&lt;&gt;"",K556,C556))</f>
        <v/>
      </c>
      <c r="AC556" s="33">
        <f>IF(OR(C556="",W556=""),"",P556&amp;"|"&amp;W556&amp;"|"&amp;C556&amp;"|"&amp;E556)</f>
        <v/>
      </c>
      <c r="AD556" s="39">
        <f>IF(AC556="","",IF(COUNTIF(AC$6:AC556,AC556)=1,1,0))</f>
        <v/>
      </c>
      <c r="AE556" s="39">
        <f>IF(AB556=0,"",IF(COUNTIFS(X$6:X556,X556,AB$6:AB556,AB556)=1,1,0))</f>
        <v/>
      </c>
      <c r="AF556" s="34">
        <f>IF(C556="","",YEAR(C556-WEEKDAY(C556,2)+4)&amp;"-S"&amp;TEXT(INT((C556-DATE(YEAR(C556-WEEKDAY(C556,2)+4),1,3)+WEEKDAY(DATE(YEAR(C556-WEEKDAY(C556,2)+4),1,3),2)+5)/7),"00"))</f>
        <v/>
      </c>
    </row>
    <row r="557" ht="18" customHeight="1">
      <c r="A557" s="39" t="n">
        <v>552</v>
      </c>
      <c r="B557" s="33">
        <f>IF(C557="","",IF(P557="À RENSEIGNER","GIC",P557)&amp;"-C"&amp;TEXT(A557,"00000"))</f>
        <v/>
      </c>
      <c r="C557" s="32" t="n"/>
      <c r="D557" s="36" t="n"/>
      <c r="E557" s="36" t="n"/>
      <c r="F557" s="36" t="n"/>
      <c r="G557" s="42" t="n"/>
      <c r="H557" s="37" t="n"/>
      <c r="I557" s="37" t="n"/>
      <c r="J557" s="32" t="n"/>
      <c r="K557" s="32" t="n"/>
      <c r="L557" s="43" t="n"/>
      <c r="M557" s="36" t="n"/>
      <c r="N557" s="44" t="n"/>
      <c r="O557" s="36" t="n"/>
      <c r="P557" s="33">
        <f>IF(C557="","",Commercial_Id)</f>
        <v/>
      </c>
      <c r="Q557" s="34">
        <f>IF(AC557="","",IF(AD557=1,"C"&amp;TEXT(SUM(AD$6:AD557),"0000"),INDEX(Q$6:Q556,MATCH(AC557,AC$6:AC556,0))))</f>
        <v/>
      </c>
      <c r="R557" s="34">
        <f>IF(C557="","",IF(L557="☑ Oui","Annulée",IF(OR(E557="Vente directe",K557&lt;&gt;""),"Livrée",IF(J557&lt;&gt;"","Confirmée","En attente"))))</f>
        <v/>
      </c>
      <c r="S557" s="34">
        <f>IF(F557="","",IFERROR(VLOOKUP(F557,T_Produits,2,FALSE),""))</f>
        <v/>
      </c>
      <c r="T557" s="40">
        <f>IF(F557="","",IFERROR(1/(1/VLOOKUP(F557,T_Produits,3,FALSE)),""))</f>
        <v/>
      </c>
      <c r="U557" s="40">
        <f>IF(H557&lt;&gt;"",H557,T557)</f>
        <v/>
      </c>
      <c r="V557" s="40">
        <f>IF(OR(G557="",U557=""),"",G557*U557-N(I557))</f>
        <v/>
      </c>
      <c r="W557" s="39">
        <f>IF(D557="","",IFERROR(VALUE(MID(D557,LEN(D557)-3,3)),""))</f>
        <v/>
      </c>
      <c r="X557" s="33">
        <f>IF(W557="","",P557&amp;"|"&amp;W557)</f>
        <v/>
      </c>
      <c r="Y557" s="33">
        <f>IF(W557="","",IF(P557="À RENSEIGNER","GIC",P557)&amp;"-"&amp;TEXT(W557,"000"))</f>
        <v/>
      </c>
      <c r="Z557" s="33">
        <f>IF(X557="","",IFERROR(INDEX(Cl_nom,MATCH(X557,Cl_cle,0)),"(client introuvable)"))</f>
        <v/>
      </c>
      <c r="AA557" s="33">
        <f>IF(X557="","",IFERROR(INDEX(Cl_quartier,MATCH(X557,Cl_cle,0))&amp;"",""))</f>
        <v/>
      </c>
      <c r="AB557" s="45">
        <f>IF(R557&lt;&gt;"Livrée",0,IF(K557&lt;&gt;"",K557,C557))</f>
        <v/>
      </c>
      <c r="AC557" s="33">
        <f>IF(OR(C557="",W557=""),"",P557&amp;"|"&amp;W557&amp;"|"&amp;C557&amp;"|"&amp;E557)</f>
        <v/>
      </c>
      <c r="AD557" s="39">
        <f>IF(AC557="","",IF(COUNTIF(AC$6:AC557,AC557)=1,1,0))</f>
        <v/>
      </c>
      <c r="AE557" s="39">
        <f>IF(AB557=0,"",IF(COUNTIFS(X$6:X557,X557,AB$6:AB557,AB557)=1,1,0))</f>
        <v/>
      </c>
      <c r="AF557" s="34">
        <f>IF(C557="","",YEAR(C557-WEEKDAY(C557,2)+4)&amp;"-S"&amp;TEXT(INT((C557-DATE(YEAR(C557-WEEKDAY(C557,2)+4),1,3)+WEEKDAY(DATE(YEAR(C557-WEEKDAY(C557,2)+4),1,3),2)+5)/7),"00"))</f>
        <v/>
      </c>
    </row>
    <row r="558" ht="18" customHeight="1">
      <c r="A558" s="39" t="n">
        <v>553</v>
      </c>
      <c r="B558" s="33">
        <f>IF(C558="","",IF(P558="À RENSEIGNER","GIC",P558)&amp;"-C"&amp;TEXT(A558,"00000"))</f>
        <v/>
      </c>
      <c r="C558" s="32" t="n"/>
      <c r="D558" s="36" t="n"/>
      <c r="E558" s="36" t="n"/>
      <c r="F558" s="36" t="n"/>
      <c r="G558" s="42" t="n"/>
      <c r="H558" s="37" t="n"/>
      <c r="I558" s="37" t="n"/>
      <c r="J558" s="32" t="n"/>
      <c r="K558" s="32" t="n"/>
      <c r="L558" s="43" t="n"/>
      <c r="M558" s="36" t="n"/>
      <c r="N558" s="44" t="n"/>
      <c r="O558" s="36" t="n"/>
      <c r="P558" s="33">
        <f>IF(C558="","",Commercial_Id)</f>
        <v/>
      </c>
      <c r="Q558" s="34">
        <f>IF(AC558="","",IF(AD558=1,"C"&amp;TEXT(SUM(AD$6:AD558),"0000"),INDEX(Q$6:Q557,MATCH(AC558,AC$6:AC557,0))))</f>
        <v/>
      </c>
      <c r="R558" s="34">
        <f>IF(C558="","",IF(L558="☑ Oui","Annulée",IF(OR(E558="Vente directe",K558&lt;&gt;""),"Livrée",IF(J558&lt;&gt;"","Confirmée","En attente"))))</f>
        <v/>
      </c>
      <c r="S558" s="34">
        <f>IF(F558="","",IFERROR(VLOOKUP(F558,T_Produits,2,FALSE),""))</f>
        <v/>
      </c>
      <c r="T558" s="40">
        <f>IF(F558="","",IFERROR(1/(1/VLOOKUP(F558,T_Produits,3,FALSE)),""))</f>
        <v/>
      </c>
      <c r="U558" s="40">
        <f>IF(H558&lt;&gt;"",H558,T558)</f>
        <v/>
      </c>
      <c r="V558" s="40">
        <f>IF(OR(G558="",U558=""),"",G558*U558-N(I558))</f>
        <v/>
      </c>
      <c r="W558" s="39">
        <f>IF(D558="","",IFERROR(VALUE(MID(D558,LEN(D558)-3,3)),""))</f>
        <v/>
      </c>
      <c r="X558" s="33">
        <f>IF(W558="","",P558&amp;"|"&amp;W558)</f>
        <v/>
      </c>
      <c r="Y558" s="33">
        <f>IF(W558="","",IF(P558="À RENSEIGNER","GIC",P558)&amp;"-"&amp;TEXT(W558,"000"))</f>
        <v/>
      </c>
      <c r="Z558" s="33">
        <f>IF(X558="","",IFERROR(INDEX(Cl_nom,MATCH(X558,Cl_cle,0)),"(client introuvable)"))</f>
        <v/>
      </c>
      <c r="AA558" s="33">
        <f>IF(X558="","",IFERROR(INDEX(Cl_quartier,MATCH(X558,Cl_cle,0))&amp;"",""))</f>
        <v/>
      </c>
      <c r="AB558" s="45">
        <f>IF(R558&lt;&gt;"Livrée",0,IF(K558&lt;&gt;"",K558,C558))</f>
        <v/>
      </c>
      <c r="AC558" s="33">
        <f>IF(OR(C558="",W558=""),"",P558&amp;"|"&amp;W558&amp;"|"&amp;C558&amp;"|"&amp;E558)</f>
        <v/>
      </c>
      <c r="AD558" s="39">
        <f>IF(AC558="","",IF(COUNTIF(AC$6:AC558,AC558)=1,1,0))</f>
        <v/>
      </c>
      <c r="AE558" s="39">
        <f>IF(AB558=0,"",IF(COUNTIFS(X$6:X558,X558,AB$6:AB558,AB558)=1,1,0))</f>
        <v/>
      </c>
      <c r="AF558" s="34">
        <f>IF(C558="","",YEAR(C558-WEEKDAY(C558,2)+4)&amp;"-S"&amp;TEXT(INT((C558-DATE(YEAR(C558-WEEKDAY(C558,2)+4),1,3)+WEEKDAY(DATE(YEAR(C558-WEEKDAY(C558,2)+4),1,3),2)+5)/7),"00"))</f>
        <v/>
      </c>
    </row>
    <row r="559" ht="18" customHeight="1">
      <c r="A559" s="39" t="n">
        <v>554</v>
      </c>
      <c r="B559" s="33">
        <f>IF(C559="","",IF(P559="À RENSEIGNER","GIC",P559)&amp;"-C"&amp;TEXT(A559,"00000"))</f>
        <v/>
      </c>
      <c r="C559" s="32" t="n"/>
      <c r="D559" s="36" t="n"/>
      <c r="E559" s="36" t="n"/>
      <c r="F559" s="36" t="n"/>
      <c r="G559" s="42" t="n"/>
      <c r="H559" s="37" t="n"/>
      <c r="I559" s="37" t="n"/>
      <c r="J559" s="32" t="n"/>
      <c r="K559" s="32" t="n"/>
      <c r="L559" s="43" t="n"/>
      <c r="M559" s="36" t="n"/>
      <c r="N559" s="44" t="n"/>
      <c r="O559" s="36" t="n"/>
      <c r="P559" s="33">
        <f>IF(C559="","",Commercial_Id)</f>
        <v/>
      </c>
      <c r="Q559" s="34">
        <f>IF(AC559="","",IF(AD559=1,"C"&amp;TEXT(SUM(AD$6:AD559),"0000"),INDEX(Q$6:Q558,MATCH(AC559,AC$6:AC558,0))))</f>
        <v/>
      </c>
      <c r="R559" s="34">
        <f>IF(C559="","",IF(L559="☑ Oui","Annulée",IF(OR(E559="Vente directe",K559&lt;&gt;""),"Livrée",IF(J559&lt;&gt;"","Confirmée","En attente"))))</f>
        <v/>
      </c>
      <c r="S559" s="34">
        <f>IF(F559="","",IFERROR(VLOOKUP(F559,T_Produits,2,FALSE),""))</f>
        <v/>
      </c>
      <c r="T559" s="40">
        <f>IF(F559="","",IFERROR(1/(1/VLOOKUP(F559,T_Produits,3,FALSE)),""))</f>
        <v/>
      </c>
      <c r="U559" s="40">
        <f>IF(H559&lt;&gt;"",H559,T559)</f>
        <v/>
      </c>
      <c r="V559" s="40">
        <f>IF(OR(G559="",U559=""),"",G559*U559-N(I559))</f>
        <v/>
      </c>
      <c r="W559" s="39">
        <f>IF(D559="","",IFERROR(VALUE(MID(D559,LEN(D559)-3,3)),""))</f>
        <v/>
      </c>
      <c r="X559" s="33">
        <f>IF(W559="","",P559&amp;"|"&amp;W559)</f>
        <v/>
      </c>
      <c r="Y559" s="33">
        <f>IF(W559="","",IF(P559="À RENSEIGNER","GIC",P559)&amp;"-"&amp;TEXT(W559,"000"))</f>
        <v/>
      </c>
      <c r="Z559" s="33">
        <f>IF(X559="","",IFERROR(INDEX(Cl_nom,MATCH(X559,Cl_cle,0)),"(client introuvable)"))</f>
        <v/>
      </c>
      <c r="AA559" s="33">
        <f>IF(X559="","",IFERROR(INDEX(Cl_quartier,MATCH(X559,Cl_cle,0))&amp;"",""))</f>
        <v/>
      </c>
      <c r="AB559" s="45">
        <f>IF(R559&lt;&gt;"Livrée",0,IF(K559&lt;&gt;"",K559,C559))</f>
        <v/>
      </c>
      <c r="AC559" s="33">
        <f>IF(OR(C559="",W559=""),"",P559&amp;"|"&amp;W559&amp;"|"&amp;C559&amp;"|"&amp;E559)</f>
        <v/>
      </c>
      <c r="AD559" s="39">
        <f>IF(AC559="","",IF(COUNTIF(AC$6:AC559,AC559)=1,1,0))</f>
        <v/>
      </c>
      <c r="AE559" s="39">
        <f>IF(AB559=0,"",IF(COUNTIFS(X$6:X559,X559,AB$6:AB559,AB559)=1,1,0))</f>
        <v/>
      </c>
      <c r="AF559" s="34">
        <f>IF(C559="","",YEAR(C559-WEEKDAY(C559,2)+4)&amp;"-S"&amp;TEXT(INT((C559-DATE(YEAR(C559-WEEKDAY(C559,2)+4),1,3)+WEEKDAY(DATE(YEAR(C559-WEEKDAY(C559,2)+4),1,3),2)+5)/7),"00"))</f>
        <v/>
      </c>
    </row>
    <row r="560" ht="18" customHeight="1">
      <c r="A560" s="39" t="n">
        <v>555</v>
      </c>
      <c r="B560" s="33">
        <f>IF(C560="","",IF(P560="À RENSEIGNER","GIC",P560)&amp;"-C"&amp;TEXT(A560,"00000"))</f>
        <v/>
      </c>
      <c r="C560" s="32" t="n"/>
      <c r="D560" s="36" t="n"/>
      <c r="E560" s="36" t="n"/>
      <c r="F560" s="36" t="n"/>
      <c r="G560" s="42" t="n"/>
      <c r="H560" s="37" t="n"/>
      <c r="I560" s="37" t="n"/>
      <c r="J560" s="32" t="n"/>
      <c r="K560" s="32" t="n"/>
      <c r="L560" s="43" t="n"/>
      <c r="M560" s="36" t="n"/>
      <c r="N560" s="44" t="n"/>
      <c r="O560" s="36" t="n"/>
      <c r="P560" s="33">
        <f>IF(C560="","",Commercial_Id)</f>
        <v/>
      </c>
      <c r="Q560" s="34">
        <f>IF(AC560="","",IF(AD560=1,"C"&amp;TEXT(SUM(AD$6:AD560),"0000"),INDEX(Q$6:Q559,MATCH(AC560,AC$6:AC559,0))))</f>
        <v/>
      </c>
      <c r="R560" s="34">
        <f>IF(C560="","",IF(L560="☑ Oui","Annulée",IF(OR(E560="Vente directe",K560&lt;&gt;""),"Livrée",IF(J560&lt;&gt;"","Confirmée","En attente"))))</f>
        <v/>
      </c>
      <c r="S560" s="34">
        <f>IF(F560="","",IFERROR(VLOOKUP(F560,T_Produits,2,FALSE),""))</f>
        <v/>
      </c>
      <c r="T560" s="40">
        <f>IF(F560="","",IFERROR(1/(1/VLOOKUP(F560,T_Produits,3,FALSE)),""))</f>
        <v/>
      </c>
      <c r="U560" s="40">
        <f>IF(H560&lt;&gt;"",H560,T560)</f>
        <v/>
      </c>
      <c r="V560" s="40">
        <f>IF(OR(G560="",U560=""),"",G560*U560-N(I560))</f>
        <v/>
      </c>
      <c r="W560" s="39">
        <f>IF(D560="","",IFERROR(VALUE(MID(D560,LEN(D560)-3,3)),""))</f>
        <v/>
      </c>
      <c r="X560" s="33">
        <f>IF(W560="","",P560&amp;"|"&amp;W560)</f>
        <v/>
      </c>
      <c r="Y560" s="33">
        <f>IF(W560="","",IF(P560="À RENSEIGNER","GIC",P560)&amp;"-"&amp;TEXT(W560,"000"))</f>
        <v/>
      </c>
      <c r="Z560" s="33">
        <f>IF(X560="","",IFERROR(INDEX(Cl_nom,MATCH(X560,Cl_cle,0)),"(client introuvable)"))</f>
        <v/>
      </c>
      <c r="AA560" s="33">
        <f>IF(X560="","",IFERROR(INDEX(Cl_quartier,MATCH(X560,Cl_cle,0))&amp;"",""))</f>
        <v/>
      </c>
      <c r="AB560" s="45">
        <f>IF(R560&lt;&gt;"Livrée",0,IF(K560&lt;&gt;"",K560,C560))</f>
        <v/>
      </c>
      <c r="AC560" s="33">
        <f>IF(OR(C560="",W560=""),"",P560&amp;"|"&amp;W560&amp;"|"&amp;C560&amp;"|"&amp;E560)</f>
        <v/>
      </c>
      <c r="AD560" s="39">
        <f>IF(AC560="","",IF(COUNTIF(AC$6:AC560,AC560)=1,1,0))</f>
        <v/>
      </c>
      <c r="AE560" s="39">
        <f>IF(AB560=0,"",IF(COUNTIFS(X$6:X560,X560,AB$6:AB560,AB560)=1,1,0))</f>
        <v/>
      </c>
      <c r="AF560" s="34">
        <f>IF(C560="","",YEAR(C560-WEEKDAY(C560,2)+4)&amp;"-S"&amp;TEXT(INT((C560-DATE(YEAR(C560-WEEKDAY(C560,2)+4),1,3)+WEEKDAY(DATE(YEAR(C560-WEEKDAY(C560,2)+4),1,3),2)+5)/7),"00"))</f>
        <v/>
      </c>
    </row>
    <row r="561" ht="18" customHeight="1">
      <c r="A561" s="39" t="n">
        <v>556</v>
      </c>
      <c r="B561" s="33">
        <f>IF(C561="","",IF(P561="À RENSEIGNER","GIC",P561)&amp;"-C"&amp;TEXT(A561,"00000"))</f>
        <v/>
      </c>
      <c r="C561" s="32" t="n"/>
      <c r="D561" s="36" t="n"/>
      <c r="E561" s="36" t="n"/>
      <c r="F561" s="36" t="n"/>
      <c r="G561" s="42" t="n"/>
      <c r="H561" s="37" t="n"/>
      <c r="I561" s="37" t="n"/>
      <c r="J561" s="32" t="n"/>
      <c r="K561" s="32" t="n"/>
      <c r="L561" s="43" t="n"/>
      <c r="M561" s="36" t="n"/>
      <c r="N561" s="44" t="n"/>
      <c r="O561" s="36" t="n"/>
      <c r="P561" s="33">
        <f>IF(C561="","",Commercial_Id)</f>
        <v/>
      </c>
      <c r="Q561" s="34">
        <f>IF(AC561="","",IF(AD561=1,"C"&amp;TEXT(SUM(AD$6:AD561),"0000"),INDEX(Q$6:Q560,MATCH(AC561,AC$6:AC560,0))))</f>
        <v/>
      </c>
      <c r="R561" s="34">
        <f>IF(C561="","",IF(L561="☑ Oui","Annulée",IF(OR(E561="Vente directe",K561&lt;&gt;""),"Livrée",IF(J561&lt;&gt;"","Confirmée","En attente"))))</f>
        <v/>
      </c>
      <c r="S561" s="34">
        <f>IF(F561="","",IFERROR(VLOOKUP(F561,T_Produits,2,FALSE),""))</f>
        <v/>
      </c>
      <c r="T561" s="40">
        <f>IF(F561="","",IFERROR(1/(1/VLOOKUP(F561,T_Produits,3,FALSE)),""))</f>
        <v/>
      </c>
      <c r="U561" s="40">
        <f>IF(H561&lt;&gt;"",H561,T561)</f>
        <v/>
      </c>
      <c r="V561" s="40">
        <f>IF(OR(G561="",U561=""),"",G561*U561-N(I561))</f>
        <v/>
      </c>
      <c r="W561" s="39">
        <f>IF(D561="","",IFERROR(VALUE(MID(D561,LEN(D561)-3,3)),""))</f>
        <v/>
      </c>
      <c r="X561" s="33">
        <f>IF(W561="","",P561&amp;"|"&amp;W561)</f>
        <v/>
      </c>
      <c r="Y561" s="33">
        <f>IF(W561="","",IF(P561="À RENSEIGNER","GIC",P561)&amp;"-"&amp;TEXT(W561,"000"))</f>
        <v/>
      </c>
      <c r="Z561" s="33">
        <f>IF(X561="","",IFERROR(INDEX(Cl_nom,MATCH(X561,Cl_cle,0)),"(client introuvable)"))</f>
        <v/>
      </c>
      <c r="AA561" s="33">
        <f>IF(X561="","",IFERROR(INDEX(Cl_quartier,MATCH(X561,Cl_cle,0))&amp;"",""))</f>
        <v/>
      </c>
      <c r="AB561" s="45">
        <f>IF(R561&lt;&gt;"Livrée",0,IF(K561&lt;&gt;"",K561,C561))</f>
        <v/>
      </c>
      <c r="AC561" s="33">
        <f>IF(OR(C561="",W561=""),"",P561&amp;"|"&amp;W561&amp;"|"&amp;C561&amp;"|"&amp;E561)</f>
        <v/>
      </c>
      <c r="AD561" s="39">
        <f>IF(AC561="","",IF(COUNTIF(AC$6:AC561,AC561)=1,1,0))</f>
        <v/>
      </c>
      <c r="AE561" s="39">
        <f>IF(AB561=0,"",IF(COUNTIFS(X$6:X561,X561,AB$6:AB561,AB561)=1,1,0))</f>
        <v/>
      </c>
      <c r="AF561" s="34">
        <f>IF(C561="","",YEAR(C561-WEEKDAY(C561,2)+4)&amp;"-S"&amp;TEXT(INT((C561-DATE(YEAR(C561-WEEKDAY(C561,2)+4),1,3)+WEEKDAY(DATE(YEAR(C561-WEEKDAY(C561,2)+4),1,3),2)+5)/7),"00"))</f>
        <v/>
      </c>
    </row>
    <row r="562" ht="18" customHeight="1">
      <c r="A562" s="39" t="n">
        <v>557</v>
      </c>
      <c r="B562" s="33">
        <f>IF(C562="","",IF(P562="À RENSEIGNER","GIC",P562)&amp;"-C"&amp;TEXT(A562,"00000"))</f>
        <v/>
      </c>
      <c r="C562" s="32" t="n"/>
      <c r="D562" s="36" t="n"/>
      <c r="E562" s="36" t="n"/>
      <c r="F562" s="36" t="n"/>
      <c r="G562" s="42" t="n"/>
      <c r="H562" s="37" t="n"/>
      <c r="I562" s="37" t="n"/>
      <c r="J562" s="32" t="n"/>
      <c r="K562" s="32" t="n"/>
      <c r="L562" s="43" t="n"/>
      <c r="M562" s="36" t="n"/>
      <c r="N562" s="44" t="n"/>
      <c r="O562" s="36" t="n"/>
      <c r="P562" s="33">
        <f>IF(C562="","",Commercial_Id)</f>
        <v/>
      </c>
      <c r="Q562" s="34">
        <f>IF(AC562="","",IF(AD562=1,"C"&amp;TEXT(SUM(AD$6:AD562),"0000"),INDEX(Q$6:Q561,MATCH(AC562,AC$6:AC561,0))))</f>
        <v/>
      </c>
      <c r="R562" s="34">
        <f>IF(C562="","",IF(L562="☑ Oui","Annulée",IF(OR(E562="Vente directe",K562&lt;&gt;""),"Livrée",IF(J562&lt;&gt;"","Confirmée","En attente"))))</f>
        <v/>
      </c>
      <c r="S562" s="34">
        <f>IF(F562="","",IFERROR(VLOOKUP(F562,T_Produits,2,FALSE),""))</f>
        <v/>
      </c>
      <c r="T562" s="40">
        <f>IF(F562="","",IFERROR(1/(1/VLOOKUP(F562,T_Produits,3,FALSE)),""))</f>
        <v/>
      </c>
      <c r="U562" s="40">
        <f>IF(H562&lt;&gt;"",H562,T562)</f>
        <v/>
      </c>
      <c r="V562" s="40">
        <f>IF(OR(G562="",U562=""),"",G562*U562-N(I562))</f>
        <v/>
      </c>
      <c r="W562" s="39">
        <f>IF(D562="","",IFERROR(VALUE(MID(D562,LEN(D562)-3,3)),""))</f>
        <v/>
      </c>
      <c r="X562" s="33">
        <f>IF(W562="","",P562&amp;"|"&amp;W562)</f>
        <v/>
      </c>
      <c r="Y562" s="33">
        <f>IF(W562="","",IF(P562="À RENSEIGNER","GIC",P562)&amp;"-"&amp;TEXT(W562,"000"))</f>
        <v/>
      </c>
      <c r="Z562" s="33">
        <f>IF(X562="","",IFERROR(INDEX(Cl_nom,MATCH(X562,Cl_cle,0)),"(client introuvable)"))</f>
        <v/>
      </c>
      <c r="AA562" s="33">
        <f>IF(X562="","",IFERROR(INDEX(Cl_quartier,MATCH(X562,Cl_cle,0))&amp;"",""))</f>
        <v/>
      </c>
      <c r="AB562" s="45">
        <f>IF(R562&lt;&gt;"Livrée",0,IF(K562&lt;&gt;"",K562,C562))</f>
        <v/>
      </c>
      <c r="AC562" s="33">
        <f>IF(OR(C562="",W562=""),"",P562&amp;"|"&amp;W562&amp;"|"&amp;C562&amp;"|"&amp;E562)</f>
        <v/>
      </c>
      <c r="AD562" s="39">
        <f>IF(AC562="","",IF(COUNTIF(AC$6:AC562,AC562)=1,1,0))</f>
        <v/>
      </c>
      <c r="AE562" s="39">
        <f>IF(AB562=0,"",IF(COUNTIFS(X$6:X562,X562,AB$6:AB562,AB562)=1,1,0))</f>
        <v/>
      </c>
      <c r="AF562" s="34">
        <f>IF(C562="","",YEAR(C562-WEEKDAY(C562,2)+4)&amp;"-S"&amp;TEXT(INT((C562-DATE(YEAR(C562-WEEKDAY(C562,2)+4),1,3)+WEEKDAY(DATE(YEAR(C562-WEEKDAY(C562,2)+4),1,3),2)+5)/7),"00"))</f>
        <v/>
      </c>
    </row>
    <row r="563" ht="18" customHeight="1">
      <c r="A563" s="39" t="n">
        <v>558</v>
      </c>
      <c r="B563" s="33">
        <f>IF(C563="","",IF(P563="À RENSEIGNER","GIC",P563)&amp;"-C"&amp;TEXT(A563,"00000"))</f>
        <v/>
      </c>
      <c r="C563" s="32" t="n"/>
      <c r="D563" s="36" t="n"/>
      <c r="E563" s="36" t="n"/>
      <c r="F563" s="36" t="n"/>
      <c r="G563" s="42" t="n"/>
      <c r="H563" s="37" t="n"/>
      <c r="I563" s="37" t="n"/>
      <c r="J563" s="32" t="n"/>
      <c r="K563" s="32" t="n"/>
      <c r="L563" s="43" t="n"/>
      <c r="M563" s="36" t="n"/>
      <c r="N563" s="44" t="n"/>
      <c r="O563" s="36" t="n"/>
      <c r="P563" s="33">
        <f>IF(C563="","",Commercial_Id)</f>
        <v/>
      </c>
      <c r="Q563" s="34">
        <f>IF(AC563="","",IF(AD563=1,"C"&amp;TEXT(SUM(AD$6:AD563),"0000"),INDEX(Q$6:Q562,MATCH(AC563,AC$6:AC562,0))))</f>
        <v/>
      </c>
      <c r="R563" s="34">
        <f>IF(C563="","",IF(L563="☑ Oui","Annulée",IF(OR(E563="Vente directe",K563&lt;&gt;""),"Livrée",IF(J563&lt;&gt;"","Confirmée","En attente"))))</f>
        <v/>
      </c>
      <c r="S563" s="34">
        <f>IF(F563="","",IFERROR(VLOOKUP(F563,T_Produits,2,FALSE),""))</f>
        <v/>
      </c>
      <c r="T563" s="40">
        <f>IF(F563="","",IFERROR(1/(1/VLOOKUP(F563,T_Produits,3,FALSE)),""))</f>
        <v/>
      </c>
      <c r="U563" s="40">
        <f>IF(H563&lt;&gt;"",H563,T563)</f>
        <v/>
      </c>
      <c r="V563" s="40">
        <f>IF(OR(G563="",U563=""),"",G563*U563-N(I563))</f>
        <v/>
      </c>
      <c r="W563" s="39">
        <f>IF(D563="","",IFERROR(VALUE(MID(D563,LEN(D563)-3,3)),""))</f>
        <v/>
      </c>
      <c r="X563" s="33">
        <f>IF(W563="","",P563&amp;"|"&amp;W563)</f>
        <v/>
      </c>
      <c r="Y563" s="33">
        <f>IF(W563="","",IF(P563="À RENSEIGNER","GIC",P563)&amp;"-"&amp;TEXT(W563,"000"))</f>
        <v/>
      </c>
      <c r="Z563" s="33">
        <f>IF(X563="","",IFERROR(INDEX(Cl_nom,MATCH(X563,Cl_cle,0)),"(client introuvable)"))</f>
        <v/>
      </c>
      <c r="AA563" s="33">
        <f>IF(X563="","",IFERROR(INDEX(Cl_quartier,MATCH(X563,Cl_cle,0))&amp;"",""))</f>
        <v/>
      </c>
      <c r="AB563" s="45">
        <f>IF(R563&lt;&gt;"Livrée",0,IF(K563&lt;&gt;"",K563,C563))</f>
        <v/>
      </c>
      <c r="AC563" s="33">
        <f>IF(OR(C563="",W563=""),"",P563&amp;"|"&amp;W563&amp;"|"&amp;C563&amp;"|"&amp;E563)</f>
        <v/>
      </c>
      <c r="AD563" s="39">
        <f>IF(AC563="","",IF(COUNTIF(AC$6:AC563,AC563)=1,1,0))</f>
        <v/>
      </c>
      <c r="AE563" s="39">
        <f>IF(AB563=0,"",IF(COUNTIFS(X$6:X563,X563,AB$6:AB563,AB563)=1,1,0))</f>
        <v/>
      </c>
      <c r="AF563" s="34">
        <f>IF(C563="","",YEAR(C563-WEEKDAY(C563,2)+4)&amp;"-S"&amp;TEXT(INT((C563-DATE(YEAR(C563-WEEKDAY(C563,2)+4),1,3)+WEEKDAY(DATE(YEAR(C563-WEEKDAY(C563,2)+4),1,3),2)+5)/7),"00"))</f>
        <v/>
      </c>
    </row>
    <row r="564" ht="18" customHeight="1">
      <c r="A564" s="39" t="n">
        <v>559</v>
      </c>
      <c r="B564" s="33">
        <f>IF(C564="","",IF(P564="À RENSEIGNER","GIC",P564)&amp;"-C"&amp;TEXT(A564,"00000"))</f>
        <v/>
      </c>
      <c r="C564" s="32" t="n"/>
      <c r="D564" s="36" t="n"/>
      <c r="E564" s="36" t="n"/>
      <c r="F564" s="36" t="n"/>
      <c r="G564" s="42" t="n"/>
      <c r="H564" s="37" t="n"/>
      <c r="I564" s="37" t="n"/>
      <c r="J564" s="32" t="n"/>
      <c r="K564" s="32" t="n"/>
      <c r="L564" s="43" t="n"/>
      <c r="M564" s="36" t="n"/>
      <c r="N564" s="44" t="n"/>
      <c r="O564" s="36" t="n"/>
      <c r="P564" s="33">
        <f>IF(C564="","",Commercial_Id)</f>
        <v/>
      </c>
      <c r="Q564" s="34">
        <f>IF(AC564="","",IF(AD564=1,"C"&amp;TEXT(SUM(AD$6:AD564),"0000"),INDEX(Q$6:Q563,MATCH(AC564,AC$6:AC563,0))))</f>
        <v/>
      </c>
      <c r="R564" s="34">
        <f>IF(C564="","",IF(L564="☑ Oui","Annulée",IF(OR(E564="Vente directe",K564&lt;&gt;""),"Livrée",IF(J564&lt;&gt;"","Confirmée","En attente"))))</f>
        <v/>
      </c>
      <c r="S564" s="34">
        <f>IF(F564="","",IFERROR(VLOOKUP(F564,T_Produits,2,FALSE),""))</f>
        <v/>
      </c>
      <c r="T564" s="40">
        <f>IF(F564="","",IFERROR(1/(1/VLOOKUP(F564,T_Produits,3,FALSE)),""))</f>
        <v/>
      </c>
      <c r="U564" s="40">
        <f>IF(H564&lt;&gt;"",H564,T564)</f>
        <v/>
      </c>
      <c r="V564" s="40">
        <f>IF(OR(G564="",U564=""),"",G564*U564-N(I564))</f>
        <v/>
      </c>
      <c r="W564" s="39">
        <f>IF(D564="","",IFERROR(VALUE(MID(D564,LEN(D564)-3,3)),""))</f>
        <v/>
      </c>
      <c r="X564" s="33">
        <f>IF(W564="","",P564&amp;"|"&amp;W564)</f>
        <v/>
      </c>
      <c r="Y564" s="33">
        <f>IF(W564="","",IF(P564="À RENSEIGNER","GIC",P564)&amp;"-"&amp;TEXT(W564,"000"))</f>
        <v/>
      </c>
      <c r="Z564" s="33">
        <f>IF(X564="","",IFERROR(INDEX(Cl_nom,MATCH(X564,Cl_cle,0)),"(client introuvable)"))</f>
        <v/>
      </c>
      <c r="AA564" s="33">
        <f>IF(X564="","",IFERROR(INDEX(Cl_quartier,MATCH(X564,Cl_cle,0))&amp;"",""))</f>
        <v/>
      </c>
      <c r="AB564" s="45">
        <f>IF(R564&lt;&gt;"Livrée",0,IF(K564&lt;&gt;"",K564,C564))</f>
        <v/>
      </c>
      <c r="AC564" s="33">
        <f>IF(OR(C564="",W564=""),"",P564&amp;"|"&amp;W564&amp;"|"&amp;C564&amp;"|"&amp;E564)</f>
        <v/>
      </c>
      <c r="AD564" s="39">
        <f>IF(AC564="","",IF(COUNTIF(AC$6:AC564,AC564)=1,1,0))</f>
        <v/>
      </c>
      <c r="AE564" s="39">
        <f>IF(AB564=0,"",IF(COUNTIFS(X$6:X564,X564,AB$6:AB564,AB564)=1,1,0))</f>
        <v/>
      </c>
      <c r="AF564" s="34">
        <f>IF(C564="","",YEAR(C564-WEEKDAY(C564,2)+4)&amp;"-S"&amp;TEXT(INT((C564-DATE(YEAR(C564-WEEKDAY(C564,2)+4),1,3)+WEEKDAY(DATE(YEAR(C564-WEEKDAY(C564,2)+4),1,3),2)+5)/7),"00"))</f>
        <v/>
      </c>
    </row>
    <row r="565" ht="18" customHeight="1">
      <c r="A565" s="39" t="n">
        <v>560</v>
      </c>
      <c r="B565" s="33">
        <f>IF(C565="","",IF(P565="À RENSEIGNER","GIC",P565)&amp;"-C"&amp;TEXT(A565,"00000"))</f>
        <v/>
      </c>
      <c r="C565" s="32" t="n"/>
      <c r="D565" s="36" t="n"/>
      <c r="E565" s="36" t="n"/>
      <c r="F565" s="36" t="n"/>
      <c r="G565" s="42" t="n"/>
      <c r="H565" s="37" t="n"/>
      <c r="I565" s="37" t="n"/>
      <c r="J565" s="32" t="n"/>
      <c r="K565" s="32" t="n"/>
      <c r="L565" s="43" t="n"/>
      <c r="M565" s="36" t="n"/>
      <c r="N565" s="44" t="n"/>
      <c r="O565" s="36" t="n"/>
      <c r="P565" s="33">
        <f>IF(C565="","",Commercial_Id)</f>
        <v/>
      </c>
      <c r="Q565" s="34">
        <f>IF(AC565="","",IF(AD565=1,"C"&amp;TEXT(SUM(AD$6:AD565),"0000"),INDEX(Q$6:Q564,MATCH(AC565,AC$6:AC564,0))))</f>
        <v/>
      </c>
      <c r="R565" s="34">
        <f>IF(C565="","",IF(L565="☑ Oui","Annulée",IF(OR(E565="Vente directe",K565&lt;&gt;""),"Livrée",IF(J565&lt;&gt;"","Confirmée","En attente"))))</f>
        <v/>
      </c>
      <c r="S565" s="34">
        <f>IF(F565="","",IFERROR(VLOOKUP(F565,T_Produits,2,FALSE),""))</f>
        <v/>
      </c>
      <c r="T565" s="40">
        <f>IF(F565="","",IFERROR(1/(1/VLOOKUP(F565,T_Produits,3,FALSE)),""))</f>
        <v/>
      </c>
      <c r="U565" s="40">
        <f>IF(H565&lt;&gt;"",H565,T565)</f>
        <v/>
      </c>
      <c r="V565" s="40">
        <f>IF(OR(G565="",U565=""),"",G565*U565-N(I565))</f>
        <v/>
      </c>
      <c r="W565" s="39">
        <f>IF(D565="","",IFERROR(VALUE(MID(D565,LEN(D565)-3,3)),""))</f>
        <v/>
      </c>
      <c r="X565" s="33">
        <f>IF(W565="","",P565&amp;"|"&amp;W565)</f>
        <v/>
      </c>
      <c r="Y565" s="33">
        <f>IF(W565="","",IF(P565="À RENSEIGNER","GIC",P565)&amp;"-"&amp;TEXT(W565,"000"))</f>
        <v/>
      </c>
      <c r="Z565" s="33">
        <f>IF(X565="","",IFERROR(INDEX(Cl_nom,MATCH(X565,Cl_cle,0)),"(client introuvable)"))</f>
        <v/>
      </c>
      <c r="AA565" s="33">
        <f>IF(X565="","",IFERROR(INDEX(Cl_quartier,MATCH(X565,Cl_cle,0))&amp;"",""))</f>
        <v/>
      </c>
      <c r="AB565" s="45">
        <f>IF(R565&lt;&gt;"Livrée",0,IF(K565&lt;&gt;"",K565,C565))</f>
        <v/>
      </c>
      <c r="AC565" s="33">
        <f>IF(OR(C565="",W565=""),"",P565&amp;"|"&amp;W565&amp;"|"&amp;C565&amp;"|"&amp;E565)</f>
        <v/>
      </c>
      <c r="AD565" s="39">
        <f>IF(AC565="","",IF(COUNTIF(AC$6:AC565,AC565)=1,1,0))</f>
        <v/>
      </c>
      <c r="AE565" s="39">
        <f>IF(AB565=0,"",IF(COUNTIFS(X$6:X565,X565,AB$6:AB565,AB565)=1,1,0))</f>
        <v/>
      </c>
      <c r="AF565" s="34">
        <f>IF(C565="","",YEAR(C565-WEEKDAY(C565,2)+4)&amp;"-S"&amp;TEXT(INT((C565-DATE(YEAR(C565-WEEKDAY(C565,2)+4),1,3)+WEEKDAY(DATE(YEAR(C565-WEEKDAY(C565,2)+4),1,3),2)+5)/7),"00"))</f>
        <v/>
      </c>
    </row>
    <row r="566" ht="18" customHeight="1">
      <c r="A566" s="39" t="n">
        <v>561</v>
      </c>
      <c r="B566" s="33">
        <f>IF(C566="","",IF(P566="À RENSEIGNER","GIC",P566)&amp;"-C"&amp;TEXT(A566,"00000"))</f>
        <v/>
      </c>
      <c r="C566" s="32" t="n"/>
      <c r="D566" s="36" t="n"/>
      <c r="E566" s="36" t="n"/>
      <c r="F566" s="36" t="n"/>
      <c r="G566" s="42" t="n"/>
      <c r="H566" s="37" t="n"/>
      <c r="I566" s="37" t="n"/>
      <c r="J566" s="32" t="n"/>
      <c r="K566" s="32" t="n"/>
      <c r="L566" s="43" t="n"/>
      <c r="M566" s="36" t="n"/>
      <c r="N566" s="44" t="n"/>
      <c r="O566" s="36" t="n"/>
      <c r="P566" s="33">
        <f>IF(C566="","",Commercial_Id)</f>
        <v/>
      </c>
      <c r="Q566" s="34">
        <f>IF(AC566="","",IF(AD566=1,"C"&amp;TEXT(SUM(AD$6:AD566),"0000"),INDEX(Q$6:Q565,MATCH(AC566,AC$6:AC565,0))))</f>
        <v/>
      </c>
      <c r="R566" s="34">
        <f>IF(C566="","",IF(L566="☑ Oui","Annulée",IF(OR(E566="Vente directe",K566&lt;&gt;""),"Livrée",IF(J566&lt;&gt;"","Confirmée","En attente"))))</f>
        <v/>
      </c>
      <c r="S566" s="34">
        <f>IF(F566="","",IFERROR(VLOOKUP(F566,T_Produits,2,FALSE),""))</f>
        <v/>
      </c>
      <c r="T566" s="40">
        <f>IF(F566="","",IFERROR(1/(1/VLOOKUP(F566,T_Produits,3,FALSE)),""))</f>
        <v/>
      </c>
      <c r="U566" s="40">
        <f>IF(H566&lt;&gt;"",H566,T566)</f>
        <v/>
      </c>
      <c r="V566" s="40">
        <f>IF(OR(G566="",U566=""),"",G566*U566-N(I566))</f>
        <v/>
      </c>
      <c r="W566" s="39">
        <f>IF(D566="","",IFERROR(VALUE(MID(D566,LEN(D566)-3,3)),""))</f>
        <v/>
      </c>
      <c r="X566" s="33">
        <f>IF(W566="","",P566&amp;"|"&amp;W566)</f>
        <v/>
      </c>
      <c r="Y566" s="33">
        <f>IF(W566="","",IF(P566="À RENSEIGNER","GIC",P566)&amp;"-"&amp;TEXT(W566,"000"))</f>
        <v/>
      </c>
      <c r="Z566" s="33">
        <f>IF(X566="","",IFERROR(INDEX(Cl_nom,MATCH(X566,Cl_cle,0)),"(client introuvable)"))</f>
        <v/>
      </c>
      <c r="AA566" s="33">
        <f>IF(X566="","",IFERROR(INDEX(Cl_quartier,MATCH(X566,Cl_cle,0))&amp;"",""))</f>
        <v/>
      </c>
      <c r="AB566" s="45">
        <f>IF(R566&lt;&gt;"Livrée",0,IF(K566&lt;&gt;"",K566,C566))</f>
        <v/>
      </c>
      <c r="AC566" s="33">
        <f>IF(OR(C566="",W566=""),"",P566&amp;"|"&amp;W566&amp;"|"&amp;C566&amp;"|"&amp;E566)</f>
        <v/>
      </c>
      <c r="AD566" s="39">
        <f>IF(AC566="","",IF(COUNTIF(AC$6:AC566,AC566)=1,1,0))</f>
        <v/>
      </c>
      <c r="AE566" s="39">
        <f>IF(AB566=0,"",IF(COUNTIFS(X$6:X566,X566,AB$6:AB566,AB566)=1,1,0))</f>
        <v/>
      </c>
      <c r="AF566" s="34">
        <f>IF(C566="","",YEAR(C566-WEEKDAY(C566,2)+4)&amp;"-S"&amp;TEXT(INT((C566-DATE(YEAR(C566-WEEKDAY(C566,2)+4),1,3)+WEEKDAY(DATE(YEAR(C566-WEEKDAY(C566,2)+4),1,3),2)+5)/7),"00"))</f>
        <v/>
      </c>
    </row>
    <row r="567" ht="18" customHeight="1">
      <c r="A567" s="39" t="n">
        <v>562</v>
      </c>
      <c r="B567" s="33">
        <f>IF(C567="","",IF(P567="À RENSEIGNER","GIC",P567)&amp;"-C"&amp;TEXT(A567,"00000"))</f>
        <v/>
      </c>
      <c r="C567" s="32" t="n"/>
      <c r="D567" s="36" t="n"/>
      <c r="E567" s="36" t="n"/>
      <c r="F567" s="36" t="n"/>
      <c r="G567" s="42" t="n"/>
      <c r="H567" s="37" t="n"/>
      <c r="I567" s="37" t="n"/>
      <c r="J567" s="32" t="n"/>
      <c r="K567" s="32" t="n"/>
      <c r="L567" s="43" t="n"/>
      <c r="M567" s="36" t="n"/>
      <c r="N567" s="44" t="n"/>
      <c r="O567" s="36" t="n"/>
      <c r="P567" s="33">
        <f>IF(C567="","",Commercial_Id)</f>
        <v/>
      </c>
      <c r="Q567" s="34">
        <f>IF(AC567="","",IF(AD567=1,"C"&amp;TEXT(SUM(AD$6:AD567),"0000"),INDEX(Q$6:Q566,MATCH(AC567,AC$6:AC566,0))))</f>
        <v/>
      </c>
      <c r="R567" s="34">
        <f>IF(C567="","",IF(L567="☑ Oui","Annulée",IF(OR(E567="Vente directe",K567&lt;&gt;""),"Livrée",IF(J567&lt;&gt;"","Confirmée","En attente"))))</f>
        <v/>
      </c>
      <c r="S567" s="34">
        <f>IF(F567="","",IFERROR(VLOOKUP(F567,T_Produits,2,FALSE),""))</f>
        <v/>
      </c>
      <c r="T567" s="40">
        <f>IF(F567="","",IFERROR(1/(1/VLOOKUP(F567,T_Produits,3,FALSE)),""))</f>
        <v/>
      </c>
      <c r="U567" s="40">
        <f>IF(H567&lt;&gt;"",H567,T567)</f>
        <v/>
      </c>
      <c r="V567" s="40">
        <f>IF(OR(G567="",U567=""),"",G567*U567-N(I567))</f>
        <v/>
      </c>
      <c r="W567" s="39">
        <f>IF(D567="","",IFERROR(VALUE(MID(D567,LEN(D567)-3,3)),""))</f>
        <v/>
      </c>
      <c r="X567" s="33">
        <f>IF(W567="","",P567&amp;"|"&amp;W567)</f>
        <v/>
      </c>
      <c r="Y567" s="33">
        <f>IF(W567="","",IF(P567="À RENSEIGNER","GIC",P567)&amp;"-"&amp;TEXT(W567,"000"))</f>
        <v/>
      </c>
      <c r="Z567" s="33">
        <f>IF(X567="","",IFERROR(INDEX(Cl_nom,MATCH(X567,Cl_cle,0)),"(client introuvable)"))</f>
        <v/>
      </c>
      <c r="AA567" s="33">
        <f>IF(X567="","",IFERROR(INDEX(Cl_quartier,MATCH(X567,Cl_cle,0))&amp;"",""))</f>
        <v/>
      </c>
      <c r="AB567" s="45">
        <f>IF(R567&lt;&gt;"Livrée",0,IF(K567&lt;&gt;"",K567,C567))</f>
        <v/>
      </c>
      <c r="AC567" s="33">
        <f>IF(OR(C567="",W567=""),"",P567&amp;"|"&amp;W567&amp;"|"&amp;C567&amp;"|"&amp;E567)</f>
        <v/>
      </c>
      <c r="AD567" s="39">
        <f>IF(AC567="","",IF(COUNTIF(AC$6:AC567,AC567)=1,1,0))</f>
        <v/>
      </c>
      <c r="AE567" s="39">
        <f>IF(AB567=0,"",IF(COUNTIFS(X$6:X567,X567,AB$6:AB567,AB567)=1,1,0))</f>
        <v/>
      </c>
      <c r="AF567" s="34">
        <f>IF(C567="","",YEAR(C567-WEEKDAY(C567,2)+4)&amp;"-S"&amp;TEXT(INT((C567-DATE(YEAR(C567-WEEKDAY(C567,2)+4),1,3)+WEEKDAY(DATE(YEAR(C567-WEEKDAY(C567,2)+4),1,3),2)+5)/7),"00"))</f>
        <v/>
      </c>
    </row>
    <row r="568" ht="18" customHeight="1">
      <c r="A568" s="39" t="n">
        <v>563</v>
      </c>
      <c r="B568" s="33">
        <f>IF(C568="","",IF(P568="À RENSEIGNER","GIC",P568)&amp;"-C"&amp;TEXT(A568,"00000"))</f>
        <v/>
      </c>
      <c r="C568" s="32" t="n"/>
      <c r="D568" s="36" t="n"/>
      <c r="E568" s="36" t="n"/>
      <c r="F568" s="36" t="n"/>
      <c r="G568" s="42" t="n"/>
      <c r="H568" s="37" t="n"/>
      <c r="I568" s="37" t="n"/>
      <c r="J568" s="32" t="n"/>
      <c r="K568" s="32" t="n"/>
      <c r="L568" s="43" t="n"/>
      <c r="M568" s="36" t="n"/>
      <c r="N568" s="44" t="n"/>
      <c r="O568" s="36" t="n"/>
      <c r="P568" s="33">
        <f>IF(C568="","",Commercial_Id)</f>
        <v/>
      </c>
      <c r="Q568" s="34">
        <f>IF(AC568="","",IF(AD568=1,"C"&amp;TEXT(SUM(AD$6:AD568),"0000"),INDEX(Q$6:Q567,MATCH(AC568,AC$6:AC567,0))))</f>
        <v/>
      </c>
      <c r="R568" s="34">
        <f>IF(C568="","",IF(L568="☑ Oui","Annulée",IF(OR(E568="Vente directe",K568&lt;&gt;""),"Livrée",IF(J568&lt;&gt;"","Confirmée","En attente"))))</f>
        <v/>
      </c>
      <c r="S568" s="34">
        <f>IF(F568="","",IFERROR(VLOOKUP(F568,T_Produits,2,FALSE),""))</f>
        <v/>
      </c>
      <c r="T568" s="40">
        <f>IF(F568="","",IFERROR(1/(1/VLOOKUP(F568,T_Produits,3,FALSE)),""))</f>
        <v/>
      </c>
      <c r="U568" s="40">
        <f>IF(H568&lt;&gt;"",H568,T568)</f>
        <v/>
      </c>
      <c r="V568" s="40">
        <f>IF(OR(G568="",U568=""),"",G568*U568-N(I568))</f>
        <v/>
      </c>
      <c r="W568" s="39">
        <f>IF(D568="","",IFERROR(VALUE(MID(D568,LEN(D568)-3,3)),""))</f>
        <v/>
      </c>
      <c r="X568" s="33">
        <f>IF(W568="","",P568&amp;"|"&amp;W568)</f>
        <v/>
      </c>
      <c r="Y568" s="33">
        <f>IF(W568="","",IF(P568="À RENSEIGNER","GIC",P568)&amp;"-"&amp;TEXT(W568,"000"))</f>
        <v/>
      </c>
      <c r="Z568" s="33">
        <f>IF(X568="","",IFERROR(INDEX(Cl_nom,MATCH(X568,Cl_cle,0)),"(client introuvable)"))</f>
        <v/>
      </c>
      <c r="AA568" s="33">
        <f>IF(X568="","",IFERROR(INDEX(Cl_quartier,MATCH(X568,Cl_cle,0))&amp;"",""))</f>
        <v/>
      </c>
      <c r="AB568" s="45">
        <f>IF(R568&lt;&gt;"Livrée",0,IF(K568&lt;&gt;"",K568,C568))</f>
        <v/>
      </c>
      <c r="AC568" s="33">
        <f>IF(OR(C568="",W568=""),"",P568&amp;"|"&amp;W568&amp;"|"&amp;C568&amp;"|"&amp;E568)</f>
        <v/>
      </c>
      <c r="AD568" s="39">
        <f>IF(AC568="","",IF(COUNTIF(AC$6:AC568,AC568)=1,1,0))</f>
        <v/>
      </c>
      <c r="AE568" s="39">
        <f>IF(AB568=0,"",IF(COUNTIFS(X$6:X568,X568,AB$6:AB568,AB568)=1,1,0))</f>
        <v/>
      </c>
      <c r="AF568" s="34">
        <f>IF(C568="","",YEAR(C568-WEEKDAY(C568,2)+4)&amp;"-S"&amp;TEXT(INT((C568-DATE(YEAR(C568-WEEKDAY(C568,2)+4),1,3)+WEEKDAY(DATE(YEAR(C568-WEEKDAY(C568,2)+4),1,3),2)+5)/7),"00"))</f>
        <v/>
      </c>
    </row>
    <row r="569" ht="18" customHeight="1">
      <c r="A569" s="39" t="n">
        <v>564</v>
      </c>
      <c r="B569" s="33">
        <f>IF(C569="","",IF(P569="À RENSEIGNER","GIC",P569)&amp;"-C"&amp;TEXT(A569,"00000"))</f>
        <v/>
      </c>
      <c r="C569" s="32" t="n"/>
      <c r="D569" s="36" t="n"/>
      <c r="E569" s="36" t="n"/>
      <c r="F569" s="36" t="n"/>
      <c r="G569" s="42" t="n"/>
      <c r="H569" s="37" t="n"/>
      <c r="I569" s="37" t="n"/>
      <c r="J569" s="32" t="n"/>
      <c r="K569" s="32" t="n"/>
      <c r="L569" s="43" t="n"/>
      <c r="M569" s="36" t="n"/>
      <c r="N569" s="44" t="n"/>
      <c r="O569" s="36" t="n"/>
      <c r="P569" s="33">
        <f>IF(C569="","",Commercial_Id)</f>
        <v/>
      </c>
      <c r="Q569" s="34">
        <f>IF(AC569="","",IF(AD569=1,"C"&amp;TEXT(SUM(AD$6:AD569),"0000"),INDEX(Q$6:Q568,MATCH(AC569,AC$6:AC568,0))))</f>
        <v/>
      </c>
      <c r="R569" s="34">
        <f>IF(C569="","",IF(L569="☑ Oui","Annulée",IF(OR(E569="Vente directe",K569&lt;&gt;""),"Livrée",IF(J569&lt;&gt;"","Confirmée","En attente"))))</f>
        <v/>
      </c>
      <c r="S569" s="34">
        <f>IF(F569="","",IFERROR(VLOOKUP(F569,T_Produits,2,FALSE),""))</f>
        <v/>
      </c>
      <c r="T569" s="40">
        <f>IF(F569="","",IFERROR(1/(1/VLOOKUP(F569,T_Produits,3,FALSE)),""))</f>
        <v/>
      </c>
      <c r="U569" s="40">
        <f>IF(H569&lt;&gt;"",H569,T569)</f>
        <v/>
      </c>
      <c r="V569" s="40">
        <f>IF(OR(G569="",U569=""),"",G569*U569-N(I569))</f>
        <v/>
      </c>
      <c r="W569" s="39">
        <f>IF(D569="","",IFERROR(VALUE(MID(D569,LEN(D569)-3,3)),""))</f>
        <v/>
      </c>
      <c r="X569" s="33">
        <f>IF(W569="","",P569&amp;"|"&amp;W569)</f>
        <v/>
      </c>
      <c r="Y569" s="33">
        <f>IF(W569="","",IF(P569="À RENSEIGNER","GIC",P569)&amp;"-"&amp;TEXT(W569,"000"))</f>
        <v/>
      </c>
      <c r="Z569" s="33">
        <f>IF(X569="","",IFERROR(INDEX(Cl_nom,MATCH(X569,Cl_cle,0)),"(client introuvable)"))</f>
        <v/>
      </c>
      <c r="AA569" s="33">
        <f>IF(X569="","",IFERROR(INDEX(Cl_quartier,MATCH(X569,Cl_cle,0))&amp;"",""))</f>
        <v/>
      </c>
      <c r="AB569" s="45">
        <f>IF(R569&lt;&gt;"Livrée",0,IF(K569&lt;&gt;"",K569,C569))</f>
        <v/>
      </c>
      <c r="AC569" s="33">
        <f>IF(OR(C569="",W569=""),"",P569&amp;"|"&amp;W569&amp;"|"&amp;C569&amp;"|"&amp;E569)</f>
        <v/>
      </c>
      <c r="AD569" s="39">
        <f>IF(AC569="","",IF(COUNTIF(AC$6:AC569,AC569)=1,1,0))</f>
        <v/>
      </c>
      <c r="AE569" s="39">
        <f>IF(AB569=0,"",IF(COUNTIFS(X$6:X569,X569,AB$6:AB569,AB569)=1,1,0))</f>
        <v/>
      </c>
      <c r="AF569" s="34">
        <f>IF(C569="","",YEAR(C569-WEEKDAY(C569,2)+4)&amp;"-S"&amp;TEXT(INT((C569-DATE(YEAR(C569-WEEKDAY(C569,2)+4),1,3)+WEEKDAY(DATE(YEAR(C569-WEEKDAY(C569,2)+4),1,3),2)+5)/7),"00"))</f>
        <v/>
      </c>
    </row>
    <row r="570" ht="18" customHeight="1">
      <c r="A570" s="39" t="n">
        <v>565</v>
      </c>
      <c r="B570" s="33">
        <f>IF(C570="","",IF(P570="À RENSEIGNER","GIC",P570)&amp;"-C"&amp;TEXT(A570,"00000"))</f>
        <v/>
      </c>
      <c r="C570" s="32" t="n"/>
      <c r="D570" s="36" t="n"/>
      <c r="E570" s="36" t="n"/>
      <c r="F570" s="36" t="n"/>
      <c r="G570" s="42" t="n"/>
      <c r="H570" s="37" t="n"/>
      <c r="I570" s="37" t="n"/>
      <c r="J570" s="32" t="n"/>
      <c r="K570" s="32" t="n"/>
      <c r="L570" s="43" t="n"/>
      <c r="M570" s="36" t="n"/>
      <c r="N570" s="44" t="n"/>
      <c r="O570" s="36" t="n"/>
      <c r="P570" s="33">
        <f>IF(C570="","",Commercial_Id)</f>
        <v/>
      </c>
      <c r="Q570" s="34">
        <f>IF(AC570="","",IF(AD570=1,"C"&amp;TEXT(SUM(AD$6:AD570),"0000"),INDEX(Q$6:Q569,MATCH(AC570,AC$6:AC569,0))))</f>
        <v/>
      </c>
      <c r="R570" s="34">
        <f>IF(C570="","",IF(L570="☑ Oui","Annulée",IF(OR(E570="Vente directe",K570&lt;&gt;""),"Livrée",IF(J570&lt;&gt;"","Confirmée","En attente"))))</f>
        <v/>
      </c>
      <c r="S570" s="34">
        <f>IF(F570="","",IFERROR(VLOOKUP(F570,T_Produits,2,FALSE),""))</f>
        <v/>
      </c>
      <c r="T570" s="40">
        <f>IF(F570="","",IFERROR(1/(1/VLOOKUP(F570,T_Produits,3,FALSE)),""))</f>
        <v/>
      </c>
      <c r="U570" s="40">
        <f>IF(H570&lt;&gt;"",H570,T570)</f>
        <v/>
      </c>
      <c r="V570" s="40">
        <f>IF(OR(G570="",U570=""),"",G570*U570-N(I570))</f>
        <v/>
      </c>
      <c r="W570" s="39">
        <f>IF(D570="","",IFERROR(VALUE(MID(D570,LEN(D570)-3,3)),""))</f>
        <v/>
      </c>
      <c r="X570" s="33">
        <f>IF(W570="","",P570&amp;"|"&amp;W570)</f>
        <v/>
      </c>
      <c r="Y570" s="33">
        <f>IF(W570="","",IF(P570="À RENSEIGNER","GIC",P570)&amp;"-"&amp;TEXT(W570,"000"))</f>
        <v/>
      </c>
      <c r="Z570" s="33">
        <f>IF(X570="","",IFERROR(INDEX(Cl_nom,MATCH(X570,Cl_cle,0)),"(client introuvable)"))</f>
        <v/>
      </c>
      <c r="AA570" s="33">
        <f>IF(X570="","",IFERROR(INDEX(Cl_quartier,MATCH(X570,Cl_cle,0))&amp;"",""))</f>
        <v/>
      </c>
      <c r="AB570" s="45">
        <f>IF(R570&lt;&gt;"Livrée",0,IF(K570&lt;&gt;"",K570,C570))</f>
        <v/>
      </c>
      <c r="AC570" s="33">
        <f>IF(OR(C570="",W570=""),"",P570&amp;"|"&amp;W570&amp;"|"&amp;C570&amp;"|"&amp;E570)</f>
        <v/>
      </c>
      <c r="AD570" s="39">
        <f>IF(AC570="","",IF(COUNTIF(AC$6:AC570,AC570)=1,1,0))</f>
        <v/>
      </c>
      <c r="AE570" s="39">
        <f>IF(AB570=0,"",IF(COUNTIFS(X$6:X570,X570,AB$6:AB570,AB570)=1,1,0))</f>
        <v/>
      </c>
      <c r="AF570" s="34">
        <f>IF(C570="","",YEAR(C570-WEEKDAY(C570,2)+4)&amp;"-S"&amp;TEXT(INT((C570-DATE(YEAR(C570-WEEKDAY(C570,2)+4),1,3)+WEEKDAY(DATE(YEAR(C570-WEEKDAY(C570,2)+4),1,3),2)+5)/7),"00"))</f>
        <v/>
      </c>
    </row>
    <row r="571" ht="18" customHeight="1">
      <c r="A571" s="39" t="n">
        <v>566</v>
      </c>
      <c r="B571" s="33">
        <f>IF(C571="","",IF(P571="À RENSEIGNER","GIC",P571)&amp;"-C"&amp;TEXT(A571,"00000"))</f>
        <v/>
      </c>
      <c r="C571" s="32" t="n"/>
      <c r="D571" s="36" t="n"/>
      <c r="E571" s="36" t="n"/>
      <c r="F571" s="36" t="n"/>
      <c r="G571" s="42" t="n"/>
      <c r="H571" s="37" t="n"/>
      <c r="I571" s="37" t="n"/>
      <c r="J571" s="32" t="n"/>
      <c r="K571" s="32" t="n"/>
      <c r="L571" s="43" t="n"/>
      <c r="M571" s="36" t="n"/>
      <c r="N571" s="44" t="n"/>
      <c r="O571" s="36" t="n"/>
      <c r="P571" s="33">
        <f>IF(C571="","",Commercial_Id)</f>
        <v/>
      </c>
      <c r="Q571" s="34">
        <f>IF(AC571="","",IF(AD571=1,"C"&amp;TEXT(SUM(AD$6:AD571),"0000"),INDEX(Q$6:Q570,MATCH(AC571,AC$6:AC570,0))))</f>
        <v/>
      </c>
      <c r="R571" s="34">
        <f>IF(C571="","",IF(L571="☑ Oui","Annulée",IF(OR(E571="Vente directe",K571&lt;&gt;""),"Livrée",IF(J571&lt;&gt;"","Confirmée","En attente"))))</f>
        <v/>
      </c>
      <c r="S571" s="34">
        <f>IF(F571="","",IFERROR(VLOOKUP(F571,T_Produits,2,FALSE),""))</f>
        <v/>
      </c>
      <c r="T571" s="40">
        <f>IF(F571="","",IFERROR(1/(1/VLOOKUP(F571,T_Produits,3,FALSE)),""))</f>
        <v/>
      </c>
      <c r="U571" s="40">
        <f>IF(H571&lt;&gt;"",H571,T571)</f>
        <v/>
      </c>
      <c r="V571" s="40">
        <f>IF(OR(G571="",U571=""),"",G571*U571-N(I571))</f>
        <v/>
      </c>
      <c r="W571" s="39">
        <f>IF(D571="","",IFERROR(VALUE(MID(D571,LEN(D571)-3,3)),""))</f>
        <v/>
      </c>
      <c r="X571" s="33">
        <f>IF(W571="","",P571&amp;"|"&amp;W571)</f>
        <v/>
      </c>
      <c r="Y571" s="33">
        <f>IF(W571="","",IF(P571="À RENSEIGNER","GIC",P571)&amp;"-"&amp;TEXT(W571,"000"))</f>
        <v/>
      </c>
      <c r="Z571" s="33">
        <f>IF(X571="","",IFERROR(INDEX(Cl_nom,MATCH(X571,Cl_cle,0)),"(client introuvable)"))</f>
        <v/>
      </c>
      <c r="AA571" s="33">
        <f>IF(X571="","",IFERROR(INDEX(Cl_quartier,MATCH(X571,Cl_cle,0))&amp;"",""))</f>
        <v/>
      </c>
      <c r="AB571" s="45">
        <f>IF(R571&lt;&gt;"Livrée",0,IF(K571&lt;&gt;"",K571,C571))</f>
        <v/>
      </c>
      <c r="AC571" s="33">
        <f>IF(OR(C571="",W571=""),"",P571&amp;"|"&amp;W571&amp;"|"&amp;C571&amp;"|"&amp;E571)</f>
        <v/>
      </c>
      <c r="AD571" s="39">
        <f>IF(AC571="","",IF(COUNTIF(AC$6:AC571,AC571)=1,1,0))</f>
        <v/>
      </c>
      <c r="AE571" s="39">
        <f>IF(AB571=0,"",IF(COUNTIFS(X$6:X571,X571,AB$6:AB571,AB571)=1,1,0))</f>
        <v/>
      </c>
      <c r="AF571" s="34">
        <f>IF(C571="","",YEAR(C571-WEEKDAY(C571,2)+4)&amp;"-S"&amp;TEXT(INT((C571-DATE(YEAR(C571-WEEKDAY(C571,2)+4),1,3)+WEEKDAY(DATE(YEAR(C571-WEEKDAY(C571,2)+4),1,3),2)+5)/7),"00"))</f>
        <v/>
      </c>
    </row>
    <row r="572" ht="18" customHeight="1">
      <c r="A572" s="39" t="n">
        <v>567</v>
      </c>
      <c r="B572" s="33">
        <f>IF(C572="","",IF(P572="À RENSEIGNER","GIC",P572)&amp;"-C"&amp;TEXT(A572,"00000"))</f>
        <v/>
      </c>
      <c r="C572" s="32" t="n"/>
      <c r="D572" s="36" t="n"/>
      <c r="E572" s="36" t="n"/>
      <c r="F572" s="36" t="n"/>
      <c r="G572" s="42" t="n"/>
      <c r="H572" s="37" t="n"/>
      <c r="I572" s="37" t="n"/>
      <c r="J572" s="32" t="n"/>
      <c r="K572" s="32" t="n"/>
      <c r="L572" s="43" t="n"/>
      <c r="M572" s="36" t="n"/>
      <c r="N572" s="44" t="n"/>
      <c r="O572" s="36" t="n"/>
      <c r="P572" s="33">
        <f>IF(C572="","",Commercial_Id)</f>
        <v/>
      </c>
      <c r="Q572" s="34">
        <f>IF(AC572="","",IF(AD572=1,"C"&amp;TEXT(SUM(AD$6:AD572),"0000"),INDEX(Q$6:Q571,MATCH(AC572,AC$6:AC571,0))))</f>
        <v/>
      </c>
      <c r="R572" s="34">
        <f>IF(C572="","",IF(L572="☑ Oui","Annulée",IF(OR(E572="Vente directe",K572&lt;&gt;""),"Livrée",IF(J572&lt;&gt;"","Confirmée","En attente"))))</f>
        <v/>
      </c>
      <c r="S572" s="34">
        <f>IF(F572="","",IFERROR(VLOOKUP(F572,T_Produits,2,FALSE),""))</f>
        <v/>
      </c>
      <c r="T572" s="40">
        <f>IF(F572="","",IFERROR(1/(1/VLOOKUP(F572,T_Produits,3,FALSE)),""))</f>
        <v/>
      </c>
      <c r="U572" s="40">
        <f>IF(H572&lt;&gt;"",H572,T572)</f>
        <v/>
      </c>
      <c r="V572" s="40">
        <f>IF(OR(G572="",U572=""),"",G572*U572-N(I572))</f>
        <v/>
      </c>
      <c r="W572" s="39">
        <f>IF(D572="","",IFERROR(VALUE(MID(D572,LEN(D572)-3,3)),""))</f>
        <v/>
      </c>
      <c r="X572" s="33">
        <f>IF(W572="","",P572&amp;"|"&amp;W572)</f>
        <v/>
      </c>
      <c r="Y572" s="33">
        <f>IF(W572="","",IF(P572="À RENSEIGNER","GIC",P572)&amp;"-"&amp;TEXT(W572,"000"))</f>
        <v/>
      </c>
      <c r="Z572" s="33">
        <f>IF(X572="","",IFERROR(INDEX(Cl_nom,MATCH(X572,Cl_cle,0)),"(client introuvable)"))</f>
        <v/>
      </c>
      <c r="AA572" s="33">
        <f>IF(X572="","",IFERROR(INDEX(Cl_quartier,MATCH(X572,Cl_cle,0))&amp;"",""))</f>
        <v/>
      </c>
      <c r="AB572" s="45">
        <f>IF(R572&lt;&gt;"Livrée",0,IF(K572&lt;&gt;"",K572,C572))</f>
        <v/>
      </c>
      <c r="AC572" s="33">
        <f>IF(OR(C572="",W572=""),"",P572&amp;"|"&amp;W572&amp;"|"&amp;C572&amp;"|"&amp;E572)</f>
        <v/>
      </c>
      <c r="AD572" s="39">
        <f>IF(AC572="","",IF(COUNTIF(AC$6:AC572,AC572)=1,1,0))</f>
        <v/>
      </c>
      <c r="AE572" s="39">
        <f>IF(AB572=0,"",IF(COUNTIFS(X$6:X572,X572,AB$6:AB572,AB572)=1,1,0))</f>
        <v/>
      </c>
      <c r="AF572" s="34">
        <f>IF(C572="","",YEAR(C572-WEEKDAY(C572,2)+4)&amp;"-S"&amp;TEXT(INT((C572-DATE(YEAR(C572-WEEKDAY(C572,2)+4),1,3)+WEEKDAY(DATE(YEAR(C572-WEEKDAY(C572,2)+4),1,3),2)+5)/7),"00"))</f>
        <v/>
      </c>
    </row>
    <row r="573" ht="18" customHeight="1">
      <c r="A573" s="39" t="n">
        <v>568</v>
      </c>
      <c r="B573" s="33">
        <f>IF(C573="","",IF(P573="À RENSEIGNER","GIC",P573)&amp;"-C"&amp;TEXT(A573,"00000"))</f>
        <v/>
      </c>
      <c r="C573" s="32" t="n"/>
      <c r="D573" s="36" t="n"/>
      <c r="E573" s="36" t="n"/>
      <c r="F573" s="36" t="n"/>
      <c r="G573" s="42" t="n"/>
      <c r="H573" s="37" t="n"/>
      <c r="I573" s="37" t="n"/>
      <c r="J573" s="32" t="n"/>
      <c r="K573" s="32" t="n"/>
      <c r="L573" s="43" t="n"/>
      <c r="M573" s="36" t="n"/>
      <c r="N573" s="44" t="n"/>
      <c r="O573" s="36" t="n"/>
      <c r="P573" s="33">
        <f>IF(C573="","",Commercial_Id)</f>
        <v/>
      </c>
      <c r="Q573" s="34">
        <f>IF(AC573="","",IF(AD573=1,"C"&amp;TEXT(SUM(AD$6:AD573),"0000"),INDEX(Q$6:Q572,MATCH(AC573,AC$6:AC572,0))))</f>
        <v/>
      </c>
      <c r="R573" s="34">
        <f>IF(C573="","",IF(L573="☑ Oui","Annulée",IF(OR(E573="Vente directe",K573&lt;&gt;""),"Livrée",IF(J573&lt;&gt;"","Confirmée","En attente"))))</f>
        <v/>
      </c>
      <c r="S573" s="34">
        <f>IF(F573="","",IFERROR(VLOOKUP(F573,T_Produits,2,FALSE),""))</f>
        <v/>
      </c>
      <c r="T573" s="40">
        <f>IF(F573="","",IFERROR(1/(1/VLOOKUP(F573,T_Produits,3,FALSE)),""))</f>
        <v/>
      </c>
      <c r="U573" s="40">
        <f>IF(H573&lt;&gt;"",H573,T573)</f>
        <v/>
      </c>
      <c r="V573" s="40">
        <f>IF(OR(G573="",U573=""),"",G573*U573-N(I573))</f>
        <v/>
      </c>
      <c r="W573" s="39">
        <f>IF(D573="","",IFERROR(VALUE(MID(D573,LEN(D573)-3,3)),""))</f>
        <v/>
      </c>
      <c r="X573" s="33">
        <f>IF(W573="","",P573&amp;"|"&amp;W573)</f>
        <v/>
      </c>
      <c r="Y573" s="33">
        <f>IF(W573="","",IF(P573="À RENSEIGNER","GIC",P573)&amp;"-"&amp;TEXT(W573,"000"))</f>
        <v/>
      </c>
      <c r="Z573" s="33">
        <f>IF(X573="","",IFERROR(INDEX(Cl_nom,MATCH(X573,Cl_cle,0)),"(client introuvable)"))</f>
        <v/>
      </c>
      <c r="AA573" s="33">
        <f>IF(X573="","",IFERROR(INDEX(Cl_quartier,MATCH(X573,Cl_cle,0))&amp;"",""))</f>
        <v/>
      </c>
      <c r="AB573" s="45">
        <f>IF(R573&lt;&gt;"Livrée",0,IF(K573&lt;&gt;"",K573,C573))</f>
        <v/>
      </c>
      <c r="AC573" s="33">
        <f>IF(OR(C573="",W573=""),"",P573&amp;"|"&amp;W573&amp;"|"&amp;C573&amp;"|"&amp;E573)</f>
        <v/>
      </c>
      <c r="AD573" s="39">
        <f>IF(AC573="","",IF(COUNTIF(AC$6:AC573,AC573)=1,1,0))</f>
        <v/>
      </c>
      <c r="AE573" s="39">
        <f>IF(AB573=0,"",IF(COUNTIFS(X$6:X573,X573,AB$6:AB573,AB573)=1,1,0))</f>
        <v/>
      </c>
      <c r="AF573" s="34">
        <f>IF(C573="","",YEAR(C573-WEEKDAY(C573,2)+4)&amp;"-S"&amp;TEXT(INT((C573-DATE(YEAR(C573-WEEKDAY(C573,2)+4),1,3)+WEEKDAY(DATE(YEAR(C573-WEEKDAY(C573,2)+4),1,3),2)+5)/7),"00"))</f>
        <v/>
      </c>
    </row>
    <row r="574" ht="18" customHeight="1">
      <c r="A574" s="39" t="n">
        <v>569</v>
      </c>
      <c r="B574" s="33">
        <f>IF(C574="","",IF(P574="À RENSEIGNER","GIC",P574)&amp;"-C"&amp;TEXT(A574,"00000"))</f>
        <v/>
      </c>
      <c r="C574" s="32" t="n"/>
      <c r="D574" s="36" t="n"/>
      <c r="E574" s="36" t="n"/>
      <c r="F574" s="36" t="n"/>
      <c r="G574" s="42" t="n"/>
      <c r="H574" s="37" t="n"/>
      <c r="I574" s="37" t="n"/>
      <c r="J574" s="32" t="n"/>
      <c r="K574" s="32" t="n"/>
      <c r="L574" s="43" t="n"/>
      <c r="M574" s="36" t="n"/>
      <c r="N574" s="44" t="n"/>
      <c r="O574" s="36" t="n"/>
      <c r="P574" s="33">
        <f>IF(C574="","",Commercial_Id)</f>
        <v/>
      </c>
      <c r="Q574" s="34">
        <f>IF(AC574="","",IF(AD574=1,"C"&amp;TEXT(SUM(AD$6:AD574),"0000"),INDEX(Q$6:Q573,MATCH(AC574,AC$6:AC573,0))))</f>
        <v/>
      </c>
      <c r="R574" s="34">
        <f>IF(C574="","",IF(L574="☑ Oui","Annulée",IF(OR(E574="Vente directe",K574&lt;&gt;""),"Livrée",IF(J574&lt;&gt;"","Confirmée","En attente"))))</f>
        <v/>
      </c>
      <c r="S574" s="34">
        <f>IF(F574="","",IFERROR(VLOOKUP(F574,T_Produits,2,FALSE),""))</f>
        <v/>
      </c>
      <c r="T574" s="40">
        <f>IF(F574="","",IFERROR(1/(1/VLOOKUP(F574,T_Produits,3,FALSE)),""))</f>
        <v/>
      </c>
      <c r="U574" s="40">
        <f>IF(H574&lt;&gt;"",H574,T574)</f>
        <v/>
      </c>
      <c r="V574" s="40">
        <f>IF(OR(G574="",U574=""),"",G574*U574-N(I574))</f>
        <v/>
      </c>
      <c r="W574" s="39">
        <f>IF(D574="","",IFERROR(VALUE(MID(D574,LEN(D574)-3,3)),""))</f>
        <v/>
      </c>
      <c r="X574" s="33">
        <f>IF(W574="","",P574&amp;"|"&amp;W574)</f>
        <v/>
      </c>
      <c r="Y574" s="33">
        <f>IF(W574="","",IF(P574="À RENSEIGNER","GIC",P574)&amp;"-"&amp;TEXT(W574,"000"))</f>
        <v/>
      </c>
      <c r="Z574" s="33">
        <f>IF(X574="","",IFERROR(INDEX(Cl_nom,MATCH(X574,Cl_cle,0)),"(client introuvable)"))</f>
        <v/>
      </c>
      <c r="AA574" s="33">
        <f>IF(X574="","",IFERROR(INDEX(Cl_quartier,MATCH(X574,Cl_cle,0))&amp;"",""))</f>
        <v/>
      </c>
      <c r="AB574" s="45">
        <f>IF(R574&lt;&gt;"Livrée",0,IF(K574&lt;&gt;"",K574,C574))</f>
        <v/>
      </c>
      <c r="AC574" s="33">
        <f>IF(OR(C574="",W574=""),"",P574&amp;"|"&amp;W574&amp;"|"&amp;C574&amp;"|"&amp;E574)</f>
        <v/>
      </c>
      <c r="AD574" s="39">
        <f>IF(AC574="","",IF(COUNTIF(AC$6:AC574,AC574)=1,1,0))</f>
        <v/>
      </c>
      <c r="AE574" s="39">
        <f>IF(AB574=0,"",IF(COUNTIFS(X$6:X574,X574,AB$6:AB574,AB574)=1,1,0))</f>
        <v/>
      </c>
      <c r="AF574" s="34">
        <f>IF(C574="","",YEAR(C574-WEEKDAY(C574,2)+4)&amp;"-S"&amp;TEXT(INT((C574-DATE(YEAR(C574-WEEKDAY(C574,2)+4),1,3)+WEEKDAY(DATE(YEAR(C574-WEEKDAY(C574,2)+4),1,3),2)+5)/7),"00"))</f>
        <v/>
      </c>
    </row>
    <row r="575" ht="18" customHeight="1">
      <c r="A575" s="39" t="n">
        <v>570</v>
      </c>
      <c r="B575" s="33">
        <f>IF(C575="","",IF(P575="À RENSEIGNER","GIC",P575)&amp;"-C"&amp;TEXT(A575,"00000"))</f>
        <v/>
      </c>
      <c r="C575" s="32" t="n"/>
      <c r="D575" s="36" t="n"/>
      <c r="E575" s="36" t="n"/>
      <c r="F575" s="36" t="n"/>
      <c r="G575" s="42" t="n"/>
      <c r="H575" s="37" t="n"/>
      <c r="I575" s="37" t="n"/>
      <c r="J575" s="32" t="n"/>
      <c r="K575" s="32" t="n"/>
      <c r="L575" s="43" t="n"/>
      <c r="M575" s="36" t="n"/>
      <c r="N575" s="44" t="n"/>
      <c r="O575" s="36" t="n"/>
      <c r="P575" s="33">
        <f>IF(C575="","",Commercial_Id)</f>
        <v/>
      </c>
      <c r="Q575" s="34">
        <f>IF(AC575="","",IF(AD575=1,"C"&amp;TEXT(SUM(AD$6:AD575),"0000"),INDEX(Q$6:Q574,MATCH(AC575,AC$6:AC574,0))))</f>
        <v/>
      </c>
      <c r="R575" s="34">
        <f>IF(C575="","",IF(L575="☑ Oui","Annulée",IF(OR(E575="Vente directe",K575&lt;&gt;""),"Livrée",IF(J575&lt;&gt;"","Confirmée","En attente"))))</f>
        <v/>
      </c>
      <c r="S575" s="34">
        <f>IF(F575="","",IFERROR(VLOOKUP(F575,T_Produits,2,FALSE),""))</f>
        <v/>
      </c>
      <c r="T575" s="40">
        <f>IF(F575="","",IFERROR(1/(1/VLOOKUP(F575,T_Produits,3,FALSE)),""))</f>
        <v/>
      </c>
      <c r="U575" s="40">
        <f>IF(H575&lt;&gt;"",H575,T575)</f>
        <v/>
      </c>
      <c r="V575" s="40">
        <f>IF(OR(G575="",U575=""),"",G575*U575-N(I575))</f>
        <v/>
      </c>
      <c r="W575" s="39">
        <f>IF(D575="","",IFERROR(VALUE(MID(D575,LEN(D575)-3,3)),""))</f>
        <v/>
      </c>
      <c r="X575" s="33">
        <f>IF(W575="","",P575&amp;"|"&amp;W575)</f>
        <v/>
      </c>
      <c r="Y575" s="33">
        <f>IF(W575="","",IF(P575="À RENSEIGNER","GIC",P575)&amp;"-"&amp;TEXT(W575,"000"))</f>
        <v/>
      </c>
      <c r="Z575" s="33">
        <f>IF(X575="","",IFERROR(INDEX(Cl_nom,MATCH(X575,Cl_cle,0)),"(client introuvable)"))</f>
        <v/>
      </c>
      <c r="AA575" s="33">
        <f>IF(X575="","",IFERROR(INDEX(Cl_quartier,MATCH(X575,Cl_cle,0))&amp;"",""))</f>
        <v/>
      </c>
      <c r="AB575" s="45">
        <f>IF(R575&lt;&gt;"Livrée",0,IF(K575&lt;&gt;"",K575,C575))</f>
        <v/>
      </c>
      <c r="AC575" s="33">
        <f>IF(OR(C575="",W575=""),"",P575&amp;"|"&amp;W575&amp;"|"&amp;C575&amp;"|"&amp;E575)</f>
        <v/>
      </c>
      <c r="AD575" s="39">
        <f>IF(AC575="","",IF(COUNTIF(AC$6:AC575,AC575)=1,1,0))</f>
        <v/>
      </c>
      <c r="AE575" s="39">
        <f>IF(AB575=0,"",IF(COUNTIFS(X$6:X575,X575,AB$6:AB575,AB575)=1,1,0))</f>
        <v/>
      </c>
      <c r="AF575" s="34">
        <f>IF(C575="","",YEAR(C575-WEEKDAY(C575,2)+4)&amp;"-S"&amp;TEXT(INT((C575-DATE(YEAR(C575-WEEKDAY(C575,2)+4),1,3)+WEEKDAY(DATE(YEAR(C575-WEEKDAY(C575,2)+4),1,3),2)+5)/7),"00"))</f>
        <v/>
      </c>
    </row>
    <row r="576" ht="18" customHeight="1">
      <c r="A576" s="39" t="n">
        <v>571</v>
      </c>
      <c r="B576" s="33">
        <f>IF(C576="","",IF(P576="À RENSEIGNER","GIC",P576)&amp;"-C"&amp;TEXT(A576,"00000"))</f>
        <v/>
      </c>
      <c r="C576" s="32" t="n"/>
      <c r="D576" s="36" t="n"/>
      <c r="E576" s="36" t="n"/>
      <c r="F576" s="36" t="n"/>
      <c r="G576" s="42" t="n"/>
      <c r="H576" s="37" t="n"/>
      <c r="I576" s="37" t="n"/>
      <c r="J576" s="32" t="n"/>
      <c r="K576" s="32" t="n"/>
      <c r="L576" s="43" t="n"/>
      <c r="M576" s="36" t="n"/>
      <c r="N576" s="44" t="n"/>
      <c r="O576" s="36" t="n"/>
      <c r="P576" s="33">
        <f>IF(C576="","",Commercial_Id)</f>
        <v/>
      </c>
      <c r="Q576" s="34">
        <f>IF(AC576="","",IF(AD576=1,"C"&amp;TEXT(SUM(AD$6:AD576),"0000"),INDEX(Q$6:Q575,MATCH(AC576,AC$6:AC575,0))))</f>
        <v/>
      </c>
      <c r="R576" s="34">
        <f>IF(C576="","",IF(L576="☑ Oui","Annulée",IF(OR(E576="Vente directe",K576&lt;&gt;""),"Livrée",IF(J576&lt;&gt;"","Confirmée","En attente"))))</f>
        <v/>
      </c>
      <c r="S576" s="34">
        <f>IF(F576="","",IFERROR(VLOOKUP(F576,T_Produits,2,FALSE),""))</f>
        <v/>
      </c>
      <c r="T576" s="40">
        <f>IF(F576="","",IFERROR(1/(1/VLOOKUP(F576,T_Produits,3,FALSE)),""))</f>
        <v/>
      </c>
      <c r="U576" s="40">
        <f>IF(H576&lt;&gt;"",H576,T576)</f>
        <v/>
      </c>
      <c r="V576" s="40">
        <f>IF(OR(G576="",U576=""),"",G576*U576-N(I576))</f>
        <v/>
      </c>
      <c r="W576" s="39">
        <f>IF(D576="","",IFERROR(VALUE(MID(D576,LEN(D576)-3,3)),""))</f>
        <v/>
      </c>
      <c r="X576" s="33">
        <f>IF(W576="","",P576&amp;"|"&amp;W576)</f>
        <v/>
      </c>
      <c r="Y576" s="33">
        <f>IF(W576="","",IF(P576="À RENSEIGNER","GIC",P576)&amp;"-"&amp;TEXT(W576,"000"))</f>
        <v/>
      </c>
      <c r="Z576" s="33">
        <f>IF(X576="","",IFERROR(INDEX(Cl_nom,MATCH(X576,Cl_cle,0)),"(client introuvable)"))</f>
        <v/>
      </c>
      <c r="AA576" s="33">
        <f>IF(X576="","",IFERROR(INDEX(Cl_quartier,MATCH(X576,Cl_cle,0))&amp;"",""))</f>
        <v/>
      </c>
      <c r="AB576" s="45">
        <f>IF(R576&lt;&gt;"Livrée",0,IF(K576&lt;&gt;"",K576,C576))</f>
        <v/>
      </c>
      <c r="AC576" s="33">
        <f>IF(OR(C576="",W576=""),"",P576&amp;"|"&amp;W576&amp;"|"&amp;C576&amp;"|"&amp;E576)</f>
        <v/>
      </c>
      <c r="AD576" s="39">
        <f>IF(AC576="","",IF(COUNTIF(AC$6:AC576,AC576)=1,1,0))</f>
        <v/>
      </c>
      <c r="AE576" s="39">
        <f>IF(AB576=0,"",IF(COUNTIFS(X$6:X576,X576,AB$6:AB576,AB576)=1,1,0))</f>
        <v/>
      </c>
      <c r="AF576" s="34">
        <f>IF(C576="","",YEAR(C576-WEEKDAY(C576,2)+4)&amp;"-S"&amp;TEXT(INT((C576-DATE(YEAR(C576-WEEKDAY(C576,2)+4),1,3)+WEEKDAY(DATE(YEAR(C576-WEEKDAY(C576,2)+4),1,3),2)+5)/7),"00"))</f>
        <v/>
      </c>
    </row>
    <row r="577" ht="18" customHeight="1">
      <c r="A577" s="39" t="n">
        <v>572</v>
      </c>
      <c r="B577" s="33">
        <f>IF(C577="","",IF(P577="À RENSEIGNER","GIC",P577)&amp;"-C"&amp;TEXT(A577,"00000"))</f>
        <v/>
      </c>
      <c r="C577" s="32" t="n"/>
      <c r="D577" s="36" t="n"/>
      <c r="E577" s="36" t="n"/>
      <c r="F577" s="36" t="n"/>
      <c r="G577" s="42" t="n"/>
      <c r="H577" s="37" t="n"/>
      <c r="I577" s="37" t="n"/>
      <c r="J577" s="32" t="n"/>
      <c r="K577" s="32" t="n"/>
      <c r="L577" s="43" t="n"/>
      <c r="M577" s="36" t="n"/>
      <c r="N577" s="44" t="n"/>
      <c r="O577" s="36" t="n"/>
      <c r="P577" s="33">
        <f>IF(C577="","",Commercial_Id)</f>
        <v/>
      </c>
      <c r="Q577" s="34">
        <f>IF(AC577="","",IF(AD577=1,"C"&amp;TEXT(SUM(AD$6:AD577),"0000"),INDEX(Q$6:Q576,MATCH(AC577,AC$6:AC576,0))))</f>
        <v/>
      </c>
      <c r="R577" s="34">
        <f>IF(C577="","",IF(L577="☑ Oui","Annulée",IF(OR(E577="Vente directe",K577&lt;&gt;""),"Livrée",IF(J577&lt;&gt;"","Confirmée","En attente"))))</f>
        <v/>
      </c>
      <c r="S577" s="34">
        <f>IF(F577="","",IFERROR(VLOOKUP(F577,T_Produits,2,FALSE),""))</f>
        <v/>
      </c>
      <c r="T577" s="40">
        <f>IF(F577="","",IFERROR(1/(1/VLOOKUP(F577,T_Produits,3,FALSE)),""))</f>
        <v/>
      </c>
      <c r="U577" s="40">
        <f>IF(H577&lt;&gt;"",H577,T577)</f>
        <v/>
      </c>
      <c r="V577" s="40">
        <f>IF(OR(G577="",U577=""),"",G577*U577-N(I577))</f>
        <v/>
      </c>
      <c r="W577" s="39">
        <f>IF(D577="","",IFERROR(VALUE(MID(D577,LEN(D577)-3,3)),""))</f>
        <v/>
      </c>
      <c r="X577" s="33">
        <f>IF(W577="","",P577&amp;"|"&amp;W577)</f>
        <v/>
      </c>
      <c r="Y577" s="33">
        <f>IF(W577="","",IF(P577="À RENSEIGNER","GIC",P577)&amp;"-"&amp;TEXT(W577,"000"))</f>
        <v/>
      </c>
      <c r="Z577" s="33">
        <f>IF(X577="","",IFERROR(INDEX(Cl_nom,MATCH(X577,Cl_cle,0)),"(client introuvable)"))</f>
        <v/>
      </c>
      <c r="AA577" s="33">
        <f>IF(X577="","",IFERROR(INDEX(Cl_quartier,MATCH(X577,Cl_cle,0))&amp;"",""))</f>
        <v/>
      </c>
      <c r="AB577" s="45">
        <f>IF(R577&lt;&gt;"Livrée",0,IF(K577&lt;&gt;"",K577,C577))</f>
        <v/>
      </c>
      <c r="AC577" s="33">
        <f>IF(OR(C577="",W577=""),"",P577&amp;"|"&amp;W577&amp;"|"&amp;C577&amp;"|"&amp;E577)</f>
        <v/>
      </c>
      <c r="AD577" s="39">
        <f>IF(AC577="","",IF(COUNTIF(AC$6:AC577,AC577)=1,1,0))</f>
        <v/>
      </c>
      <c r="AE577" s="39">
        <f>IF(AB577=0,"",IF(COUNTIFS(X$6:X577,X577,AB$6:AB577,AB577)=1,1,0))</f>
        <v/>
      </c>
      <c r="AF577" s="34">
        <f>IF(C577="","",YEAR(C577-WEEKDAY(C577,2)+4)&amp;"-S"&amp;TEXT(INT((C577-DATE(YEAR(C577-WEEKDAY(C577,2)+4),1,3)+WEEKDAY(DATE(YEAR(C577-WEEKDAY(C577,2)+4),1,3),2)+5)/7),"00"))</f>
        <v/>
      </c>
    </row>
    <row r="578" ht="18" customHeight="1">
      <c r="A578" s="39" t="n">
        <v>573</v>
      </c>
      <c r="B578" s="33">
        <f>IF(C578="","",IF(P578="À RENSEIGNER","GIC",P578)&amp;"-C"&amp;TEXT(A578,"00000"))</f>
        <v/>
      </c>
      <c r="C578" s="32" t="n"/>
      <c r="D578" s="36" t="n"/>
      <c r="E578" s="36" t="n"/>
      <c r="F578" s="36" t="n"/>
      <c r="G578" s="42" t="n"/>
      <c r="H578" s="37" t="n"/>
      <c r="I578" s="37" t="n"/>
      <c r="J578" s="32" t="n"/>
      <c r="K578" s="32" t="n"/>
      <c r="L578" s="43" t="n"/>
      <c r="M578" s="36" t="n"/>
      <c r="N578" s="44" t="n"/>
      <c r="O578" s="36" t="n"/>
      <c r="P578" s="33">
        <f>IF(C578="","",Commercial_Id)</f>
        <v/>
      </c>
      <c r="Q578" s="34">
        <f>IF(AC578="","",IF(AD578=1,"C"&amp;TEXT(SUM(AD$6:AD578),"0000"),INDEX(Q$6:Q577,MATCH(AC578,AC$6:AC577,0))))</f>
        <v/>
      </c>
      <c r="R578" s="34">
        <f>IF(C578="","",IF(L578="☑ Oui","Annulée",IF(OR(E578="Vente directe",K578&lt;&gt;""),"Livrée",IF(J578&lt;&gt;"","Confirmée","En attente"))))</f>
        <v/>
      </c>
      <c r="S578" s="34">
        <f>IF(F578="","",IFERROR(VLOOKUP(F578,T_Produits,2,FALSE),""))</f>
        <v/>
      </c>
      <c r="T578" s="40">
        <f>IF(F578="","",IFERROR(1/(1/VLOOKUP(F578,T_Produits,3,FALSE)),""))</f>
        <v/>
      </c>
      <c r="U578" s="40">
        <f>IF(H578&lt;&gt;"",H578,T578)</f>
        <v/>
      </c>
      <c r="V578" s="40">
        <f>IF(OR(G578="",U578=""),"",G578*U578-N(I578))</f>
        <v/>
      </c>
      <c r="W578" s="39">
        <f>IF(D578="","",IFERROR(VALUE(MID(D578,LEN(D578)-3,3)),""))</f>
        <v/>
      </c>
      <c r="X578" s="33">
        <f>IF(W578="","",P578&amp;"|"&amp;W578)</f>
        <v/>
      </c>
      <c r="Y578" s="33">
        <f>IF(W578="","",IF(P578="À RENSEIGNER","GIC",P578)&amp;"-"&amp;TEXT(W578,"000"))</f>
        <v/>
      </c>
      <c r="Z578" s="33">
        <f>IF(X578="","",IFERROR(INDEX(Cl_nom,MATCH(X578,Cl_cle,0)),"(client introuvable)"))</f>
        <v/>
      </c>
      <c r="AA578" s="33">
        <f>IF(X578="","",IFERROR(INDEX(Cl_quartier,MATCH(X578,Cl_cle,0))&amp;"",""))</f>
        <v/>
      </c>
      <c r="AB578" s="45">
        <f>IF(R578&lt;&gt;"Livrée",0,IF(K578&lt;&gt;"",K578,C578))</f>
        <v/>
      </c>
      <c r="AC578" s="33">
        <f>IF(OR(C578="",W578=""),"",P578&amp;"|"&amp;W578&amp;"|"&amp;C578&amp;"|"&amp;E578)</f>
        <v/>
      </c>
      <c r="AD578" s="39">
        <f>IF(AC578="","",IF(COUNTIF(AC$6:AC578,AC578)=1,1,0))</f>
        <v/>
      </c>
      <c r="AE578" s="39">
        <f>IF(AB578=0,"",IF(COUNTIFS(X$6:X578,X578,AB$6:AB578,AB578)=1,1,0))</f>
        <v/>
      </c>
      <c r="AF578" s="34">
        <f>IF(C578="","",YEAR(C578-WEEKDAY(C578,2)+4)&amp;"-S"&amp;TEXT(INT((C578-DATE(YEAR(C578-WEEKDAY(C578,2)+4),1,3)+WEEKDAY(DATE(YEAR(C578-WEEKDAY(C578,2)+4),1,3),2)+5)/7),"00"))</f>
        <v/>
      </c>
    </row>
    <row r="579" ht="18" customHeight="1">
      <c r="A579" s="39" t="n">
        <v>574</v>
      </c>
      <c r="B579" s="33">
        <f>IF(C579="","",IF(P579="À RENSEIGNER","GIC",P579)&amp;"-C"&amp;TEXT(A579,"00000"))</f>
        <v/>
      </c>
      <c r="C579" s="32" t="n"/>
      <c r="D579" s="36" t="n"/>
      <c r="E579" s="36" t="n"/>
      <c r="F579" s="36" t="n"/>
      <c r="G579" s="42" t="n"/>
      <c r="H579" s="37" t="n"/>
      <c r="I579" s="37" t="n"/>
      <c r="J579" s="32" t="n"/>
      <c r="K579" s="32" t="n"/>
      <c r="L579" s="43" t="n"/>
      <c r="M579" s="36" t="n"/>
      <c r="N579" s="44" t="n"/>
      <c r="O579" s="36" t="n"/>
      <c r="P579" s="33">
        <f>IF(C579="","",Commercial_Id)</f>
        <v/>
      </c>
      <c r="Q579" s="34">
        <f>IF(AC579="","",IF(AD579=1,"C"&amp;TEXT(SUM(AD$6:AD579),"0000"),INDEX(Q$6:Q578,MATCH(AC579,AC$6:AC578,0))))</f>
        <v/>
      </c>
      <c r="R579" s="34">
        <f>IF(C579="","",IF(L579="☑ Oui","Annulée",IF(OR(E579="Vente directe",K579&lt;&gt;""),"Livrée",IF(J579&lt;&gt;"","Confirmée","En attente"))))</f>
        <v/>
      </c>
      <c r="S579" s="34">
        <f>IF(F579="","",IFERROR(VLOOKUP(F579,T_Produits,2,FALSE),""))</f>
        <v/>
      </c>
      <c r="T579" s="40">
        <f>IF(F579="","",IFERROR(1/(1/VLOOKUP(F579,T_Produits,3,FALSE)),""))</f>
        <v/>
      </c>
      <c r="U579" s="40">
        <f>IF(H579&lt;&gt;"",H579,T579)</f>
        <v/>
      </c>
      <c r="V579" s="40">
        <f>IF(OR(G579="",U579=""),"",G579*U579-N(I579))</f>
        <v/>
      </c>
      <c r="W579" s="39">
        <f>IF(D579="","",IFERROR(VALUE(MID(D579,LEN(D579)-3,3)),""))</f>
        <v/>
      </c>
      <c r="X579" s="33">
        <f>IF(W579="","",P579&amp;"|"&amp;W579)</f>
        <v/>
      </c>
      <c r="Y579" s="33">
        <f>IF(W579="","",IF(P579="À RENSEIGNER","GIC",P579)&amp;"-"&amp;TEXT(W579,"000"))</f>
        <v/>
      </c>
      <c r="Z579" s="33">
        <f>IF(X579="","",IFERROR(INDEX(Cl_nom,MATCH(X579,Cl_cle,0)),"(client introuvable)"))</f>
        <v/>
      </c>
      <c r="AA579" s="33">
        <f>IF(X579="","",IFERROR(INDEX(Cl_quartier,MATCH(X579,Cl_cle,0))&amp;"",""))</f>
        <v/>
      </c>
      <c r="AB579" s="45">
        <f>IF(R579&lt;&gt;"Livrée",0,IF(K579&lt;&gt;"",K579,C579))</f>
        <v/>
      </c>
      <c r="AC579" s="33">
        <f>IF(OR(C579="",W579=""),"",P579&amp;"|"&amp;W579&amp;"|"&amp;C579&amp;"|"&amp;E579)</f>
        <v/>
      </c>
      <c r="AD579" s="39">
        <f>IF(AC579="","",IF(COUNTIF(AC$6:AC579,AC579)=1,1,0))</f>
        <v/>
      </c>
      <c r="AE579" s="39">
        <f>IF(AB579=0,"",IF(COUNTIFS(X$6:X579,X579,AB$6:AB579,AB579)=1,1,0))</f>
        <v/>
      </c>
      <c r="AF579" s="34">
        <f>IF(C579="","",YEAR(C579-WEEKDAY(C579,2)+4)&amp;"-S"&amp;TEXT(INT((C579-DATE(YEAR(C579-WEEKDAY(C579,2)+4),1,3)+WEEKDAY(DATE(YEAR(C579-WEEKDAY(C579,2)+4),1,3),2)+5)/7),"00"))</f>
        <v/>
      </c>
    </row>
    <row r="580" ht="18" customHeight="1">
      <c r="A580" s="39" t="n">
        <v>575</v>
      </c>
      <c r="B580" s="33">
        <f>IF(C580="","",IF(P580="À RENSEIGNER","GIC",P580)&amp;"-C"&amp;TEXT(A580,"00000"))</f>
        <v/>
      </c>
      <c r="C580" s="32" t="n"/>
      <c r="D580" s="36" t="n"/>
      <c r="E580" s="36" t="n"/>
      <c r="F580" s="36" t="n"/>
      <c r="G580" s="42" t="n"/>
      <c r="H580" s="37" t="n"/>
      <c r="I580" s="37" t="n"/>
      <c r="J580" s="32" t="n"/>
      <c r="K580" s="32" t="n"/>
      <c r="L580" s="43" t="n"/>
      <c r="M580" s="36" t="n"/>
      <c r="N580" s="44" t="n"/>
      <c r="O580" s="36" t="n"/>
      <c r="P580" s="33">
        <f>IF(C580="","",Commercial_Id)</f>
        <v/>
      </c>
      <c r="Q580" s="34">
        <f>IF(AC580="","",IF(AD580=1,"C"&amp;TEXT(SUM(AD$6:AD580),"0000"),INDEX(Q$6:Q579,MATCH(AC580,AC$6:AC579,0))))</f>
        <v/>
      </c>
      <c r="R580" s="34">
        <f>IF(C580="","",IF(L580="☑ Oui","Annulée",IF(OR(E580="Vente directe",K580&lt;&gt;""),"Livrée",IF(J580&lt;&gt;"","Confirmée","En attente"))))</f>
        <v/>
      </c>
      <c r="S580" s="34">
        <f>IF(F580="","",IFERROR(VLOOKUP(F580,T_Produits,2,FALSE),""))</f>
        <v/>
      </c>
      <c r="T580" s="40">
        <f>IF(F580="","",IFERROR(1/(1/VLOOKUP(F580,T_Produits,3,FALSE)),""))</f>
        <v/>
      </c>
      <c r="U580" s="40">
        <f>IF(H580&lt;&gt;"",H580,T580)</f>
        <v/>
      </c>
      <c r="V580" s="40">
        <f>IF(OR(G580="",U580=""),"",G580*U580-N(I580))</f>
        <v/>
      </c>
      <c r="W580" s="39">
        <f>IF(D580="","",IFERROR(VALUE(MID(D580,LEN(D580)-3,3)),""))</f>
        <v/>
      </c>
      <c r="X580" s="33">
        <f>IF(W580="","",P580&amp;"|"&amp;W580)</f>
        <v/>
      </c>
      <c r="Y580" s="33">
        <f>IF(W580="","",IF(P580="À RENSEIGNER","GIC",P580)&amp;"-"&amp;TEXT(W580,"000"))</f>
        <v/>
      </c>
      <c r="Z580" s="33">
        <f>IF(X580="","",IFERROR(INDEX(Cl_nom,MATCH(X580,Cl_cle,0)),"(client introuvable)"))</f>
        <v/>
      </c>
      <c r="AA580" s="33">
        <f>IF(X580="","",IFERROR(INDEX(Cl_quartier,MATCH(X580,Cl_cle,0))&amp;"",""))</f>
        <v/>
      </c>
      <c r="AB580" s="45">
        <f>IF(R580&lt;&gt;"Livrée",0,IF(K580&lt;&gt;"",K580,C580))</f>
        <v/>
      </c>
      <c r="AC580" s="33">
        <f>IF(OR(C580="",W580=""),"",P580&amp;"|"&amp;W580&amp;"|"&amp;C580&amp;"|"&amp;E580)</f>
        <v/>
      </c>
      <c r="AD580" s="39">
        <f>IF(AC580="","",IF(COUNTIF(AC$6:AC580,AC580)=1,1,0))</f>
        <v/>
      </c>
      <c r="AE580" s="39">
        <f>IF(AB580=0,"",IF(COUNTIFS(X$6:X580,X580,AB$6:AB580,AB580)=1,1,0))</f>
        <v/>
      </c>
      <c r="AF580" s="34">
        <f>IF(C580="","",YEAR(C580-WEEKDAY(C580,2)+4)&amp;"-S"&amp;TEXT(INT((C580-DATE(YEAR(C580-WEEKDAY(C580,2)+4),1,3)+WEEKDAY(DATE(YEAR(C580-WEEKDAY(C580,2)+4),1,3),2)+5)/7),"00"))</f>
        <v/>
      </c>
    </row>
    <row r="581" ht="18" customHeight="1">
      <c r="A581" s="39" t="n">
        <v>576</v>
      </c>
      <c r="B581" s="33">
        <f>IF(C581="","",IF(P581="À RENSEIGNER","GIC",P581)&amp;"-C"&amp;TEXT(A581,"00000"))</f>
        <v/>
      </c>
      <c r="C581" s="32" t="n"/>
      <c r="D581" s="36" t="n"/>
      <c r="E581" s="36" t="n"/>
      <c r="F581" s="36" t="n"/>
      <c r="G581" s="42" t="n"/>
      <c r="H581" s="37" t="n"/>
      <c r="I581" s="37" t="n"/>
      <c r="J581" s="32" t="n"/>
      <c r="K581" s="32" t="n"/>
      <c r="L581" s="43" t="n"/>
      <c r="M581" s="36" t="n"/>
      <c r="N581" s="44" t="n"/>
      <c r="O581" s="36" t="n"/>
      <c r="P581" s="33">
        <f>IF(C581="","",Commercial_Id)</f>
        <v/>
      </c>
      <c r="Q581" s="34">
        <f>IF(AC581="","",IF(AD581=1,"C"&amp;TEXT(SUM(AD$6:AD581),"0000"),INDEX(Q$6:Q580,MATCH(AC581,AC$6:AC580,0))))</f>
        <v/>
      </c>
      <c r="R581" s="34">
        <f>IF(C581="","",IF(L581="☑ Oui","Annulée",IF(OR(E581="Vente directe",K581&lt;&gt;""),"Livrée",IF(J581&lt;&gt;"","Confirmée","En attente"))))</f>
        <v/>
      </c>
      <c r="S581" s="34">
        <f>IF(F581="","",IFERROR(VLOOKUP(F581,T_Produits,2,FALSE),""))</f>
        <v/>
      </c>
      <c r="T581" s="40">
        <f>IF(F581="","",IFERROR(1/(1/VLOOKUP(F581,T_Produits,3,FALSE)),""))</f>
        <v/>
      </c>
      <c r="U581" s="40">
        <f>IF(H581&lt;&gt;"",H581,T581)</f>
        <v/>
      </c>
      <c r="V581" s="40">
        <f>IF(OR(G581="",U581=""),"",G581*U581-N(I581))</f>
        <v/>
      </c>
      <c r="W581" s="39">
        <f>IF(D581="","",IFERROR(VALUE(MID(D581,LEN(D581)-3,3)),""))</f>
        <v/>
      </c>
      <c r="X581" s="33">
        <f>IF(W581="","",P581&amp;"|"&amp;W581)</f>
        <v/>
      </c>
      <c r="Y581" s="33">
        <f>IF(W581="","",IF(P581="À RENSEIGNER","GIC",P581)&amp;"-"&amp;TEXT(W581,"000"))</f>
        <v/>
      </c>
      <c r="Z581" s="33">
        <f>IF(X581="","",IFERROR(INDEX(Cl_nom,MATCH(X581,Cl_cle,0)),"(client introuvable)"))</f>
        <v/>
      </c>
      <c r="AA581" s="33">
        <f>IF(X581="","",IFERROR(INDEX(Cl_quartier,MATCH(X581,Cl_cle,0))&amp;"",""))</f>
        <v/>
      </c>
      <c r="AB581" s="45">
        <f>IF(R581&lt;&gt;"Livrée",0,IF(K581&lt;&gt;"",K581,C581))</f>
        <v/>
      </c>
      <c r="AC581" s="33">
        <f>IF(OR(C581="",W581=""),"",P581&amp;"|"&amp;W581&amp;"|"&amp;C581&amp;"|"&amp;E581)</f>
        <v/>
      </c>
      <c r="AD581" s="39">
        <f>IF(AC581="","",IF(COUNTIF(AC$6:AC581,AC581)=1,1,0))</f>
        <v/>
      </c>
      <c r="AE581" s="39">
        <f>IF(AB581=0,"",IF(COUNTIFS(X$6:X581,X581,AB$6:AB581,AB581)=1,1,0))</f>
        <v/>
      </c>
      <c r="AF581" s="34">
        <f>IF(C581="","",YEAR(C581-WEEKDAY(C581,2)+4)&amp;"-S"&amp;TEXT(INT((C581-DATE(YEAR(C581-WEEKDAY(C581,2)+4),1,3)+WEEKDAY(DATE(YEAR(C581-WEEKDAY(C581,2)+4),1,3),2)+5)/7),"00"))</f>
        <v/>
      </c>
    </row>
    <row r="582" ht="18" customHeight="1">
      <c r="A582" s="39" t="n">
        <v>577</v>
      </c>
      <c r="B582" s="33">
        <f>IF(C582="","",IF(P582="À RENSEIGNER","GIC",P582)&amp;"-C"&amp;TEXT(A582,"00000"))</f>
        <v/>
      </c>
      <c r="C582" s="32" t="n"/>
      <c r="D582" s="36" t="n"/>
      <c r="E582" s="36" t="n"/>
      <c r="F582" s="36" t="n"/>
      <c r="G582" s="42" t="n"/>
      <c r="H582" s="37" t="n"/>
      <c r="I582" s="37" t="n"/>
      <c r="J582" s="32" t="n"/>
      <c r="K582" s="32" t="n"/>
      <c r="L582" s="43" t="n"/>
      <c r="M582" s="36" t="n"/>
      <c r="N582" s="44" t="n"/>
      <c r="O582" s="36" t="n"/>
      <c r="P582" s="33">
        <f>IF(C582="","",Commercial_Id)</f>
        <v/>
      </c>
      <c r="Q582" s="34">
        <f>IF(AC582="","",IF(AD582=1,"C"&amp;TEXT(SUM(AD$6:AD582),"0000"),INDEX(Q$6:Q581,MATCH(AC582,AC$6:AC581,0))))</f>
        <v/>
      </c>
      <c r="R582" s="34">
        <f>IF(C582="","",IF(L582="☑ Oui","Annulée",IF(OR(E582="Vente directe",K582&lt;&gt;""),"Livrée",IF(J582&lt;&gt;"","Confirmée","En attente"))))</f>
        <v/>
      </c>
      <c r="S582" s="34">
        <f>IF(F582="","",IFERROR(VLOOKUP(F582,T_Produits,2,FALSE),""))</f>
        <v/>
      </c>
      <c r="T582" s="40">
        <f>IF(F582="","",IFERROR(1/(1/VLOOKUP(F582,T_Produits,3,FALSE)),""))</f>
        <v/>
      </c>
      <c r="U582" s="40">
        <f>IF(H582&lt;&gt;"",H582,T582)</f>
        <v/>
      </c>
      <c r="V582" s="40">
        <f>IF(OR(G582="",U582=""),"",G582*U582-N(I582))</f>
        <v/>
      </c>
      <c r="W582" s="39">
        <f>IF(D582="","",IFERROR(VALUE(MID(D582,LEN(D582)-3,3)),""))</f>
        <v/>
      </c>
      <c r="X582" s="33">
        <f>IF(W582="","",P582&amp;"|"&amp;W582)</f>
        <v/>
      </c>
      <c r="Y582" s="33">
        <f>IF(W582="","",IF(P582="À RENSEIGNER","GIC",P582)&amp;"-"&amp;TEXT(W582,"000"))</f>
        <v/>
      </c>
      <c r="Z582" s="33">
        <f>IF(X582="","",IFERROR(INDEX(Cl_nom,MATCH(X582,Cl_cle,0)),"(client introuvable)"))</f>
        <v/>
      </c>
      <c r="AA582" s="33">
        <f>IF(X582="","",IFERROR(INDEX(Cl_quartier,MATCH(X582,Cl_cle,0))&amp;"",""))</f>
        <v/>
      </c>
      <c r="AB582" s="45">
        <f>IF(R582&lt;&gt;"Livrée",0,IF(K582&lt;&gt;"",K582,C582))</f>
        <v/>
      </c>
      <c r="AC582" s="33">
        <f>IF(OR(C582="",W582=""),"",P582&amp;"|"&amp;W582&amp;"|"&amp;C582&amp;"|"&amp;E582)</f>
        <v/>
      </c>
      <c r="AD582" s="39">
        <f>IF(AC582="","",IF(COUNTIF(AC$6:AC582,AC582)=1,1,0))</f>
        <v/>
      </c>
      <c r="AE582" s="39">
        <f>IF(AB582=0,"",IF(COUNTIFS(X$6:X582,X582,AB$6:AB582,AB582)=1,1,0))</f>
        <v/>
      </c>
      <c r="AF582" s="34">
        <f>IF(C582="","",YEAR(C582-WEEKDAY(C582,2)+4)&amp;"-S"&amp;TEXT(INT((C582-DATE(YEAR(C582-WEEKDAY(C582,2)+4),1,3)+WEEKDAY(DATE(YEAR(C582-WEEKDAY(C582,2)+4),1,3),2)+5)/7),"00"))</f>
        <v/>
      </c>
    </row>
    <row r="583" ht="18" customHeight="1">
      <c r="A583" s="39" t="n">
        <v>578</v>
      </c>
      <c r="B583" s="33">
        <f>IF(C583="","",IF(P583="À RENSEIGNER","GIC",P583)&amp;"-C"&amp;TEXT(A583,"00000"))</f>
        <v/>
      </c>
      <c r="C583" s="32" t="n"/>
      <c r="D583" s="36" t="n"/>
      <c r="E583" s="36" t="n"/>
      <c r="F583" s="36" t="n"/>
      <c r="G583" s="42" t="n"/>
      <c r="H583" s="37" t="n"/>
      <c r="I583" s="37" t="n"/>
      <c r="J583" s="32" t="n"/>
      <c r="K583" s="32" t="n"/>
      <c r="L583" s="43" t="n"/>
      <c r="M583" s="36" t="n"/>
      <c r="N583" s="44" t="n"/>
      <c r="O583" s="36" t="n"/>
      <c r="P583" s="33">
        <f>IF(C583="","",Commercial_Id)</f>
        <v/>
      </c>
      <c r="Q583" s="34">
        <f>IF(AC583="","",IF(AD583=1,"C"&amp;TEXT(SUM(AD$6:AD583),"0000"),INDEX(Q$6:Q582,MATCH(AC583,AC$6:AC582,0))))</f>
        <v/>
      </c>
      <c r="R583" s="34">
        <f>IF(C583="","",IF(L583="☑ Oui","Annulée",IF(OR(E583="Vente directe",K583&lt;&gt;""),"Livrée",IF(J583&lt;&gt;"","Confirmée","En attente"))))</f>
        <v/>
      </c>
      <c r="S583" s="34">
        <f>IF(F583="","",IFERROR(VLOOKUP(F583,T_Produits,2,FALSE),""))</f>
        <v/>
      </c>
      <c r="T583" s="40">
        <f>IF(F583="","",IFERROR(1/(1/VLOOKUP(F583,T_Produits,3,FALSE)),""))</f>
        <v/>
      </c>
      <c r="U583" s="40">
        <f>IF(H583&lt;&gt;"",H583,T583)</f>
        <v/>
      </c>
      <c r="V583" s="40">
        <f>IF(OR(G583="",U583=""),"",G583*U583-N(I583))</f>
        <v/>
      </c>
      <c r="W583" s="39">
        <f>IF(D583="","",IFERROR(VALUE(MID(D583,LEN(D583)-3,3)),""))</f>
        <v/>
      </c>
      <c r="X583" s="33">
        <f>IF(W583="","",P583&amp;"|"&amp;W583)</f>
        <v/>
      </c>
      <c r="Y583" s="33">
        <f>IF(W583="","",IF(P583="À RENSEIGNER","GIC",P583)&amp;"-"&amp;TEXT(W583,"000"))</f>
        <v/>
      </c>
      <c r="Z583" s="33">
        <f>IF(X583="","",IFERROR(INDEX(Cl_nom,MATCH(X583,Cl_cle,0)),"(client introuvable)"))</f>
        <v/>
      </c>
      <c r="AA583" s="33">
        <f>IF(X583="","",IFERROR(INDEX(Cl_quartier,MATCH(X583,Cl_cle,0))&amp;"",""))</f>
        <v/>
      </c>
      <c r="AB583" s="45">
        <f>IF(R583&lt;&gt;"Livrée",0,IF(K583&lt;&gt;"",K583,C583))</f>
        <v/>
      </c>
      <c r="AC583" s="33">
        <f>IF(OR(C583="",W583=""),"",P583&amp;"|"&amp;W583&amp;"|"&amp;C583&amp;"|"&amp;E583)</f>
        <v/>
      </c>
      <c r="AD583" s="39">
        <f>IF(AC583="","",IF(COUNTIF(AC$6:AC583,AC583)=1,1,0))</f>
        <v/>
      </c>
      <c r="AE583" s="39">
        <f>IF(AB583=0,"",IF(COUNTIFS(X$6:X583,X583,AB$6:AB583,AB583)=1,1,0))</f>
        <v/>
      </c>
      <c r="AF583" s="34">
        <f>IF(C583="","",YEAR(C583-WEEKDAY(C583,2)+4)&amp;"-S"&amp;TEXT(INT((C583-DATE(YEAR(C583-WEEKDAY(C583,2)+4),1,3)+WEEKDAY(DATE(YEAR(C583-WEEKDAY(C583,2)+4),1,3),2)+5)/7),"00"))</f>
        <v/>
      </c>
    </row>
    <row r="584" ht="18" customHeight="1">
      <c r="A584" s="39" t="n">
        <v>579</v>
      </c>
      <c r="B584" s="33">
        <f>IF(C584="","",IF(P584="À RENSEIGNER","GIC",P584)&amp;"-C"&amp;TEXT(A584,"00000"))</f>
        <v/>
      </c>
      <c r="C584" s="32" t="n"/>
      <c r="D584" s="36" t="n"/>
      <c r="E584" s="36" t="n"/>
      <c r="F584" s="36" t="n"/>
      <c r="G584" s="42" t="n"/>
      <c r="H584" s="37" t="n"/>
      <c r="I584" s="37" t="n"/>
      <c r="J584" s="32" t="n"/>
      <c r="K584" s="32" t="n"/>
      <c r="L584" s="43" t="n"/>
      <c r="M584" s="36" t="n"/>
      <c r="N584" s="44" t="n"/>
      <c r="O584" s="36" t="n"/>
      <c r="P584" s="33">
        <f>IF(C584="","",Commercial_Id)</f>
        <v/>
      </c>
      <c r="Q584" s="34">
        <f>IF(AC584="","",IF(AD584=1,"C"&amp;TEXT(SUM(AD$6:AD584),"0000"),INDEX(Q$6:Q583,MATCH(AC584,AC$6:AC583,0))))</f>
        <v/>
      </c>
      <c r="R584" s="34">
        <f>IF(C584="","",IF(L584="☑ Oui","Annulée",IF(OR(E584="Vente directe",K584&lt;&gt;""),"Livrée",IF(J584&lt;&gt;"","Confirmée","En attente"))))</f>
        <v/>
      </c>
      <c r="S584" s="34">
        <f>IF(F584="","",IFERROR(VLOOKUP(F584,T_Produits,2,FALSE),""))</f>
        <v/>
      </c>
      <c r="T584" s="40">
        <f>IF(F584="","",IFERROR(1/(1/VLOOKUP(F584,T_Produits,3,FALSE)),""))</f>
        <v/>
      </c>
      <c r="U584" s="40">
        <f>IF(H584&lt;&gt;"",H584,T584)</f>
        <v/>
      </c>
      <c r="V584" s="40">
        <f>IF(OR(G584="",U584=""),"",G584*U584-N(I584))</f>
        <v/>
      </c>
      <c r="W584" s="39">
        <f>IF(D584="","",IFERROR(VALUE(MID(D584,LEN(D584)-3,3)),""))</f>
        <v/>
      </c>
      <c r="X584" s="33">
        <f>IF(W584="","",P584&amp;"|"&amp;W584)</f>
        <v/>
      </c>
      <c r="Y584" s="33">
        <f>IF(W584="","",IF(P584="À RENSEIGNER","GIC",P584)&amp;"-"&amp;TEXT(W584,"000"))</f>
        <v/>
      </c>
      <c r="Z584" s="33">
        <f>IF(X584="","",IFERROR(INDEX(Cl_nom,MATCH(X584,Cl_cle,0)),"(client introuvable)"))</f>
        <v/>
      </c>
      <c r="AA584" s="33">
        <f>IF(X584="","",IFERROR(INDEX(Cl_quartier,MATCH(X584,Cl_cle,0))&amp;"",""))</f>
        <v/>
      </c>
      <c r="AB584" s="45">
        <f>IF(R584&lt;&gt;"Livrée",0,IF(K584&lt;&gt;"",K584,C584))</f>
        <v/>
      </c>
      <c r="AC584" s="33">
        <f>IF(OR(C584="",W584=""),"",P584&amp;"|"&amp;W584&amp;"|"&amp;C584&amp;"|"&amp;E584)</f>
        <v/>
      </c>
      <c r="AD584" s="39">
        <f>IF(AC584="","",IF(COUNTIF(AC$6:AC584,AC584)=1,1,0))</f>
        <v/>
      </c>
      <c r="AE584" s="39">
        <f>IF(AB584=0,"",IF(COUNTIFS(X$6:X584,X584,AB$6:AB584,AB584)=1,1,0))</f>
        <v/>
      </c>
      <c r="AF584" s="34">
        <f>IF(C584="","",YEAR(C584-WEEKDAY(C584,2)+4)&amp;"-S"&amp;TEXT(INT((C584-DATE(YEAR(C584-WEEKDAY(C584,2)+4),1,3)+WEEKDAY(DATE(YEAR(C584-WEEKDAY(C584,2)+4),1,3),2)+5)/7),"00"))</f>
        <v/>
      </c>
    </row>
    <row r="585" ht="18" customHeight="1">
      <c r="A585" s="39" t="n">
        <v>580</v>
      </c>
      <c r="B585" s="33">
        <f>IF(C585="","",IF(P585="À RENSEIGNER","GIC",P585)&amp;"-C"&amp;TEXT(A585,"00000"))</f>
        <v/>
      </c>
      <c r="C585" s="32" t="n"/>
      <c r="D585" s="36" t="n"/>
      <c r="E585" s="36" t="n"/>
      <c r="F585" s="36" t="n"/>
      <c r="G585" s="42" t="n"/>
      <c r="H585" s="37" t="n"/>
      <c r="I585" s="37" t="n"/>
      <c r="J585" s="32" t="n"/>
      <c r="K585" s="32" t="n"/>
      <c r="L585" s="43" t="n"/>
      <c r="M585" s="36" t="n"/>
      <c r="N585" s="44" t="n"/>
      <c r="O585" s="36" t="n"/>
      <c r="P585" s="33">
        <f>IF(C585="","",Commercial_Id)</f>
        <v/>
      </c>
      <c r="Q585" s="34">
        <f>IF(AC585="","",IF(AD585=1,"C"&amp;TEXT(SUM(AD$6:AD585),"0000"),INDEX(Q$6:Q584,MATCH(AC585,AC$6:AC584,0))))</f>
        <v/>
      </c>
      <c r="R585" s="34">
        <f>IF(C585="","",IF(L585="☑ Oui","Annulée",IF(OR(E585="Vente directe",K585&lt;&gt;""),"Livrée",IF(J585&lt;&gt;"","Confirmée","En attente"))))</f>
        <v/>
      </c>
      <c r="S585" s="34">
        <f>IF(F585="","",IFERROR(VLOOKUP(F585,T_Produits,2,FALSE),""))</f>
        <v/>
      </c>
      <c r="T585" s="40">
        <f>IF(F585="","",IFERROR(1/(1/VLOOKUP(F585,T_Produits,3,FALSE)),""))</f>
        <v/>
      </c>
      <c r="U585" s="40">
        <f>IF(H585&lt;&gt;"",H585,T585)</f>
        <v/>
      </c>
      <c r="V585" s="40">
        <f>IF(OR(G585="",U585=""),"",G585*U585-N(I585))</f>
        <v/>
      </c>
      <c r="W585" s="39">
        <f>IF(D585="","",IFERROR(VALUE(MID(D585,LEN(D585)-3,3)),""))</f>
        <v/>
      </c>
      <c r="X585" s="33">
        <f>IF(W585="","",P585&amp;"|"&amp;W585)</f>
        <v/>
      </c>
      <c r="Y585" s="33">
        <f>IF(W585="","",IF(P585="À RENSEIGNER","GIC",P585)&amp;"-"&amp;TEXT(W585,"000"))</f>
        <v/>
      </c>
      <c r="Z585" s="33">
        <f>IF(X585="","",IFERROR(INDEX(Cl_nom,MATCH(X585,Cl_cle,0)),"(client introuvable)"))</f>
        <v/>
      </c>
      <c r="AA585" s="33">
        <f>IF(X585="","",IFERROR(INDEX(Cl_quartier,MATCH(X585,Cl_cle,0))&amp;"",""))</f>
        <v/>
      </c>
      <c r="AB585" s="45">
        <f>IF(R585&lt;&gt;"Livrée",0,IF(K585&lt;&gt;"",K585,C585))</f>
        <v/>
      </c>
      <c r="AC585" s="33">
        <f>IF(OR(C585="",W585=""),"",P585&amp;"|"&amp;W585&amp;"|"&amp;C585&amp;"|"&amp;E585)</f>
        <v/>
      </c>
      <c r="AD585" s="39">
        <f>IF(AC585="","",IF(COUNTIF(AC$6:AC585,AC585)=1,1,0))</f>
        <v/>
      </c>
      <c r="AE585" s="39">
        <f>IF(AB585=0,"",IF(COUNTIFS(X$6:X585,X585,AB$6:AB585,AB585)=1,1,0))</f>
        <v/>
      </c>
      <c r="AF585" s="34">
        <f>IF(C585="","",YEAR(C585-WEEKDAY(C585,2)+4)&amp;"-S"&amp;TEXT(INT((C585-DATE(YEAR(C585-WEEKDAY(C585,2)+4),1,3)+WEEKDAY(DATE(YEAR(C585-WEEKDAY(C585,2)+4),1,3),2)+5)/7),"00"))</f>
        <v/>
      </c>
    </row>
    <row r="586" ht="18" customHeight="1">
      <c r="A586" s="39" t="n">
        <v>581</v>
      </c>
      <c r="B586" s="33">
        <f>IF(C586="","",IF(P586="À RENSEIGNER","GIC",P586)&amp;"-C"&amp;TEXT(A586,"00000"))</f>
        <v/>
      </c>
      <c r="C586" s="32" t="n"/>
      <c r="D586" s="36" t="n"/>
      <c r="E586" s="36" t="n"/>
      <c r="F586" s="36" t="n"/>
      <c r="G586" s="42" t="n"/>
      <c r="H586" s="37" t="n"/>
      <c r="I586" s="37" t="n"/>
      <c r="J586" s="32" t="n"/>
      <c r="K586" s="32" t="n"/>
      <c r="L586" s="43" t="n"/>
      <c r="M586" s="36" t="n"/>
      <c r="N586" s="44" t="n"/>
      <c r="O586" s="36" t="n"/>
      <c r="P586" s="33">
        <f>IF(C586="","",Commercial_Id)</f>
        <v/>
      </c>
      <c r="Q586" s="34">
        <f>IF(AC586="","",IF(AD586=1,"C"&amp;TEXT(SUM(AD$6:AD586),"0000"),INDEX(Q$6:Q585,MATCH(AC586,AC$6:AC585,0))))</f>
        <v/>
      </c>
      <c r="R586" s="34">
        <f>IF(C586="","",IF(L586="☑ Oui","Annulée",IF(OR(E586="Vente directe",K586&lt;&gt;""),"Livrée",IF(J586&lt;&gt;"","Confirmée","En attente"))))</f>
        <v/>
      </c>
      <c r="S586" s="34">
        <f>IF(F586="","",IFERROR(VLOOKUP(F586,T_Produits,2,FALSE),""))</f>
        <v/>
      </c>
      <c r="T586" s="40">
        <f>IF(F586="","",IFERROR(1/(1/VLOOKUP(F586,T_Produits,3,FALSE)),""))</f>
        <v/>
      </c>
      <c r="U586" s="40">
        <f>IF(H586&lt;&gt;"",H586,T586)</f>
        <v/>
      </c>
      <c r="V586" s="40">
        <f>IF(OR(G586="",U586=""),"",G586*U586-N(I586))</f>
        <v/>
      </c>
      <c r="W586" s="39">
        <f>IF(D586="","",IFERROR(VALUE(MID(D586,LEN(D586)-3,3)),""))</f>
        <v/>
      </c>
      <c r="X586" s="33">
        <f>IF(W586="","",P586&amp;"|"&amp;W586)</f>
        <v/>
      </c>
      <c r="Y586" s="33">
        <f>IF(W586="","",IF(P586="À RENSEIGNER","GIC",P586)&amp;"-"&amp;TEXT(W586,"000"))</f>
        <v/>
      </c>
      <c r="Z586" s="33">
        <f>IF(X586="","",IFERROR(INDEX(Cl_nom,MATCH(X586,Cl_cle,0)),"(client introuvable)"))</f>
        <v/>
      </c>
      <c r="AA586" s="33">
        <f>IF(X586="","",IFERROR(INDEX(Cl_quartier,MATCH(X586,Cl_cle,0))&amp;"",""))</f>
        <v/>
      </c>
      <c r="AB586" s="45">
        <f>IF(R586&lt;&gt;"Livrée",0,IF(K586&lt;&gt;"",K586,C586))</f>
        <v/>
      </c>
      <c r="AC586" s="33">
        <f>IF(OR(C586="",W586=""),"",P586&amp;"|"&amp;W586&amp;"|"&amp;C586&amp;"|"&amp;E586)</f>
        <v/>
      </c>
      <c r="AD586" s="39">
        <f>IF(AC586="","",IF(COUNTIF(AC$6:AC586,AC586)=1,1,0))</f>
        <v/>
      </c>
      <c r="AE586" s="39">
        <f>IF(AB586=0,"",IF(COUNTIFS(X$6:X586,X586,AB$6:AB586,AB586)=1,1,0))</f>
        <v/>
      </c>
      <c r="AF586" s="34">
        <f>IF(C586="","",YEAR(C586-WEEKDAY(C586,2)+4)&amp;"-S"&amp;TEXT(INT((C586-DATE(YEAR(C586-WEEKDAY(C586,2)+4),1,3)+WEEKDAY(DATE(YEAR(C586-WEEKDAY(C586,2)+4),1,3),2)+5)/7),"00"))</f>
        <v/>
      </c>
    </row>
    <row r="587" ht="18" customHeight="1">
      <c r="A587" s="39" t="n">
        <v>582</v>
      </c>
      <c r="B587" s="33">
        <f>IF(C587="","",IF(P587="À RENSEIGNER","GIC",P587)&amp;"-C"&amp;TEXT(A587,"00000"))</f>
        <v/>
      </c>
      <c r="C587" s="32" t="n"/>
      <c r="D587" s="36" t="n"/>
      <c r="E587" s="36" t="n"/>
      <c r="F587" s="36" t="n"/>
      <c r="G587" s="42" t="n"/>
      <c r="H587" s="37" t="n"/>
      <c r="I587" s="37" t="n"/>
      <c r="J587" s="32" t="n"/>
      <c r="K587" s="32" t="n"/>
      <c r="L587" s="43" t="n"/>
      <c r="M587" s="36" t="n"/>
      <c r="N587" s="44" t="n"/>
      <c r="O587" s="36" t="n"/>
      <c r="P587" s="33">
        <f>IF(C587="","",Commercial_Id)</f>
        <v/>
      </c>
      <c r="Q587" s="34">
        <f>IF(AC587="","",IF(AD587=1,"C"&amp;TEXT(SUM(AD$6:AD587),"0000"),INDEX(Q$6:Q586,MATCH(AC587,AC$6:AC586,0))))</f>
        <v/>
      </c>
      <c r="R587" s="34">
        <f>IF(C587="","",IF(L587="☑ Oui","Annulée",IF(OR(E587="Vente directe",K587&lt;&gt;""),"Livrée",IF(J587&lt;&gt;"","Confirmée","En attente"))))</f>
        <v/>
      </c>
      <c r="S587" s="34">
        <f>IF(F587="","",IFERROR(VLOOKUP(F587,T_Produits,2,FALSE),""))</f>
        <v/>
      </c>
      <c r="T587" s="40">
        <f>IF(F587="","",IFERROR(1/(1/VLOOKUP(F587,T_Produits,3,FALSE)),""))</f>
        <v/>
      </c>
      <c r="U587" s="40">
        <f>IF(H587&lt;&gt;"",H587,T587)</f>
        <v/>
      </c>
      <c r="V587" s="40">
        <f>IF(OR(G587="",U587=""),"",G587*U587-N(I587))</f>
        <v/>
      </c>
      <c r="W587" s="39">
        <f>IF(D587="","",IFERROR(VALUE(MID(D587,LEN(D587)-3,3)),""))</f>
        <v/>
      </c>
      <c r="X587" s="33">
        <f>IF(W587="","",P587&amp;"|"&amp;W587)</f>
        <v/>
      </c>
      <c r="Y587" s="33">
        <f>IF(W587="","",IF(P587="À RENSEIGNER","GIC",P587)&amp;"-"&amp;TEXT(W587,"000"))</f>
        <v/>
      </c>
      <c r="Z587" s="33">
        <f>IF(X587="","",IFERROR(INDEX(Cl_nom,MATCH(X587,Cl_cle,0)),"(client introuvable)"))</f>
        <v/>
      </c>
      <c r="AA587" s="33">
        <f>IF(X587="","",IFERROR(INDEX(Cl_quartier,MATCH(X587,Cl_cle,0))&amp;"",""))</f>
        <v/>
      </c>
      <c r="AB587" s="45">
        <f>IF(R587&lt;&gt;"Livrée",0,IF(K587&lt;&gt;"",K587,C587))</f>
        <v/>
      </c>
      <c r="AC587" s="33">
        <f>IF(OR(C587="",W587=""),"",P587&amp;"|"&amp;W587&amp;"|"&amp;C587&amp;"|"&amp;E587)</f>
        <v/>
      </c>
      <c r="AD587" s="39">
        <f>IF(AC587="","",IF(COUNTIF(AC$6:AC587,AC587)=1,1,0))</f>
        <v/>
      </c>
      <c r="AE587" s="39">
        <f>IF(AB587=0,"",IF(COUNTIFS(X$6:X587,X587,AB$6:AB587,AB587)=1,1,0))</f>
        <v/>
      </c>
      <c r="AF587" s="34">
        <f>IF(C587="","",YEAR(C587-WEEKDAY(C587,2)+4)&amp;"-S"&amp;TEXT(INT((C587-DATE(YEAR(C587-WEEKDAY(C587,2)+4),1,3)+WEEKDAY(DATE(YEAR(C587-WEEKDAY(C587,2)+4),1,3),2)+5)/7),"00"))</f>
        <v/>
      </c>
    </row>
    <row r="588" ht="18" customHeight="1">
      <c r="A588" s="39" t="n">
        <v>583</v>
      </c>
      <c r="B588" s="33">
        <f>IF(C588="","",IF(P588="À RENSEIGNER","GIC",P588)&amp;"-C"&amp;TEXT(A588,"00000"))</f>
        <v/>
      </c>
      <c r="C588" s="32" t="n"/>
      <c r="D588" s="36" t="n"/>
      <c r="E588" s="36" t="n"/>
      <c r="F588" s="36" t="n"/>
      <c r="G588" s="42" t="n"/>
      <c r="H588" s="37" t="n"/>
      <c r="I588" s="37" t="n"/>
      <c r="J588" s="32" t="n"/>
      <c r="K588" s="32" t="n"/>
      <c r="L588" s="43" t="n"/>
      <c r="M588" s="36" t="n"/>
      <c r="N588" s="44" t="n"/>
      <c r="O588" s="36" t="n"/>
      <c r="P588" s="33">
        <f>IF(C588="","",Commercial_Id)</f>
        <v/>
      </c>
      <c r="Q588" s="34">
        <f>IF(AC588="","",IF(AD588=1,"C"&amp;TEXT(SUM(AD$6:AD588),"0000"),INDEX(Q$6:Q587,MATCH(AC588,AC$6:AC587,0))))</f>
        <v/>
      </c>
      <c r="R588" s="34">
        <f>IF(C588="","",IF(L588="☑ Oui","Annulée",IF(OR(E588="Vente directe",K588&lt;&gt;""),"Livrée",IF(J588&lt;&gt;"","Confirmée","En attente"))))</f>
        <v/>
      </c>
      <c r="S588" s="34">
        <f>IF(F588="","",IFERROR(VLOOKUP(F588,T_Produits,2,FALSE),""))</f>
        <v/>
      </c>
      <c r="T588" s="40">
        <f>IF(F588="","",IFERROR(1/(1/VLOOKUP(F588,T_Produits,3,FALSE)),""))</f>
        <v/>
      </c>
      <c r="U588" s="40">
        <f>IF(H588&lt;&gt;"",H588,T588)</f>
        <v/>
      </c>
      <c r="V588" s="40">
        <f>IF(OR(G588="",U588=""),"",G588*U588-N(I588))</f>
        <v/>
      </c>
      <c r="W588" s="39">
        <f>IF(D588="","",IFERROR(VALUE(MID(D588,LEN(D588)-3,3)),""))</f>
        <v/>
      </c>
      <c r="X588" s="33">
        <f>IF(W588="","",P588&amp;"|"&amp;W588)</f>
        <v/>
      </c>
      <c r="Y588" s="33">
        <f>IF(W588="","",IF(P588="À RENSEIGNER","GIC",P588)&amp;"-"&amp;TEXT(W588,"000"))</f>
        <v/>
      </c>
      <c r="Z588" s="33">
        <f>IF(X588="","",IFERROR(INDEX(Cl_nom,MATCH(X588,Cl_cle,0)),"(client introuvable)"))</f>
        <v/>
      </c>
      <c r="AA588" s="33">
        <f>IF(X588="","",IFERROR(INDEX(Cl_quartier,MATCH(X588,Cl_cle,0))&amp;"",""))</f>
        <v/>
      </c>
      <c r="AB588" s="45">
        <f>IF(R588&lt;&gt;"Livrée",0,IF(K588&lt;&gt;"",K588,C588))</f>
        <v/>
      </c>
      <c r="AC588" s="33">
        <f>IF(OR(C588="",W588=""),"",P588&amp;"|"&amp;W588&amp;"|"&amp;C588&amp;"|"&amp;E588)</f>
        <v/>
      </c>
      <c r="AD588" s="39">
        <f>IF(AC588="","",IF(COUNTIF(AC$6:AC588,AC588)=1,1,0))</f>
        <v/>
      </c>
      <c r="AE588" s="39">
        <f>IF(AB588=0,"",IF(COUNTIFS(X$6:X588,X588,AB$6:AB588,AB588)=1,1,0))</f>
        <v/>
      </c>
      <c r="AF588" s="34">
        <f>IF(C588="","",YEAR(C588-WEEKDAY(C588,2)+4)&amp;"-S"&amp;TEXT(INT((C588-DATE(YEAR(C588-WEEKDAY(C588,2)+4),1,3)+WEEKDAY(DATE(YEAR(C588-WEEKDAY(C588,2)+4),1,3),2)+5)/7),"00"))</f>
        <v/>
      </c>
    </row>
    <row r="589" ht="18" customHeight="1">
      <c r="A589" s="39" t="n">
        <v>584</v>
      </c>
      <c r="B589" s="33">
        <f>IF(C589="","",IF(P589="À RENSEIGNER","GIC",P589)&amp;"-C"&amp;TEXT(A589,"00000"))</f>
        <v/>
      </c>
      <c r="C589" s="32" t="n"/>
      <c r="D589" s="36" t="n"/>
      <c r="E589" s="36" t="n"/>
      <c r="F589" s="36" t="n"/>
      <c r="G589" s="42" t="n"/>
      <c r="H589" s="37" t="n"/>
      <c r="I589" s="37" t="n"/>
      <c r="J589" s="32" t="n"/>
      <c r="K589" s="32" t="n"/>
      <c r="L589" s="43" t="n"/>
      <c r="M589" s="36" t="n"/>
      <c r="N589" s="44" t="n"/>
      <c r="O589" s="36" t="n"/>
      <c r="P589" s="33">
        <f>IF(C589="","",Commercial_Id)</f>
        <v/>
      </c>
      <c r="Q589" s="34">
        <f>IF(AC589="","",IF(AD589=1,"C"&amp;TEXT(SUM(AD$6:AD589),"0000"),INDEX(Q$6:Q588,MATCH(AC589,AC$6:AC588,0))))</f>
        <v/>
      </c>
      <c r="R589" s="34">
        <f>IF(C589="","",IF(L589="☑ Oui","Annulée",IF(OR(E589="Vente directe",K589&lt;&gt;""),"Livrée",IF(J589&lt;&gt;"","Confirmée","En attente"))))</f>
        <v/>
      </c>
      <c r="S589" s="34">
        <f>IF(F589="","",IFERROR(VLOOKUP(F589,T_Produits,2,FALSE),""))</f>
        <v/>
      </c>
      <c r="T589" s="40">
        <f>IF(F589="","",IFERROR(1/(1/VLOOKUP(F589,T_Produits,3,FALSE)),""))</f>
        <v/>
      </c>
      <c r="U589" s="40">
        <f>IF(H589&lt;&gt;"",H589,T589)</f>
        <v/>
      </c>
      <c r="V589" s="40">
        <f>IF(OR(G589="",U589=""),"",G589*U589-N(I589))</f>
        <v/>
      </c>
      <c r="W589" s="39">
        <f>IF(D589="","",IFERROR(VALUE(MID(D589,LEN(D589)-3,3)),""))</f>
        <v/>
      </c>
      <c r="X589" s="33">
        <f>IF(W589="","",P589&amp;"|"&amp;W589)</f>
        <v/>
      </c>
      <c r="Y589" s="33">
        <f>IF(W589="","",IF(P589="À RENSEIGNER","GIC",P589)&amp;"-"&amp;TEXT(W589,"000"))</f>
        <v/>
      </c>
      <c r="Z589" s="33">
        <f>IF(X589="","",IFERROR(INDEX(Cl_nom,MATCH(X589,Cl_cle,0)),"(client introuvable)"))</f>
        <v/>
      </c>
      <c r="AA589" s="33">
        <f>IF(X589="","",IFERROR(INDEX(Cl_quartier,MATCH(X589,Cl_cle,0))&amp;"",""))</f>
        <v/>
      </c>
      <c r="AB589" s="45">
        <f>IF(R589&lt;&gt;"Livrée",0,IF(K589&lt;&gt;"",K589,C589))</f>
        <v/>
      </c>
      <c r="AC589" s="33">
        <f>IF(OR(C589="",W589=""),"",P589&amp;"|"&amp;W589&amp;"|"&amp;C589&amp;"|"&amp;E589)</f>
        <v/>
      </c>
      <c r="AD589" s="39">
        <f>IF(AC589="","",IF(COUNTIF(AC$6:AC589,AC589)=1,1,0))</f>
        <v/>
      </c>
      <c r="AE589" s="39">
        <f>IF(AB589=0,"",IF(COUNTIFS(X$6:X589,X589,AB$6:AB589,AB589)=1,1,0))</f>
        <v/>
      </c>
      <c r="AF589" s="34">
        <f>IF(C589="","",YEAR(C589-WEEKDAY(C589,2)+4)&amp;"-S"&amp;TEXT(INT((C589-DATE(YEAR(C589-WEEKDAY(C589,2)+4),1,3)+WEEKDAY(DATE(YEAR(C589-WEEKDAY(C589,2)+4),1,3),2)+5)/7),"00"))</f>
        <v/>
      </c>
    </row>
    <row r="590" ht="18" customHeight="1">
      <c r="A590" s="39" t="n">
        <v>585</v>
      </c>
      <c r="B590" s="33">
        <f>IF(C590="","",IF(P590="À RENSEIGNER","GIC",P590)&amp;"-C"&amp;TEXT(A590,"00000"))</f>
        <v/>
      </c>
      <c r="C590" s="32" t="n"/>
      <c r="D590" s="36" t="n"/>
      <c r="E590" s="36" t="n"/>
      <c r="F590" s="36" t="n"/>
      <c r="G590" s="42" t="n"/>
      <c r="H590" s="37" t="n"/>
      <c r="I590" s="37" t="n"/>
      <c r="J590" s="32" t="n"/>
      <c r="K590" s="32" t="n"/>
      <c r="L590" s="43" t="n"/>
      <c r="M590" s="36" t="n"/>
      <c r="N590" s="44" t="n"/>
      <c r="O590" s="36" t="n"/>
      <c r="P590" s="33">
        <f>IF(C590="","",Commercial_Id)</f>
        <v/>
      </c>
      <c r="Q590" s="34">
        <f>IF(AC590="","",IF(AD590=1,"C"&amp;TEXT(SUM(AD$6:AD590),"0000"),INDEX(Q$6:Q589,MATCH(AC590,AC$6:AC589,0))))</f>
        <v/>
      </c>
      <c r="R590" s="34">
        <f>IF(C590="","",IF(L590="☑ Oui","Annulée",IF(OR(E590="Vente directe",K590&lt;&gt;""),"Livrée",IF(J590&lt;&gt;"","Confirmée","En attente"))))</f>
        <v/>
      </c>
      <c r="S590" s="34">
        <f>IF(F590="","",IFERROR(VLOOKUP(F590,T_Produits,2,FALSE),""))</f>
        <v/>
      </c>
      <c r="T590" s="40">
        <f>IF(F590="","",IFERROR(1/(1/VLOOKUP(F590,T_Produits,3,FALSE)),""))</f>
        <v/>
      </c>
      <c r="U590" s="40">
        <f>IF(H590&lt;&gt;"",H590,T590)</f>
        <v/>
      </c>
      <c r="V590" s="40">
        <f>IF(OR(G590="",U590=""),"",G590*U590-N(I590))</f>
        <v/>
      </c>
      <c r="W590" s="39">
        <f>IF(D590="","",IFERROR(VALUE(MID(D590,LEN(D590)-3,3)),""))</f>
        <v/>
      </c>
      <c r="X590" s="33">
        <f>IF(W590="","",P590&amp;"|"&amp;W590)</f>
        <v/>
      </c>
      <c r="Y590" s="33">
        <f>IF(W590="","",IF(P590="À RENSEIGNER","GIC",P590)&amp;"-"&amp;TEXT(W590,"000"))</f>
        <v/>
      </c>
      <c r="Z590" s="33">
        <f>IF(X590="","",IFERROR(INDEX(Cl_nom,MATCH(X590,Cl_cle,0)),"(client introuvable)"))</f>
        <v/>
      </c>
      <c r="AA590" s="33">
        <f>IF(X590="","",IFERROR(INDEX(Cl_quartier,MATCH(X590,Cl_cle,0))&amp;"",""))</f>
        <v/>
      </c>
      <c r="AB590" s="45">
        <f>IF(R590&lt;&gt;"Livrée",0,IF(K590&lt;&gt;"",K590,C590))</f>
        <v/>
      </c>
      <c r="AC590" s="33">
        <f>IF(OR(C590="",W590=""),"",P590&amp;"|"&amp;W590&amp;"|"&amp;C590&amp;"|"&amp;E590)</f>
        <v/>
      </c>
      <c r="AD590" s="39">
        <f>IF(AC590="","",IF(COUNTIF(AC$6:AC590,AC590)=1,1,0))</f>
        <v/>
      </c>
      <c r="AE590" s="39">
        <f>IF(AB590=0,"",IF(COUNTIFS(X$6:X590,X590,AB$6:AB590,AB590)=1,1,0))</f>
        <v/>
      </c>
      <c r="AF590" s="34">
        <f>IF(C590="","",YEAR(C590-WEEKDAY(C590,2)+4)&amp;"-S"&amp;TEXT(INT((C590-DATE(YEAR(C590-WEEKDAY(C590,2)+4),1,3)+WEEKDAY(DATE(YEAR(C590-WEEKDAY(C590,2)+4),1,3),2)+5)/7),"00"))</f>
        <v/>
      </c>
    </row>
    <row r="591" ht="18" customHeight="1">
      <c r="A591" s="39" t="n">
        <v>586</v>
      </c>
      <c r="B591" s="33">
        <f>IF(C591="","",IF(P591="À RENSEIGNER","GIC",P591)&amp;"-C"&amp;TEXT(A591,"00000"))</f>
        <v/>
      </c>
      <c r="C591" s="32" t="n"/>
      <c r="D591" s="36" t="n"/>
      <c r="E591" s="36" t="n"/>
      <c r="F591" s="36" t="n"/>
      <c r="G591" s="42" t="n"/>
      <c r="H591" s="37" t="n"/>
      <c r="I591" s="37" t="n"/>
      <c r="J591" s="32" t="n"/>
      <c r="K591" s="32" t="n"/>
      <c r="L591" s="43" t="n"/>
      <c r="M591" s="36" t="n"/>
      <c r="N591" s="44" t="n"/>
      <c r="O591" s="36" t="n"/>
      <c r="P591" s="33">
        <f>IF(C591="","",Commercial_Id)</f>
        <v/>
      </c>
      <c r="Q591" s="34">
        <f>IF(AC591="","",IF(AD591=1,"C"&amp;TEXT(SUM(AD$6:AD591),"0000"),INDEX(Q$6:Q590,MATCH(AC591,AC$6:AC590,0))))</f>
        <v/>
      </c>
      <c r="R591" s="34">
        <f>IF(C591="","",IF(L591="☑ Oui","Annulée",IF(OR(E591="Vente directe",K591&lt;&gt;""),"Livrée",IF(J591&lt;&gt;"","Confirmée","En attente"))))</f>
        <v/>
      </c>
      <c r="S591" s="34">
        <f>IF(F591="","",IFERROR(VLOOKUP(F591,T_Produits,2,FALSE),""))</f>
        <v/>
      </c>
      <c r="T591" s="40">
        <f>IF(F591="","",IFERROR(1/(1/VLOOKUP(F591,T_Produits,3,FALSE)),""))</f>
        <v/>
      </c>
      <c r="U591" s="40">
        <f>IF(H591&lt;&gt;"",H591,T591)</f>
        <v/>
      </c>
      <c r="V591" s="40">
        <f>IF(OR(G591="",U591=""),"",G591*U591-N(I591))</f>
        <v/>
      </c>
      <c r="W591" s="39">
        <f>IF(D591="","",IFERROR(VALUE(MID(D591,LEN(D591)-3,3)),""))</f>
        <v/>
      </c>
      <c r="X591" s="33">
        <f>IF(W591="","",P591&amp;"|"&amp;W591)</f>
        <v/>
      </c>
      <c r="Y591" s="33">
        <f>IF(W591="","",IF(P591="À RENSEIGNER","GIC",P591)&amp;"-"&amp;TEXT(W591,"000"))</f>
        <v/>
      </c>
      <c r="Z591" s="33">
        <f>IF(X591="","",IFERROR(INDEX(Cl_nom,MATCH(X591,Cl_cle,0)),"(client introuvable)"))</f>
        <v/>
      </c>
      <c r="AA591" s="33">
        <f>IF(X591="","",IFERROR(INDEX(Cl_quartier,MATCH(X591,Cl_cle,0))&amp;"",""))</f>
        <v/>
      </c>
      <c r="AB591" s="45">
        <f>IF(R591&lt;&gt;"Livrée",0,IF(K591&lt;&gt;"",K591,C591))</f>
        <v/>
      </c>
      <c r="AC591" s="33">
        <f>IF(OR(C591="",W591=""),"",P591&amp;"|"&amp;W591&amp;"|"&amp;C591&amp;"|"&amp;E591)</f>
        <v/>
      </c>
      <c r="AD591" s="39">
        <f>IF(AC591="","",IF(COUNTIF(AC$6:AC591,AC591)=1,1,0))</f>
        <v/>
      </c>
      <c r="AE591" s="39">
        <f>IF(AB591=0,"",IF(COUNTIFS(X$6:X591,X591,AB$6:AB591,AB591)=1,1,0))</f>
        <v/>
      </c>
      <c r="AF591" s="34">
        <f>IF(C591="","",YEAR(C591-WEEKDAY(C591,2)+4)&amp;"-S"&amp;TEXT(INT((C591-DATE(YEAR(C591-WEEKDAY(C591,2)+4),1,3)+WEEKDAY(DATE(YEAR(C591-WEEKDAY(C591,2)+4),1,3),2)+5)/7),"00"))</f>
        <v/>
      </c>
    </row>
    <row r="592" ht="18" customHeight="1">
      <c r="A592" s="39" t="n">
        <v>587</v>
      </c>
      <c r="B592" s="33">
        <f>IF(C592="","",IF(P592="À RENSEIGNER","GIC",P592)&amp;"-C"&amp;TEXT(A592,"00000"))</f>
        <v/>
      </c>
      <c r="C592" s="32" t="n"/>
      <c r="D592" s="36" t="n"/>
      <c r="E592" s="36" t="n"/>
      <c r="F592" s="36" t="n"/>
      <c r="G592" s="42" t="n"/>
      <c r="H592" s="37" t="n"/>
      <c r="I592" s="37" t="n"/>
      <c r="J592" s="32" t="n"/>
      <c r="K592" s="32" t="n"/>
      <c r="L592" s="43" t="n"/>
      <c r="M592" s="36" t="n"/>
      <c r="N592" s="44" t="n"/>
      <c r="O592" s="36" t="n"/>
      <c r="P592" s="33">
        <f>IF(C592="","",Commercial_Id)</f>
        <v/>
      </c>
      <c r="Q592" s="34">
        <f>IF(AC592="","",IF(AD592=1,"C"&amp;TEXT(SUM(AD$6:AD592),"0000"),INDEX(Q$6:Q591,MATCH(AC592,AC$6:AC591,0))))</f>
        <v/>
      </c>
      <c r="R592" s="34">
        <f>IF(C592="","",IF(L592="☑ Oui","Annulée",IF(OR(E592="Vente directe",K592&lt;&gt;""),"Livrée",IF(J592&lt;&gt;"","Confirmée","En attente"))))</f>
        <v/>
      </c>
      <c r="S592" s="34">
        <f>IF(F592="","",IFERROR(VLOOKUP(F592,T_Produits,2,FALSE),""))</f>
        <v/>
      </c>
      <c r="T592" s="40">
        <f>IF(F592="","",IFERROR(1/(1/VLOOKUP(F592,T_Produits,3,FALSE)),""))</f>
        <v/>
      </c>
      <c r="U592" s="40">
        <f>IF(H592&lt;&gt;"",H592,T592)</f>
        <v/>
      </c>
      <c r="V592" s="40">
        <f>IF(OR(G592="",U592=""),"",G592*U592-N(I592))</f>
        <v/>
      </c>
      <c r="W592" s="39">
        <f>IF(D592="","",IFERROR(VALUE(MID(D592,LEN(D592)-3,3)),""))</f>
        <v/>
      </c>
      <c r="X592" s="33">
        <f>IF(W592="","",P592&amp;"|"&amp;W592)</f>
        <v/>
      </c>
      <c r="Y592" s="33">
        <f>IF(W592="","",IF(P592="À RENSEIGNER","GIC",P592)&amp;"-"&amp;TEXT(W592,"000"))</f>
        <v/>
      </c>
      <c r="Z592" s="33">
        <f>IF(X592="","",IFERROR(INDEX(Cl_nom,MATCH(X592,Cl_cle,0)),"(client introuvable)"))</f>
        <v/>
      </c>
      <c r="AA592" s="33">
        <f>IF(X592="","",IFERROR(INDEX(Cl_quartier,MATCH(X592,Cl_cle,0))&amp;"",""))</f>
        <v/>
      </c>
      <c r="AB592" s="45">
        <f>IF(R592&lt;&gt;"Livrée",0,IF(K592&lt;&gt;"",K592,C592))</f>
        <v/>
      </c>
      <c r="AC592" s="33">
        <f>IF(OR(C592="",W592=""),"",P592&amp;"|"&amp;W592&amp;"|"&amp;C592&amp;"|"&amp;E592)</f>
        <v/>
      </c>
      <c r="AD592" s="39">
        <f>IF(AC592="","",IF(COUNTIF(AC$6:AC592,AC592)=1,1,0))</f>
        <v/>
      </c>
      <c r="AE592" s="39">
        <f>IF(AB592=0,"",IF(COUNTIFS(X$6:X592,X592,AB$6:AB592,AB592)=1,1,0))</f>
        <v/>
      </c>
      <c r="AF592" s="34">
        <f>IF(C592="","",YEAR(C592-WEEKDAY(C592,2)+4)&amp;"-S"&amp;TEXT(INT((C592-DATE(YEAR(C592-WEEKDAY(C592,2)+4),1,3)+WEEKDAY(DATE(YEAR(C592-WEEKDAY(C592,2)+4),1,3),2)+5)/7),"00"))</f>
        <v/>
      </c>
    </row>
    <row r="593" ht="18" customHeight="1">
      <c r="A593" s="39" t="n">
        <v>588</v>
      </c>
      <c r="B593" s="33">
        <f>IF(C593="","",IF(P593="À RENSEIGNER","GIC",P593)&amp;"-C"&amp;TEXT(A593,"00000"))</f>
        <v/>
      </c>
      <c r="C593" s="32" t="n"/>
      <c r="D593" s="36" t="n"/>
      <c r="E593" s="36" t="n"/>
      <c r="F593" s="36" t="n"/>
      <c r="G593" s="42" t="n"/>
      <c r="H593" s="37" t="n"/>
      <c r="I593" s="37" t="n"/>
      <c r="J593" s="32" t="n"/>
      <c r="K593" s="32" t="n"/>
      <c r="L593" s="43" t="n"/>
      <c r="M593" s="36" t="n"/>
      <c r="N593" s="44" t="n"/>
      <c r="O593" s="36" t="n"/>
      <c r="P593" s="33">
        <f>IF(C593="","",Commercial_Id)</f>
        <v/>
      </c>
      <c r="Q593" s="34">
        <f>IF(AC593="","",IF(AD593=1,"C"&amp;TEXT(SUM(AD$6:AD593),"0000"),INDEX(Q$6:Q592,MATCH(AC593,AC$6:AC592,0))))</f>
        <v/>
      </c>
      <c r="R593" s="34">
        <f>IF(C593="","",IF(L593="☑ Oui","Annulée",IF(OR(E593="Vente directe",K593&lt;&gt;""),"Livrée",IF(J593&lt;&gt;"","Confirmée","En attente"))))</f>
        <v/>
      </c>
      <c r="S593" s="34">
        <f>IF(F593="","",IFERROR(VLOOKUP(F593,T_Produits,2,FALSE),""))</f>
        <v/>
      </c>
      <c r="T593" s="40">
        <f>IF(F593="","",IFERROR(1/(1/VLOOKUP(F593,T_Produits,3,FALSE)),""))</f>
        <v/>
      </c>
      <c r="U593" s="40">
        <f>IF(H593&lt;&gt;"",H593,T593)</f>
        <v/>
      </c>
      <c r="V593" s="40">
        <f>IF(OR(G593="",U593=""),"",G593*U593-N(I593))</f>
        <v/>
      </c>
      <c r="W593" s="39">
        <f>IF(D593="","",IFERROR(VALUE(MID(D593,LEN(D593)-3,3)),""))</f>
        <v/>
      </c>
      <c r="X593" s="33">
        <f>IF(W593="","",P593&amp;"|"&amp;W593)</f>
        <v/>
      </c>
      <c r="Y593" s="33">
        <f>IF(W593="","",IF(P593="À RENSEIGNER","GIC",P593)&amp;"-"&amp;TEXT(W593,"000"))</f>
        <v/>
      </c>
      <c r="Z593" s="33">
        <f>IF(X593="","",IFERROR(INDEX(Cl_nom,MATCH(X593,Cl_cle,0)),"(client introuvable)"))</f>
        <v/>
      </c>
      <c r="AA593" s="33">
        <f>IF(X593="","",IFERROR(INDEX(Cl_quartier,MATCH(X593,Cl_cle,0))&amp;"",""))</f>
        <v/>
      </c>
      <c r="AB593" s="45">
        <f>IF(R593&lt;&gt;"Livrée",0,IF(K593&lt;&gt;"",K593,C593))</f>
        <v/>
      </c>
      <c r="AC593" s="33">
        <f>IF(OR(C593="",W593=""),"",P593&amp;"|"&amp;W593&amp;"|"&amp;C593&amp;"|"&amp;E593)</f>
        <v/>
      </c>
      <c r="AD593" s="39">
        <f>IF(AC593="","",IF(COUNTIF(AC$6:AC593,AC593)=1,1,0))</f>
        <v/>
      </c>
      <c r="AE593" s="39">
        <f>IF(AB593=0,"",IF(COUNTIFS(X$6:X593,X593,AB$6:AB593,AB593)=1,1,0))</f>
        <v/>
      </c>
      <c r="AF593" s="34">
        <f>IF(C593="","",YEAR(C593-WEEKDAY(C593,2)+4)&amp;"-S"&amp;TEXT(INT((C593-DATE(YEAR(C593-WEEKDAY(C593,2)+4),1,3)+WEEKDAY(DATE(YEAR(C593-WEEKDAY(C593,2)+4),1,3),2)+5)/7),"00"))</f>
        <v/>
      </c>
    </row>
    <row r="594" ht="18" customHeight="1">
      <c r="A594" s="39" t="n">
        <v>589</v>
      </c>
      <c r="B594" s="33">
        <f>IF(C594="","",IF(P594="À RENSEIGNER","GIC",P594)&amp;"-C"&amp;TEXT(A594,"00000"))</f>
        <v/>
      </c>
      <c r="C594" s="32" t="n"/>
      <c r="D594" s="36" t="n"/>
      <c r="E594" s="36" t="n"/>
      <c r="F594" s="36" t="n"/>
      <c r="G594" s="42" t="n"/>
      <c r="H594" s="37" t="n"/>
      <c r="I594" s="37" t="n"/>
      <c r="J594" s="32" t="n"/>
      <c r="K594" s="32" t="n"/>
      <c r="L594" s="43" t="n"/>
      <c r="M594" s="36" t="n"/>
      <c r="N594" s="44" t="n"/>
      <c r="O594" s="36" t="n"/>
      <c r="P594" s="33">
        <f>IF(C594="","",Commercial_Id)</f>
        <v/>
      </c>
      <c r="Q594" s="34">
        <f>IF(AC594="","",IF(AD594=1,"C"&amp;TEXT(SUM(AD$6:AD594),"0000"),INDEX(Q$6:Q593,MATCH(AC594,AC$6:AC593,0))))</f>
        <v/>
      </c>
      <c r="R594" s="34">
        <f>IF(C594="","",IF(L594="☑ Oui","Annulée",IF(OR(E594="Vente directe",K594&lt;&gt;""),"Livrée",IF(J594&lt;&gt;"","Confirmée","En attente"))))</f>
        <v/>
      </c>
      <c r="S594" s="34">
        <f>IF(F594="","",IFERROR(VLOOKUP(F594,T_Produits,2,FALSE),""))</f>
        <v/>
      </c>
      <c r="T594" s="40">
        <f>IF(F594="","",IFERROR(1/(1/VLOOKUP(F594,T_Produits,3,FALSE)),""))</f>
        <v/>
      </c>
      <c r="U594" s="40">
        <f>IF(H594&lt;&gt;"",H594,T594)</f>
        <v/>
      </c>
      <c r="V594" s="40">
        <f>IF(OR(G594="",U594=""),"",G594*U594-N(I594))</f>
        <v/>
      </c>
      <c r="W594" s="39">
        <f>IF(D594="","",IFERROR(VALUE(MID(D594,LEN(D594)-3,3)),""))</f>
        <v/>
      </c>
      <c r="X594" s="33">
        <f>IF(W594="","",P594&amp;"|"&amp;W594)</f>
        <v/>
      </c>
      <c r="Y594" s="33">
        <f>IF(W594="","",IF(P594="À RENSEIGNER","GIC",P594)&amp;"-"&amp;TEXT(W594,"000"))</f>
        <v/>
      </c>
      <c r="Z594" s="33">
        <f>IF(X594="","",IFERROR(INDEX(Cl_nom,MATCH(X594,Cl_cle,0)),"(client introuvable)"))</f>
        <v/>
      </c>
      <c r="AA594" s="33">
        <f>IF(X594="","",IFERROR(INDEX(Cl_quartier,MATCH(X594,Cl_cle,0))&amp;"",""))</f>
        <v/>
      </c>
      <c r="AB594" s="45">
        <f>IF(R594&lt;&gt;"Livrée",0,IF(K594&lt;&gt;"",K594,C594))</f>
        <v/>
      </c>
      <c r="AC594" s="33">
        <f>IF(OR(C594="",W594=""),"",P594&amp;"|"&amp;W594&amp;"|"&amp;C594&amp;"|"&amp;E594)</f>
        <v/>
      </c>
      <c r="AD594" s="39">
        <f>IF(AC594="","",IF(COUNTIF(AC$6:AC594,AC594)=1,1,0))</f>
        <v/>
      </c>
      <c r="AE594" s="39">
        <f>IF(AB594=0,"",IF(COUNTIFS(X$6:X594,X594,AB$6:AB594,AB594)=1,1,0))</f>
        <v/>
      </c>
      <c r="AF594" s="34">
        <f>IF(C594="","",YEAR(C594-WEEKDAY(C594,2)+4)&amp;"-S"&amp;TEXT(INT((C594-DATE(YEAR(C594-WEEKDAY(C594,2)+4),1,3)+WEEKDAY(DATE(YEAR(C594-WEEKDAY(C594,2)+4),1,3),2)+5)/7),"00"))</f>
        <v/>
      </c>
    </row>
    <row r="595" ht="18" customHeight="1">
      <c r="A595" s="39" t="n">
        <v>590</v>
      </c>
      <c r="B595" s="33">
        <f>IF(C595="","",IF(P595="À RENSEIGNER","GIC",P595)&amp;"-C"&amp;TEXT(A595,"00000"))</f>
        <v/>
      </c>
      <c r="C595" s="32" t="n"/>
      <c r="D595" s="36" t="n"/>
      <c r="E595" s="36" t="n"/>
      <c r="F595" s="36" t="n"/>
      <c r="G595" s="42" t="n"/>
      <c r="H595" s="37" t="n"/>
      <c r="I595" s="37" t="n"/>
      <c r="J595" s="32" t="n"/>
      <c r="K595" s="32" t="n"/>
      <c r="L595" s="43" t="n"/>
      <c r="M595" s="36" t="n"/>
      <c r="N595" s="44" t="n"/>
      <c r="O595" s="36" t="n"/>
      <c r="P595" s="33">
        <f>IF(C595="","",Commercial_Id)</f>
        <v/>
      </c>
      <c r="Q595" s="34">
        <f>IF(AC595="","",IF(AD595=1,"C"&amp;TEXT(SUM(AD$6:AD595),"0000"),INDEX(Q$6:Q594,MATCH(AC595,AC$6:AC594,0))))</f>
        <v/>
      </c>
      <c r="R595" s="34">
        <f>IF(C595="","",IF(L595="☑ Oui","Annulée",IF(OR(E595="Vente directe",K595&lt;&gt;""),"Livrée",IF(J595&lt;&gt;"","Confirmée","En attente"))))</f>
        <v/>
      </c>
      <c r="S595" s="34">
        <f>IF(F595="","",IFERROR(VLOOKUP(F595,T_Produits,2,FALSE),""))</f>
        <v/>
      </c>
      <c r="T595" s="40">
        <f>IF(F595="","",IFERROR(1/(1/VLOOKUP(F595,T_Produits,3,FALSE)),""))</f>
        <v/>
      </c>
      <c r="U595" s="40">
        <f>IF(H595&lt;&gt;"",H595,T595)</f>
        <v/>
      </c>
      <c r="V595" s="40">
        <f>IF(OR(G595="",U595=""),"",G595*U595-N(I595))</f>
        <v/>
      </c>
      <c r="W595" s="39">
        <f>IF(D595="","",IFERROR(VALUE(MID(D595,LEN(D595)-3,3)),""))</f>
        <v/>
      </c>
      <c r="X595" s="33">
        <f>IF(W595="","",P595&amp;"|"&amp;W595)</f>
        <v/>
      </c>
      <c r="Y595" s="33">
        <f>IF(W595="","",IF(P595="À RENSEIGNER","GIC",P595)&amp;"-"&amp;TEXT(W595,"000"))</f>
        <v/>
      </c>
      <c r="Z595" s="33">
        <f>IF(X595="","",IFERROR(INDEX(Cl_nom,MATCH(X595,Cl_cle,0)),"(client introuvable)"))</f>
        <v/>
      </c>
      <c r="AA595" s="33">
        <f>IF(X595="","",IFERROR(INDEX(Cl_quartier,MATCH(X595,Cl_cle,0))&amp;"",""))</f>
        <v/>
      </c>
      <c r="AB595" s="45">
        <f>IF(R595&lt;&gt;"Livrée",0,IF(K595&lt;&gt;"",K595,C595))</f>
        <v/>
      </c>
      <c r="AC595" s="33">
        <f>IF(OR(C595="",W595=""),"",P595&amp;"|"&amp;W595&amp;"|"&amp;C595&amp;"|"&amp;E595)</f>
        <v/>
      </c>
      <c r="AD595" s="39">
        <f>IF(AC595="","",IF(COUNTIF(AC$6:AC595,AC595)=1,1,0))</f>
        <v/>
      </c>
      <c r="AE595" s="39">
        <f>IF(AB595=0,"",IF(COUNTIFS(X$6:X595,X595,AB$6:AB595,AB595)=1,1,0))</f>
        <v/>
      </c>
      <c r="AF595" s="34">
        <f>IF(C595="","",YEAR(C595-WEEKDAY(C595,2)+4)&amp;"-S"&amp;TEXT(INT((C595-DATE(YEAR(C595-WEEKDAY(C595,2)+4),1,3)+WEEKDAY(DATE(YEAR(C595-WEEKDAY(C595,2)+4),1,3),2)+5)/7),"00"))</f>
        <v/>
      </c>
    </row>
    <row r="596" ht="18" customHeight="1">
      <c r="A596" s="39" t="n">
        <v>591</v>
      </c>
      <c r="B596" s="33">
        <f>IF(C596="","",IF(P596="À RENSEIGNER","GIC",P596)&amp;"-C"&amp;TEXT(A596,"00000"))</f>
        <v/>
      </c>
      <c r="C596" s="32" t="n"/>
      <c r="D596" s="36" t="n"/>
      <c r="E596" s="36" t="n"/>
      <c r="F596" s="36" t="n"/>
      <c r="G596" s="42" t="n"/>
      <c r="H596" s="37" t="n"/>
      <c r="I596" s="37" t="n"/>
      <c r="J596" s="32" t="n"/>
      <c r="K596" s="32" t="n"/>
      <c r="L596" s="43" t="n"/>
      <c r="M596" s="36" t="n"/>
      <c r="N596" s="44" t="n"/>
      <c r="O596" s="36" t="n"/>
      <c r="P596" s="33">
        <f>IF(C596="","",Commercial_Id)</f>
        <v/>
      </c>
      <c r="Q596" s="34">
        <f>IF(AC596="","",IF(AD596=1,"C"&amp;TEXT(SUM(AD$6:AD596),"0000"),INDEX(Q$6:Q595,MATCH(AC596,AC$6:AC595,0))))</f>
        <v/>
      </c>
      <c r="R596" s="34">
        <f>IF(C596="","",IF(L596="☑ Oui","Annulée",IF(OR(E596="Vente directe",K596&lt;&gt;""),"Livrée",IF(J596&lt;&gt;"","Confirmée","En attente"))))</f>
        <v/>
      </c>
      <c r="S596" s="34">
        <f>IF(F596="","",IFERROR(VLOOKUP(F596,T_Produits,2,FALSE),""))</f>
        <v/>
      </c>
      <c r="T596" s="40">
        <f>IF(F596="","",IFERROR(1/(1/VLOOKUP(F596,T_Produits,3,FALSE)),""))</f>
        <v/>
      </c>
      <c r="U596" s="40">
        <f>IF(H596&lt;&gt;"",H596,T596)</f>
        <v/>
      </c>
      <c r="V596" s="40">
        <f>IF(OR(G596="",U596=""),"",G596*U596-N(I596))</f>
        <v/>
      </c>
      <c r="W596" s="39">
        <f>IF(D596="","",IFERROR(VALUE(MID(D596,LEN(D596)-3,3)),""))</f>
        <v/>
      </c>
      <c r="X596" s="33">
        <f>IF(W596="","",P596&amp;"|"&amp;W596)</f>
        <v/>
      </c>
      <c r="Y596" s="33">
        <f>IF(W596="","",IF(P596="À RENSEIGNER","GIC",P596)&amp;"-"&amp;TEXT(W596,"000"))</f>
        <v/>
      </c>
      <c r="Z596" s="33">
        <f>IF(X596="","",IFERROR(INDEX(Cl_nom,MATCH(X596,Cl_cle,0)),"(client introuvable)"))</f>
        <v/>
      </c>
      <c r="AA596" s="33">
        <f>IF(X596="","",IFERROR(INDEX(Cl_quartier,MATCH(X596,Cl_cle,0))&amp;"",""))</f>
        <v/>
      </c>
      <c r="AB596" s="45">
        <f>IF(R596&lt;&gt;"Livrée",0,IF(K596&lt;&gt;"",K596,C596))</f>
        <v/>
      </c>
      <c r="AC596" s="33">
        <f>IF(OR(C596="",W596=""),"",P596&amp;"|"&amp;W596&amp;"|"&amp;C596&amp;"|"&amp;E596)</f>
        <v/>
      </c>
      <c r="AD596" s="39">
        <f>IF(AC596="","",IF(COUNTIF(AC$6:AC596,AC596)=1,1,0))</f>
        <v/>
      </c>
      <c r="AE596" s="39">
        <f>IF(AB596=0,"",IF(COUNTIFS(X$6:X596,X596,AB$6:AB596,AB596)=1,1,0))</f>
        <v/>
      </c>
      <c r="AF596" s="34">
        <f>IF(C596="","",YEAR(C596-WEEKDAY(C596,2)+4)&amp;"-S"&amp;TEXT(INT((C596-DATE(YEAR(C596-WEEKDAY(C596,2)+4),1,3)+WEEKDAY(DATE(YEAR(C596-WEEKDAY(C596,2)+4),1,3),2)+5)/7),"00"))</f>
        <v/>
      </c>
    </row>
    <row r="597" ht="18" customHeight="1">
      <c r="A597" s="39" t="n">
        <v>592</v>
      </c>
      <c r="B597" s="33">
        <f>IF(C597="","",IF(P597="À RENSEIGNER","GIC",P597)&amp;"-C"&amp;TEXT(A597,"00000"))</f>
        <v/>
      </c>
      <c r="C597" s="32" t="n"/>
      <c r="D597" s="36" t="n"/>
      <c r="E597" s="36" t="n"/>
      <c r="F597" s="36" t="n"/>
      <c r="G597" s="42" t="n"/>
      <c r="H597" s="37" t="n"/>
      <c r="I597" s="37" t="n"/>
      <c r="J597" s="32" t="n"/>
      <c r="K597" s="32" t="n"/>
      <c r="L597" s="43" t="n"/>
      <c r="M597" s="36" t="n"/>
      <c r="N597" s="44" t="n"/>
      <c r="O597" s="36" t="n"/>
      <c r="P597" s="33">
        <f>IF(C597="","",Commercial_Id)</f>
        <v/>
      </c>
      <c r="Q597" s="34">
        <f>IF(AC597="","",IF(AD597=1,"C"&amp;TEXT(SUM(AD$6:AD597),"0000"),INDEX(Q$6:Q596,MATCH(AC597,AC$6:AC596,0))))</f>
        <v/>
      </c>
      <c r="R597" s="34">
        <f>IF(C597="","",IF(L597="☑ Oui","Annulée",IF(OR(E597="Vente directe",K597&lt;&gt;""),"Livrée",IF(J597&lt;&gt;"","Confirmée","En attente"))))</f>
        <v/>
      </c>
      <c r="S597" s="34">
        <f>IF(F597="","",IFERROR(VLOOKUP(F597,T_Produits,2,FALSE),""))</f>
        <v/>
      </c>
      <c r="T597" s="40">
        <f>IF(F597="","",IFERROR(1/(1/VLOOKUP(F597,T_Produits,3,FALSE)),""))</f>
        <v/>
      </c>
      <c r="U597" s="40">
        <f>IF(H597&lt;&gt;"",H597,T597)</f>
        <v/>
      </c>
      <c r="V597" s="40">
        <f>IF(OR(G597="",U597=""),"",G597*U597-N(I597))</f>
        <v/>
      </c>
      <c r="W597" s="39">
        <f>IF(D597="","",IFERROR(VALUE(MID(D597,LEN(D597)-3,3)),""))</f>
        <v/>
      </c>
      <c r="X597" s="33">
        <f>IF(W597="","",P597&amp;"|"&amp;W597)</f>
        <v/>
      </c>
      <c r="Y597" s="33">
        <f>IF(W597="","",IF(P597="À RENSEIGNER","GIC",P597)&amp;"-"&amp;TEXT(W597,"000"))</f>
        <v/>
      </c>
      <c r="Z597" s="33">
        <f>IF(X597="","",IFERROR(INDEX(Cl_nom,MATCH(X597,Cl_cle,0)),"(client introuvable)"))</f>
        <v/>
      </c>
      <c r="AA597" s="33">
        <f>IF(X597="","",IFERROR(INDEX(Cl_quartier,MATCH(X597,Cl_cle,0))&amp;"",""))</f>
        <v/>
      </c>
      <c r="AB597" s="45">
        <f>IF(R597&lt;&gt;"Livrée",0,IF(K597&lt;&gt;"",K597,C597))</f>
        <v/>
      </c>
      <c r="AC597" s="33">
        <f>IF(OR(C597="",W597=""),"",P597&amp;"|"&amp;W597&amp;"|"&amp;C597&amp;"|"&amp;E597)</f>
        <v/>
      </c>
      <c r="AD597" s="39">
        <f>IF(AC597="","",IF(COUNTIF(AC$6:AC597,AC597)=1,1,0))</f>
        <v/>
      </c>
      <c r="AE597" s="39">
        <f>IF(AB597=0,"",IF(COUNTIFS(X$6:X597,X597,AB$6:AB597,AB597)=1,1,0))</f>
        <v/>
      </c>
      <c r="AF597" s="34">
        <f>IF(C597="","",YEAR(C597-WEEKDAY(C597,2)+4)&amp;"-S"&amp;TEXT(INT((C597-DATE(YEAR(C597-WEEKDAY(C597,2)+4),1,3)+WEEKDAY(DATE(YEAR(C597-WEEKDAY(C597,2)+4),1,3),2)+5)/7),"00"))</f>
        <v/>
      </c>
    </row>
    <row r="598" ht="18" customHeight="1">
      <c r="A598" s="39" t="n">
        <v>593</v>
      </c>
      <c r="B598" s="33">
        <f>IF(C598="","",IF(P598="À RENSEIGNER","GIC",P598)&amp;"-C"&amp;TEXT(A598,"00000"))</f>
        <v/>
      </c>
      <c r="C598" s="32" t="n"/>
      <c r="D598" s="36" t="n"/>
      <c r="E598" s="36" t="n"/>
      <c r="F598" s="36" t="n"/>
      <c r="G598" s="42" t="n"/>
      <c r="H598" s="37" t="n"/>
      <c r="I598" s="37" t="n"/>
      <c r="J598" s="32" t="n"/>
      <c r="K598" s="32" t="n"/>
      <c r="L598" s="43" t="n"/>
      <c r="M598" s="36" t="n"/>
      <c r="N598" s="44" t="n"/>
      <c r="O598" s="36" t="n"/>
      <c r="P598" s="33">
        <f>IF(C598="","",Commercial_Id)</f>
        <v/>
      </c>
      <c r="Q598" s="34">
        <f>IF(AC598="","",IF(AD598=1,"C"&amp;TEXT(SUM(AD$6:AD598),"0000"),INDEX(Q$6:Q597,MATCH(AC598,AC$6:AC597,0))))</f>
        <v/>
      </c>
      <c r="R598" s="34">
        <f>IF(C598="","",IF(L598="☑ Oui","Annulée",IF(OR(E598="Vente directe",K598&lt;&gt;""),"Livrée",IF(J598&lt;&gt;"","Confirmée","En attente"))))</f>
        <v/>
      </c>
      <c r="S598" s="34">
        <f>IF(F598="","",IFERROR(VLOOKUP(F598,T_Produits,2,FALSE),""))</f>
        <v/>
      </c>
      <c r="T598" s="40">
        <f>IF(F598="","",IFERROR(1/(1/VLOOKUP(F598,T_Produits,3,FALSE)),""))</f>
        <v/>
      </c>
      <c r="U598" s="40">
        <f>IF(H598&lt;&gt;"",H598,T598)</f>
        <v/>
      </c>
      <c r="V598" s="40">
        <f>IF(OR(G598="",U598=""),"",G598*U598-N(I598))</f>
        <v/>
      </c>
      <c r="W598" s="39">
        <f>IF(D598="","",IFERROR(VALUE(MID(D598,LEN(D598)-3,3)),""))</f>
        <v/>
      </c>
      <c r="X598" s="33">
        <f>IF(W598="","",P598&amp;"|"&amp;W598)</f>
        <v/>
      </c>
      <c r="Y598" s="33">
        <f>IF(W598="","",IF(P598="À RENSEIGNER","GIC",P598)&amp;"-"&amp;TEXT(W598,"000"))</f>
        <v/>
      </c>
      <c r="Z598" s="33">
        <f>IF(X598="","",IFERROR(INDEX(Cl_nom,MATCH(X598,Cl_cle,0)),"(client introuvable)"))</f>
        <v/>
      </c>
      <c r="AA598" s="33">
        <f>IF(X598="","",IFERROR(INDEX(Cl_quartier,MATCH(X598,Cl_cle,0))&amp;"",""))</f>
        <v/>
      </c>
      <c r="AB598" s="45">
        <f>IF(R598&lt;&gt;"Livrée",0,IF(K598&lt;&gt;"",K598,C598))</f>
        <v/>
      </c>
      <c r="AC598" s="33">
        <f>IF(OR(C598="",W598=""),"",P598&amp;"|"&amp;W598&amp;"|"&amp;C598&amp;"|"&amp;E598)</f>
        <v/>
      </c>
      <c r="AD598" s="39">
        <f>IF(AC598="","",IF(COUNTIF(AC$6:AC598,AC598)=1,1,0))</f>
        <v/>
      </c>
      <c r="AE598" s="39">
        <f>IF(AB598=0,"",IF(COUNTIFS(X$6:X598,X598,AB$6:AB598,AB598)=1,1,0))</f>
        <v/>
      </c>
      <c r="AF598" s="34">
        <f>IF(C598="","",YEAR(C598-WEEKDAY(C598,2)+4)&amp;"-S"&amp;TEXT(INT((C598-DATE(YEAR(C598-WEEKDAY(C598,2)+4),1,3)+WEEKDAY(DATE(YEAR(C598-WEEKDAY(C598,2)+4),1,3),2)+5)/7),"00"))</f>
        <v/>
      </c>
    </row>
    <row r="599" ht="18" customHeight="1">
      <c r="A599" s="39" t="n">
        <v>594</v>
      </c>
      <c r="B599" s="33">
        <f>IF(C599="","",IF(P599="À RENSEIGNER","GIC",P599)&amp;"-C"&amp;TEXT(A599,"00000"))</f>
        <v/>
      </c>
      <c r="C599" s="32" t="n"/>
      <c r="D599" s="36" t="n"/>
      <c r="E599" s="36" t="n"/>
      <c r="F599" s="36" t="n"/>
      <c r="G599" s="42" t="n"/>
      <c r="H599" s="37" t="n"/>
      <c r="I599" s="37" t="n"/>
      <c r="J599" s="32" t="n"/>
      <c r="K599" s="32" t="n"/>
      <c r="L599" s="43" t="n"/>
      <c r="M599" s="36" t="n"/>
      <c r="N599" s="44" t="n"/>
      <c r="O599" s="36" t="n"/>
      <c r="P599" s="33">
        <f>IF(C599="","",Commercial_Id)</f>
        <v/>
      </c>
      <c r="Q599" s="34">
        <f>IF(AC599="","",IF(AD599=1,"C"&amp;TEXT(SUM(AD$6:AD599),"0000"),INDEX(Q$6:Q598,MATCH(AC599,AC$6:AC598,0))))</f>
        <v/>
      </c>
      <c r="R599" s="34">
        <f>IF(C599="","",IF(L599="☑ Oui","Annulée",IF(OR(E599="Vente directe",K599&lt;&gt;""),"Livrée",IF(J599&lt;&gt;"","Confirmée","En attente"))))</f>
        <v/>
      </c>
      <c r="S599" s="34">
        <f>IF(F599="","",IFERROR(VLOOKUP(F599,T_Produits,2,FALSE),""))</f>
        <v/>
      </c>
      <c r="T599" s="40">
        <f>IF(F599="","",IFERROR(1/(1/VLOOKUP(F599,T_Produits,3,FALSE)),""))</f>
        <v/>
      </c>
      <c r="U599" s="40">
        <f>IF(H599&lt;&gt;"",H599,T599)</f>
        <v/>
      </c>
      <c r="V599" s="40">
        <f>IF(OR(G599="",U599=""),"",G599*U599-N(I599))</f>
        <v/>
      </c>
      <c r="W599" s="39">
        <f>IF(D599="","",IFERROR(VALUE(MID(D599,LEN(D599)-3,3)),""))</f>
        <v/>
      </c>
      <c r="X599" s="33">
        <f>IF(W599="","",P599&amp;"|"&amp;W599)</f>
        <v/>
      </c>
      <c r="Y599" s="33">
        <f>IF(W599="","",IF(P599="À RENSEIGNER","GIC",P599)&amp;"-"&amp;TEXT(W599,"000"))</f>
        <v/>
      </c>
      <c r="Z599" s="33">
        <f>IF(X599="","",IFERROR(INDEX(Cl_nom,MATCH(X599,Cl_cle,0)),"(client introuvable)"))</f>
        <v/>
      </c>
      <c r="AA599" s="33">
        <f>IF(X599="","",IFERROR(INDEX(Cl_quartier,MATCH(X599,Cl_cle,0))&amp;"",""))</f>
        <v/>
      </c>
      <c r="AB599" s="45">
        <f>IF(R599&lt;&gt;"Livrée",0,IF(K599&lt;&gt;"",K599,C599))</f>
        <v/>
      </c>
      <c r="AC599" s="33">
        <f>IF(OR(C599="",W599=""),"",P599&amp;"|"&amp;W599&amp;"|"&amp;C599&amp;"|"&amp;E599)</f>
        <v/>
      </c>
      <c r="AD599" s="39">
        <f>IF(AC599="","",IF(COUNTIF(AC$6:AC599,AC599)=1,1,0))</f>
        <v/>
      </c>
      <c r="AE599" s="39">
        <f>IF(AB599=0,"",IF(COUNTIFS(X$6:X599,X599,AB$6:AB599,AB599)=1,1,0))</f>
        <v/>
      </c>
      <c r="AF599" s="34">
        <f>IF(C599="","",YEAR(C599-WEEKDAY(C599,2)+4)&amp;"-S"&amp;TEXT(INT((C599-DATE(YEAR(C599-WEEKDAY(C599,2)+4),1,3)+WEEKDAY(DATE(YEAR(C599-WEEKDAY(C599,2)+4),1,3),2)+5)/7),"00"))</f>
        <v/>
      </c>
    </row>
    <row r="600" ht="18" customHeight="1">
      <c r="A600" s="39" t="n">
        <v>595</v>
      </c>
      <c r="B600" s="33">
        <f>IF(C600="","",IF(P600="À RENSEIGNER","GIC",P600)&amp;"-C"&amp;TEXT(A600,"00000"))</f>
        <v/>
      </c>
      <c r="C600" s="32" t="n"/>
      <c r="D600" s="36" t="n"/>
      <c r="E600" s="36" t="n"/>
      <c r="F600" s="36" t="n"/>
      <c r="G600" s="42" t="n"/>
      <c r="H600" s="37" t="n"/>
      <c r="I600" s="37" t="n"/>
      <c r="J600" s="32" t="n"/>
      <c r="K600" s="32" t="n"/>
      <c r="L600" s="43" t="n"/>
      <c r="M600" s="36" t="n"/>
      <c r="N600" s="44" t="n"/>
      <c r="O600" s="36" t="n"/>
      <c r="P600" s="33">
        <f>IF(C600="","",Commercial_Id)</f>
        <v/>
      </c>
      <c r="Q600" s="34">
        <f>IF(AC600="","",IF(AD600=1,"C"&amp;TEXT(SUM(AD$6:AD600),"0000"),INDEX(Q$6:Q599,MATCH(AC600,AC$6:AC599,0))))</f>
        <v/>
      </c>
      <c r="R600" s="34">
        <f>IF(C600="","",IF(L600="☑ Oui","Annulée",IF(OR(E600="Vente directe",K600&lt;&gt;""),"Livrée",IF(J600&lt;&gt;"","Confirmée","En attente"))))</f>
        <v/>
      </c>
      <c r="S600" s="34">
        <f>IF(F600="","",IFERROR(VLOOKUP(F600,T_Produits,2,FALSE),""))</f>
        <v/>
      </c>
      <c r="T600" s="40">
        <f>IF(F600="","",IFERROR(1/(1/VLOOKUP(F600,T_Produits,3,FALSE)),""))</f>
        <v/>
      </c>
      <c r="U600" s="40">
        <f>IF(H600&lt;&gt;"",H600,T600)</f>
        <v/>
      </c>
      <c r="V600" s="40">
        <f>IF(OR(G600="",U600=""),"",G600*U600-N(I600))</f>
        <v/>
      </c>
      <c r="W600" s="39">
        <f>IF(D600="","",IFERROR(VALUE(MID(D600,LEN(D600)-3,3)),""))</f>
        <v/>
      </c>
      <c r="X600" s="33">
        <f>IF(W600="","",P600&amp;"|"&amp;W600)</f>
        <v/>
      </c>
      <c r="Y600" s="33">
        <f>IF(W600="","",IF(P600="À RENSEIGNER","GIC",P600)&amp;"-"&amp;TEXT(W600,"000"))</f>
        <v/>
      </c>
      <c r="Z600" s="33">
        <f>IF(X600="","",IFERROR(INDEX(Cl_nom,MATCH(X600,Cl_cle,0)),"(client introuvable)"))</f>
        <v/>
      </c>
      <c r="AA600" s="33">
        <f>IF(X600="","",IFERROR(INDEX(Cl_quartier,MATCH(X600,Cl_cle,0))&amp;"",""))</f>
        <v/>
      </c>
      <c r="AB600" s="45">
        <f>IF(R600&lt;&gt;"Livrée",0,IF(K600&lt;&gt;"",K600,C600))</f>
        <v/>
      </c>
      <c r="AC600" s="33">
        <f>IF(OR(C600="",W600=""),"",P600&amp;"|"&amp;W600&amp;"|"&amp;C600&amp;"|"&amp;E600)</f>
        <v/>
      </c>
      <c r="AD600" s="39">
        <f>IF(AC600="","",IF(COUNTIF(AC$6:AC600,AC600)=1,1,0))</f>
        <v/>
      </c>
      <c r="AE600" s="39">
        <f>IF(AB600=0,"",IF(COUNTIFS(X$6:X600,X600,AB$6:AB600,AB600)=1,1,0))</f>
        <v/>
      </c>
      <c r="AF600" s="34">
        <f>IF(C600="","",YEAR(C600-WEEKDAY(C600,2)+4)&amp;"-S"&amp;TEXT(INT((C600-DATE(YEAR(C600-WEEKDAY(C600,2)+4),1,3)+WEEKDAY(DATE(YEAR(C600-WEEKDAY(C600,2)+4),1,3),2)+5)/7),"00"))</f>
        <v/>
      </c>
    </row>
    <row r="601" ht="18" customHeight="1">
      <c r="A601" s="39" t="n">
        <v>596</v>
      </c>
      <c r="B601" s="33">
        <f>IF(C601="","",IF(P601="À RENSEIGNER","GIC",P601)&amp;"-C"&amp;TEXT(A601,"00000"))</f>
        <v/>
      </c>
      <c r="C601" s="32" t="n"/>
      <c r="D601" s="36" t="n"/>
      <c r="E601" s="36" t="n"/>
      <c r="F601" s="36" t="n"/>
      <c r="G601" s="42" t="n"/>
      <c r="H601" s="37" t="n"/>
      <c r="I601" s="37" t="n"/>
      <c r="J601" s="32" t="n"/>
      <c r="K601" s="32" t="n"/>
      <c r="L601" s="43" t="n"/>
      <c r="M601" s="36" t="n"/>
      <c r="N601" s="44" t="n"/>
      <c r="O601" s="36" t="n"/>
      <c r="P601" s="33">
        <f>IF(C601="","",Commercial_Id)</f>
        <v/>
      </c>
      <c r="Q601" s="34">
        <f>IF(AC601="","",IF(AD601=1,"C"&amp;TEXT(SUM(AD$6:AD601),"0000"),INDEX(Q$6:Q600,MATCH(AC601,AC$6:AC600,0))))</f>
        <v/>
      </c>
      <c r="R601" s="34">
        <f>IF(C601="","",IF(L601="☑ Oui","Annulée",IF(OR(E601="Vente directe",K601&lt;&gt;""),"Livrée",IF(J601&lt;&gt;"","Confirmée","En attente"))))</f>
        <v/>
      </c>
      <c r="S601" s="34">
        <f>IF(F601="","",IFERROR(VLOOKUP(F601,T_Produits,2,FALSE),""))</f>
        <v/>
      </c>
      <c r="T601" s="40">
        <f>IF(F601="","",IFERROR(1/(1/VLOOKUP(F601,T_Produits,3,FALSE)),""))</f>
        <v/>
      </c>
      <c r="U601" s="40">
        <f>IF(H601&lt;&gt;"",H601,T601)</f>
        <v/>
      </c>
      <c r="V601" s="40">
        <f>IF(OR(G601="",U601=""),"",G601*U601-N(I601))</f>
        <v/>
      </c>
      <c r="W601" s="39">
        <f>IF(D601="","",IFERROR(VALUE(MID(D601,LEN(D601)-3,3)),""))</f>
        <v/>
      </c>
      <c r="X601" s="33">
        <f>IF(W601="","",P601&amp;"|"&amp;W601)</f>
        <v/>
      </c>
      <c r="Y601" s="33">
        <f>IF(W601="","",IF(P601="À RENSEIGNER","GIC",P601)&amp;"-"&amp;TEXT(W601,"000"))</f>
        <v/>
      </c>
      <c r="Z601" s="33">
        <f>IF(X601="","",IFERROR(INDEX(Cl_nom,MATCH(X601,Cl_cle,0)),"(client introuvable)"))</f>
        <v/>
      </c>
      <c r="AA601" s="33">
        <f>IF(X601="","",IFERROR(INDEX(Cl_quartier,MATCH(X601,Cl_cle,0))&amp;"",""))</f>
        <v/>
      </c>
      <c r="AB601" s="45">
        <f>IF(R601&lt;&gt;"Livrée",0,IF(K601&lt;&gt;"",K601,C601))</f>
        <v/>
      </c>
      <c r="AC601" s="33">
        <f>IF(OR(C601="",W601=""),"",P601&amp;"|"&amp;W601&amp;"|"&amp;C601&amp;"|"&amp;E601)</f>
        <v/>
      </c>
      <c r="AD601" s="39">
        <f>IF(AC601="","",IF(COUNTIF(AC$6:AC601,AC601)=1,1,0))</f>
        <v/>
      </c>
      <c r="AE601" s="39">
        <f>IF(AB601=0,"",IF(COUNTIFS(X$6:X601,X601,AB$6:AB601,AB601)=1,1,0))</f>
        <v/>
      </c>
      <c r="AF601" s="34">
        <f>IF(C601="","",YEAR(C601-WEEKDAY(C601,2)+4)&amp;"-S"&amp;TEXT(INT((C601-DATE(YEAR(C601-WEEKDAY(C601,2)+4),1,3)+WEEKDAY(DATE(YEAR(C601-WEEKDAY(C601,2)+4),1,3),2)+5)/7),"00"))</f>
        <v/>
      </c>
    </row>
    <row r="602" ht="18" customHeight="1">
      <c r="A602" s="39" t="n">
        <v>597</v>
      </c>
      <c r="B602" s="33">
        <f>IF(C602="","",IF(P602="À RENSEIGNER","GIC",P602)&amp;"-C"&amp;TEXT(A602,"00000"))</f>
        <v/>
      </c>
      <c r="C602" s="32" t="n"/>
      <c r="D602" s="36" t="n"/>
      <c r="E602" s="36" t="n"/>
      <c r="F602" s="36" t="n"/>
      <c r="G602" s="42" t="n"/>
      <c r="H602" s="37" t="n"/>
      <c r="I602" s="37" t="n"/>
      <c r="J602" s="32" t="n"/>
      <c r="K602" s="32" t="n"/>
      <c r="L602" s="43" t="n"/>
      <c r="M602" s="36" t="n"/>
      <c r="N602" s="44" t="n"/>
      <c r="O602" s="36" t="n"/>
      <c r="P602" s="33">
        <f>IF(C602="","",Commercial_Id)</f>
        <v/>
      </c>
      <c r="Q602" s="34">
        <f>IF(AC602="","",IF(AD602=1,"C"&amp;TEXT(SUM(AD$6:AD602),"0000"),INDEX(Q$6:Q601,MATCH(AC602,AC$6:AC601,0))))</f>
        <v/>
      </c>
      <c r="R602" s="34">
        <f>IF(C602="","",IF(L602="☑ Oui","Annulée",IF(OR(E602="Vente directe",K602&lt;&gt;""),"Livrée",IF(J602&lt;&gt;"","Confirmée","En attente"))))</f>
        <v/>
      </c>
      <c r="S602" s="34">
        <f>IF(F602="","",IFERROR(VLOOKUP(F602,T_Produits,2,FALSE),""))</f>
        <v/>
      </c>
      <c r="T602" s="40">
        <f>IF(F602="","",IFERROR(1/(1/VLOOKUP(F602,T_Produits,3,FALSE)),""))</f>
        <v/>
      </c>
      <c r="U602" s="40">
        <f>IF(H602&lt;&gt;"",H602,T602)</f>
        <v/>
      </c>
      <c r="V602" s="40">
        <f>IF(OR(G602="",U602=""),"",G602*U602-N(I602))</f>
        <v/>
      </c>
      <c r="W602" s="39">
        <f>IF(D602="","",IFERROR(VALUE(MID(D602,LEN(D602)-3,3)),""))</f>
        <v/>
      </c>
      <c r="X602" s="33">
        <f>IF(W602="","",P602&amp;"|"&amp;W602)</f>
        <v/>
      </c>
      <c r="Y602" s="33">
        <f>IF(W602="","",IF(P602="À RENSEIGNER","GIC",P602)&amp;"-"&amp;TEXT(W602,"000"))</f>
        <v/>
      </c>
      <c r="Z602" s="33">
        <f>IF(X602="","",IFERROR(INDEX(Cl_nom,MATCH(X602,Cl_cle,0)),"(client introuvable)"))</f>
        <v/>
      </c>
      <c r="AA602" s="33">
        <f>IF(X602="","",IFERROR(INDEX(Cl_quartier,MATCH(X602,Cl_cle,0))&amp;"",""))</f>
        <v/>
      </c>
      <c r="AB602" s="45">
        <f>IF(R602&lt;&gt;"Livrée",0,IF(K602&lt;&gt;"",K602,C602))</f>
        <v/>
      </c>
      <c r="AC602" s="33">
        <f>IF(OR(C602="",W602=""),"",P602&amp;"|"&amp;W602&amp;"|"&amp;C602&amp;"|"&amp;E602)</f>
        <v/>
      </c>
      <c r="AD602" s="39">
        <f>IF(AC602="","",IF(COUNTIF(AC$6:AC602,AC602)=1,1,0))</f>
        <v/>
      </c>
      <c r="AE602" s="39">
        <f>IF(AB602=0,"",IF(COUNTIFS(X$6:X602,X602,AB$6:AB602,AB602)=1,1,0))</f>
        <v/>
      </c>
      <c r="AF602" s="34">
        <f>IF(C602="","",YEAR(C602-WEEKDAY(C602,2)+4)&amp;"-S"&amp;TEXT(INT((C602-DATE(YEAR(C602-WEEKDAY(C602,2)+4),1,3)+WEEKDAY(DATE(YEAR(C602-WEEKDAY(C602,2)+4),1,3),2)+5)/7),"00"))</f>
        <v/>
      </c>
    </row>
    <row r="603" ht="18" customHeight="1">
      <c r="A603" s="39" t="n">
        <v>598</v>
      </c>
      <c r="B603" s="33">
        <f>IF(C603="","",IF(P603="À RENSEIGNER","GIC",P603)&amp;"-C"&amp;TEXT(A603,"00000"))</f>
        <v/>
      </c>
      <c r="C603" s="32" t="n"/>
      <c r="D603" s="36" t="n"/>
      <c r="E603" s="36" t="n"/>
      <c r="F603" s="36" t="n"/>
      <c r="G603" s="42" t="n"/>
      <c r="H603" s="37" t="n"/>
      <c r="I603" s="37" t="n"/>
      <c r="J603" s="32" t="n"/>
      <c r="K603" s="32" t="n"/>
      <c r="L603" s="43" t="n"/>
      <c r="M603" s="36" t="n"/>
      <c r="N603" s="44" t="n"/>
      <c r="O603" s="36" t="n"/>
      <c r="P603" s="33">
        <f>IF(C603="","",Commercial_Id)</f>
        <v/>
      </c>
      <c r="Q603" s="34">
        <f>IF(AC603="","",IF(AD603=1,"C"&amp;TEXT(SUM(AD$6:AD603),"0000"),INDEX(Q$6:Q602,MATCH(AC603,AC$6:AC602,0))))</f>
        <v/>
      </c>
      <c r="R603" s="34">
        <f>IF(C603="","",IF(L603="☑ Oui","Annulée",IF(OR(E603="Vente directe",K603&lt;&gt;""),"Livrée",IF(J603&lt;&gt;"","Confirmée","En attente"))))</f>
        <v/>
      </c>
      <c r="S603" s="34">
        <f>IF(F603="","",IFERROR(VLOOKUP(F603,T_Produits,2,FALSE),""))</f>
        <v/>
      </c>
      <c r="T603" s="40">
        <f>IF(F603="","",IFERROR(1/(1/VLOOKUP(F603,T_Produits,3,FALSE)),""))</f>
        <v/>
      </c>
      <c r="U603" s="40">
        <f>IF(H603&lt;&gt;"",H603,T603)</f>
        <v/>
      </c>
      <c r="V603" s="40">
        <f>IF(OR(G603="",U603=""),"",G603*U603-N(I603))</f>
        <v/>
      </c>
      <c r="W603" s="39">
        <f>IF(D603="","",IFERROR(VALUE(MID(D603,LEN(D603)-3,3)),""))</f>
        <v/>
      </c>
      <c r="X603" s="33">
        <f>IF(W603="","",P603&amp;"|"&amp;W603)</f>
        <v/>
      </c>
      <c r="Y603" s="33">
        <f>IF(W603="","",IF(P603="À RENSEIGNER","GIC",P603)&amp;"-"&amp;TEXT(W603,"000"))</f>
        <v/>
      </c>
      <c r="Z603" s="33">
        <f>IF(X603="","",IFERROR(INDEX(Cl_nom,MATCH(X603,Cl_cle,0)),"(client introuvable)"))</f>
        <v/>
      </c>
      <c r="AA603" s="33">
        <f>IF(X603="","",IFERROR(INDEX(Cl_quartier,MATCH(X603,Cl_cle,0))&amp;"",""))</f>
        <v/>
      </c>
      <c r="AB603" s="45">
        <f>IF(R603&lt;&gt;"Livrée",0,IF(K603&lt;&gt;"",K603,C603))</f>
        <v/>
      </c>
      <c r="AC603" s="33">
        <f>IF(OR(C603="",W603=""),"",P603&amp;"|"&amp;W603&amp;"|"&amp;C603&amp;"|"&amp;E603)</f>
        <v/>
      </c>
      <c r="AD603" s="39">
        <f>IF(AC603="","",IF(COUNTIF(AC$6:AC603,AC603)=1,1,0))</f>
        <v/>
      </c>
      <c r="AE603" s="39">
        <f>IF(AB603=0,"",IF(COUNTIFS(X$6:X603,X603,AB$6:AB603,AB603)=1,1,0))</f>
        <v/>
      </c>
      <c r="AF603" s="34">
        <f>IF(C603="","",YEAR(C603-WEEKDAY(C603,2)+4)&amp;"-S"&amp;TEXT(INT((C603-DATE(YEAR(C603-WEEKDAY(C603,2)+4),1,3)+WEEKDAY(DATE(YEAR(C603-WEEKDAY(C603,2)+4),1,3),2)+5)/7),"00"))</f>
        <v/>
      </c>
    </row>
    <row r="604" ht="18" customHeight="1">
      <c r="A604" s="39" t="n">
        <v>599</v>
      </c>
      <c r="B604" s="33">
        <f>IF(C604="","",IF(P604="À RENSEIGNER","GIC",P604)&amp;"-C"&amp;TEXT(A604,"00000"))</f>
        <v/>
      </c>
      <c r="C604" s="32" t="n"/>
      <c r="D604" s="36" t="n"/>
      <c r="E604" s="36" t="n"/>
      <c r="F604" s="36" t="n"/>
      <c r="G604" s="42" t="n"/>
      <c r="H604" s="37" t="n"/>
      <c r="I604" s="37" t="n"/>
      <c r="J604" s="32" t="n"/>
      <c r="K604" s="32" t="n"/>
      <c r="L604" s="43" t="n"/>
      <c r="M604" s="36" t="n"/>
      <c r="N604" s="44" t="n"/>
      <c r="O604" s="36" t="n"/>
      <c r="P604" s="33">
        <f>IF(C604="","",Commercial_Id)</f>
        <v/>
      </c>
      <c r="Q604" s="34">
        <f>IF(AC604="","",IF(AD604=1,"C"&amp;TEXT(SUM(AD$6:AD604),"0000"),INDEX(Q$6:Q603,MATCH(AC604,AC$6:AC603,0))))</f>
        <v/>
      </c>
      <c r="R604" s="34">
        <f>IF(C604="","",IF(L604="☑ Oui","Annulée",IF(OR(E604="Vente directe",K604&lt;&gt;""),"Livrée",IF(J604&lt;&gt;"","Confirmée","En attente"))))</f>
        <v/>
      </c>
      <c r="S604" s="34">
        <f>IF(F604="","",IFERROR(VLOOKUP(F604,T_Produits,2,FALSE),""))</f>
        <v/>
      </c>
      <c r="T604" s="40">
        <f>IF(F604="","",IFERROR(1/(1/VLOOKUP(F604,T_Produits,3,FALSE)),""))</f>
        <v/>
      </c>
      <c r="U604" s="40">
        <f>IF(H604&lt;&gt;"",H604,T604)</f>
        <v/>
      </c>
      <c r="V604" s="40">
        <f>IF(OR(G604="",U604=""),"",G604*U604-N(I604))</f>
        <v/>
      </c>
      <c r="W604" s="39">
        <f>IF(D604="","",IFERROR(VALUE(MID(D604,LEN(D604)-3,3)),""))</f>
        <v/>
      </c>
      <c r="X604" s="33">
        <f>IF(W604="","",P604&amp;"|"&amp;W604)</f>
        <v/>
      </c>
      <c r="Y604" s="33">
        <f>IF(W604="","",IF(P604="À RENSEIGNER","GIC",P604)&amp;"-"&amp;TEXT(W604,"000"))</f>
        <v/>
      </c>
      <c r="Z604" s="33">
        <f>IF(X604="","",IFERROR(INDEX(Cl_nom,MATCH(X604,Cl_cle,0)),"(client introuvable)"))</f>
        <v/>
      </c>
      <c r="AA604" s="33">
        <f>IF(X604="","",IFERROR(INDEX(Cl_quartier,MATCH(X604,Cl_cle,0))&amp;"",""))</f>
        <v/>
      </c>
      <c r="AB604" s="45">
        <f>IF(R604&lt;&gt;"Livrée",0,IF(K604&lt;&gt;"",K604,C604))</f>
        <v/>
      </c>
      <c r="AC604" s="33">
        <f>IF(OR(C604="",W604=""),"",P604&amp;"|"&amp;W604&amp;"|"&amp;C604&amp;"|"&amp;E604)</f>
        <v/>
      </c>
      <c r="AD604" s="39">
        <f>IF(AC604="","",IF(COUNTIF(AC$6:AC604,AC604)=1,1,0))</f>
        <v/>
      </c>
      <c r="AE604" s="39">
        <f>IF(AB604=0,"",IF(COUNTIFS(X$6:X604,X604,AB$6:AB604,AB604)=1,1,0))</f>
        <v/>
      </c>
      <c r="AF604" s="34">
        <f>IF(C604="","",YEAR(C604-WEEKDAY(C604,2)+4)&amp;"-S"&amp;TEXT(INT((C604-DATE(YEAR(C604-WEEKDAY(C604,2)+4),1,3)+WEEKDAY(DATE(YEAR(C604-WEEKDAY(C604,2)+4),1,3),2)+5)/7),"00"))</f>
        <v/>
      </c>
    </row>
    <row r="605" ht="18" customHeight="1">
      <c r="A605" s="39" t="n">
        <v>600</v>
      </c>
      <c r="B605" s="33">
        <f>IF(C605="","",IF(P605="À RENSEIGNER","GIC",P605)&amp;"-C"&amp;TEXT(A605,"00000"))</f>
        <v/>
      </c>
      <c r="C605" s="32" t="n"/>
      <c r="D605" s="36" t="n"/>
      <c r="E605" s="36" t="n"/>
      <c r="F605" s="36" t="n"/>
      <c r="G605" s="42" t="n"/>
      <c r="H605" s="37" t="n"/>
      <c r="I605" s="37" t="n"/>
      <c r="J605" s="32" t="n"/>
      <c r="K605" s="32" t="n"/>
      <c r="L605" s="43" t="n"/>
      <c r="M605" s="36" t="n"/>
      <c r="N605" s="44" t="n"/>
      <c r="O605" s="36" t="n"/>
      <c r="P605" s="33">
        <f>IF(C605="","",Commercial_Id)</f>
        <v/>
      </c>
      <c r="Q605" s="34">
        <f>IF(AC605="","",IF(AD605=1,"C"&amp;TEXT(SUM(AD$6:AD605),"0000"),INDEX(Q$6:Q604,MATCH(AC605,AC$6:AC604,0))))</f>
        <v/>
      </c>
      <c r="R605" s="34">
        <f>IF(C605="","",IF(L605="☑ Oui","Annulée",IF(OR(E605="Vente directe",K605&lt;&gt;""),"Livrée",IF(J605&lt;&gt;"","Confirmée","En attente"))))</f>
        <v/>
      </c>
      <c r="S605" s="34">
        <f>IF(F605="","",IFERROR(VLOOKUP(F605,T_Produits,2,FALSE),""))</f>
        <v/>
      </c>
      <c r="T605" s="40">
        <f>IF(F605="","",IFERROR(1/(1/VLOOKUP(F605,T_Produits,3,FALSE)),""))</f>
        <v/>
      </c>
      <c r="U605" s="40">
        <f>IF(H605&lt;&gt;"",H605,T605)</f>
        <v/>
      </c>
      <c r="V605" s="40">
        <f>IF(OR(G605="",U605=""),"",G605*U605-N(I605))</f>
        <v/>
      </c>
      <c r="W605" s="39">
        <f>IF(D605="","",IFERROR(VALUE(MID(D605,LEN(D605)-3,3)),""))</f>
        <v/>
      </c>
      <c r="X605" s="33">
        <f>IF(W605="","",P605&amp;"|"&amp;W605)</f>
        <v/>
      </c>
      <c r="Y605" s="33">
        <f>IF(W605="","",IF(P605="À RENSEIGNER","GIC",P605)&amp;"-"&amp;TEXT(W605,"000"))</f>
        <v/>
      </c>
      <c r="Z605" s="33">
        <f>IF(X605="","",IFERROR(INDEX(Cl_nom,MATCH(X605,Cl_cle,0)),"(client introuvable)"))</f>
        <v/>
      </c>
      <c r="AA605" s="33">
        <f>IF(X605="","",IFERROR(INDEX(Cl_quartier,MATCH(X605,Cl_cle,0))&amp;"",""))</f>
        <v/>
      </c>
      <c r="AB605" s="45">
        <f>IF(R605&lt;&gt;"Livrée",0,IF(K605&lt;&gt;"",K605,C605))</f>
        <v/>
      </c>
      <c r="AC605" s="33">
        <f>IF(OR(C605="",W605=""),"",P605&amp;"|"&amp;W605&amp;"|"&amp;C605&amp;"|"&amp;E605)</f>
        <v/>
      </c>
      <c r="AD605" s="39">
        <f>IF(AC605="","",IF(COUNTIF(AC$6:AC605,AC605)=1,1,0))</f>
        <v/>
      </c>
      <c r="AE605" s="39">
        <f>IF(AB605=0,"",IF(COUNTIFS(X$6:X605,X605,AB$6:AB605,AB605)=1,1,0))</f>
        <v/>
      </c>
      <c r="AF605" s="34">
        <f>IF(C605="","",YEAR(C605-WEEKDAY(C605,2)+4)&amp;"-S"&amp;TEXT(INT((C605-DATE(YEAR(C605-WEEKDAY(C605,2)+4),1,3)+WEEKDAY(DATE(YEAR(C605-WEEKDAY(C605,2)+4),1,3),2)+5)/7),"00"))</f>
        <v/>
      </c>
    </row>
    <row r="606" ht="18" customHeight="1">
      <c r="A606" s="39" t="n">
        <v>601</v>
      </c>
      <c r="B606" s="33">
        <f>IF(C606="","",IF(P606="À RENSEIGNER","GIC",P606)&amp;"-C"&amp;TEXT(A606,"00000"))</f>
        <v/>
      </c>
      <c r="C606" s="32" t="n"/>
      <c r="D606" s="36" t="n"/>
      <c r="E606" s="36" t="n"/>
      <c r="F606" s="36" t="n"/>
      <c r="G606" s="42" t="n"/>
      <c r="H606" s="37" t="n"/>
      <c r="I606" s="37" t="n"/>
      <c r="J606" s="32" t="n"/>
      <c r="K606" s="32" t="n"/>
      <c r="L606" s="43" t="n"/>
      <c r="M606" s="36" t="n"/>
      <c r="N606" s="44" t="n"/>
      <c r="O606" s="36" t="n"/>
      <c r="P606" s="33">
        <f>IF(C606="","",Commercial_Id)</f>
        <v/>
      </c>
      <c r="Q606" s="34">
        <f>IF(AC606="","",IF(AD606=1,"C"&amp;TEXT(SUM(AD$6:AD606),"0000"),INDEX(Q$6:Q605,MATCH(AC606,AC$6:AC605,0))))</f>
        <v/>
      </c>
      <c r="R606" s="34">
        <f>IF(C606="","",IF(L606="☑ Oui","Annulée",IF(OR(E606="Vente directe",K606&lt;&gt;""),"Livrée",IF(J606&lt;&gt;"","Confirmée","En attente"))))</f>
        <v/>
      </c>
      <c r="S606" s="34">
        <f>IF(F606="","",IFERROR(VLOOKUP(F606,T_Produits,2,FALSE),""))</f>
        <v/>
      </c>
      <c r="T606" s="40">
        <f>IF(F606="","",IFERROR(1/(1/VLOOKUP(F606,T_Produits,3,FALSE)),""))</f>
        <v/>
      </c>
      <c r="U606" s="40">
        <f>IF(H606&lt;&gt;"",H606,T606)</f>
        <v/>
      </c>
      <c r="V606" s="40">
        <f>IF(OR(G606="",U606=""),"",G606*U606-N(I606))</f>
        <v/>
      </c>
      <c r="W606" s="39">
        <f>IF(D606="","",IFERROR(VALUE(MID(D606,LEN(D606)-3,3)),""))</f>
        <v/>
      </c>
      <c r="X606" s="33">
        <f>IF(W606="","",P606&amp;"|"&amp;W606)</f>
        <v/>
      </c>
      <c r="Y606" s="33">
        <f>IF(W606="","",IF(P606="À RENSEIGNER","GIC",P606)&amp;"-"&amp;TEXT(W606,"000"))</f>
        <v/>
      </c>
      <c r="Z606" s="33">
        <f>IF(X606="","",IFERROR(INDEX(Cl_nom,MATCH(X606,Cl_cle,0)),"(client introuvable)"))</f>
        <v/>
      </c>
      <c r="AA606" s="33">
        <f>IF(X606="","",IFERROR(INDEX(Cl_quartier,MATCH(X606,Cl_cle,0))&amp;"",""))</f>
        <v/>
      </c>
      <c r="AB606" s="45">
        <f>IF(R606&lt;&gt;"Livrée",0,IF(K606&lt;&gt;"",K606,C606))</f>
        <v/>
      </c>
      <c r="AC606" s="33">
        <f>IF(OR(C606="",W606=""),"",P606&amp;"|"&amp;W606&amp;"|"&amp;C606&amp;"|"&amp;E606)</f>
        <v/>
      </c>
      <c r="AD606" s="39">
        <f>IF(AC606="","",IF(COUNTIF(AC$6:AC606,AC606)=1,1,0))</f>
        <v/>
      </c>
      <c r="AE606" s="39">
        <f>IF(AB606=0,"",IF(COUNTIFS(X$6:X606,X606,AB$6:AB606,AB606)=1,1,0))</f>
        <v/>
      </c>
      <c r="AF606" s="34">
        <f>IF(C606="","",YEAR(C606-WEEKDAY(C606,2)+4)&amp;"-S"&amp;TEXT(INT((C606-DATE(YEAR(C606-WEEKDAY(C606,2)+4),1,3)+WEEKDAY(DATE(YEAR(C606-WEEKDAY(C606,2)+4),1,3),2)+5)/7),"00"))</f>
        <v/>
      </c>
    </row>
    <row r="607" ht="18" customHeight="1">
      <c r="A607" s="39" t="n">
        <v>602</v>
      </c>
      <c r="B607" s="33">
        <f>IF(C607="","",IF(P607="À RENSEIGNER","GIC",P607)&amp;"-C"&amp;TEXT(A607,"00000"))</f>
        <v/>
      </c>
      <c r="C607" s="32" t="n"/>
      <c r="D607" s="36" t="n"/>
      <c r="E607" s="36" t="n"/>
      <c r="F607" s="36" t="n"/>
      <c r="G607" s="42" t="n"/>
      <c r="H607" s="37" t="n"/>
      <c r="I607" s="37" t="n"/>
      <c r="J607" s="32" t="n"/>
      <c r="K607" s="32" t="n"/>
      <c r="L607" s="43" t="n"/>
      <c r="M607" s="36" t="n"/>
      <c r="N607" s="44" t="n"/>
      <c r="O607" s="36" t="n"/>
      <c r="P607" s="33">
        <f>IF(C607="","",Commercial_Id)</f>
        <v/>
      </c>
      <c r="Q607" s="34">
        <f>IF(AC607="","",IF(AD607=1,"C"&amp;TEXT(SUM(AD$6:AD607),"0000"),INDEX(Q$6:Q606,MATCH(AC607,AC$6:AC606,0))))</f>
        <v/>
      </c>
      <c r="R607" s="34">
        <f>IF(C607="","",IF(L607="☑ Oui","Annulée",IF(OR(E607="Vente directe",K607&lt;&gt;""),"Livrée",IF(J607&lt;&gt;"","Confirmée","En attente"))))</f>
        <v/>
      </c>
      <c r="S607" s="34">
        <f>IF(F607="","",IFERROR(VLOOKUP(F607,T_Produits,2,FALSE),""))</f>
        <v/>
      </c>
      <c r="T607" s="40">
        <f>IF(F607="","",IFERROR(1/(1/VLOOKUP(F607,T_Produits,3,FALSE)),""))</f>
        <v/>
      </c>
      <c r="U607" s="40">
        <f>IF(H607&lt;&gt;"",H607,T607)</f>
        <v/>
      </c>
      <c r="V607" s="40">
        <f>IF(OR(G607="",U607=""),"",G607*U607-N(I607))</f>
        <v/>
      </c>
      <c r="W607" s="39">
        <f>IF(D607="","",IFERROR(VALUE(MID(D607,LEN(D607)-3,3)),""))</f>
        <v/>
      </c>
      <c r="X607" s="33">
        <f>IF(W607="","",P607&amp;"|"&amp;W607)</f>
        <v/>
      </c>
      <c r="Y607" s="33">
        <f>IF(W607="","",IF(P607="À RENSEIGNER","GIC",P607)&amp;"-"&amp;TEXT(W607,"000"))</f>
        <v/>
      </c>
      <c r="Z607" s="33">
        <f>IF(X607="","",IFERROR(INDEX(Cl_nom,MATCH(X607,Cl_cle,0)),"(client introuvable)"))</f>
        <v/>
      </c>
      <c r="AA607" s="33">
        <f>IF(X607="","",IFERROR(INDEX(Cl_quartier,MATCH(X607,Cl_cle,0))&amp;"",""))</f>
        <v/>
      </c>
      <c r="AB607" s="45">
        <f>IF(R607&lt;&gt;"Livrée",0,IF(K607&lt;&gt;"",K607,C607))</f>
        <v/>
      </c>
      <c r="AC607" s="33">
        <f>IF(OR(C607="",W607=""),"",P607&amp;"|"&amp;W607&amp;"|"&amp;C607&amp;"|"&amp;E607)</f>
        <v/>
      </c>
      <c r="AD607" s="39">
        <f>IF(AC607="","",IF(COUNTIF(AC$6:AC607,AC607)=1,1,0))</f>
        <v/>
      </c>
      <c r="AE607" s="39">
        <f>IF(AB607=0,"",IF(COUNTIFS(X$6:X607,X607,AB$6:AB607,AB607)=1,1,0))</f>
        <v/>
      </c>
      <c r="AF607" s="34">
        <f>IF(C607="","",YEAR(C607-WEEKDAY(C607,2)+4)&amp;"-S"&amp;TEXT(INT((C607-DATE(YEAR(C607-WEEKDAY(C607,2)+4),1,3)+WEEKDAY(DATE(YEAR(C607-WEEKDAY(C607,2)+4),1,3),2)+5)/7),"00"))</f>
        <v/>
      </c>
    </row>
    <row r="608" ht="18" customHeight="1">
      <c r="A608" s="39" t="n">
        <v>603</v>
      </c>
      <c r="B608" s="33">
        <f>IF(C608="","",IF(P608="À RENSEIGNER","GIC",P608)&amp;"-C"&amp;TEXT(A608,"00000"))</f>
        <v/>
      </c>
      <c r="C608" s="32" t="n"/>
      <c r="D608" s="36" t="n"/>
      <c r="E608" s="36" t="n"/>
      <c r="F608" s="36" t="n"/>
      <c r="G608" s="42" t="n"/>
      <c r="H608" s="37" t="n"/>
      <c r="I608" s="37" t="n"/>
      <c r="J608" s="32" t="n"/>
      <c r="K608" s="32" t="n"/>
      <c r="L608" s="43" t="n"/>
      <c r="M608" s="36" t="n"/>
      <c r="N608" s="44" t="n"/>
      <c r="O608" s="36" t="n"/>
      <c r="P608" s="33">
        <f>IF(C608="","",Commercial_Id)</f>
        <v/>
      </c>
      <c r="Q608" s="34">
        <f>IF(AC608="","",IF(AD608=1,"C"&amp;TEXT(SUM(AD$6:AD608),"0000"),INDEX(Q$6:Q607,MATCH(AC608,AC$6:AC607,0))))</f>
        <v/>
      </c>
      <c r="R608" s="34">
        <f>IF(C608="","",IF(L608="☑ Oui","Annulée",IF(OR(E608="Vente directe",K608&lt;&gt;""),"Livrée",IF(J608&lt;&gt;"","Confirmée","En attente"))))</f>
        <v/>
      </c>
      <c r="S608" s="34">
        <f>IF(F608="","",IFERROR(VLOOKUP(F608,T_Produits,2,FALSE),""))</f>
        <v/>
      </c>
      <c r="T608" s="40">
        <f>IF(F608="","",IFERROR(1/(1/VLOOKUP(F608,T_Produits,3,FALSE)),""))</f>
        <v/>
      </c>
      <c r="U608" s="40">
        <f>IF(H608&lt;&gt;"",H608,T608)</f>
        <v/>
      </c>
      <c r="V608" s="40">
        <f>IF(OR(G608="",U608=""),"",G608*U608-N(I608))</f>
        <v/>
      </c>
      <c r="W608" s="39">
        <f>IF(D608="","",IFERROR(VALUE(MID(D608,LEN(D608)-3,3)),""))</f>
        <v/>
      </c>
      <c r="X608" s="33">
        <f>IF(W608="","",P608&amp;"|"&amp;W608)</f>
        <v/>
      </c>
      <c r="Y608" s="33">
        <f>IF(W608="","",IF(P608="À RENSEIGNER","GIC",P608)&amp;"-"&amp;TEXT(W608,"000"))</f>
        <v/>
      </c>
      <c r="Z608" s="33">
        <f>IF(X608="","",IFERROR(INDEX(Cl_nom,MATCH(X608,Cl_cle,0)),"(client introuvable)"))</f>
        <v/>
      </c>
      <c r="AA608" s="33">
        <f>IF(X608="","",IFERROR(INDEX(Cl_quartier,MATCH(X608,Cl_cle,0))&amp;"",""))</f>
        <v/>
      </c>
      <c r="AB608" s="45">
        <f>IF(R608&lt;&gt;"Livrée",0,IF(K608&lt;&gt;"",K608,C608))</f>
        <v/>
      </c>
      <c r="AC608" s="33">
        <f>IF(OR(C608="",W608=""),"",P608&amp;"|"&amp;W608&amp;"|"&amp;C608&amp;"|"&amp;E608)</f>
        <v/>
      </c>
      <c r="AD608" s="39">
        <f>IF(AC608="","",IF(COUNTIF(AC$6:AC608,AC608)=1,1,0))</f>
        <v/>
      </c>
      <c r="AE608" s="39">
        <f>IF(AB608=0,"",IF(COUNTIFS(X$6:X608,X608,AB$6:AB608,AB608)=1,1,0))</f>
        <v/>
      </c>
      <c r="AF608" s="34">
        <f>IF(C608="","",YEAR(C608-WEEKDAY(C608,2)+4)&amp;"-S"&amp;TEXT(INT((C608-DATE(YEAR(C608-WEEKDAY(C608,2)+4),1,3)+WEEKDAY(DATE(YEAR(C608-WEEKDAY(C608,2)+4),1,3),2)+5)/7),"00"))</f>
        <v/>
      </c>
    </row>
    <row r="609" ht="18" customHeight="1">
      <c r="A609" s="39" t="n">
        <v>604</v>
      </c>
      <c r="B609" s="33">
        <f>IF(C609="","",IF(P609="À RENSEIGNER","GIC",P609)&amp;"-C"&amp;TEXT(A609,"00000"))</f>
        <v/>
      </c>
      <c r="C609" s="32" t="n"/>
      <c r="D609" s="36" t="n"/>
      <c r="E609" s="36" t="n"/>
      <c r="F609" s="36" t="n"/>
      <c r="G609" s="42" t="n"/>
      <c r="H609" s="37" t="n"/>
      <c r="I609" s="37" t="n"/>
      <c r="J609" s="32" t="n"/>
      <c r="K609" s="32" t="n"/>
      <c r="L609" s="43" t="n"/>
      <c r="M609" s="36" t="n"/>
      <c r="N609" s="44" t="n"/>
      <c r="O609" s="36" t="n"/>
      <c r="P609" s="33">
        <f>IF(C609="","",Commercial_Id)</f>
        <v/>
      </c>
      <c r="Q609" s="34">
        <f>IF(AC609="","",IF(AD609=1,"C"&amp;TEXT(SUM(AD$6:AD609),"0000"),INDEX(Q$6:Q608,MATCH(AC609,AC$6:AC608,0))))</f>
        <v/>
      </c>
      <c r="R609" s="34">
        <f>IF(C609="","",IF(L609="☑ Oui","Annulée",IF(OR(E609="Vente directe",K609&lt;&gt;""),"Livrée",IF(J609&lt;&gt;"","Confirmée","En attente"))))</f>
        <v/>
      </c>
      <c r="S609" s="34">
        <f>IF(F609="","",IFERROR(VLOOKUP(F609,T_Produits,2,FALSE),""))</f>
        <v/>
      </c>
      <c r="T609" s="40">
        <f>IF(F609="","",IFERROR(1/(1/VLOOKUP(F609,T_Produits,3,FALSE)),""))</f>
        <v/>
      </c>
      <c r="U609" s="40">
        <f>IF(H609&lt;&gt;"",H609,T609)</f>
        <v/>
      </c>
      <c r="V609" s="40">
        <f>IF(OR(G609="",U609=""),"",G609*U609-N(I609))</f>
        <v/>
      </c>
      <c r="W609" s="39">
        <f>IF(D609="","",IFERROR(VALUE(MID(D609,LEN(D609)-3,3)),""))</f>
        <v/>
      </c>
      <c r="X609" s="33">
        <f>IF(W609="","",P609&amp;"|"&amp;W609)</f>
        <v/>
      </c>
      <c r="Y609" s="33">
        <f>IF(W609="","",IF(P609="À RENSEIGNER","GIC",P609)&amp;"-"&amp;TEXT(W609,"000"))</f>
        <v/>
      </c>
      <c r="Z609" s="33">
        <f>IF(X609="","",IFERROR(INDEX(Cl_nom,MATCH(X609,Cl_cle,0)),"(client introuvable)"))</f>
        <v/>
      </c>
      <c r="AA609" s="33">
        <f>IF(X609="","",IFERROR(INDEX(Cl_quartier,MATCH(X609,Cl_cle,0))&amp;"",""))</f>
        <v/>
      </c>
      <c r="AB609" s="45">
        <f>IF(R609&lt;&gt;"Livrée",0,IF(K609&lt;&gt;"",K609,C609))</f>
        <v/>
      </c>
      <c r="AC609" s="33">
        <f>IF(OR(C609="",W609=""),"",P609&amp;"|"&amp;W609&amp;"|"&amp;C609&amp;"|"&amp;E609)</f>
        <v/>
      </c>
      <c r="AD609" s="39">
        <f>IF(AC609="","",IF(COUNTIF(AC$6:AC609,AC609)=1,1,0))</f>
        <v/>
      </c>
      <c r="AE609" s="39">
        <f>IF(AB609=0,"",IF(COUNTIFS(X$6:X609,X609,AB$6:AB609,AB609)=1,1,0))</f>
        <v/>
      </c>
      <c r="AF609" s="34">
        <f>IF(C609="","",YEAR(C609-WEEKDAY(C609,2)+4)&amp;"-S"&amp;TEXT(INT((C609-DATE(YEAR(C609-WEEKDAY(C609,2)+4),1,3)+WEEKDAY(DATE(YEAR(C609-WEEKDAY(C609,2)+4),1,3),2)+5)/7),"00"))</f>
        <v/>
      </c>
    </row>
    <row r="610" ht="18" customHeight="1">
      <c r="A610" s="39" t="n">
        <v>605</v>
      </c>
      <c r="B610" s="33">
        <f>IF(C610="","",IF(P610="À RENSEIGNER","GIC",P610)&amp;"-C"&amp;TEXT(A610,"00000"))</f>
        <v/>
      </c>
      <c r="C610" s="32" t="n"/>
      <c r="D610" s="36" t="n"/>
      <c r="E610" s="36" t="n"/>
      <c r="F610" s="36" t="n"/>
      <c r="G610" s="42" t="n"/>
      <c r="H610" s="37" t="n"/>
      <c r="I610" s="37" t="n"/>
      <c r="J610" s="32" t="n"/>
      <c r="K610" s="32" t="n"/>
      <c r="L610" s="43" t="n"/>
      <c r="M610" s="36" t="n"/>
      <c r="N610" s="44" t="n"/>
      <c r="O610" s="36" t="n"/>
      <c r="P610" s="33">
        <f>IF(C610="","",Commercial_Id)</f>
        <v/>
      </c>
      <c r="Q610" s="34">
        <f>IF(AC610="","",IF(AD610=1,"C"&amp;TEXT(SUM(AD$6:AD610),"0000"),INDEX(Q$6:Q609,MATCH(AC610,AC$6:AC609,0))))</f>
        <v/>
      </c>
      <c r="R610" s="34">
        <f>IF(C610="","",IF(L610="☑ Oui","Annulée",IF(OR(E610="Vente directe",K610&lt;&gt;""),"Livrée",IF(J610&lt;&gt;"","Confirmée","En attente"))))</f>
        <v/>
      </c>
      <c r="S610" s="34">
        <f>IF(F610="","",IFERROR(VLOOKUP(F610,T_Produits,2,FALSE),""))</f>
        <v/>
      </c>
      <c r="T610" s="40">
        <f>IF(F610="","",IFERROR(1/(1/VLOOKUP(F610,T_Produits,3,FALSE)),""))</f>
        <v/>
      </c>
      <c r="U610" s="40">
        <f>IF(H610&lt;&gt;"",H610,T610)</f>
        <v/>
      </c>
      <c r="V610" s="40">
        <f>IF(OR(G610="",U610=""),"",G610*U610-N(I610))</f>
        <v/>
      </c>
      <c r="W610" s="39">
        <f>IF(D610="","",IFERROR(VALUE(MID(D610,LEN(D610)-3,3)),""))</f>
        <v/>
      </c>
      <c r="X610" s="33">
        <f>IF(W610="","",P610&amp;"|"&amp;W610)</f>
        <v/>
      </c>
      <c r="Y610" s="33">
        <f>IF(W610="","",IF(P610="À RENSEIGNER","GIC",P610)&amp;"-"&amp;TEXT(W610,"000"))</f>
        <v/>
      </c>
      <c r="Z610" s="33">
        <f>IF(X610="","",IFERROR(INDEX(Cl_nom,MATCH(X610,Cl_cle,0)),"(client introuvable)"))</f>
        <v/>
      </c>
      <c r="AA610" s="33">
        <f>IF(X610="","",IFERROR(INDEX(Cl_quartier,MATCH(X610,Cl_cle,0))&amp;"",""))</f>
        <v/>
      </c>
      <c r="AB610" s="45">
        <f>IF(R610&lt;&gt;"Livrée",0,IF(K610&lt;&gt;"",K610,C610))</f>
        <v/>
      </c>
      <c r="AC610" s="33">
        <f>IF(OR(C610="",W610=""),"",P610&amp;"|"&amp;W610&amp;"|"&amp;C610&amp;"|"&amp;E610)</f>
        <v/>
      </c>
      <c r="AD610" s="39">
        <f>IF(AC610="","",IF(COUNTIF(AC$6:AC610,AC610)=1,1,0))</f>
        <v/>
      </c>
      <c r="AE610" s="39">
        <f>IF(AB610=0,"",IF(COUNTIFS(X$6:X610,X610,AB$6:AB610,AB610)=1,1,0))</f>
        <v/>
      </c>
      <c r="AF610" s="34">
        <f>IF(C610="","",YEAR(C610-WEEKDAY(C610,2)+4)&amp;"-S"&amp;TEXT(INT((C610-DATE(YEAR(C610-WEEKDAY(C610,2)+4),1,3)+WEEKDAY(DATE(YEAR(C610-WEEKDAY(C610,2)+4),1,3),2)+5)/7),"00"))</f>
        <v/>
      </c>
    </row>
    <row r="611" ht="18" customHeight="1">
      <c r="A611" s="39" t="n">
        <v>606</v>
      </c>
      <c r="B611" s="33">
        <f>IF(C611="","",IF(P611="À RENSEIGNER","GIC",P611)&amp;"-C"&amp;TEXT(A611,"00000"))</f>
        <v/>
      </c>
      <c r="C611" s="32" t="n"/>
      <c r="D611" s="36" t="n"/>
      <c r="E611" s="36" t="n"/>
      <c r="F611" s="36" t="n"/>
      <c r="G611" s="42" t="n"/>
      <c r="H611" s="37" t="n"/>
      <c r="I611" s="37" t="n"/>
      <c r="J611" s="32" t="n"/>
      <c r="K611" s="32" t="n"/>
      <c r="L611" s="43" t="n"/>
      <c r="M611" s="36" t="n"/>
      <c r="N611" s="44" t="n"/>
      <c r="O611" s="36" t="n"/>
      <c r="P611" s="33">
        <f>IF(C611="","",Commercial_Id)</f>
        <v/>
      </c>
      <c r="Q611" s="34">
        <f>IF(AC611="","",IF(AD611=1,"C"&amp;TEXT(SUM(AD$6:AD611),"0000"),INDEX(Q$6:Q610,MATCH(AC611,AC$6:AC610,0))))</f>
        <v/>
      </c>
      <c r="R611" s="34">
        <f>IF(C611="","",IF(L611="☑ Oui","Annulée",IF(OR(E611="Vente directe",K611&lt;&gt;""),"Livrée",IF(J611&lt;&gt;"","Confirmée","En attente"))))</f>
        <v/>
      </c>
      <c r="S611" s="34">
        <f>IF(F611="","",IFERROR(VLOOKUP(F611,T_Produits,2,FALSE),""))</f>
        <v/>
      </c>
      <c r="T611" s="40">
        <f>IF(F611="","",IFERROR(1/(1/VLOOKUP(F611,T_Produits,3,FALSE)),""))</f>
        <v/>
      </c>
      <c r="U611" s="40">
        <f>IF(H611&lt;&gt;"",H611,T611)</f>
        <v/>
      </c>
      <c r="V611" s="40">
        <f>IF(OR(G611="",U611=""),"",G611*U611-N(I611))</f>
        <v/>
      </c>
      <c r="W611" s="39">
        <f>IF(D611="","",IFERROR(VALUE(MID(D611,LEN(D611)-3,3)),""))</f>
        <v/>
      </c>
      <c r="X611" s="33">
        <f>IF(W611="","",P611&amp;"|"&amp;W611)</f>
        <v/>
      </c>
      <c r="Y611" s="33">
        <f>IF(W611="","",IF(P611="À RENSEIGNER","GIC",P611)&amp;"-"&amp;TEXT(W611,"000"))</f>
        <v/>
      </c>
      <c r="Z611" s="33">
        <f>IF(X611="","",IFERROR(INDEX(Cl_nom,MATCH(X611,Cl_cle,0)),"(client introuvable)"))</f>
        <v/>
      </c>
      <c r="AA611" s="33">
        <f>IF(X611="","",IFERROR(INDEX(Cl_quartier,MATCH(X611,Cl_cle,0))&amp;"",""))</f>
        <v/>
      </c>
      <c r="AB611" s="45">
        <f>IF(R611&lt;&gt;"Livrée",0,IF(K611&lt;&gt;"",K611,C611))</f>
        <v/>
      </c>
      <c r="AC611" s="33">
        <f>IF(OR(C611="",W611=""),"",P611&amp;"|"&amp;W611&amp;"|"&amp;C611&amp;"|"&amp;E611)</f>
        <v/>
      </c>
      <c r="AD611" s="39">
        <f>IF(AC611="","",IF(COUNTIF(AC$6:AC611,AC611)=1,1,0))</f>
        <v/>
      </c>
      <c r="AE611" s="39">
        <f>IF(AB611=0,"",IF(COUNTIFS(X$6:X611,X611,AB$6:AB611,AB611)=1,1,0))</f>
        <v/>
      </c>
      <c r="AF611" s="34">
        <f>IF(C611="","",YEAR(C611-WEEKDAY(C611,2)+4)&amp;"-S"&amp;TEXT(INT((C611-DATE(YEAR(C611-WEEKDAY(C611,2)+4),1,3)+WEEKDAY(DATE(YEAR(C611-WEEKDAY(C611,2)+4),1,3),2)+5)/7),"00"))</f>
        <v/>
      </c>
    </row>
    <row r="612" ht="18" customHeight="1">
      <c r="A612" s="39" t="n">
        <v>607</v>
      </c>
      <c r="B612" s="33">
        <f>IF(C612="","",IF(P612="À RENSEIGNER","GIC",P612)&amp;"-C"&amp;TEXT(A612,"00000"))</f>
        <v/>
      </c>
      <c r="C612" s="32" t="n"/>
      <c r="D612" s="36" t="n"/>
      <c r="E612" s="36" t="n"/>
      <c r="F612" s="36" t="n"/>
      <c r="G612" s="42" t="n"/>
      <c r="H612" s="37" t="n"/>
      <c r="I612" s="37" t="n"/>
      <c r="J612" s="32" t="n"/>
      <c r="K612" s="32" t="n"/>
      <c r="L612" s="43" t="n"/>
      <c r="M612" s="36" t="n"/>
      <c r="N612" s="44" t="n"/>
      <c r="O612" s="36" t="n"/>
      <c r="P612" s="33">
        <f>IF(C612="","",Commercial_Id)</f>
        <v/>
      </c>
      <c r="Q612" s="34">
        <f>IF(AC612="","",IF(AD612=1,"C"&amp;TEXT(SUM(AD$6:AD612),"0000"),INDEX(Q$6:Q611,MATCH(AC612,AC$6:AC611,0))))</f>
        <v/>
      </c>
      <c r="R612" s="34">
        <f>IF(C612="","",IF(L612="☑ Oui","Annulée",IF(OR(E612="Vente directe",K612&lt;&gt;""),"Livrée",IF(J612&lt;&gt;"","Confirmée","En attente"))))</f>
        <v/>
      </c>
      <c r="S612" s="34">
        <f>IF(F612="","",IFERROR(VLOOKUP(F612,T_Produits,2,FALSE),""))</f>
        <v/>
      </c>
      <c r="T612" s="40">
        <f>IF(F612="","",IFERROR(1/(1/VLOOKUP(F612,T_Produits,3,FALSE)),""))</f>
        <v/>
      </c>
      <c r="U612" s="40">
        <f>IF(H612&lt;&gt;"",H612,T612)</f>
        <v/>
      </c>
      <c r="V612" s="40">
        <f>IF(OR(G612="",U612=""),"",G612*U612-N(I612))</f>
        <v/>
      </c>
      <c r="W612" s="39">
        <f>IF(D612="","",IFERROR(VALUE(MID(D612,LEN(D612)-3,3)),""))</f>
        <v/>
      </c>
      <c r="X612" s="33">
        <f>IF(W612="","",P612&amp;"|"&amp;W612)</f>
        <v/>
      </c>
      <c r="Y612" s="33">
        <f>IF(W612="","",IF(P612="À RENSEIGNER","GIC",P612)&amp;"-"&amp;TEXT(W612,"000"))</f>
        <v/>
      </c>
      <c r="Z612" s="33">
        <f>IF(X612="","",IFERROR(INDEX(Cl_nom,MATCH(X612,Cl_cle,0)),"(client introuvable)"))</f>
        <v/>
      </c>
      <c r="AA612" s="33">
        <f>IF(X612="","",IFERROR(INDEX(Cl_quartier,MATCH(X612,Cl_cle,0))&amp;"",""))</f>
        <v/>
      </c>
      <c r="AB612" s="45">
        <f>IF(R612&lt;&gt;"Livrée",0,IF(K612&lt;&gt;"",K612,C612))</f>
        <v/>
      </c>
      <c r="AC612" s="33">
        <f>IF(OR(C612="",W612=""),"",P612&amp;"|"&amp;W612&amp;"|"&amp;C612&amp;"|"&amp;E612)</f>
        <v/>
      </c>
      <c r="AD612" s="39">
        <f>IF(AC612="","",IF(COUNTIF(AC$6:AC612,AC612)=1,1,0))</f>
        <v/>
      </c>
      <c r="AE612" s="39">
        <f>IF(AB612=0,"",IF(COUNTIFS(X$6:X612,X612,AB$6:AB612,AB612)=1,1,0))</f>
        <v/>
      </c>
      <c r="AF612" s="34">
        <f>IF(C612="","",YEAR(C612-WEEKDAY(C612,2)+4)&amp;"-S"&amp;TEXT(INT((C612-DATE(YEAR(C612-WEEKDAY(C612,2)+4),1,3)+WEEKDAY(DATE(YEAR(C612-WEEKDAY(C612,2)+4),1,3),2)+5)/7),"00"))</f>
        <v/>
      </c>
    </row>
    <row r="613" ht="18" customHeight="1">
      <c r="A613" s="39" t="n">
        <v>608</v>
      </c>
      <c r="B613" s="33">
        <f>IF(C613="","",IF(P613="À RENSEIGNER","GIC",P613)&amp;"-C"&amp;TEXT(A613,"00000"))</f>
        <v/>
      </c>
      <c r="C613" s="32" t="n"/>
      <c r="D613" s="36" t="n"/>
      <c r="E613" s="36" t="n"/>
      <c r="F613" s="36" t="n"/>
      <c r="G613" s="42" t="n"/>
      <c r="H613" s="37" t="n"/>
      <c r="I613" s="37" t="n"/>
      <c r="J613" s="32" t="n"/>
      <c r="K613" s="32" t="n"/>
      <c r="L613" s="43" t="n"/>
      <c r="M613" s="36" t="n"/>
      <c r="N613" s="44" t="n"/>
      <c r="O613" s="36" t="n"/>
      <c r="P613" s="33">
        <f>IF(C613="","",Commercial_Id)</f>
        <v/>
      </c>
      <c r="Q613" s="34">
        <f>IF(AC613="","",IF(AD613=1,"C"&amp;TEXT(SUM(AD$6:AD613),"0000"),INDEX(Q$6:Q612,MATCH(AC613,AC$6:AC612,0))))</f>
        <v/>
      </c>
      <c r="R613" s="34">
        <f>IF(C613="","",IF(L613="☑ Oui","Annulée",IF(OR(E613="Vente directe",K613&lt;&gt;""),"Livrée",IF(J613&lt;&gt;"","Confirmée","En attente"))))</f>
        <v/>
      </c>
      <c r="S613" s="34">
        <f>IF(F613="","",IFERROR(VLOOKUP(F613,T_Produits,2,FALSE),""))</f>
        <v/>
      </c>
      <c r="T613" s="40">
        <f>IF(F613="","",IFERROR(1/(1/VLOOKUP(F613,T_Produits,3,FALSE)),""))</f>
        <v/>
      </c>
      <c r="U613" s="40">
        <f>IF(H613&lt;&gt;"",H613,T613)</f>
        <v/>
      </c>
      <c r="V613" s="40">
        <f>IF(OR(G613="",U613=""),"",G613*U613-N(I613))</f>
        <v/>
      </c>
      <c r="W613" s="39">
        <f>IF(D613="","",IFERROR(VALUE(MID(D613,LEN(D613)-3,3)),""))</f>
        <v/>
      </c>
      <c r="X613" s="33">
        <f>IF(W613="","",P613&amp;"|"&amp;W613)</f>
        <v/>
      </c>
      <c r="Y613" s="33">
        <f>IF(W613="","",IF(P613="À RENSEIGNER","GIC",P613)&amp;"-"&amp;TEXT(W613,"000"))</f>
        <v/>
      </c>
      <c r="Z613" s="33">
        <f>IF(X613="","",IFERROR(INDEX(Cl_nom,MATCH(X613,Cl_cle,0)),"(client introuvable)"))</f>
        <v/>
      </c>
      <c r="AA613" s="33">
        <f>IF(X613="","",IFERROR(INDEX(Cl_quartier,MATCH(X613,Cl_cle,0))&amp;"",""))</f>
        <v/>
      </c>
      <c r="AB613" s="45">
        <f>IF(R613&lt;&gt;"Livrée",0,IF(K613&lt;&gt;"",K613,C613))</f>
        <v/>
      </c>
      <c r="AC613" s="33">
        <f>IF(OR(C613="",W613=""),"",P613&amp;"|"&amp;W613&amp;"|"&amp;C613&amp;"|"&amp;E613)</f>
        <v/>
      </c>
      <c r="AD613" s="39">
        <f>IF(AC613="","",IF(COUNTIF(AC$6:AC613,AC613)=1,1,0))</f>
        <v/>
      </c>
      <c r="AE613" s="39">
        <f>IF(AB613=0,"",IF(COUNTIFS(X$6:X613,X613,AB$6:AB613,AB613)=1,1,0))</f>
        <v/>
      </c>
      <c r="AF613" s="34">
        <f>IF(C613="","",YEAR(C613-WEEKDAY(C613,2)+4)&amp;"-S"&amp;TEXT(INT((C613-DATE(YEAR(C613-WEEKDAY(C613,2)+4),1,3)+WEEKDAY(DATE(YEAR(C613-WEEKDAY(C613,2)+4),1,3),2)+5)/7),"00"))</f>
        <v/>
      </c>
    </row>
    <row r="614" ht="18" customHeight="1">
      <c r="A614" s="39" t="n">
        <v>609</v>
      </c>
      <c r="B614" s="33">
        <f>IF(C614="","",IF(P614="À RENSEIGNER","GIC",P614)&amp;"-C"&amp;TEXT(A614,"00000"))</f>
        <v/>
      </c>
      <c r="C614" s="32" t="n"/>
      <c r="D614" s="36" t="n"/>
      <c r="E614" s="36" t="n"/>
      <c r="F614" s="36" t="n"/>
      <c r="G614" s="42" t="n"/>
      <c r="H614" s="37" t="n"/>
      <c r="I614" s="37" t="n"/>
      <c r="J614" s="32" t="n"/>
      <c r="K614" s="32" t="n"/>
      <c r="L614" s="43" t="n"/>
      <c r="M614" s="36" t="n"/>
      <c r="N614" s="44" t="n"/>
      <c r="O614" s="36" t="n"/>
      <c r="P614" s="33">
        <f>IF(C614="","",Commercial_Id)</f>
        <v/>
      </c>
      <c r="Q614" s="34">
        <f>IF(AC614="","",IF(AD614=1,"C"&amp;TEXT(SUM(AD$6:AD614),"0000"),INDEX(Q$6:Q613,MATCH(AC614,AC$6:AC613,0))))</f>
        <v/>
      </c>
      <c r="R614" s="34">
        <f>IF(C614="","",IF(L614="☑ Oui","Annulée",IF(OR(E614="Vente directe",K614&lt;&gt;""),"Livrée",IF(J614&lt;&gt;"","Confirmée","En attente"))))</f>
        <v/>
      </c>
      <c r="S614" s="34">
        <f>IF(F614="","",IFERROR(VLOOKUP(F614,T_Produits,2,FALSE),""))</f>
        <v/>
      </c>
      <c r="T614" s="40">
        <f>IF(F614="","",IFERROR(1/(1/VLOOKUP(F614,T_Produits,3,FALSE)),""))</f>
        <v/>
      </c>
      <c r="U614" s="40">
        <f>IF(H614&lt;&gt;"",H614,T614)</f>
        <v/>
      </c>
      <c r="V614" s="40">
        <f>IF(OR(G614="",U614=""),"",G614*U614-N(I614))</f>
        <v/>
      </c>
      <c r="W614" s="39">
        <f>IF(D614="","",IFERROR(VALUE(MID(D614,LEN(D614)-3,3)),""))</f>
        <v/>
      </c>
      <c r="X614" s="33">
        <f>IF(W614="","",P614&amp;"|"&amp;W614)</f>
        <v/>
      </c>
      <c r="Y614" s="33">
        <f>IF(W614="","",IF(P614="À RENSEIGNER","GIC",P614)&amp;"-"&amp;TEXT(W614,"000"))</f>
        <v/>
      </c>
      <c r="Z614" s="33">
        <f>IF(X614="","",IFERROR(INDEX(Cl_nom,MATCH(X614,Cl_cle,0)),"(client introuvable)"))</f>
        <v/>
      </c>
      <c r="AA614" s="33">
        <f>IF(X614="","",IFERROR(INDEX(Cl_quartier,MATCH(X614,Cl_cle,0))&amp;"",""))</f>
        <v/>
      </c>
      <c r="AB614" s="45">
        <f>IF(R614&lt;&gt;"Livrée",0,IF(K614&lt;&gt;"",K614,C614))</f>
        <v/>
      </c>
      <c r="AC614" s="33">
        <f>IF(OR(C614="",W614=""),"",P614&amp;"|"&amp;W614&amp;"|"&amp;C614&amp;"|"&amp;E614)</f>
        <v/>
      </c>
      <c r="AD614" s="39">
        <f>IF(AC614="","",IF(COUNTIF(AC$6:AC614,AC614)=1,1,0))</f>
        <v/>
      </c>
      <c r="AE614" s="39">
        <f>IF(AB614=0,"",IF(COUNTIFS(X$6:X614,X614,AB$6:AB614,AB614)=1,1,0))</f>
        <v/>
      </c>
      <c r="AF614" s="34">
        <f>IF(C614="","",YEAR(C614-WEEKDAY(C614,2)+4)&amp;"-S"&amp;TEXT(INT((C614-DATE(YEAR(C614-WEEKDAY(C614,2)+4),1,3)+WEEKDAY(DATE(YEAR(C614-WEEKDAY(C614,2)+4),1,3),2)+5)/7),"00"))</f>
        <v/>
      </c>
    </row>
    <row r="615" ht="18" customHeight="1">
      <c r="A615" s="39" t="n">
        <v>610</v>
      </c>
      <c r="B615" s="33">
        <f>IF(C615="","",IF(P615="À RENSEIGNER","GIC",P615)&amp;"-C"&amp;TEXT(A615,"00000"))</f>
        <v/>
      </c>
      <c r="C615" s="32" t="n"/>
      <c r="D615" s="36" t="n"/>
      <c r="E615" s="36" t="n"/>
      <c r="F615" s="36" t="n"/>
      <c r="G615" s="42" t="n"/>
      <c r="H615" s="37" t="n"/>
      <c r="I615" s="37" t="n"/>
      <c r="J615" s="32" t="n"/>
      <c r="K615" s="32" t="n"/>
      <c r="L615" s="43" t="n"/>
      <c r="M615" s="36" t="n"/>
      <c r="N615" s="44" t="n"/>
      <c r="O615" s="36" t="n"/>
      <c r="P615" s="33">
        <f>IF(C615="","",Commercial_Id)</f>
        <v/>
      </c>
      <c r="Q615" s="34">
        <f>IF(AC615="","",IF(AD615=1,"C"&amp;TEXT(SUM(AD$6:AD615),"0000"),INDEX(Q$6:Q614,MATCH(AC615,AC$6:AC614,0))))</f>
        <v/>
      </c>
      <c r="R615" s="34">
        <f>IF(C615="","",IF(L615="☑ Oui","Annulée",IF(OR(E615="Vente directe",K615&lt;&gt;""),"Livrée",IF(J615&lt;&gt;"","Confirmée","En attente"))))</f>
        <v/>
      </c>
      <c r="S615" s="34">
        <f>IF(F615="","",IFERROR(VLOOKUP(F615,T_Produits,2,FALSE),""))</f>
        <v/>
      </c>
      <c r="T615" s="40">
        <f>IF(F615="","",IFERROR(1/(1/VLOOKUP(F615,T_Produits,3,FALSE)),""))</f>
        <v/>
      </c>
      <c r="U615" s="40">
        <f>IF(H615&lt;&gt;"",H615,T615)</f>
        <v/>
      </c>
      <c r="V615" s="40">
        <f>IF(OR(G615="",U615=""),"",G615*U615-N(I615))</f>
        <v/>
      </c>
      <c r="W615" s="39">
        <f>IF(D615="","",IFERROR(VALUE(MID(D615,LEN(D615)-3,3)),""))</f>
        <v/>
      </c>
      <c r="X615" s="33">
        <f>IF(W615="","",P615&amp;"|"&amp;W615)</f>
        <v/>
      </c>
      <c r="Y615" s="33">
        <f>IF(W615="","",IF(P615="À RENSEIGNER","GIC",P615)&amp;"-"&amp;TEXT(W615,"000"))</f>
        <v/>
      </c>
      <c r="Z615" s="33">
        <f>IF(X615="","",IFERROR(INDEX(Cl_nom,MATCH(X615,Cl_cle,0)),"(client introuvable)"))</f>
        <v/>
      </c>
      <c r="AA615" s="33">
        <f>IF(X615="","",IFERROR(INDEX(Cl_quartier,MATCH(X615,Cl_cle,0))&amp;"",""))</f>
        <v/>
      </c>
      <c r="AB615" s="45">
        <f>IF(R615&lt;&gt;"Livrée",0,IF(K615&lt;&gt;"",K615,C615))</f>
        <v/>
      </c>
      <c r="AC615" s="33">
        <f>IF(OR(C615="",W615=""),"",P615&amp;"|"&amp;W615&amp;"|"&amp;C615&amp;"|"&amp;E615)</f>
        <v/>
      </c>
      <c r="AD615" s="39">
        <f>IF(AC615="","",IF(COUNTIF(AC$6:AC615,AC615)=1,1,0))</f>
        <v/>
      </c>
      <c r="AE615" s="39">
        <f>IF(AB615=0,"",IF(COUNTIFS(X$6:X615,X615,AB$6:AB615,AB615)=1,1,0))</f>
        <v/>
      </c>
      <c r="AF615" s="34">
        <f>IF(C615="","",YEAR(C615-WEEKDAY(C615,2)+4)&amp;"-S"&amp;TEXT(INT((C615-DATE(YEAR(C615-WEEKDAY(C615,2)+4),1,3)+WEEKDAY(DATE(YEAR(C615-WEEKDAY(C615,2)+4),1,3),2)+5)/7),"00"))</f>
        <v/>
      </c>
    </row>
    <row r="616" ht="18" customHeight="1">
      <c r="A616" s="39" t="n">
        <v>611</v>
      </c>
      <c r="B616" s="33">
        <f>IF(C616="","",IF(P616="À RENSEIGNER","GIC",P616)&amp;"-C"&amp;TEXT(A616,"00000"))</f>
        <v/>
      </c>
      <c r="C616" s="32" t="n"/>
      <c r="D616" s="36" t="n"/>
      <c r="E616" s="36" t="n"/>
      <c r="F616" s="36" t="n"/>
      <c r="G616" s="42" t="n"/>
      <c r="H616" s="37" t="n"/>
      <c r="I616" s="37" t="n"/>
      <c r="J616" s="32" t="n"/>
      <c r="K616" s="32" t="n"/>
      <c r="L616" s="43" t="n"/>
      <c r="M616" s="36" t="n"/>
      <c r="N616" s="44" t="n"/>
      <c r="O616" s="36" t="n"/>
      <c r="P616" s="33">
        <f>IF(C616="","",Commercial_Id)</f>
        <v/>
      </c>
      <c r="Q616" s="34">
        <f>IF(AC616="","",IF(AD616=1,"C"&amp;TEXT(SUM(AD$6:AD616),"0000"),INDEX(Q$6:Q615,MATCH(AC616,AC$6:AC615,0))))</f>
        <v/>
      </c>
      <c r="R616" s="34">
        <f>IF(C616="","",IF(L616="☑ Oui","Annulée",IF(OR(E616="Vente directe",K616&lt;&gt;""),"Livrée",IF(J616&lt;&gt;"","Confirmée","En attente"))))</f>
        <v/>
      </c>
      <c r="S616" s="34">
        <f>IF(F616="","",IFERROR(VLOOKUP(F616,T_Produits,2,FALSE),""))</f>
        <v/>
      </c>
      <c r="T616" s="40">
        <f>IF(F616="","",IFERROR(1/(1/VLOOKUP(F616,T_Produits,3,FALSE)),""))</f>
        <v/>
      </c>
      <c r="U616" s="40">
        <f>IF(H616&lt;&gt;"",H616,T616)</f>
        <v/>
      </c>
      <c r="V616" s="40">
        <f>IF(OR(G616="",U616=""),"",G616*U616-N(I616))</f>
        <v/>
      </c>
      <c r="W616" s="39">
        <f>IF(D616="","",IFERROR(VALUE(MID(D616,LEN(D616)-3,3)),""))</f>
        <v/>
      </c>
      <c r="X616" s="33">
        <f>IF(W616="","",P616&amp;"|"&amp;W616)</f>
        <v/>
      </c>
      <c r="Y616" s="33">
        <f>IF(W616="","",IF(P616="À RENSEIGNER","GIC",P616)&amp;"-"&amp;TEXT(W616,"000"))</f>
        <v/>
      </c>
      <c r="Z616" s="33">
        <f>IF(X616="","",IFERROR(INDEX(Cl_nom,MATCH(X616,Cl_cle,0)),"(client introuvable)"))</f>
        <v/>
      </c>
      <c r="AA616" s="33">
        <f>IF(X616="","",IFERROR(INDEX(Cl_quartier,MATCH(X616,Cl_cle,0))&amp;"",""))</f>
        <v/>
      </c>
      <c r="AB616" s="45">
        <f>IF(R616&lt;&gt;"Livrée",0,IF(K616&lt;&gt;"",K616,C616))</f>
        <v/>
      </c>
      <c r="AC616" s="33">
        <f>IF(OR(C616="",W616=""),"",P616&amp;"|"&amp;W616&amp;"|"&amp;C616&amp;"|"&amp;E616)</f>
        <v/>
      </c>
      <c r="AD616" s="39">
        <f>IF(AC616="","",IF(COUNTIF(AC$6:AC616,AC616)=1,1,0))</f>
        <v/>
      </c>
      <c r="AE616" s="39">
        <f>IF(AB616=0,"",IF(COUNTIFS(X$6:X616,X616,AB$6:AB616,AB616)=1,1,0))</f>
        <v/>
      </c>
      <c r="AF616" s="34">
        <f>IF(C616="","",YEAR(C616-WEEKDAY(C616,2)+4)&amp;"-S"&amp;TEXT(INT((C616-DATE(YEAR(C616-WEEKDAY(C616,2)+4),1,3)+WEEKDAY(DATE(YEAR(C616-WEEKDAY(C616,2)+4),1,3),2)+5)/7),"00"))</f>
        <v/>
      </c>
    </row>
    <row r="617" ht="18" customHeight="1">
      <c r="A617" s="39" t="n">
        <v>612</v>
      </c>
      <c r="B617" s="33">
        <f>IF(C617="","",IF(P617="À RENSEIGNER","GIC",P617)&amp;"-C"&amp;TEXT(A617,"00000"))</f>
        <v/>
      </c>
      <c r="C617" s="32" t="n"/>
      <c r="D617" s="36" t="n"/>
      <c r="E617" s="36" t="n"/>
      <c r="F617" s="36" t="n"/>
      <c r="G617" s="42" t="n"/>
      <c r="H617" s="37" t="n"/>
      <c r="I617" s="37" t="n"/>
      <c r="J617" s="32" t="n"/>
      <c r="K617" s="32" t="n"/>
      <c r="L617" s="43" t="n"/>
      <c r="M617" s="36" t="n"/>
      <c r="N617" s="44" t="n"/>
      <c r="O617" s="36" t="n"/>
      <c r="P617" s="33">
        <f>IF(C617="","",Commercial_Id)</f>
        <v/>
      </c>
      <c r="Q617" s="34">
        <f>IF(AC617="","",IF(AD617=1,"C"&amp;TEXT(SUM(AD$6:AD617),"0000"),INDEX(Q$6:Q616,MATCH(AC617,AC$6:AC616,0))))</f>
        <v/>
      </c>
      <c r="R617" s="34">
        <f>IF(C617="","",IF(L617="☑ Oui","Annulée",IF(OR(E617="Vente directe",K617&lt;&gt;""),"Livrée",IF(J617&lt;&gt;"","Confirmée","En attente"))))</f>
        <v/>
      </c>
      <c r="S617" s="34">
        <f>IF(F617="","",IFERROR(VLOOKUP(F617,T_Produits,2,FALSE),""))</f>
        <v/>
      </c>
      <c r="T617" s="40">
        <f>IF(F617="","",IFERROR(1/(1/VLOOKUP(F617,T_Produits,3,FALSE)),""))</f>
        <v/>
      </c>
      <c r="U617" s="40">
        <f>IF(H617&lt;&gt;"",H617,T617)</f>
        <v/>
      </c>
      <c r="V617" s="40">
        <f>IF(OR(G617="",U617=""),"",G617*U617-N(I617))</f>
        <v/>
      </c>
      <c r="W617" s="39">
        <f>IF(D617="","",IFERROR(VALUE(MID(D617,LEN(D617)-3,3)),""))</f>
        <v/>
      </c>
      <c r="X617" s="33">
        <f>IF(W617="","",P617&amp;"|"&amp;W617)</f>
        <v/>
      </c>
      <c r="Y617" s="33">
        <f>IF(W617="","",IF(P617="À RENSEIGNER","GIC",P617)&amp;"-"&amp;TEXT(W617,"000"))</f>
        <v/>
      </c>
      <c r="Z617" s="33">
        <f>IF(X617="","",IFERROR(INDEX(Cl_nom,MATCH(X617,Cl_cle,0)),"(client introuvable)"))</f>
        <v/>
      </c>
      <c r="AA617" s="33">
        <f>IF(X617="","",IFERROR(INDEX(Cl_quartier,MATCH(X617,Cl_cle,0))&amp;"",""))</f>
        <v/>
      </c>
      <c r="AB617" s="45">
        <f>IF(R617&lt;&gt;"Livrée",0,IF(K617&lt;&gt;"",K617,C617))</f>
        <v/>
      </c>
      <c r="AC617" s="33">
        <f>IF(OR(C617="",W617=""),"",P617&amp;"|"&amp;W617&amp;"|"&amp;C617&amp;"|"&amp;E617)</f>
        <v/>
      </c>
      <c r="AD617" s="39">
        <f>IF(AC617="","",IF(COUNTIF(AC$6:AC617,AC617)=1,1,0))</f>
        <v/>
      </c>
      <c r="AE617" s="39">
        <f>IF(AB617=0,"",IF(COUNTIFS(X$6:X617,X617,AB$6:AB617,AB617)=1,1,0))</f>
        <v/>
      </c>
      <c r="AF617" s="34">
        <f>IF(C617="","",YEAR(C617-WEEKDAY(C617,2)+4)&amp;"-S"&amp;TEXT(INT((C617-DATE(YEAR(C617-WEEKDAY(C617,2)+4),1,3)+WEEKDAY(DATE(YEAR(C617-WEEKDAY(C617,2)+4),1,3),2)+5)/7),"00"))</f>
        <v/>
      </c>
    </row>
    <row r="618" ht="18" customHeight="1">
      <c r="A618" s="39" t="n">
        <v>613</v>
      </c>
      <c r="B618" s="33">
        <f>IF(C618="","",IF(P618="À RENSEIGNER","GIC",P618)&amp;"-C"&amp;TEXT(A618,"00000"))</f>
        <v/>
      </c>
      <c r="C618" s="32" t="n"/>
      <c r="D618" s="36" t="n"/>
      <c r="E618" s="36" t="n"/>
      <c r="F618" s="36" t="n"/>
      <c r="G618" s="42" t="n"/>
      <c r="H618" s="37" t="n"/>
      <c r="I618" s="37" t="n"/>
      <c r="J618" s="32" t="n"/>
      <c r="K618" s="32" t="n"/>
      <c r="L618" s="43" t="n"/>
      <c r="M618" s="36" t="n"/>
      <c r="N618" s="44" t="n"/>
      <c r="O618" s="36" t="n"/>
      <c r="P618" s="33">
        <f>IF(C618="","",Commercial_Id)</f>
        <v/>
      </c>
      <c r="Q618" s="34">
        <f>IF(AC618="","",IF(AD618=1,"C"&amp;TEXT(SUM(AD$6:AD618),"0000"),INDEX(Q$6:Q617,MATCH(AC618,AC$6:AC617,0))))</f>
        <v/>
      </c>
      <c r="R618" s="34">
        <f>IF(C618="","",IF(L618="☑ Oui","Annulée",IF(OR(E618="Vente directe",K618&lt;&gt;""),"Livrée",IF(J618&lt;&gt;"","Confirmée","En attente"))))</f>
        <v/>
      </c>
      <c r="S618" s="34">
        <f>IF(F618="","",IFERROR(VLOOKUP(F618,T_Produits,2,FALSE),""))</f>
        <v/>
      </c>
      <c r="T618" s="40">
        <f>IF(F618="","",IFERROR(1/(1/VLOOKUP(F618,T_Produits,3,FALSE)),""))</f>
        <v/>
      </c>
      <c r="U618" s="40">
        <f>IF(H618&lt;&gt;"",H618,T618)</f>
        <v/>
      </c>
      <c r="V618" s="40">
        <f>IF(OR(G618="",U618=""),"",G618*U618-N(I618))</f>
        <v/>
      </c>
      <c r="W618" s="39">
        <f>IF(D618="","",IFERROR(VALUE(MID(D618,LEN(D618)-3,3)),""))</f>
        <v/>
      </c>
      <c r="X618" s="33">
        <f>IF(W618="","",P618&amp;"|"&amp;W618)</f>
        <v/>
      </c>
      <c r="Y618" s="33">
        <f>IF(W618="","",IF(P618="À RENSEIGNER","GIC",P618)&amp;"-"&amp;TEXT(W618,"000"))</f>
        <v/>
      </c>
      <c r="Z618" s="33">
        <f>IF(X618="","",IFERROR(INDEX(Cl_nom,MATCH(X618,Cl_cle,0)),"(client introuvable)"))</f>
        <v/>
      </c>
      <c r="AA618" s="33">
        <f>IF(X618="","",IFERROR(INDEX(Cl_quartier,MATCH(X618,Cl_cle,0))&amp;"",""))</f>
        <v/>
      </c>
      <c r="AB618" s="45">
        <f>IF(R618&lt;&gt;"Livrée",0,IF(K618&lt;&gt;"",K618,C618))</f>
        <v/>
      </c>
      <c r="AC618" s="33">
        <f>IF(OR(C618="",W618=""),"",P618&amp;"|"&amp;W618&amp;"|"&amp;C618&amp;"|"&amp;E618)</f>
        <v/>
      </c>
      <c r="AD618" s="39">
        <f>IF(AC618="","",IF(COUNTIF(AC$6:AC618,AC618)=1,1,0))</f>
        <v/>
      </c>
      <c r="AE618" s="39">
        <f>IF(AB618=0,"",IF(COUNTIFS(X$6:X618,X618,AB$6:AB618,AB618)=1,1,0))</f>
        <v/>
      </c>
      <c r="AF618" s="34">
        <f>IF(C618="","",YEAR(C618-WEEKDAY(C618,2)+4)&amp;"-S"&amp;TEXT(INT((C618-DATE(YEAR(C618-WEEKDAY(C618,2)+4),1,3)+WEEKDAY(DATE(YEAR(C618-WEEKDAY(C618,2)+4),1,3),2)+5)/7),"00"))</f>
        <v/>
      </c>
    </row>
    <row r="619" ht="18" customHeight="1">
      <c r="A619" s="39" t="n">
        <v>614</v>
      </c>
      <c r="B619" s="33">
        <f>IF(C619="","",IF(P619="À RENSEIGNER","GIC",P619)&amp;"-C"&amp;TEXT(A619,"00000"))</f>
        <v/>
      </c>
      <c r="C619" s="32" t="n"/>
      <c r="D619" s="36" t="n"/>
      <c r="E619" s="36" t="n"/>
      <c r="F619" s="36" t="n"/>
      <c r="G619" s="42" t="n"/>
      <c r="H619" s="37" t="n"/>
      <c r="I619" s="37" t="n"/>
      <c r="J619" s="32" t="n"/>
      <c r="K619" s="32" t="n"/>
      <c r="L619" s="43" t="n"/>
      <c r="M619" s="36" t="n"/>
      <c r="N619" s="44" t="n"/>
      <c r="O619" s="36" t="n"/>
      <c r="P619" s="33">
        <f>IF(C619="","",Commercial_Id)</f>
        <v/>
      </c>
      <c r="Q619" s="34">
        <f>IF(AC619="","",IF(AD619=1,"C"&amp;TEXT(SUM(AD$6:AD619),"0000"),INDEX(Q$6:Q618,MATCH(AC619,AC$6:AC618,0))))</f>
        <v/>
      </c>
      <c r="R619" s="34">
        <f>IF(C619="","",IF(L619="☑ Oui","Annulée",IF(OR(E619="Vente directe",K619&lt;&gt;""),"Livrée",IF(J619&lt;&gt;"","Confirmée","En attente"))))</f>
        <v/>
      </c>
      <c r="S619" s="34">
        <f>IF(F619="","",IFERROR(VLOOKUP(F619,T_Produits,2,FALSE),""))</f>
        <v/>
      </c>
      <c r="T619" s="40">
        <f>IF(F619="","",IFERROR(1/(1/VLOOKUP(F619,T_Produits,3,FALSE)),""))</f>
        <v/>
      </c>
      <c r="U619" s="40">
        <f>IF(H619&lt;&gt;"",H619,T619)</f>
        <v/>
      </c>
      <c r="V619" s="40">
        <f>IF(OR(G619="",U619=""),"",G619*U619-N(I619))</f>
        <v/>
      </c>
      <c r="W619" s="39">
        <f>IF(D619="","",IFERROR(VALUE(MID(D619,LEN(D619)-3,3)),""))</f>
        <v/>
      </c>
      <c r="X619" s="33">
        <f>IF(W619="","",P619&amp;"|"&amp;W619)</f>
        <v/>
      </c>
      <c r="Y619" s="33">
        <f>IF(W619="","",IF(P619="À RENSEIGNER","GIC",P619)&amp;"-"&amp;TEXT(W619,"000"))</f>
        <v/>
      </c>
      <c r="Z619" s="33">
        <f>IF(X619="","",IFERROR(INDEX(Cl_nom,MATCH(X619,Cl_cle,0)),"(client introuvable)"))</f>
        <v/>
      </c>
      <c r="AA619" s="33">
        <f>IF(X619="","",IFERROR(INDEX(Cl_quartier,MATCH(X619,Cl_cle,0))&amp;"",""))</f>
        <v/>
      </c>
      <c r="AB619" s="45">
        <f>IF(R619&lt;&gt;"Livrée",0,IF(K619&lt;&gt;"",K619,C619))</f>
        <v/>
      </c>
      <c r="AC619" s="33">
        <f>IF(OR(C619="",W619=""),"",P619&amp;"|"&amp;W619&amp;"|"&amp;C619&amp;"|"&amp;E619)</f>
        <v/>
      </c>
      <c r="AD619" s="39">
        <f>IF(AC619="","",IF(COUNTIF(AC$6:AC619,AC619)=1,1,0))</f>
        <v/>
      </c>
      <c r="AE619" s="39">
        <f>IF(AB619=0,"",IF(COUNTIFS(X$6:X619,X619,AB$6:AB619,AB619)=1,1,0))</f>
        <v/>
      </c>
      <c r="AF619" s="34">
        <f>IF(C619="","",YEAR(C619-WEEKDAY(C619,2)+4)&amp;"-S"&amp;TEXT(INT((C619-DATE(YEAR(C619-WEEKDAY(C619,2)+4),1,3)+WEEKDAY(DATE(YEAR(C619-WEEKDAY(C619,2)+4),1,3),2)+5)/7),"00"))</f>
        <v/>
      </c>
    </row>
    <row r="620" ht="18" customHeight="1">
      <c r="A620" s="39" t="n">
        <v>615</v>
      </c>
      <c r="B620" s="33">
        <f>IF(C620="","",IF(P620="À RENSEIGNER","GIC",P620)&amp;"-C"&amp;TEXT(A620,"00000"))</f>
        <v/>
      </c>
      <c r="C620" s="32" t="n"/>
      <c r="D620" s="36" t="n"/>
      <c r="E620" s="36" t="n"/>
      <c r="F620" s="36" t="n"/>
      <c r="G620" s="42" t="n"/>
      <c r="H620" s="37" t="n"/>
      <c r="I620" s="37" t="n"/>
      <c r="J620" s="32" t="n"/>
      <c r="K620" s="32" t="n"/>
      <c r="L620" s="43" t="n"/>
      <c r="M620" s="36" t="n"/>
      <c r="N620" s="44" t="n"/>
      <c r="O620" s="36" t="n"/>
      <c r="P620" s="33">
        <f>IF(C620="","",Commercial_Id)</f>
        <v/>
      </c>
      <c r="Q620" s="34">
        <f>IF(AC620="","",IF(AD620=1,"C"&amp;TEXT(SUM(AD$6:AD620),"0000"),INDEX(Q$6:Q619,MATCH(AC620,AC$6:AC619,0))))</f>
        <v/>
      </c>
      <c r="R620" s="34">
        <f>IF(C620="","",IF(L620="☑ Oui","Annulée",IF(OR(E620="Vente directe",K620&lt;&gt;""),"Livrée",IF(J620&lt;&gt;"","Confirmée","En attente"))))</f>
        <v/>
      </c>
      <c r="S620" s="34">
        <f>IF(F620="","",IFERROR(VLOOKUP(F620,T_Produits,2,FALSE),""))</f>
        <v/>
      </c>
      <c r="T620" s="40">
        <f>IF(F620="","",IFERROR(1/(1/VLOOKUP(F620,T_Produits,3,FALSE)),""))</f>
        <v/>
      </c>
      <c r="U620" s="40">
        <f>IF(H620&lt;&gt;"",H620,T620)</f>
        <v/>
      </c>
      <c r="V620" s="40">
        <f>IF(OR(G620="",U620=""),"",G620*U620-N(I620))</f>
        <v/>
      </c>
      <c r="W620" s="39">
        <f>IF(D620="","",IFERROR(VALUE(MID(D620,LEN(D620)-3,3)),""))</f>
        <v/>
      </c>
      <c r="X620" s="33">
        <f>IF(W620="","",P620&amp;"|"&amp;W620)</f>
        <v/>
      </c>
      <c r="Y620" s="33">
        <f>IF(W620="","",IF(P620="À RENSEIGNER","GIC",P620)&amp;"-"&amp;TEXT(W620,"000"))</f>
        <v/>
      </c>
      <c r="Z620" s="33">
        <f>IF(X620="","",IFERROR(INDEX(Cl_nom,MATCH(X620,Cl_cle,0)),"(client introuvable)"))</f>
        <v/>
      </c>
      <c r="AA620" s="33">
        <f>IF(X620="","",IFERROR(INDEX(Cl_quartier,MATCH(X620,Cl_cle,0))&amp;"",""))</f>
        <v/>
      </c>
      <c r="AB620" s="45">
        <f>IF(R620&lt;&gt;"Livrée",0,IF(K620&lt;&gt;"",K620,C620))</f>
        <v/>
      </c>
      <c r="AC620" s="33">
        <f>IF(OR(C620="",W620=""),"",P620&amp;"|"&amp;W620&amp;"|"&amp;C620&amp;"|"&amp;E620)</f>
        <v/>
      </c>
      <c r="AD620" s="39">
        <f>IF(AC620="","",IF(COUNTIF(AC$6:AC620,AC620)=1,1,0))</f>
        <v/>
      </c>
      <c r="AE620" s="39">
        <f>IF(AB620=0,"",IF(COUNTIFS(X$6:X620,X620,AB$6:AB620,AB620)=1,1,0))</f>
        <v/>
      </c>
      <c r="AF620" s="34">
        <f>IF(C620="","",YEAR(C620-WEEKDAY(C620,2)+4)&amp;"-S"&amp;TEXT(INT((C620-DATE(YEAR(C620-WEEKDAY(C620,2)+4),1,3)+WEEKDAY(DATE(YEAR(C620-WEEKDAY(C620,2)+4),1,3),2)+5)/7),"00"))</f>
        <v/>
      </c>
    </row>
    <row r="621" ht="18" customHeight="1">
      <c r="A621" s="39" t="n">
        <v>616</v>
      </c>
      <c r="B621" s="33">
        <f>IF(C621="","",IF(P621="À RENSEIGNER","GIC",P621)&amp;"-C"&amp;TEXT(A621,"00000"))</f>
        <v/>
      </c>
      <c r="C621" s="32" t="n"/>
      <c r="D621" s="36" t="n"/>
      <c r="E621" s="36" t="n"/>
      <c r="F621" s="36" t="n"/>
      <c r="G621" s="42" t="n"/>
      <c r="H621" s="37" t="n"/>
      <c r="I621" s="37" t="n"/>
      <c r="J621" s="32" t="n"/>
      <c r="K621" s="32" t="n"/>
      <c r="L621" s="43" t="n"/>
      <c r="M621" s="36" t="n"/>
      <c r="N621" s="44" t="n"/>
      <c r="O621" s="36" t="n"/>
      <c r="P621" s="33">
        <f>IF(C621="","",Commercial_Id)</f>
        <v/>
      </c>
      <c r="Q621" s="34">
        <f>IF(AC621="","",IF(AD621=1,"C"&amp;TEXT(SUM(AD$6:AD621),"0000"),INDEX(Q$6:Q620,MATCH(AC621,AC$6:AC620,0))))</f>
        <v/>
      </c>
      <c r="R621" s="34">
        <f>IF(C621="","",IF(L621="☑ Oui","Annulée",IF(OR(E621="Vente directe",K621&lt;&gt;""),"Livrée",IF(J621&lt;&gt;"","Confirmée","En attente"))))</f>
        <v/>
      </c>
      <c r="S621" s="34">
        <f>IF(F621="","",IFERROR(VLOOKUP(F621,T_Produits,2,FALSE),""))</f>
        <v/>
      </c>
      <c r="T621" s="40">
        <f>IF(F621="","",IFERROR(1/(1/VLOOKUP(F621,T_Produits,3,FALSE)),""))</f>
        <v/>
      </c>
      <c r="U621" s="40">
        <f>IF(H621&lt;&gt;"",H621,T621)</f>
        <v/>
      </c>
      <c r="V621" s="40">
        <f>IF(OR(G621="",U621=""),"",G621*U621-N(I621))</f>
        <v/>
      </c>
      <c r="W621" s="39">
        <f>IF(D621="","",IFERROR(VALUE(MID(D621,LEN(D621)-3,3)),""))</f>
        <v/>
      </c>
      <c r="X621" s="33">
        <f>IF(W621="","",P621&amp;"|"&amp;W621)</f>
        <v/>
      </c>
      <c r="Y621" s="33">
        <f>IF(W621="","",IF(P621="À RENSEIGNER","GIC",P621)&amp;"-"&amp;TEXT(W621,"000"))</f>
        <v/>
      </c>
      <c r="Z621" s="33">
        <f>IF(X621="","",IFERROR(INDEX(Cl_nom,MATCH(X621,Cl_cle,0)),"(client introuvable)"))</f>
        <v/>
      </c>
      <c r="AA621" s="33">
        <f>IF(X621="","",IFERROR(INDEX(Cl_quartier,MATCH(X621,Cl_cle,0))&amp;"",""))</f>
        <v/>
      </c>
      <c r="AB621" s="45">
        <f>IF(R621&lt;&gt;"Livrée",0,IF(K621&lt;&gt;"",K621,C621))</f>
        <v/>
      </c>
      <c r="AC621" s="33">
        <f>IF(OR(C621="",W621=""),"",P621&amp;"|"&amp;W621&amp;"|"&amp;C621&amp;"|"&amp;E621)</f>
        <v/>
      </c>
      <c r="AD621" s="39">
        <f>IF(AC621="","",IF(COUNTIF(AC$6:AC621,AC621)=1,1,0))</f>
        <v/>
      </c>
      <c r="AE621" s="39">
        <f>IF(AB621=0,"",IF(COUNTIFS(X$6:X621,X621,AB$6:AB621,AB621)=1,1,0))</f>
        <v/>
      </c>
      <c r="AF621" s="34">
        <f>IF(C621="","",YEAR(C621-WEEKDAY(C621,2)+4)&amp;"-S"&amp;TEXT(INT((C621-DATE(YEAR(C621-WEEKDAY(C621,2)+4),1,3)+WEEKDAY(DATE(YEAR(C621-WEEKDAY(C621,2)+4),1,3),2)+5)/7),"00"))</f>
        <v/>
      </c>
    </row>
    <row r="622" ht="18" customHeight="1">
      <c r="A622" s="39" t="n">
        <v>617</v>
      </c>
      <c r="B622" s="33">
        <f>IF(C622="","",IF(P622="À RENSEIGNER","GIC",P622)&amp;"-C"&amp;TEXT(A622,"00000"))</f>
        <v/>
      </c>
      <c r="C622" s="32" t="n"/>
      <c r="D622" s="36" t="n"/>
      <c r="E622" s="36" t="n"/>
      <c r="F622" s="36" t="n"/>
      <c r="G622" s="42" t="n"/>
      <c r="H622" s="37" t="n"/>
      <c r="I622" s="37" t="n"/>
      <c r="J622" s="32" t="n"/>
      <c r="K622" s="32" t="n"/>
      <c r="L622" s="43" t="n"/>
      <c r="M622" s="36" t="n"/>
      <c r="N622" s="44" t="n"/>
      <c r="O622" s="36" t="n"/>
      <c r="P622" s="33">
        <f>IF(C622="","",Commercial_Id)</f>
        <v/>
      </c>
      <c r="Q622" s="34">
        <f>IF(AC622="","",IF(AD622=1,"C"&amp;TEXT(SUM(AD$6:AD622),"0000"),INDEX(Q$6:Q621,MATCH(AC622,AC$6:AC621,0))))</f>
        <v/>
      </c>
      <c r="R622" s="34">
        <f>IF(C622="","",IF(L622="☑ Oui","Annulée",IF(OR(E622="Vente directe",K622&lt;&gt;""),"Livrée",IF(J622&lt;&gt;"","Confirmée","En attente"))))</f>
        <v/>
      </c>
      <c r="S622" s="34">
        <f>IF(F622="","",IFERROR(VLOOKUP(F622,T_Produits,2,FALSE),""))</f>
        <v/>
      </c>
      <c r="T622" s="40">
        <f>IF(F622="","",IFERROR(1/(1/VLOOKUP(F622,T_Produits,3,FALSE)),""))</f>
        <v/>
      </c>
      <c r="U622" s="40">
        <f>IF(H622&lt;&gt;"",H622,T622)</f>
        <v/>
      </c>
      <c r="V622" s="40">
        <f>IF(OR(G622="",U622=""),"",G622*U622-N(I622))</f>
        <v/>
      </c>
      <c r="W622" s="39">
        <f>IF(D622="","",IFERROR(VALUE(MID(D622,LEN(D622)-3,3)),""))</f>
        <v/>
      </c>
      <c r="X622" s="33">
        <f>IF(W622="","",P622&amp;"|"&amp;W622)</f>
        <v/>
      </c>
      <c r="Y622" s="33">
        <f>IF(W622="","",IF(P622="À RENSEIGNER","GIC",P622)&amp;"-"&amp;TEXT(W622,"000"))</f>
        <v/>
      </c>
      <c r="Z622" s="33">
        <f>IF(X622="","",IFERROR(INDEX(Cl_nom,MATCH(X622,Cl_cle,0)),"(client introuvable)"))</f>
        <v/>
      </c>
      <c r="AA622" s="33">
        <f>IF(X622="","",IFERROR(INDEX(Cl_quartier,MATCH(X622,Cl_cle,0))&amp;"",""))</f>
        <v/>
      </c>
      <c r="AB622" s="45">
        <f>IF(R622&lt;&gt;"Livrée",0,IF(K622&lt;&gt;"",K622,C622))</f>
        <v/>
      </c>
      <c r="AC622" s="33">
        <f>IF(OR(C622="",W622=""),"",P622&amp;"|"&amp;W622&amp;"|"&amp;C622&amp;"|"&amp;E622)</f>
        <v/>
      </c>
      <c r="AD622" s="39">
        <f>IF(AC622="","",IF(COUNTIF(AC$6:AC622,AC622)=1,1,0))</f>
        <v/>
      </c>
      <c r="AE622" s="39">
        <f>IF(AB622=0,"",IF(COUNTIFS(X$6:X622,X622,AB$6:AB622,AB622)=1,1,0))</f>
        <v/>
      </c>
      <c r="AF622" s="34">
        <f>IF(C622="","",YEAR(C622-WEEKDAY(C622,2)+4)&amp;"-S"&amp;TEXT(INT((C622-DATE(YEAR(C622-WEEKDAY(C622,2)+4),1,3)+WEEKDAY(DATE(YEAR(C622-WEEKDAY(C622,2)+4),1,3),2)+5)/7),"00"))</f>
        <v/>
      </c>
    </row>
    <row r="623" ht="18" customHeight="1">
      <c r="A623" s="39" t="n">
        <v>618</v>
      </c>
      <c r="B623" s="33">
        <f>IF(C623="","",IF(P623="À RENSEIGNER","GIC",P623)&amp;"-C"&amp;TEXT(A623,"00000"))</f>
        <v/>
      </c>
      <c r="C623" s="32" t="n"/>
      <c r="D623" s="36" t="n"/>
      <c r="E623" s="36" t="n"/>
      <c r="F623" s="36" t="n"/>
      <c r="G623" s="42" t="n"/>
      <c r="H623" s="37" t="n"/>
      <c r="I623" s="37" t="n"/>
      <c r="J623" s="32" t="n"/>
      <c r="K623" s="32" t="n"/>
      <c r="L623" s="43" t="n"/>
      <c r="M623" s="36" t="n"/>
      <c r="N623" s="44" t="n"/>
      <c r="O623" s="36" t="n"/>
      <c r="P623" s="33">
        <f>IF(C623="","",Commercial_Id)</f>
        <v/>
      </c>
      <c r="Q623" s="34">
        <f>IF(AC623="","",IF(AD623=1,"C"&amp;TEXT(SUM(AD$6:AD623),"0000"),INDEX(Q$6:Q622,MATCH(AC623,AC$6:AC622,0))))</f>
        <v/>
      </c>
      <c r="R623" s="34">
        <f>IF(C623="","",IF(L623="☑ Oui","Annulée",IF(OR(E623="Vente directe",K623&lt;&gt;""),"Livrée",IF(J623&lt;&gt;"","Confirmée","En attente"))))</f>
        <v/>
      </c>
      <c r="S623" s="34">
        <f>IF(F623="","",IFERROR(VLOOKUP(F623,T_Produits,2,FALSE),""))</f>
        <v/>
      </c>
      <c r="T623" s="40">
        <f>IF(F623="","",IFERROR(1/(1/VLOOKUP(F623,T_Produits,3,FALSE)),""))</f>
        <v/>
      </c>
      <c r="U623" s="40">
        <f>IF(H623&lt;&gt;"",H623,T623)</f>
        <v/>
      </c>
      <c r="V623" s="40">
        <f>IF(OR(G623="",U623=""),"",G623*U623-N(I623))</f>
        <v/>
      </c>
      <c r="W623" s="39">
        <f>IF(D623="","",IFERROR(VALUE(MID(D623,LEN(D623)-3,3)),""))</f>
        <v/>
      </c>
      <c r="X623" s="33">
        <f>IF(W623="","",P623&amp;"|"&amp;W623)</f>
        <v/>
      </c>
      <c r="Y623" s="33">
        <f>IF(W623="","",IF(P623="À RENSEIGNER","GIC",P623)&amp;"-"&amp;TEXT(W623,"000"))</f>
        <v/>
      </c>
      <c r="Z623" s="33">
        <f>IF(X623="","",IFERROR(INDEX(Cl_nom,MATCH(X623,Cl_cle,0)),"(client introuvable)"))</f>
        <v/>
      </c>
      <c r="AA623" s="33">
        <f>IF(X623="","",IFERROR(INDEX(Cl_quartier,MATCH(X623,Cl_cle,0))&amp;"",""))</f>
        <v/>
      </c>
      <c r="AB623" s="45">
        <f>IF(R623&lt;&gt;"Livrée",0,IF(K623&lt;&gt;"",K623,C623))</f>
        <v/>
      </c>
      <c r="AC623" s="33">
        <f>IF(OR(C623="",W623=""),"",P623&amp;"|"&amp;W623&amp;"|"&amp;C623&amp;"|"&amp;E623)</f>
        <v/>
      </c>
      <c r="AD623" s="39">
        <f>IF(AC623="","",IF(COUNTIF(AC$6:AC623,AC623)=1,1,0))</f>
        <v/>
      </c>
      <c r="AE623" s="39">
        <f>IF(AB623=0,"",IF(COUNTIFS(X$6:X623,X623,AB$6:AB623,AB623)=1,1,0))</f>
        <v/>
      </c>
      <c r="AF623" s="34">
        <f>IF(C623="","",YEAR(C623-WEEKDAY(C623,2)+4)&amp;"-S"&amp;TEXT(INT((C623-DATE(YEAR(C623-WEEKDAY(C623,2)+4),1,3)+WEEKDAY(DATE(YEAR(C623-WEEKDAY(C623,2)+4),1,3),2)+5)/7),"00"))</f>
        <v/>
      </c>
    </row>
    <row r="624" ht="18" customHeight="1">
      <c r="A624" s="39" t="n">
        <v>619</v>
      </c>
      <c r="B624" s="33">
        <f>IF(C624="","",IF(P624="À RENSEIGNER","GIC",P624)&amp;"-C"&amp;TEXT(A624,"00000"))</f>
        <v/>
      </c>
      <c r="C624" s="32" t="n"/>
      <c r="D624" s="36" t="n"/>
      <c r="E624" s="36" t="n"/>
      <c r="F624" s="36" t="n"/>
      <c r="G624" s="42" t="n"/>
      <c r="H624" s="37" t="n"/>
      <c r="I624" s="37" t="n"/>
      <c r="J624" s="32" t="n"/>
      <c r="K624" s="32" t="n"/>
      <c r="L624" s="43" t="n"/>
      <c r="M624" s="36" t="n"/>
      <c r="N624" s="44" t="n"/>
      <c r="O624" s="36" t="n"/>
      <c r="P624" s="33">
        <f>IF(C624="","",Commercial_Id)</f>
        <v/>
      </c>
      <c r="Q624" s="34">
        <f>IF(AC624="","",IF(AD624=1,"C"&amp;TEXT(SUM(AD$6:AD624),"0000"),INDEX(Q$6:Q623,MATCH(AC624,AC$6:AC623,0))))</f>
        <v/>
      </c>
      <c r="R624" s="34">
        <f>IF(C624="","",IF(L624="☑ Oui","Annulée",IF(OR(E624="Vente directe",K624&lt;&gt;""),"Livrée",IF(J624&lt;&gt;"","Confirmée","En attente"))))</f>
        <v/>
      </c>
      <c r="S624" s="34">
        <f>IF(F624="","",IFERROR(VLOOKUP(F624,T_Produits,2,FALSE),""))</f>
        <v/>
      </c>
      <c r="T624" s="40">
        <f>IF(F624="","",IFERROR(1/(1/VLOOKUP(F624,T_Produits,3,FALSE)),""))</f>
        <v/>
      </c>
      <c r="U624" s="40">
        <f>IF(H624&lt;&gt;"",H624,T624)</f>
        <v/>
      </c>
      <c r="V624" s="40">
        <f>IF(OR(G624="",U624=""),"",G624*U624-N(I624))</f>
        <v/>
      </c>
      <c r="W624" s="39">
        <f>IF(D624="","",IFERROR(VALUE(MID(D624,LEN(D624)-3,3)),""))</f>
        <v/>
      </c>
      <c r="X624" s="33">
        <f>IF(W624="","",P624&amp;"|"&amp;W624)</f>
        <v/>
      </c>
      <c r="Y624" s="33">
        <f>IF(W624="","",IF(P624="À RENSEIGNER","GIC",P624)&amp;"-"&amp;TEXT(W624,"000"))</f>
        <v/>
      </c>
      <c r="Z624" s="33">
        <f>IF(X624="","",IFERROR(INDEX(Cl_nom,MATCH(X624,Cl_cle,0)),"(client introuvable)"))</f>
        <v/>
      </c>
      <c r="AA624" s="33">
        <f>IF(X624="","",IFERROR(INDEX(Cl_quartier,MATCH(X624,Cl_cle,0))&amp;"",""))</f>
        <v/>
      </c>
      <c r="AB624" s="45">
        <f>IF(R624&lt;&gt;"Livrée",0,IF(K624&lt;&gt;"",K624,C624))</f>
        <v/>
      </c>
      <c r="AC624" s="33">
        <f>IF(OR(C624="",W624=""),"",P624&amp;"|"&amp;W624&amp;"|"&amp;C624&amp;"|"&amp;E624)</f>
        <v/>
      </c>
      <c r="AD624" s="39">
        <f>IF(AC624="","",IF(COUNTIF(AC$6:AC624,AC624)=1,1,0))</f>
        <v/>
      </c>
      <c r="AE624" s="39">
        <f>IF(AB624=0,"",IF(COUNTIFS(X$6:X624,X624,AB$6:AB624,AB624)=1,1,0))</f>
        <v/>
      </c>
      <c r="AF624" s="34">
        <f>IF(C624="","",YEAR(C624-WEEKDAY(C624,2)+4)&amp;"-S"&amp;TEXT(INT((C624-DATE(YEAR(C624-WEEKDAY(C624,2)+4),1,3)+WEEKDAY(DATE(YEAR(C624-WEEKDAY(C624,2)+4),1,3),2)+5)/7),"00"))</f>
        <v/>
      </c>
    </row>
    <row r="625" ht="18" customHeight="1">
      <c r="A625" s="39" t="n">
        <v>620</v>
      </c>
      <c r="B625" s="33">
        <f>IF(C625="","",IF(P625="À RENSEIGNER","GIC",P625)&amp;"-C"&amp;TEXT(A625,"00000"))</f>
        <v/>
      </c>
      <c r="C625" s="32" t="n"/>
      <c r="D625" s="36" t="n"/>
      <c r="E625" s="36" t="n"/>
      <c r="F625" s="36" t="n"/>
      <c r="G625" s="42" t="n"/>
      <c r="H625" s="37" t="n"/>
      <c r="I625" s="37" t="n"/>
      <c r="J625" s="32" t="n"/>
      <c r="K625" s="32" t="n"/>
      <c r="L625" s="43" t="n"/>
      <c r="M625" s="36" t="n"/>
      <c r="N625" s="44" t="n"/>
      <c r="O625" s="36" t="n"/>
      <c r="P625" s="33">
        <f>IF(C625="","",Commercial_Id)</f>
        <v/>
      </c>
      <c r="Q625" s="34">
        <f>IF(AC625="","",IF(AD625=1,"C"&amp;TEXT(SUM(AD$6:AD625),"0000"),INDEX(Q$6:Q624,MATCH(AC625,AC$6:AC624,0))))</f>
        <v/>
      </c>
      <c r="R625" s="34">
        <f>IF(C625="","",IF(L625="☑ Oui","Annulée",IF(OR(E625="Vente directe",K625&lt;&gt;""),"Livrée",IF(J625&lt;&gt;"","Confirmée","En attente"))))</f>
        <v/>
      </c>
      <c r="S625" s="34">
        <f>IF(F625="","",IFERROR(VLOOKUP(F625,T_Produits,2,FALSE),""))</f>
        <v/>
      </c>
      <c r="T625" s="40">
        <f>IF(F625="","",IFERROR(1/(1/VLOOKUP(F625,T_Produits,3,FALSE)),""))</f>
        <v/>
      </c>
      <c r="U625" s="40">
        <f>IF(H625&lt;&gt;"",H625,T625)</f>
        <v/>
      </c>
      <c r="V625" s="40">
        <f>IF(OR(G625="",U625=""),"",G625*U625-N(I625))</f>
        <v/>
      </c>
      <c r="W625" s="39">
        <f>IF(D625="","",IFERROR(VALUE(MID(D625,LEN(D625)-3,3)),""))</f>
        <v/>
      </c>
      <c r="X625" s="33">
        <f>IF(W625="","",P625&amp;"|"&amp;W625)</f>
        <v/>
      </c>
      <c r="Y625" s="33">
        <f>IF(W625="","",IF(P625="À RENSEIGNER","GIC",P625)&amp;"-"&amp;TEXT(W625,"000"))</f>
        <v/>
      </c>
      <c r="Z625" s="33">
        <f>IF(X625="","",IFERROR(INDEX(Cl_nom,MATCH(X625,Cl_cle,0)),"(client introuvable)"))</f>
        <v/>
      </c>
      <c r="AA625" s="33">
        <f>IF(X625="","",IFERROR(INDEX(Cl_quartier,MATCH(X625,Cl_cle,0))&amp;"",""))</f>
        <v/>
      </c>
      <c r="AB625" s="45">
        <f>IF(R625&lt;&gt;"Livrée",0,IF(K625&lt;&gt;"",K625,C625))</f>
        <v/>
      </c>
      <c r="AC625" s="33">
        <f>IF(OR(C625="",W625=""),"",P625&amp;"|"&amp;W625&amp;"|"&amp;C625&amp;"|"&amp;E625)</f>
        <v/>
      </c>
      <c r="AD625" s="39">
        <f>IF(AC625="","",IF(COUNTIF(AC$6:AC625,AC625)=1,1,0))</f>
        <v/>
      </c>
      <c r="AE625" s="39">
        <f>IF(AB625=0,"",IF(COUNTIFS(X$6:X625,X625,AB$6:AB625,AB625)=1,1,0))</f>
        <v/>
      </c>
      <c r="AF625" s="34">
        <f>IF(C625="","",YEAR(C625-WEEKDAY(C625,2)+4)&amp;"-S"&amp;TEXT(INT((C625-DATE(YEAR(C625-WEEKDAY(C625,2)+4),1,3)+WEEKDAY(DATE(YEAR(C625-WEEKDAY(C625,2)+4),1,3),2)+5)/7),"00"))</f>
        <v/>
      </c>
    </row>
    <row r="626" ht="18" customHeight="1">
      <c r="A626" s="39" t="n">
        <v>621</v>
      </c>
      <c r="B626" s="33">
        <f>IF(C626="","",IF(P626="À RENSEIGNER","GIC",P626)&amp;"-C"&amp;TEXT(A626,"00000"))</f>
        <v/>
      </c>
      <c r="C626" s="32" t="n"/>
      <c r="D626" s="36" t="n"/>
      <c r="E626" s="36" t="n"/>
      <c r="F626" s="36" t="n"/>
      <c r="G626" s="42" t="n"/>
      <c r="H626" s="37" t="n"/>
      <c r="I626" s="37" t="n"/>
      <c r="J626" s="32" t="n"/>
      <c r="K626" s="32" t="n"/>
      <c r="L626" s="43" t="n"/>
      <c r="M626" s="36" t="n"/>
      <c r="N626" s="44" t="n"/>
      <c r="O626" s="36" t="n"/>
      <c r="P626" s="33">
        <f>IF(C626="","",Commercial_Id)</f>
        <v/>
      </c>
      <c r="Q626" s="34">
        <f>IF(AC626="","",IF(AD626=1,"C"&amp;TEXT(SUM(AD$6:AD626),"0000"),INDEX(Q$6:Q625,MATCH(AC626,AC$6:AC625,0))))</f>
        <v/>
      </c>
      <c r="R626" s="34">
        <f>IF(C626="","",IF(L626="☑ Oui","Annulée",IF(OR(E626="Vente directe",K626&lt;&gt;""),"Livrée",IF(J626&lt;&gt;"","Confirmée","En attente"))))</f>
        <v/>
      </c>
      <c r="S626" s="34">
        <f>IF(F626="","",IFERROR(VLOOKUP(F626,T_Produits,2,FALSE),""))</f>
        <v/>
      </c>
      <c r="T626" s="40">
        <f>IF(F626="","",IFERROR(1/(1/VLOOKUP(F626,T_Produits,3,FALSE)),""))</f>
        <v/>
      </c>
      <c r="U626" s="40">
        <f>IF(H626&lt;&gt;"",H626,T626)</f>
        <v/>
      </c>
      <c r="V626" s="40">
        <f>IF(OR(G626="",U626=""),"",G626*U626-N(I626))</f>
        <v/>
      </c>
      <c r="W626" s="39">
        <f>IF(D626="","",IFERROR(VALUE(MID(D626,LEN(D626)-3,3)),""))</f>
        <v/>
      </c>
      <c r="X626" s="33">
        <f>IF(W626="","",P626&amp;"|"&amp;W626)</f>
        <v/>
      </c>
      <c r="Y626" s="33">
        <f>IF(W626="","",IF(P626="À RENSEIGNER","GIC",P626)&amp;"-"&amp;TEXT(W626,"000"))</f>
        <v/>
      </c>
      <c r="Z626" s="33">
        <f>IF(X626="","",IFERROR(INDEX(Cl_nom,MATCH(X626,Cl_cle,0)),"(client introuvable)"))</f>
        <v/>
      </c>
      <c r="AA626" s="33">
        <f>IF(X626="","",IFERROR(INDEX(Cl_quartier,MATCH(X626,Cl_cle,0))&amp;"",""))</f>
        <v/>
      </c>
      <c r="AB626" s="45">
        <f>IF(R626&lt;&gt;"Livrée",0,IF(K626&lt;&gt;"",K626,C626))</f>
        <v/>
      </c>
      <c r="AC626" s="33">
        <f>IF(OR(C626="",W626=""),"",P626&amp;"|"&amp;W626&amp;"|"&amp;C626&amp;"|"&amp;E626)</f>
        <v/>
      </c>
      <c r="AD626" s="39">
        <f>IF(AC626="","",IF(COUNTIF(AC$6:AC626,AC626)=1,1,0))</f>
        <v/>
      </c>
      <c r="AE626" s="39">
        <f>IF(AB626=0,"",IF(COUNTIFS(X$6:X626,X626,AB$6:AB626,AB626)=1,1,0))</f>
        <v/>
      </c>
      <c r="AF626" s="34">
        <f>IF(C626="","",YEAR(C626-WEEKDAY(C626,2)+4)&amp;"-S"&amp;TEXT(INT((C626-DATE(YEAR(C626-WEEKDAY(C626,2)+4),1,3)+WEEKDAY(DATE(YEAR(C626-WEEKDAY(C626,2)+4),1,3),2)+5)/7),"00"))</f>
        <v/>
      </c>
    </row>
    <row r="627" ht="18" customHeight="1">
      <c r="A627" s="39" t="n">
        <v>622</v>
      </c>
      <c r="B627" s="33">
        <f>IF(C627="","",IF(P627="À RENSEIGNER","GIC",P627)&amp;"-C"&amp;TEXT(A627,"00000"))</f>
        <v/>
      </c>
      <c r="C627" s="32" t="n"/>
      <c r="D627" s="36" t="n"/>
      <c r="E627" s="36" t="n"/>
      <c r="F627" s="36" t="n"/>
      <c r="G627" s="42" t="n"/>
      <c r="H627" s="37" t="n"/>
      <c r="I627" s="37" t="n"/>
      <c r="J627" s="32" t="n"/>
      <c r="K627" s="32" t="n"/>
      <c r="L627" s="43" t="n"/>
      <c r="M627" s="36" t="n"/>
      <c r="N627" s="44" t="n"/>
      <c r="O627" s="36" t="n"/>
      <c r="P627" s="33">
        <f>IF(C627="","",Commercial_Id)</f>
        <v/>
      </c>
      <c r="Q627" s="34">
        <f>IF(AC627="","",IF(AD627=1,"C"&amp;TEXT(SUM(AD$6:AD627),"0000"),INDEX(Q$6:Q626,MATCH(AC627,AC$6:AC626,0))))</f>
        <v/>
      </c>
      <c r="R627" s="34">
        <f>IF(C627="","",IF(L627="☑ Oui","Annulée",IF(OR(E627="Vente directe",K627&lt;&gt;""),"Livrée",IF(J627&lt;&gt;"","Confirmée","En attente"))))</f>
        <v/>
      </c>
      <c r="S627" s="34">
        <f>IF(F627="","",IFERROR(VLOOKUP(F627,T_Produits,2,FALSE),""))</f>
        <v/>
      </c>
      <c r="T627" s="40">
        <f>IF(F627="","",IFERROR(1/(1/VLOOKUP(F627,T_Produits,3,FALSE)),""))</f>
        <v/>
      </c>
      <c r="U627" s="40">
        <f>IF(H627&lt;&gt;"",H627,T627)</f>
        <v/>
      </c>
      <c r="V627" s="40">
        <f>IF(OR(G627="",U627=""),"",G627*U627-N(I627))</f>
        <v/>
      </c>
      <c r="W627" s="39">
        <f>IF(D627="","",IFERROR(VALUE(MID(D627,LEN(D627)-3,3)),""))</f>
        <v/>
      </c>
      <c r="X627" s="33">
        <f>IF(W627="","",P627&amp;"|"&amp;W627)</f>
        <v/>
      </c>
      <c r="Y627" s="33">
        <f>IF(W627="","",IF(P627="À RENSEIGNER","GIC",P627)&amp;"-"&amp;TEXT(W627,"000"))</f>
        <v/>
      </c>
      <c r="Z627" s="33">
        <f>IF(X627="","",IFERROR(INDEX(Cl_nom,MATCH(X627,Cl_cle,0)),"(client introuvable)"))</f>
        <v/>
      </c>
      <c r="AA627" s="33">
        <f>IF(X627="","",IFERROR(INDEX(Cl_quartier,MATCH(X627,Cl_cle,0))&amp;"",""))</f>
        <v/>
      </c>
      <c r="AB627" s="45">
        <f>IF(R627&lt;&gt;"Livrée",0,IF(K627&lt;&gt;"",K627,C627))</f>
        <v/>
      </c>
      <c r="AC627" s="33">
        <f>IF(OR(C627="",W627=""),"",P627&amp;"|"&amp;W627&amp;"|"&amp;C627&amp;"|"&amp;E627)</f>
        <v/>
      </c>
      <c r="AD627" s="39">
        <f>IF(AC627="","",IF(COUNTIF(AC$6:AC627,AC627)=1,1,0))</f>
        <v/>
      </c>
      <c r="AE627" s="39">
        <f>IF(AB627=0,"",IF(COUNTIFS(X$6:X627,X627,AB$6:AB627,AB627)=1,1,0))</f>
        <v/>
      </c>
      <c r="AF627" s="34">
        <f>IF(C627="","",YEAR(C627-WEEKDAY(C627,2)+4)&amp;"-S"&amp;TEXT(INT((C627-DATE(YEAR(C627-WEEKDAY(C627,2)+4),1,3)+WEEKDAY(DATE(YEAR(C627-WEEKDAY(C627,2)+4),1,3),2)+5)/7),"00"))</f>
        <v/>
      </c>
    </row>
    <row r="628" ht="18" customHeight="1">
      <c r="A628" s="39" t="n">
        <v>623</v>
      </c>
      <c r="B628" s="33">
        <f>IF(C628="","",IF(P628="À RENSEIGNER","GIC",P628)&amp;"-C"&amp;TEXT(A628,"00000"))</f>
        <v/>
      </c>
      <c r="C628" s="32" t="n"/>
      <c r="D628" s="36" t="n"/>
      <c r="E628" s="36" t="n"/>
      <c r="F628" s="36" t="n"/>
      <c r="G628" s="42" t="n"/>
      <c r="H628" s="37" t="n"/>
      <c r="I628" s="37" t="n"/>
      <c r="J628" s="32" t="n"/>
      <c r="K628" s="32" t="n"/>
      <c r="L628" s="43" t="n"/>
      <c r="M628" s="36" t="n"/>
      <c r="N628" s="44" t="n"/>
      <c r="O628" s="36" t="n"/>
      <c r="P628" s="33">
        <f>IF(C628="","",Commercial_Id)</f>
        <v/>
      </c>
      <c r="Q628" s="34">
        <f>IF(AC628="","",IF(AD628=1,"C"&amp;TEXT(SUM(AD$6:AD628),"0000"),INDEX(Q$6:Q627,MATCH(AC628,AC$6:AC627,0))))</f>
        <v/>
      </c>
      <c r="R628" s="34">
        <f>IF(C628="","",IF(L628="☑ Oui","Annulée",IF(OR(E628="Vente directe",K628&lt;&gt;""),"Livrée",IF(J628&lt;&gt;"","Confirmée","En attente"))))</f>
        <v/>
      </c>
      <c r="S628" s="34">
        <f>IF(F628="","",IFERROR(VLOOKUP(F628,T_Produits,2,FALSE),""))</f>
        <v/>
      </c>
      <c r="T628" s="40">
        <f>IF(F628="","",IFERROR(1/(1/VLOOKUP(F628,T_Produits,3,FALSE)),""))</f>
        <v/>
      </c>
      <c r="U628" s="40">
        <f>IF(H628&lt;&gt;"",H628,T628)</f>
        <v/>
      </c>
      <c r="V628" s="40">
        <f>IF(OR(G628="",U628=""),"",G628*U628-N(I628))</f>
        <v/>
      </c>
      <c r="W628" s="39">
        <f>IF(D628="","",IFERROR(VALUE(MID(D628,LEN(D628)-3,3)),""))</f>
        <v/>
      </c>
      <c r="X628" s="33">
        <f>IF(W628="","",P628&amp;"|"&amp;W628)</f>
        <v/>
      </c>
      <c r="Y628" s="33">
        <f>IF(W628="","",IF(P628="À RENSEIGNER","GIC",P628)&amp;"-"&amp;TEXT(W628,"000"))</f>
        <v/>
      </c>
      <c r="Z628" s="33">
        <f>IF(X628="","",IFERROR(INDEX(Cl_nom,MATCH(X628,Cl_cle,0)),"(client introuvable)"))</f>
        <v/>
      </c>
      <c r="AA628" s="33">
        <f>IF(X628="","",IFERROR(INDEX(Cl_quartier,MATCH(X628,Cl_cle,0))&amp;"",""))</f>
        <v/>
      </c>
      <c r="AB628" s="45">
        <f>IF(R628&lt;&gt;"Livrée",0,IF(K628&lt;&gt;"",K628,C628))</f>
        <v/>
      </c>
      <c r="AC628" s="33">
        <f>IF(OR(C628="",W628=""),"",P628&amp;"|"&amp;W628&amp;"|"&amp;C628&amp;"|"&amp;E628)</f>
        <v/>
      </c>
      <c r="AD628" s="39">
        <f>IF(AC628="","",IF(COUNTIF(AC$6:AC628,AC628)=1,1,0))</f>
        <v/>
      </c>
      <c r="AE628" s="39">
        <f>IF(AB628=0,"",IF(COUNTIFS(X$6:X628,X628,AB$6:AB628,AB628)=1,1,0))</f>
        <v/>
      </c>
      <c r="AF628" s="34">
        <f>IF(C628="","",YEAR(C628-WEEKDAY(C628,2)+4)&amp;"-S"&amp;TEXT(INT((C628-DATE(YEAR(C628-WEEKDAY(C628,2)+4),1,3)+WEEKDAY(DATE(YEAR(C628-WEEKDAY(C628,2)+4),1,3),2)+5)/7),"00"))</f>
        <v/>
      </c>
    </row>
    <row r="629" ht="18" customHeight="1">
      <c r="A629" s="39" t="n">
        <v>624</v>
      </c>
      <c r="B629" s="33">
        <f>IF(C629="","",IF(P629="À RENSEIGNER","GIC",P629)&amp;"-C"&amp;TEXT(A629,"00000"))</f>
        <v/>
      </c>
      <c r="C629" s="32" t="n"/>
      <c r="D629" s="36" t="n"/>
      <c r="E629" s="36" t="n"/>
      <c r="F629" s="36" t="n"/>
      <c r="G629" s="42" t="n"/>
      <c r="H629" s="37" t="n"/>
      <c r="I629" s="37" t="n"/>
      <c r="J629" s="32" t="n"/>
      <c r="K629" s="32" t="n"/>
      <c r="L629" s="43" t="n"/>
      <c r="M629" s="36" t="n"/>
      <c r="N629" s="44" t="n"/>
      <c r="O629" s="36" t="n"/>
      <c r="P629" s="33">
        <f>IF(C629="","",Commercial_Id)</f>
        <v/>
      </c>
      <c r="Q629" s="34">
        <f>IF(AC629="","",IF(AD629=1,"C"&amp;TEXT(SUM(AD$6:AD629),"0000"),INDEX(Q$6:Q628,MATCH(AC629,AC$6:AC628,0))))</f>
        <v/>
      </c>
      <c r="R629" s="34">
        <f>IF(C629="","",IF(L629="☑ Oui","Annulée",IF(OR(E629="Vente directe",K629&lt;&gt;""),"Livrée",IF(J629&lt;&gt;"","Confirmée","En attente"))))</f>
        <v/>
      </c>
      <c r="S629" s="34">
        <f>IF(F629="","",IFERROR(VLOOKUP(F629,T_Produits,2,FALSE),""))</f>
        <v/>
      </c>
      <c r="T629" s="40">
        <f>IF(F629="","",IFERROR(1/(1/VLOOKUP(F629,T_Produits,3,FALSE)),""))</f>
        <v/>
      </c>
      <c r="U629" s="40">
        <f>IF(H629&lt;&gt;"",H629,T629)</f>
        <v/>
      </c>
      <c r="V629" s="40">
        <f>IF(OR(G629="",U629=""),"",G629*U629-N(I629))</f>
        <v/>
      </c>
      <c r="W629" s="39">
        <f>IF(D629="","",IFERROR(VALUE(MID(D629,LEN(D629)-3,3)),""))</f>
        <v/>
      </c>
      <c r="X629" s="33">
        <f>IF(W629="","",P629&amp;"|"&amp;W629)</f>
        <v/>
      </c>
      <c r="Y629" s="33">
        <f>IF(W629="","",IF(P629="À RENSEIGNER","GIC",P629)&amp;"-"&amp;TEXT(W629,"000"))</f>
        <v/>
      </c>
      <c r="Z629" s="33">
        <f>IF(X629="","",IFERROR(INDEX(Cl_nom,MATCH(X629,Cl_cle,0)),"(client introuvable)"))</f>
        <v/>
      </c>
      <c r="AA629" s="33">
        <f>IF(X629="","",IFERROR(INDEX(Cl_quartier,MATCH(X629,Cl_cle,0))&amp;"",""))</f>
        <v/>
      </c>
      <c r="AB629" s="45">
        <f>IF(R629&lt;&gt;"Livrée",0,IF(K629&lt;&gt;"",K629,C629))</f>
        <v/>
      </c>
      <c r="AC629" s="33">
        <f>IF(OR(C629="",W629=""),"",P629&amp;"|"&amp;W629&amp;"|"&amp;C629&amp;"|"&amp;E629)</f>
        <v/>
      </c>
      <c r="AD629" s="39">
        <f>IF(AC629="","",IF(COUNTIF(AC$6:AC629,AC629)=1,1,0))</f>
        <v/>
      </c>
      <c r="AE629" s="39">
        <f>IF(AB629=0,"",IF(COUNTIFS(X$6:X629,X629,AB$6:AB629,AB629)=1,1,0))</f>
        <v/>
      </c>
      <c r="AF629" s="34">
        <f>IF(C629="","",YEAR(C629-WEEKDAY(C629,2)+4)&amp;"-S"&amp;TEXT(INT((C629-DATE(YEAR(C629-WEEKDAY(C629,2)+4),1,3)+WEEKDAY(DATE(YEAR(C629-WEEKDAY(C629,2)+4),1,3),2)+5)/7),"00"))</f>
        <v/>
      </c>
    </row>
    <row r="630" ht="18" customHeight="1">
      <c r="A630" s="39" t="n">
        <v>625</v>
      </c>
      <c r="B630" s="33">
        <f>IF(C630="","",IF(P630="À RENSEIGNER","GIC",P630)&amp;"-C"&amp;TEXT(A630,"00000"))</f>
        <v/>
      </c>
      <c r="C630" s="32" t="n"/>
      <c r="D630" s="36" t="n"/>
      <c r="E630" s="36" t="n"/>
      <c r="F630" s="36" t="n"/>
      <c r="G630" s="42" t="n"/>
      <c r="H630" s="37" t="n"/>
      <c r="I630" s="37" t="n"/>
      <c r="J630" s="32" t="n"/>
      <c r="K630" s="32" t="n"/>
      <c r="L630" s="43" t="n"/>
      <c r="M630" s="36" t="n"/>
      <c r="N630" s="44" t="n"/>
      <c r="O630" s="36" t="n"/>
      <c r="P630" s="33">
        <f>IF(C630="","",Commercial_Id)</f>
        <v/>
      </c>
      <c r="Q630" s="34">
        <f>IF(AC630="","",IF(AD630=1,"C"&amp;TEXT(SUM(AD$6:AD630),"0000"),INDEX(Q$6:Q629,MATCH(AC630,AC$6:AC629,0))))</f>
        <v/>
      </c>
      <c r="R630" s="34">
        <f>IF(C630="","",IF(L630="☑ Oui","Annulée",IF(OR(E630="Vente directe",K630&lt;&gt;""),"Livrée",IF(J630&lt;&gt;"","Confirmée","En attente"))))</f>
        <v/>
      </c>
      <c r="S630" s="34">
        <f>IF(F630="","",IFERROR(VLOOKUP(F630,T_Produits,2,FALSE),""))</f>
        <v/>
      </c>
      <c r="T630" s="40">
        <f>IF(F630="","",IFERROR(1/(1/VLOOKUP(F630,T_Produits,3,FALSE)),""))</f>
        <v/>
      </c>
      <c r="U630" s="40">
        <f>IF(H630&lt;&gt;"",H630,T630)</f>
        <v/>
      </c>
      <c r="V630" s="40">
        <f>IF(OR(G630="",U630=""),"",G630*U630-N(I630))</f>
        <v/>
      </c>
      <c r="W630" s="39">
        <f>IF(D630="","",IFERROR(VALUE(MID(D630,LEN(D630)-3,3)),""))</f>
        <v/>
      </c>
      <c r="X630" s="33">
        <f>IF(W630="","",P630&amp;"|"&amp;W630)</f>
        <v/>
      </c>
      <c r="Y630" s="33">
        <f>IF(W630="","",IF(P630="À RENSEIGNER","GIC",P630)&amp;"-"&amp;TEXT(W630,"000"))</f>
        <v/>
      </c>
      <c r="Z630" s="33">
        <f>IF(X630="","",IFERROR(INDEX(Cl_nom,MATCH(X630,Cl_cle,0)),"(client introuvable)"))</f>
        <v/>
      </c>
      <c r="AA630" s="33">
        <f>IF(X630="","",IFERROR(INDEX(Cl_quartier,MATCH(X630,Cl_cle,0))&amp;"",""))</f>
        <v/>
      </c>
      <c r="AB630" s="45">
        <f>IF(R630&lt;&gt;"Livrée",0,IF(K630&lt;&gt;"",K630,C630))</f>
        <v/>
      </c>
      <c r="AC630" s="33">
        <f>IF(OR(C630="",W630=""),"",P630&amp;"|"&amp;W630&amp;"|"&amp;C630&amp;"|"&amp;E630)</f>
        <v/>
      </c>
      <c r="AD630" s="39">
        <f>IF(AC630="","",IF(COUNTIF(AC$6:AC630,AC630)=1,1,0))</f>
        <v/>
      </c>
      <c r="AE630" s="39">
        <f>IF(AB630=0,"",IF(COUNTIFS(X$6:X630,X630,AB$6:AB630,AB630)=1,1,0))</f>
        <v/>
      </c>
      <c r="AF630" s="34">
        <f>IF(C630="","",YEAR(C630-WEEKDAY(C630,2)+4)&amp;"-S"&amp;TEXT(INT((C630-DATE(YEAR(C630-WEEKDAY(C630,2)+4),1,3)+WEEKDAY(DATE(YEAR(C630-WEEKDAY(C630,2)+4),1,3),2)+5)/7),"00"))</f>
        <v/>
      </c>
    </row>
    <row r="631" ht="18" customHeight="1">
      <c r="A631" s="39" t="n">
        <v>626</v>
      </c>
      <c r="B631" s="33">
        <f>IF(C631="","",IF(P631="À RENSEIGNER","GIC",P631)&amp;"-C"&amp;TEXT(A631,"00000"))</f>
        <v/>
      </c>
      <c r="C631" s="32" t="n"/>
      <c r="D631" s="36" t="n"/>
      <c r="E631" s="36" t="n"/>
      <c r="F631" s="36" t="n"/>
      <c r="G631" s="42" t="n"/>
      <c r="H631" s="37" t="n"/>
      <c r="I631" s="37" t="n"/>
      <c r="J631" s="32" t="n"/>
      <c r="K631" s="32" t="n"/>
      <c r="L631" s="43" t="n"/>
      <c r="M631" s="36" t="n"/>
      <c r="N631" s="44" t="n"/>
      <c r="O631" s="36" t="n"/>
      <c r="P631" s="33">
        <f>IF(C631="","",Commercial_Id)</f>
        <v/>
      </c>
      <c r="Q631" s="34">
        <f>IF(AC631="","",IF(AD631=1,"C"&amp;TEXT(SUM(AD$6:AD631),"0000"),INDEX(Q$6:Q630,MATCH(AC631,AC$6:AC630,0))))</f>
        <v/>
      </c>
      <c r="R631" s="34">
        <f>IF(C631="","",IF(L631="☑ Oui","Annulée",IF(OR(E631="Vente directe",K631&lt;&gt;""),"Livrée",IF(J631&lt;&gt;"","Confirmée","En attente"))))</f>
        <v/>
      </c>
      <c r="S631" s="34">
        <f>IF(F631="","",IFERROR(VLOOKUP(F631,T_Produits,2,FALSE),""))</f>
        <v/>
      </c>
      <c r="T631" s="40">
        <f>IF(F631="","",IFERROR(1/(1/VLOOKUP(F631,T_Produits,3,FALSE)),""))</f>
        <v/>
      </c>
      <c r="U631" s="40">
        <f>IF(H631&lt;&gt;"",H631,T631)</f>
        <v/>
      </c>
      <c r="V631" s="40">
        <f>IF(OR(G631="",U631=""),"",G631*U631-N(I631))</f>
        <v/>
      </c>
      <c r="W631" s="39">
        <f>IF(D631="","",IFERROR(VALUE(MID(D631,LEN(D631)-3,3)),""))</f>
        <v/>
      </c>
      <c r="X631" s="33">
        <f>IF(W631="","",P631&amp;"|"&amp;W631)</f>
        <v/>
      </c>
      <c r="Y631" s="33">
        <f>IF(W631="","",IF(P631="À RENSEIGNER","GIC",P631)&amp;"-"&amp;TEXT(W631,"000"))</f>
        <v/>
      </c>
      <c r="Z631" s="33">
        <f>IF(X631="","",IFERROR(INDEX(Cl_nom,MATCH(X631,Cl_cle,0)),"(client introuvable)"))</f>
        <v/>
      </c>
      <c r="AA631" s="33">
        <f>IF(X631="","",IFERROR(INDEX(Cl_quartier,MATCH(X631,Cl_cle,0))&amp;"",""))</f>
        <v/>
      </c>
      <c r="AB631" s="45">
        <f>IF(R631&lt;&gt;"Livrée",0,IF(K631&lt;&gt;"",K631,C631))</f>
        <v/>
      </c>
      <c r="AC631" s="33">
        <f>IF(OR(C631="",W631=""),"",P631&amp;"|"&amp;W631&amp;"|"&amp;C631&amp;"|"&amp;E631)</f>
        <v/>
      </c>
      <c r="AD631" s="39">
        <f>IF(AC631="","",IF(COUNTIF(AC$6:AC631,AC631)=1,1,0))</f>
        <v/>
      </c>
      <c r="AE631" s="39">
        <f>IF(AB631=0,"",IF(COUNTIFS(X$6:X631,X631,AB$6:AB631,AB631)=1,1,0))</f>
        <v/>
      </c>
      <c r="AF631" s="34">
        <f>IF(C631="","",YEAR(C631-WEEKDAY(C631,2)+4)&amp;"-S"&amp;TEXT(INT((C631-DATE(YEAR(C631-WEEKDAY(C631,2)+4),1,3)+WEEKDAY(DATE(YEAR(C631-WEEKDAY(C631,2)+4),1,3),2)+5)/7),"00"))</f>
        <v/>
      </c>
    </row>
    <row r="632" ht="18" customHeight="1">
      <c r="A632" s="39" t="n">
        <v>627</v>
      </c>
      <c r="B632" s="33">
        <f>IF(C632="","",IF(P632="À RENSEIGNER","GIC",P632)&amp;"-C"&amp;TEXT(A632,"00000"))</f>
        <v/>
      </c>
      <c r="C632" s="32" t="n"/>
      <c r="D632" s="36" t="n"/>
      <c r="E632" s="36" t="n"/>
      <c r="F632" s="36" t="n"/>
      <c r="G632" s="42" t="n"/>
      <c r="H632" s="37" t="n"/>
      <c r="I632" s="37" t="n"/>
      <c r="J632" s="32" t="n"/>
      <c r="K632" s="32" t="n"/>
      <c r="L632" s="43" t="n"/>
      <c r="M632" s="36" t="n"/>
      <c r="N632" s="44" t="n"/>
      <c r="O632" s="36" t="n"/>
      <c r="P632" s="33">
        <f>IF(C632="","",Commercial_Id)</f>
        <v/>
      </c>
      <c r="Q632" s="34">
        <f>IF(AC632="","",IF(AD632=1,"C"&amp;TEXT(SUM(AD$6:AD632),"0000"),INDEX(Q$6:Q631,MATCH(AC632,AC$6:AC631,0))))</f>
        <v/>
      </c>
      <c r="R632" s="34">
        <f>IF(C632="","",IF(L632="☑ Oui","Annulée",IF(OR(E632="Vente directe",K632&lt;&gt;""),"Livrée",IF(J632&lt;&gt;"","Confirmée","En attente"))))</f>
        <v/>
      </c>
      <c r="S632" s="34">
        <f>IF(F632="","",IFERROR(VLOOKUP(F632,T_Produits,2,FALSE),""))</f>
        <v/>
      </c>
      <c r="T632" s="40">
        <f>IF(F632="","",IFERROR(1/(1/VLOOKUP(F632,T_Produits,3,FALSE)),""))</f>
        <v/>
      </c>
      <c r="U632" s="40">
        <f>IF(H632&lt;&gt;"",H632,T632)</f>
        <v/>
      </c>
      <c r="V632" s="40">
        <f>IF(OR(G632="",U632=""),"",G632*U632-N(I632))</f>
        <v/>
      </c>
      <c r="W632" s="39">
        <f>IF(D632="","",IFERROR(VALUE(MID(D632,LEN(D632)-3,3)),""))</f>
        <v/>
      </c>
      <c r="X632" s="33">
        <f>IF(W632="","",P632&amp;"|"&amp;W632)</f>
        <v/>
      </c>
      <c r="Y632" s="33">
        <f>IF(W632="","",IF(P632="À RENSEIGNER","GIC",P632)&amp;"-"&amp;TEXT(W632,"000"))</f>
        <v/>
      </c>
      <c r="Z632" s="33">
        <f>IF(X632="","",IFERROR(INDEX(Cl_nom,MATCH(X632,Cl_cle,0)),"(client introuvable)"))</f>
        <v/>
      </c>
      <c r="AA632" s="33">
        <f>IF(X632="","",IFERROR(INDEX(Cl_quartier,MATCH(X632,Cl_cle,0))&amp;"",""))</f>
        <v/>
      </c>
      <c r="AB632" s="45">
        <f>IF(R632&lt;&gt;"Livrée",0,IF(K632&lt;&gt;"",K632,C632))</f>
        <v/>
      </c>
      <c r="AC632" s="33">
        <f>IF(OR(C632="",W632=""),"",P632&amp;"|"&amp;W632&amp;"|"&amp;C632&amp;"|"&amp;E632)</f>
        <v/>
      </c>
      <c r="AD632" s="39">
        <f>IF(AC632="","",IF(COUNTIF(AC$6:AC632,AC632)=1,1,0))</f>
        <v/>
      </c>
      <c r="AE632" s="39">
        <f>IF(AB632=0,"",IF(COUNTIFS(X$6:X632,X632,AB$6:AB632,AB632)=1,1,0))</f>
        <v/>
      </c>
      <c r="AF632" s="34">
        <f>IF(C632="","",YEAR(C632-WEEKDAY(C632,2)+4)&amp;"-S"&amp;TEXT(INT((C632-DATE(YEAR(C632-WEEKDAY(C632,2)+4),1,3)+WEEKDAY(DATE(YEAR(C632-WEEKDAY(C632,2)+4),1,3),2)+5)/7),"00"))</f>
        <v/>
      </c>
    </row>
    <row r="633" ht="18" customHeight="1">
      <c r="A633" s="39" t="n">
        <v>628</v>
      </c>
      <c r="B633" s="33">
        <f>IF(C633="","",IF(P633="À RENSEIGNER","GIC",P633)&amp;"-C"&amp;TEXT(A633,"00000"))</f>
        <v/>
      </c>
      <c r="C633" s="32" t="n"/>
      <c r="D633" s="36" t="n"/>
      <c r="E633" s="36" t="n"/>
      <c r="F633" s="36" t="n"/>
      <c r="G633" s="42" t="n"/>
      <c r="H633" s="37" t="n"/>
      <c r="I633" s="37" t="n"/>
      <c r="J633" s="32" t="n"/>
      <c r="K633" s="32" t="n"/>
      <c r="L633" s="43" t="n"/>
      <c r="M633" s="36" t="n"/>
      <c r="N633" s="44" t="n"/>
      <c r="O633" s="36" t="n"/>
      <c r="P633" s="33">
        <f>IF(C633="","",Commercial_Id)</f>
        <v/>
      </c>
      <c r="Q633" s="34">
        <f>IF(AC633="","",IF(AD633=1,"C"&amp;TEXT(SUM(AD$6:AD633),"0000"),INDEX(Q$6:Q632,MATCH(AC633,AC$6:AC632,0))))</f>
        <v/>
      </c>
      <c r="R633" s="34">
        <f>IF(C633="","",IF(L633="☑ Oui","Annulée",IF(OR(E633="Vente directe",K633&lt;&gt;""),"Livrée",IF(J633&lt;&gt;"","Confirmée","En attente"))))</f>
        <v/>
      </c>
      <c r="S633" s="34">
        <f>IF(F633="","",IFERROR(VLOOKUP(F633,T_Produits,2,FALSE),""))</f>
        <v/>
      </c>
      <c r="T633" s="40">
        <f>IF(F633="","",IFERROR(1/(1/VLOOKUP(F633,T_Produits,3,FALSE)),""))</f>
        <v/>
      </c>
      <c r="U633" s="40">
        <f>IF(H633&lt;&gt;"",H633,T633)</f>
        <v/>
      </c>
      <c r="V633" s="40">
        <f>IF(OR(G633="",U633=""),"",G633*U633-N(I633))</f>
        <v/>
      </c>
      <c r="W633" s="39">
        <f>IF(D633="","",IFERROR(VALUE(MID(D633,LEN(D633)-3,3)),""))</f>
        <v/>
      </c>
      <c r="X633" s="33">
        <f>IF(W633="","",P633&amp;"|"&amp;W633)</f>
        <v/>
      </c>
      <c r="Y633" s="33">
        <f>IF(W633="","",IF(P633="À RENSEIGNER","GIC",P633)&amp;"-"&amp;TEXT(W633,"000"))</f>
        <v/>
      </c>
      <c r="Z633" s="33">
        <f>IF(X633="","",IFERROR(INDEX(Cl_nom,MATCH(X633,Cl_cle,0)),"(client introuvable)"))</f>
        <v/>
      </c>
      <c r="AA633" s="33">
        <f>IF(X633="","",IFERROR(INDEX(Cl_quartier,MATCH(X633,Cl_cle,0))&amp;"",""))</f>
        <v/>
      </c>
      <c r="AB633" s="45">
        <f>IF(R633&lt;&gt;"Livrée",0,IF(K633&lt;&gt;"",K633,C633))</f>
        <v/>
      </c>
      <c r="AC633" s="33">
        <f>IF(OR(C633="",W633=""),"",P633&amp;"|"&amp;W633&amp;"|"&amp;C633&amp;"|"&amp;E633)</f>
        <v/>
      </c>
      <c r="AD633" s="39">
        <f>IF(AC633="","",IF(COUNTIF(AC$6:AC633,AC633)=1,1,0))</f>
        <v/>
      </c>
      <c r="AE633" s="39">
        <f>IF(AB633=0,"",IF(COUNTIFS(X$6:X633,X633,AB$6:AB633,AB633)=1,1,0))</f>
        <v/>
      </c>
      <c r="AF633" s="34">
        <f>IF(C633="","",YEAR(C633-WEEKDAY(C633,2)+4)&amp;"-S"&amp;TEXT(INT((C633-DATE(YEAR(C633-WEEKDAY(C633,2)+4),1,3)+WEEKDAY(DATE(YEAR(C633-WEEKDAY(C633,2)+4),1,3),2)+5)/7),"00"))</f>
        <v/>
      </c>
    </row>
    <row r="634" ht="18" customHeight="1">
      <c r="A634" s="39" t="n">
        <v>629</v>
      </c>
      <c r="B634" s="33">
        <f>IF(C634="","",IF(P634="À RENSEIGNER","GIC",P634)&amp;"-C"&amp;TEXT(A634,"00000"))</f>
        <v/>
      </c>
      <c r="C634" s="32" t="n"/>
      <c r="D634" s="36" t="n"/>
      <c r="E634" s="36" t="n"/>
      <c r="F634" s="36" t="n"/>
      <c r="G634" s="42" t="n"/>
      <c r="H634" s="37" t="n"/>
      <c r="I634" s="37" t="n"/>
      <c r="J634" s="32" t="n"/>
      <c r="K634" s="32" t="n"/>
      <c r="L634" s="43" t="n"/>
      <c r="M634" s="36" t="n"/>
      <c r="N634" s="44" t="n"/>
      <c r="O634" s="36" t="n"/>
      <c r="P634" s="33">
        <f>IF(C634="","",Commercial_Id)</f>
        <v/>
      </c>
      <c r="Q634" s="34">
        <f>IF(AC634="","",IF(AD634=1,"C"&amp;TEXT(SUM(AD$6:AD634),"0000"),INDEX(Q$6:Q633,MATCH(AC634,AC$6:AC633,0))))</f>
        <v/>
      </c>
      <c r="R634" s="34">
        <f>IF(C634="","",IF(L634="☑ Oui","Annulée",IF(OR(E634="Vente directe",K634&lt;&gt;""),"Livrée",IF(J634&lt;&gt;"","Confirmée","En attente"))))</f>
        <v/>
      </c>
      <c r="S634" s="34">
        <f>IF(F634="","",IFERROR(VLOOKUP(F634,T_Produits,2,FALSE),""))</f>
        <v/>
      </c>
      <c r="T634" s="40">
        <f>IF(F634="","",IFERROR(1/(1/VLOOKUP(F634,T_Produits,3,FALSE)),""))</f>
        <v/>
      </c>
      <c r="U634" s="40">
        <f>IF(H634&lt;&gt;"",H634,T634)</f>
        <v/>
      </c>
      <c r="V634" s="40">
        <f>IF(OR(G634="",U634=""),"",G634*U634-N(I634))</f>
        <v/>
      </c>
      <c r="W634" s="39">
        <f>IF(D634="","",IFERROR(VALUE(MID(D634,LEN(D634)-3,3)),""))</f>
        <v/>
      </c>
      <c r="X634" s="33">
        <f>IF(W634="","",P634&amp;"|"&amp;W634)</f>
        <v/>
      </c>
      <c r="Y634" s="33">
        <f>IF(W634="","",IF(P634="À RENSEIGNER","GIC",P634)&amp;"-"&amp;TEXT(W634,"000"))</f>
        <v/>
      </c>
      <c r="Z634" s="33">
        <f>IF(X634="","",IFERROR(INDEX(Cl_nom,MATCH(X634,Cl_cle,0)),"(client introuvable)"))</f>
        <v/>
      </c>
      <c r="AA634" s="33">
        <f>IF(X634="","",IFERROR(INDEX(Cl_quartier,MATCH(X634,Cl_cle,0))&amp;"",""))</f>
        <v/>
      </c>
      <c r="AB634" s="45">
        <f>IF(R634&lt;&gt;"Livrée",0,IF(K634&lt;&gt;"",K634,C634))</f>
        <v/>
      </c>
      <c r="AC634" s="33">
        <f>IF(OR(C634="",W634=""),"",P634&amp;"|"&amp;W634&amp;"|"&amp;C634&amp;"|"&amp;E634)</f>
        <v/>
      </c>
      <c r="AD634" s="39">
        <f>IF(AC634="","",IF(COUNTIF(AC$6:AC634,AC634)=1,1,0))</f>
        <v/>
      </c>
      <c r="AE634" s="39">
        <f>IF(AB634=0,"",IF(COUNTIFS(X$6:X634,X634,AB$6:AB634,AB634)=1,1,0))</f>
        <v/>
      </c>
      <c r="AF634" s="34">
        <f>IF(C634="","",YEAR(C634-WEEKDAY(C634,2)+4)&amp;"-S"&amp;TEXT(INT((C634-DATE(YEAR(C634-WEEKDAY(C634,2)+4),1,3)+WEEKDAY(DATE(YEAR(C634-WEEKDAY(C634,2)+4),1,3),2)+5)/7),"00"))</f>
        <v/>
      </c>
    </row>
    <row r="635" ht="18" customHeight="1">
      <c r="A635" s="39" t="n">
        <v>630</v>
      </c>
      <c r="B635" s="33">
        <f>IF(C635="","",IF(P635="À RENSEIGNER","GIC",P635)&amp;"-C"&amp;TEXT(A635,"00000"))</f>
        <v/>
      </c>
      <c r="C635" s="32" t="n"/>
      <c r="D635" s="36" t="n"/>
      <c r="E635" s="36" t="n"/>
      <c r="F635" s="36" t="n"/>
      <c r="G635" s="42" t="n"/>
      <c r="H635" s="37" t="n"/>
      <c r="I635" s="37" t="n"/>
      <c r="J635" s="32" t="n"/>
      <c r="K635" s="32" t="n"/>
      <c r="L635" s="43" t="n"/>
      <c r="M635" s="36" t="n"/>
      <c r="N635" s="44" t="n"/>
      <c r="O635" s="36" t="n"/>
      <c r="P635" s="33">
        <f>IF(C635="","",Commercial_Id)</f>
        <v/>
      </c>
      <c r="Q635" s="34">
        <f>IF(AC635="","",IF(AD635=1,"C"&amp;TEXT(SUM(AD$6:AD635),"0000"),INDEX(Q$6:Q634,MATCH(AC635,AC$6:AC634,0))))</f>
        <v/>
      </c>
      <c r="R635" s="34">
        <f>IF(C635="","",IF(L635="☑ Oui","Annulée",IF(OR(E635="Vente directe",K635&lt;&gt;""),"Livrée",IF(J635&lt;&gt;"","Confirmée","En attente"))))</f>
        <v/>
      </c>
      <c r="S635" s="34">
        <f>IF(F635="","",IFERROR(VLOOKUP(F635,T_Produits,2,FALSE),""))</f>
        <v/>
      </c>
      <c r="T635" s="40">
        <f>IF(F635="","",IFERROR(1/(1/VLOOKUP(F635,T_Produits,3,FALSE)),""))</f>
        <v/>
      </c>
      <c r="U635" s="40">
        <f>IF(H635&lt;&gt;"",H635,T635)</f>
        <v/>
      </c>
      <c r="V635" s="40">
        <f>IF(OR(G635="",U635=""),"",G635*U635-N(I635))</f>
        <v/>
      </c>
      <c r="W635" s="39">
        <f>IF(D635="","",IFERROR(VALUE(MID(D635,LEN(D635)-3,3)),""))</f>
        <v/>
      </c>
      <c r="X635" s="33">
        <f>IF(W635="","",P635&amp;"|"&amp;W635)</f>
        <v/>
      </c>
      <c r="Y635" s="33">
        <f>IF(W635="","",IF(P635="À RENSEIGNER","GIC",P635)&amp;"-"&amp;TEXT(W635,"000"))</f>
        <v/>
      </c>
      <c r="Z635" s="33">
        <f>IF(X635="","",IFERROR(INDEX(Cl_nom,MATCH(X635,Cl_cle,0)),"(client introuvable)"))</f>
        <v/>
      </c>
      <c r="AA635" s="33">
        <f>IF(X635="","",IFERROR(INDEX(Cl_quartier,MATCH(X635,Cl_cle,0))&amp;"",""))</f>
        <v/>
      </c>
      <c r="AB635" s="45">
        <f>IF(R635&lt;&gt;"Livrée",0,IF(K635&lt;&gt;"",K635,C635))</f>
        <v/>
      </c>
      <c r="AC635" s="33">
        <f>IF(OR(C635="",W635=""),"",P635&amp;"|"&amp;W635&amp;"|"&amp;C635&amp;"|"&amp;E635)</f>
        <v/>
      </c>
      <c r="AD635" s="39">
        <f>IF(AC635="","",IF(COUNTIF(AC$6:AC635,AC635)=1,1,0))</f>
        <v/>
      </c>
      <c r="AE635" s="39">
        <f>IF(AB635=0,"",IF(COUNTIFS(X$6:X635,X635,AB$6:AB635,AB635)=1,1,0))</f>
        <v/>
      </c>
      <c r="AF635" s="34">
        <f>IF(C635="","",YEAR(C635-WEEKDAY(C635,2)+4)&amp;"-S"&amp;TEXT(INT((C635-DATE(YEAR(C635-WEEKDAY(C635,2)+4),1,3)+WEEKDAY(DATE(YEAR(C635-WEEKDAY(C635,2)+4),1,3),2)+5)/7),"00"))</f>
        <v/>
      </c>
    </row>
    <row r="636" ht="18" customHeight="1">
      <c r="A636" s="39" t="n">
        <v>631</v>
      </c>
      <c r="B636" s="33">
        <f>IF(C636="","",IF(P636="À RENSEIGNER","GIC",P636)&amp;"-C"&amp;TEXT(A636,"00000"))</f>
        <v/>
      </c>
      <c r="C636" s="32" t="n"/>
      <c r="D636" s="36" t="n"/>
      <c r="E636" s="36" t="n"/>
      <c r="F636" s="36" t="n"/>
      <c r="G636" s="42" t="n"/>
      <c r="H636" s="37" t="n"/>
      <c r="I636" s="37" t="n"/>
      <c r="J636" s="32" t="n"/>
      <c r="K636" s="32" t="n"/>
      <c r="L636" s="43" t="n"/>
      <c r="M636" s="36" t="n"/>
      <c r="N636" s="44" t="n"/>
      <c r="O636" s="36" t="n"/>
      <c r="P636" s="33">
        <f>IF(C636="","",Commercial_Id)</f>
        <v/>
      </c>
      <c r="Q636" s="34">
        <f>IF(AC636="","",IF(AD636=1,"C"&amp;TEXT(SUM(AD$6:AD636),"0000"),INDEX(Q$6:Q635,MATCH(AC636,AC$6:AC635,0))))</f>
        <v/>
      </c>
      <c r="R636" s="34">
        <f>IF(C636="","",IF(L636="☑ Oui","Annulée",IF(OR(E636="Vente directe",K636&lt;&gt;""),"Livrée",IF(J636&lt;&gt;"","Confirmée","En attente"))))</f>
        <v/>
      </c>
      <c r="S636" s="34">
        <f>IF(F636="","",IFERROR(VLOOKUP(F636,T_Produits,2,FALSE),""))</f>
        <v/>
      </c>
      <c r="T636" s="40">
        <f>IF(F636="","",IFERROR(1/(1/VLOOKUP(F636,T_Produits,3,FALSE)),""))</f>
        <v/>
      </c>
      <c r="U636" s="40">
        <f>IF(H636&lt;&gt;"",H636,T636)</f>
        <v/>
      </c>
      <c r="V636" s="40">
        <f>IF(OR(G636="",U636=""),"",G636*U636-N(I636))</f>
        <v/>
      </c>
      <c r="W636" s="39">
        <f>IF(D636="","",IFERROR(VALUE(MID(D636,LEN(D636)-3,3)),""))</f>
        <v/>
      </c>
      <c r="X636" s="33">
        <f>IF(W636="","",P636&amp;"|"&amp;W636)</f>
        <v/>
      </c>
      <c r="Y636" s="33">
        <f>IF(W636="","",IF(P636="À RENSEIGNER","GIC",P636)&amp;"-"&amp;TEXT(W636,"000"))</f>
        <v/>
      </c>
      <c r="Z636" s="33">
        <f>IF(X636="","",IFERROR(INDEX(Cl_nom,MATCH(X636,Cl_cle,0)),"(client introuvable)"))</f>
        <v/>
      </c>
      <c r="AA636" s="33">
        <f>IF(X636="","",IFERROR(INDEX(Cl_quartier,MATCH(X636,Cl_cle,0))&amp;"",""))</f>
        <v/>
      </c>
      <c r="AB636" s="45">
        <f>IF(R636&lt;&gt;"Livrée",0,IF(K636&lt;&gt;"",K636,C636))</f>
        <v/>
      </c>
      <c r="AC636" s="33">
        <f>IF(OR(C636="",W636=""),"",P636&amp;"|"&amp;W636&amp;"|"&amp;C636&amp;"|"&amp;E636)</f>
        <v/>
      </c>
      <c r="AD636" s="39">
        <f>IF(AC636="","",IF(COUNTIF(AC$6:AC636,AC636)=1,1,0))</f>
        <v/>
      </c>
      <c r="AE636" s="39">
        <f>IF(AB636=0,"",IF(COUNTIFS(X$6:X636,X636,AB$6:AB636,AB636)=1,1,0))</f>
        <v/>
      </c>
      <c r="AF636" s="34">
        <f>IF(C636="","",YEAR(C636-WEEKDAY(C636,2)+4)&amp;"-S"&amp;TEXT(INT((C636-DATE(YEAR(C636-WEEKDAY(C636,2)+4),1,3)+WEEKDAY(DATE(YEAR(C636-WEEKDAY(C636,2)+4),1,3),2)+5)/7),"00"))</f>
        <v/>
      </c>
    </row>
    <row r="637" ht="18" customHeight="1">
      <c r="A637" s="39" t="n">
        <v>632</v>
      </c>
      <c r="B637" s="33">
        <f>IF(C637="","",IF(P637="À RENSEIGNER","GIC",P637)&amp;"-C"&amp;TEXT(A637,"00000"))</f>
        <v/>
      </c>
      <c r="C637" s="32" t="n"/>
      <c r="D637" s="36" t="n"/>
      <c r="E637" s="36" t="n"/>
      <c r="F637" s="36" t="n"/>
      <c r="G637" s="42" t="n"/>
      <c r="H637" s="37" t="n"/>
      <c r="I637" s="37" t="n"/>
      <c r="J637" s="32" t="n"/>
      <c r="K637" s="32" t="n"/>
      <c r="L637" s="43" t="n"/>
      <c r="M637" s="36" t="n"/>
      <c r="N637" s="44" t="n"/>
      <c r="O637" s="36" t="n"/>
      <c r="P637" s="33">
        <f>IF(C637="","",Commercial_Id)</f>
        <v/>
      </c>
      <c r="Q637" s="34">
        <f>IF(AC637="","",IF(AD637=1,"C"&amp;TEXT(SUM(AD$6:AD637),"0000"),INDEX(Q$6:Q636,MATCH(AC637,AC$6:AC636,0))))</f>
        <v/>
      </c>
      <c r="R637" s="34">
        <f>IF(C637="","",IF(L637="☑ Oui","Annulée",IF(OR(E637="Vente directe",K637&lt;&gt;""),"Livrée",IF(J637&lt;&gt;"","Confirmée","En attente"))))</f>
        <v/>
      </c>
      <c r="S637" s="34">
        <f>IF(F637="","",IFERROR(VLOOKUP(F637,T_Produits,2,FALSE),""))</f>
        <v/>
      </c>
      <c r="T637" s="40">
        <f>IF(F637="","",IFERROR(1/(1/VLOOKUP(F637,T_Produits,3,FALSE)),""))</f>
        <v/>
      </c>
      <c r="U637" s="40">
        <f>IF(H637&lt;&gt;"",H637,T637)</f>
        <v/>
      </c>
      <c r="V637" s="40">
        <f>IF(OR(G637="",U637=""),"",G637*U637-N(I637))</f>
        <v/>
      </c>
      <c r="W637" s="39">
        <f>IF(D637="","",IFERROR(VALUE(MID(D637,LEN(D637)-3,3)),""))</f>
        <v/>
      </c>
      <c r="X637" s="33">
        <f>IF(W637="","",P637&amp;"|"&amp;W637)</f>
        <v/>
      </c>
      <c r="Y637" s="33">
        <f>IF(W637="","",IF(P637="À RENSEIGNER","GIC",P637)&amp;"-"&amp;TEXT(W637,"000"))</f>
        <v/>
      </c>
      <c r="Z637" s="33">
        <f>IF(X637="","",IFERROR(INDEX(Cl_nom,MATCH(X637,Cl_cle,0)),"(client introuvable)"))</f>
        <v/>
      </c>
      <c r="AA637" s="33">
        <f>IF(X637="","",IFERROR(INDEX(Cl_quartier,MATCH(X637,Cl_cle,0))&amp;"",""))</f>
        <v/>
      </c>
      <c r="AB637" s="45">
        <f>IF(R637&lt;&gt;"Livrée",0,IF(K637&lt;&gt;"",K637,C637))</f>
        <v/>
      </c>
      <c r="AC637" s="33">
        <f>IF(OR(C637="",W637=""),"",P637&amp;"|"&amp;W637&amp;"|"&amp;C637&amp;"|"&amp;E637)</f>
        <v/>
      </c>
      <c r="AD637" s="39">
        <f>IF(AC637="","",IF(COUNTIF(AC$6:AC637,AC637)=1,1,0))</f>
        <v/>
      </c>
      <c r="AE637" s="39">
        <f>IF(AB637=0,"",IF(COUNTIFS(X$6:X637,X637,AB$6:AB637,AB637)=1,1,0))</f>
        <v/>
      </c>
      <c r="AF637" s="34">
        <f>IF(C637="","",YEAR(C637-WEEKDAY(C637,2)+4)&amp;"-S"&amp;TEXT(INT((C637-DATE(YEAR(C637-WEEKDAY(C637,2)+4),1,3)+WEEKDAY(DATE(YEAR(C637-WEEKDAY(C637,2)+4),1,3),2)+5)/7),"00"))</f>
        <v/>
      </c>
    </row>
    <row r="638" ht="18" customHeight="1">
      <c r="A638" s="39" t="n">
        <v>633</v>
      </c>
      <c r="B638" s="33">
        <f>IF(C638="","",IF(P638="À RENSEIGNER","GIC",P638)&amp;"-C"&amp;TEXT(A638,"00000"))</f>
        <v/>
      </c>
      <c r="C638" s="32" t="n"/>
      <c r="D638" s="36" t="n"/>
      <c r="E638" s="36" t="n"/>
      <c r="F638" s="36" t="n"/>
      <c r="G638" s="42" t="n"/>
      <c r="H638" s="37" t="n"/>
      <c r="I638" s="37" t="n"/>
      <c r="J638" s="32" t="n"/>
      <c r="K638" s="32" t="n"/>
      <c r="L638" s="43" t="n"/>
      <c r="M638" s="36" t="n"/>
      <c r="N638" s="44" t="n"/>
      <c r="O638" s="36" t="n"/>
      <c r="P638" s="33">
        <f>IF(C638="","",Commercial_Id)</f>
        <v/>
      </c>
      <c r="Q638" s="34">
        <f>IF(AC638="","",IF(AD638=1,"C"&amp;TEXT(SUM(AD$6:AD638),"0000"),INDEX(Q$6:Q637,MATCH(AC638,AC$6:AC637,0))))</f>
        <v/>
      </c>
      <c r="R638" s="34">
        <f>IF(C638="","",IF(L638="☑ Oui","Annulée",IF(OR(E638="Vente directe",K638&lt;&gt;""),"Livrée",IF(J638&lt;&gt;"","Confirmée","En attente"))))</f>
        <v/>
      </c>
      <c r="S638" s="34">
        <f>IF(F638="","",IFERROR(VLOOKUP(F638,T_Produits,2,FALSE),""))</f>
        <v/>
      </c>
      <c r="T638" s="40">
        <f>IF(F638="","",IFERROR(1/(1/VLOOKUP(F638,T_Produits,3,FALSE)),""))</f>
        <v/>
      </c>
      <c r="U638" s="40">
        <f>IF(H638&lt;&gt;"",H638,T638)</f>
        <v/>
      </c>
      <c r="V638" s="40">
        <f>IF(OR(G638="",U638=""),"",G638*U638-N(I638))</f>
        <v/>
      </c>
      <c r="W638" s="39">
        <f>IF(D638="","",IFERROR(VALUE(MID(D638,LEN(D638)-3,3)),""))</f>
        <v/>
      </c>
      <c r="X638" s="33">
        <f>IF(W638="","",P638&amp;"|"&amp;W638)</f>
        <v/>
      </c>
      <c r="Y638" s="33">
        <f>IF(W638="","",IF(P638="À RENSEIGNER","GIC",P638)&amp;"-"&amp;TEXT(W638,"000"))</f>
        <v/>
      </c>
      <c r="Z638" s="33">
        <f>IF(X638="","",IFERROR(INDEX(Cl_nom,MATCH(X638,Cl_cle,0)),"(client introuvable)"))</f>
        <v/>
      </c>
      <c r="AA638" s="33">
        <f>IF(X638="","",IFERROR(INDEX(Cl_quartier,MATCH(X638,Cl_cle,0))&amp;"",""))</f>
        <v/>
      </c>
      <c r="AB638" s="45">
        <f>IF(R638&lt;&gt;"Livrée",0,IF(K638&lt;&gt;"",K638,C638))</f>
        <v/>
      </c>
      <c r="AC638" s="33">
        <f>IF(OR(C638="",W638=""),"",P638&amp;"|"&amp;W638&amp;"|"&amp;C638&amp;"|"&amp;E638)</f>
        <v/>
      </c>
      <c r="AD638" s="39">
        <f>IF(AC638="","",IF(COUNTIF(AC$6:AC638,AC638)=1,1,0))</f>
        <v/>
      </c>
      <c r="AE638" s="39">
        <f>IF(AB638=0,"",IF(COUNTIFS(X$6:X638,X638,AB$6:AB638,AB638)=1,1,0))</f>
        <v/>
      </c>
      <c r="AF638" s="34">
        <f>IF(C638="","",YEAR(C638-WEEKDAY(C638,2)+4)&amp;"-S"&amp;TEXT(INT((C638-DATE(YEAR(C638-WEEKDAY(C638,2)+4),1,3)+WEEKDAY(DATE(YEAR(C638-WEEKDAY(C638,2)+4),1,3),2)+5)/7),"00"))</f>
        <v/>
      </c>
    </row>
    <row r="639" ht="18" customHeight="1">
      <c r="A639" s="39" t="n">
        <v>634</v>
      </c>
      <c r="B639" s="33">
        <f>IF(C639="","",IF(P639="À RENSEIGNER","GIC",P639)&amp;"-C"&amp;TEXT(A639,"00000"))</f>
        <v/>
      </c>
      <c r="C639" s="32" t="n"/>
      <c r="D639" s="36" t="n"/>
      <c r="E639" s="36" t="n"/>
      <c r="F639" s="36" t="n"/>
      <c r="G639" s="42" t="n"/>
      <c r="H639" s="37" t="n"/>
      <c r="I639" s="37" t="n"/>
      <c r="J639" s="32" t="n"/>
      <c r="K639" s="32" t="n"/>
      <c r="L639" s="43" t="n"/>
      <c r="M639" s="36" t="n"/>
      <c r="N639" s="44" t="n"/>
      <c r="O639" s="36" t="n"/>
      <c r="P639" s="33">
        <f>IF(C639="","",Commercial_Id)</f>
        <v/>
      </c>
      <c r="Q639" s="34">
        <f>IF(AC639="","",IF(AD639=1,"C"&amp;TEXT(SUM(AD$6:AD639),"0000"),INDEX(Q$6:Q638,MATCH(AC639,AC$6:AC638,0))))</f>
        <v/>
      </c>
      <c r="R639" s="34">
        <f>IF(C639="","",IF(L639="☑ Oui","Annulée",IF(OR(E639="Vente directe",K639&lt;&gt;""),"Livrée",IF(J639&lt;&gt;"","Confirmée","En attente"))))</f>
        <v/>
      </c>
      <c r="S639" s="34">
        <f>IF(F639="","",IFERROR(VLOOKUP(F639,T_Produits,2,FALSE),""))</f>
        <v/>
      </c>
      <c r="T639" s="40">
        <f>IF(F639="","",IFERROR(1/(1/VLOOKUP(F639,T_Produits,3,FALSE)),""))</f>
        <v/>
      </c>
      <c r="U639" s="40">
        <f>IF(H639&lt;&gt;"",H639,T639)</f>
        <v/>
      </c>
      <c r="V639" s="40">
        <f>IF(OR(G639="",U639=""),"",G639*U639-N(I639))</f>
        <v/>
      </c>
      <c r="W639" s="39">
        <f>IF(D639="","",IFERROR(VALUE(MID(D639,LEN(D639)-3,3)),""))</f>
        <v/>
      </c>
      <c r="X639" s="33">
        <f>IF(W639="","",P639&amp;"|"&amp;W639)</f>
        <v/>
      </c>
      <c r="Y639" s="33">
        <f>IF(W639="","",IF(P639="À RENSEIGNER","GIC",P639)&amp;"-"&amp;TEXT(W639,"000"))</f>
        <v/>
      </c>
      <c r="Z639" s="33">
        <f>IF(X639="","",IFERROR(INDEX(Cl_nom,MATCH(X639,Cl_cle,0)),"(client introuvable)"))</f>
        <v/>
      </c>
      <c r="AA639" s="33">
        <f>IF(X639="","",IFERROR(INDEX(Cl_quartier,MATCH(X639,Cl_cle,0))&amp;"",""))</f>
        <v/>
      </c>
      <c r="AB639" s="45">
        <f>IF(R639&lt;&gt;"Livrée",0,IF(K639&lt;&gt;"",K639,C639))</f>
        <v/>
      </c>
      <c r="AC639" s="33">
        <f>IF(OR(C639="",W639=""),"",P639&amp;"|"&amp;W639&amp;"|"&amp;C639&amp;"|"&amp;E639)</f>
        <v/>
      </c>
      <c r="AD639" s="39">
        <f>IF(AC639="","",IF(COUNTIF(AC$6:AC639,AC639)=1,1,0))</f>
        <v/>
      </c>
      <c r="AE639" s="39">
        <f>IF(AB639=0,"",IF(COUNTIFS(X$6:X639,X639,AB$6:AB639,AB639)=1,1,0))</f>
        <v/>
      </c>
      <c r="AF639" s="34">
        <f>IF(C639="","",YEAR(C639-WEEKDAY(C639,2)+4)&amp;"-S"&amp;TEXT(INT((C639-DATE(YEAR(C639-WEEKDAY(C639,2)+4),1,3)+WEEKDAY(DATE(YEAR(C639-WEEKDAY(C639,2)+4),1,3),2)+5)/7),"00"))</f>
        <v/>
      </c>
    </row>
    <row r="640" ht="18" customHeight="1">
      <c r="A640" s="39" t="n">
        <v>635</v>
      </c>
      <c r="B640" s="33">
        <f>IF(C640="","",IF(P640="À RENSEIGNER","GIC",P640)&amp;"-C"&amp;TEXT(A640,"00000"))</f>
        <v/>
      </c>
      <c r="C640" s="32" t="n"/>
      <c r="D640" s="36" t="n"/>
      <c r="E640" s="36" t="n"/>
      <c r="F640" s="36" t="n"/>
      <c r="G640" s="42" t="n"/>
      <c r="H640" s="37" t="n"/>
      <c r="I640" s="37" t="n"/>
      <c r="J640" s="32" t="n"/>
      <c r="K640" s="32" t="n"/>
      <c r="L640" s="43" t="n"/>
      <c r="M640" s="36" t="n"/>
      <c r="N640" s="44" t="n"/>
      <c r="O640" s="36" t="n"/>
      <c r="P640" s="33">
        <f>IF(C640="","",Commercial_Id)</f>
        <v/>
      </c>
      <c r="Q640" s="34">
        <f>IF(AC640="","",IF(AD640=1,"C"&amp;TEXT(SUM(AD$6:AD640),"0000"),INDEX(Q$6:Q639,MATCH(AC640,AC$6:AC639,0))))</f>
        <v/>
      </c>
      <c r="R640" s="34">
        <f>IF(C640="","",IF(L640="☑ Oui","Annulée",IF(OR(E640="Vente directe",K640&lt;&gt;""),"Livrée",IF(J640&lt;&gt;"","Confirmée","En attente"))))</f>
        <v/>
      </c>
      <c r="S640" s="34">
        <f>IF(F640="","",IFERROR(VLOOKUP(F640,T_Produits,2,FALSE),""))</f>
        <v/>
      </c>
      <c r="T640" s="40">
        <f>IF(F640="","",IFERROR(1/(1/VLOOKUP(F640,T_Produits,3,FALSE)),""))</f>
        <v/>
      </c>
      <c r="U640" s="40">
        <f>IF(H640&lt;&gt;"",H640,T640)</f>
        <v/>
      </c>
      <c r="V640" s="40">
        <f>IF(OR(G640="",U640=""),"",G640*U640-N(I640))</f>
        <v/>
      </c>
      <c r="W640" s="39">
        <f>IF(D640="","",IFERROR(VALUE(MID(D640,LEN(D640)-3,3)),""))</f>
        <v/>
      </c>
      <c r="X640" s="33">
        <f>IF(W640="","",P640&amp;"|"&amp;W640)</f>
        <v/>
      </c>
      <c r="Y640" s="33">
        <f>IF(W640="","",IF(P640="À RENSEIGNER","GIC",P640)&amp;"-"&amp;TEXT(W640,"000"))</f>
        <v/>
      </c>
      <c r="Z640" s="33">
        <f>IF(X640="","",IFERROR(INDEX(Cl_nom,MATCH(X640,Cl_cle,0)),"(client introuvable)"))</f>
        <v/>
      </c>
      <c r="AA640" s="33">
        <f>IF(X640="","",IFERROR(INDEX(Cl_quartier,MATCH(X640,Cl_cle,0))&amp;"",""))</f>
        <v/>
      </c>
      <c r="AB640" s="45">
        <f>IF(R640&lt;&gt;"Livrée",0,IF(K640&lt;&gt;"",K640,C640))</f>
        <v/>
      </c>
      <c r="AC640" s="33">
        <f>IF(OR(C640="",W640=""),"",P640&amp;"|"&amp;W640&amp;"|"&amp;C640&amp;"|"&amp;E640)</f>
        <v/>
      </c>
      <c r="AD640" s="39">
        <f>IF(AC640="","",IF(COUNTIF(AC$6:AC640,AC640)=1,1,0))</f>
        <v/>
      </c>
      <c r="AE640" s="39">
        <f>IF(AB640=0,"",IF(COUNTIFS(X$6:X640,X640,AB$6:AB640,AB640)=1,1,0))</f>
        <v/>
      </c>
      <c r="AF640" s="34">
        <f>IF(C640="","",YEAR(C640-WEEKDAY(C640,2)+4)&amp;"-S"&amp;TEXT(INT((C640-DATE(YEAR(C640-WEEKDAY(C640,2)+4),1,3)+WEEKDAY(DATE(YEAR(C640-WEEKDAY(C640,2)+4),1,3),2)+5)/7),"00"))</f>
        <v/>
      </c>
    </row>
    <row r="641" ht="18" customHeight="1">
      <c r="A641" s="39" t="n">
        <v>636</v>
      </c>
      <c r="B641" s="33">
        <f>IF(C641="","",IF(P641="À RENSEIGNER","GIC",P641)&amp;"-C"&amp;TEXT(A641,"00000"))</f>
        <v/>
      </c>
      <c r="C641" s="32" t="n"/>
      <c r="D641" s="36" t="n"/>
      <c r="E641" s="36" t="n"/>
      <c r="F641" s="36" t="n"/>
      <c r="G641" s="42" t="n"/>
      <c r="H641" s="37" t="n"/>
      <c r="I641" s="37" t="n"/>
      <c r="J641" s="32" t="n"/>
      <c r="K641" s="32" t="n"/>
      <c r="L641" s="43" t="n"/>
      <c r="M641" s="36" t="n"/>
      <c r="N641" s="44" t="n"/>
      <c r="O641" s="36" t="n"/>
      <c r="P641" s="33">
        <f>IF(C641="","",Commercial_Id)</f>
        <v/>
      </c>
      <c r="Q641" s="34">
        <f>IF(AC641="","",IF(AD641=1,"C"&amp;TEXT(SUM(AD$6:AD641),"0000"),INDEX(Q$6:Q640,MATCH(AC641,AC$6:AC640,0))))</f>
        <v/>
      </c>
      <c r="R641" s="34">
        <f>IF(C641="","",IF(L641="☑ Oui","Annulée",IF(OR(E641="Vente directe",K641&lt;&gt;""),"Livrée",IF(J641&lt;&gt;"","Confirmée","En attente"))))</f>
        <v/>
      </c>
      <c r="S641" s="34">
        <f>IF(F641="","",IFERROR(VLOOKUP(F641,T_Produits,2,FALSE),""))</f>
        <v/>
      </c>
      <c r="T641" s="40">
        <f>IF(F641="","",IFERROR(1/(1/VLOOKUP(F641,T_Produits,3,FALSE)),""))</f>
        <v/>
      </c>
      <c r="U641" s="40">
        <f>IF(H641&lt;&gt;"",H641,T641)</f>
        <v/>
      </c>
      <c r="V641" s="40">
        <f>IF(OR(G641="",U641=""),"",G641*U641-N(I641))</f>
        <v/>
      </c>
      <c r="W641" s="39">
        <f>IF(D641="","",IFERROR(VALUE(MID(D641,LEN(D641)-3,3)),""))</f>
        <v/>
      </c>
      <c r="X641" s="33">
        <f>IF(W641="","",P641&amp;"|"&amp;W641)</f>
        <v/>
      </c>
      <c r="Y641" s="33">
        <f>IF(W641="","",IF(P641="À RENSEIGNER","GIC",P641)&amp;"-"&amp;TEXT(W641,"000"))</f>
        <v/>
      </c>
      <c r="Z641" s="33">
        <f>IF(X641="","",IFERROR(INDEX(Cl_nom,MATCH(X641,Cl_cle,0)),"(client introuvable)"))</f>
        <v/>
      </c>
      <c r="AA641" s="33">
        <f>IF(X641="","",IFERROR(INDEX(Cl_quartier,MATCH(X641,Cl_cle,0))&amp;"",""))</f>
        <v/>
      </c>
      <c r="AB641" s="45">
        <f>IF(R641&lt;&gt;"Livrée",0,IF(K641&lt;&gt;"",K641,C641))</f>
        <v/>
      </c>
      <c r="AC641" s="33">
        <f>IF(OR(C641="",W641=""),"",P641&amp;"|"&amp;W641&amp;"|"&amp;C641&amp;"|"&amp;E641)</f>
        <v/>
      </c>
      <c r="AD641" s="39">
        <f>IF(AC641="","",IF(COUNTIF(AC$6:AC641,AC641)=1,1,0))</f>
        <v/>
      </c>
      <c r="AE641" s="39">
        <f>IF(AB641=0,"",IF(COUNTIFS(X$6:X641,X641,AB$6:AB641,AB641)=1,1,0))</f>
        <v/>
      </c>
      <c r="AF641" s="34">
        <f>IF(C641="","",YEAR(C641-WEEKDAY(C641,2)+4)&amp;"-S"&amp;TEXT(INT((C641-DATE(YEAR(C641-WEEKDAY(C641,2)+4),1,3)+WEEKDAY(DATE(YEAR(C641-WEEKDAY(C641,2)+4),1,3),2)+5)/7),"00"))</f>
        <v/>
      </c>
    </row>
    <row r="642" ht="18" customHeight="1">
      <c r="A642" s="39" t="n">
        <v>637</v>
      </c>
      <c r="B642" s="33">
        <f>IF(C642="","",IF(P642="À RENSEIGNER","GIC",P642)&amp;"-C"&amp;TEXT(A642,"00000"))</f>
        <v/>
      </c>
      <c r="C642" s="32" t="n"/>
      <c r="D642" s="36" t="n"/>
      <c r="E642" s="36" t="n"/>
      <c r="F642" s="36" t="n"/>
      <c r="G642" s="42" t="n"/>
      <c r="H642" s="37" t="n"/>
      <c r="I642" s="37" t="n"/>
      <c r="J642" s="32" t="n"/>
      <c r="K642" s="32" t="n"/>
      <c r="L642" s="43" t="n"/>
      <c r="M642" s="36" t="n"/>
      <c r="N642" s="44" t="n"/>
      <c r="O642" s="36" t="n"/>
      <c r="P642" s="33">
        <f>IF(C642="","",Commercial_Id)</f>
        <v/>
      </c>
      <c r="Q642" s="34">
        <f>IF(AC642="","",IF(AD642=1,"C"&amp;TEXT(SUM(AD$6:AD642),"0000"),INDEX(Q$6:Q641,MATCH(AC642,AC$6:AC641,0))))</f>
        <v/>
      </c>
      <c r="R642" s="34">
        <f>IF(C642="","",IF(L642="☑ Oui","Annulée",IF(OR(E642="Vente directe",K642&lt;&gt;""),"Livrée",IF(J642&lt;&gt;"","Confirmée","En attente"))))</f>
        <v/>
      </c>
      <c r="S642" s="34">
        <f>IF(F642="","",IFERROR(VLOOKUP(F642,T_Produits,2,FALSE),""))</f>
        <v/>
      </c>
      <c r="T642" s="40">
        <f>IF(F642="","",IFERROR(1/(1/VLOOKUP(F642,T_Produits,3,FALSE)),""))</f>
        <v/>
      </c>
      <c r="U642" s="40">
        <f>IF(H642&lt;&gt;"",H642,T642)</f>
        <v/>
      </c>
      <c r="V642" s="40">
        <f>IF(OR(G642="",U642=""),"",G642*U642-N(I642))</f>
        <v/>
      </c>
      <c r="W642" s="39">
        <f>IF(D642="","",IFERROR(VALUE(MID(D642,LEN(D642)-3,3)),""))</f>
        <v/>
      </c>
      <c r="X642" s="33">
        <f>IF(W642="","",P642&amp;"|"&amp;W642)</f>
        <v/>
      </c>
      <c r="Y642" s="33">
        <f>IF(W642="","",IF(P642="À RENSEIGNER","GIC",P642)&amp;"-"&amp;TEXT(W642,"000"))</f>
        <v/>
      </c>
      <c r="Z642" s="33">
        <f>IF(X642="","",IFERROR(INDEX(Cl_nom,MATCH(X642,Cl_cle,0)),"(client introuvable)"))</f>
        <v/>
      </c>
      <c r="AA642" s="33">
        <f>IF(X642="","",IFERROR(INDEX(Cl_quartier,MATCH(X642,Cl_cle,0))&amp;"",""))</f>
        <v/>
      </c>
      <c r="AB642" s="45">
        <f>IF(R642&lt;&gt;"Livrée",0,IF(K642&lt;&gt;"",K642,C642))</f>
        <v/>
      </c>
      <c r="AC642" s="33">
        <f>IF(OR(C642="",W642=""),"",P642&amp;"|"&amp;W642&amp;"|"&amp;C642&amp;"|"&amp;E642)</f>
        <v/>
      </c>
      <c r="AD642" s="39">
        <f>IF(AC642="","",IF(COUNTIF(AC$6:AC642,AC642)=1,1,0))</f>
        <v/>
      </c>
      <c r="AE642" s="39">
        <f>IF(AB642=0,"",IF(COUNTIFS(X$6:X642,X642,AB$6:AB642,AB642)=1,1,0))</f>
        <v/>
      </c>
      <c r="AF642" s="34">
        <f>IF(C642="","",YEAR(C642-WEEKDAY(C642,2)+4)&amp;"-S"&amp;TEXT(INT((C642-DATE(YEAR(C642-WEEKDAY(C642,2)+4),1,3)+WEEKDAY(DATE(YEAR(C642-WEEKDAY(C642,2)+4),1,3),2)+5)/7),"00"))</f>
        <v/>
      </c>
    </row>
    <row r="643" ht="18" customHeight="1">
      <c r="A643" s="39" t="n">
        <v>638</v>
      </c>
      <c r="B643" s="33">
        <f>IF(C643="","",IF(P643="À RENSEIGNER","GIC",P643)&amp;"-C"&amp;TEXT(A643,"00000"))</f>
        <v/>
      </c>
      <c r="C643" s="32" t="n"/>
      <c r="D643" s="36" t="n"/>
      <c r="E643" s="36" t="n"/>
      <c r="F643" s="36" t="n"/>
      <c r="G643" s="42" t="n"/>
      <c r="H643" s="37" t="n"/>
      <c r="I643" s="37" t="n"/>
      <c r="J643" s="32" t="n"/>
      <c r="K643" s="32" t="n"/>
      <c r="L643" s="43" t="n"/>
      <c r="M643" s="36" t="n"/>
      <c r="N643" s="44" t="n"/>
      <c r="O643" s="36" t="n"/>
      <c r="P643" s="33">
        <f>IF(C643="","",Commercial_Id)</f>
        <v/>
      </c>
      <c r="Q643" s="34">
        <f>IF(AC643="","",IF(AD643=1,"C"&amp;TEXT(SUM(AD$6:AD643),"0000"),INDEX(Q$6:Q642,MATCH(AC643,AC$6:AC642,0))))</f>
        <v/>
      </c>
      <c r="R643" s="34">
        <f>IF(C643="","",IF(L643="☑ Oui","Annulée",IF(OR(E643="Vente directe",K643&lt;&gt;""),"Livrée",IF(J643&lt;&gt;"","Confirmée","En attente"))))</f>
        <v/>
      </c>
      <c r="S643" s="34">
        <f>IF(F643="","",IFERROR(VLOOKUP(F643,T_Produits,2,FALSE),""))</f>
        <v/>
      </c>
      <c r="T643" s="40">
        <f>IF(F643="","",IFERROR(1/(1/VLOOKUP(F643,T_Produits,3,FALSE)),""))</f>
        <v/>
      </c>
      <c r="U643" s="40">
        <f>IF(H643&lt;&gt;"",H643,T643)</f>
        <v/>
      </c>
      <c r="V643" s="40">
        <f>IF(OR(G643="",U643=""),"",G643*U643-N(I643))</f>
        <v/>
      </c>
      <c r="W643" s="39">
        <f>IF(D643="","",IFERROR(VALUE(MID(D643,LEN(D643)-3,3)),""))</f>
        <v/>
      </c>
      <c r="X643" s="33">
        <f>IF(W643="","",P643&amp;"|"&amp;W643)</f>
        <v/>
      </c>
      <c r="Y643" s="33">
        <f>IF(W643="","",IF(P643="À RENSEIGNER","GIC",P643)&amp;"-"&amp;TEXT(W643,"000"))</f>
        <v/>
      </c>
      <c r="Z643" s="33">
        <f>IF(X643="","",IFERROR(INDEX(Cl_nom,MATCH(X643,Cl_cle,0)),"(client introuvable)"))</f>
        <v/>
      </c>
      <c r="AA643" s="33">
        <f>IF(X643="","",IFERROR(INDEX(Cl_quartier,MATCH(X643,Cl_cle,0))&amp;"",""))</f>
        <v/>
      </c>
      <c r="AB643" s="45">
        <f>IF(R643&lt;&gt;"Livrée",0,IF(K643&lt;&gt;"",K643,C643))</f>
        <v/>
      </c>
      <c r="AC643" s="33">
        <f>IF(OR(C643="",W643=""),"",P643&amp;"|"&amp;W643&amp;"|"&amp;C643&amp;"|"&amp;E643)</f>
        <v/>
      </c>
      <c r="AD643" s="39">
        <f>IF(AC643="","",IF(COUNTIF(AC$6:AC643,AC643)=1,1,0))</f>
        <v/>
      </c>
      <c r="AE643" s="39">
        <f>IF(AB643=0,"",IF(COUNTIFS(X$6:X643,X643,AB$6:AB643,AB643)=1,1,0))</f>
        <v/>
      </c>
      <c r="AF643" s="34">
        <f>IF(C643="","",YEAR(C643-WEEKDAY(C643,2)+4)&amp;"-S"&amp;TEXT(INT((C643-DATE(YEAR(C643-WEEKDAY(C643,2)+4),1,3)+WEEKDAY(DATE(YEAR(C643-WEEKDAY(C643,2)+4),1,3),2)+5)/7),"00"))</f>
        <v/>
      </c>
    </row>
    <row r="644" ht="18" customHeight="1">
      <c r="A644" s="39" t="n">
        <v>639</v>
      </c>
      <c r="B644" s="33">
        <f>IF(C644="","",IF(P644="À RENSEIGNER","GIC",P644)&amp;"-C"&amp;TEXT(A644,"00000"))</f>
        <v/>
      </c>
      <c r="C644" s="32" t="n"/>
      <c r="D644" s="36" t="n"/>
      <c r="E644" s="36" t="n"/>
      <c r="F644" s="36" t="n"/>
      <c r="G644" s="42" t="n"/>
      <c r="H644" s="37" t="n"/>
      <c r="I644" s="37" t="n"/>
      <c r="J644" s="32" t="n"/>
      <c r="K644" s="32" t="n"/>
      <c r="L644" s="43" t="n"/>
      <c r="M644" s="36" t="n"/>
      <c r="N644" s="44" t="n"/>
      <c r="O644" s="36" t="n"/>
      <c r="P644" s="33">
        <f>IF(C644="","",Commercial_Id)</f>
        <v/>
      </c>
      <c r="Q644" s="34">
        <f>IF(AC644="","",IF(AD644=1,"C"&amp;TEXT(SUM(AD$6:AD644),"0000"),INDEX(Q$6:Q643,MATCH(AC644,AC$6:AC643,0))))</f>
        <v/>
      </c>
      <c r="R644" s="34">
        <f>IF(C644="","",IF(L644="☑ Oui","Annulée",IF(OR(E644="Vente directe",K644&lt;&gt;""),"Livrée",IF(J644&lt;&gt;"","Confirmée","En attente"))))</f>
        <v/>
      </c>
      <c r="S644" s="34">
        <f>IF(F644="","",IFERROR(VLOOKUP(F644,T_Produits,2,FALSE),""))</f>
        <v/>
      </c>
      <c r="T644" s="40">
        <f>IF(F644="","",IFERROR(1/(1/VLOOKUP(F644,T_Produits,3,FALSE)),""))</f>
        <v/>
      </c>
      <c r="U644" s="40">
        <f>IF(H644&lt;&gt;"",H644,T644)</f>
        <v/>
      </c>
      <c r="V644" s="40">
        <f>IF(OR(G644="",U644=""),"",G644*U644-N(I644))</f>
        <v/>
      </c>
      <c r="W644" s="39">
        <f>IF(D644="","",IFERROR(VALUE(MID(D644,LEN(D644)-3,3)),""))</f>
        <v/>
      </c>
      <c r="X644" s="33">
        <f>IF(W644="","",P644&amp;"|"&amp;W644)</f>
        <v/>
      </c>
      <c r="Y644" s="33">
        <f>IF(W644="","",IF(P644="À RENSEIGNER","GIC",P644)&amp;"-"&amp;TEXT(W644,"000"))</f>
        <v/>
      </c>
      <c r="Z644" s="33">
        <f>IF(X644="","",IFERROR(INDEX(Cl_nom,MATCH(X644,Cl_cle,0)),"(client introuvable)"))</f>
        <v/>
      </c>
      <c r="AA644" s="33">
        <f>IF(X644="","",IFERROR(INDEX(Cl_quartier,MATCH(X644,Cl_cle,0))&amp;"",""))</f>
        <v/>
      </c>
      <c r="AB644" s="45">
        <f>IF(R644&lt;&gt;"Livrée",0,IF(K644&lt;&gt;"",K644,C644))</f>
        <v/>
      </c>
      <c r="AC644" s="33">
        <f>IF(OR(C644="",W644=""),"",P644&amp;"|"&amp;W644&amp;"|"&amp;C644&amp;"|"&amp;E644)</f>
        <v/>
      </c>
      <c r="AD644" s="39">
        <f>IF(AC644="","",IF(COUNTIF(AC$6:AC644,AC644)=1,1,0))</f>
        <v/>
      </c>
      <c r="AE644" s="39">
        <f>IF(AB644=0,"",IF(COUNTIFS(X$6:X644,X644,AB$6:AB644,AB644)=1,1,0))</f>
        <v/>
      </c>
      <c r="AF644" s="34">
        <f>IF(C644="","",YEAR(C644-WEEKDAY(C644,2)+4)&amp;"-S"&amp;TEXT(INT((C644-DATE(YEAR(C644-WEEKDAY(C644,2)+4),1,3)+WEEKDAY(DATE(YEAR(C644-WEEKDAY(C644,2)+4),1,3),2)+5)/7),"00"))</f>
        <v/>
      </c>
    </row>
    <row r="645" ht="18" customHeight="1">
      <c r="A645" s="39" t="n">
        <v>640</v>
      </c>
      <c r="B645" s="33">
        <f>IF(C645="","",IF(P645="À RENSEIGNER","GIC",P645)&amp;"-C"&amp;TEXT(A645,"00000"))</f>
        <v/>
      </c>
      <c r="C645" s="32" t="n"/>
      <c r="D645" s="36" t="n"/>
      <c r="E645" s="36" t="n"/>
      <c r="F645" s="36" t="n"/>
      <c r="G645" s="42" t="n"/>
      <c r="H645" s="37" t="n"/>
      <c r="I645" s="37" t="n"/>
      <c r="J645" s="32" t="n"/>
      <c r="K645" s="32" t="n"/>
      <c r="L645" s="43" t="n"/>
      <c r="M645" s="36" t="n"/>
      <c r="N645" s="44" t="n"/>
      <c r="O645" s="36" t="n"/>
      <c r="P645" s="33">
        <f>IF(C645="","",Commercial_Id)</f>
        <v/>
      </c>
      <c r="Q645" s="34">
        <f>IF(AC645="","",IF(AD645=1,"C"&amp;TEXT(SUM(AD$6:AD645),"0000"),INDEX(Q$6:Q644,MATCH(AC645,AC$6:AC644,0))))</f>
        <v/>
      </c>
      <c r="R645" s="34">
        <f>IF(C645="","",IF(L645="☑ Oui","Annulée",IF(OR(E645="Vente directe",K645&lt;&gt;""),"Livrée",IF(J645&lt;&gt;"","Confirmée","En attente"))))</f>
        <v/>
      </c>
      <c r="S645" s="34">
        <f>IF(F645="","",IFERROR(VLOOKUP(F645,T_Produits,2,FALSE),""))</f>
        <v/>
      </c>
      <c r="T645" s="40">
        <f>IF(F645="","",IFERROR(1/(1/VLOOKUP(F645,T_Produits,3,FALSE)),""))</f>
        <v/>
      </c>
      <c r="U645" s="40">
        <f>IF(H645&lt;&gt;"",H645,T645)</f>
        <v/>
      </c>
      <c r="V645" s="40">
        <f>IF(OR(G645="",U645=""),"",G645*U645-N(I645))</f>
        <v/>
      </c>
      <c r="W645" s="39">
        <f>IF(D645="","",IFERROR(VALUE(MID(D645,LEN(D645)-3,3)),""))</f>
        <v/>
      </c>
      <c r="X645" s="33">
        <f>IF(W645="","",P645&amp;"|"&amp;W645)</f>
        <v/>
      </c>
      <c r="Y645" s="33">
        <f>IF(W645="","",IF(P645="À RENSEIGNER","GIC",P645)&amp;"-"&amp;TEXT(W645,"000"))</f>
        <v/>
      </c>
      <c r="Z645" s="33">
        <f>IF(X645="","",IFERROR(INDEX(Cl_nom,MATCH(X645,Cl_cle,0)),"(client introuvable)"))</f>
        <v/>
      </c>
      <c r="AA645" s="33">
        <f>IF(X645="","",IFERROR(INDEX(Cl_quartier,MATCH(X645,Cl_cle,0))&amp;"",""))</f>
        <v/>
      </c>
      <c r="AB645" s="45">
        <f>IF(R645&lt;&gt;"Livrée",0,IF(K645&lt;&gt;"",K645,C645))</f>
        <v/>
      </c>
      <c r="AC645" s="33">
        <f>IF(OR(C645="",W645=""),"",P645&amp;"|"&amp;W645&amp;"|"&amp;C645&amp;"|"&amp;E645)</f>
        <v/>
      </c>
      <c r="AD645" s="39">
        <f>IF(AC645="","",IF(COUNTIF(AC$6:AC645,AC645)=1,1,0))</f>
        <v/>
      </c>
      <c r="AE645" s="39">
        <f>IF(AB645=0,"",IF(COUNTIFS(X$6:X645,X645,AB$6:AB645,AB645)=1,1,0))</f>
        <v/>
      </c>
      <c r="AF645" s="34">
        <f>IF(C645="","",YEAR(C645-WEEKDAY(C645,2)+4)&amp;"-S"&amp;TEXT(INT((C645-DATE(YEAR(C645-WEEKDAY(C645,2)+4),1,3)+WEEKDAY(DATE(YEAR(C645-WEEKDAY(C645,2)+4),1,3),2)+5)/7),"00"))</f>
        <v/>
      </c>
    </row>
    <row r="646" ht="18" customHeight="1">
      <c r="A646" s="39" t="n">
        <v>641</v>
      </c>
      <c r="B646" s="33">
        <f>IF(C646="","",IF(P646="À RENSEIGNER","GIC",P646)&amp;"-C"&amp;TEXT(A646,"00000"))</f>
        <v/>
      </c>
      <c r="C646" s="32" t="n"/>
      <c r="D646" s="36" t="n"/>
      <c r="E646" s="36" t="n"/>
      <c r="F646" s="36" t="n"/>
      <c r="G646" s="42" t="n"/>
      <c r="H646" s="37" t="n"/>
      <c r="I646" s="37" t="n"/>
      <c r="J646" s="32" t="n"/>
      <c r="K646" s="32" t="n"/>
      <c r="L646" s="43" t="n"/>
      <c r="M646" s="36" t="n"/>
      <c r="N646" s="44" t="n"/>
      <c r="O646" s="36" t="n"/>
      <c r="P646" s="33">
        <f>IF(C646="","",Commercial_Id)</f>
        <v/>
      </c>
      <c r="Q646" s="34">
        <f>IF(AC646="","",IF(AD646=1,"C"&amp;TEXT(SUM(AD$6:AD646),"0000"),INDEX(Q$6:Q645,MATCH(AC646,AC$6:AC645,0))))</f>
        <v/>
      </c>
      <c r="R646" s="34">
        <f>IF(C646="","",IF(L646="☑ Oui","Annulée",IF(OR(E646="Vente directe",K646&lt;&gt;""),"Livrée",IF(J646&lt;&gt;"","Confirmée","En attente"))))</f>
        <v/>
      </c>
      <c r="S646" s="34">
        <f>IF(F646="","",IFERROR(VLOOKUP(F646,T_Produits,2,FALSE),""))</f>
        <v/>
      </c>
      <c r="T646" s="40">
        <f>IF(F646="","",IFERROR(1/(1/VLOOKUP(F646,T_Produits,3,FALSE)),""))</f>
        <v/>
      </c>
      <c r="U646" s="40">
        <f>IF(H646&lt;&gt;"",H646,T646)</f>
        <v/>
      </c>
      <c r="V646" s="40">
        <f>IF(OR(G646="",U646=""),"",G646*U646-N(I646))</f>
        <v/>
      </c>
      <c r="W646" s="39">
        <f>IF(D646="","",IFERROR(VALUE(MID(D646,LEN(D646)-3,3)),""))</f>
        <v/>
      </c>
      <c r="X646" s="33">
        <f>IF(W646="","",P646&amp;"|"&amp;W646)</f>
        <v/>
      </c>
      <c r="Y646" s="33">
        <f>IF(W646="","",IF(P646="À RENSEIGNER","GIC",P646)&amp;"-"&amp;TEXT(W646,"000"))</f>
        <v/>
      </c>
      <c r="Z646" s="33">
        <f>IF(X646="","",IFERROR(INDEX(Cl_nom,MATCH(X646,Cl_cle,0)),"(client introuvable)"))</f>
        <v/>
      </c>
      <c r="AA646" s="33">
        <f>IF(X646="","",IFERROR(INDEX(Cl_quartier,MATCH(X646,Cl_cle,0))&amp;"",""))</f>
        <v/>
      </c>
      <c r="AB646" s="45">
        <f>IF(R646&lt;&gt;"Livrée",0,IF(K646&lt;&gt;"",K646,C646))</f>
        <v/>
      </c>
      <c r="AC646" s="33">
        <f>IF(OR(C646="",W646=""),"",P646&amp;"|"&amp;W646&amp;"|"&amp;C646&amp;"|"&amp;E646)</f>
        <v/>
      </c>
      <c r="AD646" s="39">
        <f>IF(AC646="","",IF(COUNTIF(AC$6:AC646,AC646)=1,1,0))</f>
        <v/>
      </c>
      <c r="AE646" s="39">
        <f>IF(AB646=0,"",IF(COUNTIFS(X$6:X646,X646,AB$6:AB646,AB646)=1,1,0))</f>
        <v/>
      </c>
      <c r="AF646" s="34">
        <f>IF(C646="","",YEAR(C646-WEEKDAY(C646,2)+4)&amp;"-S"&amp;TEXT(INT((C646-DATE(YEAR(C646-WEEKDAY(C646,2)+4),1,3)+WEEKDAY(DATE(YEAR(C646-WEEKDAY(C646,2)+4),1,3),2)+5)/7),"00"))</f>
        <v/>
      </c>
    </row>
    <row r="647" ht="18" customHeight="1">
      <c r="A647" s="39" t="n">
        <v>642</v>
      </c>
      <c r="B647" s="33">
        <f>IF(C647="","",IF(P647="À RENSEIGNER","GIC",P647)&amp;"-C"&amp;TEXT(A647,"00000"))</f>
        <v/>
      </c>
      <c r="C647" s="32" t="n"/>
      <c r="D647" s="36" t="n"/>
      <c r="E647" s="36" t="n"/>
      <c r="F647" s="36" t="n"/>
      <c r="G647" s="42" t="n"/>
      <c r="H647" s="37" t="n"/>
      <c r="I647" s="37" t="n"/>
      <c r="J647" s="32" t="n"/>
      <c r="K647" s="32" t="n"/>
      <c r="L647" s="43" t="n"/>
      <c r="M647" s="36" t="n"/>
      <c r="N647" s="44" t="n"/>
      <c r="O647" s="36" t="n"/>
      <c r="P647" s="33">
        <f>IF(C647="","",Commercial_Id)</f>
        <v/>
      </c>
      <c r="Q647" s="34">
        <f>IF(AC647="","",IF(AD647=1,"C"&amp;TEXT(SUM(AD$6:AD647),"0000"),INDEX(Q$6:Q646,MATCH(AC647,AC$6:AC646,0))))</f>
        <v/>
      </c>
      <c r="R647" s="34">
        <f>IF(C647="","",IF(L647="☑ Oui","Annulée",IF(OR(E647="Vente directe",K647&lt;&gt;""),"Livrée",IF(J647&lt;&gt;"","Confirmée","En attente"))))</f>
        <v/>
      </c>
      <c r="S647" s="34">
        <f>IF(F647="","",IFERROR(VLOOKUP(F647,T_Produits,2,FALSE),""))</f>
        <v/>
      </c>
      <c r="T647" s="40">
        <f>IF(F647="","",IFERROR(1/(1/VLOOKUP(F647,T_Produits,3,FALSE)),""))</f>
        <v/>
      </c>
      <c r="U647" s="40">
        <f>IF(H647&lt;&gt;"",H647,T647)</f>
        <v/>
      </c>
      <c r="V647" s="40">
        <f>IF(OR(G647="",U647=""),"",G647*U647-N(I647))</f>
        <v/>
      </c>
      <c r="W647" s="39">
        <f>IF(D647="","",IFERROR(VALUE(MID(D647,LEN(D647)-3,3)),""))</f>
        <v/>
      </c>
      <c r="X647" s="33">
        <f>IF(W647="","",P647&amp;"|"&amp;W647)</f>
        <v/>
      </c>
      <c r="Y647" s="33">
        <f>IF(W647="","",IF(P647="À RENSEIGNER","GIC",P647)&amp;"-"&amp;TEXT(W647,"000"))</f>
        <v/>
      </c>
      <c r="Z647" s="33">
        <f>IF(X647="","",IFERROR(INDEX(Cl_nom,MATCH(X647,Cl_cle,0)),"(client introuvable)"))</f>
        <v/>
      </c>
      <c r="AA647" s="33">
        <f>IF(X647="","",IFERROR(INDEX(Cl_quartier,MATCH(X647,Cl_cle,0))&amp;"",""))</f>
        <v/>
      </c>
      <c r="AB647" s="45">
        <f>IF(R647&lt;&gt;"Livrée",0,IF(K647&lt;&gt;"",K647,C647))</f>
        <v/>
      </c>
      <c r="AC647" s="33">
        <f>IF(OR(C647="",W647=""),"",P647&amp;"|"&amp;W647&amp;"|"&amp;C647&amp;"|"&amp;E647)</f>
        <v/>
      </c>
      <c r="AD647" s="39">
        <f>IF(AC647="","",IF(COUNTIF(AC$6:AC647,AC647)=1,1,0))</f>
        <v/>
      </c>
      <c r="AE647" s="39">
        <f>IF(AB647=0,"",IF(COUNTIFS(X$6:X647,X647,AB$6:AB647,AB647)=1,1,0))</f>
        <v/>
      </c>
      <c r="AF647" s="34">
        <f>IF(C647="","",YEAR(C647-WEEKDAY(C647,2)+4)&amp;"-S"&amp;TEXT(INT((C647-DATE(YEAR(C647-WEEKDAY(C647,2)+4),1,3)+WEEKDAY(DATE(YEAR(C647-WEEKDAY(C647,2)+4),1,3),2)+5)/7),"00"))</f>
        <v/>
      </c>
    </row>
    <row r="648" ht="18" customHeight="1">
      <c r="A648" s="39" t="n">
        <v>643</v>
      </c>
      <c r="B648" s="33">
        <f>IF(C648="","",IF(P648="À RENSEIGNER","GIC",P648)&amp;"-C"&amp;TEXT(A648,"00000"))</f>
        <v/>
      </c>
      <c r="C648" s="32" t="n"/>
      <c r="D648" s="36" t="n"/>
      <c r="E648" s="36" t="n"/>
      <c r="F648" s="36" t="n"/>
      <c r="G648" s="42" t="n"/>
      <c r="H648" s="37" t="n"/>
      <c r="I648" s="37" t="n"/>
      <c r="J648" s="32" t="n"/>
      <c r="K648" s="32" t="n"/>
      <c r="L648" s="43" t="n"/>
      <c r="M648" s="36" t="n"/>
      <c r="N648" s="44" t="n"/>
      <c r="O648" s="36" t="n"/>
      <c r="P648" s="33">
        <f>IF(C648="","",Commercial_Id)</f>
        <v/>
      </c>
      <c r="Q648" s="34">
        <f>IF(AC648="","",IF(AD648=1,"C"&amp;TEXT(SUM(AD$6:AD648),"0000"),INDEX(Q$6:Q647,MATCH(AC648,AC$6:AC647,0))))</f>
        <v/>
      </c>
      <c r="R648" s="34">
        <f>IF(C648="","",IF(L648="☑ Oui","Annulée",IF(OR(E648="Vente directe",K648&lt;&gt;""),"Livrée",IF(J648&lt;&gt;"","Confirmée","En attente"))))</f>
        <v/>
      </c>
      <c r="S648" s="34">
        <f>IF(F648="","",IFERROR(VLOOKUP(F648,T_Produits,2,FALSE),""))</f>
        <v/>
      </c>
      <c r="T648" s="40">
        <f>IF(F648="","",IFERROR(1/(1/VLOOKUP(F648,T_Produits,3,FALSE)),""))</f>
        <v/>
      </c>
      <c r="U648" s="40">
        <f>IF(H648&lt;&gt;"",H648,T648)</f>
        <v/>
      </c>
      <c r="V648" s="40">
        <f>IF(OR(G648="",U648=""),"",G648*U648-N(I648))</f>
        <v/>
      </c>
      <c r="W648" s="39">
        <f>IF(D648="","",IFERROR(VALUE(MID(D648,LEN(D648)-3,3)),""))</f>
        <v/>
      </c>
      <c r="X648" s="33">
        <f>IF(W648="","",P648&amp;"|"&amp;W648)</f>
        <v/>
      </c>
      <c r="Y648" s="33">
        <f>IF(W648="","",IF(P648="À RENSEIGNER","GIC",P648)&amp;"-"&amp;TEXT(W648,"000"))</f>
        <v/>
      </c>
      <c r="Z648" s="33">
        <f>IF(X648="","",IFERROR(INDEX(Cl_nom,MATCH(X648,Cl_cle,0)),"(client introuvable)"))</f>
        <v/>
      </c>
      <c r="AA648" s="33">
        <f>IF(X648="","",IFERROR(INDEX(Cl_quartier,MATCH(X648,Cl_cle,0))&amp;"",""))</f>
        <v/>
      </c>
      <c r="AB648" s="45">
        <f>IF(R648&lt;&gt;"Livrée",0,IF(K648&lt;&gt;"",K648,C648))</f>
        <v/>
      </c>
      <c r="AC648" s="33">
        <f>IF(OR(C648="",W648=""),"",P648&amp;"|"&amp;W648&amp;"|"&amp;C648&amp;"|"&amp;E648)</f>
        <v/>
      </c>
      <c r="AD648" s="39">
        <f>IF(AC648="","",IF(COUNTIF(AC$6:AC648,AC648)=1,1,0))</f>
        <v/>
      </c>
      <c r="AE648" s="39">
        <f>IF(AB648=0,"",IF(COUNTIFS(X$6:X648,X648,AB$6:AB648,AB648)=1,1,0))</f>
        <v/>
      </c>
      <c r="AF648" s="34">
        <f>IF(C648="","",YEAR(C648-WEEKDAY(C648,2)+4)&amp;"-S"&amp;TEXT(INT((C648-DATE(YEAR(C648-WEEKDAY(C648,2)+4),1,3)+WEEKDAY(DATE(YEAR(C648-WEEKDAY(C648,2)+4),1,3),2)+5)/7),"00"))</f>
        <v/>
      </c>
    </row>
    <row r="649" ht="18" customHeight="1">
      <c r="A649" s="39" t="n">
        <v>644</v>
      </c>
      <c r="B649" s="33">
        <f>IF(C649="","",IF(P649="À RENSEIGNER","GIC",P649)&amp;"-C"&amp;TEXT(A649,"00000"))</f>
        <v/>
      </c>
      <c r="C649" s="32" t="n"/>
      <c r="D649" s="36" t="n"/>
      <c r="E649" s="36" t="n"/>
      <c r="F649" s="36" t="n"/>
      <c r="G649" s="42" t="n"/>
      <c r="H649" s="37" t="n"/>
      <c r="I649" s="37" t="n"/>
      <c r="J649" s="32" t="n"/>
      <c r="K649" s="32" t="n"/>
      <c r="L649" s="43" t="n"/>
      <c r="M649" s="36" t="n"/>
      <c r="N649" s="44" t="n"/>
      <c r="O649" s="36" t="n"/>
      <c r="P649" s="33">
        <f>IF(C649="","",Commercial_Id)</f>
        <v/>
      </c>
      <c r="Q649" s="34">
        <f>IF(AC649="","",IF(AD649=1,"C"&amp;TEXT(SUM(AD$6:AD649),"0000"),INDEX(Q$6:Q648,MATCH(AC649,AC$6:AC648,0))))</f>
        <v/>
      </c>
      <c r="R649" s="34">
        <f>IF(C649="","",IF(L649="☑ Oui","Annulée",IF(OR(E649="Vente directe",K649&lt;&gt;""),"Livrée",IF(J649&lt;&gt;"","Confirmée","En attente"))))</f>
        <v/>
      </c>
      <c r="S649" s="34">
        <f>IF(F649="","",IFERROR(VLOOKUP(F649,T_Produits,2,FALSE),""))</f>
        <v/>
      </c>
      <c r="T649" s="40">
        <f>IF(F649="","",IFERROR(1/(1/VLOOKUP(F649,T_Produits,3,FALSE)),""))</f>
        <v/>
      </c>
      <c r="U649" s="40">
        <f>IF(H649&lt;&gt;"",H649,T649)</f>
        <v/>
      </c>
      <c r="V649" s="40">
        <f>IF(OR(G649="",U649=""),"",G649*U649-N(I649))</f>
        <v/>
      </c>
      <c r="W649" s="39">
        <f>IF(D649="","",IFERROR(VALUE(MID(D649,LEN(D649)-3,3)),""))</f>
        <v/>
      </c>
      <c r="X649" s="33">
        <f>IF(W649="","",P649&amp;"|"&amp;W649)</f>
        <v/>
      </c>
      <c r="Y649" s="33">
        <f>IF(W649="","",IF(P649="À RENSEIGNER","GIC",P649)&amp;"-"&amp;TEXT(W649,"000"))</f>
        <v/>
      </c>
      <c r="Z649" s="33">
        <f>IF(X649="","",IFERROR(INDEX(Cl_nom,MATCH(X649,Cl_cle,0)),"(client introuvable)"))</f>
        <v/>
      </c>
      <c r="AA649" s="33">
        <f>IF(X649="","",IFERROR(INDEX(Cl_quartier,MATCH(X649,Cl_cle,0))&amp;"",""))</f>
        <v/>
      </c>
      <c r="AB649" s="45">
        <f>IF(R649&lt;&gt;"Livrée",0,IF(K649&lt;&gt;"",K649,C649))</f>
        <v/>
      </c>
      <c r="AC649" s="33">
        <f>IF(OR(C649="",W649=""),"",P649&amp;"|"&amp;W649&amp;"|"&amp;C649&amp;"|"&amp;E649)</f>
        <v/>
      </c>
      <c r="AD649" s="39">
        <f>IF(AC649="","",IF(COUNTIF(AC$6:AC649,AC649)=1,1,0))</f>
        <v/>
      </c>
      <c r="AE649" s="39">
        <f>IF(AB649=0,"",IF(COUNTIFS(X$6:X649,X649,AB$6:AB649,AB649)=1,1,0))</f>
        <v/>
      </c>
      <c r="AF649" s="34">
        <f>IF(C649="","",YEAR(C649-WEEKDAY(C649,2)+4)&amp;"-S"&amp;TEXT(INT((C649-DATE(YEAR(C649-WEEKDAY(C649,2)+4),1,3)+WEEKDAY(DATE(YEAR(C649-WEEKDAY(C649,2)+4),1,3),2)+5)/7),"00"))</f>
        <v/>
      </c>
    </row>
    <row r="650" ht="18" customHeight="1">
      <c r="A650" s="39" t="n">
        <v>645</v>
      </c>
      <c r="B650" s="33">
        <f>IF(C650="","",IF(P650="À RENSEIGNER","GIC",P650)&amp;"-C"&amp;TEXT(A650,"00000"))</f>
        <v/>
      </c>
      <c r="C650" s="32" t="n"/>
      <c r="D650" s="36" t="n"/>
      <c r="E650" s="36" t="n"/>
      <c r="F650" s="36" t="n"/>
      <c r="G650" s="42" t="n"/>
      <c r="H650" s="37" t="n"/>
      <c r="I650" s="37" t="n"/>
      <c r="J650" s="32" t="n"/>
      <c r="K650" s="32" t="n"/>
      <c r="L650" s="43" t="n"/>
      <c r="M650" s="36" t="n"/>
      <c r="N650" s="44" t="n"/>
      <c r="O650" s="36" t="n"/>
      <c r="P650" s="33">
        <f>IF(C650="","",Commercial_Id)</f>
        <v/>
      </c>
      <c r="Q650" s="34">
        <f>IF(AC650="","",IF(AD650=1,"C"&amp;TEXT(SUM(AD$6:AD650),"0000"),INDEX(Q$6:Q649,MATCH(AC650,AC$6:AC649,0))))</f>
        <v/>
      </c>
      <c r="R650" s="34">
        <f>IF(C650="","",IF(L650="☑ Oui","Annulée",IF(OR(E650="Vente directe",K650&lt;&gt;""),"Livrée",IF(J650&lt;&gt;"","Confirmée","En attente"))))</f>
        <v/>
      </c>
      <c r="S650" s="34">
        <f>IF(F650="","",IFERROR(VLOOKUP(F650,T_Produits,2,FALSE),""))</f>
        <v/>
      </c>
      <c r="T650" s="40">
        <f>IF(F650="","",IFERROR(1/(1/VLOOKUP(F650,T_Produits,3,FALSE)),""))</f>
        <v/>
      </c>
      <c r="U650" s="40">
        <f>IF(H650&lt;&gt;"",H650,T650)</f>
        <v/>
      </c>
      <c r="V650" s="40">
        <f>IF(OR(G650="",U650=""),"",G650*U650-N(I650))</f>
        <v/>
      </c>
      <c r="W650" s="39">
        <f>IF(D650="","",IFERROR(VALUE(MID(D650,LEN(D650)-3,3)),""))</f>
        <v/>
      </c>
      <c r="X650" s="33">
        <f>IF(W650="","",P650&amp;"|"&amp;W650)</f>
        <v/>
      </c>
      <c r="Y650" s="33">
        <f>IF(W650="","",IF(P650="À RENSEIGNER","GIC",P650)&amp;"-"&amp;TEXT(W650,"000"))</f>
        <v/>
      </c>
      <c r="Z650" s="33">
        <f>IF(X650="","",IFERROR(INDEX(Cl_nom,MATCH(X650,Cl_cle,0)),"(client introuvable)"))</f>
        <v/>
      </c>
      <c r="AA650" s="33">
        <f>IF(X650="","",IFERROR(INDEX(Cl_quartier,MATCH(X650,Cl_cle,0))&amp;"",""))</f>
        <v/>
      </c>
      <c r="AB650" s="45">
        <f>IF(R650&lt;&gt;"Livrée",0,IF(K650&lt;&gt;"",K650,C650))</f>
        <v/>
      </c>
      <c r="AC650" s="33">
        <f>IF(OR(C650="",W650=""),"",P650&amp;"|"&amp;W650&amp;"|"&amp;C650&amp;"|"&amp;E650)</f>
        <v/>
      </c>
      <c r="AD650" s="39">
        <f>IF(AC650="","",IF(COUNTIF(AC$6:AC650,AC650)=1,1,0))</f>
        <v/>
      </c>
      <c r="AE650" s="39">
        <f>IF(AB650=0,"",IF(COUNTIFS(X$6:X650,X650,AB$6:AB650,AB650)=1,1,0))</f>
        <v/>
      </c>
      <c r="AF650" s="34">
        <f>IF(C650="","",YEAR(C650-WEEKDAY(C650,2)+4)&amp;"-S"&amp;TEXT(INT((C650-DATE(YEAR(C650-WEEKDAY(C650,2)+4),1,3)+WEEKDAY(DATE(YEAR(C650-WEEKDAY(C650,2)+4),1,3),2)+5)/7),"00"))</f>
        <v/>
      </c>
    </row>
    <row r="651" ht="18" customHeight="1">
      <c r="A651" s="39" t="n">
        <v>646</v>
      </c>
      <c r="B651" s="33">
        <f>IF(C651="","",IF(P651="À RENSEIGNER","GIC",P651)&amp;"-C"&amp;TEXT(A651,"00000"))</f>
        <v/>
      </c>
      <c r="C651" s="32" t="n"/>
      <c r="D651" s="36" t="n"/>
      <c r="E651" s="36" t="n"/>
      <c r="F651" s="36" t="n"/>
      <c r="G651" s="42" t="n"/>
      <c r="H651" s="37" t="n"/>
      <c r="I651" s="37" t="n"/>
      <c r="J651" s="32" t="n"/>
      <c r="K651" s="32" t="n"/>
      <c r="L651" s="43" t="n"/>
      <c r="M651" s="36" t="n"/>
      <c r="N651" s="44" t="n"/>
      <c r="O651" s="36" t="n"/>
      <c r="P651" s="33">
        <f>IF(C651="","",Commercial_Id)</f>
        <v/>
      </c>
      <c r="Q651" s="34">
        <f>IF(AC651="","",IF(AD651=1,"C"&amp;TEXT(SUM(AD$6:AD651),"0000"),INDEX(Q$6:Q650,MATCH(AC651,AC$6:AC650,0))))</f>
        <v/>
      </c>
      <c r="R651" s="34">
        <f>IF(C651="","",IF(L651="☑ Oui","Annulée",IF(OR(E651="Vente directe",K651&lt;&gt;""),"Livrée",IF(J651&lt;&gt;"","Confirmée","En attente"))))</f>
        <v/>
      </c>
      <c r="S651" s="34">
        <f>IF(F651="","",IFERROR(VLOOKUP(F651,T_Produits,2,FALSE),""))</f>
        <v/>
      </c>
      <c r="T651" s="40">
        <f>IF(F651="","",IFERROR(1/(1/VLOOKUP(F651,T_Produits,3,FALSE)),""))</f>
        <v/>
      </c>
      <c r="U651" s="40">
        <f>IF(H651&lt;&gt;"",H651,T651)</f>
        <v/>
      </c>
      <c r="V651" s="40">
        <f>IF(OR(G651="",U651=""),"",G651*U651-N(I651))</f>
        <v/>
      </c>
      <c r="W651" s="39">
        <f>IF(D651="","",IFERROR(VALUE(MID(D651,LEN(D651)-3,3)),""))</f>
        <v/>
      </c>
      <c r="X651" s="33">
        <f>IF(W651="","",P651&amp;"|"&amp;W651)</f>
        <v/>
      </c>
      <c r="Y651" s="33">
        <f>IF(W651="","",IF(P651="À RENSEIGNER","GIC",P651)&amp;"-"&amp;TEXT(W651,"000"))</f>
        <v/>
      </c>
      <c r="Z651" s="33">
        <f>IF(X651="","",IFERROR(INDEX(Cl_nom,MATCH(X651,Cl_cle,0)),"(client introuvable)"))</f>
        <v/>
      </c>
      <c r="AA651" s="33">
        <f>IF(X651="","",IFERROR(INDEX(Cl_quartier,MATCH(X651,Cl_cle,0))&amp;"",""))</f>
        <v/>
      </c>
      <c r="AB651" s="45">
        <f>IF(R651&lt;&gt;"Livrée",0,IF(K651&lt;&gt;"",K651,C651))</f>
        <v/>
      </c>
      <c r="AC651" s="33">
        <f>IF(OR(C651="",W651=""),"",P651&amp;"|"&amp;W651&amp;"|"&amp;C651&amp;"|"&amp;E651)</f>
        <v/>
      </c>
      <c r="AD651" s="39">
        <f>IF(AC651="","",IF(COUNTIF(AC$6:AC651,AC651)=1,1,0))</f>
        <v/>
      </c>
      <c r="AE651" s="39">
        <f>IF(AB651=0,"",IF(COUNTIFS(X$6:X651,X651,AB$6:AB651,AB651)=1,1,0))</f>
        <v/>
      </c>
      <c r="AF651" s="34">
        <f>IF(C651="","",YEAR(C651-WEEKDAY(C651,2)+4)&amp;"-S"&amp;TEXT(INT((C651-DATE(YEAR(C651-WEEKDAY(C651,2)+4),1,3)+WEEKDAY(DATE(YEAR(C651-WEEKDAY(C651,2)+4),1,3),2)+5)/7),"00"))</f>
        <v/>
      </c>
    </row>
    <row r="652" ht="18" customHeight="1">
      <c r="A652" s="39" t="n">
        <v>647</v>
      </c>
      <c r="B652" s="33">
        <f>IF(C652="","",IF(P652="À RENSEIGNER","GIC",P652)&amp;"-C"&amp;TEXT(A652,"00000"))</f>
        <v/>
      </c>
      <c r="C652" s="32" t="n"/>
      <c r="D652" s="36" t="n"/>
      <c r="E652" s="36" t="n"/>
      <c r="F652" s="36" t="n"/>
      <c r="G652" s="42" t="n"/>
      <c r="H652" s="37" t="n"/>
      <c r="I652" s="37" t="n"/>
      <c r="J652" s="32" t="n"/>
      <c r="K652" s="32" t="n"/>
      <c r="L652" s="43" t="n"/>
      <c r="M652" s="36" t="n"/>
      <c r="N652" s="44" t="n"/>
      <c r="O652" s="36" t="n"/>
      <c r="P652" s="33">
        <f>IF(C652="","",Commercial_Id)</f>
        <v/>
      </c>
      <c r="Q652" s="34">
        <f>IF(AC652="","",IF(AD652=1,"C"&amp;TEXT(SUM(AD$6:AD652),"0000"),INDEX(Q$6:Q651,MATCH(AC652,AC$6:AC651,0))))</f>
        <v/>
      </c>
      <c r="R652" s="34">
        <f>IF(C652="","",IF(L652="☑ Oui","Annulée",IF(OR(E652="Vente directe",K652&lt;&gt;""),"Livrée",IF(J652&lt;&gt;"","Confirmée","En attente"))))</f>
        <v/>
      </c>
      <c r="S652" s="34">
        <f>IF(F652="","",IFERROR(VLOOKUP(F652,T_Produits,2,FALSE),""))</f>
        <v/>
      </c>
      <c r="T652" s="40">
        <f>IF(F652="","",IFERROR(1/(1/VLOOKUP(F652,T_Produits,3,FALSE)),""))</f>
        <v/>
      </c>
      <c r="U652" s="40">
        <f>IF(H652&lt;&gt;"",H652,T652)</f>
        <v/>
      </c>
      <c r="V652" s="40">
        <f>IF(OR(G652="",U652=""),"",G652*U652-N(I652))</f>
        <v/>
      </c>
      <c r="W652" s="39">
        <f>IF(D652="","",IFERROR(VALUE(MID(D652,LEN(D652)-3,3)),""))</f>
        <v/>
      </c>
      <c r="X652" s="33">
        <f>IF(W652="","",P652&amp;"|"&amp;W652)</f>
        <v/>
      </c>
      <c r="Y652" s="33">
        <f>IF(W652="","",IF(P652="À RENSEIGNER","GIC",P652)&amp;"-"&amp;TEXT(W652,"000"))</f>
        <v/>
      </c>
      <c r="Z652" s="33">
        <f>IF(X652="","",IFERROR(INDEX(Cl_nom,MATCH(X652,Cl_cle,0)),"(client introuvable)"))</f>
        <v/>
      </c>
      <c r="AA652" s="33">
        <f>IF(X652="","",IFERROR(INDEX(Cl_quartier,MATCH(X652,Cl_cle,0))&amp;"",""))</f>
        <v/>
      </c>
      <c r="AB652" s="45">
        <f>IF(R652&lt;&gt;"Livrée",0,IF(K652&lt;&gt;"",K652,C652))</f>
        <v/>
      </c>
      <c r="AC652" s="33">
        <f>IF(OR(C652="",W652=""),"",P652&amp;"|"&amp;W652&amp;"|"&amp;C652&amp;"|"&amp;E652)</f>
        <v/>
      </c>
      <c r="AD652" s="39">
        <f>IF(AC652="","",IF(COUNTIF(AC$6:AC652,AC652)=1,1,0))</f>
        <v/>
      </c>
      <c r="AE652" s="39">
        <f>IF(AB652=0,"",IF(COUNTIFS(X$6:X652,X652,AB$6:AB652,AB652)=1,1,0))</f>
        <v/>
      </c>
      <c r="AF652" s="34">
        <f>IF(C652="","",YEAR(C652-WEEKDAY(C652,2)+4)&amp;"-S"&amp;TEXT(INT((C652-DATE(YEAR(C652-WEEKDAY(C652,2)+4),1,3)+WEEKDAY(DATE(YEAR(C652-WEEKDAY(C652,2)+4),1,3),2)+5)/7),"00"))</f>
        <v/>
      </c>
    </row>
    <row r="653" ht="18" customHeight="1">
      <c r="A653" s="39" t="n">
        <v>648</v>
      </c>
      <c r="B653" s="33">
        <f>IF(C653="","",IF(P653="À RENSEIGNER","GIC",P653)&amp;"-C"&amp;TEXT(A653,"00000"))</f>
        <v/>
      </c>
      <c r="C653" s="32" t="n"/>
      <c r="D653" s="36" t="n"/>
      <c r="E653" s="36" t="n"/>
      <c r="F653" s="36" t="n"/>
      <c r="G653" s="42" t="n"/>
      <c r="H653" s="37" t="n"/>
      <c r="I653" s="37" t="n"/>
      <c r="J653" s="32" t="n"/>
      <c r="K653" s="32" t="n"/>
      <c r="L653" s="43" t="n"/>
      <c r="M653" s="36" t="n"/>
      <c r="N653" s="44" t="n"/>
      <c r="O653" s="36" t="n"/>
      <c r="P653" s="33">
        <f>IF(C653="","",Commercial_Id)</f>
        <v/>
      </c>
      <c r="Q653" s="34">
        <f>IF(AC653="","",IF(AD653=1,"C"&amp;TEXT(SUM(AD$6:AD653),"0000"),INDEX(Q$6:Q652,MATCH(AC653,AC$6:AC652,0))))</f>
        <v/>
      </c>
      <c r="R653" s="34">
        <f>IF(C653="","",IF(L653="☑ Oui","Annulée",IF(OR(E653="Vente directe",K653&lt;&gt;""),"Livrée",IF(J653&lt;&gt;"","Confirmée","En attente"))))</f>
        <v/>
      </c>
      <c r="S653" s="34">
        <f>IF(F653="","",IFERROR(VLOOKUP(F653,T_Produits,2,FALSE),""))</f>
        <v/>
      </c>
      <c r="T653" s="40">
        <f>IF(F653="","",IFERROR(1/(1/VLOOKUP(F653,T_Produits,3,FALSE)),""))</f>
        <v/>
      </c>
      <c r="U653" s="40">
        <f>IF(H653&lt;&gt;"",H653,T653)</f>
        <v/>
      </c>
      <c r="V653" s="40">
        <f>IF(OR(G653="",U653=""),"",G653*U653-N(I653))</f>
        <v/>
      </c>
      <c r="W653" s="39">
        <f>IF(D653="","",IFERROR(VALUE(MID(D653,LEN(D653)-3,3)),""))</f>
        <v/>
      </c>
      <c r="X653" s="33">
        <f>IF(W653="","",P653&amp;"|"&amp;W653)</f>
        <v/>
      </c>
      <c r="Y653" s="33">
        <f>IF(W653="","",IF(P653="À RENSEIGNER","GIC",P653)&amp;"-"&amp;TEXT(W653,"000"))</f>
        <v/>
      </c>
      <c r="Z653" s="33">
        <f>IF(X653="","",IFERROR(INDEX(Cl_nom,MATCH(X653,Cl_cle,0)),"(client introuvable)"))</f>
        <v/>
      </c>
      <c r="AA653" s="33">
        <f>IF(X653="","",IFERROR(INDEX(Cl_quartier,MATCH(X653,Cl_cle,0))&amp;"",""))</f>
        <v/>
      </c>
      <c r="AB653" s="45">
        <f>IF(R653&lt;&gt;"Livrée",0,IF(K653&lt;&gt;"",K653,C653))</f>
        <v/>
      </c>
      <c r="AC653" s="33">
        <f>IF(OR(C653="",W653=""),"",P653&amp;"|"&amp;W653&amp;"|"&amp;C653&amp;"|"&amp;E653)</f>
        <v/>
      </c>
      <c r="AD653" s="39">
        <f>IF(AC653="","",IF(COUNTIF(AC$6:AC653,AC653)=1,1,0))</f>
        <v/>
      </c>
      <c r="AE653" s="39">
        <f>IF(AB653=0,"",IF(COUNTIFS(X$6:X653,X653,AB$6:AB653,AB653)=1,1,0))</f>
        <v/>
      </c>
      <c r="AF653" s="34">
        <f>IF(C653="","",YEAR(C653-WEEKDAY(C653,2)+4)&amp;"-S"&amp;TEXT(INT((C653-DATE(YEAR(C653-WEEKDAY(C653,2)+4),1,3)+WEEKDAY(DATE(YEAR(C653-WEEKDAY(C653,2)+4),1,3),2)+5)/7),"00"))</f>
        <v/>
      </c>
    </row>
    <row r="654" ht="18" customHeight="1">
      <c r="A654" s="39" t="n">
        <v>649</v>
      </c>
      <c r="B654" s="33">
        <f>IF(C654="","",IF(P654="À RENSEIGNER","GIC",P654)&amp;"-C"&amp;TEXT(A654,"00000"))</f>
        <v/>
      </c>
      <c r="C654" s="32" t="n"/>
      <c r="D654" s="36" t="n"/>
      <c r="E654" s="36" t="n"/>
      <c r="F654" s="36" t="n"/>
      <c r="G654" s="42" t="n"/>
      <c r="H654" s="37" t="n"/>
      <c r="I654" s="37" t="n"/>
      <c r="J654" s="32" t="n"/>
      <c r="K654" s="32" t="n"/>
      <c r="L654" s="43" t="n"/>
      <c r="M654" s="36" t="n"/>
      <c r="N654" s="44" t="n"/>
      <c r="O654" s="36" t="n"/>
      <c r="P654" s="33">
        <f>IF(C654="","",Commercial_Id)</f>
        <v/>
      </c>
      <c r="Q654" s="34">
        <f>IF(AC654="","",IF(AD654=1,"C"&amp;TEXT(SUM(AD$6:AD654),"0000"),INDEX(Q$6:Q653,MATCH(AC654,AC$6:AC653,0))))</f>
        <v/>
      </c>
      <c r="R654" s="34">
        <f>IF(C654="","",IF(L654="☑ Oui","Annulée",IF(OR(E654="Vente directe",K654&lt;&gt;""),"Livrée",IF(J654&lt;&gt;"","Confirmée","En attente"))))</f>
        <v/>
      </c>
      <c r="S654" s="34">
        <f>IF(F654="","",IFERROR(VLOOKUP(F654,T_Produits,2,FALSE),""))</f>
        <v/>
      </c>
      <c r="T654" s="40">
        <f>IF(F654="","",IFERROR(1/(1/VLOOKUP(F654,T_Produits,3,FALSE)),""))</f>
        <v/>
      </c>
      <c r="U654" s="40">
        <f>IF(H654&lt;&gt;"",H654,T654)</f>
        <v/>
      </c>
      <c r="V654" s="40">
        <f>IF(OR(G654="",U654=""),"",G654*U654-N(I654))</f>
        <v/>
      </c>
      <c r="W654" s="39">
        <f>IF(D654="","",IFERROR(VALUE(MID(D654,LEN(D654)-3,3)),""))</f>
        <v/>
      </c>
      <c r="X654" s="33">
        <f>IF(W654="","",P654&amp;"|"&amp;W654)</f>
        <v/>
      </c>
      <c r="Y654" s="33">
        <f>IF(W654="","",IF(P654="À RENSEIGNER","GIC",P654)&amp;"-"&amp;TEXT(W654,"000"))</f>
        <v/>
      </c>
      <c r="Z654" s="33">
        <f>IF(X654="","",IFERROR(INDEX(Cl_nom,MATCH(X654,Cl_cle,0)),"(client introuvable)"))</f>
        <v/>
      </c>
      <c r="AA654" s="33">
        <f>IF(X654="","",IFERROR(INDEX(Cl_quartier,MATCH(X654,Cl_cle,0))&amp;"",""))</f>
        <v/>
      </c>
      <c r="AB654" s="45">
        <f>IF(R654&lt;&gt;"Livrée",0,IF(K654&lt;&gt;"",K654,C654))</f>
        <v/>
      </c>
      <c r="AC654" s="33">
        <f>IF(OR(C654="",W654=""),"",P654&amp;"|"&amp;W654&amp;"|"&amp;C654&amp;"|"&amp;E654)</f>
        <v/>
      </c>
      <c r="AD654" s="39">
        <f>IF(AC654="","",IF(COUNTIF(AC$6:AC654,AC654)=1,1,0))</f>
        <v/>
      </c>
      <c r="AE654" s="39">
        <f>IF(AB654=0,"",IF(COUNTIFS(X$6:X654,X654,AB$6:AB654,AB654)=1,1,0))</f>
        <v/>
      </c>
      <c r="AF654" s="34">
        <f>IF(C654="","",YEAR(C654-WEEKDAY(C654,2)+4)&amp;"-S"&amp;TEXT(INT((C654-DATE(YEAR(C654-WEEKDAY(C654,2)+4),1,3)+WEEKDAY(DATE(YEAR(C654-WEEKDAY(C654,2)+4),1,3),2)+5)/7),"00"))</f>
        <v/>
      </c>
    </row>
    <row r="655" ht="18" customHeight="1">
      <c r="A655" s="39" t="n">
        <v>650</v>
      </c>
      <c r="B655" s="33">
        <f>IF(C655="","",IF(P655="À RENSEIGNER","GIC",P655)&amp;"-C"&amp;TEXT(A655,"00000"))</f>
        <v/>
      </c>
      <c r="C655" s="32" t="n"/>
      <c r="D655" s="36" t="n"/>
      <c r="E655" s="36" t="n"/>
      <c r="F655" s="36" t="n"/>
      <c r="G655" s="42" t="n"/>
      <c r="H655" s="37" t="n"/>
      <c r="I655" s="37" t="n"/>
      <c r="J655" s="32" t="n"/>
      <c r="K655" s="32" t="n"/>
      <c r="L655" s="43" t="n"/>
      <c r="M655" s="36" t="n"/>
      <c r="N655" s="44" t="n"/>
      <c r="O655" s="36" t="n"/>
      <c r="P655" s="33">
        <f>IF(C655="","",Commercial_Id)</f>
        <v/>
      </c>
      <c r="Q655" s="34">
        <f>IF(AC655="","",IF(AD655=1,"C"&amp;TEXT(SUM(AD$6:AD655),"0000"),INDEX(Q$6:Q654,MATCH(AC655,AC$6:AC654,0))))</f>
        <v/>
      </c>
      <c r="R655" s="34">
        <f>IF(C655="","",IF(L655="☑ Oui","Annulée",IF(OR(E655="Vente directe",K655&lt;&gt;""),"Livrée",IF(J655&lt;&gt;"","Confirmée","En attente"))))</f>
        <v/>
      </c>
      <c r="S655" s="34">
        <f>IF(F655="","",IFERROR(VLOOKUP(F655,T_Produits,2,FALSE),""))</f>
        <v/>
      </c>
      <c r="T655" s="40">
        <f>IF(F655="","",IFERROR(1/(1/VLOOKUP(F655,T_Produits,3,FALSE)),""))</f>
        <v/>
      </c>
      <c r="U655" s="40">
        <f>IF(H655&lt;&gt;"",H655,T655)</f>
        <v/>
      </c>
      <c r="V655" s="40">
        <f>IF(OR(G655="",U655=""),"",G655*U655-N(I655))</f>
        <v/>
      </c>
      <c r="W655" s="39">
        <f>IF(D655="","",IFERROR(VALUE(MID(D655,LEN(D655)-3,3)),""))</f>
        <v/>
      </c>
      <c r="X655" s="33">
        <f>IF(W655="","",P655&amp;"|"&amp;W655)</f>
        <v/>
      </c>
      <c r="Y655" s="33">
        <f>IF(W655="","",IF(P655="À RENSEIGNER","GIC",P655)&amp;"-"&amp;TEXT(W655,"000"))</f>
        <v/>
      </c>
      <c r="Z655" s="33">
        <f>IF(X655="","",IFERROR(INDEX(Cl_nom,MATCH(X655,Cl_cle,0)),"(client introuvable)"))</f>
        <v/>
      </c>
      <c r="AA655" s="33">
        <f>IF(X655="","",IFERROR(INDEX(Cl_quartier,MATCH(X655,Cl_cle,0))&amp;"",""))</f>
        <v/>
      </c>
      <c r="AB655" s="45">
        <f>IF(R655&lt;&gt;"Livrée",0,IF(K655&lt;&gt;"",K655,C655))</f>
        <v/>
      </c>
      <c r="AC655" s="33">
        <f>IF(OR(C655="",W655=""),"",P655&amp;"|"&amp;W655&amp;"|"&amp;C655&amp;"|"&amp;E655)</f>
        <v/>
      </c>
      <c r="AD655" s="39">
        <f>IF(AC655="","",IF(COUNTIF(AC$6:AC655,AC655)=1,1,0))</f>
        <v/>
      </c>
      <c r="AE655" s="39">
        <f>IF(AB655=0,"",IF(COUNTIFS(X$6:X655,X655,AB$6:AB655,AB655)=1,1,0))</f>
        <v/>
      </c>
      <c r="AF655" s="34">
        <f>IF(C655="","",YEAR(C655-WEEKDAY(C655,2)+4)&amp;"-S"&amp;TEXT(INT((C655-DATE(YEAR(C655-WEEKDAY(C655,2)+4),1,3)+WEEKDAY(DATE(YEAR(C655-WEEKDAY(C655,2)+4),1,3),2)+5)/7),"00"))</f>
        <v/>
      </c>
    </row>
    <row r="656" ht="18" customHeight="1">
      <c r="A656" s="39" t="n">
        <v>651</v>
      </c>
      <c r="B656" s="33">
        <f>IF(C656="","",IF(P656="À RENSEIGNER","GIC",P656)&amp;"-C"&amp;TEXT(A656,"00000"))</f>
        <v/>
      </c>
      <c r="C656" s="32" t="n"/>
      <c r="D656" s="36" t="n"/>
      <c r="E656" s="36" t="n"/>
      <c r="F656" s="36" t="n"/>
      <c r="G656" s="42" t="n"/>
      <c r="H656" s="37" t="n"/>
      <c r="I656" s="37" t="n"/>
      <c r="J656" s="32" t="n"/>
      <c r="K656" s="32" t="n"/>
      <c r="L656" s="43" t="n"/>
      <c r="M656" s="36" t="n"/>
      <c r="N656" s="44" t="n"/>
      <c r="O656" s="36" t="n"/>
      <c r="P656" s="33">
        <f>IF(C656="","",Commercial_Id)</f>
        <v/>
      </c>
      <c r="Q656" s="34">
        <f>IF(AC656="","",IF(AD656=1,"C"&amp;TEXT(SUM(AD$6:AD656),"0000"),INDEX(Q$6:Q655,MATCH(AC656,AC$6:AC655,0))))</f>
        <v/>
      </c>
      <c r="R656" s="34">
        <f>IF(C656="","",IF(L656="☑ Oui","Annulée",IF(OR(E656="Vente directe",K656&lt;&gt;""),"Livrée",IF(J656&lt;&gt;"","Confirmée","En attente"))))</f>
        <v/>
      </c>
      <c r="S656" s="34">
        <f>IF(F656="","",IFERROR(VLOOKUP(F656,T_Produits,2,FALSE),""))</f>
        <v/>
      </c>
      <c r="T656" s="40">
        <f>IF(F656="","",IFERROR(1/(1/VLOOKUP(F656,T_Produits,3,FALSE)),""))</f>
        <v/>
      </c>
      <c r="U656" s="40">
        <f>IF(H656&lt;&gt;"",H656,T656)</f>
        <v/>
      </c>
      <c r="V656" s="40">
        <f>IF(OR(G656="",U656=""),"",G656*U656-N(I656))</f>
        <v/>
      </c>
      <c r="W656" s="39">
        <f>IF(D656="","",IFERROR(VALUE(MID(D656,LEN(D656)-3,3)),""))</f>
        <v/>
      </c>
      <c r="X656" s="33">
        <f>IF(W656="","",P656&amp;"|"&amp;W656)</f>
        <v/>
      </c>
      <c r="Y656" s="33">
        <f>IF(W656="","",IF(P656="À RENSEIGNER","GIC",P656)&amp;"-"&amp;TEXT(W656,"000"))</f>
        <v/>
      </c>
      <c r="Z656" s="33">
        <f>IF(X656="","",IFERROR(INDEX(Cl_nom,MATCH(X656,Cl_cle,0)),"(client introuvable)"))</f>
        <v/>
      </c>
      <c r="AA656" s="33">
        <f>IF(X656="","",IFERROR(INDEX(Cl_quartier,MATCH(X656,Cl_cle,0))&amp;"",""))</f>
        <v/>
      </c>
      <c r="AB656" s="45">
        <f>IF(R656&lt;&gt;"Livrée",0,IF(K656&lt;&gt;"",K656,C656))</f>
        <v/>
      </c>
      <c r="AC656" s="33">
        <f>IF(OR(C656="",W656=""),"",P656&amp;"|"&amp;W656&amp;"|"&amp;C656&amp;"|"&amp;E656)</f>
        <v/>
      </c>
      <c r="AD656" s="39">
        <f>IF(AC656="","",IF(COUNTIF(AC$6:AC656,AC656)=1,1,0))</f>
        <v/>
      </c>
      <c r="AE656" s="39">
        <f>IF(AB656=0,"",IF(COUNTIFS(X$6:X656,X656,AB$6:AB656,AB656)=1,1,0))</f>
        <v/>
      </c>
      <c r="AF656" s="34">
        <f>IF(C656="","",YEAR(C656-WEEKDAY(C656,2)+4)&amp;"-S"&amp;TEXT(INT((C656-DATE(YEAR(C656-WEEKDAY(C656,2)+4),1,3)+WEEKDAY(DATE(YEAR(C656-WEEKDAY(C656,2)+4),1,3),2)+5)/7),"00"))</f>
        <v/>
      </c>
    </row>
    <row r="657" ht="18" customHeight="1">
      <c r="A657" s="39" t="n">
        <v>652</v>
      </c>
      <c r="B657" s="33">
        <f>IF(C657="","",IF(P657="À RENSEIGNER","GIC",P657)&amp;"-C"&amp;TEXT(A657,"00000"))</f>
        <v/>
      </c>
      <c r="C657" s="32" t="n"/>
      <c r="D657" s="36" t="n"/>
      <c r="E657" s="36" t="n"/>
      <c r="F657" s="36" t="n"/>
      <c r="G657" s="42" t="n"/>
      <c r="H657" s="37" t="n"/>
      <c r="I657" s="37" t="n"/>
      <c r="J657" s="32" t="n"/>
      <c r="K657" s="32" t="n"/>
      <c r="L657" s="43" t="n"/>
      <c r="M657" s="36" t="n"/>
      <c r="N657" s="44" t="n"/>
      <c r="O657" s="36" t="n"/>
      <c r="P657" s="33">
        <f>IF(C657="","",Commercial_Id)</f>
        <v/>
      </c>
      <c r="Q657" s="34">
        <f>IF(AC657="","",IF(AD657=1,"C"&amp;TEXT(SUM(AD$6:AD657),"0000"),INDEX(Q$6:Q656,MATCH(AC657,AC$6:AC656,0))))</f>
        <v/>
      </c>
      <c r="R657" s="34">
        <f>IF(C657="","",IF(L657="☑ Oui","Annulée",IF(OR(E657="Vente directe",K657&lt;&gt;""),"Livrée",IF(J657&lt;&gt;"","Confirmée","En attente"))))</f>
        <v/>
      </c>
      <c r="S657" s="34">
        <f>IF(F657="","",IFERROR(VLOOKUP(F657,T_Produits,2,FALSE),""))</f>
        <v/>
      </c>
      <c r="T657" s="40">
        <f>IF(F657="","",IFERROR(1/(1/VLOOKUP(F657,T_Produits,3,FALSE)),""))</f>
        <v/>
      </c>
      <c r="U657" s="40">
        <f>IF(H657&lt;&gt;"",H657,T657)</f>
        <v/>
      </c>
      <c r="V657" s="40">
        <f>IF(OR(G657="",U657=""),"",G657*U657-N(I657))</f>
        <v/>
      </c>
      <c r="W657" s="39">
        <f>IF(D657="","",IFERROR(VALUE(MID(D657,LEN(D657)-3,3)),""))</f>
        <v/>
      </c>
      <c r="X657" s="33">
        <f>IF(W657="","",P657&amp;"|"&amp;W657)</f>
        <v/>
      </c>
      <c r="Y657" s="33">
        <f>IF(W657="","",IF(P657="À RENSEIGNER","GIC",P657)&amp;"-"&amp;TEXT(W657,"000"))</f>
        <v/>
      </c>
      <c r="Z657" s="33">
        <f>IF(X657="","",IFERROR(INDEX(Cl_nom,MATCH(X657,Cl_cle,0)),"(client introuvable)"))</f>
        <v/>
      </c>
      <c r="AA657" s="33">
        <f>IF(X657="","",IFERROR(INDEX(Cl_quartier,MATCH(X657,Cl_cle,0))&amp;"",""))</f>
        <v/>
      </c>
      <c r="AB657" s="45">
        <f>IF(R657&lt;&gt;"Livrée",0,IF(K657&lt;&gt;"",K657,C657))</f>
        <v/>
      </c>
      <c r="AC657" s="33">
        <f>IF(OR(C657="",W657=""),"",P657&amp;"|"&amp;W657&amp;"|"&amp;C657&amp;"|"&amp;E657)</f>
        <v/>
      </c>
      <c r="AD657" s="39">
        <f>IF(AC657="","",IF(COUNTIF(AC$6:AC657,AC657)=1,1,0))</f>
        <v/>
      </c>
      <c r="AE657" s="39">
        <f>IF(AB657=0,"",IF(COUNTIFS(X$6:X657,X657,AB$6:AB657,AB657)=1,1,0))</f>
        <v/>
      </c>
      <c r="AF657" s="34">
        <f>IF(C657="","",YEAR(C657-WEEKDAY(C657,2)+4)&amp;"-S"&amp;TEXT(INT((C657-DATE(YEAR(C657-WEEKDAY(C657,2)+4),1,3)+WEEKDAY(DATE(YEAR(C657-WEEKDAY(C657,2)+4),1,3),2)+5)/7),"00"))</f>
        <v/>
      </c>
    </row>
    <row r="658" ht="18" customHeight="1">
      <c r="A658" s="39" t="n">
        <v>653</v>
      </c>
      <c r="B658" s="33">
        <f>IF(C658="","",IF(P658="À RENSEIGNER","GIC",P658)&amp;"-C"&amp;TEXT(A658,"00000"))</f>
        <v/>
      </c>
      <c r="C658" s="32" t="n"/>
      <c r="D658" s="36" t="n"/>
      <c r="E658" s="36" t="n"/>
      <c r="F658" s="36" t="n"/>
      <c r="G658" s="42" t="n"/>
      <c r="H658" s="37" t="n"/>
      <c r="I658" s="37" t="n"/>
      <c r="J658" s="32" t="n"/>
      <c r="K658" s="32" t="n"/>
      <c r="L658" s="43" t="n"/>
      <c r="M658" s="36" t="n"/>
      <c r="N658" s="44" t="n"/>
      <c r="O658" s="36" t="n"/>
      <c r="P658" s="33">
        <f>IF(C658="","",Commercial_Id)</f>
        <v/>
      </c>
      <c r="Q658" s="34">
        <f>IF(AC658="","",IF(AD658=1,"C"&amp;TEXT(SUM(AD$6:AD658),"0000"),INDEX(Q$6:Q657,MATCH(AC658,AC$6:AC657,0))))</f>
        <v/>
      </c>
      <c r="R658" s="34">
        <f>IF(C658="","",IF(L658="☑ Oui","Annulée",IF(OR(E658="Vente directe",K658&lt;&gt;""),"Livrée",IF(J658&lt;&gt;"","Confirmée","En attente"))))</f>
        <v/>
      </c>
      <c r="S658" s="34">
        <f>IF(F658="","",IFERROR(VLOOKUP(F658,T_Produits,2,FALSE),""))</f>
        <v/>
      </c>
      <c r="T658" s="40">
        <f>IF(F658="","",IFERROR(1/(1/VLOOKUP(F658,T_Produits,3,FALSE)),""))</f>
        <v/>
      </c>
      <c r="U658" s="40">
        <f>IF(H658&lt;&gt;"",H658,T658)</f>
        <v/>
      </c>
      <c r="V658" s="40">
        <f>IF(OR(G658="",U658=""),"",G658*U658-N(I658))</f>
        <v/>
      </c>
      <c r="W658" s="39">
        <f>IF(D658="","",IFERROR(VALUE(MID(D658,LEN(D658)-3,3)),""))</f>
        <v/>
      </c>
      <c r="X658" s="33">
        <f>IF(W658="","",P658&amp;"|"&amp;W658)</f>
        <v/>
      </c>
      <c r="Y658" s="33">
        <f>IF(W658="","",IF(P658="À RENSEIGNER","GIC",P658)&amp;"-"&amp;TEXT(W658,"000"))</f>
        <v/>
      </c>
      <c r="Z658" s="33">
        <f>IF(X658="","",IFERROR(INDEX(Cl_nom,MATCH(X658,Cl_cle,0)),"(client introuvable)"))</f>
        <v/>
      </c>
      <c r="AA658" s="33">
        <f>IF(X658="","",IFERROR(INDEX(Cl_quartier,MATCH(X658,Cl_cle,0))&amp;"",""))</f>
        <v/>
      </c>
      <c r="AB658" s="45">
        <f>IF(R658&lt;&gt;"Livrée",0,IF(K658&lt;&gt;"",K658,C658))</f>
        <v/>
      </c>
      <c r="AC658" s="33">
        <f>IF(OR(C658="",W658=""),"",P658&amp;"|"&amp;W658&amp;"|"&amp;C658&amp;"|"&amp;E658)</f>
        <v/>
      </c>
      <c r="AD658" s="39">
        <f>IF(AC658="","",IF(COUNTIF(AC$6:AC658,AC658)=1,1,0))</f>
        <v/>
      </c>
      <c r="AE658" s="39">
        <f>IF(AB658=0,"",IF(COUNTIFS(X$6:X658,X658,AB$6:AB658,AB658)=1,1,0))</f>
        <v/>
      </c>
      <c r="AF658" s="34">
        <f>IF(C658="","",YEAR(C658-WEEKDAY(C658,2)+4)&amp;"-S"&amp;TEXT(INT((C658-DATE(YEAR(C658-WEEKDAY(C658,2)+4),1,3)+WEEKDAY(DATE(YEAR(C658-WEEKDAY(C658,2)+4),1,3),2)+5)/7),"00"))</f>
        <v/>
      </c>
    </row>
    <row r="659" ht="18" customHeight="1">
      <c r="A659" s="39" t="n">
        <v>654</v>
      </c>
      <c r="B659" s="33">
        <f>IF(C659="","",IF(P659="À RENSEIGNER","GIC",P659)&amp;"-C"&amp;TEXT(A659,"00000"))</f>
        <v/>
      </c>
      <c r="C659" s="32" t="n"/>
      <c r="D659" s="36" t="n"/>
      <c r="E659" s="36" t="n"/>
      <c r="F659" s="36" t="n"/>
      <c r="G659" s="42" t="n"/>
      <c r="H659" s="37" t="n"/>
      <c r="I659" s="37" t="n"/>
      <c r="J659" s="32" t="n"/>
      <c r="K659" s="32" t="n"/>
      <c r="L659" s="43" t="n"/>
      <c r="M659" s="36" t="n"/>
      <c r="N659" s="44" t="n"/>
      <c r="O659" s="36" t="n"/>
      <c r="P659" s="33">
        <f>IF(C659="","",Commercial_Id)</f>
        <v/>
      </c>
      <c r="Q659" s="34">
        <f>IF(AC659="","",IF(AD659=1,"C"&amp;TEXT(SUM(AD$6:AD659),"0000"),INDEX(Q$6:Q658,MATCH(AC659,AC$6:AC658,0))))</f>
        <v/>
      </c>
      <c r="R659" s="34">
        <f>IF(C659="","",IF(L659="☑ Oui","Annulée",IF(OR(E659="Vente directe",K659&lt;&gt;""),"Livrée",IF(J659&lt;&gt;"","Confirmée","En attente"))))</f>
        <v/>
      </c>
      <c r="S659" s="34">
        <f>IF(F659="","",IFERROR(VLOOKUP(F659,T_Produits,2,FALSE),""))</f>
        <v/>
      </c>
      <c r="T659" s="40">
        <f>IF(F659="","",IFERROR(1/(1/VLOOKUP(F659,T_Produits,3,FALSE)),""))</f>
        <v/>
      </c>
      <c r="U659" s="40">
        <f>IF(H659&lt;&gt;"",H659,T659)</f>
        <v/>
      </c>
      <c r="V659" s="40">
        <f>IF(OR(G659="",U659=""),"",G659*U659-N(I659))</f>
        <v/>
      </c>
      <c r="W659" s="39">
        <f>IF(D659="","",IFERROR(VALUE(MID(D659,LEN(D659)-3,3)),""))</f>
        <v/>
      </c>
      <c r="X659" s="33">
        <f>IF(W659="","",P659&amp;"|"&amp;W659)</f>
        <v/>
      </c>
      <c r="Y659" s="33">
        <f>IF(W659="","",IF(P659="À RENSEIGNER","GIC",P659)&amp;"-"&amp;TEXT(W659,"000"))</f>
        <v/>
      </c>
      <c r="Z659" s="33">
        <f>IF(X659="","",IFERROR(INDEX(Cl_nom,MATCH(X659,Cl_cle,0)),"(client introuvable)"))</f>
        <v/>
      </c>
      <c r="AA659" s="33">
        <f>IF(X659="","",IFERROR(INDEX(Cl_quartier,MATCH(X659,Cl_cle,0))&amp;"",""))</f>
        <v/>
      </c>
      <c r="AB659" s="45">
        <f>IF(R659&lt;&gt;"Livrée",0,IF(K659&lt;&gt;"",K659,C659))</f>
        <v/>
      </c>
      <c r="AC659" s="33">
        <f>IF(OR(C659="",W659=""),"",P659&amp;"|"&amp;W659&amp;"|"&amp;C659&amp;"|"&amp;E659)</f>
        <v/>
      </c>
      <c r="AD659" s="39">
        <f>IF(AC659="","",IF(COUNTIF(AC$6:AC659,AC659)=1,1,0))</f>
        <v/>
      </c>
      <c r="AE659" s="39">
        <f>IF(AB659=0,"",IF(COUNTIFS(X$6:X659,X659,AB$6:AB659,AB659)=1,1,0))</f>
        <v/>
      </c>
      <c r="AF659" s="34">
        <f>IF(C659="","",YEAR(C659-WEEKDAY(C659,2)+4)&amp;"-S"&amp;TEXT(INT((C659-DATE(YEAR(C659-WEEKDAY(C659,2)+4),1,3)+WEEKDAY(DATE(YEAR(C659-WEEKDAY(C659,2)+4),1,3),2)+5)/7),"00"))</f>
        <v/>
      </c>
    </row>
    <row r="660" ht="18" customHeight="1">
      <c r="A660" s="39" t="n">
        <v>655</v>
      </c>
      <c r="B660" s="33">
        <f>IF(C660="","",IF(P660="À RENSEIGNER","GIC",P660)&amp;"-C"&amp;TEXT(A660,"00000"))</f>
        <v/>
      </c>
      <c r="C660" s="32" t="n"/>
      <c r="D660" s="36" t="n"/>
      <c r="E660" s="36" t="n"/>
      <c r="F660" s="36" t="n"/>
      <c r="G660" s="42" t="n"/>
      <c r="H660" s="37" t="n"/>
      <c r="I660" s="37" t="n"/>
      <c r="J660" s="32" t="n"/>
      <c r="K660" s="32" t="n"/>
      <c r="L660" s="43" t="n"/>
      <c r="M660" s="36" t="n"/>
      <c r="N660" s="44" t="n"/>
      <c r="O660" s="36" t="n"/>
      <c r="P660" s="33">
        <f>IF(C660="","",Commercial_Id)</f>
        <v/>
      </c>
      <c r="Q660" s="34">
        <f>IF(AC660="","",IF(AD660=1,"C"&amp;TEXT(SUM(AD$6:AD660),"0000"),INDEX(Q$6:Q659,MATCH(AC660,AC$6:AC659,0))))</f>
        <v/>
      </c>
      <c r="R660" s="34">
        <f>IF(C660="","",IF(L660="☑ Oui","Annulée",IF(OR(E660="Vente directe",K660&lt;&gt;""),"Livrée",IF(J660&lt;&gt;"","Confirmée","En attente"))))</f>
        <v/>
      </c>
      <c r="S660" s="34">
        <f>IF(F660="","",IFERROR(VLOOKUP(F660,T_Produits,2,FALSE),""))</f>
        <v/>
      </c>
      <c r="T660" s="40">
        <f>IF(F660="","",IFERROR(1/(1/VLOOKUP(F660,T_Produits,3,FALSE)),""))</f>
        <v/>
      </c>
      <c r="U660" s="40">
        <f>IF(H660&lt;&gt;"",H660,T660)</f>
        <v/>
      </c>
      <c r="V660" s="40">
        <f>IF(OR(G660="",U660=""),"",G660*U660-N(I660))</f>
        <v/>
      </c>
      <c r="W660" s="39">
        <f>IF(D660="","",IFERROR(VALUE(MID(D660,LEN(D660)-3,3)),""))</f>
        <v/>
      </c>
      <c r="X660" s="33">
        <f>IF(W660="","",P660&amp;"|"&amp;W660)</f>
        <v/>
      </c>
      <c r="Y660" s="33">
        <f>IF(W660="","",IF(P660="À RENSEIGNER","GIC",P660)&amp;"-"&amp;TEXT(W660,"000"))</f>
        <v/>
      </c>
      <c r="Z660" s="33">
        <f>IF(X660="","",IFERROR(INDEX(Cl_nom,MATCH(X660,Cl_cle,0)),"(client introuvable)"))</f>
        <v/>
      </c>
      <c r="AA660" s="33">
        <f>IF(X660="","",IFERROR(INDEX(Cl_quartier,MATCH(X660,Cl_cle,0))&amp;"",""))</f>
        <v/>
      </c>
      <c r="AB660" s="45">
        <f>IF(R660&lt;&gt;"Livrée",0,IF(K660&lt;&gt;"",K660,C660))</f>
        <v/>
      </c>
      <c r="AC660" s="33">
        <f>IF(OR(C660="",W660=""),"",P660&amp;"|"&amp;W660&amp;"|"&amp;C660&amp;"|"&amp;E660)</f>
        <v/>
      </c>
      <c r="AD660" s="39">
        <f>IF(AC660="","",IF(COUNTIF(AC$6:AC660,AC660)=1,1,0))</f>
        <v/>
      </c>
      <c r="AE660" s="39">
        <f>IF(AB660=0,"",IF(COUNTIFS(X$6:X660,X660,AB$6:AB660,AB660)=1,1,0))</f>
        <v/>
      </c>
      <c r="AF660" s="34">
        <f>IF(C660="","",YEAR(C660-WEEKDAY(C660,2)+4)&amp;"-S"&amp;TEXT(INT((C660-DATE(YEAR(C660-WEEKDAY(C660,2)+4),1,3)+WEEKDAY(DATE(YEAR(C660-WEEKDAY(C660,2)+4),1,3),2)+5)/7),"00"))</f>
        <v/>
      </c>
    </row>
    <row r="661" ht="18" customHeight="1">
      <c r="A661" s="39" t="n">
        <v>656</v>
      </c>
      <c r="B661" s="33">
        <f>IF(C661="","",IF(P661="À RENSEIGNER","GIC",P661)&amp;"-C"&amp;TEXT(A661,"00000"))</f>
        <v/>
      </c>
      <c r="C661" s="32" t="n"/>
      <c r="D661" s="36" t="n"/>
      <c r="E661" s="36" t="n"/>
      <c r="F661" s="36" t="n"/>
      <c r="G661" s="42" t="n"/>
      <c r="H661" s="37" t="n"/>
      <c r="I661" s="37" t="n"/>
      <c r="J661" s="32" t="n"/>
      <c r="K661" s="32" t="n"/>
      <c r="L661" s="43" t="n"/>
      <c r="M661" s="36" t="n"/>
      <c r="N661" s="44" t="n"/>
      <c r="O661" s="36" t="n"/>
      <c r="P661" s="33">
        <f>IF(C661="","",Commercial_Id)</f>
        <v/>
      </c>
      <c r="Q661" s="34">
        <f>IF(AC661="","",IF(AD661=1,"C"&amp;TEXT(SUM(AD$6:AD661),"0000"),INDEX(Q$6:Q660,MATCH(AC661,AC$6:AC660,0))))</f>
        <v/>
      </c>
      <c r="R661" s="34">
        <f>IF(C661="","",IF(L661="☑ Oui","Annulée",IF(OR(E661="Vente directe",K661&lt;&gt;""),"Livrée",IF(J661&lt;&gt;"","Confirmée","En attente"))))</f>
        <v/>
      </c>
      <c r="S661" s="34">
        <f>IF(F661="","",IFERROR(VLOOKUP(F661,T_Produits,2,FALSE),""))</f>
        <v/>
      </c>
      <c r="T661" s="40">
        <f>IF(F661="","",IFERROR(1/(1/VLOOKUP(F661,T_Produits,3,FALSE)),""))</f>
        <v/>
      </c>
      <c r="U661" s="40">
        <f>IF(H661&lt;&gt;"",H661,T661)</f>
        <v/>
      </c>
      <c r="V661" s="40">
        <f>IF(OR(G661="",U661=""),"",G661*U661-N(I661))</f>
        <v/>
      </c>
      <c r="W661" s="39">
        <f>IF(D661="","",IFERROR(VALUE(MID(D661,LEN(D661)-3,3)),""))</f>
        <v/>
      </c>
      <c r="X661" s="33">
        <f>IF(W661="","",P661&amp;"|"&amp;W661)</f>
        <v/>
      </c>
      <c r="Y661" s="33">
        <f>IF(W661="","",IF(P661="À RENSEIGNER","GIC",P661)&amp;"-"&amp;TEXT(W661,"000"))</f>
        <v/>
      </c>
      <c r="Z661" s="33">
        <f>IF(X661="","",IFERROR(INDEX(Cl_nom,MATCH(X661,Cl_cle,0)),"(client introuvable)"))</f>
        <v/>
      </c>
      <c r="AA661" s="33">
        <f>IF(X661="","",IFERROR(INDEX(Cl_quartier,MATCH(X661,Cl_cle,0))&amp;"",""))</f>
        <v/>
      </c>
      <c r="AB661" s="45">
        <f>IF(R661&lt;&gt;"Livrée",0,IF(K661&lt;&gt;"",K661,C661))</f>
        <v/>
      </c>
      <c r="AC661" s="33">
        <f>IF(OR(C661="",W661=""),"",P661&amp;"|"&amp;W661&amp;"|"&amp;C661&amp;"|"&amp;E661)</f>
        <v/>
      </c>
      <c r="AD661" s="39">
        <f>IF(AC661="","",IF(COUNTIF(AC$6:AC661,AC661)=1,1,0))</f>
        <v/>
      </c>
      <c r="AE661" s="39">
        <f>IF(AB661=0,"",IF(COUNTIFS(X$6:X661,X661,AB$6:AB661,AB661)=1,1,0))</f>
        <v/>
      </c>
      <c r="AF661" s="34">
        <f>IF(C661="","",YEAR(C661-WEEKDAY(C661,2)+4)&amp;"-S"&amp;TEXT(INT((C661-DATE(YEAR(C661-WEEKDAY(C661,2)+4),1,3)+WEEKDAY(DATE(YEAR(C661-WEEKDAY(C661,2)+4),1,3),2)+5)/7),"00"))</f>
        <v/>
      </c>
    </row>
    <row r="662" ht="18" customHeight="1">
      <c r="A662" s="39" t="n">
        <v>657</v>
      </c>
      <c r="B662" s="33">
        <f>IF(C662="","",IF(P662="À RENSEIGNER","GIC",P662)&amp;"-C"&amp;TEXT(A662,"00000"))</f>
        <v/>
      </c>
      <c r="C662" s="32" t="n"/>
      <c r="D662" s="36" t="n"/>
      <c r="E662" s="36" t="n"/>
      <c r="F662" s="36" t="n"/>
      <c r="G662" s="42" t="n"/>
      <c r="H662" s="37" t="n"/>
      <c r="I662" s="37" t="n"/>
      <c r="J662" s="32" t="n"/>
      <c r="K662" s="32" t="n"/>
      <c r="L662" s="43" t="n"/>
      <c r="M662" s="36" t="n"/>
      <c r="N662" s="44" t="n"/>
      <c r="O662" s="36" t="n"/>
      <c r="P662" s="33">
        <f>IF(C662="","",Commercial_Id)</f>
        <v/>
      </c>
      <c r="Q662" s="34">
        <f>IF(AC662="","",IF(AD662=1,"C"&amp;TEXT(SUM(AD$6:AD662),"0000"),INDEX(Q$6:Q661,MATCH(AC662,AC$6:AC661,0))))</f>
        <v/>
      </c>
      <c r="R662" s="34">
        <f>IF(C662="","",IF(L662="☑ Oui","Annulée",IF(OR(E662="Vente directe",K662&lt;&gt;""),"Livrée",IF(J662&lt;&gt;"","Confirmée","En attente"))))</f>
        <v/>
      </c>
      <c r="S662" s="34">
        <f>IF(F662="","",IFERROR(VLOOKUP(F662,T_Produits,2,FALSE),""))</f>
        <v/>
      </c>
      <c r="T662" s="40">
        <f>IF(F662="","",IFERROR(1/(1/VLOOKUP(F662,T_Produits,3,FALSE)),""))</f>
        <v/>
      </c>
      <c r="U662" s="40">
        <f>IF(H662&lt;&gt;"",H662,T662)</f>
        <v/>
      </c>
      <c r="V662" s="40">
        <f>IF(OR(G662="",U662=""),"",G662*U662-N(I662))</f>
        <v/>
      </c>
      <c r="W662" s="39">
        <f>IF(D662="","",IFERROR(VALUE(MID(D662,LEN(D662)-3,3)),""))</f>
        <v/>
      </c>
      <c r="X662" s="33">
        <f>IF(W662="","",P662&amp;"|"&amp;W662)</f>
        <v/>
      </c>
      <c r="Y662" s="33">
        <f>IF(W662="","",IF(P662="À RENSEIGNER","GIC",P662)&amp;"-"&amp;TEXT(W662,"000"))</f>
        <v/>
      </c>
      <c r="Z662" s="33">
        <f>IF(X662="","",IFERROR(INDEX(Cl_nom,MATCH(X662,Cl_cle,0)),"(client introuvable)"))</f>
        <v/>
      </c>
      <c r="AA662" s="33">
        <f>IF(X662="","",IFERROR(INDEX(Cl_quartier,MATCH(X662,Cl_cle,0))&amp;"",""))</f>
        <v/>
      </c>
      <c r="AB662" s="45">
        <f>IF(R662&lt;&gt;"Livrée",0,IF(K662&lt;&gt;"",K662,C662))</f>
        <v/>
      </c>
      <c r="AC662" s="33">
        <f>IF(OR(C662="",W662=""),"",P662&amp;"|"&amp;W662&amp;"|"&amp;C662&amp;"|"&amp;E662)</f>
        <v/>
      </c>
      <c r="AD662" s="39">
        <f>IF(AC662="","",IF(COUNTIF(AC$6:AC662,AC662)=1,1,0))</f>
        <v/>
      </c>
      <c r="AE662" s="39">
        <f>IF(AB662=0,"",IF(COUNTIFS(X$6:X662,X662,AB$6:AB662,AB662)=1,1,0))</f>
        <v/>
      </c>
      <c r="AF662" s="34">
        <f>IF(C662="","",YEAR(C662-WEEKDAY(C662,2)+4)&amp;"-S"&amp;TEXT(INT((C662-DATE(YEAR(C662-WEEKDAY(C662,2)+4),1,3)+WEEKDAY(DATE(YEAR(C662-WEEKDAY(C662,2)+4),1,3),2)+5)/7),"00"))</f>
        <v/>
      </c>
    </row>
    <row r="663" ht="18" customHeight="1">
      <c r="A663" s="39" t="n">
        <v>658</v>
      </c>
      <c r="B663" s="33">
        <f>IF(C663="","",IF(P663="À RENSEIGNER","GIC",P663)&amp;"-C"&amp;TEXT(A663,"00000"))</f>
        <v/>
      </c>
      <c r="C663" s="32" t="n"/>
      <c r="D663" s="36" t="n"/>
      <c r="E663" s="36" t="n"/>
      <c r="F663" s="36" t="n"/>
      <c r="G663" s="42" t="n"/>
      <c r="H663" s="37" t="n"/>
      <c r="I663" s="37" t="n"/>
      <c r="J663" s="32" t="n"/>
      <c r="K663" s="32" t="n"/>
      <c r="L663" s="43" t="n"/>
      <c r="M663" s="36" t="n"/>
      <c r="N663" s="44" t="n"/>
      <c r="O663" s="36" t="n"/>
      <c r="P663" s="33">
        <f>IF(C663="","",Commercial_Id)</f>
        <v/>
      </c>
      <c r="Q663" s="34">
        <f>IF(AC663="","",IF(AD663=1,"C"&amp;TEXT(SUM(AD$6:AD663),"0000"),INDEX(Q$6:Q662,MATCH(AC663,AC$6:AC662,0))))</f>
        <v/>
      </c>
      <c r="R663" s="34">
        <f>IF(C663="","",IF(L663="☑ Oui","Annulée",IF(OR(E663="Vente directe",K663&lt;&gt;""),"Livrée",IF(J663&lt;&gt;"","Confirmée","En attente"))))</f>
        <v/>
      </c>
      <c r="S663" s="34">
        <f>IF(F663="","",IFERROR(VLOOKUP(F663,T_Produits,2,FALSE),""))</f>
        <v/>
      </c>
      <c r="T663" s="40">
        <f>IF(F663="","",IFERROR(1/(1/VLOOKUP(F663,T_Produits,3,FALSE)),""))</f>
        <v/>
      </c>
      <c r="U663" s="40">
        <f>IF(H663&lt;&gt;"",H663,T663)</f>
        <v/>
      </c>
      <c r="V663" s="40">
        <f>IF(OR(G663="",U663=""),"",G663*U663-N(I663))</f>
        <v/>
      </c>
      <c r="W663" s="39">
        <f>IF(D663="","",IFERROR(VALUE(MID(D663,LEN(D663)-3,3)),""))</f>
        <v/>
      </c>
      <c r="X663" s="33">
        <f>IF(W663="","",P663&amp;"|"&amp;W663)</f>
        <v/>
      </c>
      <c r="Y663" s="33">
        <f>IF(W663="","",IF(P663="À RENSEIGNER","GIC",P663)&amp;"-"&amp;TEXT(W663,"000"))</f>
        <v/>
      </c>
      <c r="Z663" s="33">
        <f>IF(X663="","",IFERROR(INDEX(Cl_nom,MATCH(X663,Cl_cle,0)),"(client introuvable)"))</f>
        <v/>
      </c>
      <c r="AA663" s="33">
        <f>IF(X663="","",IFERROR(INDEX(Cl_quartier,MATCH(X663,Cl_cle,0))&amp;"",""))</f>
        <v/>
      </c>
      <c r="AB663" s="45">
        <f>IF(R663&lt;&gt;"Livrée",0,IF(K663&lt;&gt;"",K663,C663))</f>
        <v/>
      </c>
      <c r="AC663" s="33">
        <f>IF(OR(C663="",W663=""),"",P663&amp;"|"&amp;W663&amp;"|"&amp;C663&amp;"|"&amp;E663)</f>
        <v/>
      </c>
      <c r="AD663" s="39">
        <f>IF(AC663="","",IF(COUNTIF(AC$6:AC663,AC663)=1,1,0))</f>
        <v/>
      </c>
      <c r="AE663" s="39">
        <f>IF(AB663=0,"",IF(COUNTIFS(X$6:X663,X663,AB$6:AB663,AB663)=1,1,0))</f>
        <v/>
      </c>
      <c r="AF663" s="34">
        <f>IF(C663="","",YEAR(C663-WEEKDAY(C663,2)+4)&amp;"-S"&amp;TEXT(INT((C663-DATE(YEAR(C663-WEEKDAY(C663,2)+4),1,3)+WEEKDAY(DATE(YEAR(C663-WEEKDAY(C663,2)+4),1,3),2)+5)/7),"00"))</f>
        <v/>
      </c>
    </row>
    <row r="664" ht="18" customHeight="1">
      <c r="A664" s="39" t="n">
        <v>659</v>
      </c>
      <c r="B664" s="33">
        <f>IF(C664="","",IF(P664="À RENSEIGNER","GIC",P664)&amp;"-C"&amp;TEXT(A664,"00000"))</f>
        <v/>
      </c>
      <c r="C664" s="32" t="n"/>
      <c r="D664" s="36" t="n"/>
      <c r="E664" s="36" t="n"/>
      <c r="F664" s="36" t="n"/>
      <c r="G664" s="42" t="n"/>
      <c r="H664" s="37" t="n"/>
      <c r="I664" s="37" t="n"/>
      <c r="J664" s="32" t="n"/>
      <c r="K664" s="32" t="n"/>
      <c r="L664" s="43" t="n"/>
      <c r="M664" s="36" t="n"/>
      <c r="N664" s="44" t="n"/>
      <c r="O664" s="36" t="n"/>
      <c r="P664" s="33">
        <f>IF(C664="","",Commercial_Id)</f>
        <v/>
      </c>
      <c r="Q664" s="34">
        <f>IF(AC664="","",IF(AD664=1,"C"&amp;TEXT(SUM(AD$6:AD664),"0000"),INDEX(Q$6:Q663,MATCH(AC664,AC$6:AC663,0))))</f>
        <v/>
      </c>
      <c r="R664" s="34">
        <f>IF(C664="","",IF(L664="☑ Oui","Annulée",IF(OR(E664="Vente directe",K664&lt;&gt;""),"Livrée",IF(J664&lt;&gt;"","Confirmée","En attente"))))</f>
        <v/>
      </c>
      <c r="S664" s="34">
        <f>IF(F664="","",IFERROR(VLOOKUP(F664,T_Produits,2,FALSE),""))</f>
        <v/>
      </c>
      <c r="T664" s="40">
        <f>IF(F664="","",IFERROR(1/(1/VLOOKUP(F664,T_Produits,3,FALSE)),""))</f>
        <v/>
      </c>
      <c r="U664" s="40">
        <f>IF(H664&lt;&gt;"",H664,T664)</f>
        <v/>
      </c>
      <c r="V664" s="40">
        <f>IF(OR(G664="",U664=""),"",G664*U664-N(I664))</f>
        <v/>
      </c>
      <c r="W664" s="39">
        <f>IF(D664="","",IFERROR(VALUE(MID(D664,LEN(D664)-3,3)),""))</f>
        <v/>
      </c>
      <c r="X664" s="33">
        <f>IF(W664="","",P664&amp;"|"&amp;W664)</f>
        <v/>
      </c>
      <c r="Y664" s="33">
        <f>IF(W664="","",IF(P664="À RENSEIGNER","GIC",P664)&amp;"-"&amp;TEXT(W664,"000"))</f>
        <v/>
      </c>
      <c r="Z664" s="33">
        <f>IF(X664="","",IFERROR(INDEX(Cl_nom,MATCH(X664,Cl_cle,0)),"(client introuvable)"))</f>
        <v/>
      </c>
      <c r="AA664" s="33">
        <f>IF(X664="","",IFERROR(INDEX(Cl_quartier,MATCH(X664,Cl_cle,0))&amp;"",""))</f>
        <v/>
      </c>
      <c r="AB664" s="45">
        <f>IF(R664&lt;&gt;"Livrée",0,IF(K664&lt;&gt;"",K664,C664))</f>
        <v/>
      </c>
      <c r="AC664" s="33">
        <f>IF(OR(C664="",W664=""),"",P664&amp;"|"&amp;W664&amp;"|"&amp;C664&amp;"|"&amp;E664)</f>
        <v/>
      </c>
      <c r="AD664" s="39">
        <f>IF(AC664="","",IF(COUNTIF(AC$6:AC664,AC664)=1,1,0))</f>
        <v/>
      </c>
      <c r="AE664" s="39">
        <f>IF(AB664=0,"",IF(COUNTIFS(X$6:X664,X664,AB$6:AB664,AB664)=1,1,0))</f>
        <v/>
      </c>
      <c r="AF664" s="34">
        <f>IF(C664="","",YEAR(C664-WEEKDAY(C664,2)+4)&amp;"-S"&amp;TEXT(INT((C664-DATE(YEAR(C664-WEEKDAY(C664,2)+4),1,3)+WEEKDAY(DATE(YEAR(C664-WEEKDAY(C664,2)+4),1,3),2)+5)/7),"00"))</f>
        <v/>
      </c>
    </row>
    <row r="665" ht="18" customHeight="1">
      <c r="A665" s="39" t="n">
        <v>660</v>
      </c>
      <c r="B665" s="33">
        <f>IF(C665="","",IF(P665="À RENSEIGNER","GIC",P665)&amp;"-C"&amp;TEXT(A665,"00000"))</f>
        <v/>
      </c>
      <c r="C665" s="32" t="n"/>
      <c r="D665" s="36" t="n"/>
      <c r="E665" s="36" t="n"/>
      <c r="F665" s="36" t="n"/>
      <c r="G665" s="42" t="n"/>
      <c r="H665" s="37" t="n"/>
      <c r="I665" s="37" t="n"/>
      <c r="J665" s="32" t="n"/>
      <c r="K665" s="32" t="n"/>
      <c r="L665" s="43" t="n"/>
      <c r="M665" s="36" t="n"/>
      <c r="N665" s="44" t="n"/>
      <c r="O665" s="36" t="n"/>
      <c r="P665" s="33">
        <f>IF(C665="","",Commercial_Id)</f>
        <v/>
      </c>
      <c r="Q665" s="34">
        <f>IF(AC665="","",IF(AD665=1,"C"&amp;TEXT(SUM(AD$6:AD665),"0000"),INDEX(Q$6:Q664,MATCH(AC665,AC$6:AC664,0))))</f>
        <v/>
      </c>
      <c r="R665" s="34">
        <f>IF(C665="","",IF(L665="☑ Oui","Annulée",IF(OR(E665="Vente directe",K665&lt;&gt;""),"Livrée",IF(J665&lt;&gt;"","Confirmée","En attente"))))</f>
        <v/>
      </c>
      <c r="S665" s="34">
        <f>IF(F665="","",IFERROR(VLOOKUP(F665,T_Produits,2,FALSE),""))</f>
        <v/>
      </c>
      <c r="T665" s="40">
        <f>IF(F665="","",IFERROR(1/(1/VLOOKUP(F665,T_Produits,3,FALSE)),""))</f>
        <v/>
      </c>
      <c r="U665" s="40">
        <f>IF(H665&lt;&gt;"",H665,T665)</f>
        <v/>
      </c>
      <c r="V665" s="40">
        <f>IF(OR(G665="",U665=""),"",G665*U665-N(I665))</f>
        <v/>
      </c>
      <c r="W665" s="39">
        <f>IF(D665="","",IFERROR(VALUE(MID(D665,LEN(D665)-3,3)),""))</f>
        <v/>
      </c>
      <c r="X665" s="33">
        <f>IF(W665="","",P665&amp;"|"&amp;W665)</f>
        <v/>
      </c>
      <c r="Y665" s="33">
        <f>IF(W665="","",IF(P665="À RENSEIGNER","GIC",P665)&amp;"-"&amp;TEXT(W665,"000"))</f>
        <v/>
      </c>
      <c r="Z665" s="33">
        <f>IF(X665="","",IFERROR(INDEX(Cl_nom,MATCH(X665,Cl_cle,0)),"(client introuvable)"))</f>
        <v/>
      </c>
      <c r="AA665" s="33">
        <f>IF(X665="","",IFERROR(INDEX(Cl_quartier,MATCH(X665,Cl_cle,0))&amp;"",""))</f>
        <v/>
      </c>
      <c r="AB665" s="45">
        <f>IF(R665&lt;&gt;"Livrée",0,IF(K665&lt;&gt;"",K665,C665))</f>
        <v/>
      </c>
      <c r="AC665" s="33">
        <f>IF(OR(C665="",W665=""),"",P665&amp;"|"&amp;W665&amp;"|"&amp;C665&amp;"|"&amp;E665)</f>
        <v/>
      </c>
      <c r="AD665" s="39">
        <f>IF(AC665="","",IF(COUNTIF(AC$6:AC665,AC665)=1,1,0))</f>
        <v/>
      </c>
      <c r="AE665" s="39">
        <f>IF(AB665=0,"",IF(COUNTIFS(X$6:X665,X665,AB$6:AB665,AB665)=1,1,0))</f>
        <v/>
      </c>
      <c r="AF665" s="34">
        <f>IF(C665="","",YEAR(C665-WEEKDAY(C665,2)+4)&amp;"-S"&amp;TEXT(INT((C665-DATE(YEAR(C665-WEEKDAY(C665,2)+4),1,3)+WEEKDAY(DATE(YEAR(C665-WEEKDAY(C665,2)+4),1,3),2)+5)/7),"00"))</f>
        <v/>
      </c>
    </row>
    <row r="666" ht="18" customHeight="1">
      <c r="A666" s="39" t="n">
        <v>661</v>
      </c>
      <c r="B666" s="33">
        <f>IF(C666="","",IF(P666="À RENSEIGNER","GIC",P666)&amp;"-C"&amp;TEXT(A666,"00000"))</f>
        <v/>
      </c>
      <c r="C666" s="32" t="n"/>
      <c r="D666" s="36" t="n"/>
      <c r="E666" s="36" t="n"/>
      <c r="F666" s="36" t="n"/>
      <c r="G666" s="42" t="n"/>
      <c r="H666" s="37" t="n"/>
      <c r="I666" s="37" t="n"/>
      <c r="J666" s="32" t="n"/>
      <c r="K666" s="32" t="n"/>
      <c r="L666" s="43" t="n"/>
      <c r="M666" s="36" t="n"/>
      <c r="N666" s="44" t="n"/>
      <c r="O666" s="36" t="n"/>
      <c r="P666" s="33">
        <f>IF(C666="","",Commercial_Id)</f>
        <v/>
      </c>
      <c r="Q666" s="34">
        <f>IF(AC666="","",IF(AD666=1,"C"&amp;TEXT(SUM(AD$6:AD666),"0000"),INDEX(Q$6:Q665,MATCH(AC666,AC$6:AC665,0))))</f>
        <v/>
      </c>
      <c r="R666" s="34">
        <f>IF(C666="","",IF(L666="☑ Oui","Annulée",IF(OR(E666="Vente directe",K666&lt;&gt;""),"Livrée",IF(J666&lt;&gt;"","Confirmée","En attente"))))</f>
        <v/>
      </c>
      <c r="S666" s="34">
        <f>IF(F666="","",IFERROR(VLOOKUP(F666,T_Produits,2,FALSE),""))</f>
        <v/>
      </c>
      <c r="T666" s="40">
        <f>IF(F666="","",IFERROR(1/(1/VLOOKUP(F666,T_Produits,3,FALSE)),""))</f>
        <v/>
      </c>
      <c r="U666" s="40">
        <f>IF(H666&lt;&gt;"",H666,T666)</f>
        <v/>
      </c>
      <c r="V666" s="40">
        <f>IF(OR(G666="",U666=""),"",G666*U666-N(I666))</f>
        <v/>
      </c>
      <c r="W666" s="39">
        <f>IF(D666="","",IFERROR(VALUE(MID(D666,LEN(D666)-3,3)),""))</f>
        <v/>
      </c>
      <c r="X666" s="33">
        <f>IF(W666="","",P666&amp;"|"&amp;W666)</f>
        <v/>
      </c>
      <c r="Y666" s="33">
        <f>IF(W666="","",IF(P666="À RENSEIGNER","GIC",P666)&amp;"-"&amp;TEXT(W666,"000"))</f>
        <v/>
      </c>
      <c r="Z666" s="33">
        <f>IF(X666="","",IFERROR(INDEX(Cl_nom,MATCH(X666,Cl_cle,0)),"(client introuvable)"))</f>
        <v/>
      </c>
      <c r="AA666" s="33">
        <f>IF(X666="","",IFERROR(INDEX(Cl_quartier,MATCH(X666,Cl_cle,0))&amp;"",""))</f>
        <v/>
      </c>
      <c r="AB666" s="45">
        <f>IF(R666&lt;&gt;"Livrée",0,IF(K666&lt;&gt;"",K666,C666))</f>
        <v/>
      </c>
      <c r="AC666" s="33">
        <f>IF(OR(C666="",W666=""),"",P666&amp;"|"&amp;W666&amp;"|"&amp;C666&amp;"|"&amp;E666)</f>
        <v/>
      </c>
      <c r="AD666" s="39">
        <f>IF(AC666="","",IF(COUNTIF(AC$6:AC666,AC666)=1,1,0))</f>
        <v/>
      </c>
      <c r="AE666" s="39">
        <f>IF(AB666=0,"",IF(COUNTIFS(X$6:X666,X666,AB$6:AB666,AB666)=1,1,0))</f>
        <v/>
      </c>
      <c r="AF666" s="34">
        <f>IF(C666="","",YEAR(C666-WEEKDAY(C666,2)+4)&amp;"-S"&amp;TEXT(INT((C666-DATE(YEAR(C666-WEEKDAY(C666,2)+4),1,3)+WEEKDAY(DATE(YEAR(C666-WEEKDAY(C666,2)+4),1,3),2)+5)/7),"00"))</f>
        <v/>
      </c>
    </row>
    <row r="667" ht="18" customHeight="1">
      <c r="A667" s="39" t="n">
        <v>662</v>
      </c>
      <c r="B667" s="33">
        <f>IF(C667="","",IF(P667="À RENSEIGNER","GIC",P667)&amp;"-C"&amp;TEXT(A667,"00000"))</f>
        <v/>
      </c>
      <c r="C667" s="32" t="n"/>
      <c r="D667" s="36" t="n"/>
      <c r="E667" s="36" t="n"/>
      <c r="F667" s="36" t="n"/>
      <c r="G667" s="42" t="n"/>
      <c r="H667" s="37" t="n"/>
      <c r="I667" s="37" t="n"/>
      <c r="J667" s="32" t="n"/>
      <c r="K667" s="32" t="n"/>
      <c r="L667" s="43" t="n"/>
      <c r="M667" s="36" t="n"/>
      <c r="N667" s="44" t="n"/>
      <c r="O667" s="36" t="n"/>
      <c r="P667" s="33">
        <f>IF(C667="","",Commercial_Id)</f>
        <v/>
      </c>
      <c r="Q667" s="34">
        <f>IF(AC667="","",IF(AD667=1,"C"&amp;TEXT(SUM(AD$6:AD667),"0000"),INDEX(Q$6:Q666,MATCH(AC667,AC$6:AC666,0))))</f>
        <v/>
      </c>
      <c r="R667" s="34">
        <f>IF(C667="","",IF(L667="☑ Oui","Annulée",IF(OR(E667="Vente directe",K667&lt;&gt;""),"Livrée",IF(J667&lt;&gt;"","Confirmée","En attente"))))</f>
        <v/>
      </c>
      <c r="S667" s="34">
        <f>IF(F667="","",IFERROR(VLOOKUP(F667,T_Produits,2,FALSE),""))</f>
        <v/>
      </c>
      <c r="T667" s="40">
        <f>IF(F667="","",IFERROR(1/(1/VLOOKUP(F667,T_Produits,3,FALSE)),""))</f>
        <v/>
      </c>
      <c r="U667" s="40">
        <f>IF(H667&lt;&gt;"",H667,T667)</f>
        <v/>
      </c>
      <c r="V667" s="40">
        <f>IF(OR(G667="",U667=""),"",G667*U667-N(I667))</f>
        <v/>
      </c>
      <c r="W667" s="39">
        <f>IF(D667="","",IFERROR(VALUE(MID(D667,LEN(D667)-3,3)),""))</f>
        <v/>
      </c>
      <c r="X667" s="33">
        <f>IF(W667="","",P667&amp;"|"&amp;W667)</f>
        <v/>
      </c>
      <c r="Y667" s="33">
        <f>IF(W667="","",IF(P667="À RENSEIGNER","GIC",P667)&amp;"-"&amp;TEXT(W667,"000"))</f>
        <v/>
      </c>
      <c r="Z667" s="33">
        <f>IF(X667="","",IFERROR(INDEX(Cl_nom,MATCH(X667,Cl_cle,0)),"(client introuvable)"))</f>
        <v/>
      </c>
      <c r="AA667" s="33">
        <f>IF(X667="","",IFERROR(INDEX(Cl_quartier,MATCH(X667,Cl_cle,0))&amp;"",""))</f>
        <v/>
      </c>
      <c r="AB667" s="45">
        <f>IF(R667&lt;&gt;"Livrée",0,IF(K667&lt;&gt;"",K667,C667))</f>
        <v/>
      </c>
      <c r="AC667" s="33">
        <f>IF(OR(C667="",W667=""),"",P667&amp;"|"&amp;W667&amp;"|"&amp;C667&amp;"|"&amp;E667)</f>
        <v/>
      </c>
      <c r="AD667" s="39">
        <f>IF(AC667="","",IF(COUNTIF(AC$6:AC667,AC667)=1,1,0))</f>
        <v/>
      </c>
      <c r="AE667" s="39">
        <f>IF(AB667=0,"",IF(COUNTIFS(X$6:X667,X667,AB$6:AB667,AB667)=1,1,0))</f>
        <v/>
      </c>
      <c r="AF667" s="34">
        <f>IF(C667="","",YEAR(C667-WEEKDAY(C667,2)+4)&amp;"-S"&amp;TEXT(INT((C667-DATE(YEAR(C667-WEEKDAY(C667,2)+4),1,3)+WEEKDAY(DATE(YEAR(C667-WEEKDAY(C667,2)+4),1,3),2)+5)/7),"00"))</f>
        <v/>
      </c>
    </row>
    <row r="668" ht="18" customHeight="1">
      <c r="A668" s="39" t="n">
        <v>663</v>
      </c>
      <c r="B668" s="33">
        <f>IF(C668="","",IF(P668="À RENSEIGNER","GIC",P668)&amp;"-C"&amp;TEXT(A668,"00000"))</f>
        <v/>
      </c>
      <c r="C668" s="32" t="n"/>
      <c r="D668" s="36" t="n"/>
      <c r="E668" s="36" t="n"/>
      <c r="F668" s="36" t="n"/>
      <c r="G668" s="42" t="n"/>
      <c r="H668" s="37" t="n"/>
      <c r="I668" s="37" t="n"/>
      <c r="J668" s="32" t="n"/>
      <c r="K668" s="32" t="n"/>
      <c r="L668" s="43" t="n"/>
      <c r="M668" s="36" t="n"/>
      <c r="N668" s="44" t="n"/>
      <c r="O668" s="36" t="n"/>
      <c r="P668" s="33">
        <f>IF(C668="","",Commercial_Id)</f>
        <v/>
      </c>
      <c r="Q668" s="34">
        <f>IF(AC668="","",IF(AD668=1,"C"&amp;TEXT(SUM(AD$6:AD668),"0000"),INDEX(Q$6:Q667,MATCH(AC668,AC$6:AC667,0))))</f>
        <v/>
      </c>
      <c r="R668" s="34">
        <f>IF(C668="","",IF(L668="☑ Oui","Annulée",IF(OR(E668="Vente directe",K668&lt;&gt;""),"Livrée",IF(J668&lt;&gt;"","Confirmée","En attente"))))</f>
        <v/>
      </c>
      <c r="S668" s="34">
        <f>IF(F668="","",IFERROR(VLOOKUP(F668,T_Produits,2,FALSE),""))</f>
        <v/>
      </c>
      <c r="T668" s="40">
        <f>IF(F668="","",IFERROR(1/(1/VLOOKUP(F668,T_Produits,3,FALSE)),""))</f>
        <v/>
      </c>
      <c r="U668" s="40">
        <f>IF(H668&lt;&gt;"",H668,T668)</f>
        <v/>
      </c>
      <c r="V668" s="40">
        <f>IF(OR(G668="",U668=""),"",G668*U668-N(I668))</f>
        <v/>
      </c>
      <c r="W668" s="39">
        <f>IF(D668="","",IFERROR(VALUE(MID(D668,LEN(D668)-3,3)),""))</f>
        <v/>
      </c>
      <c r="X668" s="33">
        <f>IF(W668="","",P668&amp;"|"&amp;W668)</f>
        <v/>
      </c>
      <c r="Y668" s="33">
        <f>IF(W668="","",IF(P668="À RENSEIGNER","GIC",P668)&amp;"-"&amp;TEXT(W668,"000"))</f>
        <v/>
      </c>
      <c r="Z668" s="33">
        <f>IF(X668="","",IFERROR(INDEX(Cl_nom,MATCH(X668,Cl_cle,0)),"(client introuvable)"))</f>
        <v/>
      </c>
      <c r="AA668" s="33">
        <f>IF(X668="","",IFERROR(INDEX(Cl_quartier,MATCH(X668,Cl_cle,0))&amp;"",""))</f>
        <v/>
      </c>
      <c r="AB668" s="45">
        <f>IF(R668&lt;&gt;"Livrée",0,IF(K668&lt;&gt;"",K668,C668))</f>
        <v/>
      </c>
      <c r="AC668" s="33">
        <f>IF(OR(C668="",W668=""),"",P668&amp;"|"&amp;W668&amp;"|"&amp;C668&amp;"|"&amp;E668)</f>
        <v/>
      </c>
      <c r="AD668" s="39">
        <f>IF(AC668="","",IF(COUNTIF(AC$6:AC668,AC668)=1,1,0))</f>
        <v/>
      </c>
      <c r="AE668" s="39">
        <f>IF(AB668=0,"",IF(COUNTIFS(X$6:X668,X668,AB$6:AB668,AB668)=1,1,0))</f>
        <v/>
      </c>
      <c r="AF668" s="34">
        <f>IF(C668="","",YEAR(C668-WEEKDAY(C668,2)+4)&amp;"-S"&amp;TEXT(INT((C668-DATE(YEAR(C668-WEEKDAY(C668,2)+4),1,3)+WEEKDAY(DATE(YEAR(C668-WEEKDAY(C668,2)+4),1,3),2)+5)/7),"00"))</f>
        <v/>
      </c>
    </row>
    <row r="669" ht="18" customHeight="1">
      <c r="A669" s="39" t="n">
        <v>664</v>
      </c>
      <c r="B669" s="33">
        <f>IF(C669="","",IF(P669="À RENSEIGNER","GIC",P669)&amp;"-C"&amp;TEXT(A669,"00000"))</f>
        <v/>
      </c>
      <c r="C669" s="32" t="n"/>
      <c r="D669" s="36" t="n"/>
      <c r="E669" s="36" t="n"/>
      <c r="F669" s="36" t="n"/>
      <c r="G669" s="42" t="n"/>
      <c r="H669" s="37" t="n"/>
      <c r="I669" s="37" t="n"/>
      <c r="J669" s="32" t="n"/>
      <c r="K669" s="32" t="n"/>
      <c r="L669" s="43" t="n"/>
      <c r="M669" s="36" t="n"/>
      <c r="N669" s="44" t="n"/>
      <c r="O669" s="36" t="n"/>
      <c r="P669" s="33">
        <f>IF(C669="","",Commercial_Id)</f>
        <v/>
      </c>
      <c r="Q669" s="34">
        <f>IF(AC669="","",IF(AD669=1,"C"&amp;TEXT(SUM(AD$6:AD669),"0000"),INDEX(Q$6:Q668,MATCH(AC669,AC$6:AC668,0))))</f>
        <v/>
      </c>
      <c r="R669" s="34">
        <f>IF(C669="","",IF(L669="☑ Oui","Annulée",IF(OR(E669="Vente directe",K669&lt;&gt;""),"Livrée",IF(J669&lt;&gt;"","Confirmée","En attente"))))</f>
        <v/>
      </c>
      <c r="S669" s="34">
        <f>IF(F669="","",IFERROR(VLOOKUP(F669,T_Produits,2,FALSE),""))</f>
        <v/>
      </c>
      <c r="T669" s="40">
        <f>IF(F669="","",IFERROR(1/(1/VLOOKUP(F669,T_Produits,3,FALSE)),""))</f>
        <v/>
      </c>
      <c r="U669" s="40">
        <f>IF(H669&lt;&gt;"",H669,T669)</f>
        <v/>
      </c>
      <c r="V669" s="40">
        <f>IF(OR(G669="",U669=""),"",G669*U669-N(I669))</f>
        <v/>
      </c>
      <c r="W669" s="39">
        <f>IF(D669="","",IFERROR(VALUE(MID(D669,LEN(D669)-3,3)),""))</f>
        <v/>
      </c>
      <c r="X669" s="33">
        <f>IF(W669="","",P669&amp;"|"&amp;W669)</f>
        <v/>
      </c>
      <c r="Y669" s="33">
        <f>IF(W669="","",IF(P669="À RENSEIGNER","GIC",P669)&amp;"-"&amp;TEXT(W669,"000"))</f>
        <v/>
      </c>
      <c r="Z669" s="33">
        <f>IF(X669="","",IFERROR(INDEX(Cl_nom,MATCH(X669,Cl_cle,0)),"(client introuvable)"))</f>
        <v/>
      </c>
      <c r="AA669" s="33">
        <f>IF(X669="","",IFERROR(INDEX(Cl_quartier,MATCH(X669,Cl_cle,0))&amp;"",""))</f>
        <v/>
      </c>
      <c r="AB669" s="45">
        <f>IF(R669&lt;&gt;"Livrée",0,IF(K669&lt;&gt;"",K669,C669))</f>
        <v/>
      </c>
      <c r="AC669" s="33">
        <f>IF(OR(C669="",W669=""),"",P669&amp;"|"&amp;W669&amp;"|"&amp;C669&amp;"|"&amp;E669)</f>
        <v/>
      </c>
      <c r="AD669" s="39">
        <f>IF(AC669="","",IF(COUNTIF(AC$6:AC669,AC669)=1,1,0))</f>
        <v/>
      </c>
      <c r="AE669" s="39">
        <f>IF(AB669=0,"",IF(COUNTIFS(X$6:X669,X669,AB$6:AB669,AB669)=1,1,0))</f>
        <v/>
      </c>
      <c r="AF669" s="34">
        <f>IF(C669="","",YEAR(C669-WEEKDAY(C669,2)+4)&amp;"-S"&amp;TEXT(INT((C669-DATE(YEAR(C669-WEEKDAY(C669,2)+4),1,3)+WEEKDAY(DATE(YEAR(C669-WEEKDAY(C669,2)+4),1,3),2)+5)/7),"00"))</f>
        <v/>
      </c>
    </row>
    <row r="670" ht="18" customHeight="1">
      <c r="A670" s="39" t="n">
        <v>665</v>
      </c>
      <c r="B670" s="33">
        <f>IF(C670="","",IF(P670="À RENSEIGNER","GIC",P670)&amp;"-C"&amp;TEXT(A670,"00000"))</f>
        <v/>
      </c>
      <c r="C670" s="32" t="n"/>
      <c r="D670" s="36" t="n"/>
      <c r="E670" s="36" t="n"/>
      <c r="F670" s="36" t="n"/>
      <c r="G670" s="42" t="n"/>
      <c r="H670" s="37" t="n"/>
      <c r="I670" s="37" t="n"/>
      <c r="J670" s="32" t="n"/>
      <c r="K670" s="32" t="n"/>
      <c r="L670" s="43" t="n"/>
      <c r="M670" s="36" t="n"/>
      <c r="N670" s="44" t="n"/>
      <c r="O670" s="36" t="n"/>
      <c r="P670" s="33">
        <f>IF(C670="","",Commercial_Id)</f>
        <v/>
      </c>
      <c r="Q670" s="34">
        <f>IF(AC670="","",IF(AD670=1,"C"&amp;TEXT(SUM(AD$6:AD670),"0000"),INDEX(Q$6:Q669,MATCH(AC670,AC$6:AC669,0))))</f>
        <v/>
      </c>
      <c r="R670" s="34">
        <f>IF(C670="","",IF(L670="☑ Oui","Annulée",IF(OR(E670="Vente directe",K670&lt;&gt;""),"Livrée",IF(J670&lt;&gt;"","Confirmée","En attente"))))</f>
        <v/>
      </c>
      <c r="S670" s="34">
        <f>IF(F670="","",IFERROR(VLOOKUP(F670,T_Produits,2,FALSE),""))</f>
        <v/>
      </c>
      <c r="T670" s="40">
        <f>IF(F670="","",IFERROR(1/(1/VLOOKUP(F670,T_Produits,3,FALSE)),""))</f>
        <v/>
      </c>
      <c r="U670" s="40">
        <f>IF(H670&lt;&gt;"",H670,T670)</f>
        <v/>
      </c>
      <c r="V670" s="40">
        <f>IF(OR(G670="",U670=""),"",G670*U670-N(I670))</f>
        <v/>
      </c>
      <c r="W670" s="39">
        <f>IF(D670="","",IFERROR(VALUE(MID(D670,LEN(D670)-3,3)),""))</f>
        <v/>
      </c>
      <c r="X670" s="33">
        <f>IF(W670="","",P670&amp;"|"&amp;W670)</f>
        <v/>
      </c>
      <c r="Y670" s="33">
        <f>IF(W670="","",IF(P670="À RENSEIGNER","GIC",P670)&amp;"-"&amp;TEXT(W670,"000"))</f>
        <v/>
      </c>
      <c r="Z670" s="33">
        <f>IF(X670="","",IFERROR(INDEX(Cl_nom,MATCH(X670,Cl_cle,0)),"(client introuvable)"))</f>
        <v/>
      </c>
      <c r="AA670" s="33">
        <f>IF(X670="","",IFERROR(INDEX(Cl_quartier,MATCH(X670,Cl_cle,0))&amp;"",""))</f>
        <v/>
      </c>
      <c r="AB670" s="45">
        <f>IF(R670&lt;&gt;"Livrée",0,IF(K670&lt;&gt;"",K670,C670))</f>
        <v/>
      </c>
      <c r="AC670" s="33">
        <f>IF(OR(C670="",W670=""),"",P670&amp;"|"&amp;W670&amp;"|"&amp;C670&amp;"|"&amp;E670)</f>
        <v/>
      </c>
      <c r="AD670" s="39">
        <f>IF(AC670="","",IF(COUNTIF(AC$6:AC670,AC670)=1,1,0))</f>
        <v/>
      </c>
      <c r="AE670" s="39">
        <f>IF(AB670=0,"",IF(COUNTIFS(X$6:X670,X670,AB$6:AB670,AB670)=1,1,0))</f>
        <v/>
      </c>
      <c r="AF670" s="34">
        <f>IF(C670="","",YEAR(C670-WEEKDAY(C670,2)+4)&amp;"-S"&amp;TEXT(INT((C670-DATE(YEAR(C670-WEEKDAY(C670,2)+4),1,3)+WEEKDAY(DATE(YEAR(C670-WEEKDAY(C670,2)+4),1,3),2)+5)/7),"00"))</f>
        <v/>
      </c>
    </row>
    <row r="671" ht="18" customHeight="1">
      <c r="A671" s="39" t="n">
        <v>666</v>
      </c>
      <c r="B671" s="33">
        <f>IF(C671="","",IF(P671="À RENSEIGNER","GIC",P671)&amp;"-C"&amp;TEXT(A671,"00000"))</f>
        <v/>
      </c>
      <c r="C671" s="32" t="n"/>
      <c r="D671" s="36" t="n"/>
      <c r="E671" s="36" t="n"/>
      <c r="F671" s="36" t="n"/>
      <c r="G671" s="42" t="n"/>
      <c r="H671" s="37" t="n"/>
      <c r="I671" s="37" t="n"/>
      <c r="J671" s="32" t="n"/>
      <c r="K671" s="32" t="n"/>
      <c r="L671" s="43" t="n"/>
      <c r="M671" s="36" t="n"/>
      <c r="N671" s="44" t="n"/>
      <c r="O671" s="36" t="n"/>
      <c r="P671" s="33">
        <f>IF(C671="","",Commercial_Id)</f>
        <v/>
      </c>
      <c r="Q671" s="34">
        <f>IF(AC671="","",IF(AD671=1,"C"&amp;TEXT(SUM(AD$6:AD671),"0000"),INDEX(Q$6:Q670,MATCH(AC671,AC$6:AC670,0))))</f>
        <v/>
      </c>
      <c r="R671" s="34">
        <f>IF(C671="","",IF(L671="☑ Oui","Annulée",IF(OR(E671="Vente directe",K671&lt;&gt;""),"Livrée",IF(J671&lt;&gt;"","Confirmée","En attente"))))</f>
        <v/>
      </c>
      <c r="S671" s="34">
        <f>IF(F671="","",IFERROR(VLOOKUP(F671,T_Produits,2,FALSE),""))</f>
        <v/>
      </c>
      <c r="T671" s="40">
        <f>IF(F671="","",IFERROR(1/(1/VLOOKUP(F671,T_Produits,3,FALSE)),""))</f>
        <v/>
      </c>
      <c r="U671" s="40">
        <f>IF(H671&lt;&gt;"",H671,T671)</f>
        <v/>
      </c>
      <c r="V671" s="40">
        <f>IF(OR(G671="",U671=""),"",G671*U671-N(I671))</f>
        <v/>
      </c>
      <c r="W671" s="39">
        <f>IF(D671="","",IFERROR(VALUE(MID(D671,LEN(D671)-3,3)),""))</f>
        <v/>
      </c>
      <c r="X671" s="33">
        <f>IF(W671="","",P671&amp;"|"&amp;W671)</f>
        <v/>
      </c>
      <c r="Y671" s="33">
        <f>IF(W671="","",IF(P671="À RENSEIGNER","GIC",P671)&amp;"-"&amp;TEXT(W671,"000"))</f>
        <v/>
      </c>
      <c r="Z671" s="33">
        <f>IF(X671="","",IFERROR(INDEX(Cl_nom,MATCH(X671,Cl_cle,0)),"(client introuvable)"))</f>
        <v/>
      </c>
      <c r="AA671" s="33">
        <f>IF(X671="","",IFERROR(INDEX(Cl_quartier,MATCH(X671,Cl_cle,0))&amp;"",""))</f>
        <v/>
      </c>
      <c r="AB671" s="45">
        <f>IF(R671&lt;&gt;"Livrée",0,IF(K671&lt;&gt;"",K671,C671))</f>
        <v/>
      </c>
      <c r="AC671" s="33">
        <f>IF(OR(C671="",W671=""),"",P671&amp;"|"&amp;W671&amp;"|"&amp;C671&amp;"|"&amp;E671)</f>
        <v/>
      </c>
      <c r="AD671" s="39">
        <f>IF(AC671="","",IF(COUNTIF(AC$6:AC671,AC671)=1,1,0))</f>
        <v/>
      </c>
      <c r="AE671" s="39">
        <f>IF(AB671=0,"",IF(COUNTIFS(X$6:X671,X671,AB$6:AB671,AB671)=1,1,0))</f>
        <v/>
      </c>
      <c r="AF671" s="34">
        <f>IF(C671="","",YEAR(C671-WEEKDAY(C671,2)+4)&amp;"-S"&amp;TEXT(INT((C671-DATE(YEAR(C671-WEEKDAY(C671,2)+4),1,3)+WEEKDAY(DATE(YEAR(C671-WEEKDAY(C671,2)+4),1,3),2)+5)/7),"00"))</f>
        <v/>
      </c>
    </row>
    <row r="672" ht="18" customHeight="1">
      <c r="A672" s="39" t="n">
        <v>667</v>
      </c>
      <c r="B672" s="33">
        <f>IF(C672="","",IF(P672="À RENSEIGNER","GIC",P672)&amp;"-C"&amp;TEXT(A672,"00000"))</f>
        <v/>
      </c>
      <c r="C672" s="32" t="n"/>
      <c r="D672" s="36" t="n"/>
      <c r="E672" s="36" t="n"/>
      <c r="F672" s="36" t="n"/>
      <c r="G672" s="42" t="n"/>
      <c r="H672" s="37" t="n"/>
      <c r="I672" s="37" t="n"/>
      <c r="J672" s="32" t="n"/>
      <c r="K672" s="32" t="n"/>
      <c r="L672" s="43" t="n"/>
      <c r="M672" s="36" t="n"/>
      <c r="N672" s="44" t="n"/>
      <c r="O672" s="36" t="n"/>
      <c r="P672" s="33">
        <f>IF(C672="","",Commercial_Id)</f>
        <v/>
      </c>
      <c r="Q672" s="34">
        <f>IF(AC672="","",IF(AD672=1,"C"&amp;TEXT(SUM(AD$6:AD672),"0000"),INDEX(Q$6:Q671,MATCH(AC672,AC$6:AC671,0))))</f>
        <v/>
      </c>
      <c r="R672" s="34">
        <f>IF(C672="","",IF(L672="☑ Oui","Annulée",IF(OR(E672="Vente directe",K672&lt;&gt;""),"Livrée",IF(J672&lt;&gt;"","Confirmée","En attente"))))</f>
        <v/>
      </c>
      <c r="S672" s="34">
        <f>IF(F672="","",IFERROR(VLOOKUP(F672,T_Produits,2,FALSE),""))</f>
        <v/>
      </c>
      <c r="T672" s="40">
        <f>IF(F672="","",IFERROR(1/(1/VLOOKUP(F672,T_Produits,3,FALSE)),""))</f>
        <v/>
      </c>
      <c r="U672" s="40">
        <f>IF(H672&lt;&gt;"",H672,T672)</f>
        <v/>
      </c>
      <c r="V672" s="40">
        <f>IF(OR(G672="",U672=""),"",G672*U672-N(I672))</f>
        <v/>
      </c>
      <c r="W672" s="39">
        <f>IF(D672="","",IFERROR(VALUE(MID(D672,LEN(D672)-3,3)),""))</f>
        <v/>
      </c>
      <c r="X672" s="33">
        <f>IF(W672="","",P672&amp;"|"&amp;W672)</f>
        <v/>
      </c>
      <c r="Y672" s="33">
        <f>IF(W672="","",IF(P672="À RENSEIGNER","GIC",P672)&amp;"-"&amp;TEXT(W672,"000"))</f>
        <v/>
      </c>
      <c r="Z672" s="33">
        <f>IF(X672="","",IFERROR(INDEX(Cl_nom,MATCH(X672,Cl_cle,0)),"(client introuvable)"))</f>
        <v/>
      </c>
      <c r="AA672" s="33">
        <f>IF(X672="","",IFERROR(INDEX(Cl_quartier,MATCH(X672,Cl_cle,0))&amp;"",""))</f>
        <v/>
      </c>
      <c r="AB672" s="45">
        <f>IF(R672&lt;&gt;"Livrée",0,IF(K672&lt;&gt;"",K672,C672))</f>
        <v/>
      </c>
      <c r="AC672" s="33">
        <f>IF(OR(C672="",W672=""),"",P672&amp;"|"&amp;W672&amp;"|"&amp;C672&amp;"|"&amp;E672)</f>
        <v/>
      </c>
      <c r="AD672" s="39">
        <f>IF(AC672="","",IF(COUNTIF(AC$6:AC672,AC672)=1,1,0))</f>
        <v/>
      </c>
      <c r="AE672" s="39">
        <f>IF(AB672=0,"",IF(COUNTIFS(X$6:X672,X672,AB$6:AB672,AB672)=1,1,0))</f>
        <v/>
      </c>
      <c r="AF672" s="34">
        <f>IF(C672="","",YEAR(C672-WEEKDAY(C672,2)+4)&amp;"-S"&amp;TEXT(INT((C672-DATE(YEAR(C672-WEEKDAY(C672,2)+4),1,3)+WEEKDAY(DATE(YEAR(C672-WEEKDAY(C672,2)+4),1,3),2)+5)/7),"00"))</f>
        <v/>
      </c>
    </row>
    <row r="673" ht="18" customHeight="1">
      <c r="A673" s="39" t="n">
        <v>668</v>
      </c>
      <c r="B673" s="33">
        <f>IF(C673="","",IF(P673="À RENSEIGNER","GIC",P673)&amp;"-C"&amp;TEXT(A673,"00000"))</f>
        <v/>
      </c>
      <c r="C673" s="32" t="n"/>
      <c r="D673" s="36" t="n"/>
      <c r="E673" s="36" t="n"/>
      <c r="F673" s="36" t="n"/>
      <c r="G673" s="42" t="n"/>
      <c r="H673" s="37" t="n"/>
      <c r="I673" s="37" t="n"/>
      <c r="J673" s="32" t="n"/>
      <c r="K673" s="32" t="n"/>
      <c r="L673" s="43" t="n"/>
      <c r="M673" s="36" t="n"/>
      <c r="N673" s="44" t="n"/>
      <c r="O673" s="36" t="n"/>
      <c r="P673" s="33">
        <f>IF(C673="","",Commercial_Id)</f>
        <v/>
      </c>
      <c r="Q673" s="34">
        <f>IF(AC673="","",IF(AD673=1,"C"&amp;TEXT(SUM(AD$6:AD673),"0000"),INDEX(Q$6:Q672,MATCH(AC673,AC$6:AC672,0))))</f>
        <v/>
      </c>
      <c r="R673" s="34">
        <f>IF(C673="","",IF(L673="☑ Oui","Annulée",IF(OR(E673="Vente directe",K673&lt;&gt;""),"Livrée",IF(J673&lt;&gt;"","Confirmée","En attente"))))</f>
        <v/>
      </c>
      <c r="S673" s="34">
        <f>IF(F673="","",IFERROR(VLOOKUP(F673,T_Produits,2,FALSE),""))</f>
        <v/>
      </c>
      <c r="T673" s="40">
        <f>IF(F673="","",IFERROR(1/(1/VLOOKUP(F673,T_Produits,3,FALSE)),""))</f>
        <v/>
      </c>
      <c r="U673" s="40">
        <f>IF(H673&lt;&gt;"",H673,T673)</f>
        <v/>
      </c>
      <c r="V673" s="40">
        <f>IF(OR(G673="",U673=""),"",G673*U673-N(I673))</f>
        <v/>
      </c>
      <c r="W673" s="39">
        <f>IF(D673="","",IFERROR(VALUE(MID(D673,LEN(D673)-3,3)),""))</f>
        <v/>
      </c>
      <c r="X673" s="33">
        <f>IF(W673="","",P673&amp;"|"&amp;W673)</f>
        <v/>
      </c>
      <c r="Y673" s="33">
        <f>IF(W673="","",IF(P673="À RENSEIGNER","GIC",P673)&amp;"-"&amp;TEXT(W673,"000"))</f>
        <v/>
      </c>
      <c r="Z673" s="33">
        <f>IF(X673="","",IFERROR(INDEX(Cl_nom,MATCH(X673,Cl_cle,0)),"(client introuvable)"))</f>
        <v/>
      </c>
      <c r="AA673" s="33">
        <f>IF(X673="","",IFERROR(INDEX(Cl_quartier,MATCH(X673,Cl_cle,0))&amp;"",""))</f>
        <v/>
      </c>
      <c r="AB673" s="45">
        <f>IF(R673&lt;&gt;"Livrée",0,IF(K673&lt;&gt;"",K673,C673))</f>
        <v/>
      </c>
      <c r="AC673" s="33">
        <f>IF(OR(C673="",W673=""),"",P673&amp;"|"&amp;W673&amp;"|"&amp;C673&amp;"|"&amp;E673)</f>
        <v/>
      </c>
      <c r="AD673" s="39">
        <f>IF(AC673="","",IF(COUNTIF(AC$6:AC673,AC673)=1,1,0))</f>
        <v/>
      </c>
      <c r="AE673" s="39">
        <f>IF(AB673=0,"",IF(COUNTIFS(X$6:X673,X673,AB$6:AB673,AB673)=1,1,0))</f>
        <v/>
      </c>
      <c r="AF673" s="34">
        <f>IF(C673="","",YEAR(C673-WEEKDAY(C673,2)+4)&amp;"-S"&amp;TEXT(INT((C673-DATE(YEAR(C673-WEEKDAY(C673,2)+4),1,3)+WEEKDAY(DATE(YEAR(C673-WEEKDAY(C673,2)+4),1,3),2)+5)/7),"00"))</f>
        <v/>
      </c>
    </row>
    <row r="674" ht="18" customHeight="1">
      <c r="A674" s="39" t="n">
        <v>669</v>
      </c>
      <c r="B674" s="33">
        <f>IF(C674="","",IF(P674="À RENSEIGNER","GIC",P674)&amp;"-C"&amp;TEXT(A674,"00000"))</f>
        <v/>
      </c>
      <c r="C674" s="32" t="n"/>
      <c r="D674" s="36" t="n"/>
      <c r="E674" s="36" t="n"/>
      <c r="F674" s="36" t="n"/>
      <c r="G674" s="42" t="n"/>
      <c r="H674" s="37" t="n"/>
      <c r="I674" s="37" t="n"/>
      <c r="J674" s="32" t="n"/>
      <c r="K674" s="32" t="n"/>
      <c r="L674" s="43" t="n"/>
      <c r="M674" s="36" t="n"/>
      <c r="N674" s="44" t="n"/>
      <c r="O674" s="36" t="n"/>
      <c r="P674" s="33">
        <f>IF(C674="","",Commercial_Id)</f>
        <v/>
      </c>
      <c r="Q674" s="34">
        <f>IF(AC674="","",IF(AD674=1,"C"&amp;TEXT(SUM(AD$6:AD674),"0000"),INDEX(Q$6:Q673,MATCH(AC674,AC$6:AC673,0))))</f>
        <v/>
      </c>
      <c r="R674" s="34">
        <f>IF(C674="","",IF(L674="☑ Oui","Annulée",IF(OR(E674="Vente directe",K674&lt;&gt;""),"Livrée",IF(J674&lt;&gt;"","Confirmée","En attente"))))</f>
        <v/>
      </c>
      <c r="S674" s="34">
        <f>IF(F674="","",IFERROR(VLOOKUP(F674,T_Produits,2,FALSE),""))</f>
        <v/>
      </c>
      <c r="T674" s="40">
        <f>IF(F674="","",IFERROR(1/(1/VLOOKUP(F674,T_Produits,3,FALSE)),""))</f>
        <v/>
      </c>
      <c r="U674" s="40">
        <f>IF(H674&lt;&gt;"",H674,T674)</f>
        <v/>
      </c>
      <c r="V674" s="40">
        <f>IF(OR(G674="",U674=""),"",G674*U674-N(I674))</f>
        <v/>
      </c>
      <c r="W674" s="39">
        <f>IF(D674="","",IFERROR(VALUE(MID(D674,LEN(D674)-3,3)),""))</f>
        <v/>
      </c>
      <c r="X674" s="33">
        <f>IF(W674="","",P674&amp;"|"&amp;W674)</f>
        <v/>
      </c>
      <c r="Y674" s="33">
        <f>IF(W674="","",IF(P674="À RENSEIGNER","GIC",P674)&amp;"-"&amp;TEXT(W674,"000"))</f>
        <v/>
      </c>
      <c r="Z674" s="33">
        <f>IF(X674="","",IFERROR(INDEX(Cl_nom,MATCH(X674,Cl_cle,0)),"(client introuvable)"))</f>
        <v/>
      </c>
      <c r="AA674" s="33">
        <f>IF(X674="","",IFERROR(INDEX(Cl_quartier,MATCH(X674,Cl_cle,0))&amp;"",""))</f>
        <v/>
      </c>
      <c r="AB674" s="45">
        <f>IF(R674&lt;&gt;"Livrée",0,IF(K674&lt;&gt;"",K674,C674))</f>
        <v/>
      </c>
      <c r="AC674" s="33">
        <f>IF(OR(C674="",W674=""),"",P674&amp;"|"&amp;W674&amp;"|"&amp;C674&amp;"|"&amp;E674)</f>
        <v/>
      </c>
      <c r="AD674" s="39">
        <f>IF(AC674="","",IF(COUNTIF(AC$6:AC674,AC674)=1,1,0))</f>
        <v/>
      </c>
      <c r="AE674" s="39">
        <f>IF(AB674=0,"",IF(COUNTIFS(X$6:X674,X674,AB$6:AB674,AB674)=1,1,0))</f>
        <v/>
      </c>
      <c r="AF674" s="34">
        <f>IF(C674="","",YEAR(C674-WEEKDAY(C674,2)+4)&amp;"-S"&amp;TEXT(INT((C674-DATE(YEAR(C674-WEEKDAY(C674,2)+4),1,3)+WEEKDAY(DATE(YEAR(C674-WEEKDAY(C674,2)+4),1,3),2)+5)/7),"00"))</f>
        <v/>
      </c>
    </row>
    <row r="675" ht="18" customHeight="1">
      <c r="A675" s="39" t="n">
        <v>670</v>
      </c>
      <c r="B675" s="33">
        <f>IF(C675="","",IF(P675="À RENSEIGNER","GIC",P675)&amp;"-C"&amp;TEXT(A675,"00000"))</f>
        <v/>
      </c>
      <c r="C675" s="32" t="n"/>
      <c r="D675" s="36" t="n"/>
      <c r="E675" s="36" t="n"/>
      <c r="F675" s="36" t="n"/>
      <c r="G675" s="42" t="n"/>
      <c r="H675" s="37" t="n"/>
      <c r="I675" s="37" t="n"/>
      <c r="J675" s="32" t="n"/>
      <c r="K675" s="32" t="n"/>
      <c r="L675" s="43" t="n"/>
      <c r="M675" s="36" t="n"/>
      <c r="N675" s="44" t="n"/>
      <c r="O675" s="36" t="n"/>
      <c r="P675" s="33">
        <f>IF(C675="","",Commercial_Id)</f>
        <v/>
      </c>
      <c r="Q675" s="34">
        <f>IF(AC675="","",IF(AD675=1,"C"&amp;TEXT(SUM(AD$6:AD675),"0000"),INDEX(Q$6:Q674,MATCH(AC675,AC$6:AC674,0))))</f>
        <v/>
      </c>
      <c r="R675" s="34">
        <f>IF(C675="","",IF(L675="☑ Oui","Annulée",IF(OR(E675="Vente directe",K675&lt;&gt;""),"Livrée",IF(J675&lt;&gt;"","Confirmée","En attente"))))</f>
        <v/>
      </c>
      <c r="S675" s="34">
        <f>IF(F675="","",IFERROR(VLOOKUP(F675,T_Produits,2,FALSE),""))</f>
        <v/>
      </c>
      <c r="T675" s="40">
        <f>IF(F675="","",IFERROR(1/(1/VLOOKUP(F675,T_Produits,3,FALSE)),""))</f>
        <v/>
      </c>
      <c r="U675" s="40">
        <f>IF(H675&lt;&gt;"",H675,T675)</f>
        <v/>
      </c>
      <c r="V675" s="40">
        <f>IF(OR(G675="",U675=""),"",G675*U675-N(I675))</f>
        <v/>
      </c>
      <c r="W675" s="39">
        <f>IF(D675="","",IFERROR(VALUE(MID(D675,LEN(D675)-3,3)),""))</f>
        <v/>
      </c>
      <c r="X675" s="33">
        <f>IF(W675="","",P675&amp;"|"&amp;W675)</f>
        <v/>
      </c>
      <c r="Y675" s="33">
        <f>IF(W675="","",IF(P675="À RENSEIGNER","GIC",P675)&amp;"-"&amp;TEXT(W675,"000"))</f>
        <v/>
      </c>
      <c r="Z675" s="33">
        <f>IF(X675="","",IFERROR(INDEX(Cl_nom,MATCH(X675,Cl_cle,0)),"(client introuvable)"))</f>
        <v/>
      </c>
      <c r="AA675" s="33">
        <f>IF(X675="","",IFERROR(INDEX(Cl_quartier,MATCH(X675,Cl_cle,0))&amp;"",""))</f>
        <v/>
      </c>
      <c r="AB675" s="45">
        <f>IF(R675&lt;&gt;"Livrée",0,IF(K675&lt;&gt;"",K675,C675))</f>
        <v/>
      </c>
      <c r="AC675" s="33">
        <f>IF(OR(C675="",W675=""),"",P675&amp;"|"&amp;W675&amp;"|"&amp;C675&amp;"|"&amp;E675)</f>
        <v/>
      </c>
      <c r="AD675" s="39">
        <f>IF(AC675="","",IF(COUNTIF(AC$6:AC675,AC675)=1,1,0))</f>
        <v/>
      </c>
      <c r="AE675" s="39">
        <f>IF(AB675=0,"",IF(COUNTIFS(X$6:X675,X675,AB$6:AB675,AB675)=1,1,0))</f>
        <v/>
      </c>
      <c r="AF675" s="34">
        <f>IF(C675="","",YEAR(C675-WEEKDAY(C675,2)+4)&amp;"-S"&amp;TEXT(INT((C675-DATE(YEAR(C675-WEEKDAY(C675,2)+4),1,3)+WEEKDAY(DATE(YEAR(C675-WEEKDAY(C675,2)+4),1,3),2)+5)/7),"00"))</f>
        <v/>
      </c>
    </row>
    <row r="676" ht="18" customHeight="1">
      <c r="A676" s="39" t="n">
        <v>671</v>
      </c>
      <c r="B676" s="33">
        <f>IF(C676="","",IF(P676="À RENSEIGNER","GIC",P676)&amp;"-C"&amp;TEXT(A676,"00000"))</f>
        <v/>
      </c>
      <c r="C676" s="32" t="n"/>
      <c r="D676" s="36" t="n"/>
      <c r="E676" s="36" t="n"/>
      <c r="F676" s="36" t="n"/>
      <c r="G676" s="42" t="n"/>
      <c r="H676" s="37" t="n"/>
      <c r="I676" s="37" t="n"/>
      <c r="J676" s="32" t="n"/>
      <c r="K676" s="32" t="n"/>
      <c r="L676" s="43" t="n"/>
      <c r="M676" s="36" t="n"/>
      <c r="N676" s="44" t="n"/>
      <c r="O676" s="36" t="n"/>
      <c r="P676" s="33">
        <f>IF(C676="","",Commercial_Id)</f>
        <v/>
      </c>
      <c r="Q676" s="34">
        <f>IF(AC676="","",IF(AD676=1,"C"&amp;TEXT(SUM(AD$6:AD676),"0000"),INDEX(Q$6:Q675,MATCH(AC676,AC$6:AC675,0))))</f>
        <v/>
      </c>
      <c r="R676" s="34">
        <f>IF(C676="","",IF(L676="☑ Oui","Annulée",IF(OR(E676="Vente directe",K676&lt;&gt;""),"Livrée",IF(J676&lt;&gt;"","Confirmée","En attente"))))</f>
        <v/>
      </c>
      <c r="S676" s="34">
        <f>IF(F676="","",IFERROR(VLOOKUP(F676,T_Produits,2,FALSE),""))</f>
        <v/>
      </c>
      <c r="T676" s="40">
        <f>IF(F676="","",IFERROR(1/(1/VLOOKUP(F676,T_Produits,3,FALSE)),""))</f>
        <v/>
      </c>
      <c r="U676" s="40">
        <f>IF(H676&lt;&gt;"",H676,T676)</f>
        <v/>
      </c>
      <c r="V676" s="40">
        <f>IF(OR(G676="",U676=""),"",G676*U676-N(I676))</f>
        <v/>
      </c>
      <c r="W676" s="39">
        <f>IF(D676="","",IFERROR(VALUE(MID(D676,LEN(D676)-3,3)),""))</f>
        <v/>
      </c>
      <c r="X676" s="33">
        <f>IF(W676="","",P676&amp;"|"&amp;W676)</f>
        <v/>
      </c>
      <c r="Y676" s="33">
        <f>IF(W676="","",IF(P676="À RENSEIGNER","GIC",P676)&amp;"-"&amp;TEXT(W676,"000"))</f>
        <v/>
      </c>
      <c r="Z676" s="33">
        <f>IF(X676="","",IFERROR(INDEX(Cl_nom,MATCH(X676,Cl_cle,0)),"(client introuvable)"))</f>
        <v/>
      </c>
      <c r="AA676" s="33">
        <f>IF(X676="","",IFERROR(INDEX(Cl_quartier,MATCH(X676,Cl_cle,0))&amp;"",""))</f>
        <v/>
      </c>
      <c r="AB676" s="45">
        <f>IF(R676&lt;&gt;"Livrée",0,IF(K676&lt;&gt;"",K676,C676))</f>
        <v/>
      </c>
      <c r="AC676" s="33">
        <f>IF(OR(C676="",W676=""),"",P676&amp;"|"&amp;W676&amp;"|"&amp;C676&amp;"|"&amp;E676)</f>
        <v/>
      </c>
      <c r="AD676" s="39">
        <f>IF(AC676="","",IF(COUNTIF(AC$6:AC676,AC676)=1,1,0))</f>
        <v/>
      </c>
      <c r="AE676" s="39">
        <f>IF(AB676=0,"",IF(COUNTIFS(X$6:X676,X676,AB$6:AB676,AB676)=1,1,0))</f>
        <v/>
      </c>
      <c r="AF676" s="34">
        <f>IF(C676="","",YEAR(C676-WEEKDAY(C676,2)+4)&amp;"-S"&amp;TEXT(INT((C676-DATE(YEAR(C676-WEEKDAY(C676,2)+4),1,3)+WEEKDAY(DATE(YEAR(C676-WEEKDAY(C676,2)+4),1,3),2)+5)/7),"00"))</f>
        <v/>
      </c>
    </row>
    <row r="677" ht="18" customHeight="1">
      <c r="A677" s="39" t="n">
        <v>672</v>
      </c>
      <c r="B677" s="33">
        <f>IF(C677="","",IF(P677="À RENSEIGNER","GIC",P677)&amp;"-C"&amp;TEXT(A677,"00000"))</f>
        <v/>
      </c>
      <c r="C677" s="32" t="n"/>
      <c r="D677" s="36" t="n"/>
      <c r="E677" s="36" t="n"/>
      <c r="F677" s="36" t="n"/>
      <c r="G677" s="42" t="n"/>
      <c r="H677" s="37" t="n"/>
      <c r="I677" s="37" t="n"/>
      <c r="J677" s="32" t="n"/>
      <c r="K677" s="32" t="n"/>
      <c r="L677" s="43" t="n"/>
      <c r="M677" s="36" t="n"/>
      <c r="N677" s="44" t="n"/>
      <c r="O677" s="36" t="n"/>
      <c r="P677" s="33">
        <f>IF(C677="","",Commercial_Id)</f>
        <v/>
      </c>
      <c r="Q677" s="34">
        <f>IF(AC677="","",IF(AD677=1,"C"&amp;TEXT(SUM(AD$6:AD677),"0000"),INDEX(Q$6:Q676,MATCH(AC677,AC$6:AC676,0))))</f>
        <v/>
      </c>
      <c r="R677" s="34">
        <f>IF(C677="","",IF(L677="☑ Oui","Annulée",IF(OR(E677="Vente directe",K677&lt;&gt;""),"Livrée",IF(J677&lt;&gt;"","Confirmée","En attente"))))</f>
        <v/>
      </c>
      <c r="S677" s="34">
        <f>IF(F677="","",IFERROR(VLOOKUP(F677,T_Produits,2,FALSE),""))</f>
        <v/>
      </c>
      <c r="T677" s="40">
        <f>IF(F677="","",IFERROR(1/(1/VLOOKUP(F677,T_Produits,3,FALSE)),""))</f>
        <v/>
      </c>
      <c r="U677" s="40">
        <f>IF(H677&lt;&gt;"",H677,T677)</f>
        <v/>
      </c>
      <c r="V677" s="40">
        <f>IF(OR(G677="",U677=""),"",G677*U677-N(I677))</f>
        <v/>
      </c>
      <c r="W677" s="39">
        <f>IF(D677="","",IFERROR(VALUE(MID(D677,LEN(D677)-3,3)),""))</f>
        <v/>
      </c>
      <c r="X677" s="33">
        <f>IF(W677="","",P677&amp;"|"&amp;W677)</f>
        <v/>
      </c>
      <c r="Y677" s="33">
        <f>IF(W677="","",IF(P677="À RENSEIGNER","GIC",P677)&amp;"-"&amp;TEXT(W677,"000"))</f>
        <v/>
      </c>
      <c r="Z677" s="33">
        <f>IF(X677="","",IFERROR(INDEX(Cl_nom,MATCH(X677,Cl_cle,0)),"(client introuvable)"))</f>
        <v/>
      </c>
      <c r="AA677" s="33">
        <f>IF(X677="","",IFERROR(INDEX(Cl_quartier,MATCH(X677,Cl_cle,0))&amp;"",""))</f>
        <v/>
      </c>
      <c r="AB677" s="45">
        <f>IF(R677&lt;&gt;"Livrée",0,IF(K677&lt;&gt;"",K677,C677))</f>
        <v/>
      </c>
      <c r="AC677" s="33">
        <f>IF(OR(C677="",W677=""),"",P677&amp;"|"&amp;W677&amp;"|"&amp;C677&amp;"|"&amp;E677)</f>
        <v/>
      </c>
      <c r="AD677" s="39">
        <f>IF(AC677="","",IF(COUNTIF(AC$6:AC677,AC677)=1,1,0))</f>
        <v/>
      </c>
      <c r="AE677" s="39">
        <f>IF(AB677=0,"",IF(COUNTIFS(X$6:X677,X677,AB$6:AB677,AB677)=1,1,0))</f>
        <v/>
      </c>
      <c r="AF677" s="34">
        <f>IF(C677="","",YEAR(C677-WEEKDAY(C677,2)+4)&amp;"-S"&amp;TEXT(INT((C677-DATE(YEAR(C677-WEEKDAY(C677,2)+4),1,3)+WEEKDAY(DATE(YEAR(C677-WEEKDAY(C677,2)+4),1,3),2)+5)/7),"00"))</f>
        <v/>
      </c>
    </row>
    <row r="678" ht="18" customHeight="1">
      <c r="A678" s="39" t="n">
        <v>673</v>
      </c>
      <c r="B678" s="33">
        <f>IF(C678="","",IF(P678="À RENSEIGNER","GIC",P678)&amp;"-C"&amp;TEXT(A678,"00000"))</f>
        <v/>
      </c>
      <c r="C678" s="32" t="n"/>
      <c r="D678" s="36" t="n"/>
      <c r="E678" s="36" t="n"/>
      <c r="F678" s="36" t="n"/>
      <c r="G678" s="42" t="n"/>
      <c r="H678" s="37" t="n"/>
      <c r="I678" s="37" t="n"/>
      <c r="J678" s="32" t="n"/>
      <c r="K678" s="32" t="n"/>
      <c r="L678" s="43" t="n"/>
      <c r="M678" s="36" t="n"/>
      <c r="N678" s="44" t="n"/>
      <c r="O678" s="36" t="n"/>
      <c r="P678" s="33">
        <f>IF(C678="","",Commercial_Id)</f>
        <v/>
      </c>
      <c r="Q678" s="34">
        <f>IF(AC678="","",IF(AD678=1,"C"&amp;TEXT(SUM(AD$6:AD678),"0000"),INDEX(Q$6:Q677,MATCH(AC678,AC$6:AC677,0))))</f>
        <v/>
      </c>
      <c r="R678" s="34">
        <f>IF(C678="","",IF(L678="☑ Oui","Annulée",IF(OR(E678="Vente directe",K678&lt;&gt;""),"Livrée",IF(J678&lt;&gt;"","Confirmée","En attente"))))</f>
        <v/>
      </c>
      <c r="S678" s="34">
        <f>IF(F678="","",IFERROR(VLOOKUP(F678,T_Produits,2,FALSE),""))</f>
        <v/>
      </c>
      <c r="T678" s="40">
        <f>IF(F678="","",IFERROR(1/(1/VLOOKUP(F678,T_Produits,3,FALSE)),""))</f>
        <v/>
      </c>
      <c r="U678" s="40">
        <f>IF(H678&lt;&gt;"",H678,T678)</f>
        <v/>
      </c>
      <c r="V678" s="40">
        <f>IF(OR(G678="",U678=""),"",G678*U678-N(I678))</f>
        <v/>
      </c>
      <c r="W678" s="39">
        <f>IF(D678="","",IFERROR(VALUE(MID(D678,LEN(D678)-3,3)),""))</f>
        <v/>
      </c>
      <c r="X678" s="33">
        <f>IF(W678="","",P678&amp;"|"&amp;W678)</f>
        <v/>
      </c>
      <c r="Y678" s="33">
        <f>IF(W678="","",IF(P678="À RENSEIGNER","GIC",P678)&amp;"-"&amp;TEXT(W678,"000"))</f>
        <v/>
      </c>
      <c r="Z678" s="33">
        <f>IF(X678="","",IFERROR(INDEX(Cl_nom,MATCH(X678,Cl_cle,0)),"(client introuvable)"))</f>
        <v/>
      </c>
      <c r="AA678" s="33">
        <f>IF(X678="","",IFERROR(INDEX(Cl_quartier,MATCH(X678,Cl_cle,0))&amp;"",""))</f>
        <v/>
      </c>
      <c r="AB678" s="45">
        <f>IF(R678&lt;&gt;"Livrée",0,IF(K678&lt;&gt;"",K678,C678))</f>
        <v/>
      </c>
      <c r="AC678" s="33">
        <f>IF(OR(C678="",W678=""),"",P678&amp;"|"&amp;W678&amp;"|"&amp;C678&amp;"|"&amp;E678)</f>
        <v/>
      </c>
      <c r="AD678" s="39">
        <f>IF(AC678="","",IF(COUNTIF(AC$6:AC678,AC678)=1,1,0))</f>
        <v/>
      </c>
      <c r="AE678" s="39">
        <f>IF(AB678=0,"",IF(COUNTIFS(X$6:X678,X678,AB$6:AB678,AB678)=1,1,0))</f>
        <v/>
      </c>
      <c r="AF678" s="34">
        <f>IF(C678="","",YEAR(C678-WEEKDAY(C678,2)+4)&amp;"-S"&amp;TEXT(INT((C678-DATE(YEAR(C678-WEEKDAY(C678,2)+4),1,3)+WEEKDAY(DATE(YEAR(C678-WEEKDAY(C678,2)+4),1,3),2)+5)/7),"00"))</f>
        <v/>
      </c>
    </row>
    <row r="679" ht="18" customHeight="1">
      <c r="A679" s="39" t="n">
        <v>674</v>
      </c>
      <c r="B679" s="33">
        <f>IF(C679="","",IF(P679="À RENSEIGNER","GIC",P679)&amp;"-C"&amp;TEXT(A679,"00000"))</f>
        <v/>
      </c>
      <c r="C679" s="32" t="n"/>
      <c r="D679" s="36" t="n"/>
      <c r="E679" s="36" t="n"/>
      <c r="F679" s="36" t="n"/>
      <c r="G679" s="42" t="n"/>
      <c r="H679" s="37" t="n"/>
      <c r="I679" s="37" t="n"/>
      <c r="J679" s="32" t="n"/>
      <c r="K679" s="32" t="n"/>
      <c r="L679" s="43" t="n"/>
      <c r="M679" s="36" t="n"/>
      <c r="N679" s="44" t="n"/>
      <c r="O679" s="36" t="n"/>
      <c r="P679" s="33">
        <f>IF(C679="","",Commercial_Id)</f>
        <v/>
      </c>
      <c r="Q679" s="34">
        <f>IF(AC679="","",IF(AD679=1,"C"&amp;TEXT(SUM(AD$6:AD679),"0000"),INDEX(Q$6:Q678,MATCH(AC679,AC$6:AC678,0))))</f>
        <v/>
      </c>
      <c r="R679" s="34">
        <f>IF(C679="","",IF(L679="☑ Oui","Annulée",IF(OR(E679="Vente directe",K679&lt;&gt;""),"Livrée",IF(J679&lt;&gt;"","Confirmée","En attente"))))</f>
        <v/>
      </c>
      <c r="S679" s="34">
        <f>IF(F679="","",IFERROR(VLOOKUP(F679,T_Produits,2,FALSE),""))</f>
        <v/>
      </c>
      <c r="T679" s="40">
        <f>IF(F679="","",IFERROR(1/(1/VLOOKUP(F679,T_Produits,3,FALSE)),""))</f>
        <v/>
      </c>
      <c r="U679" s="40">
        <f>IF(H679&lt;&gt;"",H679,T679)</f>
        <v/>
      </c>
      <c r="V679" s="40">
        <f>IF(OR(G679="",U679=""),"",G679*U679-N(I679))</f>
        <v/>
      </c>
      <c r="W679" s="39">
        <f>IF(D679="","",IFERROR(VALUE(MID(D679,LEN(D679)-3,3)),""))</f>
        <v/>
      </c>
      <c r="X679" s="33">
        <f>IF(W679="","",P679&amp;"|"&amp;W679)</f>
        <v/>
      </c>
      <c r="Y679" s="33">
        <f>IF(W679="","",IF(P679="À RENSEIGNER","GIC",P679)&amp;"-"&amp;TEXT(W679,"000"))</f>
        <v/>
      </c>
      <c r="Z679" s="33">
        <f>IF(X679="","",IFERROR(INDEX(Cl_nom,MATCH(X679,Cl_cle,0)),"(client introuvable)"))</f>
        <v/>
      </c>
      <c r="AA679" s="33">
        <f>IF(X679="","",IFERROR(INDEX(Cl_quartier,MATCH(X679,Cl_cle,0))&amp;"",""))</f>
        <v/>
      </c>
      <c r="AB679" s="45">
        <f>IF(R679&lt;&gt;"Livrée",0,IF(K679&lt;&gt;"",K679,C679))</f>
        <v/>
      </c>
      <c r="AC679" s="33">
        <f>IF(OR(C679="",W679=""),"",P679&amp;"|"&amp;W679&amp;"|"&amp;C679&amp;"|"&amp;E679)</f>
        <v/>
      </c>
      <c r="AD679" s="39">
        <f>IF(AC679="","",IF(COUNTIF(AC$6:AC679,AC679)=1,1,0))</f>
        <v/>
      </c>
      <c r="AE679" s="39">
        <f>IF(AB679=0,"",IF(COUNTIFS(X$6:X679,X679,AB$6:AB679,AB679)=1,1,0))</f>
        <v/>
      </c>
      <c r="AF679" s="34">
        <f>IF(C679="","",YEAR(C679-WEEKDAY(C679,2)+4)&amp;"-S"&amp;TEXT(INT((C679-DATE(YEAR(C679-WEEKDAY(C679,2)+4),1,3)+WEEKDAY(DATE(YEAR(C679-WEEKDAY(C679,2)+4),1,3),2)+5)/7),"00"))</f>
        <v/>
      </c>
    </row>
    <row r="680" ht="18" customHeight="1">
      <c r="A680" s="39" t="n">
        <v>675</v>
      </c>
      <c r="B680" s="33">
        <f>IF(C680="","",IF(P680="À RENSEIGNER","GIC",P680)&amp;"-C"&amp;TEXT(A680,"00000"))</f>
        <v/>
      </c>
      <c r="C680" s="32" t="n"/>
      <c r="D680" s="36" t="n"/>
      <c r="E680" s="36" t="n"/>
      <c r="F680" s="36" t="n"/>
      <c r="G680" s="42" t="n"/>
      <c r="H680" s="37" t="n"/>
      <c r="I680" s="37" t="n"/>
      <c r="J680" s="32" t="n"/>
      <c r="K680" s="32" t="n"/>
      <c r="L680" s="43" t="n"/>
      <c r="M680" s="36" t="n"/>
      <c r="N680" s="44" t="n"/>
      <c r="O680" s="36" t="n"/>
      <c r="P680" s="33">
        <f>IF(C680="","",Commercial_Id)</f>
        <v/>
      </c>
      <c r="Q680" s="34">
        <f>IF(AC680="","",IF(AD680=1,"C"&amp;TEXT(SUM(AD$6:AD680),"0000"),INDEX(Q$6:Q679,MATCH(AC680,AC$6:AC679,0))))</f>
        <v/>
      </c>
      <c r="R680" s="34">
        <f>IF(C680="","",IF(L680="☑ Oui","Annulée",IF(OR(E680="Vente directe",K680&lt;&gt;""),"Livrée",IF(J680&lt;&gt;"","Confirmée","En attente"))))</f>
        <v/>
      </c>
      <c r="S680" s="34">
        <f>IF(F680="","",IFERROR(VLOOKUP(F680,T_Produits,2,FALSE),""))</f>
        <v/>
      </c>
      <c r="T680" s="40">
        <f>IF(F680="","",IFERROR(1/(1/VLOOKUP(F680,T_Produits,3,FALSE)),""))</f>
        <v/>
      </c>
      <c r="U680" s="40">
        <f>IF(H680&lt;&gt;"",H680,T680)</f>
        <v/>
      </c>
      <c r="V680" s="40">
        <f>IF(OR(G680="",U680=""),"",G680*U680-N(I680))</f>
        <v/>
      </c>
      <c r="W680" s="39">
        <f>IF(D680="","",IFERROR(VALUE(MID(D680,LEN(D680)-3,3)),""))</f>
        <v/>
      </c>
      <c r="X680" s="33">
        <f>IF(W680="","",P680&amp;"|"&amp;W680)</f>
        <v/>
      </c>
      <c r="Y680" s="33">
        <f>IF(W680="","",IF(P680="À RENSEIGNER","GIC",P680)&amp;"-"&amp;TEXT(W680,"000"))</f>
        <v/>
      </c>
      <c r="Z680" s="33">
        <f>IF(X680="","",IFERROR(INDEX(Cl_nom,MATCH(X680,Cl_cle,0)),"(client introuvable)"))</f>
        <v/>
      </c>
      <c r="AA680" s="33">
        <f>IF(X680="","",IFERROR(INDEX(Cl_quartier,MATCH(X680,Cl_cle,0))&amp;"",""))</f>
        <v/>
      </c>
      <c r="AB680" s="45">
        <f>IF(R680&lt;&gt;"Livrée",0,IF(K680&lt;&gt;"",K680,C680))</f>
        <v/>
      </c>
      <c r="AC680" s="33">
        <f>IF(OR(C680="",W680=""),"",P680&amp;"|"&amp;W680&amp;"|"&amp;C680&amp;"|"&amp;E680)</f>
        <v/>
      </c>
      <c r="AD680" s="39">
        <f>IF(AC680="","",IF(COUNTIF(AC$6:AC680,AC680)=1,1,0))</f>
        <v/>
      </c>
      <c r="AE680" s="39">
        <f>IF(AB680=0,"",IF(COUNTIFS(X$6:X680,X680,AB$6:AB680,AB680)=1,1,0))</f>
        <v/>
      </c>
      <c r="AF680" s="34">
        <f>IF(C680="","",YEAR(C680-WEEKDAY(C680,2)+4)&amp;"-S"&amp;TEXT(INT((C680-DATE(YEAR(C680-WEEKDAY(C680,2)+4),1,3)+WEEKDAY(DATE(YEAR(C680-WEEKDAY(C680,2)+4),1,3),2)+5)/7),"00"))</f>
        <v/>
      </c>
    </row>
    <row r="681" ht="18" customHeight="1">
      <c r="A681" s="39" t="n">
        <v>676</v>
      </c>
      <c r="B681" s="33">
        <f>IF(C681="","",IF(P681="À RENSEIGNER","GIC",P681)&amp;"-C"&amp;TEXT(A681,"00000"))</f>
        <v/>
      </c>
      <c r="C681" s="32" t="n"/>
      <c r="D681" s="36" t="n"/>
      <c r="E681" s="36" t="n"/>
      <c r="F681" s="36" t="n"/>
      <c r="G681" s="42" t="n"/>
      <c r="H681" s="37" t="n"/>
      <c r="I681" s="37" t="n"/>
      <c r="J681" s="32" t="n"/>
      <c r="K681" s="32" t="n"/>
      <c r="L681" s="43" t="n"/>
      <c r="M681" s="36" t="n"/>
      <c r="N681" s="44" t="n"/>
      <c r="O681" s="36" t="n"/>
      <c r="P681" s="33">
        <f>IF(C681="","",Commercial_Id)</f>
        <v/>
      </c>
      <c r="Q681" s="34">
        <f>IF(AC681="","",IF(AD681=1,"C"&amp;TEXT(SUM(AD$6:AD681),"0000"),INDEX(Q$6:Q680,MATCH(AC681,AC$6:AC680,0))))</f>
        <v/>
      </c>
      <c r="R681" s="34">
        <f>IF(C681="","",IF(L681="☑ Oui","Annulée",IF(OR(E681="Vente directe",K681&lt;&gt;""),"Livrée",IF(J681&lt;&gt;"","Confirmée","En attente"))))</f>
        <v/>
      </c>
      <c r="S681" s="34">
        <f>IF(F681="","",IFERROR(VLOOKUP(F681,T_Produits,2,FALSE),""))</f>
        <v/>
      </c>
      <c r="T681" s="40">
        <f>IF(F681="","",IFERROR(1/(1/VLOOKUP(F681,T_Produits,3,FALSE)),""))</f>
        <v/>
      </c>
      <c r="U681" s="40">
        <f>IF(H681&lt;&gt;"",H681,T681)</f>
        <v/>
      </c>
      <c r="V681" s="40">
        <f>IF(OR(G681="",U681=""),"",G681*U681-N(I681))</f>
        <v/>
      </c>
      <c r="W681" s="39">
        <f>IF(D681="","",IFERROR(VALUE(MID(D681,LEN(D681)-3,3)),""))</f>
        <v/>
      </c>
      <c r="X681" s="33">
        <f>IF(W681="","",P681&amp;"|"&amp;W681)</f>
        <v/>
      </c>
      <c r="Y681" s="33">
        <f>IF(W681="","",IF(P681="À RENSEIGNER","GIC",P681)&amp;"-"&amp;TEXT(W681,"000"))</f>
        <v/>
      </c>
      <c r="Z681" s="33">
        <f>IF(X681="","",IFERROR(INDEX(Cl_nom,MATCH(X681,Cl_cle,0)),"(client introuvable)"))</f>
        <v/>
      </c>
      <c r="AA681" s="33">
        <f>IF(X681="","",IFERROR(INDEX(Cl_quartier,MATCH(X681,Cl_cle,0))&amp;"",""))</f>
        <v/>
      </c>
      <c r="AB681" s="45">
        <f>IF(R681&lt;&gt;"Livrée",0,IF(K681&lt;&gt;"",K681,C681))</f>
        <v/>
      </c>
      <c r="AC681" s="33">
        <f>IF(OR(C681="",W681=""),"",P681&amp;"|"&amp;W681&amp;"|"&amp;C681&amp;"|"&amp;E681)</f>
        <v/>
      </c>
      <c r="AD681" s="39">
        <f>IF(AC681="","",IF(COUNTIF(AC$6:AC681,AC681)=1,1,0))</f>
        <v/>
      </c>
      <c r="AE681" s="39">
        <f>IF(AB681=0,"",IF(COUNTIFS(X$6:X681,X681,AB$6:AB681,AB681)=1,1,0))</f>
        <v/>
      </c>
      <c r="AF681" s="34">
        <f>IF(C681="","",YEAR(C681-WEEKDAY(C681,2)+4)&amp;"-S"&amp;TEXT(INT((C681-DATE(YEAR(C681-WEEKDAY(C681,2)+4),1,3)+WEEKDAY(DATE(YEAR(C681-WEEKDAY(C681,2)+4),1,3),2)+5)/7),"00"))</f>
        <v/>
      </c>
    </row>
    <row r="682" ht="18" customHeight="1">
      <c r="A682" s="39" t="n">
        <v>677</v>
      </c>
      <c r="B682" s="33">
        <f>IF(C682="","",IF(P682="À RENSEIGNER","GIC",P682)&amp;"-C"&amp;TEXT(A682,"00000"))</f>
        <v/>
      </c>
      <c r="C682" s="32" t="n"/>
      <c r="D682" s="36" t="n"/>
      <c r="E682" s="36" t="n"/>
      <c r="F682" s="36" t="n"/>
      <c r="G682" s="42" t="n"/>
      <c r="H682" s="37" t="n"/>
      <c r="I682" s="37" t="n"/>
      <c r="J682" s="32" t="n"/>
      <c r="K682" s="32" t="n"/>
      <c r="L682" s="43" t="n"/>
      <c r="M682" s="36" t="n"/>
      <c r="N682" s="44" t="n"/>
      <c r="O682" s="36" t="n"/>
      <c r="P682" s="33">
        <f>IF(C682="","",Commercial_Id)</f>
        <v/>
      </c>
      <c r="Q682" s="34">
        <f>IF(AC682="","",IF(AD682=1,"C"&amp;TEXT(SUM(AD$6:AD682),"0000"),INDEX(Q$6:Q681,MATCH(AC682,AC$6:AC681,0))))</f>
        <v/>
      </c>
      <c r="R682" s="34">
        <f>IF(C682="","",IF(L682="☑ Oui","Annulée",IF(OR(E682="Vente directe",K682&lt;&gt;""),"Livrée",IF(J682&lt;&gt;"","Confirmée","En attente"))))</f>
        <v/>
      </c>
      <c r="S682" s="34">
        <f>IF(F682="","",IFERROR(VLOOKUP(F682,T_Produits,2,FALSE),""))</f>
        <v/>
      </c>
      <c r="T682" s="40">
        <f>IF(F682="","",IFERROR(1/(1/VLOOKUP(F682,T_Produits,3,FALSE)),""))</f>
        <v/>
      </c>
      <c r="U682" s="40">
        <f>IF(H682&lt;&gt;"",H682,T682)</f>
        <v/>
      </c>
      <c r="V682" s="40">
        <f>IF(OR(G682="",U682=""),"",G682*U682-N(I682))</f>
        <v/>
      </c>
      <c r="W682" s="39">
        <f>IF(D682="","",IFERROR(VALUE(MID(D682,LEN(D682)-3,3)),""))</f>
        <v/>
      </c>
      <c r="X682" s="33">
        <f>IF(W682="","",P682&amp;"|"&amp;W682)</f>
        <v/>
      </c>
      <c r="Y682" s="33">
        <f>IF(W682="","",IF(P682="À RENSEIGNER","GIC",P682)&amp;"-"&amp;TEXT(W682,"000"))</f>
        <v/>
      </c>
      <c r="Z682" s="33">
        <f>IF(X682="","",IFERROR(INDEX(Cl_nom,MATCH(X682,Cl_cle,0)),"(client introuvable)"))</f>
        <v/>
      </c>
      <c r="AA682" s="33">
        <f>IF(X682="","",IFERROR(INDEX(Cl_quartier,MATCH(X682,Cl_cle,0))&amp;"",""))</f>
        <v/>
      </c>
      <c r="AB682" s="45">
        <f>IF(R682&lt;&gt;"Livrée",0,IF(K682&lt;&gt;"",K682,C682))</f>
        <v/>
      </c>
      <c r="AC682" s="33">
        <f>IF(OR(C682="",W682=""),"",P682&amp;"|"&amp;W682&amp;"|"&amp;C682&amp;"|"&amp;E682)</f>
        <v/>
      </c>
      <c r="AD682" s="39">
        <f>IF(AC682="","",IF(COUNTIF(AC$6:AC682,AC682)=1,1,0))</f>
        <v/>
      </c>
      <c r="AE682" s="39">
        <f>IF(AB682=0,"",IF(COUNTIFS(X$6:X682,X682,AB$6:AB682,AB682)=1,1,0))</f>
        <v/>
      </c>
      <c r="AF682" s="34">
        <f>IF(C682="","",YEAR(C682-WEEKDAY(C682,2)+4)&amp;"-S"&amp;TEXT(INT((C682-DATE(YEAR(C682-WEEKDAY(C682,2)+4),1,3)+WEEKDAY(DATE(YEAR(C682-WEEKDAY(C682,2)+4),1,3),2)+5)/7),"00"))</f>
        <v/>
      </c>
    </row>
    <row r="683" ht="18" customHeight="1">
      <c r="A683" s="39" t="n">
        <v>678</v>
      </c>
      <c r="B683" s="33">
        <f>IF(C683="","",IF(P683="À RENSEIGNER","GIC",P683)&amp;"-C"&amp;TEXT(A683,"00000"))</f>
        <v/>
      </c>
      <c r="C683" s="32" t="n"/>
      <c r="D683" s="36" t="n"/>
      <c r="E683" s="36" t="n"/>
      <c r="F683" s="36" t="n"/>
      <c r="G683" s="42" t="n"/>
      <c r="H683" s="37" t="n"/>
      <c r="I683" s="37" t="n"/>
      <c r="J683" s="32" t="n"/>
      <c r="K683" s="32" t="n"/>
      <c r="L683" s="43" t="n"/>
      <c r="M683" s="36" t="n"/>
      <c r="N683" s="44" t="n"/>
      <c r="O683" s="36" t="n"/>
      <c r="P683" s="33">
        <f>IF(C683="","",Commercial_Id)</f>
        <v/>
      </c>
      <c r="Q683" s="34">
        <f>IF(AC683="","",IF(AD683=1,"C"&amp;TEXT(SUM(AD$6:AD683),"0000"),INDEX(Q$6:Q682,MATCH(AC683,AC$6:AC682,0))))</f>
        <v/>
      </c>
      <c r="R683" s="34">
        <f>IF(C683="","",IF(L683="☑ Oui","Annulée",IF(OR(E683="Vente directe",K683&lt;&gt;""),"Livrée",IF(J683&lt;&gt;"","Confirmée","En attente"))))</f>
        <v/>
      </c>
      <c r="S683" s="34">
        <f>IF(F683="","",IFERROR(VLOOKUP(F683,T_Produits,2,FALSE),""))</f>
        <v/>
      </c>
      <c r="T683" s="40">
        <f>IF(F683="","",IFERROR(1/(1/VLOOKUP(F683,T_Produits,3,FALSE)),""))</f>
        <v/>
      </c>
      <c r="U683" s="40">
        <f>IF(H683&lt;&gt;"",H683,T683)</f>
        <v/>
      </c>
      <c r="V683" s="40">
        <f>IF(OR(G683="",U683=""),"",G683*U683-N(I683))</f>
        <v/>
      </c>
      <c r="W683" s="39">
        <f>IF(D683="","",IFERROR(VALUE(MID(D683,LEN(D683)-3,3)),""))</f>
        <v/>
      </c>
      <c r="X683" s="33">
        <f>IF(W683="","",P683&amp;"|"&amp;W683)</f>
        <v/>
      </c>
      <c r="Y683" s="33">
        <f>IF(W683="","",IF(P683="À RENSEIGNER","GIC",P683)&amp;"-"&amp;TEXT(W683,"000"))</f>
        <v/>
      </c>
      <c r="Z683" s="33">
        <f>IF(X683="","",IFERROR(INDEX(Cl_nom,MATCH(X683,Cl_cle,0)),"(client introuvable)"))</f>
        <v/>
      </c>
      <c r="AA683" s="33">
        <f>IF(X683="","",IFERROR(INDEX(Cl_quartier,MATCH(X683,Cl_cle,0))&amp;"",""))</f>
        <v/>
      </c>
      <c r="AB683" s="45">
        <f>IF(R683&lt;&gt;"Livrée",0,IF(K683&lt;&gt;"",K683,C683))</f>
        <v/>
      </c>
      <c r="AC683" s="33">
        <f>IF(OR(C683="",W683=""),"",P683&amp;"|"&amp;W683&amp;"|"&amp;C683&amp;"|"&amp;E683)</f>
        <v/>
      </c>
      <c r="AD683" s="39">
        <f>IF(AC683="","",IF(COUNTIF(AC$6:AC683,AC683)=1,1,0))</f>
        <v/>
      </c>
      <c r="AE683" s="39">
        <f>IF(AB683=0,"",IF(COUNTIFS(X$6:X683,X683,AB$6:AB683,AB683)=1,1,0))</f>
        <v/>
      </c>
      <c r="AF683" s="34">
        <f>IF(C683="","",YEAR(C683-WEEKDAY(C683,2)+4)&amp;"-S"&amp;TEXT(INT((C683-DATE(YEAR(C683-WEEKDAY(C683,2)+4),1,3)+WEEKDAY(DATE(YEAR(C683-WEEKDAY(C683,2)+4),1,3),2)+5)/7),"00"))</f>
        <v/>
      </c>
    </row>
    <row r="684" ht="18" customHeight="1">
      <c r="A684" s="39" t="n">
        <v>679</v>
      </c>
      <c r="B684" s="33">
        <f>IF(C684="","",IF(P684="À RENSEIGNER","GIC",P684)&amp;"-C"&amp;TEXT(A684,"00000"))</f>
        <v/>
      </c>
      <c r="C684" s="32" t="n"/>
      <c r="D684" s="36" t="n"/>
      <c r="E684" s="36" t="n"/>
      <c r="F684" s="36" t="n"/>
      <c r="G684" s="42" t="n"/>
      <c r="H684" s="37" t="n"/>
      <c r="I684" s="37" t="n"/>
      <c r="J684" s="32" t="n"/>
      <c r="K684" s="32" t="n"/>
      <c r="L684" s="43" t="n"/>
      <c r="M684" s="36" t="n"/>
      <c r="N684" s="44" t="n"/>
      <c r="O684" s="36" t="n"/>
      <c r="P684" s="33">
        <f>IF(C684="","",Commercial_Id)</f>
        <v/>
      </c>
      <c r="Q684" s="34">
        <f>IF(AC684="","",IF(AD684=1,"C"&amp;TEXT(SUM(AD$6:AD684),"0000"),INDEX(Q$6:Q683,MATCH(AC684,AC$6:AC683,0))))</f>
        <v/>
      </c>
      <c r="R684" s="34">
        <f>IF(C684="","",IF(L684="☑ Oui","Annulée",IF(OR(E684="Vente directe",K684&lt;&gt;""),"Livrée",IF(J684&lt;&gt;"","Confirmée","En attente"))))</f>
        <v/>
      </c>
      <c r="S684" s="34">
        <f>IF(F684="","",IFERROR(VLOOKUP(F684,T_Produits,2,FALSE),""))</f>
        <v/>
      </c>
      <c r="T684" s="40">
        <f>IF(F684="","",IFERROR(1/(1/VLOOKUP(F684,T_Produits,3,FALSE)),""))</f>
        <v/>
      </c>
      <c r="U684" s="40">
        <f>IF(H684&lt;&gt;"",H684,T684)</f>
        <v/>
      </c>
      <c r="V684" s="40">
        <f>IF(OR(G684="",U684=""),"",G684*U684-N(I684))</f>
        <v/>
      </c>
      <c r="W684" s="39">
        <f>IF(D684="","",IFERROR(VALUE(MID(D684,LEN(D684)-3,3)),""))</f>
        <v/>
      </c>
      <c r="X684" s="33">
        <f>IF(W684="","",P684&amp;"|"&amp;W684)</f>
        <v/>
      </c>
      <c r="Y684" s="33">
        <f>IF(W684="","",IF(P684="À RENSEIGNER","GIC",P684)&amp;"-"&amp;TEXT(W684,"000"))</f>
        <v/>
      </c>
      <c r="Z684" s="33">
        <f>IF(X684="","",IFERROR(INDEX(Cl_nom,MATCH(X684,Cl_cle,0)),"(client introuvable)"))</f>
        <v/>
      </c>
      <c r="AA684" s="33">
        <f>IF(X684="","",IFERROR(INDEX(Cl_quartier,MATCH(X684,Cl_cle,0))&amp;"",""))</f>
        <v/>
      </c>
      <c r="AB684" s="45">
        <f>IF(R684&lt;&gt;"Livrée",0,IF(K684&lt;&gt;"",K684,C684))</f>
        <v/>
      </c>
      <c r="AC684" s="33">
        <f>IF(OR(C684="",W684=""),"",P684&amp;"|"&amp;W684&amp;"|"&amp;C684&amp;"|"&amp;E684)</f>
        <v/>
      </c>
      <c r="AD684" s="39">
        <f>IF(AC684="","",IF(COUNTIF(AC$6:AC684,AC684)=1,1,0))</f>
        <v/>
      </c>
      <c r="AE684" s="39">
        <f>IF(AB684=0,"",IF(COUNTIFS(X$6:X684,X684,AB$6:AB684,AB684)=1,1,0))</f>
        <v/>
      </c>
      <c r="AF684" s="34">
        <f>IF(C684="","",YEAR(C684-WEEKDAY(C684,2)+4)&amp;"-S"&amp;TEXT(INT((C684-DATE(YEAR(C684-WEEKDAY(C684,2)+4),1,3)+WEEKDAY(DATE(YEAR(C684-WEEKDAY(C684,2)+4),1,3),2)+5)/7),"00"))</f>
        <v/>
      </c>
    </row>
    <row r="685" ht="18" customHeight="1">
      <c r="A685" s="39" t="n">
        <v>680</v>
      </c>
      <c r="B685" s="33">
        <f>IF(C685="","",IF(P685="À RENSEIGNER","GIC",P685)&amp;"-C"&amp;TEXT(A685,"00000"))</f>
        <v/>
      </c>
      <c r="C685" s="32" t="n"/>
      <c r="D685" s="36" t="n"/>
      <c r="E685" s="36" t="n"/>
      <c r="F685" s="36" t="n"/>
      <c r="G685" s="42" t="n"/>
      <c r="H685" s="37" t="n"/>
      <c r="I685" s="37" t="n"/>
      <c r="J685" s="32" t="n"/>
      <c r="K685" s="32" t="n"/>
      <c r="L685" s="43" t="n"/>
      <c r="M685" s="36" t="n"/>
      <c r="N685" s="44" t="n"/>
      <c r="O685" s="36" t="n"/>
      <c r="P685" s="33">
        <f>IF(C685="","",Commercial_Id)</f>
        <v/>
      </c>
      <c r="Q685" s="34">
        <f>IF(AC685="","",IF(AD685=1,"C"&amp;TEXT(SUM(AD$6:AD685),"0000"),INDEX(Q$6:Q684,MATCH(AC685,AC$6:AC684,0))))</f>
        <v/>
      </c>
      <c r="R685" s="34">
        <f>IF(C685="","",IF(L685="☑ Oui","Annulée",IF(OR(E685="Vente directe",K685&lt;&gt;""),"Livrée",IF(J685&lt;&gt;"","Confirmée","En attente"))))</f>
        <v/>
      </c>
      <c r="S685" s="34">
        <f>IF(F685="","",IFERROR(VLOOKUP(F685,T_Produits,2,FALSE),""))</f>
        <v/>
      </c>
      <c r="T685" s="40">
        <f>IF(F685="","",IFERROR(1/(1/VLOOKUP(F685,T_Produits,3,FALSE)),""))</f>
        <v/>
      </c>
      <c r="U685" s="40">
        <f>IF(H685&lt;&gt;"",H685,T685)</f>
        <v/>
      </c>
      <c r="V685" s="40">
        <f>IF(OR(G685="",U685=""),"",G685*U685-N(I685))</f>
        <v/>
      </c>
      <c r="W685" s="39">
        <f>IF(D685="","",IFERROR(VALUE(MID(D685,LEN(D685)-3,3)),""))</f>
        <v/>
      </c>
      <c r="X685" s="33">
        <f>IF(W685="","",P685&amp;"|"&amp;W685)</f>
        <v/>
      </c>
      <c r="Y685" s="33">
        <f>IF(W685="","",IF(P685="À RENSEIGNER","GIC",P685)&amp;"-"&amp;TEXT(W685,"000"))</f>
        <v/>
      </c>
      <c r="Z685" s="33">
        <f>IF(X685="","",IFERROR(INDEX(Cl_nom,MATCH(X685,Cl_cle,0)),"(client introuvable)"))</f>
        <v/>
      </c>
      <c r="AA685" s="33">
        <f>IF(X685="","",IFERROR(INDEX(Cl_quartier,MATCH(X685,Cl_cle,0))&amp;"",""))</f>
        <v/>
      </c>
      <c r="AB685" s="45">
        <f>IF(R685&lt;&gt;"Livrée",0,IF(K685&lt;&gt;"",K685,C685))</f>
        <v/>
      </c>
      <c r="AC685" s="33">
        <f>IF(OR(C685="",W685=""),"",P685&amp;"|"&amp;W685&amp;"|"&amp;C685&amp;"|"&amp;E685)</f>
        <v/>
      </c>
      <c r="AD685" s="39">
        <f>IF(AC685="","",IF(COUNTIF(AC$6:AC685,AC685)=1,1,0))</f>
        <v/>
      </c>
      <c r="AE685" s="39">
        <f>IF(AB685=0,"",IF(COUNTIFS(X$6:X685,X685,AB$6:AB685,AB685)=1,1,0))</f>
        <v/>
      </c>
      <c r="AF685" s="34">
        <f>IF(C685="","",YEAR(C685-WEEKDAY(C685,2)+4)&amp;"-S"&amp;TEXT(INT((C685-DATE(YEAR(C685-WEEKDAY(C685,2)+4),1,3)+WEEKDAY(DATE(YEAR(C685-WEEKDAY(C685,2)+4),1,3),2)+5)/7),"00"))</f>
        <v/>
      </c>
    </row>
    <row r="686" ht="18" customHeight="1">
      <c r="A686" s="39" t="n">
        <v>681</v>
      </c>
      <c r="B686" s="33">
        <f>IF(C686="","",IF(P686="À RENSEIGNER","GIC",P686)&amp;"-C"&amp;TEXT(A686,"00000"))</f>
        <v/>
      </c>
      <c r="C686" s="32" t="n"/>
      <c r="D686" s="36" t="n"/>
      <c r="E686" s="36" t="n"/>
      <c r="F686" s="36" t="n"/>
      <c r="G686" s="42" t="n"/>
      <c r="H686" s="37" t="n"/>
      <c r="I686" s="37" t="n"/>
      <c r="J686" s="32" t="n"/>
      <c r="K686" s="32" t="n"/>
      <c r="L686" s="43" t="n"/>
      <c r="M686" s="36" t="n"/>
      <c r="N686" s="44" t="n"/>
      <c r="O686" s="36" t="n"/>
      <c r="P686" s="33">
        <f>IF(C686="","",Commercial_Id)</f>
        <v/>
      </c>
      <c r="Q686" s="34">
        <f>IF(AC686="","",IF(AD686=1,"C"&amp;TEXT(SUM(AD$6:AD686),"0000"),INDEX(Q$6:Q685,MATCH(AC686,AC$6:AC685,0))))</f>
        <v/>
      </c>
      <c r="R686" s="34">
        <f>IF(C686="","",IF(L686="☑ Oui","Annulée",IF(OR(E686="Vente directe",K686&lt;&gt;""),"Livrée",IF(J686&lt;&gt;"","Confirmée","En attente"))))</f>
        <v/>
      </c>
      <c r="S686" s="34">
        <f>IF(F686="","",IFERROR(VLOOKUP(F686,T_Produits,2,FALSE),""))</f>
        <v/>
      </c>
      <c r="T686" s="40">
        <f>IF(F686="","",IFERROR(1/(1/VLOOKUP(F686,T_Produits,3,FALSE)),""))</f>
        <v/>
      </c>
      <c r="U686" s="40">
        <f>IF(H686&lt;&gt;"",H686,T686)</f>
        <v/>
      </c>
      <c r="V686" s="40">
        <f>IF(OR(G686="",U686=""),"",G686*U686-N(I686))</f>
        <v/>
      </c>
      <c r="W686" s="39">
        <f>IF(D686="","",IFERROR(VALUE(MID(D686,LEN(D686)-3,3)),""))</f>
        <v/>
      </c>
      <c r="X686" s="33">
        <f>IF(W686="","",P686&amp;"|"&amp;W686)</f>
        <v/>
      </c>
      <c r="Y686" s="33">
        <f>IF(W686="","",IF(P686="À RENSEIGNER","GIC",P686)&amp;"-"&amp;TEXT(W686,"000"))</f>
        <v/>
      </c>
      <c r="Z686" s="33">
        <f>IF(X686="","",IFERROR(INDEX(Cl_nom,MATCH(X686,Cl_cle,0)),"(client introuvable)"))</f>
        <v/>
      </c>
      <c r="AA686" s="33">
        <f>IF(X686="","",IFERROR(INDEX(Cl_quartier,MATCH(X686,Cl_cle,0))&amp;"",""))</f>
        <v/>
      </c>
      <c r="AB686" s="45">
        <f>IF(R686&lt;&gt;"Livrée",0,IF(K686&lt;&gt;"",K686,C686))</f>
        <v/>
      </c>
      <c r="AC686" s="33">
        <f>IF(OR(C686="",W686=""),"",P686&amp;"|"&amp;W686&amp;"|"&amp;C686&amp;"|"&amp;E686)</f>
        <v/>
      </c>
      <c r="AD686" s="39">
        <f>IF(AC686="","",IF(COUNTIF(AC$6:AC686,AC686)=1,1,0))</f>
        <v/>
      </c>
      <c r="AE686" s="39">
        <f>IF(AB686=0,"",IF(COUNTIFS(X$6:X686,X686,AB$6:AB686,AB686)=1,1,0))</f>
        <v/>
      </c>
      <c r="AF686" s="34">
        <f>IF(C686="","",YEAR(C686-WEEKDAY(C686,2)+4)&amp;"-S"&amp;TEXT(INT((C686-DATE(YEAR(C686-WEEKDAY(C686,2)+4),1,3)+WEEKDAY(DATE(YEAR(C686-WEEKDAY(C686,2)+4),1,3),2)+5)/7),"00"))</f>
        <v/>
      </c>
    </row>
    <row r="687" ht="18" customHeight="1">
      <c r="A687" s="39" t="n">
        <v>682</v>
      </c>
      <c r="B687" s="33">
        <f>IF(C687="","",IF(P687="À RENSEIGNER","GIC",P687)&amp;"-C"&amp;TEXT(A687,"00000"))</f>
        <v/>
      </c>
      <c r="C687" s="32" t="n"/>
      <c r="D687" s="36" t="n"/>
      <c r="E687" s="36" t="n"/>
      <c r="F687" s="36" t="n"/>
      <c r="G687" s="42" t="n"/>
      <c r="H687" s="37" t="n"/>
      <c r="I687" s="37" t="n"/>
      <c r="J687" s="32" t="n"/>
      <c r="K687" s="32" t="n"/>
      <c r="L687" s="43" t="n"/>
      <c r="M687" s="36" t="n"/>
      <c r="N687" s="44" t="n"/>
      <c r="O687" s="36" t="n"/>
      <c r="P687" s="33">
        <f>IF(C687="","",Commercial_Id)</f>
        <v/>
      </c>
      <c r="Q687" s="34">
        <f>IF(AC687="","",IF(AD687=1,"C"&amp;TEXT(SUM(AD$6:AD687),"0000"),INDEX(Q$6:Q686,MATCH(AC687,AC$6:AC686,0))))</f>
        <v/>
      </c>
      <c r="R687" s="34">
        <f>IF(C687="","",IF(L687="☑ Oui","Annulée",IF(OR(E687="Vente directe",K687&lt;&gt;""),"Livrée",IF(J687&lt;&gt;"","Confirmée","En attente"))))</f>
        <v/>
      </c>
      <c r="S687" s="34">
        <f>IF(F687="","",IFERROR(VLOOKUP(F687,T_Produits,2,FALSE),""))</f>
        <v/>
      </c>
      <c r="T687" s="40">
        <f>IF(F687="","",IFERROR(1/(1/VLOOKUP(F687,T_Produits,3,FALSE)),""))</f>
        <v/>
      </c>
      <c r="U687" s="40">
        <f>IF(H687&lt;&gt;"",H687,T687)</f>
        <v/>
      </c>
      <c r="V687" s="40">
        <f>IF(OR(G687="",U687=""),"",G687*U687-N(I687))</f>
        <v/>
      </c>
      <c r="W687" s="39">
        <f>IF(D687="","",IFERROR(VALUE(MID(D687,LEN(D687)-3,3)),""))</f>
        <v/>
      </c>
      <c r="X687" s="33">
        <f>IF(W687="","",P687&amp;"|"&amp;W687)</f>
        <v/>
      </c>
      <c r="Y687" s="33">
        <f>IF(W687="","",IF(P687="À RENSEIGNER","GIC",P687)&amp;"-"&amp;TEXT(W687,"000"))</f>
        <v/>
      </c>
      <c r="Z687" s="33">
        <f>IF(X687="","",IFERROR(INDEX(Cl_nom,MATCH(X687,Cl_cle,0)),"(client introuvable)"))</f>
        <v/>
      </c>
      <c r="AA687" s="33">
        <f>IF(X687="","",IFERROR(INDEX(Cl_quartier,MATCH(X687,Cl_cle,0))&amp;"",""))</f>
        <v/>
      </c>
      <c r="AB687" s="45">
        <f>IF(R687&lt;&gt;"Livrée",0,IF(K687&lt;&gt;"",K687,C687))</f>
        <v/>
      </c>
      <c r="AC687" s="33">
        <f>IF(OR(C687="",W687=""),"",P687&amp;"|"&amp;W687&amp;"|"&amp;C687&amp;"|"&amp;E687)</f>
        <v/>
      </c>
      <c r="AD687" s="39">
        <f>IF(AC687="","",IF(COUNTIF(AC$6:AC687,AC687)=1,1,0))</f>
        <v/>
      </c>
      <c r="AE687" s="39">
        <f>IF(AB687=0,"",IF(COUNTIFS(X$6:X687,X687,AB$6:AB687,AB687)=1,1,0))</f>
        <v/>
      </c>
      <c r="AF687" s="34">
        <f>IF(C687="","",YEAR(C687-WEEKDAY(C687,2)+4)&amp;"-S"&amp;TEXT(INT((C687-DATE(YEAR(C687-WEEKDAY(C687,2)+4),1,3)+WEEKDAY(DATE(YEAR(C687-WEEKDAY(C687,2)+4),1,3),2)+5)/7),"00"))</f>
        <v/>
      </c>
    </row>
    <row r="688" ht="18" customHeight="1">
      <c r="A688" s="39" t="n">
        <v>683</v>
      </c>
      <c r="B688" s="33">
        <f>IF(C688="","",IF(P688="À RENSEIGNER","GIC",P688)&amp;"-C"&amp;TEXT(A688,"00000"))</f>
        <v/>
      </c>
      <c r="C688" s="32" t="n"/>
      <c r="D688" s="36" t="n"/>
      <c r="E688" s="36" t="n"/>
      <c r="F688" s="36" t="n"/>
      <c r="G688" s="42" t="n"/>
      <c r="H688" s="37" t="n"/>
      <c r="I688" s="37" t="n"/>
      <c r="J688" s="32" t="n"/>
      <c r="K688" s="32" t="n"/>
      <c r="L688" s="43" t="n"/>
      <c r="M688" s="36" t="n"/>
      <c r="N688" s="44" t="n"/>
      <c r="O688" s="36" t="n"/>
      <c r="P688" s="33">
        <f>IF(C688="","",Commercial_Id)</f>
        <v/>
      </c>
      <c r="Q688" s="34">
        <f>IF(AC688="","",IF(AD688=1,"C"&amp;TEXT(SUM(AD$6:AD688),"0000"),INDEX(Q$6:Q687,MATCH(AC688,AC$6:AC687,0))))</f>
        <v/>
      </c>
      <c r="R688" s="34">
        <f>IF(C688="","",IF(L688="☑ Oui","Annulée",IF(OR(E688="Vente directe",K688&lt;&gt;""),"Livrée",IF(J688&lt;&gt;"","Confirmée","En attente"))))</f>
        <v/>
      </c>
      <c r="S688" s="34">
        <f>IF(F688="","",IFERROR(VLOOKUP(F688,T_Produits,2,FALSE),""))</f>
        <v/>
      </c>
      <c r="T688" s="40">
        <f>IF(F688="","",IFERROR(1/(1/VLOOKUP(F688,T_Produits,3,FALSE)),""))</f>
        <v/>
      </c>
      <c r="U688" s="40">
        <f>IF(H688&lt;&gt;"",H688,T688)</f>
        <v/>
      </c>
      <c r="V688" s="40">
        <f>IF(OR(G688="",U688=""),"",G688*U688-N(I688))</f>
        <v/>
      </c>
      <c r="W688" s="39">
        <f>IF(D688="","",IFERROR(VALUE(MID(D688,LEN(D688)-3,3)),""))</f>
        <v/>
      </c>
      <c r="X688" s="33">
        <f>IF(W688="","",P688&amp;"|"&amp;W688)</f>
        <v/>
      </c>
      <c r="Y688" s="33">
        <f>IF(W688="","",IF(P688="À RENSEIGNER","GIC",P688)&amp;"-"&amp;TEXT(W688,"000"))</f>
        <v/>
      </c>
      <c r="Z688" s="33">
        <f>IF(X688="","",IFERROR(INDEX(Cl_nom,MATCH(X688,Cl_cle,0)),"(client introuvable)"))</f>
        <v/>
      </c>
      <c r="AA688" s="33">
        <f>IF(X688="","",IFERROR(INDEX(Cl_quartier,MATCH(X688,Cl_cle,0))&amp;"",""))</f>
        <v/>
      </c>
      <c r="AB688" s="45">
        <f>IF(R688&lt;&gt;"Livrée",0,IF(K688&lt;&gt;"",K688,C688))</f>
        <v/>
      </c>
      <c r="AC688" s="33">
        <f>IF(OR(C688="",W688=""),"",P688&amp;"|"&amp;W688&amp;"|"&amp;C688&amp;"|"&amp;E688)</f>
        <v/>
      </c>
      <c r="AD688" s="39">
        <f>IF(AC688="","",IF(COUNTIF(AC$6:AC688,AC688)=1,1,0))</f>
        <v/>
      </c>
      <c r="AE688" s="39">
        <f>IF(AB688=0,"",IF(COUNTIFS(X$6:X688,X688,AB$6:AB688,AB688)=1,1,0))</f>
        <v/>
      </c>
      <c r="AF688" s="34">
        <f>IF(C688="","",YEAR(C688-WEEKDAY(C688,2)+4)&amp;"-S"&amp;TEXT(INT((C688-DATE(YEAR(C688-WEEKDAY(C688,2)+4),1,3)+WEEKDAY(DATE(YEAR(C688-WEEKDAY(C688,2)+4),1,3),2)+5)/7),"00"))</f>
        <v/>
      </c>
    </row>
    <row r="689" ht="18" customHeight="1">
      <c r="A689" s="39" t="n">
        <v>684</v>
      </c>
      <c r="B689" s="33">
        <f>IF(C689="","",IF(P689="À RENSEIGNER","GIC",P689)&amp;"-C"&amp;TEXT(A689,"00000"))</f>
        <v/>
      </c>
      <c r="C689" s="32" t="n"/>
      <c r="D689" s="36" t="n"/>
      <c r="E689" s="36" t="n"/>
      <c r="F689" s="36" t="n"/>
      <c r="G689" s="42" t="n"/>
      <c r="H689" s="37" t="n"/>
      <c r="I689" s="37" t="n"/>
      <c r="J689" s="32" t="n"/>
      <c r="K689" s="32" t="n"/>
      <c r="L689" s="43" t="n"/>
      <c r="M689" s="36" t="n"/>
      <c r="N689" s="44" t="n"/>
      <c r="O689" s="36" t="n"/>
      <c r="P689" s="33">
        <f>IF(C689="","",Commercial_Id)</f>
        <v/>
      </c>
      <c r="Q689" s="34">
        <f>IF(AC689="","",IF(AD689=1,"C"&amp;TEXT(SUM(AD$6:AD689),"0000"),INDEX(Q$6:Q688,MATCH(AC689,AC$6:AC688,0))))</f>
        <v/>
      </c>
      <c r="R689" s="34">
        <f>IF(C689="","",IF(L689="☑ Oui","Annulée",IF(OR(E689="Vente directe",K689&lt;&gt;""),"Livrée",IF(J689&lt;&gt;"","Confirmée","En attente"))))</f>
        <v/>
      </c>
      <c r="S689" s="34">
        <f>IF(F689="","",IFERROR(VLOOKUP(F689,T_Produits,2,FALSE),""))</f>
        <v/>
      </c>
      <c r="T689" s="40">
        <f>IF(F689="","",IFERROR(1/(1/VLOOKUP(F689,T_Produits,3,FALSE)),""))</f>
        <v/>
      </c>
      <c r="U689" s="40">
        <f>IF(H689&lt;&gt;"",H689,T689)</f>
        <v/>
      </c>
      <c r="V689" s="40">
        <f>IF(OR(G689="",U689=""),"",G689*U689-N(I689))</f>
        <v/>
      </c>
      <c r="W689" s="39">
        <f>IF(D689="","",IFERROR(VALUE(MID(D689,LEN(D689)-3,3)),""))</f>
        <v/>
      </c>
      <c r="X689" s="33">
        <f>IF(W689="","",P689&amp;"|"&amp;W689)</f>
        <v/>
      </c>
      <c r="Y689" s="33">
        <f>IF(W689="","",IF(P689="À RENSEIGNER","GIC",P689)&amp;"-"&amp;TEXT(W689,"000"))</f>
        <v/>
      </c>
      <c r="Z689" s="33">
        <f>IF(X689="","",IFERROR(INDEX(Cl_nom,MATCH(X689,Cl_cle,0)),"(client introuvable)"))</f>
        <v/>
      </c>
      <c r="AA689" s="33">
        <f>IF(X689="","",IFERROR(INDEX(Cl_quartier,MATCH(X689,Cl_cle,0))&amp;"",""))</f>
        <v/>
      </c>
      <c r="AB689" s="45">
        <f>IF(R689&lt;&gt;"Livrée",0,IF(K689&lt;&gt;"",K689,C689))</f>
        <v/>
      </c>
      <c r="AC689" s="33">
        <f>IF(OR(C689="",W689=""),"",P689&amp;"|"&amp;W689&amp;"|"&amp;C689&amp;"|"&amp;E689)</f>
        <v/>
      </c>
      <c r="AD689" s="39">
        <f>IF(AC689="","",IF(COUNTIF(AC$6:AC689,AC689)=1,1,0))</f>
        <v/>
      </c>
      <c r="AE689" s="39">
        <f>IF(AB689=0,"",IF(COUNTIFS(X$6:X689,X689,AB$6:AB689,AB689)=1,1,0))</f>
        <v/>
      </c>
      <c r="AF689" s="34">
        <f>IF(C689="","",YEAR(C689-WEEKDAY(C689,2)+4)&amp;"-S"&amp;TEXT(INT((C689-DATE(YEAR(C689-WEEKDAY(C689,2)+4),1,3)+WEEKDAY(DATE(YEAR(C689-WEEKDAY(C689,2)+4),1,3),2)+5)/7),"00"))</f>
        <v/>
      </c>
    </row>
    <row r="690" ht="18" customHeight="1">
      <c r="A690" s="39" t="n">
        <v>685</v>
      </c>
      <c r="B690" s="33">
        <f>IF(C690="","",IF(P690="À RENSEIGNER","GIC",P690)&amp;"-C"&amp;TEXT(A690,"00000"))</f>
        <v/>
      </c>
      <c r="C690" s="32" t="n"/>
      <c r="D690" s="36" t="n"/>
      <c r="E690" s="36" t="n"/>
      <c r="F690" s="36" t="n"/>
      <c r="G690" s="42" t="n"/>
      <c r="H690" s="37" t="n"/>
      <c r="I690" s="37" t="n"/>
      <c r="J690" s="32" t="n"/>
      <c r="K690" s="32" t="n"/>
      <c r="L690" s="43" t="n"/>
      <c r="M690" s="36" t="n"/>
      <c r="N690" s="44" t="n"/>
      <c r="O690" s="36" t="n"/>
      <c r="P690" s="33">
        <f>IF(C690="","",Commercial_Id)</f>
        <v/>
      </c>
      <c r="Q690" s="34">
        <f>IF(AC690="","",IF(AD690=1,"C"&amp;TEXT(SUM(AD$6:AD690),"0000"),INDEX(Q$6:Q689,MATCH(AC690,AC$6:AC689,0))))</f>
        <v/>
      </c>
      <c r="R690" s="34">
        <f>IF(C690="","",IF(L690="☑ Oui","Annulée",IF(OR(E690="Vente directe",K690&lt;&gt;""),"Livrée",IF(J690&lt;&gt;"","Confirmée","En attente"))))</f>
        <v/>
      </c>
      <c r="S690" s="34">
        <f>IF(F690="","",IFERROR(VLOOKUP(F690,T_Produits,2,FALSE),""))</f>
        <v/>
      </c>
      <c r="T690" s="40">
        <f>IF(F690="","",IFERROR(1/(1/VLOOKUP(F690,T_Produits,3,FALSE)),""))</f>
        <v/>
      </c>
      <c r="U690" s="40">
        <f>IF(H690&lt;&gt;"",H690,T690)</f>
        <v/>
      </c>
      <c r="V690" s="40">
        <f>IF(OR(G690="",U690=""),"",G690*U690-N(I690))</f>
        <v/>
      </c>
      <c r="W690" s="39">
        <f>IF(D690="","",IFERROR(VALUE(MID(D690,LEN(D690)-3,3)),""))</f>
        <v/>
      </c>
      <c r="X690" s="33">
        <f>IF(W690="","",P690&amp;"|"&amp;W690)</f>
        <v/>
      </c>
      <c r="Y690" s="33">
        <f>IF(W690="","",IF(P690="À RENSEIGNER","GIC",P690)&amp;"-"&amp;TEXT(W690,"000"))</f>
        <v/>
      </c>
      <c r="Z690" s="33">
        <f>IF(X690="","",IFERROR(INDEX(Cl_nom,MATCH(X690,Cl_cle,0)),"(client introuvable)"))</f>
        <v/>
      </c>
      <c r="AA690" s="33">
        <f>IF(X690="","",IFERROR(INDEX(Cl_quartier,MATCH(X690,Cl_cle,0))&amp;"",""))</f>
        <v/>
      </c>
      <c r="AB690" s="45">
        <f>IF(R690&lt;&gt;"Livrée",0,IF(K690&lt;&gt;"",K690,C690))</f>
        <v/>
      </c>
      <c r="AC690" s="33">
        <f>IF(OR(C690="",W690=""),"",P690&amp;"|"&amp;W690&amp;"|"&amp;C690&amp;"|"&amp;E690)</f>
        <v/>
      </c>
      <c r="AD690" s="39">
        <f>IF(AC690="","",IF(COUNTIF(AC$6:AC690,AC690)=1,1,0))</f>
        <v/>
      </c>
      <c r="AE690" s="39">
        <f>IF(AB690=0,"",IF(COUNTIFS(X$6:X690,X690,AB$6:AB690,AB690)=1,1,0))</f>
        <v/>
      </c>
      <c r="AF690" s="34">
        <f>IF(C690="","",YEAR(C690-WEEKDAY(C690,2)+4)&amp;"-S"&amp;TEXT(INT((C690-DATE(YEAR(C690-WEEKDAY(C690,2)+4),1,3)+WEEKDAY(DATE(YEAR(C690-WEEKDAY(C690,2)+4),1,3),2)+5)/7),"00"))</f>
        <v/>
      </c>
    </row>
    <row r="691" ht="18" customHeight="1">
      <c r="A691" s="39" t="n">
        <v>686</v>
      </c>
      <c r="B691" s="33">
        <f>IF(C691="","",IF(P691="À RENSEIGNER","GIC",P691)&amp;"-C"&amp;TEXT(A691,"00000"))</f>
        <v/>
      </c>
      <c r="C691" s="32" t="n"/>
      <c r="D691" s="36" t="n"/>
      <c r="E691" s="36" t="n"/>
      <c r="F691" s="36" t="n"/>
      <c r="G691" s="42" t="n"/>
      <c r="H691" s="37" t="n"/>
      <c r="I691" s="37" t="n"/>
      <c r="J691" s="32" t="n"/>
      <c r="K691" s="32" t="n"/>
      <c r="L691" s="43" t="n"/>
      <c r="M691" s="36" t="n"/>
      <c r="N691" s="44" t="n"/>
      <c r="O691" s="36" t="n"/>
      <c r="P691" s="33">
        <f>IF(C691="","",Commercial_Id)</f>
        <v/>
      </c>
      <c r="Q691" s="34">
        <f>IF(AC691="","",IF(AD691=1,"C"&amp;TEXT(SUM(AD$6:AD691),"0000"),INDEX(Q$6:Q690,MATCH(AC691,AC$6:AC690,0))))</f>
        <v/>
      </c>
      <c r="R691" s="34">
        <f>IF(C691="","",IF(L691="☑ Oui","Annulée",IF(OR(E691="Vente directe",K691&lt;&gt;""),"Livrée",IF(J691&lt;&gt;"","Confirmée","En attente"))))</f>
        <v/>
      </c>
      <c r="S691" s="34">
        <f>IF(F691="","",IFERROR(VLOOKUP(F691,T_Produits,2,FALSE),""))</f>
        <v/>
      </c>
      <c r="T691" s="40">
        <f>IF(F691="","",IFERROR(1/(1/VLOOKUP(F691,T_Produits,3,FALSE)),""))</f>
        <v/>
      </c>
      <c r="U691" s="40">
        <f>IF(H691&lt;&gt;"",H691,T691)</f>
        <v/>
      </c>
      <c r="V691" s="40">
        <f>IF(OR(G691="",U691=""),"",G691*U691-N(I691))</f>
        <v/>
      </c>
      <c r="W691" s="39">
        <f>IF(D691="","",IFERROR(VALUE(MID(D691,LEN(D691)-3,3)),""))</f>
        <v/>
      </c>
      <c r="X691" s="33">
        <f>IF(W691="","",P691&amp;"|"&amp;W691)</f>
        <v/>
      </c>
      <c r="Y691" s="33">
        <f>IF(W691="","",IF(P691="À RENSEIGNER","GIC",P691)&amp;"-"&amp;TEXT(W691,"000"))</f>
        <v/>
      </c>
      <c r="Z691" s="33">
        <f>IF(X691="","",IFERROR(INDEX(Cl_nom,MATCH(X691,Cl_cle,0)),"(client introuvable)"))</f>
        <v/>
      </c>
      <c r="AA691" s="33">
        <f>IF(X691="","",IFERROR(INDEX(Cl_quartier,MATCH(X691,Cl_cle,0))&amp;"",""))</f>
        <v/>
      </c>
      <c r="AB691" s="45">
        <f>IF(R691&lt;&gt;"Livrée",0,IF(K691&lt;&gt;"",K691,C691))</f>
        <v/>
      </c>
      <c r="AC691" s="33">
        <f>IF(OR(C691="",W691=""),"",P691&amp;"|"&amp;W691&amp;"|"&amp;C691&amp;"|"&amp;E691)</f>
        <v/>
      </c>
      <c r="AD691" s="39">
        <f>IF(AC691="","",IF(COUNTIF(AC$6:AC691,AC691)=1,1,0))</f>
        <v/>
      </c>
      <c r="AE691" s="39">
        <f>IF(AB691=0,"",IF(COUNTIFS(X$6:X691,X691,AB$6:AB691,AB691)=1,1,0))</f>
        <v/>
      </c>
      <c r="AF691" s="34">
        <f>IF(C691="","",YEAR(C691-WEEKDAY(C691,2)+4)&amp;"-S"&amp;TEXT(INT((C691-DATE(YEAR(C691-WEEKDAY(C691,2)+4),1,3)+WEEKDAY(DATE(YEAR(C691-WEEKDAY(C691,2)+4),1,3),2)+5)/7),"00"))</f>
        <v/>
      </c>
    </row>
    <row r="692" ht="18" customHeight="1">
      <c r="A692" s="39" t="n">
        <v>687</v>
      </c>
      <c r="B692" s="33">
        <f>IF(C692="","",IF(P692="À RENSEIGNER","GIC",P692)&amp;"-C"&amp;TEXT(A692,"00000"))</f>
        <v/>
      </c>
      <c r="C692" s="32" t="n"/>
      <c r="D692" s="36" t="n"/>
      <c r="E692" s="36" t="n"/>
      <c r="F692" s="36" t="n"/>
      <c r="G692" s="42" t="n"/>
      <c r="H692" s="37" t="n"/>
      <c r="I692" s="37" t="n"/>
      <c r="J692" s="32" t="n"/>
      <c r="K692" s="32" t="n"/>
      <c r="L692" s="43" t="n"/>
      <c r="M692" s="36" t="n"/>
      <c r="N692" s="44" t="n"/>
      <c r="O692" s="36" t="n"/>
      <c r="P692" s="33">
        <f>IF(C692="","",Commercial_Id)</f>
        <v/>
      </c>
      <c r="Q692" s="34">
        <f>IF(AC692="","",IF(AD692=1,"C"&amp;TEXT(SUM(AD$6:AD692),"0000"),INDEX(Q$6:Q691,MATCH(AC692,AC$6:AC691,0))))</f>
        <v/>
      </c>
      <c r="R692" s="34">
        <f>IF(C692="","",IF(L692="☑ Oui","Annulée",IF(OR(E692="Vente directe",K692&lt;&gt;""),"Livrée",IF(J692&lt;&gt;"","Confirmée","En attente"))))</f>
        <v/>
      </c>
      <c r="S692" s="34">
        <f>IF(F692="","",IFERROR(VLOOKUP(F692,T_Produits,2,FALSE),""))</f>
        <v/>
      </c>
      <c r="T692" s="40">
        <f>IF(F692="","",IFERROR(1/(1/VLOOKUP(F692,T_Produits,3,FALSE)),""))</f>
        <v/>
      </c>
      <c r="U692" s="40">
        <f>IF(H692&lt;&gt;"",H692,T692)</f>
        <v/>
      </c>
      <c r="V692" s="40">
        <f>IF(OR(G692="",U692=""),"",G692*U692-N(I692))</f>
        <v/>
      </c>
      <c r="W692" s="39">
        <f>IF(D692="","",IFERROR(VALUE(MID(D692,LEN(D692)-3,3)),""))</f>
        <v/>
      </c>
      <c r="X692" s="33">
        <f>IF(W692="","",P692&amp;"|"&amp;W692)</f>
        <v/>
      </c>
      <c r="Y692" s="33">
        <f>IF(W692="","",IF(P692="À RENSEIGNER","GIC",P692)&amp;"-"&amp;TEXT(W692,"000"))</f>
        <v/>
      </c>
      <c r="Z692" s="33">
        <f>IF(X692="","",IFERROR(INDEX(Cl_nom,MATCH(X692,Cl_cle,0)),"(client introuvable)"))</f>
        <v/>
      </c>
      <c r="AA692" s="33">
        <f>IF(X692="","",IFERROR(INDEX(Cl_quartier,MATCH(X692,Cl_cle,0))&amp;"",""))</f>
        <v/>
      </c>
      <c r="AB692" s="45">
        <f>IF(R692&lt;&gt;"Livrée",0,IF(K692&lt;&gt;"",K692,C692))</f>
        <v/>
      </c>
      <c r="AC692" s="33">
        <f>IF(OR(C692="",W692=""),"",P692&amp;"|"&amp;W692&amp;"|"&amp;C692&amp;"|"&amp;E692)</f>
        <v/>
      </c>
      <c r="AD692" s="39">
        <f>IF(AC692="","",IF(COUNTIF(AC$6:AC692,AC692)=1,1,0))</f>
        <v/>
      </c>
      <c r="AE692" s="39">
        <f>IF(AB692=0,"",IF(COUNTIFS(X$6:X692,X692,AB$6:AB692,AB692)=1,1,0))</f>
        <v/>
      </c>
      <c r="AF692" s="34">
        <f>IF(C692="","",YEAR(C692-WEEKDAY(C692,2)+4)&amp;"-S"&amp;TEXT(INT((C692-DATE(YEAR(C692-WEEKDAY(C692,2)+4),1,3)+WEEKDAY(DATE(YEAR(C692-WEEKDAY(C692,2)+4),1,3),2)+5)/7),"00"))</f>
        <v/>
      </c>
    </row>
    <row r="693" ht="18" customHeight="1">
      <c r="A693" s="39" t="n">
        <v>688</v>
      </c>
      <c r="B693" s="33">
        <f>IF(C693="","",IF(P693="À RENSEIGNER","GIC",P693)&amp;"-C"&amp;TEXT(A693,"00000"))</f>
        <v/>
      </c>
      <c r="C693" s="32" t="n"/>
      <c r="D693" s="36" t="n"/>
      <c r="E693" s="36" t="n"/>
      <c r="F693" s="36" t="n"/>
      <c r="G693" s="42" t="n"/>
      <c r="H693" s="37" t="n"/>
      <c r="I693" s="37" t="n"/>
      <c r="J693" s="32" t="n"/>
      <c r="K693" s="32" t="n"/>
      <c r="L693" s="43" t="n"/>
      <c r="M693" s="36" t="n"/>
      <c r="N693" s="44" t="n"/>
      <c r="O693" s="36" t="n"/>
      <c r="P693" s="33">
        <f>IF(C693="","",Commercial_Id)</f>
        <v/>
      </c>
      <c r="Q693" s="34">
        <f>IF(AC693="","",IF(AD693=1,"C"&amp;TEXT(SUM(AD$6:AD693),"0000"),INDEX(Q$6:Q692,MATCH(AC693,AC$6:AC692,0))))</f>
        <v/>
      </c>
      <c r="R693" s="34">
        <f>IF(C693="","",IF(L693="☑ Oui","Annulée",IF(OR(E693="Vente directe",K693&lt;&gt;""),"Livrée",IF(J693&lt;&gt;"","Confirmée","En attente"))))</f>
        <v/>
      </c>
      <c r="S693" s="34">
        <f>IF(F693="","",IFERROR(VLOOKUP(F693,T_Produits,2,FALSE),""))</f>
        <v/>
      </c>
      <c r="T693" s="40">
        <f>IF(F693="","",IFERROR(1/(1/VLOOKUP(F693,T_Produits,3,FALSE)),""))</f>
        <v/>
      </c>
      <c r="U693" s="40">
        <f>IF(H693&lt;&gt;"",H693,T693)</f>
        <v/>
      </c>
      <c r="V693" s="40">
        <f>IF(OR(G693="",U693=""),"",G693*U693-N(I693))</f>
        <v/>
      </c>
      <c r="W693" s="39">
        <f>IF(D693="","",IFERROR(VALUE(MID(D693,LEN(D693)-3,3)),""))</f>
        <v/>
      </c>
      <c r="X693" s="33">
        <f>IF(W693="","",P693&amp;"|"&amp;W693)</f>
        <v/>
      </c>
      <c r="Y693" s="33">
        <f>IF(W693="","",IF(P693="À RENSEIGNER","GIC",P693)&amp;"-"&amp;TEXT(W693,"000"))</f>
        <v/>
      </c>
      <c r="Z693" s="33">
        <f>IF(X693="","",IFERROR(INDEX(Cl_nom,MATCH(X693,Cl_cle,0)),"(client introuvable)"))</f>
        <v/>
      </c>
      <c r="AA693" s="33">
        <f>IF(X693="","",IFERROR(INDEX(Cl_quartier,MATCH(X693,Cl_cle,0))&amp;"",""))</f>
        <v/>
      </c>
      <c r="AB693" s="45">
        <f>IF(R693&lt;&gt;"Livrée",0,IF(K693&lt;&gt;"",K693,C693))</f>
        <v/>
      </c>
      <c r="AC693" s="33">
        <f>IF(OR(C693="",W693=""),"",P693&amp;"|"&amp;W693&amp;"|"&amp;C693&amp;"|"&amp;E693)</f>
        <v/>
      </c>
      <c r="AD693" s="39">
        <f>IF(AC693="","",IF(COUNTIF(AC$6:AC693,AC693)=1,1,0))</f>
        <v/>
      </c>
      <c r="AE693" s="39">
        <f>IF(AB693=0,"",IF(COUNTIFS(X$6:X693,X693,AB$6:AB693,AB693)=1,1,0))</f>
        <v/>
      </c>
      <c r="AF693" s="34">
        <f>IF(C693="","",YEAR(C693-WEEKDAY(C693,2)+4)&amp;"-S"&amp;TEXT(INT((C693-DATE(YEAR(C693-WEEKDAY(C693,2)+4),1,3)+WEEKDAY(DATE(YEAR(C693-WEEKDAY(C693,2)+4),1,3),2)+5)/7),"00"))</f>
        <v/>
      </c>
    </row>
    <row r="694" ht="18" customHeight="1">
      <c r="A694" s="39" t="n">
        <v>689</v>
      </c>
      <c r="B694" s="33">
        <f>IF(C694="","",IF(P694="À RENSEIGNER","GIC",P694)&amp;"-C"&amp;TEXT(A694,"00000"))</f>
        <v/>
      </c>
      <c r="C694" s="32" t="n"/>
      <c r="D694" s="36" t="n"/>
      <c r="E694" s="36" t="n"/>
      <c r="F694" s="36" t="n"/>
      <c r="G694" s="42" t="n"/>
      <c r="H694" s="37" t="n"/>
      <c r="I694" s="37" t="n"/>
      <c r="J694" s="32" t="n"/>
      <c r="K694" s="32" t="n"/>
      <c r="L694" s="43" t="n"/>
      <c r="M694" s="36" t="n"/>
      <c r="N694" s="44" t="n"/>
      <c r="O694" s="36" t="n"/>
      <c r="P694" s="33">
        <f>IF(C694="","",Commercial_Id)</f>
        <v/>
      </c>
      <c r="Q694" s="34">
        <f>IF(AC694="","",IF(AD694=1,"C"&amp;TEXT(SUM(AD$6:AD694),"0000"),INDEX(Q$6:Q693,MATCH(AC694,AC$6:AC693,0))))</f>
        <v/>
      </c>
      <c r="R694" s="34">
        <f>IF(C694="","",IF(L694="☑ Oui","Annulée",IF(OR(E694="Vente directe",K694&lt;&gt;""),"Livrée",IF(J694&lt;&gt;"","Confirmée","En attente"))))</f>
        <v/>
      </c>
      <c r="S694" s="34">
        <f>IF(F694="","",IFERROR(VLOOKUP(F694,T_Produits,2,FALSE),""))</f>
        <v/>
      </c>
      <c r="T694" s="40">
        <f>IF(F694="","",IFERROR(1/(1/VLOOKUP(F694,T_Produits,3,FALSE)),""))</f>
        <v/>
      </c>
      <c r="U694" s="40">
        <f>IF(H694&lt;&gt;"",H694,T694)</f>
        <v/>
      </c>
      <c r="V694" s="40">
        <f>IF(OR(G694="",U694=""),"",G694*U694-N(I694))</f>
        <v/>
      </c>
      <c r="W694" s="39">
        <f>IF(D694="","",IFERROR(VALUE(MID(D694,LEN(D694)-3,3)),""))</f>
        <v/>
      </c>
      <c r="X694" s="33">
        <f>IF(W694="","",P694&amp;"|"&amp;W694)</f>
        <v/>
      </c>
      <c r="Y694" s="33">
        <f>IF(W694="","",IF(P694="À RENSEIGNER","GIC",P694)&amp;"-"&amp;TEXT(W694,"000"))</f>
        <v/>
      </c>
      <c r="Z694" s="33">
        <f>IF(X694="","",IFERROR(INDEX(Cl_nom,MATCH(X694,Cl_cle,0)),"(client introuvable)"))</f>
        <v/>
      </c>
      <c r="AA694" s="33">
        <f>IF(X694="","",IFERROR(INDEX(Cl_quartier,MATCH(X694,Cl_cle,0))&amp;"",""))</f>
        <v/>
      </c>
      <c r="AB694" s="45">
        <f>IF(R694&lt;&gt;"Livrée",0,IF(K694&lt;&gt;"",K694,C694))</f>
        <v/>
      </c>
      <c r="AC694" s="33">
        <f>IF(OR(C694="",W694=""),"",P694&amp;"|"&amp;W694&amp;"|"&amp;C694&amp;"|"&amp;E694)</f>
        <v/>
      </c>
      <c r="AD694" s="39">
        <f>IF(AC694="","",IF(COUNTIF(AC$6:AC694,AC694)=1,1,0))</f>
        <v/>
      </c>
      <c r="AE694" s="39">
        <f>IF(AB694=0,"",IF(COUNTIFS(X$6:X694,X694,AB$6:AB694,AB694)=1,1,0))</f>
        <v/>
      </c>
      <c r="AF694" s="34">
        <f>IF(C694="","",YEAR(C694-WEEKDAY(C694,2)+4)&amp;"-S"&amp;TEXT(INT((C694-DATE(YEAR(C694-WEEKDAY(C694,2)+4),1,3)+WEEKDAY(DATE(YEAR(C694-WEEKDAY(C694,2)+4),1,3),2)+5)/7),"00"))</f>
        <v/>
      </c>
    </row>
    <row r="695" ht="18" customHeight="1">
      <c r="A695" s="39" t="n">
        <v>690</v>
      </c>
      <c r="B695" s="33">
        <f>IF(C695="","",IF(P695="À RENSEIGNER","GIC",P695)&amp;"-C"&amp;TEXT(A695,"00000"))</f>
        <v/>
      </c>
      <c r="C695" s="32" t="n"/>
      <c r="D695" s="36" t="n"/>
      <c r="E695" s="36" t="n"/>
      <c r="F695" s="36" t="n"/>
      <c r="G695" s="42" t="n"/>
      <c r="H695" s="37" t="n"/>
      <c r="I695" s="37" t="n"/>
      <c r="J695" s="32" t="n"/>
      <c r="K695" s="32" t="n"/>
      <c r="L695" s="43" t="n"/>
      <c r="M695" s="36" t="n"/>
      <c r="N695" s="44" t="n"/>
      <c r="O695" s="36" t="n"/>
      <c r="P695" s="33">
        <f>IF(C695="","",Commercial_Id)</f>
        <v/>
      </c>
      <c r="Q695" s="34">
        <f>IF(AC695="","",IF(AD695=1,"C"&amp;TEXT(SUM(AD$6:AD695),"0000"),INDEX(Q$6:Q694,MATCH(AC695,AC$6:AC694,0))))</f>
        <v/>
      </c>
      <c r="R695" s="34">
        <f>IF(C695="","",IF(L695="☑ Oui","Annulée",IF(OR(E695="Vente directe",K695&lt;&gt;""),"Livrée",IF(J695&lt;&gt;"","Confirmée","En attente"))))</f>
        <v/>
      </c>
      <c r="S695" s="34">
        <f>IF(F695="","",IFERROR(VLOOKUP(F695,T_Produits,2,FALSE),""))</f>
        <v/>
      </c>
      <c r="T695" s="40">
        <f>IF(F695="","",IFERROR(1/(1/VLOOKUP(F695,T_Produits,3,FALSE)),""))</f>
        <v/>
      </c>
      <c r="U695" s="40">
        <f>IF(H695&lt;&gt;"",H695,T695)</f>
        <v/>
      </c>
      <c r="V695" s="40">
        <f>IF(OR(G695="",U695=""),"",G695*U695-N(I695))</f>
        <v/>
      </c>
      <c r="W695" s="39">
        <f>IF(D695="","",IFERROR(VALUE(MID(D695,LEN(D695)-3,3)),""))</f>
        <v/>
      </c>
      <c r="X695" s="33">
        <f>IF(W695="","",P695&amp;"|"&amp;W695)</f>
        <v/>
      </c>
      <c r="Y695" s="33">
        <f>IF(W695="","",IF(P695="À RENSEIGNER","GIC",P695)&amp;"-"&amp;TEXT(W695,"000"))</f>
        <v/>
      </c>
      <c r="Z695" s="33">
        <f>IF(X695="","",IFERROR(INDEX(Cl_nom,MATCH(X695,Cl_cle,0)),"(client introuvable)"))</f>
        <v/>
      </c>
      <c r="AA695" s="33">
        <f>IF(X695="","",IFERROR(INDEX(Cl_quartier,MATCH(X695,Cl_cle,0))&amp;"",""))</f>
        <v/>
      </c>
      <c r="AB695" s="45">
        <f>IF(R695&lt;&gt;"Livrée",0,IF(K695&lt;&gt;"",K695,C695))</f>
        <v/>
      </c>
      <c r="AC695" s="33">
        <f>IF(OR(C695="",W695=""),"",P695&amp;"|"&amp;W695&amp;"|"&amp;C695&amp;"|"&amp;E695)</f>
        <v/>
      </c>
      <c r="AD695" s="39">
        <f>IF(AC695="","",IF(COUNTIF(AC$6:AC695,AC695)=1,1,0))</f>
        <v/>
      </c>
      <c r="AE695" s="39">
        <f>IF(AB695=0,"",IF(COUNTIFS(X$6:X695,X695,AB$6:AB695,AB695)=1,1,0))</f>
        <v/>
      </c>
      <c r="AF695" s="34">
        <f>IF(C695="","",YEAR(C695-WEEKDAY(C695,2)+4)&amp;"-S"&amp;TEXT(INT((C695-DATE(YEAR(C695-WEEKDAY(C695,2)+4),1,3)+WEEKDAY(DATE(YEAR(C695-WEEKDAY(C695,2)+4),1,3),2)+5)/7),"00"))</f>
        <v/>
      </c>
    </row>
    <row r="696" ht="18" customHeight="1">
      <c r="A696" s="39" t="n">
        <v>691</v>
      </c>
      <c r="B696" s="33">
        <f>IF(C696="","",IF(P696="À RENSEIGNER","GIC",P696)&amp;"-C"&amp;TEXT(A696,"00000"))</f>
        <v/>
      </c>
      <c r="C696" s="32" t="n"/>
      <c r="D696" s="36" t="n"/>
      <c r="E696" s="36" t="n"/>
      <c r="F696" s="36" t="n"/>
      <c r="G696" s="42" t="n"/>
      <c r="H696" s="37" t="n"/>
      <c r="I696" s="37" t="n"/>
      <c r="J696" s="32" t="n"/>
      <c r="K696" s="32" t="n"/>
      <c r="L696" s="43" t="n"/>
      <c r="M696" s="36" t="n"/>
      <c r="N696" s="44" t="n"/>
      <c r="O696" s="36" t="n"/>
      <c r="P696" s="33">
        <f>IF(C696="","",Commercial_Id)</f>
        <v/>
      </c>
      <c r="Q696" s="34">
        <f>IF(AC696="","",IF(AD696=1,"C"&amp;TEXT(SUM(AD$6:AD696),"0000"),INDEX(Q$6:Q695,MATCH(AC696,AC$6:AC695,0))))</f>
        <v/>
      </c>
      <c r="R696" s="34">
        <f>IF(C696="","",IF(L696="☑ Oui","Annulée",IF(OR(E696="Vente directe",K696&lt;&gt;""),"Livrée",IF(J696&lt;&gt;"","Confirmée","En attente"))))</f>
        <v/>
      </c>
      <c r="S696" s="34">
        <f>IF(F696="","",IFERROR(VLOOKUP(F696,T_Produits,2,FALSE),""))</f>
        <v/>
      </c>
      <c r="T696" s="40">
        <f>IF(F696="","",IFERROR(1/(1/VLOOKUP(F696,T_Produits,3,FALSE)),""))</f>
        <v/>
      </c>
      <c r="U696" s="40">
        <f>IF(H696&lt;&gt;"",H696,T696)</f>
        <v/>
      </c>
      <c r="V696" s="40">
        <f>IF(OR(G696="",U696=""),"",G696*U696-N(I696))</f>
        <v/>
      </c>
      <c r="W696" s="39">
        <f>IF(D696="","",IFERROR(VALUE(MID(D696,LEN(D696)-3,3)),""))</f>
        <v/>
      </c>
      <c r="X696" s="33">
        <f>IF(W696="","",P696&amp;"|"&amp;W696)</f>
        <v/>
      </c>
      <c r="Y696" s="33">
        <f>IF(W696="","",IF(P696="À RENSEIGNER","GIC",P696)&amp;"-"&amp;TEXT(W696,"000"))</f>
        <v/>
      </c>
      <c r="Z696" s="33">
        <f>IF(X696="","",IFERROR(INDEX(Cl_nom,MATCH(X696,Cl_cle,0)),"(client introuvable)"))</f>
        <v/>
      </c>
      <c r="AA696" s="33">
        <f>IF(X696="","",IFERROR(INDEX(Cl_quartier,MATCH(X696,Cl_cle,0))&amp;"",""))</f>
        <v/>
      </c>
      <c r="AB696" s="45">
        <f>IF(R696&lt;&gt;"Livrée",0,IF(K696&lt;&gt;"",K696,C696))</f>
        <v/>
      </c>
      <c r="AC696" s="33">
        <f>IF(OR(C696="",W696=""),"",P696&amp;"|"&amp;W696&amp;"|"&amp;C696&amp;"|"&amp;E696)</f>
        <v/>
      </c>
      <c r="AD696" s="39">
        <f>IF(AC696="","",IF(COUNTIF(AC$6:AC696,AC696)=1,1,0))</f>
        <v/>
      </c>
      <c r="AE696" s="39">
        <f>IF(AB696=0,"",IF(COUNTIFS(X$6:X696,X696,AB$6:AB696,AB696)=1,1,0))</f>
        <v/>
      </c>
      <c r="AF696" s="34">
        <f>IF(C696="","",YEAR(C696-WEEKDAY(C696,2)+4)&amp;"-S"&amp;TEXT(INT((C696-DATE(YEAR(C696-WEEKDAY(C696,2)+4),1,3)+WEEKDAY(DATE(YEAR(C696-WEEKDAY(C696,2)+4),1,3),2)+5)/7),"00"))</f>
        <v/>
      </c>
    </row>
    <row r="697" ht="18" customHeight="1">
      <c r="A697" s="39" t="n">
        <v>692</v>
      </c>
      <c r="B697" s="33">
        <f>IF(C697="","",IF(P697="À RENSEIGNER","GIC",P697)&amp;"-C"&amp;TEXT(A697,"00000"))</f>
        <v/>
      </c>
      <c r="C697" s="32" t="n"/>
      <c r="D697" s="36" t="n"/>
      <c r="E697" s="36" t="n"/>
      <c r="F697" s="36" t="n"/>
      <c r="G697" s="42" t="n"/>
      <c r="H697" s="37" t="n"/>
      <c r="I697" s="37" t="n"/>
      <c r="J697" s="32" t="n"/>
      <c r="K697" s="32" t="n"/>
      <c r="L697" s="43" t="n"/>
      <c r="M697" s="36" t="n"/>
      <c r="N697" s="44" t="n"/>
      <c r="O697" s="36" t="n"/>
      <c r="P697" s="33">
        <f>IF(C697="","",Commercial_Id)</f>
        <v/>
      </c>
      <c r="Q697" s="34">
        <f>IF(AC697="","",IF(AD697=1,"C"&amp;TEXT(SUM(AD$6:AD697),"0000"),INDEX(Q$6:Q696,MATCH(AC697,AC$6:AC696,0))))</f>
        <v/>
      </c>
      <c r="R697" s="34">
        <f>IF(C697="","",IF(L697="☑ Oui","Annulée",IF(OR(E697="Vente directe",K697&lt;&gt;""),"Livrée",IF(J697&lt;&gt;"","Confirmée","En attente"))))</f>
        <v/>
      </c>
      <c r="S697" s="34">
        <f>IF(F697="","",IFERROR(VLOOKUP(F697,T_Produits,2,FALSE),""))</f>
        <v/>
      </c>
      <c r="T697" s="40">
        <f>IF(F697="","",IFERROR(1/(1/VLOOKUP(F697,T_Produits,3,FALSE)),""))</f>
        <v/>
      </c>
      <c r="U697" s="40">
        <f>IF(H697&lt;&gt;"",H697,T697)</f>
        <v/>
      </c>
      <c r="V697" s="40">
        <f>IF(OR(G697="",U697=""),"",G697*U697-N(I697))</f>
        <v/>
      </c>
      <c r="W697" s="39">
        <f>IF(D697="","",IFERROR(VALUE(MID(D697,LEN(D697)-3,3)),""))</f>
        <v/>
      </c>
      <c r="X697" s="33">
        <f>IF(W697="","",P697&amp;"|"&amp;W697)</f>
        <v/>
      </c>
      <c r="Y697" s="33">
        <f>IF(W697="","",IF(P697="À RENSEIGNER","GIC",P697)&amp;"-"&amp;TEXT(W697,"000"))</f>
        <v/>
      </c>
      <c r="Z697" s="33">
        <f>IF(X697="","",IFERROR(INDEX(Cl_nom,MATCH(X697,Cl_cle,0)),"(client introuvable)"))</f>
        <v/>
      </c>
      <c r="AA697" s="33">
        <f>IF(X697="","",IFERROR(INDEX(Cl_quartier,MATCH(X697,Cl_cle,0))&amp;"",""))</f>
        <v/>
      </c>
      <c r="AB697" s="45">
        <f>IF(R697&lt;&gt;"Livrée",0,IF(K697&lt;&gt;"",K697,C697))</f>
        <v/>
      </c>
      <c r="AC697" s="33">
        <f>IF(OR(C697="",W697=""),"",P697&amp;"|"&amp;W697&amp;"|"&amp;C697&amp;"|"&amp;E697)</f>
        <v/>
      </c>
      <c r="AD697" s="39">
        <f>IF(AC697="","",IF(COUNTIF(AC$6:AC697,AC697)=1,1,0))</f>
        <v/>
      </c>
      <c r="AE697" s="39">
        <f>IF(AB697=0,"",IF(COUNTIFS(X$6:X697,X697,AB$6:AB697,AB697)=1,1,0))</f>
        <v/>
      </c>
      <c r="AF697" s="34">
        <f>IF(C697="","",YEAR(C697-WEEKDAY(C697,2)+4)&amp;"-S"&amp;TEXT(INT((C697-DATE(YEAR(C697-WEEKDAY(C697,2)+4),1,3)+WEEKDAY(DATE(YEAR(C697-WEEKDAY(C697,2)+4),1,3),2)+5)/7),"00"))</f>
        <v/>
      </c>
    </row>
    <row r="698" ht="18" customHeight="1">
      <c r="A698" s="39" t="n">
        <v>693</v>
      </c>
      <c r="B698" s="33">
        <f>IF(C698="","",IF(P698="À RENSEIGNER","GIC",P698)&amp;"-C"&amp;TEXT(A698,"00000"))</f>
        <v/>
      </c>
      <c r="C698" s="32" t="n"/>
      <c r="D698" s="36" t="n"/>
      <c r="E698" s="36" t="n"/>
      <c r="F698" s="36" t="n"/>
      <c r="G698" s="42" t="n"/>
      <c r="H698" s="37" t="n"/>
      <c r="I698" s="37" t="n"/>
      <c r="J698" s="32" t="n"/>
      <c r="K698" s="32" t="n"/>
      <c r="L698" s="43" t="n"/>
      <c r="M698" s="36" t="n"/>
      <c r="N698" s="44" t="n"/>
      <c r="O698" s="36" t="n"/>
      <c r="P698" s="33">
        <f>IF(C698="","",Commercial_Id)</f>
        <v/>
      </c>
      <c r="Q698" s="34">
        <f>IF(AC698="","",IF(AD698=1,"C"&amp;TEXT(SUM(AD$6:AD698),"0000"),INDEX(Q$6:Q697,MATCH(AC698,AC$6:AC697,0))))</f>
        <v/>
      </c>
      <c r="R698" s="34">
        <f>IF(C698="","",IF(L698="☑ Oui","Annulée",IF(OR(E698="Vente directe",K698&lt;&gt;""),"Livrée",IF(J698&lt;&gt;"","Confirmée","En attente"))))</f>
        <v/>
      </c>
      <c r="S698" s="34">
        <f>IF(F698="","",IFERROR(VLOOKUP(F698,T_Produits,2,FALSE),""))</f>
        <v/>
      </c>
      <c r="T698" s="40">
        <f>IF(F698="","",IFERROR(1/(1/VLOOKUP(F698,T_Produits,3,FALSE)),""))</f>
        <v/>
      </c>
      <c r="U698" s="40">
        <f>IF(H698&lt;&gt;"",H698,T698)</f>
        <v/>
      </c>
      <c r="V698" s="40">
        <f>IF(OR(G698="",U698=""),"",G698*U698-N(I698))</f>
        <v/>
      </c>
      <c r="W698" s="39">
        <f>IF(D698="","",IFERROR(VALUE(MID(D698,LEN(D698)-3,3)),""))</f>
        <v/>
      </c>
      <c r="X698" s="33">
        <f>IF(W698="","",P698&amp;"|"&amp;W698)</f>
        <v/>
      </c>
      <c r="Y698" s="33">
        <f>IF(W698="","",IF(P698="À RENSEIGNER","GIC",P698)&amp;"-"&amp;TEXT(W698,"000"))</f>
        <v/>
      </c>
      <c r="Z698" s="33">
        <f>IF(X698="","",IFERROR(INDEX(Cl_nom,MATCH(X698,Cl_cle,0)),"(client introuvable)"))</f>
        <v/>
      </c>
      <c r="AA698" s="33">
        <f>IF(X698="","",IFERROR(INDEX(Cl_quartier,MATCH(X698,Cl_cle,0))&amp;"",""))</f>
        <v/>
      </c>
      <c r="AB698" s="45">
        <f>IF(R698&lt;&gt;"Livrée",0,IF(K698&lt;&gt;"",K698,C698))</f>
        <v/>
      </c>
      <c r="AC698" s="33">
        <f>IF(OR(C698="",W698=""),"",P698&amp;"|"&amp;W698&amp;"|"&amp;C698&amp;"|"&amp;E698)</f>
        <v/>
      </c>
      <c r="AD698" s="39">
        <f>IF(AC698="","",IF(COUNTIF(AC$6:AC698,AC698)=1,1,0))</f>
        <v/>
      </c>
      <c r="AE698" s="39">
        <f>IF(AB698=0,"",IF(COUNTIFS(X$6:X698,X698,AB$6:AB698,AB698)=1,1,0))</f>
        <v/>
      </c>
      <c r="AF698" s="34">
        <f>IF(C698="","",YEAR(C698-WEEKDAY(C698,2)+4)&amp;"-S"&amp;TEXT(INT((C698-DATE(YEAR(C698-WEEKDAY(C698,2)+4),1,3)+WEEKDAY(DATE(YEAR(C698-WEEKDAY(C698,2)+4),1,3),2)+5)/7),"00"))</f>
        <v/>
      </c>
    </row>
    <row r="699" ht="18" customHeight="1">
      <c r="A699" s="39" t="n">
        <v>694</v>
      </c>
      <c r="B699" s="33">
        <f>IF(C699="","",IF(P699="À RENSEIGNER","GIC",P699)&amp;"-C"&amp;TEXT(A699,"00000"))</f>
        <v/>
      </c>
      <c r="C699" s="32" t="n"/>
      <c r="D699" s="36" t="n"/>
      <c r="E699" s="36" t="n"/>
      <c r="F699" s="36" t="n"/>
      <c r="G699" s="42" t="n"/>
      <c r="H699" s="37" t="n"/>
      <c r="I699" s="37" t="n"/>
      <c r="J699" s="32" t="n"/>
      <c r="K699" s="32" t="n"/>
      <c r="L699" s="43" t="n"/>
      <c r="M699" s="36" t="n"/>
      <c r="N699" s="44" t="n"/>
      <c r="O699" s="36" t="n"/>
      <c r="P699" s="33">
        <f>IF(C699="","",Commercial_Id)</f>
        <v/>
      </c>
      <c r="Q699" s="34">
        <f>IF(AC699="","",IF(AD699=1,"C"&amp;TEXT(SUM(AD$6:AD699),"0000"),INDEX(Q$6:Q698,MATCH(AC699,AC$6:AC698,0))))</f>
        <v/>
      </c>
      <c r="R699" s="34">
        <f>IF(C699="","",IF(L699="☑ Oui","Annulée",IF(OR(E699="Vente directe",K699&lt;&gt;""),"Livrée",IF(J699&lt;&gt;"","Confirmée","En attente"))))</f>
        <v/>
      </c>
      <c r="S699" s="34">
        <f>IF(F699="","",IFERROR(VLOOKUP(F699,T_Produits,2,FALSE),""))</f>
        <v/>
      </c>
      <c r="T699" s="40">
        <f>IF(F699="","",IFERROR(1/(1/VLOOKUP(F699,T_Produits,3,FALSE)),""))</f>
        <v/>
      </c>
      <c r="U699" s="40">
        <f>IF(H699&lt;&gt;"",H699,T699)</f>
        <v/>
      </c>
      <c r="V699" s="40">
        <f>IF(OR(G699="",U699=""),"",G699*U699-N(I699))</f>
        <v/>
      </c>
      <c r="W699" s="39">
        <f>IF(D699="","",IFERROR(VALUE(MID(D699,LEN(D699)-3,3)),""))</f>
        <v/>
      </c>
      <c r="X699" s="33">
        <f>IF(W699="","",P699&amp;"|"&amp;W699)</f>
        <v/>
      </c>
      <c r="Y699" s="33">
        <f>IF(W699="","",IF(P699="À RENSEIGNER","GIC",P699)&amp;"-"&amp;TEXT(W699,"000"))</f>
        <v/>
      </c>
      <c r="Z699" s="33">
        <f>IF(X699="","",IFERROR(INDEX(Cl_nom,MATCH(X699,Cl_cle,0)),"(client introuvable)"))</f>
        <v/>
      </c>
      <c r="AA699" s="33">
        <f>IF(X699="","",IFERROR(INDEX(Cl_quartier,MATCH(X699,Cl_cle,0))&amp;"",""))</f>
        <v/>
      </c>
      <c r="AB699" s="45">
        <f>IF(R699&lt;&gt;"Livrée",0,IF(K699&lt;&gt;"",K699,C699))</f>
        <v/>
      </c>
      <c r="AC699" s="33">
        <f>IF(OR(C699="",W699=""),"",P699&amp;"|"&amp;W699&amp;"|"&amp;C699&amp;"|"&amp;E699)</f>
        <v/>
      </c>
      <c r="AD699" s="39">
        <f>IF(AC699="","",IF(COUNTIF(AC$6:AC699,AC699)=1,1,0))</f>
        <v/>
      </c>
      <c r="AE699" s="39">
        <f>IF(AB699=0,"",IF(COUNTIFS(X$6:X699,X699,AB$6:AB699,AB699)=1,1,0))</f>
        <v/>
      </c>
      <c r="AF699" s="34">
        <f>IF(C699="","",YEAR(C699-WEEKDAY(C699,2)+4)&amp;"-S"&amp;TEXT(INT((C699-DATE(YEAR(C699-WEEKDAY(C699,2)+4),1,3)+WEEKDAY(DATE(YEAR(C699-WEEKDAY(C699,2)+4),1,3),2)+5)/7),"00"))</f>
        <v/>
      </c>
    </row>
    <row r="700" ht="18" customHeight="1">
      <c r="A700" s="39" t="n">
        <v>695</v>
      </c>
      <c r="B700" s="33">
        <f>IF(C700="","",IF(P700="À RENSEIGNER","GIC",P700)&amp;"-C"&amp;TEXT(A700,"00000"))</f>
        <v/>
      </c>
      <c r="C700" s="32" t="n"/>
      <c r="D700" s="36" t="n"/>
      <c r="E700" s="36" t="n"/>
      <c r="F700" s="36" t="n"/>
      <c r="G700" s="42" t="n"/>
      <c r="H700" s="37" t="n"/>
      <c r="I700" s="37" t="n"/>
      <c r="J700" s="32" t="n"/>
      <c r="K700" s="32" t="n"/>
      <c r="L700" s="43" t="n"/>
      <c r="M700" s="36" t="n"/>
      <c r="N700" s="44" t="n"/>
      <c r="O700" s="36" t="n"/>
      <c r="P700" s="33">
        <f>IF(C700="","",Commercial_Id)</f>
        <v/>
      </c>
      <c r="Q700" s="34">
        <f>IF(AC700="","",IF(AD700=1,"C"&amp;TEXT(SUM(AD$6:AD700),"0000"),INDEX(Q$6:Q699,MATCH(AC700,AC$6:AC699,0))))</f>
        <v/>
      </c>
      <c r="R700" s="34">
        <f>IF(C700="","",IF(L700="☑ Oui","Annulée",IF(OR(E700="Vente directe",K700&lt;&gt;""),"Livrée",IF(J700&lt;&gt;"","Confirmée","En attente"))))</f>
        <v/>
      </c>
      <c r="S700" s="34">
        <f>IF(F700="","",IFERROR(VLOOKUP(F700,T_Produits,2,FALSE),""))</f>
        <v/>
      </c>
      <c r="T700" s="40">
        <f>IF(F700="","",IFERROR(1/(1/VLOOKUP(F700,T_Produits,3,FALSE)),""))</f>
        <v/>
      </c>
      <c r="U700" s="40">
        <f>IF(H700&lt;&gt;"",H700,T700)</f>
        <v/>
      </c>
      <c r="V700" s="40">
        <f>IF(OR(G700="",U700=""),"",G700*U700-N(I700))</f>
        <v/>
      </c>
      <c r="W700" s="39">
        <f>IF(D700="","",IFERROR(VALUE(MID(D700,LEN(D700)-3,3)),""))</f>
        <v/>
      </c>
      <c r="X700" s="33">
        <f>IF(W700="","",P700&amp;"|"&amp;W700)</f>
        <v/>
      </c>
      <c r="Y700" s="33">
        <f>IF(W700="","",IF(P700="À RENSEIGNER","GIC",P700)&amp;"-"&amp;TEXT(W700,"000"))</f>
        <v/>
      </c>
      <c r="Z700" s="33">
        <f>IF(X700="","",IFERROR(INDEX(Cl_nom,MATCH(X700,Cl_cle,0)),"(client introuvable)"))</f>
        <v/>
      </c>
      <c r="AA700" s="33">
        <f>IF(X700="","",IFERROR(INDEX(Cl_quartier,MATCH(X700,Cl_cle,0))&amp;"",""))</f>
        <v/>
      </c>
      <c r="AB700" s="45">
        <f>IF(R700&lt;&gt;"Livrée",0,IF(K700&lt;&gt;"",K700,C700))</f>
        <v/>
      </c>
      <c r="AC700" s="33">
        <f>IF(OR(C700="",W700=""),"",P700&amp;"|"&amp;W700&amp;"|"&amp;C700&amp;"|"&amp;E700)</f>
        <v/>
      </c>
      <c r="AD700" s="39">
        <f>IF(AC700="","",IF(COUNTIF(AC$6:AC700,AC700)=1,1,0))</f>
        <v/>
      </c>
      <c r="AE700" s="39">
        <f>IF(AB700=0,"",IF(COUNTIFS(X$6:X700,X700,AB$6:AB700,AB700)=1,1,0))</f>
        <v/>
      </c>
      <c r="AF700" s="34">
        <f>IF(C700="","",YEAR(C700-WEEKDAY(C700,2)+4)&amp;"-S"&amp;TEXT(INT((C700-DATE(YEAR(C700-WEEKDAY(C700,2)+4),1,3)+WEEKDAY(DATE(YEAR(C700-WEEKDAY(C700,2)+4),1,3),2)+5)/7),"00"))</f>
        <v/>
      </c>
    </row>
    <row r="701" ht="18" customHeight="1">
      <c r="A701" s="39" t="n">
        <v>696</v>
      </c>
      <c r="B701" s="33">
        <f>IF(C701="","",IF(P701="À RENSEIGNER","GIC",P701)&amp;"-C"&amp;TEXT(A701,"00000"))</f>
        <v/>
      </c>
      <c r="C701" s="32" t="n"/>
      <c r="D701" s="36" t="n"/>
      <c r="E701" s="36" t="n"/>
      <c r="F701" s="36" t="n"/>
      <c r="G701" s="42" t="n"/>
      <c r="H701" s="37" t="n"/>
      <c r="I701" s="37" t="n"/>
      <c r="J701" s="32" t="n"/>
      <c r="K701" s="32" t="n"/>
      <c r="L701" s="43" t="n"/>
      <c r="M701" s="36" t="n"/>
      <c r="N701" s="44" t="n"/>
      <c r="O701" s="36" t="n"/>
      <c r="P701" s="33">
        <f>IF(C701="","",Commercial_Id)</f>
        <v/>
      </c>
      <c r="Q701" s="34">
        <f>IF(AC701="","",IF(AD701=1,"C"&amp;TEXT(SUM(AD$6:AD701),"0000"),INDEX(Q$6:Q700,MATCH(AC701,AC$6:AC700,0))))</f>
        <v/>
      </c>
      <c r="R701" s="34">
        <f>IF(C701="","",IF(L701="☑ Oui","Annulée",IF(OR(E701="Vente directe",K701&lt;&gt;""),"Livrée",IF(J701&lt;&gt;"","Confirmée","En attente"))))</f>
        <v/>
      </c>
      <c r="S701" s="34">
        <f>IF(F701="","",IFERROR(VLOOKUP(F701,T_Produits,2,FALSE),""))</f>
        <v/>
      </c>
      <c r="T701" s="40">
        <f>IF(F701="","",IFERROR(1/(1/VLOOKUP(F701,T_Produits,3,FALSE)),""))</f>
        <v/>
      </c>
      <c r="U701" s="40">
        <f>IF(H701&lt;&gt;"",H701,T701)</f>
        <v/>
      </c>
      <c r="V701" s="40">
        <f>IF(OR(G701="",U701=""),"",G701*U701-N(I701))</f>
        <v/>
      </c>
      <c r="W701" s="39">
        <f>IF(D701="","",IFERROR(VALUE(MID(D701,LEN(D701)-3,3)),""))</f>
        <v/>
      </c>
      <c r="X701" s="33">
        <f>IF(W701="","",P701&amp;"|"&amp;W701)</f>
        <v/>
      </c>
      <c r="Y701" s="33">
        <f>IF(W701="","",IF(P701="À RENSEIGNER","GIC",P701)&amp;"-"&amp;TEXT(W701,"000"))</f>
        <v/>
      </c>
      <c r="Z701" s="33">
        <f>IF(X701="","",IFERROR(INDEX(Cl_nom,MATCH(X701,Cl_cle,0)),"(client introuvable)"))</f>
        <v/>
      </c>
      <c r="AA701" s="33">
        <f>IF(X701="","",IFERROR(INDEX(Cl_quartier,MATCH(X701,Cl_cle,0))&amp;"",""))</f>
        <v/>
      </c>
      <c r="AB701" s="45">
        <f>IF(R701&lt;&gt;"Livrée",0,IF(K701&lt;&gt;"",K701,C701))</f>
        <v/>
      </c>
      <c r="AC701" s="33">
        <f>IF(OR(C701="",W701=""),"",P701&amp;"|"&amp;W701&amp;"|"&amp;C701&amp;"|"&amp;E701)</f>
        <v/>
      </c>
      <c r="AD701" s="39">
        <f>IF(AC701="","",IF(COUNTIF(AC$6:AC701,AC701)=1,1,0))</f>
        <v/>
      </c>
      <c r="AE701" s="39">
        <f>IF(AB701=0,"",IF(COUNTIFS(X$6:X701,X701,AB$6:AB701,AB701)=1,1,0))</f>
        <v/>
      </c>
      <c r="AF701" s="34">
        <f>IF(C701="","",YEAR(C701-WEEKDAY(C701,2)+4)&amp;"-S"&amp;TEXT(INT((C701-DATE(YEAR(C701-WEEKDAY(C701,2)+4),1,3)+WEEKDAY(DATE(YEAR(C701-WEEKDAY(C701,2)+4),1,3),2)+5)/7),"00"))</f>
        <v/>
      </c>
    </row>
    <row r="702" ht="18" customHeight="1">
      <c r="A702" s="39" t="n">
        <v>697</v>
      </c>
      <c r="B702" s="33">
        <f>IF(C702="","",IF(P702="À RENSEIGNER","GIC",P702)&amp;"-C"&amp;TEXT(A702,"00000"))</f>
        <v/>
      </c>
      <c r="C702" s="32" t="n"/>
      <c r="D702" s="36" t="n"/>
      <c r="E702" s="36" t="n"/>
      <c r="F702" s="36" t="n"/>
      <c r="G702" s="42" t="n"/>
      <c r="H702" s="37" t="n"/>
      <c r="I702" s="37" t="n"/>
      <c r="J702" s="32" t="n"/>
      <c r="K702" s="32" t="n"/>
      <c r="L702" s="43" t="n"/>
      <c r="M702" s="36" t="n"/>
      <c r="N702" s="44" t="n"/>
      <c r="O702" s="36" t="n"/>
      <c r="P702" s="33">
        <f>IF(C702="","",Commercial_Id)</f>
        <v/>
      </c>
      <c r="Q702" s="34">
        <f>IF(AC702="","",IF(AD702=1,"C"&amp;TEXT(SUM(AD$6:AD702),"0000"),INDEX(Q$6:Q701,MATCH(AC702,AC$6:AC701,0))))</f>
        <v/>
      </c>
      <c r="R702" s="34">
        <f>IF(C702="","",IF(L702="☑ Oui","Annulée",IF(OR(E702="Vente directe",K702&lt;&gt;""),"Livrée",IF(J702&lt;&gt;"","Confirmée","En attente"))))</f>
        <v/>
      </c>
      <c r="S702" s="34">
        <f>IF(F702="","",IFERROR(VLOOKUP(F702,T_Produits,2,FALSE),""))</f>
        <v/>
      </c>
      <c r="T702" s="40">
        <f>IF(F702="","",IFERROR(1/(1/VLOOKUP(F702,T_Produits,3,FALSE)),""))</f>
        <v/>
      </c>
      <c r="U702" s="40">
        <f>IF(H702&lt;&gt;"",H702,T702)</f>
        <v/>
      </c>
      <c r="V702" s="40">
        <f>IF(OR(G702="",U702=""),"",G702*U702-N(I702))</f>
        <v/>
      </c>
      <c r="W702" s="39">
        <f>IF(D702="","",IFERROR(VALUE(MID(D702,LEN(D702)-3,3)),""))</f>
        <v/>
      </c>
      <c r="X702" s="33">
        <f>IF(W702="","",P702&amp;"|"&amp;W702)</f>
        <v/>
      </c>
      <c r="Y702" s="33">
        <f>IF(W702="","",IF(P702="À RENSEIGNER","GIC",P702)&amp;"-"&amp;TEXT(W702,"000"))</f>
        <v/>
      </c>
      <c r="Z702" s="33">
        <f>IF(X702="","",IFERROR(INDEX(Cl_nom,MATCH(X702,Cl_cle,0)),"(client introuvable)"))</f>
        <v/>
      </c>
      <c r="AA702" s="33">
        <f>IF(X702="","",IFERROR(INDEX(Cl_quartier,MATCH(X702,Cl_cle,0))&amp;"",""))</f>
        <v/>
      </c>
      <c r="AB702" s="45">
        <f>IF(R702&lt;&gt;"Livrée",0,IF(K702&lt;&gt;"",K702,C702))</f>
        <v/>
      </c>
      <c r="AC702" s="33">
        <f>IF(OR(C702="",W702=""),"",P702&amp;"|"&amp;W702&amp;"|"&amp;C702&amp;"|"&amp;E702)</f>
        <v/>
      </c>
      <c r="AD702" s="39">
        <f>IF(AC702="","",IF(COUNTIF(AC$6:AC702,AC702)=1,1,0))</f>
        <v/>
      </c>
      <c r="AE702" s="39">
        <f>IF(AB702=0,"",IF(COUNTIFS(X$6:X702,X702,AB$6:AB702,AB702)=1,1,0))</f>
        <v/>
      </c>
      <c r="AF702" s="34">
        <f>IF(C702="","",YEAR(C702-WEEKDAY(C702,2)+4)&amp;"-S"&amp;TEXT(INT((C702-DATE(YEAR(C702-WEEKDAY(C702,2)+4),1,3)+WEEKDAY(DATE(YEAR(C702-WEEKDAY(C702,2)+4),1,3),2)+5)/7),"00"))</f>
        <v/>
      </c>
    </row>
    <row r="703" ht="18" customHeight="1">
      <c r="A703" s="39" t="n">
        <v>698</v>
      </c>
      <c r="B703" s="33">
        <f>IF(C703="","",IF(P703="À RENSEIGNER","GIC",P703)&amp;"-C"&amp;TEXT(A703,"00000"))</f>
        <v/>
      </c>
      <c r="C703" s="32" t="n"/>
      <c r="D703" s="36" t="n"/>
      <c r="E703" s="36" t="n"/>
      <c r="F703" s="36" t="n"/>
      <c r="G703" s="42" t="n"/>
      <c r="H703" s="37" t="n"/>
      <c r="I703" s="37" t="n"/>
      <c r="J703" s="32" t="n"/>
      <c r="K703" s="32" t="n"/>
      <c r="L703" s="43" t="n"/>
      <c r="M703" s="36" t="n"/>
      <c r="N703" s="44" t="n"/>
      <c r="O703" s="36" t="n"/>
      <c r="P703" s="33">
        <f>IF(C703="","",Commercial_Id)</f>
        <v/>
      </c>
      <c r="Q703" s="34">
        <f>IF(AC703="","",IF(AD703=1,"C"&amp;TEXT(SUM(AD$6:AD703),"0000"),INDEX(Q$6:Q702,MATCH(AC703,AC$6:AC702,0))))</f>
        <v/>
      </c>
      <c r="R703" s="34">
        <f>IF(C703="","",IF(L703="☑ Oui","Annulée",IF(OR(E703="Vente directe",K703&lt;&gt;""),"Livrée",IF(J703&lt;&gt;"","Confirmée","En attente"))))</f>
        <v/>
      </c>
      <c r="S703" s="34">
        <f>IF(F703="","",IFERROR(VLOOKUP(F703,T_Produits,2,FALSE),""))</f>
        <v/>
      </c>
      <c r="T703" s="40">
        <f>IF(F703="","",IFERROR(1/(1/VLOOKUP(F703,T_Produits,3,FALSE)),""))</f>
        <v/>
      </c>
      <c r="U703" s="40">
        <f>IF(H703&lt;&gt;"",H703,T703)</f>
        <v/>
      </c>
      <c r="V703" s="40">
        <f>IF(OR(G703="",U703=""),"",G703*U703-N(I703))</f>
        <v/>
      </c>
      <c r="W703" s="39">
        <f>IF(D703="","",IFERROR(VALUE(MID(D703,LEN(D703)-3,3)),""))</f>
        <v/>
      </c>
      <c r="X703" s="33">
        <f>IF(W703="","",P703&amp;"|"&amp;W703)</f>
        <v/>
      </c>
      <c r="Y703" s="33">
        <f>IF(W703="","",IF(P703="À RENSEIGNER","GIC",P703)&amp;"-"&amp;TEXT(W703,"000"))</f>
        <v/>
      </c>
      <c r="Z703" s="33">
        <f>IF(X703="","",IFERROR(INDEX(Cl_nom,MATCH(X703,Cl_cle,0)),"(client introuvable)"))</f>
        <v/>
      </c>
      <c r="AA703" s="33">
        <f>IF(X703="","",IFERROR(INDEX(Cl_quartier,MATCH(X703,Cl_cle,0))&amp;"",""))</f>
        <v/>
      </c>
      <c r="AB703" s="45">
        <f>IF(R703&lt;&gt;"Livrée",0,IF(K703&lt;&gt;"",K703,C703))</f>
        <v/>
      </c>
      <c r="AC703" s="33">
        <f>IF(OR(C703="",W703=""),"",P703&amp;"|"&amp;W703&amp;"|"&amp;C703&amp;"|"&amp;E703)</f>
        <v/>
      </c>
      <c r="AD703" s="39">
        <f>IF(AC703="","",IF(COUNTIF(AC$6:AC703,AC703)=1,1,0))</f>
        <v/>
      </c>
      <c r="AE703" s="39">
        <f>IF(AB703=0,"",IF(COUNTIFS(X$6:X703,X703,AB$6:AB703,AB703)=1,1,0))</f>
        <v/>
      </c>
      <c r="AF703" s="34">
        <f>IF(C703="","",YEAR(C703-WEEKDAY(C703,2)+4)&amp;"-S"&amp;TEXT(INT((C703-DATE(YEAR(C703-WEEKDAY(C703,2)+4),1,3)+WEEKDAY(DATE(YEAR(C703-WEEKDAY(C703,2)+4),1,3),2)+5)/7),"00"))</f>
        <v/>
      </c>
    </row>
    <row r="704" ht="18" customHeight="1">
      <c r="A704" s="39" t="n">
        <v>699</v>
      </c>
      <c r="B704" s="33">
        <f>IF(C704="","",IF(P704="À RENSEIGNER","GIC",P704)&amp;"-C"&amp;TEXT(A704,"00000"))</f>
        <v/>
      </c>
      <c r="C704" s="32" t="n"/>
      <c r="D704" s="36" t="n"/>
      <c r="E704" s="36" t="n"/>
      <c r="F704" s="36" t="n"/>
      <c r="G704" s="42" t="n"/>
      <c r="H704" s="37" t="n"/>
      <c r="I704" s="37" t="n"/>
      <c r="J704" s="32" t="n"/>
      <c r="K704" s="32" t="n"/>
      <c r="L704" s="43" t="n"/>
      <c r="M704" s="36" t="n"/>
      <c r="N704" s="44" t="n"/>
      <c r="O704" s="36" t="n"/>
      <c r="P704" s="33">
        <f>IF(C704="","",Commercial_Id)</f>
        <v/>
      </c>
      <c r="Q704" s="34">
        <f>IF(AC704="","",IF(AD704=1,"C"&amp;TEXT(SUM(AD$6:AD704),"0000"),INDEX(Q$6:Q703,MATCH(AC704,AC$6:AC703,0))))</f>
        <v/>
      </c>
      <c r="R704" s="34">
        <f>IF(C704="","",IF(L704="☑ Oui","Annulée",IF(OR(E704="Vente directe",K704&lt;&gt;""),"Livrée",IF(J704&lt;&gt;"","Confirmée","En attente"))))</f>
        <v/>
      </c>
      <c r="S704" s="34">
        <f>IF(F704="","",IFERROR(VLOOKUP(F704,T_Produits,2,FALSE),""))</f>
        <v/>
      </c>
      <c r="T704" s="40">
        <f>IF(F704="","",IFERROR(1/(1/VLOOKUP(F704,T_Produits,3,FALSE)),""))</f>
        <v/>
      </c>
      <c r="U704" s="40">
        <f>IF(H704&lt;&gt;"",H704,T704)</f>
        <v/>
      </c>
      <c r="V704" s="40">
        <f>IF(OR(G704="",U704=""),"",G704*U704-N(I704))</f>
        <v/>
      </c>
      <c r="W704" s="39">
        <f>IF(D704="","",IFERROR(VALUE(MID(D704,LEN(D704)-3,3)),""))</f>
        <v/>
      </c>
      <c r="X704" s="33">
        <f>IF(W704="","",P704&amp;"|"&amp;W704)</f>
        <v/>
      </c>
      <c r="Y704" s="33">
        <f>IF(W704="","",IF(P704="À RENSEIGNER","GIC",P704)&amp;"-"&amp;TEXT(W704,"000"))</f>
        <v/>
      </c>
      <c r="Z704" s="33">
        <f>IF(X704="","",IFERROR(INDEX(Cl_nom,MATCH(X704,Cl_cle,0)),"(client introuvable)"))</f>
        <v/>
      </c>
      <c r="AA704" s="33">
        <f>IF(X704="","",IFERROR(INDEX(Cl_quartier,MATCH(X704,Cl_cle,0))&amp;"",""))</f>
        <v/>
      </c>
      <c r="AB704" s="45">
        <f>IF(R704&lt;&gt;"Livrée",0,IF(K704&lt;&gt;"",K704,C704))</f>
        <v/>
      </c>
      <c r="AC704" s="33">
        <f>IF(OR(C704="",W704=""),"",P704&amp;"|"&amp;W704&amp;"|"&amp;C704&amp;"|"&amp;E704)</f>
        <v/>
      </c>
      <c r="AD704" s="39">
        <f>IF(AC704="","",IF(COUNTIF(AC$6:AC704,AC704)=1,1,0))</f>
        <v/>
      </c>
      <c r="AE704" s="39">
        <f>IF(AB704=0,"",IF(COUNTIFS(X$6:X704,X704,AB$6:AB704,AB704)=1,1,0))</f>
        <v/>
      </c>
      <c r="AF704" s="34">
        <f>IF(C704="","",YEAR(C704-WEEKDAY(C704,2)+4)&amp;"-S"&amp;TEXT(INT((C704-DATE(YEAR(C704-WEEKDAY(C704,2)+4),1,3)+WEEKDAY(DATE(YEAR(C704-WEEKDAY(C704,2)+4),1,3),2)+5)/7),"00"))</f>
        <v/>
      </c>
    </row>
    <row r="705" ht="18" customHeight="1">
      <c r="A705" s="39" t="n">
        <v>700</v>
      </c>
      <c r="B705" s="33">
        <f>IF(C705="","",IF(P705="À RENSEIGNER","GIC",P705)&amp;"-C"&amp;TEXT(A705,"00000"))</f>
        <v/>
      </c>
      <c r="C705" s="32" t="n"/>
      <c r="D705" s="36" t="n"/>
      <c r="E705" s="36" t="n"/>
      <c r="F705" s="36" t="n"/>
      <c r="G705" s="42" t="n"/>
      <c r="H705" s="37" t="n"/>
      <c r="I705" s="37" t="n"/>
      <c r="J705" s="32" t="n"/>
      <c r="K705" s="32" t="n"/>
      <c r="L705" s="43" t="n"/>
      <c r="M705" s="36" t="n"/>
      <c r="N705" s="44" t="n"/>
      <c r="O705" s="36" t="n"/>
      <c r="P705" s="33">
        <f>IF(C705="","",Commercial_Id)</f>
        <v/>
      </c>
      <c r="Q705" s="34">
        <f>IF(AC705="","",IF(AD705=1,"C"&amp;TEXT(SUM(AD$6:AD705),"0000"),INDEX(Q$6:Q704,MATCH(AC705,AC$6:AC704,0))))</f>
        <v/>
      </c>
      <c r="R705" s="34">
        <f>IF(C705="","",IF(L705="☑ Oui","Annulée",IF(OR(E705="Vente directe",K705&lt;&gt;""),"Livrée",IF(J705&lt;&gt;"","Confirmée","En attente"))))</f>
        <v/>
      </c>
      <c r="S705" s="34">
        <f>IF(F705="","",IFERROR(VLOOKUP(F705,T_Produits,2,FALSE),""))</f>
        <v/>
      </c>
      <c r="T705" s="40">
        <f>IF(F705="","",IFERROR(1/(1/VLOOKUP(F705,T_Produits,3,FALSE)),""))</f>
        <v/>
      </c>
      <c r="U705" s="40">
        <f>IF(H705&lt;&gt;"",H705,T705)</f>
        <v/>
      </c>
      <c r="V705" s="40">
        <f>IF(OR(G705="",U705=""),"",G705*U705-N(I705))</f>
        <v/>
      </c>
      <c r="W705" s="39">
        <f>IF(D705="","",IFERROR(VALUE(MID(D705,LEN(D705)-3,3)),""))</f>
        <v/>
      </c>
      <c r="X705" s="33">
        <f>IF(W705="","",P705&amp;"|"&amp;W705)</f>
        <v/>
      </c>
      <c r="Y705" s="33">
        <f>IF(W705="","",IF(P705="À RENSEIGNER","GIC",P705)&amp;"-"&amp;TEXT(W705,"000"))</f>
        <v/>
      </c>
      <c r="Z705" s="33">
        <f>IF(X705="","",IFERROR(INDEX(Cl_nom,MATCH(X705,Cl_cle,0)),"(client introuvable)"))</f>
        <v/>
      </c>
      <c r="AA705" s="33">
        <f>IF(X705="","",IFERROR(INDEX(Cl_quartier,MATCH(X705,Cl_cle,0))&amp;"",""))</f>
        <v/>
      </c>
      <c r="AB705" s="45">
        <f>IF(R705&lt;&gt;"Livrée",0,IF(K705&lt;&gt;"",K705,C705))</f>
        <v/>
      </c>
      <c r="AC705" s="33">
        <f>IF(OR(C705="",W705=""),"",P705&amp;"|"&amp;W705&amp;"|"&amp;C705&amp;"|"&amp;E705)</f>
        <v/>
      </c>
      <c r="AD705" s="39">
        <f>IF(AC705="","",IF(COUNTIF(AC$6:AC705,AC705)=1,1,0))</f>
        <v/>
      </c>
      <c r="AE705" s="39">
        <f>IF(AB705=0,"",IF(COUNTIFS(X$6:X705,X705,AB$6:AB705,AB705)=1,1,0))</f>
        <v/>
      </c>
      <c r="AF705" s="34">
        <f>IF(C705="","",YEAR(C705-WEEKDAY(C705,2)+4)&amp;"-S"&amp;TEXT(INT((C705-DATE(YEAR(C705-WEEKDAY(C705,2)+4),1,3)+WEEKDAY(DATE(YEAR(C705-WEEKDAY(C705,2)+4),1,3),2)+5)/7),"00"))</f>
        <v/>
      </c>
    </row>
    <row r="706" ht="18" customHeight="1">
      <c r="A706" s="39" t="n">
        <v>701</v>
      </c>
      <c r="B706" s="33">
        <f>IF(C706="","",IF(P706="À RENSEIGNER","GIC",P706)&amp;"-C"&amp;TEXT(A706,"00000"))</f>
        <v/>
      </c>
      <c r="C706" s="32" t="n"/>
      <c r="D706" s="36" t="n"/>
      <c r="E706" s="36" t="n"/>
      <c r="F706" s="36" t="n"/>
      <c r="G706" s="42" t="n"/>
      <c r="H706" s="37" t="n"/>
      <c r="I706" s="37" t="n"/>
      <c r="J706" s="32" t="n"/>
      <c r="K706" s="32" t="n"/>
      <c r="L706" s="43" t="n"/>
      <c r="M706" s="36" t="n"/>
      <c r="N706" s="44" t="n"/>
      <c r="O706" s="36" t="n"/>
      <c r="P706" s="33">
        <f>IF(C706="","",Commercial_Id)</f>
        <v/>
      </c>
      <c r="Q706" s="34">
        <f>IF(AC706="","",IF(AD706=1,"C"&amp;TEXT(SUM(AD$6:AD706),"0000"),INDEX(Q$6:Q705,MATCH(AC706,AC$6:AC705,0))))</f>
        <v/>
      </c>
      <c r="R706" s="34">
        <f>IF(C706="","",IF(L706="☑ Oui","Annulée",IF(OR(E706="Vente directe",K706&lt;&gt;""),"Livrée",IF(J706&lt;&gt;"","Confirmée","En attente"))))</f>
        <v/>
      </c>
      <c r="S706" s="34">
        <f>IF(F706="","",IFERROR(VLOOKUP(F706,T_Produits,2,FALSE),""))</f>
        <v/>
      </c>
      <c r="T706" s="40">
        <f>IF(F706="","",IFERROR(1/(1/VLOOKUP(F706,T_Produits,3,FALSE)),""))</f>
        <v/>
      </c>
      <c r="U706" s="40">
        <f>IF(H706&lt;&gt;"",H706,T706)</f>
        <v/>
      </c>
      <c r="V706" s="40">
        <f>IF(OR(G706="",U706=""),"",G706*U706-N(I706))</f>
        <v/>
      </c>
      <c r="W706" s="39">
        <f>IF(D706="","",IFERROR(VALUE(MID(D706,LEN(D706)-3,3)),""))</f>
        <v/>
      </c>
      <c r="X706" s="33">
        <f>IF(W706="","",P706&amp;"|"&amp;W706)</f>
        <v/>
      </c>
      <c r="Y706" s="33">
        <f>IF(W706="","",IF(P706="À RENSEIGNER","GIC",P706)&amp;"-"&amp;TEXT(W706,"000"))</f>
        <v/>
      </c>
      <c r="Z706" s="33">
        <f>IF(X706="","",IFERROR(INDEX(Cl_nom,MATCH(X706,Cl_cle,0)),"(client introuvable)"))</f>
        <v/>
      </c>
      <c r="AA706" s="33">
        <f>IF(X706="","",IFERROR(INDEX(Cl_quartier,MATCH(X706,Cl_cle,0))&amp;"",""))</f>
        <v/>
      </c>
      <c r="AB706" s="45">
        <f>IF(R706&lt;&gt;"Livrée",0,IF(K706&lt;&gt;"",K706,C706))</f>
        <v/>
      </c>
      <c r="AC706" s="33">
        <f>IF(OR(C706="",W706=""),"",P706&amp;"|"&amp;W706&amp;"|"&amp;C706&amp;"|"&amp;E706)</f>
        <v/>
      </c>
      <c r="AD706" s="39">
        <f>IF(AC706="","",IF(COUNTIF(AC$6:AC706,AC706)=1,1,0))</f>
        <v/>
      </c>
      <c r="AE706" s="39">
        <f>IF(AB706=0,"",IF(COUNTIFS(X$6:X706,X706,AB$6:AB706,AB706)=1,1,0))</f>
        <v/>
      </c>
      <c r="AF706" s="34">
        <f>IF(C706="","",YEAR(C706-WEEKDAY(C706,2)+4)&amp;"-S"&amp;TEXT(INT((C706-DATE(YEAR(C706-WEEKDAY(C706,2)+4),1,3)+WEEKDAY(DATE(YEAR(C706-WEEKDAY(C706,2)+4),1,3),2)+5)/7),"00"))</f>
        <v/>
      </c>
    </row>
    <row r="707" ht="18" customHeight="1">
      <c r="A707" s="39" t="n">
        <v>702</v>
      </c>
      <c r="B707" s="33">
        <f>IF(C707="","",IF(P707="À RENSEIGNER","GIC",P707)&amp;"-C"&amp;TEXT(A707,"00000"))</f>
        <v/>
      </c>
      <c r="C707" s="32" t="n"/>
      <c r="D707" s="36" t="n"/>
      <c r="E707" s="36" t="n"/>
      <c r="F707" s="36" t="n"/>
      <c r="G707" s="42" t="n"/>
      <c r="H707" s="37" t="n"/>
      <c r="I707" s="37" t="n"/>
      <c r="J707" s="32" t="n"/>
      <c r="K707" s="32" t="n"/>
      <c r="L707" s="43" t="n"/>
      <c r="M707" s="36" t="n"/>
      <c r="N707" s="44" t="n"/>
      <c r="O707" s="36" t="n"/>
      <c r="P707" s="33">
        <f>IF(C707="","",Commercial_Id)</f>
        <v/>
      </c>
      <c r="Q707" s="34">
        <f>IF(AC707="","",IF(AD707=1,"C"&amp;TEXT(SUM(AD$6:AD707),"0000"),INDEX(Q$6:Q706,MATCH(AC707,AC$6:AC706,0))))</f>
        <v/>
      </c>
      <c r="R707" s="34">
        <f>IF(C707="","",IF(L707="☑ Oui","Annulée",IF(OR(E707="Vente directe",K707&lt;&gt;""),"Livrée",IF(J707&lt;&gt;"","Confirmée","En attente"))))</f>
        <v/>
      </c>
      <c r="S707" s="34">
        <f>IF(F707="","",IFERROR(VLOOKUP(F707,T_Produits,2,FALSE),""))</f>
        <v/>
      </c>
      <c r="T707" s="40">
        <f>IF(F707="","",IFERROR(1/(1/VLOOKUP(F707,T_Produits,3,FALSE)),""))</f>
        <v/>
      </c>
      <c r="U707" s="40">
        <f>IF(H707&lt;&gt;"",H707,T707)</f>
        <v/>
      </c>
      <c r="V707" s="40">
        <f>IF(OR(G707="",U707=""),"",G707*U707-N(I707))</f>
        <v/>
      </c>
      <c r="W707" s="39">
        <f>IF(D707="","",IFERROR(VALUE(MID(D707,LEN(D707)-3,3)),""))</f>
        <v/>
      </c>
      <c r="X707" s="33">
        <f>IF(W707="","",P707&amp;"|"&amp;W707)</f>
        <v/>
      </c>
      <c r="Y707" s="33">
        <f>IF(W707="","",IF(P707="À RENSEIGNER","GIC",P707)&amp;"-"&amp;TEXT(W707,"000"))</f>
        <v/>
      </c>
      <c r="Z707" s="33">
        <f>IF(X707="","",IFERROR(INDEX(Cl_nom,MATCH(X707,Cl_cle,0)),"(client introuvable)"))</f>
        <v/>
      </c>
      <c r="AA707" s="33">
        <f>IF(X707="","",IFERROR(INDEX(Cl_quartier,MATCH(X707,Cl_cle,0))&amp;"",""))</f>
        <v/>
      </c>
      <c r="AB707" s="45">
        <f>IF(R707&lt;&gt;"Livrée",0,IF(K707&lt;&gt;"",K707,C707))</f>
        <v/>
      </c>
      <c r="AC707" s="33">
        <f>IF(OR(C707="",W707=""),"",P707&amp;"|"&amp;W707&amp;"|"&amp;C707&amp;"|"&amp;E707)</f>
        <v/>
      </c>
      <c r="AD707" s="39">
        <f>IF(AC707="","",IF(COUNTIF(AC$6:AC707,AC707)=1,1,0))</f>
        <v/>
      </c>
      <c r="AE707" s="39">
        <f>IF(AB707=0,"",IF(COUNTIFS(X$6:X707,X707,AB$6:AB707,AB707)=1,1,0))</f>
        <v/>
      </c>
      <c r="AF707" s="34">
        <f>IF(C707="","",YEAR(C707-WEEKDAY(C707,2)+4)&amp;"-S"&amp;TEXT(INT((C707-DATE(YEAR(C707-WEEKDAY(C707,2)+4),1,3)+WEEKDAY(DATE(YEAR(C707-WEEKDAY(C707,2)+4),1,3),2)+5)/7),"00"))</f>
        <v/>
      </c>
    </row>
    <row r="708" ht="18" customHeight="1">
      <c r="A708" s="39" t="n">
        <v>703</v>
      </c>
      <c r="B708" s="33">
        <f>IF(C708="","",IF(P708="À RENSEIGNER","GIC",P708)&amp;"-C"&amp;TEXT(A708,"00000"))</f>
        <v/>
      </c>
      <c r="C708" s="32" t="n"/>
      <c r="D708" s="36" t="n"/>
      <c r="E708" s="36" t="n"/>
      <c r="F708" s="36" t="n"/>
      <c r="G708" s="42" t="n"/>
      <c r="H708" s="37" t="n"/>
      <c r="I708" s="37" t="n"/>
      <c r="J708" s="32" t="n"/>
      <c r="K708" s="32" t="n"/>
      <c r="L708" s="43" t="n"/>
      <c r="M708" s="36" t="n"/>
      <c r="N708" s="44" t="n"/>
      <c r="O708" s="36" t="n"/>
      <c r="P708" s="33">
        <f>IF(C708="","",Commercial_Id)</f>
        <v/>
      </c>
      <c r="Q708" s="34">
        <f>IF(AC708="","",IF(AD708=1,"C"&amp;TEXT(SUM(AD$6:AD708),"0000"),INDEX(Q$6:Q707,MATCH(AC708,AC$6:AC707,0))))</f>
        <v/>
      </c>
      <c r="R708" s="34">
        <f>IF(C708="","",IF(L708="☑ Oui","Annulée",IF(OR(E708="Vente directe",K708&lt;&gt;""),"Livrée",IF(J708&lt;&gt;"","Confirmée","En attente"))))</f>
        <v/>
      </c>
      <c r="S708" s="34">
        <f>IF(F708="","",IFERROR(VLOOKUP(F708,T_Produits,2,FALSE),""))</f>
        <v/>
      </c>
      <c r="T708" s="40">
        <f>IF(F708="","",IFERROR(1/(1/VLOOKUP(F708,T_Produits,3,FALSE)),""))</f>
        <v/>
      </c>
      <c r="U708" s="40">
        <f>IF(H708&lt;&gt;"",H708,T708)</f>
        <v/>
      </c>
      <c r="V708" s="40">
        <f>IF(OR(G708="",U708=""),"",G708*U708-N(I708))</f>
        <v/>
      </c>
      <c r="W708" s="39">
        <f>IF(D708="","",IFERROR(VALUE(MID(D708,LEN(D708)-3,3)),""))</f>
        <v/>
      </c>
      <c r="X708" s="33">
        <f>IF(W708="","",P708&amp;"|"&amp;W708)</f>
        <v/>
      </c>
      <c r="Y708" s="33">
        <f>IF(W708="","",IF(P708="À RENSEIGNER","GIC",P708)&amp;"-"&amp;TEXT(W708,"000"))</f>
        <v/>
      </c>
      <c r="Z708" s="33">
        <f>IF(X708="","",IFERROR(INDEX(Cl_nom,MATCH(X708,Cl_cle,0)),"(client introuvable)"))</f>
        <v/>
      </c>
      <c r="AA708" s="33">
        <f>IF(X708="","",IFERROR(INDEX(Cl_quartier,MATCH(X708,Cl_cle,0))&amp;"",""))</f>
        <v/>
      </c>
      <c r="AB708" s="45">
        <f>IF(R708&lt;&gt;"Livrée",0,IF(K708&lt;&gt;"",K708,C708))</f>
        <v/>
      </c>
      <c r="AC708" s="33">
        <f>IF(OR(C708="",W708=""),"",P708&amp;"|"&amp;W708&amp;"|"&amp;C708&amp;"|"&amp;E708)</f>
        <v/>
      </c>
      <c r="AD708" s="39">
        <f>IF(AC708="","",IF(COUNTIF(AC$6:AC708,AC708)=1,1,0))</f>
        <v/>
      </c>
      <c r="AE708" s="39">
        <f>IF(AB708=0,"",IF(COUNTIFS(X$6:X708,X708,AB$6:AB708,AB708)=1,1,0))</f>
        <v/>
      </c>
      <c r="AF708" s="34">
        <f>IF(C708="","",YEAR(C708-WEEKDAY(C708,2)+4)&amp;"-S"&amp;TEXT(INT((C708-DATE(YEAR(C708-WEEKDAY(C708,2)+4),1,3)+WEEKDAY(DATE(YEAR(C708-WEEKDAY(C708,2)+4),1,3),2)+5)/7),"00"))</f>
        <v/>
      </c>
    </row>
    <row r="709" ht="18" customHeight="1">
      <c r="A709" s="39" t="n">
        <v>704</v>
      </c>
      <c r="B709" s="33">
        <f>IF(C709="","",IF(P709="À RENSEIGNER","GIC",P709)&amp;"-C"&amp;TEXT(A709,"00000"))</f>
        <v/>
      </c>
      <c r="C709" s="32" t="n"/>
      <c r="D709" s="36" t="n"/>
      <c r="E709" s="36" t="n"/>
      <c r="F709" s="36" t="n"/>
      <c r="G709" s="42" t="n"/>
      <c r="H709" s="37" t="n"/>
      <c r="I709" s="37" t="n"/>
      <c r="J709" s="32" t="n"/>
      <c r="K709" s="32" t="n"/>
      <c r="L709" s="43" t="n"/>
      <c r="M709" s="36" t="n"/>
      <c r="N709" s="44" t="n"/>
      <c r="O709" s="36" t="n"/>
      <c r="P709" s="33">
        <f>IF(C709="","",Commercial_Id)</f>
        <v/>
      </c>
      <c r="Q709" s="34">
        <f>IF(AC709="","",IF(AD709=1,"C"&amp;TEXT(SUM(AD$6:AD709),"0000"),INDEX(Q$6:Q708,MATCH(AC709,AC$6:AC708,0))))</f>
        <v/>
      </c>
      <c r="R709" s="34">
        <f>IF(C709="","",IF(L709="☑ Oui","Annulée",IF(OR(E709="Vente directe",K709&lt;&gt;""),"Livrée",IF(J709&lt;&gt;"","Confirmée","En attente"))))</f>
        <v/>
      </c>
      <c r="S709" s="34">
        <f>IF(F709="","",IFERROR(VLOOKUP(F709,T_Produits,2,FALSE),""))</f>
        <v/>
      </c>
      <c r="T709" s="40">
        <f>IF(F709="","",IFERROR(1/(1/VLOOKUP(F709,T_Produits,3,FALSE)),""))</f>
        <v/>
      </c>
      <c r="U709" s="40">
        <f>IF(H709&lt;&gt;"",H709,T709)</f>
        <v/>
      </c>
      <c r="V709" s="40">
        <f>IF(OR(G709="",U709=""),"",G709*U709-N(I709))</f>
        <v/>
      </c>
      <c r="W709" s="39">
        <f>IF(D709="","",IFERROR(VALUE(MID(D709,LEN(D709)-3,3)),""))</f>
        <v/>
      </c>
      <c r="X709" s="33">
        <f>IF(W709="","",P709&amp;"|"&amp;W709)</f>
        <v/>
      </c>
      <c r="Y709" s="33">
        <f>IF(W709="","",IF(P709="À RENSEIGNER","GIC",P709)&amp;"-"&amp;TEXT(W709,"000"))</f>
        <v/>
      </c>
      <c r="Z709" s="33">
        <f>IF(X709="","",IFERROR(INDEX(Cl_nom,MATCH(X709,Cl_cle,0)),"(client introuvable)"))</f>
        <v/>
      </c>
      <c r="AA709" s="33">
        <f>IF(X709="","",IFERROR(INDEX(Cl_quartier,MATCH(X709,Cl_cle,0))&amp;"",""))</f>
        <v/>
      </c>
      <c r="AB709" s="45">
        <f>IF(R709&lt;&gt;"Livrée",0,IF(K709&lt;&gt;"",K709,C709))</f>
        <v/>
      </c>
      <c r="AC709" s="33">
        <f>IF(OR(C709="",W709=""),"",P709&amp;"|"&amp;W709&amp;"|"&amp;C709&amp;"|"&amp;E709)</f>
        <v/>
      </c>
      <c r="AD709" s="39">
        <f>IF(AC709="","",IF(COUNTIF(AC$6:AC709,AC709)=1,1,0))</f>
        <v/>
      </c>
      <c r="AE709" s="39">
        <f>IF(AB709=0,"",IF(COUNTIFS(X$6:X709,X709,AB$6:AB709,AB709)=1,1,0))</f>
        <v/>
      </c>
      <c r="AF709" s="34">
        <f>IF(C709="","",YEAR(C709-WEEKDAY(C709,2)+4)&amp;"-S"&amp;TEXT(INT((C709-DATE(YEAR(C709-WEEKDAY(C709,2)+4),1,3)+WEEKDAY(DATE(YEAR(C709-WEEKDAY(C709,2)+4),1,3),2)+5)/7),"00"))</f>
        <v/>
      </c>
    </row>
    <row r="710" ht="18" customHeight="1">
      <c r="A710" s="39" t="n">
        <v>705</v>
      </c>
      <c r="B710" s="33">
        <f>IF(C710="","",IF(P710="À RENSEIGNER","GIC",P710)&amp;"-C"&amp;TEXT(A710,"00000"))</f>
        <v/>
      </c>
      <c r="C710" s="32" t="n"/>
      <c r="D710" s="36" t="n"/>
      <c r="E710" s="36" t="n"/>
      <c r="F710" s="36" t="n"/>
      <c r="G710" s="42" t="n"/>
      <c r="H710" s="37" t="n"/>
      <c r="I710" s="37" t="n"/>
      <c r="J710" s="32" t="n"/>
      <c r="K710" s="32" t="n"/>
      <c r="L710" s="43" t="n"/>
      <c r="M710" s="36" t="n"/>
      <c r="N710" s="44" t="n"/>
      <c r="O710" s="36" t="n"/>
      <c r="P710" s="33">
        <f>IF(C710="","",Commercial_Id)</f>
        <v/>
      </c>
      <c r="Q710" s="34">
        <f>IF(AC710="","",IF(AD710=1,"C"&amp;TEXT(SUM(AD$6:AD710),"0000"),INDEX(Q$6:Q709,MATCH(AC710,AC$6:AC709,0))))</f>
        <v/>
      </c>
      <c r="R710" s="34">
        <f>IF(C710="","",IF(L710="☑ Oui","Annulée",IF(OR(E710="Vente directe",K710&lt;&gt;""),"Livrée",IF(J710&lt;&gt;"","Confirmée","En attente"))))</f>
        <v/>
      </c>
      <c r="S710" s="34">
        <f>IF(F710="","",IFERROR(VLOOKUP(F710,T_Produits,2,FALSE),""))</f>
        <v/>
      </c>
      <c r="T710" s="40">
        <f>IF(F710="","",IFERROR(1/(1/VLOOKUP(F710,T_Produits,3,FALSE)),""))</f>
        <v/>
      </c>
      <c r="U710" s="40">
        <f>IF(H710&lt;&gt;"",H710,T710)</f>
        <v/>
      </c>
      <c r="V710" s="40">
        <f>IF(OR(G710="",U710=""),"",G710*U710-N(I710))</f>
        <v/>
      </c>
      <c r="W710" s="39">
        <f>IF(D710="","",IFERROR(VALUE(MID(D710,LEN(D710)-3,3)),""))</f>
        <v/>
      </c>
      <c r="X710" s="33">
        <f>IF(W710="","",P710&amp;"|"&amp;W710)</f>
        <v/>
      </c>
      <c r="Y710" s="33">
        <f>IF(W710="","",IF(P710="À RENSEIGNER","GIC",P710)&amp;"-"&amp;TEXT(W710,"000"))</f>
        <v/>
      </c>
      <c r="Z710" s="33">
        <f>IF(X710="","",IFERROR(INDEX(Cl_nom,MATCH(X710,Cl_cle,0)),"(client introuvable)"))</f>
        <v/>
      </c>
      <c r="AA710" s="33">
        <f>IF(X710="","",IFERROR(INDEX(Cl_quartier,MATCH(X710,Cl_cle,0))&amp;"",""))</f>
        <v/>
      </c>
      <c r="AB710" s="45">
        <f>IF(R710&lt;&gt;"Livrée",0,IF(K710&lt;&gt;"",K710,C710))</f>
        <v/>
      </c>
      <c r="AC710" s="33">
        <f>IF(OR(C710="",W710=""),"",P710&amp;"|"&amp;W710&amp;"|"&amp;C710&amp;"|"&amp;E710)</f>
        <v/>
      </c>
      <c r="AD710" s="39">
        <f>IF(AC710="","",IF(COUNTIF(AC$6:AC710,AC710)=1,1,0))</f>
        <v/>
      </c>
      <c r="AE710" s="39">
        <f>IF(AB710=0,"",IF(COUNTIFS(X$6:X710,X710,AB$6:AB710,AB710)=1,1,0))</f>
        <v/>
      </c>
      <c r="AF710" s="34">
        <f>IF(C710="","",YEAR(C710-WEEKDAY(C710,2)+4)&amp;"-S"&amp;TEXT(INT((C710-DATE(YEAR(C710-WEEKDAY(C710,2)+4),1,3)+WEEKDAY(DATE(YEAR(C710-WEEKDAY(C710,2)+4),1,3),2)+5)/7),"00"))</f>
        <v/>
      </c>
    </row>
    <row r="711" ht="18" customHeight="1">
      <c r="A711" s="39" t="n">
        <v>706</v>
      </c>
      <c r="B711" s="33">
        <f>IF(C711="","",IF(P711="À RENSEIGNER","GIC",P711)&amp;"-C"&amp;TEXT(A711,"00000"))</f>
        <v/>
      </c>
      <c r="C711" s="32" t="n"/>
      <c r="D711" s="36" t="n"/>
      <c r="E711" s="36" t="n"/>
      <c r="F711" s="36" t="n"/>
      <c r="G711" s="42" t="n"/>
      <c r="H711" s="37" t="n"/>
      <c r="I711" s="37" t="n"/>
      <c r="J711" s="32" t="n"/>
      <c r="K711" s="32" t="n"/>
      <c r="L711" s="43" t="n"/>
      <c r="M711" s="36" t="n"/>
      <c r="N711" s="44" t="n"/>
      <c r="O711" s="36" t="n"/>
      <c r="P711" s="33">
        <f>IF(C711="","",Commercial_Id)</f>
        <v/>
      </c>
      <c r="Q711" s="34">
        <f>IF(AC711="","",IF(AD711=1,"C"&amp;TEXT(SUM(AD$6:AD711),"0000"),INDEX(Q$6:Q710,MATCH(AC711,AC$6:AC710,0))))</f>
        <v/>
      </c>
      <c r="R711" s="34">
        <f>IF(C711="","",IF(L711="☑ Oui","Annulée",IF(OR(E711="Vente directe",K711&lt;&gt;""),"Livrée",IF(J711&lt;&gt;"","Confirmée","En attente"))))</f>
        <v/>
      </c>
      <c r="S711" s="34">
        <f>IF(F711="","",IFERROR(VLOOKUP(F711,T_Produits,2,FALSE),""))</f>
        <v/>
      </c>
      <c r="T711" s="40">
        <f>IF(F711="","",IFERROR(1/(1/VLOOKUP(F711,T_Produits,3,FALSE)),""))</f>
        <v/>
      </c>
      <c r="U711" s="40">
        <f>IF(H711&lt;&gt;"",H711,T711)</f>
        <v/>
      </c>
      <c r="V711" s="40">
        <f>IF(OR(G711="",U711=""),"",G711*U711-N(I711))</f>
        <v/>
      </c>
      <c r="W711" s="39">
        <f>IF(D711="","",IFERROR(VALUE(MID(D711,LEN(D711)-3,3)),""))</f>
        <v/>
      </c>
      <c r="X711" s="33">
        <f>IF(W711="","",P711&amp;"|"&amp;W711)</f>
        <v/>
      </c>
      <c r="Y711" s="33">
        <f>IF(W711="","",IF(P711="À RENSEIGNER","GIC",P711)&amp;"-"&amp;TEXT(W711,"000"))</f>
        <v/>
      </c>
      <c r="Z711" s="33">
        <f>IF(X711="","",IFERROR(INDEX(Cl_nom,MATCH(X711,Cl_cle,0)),"(client introuvable)"))</f>
        <v/>
      </c>
      <c r="AA711" s="33">
        <f>IF(X711="","",IFERROR(INDEX(Cl_quartier,MATCH(X711,Cl_cle,0))&amp;"",""))</f>
        <v/>
      </c>
      <c r="AB711" s="45">
        <f>IF(R711&lt;&gt;"Livrée",0,IF(K711&lt;&gt;"",K711,C711))</f>
        <v/>
      </c>
      <c r="AC711" s="33">
        <f>IF(OR(C711="",W711=""),"",P711&amp;"|"&amp;W711&amp;"|"&amp;C711&amp;"|"&amp;E711)</f>
        <v/>
      </c>
      <c r="AD711" s="39">
        <f>IF(AC711="","",IF(COUNTIF(AC$6:AC711,AC711)=1,1,0))</f>
        <v/>
      </c>
      <c r="AE711" s="39">
        <f>IF(AB711=0,"",IF(COUNTIFS(X$6:X711,X711,AB$6:AB711,AB711)=1,1,0))</f>
        <v/>
      </c>
      <c r="AF711" s="34">
        <f>IF(C711="","",YEAR(C711-WEEKDAY(C711,2)+4)&amp;"-S"&amp;TEXT(INT((C711-DATE(YEAR(C711-WEEKDAY(C711,2)+4),1,3)+WEEKDAY(DATE(YEAR(C711-WEEKDAY(C711,2)+4),1,3),2)+5)/7),"00"))</f>
        <v/>
      </c>
    </row>
    <row r="712" ht="18" customHeight="1">
      <c r="A712" s="39" t="n">
        <v>707</v>
      </c>
      <c r="B712" s="33">
        <f>IF(C712="","",IF(P712="À RENSEIGNER","GIC",P712)&amp;"-C"&amp;TEXT(A712,"00000"))</f>
        <v/>
      </c>
      <c r="C712" s="32" t="n"/>
      <c r="D712" s="36" t="n"/>
      <c r="E712" s="36" t="n"/>
      <c r="F712" s="36" t="n"/>
      <c r="G712" s="42" t="n"/>
      <c r="H712" s="37" t="n"/>
      <c r="I712" s="37" t="n"/>
      <c r="J712" s="32" t="n"/>
      <c r="K712" s="32" t="n"/>
      <c r="L712" s="43" t="n"/>
      <c r="M712" s="36" t="n"/>
      <c r="N712" s="44" t="n"/>
      <c r="O712" s="36" t="n"/>
      <c r="P712" s="33">
        <f>IF(C712="","",Commercial_Id)</f>
        <v/>
      </c>
      <c r="Q712" s="34">
        <f>IF(AC712="","",IF(AD712=1,"C"&amp;TEXT(SUM(AD$6:AD712),"0000"),INDEX(Q$6:Q711,MATCH(AC712,AC$6:AC711,0))))</f>
        <v/>
      </c>
      <c r="R712" s="34">
        <f>IF(C712="","",IF(L712="☑ Oui","Annulée",IF(OR(E712="Vente directe",K712&lt;&gt;""),"Livrée",IF(J712&lt;&gt;"","Confirmée","En attente"))))</f>
        <v/>
      </c>
      <c r="S712" s="34">
        <f>IF(F712="","",IFERROR(VLOOKUP(F712,T_Produits,2,FALSE),""))</f>
        <v/>
      </c>
      <c r="T712" s="40">
        <f>IF(F712="","",IFERROR(1/(1/VLOOKUP(F712,T_Produits,3,FALSE)),""))</f>
        <v/>
      </c>
      <c r="U712" s="40">
        <f>IF(H712&lt;&gt;"",H712,T712)</f>
        <v/>
      </c>
      <c r="V712" s="40">
        <f>IF(OR(G712="",U712=""),"",G712*U712-N(I712))</f>
        <v/>
      </c>
      <c r="W712" s="39">
        <f>IF(D712="","",IFERROR(VALUE(MID(D712,LEN(D712)-3,3)),""))</f>
        <v/>
      </c>
      <c r="X712" s="33">
        <f>IF(W712="","",P712&amp;"|"&amp;W712)</f>
        <v/>
      </c>
      <c r="Y712" s="33">
        <f>IF(W712="","",IF(P712="À RENSEIGNER","GIC",P712)&amp;"-"&amp;TEXT(W712,"000"))</f>
        <v/>
      </c>
      <c r="Z712" s="33">
        <f>IF(X712="","",IFERROR(INDEX(Cl_nom,MATCH(X712,Cl_cle,0)),"(client introuvable)"))</f>
        <v/>
      </c>
      <c r="AA712" s="33">
        <f>IF(X712="","",IFERROR(INDEX(Cl_quartier,MATCH(X712,Cl_cle,0))&amp;"",""))</f>
        <v/>
      </c>
      <c r="AB712" s="45">
        <f>IF(R712&lt;&gt;"Livrée",0,IF(K712&lt;&gt;"",K712,C712))</f>
        <v/>
      </c>
      <c r="AC712" s="33">
        <f>IF(OR(C712="",W712=""),"",P712&amp;"|"&amp;W712&amp;"|"&amp;C712&amp;"|"&amp;E712)</f>
        <v/>
      </c>
      <c r="AD712" s="39">
        <f>IF(AC712="","",IF(COUNTIF(AC$6:AC712,AC712)=1,1,0))</f>
        <v/>
      </c>
      <c r="AE712" s="39">
        <f>IF(AB712=0,"",IF(COUNTIFS(X$6:X712,X712,AB$6:AB712,AB712)=1,1,0))</f>
        <v/>
      </c>
      <c r="AF712" s="34">
        <f>IF(C712="","",YEAR(C712-WEEKDAY(C712,2)+4)&amp;"-S"&amp;TEXT(INT((C712-DATE(YEAR(C712-WEEKDAY(C712,2)+4),1,3)+WEEKDAY(DATE(YEAR(C712-WEEKDAY(C712,2)+4),1,3),2)+5)/7),"00"))</f>
        <v/>
      </c>
    </row>
    <row r="713" ht="18" customHeight="1">
      <c r="A713" s="39" t="n">
        <v>708</v>
      </c>
      <c r="B713" s="33">
        <f>IF(C713="","",IF(P713="À RENSEIGNER","GIC",P713)&amp;"-C"&amp;TEXT(A713,"00000"))</f>
        <v/>
      </c>
      <c r="C713" s="32" t="n"/>
      <c r="D713" s="36" t="n"/>
      <c r="E713" s="36" t="n"/>
      <c r="F713" s="36" t="n"/>
      <c r="G713" s="42" t="n"/>
      <c r="H713" s="37" t="n"/>
      <c r="I713" s="37" t="n"/>
      <c r="J713" s="32" t="n"/>
      <c r="K713" s="32" t="n"/>
      <c r="L713" s="43" t="n"/>
      <c r="M713" s="36" t="n"/>
      <c r="N713" s="44" t="n"/>
      <c r="O713" s="36" t="n"/>
      <c r="P713" s="33">
        <f>IF(C713="","",Commercial_Id)</f>
        <v/>
      </c>
      <c r="Q713" s="34">
        <f>IF(AC713="","",IF(AD713=1,"C"&amp;TEXT(SUM(AD$6:AD713),"0000"),INDEX(Q$6:Q712,MATCH(AC713,AC$6:AC712,0))))</f>
        <v/>
      </c>
      <c r="R713" s="34">
        <f>IF(C713="","",IF(L713="☑ Oui","Annulée",IF(OR(E713="Vente directe",K713&lt;&gt;""),"Livrée",IF(J713&lt;&gt;"","Confirmée","En attente"))))</f>
        <v/>
      </c>
      <c r="S713" s="34">
        <f>IF(F713="","",IFERROR(VLOOKUP(F713,T_Produits,2,FALSE),""))</f>
        <v/>
      </c>
      <c r="T713" s="40">
        <f>IF(F713="","",IFERROR(1/(1/VLOOKUP(F713,T_Produits,3,FALSE)),""))</f>
        <v/>
      </c>
      <c r="U713" s="40">
        <f>IF(H713&lt;&gt;"",H713,T713)</f>
        <v/>
      </c>
      <c r="V713" s="40">
        <f>IF(OR(G713="",U713=""),"",G713*U713-N(I713))</f>
        <v/>
      </c>
      <c r="W713" s="39">
        <f>IF(D713="","",IFERROR(VALUE(MID(D713,LEN(D713)-3,3)),""))</f>
        <v/>
      </c>
      <c r="X713" s="33">
        <f>IF(W713="","",P713&amp;"|"&amp;W713)</f>
        <v/>
      </c>
      <c r="Y713" s="33">
        <f>IF(W713="","",IF(P713="À RENSEIGNER","GIC",P713)&amp;"-"&amp;TEXT(W713,"000"))</f>
        <v/>
      </c>
      <c r="Z713" s="33">
        <f>IF(X713="","",IFERROR(INDEX(Cl_nom,MATCH(X713,Cl_cle,0)),"(client introuvable)"))</f>
        <v/>
      </c>
      <c r="AA713" s="33">
        <f>IF(X713="","",IFERROR(INDEX(Cl_quartier,MATCH(X713,Cl_cle,0))&amp;"",""))</f>
        <v/>
      </c>
      <c r="AB713" s="45">
        <f>IF(R713&lt;&gt;"Livrée",0,IF(K713&lt;&gt;"",K713,C713))</f>
        <v/>
      </c>
      <c r="AC713" s="33">
        <f>IF(OR(C713="",W713=""),"",P713&amp;"|"&amp;W713&amp;"|"&amp;C713&amp;"|"&amp;E713)</f>
        <v/>
      </c>
      <c r="AD713" s="39">
        <f>IF(AC713="","",IF(COUNTIF(AC$6:AC713,AC713)=1,1,0))</f>
        <v/>
      </c>
      <c r="AE713" s="39">
        <f>IF(AB713=0,"",IF(COUNTIFS(X$6:X713,X713,AB$6:AB713,AB713)=1,1,0))</f>
        <v/>
      </c>
      <c r="AF713" s="34">
        <f>IF(C713="","",YEAR(C713-WEEKDAY(C713,2)+4)&amp;"-S"&amp;TEXT(INT((C713-DATE(YEAR(C713-WEEKDAY(C713,2)+4),1,3)+WEEKDAY(DATE(YEAR(C713-WEEKDAY(C713,2)+4),1,3),2)+5)/7),"00"))</f>
        <v/>
      </c>
    </row>
    <row r="714" ht="18" customHeight="1">
      <c r="A714" s="39" t="n">
        <v>709</v>
      </c>
      <c r="B714" s="33">
        <f>IF(C714="","",IF(P714="À RENSEIGNER","GIC",P714)&amp;"-C"&amp;TEXT(A714,"00000"))</f>
        <v/>
      </c>
      <c r="C714" s="32" t="n"/>
      <c r="D714" s="36" t="n"/>
      <c r="E714" s="36" t="n"/>
      <c r="F714" s="36" t="n"/>
      <c r="G714" s="42" t="n"/>
      <c r="H714" s="37" t="n"/>
      <c r="I714" s="37" t="n"/>
      <c r="J714" s="32" t="n"/>
      <c r="K714" s="32" t="n"/>
      <c r="L714" s="43" t="n"/>
      <c r="M714" s="36" t="n"/>
      <c r="N714" s="44" t="n"/>
      <c r="O714" s="36" t="n"/>
      <c r="P714" s="33">
        <f>IF(C714="","",Commercial_Id)</f>
        <v/>
      </c>
      <c r="Q714" s="34">
        <f>IF(AC714="","",IF(AD714=1,"C"&amp;TEXT(SUM(AD$6:AD714),"0000"),INDEX(Q$6:Q713,MATCH(AC714,AC$6:AC713,0))))</f>
        <v/>
      </c>
      <c r="R714" s="34">
        <f>IF(C714="","",IF(L714="☑ Oui","Annulée",IF(OR(E714="Vente directe",K714&lt;&gt;""),"Livrée",IF(J714&lt;&gt;"","Confirmée","En attente"))))</f>
        <v/>
      </c>
      <c r="S714" s="34">
        <f>IF(F714="","",IFERROR(VLOOKUP(F714,T_Produits,2,FALSE),""))</f>
        <v/>
      </c>
      <c r="T714" s="40">
        <f>IF(F714="","",IFERROR(1/(1/VLOOKUP(F714,T_Produits,3,FALSE)),""))</f>
        <v/>
      </c>
      <c r="U714" s="40">
        <f>IF(H714&lt;&gt;"",H714,T714)</f>
        <v/>
      </c>
      <c r="V714" s="40">
        <f>IF(OR(G714="",U714=""),"",G714*U714-N(I714))</f>
        <v/>
      </c>
      <c r="W714" s="39">
        <f>IF(D714="","",IFERROR(VALUE(MID(D714,LEN(D714)-3,3)),""))</f>
        <v/>
      </c>
      <c r="X714" s="33">
        <f>IF(W714="","",P714&amp;"|"&amp;W714)</f>
        <v/>
      </c>
      <c r="Y714" s="33">
        <f>IF(W714="","",IF(P714="À RENSEIGNER","GIC",P714)&amp;"-"&amp;TEXT(W714,"000"))</f>
        <v/>
      </c>
      <c r="Z714" s="33">
        <f>IF(X714="","",IFERROR(INDEX(Cl_nom,MATCH(X714,Cl_cle,0)),"(client introuvable)"))</f>
        <v/>
      </c>
      <c r="AA714" s="33">
        <f>IF(X714="","",IFERROR(INDEX(Cl_quartier,MATCH(X714,Cl_cle,0))&amp;"",""))</f>
        <v/>
      </c>
      <c r="AB714" s="45">
        <f>IF(R714&lt;&gt;"Livrée",0,IF(K714&lt;&gt;"",K714,C714))</f>
        <v/>
      </c>
      <c r="AC714" s="33">
        <f>IF(OR(C714="",W714=""),"",P714&amp;"|"&amp;W714&amp;"|"&amp;C714&amp;"|"&amp;E714)</f>
        <v/>
      </c>
      <c r="AD714" s="39">
        <f>IF(AC714="","",IF(COUNTIF(AC$6:AC714,AC714)=1,1,0))</f>
        <v/>
      </c>
      <c r="AE714" s="39">
        <f>IF(AB714=0,"",IF(COUNTIFS(X$6:X714,X714,AB$6:AB714,AB714)=1,1,0))</f>
        <v/>
      </c>
      <c r="AF714" s="34">
        <f>IF(C714="","",YEAR(C714-WEEKDAY(C714,2)+4)&amp;"-S"&amp;TEXT(INT((C714-DATE(YEAR(C714-WEEKDAY(C714,2)+4),1,3)+WEEKDAY(DATE(YEAR(C714-WEEKDAY(C714,2)+4),1,3),2)+5)/7),"00"))</f>
        <v/>
      </c>
    </row>
    <row r="715" ht="18" customHeight="1">
      <c r="A715" s="39" t="n">
        <v>710</v>
      </c>
      <c r="B715" s="33">
        <f>IF(C715="","",IF(P715="À RENSEIGNER","GIC",P715)&amp;"-C"&amp;TEXT(A715,"00000"))</f>
        <v/>
      </c>
      <c r="C715" s="32" t="n"/>
      <c r="D715" s="36" t="n"/>
      <c r="E715" s="36" t="n"/>
      <c r="F715" s="36" t="n"/>
      <c r="G715" s="42" t="n"/>
      <c r="H715" s="37" t="n"/>
      <c r="I715" s="37" t="n"/>
      <c r="J715" s="32" t="n"/>
      <c r="K715" s="32" t="n"/>
      <c r="L715" s="43" t="n"/>
      <c r="M715" s="36" t="n"/>
      <c r="N715" s="44" t="n"/>
      <c r="O715" s="36" t="n"/>
      <c r="P715" s="33">
        <f>IF(C715="","",Commercial_Id)</f>
        <v/>
      </c>
      <c r="Q715" s="34">
        <f>IF(AC715="","",IF(AD715=1,"C"&amp;TEXT(SUM(AD$6:AD715),"0000"),INDEX(Q$6:Q714,MATCH(AC715,AC$6:AC714,0))))</f>
        <v/>
      </c>
      <c r="R715" s="34">
        <f>IF(C715="","",IF(L715="☑ Oui","Annulée",IF(OR(E715="Vente directe",K715&lt;&gt;""),"Livrée",IF(J715&lt;&gt;"","Confirmée","En attente"))))</f>
        <v/>
      </c>
      <c r="S715" s="34">
        <f>IF(F715="","",IFERROR(VLOOKUP(F715,T_Produits,2,FALSE),""))</f>
        <v/>
      </c>
      <c r="T715" s="40">
        <f>IF(F715="","",IFERROR(1/(1/VLOOKUP(F715,T_Produits,3,FALSE)),""))</f>
        <v/>
      </c>
      <c r="U715" s="40">
        <f>IF(H715&lt;&gt;"",H715,T715)</f>
        <v/>
      </c>
      <c r="V715" s="40">
        <f>IF(OR(G715="",U715=""),"",G715*U715-N(I715))</f>
        <v/>
      </c>
      <c r="W715" s="39">
        <f>IF(D715="","",IFERROR(VALUE(MID(D715,LEN(D715)-3,3)),""))</f>
        <v/>
      </c>
      <c r="X715" s="33">
        <f>IF(W715="","",P715&amp;"|"&amp;W715)</f>
        <v/>
      </c>
      <c r="Y715" s="33">
        <f>IF(W715="","",IF(P715="À RENSEIGNER","GIC",P715)&amp;"-"&amp;TEXT(W715,"000"))</f>
        <v/>
      </c>
      <c r="Z715" s="33">
        <f>IF(X715="","",IFERROR(INDEX(Cl_nom,MATCH(X715,Cl_cle,0)),"(client introuvable)"))</f>
        <v/>
      </c>
      <c r="AA715" s="33">
        <f>IF(X715="","",IFERROR(INDEX(Cl_quartier,MATCH(X715,Cl_cle,0))&amp;"",""))</f>
        <v/>
      </c>
      <c r="AB715" s="45">
        <f>IF(R715&lt;&gt;"Livrée",0,IF(K715&lt;&gt;"",K715,C715))</f>
        <v/>
      </c>
      <c r="AC715" s="33">
        <f>IF(OR(C715="",W715=""),"",P715&amp;"|"&amp;W715&amp;"|"&amp;C715&amp;"|"&amp;E715)</f>
        <v/>
      </c>
      <c r="AD715" s="39">
        <f>IF(AC715="","",IF(COUNTIF(AC$6:AC715,AC715)=1,1,0))</f>
        <v/>
      </c>
      <c r="AE715" s="39">
        <f>IF(AB715=0,"",IF(COUNTIFS(X$6:X715,X715,AB$6:AB715,AB715)=1,1,0))</f>
        <v/>
      </c>
      <c r="AF715" s="34">
        <f>IF(C715="","",YEAR(C715-WEEKDAY(C715,2)+4)&amp;"-S"&amp;TEXT(INT((C715-DATE(YEAR(C715-WEEKDAY(C715,2)+4),1,3)+WEEKDAY(DATE(YEAR(C715-WEEKDAY(C715,2)+4),1,3),2)+5)/7),"00"))</f>
        <v/>
      </c>
    </row>
    <row r="716" ht="18" customHeight="1">
      <c r="A716" s="39" t="n">
        <v>711</v>
      </c>
      <c r="B716" s="33">
        <f>IF(C716="","",IF(P716="À RENSEIGNER","GIC",P716)&amp;"-C"&amp;TEXT(A716,"00000"))</f>
        <v/>
      </c>
      <c r="C716" s="32" t="n"/>
      <c r="D716" s="36" t="n"/>
      <c r="E716" s="36" t="n"/>
      <c r="F716" s="36" t="n"/>
      <c r="G716" s="42" t="n"/>
      <c r="H716" s="37" t="n"/>
      <c r="I716" s="37" t="n"/>
      <c r="J716" s="32" t="n"/>
      <c r="K716" s="32" t="n"/>
      <c r="L716" s="43" t="n"/>
      <c r="M716" s="36" t="n"/>
      <c r="N716" s="44" t="n"/>
      <c r="O716" s="36" t="n"/>
      <c r="P716" s="33">
        <f>IF(C716="","",Commercial_Id)</f>
        <v/>
      </c>
      <c r="Q716" s="34">
        <f>IF(AC716="","",IF(AD716=1,"C"&amp;TEXT(SUM(AD$6:AD716),"0000"),INDEX(Q$6:Q715,MATCH(AC716,AC$6:AC715,0))))</f>
        <v/>
      </c>
      <c r="R716" s="34">
        <f>IF(C716="","",IF(L716="☑ Oui","Annulée",IF(OR(E716="Vente directe",K716&lt;&gt;""),"Livrée",IF(J716&lt;&gt;"","Confirmée","En attente"))))</f>
        <v/>
      </c>
      <c r="S716" s="34">
        <f>IF(F716="","",IFERROR(VLOOKUP(F716,T_Produits,2,FALSE),""))</f>
        <v/>
      </c>
      <c r="T716" s="40">
        <f>IF(F716="","",IFERROR(1/(1/VLOOKUP(F716,T_Produits,3,FALSE)),""))</f>
        <v/>
      </c>
      <c r="U716" s="40">
        <f>IF(H716&lt;&gt;"",H716,T716)</f>
        <v/>
      </c>
      <c r="V716" s="40">
        <f>IF(OR(G716="",U716=""),"",G716*U716-N(I716))</f>
        <v/>
      </c>
      <c r="W716" s="39">
        <f>IF(D716="","",IFERROR(VALUE(MID(D716,LEN(D716)-3,3)),""))</f>
        <v/>
      </c>
      <c r="X716" s="33">
        <f>IF(W716="","",P716&amp;"|"&amp;W716)</f>
        <v/>
      </c>
      <c r="Y716" s="33">
        <f>IF(W716="","",IF(P716="À RENSEIGNER","GIC",P716)&amp;"-"&amp;TEXT(W716,"000"))</f>
        <v/>
      </c>
      <c r="Z716" s="33">
        <f>IF(X716="","",IFERROR(INDEX(Cl_nom,MATCH(X716,Cl_cle,0)),"(client introuvable)"))</f>
        <v/>
      </c>
      <c r="AA716" s="33">
        <f>IF(X716="","",IFERROR(INDEX(Cl_quartier,MATCH(X716,Cl_cle,0))&amp;"",""))</f>
        <v/>
      </c>
      <c r="AB716" s="45">
        <f>IF(R716&lt;&gt;"Livrée",0,IF(K716&lt;&gt;"",K716,C716))</f>
        <v/>
      </c>
      <c r="AC716" s="33">
        <f>IF(OR(C716="",W716=""),"",P716&amp;"|"&amp;W716&amp;"|"&amp;C716&amp;"|"&amp;E716)</f>
        <v/>
      </c>
      <c r="AD716" s="39">
        <f>IF(AC716="","",IF(COUNTIF(AC$6:AC716,AC716)=1,1,0))</f>
        <v/>
      </c>
      <c r="AE716" s="39">
        <f>IF(AB716=0,"",IF(COUNTIFS(X$6:X716,X716,AB$6:AB716,AB716)=1,1,0))</f>
        <v/>
      </c>
      <c r="AF716" s="34">
        <f>IF(C716="","",YEAR(C716-WEEKDAY(C716,2)+4)&amp;"-S"&amp;TEXT(INT((C716-DATE(YEAR(C716-WEEKDAY(C716,2)+4),1,3)+WEEKDAY(DATE(YEAR(C716-WEEKDAY(C716,2)+4),1,3),2)+5)/7),"00"))</f>
        <v/>
      </c>
    </row>
    <row r="717" ht="18" customHeight="1">
      <c r="A717" s="39" t="n">
        <v>712</v>
      </c>
      <c r="B717" s="33">
        <f>IF(C717="","",IF(P717="À RENSEIGNER","GIC",P717)&amp;"-C"&amp;TEXT(A717,"00000"))</f>
        <v/>
      </c>
      <c r="C717" s="32" t="n"/>
      <c r="D717" s="36" t="n"/>
      <c r="E717" s="36" t="n"/>
      <c r="F717" s="36" t="n"/>
      <c r="G717" s="42" t="n"/>
      <c r="H717" s="37" t="n"/>
      <c r="I717" s="37" t="n"/>
      <c r="J717" s="32" t="n"/>
      <c r="K717" s="32" t="n"/>
      <c r="L717" s="43" t="n"/>
      <c r="M717" s="36" t="n"/>
      <c r="N717" s="44" t="n"/>
      <c r="O717" s="36" t="n"/>
      <c r="P717" s="33">
        <f>IF(C717="","",Commercial_Id)</f>
        <v/>
      </c>
      <c r="Q717" s="34">
        <f>IF(AC717="","",IF(AD717=1,"C"&amp;TEXT(SUM(AD$6:AD717),"0000"),INDEX(Q$6:Q716,MATCH(AC717,AC$6:AC716,0))))</f>
        <v/>
      </c>
      <c r="R717" s="34">
        <f>IF(C717="","",IF(L717="☑ Oui","Annulée",IF(OR(E717="Vente directe",K717&lt;&gt;""),"Livrée",IF(J717&lt;&gt;"","Confirmée","En attente"))))</f>
        <v/>
      </c>
      <c r="S717" s="34">
        <f>IF(F717="","",IFERROR(VLOOKUP(F717,T_Produits,2,FALSE),""))</f>
        <v/>
      </c>
      <c r="T717" s="40">
        <f>IF(F717="","",IFERROR(1/(1/VLOOKUP(F717,T_Produits,3,FALSE)),""))</f>
        <v/>
      </c>
      <c r="U717" s="40">
        <f>IF(H717&lt;&gt;"",H717,T717)</f>
        <v/>
      </c>
      <c r="V717" s="40">
        <f>IF(OR(G717="",U717=""),"",G717*U717-N(I717))</f>
        <v/>
      </c>
      <c r="W717" s="39">
        <f>IF(D717="","",IFERROR(VALUE(MID(D717,LEN(D717)-3,3)),""))</f>
        <v/>
      </c>
      <c r="X717" s="33">
        <f>IF(W717="","",P717&amp;"|"&amp;W717)</f>
        <v/>
      </c>
      <c r="Y717" s="33">
        <f>IF(W717="","",IF(P717="À RENSEIGNER","GIC",P717)&amp;"-"&amp;TEXT(W717,"000"))</f>
        <v/>
      </c>
      <c r="Z717" s="33">
        <f>IF(X717="","",IFERROR(INDEX(Cl_nom,MATCH(X717,Cl_cle,0)),"(client introuvable)"))</f>
        <v/>
      </c>
      <c r="AA717" s="33">
        <f>IF(X717="","",IFERROR(INDEX(Cl_quartier,MATCH(X717,Cl_cle,0))&amp;"",""))</f>
        <v/>
      </c>
      <c r="AB717" s="45">
        <f>IF(R717&lt;&gt;"Livrée",0,IF(K717&lt;&gt;"",K717,C717))</f>
        <v/>
      </c>
      <c r="AC717" s="33">
        <f>IF(OR(C717="",W717=""),"",P717&amp;"|"&amp;W717&amp;"|"&amp;C717&amp;"|"&amp;E717)</f>
        <v/>
      </c>
      <c r="AD717" s="39">
        <f>IF(AC717="","",IF(COUNTIF(AC$6:AC717,AC717)=1,1,0))</f>
        <v/>
      </c>
      <c r="AE717" s="39">
        <f>IF(AB717=0,"",IF(COUNTIFS(X$6:X717,X717,AB$6:AB717,AB717)=1,1,0))</f>
        <v/>
      </c>
      <c r="AF717" s="34">
        <f>IF(C717="","",YEAR(C717-WEEKDAY(C717,2)+4)&amp;"-S"&amp;TEXT(INT((C717-DATE(YEAR(C717-WEEKDAY(C717,2)+4),1,3)+WEEKDAY(DATE(YEAR(C717-WEEKDAY(C717,2)+4),1,3),2)+5)/7),"00"))</f>
        <v/>
      </c>
    </row>
    <row r="718" ht="18" customHeight="1">
      <c r="A718" s="39" t="n">
        <v>713</v>
      </c>
      <c r="B718" s="33">
        <f>IF(C718="","",IF(P718="À RENSEIGNER","GIC",P718)&amp;"-C"&amp;TEXT(A718,"00000"))</f>
        <v/>
      </c>
      <c r="C718" s="32" t="n"/>
      <c r="D718" s="36" t="n"/>
      <c r="E718" s="36" t="n"/>
      <c r="F718" s="36" t="n"/>
      <c r="G718" s="42" t="n"/>
      <c r="H718" s="37" t="n"/>
      <c r="I718" s="37" t="n"/>
      <c r="J718" s="32" t="n"/>
      <c r="K718" s="32" t="n"/>
      <c r="L718" s="43" t="n"/>
      <c r="M718" s="36" t="n"/>
      <c r="N718" s="44" t="n"/>
      <c r="O718" s="36" t="n"/>
      <c r="P718" s="33">
        <f>IF(C718="","",Commercial_Id)</f>
        <v/>
      </c>
      <c r="Q718" s="34">
        <f>IF(AC718="","",IF(AD718=1,"C"&amp;TEXT(SUM(AD$6:AD718),"0000"),INDEX(Q$6:Q717,MATCH(AC718,AC$6:AC717,0))))</f>
        <v/>
      </c>
      <c r="R718" s="34">
        <f>IF(C718="","",IF(L718="☑ Oui","Annulée",IF(OR(E718="Vente directe",K718&lt;&gt;""),"Livrée",IF(J718&lt;&gt;"","Confirmée","En attente"))))</f>
        <v/>
      </c>
      <c r="S718" s="34">
        <f>IF(F718="","",IFERROR(VLOOKUP(F718,T_Produits,2,FALSE),""))</f>
        <v/>
      </c>
      <c r="T718" s="40">
        <f>IF(F718="","",IFERROR(1/(1/VLOOKUP(F718,T_Produits,3,FALSE)),""))</f>
        <v/>
      </c>
      <c r="U718" s="40">
        <f>IF(H718&lt;&gt;"",H718,T718)</f>
        <v/>
      </c>
      <c r="V718" s="40">
        <f>IF(OR(G718="",U718=""),"",G718*U718-N(I718))</f>
        <v/>
      </c>
      <c r="W718" s="39">
        <f>IF(D718="","",IFERROR(VALUE(MID(D718,LEN(D718)-3,3)),""))</f>
        <v/>
      </c>
      <c r="X718" s="33">
        <f>IF(W718="","",P718&amp;"|"&amp;W718)</f>
        <v/>
      </c>
      <c r="Y718" s="33">
        <f>IF(W718="","",IF(P718="À RENSEIGNER","GIC",P718)&amp;"-"&amp;TEXT(W718,"000"))</f>
        <v/>
      </c>
      <c r="Z718" s="33">
        <f>IF(X718="","",IFERROR(INDEX(Cl_nom,MATCH(X718,Cl_cle,0)),"(client introuvable)"))</f>
        <v/>
      </c>
      <c r="AA718" s="33">
        <f>IF(X718="","",IFERROR(INDEX(Cl_quartier,MATCH(X718,Cl_cle,0))&amp;"",""))</f>
        <v/>
      </c>
      <c r="AB718" s="45">
        <f>IF(R718&lt;&gt;"Livrée",0,IF(K718&lt;&gt;"",K718,C718))</f>
        <v/>
      </c>
      <c r="AC718" s="33">
        <f>IF(OR(C718="",W718=""),"",P718&amp;"|"&amp;W718&amp;"|"&amp;C718&amp;"|"&amp;E718)</f>
        <v/>
      </c>
      <c r="AD718" s="39">
        <f>IF(AC718="","",IF(COUNTIF(AC$6:AC718,AC718)=1,1,0))</f>
        <v/>
      </c>
      <c r="AE718" s="39">
        <f>IF(AB718=0,"",IF(COUNTIFS(X$6:X718,X718,AB$6:AB718,AB718)=1,1,0))</f>
        <v/>
      </c>
      <c r="AF718" s="34">
        <f>IF(C718="","",YEAR(C718-WEEKDAY(C718,2)+4)&amp;"-S"&amp;TEXT(INT((C718-DATE(YEAR(C718-WEEKDAY(C718,2)+4),1,3)+WEEKDAY(DATE(YEAR(C718-WEEKDAY(C718,2)+4),1,3),2)+5)/7),"00"))</f>
        <v/>
      </c>
    </row>
    <row r="719" ht="18" customHeight="1">
      <c r="A719" s="39" t="n">
        <v>714</v>
      </c>
      <c r="B719" s="33">
        <f>IF(C719="","",IF(P719="À RENSEIGNER","GIC",P719)&amp;"-C"&amp;TEXT(A719,"00000"))</f>
        <v/>
      </c>
      <c r="C719" s="32" t="n"/>
      <c r="D719" s="36" t="n"/>
      <c r="E719" s="36" t="n"/>
      <c r="F719" s="36" t="n"/>
      <c r="G719" s="42" t="n"/>
      <c r="H719" s="37" t="n"/>
      <c r="I719" s="37" t="n"/>
      <c r="J719" s="32" t="n"/>
      <c r="K719" s="32" t="n"/>
      <c r="L719" s="43" t="n"/>
      <c r="M719" s="36" t="n"/>
      <c r="N719" s="44" t="n"/>
      <c r="O719" s="36" t="n"/>
      <c r="P719" s="33">
        <f>IF(C719="","",Commercial_Id)</f>
        <v/>
      </c>
      <c r="Q719" s="34">
        <f>IF(AC719="","",IF(AD719=1,"C"&amp;TEXT(SUM(AD$6:AD719),"0000"),INDEX(Q$6:Q718,MATCH(AC719,AC$6:AC718,0))))</f>
        <v/>
      </c>
      <c r="R719" s="34">
        <f>IF(C719="","",IF(L719="☑ Oui","Annulée",IF(OR(E719="Vente directe",K719&lt;&gt;""),"Livrée",IF(J719&lt;&gt;"","Confirmée","En attente"))))</f>
        <v/>
      </c>
      <c r="S719" s="34">
        <f>IF(F719="","",IFERROR(VLOOKUP(F719,T_Produits,2,FALSE),""))</f>
        <v/>
      </c>
      <c r="T719" s="40">
        <f>IF(F719="","",IFERROR(1/(1/VLOOKUP(F719,T_Produits,3,FALSE)),""))</f>
        <v/>
      </c>
      <c r="U719" s="40">
        <f>IF(H719&lt;&gt;"",H719,T719)</f>
        <v/>
      </c>
      <c r="V719" s="40">
        <f>IF(OR(G719="",U719=""),"",G719*U719-N(I719))</f>
        <v/>
      </c>
      <c r="W719" s="39">
        <f>IF(D719="","",IFERROR(VALUE(MID(D719,LEN(D719)-3,3)),""))</f>
        <v/>
      </c>
      <c r="X719" s="33">
        <f>IF(W719="","",P719&amp;"|"&amp;W719)</f>
        <v/>
      </c>
      <c r="Y719" s="33">
        <f>IF(W719="","",IF(P719="À RENSEIGNER","GIC",P719)&amp;"-"&amp;TEXT(W719,"000"))</f>
        <v/>
      </c>
      <c r="Z719" s="33">
        <f>IF(X719="","",IFERROR(INDEX(Cl_nom,MATCH(X719,Cl_cle,0)),"(client introuvable)"))</f>
        <v/>
      </c>
      <c r="AA719" s="33">
        <f>IF(X719="","",IFERROR(INDEX(Cl_quartier,MATCH(X719,Cl_cle,0))&amp;"",""))</f>
        <v/>
      </c>
      <c r="AB719" s="45">
        <f>IF(R719&lt;&gt;"Livrée",0,IF(K719&lt;&gt;"",K719,C719))</f>
        <v/>
      </c>
      <c r="AC719" s="33">
        <f>IF(OR(C719="",W719=""),"",P719&amp;"|"&amp;W719&amp;"|"&amp;C719&amp;"|"&amp;E719)</f>
        <v/>
      </c>
      <c r="AD719" s="39">
        <f>IF(AC719="","",IF(COUNTIF(AC$6:AC719,AC719)=1,1,0))</f>
        <v/>
      </c>
      <c r="AE719" s="39">
        <f>IF(AB719=0,"",IF(COUNTIFS(X$6:X719,X719,AB$6:AB719,AB719)=1,1,0))</f>
        <v/>
      </c>
      <c r="AF719" s="34">
        <f>IF(C719="","",YEAR(C719-WEEKDAY(C719,2)+4)&amp;"-S"&amp;TEXT(INT((C719-DATE(YEAR(C719-WEEKDAY(C719,2)+4),1,3)+WEEKDAY(DATE(YEAR(C719-WEEKDAY(C719,2)+4),1,3),2)+5)/7),"00"))</f>
        <v/>
      </c>
    </row>
    <row r="720" ht="18" customHeight="1">
      <c r="A720" s="39" t="n">
        <v>715</v>
      </c>
      <c r="B720" s="33">
        <f>IF(C720="","",IF(P720="À RENSEIGNER","GIC",P720)&amp;"-C"&amp;TEXT(A720,"00000"))</f>
        <v/>
      </c>
      <c r="C720" s="32" t="n"/>
      <c r="D720" s="36" t="n"/>
      <c r="E720" s="36" t="n"/>
      <c r="F720" s="36" t="n"/>
      <c r="G720" s="42" t="n"/>
      <c r="H720" s="37" t="n"/>
      <c r="I720" s="37" t="n"/>
      <c r="J720" s="32" t="n"/>
      <c r="K720" s="32" t="n"/>
      <c r="L720" s="43" t="n"/>
      <c r="M720" s="36" t="n"/>
      <c r="N720" s="44" t="n"/>
      <c r="O720" s="36" t="n"/>
      <c r="P720" s="33">
        <f>IF(C720="","",Commercial_Id)</f>
        <v/>
      </c>
      <c r="Q720" s="34">
        <f>IF(AC720="","",IF(AD720=1,"C"&amp;TEXT(SUM(AD$6:AD720),"0000"),INDEX(Q$6:Q719,MATCH(AC720,AC$6:AC719,0))))</f>
        <v/>
      </c>
      <c r="R720" s="34">
        <f>IF(C720="","",IF(L720="☑ Oui","Annulée",IF(OR(E720="Vente directe",K720&lt;&gt;""),"Livrée",IF(J720&lt;&gt;"","Confirmée","En attente"))))</f>
        <v/>
      </c>
      <c r="S720" s="34">
        <f>IF(F720="","",IFERROR(VLOOKUP(F720,T_Produits,2,FALSE),""))</f>
        <v/>
      </c>
      <c r="T720" s="40">
        <f>IF(F720="","",IFERROR(1/(1/VLOOKUP(F720,T_Produits,3,FALSE)),""))</f>
        <v/>
      </c>
      <c r="U720" s="40">
        <f>IF(H720&lt;&gt;"",H720,T720)</f>
        <v/>
      </c>
      <c r="V720" s="40">
        <f>IF(OR(G720="",U720=""),"",G720*U720-N(I720))</f>
        <v/>
      </c>
      <c r="W720" s="39">
        <f>IF(D720="","",IFERROR(VALUE(MID(D720,LEN(D720)-3,3)),""))</f>
        <v/>
      </c>
      <c r="X720" s="33">
        <f>IF(W720="","",P720&amp;"|"&amp;W720)</f>
        <v/>
      </c>
      <c r="Y720" s="33">
        <f>IF(W720="","",IF(P720="À RENSEIGNER","GIC",P720)&amp;"-"&amp;TEXT(W720,"000"))</f>
        <v/>
      </c>
      <c r="Z720" s="33">
        <f>IF(X720="","",IFERROR(INDEX(Cl_nom,MATCH(X720,Cl_cle,0)),"(client introuvable)"))</f>
        <v/>
      </c>
      <c r="AA720" s="33">
        <f>IF(X720="","",IFERROR(INDEX(Cl_quartier,MATCH(X720,Cl_cle,0))&amp;"",""))</f>
        <v/>
      </c>
      <c r="AB720" s="45">
        <f>IF(R720&lt;&gt;"Livrée",0,IF(K720&lt;&gt;"",K720,C720))</f>
        <v/>
      </c>
      <c r="AC720" s="33">
        <f>IF(OR(C720="",W720=""),"",P720&amp;"|"&amp;W720&amp;"|"&amp;C720&amp;"|"&amp;E720)</f>
        <v/>
      </c>
      <c r="AD720" s="39">
        <f>IF(AC720="","",IF(COUNTIF(AC$6:AC720,AC720)=1,1,0))</f>
        <v/>
      </c>
      <c r="AE720" s="39">
        <f>IF(AB720=0,"",IF(COUNTIFS(X$6:X720,X720,AB$6:AB720,AB720)=1,1,0))</f>
        <v/>
      </c>
      <c r="AF720" s="34">
        <f>IF(C720="","",YEAR(C720-WEEKDAY(C720,2)+4)&amp;"-S"&amp;TEXT(INT((C720-DATE(YEAR(C720-WEEKDAY(C720,2)+4),1,3)+WEEKDAY(DATE(YEAR(C720-WEEKDAY(C720,2)+4),1,3),2)+5)/7),"00"))</f>
        <v/>
      </c>
    </row>
    <row r="721" ht="18" customHeight="1">
      <c r="A721" s="39" t="n">
        <v>716</v>
      </c>
      <c r="B721" s="33">
        <f>IF(C721="","",IF(P721="À RENSEIGNER","GIC",P721)&amp;"-C"&amp;TEXT(A721,"00000"))</f>
        <v/>
      </c>
      <c r="C721" s="32" t="n"/>
      <c r="D721" s="36" t="n"/>
      <c r="E721" s="36" t="n"/>
      <c r="F721" s="36" t="n"/>
      <c r="G721" s="42" t="n"/>
      <c r="H721" s="37" t="n"/>
      <c r="I721" s="37" t="n"/>
      <c r="J721" s="32" t="n"/>
      <c r="K721" s="32" t="n"/>
      <c r="L721" s="43" t="n"/>
      <c r="M721" s="36" t="n"/>
      <c r="N721" s="44" t="n"/>
      <c r="O721" s="36" t="n"/>
      <c r="P721" s="33">
        <f>IF(C721="","",Commercial_Id)</f>
        <v/>
      </c>
      <c r="Q721" s="34">
        <f>IF(AC721="","",IF(AD721=1,"C"&amp;TEXT(SUM(AD$6:AD721),"0000"),INDEX(Q$6:Q720,MATCH(AC721,AC$6:AC720,0))))</f>
        <v/>
      </c>
      <c r="R721" s="34">
        <f>IF(C721="","",IF(L721="☑ Oui","Annulée",IF(OR(E721="Vente directe",K721&lt;&gt;""),"Livrée",IF(J721&lt;&gt;"","Confirmée","En attente"))))</f>
        <v/>
      </c>
      <c r="S721" s="34">
        <f>IF(F721="","",IFERROR(VLOOKUP(F721,T_Produits,2,FALSE),""))</f>
        <v/>
      </c>
      <c r="T721" s="40">
        <f>IF(F721="","",IFERROR(1/(1/VLOOKUP(F721,T_Produits,3,FALSE)),""))</f>
        <v/>
      </c>
      <c r="U721" s="40">
        <f>IF(H721&lt;&gt;"",H721,T721)</f>
        <v/>
      </c>
      <c r="V721" s="40">
        <f>IF(OR(G721="",U721=""),"",G721*U721-N(I721))</f>
        <v/>
      </c>
      <c r="W721" s="39">
        <f>IF(D721="","",IFERROR(VALUE(MID(D721,LEN(D721)-3,3)),""))</f>
        <v/>
      </c>
      <c r="X721" s="33">
        <f>IF(W721="","",P721&amp;"|"&amp;W721)</f>
        <v/>
      </c>
      <c r="Y721" s="33">
        <f>IF(W721="","",IF(P721="À RENSEIGNER","GIC",P721)&amp;"-"&amp;TEXT(W721,"000"))</f>
        <v/>
      </c>
      <c r="Z721" s="33">
        <f>IF(X721="","",IFERROR(INDEX(Cl_nom,MATCH(X721,Cl_cle,0)),"(client introuvable)"))</f>
        <v/>
      </c>
      <c r="AA721" s="33">
        <f>IF(X721="","",IFERROR(INDEX(Cl_quartier,MATCH(X721,Cl_cle,0))&amp;"",""))</f>
        <v/>
      </c>
      <c r="AB721" s="45">
        <f>IF(R721&lt;&gt;"Livrée",0,IF(K721&lt;&gt;"",K721,C721))</f>
        <v/>
      </c>
      <c r="AC721" s="33">
        <f>IF(OR(C721="",W721=""),"",P721&amp;"|"&amp;W721&amp;"|"&amp;C721&amp;"|"&amp;E721)</f>
        <v/>
      </c>
      <c r="AD721" s="39">
        <f>IF(AC721="","",IF(COUNTIF(AC$6:AC721,AC721)=1,1,0))</f>
        <v/>
      </c>
      <c r="AE721" s="39">
        <f>IF(AB721=0,"",IF(COUNTIFS(X$6:X721,X721,AB$6:AB721,AB721)=1,1,0))</f>
        <v/>
      </c>
      <c r="AF721" s="34">
        <f>IF(C721="","",YEAR(C721-WEEKDAY(C721,2)+4)&amp;"-S"&amp;TEXT(INT((C721-DATE(YEAR(C721-WEEKDAY(C721,2)+4),1,3)+WEEKDAY(DATE(YEAR(C721-WEEKDAY(C721,2)+4),1,3),2)+5)/7),"00"))</f>
        <v/>
      </c>
    </row>
    <row r="722" ht="18" customHeight="1">
      <c r="A722" s="39" t="n">
        <v>717</v>
      </c>
      <c r="B722" s="33">
        <f>IF(C722="","",IF(P722="À RENSEIGNER","GIC",P722)&amp;"-C"&amp;TEXT(A722,"00000"))</f>
        <v/>
      </c>
      <c r="C722" s="32" t="n"/>
      <c r="D722" s="36" t="n"/>
      <c r="E722" s="36" t="n"/>
      <c r="F722" s="36" t="n"/>
      <c r="G722" s="42" t="n"/>
      <c r="H722" s="37" t="n"/>
      <c r="I722" s="37" t="n"/>
      <c r="J722" s="32" t="n"/>
      <c r="K722" s="32" t="n"/>
      <c r="L722" s="43" t="n"/>
      <c r="M722" s="36" t="n"/>
      <c r="N722" s="44" t="n"/>
      <c r="O722" s="36" t="n"/>
      <c r="P722" s="33">
        <f>IF(C722="","",Commercial_Id)</f>
        <v/>
      </c>
      <c r="Q722" s="34">
        <f>IF(AC722="","",IF(AD722=1,"C"&amp;TEXT(SUM(AD$6:AD722),"0000"),INDEX(Q$6:Q721,MATCH(AC722,AC$6:AC721,0))))</f>
        <v/>
      </c>
      <c r="R722" s="34">
        <f>IF(C722="","",IF(L722="☑ Oui","Annulée",IF(OR(E722="Vente directe",K722&lt;&gt;""),"Livrée",IF(J722&lt;&gt;"","Confirmée","En attente"))))</f>
        <v/>
      </c>
      <c r="S722" s="34">
        <f>IF(F722="","",IFERROR(VLOOKUP(F722,T_Produits,2,FALSE),""))</f>
        <v/>
      </c>
      <c r="T722" s="40">
        <f>IF(F722="","",IFERROR(1/(1/VLOOKUP(F722,T_Produits,3,FALSE)),""))</f>
        <v/>
      </c>
      <c r="U722" s="40">
        <f>IF(H722&lt;&gt;"",H722,T722)</f>
        <v/>
      </c>
      <c r="V722" s="40">
        <f>IF(OR(G722="",U722=""),"",G722*U722-N(I722))</f>
        <v/>
      </c>
      <c r="W722" s="39">
        <f>IF(D722="","",IFERROR(VALUE(MID(D722,LEN(D722)-3,3)),""))</f>
        <v/>
      </c>
      <c r="X722" s="33">
        <f>IF(W722="","",P722&amp;"|"&amp;W722)</f>
        <v/>
      </c>
      <c r="Y722" s="33">
        <f>IF(W722="","",IF(P722="À RENSEIGNER","GIC",P722)&amp;"-"&amp;TEXT(W722,"000"))</f>
        <v/>
      </c>
      <c r="Z722" s="33">
        <f>IF(X722="","",IFERROR(INDEX(Cl_nom,MATCH(X722,Cl_cle,0)),"(client introuvable)"))</f>
        <v/>
      </c>
      <c r="AA722" s="33">
        <f>IF(X722="","",IFERROR(INDEX(Cl_quartier,MATCH(X722,Cl_cle,0))&amp;"",""))</f>
        <v/>
      </c>
      <c r="AB722" s="45">
        <f>IF(R722&lt;&gt;"Livrée",0,IF(K722&lt;&gt;"",K722,C722))</f>
        <v/>
      </c>
      <c r="AC722" s="33">
        <f>IF(OR(C722="",W722=""),"",P722&amp;"|"&amp;W722&amp;"|"&amp;C722&amp;"|"&amp;E722)</f>
        <v/>
      </c>
      <c r="AD722" s="39">
        <f>IF(AC722="","",IF(COUNTIF(AC$6:AC722,AC722)=1,1,0))</f>
        <v/>
      </c>
      <c r="AE722" s="39">
        <f>IF(AB722=0,"",IF(COUNTIFS(X$6:X722,X722,AB$6:AB722,AB722)=1,1,0))</f>
        <v/>
      </c>
      <c r="AF722" s="34">
        <f>IF(C722="","",YEAR(C722-WEEKDAY(C722,2)+4)&amp;"-S"&amp;TEXT(INT((C722-DATE(YEAR(C722-WEEKDAY(C722,2)+4),1,3)+WEEKDAY(DATE(YEAR(C722-WEEKDAY(C722,2)+4),1,3),2)+5)/7),"00"))</f>
        <v/>
      </c>
    </row>
    <row r="723" ht="18" customHeight="1">
      <c r="A723" s="39" t="n">
        <v>718</v>
      </c>
      <c r="B723" s="33">
        <f>IF(C723="","",IF(P723="À RENSEIGNER","GIC",P723)&amp;"-C"&amp;TEXT(A723,"00000"))</f>
        <v/>
      </c>
      <c r="C723" s="32" t="n"/>
      <c r="D723" s="36" t="n"/>
      <c r="E723" s="36" t="n"/>
      <c r="F723" s="36" t="n"/>
      <c r="G723" s="42" t="n"/>
      <c r="H723" s="37" t="n"/>
      <c r="I723" s="37" t="n"/>
      <c r="J723" s="32" t="n"/>
      <c r="K723" s="32" t="n"/>
      <c r="L723" s="43" t="n"/>
      <c r="M723" s="36" t="n"/>
      <c r="N723" s="44" t="n"/>
      <c r="O723" s="36" t="n"/>
      <c r="P723" s="33">
        <f>IF(C723="","",Commercial_Id)</f>
        <v/>
      </c>
      <c r="Q723" s="34">
        <f>IF(AC723="","",IF(AD723=1,"C"&amp;TEXT(SUM(AD$6:AD723),"0000"),INDEX(Q$6:Q722,MATCH(AC723,AC$6:AC722,0))))</f>
        <v/>
      </c>
      <c r="R723" s="34">
        <f>IF(C723="","",IF(L723="☑ Oui","Annulée",IF(OR(E723="Vente directe",K723&lt;&gt;""),"Livrée",IF(J723&lt;&gt;"","Confirmée","En attente"))))</f>
        <v/>
      </c>
      <c r="S723" s="34">
        <f>IF(F723="","",IFERROR(VLOOKUP(F723,T_Produits,2,FALSE),""))</f>
        <v/>
      </c>
      <c r="T723" s="40">
        <f>IF(F723="","",IFERROR(1/(1/VLOOKUP(F723,T_Produits,3,FALSE)),""))</f>
        <v/>
      </c>
      <c r="U723" s="40">
        <f>IF(H723&lt;&gt;"",H723,T723)</f>
        <v/>
      </c>
      <c r="V723" s="40">
        <f>IF(OR(G723="",U723=""),"",G723*U723-N(I723))</f>
        <v/>
      </c>
      <c r="W723" s="39">
        <f>IF(D723="","",IFERROR(VALUE(MID(D723,LEN(D723)-3,3)),""))</f>
        <v/>
      </c>
      <c r="X723" s="33">
        <f>IF(W723="","",P723&amp;"|"&amp;W723)</f>
        <v/>
      </c>
      <c r="Y723" s="33">
        <f>IF(W723="","",IF(P723="À RENSEIGNER","GIC",P723)&amp;"-"&amp;TEXT(W723,"000"))</f>
        <v/>
      </c>
      <c r="Z723" s="33">
        <f>IF(X723="","",IFERROR(INDEX(Cl_nom,MATCH(X723,Cl_cle,0)),"(client introuvable)"))</f>
        <v/>
      </c>
      <c r="AA723" s="33">
        <f>IF(X723="","",IFERROR(INDEX(Cl_quartier,MATCH(X723,Cl_cle,0))&amp;"",""))</f>
        <v/>
      </c>
      <c r="AB723" s="45">
        <f>IF(R723&lt;&gt;"Livrée",0,IF(K723&lt;&gt;"",K723,C723))</f>
        <v/>
      </c>
      <c r="AC723" s="33">
        <f>IF(OR(C723="",W723=""),"",P723&amp;"|"&amp;W723&amp;"|"&amp;C723&amp;"|"&amp;E723)</f>
        <v/>
      </c>
      <c r="AD723" s="39">
        <f>IF(AC723="","",IF(COUNTIF(AC$6:AC723,AC723)=1,1,0))</f>
        <v/>
      </c>
      <c r="AE723" s="39">
        <f>IF(AB723=0,"",IF(COUNTIFS(X$6:X723,X723,AB$6:AB723,AB723)=1,1,0))</f>
        <v/>
      </c>
      <c r="AF723" s="34">
        <f>IF(C723="","",YEAR(C723-WEEKDAY(C723,2)+4)&amp;"-S"&amp;TEXT(INT((C723-DATE(YEAR(C723-WEEKDAY(C723,2)+4),1,3)+WEEKDAY(DATE(YEAR(C723-WEEKDAY(C723,2)+4),1,3),2)+5)/7),"00"))</f>
        <v/>
      </c>
    </row>
    <row r="724" ht="18" customHeight="1">
      <c r="A724" s="39" t="n">
        <v>719</v>
      </c>
      <c r="B724" s="33">
        <f>IF(C724="","",IF(P724="À RENSEIGNER","GIC",P724)&amp;"-C"&amp;TEXT(A724,"00000"))</f>
        <v/>
      </c>
      <c r="C724" s="32" t="n"/>
      <c r="D724" s="36" t="n"/>
      <c r="E724" s="36" t="n"/>
      <c r="F724" s="36" t="n"/>
      <c r="G724" s="42" t="n"/>
      <c r="H724" s="37" t="n"/>
      <c r="I724" s="37" t="n"/>
      <c r="J724" s="32" t="n"/>
      <c r="K724" s="32" t="n"/>
      <c r="L724" s="43" t="n"/>
      <c r="M724" s="36" t="n"/>
      <c r="N724" s="44" t="n"/>
      <c r="O724" s="36" t="n"/>
      <c r="P724" s="33">
        <f>IF(C724="","",Commercial_Id)</f>
        <v/>
      </c>
      <c r="Q724" s="34">
        <f>IF(AC724="","",IF(AD724=1,"C"&amp;TEXT(SUM(AD$6:AD724),"0000"),INDEX(Q$6:Q723,MATCH(AC724,AC$6:AC723,0))))</f>
        <v/>
      </c>
      <c r="R724" s="34">
        <f>IF(C724="","",IF(L724="☑ Oui","Annulée",IF(OR(E724="Vente directe",K724&lt;&gt;""),"Livrée",IF(J724&lt;&gt;"","Confirmée","En attente"))))</f>
        <v/>
      </c>
      <c r="S724" s="34">
        <f>IF(F724="","",IFERROR(VLOOKUP(F724,T_Produits,2,FALSE),""))</f>
        <v/>
      </c>
      <c r="T724" s="40">
        <f>IF(F724="","",IFERROR(1/(1/VLOOKUP(F724,T_Produits,3,FALSE)),""))</f>
        <v/>
      </c>
      <c r="U724" s="40">
        <f>IF(H724&lt;&gt;"",H724,T724)</f>
        <v/>
      </c>
      <c r="V724" s="40">
        <f>IF(OR(G724="",U724=""),"",G724*U724-N(I724))</f>
        <v/>
      </c>
      <c r="W724" s="39">
        <f>IF(D724="","",IFERROR(VALUE(MID(D724,LEN(D724)-3,3)),""))</f>
        <v/>
      </c>
      <c r="X724" s="33">
        <f>IF(W724="","",P724&amp;"|"&amp;W724)</f>
        <v/>
      </c>
      <c r="Y724" s="33">
        <f>IF(W724="","",IF(P724="À RENSEIGNER","GIC",P724)&amp;"-"&amp;TEXT(W724,"000"))</f>
        <v/>
      </c>
      <c r="Z724" s="33">
        <f>IF(X724="","",IFERROR(INDEX(Cl_nom,MATCH(X724,Cl_cle,0)),"(client introuvable)"))</f>
        <v/>
      </c>
      <c r="AA724" s="33">
        <f>IF(X724="","",IFERROR(INDEX(Cl_quartier,MATCH(X724,Cl_cle,0))&amp;"",""))</f>
        <v/>
      </c>
      <c r="AB724" s="45">
        <f>IF(R724&lt;&gt;"Livrée",0,IF(K724&lt;&gt;"",K724,C724))</f>
        <v/>
      </c>
      <c r="AC724" s="33">
        <f>IF(OR(C724="",W724=""),"",P724&amp;"|"&amp;W724&amp;"|"&amp;C724&amp;"|"&amp;E724)</f>
        <v/>
      </c>
      <c r="AD724" s="39">
        <f>IF(AC724="","",IF(COUNTIF(AC$6:AC724,AC724)=1,1,0))</f>
        <v/>
      </c>
      <c r="AE724" s="39">
        <f>IF(AB724=0,"",IF(COUNTIFS(X$6:X724,X724,AB$6:AB724,AB724)=1,1,0))</f>
        <v/>
      </c>
      <c r="AF724" s="34">
        <f>IF(C724="","",YEAR(C724-WEEKDAY(C724,2)+4)&amp;"-S"&amp;TEXT(INT((C724-DATE(YEAR(C724-WEEKDAY(C724,2)+4),1,3)+WEEKDAY(DATE(YEAR(C724-WEEKDAY(C724,2)+4),1,3),2)+5)/7),"00"))</f>
        <v/>
      </c>
    </row>
    <row r="725" ht="18" customHeight="1">
      <c r="A725" s="39" t="n">
        <v>720</v>
      </c>
      <c r="B725" s="33">
        <f>IF(C725="","",IF(P725="À RENSEIGNER","GIC",P725)&amp;"-C"&amp;TEXT(A725,"00000"))</f>
        <v/>
      </c>
      <c r="C725" s="32" t="n"/>
      <c r="D725" s="36" t="n"/>
      <c r="E725" s="36" t="n"/>
      <c r="F725" s="36" t="n"/>
      <c r="G725" s="42" t="n"/>
      <c r="H725" s="37" t="n"/>
      <c r="I725" s="37" t="n"/>
      <c r="J725" s="32" t="n"/>
      <c r="K725" s="32" t="n"/>
      <c r="L725" s="43" t="n"/>
      <c r="M725" s="36" t="n"/>
      <c r="N725" s="44" t="n"/>
      <c r="O725" s="36" t="n"/>
      <c r="P725" s="33">
        <f>IF(C725="","",Commercial_Id)</f>
        <v/>
      </c>
      <c r="Q725" s="34">
        <f>IF(AC725="","",IF(AD725=1,"C"&amp;TEXT(SUM(AD$6:AD725),"0000"),INDEX(Q$6:Q724,MATCH(AC725,AC$6:AC724,0))))</f>
        <v/>
      </c>
      <c r="R725" s="34">
        <f>IF(C725="","",IF(L725="☑ Oui","Annulée",IF(OR(E725="Vente directe",K725&lt;&gt;""),"Livrée",IF(J725&lt;&gt;"","Confirmée","En attente"))))</f>
        <v/>
      </c>
      <c r="S725" s="34">
        <f>IF(F725="","",IFERROR(VLOOKUP(F725,T_Produits,2,FALSE),""))</f>
        <v/>
      </c>
      <c r="T725" s="40">
        <f>IF(F725="","",IFERROR(1/(1/VLOOKUP(F725,T_Produits,3,FALSE)),""))</f>
        <v/>
      </c>
      <c r="U725" s="40">
        <f>IF(H725&lt;&gt;"",H725,T725)</f>
        <v/>
      </c>
      <c r="V725" s="40">
        <f>IF(OR(G725="",U725=""),"",G725*U725-N(I725))</f>
        <v/>
      </c>
      <c r="W725" s="39">
        <f>IF(D725="","",IFERROR(VALUE(MID(D725,LEN(D725)-3,3)),""))</f>
        <v/>
      </c>
      <c r="X725" s="33">
        <f>IF(W725="","",P725&amp;"|"&amp;W725)</f>
        <v/>
      </c>
      <c r="Y725" s="33">
        <f>IF(W725="","",IF(P725="À RENSEIGNER","GIC",P725)&amp;"-"&amp;TEXT(W725,"000"))</f>
        <v/>
      </c>
      <c r="Z725" s="33">
        <f>IF(X725="","",IFERROR(INDEX(Cl_nom,MATCH(X725,Cl_cle,0)),"(client introuvable)"))</f>
        <v/>
      </c>
      <c r="AA725" s="33">
        <f>IF(X725="","",IFERROR(INDEX(Cl_quartier,MATCH(X725,Cl_cle,0))&amp;"",""))</f>
        <v/>
      </c>
      <c r="AB725" s="45">
        <f>IF(R725&lt;&gt;"Livrée",0,IF(K725&lt;&gt;"",K725,C725))</f>
        <v/>
      </c>
      <c r="AC725" s="33">
        <f>IF(OR(C725="",W725=""),"",P725&amp;"|"&amp;W725&amp;"|"&amp;C725&amp;"|"&amp;E725)</f>
        <v/>
      </c>
      <c r="AD725" s="39">
        <f>IF(AC725="","",IF(COUNTIF(AC$6:AC725,AC725)=1,1,0))</f>
        <v/>
      </c>
      <c r="AE725" s="39">
        <f>IF(AB725=0,"",IF(COUNTIFS(X$6:X725,X725,AB$6:AB725,AB725)=1,1,0))</f>
        <v/>
      </c>
      <c r="AF725" s="34">
        <f>IF(C725="","",YEAR(C725-WEEKDAY(C725,2)+4)&amp;"-S"&amp;TEXT(INT((C725-DATE(YEAR(C725-WEEKDAY(C725,2)+4),1,3)+WEEKDAY(DATE(YEAR(C725-WEEKDAY(C725,2)+4),1,3),2)+5)/7),"00"))</f>
        <v/>
      </c>
    </row>
    <row r="726" ht="18" customHeight="1">
      <c r="A726" s="39" t="n">
        <v>721</v>
      </c>
      <c r="B726" s="33">
        <f>IF(C726="","",IF(P726="À RENSEIGNER","GIC",P726)&amp;"-C"&amp;TEXT(A726,"00000"))</f>
        <v/>
      </c>
      <c r="C726" s="32" t="n"/>
      <c r="D726" s="36" t="n"/>
      <c r="E726" s="36" t="n"/>
      <c r="F726" s="36" t="n"/>
      <c r="G726" s="42" t="n"/>
      <c r="H726" s="37" t="n"/>
      <c r="I726" s="37" t="n"/>
      <c r="J726" s="32" t="n"/>
      <c r="K726" s="32" t="n"/>
      <c r="L726" s="43" t="n"/>
      <c r="M726" s="36" t="n"/>
      <c r="N726" s="44" t="n"/>
      <c r="O726" s="36" t="n"/>
      <c r="P726" s="33">
        <f>IF(C726="","",Commercial_Id)</f>
        <v/>
      </c>
      <c r="Q726" s="34">
        <f>IF(AC726="","",IF(AD726=1,"C"&amp;TEXT(SUM(AD$6:AD726),"0000"),INDEX(Q$6:Q725,MATCH(AC726,AC$6:AC725,0))))</f>
        <v/>
      </c>
      <c r="R726" s="34">
        <f>IF(C726="","",IF(L726="☑ Oui","Annulée",IF(OR(E726="Vente directe",K726&lt;&gt;""),"Livrée",IF(J726&lt;&gt;"","Confirmée","En attente"))))</f>
        <v/>
      </c>
      <c r="S726" s="34">
        <f>IF(F726="","",IFERROR(VLOOKUP(F726,T_Produits,2,FALSE),""))</f>
        <v/>
      </c>
      <c r="T726" s="40">
        <f>IF(F726="","",IFERROR(1/(1/VLOOKUP(F726,T_Produits,3,FALSE)),""))</f>
        <v/>
      </c>
      <c r="U726" s="40">
        <f>IF(H726&lt;&gt;"",H726,T726)</f>
        <v/>
      </c>
      <c r="V726" s="40">
        <f>IF(OR(G726="",U726=""),"",G726*U726-N(I726))</f>
        <v/>
      </c>
      <c r="W726" s="39">
        <f>IF(D726="","",IFERROR(VALUE(MID(D726,LEN(D726)-3,3)),""))</f>
        <v/>
      </c>
      <c r="X726" s="33">
        <f>IF(W726="","",P726&amp;"|"&amp;W726)</f>
        <v/>
      </c>
      <c r="Y726" s="33">
        <f>IF(W726="","",IF(P726="À RENSEIGNER","GIC",P726)&amp;"-"&amp;TEXT(W726,"000"))</f>
        <v/>
      </c>
      <c r="Z726" s="33">
        <f>IF(X726="","",IFERROR(INDEX(Cl_nom,MATCH(X726,Cl_cle,0)),"(client introuvable)"))</f>
        <v/>
      </c>
      <c r="AA726" s="33">
        <f>IF(X726="","",IFERROR(INDEX(Cl_quartier,MATCH(X726,Cl_cle,0))&amp;"",""))</f>
        <v/>
      </c>
      <c r="AB726" s="45">
        <f>IF(R726&lt;&gt;"Livrée",0,IF(K726&lt;&gt;"",K726,C726))</f>
        <v/>
      </c>
      <c r="AC726" s="33">
        <f>IF(OR(C726="",W726=""),"",P726&amp;"|"&amp;W726&amp;"|"&amp;C726&amp;"|"&amp;E726)</f>
        <v/>
      </c>
      <c r="AD726" s="39">
        <f>IF(AC726="","",IF(COUNTIF(AC$6:AC726,AC726)=1,1,0))</f>
        <v/>
      </c>
      <c r="AE726" s="39">
        <f>IF(AB726=0,"",IF(COUNTIFS(X$6:X726,X726,AB$6:AB726,AB726)=1,1,0))</f>
        <v/>
      </c>
      <c r="AF726" s="34">
        <f>IF(C726="","",YEAR(C726-WEEKDAY(C726,2)+4)&amp;"-S"&amp;TEXT(INT((C726-DATE(YEAR(C726-WEEKDAY(C726,2)+4),1,3)+WEEKDAY(DATE(YEAR(C726-WEEKDAY(C726,2)+4),1,3),2)+5)/7),"00"))</f>
        <v/>
      </c>
    </row>
    <row r="727" ht="18" customHeight="1">
      <c r="A727" s="39" t="n">
        <v>722</v>
      </c>
      <c r="B727" s="33">
        <f>IF(C727="","",IF(P727="À RENSEIGNER","GIC",P727)&amp;"-C"&amp;TEXT(A727,"00000"))</f>
        <v/>
      </c>
      <c r="C727" s="32" t="n"/>
      <c r="D727" s="36" t="n"/>
      <c r="E727" s="36" t="n"/>
      <c r="F727" s="36" t="n"/>
      <c r="G727" s="42" t="n"/>
      <c r="H727" s="37" t="n"/>
      <c r="I727" s="37" t="n"/>
      <c r="J727" s="32" t="n"/>
      <c r="K727" s="32" t="n"/>
      <c r="L727" s="43" t="n"/>
      <c r="M727" s="36" t="n"/>
      <c r="N727" s="44" t="n"/>
      <c r="O727" s="36" t="n"/>
      <c r="P727" s="33">
        <f>IF(C727="","",Commercial_Id)</f>
        <v/>
      </c>
      <c r="Q727" s="34">
        <f>IF(AC727="","",IF(AD727=1,"C"&amp;TEXT(SUM(AD$6:AD727),"0000"),INDEX(Q$6:Q726,MATCH(AC727,AC$6:AC726,0))))</f>
        <v/>
      </c>
      <c r="R727" s="34">
        <f>IF(C727="","",IF(L727="☑ Oui","Annulée",IF(OR(E727="Vente directe",K727&lt;&gt;""),"Livrée",IF(J727&lt;&gt;"","Confirmée","En attente"))))</f>
        <v/>
      </c>
      <c r="S727" s="34">
        <f>IF(F727="","",IFERROR(VLOOKUP(F727,T_Produits,2,FALSE),""))</f>
        <v/>
      </c>
      <c r="T727" s="40">
        <f>IF(F727="","",IFERROR(1/(1/VLOOKUP(F727,T_Produits,3,FALSE)),""))</f>
        <v/>
      </c>
      <c r="U727" s="40">
        <f>IF(H727&lt;&gt;"",H727,T727)</f>
        <v/>
      </c>
      <c r="V727" s="40">
        <f>IF(OR(G727="",U727=""),"",G727*U727-N(I727))</f>
        <v/>
      </c>
      <c r="W727" s="39">
        <f>IF(D727="","",IFERROR(VALUE(MID(D727,LEN(D727)-3,3)),""))</f>
        <v/>
      </c>
      <c r="X727" s="33">
        <f>IF(W727="","",P727&amp;"|"&amp;W727)</f>
        <v/>
      </c>
      <c r="Y727" s="33">
        <f>IF(W727="","",IF(P727="À RENSEIGNER","GIC",P727)&amp;"-"&amp;TEXT(W727,"000"))</f>
        <v/>
      </c>
      <c r="Z727" s="33">
        <f>IF(X727="","",IFERROR(INDEX(Cl_nom,MATCH(X727,Cl_cle,0)),"(client introuvable)"))</f>
        <v/>
      </c>
      <c r="AA727" s="33">
        <f>IF(X727="","",IFERROR(INDEX(Cl_quartier,MATCH(X727,Cl_cle,0))&amp;"",""))</f>
        <v/>
      </c>
      <c r="AB727" s="45">
        <f>IF(R727&lt;&gt;"Livrée",0,IF(K727&lt;&gt;"",K727,C727))</f>
        <v/>
      </c>
      <c r="AC727" s="33">
        <f>IF(OR(C727="",W727=""),"",P727&amp;"|"&amp;W727&amp;"|"&amp;C727&amp;"|"&amp;E727)</f>
        <v/>
      </c>
      <c r="AD727" s="39">
        <f>IF(AC727="","",IF(COUNTIF(AC$6:AC727,AC727)=1,1,0))</f>
        <v/>
      </c>
      <c r="AE727" s="39">
        <f>IF(AB727=0,"",IF(COUNTIFS(X$6:X727,X727,AB$6:AB727,AB727)=1,1,0))</f>
        <v/>
      </c>
      <c r="AF727" s="34">
        <f>IF(C727="","",YEAR(C727-WEEKDAY(C727,2)+4)&amp;"-S"&amp;TEXT(INT((C727-DATE(YEAR(C727-WEEKDAY(C727,2)+4),1,3)+WEEKDAY(DATE(YEAR(C727-WEEKDAY(C727,2)+4),1,3),2)+5)/7),"00"))</f>
        <v/>
      </c>
    </row>
    <row r="728" ht="18" customHeight="1">
      <c r="A728" s="39" t="n">
        <v>723</v>
      </c>
      <c r="B728" s="33">
        <f>IF(C728="","",IF(P728="À RENSEIGNER","GIC",P728)&amp;"-C"&amp;TEXT(A728,"00000"))</f>
        <v/>
      </c>
      <c r="C728" s="32" t="n"/>
      <c r="D728" s="36" t="n"/>
      <c r="E728" s="36" t="n"/>
      <c r="F728" s="36" t="n"/>
      <c r="G728" s="42" t="n"/>
      <c r="H728" s="37" t="n"/>
      <c r="I728" s="37" t="n"/>
      <c r="J728" s="32" t="n"/>
      <c r="K728" s="32" t="n"/>
      <c r="L728" s="43" t="n"/>
      <c r="M728" s="36" t="n"/>
      <c r="N728" s="44" t="n"/>
      <c r="O728" s="36" t="n"/>
      <c r="P728" s="33">
        <f>IF(C728="","",Commercial_Id)</f>
        <v/>
      </c>
      <c r="Q728" s="34">
        <f>IF(AC728="","",IF(AD728=1,"C"&amp;TEXT(SUM(AD$6:AD728),"0000"),INDEX(Q$6:Q727,MATCH(AC728,AC$6:AC727,0))))</f>
        <v/>
      </c>
      <c r="R728" s="34">
        <f>IF(C728="","",IF(L728="☑ Oui","Annulée",IF(OR(E728="Vente directe",K728&lt;&gt;""),"Livrée",IF(J728&lt;&gt;"","Confirmée","En attente"))))</f>
        <v/>
      </c>
      <c r="S728" s="34">
        <f>IF(F728="","",IFERROR(VLOOKUP(F728,T_Produits,2,FALSE),""))</f>
        <v/>
      </c>
      <c r="T728" s="40">
        <f>IF(F728="","",IFERROR(1/(1/VLOOKUP(F728,T_Produits,3,FALSE)),""))</f>
        <v/>
      </c>
      <c r="U728" s="40">
        <f>IF(H728&lt;&gt;"",H728,T728)</f>
        <v/>
      </c>
      <c r="V728" s="40">
        <f>IF(OR(G728="",U728=""),"",G728*U728-N(I728))</f>
        <v/>
      </c>
      <c r="W728" s="39">
        <f>IF(D728="","",IFERROR(VALUE(MID(D728,LEN(D728)-3,3)),""))</f>
        <v/>
      </c>
      <c r="X728" s="33">
        <f>IF(W728="","",P728&amp;"|"&amp;W728)</f>
        <v/>
      </c>
      <c r="Y728" s="33">
        <f>IF(W728="","",IF(P728="À RENSEIGNER","GIC",P728)&amp;"-"&amp;TEXT(W728,"000"))</f>
        <v/>
      </c>
      <c r="Z728" s="33">
        <f>IF(X728="","",IFERROR(INDEX(Cl_nom,MATCH(X728,Cl_cle,0)),"(client introuvable)"))</f>
        <v/>
      </c>
      <c r="AA728" s="33">
        <f>IF(X728="","",IFERROR(INDEX(Cl_quartier,MATCH(X728,Cl_cle,0))&amp;"",""))</f>
        <v/>
      </c>
      <c r="AB728" s="45">
        <f>IF(R728&lt;&gt;"Livrée",0,IF(K728&lt;&gt;"",K728,C728))</f>
        <v/>
      </c>
      <c r="AC728" s="33">
        <f>IF(OR(C728="",W728=""),"",P728&amp;"|"&amp;W728&amp;"|"&amp;C728&amp;"|"&amp;E728)</f>
        <v/>
      </c>
      <c r="AD728" s="39">
        <f>IF(AC728="","",IF(COUNTIF(AC$6:AC728,AC728)=1,1,0))</f>
        <v/>
      </c>
      <c r="AE728" s="39">
        <f>IF(AB728=0,"",IF(COUNTIFS(X$6:X728,X728,AB$6:AB728,AB728)=1,1,0))</f>
        <v/>
      </c>
      <c r="AF728" s="34">
        <f>IF(C728="","",YEAR(C728-WEEKDAY(C728,2)+4)&amp;"-S"&amp;TEXT(INT((C728-DATE(YEAR(C728-WEEKDAY(C728,2)+4),1,3)+WEEKDAY(DATE(YEAR(C728-WEEKDAY(C728,2)+4),1,3),2)+5)/7),"00"))</f>
        <v/>
      </c>
    </row>
    <row r="729" ht="18" customHeight="1">
      <c r="A729" s="39" t="n">
        <v>724</v>
      </c>
      <c r="B729" s="33">
        <f>IF(C729="","",IF(P729="À RENSEIGNER","GIC",P729)&amp;"-C"&amp;TEXT(A729,"00000"))</f>
        <v/>
      </c>
      <c r="C729" s="32" t="n"/>
      <c r="D729" s="36" t="n"/>
      <c r="E729" s="36" t="n"/>
      <c r="F729" s="36" t="n"/>
      <c r="G729" s="42" t="n"/>
      <c r="H729" s="37" t="n"/>
      <c r="I729" s="37" t="n"/>
      <c r="J729" s="32" t="n"/>
      <c r="K729" s="32" t="n"/>
      <c r="L729" s="43" t="n"/>
      <c r="M729" s="36" t="n"/>
      <c r="N729" s="44" t="n"/>
      <c r="O729" s="36" t="n"/>
      <c r="P729" s="33">
        <f>IF(C729="","",Commercial_Id)</f>
        <v/>
      </c>
      <c r="Q729" s="34">
        <f>IF(AC729="","",IF(AD729=1,"C"&amp;TEXT(SUM(AD$6:AD729),"0000"),INDEX(Q$6:Q728,MATCH(AC729,AC$6:AC728,0))))</f>
        <v/>
      </c>
      <c r="R729" s="34">
        <f>IF(C729="","",IF(L729="☑ Oui","Annulée",IF(OR(E729="Vente directe",K729&lt;&gt;""),"Livrée",IF(J729&lt;&gt;"","Confirmée","En attente"))))</f>
        <v/>
      </c>
      <c r="S729" s="34">
        <f>IF(F729="","",IFERROR(VLOOKUP(F729,T_Produits,2,FALSE),""))</f>
        <v/>
      </c>
      <c r="T729" s="40">
        <f>IF(F729="","",IFERROR(1/(1/VLOOKUP(F729,T_Produits,3,FALSE)),""))</f>
        <v/>
      </c>
      <c r="U729" s="40">
        <f>IF(H729&lt;&gt;"",H729,T729)</f>
        <v/>
      </c>
      <c r="V729" s="40">
        <f>IF(OR(G729="",U729=""),"",G729*U729-N(I729))</f>
        <v/>
      </c>
      <c r="W729" s="39">
        <f>IF(D729="","",IFERROR(VALUE(MID(D729,LEN(D729)-3,3)),""))</f>
        <v/>
      </c>
      <c r="X729" s="33">
        <f>IF(W729="","",P729&amp;"|"&amp;W729)</f>
        <v/>
      </c>
      <c r="Y729" s="33">
        <f>IF(W729="","",IF(P729="À RENSEIGNER","GIC",P729)&amp;"-"&amp;TEXT(W729,"000"))</f>
        <v/>
      </c>
      <c r="Z729" s="33">
        <f>IF(X729="","",IFERROR(INDEX(Cl_nom,MATCH(X729,Cl_cle,0)),"(client introuvable)"))</f>
        <v/>
      </c>
      <c r="AA729" s="33">
        <f>IF(X729="","",IFERROR(INDEX(Cl_quartier,MATCH(X729,Cl_cle,0))&amp;"",""))</f>
        <v/>
      </c>
      <c r="AB729" s="45">
        <f>IF(R729&lt;&gt;"Livrée",0,IF(K729&lt;&gt;"",K729,C729))</f>
        <v/>
      </c>
      <c r="AC729" s="33">
        <f>IF(OR(C729="",W729=""),"",P729&amp;"|"&amp;W729&amp;"|"&amp;C729&amp;"|"&amp;E729)</f>
        <v/>
      </c>
      <c r="AD729" s="39">
        <f>IF(AC729="","",IF(COUNTIF(AC$6:AC729,AC729)=1,1,0))</f>
        <v/>
      </c>
      <c r="AE729" s="39">
        <f>IF(AB729=0,"",IF(COUNTIFS(X$6:X729,X729,AB$6:AB729,AB729)=1,1,0))</f>
        <v/>
      </c>
      <c r="AF729" s="34">
        <f>IF(C729="","",YEAR(C729-WEEKDAY(C729,2)+4)&amp;"-S"&amp;TEXT(INT((C729-DATE(YEAR(C729-WEEKDAY(C729,2)+4),1,3)+WEEKDAY(DATE(YEAR(C729-WEEKDAY(C729,2)+4),1,3),2)+5)/7),"00"))</f>
        <v/>
      </c>
    </row>
    <row r="730" ht="18" customHeight="1">
      <c r="A730" s="39" t="n">
        <v>725</v>
      </c>
      <c r="B730" s="33">
        <f>IF(C730="","",IF(P730="À RENSEIGNER","GIC",P730)&amp;"-C"&amp;TEXT(A730,"00000"))</f>
        <v/>
      </c>
      <c r="C730" s="32" t="n"/>
      <c r="D730" s="36" t="n"/>
      <c r="E730" s="36" t="n"/>
      <c r="F730" s="36" t="n"/>
      <c r="G730" s="42" t="n"/>
      <c r="H730" s="37" t="n"/>
      <c r="I730" s="37" t="n"/>
      <c r="J730" s="32" t="n"/>
      <c r="K730" s="32" t="n"/>
      <c r="L730" s="43" t="n"/>
      <c r="M730" s="36" t="n"/>
      <c r="N730" s="44" t="n"/>
      <c r="O730" s="36" t="n"/>
      <c r="P730" s="33">
        <f>IF(C730="","",Commercial_Id)</f>
        <v/>
      </c>
      <c r="Q730" s="34">
        <f>IF(AC730="","",IF(AD730=1,"C"&amp;TEXT(SUM(AD$6:AD730),"0000"),INDEX(Q$6:Q729,MATCH(AC730,AC$6:AC729,0))))</f>
        <v/>
      </c>
      <c r="R730" s="34">
        <f>IF(C730="","",IF(L730="☑ Oui","Annulée",IF(OR(E730="Vente directe",K730&lt;&gt;""),"Livrée",IF(J730&lt;&gt;"","Confirmée","En attente"))))</f>
        <v/>
      </c>
      <c r="S730" s="34">
        <f>IF(F730="","",IFERROR(VLOOKUP(F730,T_Produits,2,FALSE),""))</f>
        <v/>
      </c>
      <c r="T730" s="40">
        <f>IF(F730="","",IFERROR(1/(1/VLOOKUP(F730,T_Produits,3,FALSE)),""))</f>
        <v/>
      </c>
      <c r="U730" s="40">
        <f>IF(H730&lt;&gt;"",H730,T730)</f>
        <v/>
      </c>
      <c r="V730" s="40">
        <f>IF(OR(G730="",U730=""),"",G730*U730-N(I730))</f>
        <v/>
      </c>
      <c r="W730" s="39">
        <f>IF(D730="","",IFERROR(VALUE(MID(D730,LEN(D730)-3,3)),""))</f>
        <v/>
      </c>
      <c r="X730" s="33">
        <f>IF(W730="","",P730&amp;"|"&amp;W730)</f>
        <v/>
      </c>
      <c r="Y730" s="33">
        <f>IF(W730="","",IF(P730="À RENSEIGNER","GIC",P730)&amp;"-"&amp;TEXT(W730,"000"))</f>
        <v/>
      </c>
      <c r="Z730" s="33">
        <f>IF(X730="","",IFERROR(INDEX(Cl_nom,MATCH(X730,Cl_cle,0)),"(client introuvable)"))</f>
        <v/>
      </c>
      <c r="AA730" s="33">
        <f>IF(X730="","",IFERROR(INDEX(Cl_quartier,MATCH(X730,Cl_cle,0))&amp;"",""))</f>
        <v/>
      </c>
      <c r="AB730" s="45">
        <f>IF(R730&lt;&gt;"Livrée",0,IF(K730&lt;&gt;"",K730,C730))</f>
        <v/>
      </c>
      <c r="AC730" s="33">
        <f>IF(OR(C730="",W730=""),"",P730&amp;"|"&amp;W730&amp;"|"&amp;C730&amp;"|"&amp;E730)</f>
        <v/>
      </c>
      <c r="AD730" s="39">
        <f>IF(AC730="","",IF(COUNTIF(AC$6:AC730,AC730)=1,1,0))</f>
        <v/>
      </c>
      <c r="AE730" s="39">
        <f>IF(AB730=0,"",IF(COUNTIFS(X$6:X730,X730,AB$6:AB730,AB730)=1,1,0))</f>
        <v/>
      </c>
      <c r="AF730" s="34">
        <f>IF(C730="","",YEAR(C730-WEEKDAY(C730,2)+4)&amp;"-S"&amp;TEXT(INT((C730-DATE(YEAR(C730-WEEKDAY(C730,2)+4),1,3)+WEEKDAY(DATE(YEAR(C730-WEEKDAY(C730,2)+4),1,3),2)+5)/7),"00"))</f>
        <v/>
      </c>
    </row>
    <row r="731" ht="18" customHeight="1">
      <c r="A731" s="39" t="n">
        <v>726</v>
      </c>
      <c r="B731" s="33">
        <f>IF(C731="","",IF(P731="À RENSEIGNER","GIC",P731)&amp;"-C"&amp;TEXT(A731,"00000"))</f>
        <v/>
      </c>
      <c r="C731" s="32" t="n"/>
      <c r="D731" s="36" t="n"/>
      <c r="E731" s="36" t="n"/>
      <c r="F731" s="36" t="n"/>
      <c r="G731" s="42" t="n"/>
      <c r="H731" s="37" t="n"/>
      <c r="I731" s="37" t="n"/>
      <c r="J731" s="32" t="n"/>
      <c r="K731" s="32" t="n"/>
      <c r="L731" s="43" t="n"/>
      <c r="M731" s="36" t="n"/>
      <c r="N731" s="44" t="n"/>
      <c r="O731" s="36" t="n"/>
      <c r="P731" s="33">
        <f>IF(C731="","",Commercial_Id)</f>
        <v/>
      </c>
      <c r="Q731" s="34">
        <f>IF(AC731="","",IF(AD731=1,"C"&amp;TEXT(SUM(AD$6:AD731),"0000"),INDEX(Q$6:Q730,MATCH(AC731,AC$6:AC730,0))))</f>
        <v/>
      </c>
      <c r="R731" s="34">
        <f>IF(C731="","",IF(L731="☑ Oui","Annulée",IF(OR(E731="Vente directe",K731&lt;&gt;""),"Livrée",IF(J731&lt;&gt;"","Confirmée","En attente"))))</f>
        <v/>
      </c>
      <c r="S731" s="34">
        <f>IF(F731="","",IFERROR(VLOOKUP(F731,T_Produits,2,FALSE),""))</f>
        <v/>
      </c>
      <c r="T731" s="40">
        <f>IF(F731="","",IFERROR(1/(1/VLOOKUP(F731,T_Produits,3,FALSE)),""))</f>
        <v/>
      </c>
      <c r="U731" s="40">
        <f>IF(H731&lt;&gt;"",H731,T731)</f>
        <v/>
      </c>
      <c r="V731" s="40">
        <f>IF(OR(G731="",U731=""),"",G731*U731-N(I731))</f>
        <v/>
      </c>
      <c r="W731" s="39">
        <f>IF(D731="","",IFERROR(VALUE(MID(D731,LEN(D731)-3,3)),""))</f>
        <v/>
      </c>
      <c r="X731" s="33">
        <f>IF(W731="","",P731&amp;"|"&amp;W731)</f>
        <v/>
      </c>
      <c r="Y731" s="33">
        <f>IF(W731="","",IF(P731="À RENSEIGNER","GIC",P731)&amp;"-"&amp;TEXT(W731,"000"))</f>
        <v/>
      </c>
      <c r="Z731" s="33">
        <f>IF(X731="","",IFERROR(INDEX(Cl_nom,MATCH(X731,Cl_cle,0)),"(client introuvable)"))</f>
        <v/>
      </c>
      <c r="AA731" s="33">
        <f>IF(X731="","",IFERROR(INDEX(Cl_quartier,MATCH(X731,Cl_cle,0))&amp;"",""))</f>
        <v/>
      </c>
      <c r="AB731" s="45">
        <f>IF(R731&lt;&gt;"Livrée",0,IF(K731&lt;&gt;"",K731,C731))</f>
        <v/>
      </c>
      <c r="AC731" s="33">
        <f>IF(OR(C731="",W731=""),"",P731&amp;"|"&amp;W731&amp;"|"&amp;C731&amp;"|"&amp;E731)</f>
        <v/>
      </c>
      <c r="AD731" s="39">
        <f>IF(AC731="","",IF(COUNTIF(AC$6:AC731,AC731)=1,1,0))</f>
        <v/>
      </c>
      <c r="AE731" s="39">
        <f>IF(AB731=0,"",IF(COUNTIFS(X$6:X731,X731,AB$6:AB731,AB731)=1,1,0))</f>
        <v/>
      </c>
      <c r="AF731" s="34">
        <f>IF(C731="","",YEAR(C731-WEEKDAY(C731,2)+4)&amp;"-S"&amp;TEXT(INT((C731-DATE(YEAR(C731-WEEKDAY(C731,2)+4),1,3)+WEEKDAY(DATE(YEAR(C731-WEEKDAY(C731,2)+4),1,3),2)+5)/7),"00"))</f>
        <v/>
      </c>
    </row>
    <row r="732" ht="18" customHeight="1">
      <c r="A732" s="39" t="n">
        <v>727</v>
      </c>
      <c r="B732" s="33">
        <f>IF(C732="","",IF(P732="À RENSEIGNER","GIC",P732)&amp;"-C"&amp;TEXT(A732,"00000"))</f>
        <v/>
      </c>
      <c r="C732" s="32" t="n"/>
      <c r="D732" s="36" t="n"/>
      <c r="E732" s="36" t="n"/>
      <c r="F732" s="36" t="n"/>
      <c r="G732" s="42" t="n"/>
      <c r="H732" s="37" t="n"/>
      <c r="I732" s="37" t="n"/>
      <c r="J732" s="32" t="n"/>
      <c r="K732" s="32" t="n"/>
      <c r="L732" s="43" t="n"/>
      <c r="M732" s="36" t="n"/>
      <c r="N732" s="44" t="n"/>
      <c r="O732" s="36" t="n"/>
      <c r="P732" s="33">
        <f>IF(C732="","",Commercial_Id)</f>
        <v/>
      </c>
      <c r="Q732" s="34">
        <f>IF(AC732="","",IF(AD732=1,"C"&amp;TEXT(SUM(AD$6:AD732),"0000"),INDEX(Q$6:Q731,MATCH(AC732,AC$6:AC731,0))))</f>
        <v/>
      </c>
      <c r="R732" s="34">
        <f>IF(C732="","",IF(L732="☑ Oui","Annulée",IF(OR(E732="Vente directe",K732&lt;&gt;""),"Livrée",IF(J732&lt;&gt;"","Confirmée","En attente"))))</f>
        <v/>
      </c>
      <c r="S732" s="34">
        <f>IF(F732="","",IFERROR(VLOOKUP(F732,T_Produits,2,FALSE),""))</f>
        <v/>
      </c>
      <c r="T732" s="40">
        <f>IF(F732="","",IFERROR(1/(1/VLOOKUP(F732,T_Produits,3,FALSE)),""))</f>
        <v/>
      </c>
      <c r="U732" s="40">
        <f>IF(H732&lt;&gt;"",H732,T732)</f>
        <v/>
      </c>
      <c r="V732" s="40">
        <f>IF(OR(G732="",U732=""),"",G732*U732-N(I732))</f>
        <v/>
      </c>
      <c r="W732" s="39">
        <f>IF(D732="","",IFERROR(VALUE(MID(D732,LEN(D732)-3,3)),""))</f>
        <v/>
      </c>
      <c r="X732" s="33">
        <f>IF(W732="","",P732&amp;"|"&amp;W732)</f>
        <v/>
      </c>
      <c r="Y732" s="33">
        <f>IF(W732="","",IF(P732="À RENSEIGNER","GIC",P732)&amp;"-"&amp;TEXT(W732,"000"))</f>
        <v/>
      </c>
      <c r="Z732" s="33">
        <f>IF(X732="","",IFERROR(INDEX(Cl_nom,MATCH(X732,Cl_cle,0)),"(client introuvable)"))</f>
        <v/>
      </c>
      <c r="AA732" s="33">
        <f>IF(X732="","",IFERROR(INDEX(Cl_quartier,MATCH(X732,Cl_cle,0))&amp;"",""))</f>
        <v/>
      </c>
      <c r="AB732" s="45">
        <f>IF(R732&lt;&gt;"Livrée",0,IF(K732&lt;&gt;"",K732,C732))</f>
        <v/>
      </c>
      <c r="AC732" s="33">
        <f>IF(OR(C732="",W732=""),"",P732&amp;"|"&amp;W732&amp;"|"&amp;C732&amp;"|"&amp;E732)</f>
        <v/>
      </c>
      <c r="AD732" s="39">
        <f>IF(AC732="","",IF(COUNTIF(AC$6:AC732,AC732)=1,1,0))</f>
        <v/>
      </c>
      <c r="AE732" s="39">
        <f>IF(AB732=0,"",IF(COUNTIFS(X$6:X732,X732,AB$6:AB732,AB732)=1,1,0))</f>
        <v/>
      </c>
      <c r="AF732" s="34">
        <f>IF(C732="","",YEAR(C732-WEEKDAY(C732,2)+4)&amp;"-S"&amp;TEXT(INT((C732-DATE(YEAR(C732-WEEKDAY(C732,2)+4),1,3)+WEEKDAY(DATE(YEAR(C732-WEEKDAY(C732,2)+4),1,3),2)+5)/7),"00"))</f>
        <v/>
      </c>
    </row>
    <row r="733" ht="18" customHeight="1">
      <c r="A733" s="39" t="n">
        <v>728</v>
      </c>
      <c r="B733" s="33">
        <f>IF(C733="","",IF(P733="À RENSEIGNER","GIC",P733)&amp;"-C"&amp;TEXT(A733,"00000"))</f>
        <v/>
      </c>
      <c r="C733" s="32" t="n"/>
      <c r="D733" s="36" t="n"/>
      <c r="E733" s="36" t="n"/>
      <c r="F733" s="36" t="n"/>
      <c r="G733" s="42" t="n"/>
      <c r="H733" s="37" t="n"/>
      <c r="I733" s="37" t="n"/>
      <c r="J733" s="32" t="n"/>
      <c r="K733" s="32" t="n"/>
      <c r="L733" s="43" t="n"/>
      <c r="M733" s="36" t="n"/>
      <c r="N733" s="44" t="n"/>
      <c r="O733" s="36" t="n"/>
      <c r="P733" s="33">
        <f>IF(C733="","",Commercial_Id)</f>
        <v/>
      </c>
      <c r="Q733" s="34">
        <f>IF(AC733="","",IF(AD733=1,"C"&amp;TEXT(SUM(AD$6:AD733),"0000"),INDEX(Q$6:Q732,MATCH(AC733,AC$6:AC732,0))))</f>
        <v/>
      </c>
      <c r="R733" s="34">
        <f>IF(C733="","",IF(L733="☑ Oui","Annulée",IF(OR(E733="Vente directe",K733&lt;&gt;""),"Livrée",IF(J733&lt;&gt;"","Confirmée","En attente"))))</f>
        <v/>
      </c>
      <c r="S733" s="34">
        <f>IF(F733="","",IFERROR(VLOOKUP(F733,T_Produits,2,FALSE),""))</f>
        <v/>
      </c>
      <c r="T733" s="40">
        <f>IF(F733="","",IFERROR(1/(1/VLOOKUP(F733,T_Produits,3,FALSE)),""))</f>
        <v/>
      </c>
      <c r="U733" s="40">
        <f>IF(H733&lt;&gt;"",H733,T733)</f>
        <v/>
      </c>
      <c r="V733" s="40">
        <f>IF(OR(G733="",U733=""),"",G733*U733-N(I733))</f>
        <v/>
      </c>
      <c r="W733" s="39">
        <f>IF(D733="","",IFERROR(VALUE(MID(D733,LEN(D733)-3,3)),""))</f>
        <v/>
      </c>
      <c r="X733" s="33">
        <f>IF(W733="","",P733&amp;"|"&amp;W733)</f>
        <v/>
      </c>
      <c r="Y733" s="33">
        <f>IF(W733="","",IF(P733="À RENSEIGNER","GIC",P733)&amp;"-"&amp;TEXT(W733,"000"))</f>
        <v/>
      </c>
      <c r="Z733" s="33">
        <f>IF(X733="","",IFERROR(INDEX(Cl_nom,MATCH(X733,Cl_cle,0)),"(client introuvable)"))</f>
        <v/>
      </c>
      <c r="AA733" s="33">
        <f>IF(X733="","",IFERROR(INDEX(Cl_quartier,MATCH(X733,Cl_cle,0))&amp;"",""))</f>
        <v/>
      </c>
      <c r="AB733" s="45">
        <f>IF(R733&lt;&gt;"Livrée",0,IF(K733&lt;&gt;"",K733,C733))</f>
        <v/>
      </c>
      <c r="AC733" s="33">
        <f>IF(OR(C733="",W733=""),"",P733&amp;"|"&amp;W733&amp;"|"&amp;C733&amp;"|"&amp;E733)</f>
        <v/>
      </c>
      <c r="AD733" s="39">
        <f>IF(AC733="","",IF(COUNTIF(AC$6:AC733,AC733)=1,1,0))</f>
        <v/>
      </c>
      <c r="AE733" s="39">
        <f>IF(AB733=0,"",IF(COUNTIFS(X$6:X733,X733,AB$6:AB733,AB733)=1,1,0))</f>
        <v/>
      </c>
      <c r="AF733" s="34">
        <f>IF(C733="","",YEAR(C733-WEEKDAY(C733,2)+4)&amp;"-S"&amp;TEXT(INT((C733-DATE(YEAR(C733-WEEKDAY(C733,2)+4),1,3)+WEEKDAY(DATE(YEAR(C733-WEEKDAY(C733,2)+4),1,3),2)+5)/7),"00"))</f>
        <v/>
      </c>
    </row>
    <row r="734" ht="18" customHeight="1">
      <c r="A734" s="39" t="n">
        <v>729</v>
      </c>
      <c r="B734" s="33">
        <f>IF(C734="","",IF(P734="À RENSEIGNER","GIC",P734)&amp;"-C"&amp;TEXT(A734,"00000"))</f>
        <v/>
      </c>
      <c r="C734" s="32" t="n"/>
      <c r="D734" s="36" t="n"/>
      <c r="E734" s="36" t="n"/>
      <c r="F734" s="36" t="n"/>
      <c r="G734" s="42" t="n"/>
      <c r="H734" s="37" t="n"/>
      <c r="I734" s="37" t="n"/>
      <c r="J734" s="32" t="n"/>
      <c r="K734" s="32" t="n"/>
      <c r="L734" s="43" t="n"/>
      <c r="M734" s="36" t="n"/>
      <c r="N734" s="44" t="n"/>
      <c r="O734" s="36" t="n"/>
      <c r="P734" s="33">
        <f>IF(C734="","",Commercial_Id)</f>
        <v/>
      </c>
      <c r="Q734" s="34">
        <f>IF(AC734="","",IF(AD734=1,"C"&amp;TEXT(SUM(AD$6:AD734),"0000"),INDEX(Q$6:Q733,MATCH(AC734,AC$6:AC733,0))))</f>
        <v/>
      </c>
      <c r="R734" s="34">
        <f>IF(C734="","",IF(L734="☑ Oui","Annulée",IF(OR(E734="Vente directe",K734&lt;&gt;""),"Livrée",IF(J734&lt;&gt;"","Confirmée","En attente"))))</f>
        <v/>
      </c>
      <c r="S734" s="34">
        <f>IF(F734="","",IFERROR(VLOOKUP(F734,T_Produits,2,FALSE),""))</f>
        <v/>
      </c>
      <c r="T734" s="40">
        <f>IF(F734="","",IFERROR(1/(1/VLOOKUP(F734,T_Produits,3,FALSE)),""))</f>
        <v/>
      </c>
      <c r="U734" s="40">
        <f>IF(H734&lt;&gt;"",H734,T734)</f>
        <v/>
      </c>
      <c r="V734" s="40">
        <f>IF(OR(G734="",U734=""),"",G734*U734-N(I734))</f>
        <v/>
      </c>
      <c r="W734" s="39">
        <f>IF(D734="","",IFERROR(VALUE(MID(D734,LEN(D734)-3,3)),""))</f>
        <v/>
      </c>
      <c r="X734" s="33">
        <f>IF(W734="","",P734&amp;"|"&amp;W734)</f>
        <v/>
      </c>
      <c r="Y734" s="33">
        <f>IF(W734="","",IF(P734="À RENSEIGNER","GIC",P734)&amp;"-"&amp;TEXT(W734,"000"))</f>
        <v/>
      </c>
      <c r="Z734" s="33">
        <f>IF(X734="","",IFERROR(INDEX(Cl_nom,MATCH(X734,Cl_cle,0)),"(client introuvable)"))</f>
        <v/>
      </c>
      <c r="AA734" s="33">
        <f>IF(X734="","",IFERROR(INDEX(Cl_quartier,MATCH(X734,Cl_cle,0))&amp;"",""))</f>
        <v/>
      </c>
      <c r="AB734" s="45">
        <f>IF(R734&lt;&gt;"Livrée",0,IF(K734&lt;&gt;"",K734,C734))</f>
        <v/>
      </c>
      <c r="AC734" s="33">
        <f>IF(OR(C734="",W734=""),"",P734&amp;"|"&amp;W734&amp;"|"&amp;C734&amp;"|"&amp;E734)</f>
        <v/>
      </c>
      <c r="AD734" s="39">
        <f>IF(AC734="","",IF(COUNTIF(AC$6:AC734,AC734)=1,1,0))</f>
        <v/>
      </c>
      <c r="AE734" s="39">
        <f>IF(AB734=0,"",IF(COUNTIFS(X$6:X734,X734,AB$6:AB734,AB734)=1,1,0))</f>
        <v/>
      </c>
      <c r="AF734" s="34">
        <f>IF(C734="","",YEAR(C734-WEEKDAY(C734,2)+4)&amp;"-S"&amp;TEXT(INT((C734-DATE(YEAR(C734-WEEKDAY(C734,2)+4),1,3)+WEEKDAY(DATE(YEAR(C734-WEEKDAY(C734,2)+4),1,3),2)+5)/7),"00"))</f>
        <v/>
      </c>
    </row>
    <row r="735" ht="18" customHeight="1">
      <c r="A735" s="39" t="n">
        <v>730</v>
      </c>
      <c r="B735" s="33">
        <f>IF(C735="","",IF(P735="À RENSEIGNER","GIC",P735)&amp;"-C"&amp;TEXT(A735,"00000"))</f>
        <v/>
      </c>
      <c r="C735" s="32" t="n"/>
      <c r="D735" s="36" t="n"/>
      <c r="E735" s="36" t="n"/>
      <c r="F735" s="36" t="n"/>
      <c r="G735" s="42" t="n"/>
      <c r="H735" s="37" t="n"/>
      <c r="I735" s="37" t="n"/>
      <c r="J735" s="32" t="n"/>
      <c r="K735" s="32" t="n"/>
      <c r="L735" s="43" t="n"/>
      <c r="M735" s="36" t="n"/>
      <c r="N735" s="44" t="n"/>
      <c r="O735" s="36" t="n"/>
      <c r="P735" s="33">
        <f>IF(C735="","",Commercial_Id)</f>
        <v/>
      </c>
      <c r="Q735" s="34">
        <f>IF(AC735="","",IF(AD735=1,"C"&amp;TEXT(SUM(AD$6:AD735),"0000"),INDEX(Q$6:Q734,MATCH(AC735,AC$6:AC734,0))))</f>
        <v/>
      </c>
      <c r="R735" s="34">
        <f>IF(C735="","",IF(L735="☑ Oui","Annulée",IF(OR(E735="Vente directe",K735&lt;&gt;""),"Livrée",IF(J735&lt;&gt;"","Confirmée","En attente"))))</f>
        <v/>
      </c>
      <c r="S735" s="34">
        <f>IF(F735="","",IFERROR(VLOOKUP(F735,T_Produits,2,FALSE),""))</f>
        <v/>
      </c>
      <c r="T735" s="40">
        <f>IF(F735="","",IFERROR(1/(1/VLOOKUP(F735,T_Produits,3,FALSE)),""))</f>
        <v/>
      </c>
      <c r="U735" s="40">
        <f>IF(H735&lt;&gt;"",H735,T735)</f>
        <v/>
      </c>
      <c r="V735" s="40">
        <f>IF(OR(G735="",U735=""),"",G735*U735-N(I735))</f>
        <v/>
      </c>
      <c r="W735" s="39">
        <f>IF(D735="","",IFERROR(VALUE(MID(D735,LEN(D735)-3,3)),""))</f>
        <v/>
      </c>
      <c r="X735" s="33">
        <f>IF(W735="","",P735&amp;"|"&amp;W735)</f>
        <v/>
      </c>
      <c r="Y735" s="33">
        <f>IF(W735="","",IF(P735="À RENSEIGNER","GIC",P735)&amp;"-"&amp;TEXT(W735,"000"))</f>
        <v/>
      </c>
      <c r="Z735" s="33">
        <f>IF(X735="","",IFERROR(INDEX(Cl_nom,MATCH(X735,Cl_cle,0)),"(client introuvable)"))</f>
        <v/>
      </c>
      <c r="AA735" s="33">
        <f>IF(X735="","",IFERROR(INDEX(Cl_quartier,MATCH(X735,Cl_cle,0))&amp;"",""))</f>
        <v/>
      </c>
      <c r="AB735" s="45">
        <f>IF(R735&lt;&gt;"Livrée",0,IF(K735&lt;&gt;"",K735,C735))</f>
        <v/>
      </c>
      <c r="AC735" s="33">
        <f>IF(OR(C735="",W735=""),"",P735&amp;"|"&amp;W735&amp;"|"&amp;C735&amp;"|"&amp;E735)</f>
        <v/>
      </c>
      <c r="AD735" s="39">
        <f>IF(AC735="","",IF(COUNTIF(AC$6:AC735,AC735)=1,1,0))</f>
        <v/>
      </c>
      <c r="AE735" s="39">
        <f>IF(AB735=0,"",IF(COUNTIFS(X$6:X735,X735,AB$6:AB735,AB735)=1,1,0))</f>
        <v/>
      </c>
      <c r="AF735" s="34">
        <f>IF(C735="","",YEAR(C735-WEEKDAY(C735,2)+4)&amp;"-S"&amp;TEXT(INT((C735-DATE(YEAR(C735-WEEKDAY(C735,2)+4),1,3)+WEEKDAY(DATE(YEAR(C735-WEEKDAY(C735,2)+4),1,3),2)+5)/7),"00"))</f>
        <v/>
      </c>
    </row>
    <row r="736" ht="18" customHeight="1">
      <c r="A736" s="39" t="n">
        <v>731</v>
      </c>
      <c r="B736" s="33">
        <f>IF(C736="","",IF(P736="À RENSEIGNER","GIC",P736)&amp;"-C"&amp;TEXT(A736,"00000"))</f>
        <v/>
      </c>
      <c r="C736" s="32" t="n"/>
      <c r="D736" s="36" t="n"/>
      <c r="E736" s="36" t="n"/>
      <c r="F736" s="36" t="n"/>
      <c r="G736" s="42" t="n"/>
      <c r="H736" s="37" t="n"/>
      <c r="I736" s="37" t="n"/>
      <c r="J736" s="32" t="n"/>
      <c r="K736" s="32" t="n"/>
      <c r="L736" s="43" t="n"/>
      <c r="M736" s="36" t="n"/>
      <c r="N736" s="44" t="n"/>
      <c r="O736" s="36" t="n"/>
      <c r="P736" s="33">
        <f>IF(C736="","",Commercial_Id)</f>
        <v/>
      </c>
      <c r="Q736" s="34">
        <f>IF(AC736="","",IF(AD736=1,"C"&amp;TEXT(SUM(AD$6:AD736),"0000"),INDEX(Q$6:Q735,MATCH(AC736,AC$6:AC735,0))))</f>
        <v/>
      </c>
      <c r="R736" s="34">
        <f>IF(C736="","",IF(L736="☑ Oui","Annulée",IF(OR(E736="Vente directe",K736&lt;&gt;""),"Livrée",IF(J736&lt;&gt;"","Confirmée","En attente"))))</f>
        <v/>
      </c>
      <c r="S736" s="34">
        <f>IF(F736="","",IFERROR(VLOOKUP(F736,T_Produits,2,FALSE),""))</f>
        <v/>
      </c>
      <c r="T736" s="40">
        <f>IF(F736="","",IFERROR(1/(1/VLOOKUP(F736,T_Produits,3,FALSE)),""))</f>
        <v/>
      </c>
      <c r="U736" s="40">
        <f>IF(H736&lt;&gt;"",H736,T736)</f>
        <v/>
      </c>
      <c r="V736" s="40">
        <f>IF(OR(G736="",U736=""),"",G736*U736-N(I736))</f>
        <v/>
      </c>
      <c r="W736" s="39">
        <f>IF(D736="","",IFERROR(VALUE(MID(D736,LEN(D736)-3,3)),""))</f>
        <v/>
      </c>
      <c r="X736" s="33">
        <f>IF(W736="","",P736&amp;"|"&amp;W736)</f>
        <v/>
      </c>
      <c r="Y736" s="33">
        <f>IF(W736="","",IF(P736="À RENSEIGNER","GIC",P736)&amp;"-"&amp;TEXT(W736,"000"))</f>
        <v/>
      </c>
      <c r="Z736" s="33">
        <f>IF(X736="","",IFERROR(INDEX(Cl_nom,MATCH(X736,Cl_cle,0)),"(client introuvable)"))</f>
        <v/>
      </c>
      <c r="AA736" s="33">
        <f>IF(X736="","",IFERROR(INDEX(Cl_quartier,MATCH(X736,Cl_cle,0))&amp;"",""))</f>
        <v/>
      </c>
      <c r="AB736" s="45">
        <f>IF(R736&lt;&gt;"Livrée",0,IF(K736&lt;&gt;"",K736,C736))</f>
        <v/>
      </c>
      <c r="AC736" s="33">
        <f>IF(OR(C736="",W736=""),"",P736&amp;"|"&amp;W736&amp;"|"&amp;C736&amp;"|"&amp;E736)</f>
        <v/>
      </c>
      <c r="AD736" s="39">
        <f>IF(AC736="","",IF(COUNTIF(AC$6:AC736,AC736)=1,1,0))</f>
        <v/>
      </c>
      <c r="AE736" s="39">
        <f>IF(AB736=0,"",IF(COUNTIFS(X$6:X736,X736,AB$6:AB736,AB736)=1,1,0))</f>
        <v/>
      </c>
      <c r="AF736" s="34">
        <f>IF(C736="","",YEAR(C736-WEEKDAY(C736,2)+4)&amp;"-S"&amp;TEXT(INT((C736-DATE(YEAR(C736-WEEKDAY(C736,2)+4),1,3)+WEEKDAY(DATE(YEAR(C736-WEEKDAY(C736,2)+4),1,3),2)+5)/7),"00"))</f>
        <v/>
      </c>
    </row>
    <row r="737" ht="18" customHeight="1">
      <c r="A737" s="39" t="n">
        <v>732</v>
      </c>
      <c r="B737" s="33">
        <f>IF(C737="","",IF(P737="À RENSEIGNER","GIC",P737)&amp;"-C"&amp;TEXT(A737,"00000"))</f>
        <v/>
      </c>
      <c r="C737" s="32" t="n"/>
      <c r="D737" s="36" t="n"/>
      <c r="E737" s="36" t="n"/>
      <c r="F737" s="36" t="n"/>
      <c r="G737" s="42" t="n"/>
      <c r="H737" s="37" t="n"/>
      <c r="I737" s="37" t="n"/>
      <c r="J737" s="32" t="n"/>
      <c r="K737" s="32" t="n"/>
      <c r="L737" s="43" t="n"/>
      <c r="M737" s="36" t="n"/>
      <c r="N737" s="44" t="n"/>
      <c r="O737" s="36" t="n"/>
      <c r="P737" s="33">
        <f>IF(C737="","",Commercial_Id)</f>
        <v/>
      </c>
      <c r="Q737" s="34">
        <f>IF(AC737="","",IF(AD737=1,"C"&amp;TEXT(SUM(AD$6:AD737),"0000"),INDEX(Q$6:Q736,MATCH(AC737,AC$6:AC736,0))))</f>
        <v/>
      </c>
      <c r="R737" s="34">
        <f>IF(C737="","",IF(L737="☑ Oui","Annulée",IF(OR(E737="Vente directe",K737&lt;&gt;""),"Livrée",IF(J737&lt;&gt;"","Confirmée","En attente"))))</f>
        <v/>
      </c>
      <c r="S737" s="34">
        <f>IF(F737="","",IFERROR(VLOOKUP(F737,T_Produits,2,FALSE),""))</f>
        <v/>
      </c>
      <c r="T737" s="40">
        <f>IF(F737="","",IFERROR(1/(1/VLOOKUP(F737,T_Produits,3,FALSE)),""))</f>
        <v/>
      </c>
      <c r="U737" s="40">
        <f>IF(H737&lt;&gt;"",H737,T737)</f>
        <v/>
      </c>
      <c r="V737" s="40">
        <f>IF(OR(G737="",U737=""),"",G737*U737-N(I737))</f>
        <v/>
      </c>
      <c r="W737" s="39">
        <f>IF(D737="","",IFERROR(VALUE(MID(D737,LEN(D737)-3,3)),""))</f>
        <v/>
      </c>
      <c r="X737" s="33">
        <f>IF(W737="","",P737&amp;"|"&amp;W737)</f>
        <v/>
      </c>
      <c r="Y737" s="33">
        <f>IF(W737="","",IF(P737="À RENSEIGNER","GIC",P737)&amp;"-"&amp;TEXT(W737,"000"))</f>
        <v/>
      </c>
      <c r="Z737" s="33">
        <f>IF(X737="","",IFERROR(INDEX(Cl_nom,MATCH(X737,Cl_cle,0)),"(client introuvable)"))</f>
        <v/>
      </c>
      <c r="AA737" s="33">
        <f>IF(X737="","",IFERROR(INDEX(Cl_quartier,MATCH(X737,Cl_cle,0))&amp;"",""))</f>
        <v/>
      </c>
      <c r="AB737" s="45">
        <f>IF(R737&lt;&gt;"Livrée",0,IF(K737&lt;&gt;"",K737,C737))</f>
        <v/>
      </c>
      <c r="AC737" s="33">
        <f>IF(OR(C737="",W737=""),"",P737&amp;"|"&amp;W737&amp;"|"&amp;C737&amp;"|"&amp;E737)</f>
        <v/>
      </c>
      <c r="AD737" s="39">
        <f>IF(AC737="","",IF(COUNTIF(AC$6:AC737,AC737)=1,1,0))</f>
        <v/>
      </c>
      <c r="AE737" s="39">
        <f>IF(AB737=0,"",IF(COUNTIFS(X$6:X737,X737,AB$6:AB737,AB737)=1,1,0))</f>
        <v/>
      </c>
      <c r="AF737" s="34">
        <f>IF(C737="","",YEAR(C737-WEEKDAY(C737,2)+4)&amp;"-S"&amp;TEXT(INT((C737-DATE(YEAR(C737-WEEKDAY(C737,2)+4),1,3)+WEEKDAY(DATE(YEAR(C737-WEEKDAY(C737,2)+4),1,3),2)+5)/7),"00"))</f>
        <v/>
      </c>
    </row>
    <row r="738" ht="18" customHeight="1">
      <c r="A738" s="39" t="n">
        <v>733</v>
      </c>
      <c r="B738" s="33">
        <f>IF(C738="","",IF(P738="À RENSEIGNER","GIC",P738)&amp;"-C"&amp;TEXT(A738,"00000"))</f>
        <v/>
      </c>
      <c r="C738" s="32" t="n"/>
      <c r="D738" s="36" t="n"/>
      <c r="E738" s="36" t="n"/>
      <c r="F738" s="36" t="n"/>
      <c r="G738" s="42" t="n"/>
      <c r="H738" s="37" t="n"/>
      <c r="I738" s="37" t="n"/>
      <c r="J738" s="32" t="n"/>
      <c r="K738" s="32" t="n"/>
      <c r="L738" s="43" t="n"/>
      <c r="M738" s="36" t="n"/>
      <c r="N738" s="44" t="n"/>
      <c r="O738" s="36" t="n"/>
      <c r="P738" s="33">
        <f>IF(C738="","",Commercial_Id)</f>
        <v/>
      </c>
      <c r="Q738" s="34">
        <f>IF(AC738="","",IF(AD738=1,"C"&amp;TEXT(SUM(AD$6:AD738),"0000"),INDEX(Q$6:Q737,MATCH(AC738,AC$6:AC737,0))))</f>
        <v/>
      </c>
      <c r="R738" s="34">
        <f>IF(C738="","",IF(L738="☑ Oui","Annulée",IF(OR(E738="Vente directe",K738&lt;&gt;""),"Livrée",IF(J738&lt;&gt;"","Confirmée","En attente"))))</f>
        <v/>
      </c>
      <c r="S738" s="34">
        <f>IF(F738="","",IFERROR(VLOOKUP(F738,T_Produits,2,FALSE),""))</f>
        <v/>
      </c>
      <c r="T738" s="40">
        <f>IF(F738="","",IFERROR(1/(1/VLOOKUP(F738,T_Produits,3,FALSE)),""))</f>
        <v/>
      </c>
      <c r="U738" s="40">
        <f>IF(H738&lt;&gt;"",H738,T738)</f>
        <v/>
      </c>
      <c r="V738" s="40">
        <f>IF(OR(G738="",U738=""),"",G738*U738-N(I738))</f>
        <v/>
      </c>
      <c r="W738" s="39">
        <f>IF(D738="","",IFERROR(VALUE(MID(D738,LEN(D738)-3,3)),""))</f>
        <v/>
      </c>
      <c r="X738" s="33">
        <f>IF(W738="","",P738&amp;"|"&amp;W738)</f>
        <v/>
      </c>
      <c r="Y738" s="33">
        <f>IF(W738="","",IF(P738="À RENSEIGNER","GIC",P738)&amp;"-"&amp;TEXT(W738,"000"))</f>
        <v/>
      </c>
      <c r="Z738" s="33">
        <f>IF(X738="","",IFERROR(INDEX(Cl_nom,MATCH(X738,Cl_cle,0)),"(client introuvable)"))</f>
        <v/>
      </c>
      <c r="AA738" s="33">
        <f>IF(X738="","",IFERROR(INDEX(Cl_quartier,MATCH(X738,Cl_cle,0))&amp;"",""))</f>
        <v/>
      </c>
      <c r="AB738" s="45">
        <f>IF(R738&lt;&gt;"Livrée",0,IF(K738&lt;&gt;"",K738,C738))</f>
        <v/>
      </c>
      <c r="AC738" s="33">
        <f>IF(OR(C738="",W738=""),"",P738&amp;"|"&amp;W738&amp;"|"&amp;C738&amp;"|"&amp;E738)</f>
        <v/>
      </c>
      <c r="AD738" s="39">
        <f>IF(AC738="","",IF(COUNTIF(AC$6:AC738,AC738)=1,1,0))</f>
        <v/>
      </c>
      <c r="AE738" s="39">
        <f>IF(AB738=0,"",IF(COUNTIFS(X$6:X738,X738,AB$6:AB738,AB738)=1,1,0))</f>
        <v/>
      </c>
      <c r="AF738" s="34">
        <f>IF(C738="","",YEAR(C738-WEEKDAY(C738,2)+4)&amp;"-S"&amp;TEXT(INT((C738-DATE(YEAR(C738-WEEKDAY(C738,2)+4),1,3)+WEEKDAY(DATE(YEAR(C738-WEEKDAY(C738,2)+4),1,3),2)+5)/7),"00"))</f>
        <v/>
      </c>
    </row>
    <row r="739" ht="18" customHeight="1">
      <c r="A739" s="39" t="n">
        <v>734</v>
      </c>
      <c r="B739" s="33">
        <f>IF(C739="","",IF(P739="À RENSEIGNER","GIC",P739)&amp;"-C"&amp;TEXT(A739,"00000"))</f>
        <v/>
      </c>
      <c r="C739" s="32" t="n"/>
      <c r="D739" s="36" t="n"/>
      <c r="E739" s="36" t="n"/>
      <c r="F739" s="36" t="n"/>
      <c r="G739" s="42" t="n"/>
      <c r="H739" s="37" t="n"/>
      <c r="I739" s="37" t="n"/>
      <c r="J739" s="32" t="n"/>
      <c r="K739" s="32" t="n"/>
      <c r="L739" s="43" t="n"/>
      <c r="M739" s="36" t="n"/>
      <c r="N739" s="44" t="n"/>
      <c r="O739" s="36" t="n"/>
      <c r="P739" s="33">
        <f>IF(C739="","",Commercial_Id)</f>
        <v/>
      </c>
      <c r="Q739" s="34">
        <f>IF(AC739="","",IF(AD739=1,"C"&amp;TEXT(SUM(AD$6:AD739),"0000"),INDEX(Q$6:Q738,MATCH(AC739,AC$6:AC738,0))))</f>
        <v/>
      </c>
      <c r="R739" s="34">
        <f>IF(C739="","",IF(L739="☑ Oui","Annulée",IF(OR(E739="Vente directe",K739&lt;&gt;""),"Livrée",IF(J739&lt;&gt;"","Confirmée","En attente"))))</f>
        <v/>
      </c>
      <c r="S739" s="34">
        <f>IF(F739="","",IFERROR(VLOOKUP(F739,T_Produits,2,FALSE),""))</f>
        <v/>
      </c>
      <c r="T739" s="40">
        <f>IF(F739="","",IFERROR(1/(1/VLOOKUP(F739,T_Produits,3,FALSE)),""))</f>
        <v/>
      </c>
      <c r="U739" s="40">
        <f>IF(H739&lt;&gt;"",H739,T739)</f>
        <v/>
      </c>
      <c r="V739" s="40">
        <f>IF(OR(G739="",U739=""),"",G739*U739-N(I739))</f>
        <v/>
      </c>
      <c r="W739" s="39">
        <f>IF(D739="","",IFERROR(VALUE(MID(D739,LEN(D739)-3,3)),""))</f>
        <v/>
      </c>
      <c r="X739" s="33">
        <f>IF(W739="","",P739&amp;"|"&amp;W739)</f>
        <v/>
      </c>
      <c r="Y739" s="33">
        <f>IF(W739="","",IF(P739="À RENSEIGNER","GIC",P739)&amp;"-"&amp;TEXT(W739,"000"))</f>
        <v/>
      </c>
      <c r="Z739" s="33">
        <f>IF(X739="","",IFERROR(INDEX(Cl_nom,MATCH(X739,Cl_cle,0)),"(client introuvable)"))</f>
        <v/>
      </c>
      <c r="AA739" s="33">
        <f>IF(X739="","",IFERROR(INDEX(Cl_quartier,MATCH(X739,Cl_cle,0))&amp;"",""))</f>
        <v/>
      </c>
      <c r="AB739" s="45">
        <f>IF(R739&lt;&gt;"Livrée",0,IF(K739&lt;&gt;"",K739,C739))</f>
        <v/>
      </c>
      <c r="AC739" s="33">
        <f>IF(OR(C739="",W739=""),"",P739&amp;"|"&amp;W739&amp;"|"&amp;C739&amp;"|"&amp;E739)</f>
        <v/>
      </c>
      <c r="AD739" s="39">
        <f>IF(AC739="","",IF(COUNTIF(AC$6:AC739,AC739)=1,1,0))</f>
        <v/>
      </c>
      <c r="AE739" s="39">
        <f>IF(AB739=0,"",IF(COUNTIFS(X$6:X739,X739,AB$6:AB739,AB739)=1,1,0))</f>
        <v/>
      </c>
      <c r="AF739" s="34">
        <f>IF(C739="","",YEAR(C739-WEEKDAY(C739,2)+4)&amp;"-S"&amp;TEXT(INT((C739-DATE(YEAR(C739-WEEKDAY(C739,2)+4),1,3)+WEEKDAY(DATE(YEAR(C739-WEEKDAY(C739,2)+4),1,3),2)+5)/7),"00"))</f>
        <v/>
      </c>
    </row>
    <row r="740" ht="18" customHeight="1">
      <c r="A740" s="39" t="n">
        <v>735</v>
      </c>
      <c r="B740" s="33">
        <f>IF(C740="","",IF(P740="À RENSEIGNER","GIC",P740)&amp;"-C"&amp;TEXT(A740,"00000"))</f>
        <v/>
      </c>
      <c r="C740" s="32" t="n"/>
      <c r="D740" s="36" t="n"/>
      <c r="E740" s="36" t="n"/>
      <c r="F740" s="36" t="n"/>
      <c r="G740" s="42" t="n"/>
      <c r="H740" s="37" t="n"/>
      <c r="I740" s="37" t="n"/>
      <c r="J740" s="32" t="n"/>
      <c r="K740" s="32" t="n"/>
      <c r="L740" s="43" t="n"/>
      <c r="M740" s="36" t="n"/>
      <c r="N740" s="44" t="n"/>
      <c r="O740" s="36" t="n"/>
      <c r="P740" s="33">
        <f>IF(C740="","",Commercial_Id)</f>
        <v/>
      </c>
      <c r="Q740" s="34">
        <f>IF(AC740="","",IF(AD740=1,"C"&amp;TEXT(SUM(AD$6:AD740),"0000"),INDEX(Q$6:Q739,MATCH(AC740,AC$6:AC739,0))))</f>
        <v/>
      </c>
      <c r="R740" s="34">
        <f>IF(C740="","",IF(L740="☑ Oui","Annulée",IF(OR(E740="Vente directe",K740&lt;&gt;""),"Livrée",IF(J740&lt;&gt;"","Confirmée","En attente"))))</f>
        <v/>
      </c>
      <c r="S740" s="34">
        <f>IF(F740="","",IFERROR(VLOOKUP(F740,T_Produits,2,FALSE),""))</f>
        <v/>
      </c>
      <c r="T740" s="40">
        <f>IF(F740="","",IFERROR(1/(1/VLOOKUP(F740,T_Produits,3,FALSE)),""))</f>
        <v/>
      </c>
      <c r="U740" s="40">
        <f>IF(H740&lt;&gt;"",H740,T740)</f>
        <v/>
      </c>
      <c r="V740" s="40">
        <f>IF(OR(G740="",U740=""),"",G740*U740-N(I740))</f>
        <v/>
      </c>
      <c r="W740" s="39">
        <f>IF(D740="","",IFERROR(VALUE(MID(D740,LEN(D740)-3,3)),""))</f>
        <v/>
      </c>
      <c r="X740" s="33">
        <f>IF(W740="","",P740&amp;"|"&amp;W740)</f>
        <v/>
      </c>
      <c r="Y740" s="33">
        <f>IF(W740="","",IF(P740="À RENSEIGNER","GIC",P740)&amp;"-"&amp;TEXT(W740,"000"))</f>
        <v/>
      </c>
      <c r="Z740" s="33">
        <f>IF(X740="","",IFERROR(INDEX(Cl_nom,MATCH(X740,Cl_cle,0)),"(client introuvable)"))</f>
        <v/>
      </c>
      <c r="AA740" s="33">
        <f>IF(X740="","",IFERROR(INDEX(Cl_quartier,MATCH(X740,Cl_cle,0))&amp;"",""))</f>
        <v/>
      </c>
      <c r="AB740" s="45">
        <f>IF(R740&lt;&gt;"Livrée",0,IF(K740&lt;&gt;"",K740,C740))</f>
        <v/>
      </c>
      <c r="AC740" s="33">
        <f>IF(OR(C740="",W740=""),"",P740&amp;"|"&amp;W740&amp;"|"&amp;C740&amp;"|"&amp;E740)</f>
        <v/>
      </c>
      <c r="AD740" s="39">
        <f>IF(AC740="","",IF(COUNTIF(AC$6:AC740,AC740)=1,1,0))</f>
        <v/>
      </c>
      <c r="AE740" s="39">
        <f>IF(AB740=0,"",IF(COUNTIFS(X$6:X740,X740,AB$6:AB740,AB740)=1,1,0))</f>
        <v/>
      </c>
      <c r="AF740" s="34">
        <f>IF(C740="","",YEAR(C740-WEEKDAY(C740,2)+4)&amp;"-S"&amp;TEXT(INT((C740-DATE(YEAR(C740-WEEKDAY(C740,2)+4),1,3)+WEEKDAY(DATE(YEAR(C740-WEEKDAY(C740,2)+4),1,3),2)+5)/7),"00"))</f>
        <v/>
      </c>
    </row>
    <row r="741" ht="18" customHeight="1">
      <c r="A741" s="39" t="n">
        <v>736</v>
      </c>
      <c r="B741" s="33">
        <f>IF(C741="","",IF(P741="À RENSEIGNER","GIC",P741)&amp;"-C"&amp;TEXT(A741,"00000"))</f>
        <v/>
      </c>
      <c r="C741" s="32" t="n"/>
      <c r="D741" s="36" t="n"/>
      <c r="E741" s="36" t="n"/>
      <c r="F741" s="36" t="n"/>
      <c r="G741" s="42" t="n"/>
      <c r="H741" s="37" t="n"/>
      <c r="I741" s="37" t="n"/>
      <c r="J741" s="32" t="n"/>
      <c r="K741" s="32" t="n"/>
      <c r="L741" s="43" t="n"/>
      <c r="M741" s="36" t="n"/>
      <c r="N741" s="44" t="n"/>
      <c r="O741" s="36" t="n"/>
      <c r="P741" s="33">
        <f>IF(C741="","",Commercial_Id)</f>
        <v/>
      </c>
      <c r="Q741" s="34">
        <f>IF(AC741="","",IF(AD741=1,"C"&amp;TEXT(SUM(AD$6:AD741),"0000"),INDEX(Q$6:Q740,MATCH(AC741,AC$6:AC740,0))))</f>
        <v/>
      </c>
      <c r="R741" s="34">
        <f>IF(C741="","",IF(L741="☑ Oui","Annulée",IF(OR(E741="Vente directe",K741&lt;&gt;""),"Livrée",IF(J741&lt;&gt;"","Confirmée","En attente"))))</f>
        <v/>
      </c>
      <c r="S741" s="34">
        <f>IF(F741="","",IFERROR(VLOOKUP(F741,T_Produits,2,FALSE),""))</f>
        <v/>
      </c>
      <c r="T741" s="40">
        <f>IF(F741="","",IFERROR(1/(1/VLOOKUP(F741,T_Produits,3,FALSE)),""))</f>
        <v/>
      </c>
      <c r="U741" s="40">
        <f>IF(H741&lt;&gt;"",H741,T741)</f>
        <v/>
      </c>
      <c r="V741" s="40">
        <f>IF(OR(G741="",U741=""),"",G741*U741-N(I741))</f>
        <v/>
      </c>
      <c r="W741" s="39">
        <f>IF(D741="","",IFERROR(VALUE(MID(D741,LEN(D741)-3,3)),""))</f>
        <v/>
      </c>
      <c r="X741" s="33">
        <f>IF(W741="","",P741&amp;"|"&amp;W741)</f>
        <v/>
      </c>
      <c r="Y741" s="33">
        <f>IF(W741="","",IF(P741="À RENSEIGNER","GIC",P741)&amp;"-"&amp;TEXT(W741,"000"))</f>
        <v/>
      </c>
      <c r="Z741" s="33">
        <f>IF(X741="","",IFERROR(INDEX(Cl_nom,MATCH(X741,Cl_cle,0)),"(client introuvable)"))</f>
        <v/>
      </c>
      <c r="AA741" s="33">
        <f>IF(X741="","",IFERROR(INDEX(Cl_quartier,MATCH(X741,Cl_cle,0))&amp;"",""))</f>
        <v/>
      </c>
      <c r="AB741" s="45">
        <f>IF(R741&lt;&gt;"Livrée",0,IF(K741&lt;&gt;"",K741,C741))</f>
        <v/>
      </c>
      <c r="AC741" s="33">
        <f>IF(OR(C741="",W741=""),"",P741&amp;"|"&amp;W741&amp;"|"&amp;C741&amp;"|"&amp;E741)</f>
        <v/>
      </c>
      <c r="AD741" s="39">
        <f>IF(AC741="","",IF(COUNTIF(AC$6:AC741,AC741)=1,1,0))</f>
        <v/>
      </c>
      <c r="AE741" s="39">
        <f>IF(AB741=0,"",IF(COUNTIFS(X$6:X741,X741,AB$6:AB741,AB741)=1,1,0))</f>
        <v/>
      </c>
      <c r="AF741" s="34">
        <f>IF(C741="","",YEAR(C741-WEEKDAY(C741,2)+4)&amp;"-S"&amp;TEXT(INT((C741-DATE(YEAR(C741-WEEKDAY(C741,2)+4),1,3)+WEEKDAY(DATE(YEAR(C741-WEEKDAY(C741,2)+4),1,3),2)+5)/7),"00"))</f>
        <v/>
      </c>
    </row>
    <row r="742" ht="18" customHeight="1">
      <c r="A742" s="39" t="n">
        <v>737</v>
      </c>
      <c r="B742" s="33">
        <f>IF(C742="","",IF(P742="À RENSEIGNER","GIC",P742)&amp;"-C"&amp;TEXT(A742,"00000"))</f>
        <v/>
      </c>
      <c r="C742" s="32" t="n"/>
      <c r="D742" s="36" t="n"/>
      <c r="E742" s="36" t="n"/>
      <c r="F742" s="36" t="n"/>
      <c r="G742" s="42" t="n"/>
      <c r="H742" s="37" t="n"/>
      <c r="I742" s="37" t="n"/>
      <c r="J742" s="32" t="n"/>
      <c r="K742" s="32" t="n"/>
      <c r="L742" s="43" t="n"/>
      <c r="M742" s="36" t="n"/>
      <c r="N742" s="44" t="n"/>
      <c r="O742" s="36" t="n"/>
      <c r="P742" s="33">
        <f>IF(C742="","",Commercial_Id)</f>
        <v/>
      </c>
      <c r="Q742" s="34">
        <f>IF(AC742="","",IF(AD742=1,"C"&amp;TEXT(SUM(AD$6:AD742),"0000"),INDEX(Q$6:Q741,MATCH(AC742,AC$6:AC741,0))))</f>
        <v/>
      </c>
      <c r="R742" s="34">
        <f>IF(C742="","",IF(L742="☑ Oui","Annulée",IF(OR(E742="Vente directe",K742&lt;&gt;""),"Livrée",IF(J742&lt;&gt;"","Confirmée","En attente"))))</f>
        <v/>
      </c>
      <c r="S742" s="34">
        <f>IF(F742="","",IFERROR(VLOOKUP(F742,T_Produits,2,FALSE),""))</f>
        <v/>
      </c>
      <c r="T742" s="40">
        <f>IF(F742="","",IFERROR(1/(1/VLOOKUP(F742,T_Produits,3,FALSE)),""))</f>
        <v/>
      </c>
      <c r="U742" s="40">
        <f>IF(H742&lt;&gt;"",H742,T742)</f>
        <v/>
      </c>
      <c r="V742" s="40">
        <f>IF(OR(G742="",U742=""),"",G742*U742-N(I742))</f>
        <v/>
      </c>
      <c r="W742" s="39">
        <f>IF(D742="","",IFERROR(VALUE(MID(D742,LEN(D742)-3,3)),""))</f>
        <v/>
      </c>
      <c r="X742" s="33">
        <f>IF(W742="","",P742&amp;"|"&amp;W742)</f>
        <v/>
      </c>
      <c r="Y742" s="33">
        <f>IF(W742="","",IF(P742="À RENSEIGNER","GIC",P742)&amp;"-"&amp;TEXT(W742,"000"))</f>
        <v/>
      </c>
      <c r="Z742" s="33">
        <f>IF(X742="","",IFERROR(INDEX(Cl_nom,MATCH(X742,Cl_cle,0)),"(client introuvable)"))</f>
        <v/>
      </c>
      <c r="AA742" s="33">
        <f>IF(X742="","",IFERROR(INDEX(Cl_quartier,MATCH(X742,Cl_cle,0))&amp;"",""))</f>
        <v/>
      </c>
      <c r="AB742" s="45">
        <f>IF(R742&lt;&gt;"Livrée",0,IF(K742&lt;&gt;"",K742,C742))</f>
        <v/>
      </c>
      <c r="AC742" s="33">
        <f>IF(OR(C742="",W742=""),"",P742&amp;"|"&amp;W742&amp;"|"&amp;C742&amp;"|"&amp;E742)</f>
        <v/>
      </c>
      <c r="AD742" s="39">
        <f>IF(AC742="","",IF(COUNTIF(AC$6:AC742,AC742)=1,1,0))</f>
        <v/>
      </c>
      <c r="AE742" s="39">
        <f>IF(AB742=0,"",IF(COUNTIFS(X$6:X742,X742,AB$6:AB742,AB742)=1,1,0))</f>
        <v/>
      </c>
      <c r="AF742" s="34">
        <f>IF(C742="","",YEAR(C742-WEEKDAY(C742,2)+4)&amp;"-S"&amp;TEXT(INT((C742-DATE(YEAR(C742-WEEKDAY(C742,2)+4),1,3)+WEEKDAY(DATE(YEAR(C742-WEEKDAY(C742,2)+4),1,3),2)+5)/7),"00"))</f>
        <v/>
      </c>
    </row>
    <row r="743" ht="18" customHeight="1">
      <c r="A743" s="39" t="n">
        <v>738</v>
      </c>
      <c r="B743" s="33">
        <f>IF(C743="","",IF(P743="À RENSEIGNER","GIC",P743)&amp;"-C"&amp;TEXT(A743,"00000"))</f>
        <v/>
      </c>
      <c r="C743" s="32" t="n"/>
      <c r="D743" s="36" t="n"/>
      <c r="E743" s="36" t="n"/>
      <c r="F743" s="36" t="n"/>
      <c r="G743" s="42" t="n"/>
      <c r="H743" s="37" t="n"/>
      <c r="I743" s="37" t="n"/>
      <c r="J743" s="32" t="n"/>
      <c r="K743" s="32" t="n"/>
      <c r="L743" s="43" t="n"/>
      <c r="M743" s="36" t="n"/>
      <c r="N743" s="44" t="n"/>
      <c r="O743" s="36" t="n"/>
      <c r="P743" s="33">
        <f>IF(C743="","",Commercial_Id)</f>
        <v/>
      </c>
      <c r="Q743" s="34">
        <f>IF(AC743="","",IF(AD743=1,"C"&amp;TEXT(SUM(AD$6:AD743),"0000"),INDEX(Q$6:Q742,MATCH(AC743,AC$6:AC742,0))))</f>
        <v/>
      </c>
      <c r="R743" s="34">
        <f>IF(C743="","",IF(L743="☑ Oui","Annulée",IF(OR(E743="Vente directe",K743&lt;&gt;""),"Livrée",IF(J743&lt;&gt;"","Confirmée","En attente"))))</f>
        <v/>
      </c>
      <c r="S743" s="34">
        <f>IF(F743="","",IFERROR(VLOOKUP(F743,T_Produits,2,FALSE),""))</f>
        <v/>
      </c>
      <c r="T743" s="40">
        <f>IF(F743="","",IFERROR(1/(1/VLOOKUP(F743,T_Produits,3,FALSE)),""))</f>
        <v/>
      </c>
      <c r="U743" s="40">
        <f>IF(H743&lt;&gt;"",H743,T743)</f>
        <v/>
      </c>
      <c r="V743" s="40">
        <f>IF(OR(G743="",U743=""),"",G743*U743-N(I743))</f>
        <v/>
      </c>
      <c r="W743" s="39">
        <f>IF(D743="","",IFERROR(VALUE(MID(D743,LEN(D743)-3,3)),""))</f>
        <v/>
      </c>
      <c r="X743" s="33">
        <f>IF(W743="","",P743&amp;"|"&amp;W743)</f>
        <v/>
      </c>
      <c r="Y743" s="33">
        <f>IF(W743="","",IF(P743="À RENSEIGNER","GIC",P743)&amp;"-"&amp;TEXT(W743,"000"))</f>
        <v/>
      </c>
      <c r="Z743" s="33">
        <f>IF(X743="","",IFERROR(INDEX(Cl_nom,MATCH(X743,Cl_cle,0)),"(client introuvable)"))</f>
        <v/>
      </c>
      <c r="AA743" s="33">
        <f>IF(X743="","",IFERROR(INDEX(Cl_quartier,MATCH(X743,Cl_cle,0))&amp;"",""))</f>
        <v/>
      </c>
      <c r="AB743" s="45">
        <f>IF(R743&lt;&gt;"Livrée",0,IF(K743&lt;&gt;"",K743,C743))</f>
        <v/>
      </c>
      <c r="AC743" s="33">
        <f>IF(OR(C743="",W743=""),"",P743&amp;"|"&amp;W743&amp;"|"&amp;C743&amp;"|"&amp;E743)</f>
        <v/>
      </c>
      <c r="AD743" s="39">
        <f>IF(AC743="","",IF(COUNTIF(AC$6:AC743,AC743)=1,1,0))</f>
        <v/>
      </c>
      <c r="AE743" s="39">
        <f>IF(AB743=0,"",IF(COUNTIFS(X$6:X743,X743,AB$6:AB743,AB743)=1,1,0))</f>
        <v/>
      </c>
      <c r="AF743" s="34">
        <f>IF(C743="","",YEAR(C743-WEEKDAY(C743,2)+4)&amp;"-S"&amp;TEXT(INT((C743-DATE(YEAR(C743-WEEKDAY(C743,2)+4),1,3)+WEEKDAY(DATE(YEAR(C743-WEEKDAY(C743,2)+4),1,3),2)+5)/7),"00"))</f>
        <v/>
      </c>
    </row>
    <row r="744" ht="18" customHeight="1">
      <c r="A744" s="39" t="n">
        <v>739</v>
      </c>
      <c r="B744" s="33">
        <f>IF(C744="","",IF(P744="À RENSEIGNER","GIC",P744)&amp;"-C"&amp;TEXT(A744,"00000"))</f>
        <v/>
      </c>
      <c r="C744" s="32" t="n"/>
      <c r="D744" s="36" t="n"/>
      <c r="E744" s="36" t="n"/>
      <c r="F744" s="36" t="n"/>
      <c r="G744" s="42" t="n"/>
      <c r="H744" s="37" t="n"/>
      <c r="I744" s="37" t="n"/>
      <c r="J744" s="32" t="n"/>
      <c r="K744" s="32" t="n"/>
      <c r="L744" s="43" t="n"/>
      <c r="M744" s="36" t="n"/>
      <c r="N744" s="44" t="n"/>
      <c r="O744" s="36" t="n"/>
      <c r="P744" s="33">
        <f>IF(C744="","",Commercial_Id)</f>
        <v/>
      </c>
      <c r="Q744" s="34">
        <f>IF(AC744="","",IF(AD744=1,"C"&amp;TEXT(SUM(AD$6:AD744),"0000"),INDEX(Q$6:Q743,MATCH(AC744,AC$6:AC743,0))))</f>
        <v/>
      </c>
      <c r="R744" s="34">
        <f>IF(C744="","",IF(L744="☑ Oui","Annulée",IF(OR(E744="Vente directe",K744&lt;&gt;""),"Livrée",IF(J744&lt;&gt;"","Confirmée","En attente"))))</f>
        <v/>
      </c>
      <c r="S744" s="34">
        <f>IF(F744="","",IFERROR(VLOOKUP(F744,T_Produits,2,FALSE),""))</f>
        <v/>
      </c>
      <c r="T744" s="40">
        <f>IF(F744="","",IFERROR(1/(1/VLOOKUP(F744,T_Produits,3,FALSE)),""))</f>
        <v/>
      </c>
      <c r="U744" s="40">
        <f>IF(H744&lt;&gt;"",H744,T744)</f>
        <v/>
      </c>
      <c r="V744" s="40">
        <f>IF(OR(G744="",U744=""),"",G744*U744-N(I744))</f>
        <v/>
      </c>
      <c r="W744" s="39">
        <f>IF(D744="","",IFERROR(VALUE(MID(D744,LEN(D744)-3,3)),""))</f>
        <v/>
      </c>
      <c r="X744" s="33">
        <f>IF(W744="","",P744&amp;"|"&amp;W744)</f>
        <v/>
      </c>
      <c r="Y744" s="33">
        <f>IF(W744="","",IF(P744="À RENSEIGNER","GIC",P744)&amp;"-"&amp;TEXT(W744,"000"))</f>
        <v/>
      </c>
      <c r="Z744" s="33">
        <f>IF(X744="","",IFERROR(INDEX(Cl_nom,MATCH(X744,Cl_cle,0)),"(client introuvable)"))</f>
        <v/>
      </c>
      <c r="AA744" s="33">
        <f>IF(X744="","",IFERROR(INDEX(Cl_quartier,MATCH(X744,Cl_cle,0))&amp;"",""))</f>
        <v/>
      </c>
      <c r="AB744" s="45">
        <f>IF(R744&lt;&gt;"Livrée",0,IF(K744&lt;&gt;"",K744,C744))</f>
        <v/>
      </c>
      <c r="AC744" s="33">
        <f>IF(OR(C744="",W744=""),"",P744&amp;"|"&amp;W744&amp;"|"&amp;C744&amp;"|"&amp;E744)</f>
        <v/>
      </c>
      <c r="AD744" s="39">
        <f>IF(AC744="","",IF(COUNTIF(AC$6:AC744,AC744)=1,1,0))</f>
        <v/>
      </c>
      <c r="AE744" s="39">
        <f>IF(AB744=0,"",IF(COUNTIFS(X$6:X744,X744,AB$6:AB744,AB744)=1,1,0))</f>
        <v/>
      </c>
      <c r="AF744" s="34">
        <f>IF(C744="","",YEAR(C744-WEEKDAY(C744,2)+4)&amp;"-S"&amp;TEXT(INT((C744-DATE(YEAR(C744-WEEKDAY(C744,2)+4),1,3)+WEEKDAY(DATE(YEAR(C744-WEEKDAY(C744,2)+4),1,3),2)+5)/7),"00"))</f>
        <v/>
      </c>
    </row>
    <row r="745" ht="18" customHeight="1">
      <c r="A745" s="39" t="n">
        <v>740</v>
      </c>
      <c r="B745" s="33">
        <f>IF(C745="","",IF(P745="À RENSEIGNER","GIC",P745)&amp;"-C"&amp;TEXT(A745,"00000"))</f>
        <v/>
      </c>
      <c r="C745" s="32" t="n"/>
      <c r="D745" s="36" t="n"/>
      <c r="E745" s="36" t="n"/>
      <c r="F745" s="36" t="n"/>
      <c r="G745" s="42" t="n"/>
      <c r="H745" s="37" t="n"/>
      <c r="I745" s="37" t="n"/>
      <c r="J745" s="32" t="n"/>
      <c r="K745" s="32" t="n"/>
      <c r="L745" s="43" t="n"/>
      <c r="M745" s="36" t="n"/>
      <c r="N745" s="44" t="n"/>
      <c r="O745" s="36" t="n"/>
      <c r="P745" s="33">
        <f>IF(C745="","",Commercial_Id)</f>
        <v/>
      </c>
      <c r="Q745" s="34">
        <f>IF(AC745="","",IF(AD745=1,"C"&amp;TEXT(SUM(AD$6:AD745),"0000"),INDEX(Q$6:Q744,MATCH(AC745,AC$6:AC744,0))))</f>
        <v/>
      </c>
      <c r="R745" s="34">
        <f>IF(C745="","",IF(L745="☑ Oui","Annulée",IF(OR(E745="Vente directe",K745&lt;&gt;""),"Livrée",IF(J745&lt;&gt;"","Confirmée","En attente"))))</f>
        <v/>
      </c>
      <c r="S745" s="34">
        <f>IF(F745="","",IFERROR(VLOOKUP(F745,T_Produits,2,FALSE),""))</f>
        <v/>
      </c>
      <c r="T745" s="40">
        <f>IF(F745="","",IFERROR(1/(1/VLOOKUP(F745,T_Produits,3,FALSE)),""))</f>
        <v/>
      </c>
      <c r="U745" s="40">
        <f>IF(H745&lt;&gt;"",H745,T745)</f>
        <v/>
      </c>
      <c r="V745" s="40">
        <f>IF(OR(G745="",U745=""),"",G745*U745-N(I745))</f>
        <v/>
      </c>
      <c r="W745" s="39">
        <f>IF(D745="","",IFERROR(VALUE(MID(D745,LEN(D745)-3,3)),""))</f>
        <v/>
      </c>
      <c r="X745" s="33">
        <f>IF(W745="","",P745&amp;"|"&amp;W745)</f>
        <v/>
      </c>
      <c r="Y745" s="33">
        <f>IF(W745="","",IF(P745="À RENSEIGNER","GIC",P745)&amp;"-"&amp;TEXT(W745,"000"))</f>
        <v/>
      </c>
      <c r="Z745" s="33">
        <f>IF(X745="","",IFERROR(INDEX(Cl_nom,MATCH(X745,Cl_cle,0)),"(client introuvable)"))</f>
        <v/>
      </c>
      <c r="AA745" s="33">
        <f>IF(X745="","",IFERROR(INDEX(Cl_quartier,MATCH(X745,Cl_cle,0))&amp;"",""))</f>
        <v/>
      </c>
      <c r="AB745" s="45">
        <f>IF(R745&lt;&gt;"Livrée",0,IF(K745&lt;&gt;"",K745,C745))</f>
        <v/>
      </c>
      <c r="AC745" s="33">
        <f>IF(OR(C745="",W745=""),"",P745&amp;"|"&amp;W745&amp;"|"&amp;C745&amp;"|"&amp;E745)</f>
        <v/>
      </c>
      <c r="AD745" s="39">
        <f>IF(AC745="","",IF(COUNTIF(AC$6:AC745,AC745)=1,1,0))</f>
        <v/>
      </c>
      <c r="AE745" s="39">
        <f>IF(AB745=0,"",IF(COUNTIFS(X$6:X745,X745,AB$6:AB745,AB745)=1,1,0))</f>
        <v/>
      </c>
      <c r="AF745" s="34">
        <f>IF(C745="","",YEAR(C745-WEEKDAY(C745,2)+4)&amp;"-S"&amp;TEXT(INT((C745-DATE(YEAR(C745-WEEKDAY(C745,2)+4),1,3)+WEEKDAY(DATE(YEAR(C745-WEEKDAY(C745,2)+4),1,3),2)+5)/7),"00"))</f>
        <v/>
      </c>
    </row>
    <row r="746" ht="18" customHeight="1">
      <c r="A746" s="39" t="n">
        <v>741</v>
      </c>
      <c r="B746" s="33">
        <f>IF(C746="","",IF(P746="À RENSEIGNER","GIC",P746)&amp;"-C"&amp;TEXT(A746,"00000"))</f>
        <v/>
      </c>
      <c r="C746" s="32" t="n"/>
      <c r="D746" s="36" t="n"/>
      <c r="E746" s="36" t="n"/>
      <c r="F746" s="36" t="n"/>
      <c r="G746" s="42" t="n"/>
      <c r="H746" s="37" t="n"/>
      <c r="I746" s="37" t="n"/>
      <c r="J746" s="32" t="n"/>
      <c r="K746" s="32" t="n"/>
      <c r="L746" s="43" t="n"/>
      <c r="M746" s="36" t="n"/>
      <c r="N746" s="44" t="n"/>
      <c r="O746" s="36" t="n"/>
      <c r="P746" s="33">
        <f>IF(C746="","",Commercial_Id)</f>
        <v/>
      </c>
      <c r="Q746" s="34">
        <f>IF(AC746="","",IF(AD746=1,"C"&amp;TEXT(SUM(AD$6:AD746),"0000"),INDEX(Q$6:Q745,MATCH(AC746,AC$6:AC745,0))))</f>
        <v/>
      </c>
      <c r="R746" s="34">
        <f>IF(C746="","",IF(L746="☑ Oui","Annulée",IF(OR(E746="Vente directe",K746&lt;&gt;""),"Livrée",IF(J746&lt;&gt;"","Confirmée","En attente"))))</f>
        <v/>
      </c>
      <c r="S746" s="34">
        <f>IF(F746="","",IFERROR(VLOOKUP(F746,T_Produits,2,FALSE),""))</f>
        <v/>
      </c>
      <c r="T746" s="40">
        <f>IF(F746="","",IFERROR(1/(1/VLOOKUP(F746,T_Produits,3,FALSE)),""))</f>
        <v/>
      </c>
      <c r="U746" s="40">
        <f>IF(H746&lt;&gt;"",H746,T746)</f>
        <v/>
      </c>
      <c r="V746" s="40">
        <f>IF(OR(G746="",U746=""),"",G746*U746-N(I746))</f>
        <v/>
      </c>
      <c r="W746" s="39">
        <f>IF(D746="","",IFERROR(VALUE(MID(D746,LEN(D746)-3,3)),""))</f>
        <v/>
      </c>
      <c r="X746" s="33">
        <f>IF(W746="","",P746&amp;"|"&amp;W746)</f>
        <v/>
      </c>
      <c r="Y746" s="33">
        <f>IF(W746="","",IF(P746="À RENSEIGNER","GIC",P746)&amp;"-"&amp;TEXT(W746,"000"))</f>
        <v/>
      </c>
      <c r="Z746" s="33">
        <f>IF(X746="","",IFERROR(INDEX(Cl_nom,MATCH(X746,Cl_cle,0)),"(client introuvable)"))</f>
        <v/>
      </c>
      <c r="AA746" s="33">
        <f>IF(X746="","",IFERROR(INDEX(Cl_quartier,MATCH(X746,Cl_cle,0))&amp;"",""))</f>
        <v/>
      </c>
      <c r="AB746" s="45">
        <f>IF(R746&lt;&gt;"Livrée",0,IF(K746&lt;&gt;"",K746,C746))</f>
        <v/>
      </c>
      <c r="AC746" s="33">
        <f>IF(OR(C746="",W746=""),"",P746&amp;"|"&amp;W746&amp;"|"&amp;C746&amp;"|"&amp;E746)</f>
        <v/>
      </c>
      <c r="AD746" s="39">
        <f>IF(AC746="","",IF(COUNTIF(AC$6:AC746,AC746)=1,1,0))</f>
        <v/>
      </c>
      <c r="AE746" s="39">
        <f>IF(AB746=0,"",IF(COUNTIFS(X$6:X746,X746,AB$6:AB746,AB746)=1,1,0))</f>
        <v/>
      </c>
      <c r="AF746" s="34">
        <f>IF(C746="","",YEAR(C746-WEEKDAY(C746,2)+4)&amp;"-S"&amp;TEXT(INT((C746-DATE(YEAR(C746-WEEKDAY(C746,2)+4),1,3)+WEEKDAY(DATE(YEAR(C746-WEEKDAY(C746,2)+4),1,3),2)+5)/7),"00"))</f>
        <v/>
      </c>
    </row>
    <row r="747" ht="18" customHeight="1">
      <c r="A747" s="39" t="n">
        <v>742</v>
      </c>
      <c r="B747" s="33">
        <f>IF(C747="","",IF(P747="À RENSEIGNER","GIC",P747)&amp;"-C"&amp;TEXT(A747,"00000"))</f>
        <v/>
      </c>
      <c r="C747" s="32" t="n"/>
      <c r="D747" s="36" t="n"/>
      <c r="E747" s="36" t="n"/>
      <c r="F747" s="36" t="n"/>
      <c r="G747" s="42" t="n"/>
      <c r="H747" s="37" t="n"/>
      <c r="I747" s="37" t="n"/>
      <c r="J747" s="32" t="n"/>
      <c r="K747" s="32" t="n"/>
      <c r="L747" s="43" t="n"/>
      <c r="M747" s="36" t="n"/>
      <c r="N747" s="44" t="n"/>
      <c r="O747" s="36" t="n"/>
      <c r="P747" s="33">
        <f>IF(C747="","",Commercial_Id)</f>
        <v/>
      </c>
      <c r="Q747" s="34">
        <f>IF(AC747="","",IF(AD747=1,"C"&amp;TEXT(SUM(AD$6:AD747),"0000"),INDEX(Q$6:Q746,MATCH(AC747,AC$6:AC746,0))))</f>
        <v/>
      </c>
      <c r="R747" s="34">
        <f>IF(C747="","",IF(L747="☑ Oui","Annulée",IF(OR(E747="Vente directe",K747&lt;&gt;""),"Livrée",IF(J747&lt;&gt;"","Confirmée","En attente"))))</f>
        <v/>
      </c>
      <c r="S747" s="34">
        <f>IF(F747="","",IFERROR(VLOOKUP(F747,T_Produits,2,FALSE),""))</f>
        <v/>
      </c>
      <c r="T747" s="40">
        <f>IF(F747="","",IFERROR(1/(1/VLOOKUP(F747,T_Produits,3,FALSE)),""))</f>
        <v/>
      </c>
      <c r="U747" s="40">
        <f>IF(H747&lt;&gt;"",H747,T747)</f>
        <v/>
      </c>
      <c r="V747" s="40">
        <f>IF(OR(G747="",U747=""),"",G747*U747-N(I747))</f>
        <v/>
      </c>
      <c r="W747" s="39">
        <f>IF(D747="","",IFERROR(VALUE(MID(D747,LEN(D747)-3,3)),""))</f>
        <v/>
      </c>
      <c r="X747" s="33">
        <f>IF(W747="","",P747&amp;"|"&amp;W747)</f>
        <v/>
      </c>
      <c r="Y747" s="33">
        <f>IF(W747="","",IF(P747="À RENSEIGNER","GIC",P747)&amp;"-"&amp;TEXT(W747,"000"))</f>
        <v/>
      </c>
      <c r="Z747" s="33">
        <f>IF(X747="","",IFERROR(INDEX(Cl_nom,MATCH(X747,Cl_cle,0)),"(client introuvable)"))</f>
        <v/>
      </c>
      <c r="AA747" s="33">
        <f>IF(X747="","",IFERROR(INDEX(Cl_quartier,MATCH(X747,Cl_cle,0))&amp;"",""))</f>
        <v/>
      </c>
      <c r="AB747" s="45">
        <f>IF(R747&lt;&gt;"Livrée",0,IF(K747&lt;&gt;"",K747,C747))</f>
        <v/>
      </c>
      <c r="AC747" s="33">
        <f>IF(OR(C747="",W747=""),"",P747&amp;"|"&amp;W747&amp;"|"&amp;C747&amp;"|"&amp;E747)</f>
        <v/>
      </c>
      <c r="AD747" s="39">
        <f>IF(AC747="","",IF(COUNTIF(AC$6:AC747,AC747)=1,1,0))</f>
        <v/>
      </c>
      <c r="AE747" s="39">
        <f>IF(AB747=0,"",IF(COUNTIFS(X$6:X747,X747,AB$6:AB747,AB747)=1,1,0))</f>
        <v/>
      </c>
      <c r="AF747" s="34">
        <f>IF(C747="","",YEAR(C747-WEEKDAY(C747,2)+4)&amp;"-S"&amp;TEXT(INT((C747-DATE(YEAR(C747-WEEKDAY(C747,2)+4),1,3)+WEEKDAY(DATE(YEAR(C747-WEEKDAY(C747,2)+4),1,3),2)+5)/7),"00"))</f>
        <v/>
      </c>
    </row>
    <row r="748" ht="18" customHeight="1">
      <c r="A748" s="39" t="n">
        <v>743</v>
      </c>
      <c r="B748" s="33">
        <f>IF(C748="","",IF(P748="À RENSEIGNER","GIC",P748)&amp;"-C"&amp;TEXT(A748,"00000"))</f>
        <v/>
      </c>
      <c r="C748" s="32" t="n"/>
      <c r="D748" s="36" t="n"/>
      <c r="E748" s="36" t="n"/>
      <c r="F748" s="36" t="n"/>
      <c r="G748" s="42" t="n"/>
      <c r="H748" s="37" t="n"/>
      <c r="I748" s="37" t="n"/>
      <c r="J748" s="32" t="n"/>
      <c r="K748" s="32" t="n"/>
      <c r="L748" s="43" t="n"/>
      <c r="M748" s="36" t="n"/>
      <c r="N748" s="44" t="n"/>
      <c r="O748" s="36" t="n"/>
      <c r="P748" s="33">
        <f>IF(C748="","",Commercial_Id)</f>
        <v/>
      </c>
      <c r="Q748" s="34">
        <f>IF(AC748="","",IF(AD748=1,"C"&amp;TEXT(SUM(AD$6:AD748),"0000"),INDEX(Q$6:Q747,MATCH(AC748,AC$6:AC747,0))))</f>
        <v/>
      </c>
      <c r="R748" s="34">
        <f>IF(C748="","",IF(L748="☑ Oui","Annulée",IF(OR(E748="Vente directe",K748&lt;&gt;""),"Livrée",IF(J748&lt;&gt;"","Confirmée","En attente"))))</f>
        <v/>
      </c>
      <c r="S748" s="34">
        <f>IF(F748="","",IFERROR(VLOOKUP(F748,T_Produits,2,FALSE),""))</f>
        <v/>
      </c>
      <c r="T748" s="40">
        <f>IF(F748="","",IFERROR(1/(1/VLOOKUP(F748,T_Produits,3,FALSE)),""))</f>
        <v/>
      </c>
      <c r="U748" s="40">
        <f>IF(H748&lt;&gt;"",H748,T748)</f>
        <v/>
      </c>
      <c r="V748" s="40">
        <f>IF(OR(G748="",U748=""),"",G748*U748-N(I748))</f>
        <v/>
      </c>
      <c r="W748" s="39">
        <f>IF(D748="","",IFERROR(VALUE(MID(D748,LEN(D748)-3,3)),""))</f>
        <v/>
      </c>
      <c r="X748" s="33">
        <f>IF(W748="","",P748&amp;"|"&amp;W748)</f>
        <v/>
      </c>
      <c r="Y748" s="33">
        <f>IF(W748="","",IF(P748="À RENSEIGNER","GIC",P748)&amp;"-"&amp;TEXT(W748,"000"))</f>
        <v/>
      </c>
      <c r="Z748" s="33">
        <f>IF(X748="","",IFERROR(INDEX(Cl_nom,MATCH(X748,Cl_cle,0)),"(client introuvable)"))</f>
        <v/>
      </c>
      <c r="AA748" s="33">
        <f>IF(X748="","",IFERROR(INDEX(Cl_quartier,MATCH(X748,Cl_cle,0))&amp;"",""))</f>
        <v/>
      </c>
      <c r="AB748" s="45">
        <f>IF(R748&lt;&gt;"Livrée",0,IF(K748&lt;&gt;"",K748,C748))</f>
        <v/>
      </c>
      <c r="AC748" s="33">
        <f>IF(OR(C748="",W748=""),"",P748&amp;"|"&amp;W748&amp;"|"&amp;C748&amp;"|"&amp;E748)</f>
        <v/>
      </c>
      <c r="AD748" s="39">
        <f>IF(AC748="","",IF(COUNTIF(AC$6:AC748,AC748)=1,1,0))</f>
        <v/>
      </c>
      <c r="AE748" s="39">
        <f>IF(AB748=0,"",IF(COUNTIFS(X$6:X748,X748,AB$6:AB748,AB748)=1,1,0))</f>
        <v/>
      </c>
      <c r="AF748" s="34">
        <f>IF(C748="","",YEAR(C748-WEEKDAY(C748,2)+4)&amp;"-S"&amp;TEXT(INT((C748-DATE(YEAR(C748-WEEKDAY(C748,2)+4),1,3)+WEEKDAY(DATE(YEAR(C748-WEEKDAY(C748,2)+4),1,3),2)+5)/7),"00"))</f>
        <v/>
      </c>
    </row>
    <row r="749" ht="18" customHeight="1">
      <c r="A749" s="39" t="n">
        <v>744</v>
      </c>
      <c r="B749" s="33">
        <f>IF(C749="","",IF(P749="À RENSEIGNER","GIC",P749)&amp;"-C"&amp;TEXT(A749,"00000"))</f>
        <v/>
      </c>
      <c r="C749" s="32" t="n"/>
      <c r="D749" s="36" t="n"/>
      <c r="E749" s="36" t="n"/>
      <c r="F749" s="36" t="n"/>
      <c r="G749" s="42" t="n"/>
      <c r="H749" s="37" t="n"/>
      <c r="I749" s="37" t="n"/>
      <c r="J749" s="32" t="n"/>
      <c r="K749" s="32" t="n"/>
      <c r="L749" s="43" t="n"/>
      <c r="M749" s="36" t="n"/>
      <c r="N749" s="44" t="n"/>
      <c r="O749" s="36" t="n"/>
      <c r="P749" s="33">
        <f>IF(C749="","",Commercial_Id)</f>
        <v/>
      </c>
      <c r="Q749" s="34">
        <f>IF(AC749="","",IF(AD749=1,"C"&amp;TEXT(SUM(AD$6:AD749),"0000"),INDEX(Q$6:Q748,MATCH(AC749,AC$6:AC748,0))))</f>
        <v/>
      </c>
      <c r="R749" s="34">
        <f>IF(C749="","",IF(L749="☑ Oui","Annulée",IF(OR(E749="Vente directe",K749&lt;&gt;""),"Livrée",IF(J749&lt;&gt;"","Confirmée","En attente"))))</f>
        <v/>
      </c>
      <c r="S749" s="34">
        <f>IF(F749="","",IFERROR(VLOOKUP(F749,T_Produits,2,FALSE),""))</f>
        <v/>
      </c>
      <c r="T749" s="40">
        <f>IF(F749="","",IFERROR(1/(1/VLOOKUP(F749,T_Produits,3,FALSE)),""))</f>
        <v/>
      </c>
      <c r="U749" s="40">
        <f>IF(H749&lt;&gt;"",H749,T749)</f>
        <v/>
      </c>
      <c r="V749" s="40">
        <f>IF(OR(G749="",U749=""),"",G749*U749-N(I749))</f>
        <v/>
      </c>
      <c r="W749" s="39">
        <f>IF(D749="","",IFERROR(VALUE(MID(D749,LEN(D749)-3,3)),""))</f>
        <v/>
      </c>
      <c r="X749" s="33">
        <f>IF(W749="","",P749&amp;"|"&amp;W749)</f>
        <v/>
      </c>
      <c r="Y749" s="33">
        <f>IF(W749="","",IF(P749="À RENSEIGNER","GIC",P749)&amp;"-"&amp;TEXT(W749,"000"))</f>
        <v/>
      </c>
      <c r="Z749" s="33">
        <f>IF(X749="","",IFERROR(INDEX(Cl_nom,MATCH(X749,Cl_cle,0)),"(client introuvable)"))</f>
        <v/>
      </c>
      <c r="AA749" s="33">
        <f>IF(X749="","",IFERROR(INDEX(Cl_quartier,MATCH(X749,Cl_cle,0))&amp;"",""))</f>
        <v/>
      </c>
      <c r="AB749" s="45">
        <f>IF(R749&lt;&gt;"Livrée",0,IF(K749&lt;&gt;"",K749,C749))</f>
        <v/>
      </c>
      <c r="AC749" s="33">
        <f>IF(OR(C749="",W749=""),"",P749&amp;"|"&amp;W749&amp;"|"&amp;C749&amp;"|"&amp;E749)</f>
        <v/>
      </c>
      <c r="AD749" s="39">
        <f>IF(AC749="","",IF(COUNTIF(AC$6:AC749,AC749)=1,1,0))</f>
        <v/>
      </c>
      <c r="AE749" s="39">
        <f>IF(AB749=0,"",IF(COUNTIFS(X$6:X749,X749,AB$6:AB749,AB749)=1,1,0))</f>
        <v/>
      </c>
      <c r="AF749" s="34">
        <f>IF(C749="","",YEAR(C749-WEEKDAY(C749,2)+4)&amp;"-S"&amp;TEXT(INT((C749-DATE(YEAR(C749-WEEKDAY(C749,2)+4),1,3)+WEEKDAY(DATE(YEAR(C749-WEEKDAY(C749,2)+4),1,3),2)+5)/7),"00"))</f>
        <v/>
      </c>
    </row>
    <row r="750" ht="18" customHeight="1">
      <c r="A750" s="39" t="n">
        <v>745</v>
      </c>
      <c r="B750" s="33">
        <f>IF(C750="","",IF(P750="À RENSEIGNER","GIC",P750)&amp;"-C"&amp;TEXT(A750,"00000"))</f>
        <v/>
      </c>
      <c r="C750" s="32" t="n"/>
      <c r="D750" s="36" t="n"/>
      <c r="E750" s="36" t="n"/>
      <c r="F750" s="36" t="n"/>
      <c r="G750" s="42" t="n"/>
      <c r="H750" s="37" t="n"/>
      <c r="I750" s="37" t="n"/>
      <c r="J750" s="32" t="n"/>
      <c r="K750" s="32" t="n"/>
      <c r="L750" s="43" t="n"/>
      <c r="M750" s="36" t="n"/>
      <c r="N750" s="44" t="n"/>
      <c r="O750" s="36" t="n"/>
      <c r="P750" s="33">
        <f>IF(C750="","",Commercial_Id)</f>
        <v/>
      </c>
      <c r="Q750" s="34">
        <f>IF(AC750="","",IF(AD750=1,"C"&amp;TEXT(SUM(AD$6:AD750),"0000"),INDEX(Q$6:Q749,MATCH(AC750,AC$6:AC749,0))))</f>
        <v/>
      </c>
      <c r="R750" s="34">
        <f>IF(C750="","",IF(L750="☑ Oui","Annulée",IF(OR(E750="Vente directe",K750&lt;&gt;""),"Livrée",IF(J750&lt;&gt;"","Confirmée","En attente"))))</f>
        <v/>
      </c>
      <c r="S750" s="34">
        <f>IF(F750="","",IFERROR(VLOOKUP(F750,T_Produits,2,FALSE),""))</f>
        <v/>
      </c>
      <c r="T750" s="40">
        <f>IF(F750="","",IFERROR(1/(1/VLOOKUP(F750,T_Produits,3,FALSE)),""))</f>
        <v/>
      </c>
      <c r="U750" s="40">
        <f>IF(H750&lt;&gt;"",H750,T750)</f>
        <v/>
      </c>
      <c r="V750" s="40">
        <f>IF(OR(G750="",U750=""),"",G750*U750-N(I750))</f>
        <v/>
      </c>
      <c r="W750" s="39">
        <f>IF(D750="","",IFERROR(VALUE(MID(D750,LEN(D750)-3,3)),""))</f>
        <v/>
      </c>
      <c r="X750" s="33">
        <f>IF(W750="","",P750&amp;"|"&amp;W750)</f>
        <v/>
      </c>
      <c r="Y750" s="33">
        <f>IF(W750="","",IF(P750="À RENSEIGNER","GIC",P750)&amp;"-"&amp;TEXT(W750,"000"))</f>
        <v/>
      </c>
      <c r="Z750" s="33">
        <f>IF(X750="","",IFERROR(INDEX(Cl_nom,MATCH(X750,Cl_cle,0)),"(client introuvable)"))</f>
        <v/>
      </c>
      <c r="AA750" s="33">
        <f>IF(X750="","",IFERROR(INDEX(Cl_quartier,MATCH(X750,Cl_cle,0))&amp;"",""))</f>
        <v/>
      </c>
      <c r="AB750" s="45">
        <f>IF(R750&lt;&gt;"Livrée",0,IF(K750&lt;&gt;"",K750,C750))</f>
        <v/>
      </c>
      <c r="AC750" s="33">
        <f>IF(OR(C750="",W750=""),"",P750&amp;"|"&amp;W750&amp;"|"&amp;C750&amp;"|"&amp;E750)</f>
        <v/>
      </c>
      <c r="AD750" s="39">
        <f>IF(AC750="","",IF(COUNTIF(AC$6:AC750,AC750)=1,1,0))</f>
        <v/>
      </c>
      <c r="AE750" s="39">
        <f>IF(AB750=0,"",IF(COUNTIFS(X$6:X750,X750,AB$6:AB750,AB750)=1,1,0))</f>
        <v/>
      </c>
      <c r="AF750" s="34">
        <f>IF(C750="","",YEAR(C750-WEEKDAY(C750,2)+4)&amp;"-S"&amp;TEXT(INT((C750-DATE(YEAR(C750-WEEKDAY(C750,2)+4),1,3)+WEEKDAY(DATE(YEAR(C750-WEEKDAY(C750,2)+4),1,3),2)+5)/7),"00"))</f>
        <v/>
      </c>
    </row>
    <row r="751" ht="18" customHeight="1">
      <c r="A751" s="39" t="n">
        <v>746</v>
      </c>
      <c r="B751" s="33">
        <f>IF(C751="","",IF(P751="À RENSEIGNER","GIC",P751)&amp;"-C"&amp;TEXT(A751,"00000"))</f>
        <v/>
      </c>
      <c r="C751" s="32" t="n"/>
      <c r="D751" s="36" t="n"/>
      <c r="E751" s="36" t="n"/>
      <c r="F751" s="36" t="n"/>
      <c r="G751" s="42" t="n"/>
      <c r="H751" s="37" t="n"/>
      <c r="I751" s="37" t="n"/>
      <c r="J751" s="32" t="n"/>
      <c r="K751" s="32" t="n"/>
      <c r="L751" s="43" t="n"/>
      <c r="M751" s="36" t="n"/>
      <c r="N751" s="44" t="n"/>
      <c r="O751" s="36" t="n"/>
      <c r="P751" s="33">
        <f>IF(C751="","",Commercial_Id)</f>
        <v/>
      </c>
      <c r="Q751" s="34">
        <f>IF(AC751="","",IF(AD751=1,"C"&amp;TEXT(SUM(AD$6:AD751),"0000"),INDEX(Q$6:Q750,MATCH(AC751,AC$6:AC750,0))))</f>
        <v/>
      </c>
      <c r="R751" s="34">
        <f>IF(C751="","",IF(L751="☑ Oui","Annulée",IF(OR(E751="Vente directe",K751&lt;&gt;""),"Livrée",IF(J751&lt;&gt;"","Confirmée","En attente"))))</f>
        <v/>
      </c>
      <c r="S751" s="34">
        <f>IF(F751="","",IFERROR(VLOOKUP(F751,T_Produits,2,FALSE),""))</f>
        <v/>
      </c>
      <c r="T751" s="40">
        <f>IF(F751="","",IFERROR(1/(1/VLOOKUP(F751,T_Produits,3,FALSE)),""))</f>
        <v/>
      </c>
      <c r="U751" s="40">
        <f>IF(H751&lt;&gt;"",H751,T751)</f>
        <v/>
      </c>
      <c r="V751" s="40">
        <f>IF(OR(G751="",U751=""),"",G751*U751-N(I751))</f>
        <v/>
      </c>
      <c r="W751" s="39">
        <f>IF(D751="","",IFERROR(VALUE(MID(D751,LEN(D751)-3,3)),""))</f>
        <v/>
      </c>
      <c r="X751" s="33">
        <f>IF(W751="","",P751&amp;"|"&amp;W751)</f>
        <v/>
      </c>
      <c r="Y751" s="33">
        <f>IF(W751="","",IF(P751="À RENSEIGNER","GIC",P751)&amp;"-"&amp;TEXT(W751,"000"))</f>
        <v/>
      </c>
      <c r="Z751" s="33">
        <f>IF(X751="","",IFERROR(INDEX(Cl_nom,MATCH(X751,Cl_cle,0)),"(client introuvable)"))</f>
        <v/>
      </c>
      <c r="AA751" s="33">
        <f>IF(X751="","",IFERROR(INDEX(Cl_quartier,MATCH(X751,Cl_cle,0))&amp;"",""))</f>
        <v/>
      </c>
      <c r="AB751" s="45">
        <f>IF(R751&lt;&gt;"Livrée",0,IF(K751&lt;&gt;"",K751,C751))</f>
        <v/>
      </c>
      <c r="AC751" s="33">
        <f>IF(OR(C751="",W751=""),"",P751&amp;"|"&amp;W751&amp;"|"&amp;C751&amp;"|"&amp;E751)</f>
        <v/>
      </c>
      <c r="AD751" s="39">
        <f>IF(AC751="","",IF(COUNTIF(AC$6:AC751,AC751)=1,1,0))</f>
        <v/>
      </c>
      <c r="AE751" s="39">
        <f>IF(AB751=0,"",IF(COUNTIFS(X$6:X751,X751,AB$6:AB751,AB751)=1,1,0))</f>
        <v/>
      </c>
      <c r="AF751" s="34">
        <f>IF(C751="","",YEAR(C751-WEEKDAY(C751,2)+4)&amp;"-S"&amp;TEXT(INT((C751-DATE(YEAR(C751-WEEKDAY(C751,2)+4),1,3)+WEEKDAY(DATE(YEAR(C751-WEEKDAY(C751,2)+4),1,3),2)+5)/7),"00"))</f>
        <v/>
      </c>
    </row>
    <row r="752" ht="18" customHeight="1">
      <c r="A752" s="39" t="n">
        <v>747</v>
      </c>
      <c r="B752" s="33">
        <f>IF(C752="","",IF(P752="À RENSEIGNER","GIC",P752)&amp;"-C"&amp;TEXT(A752,"00000"))</f>
        <v/>
      </c>
      <c r="C752" s="32" t="n"/>
      <c r="D752" s="36" t="n"/>
      <c r="E752" s="36" t="n"/>
      <c r="F752" s="36" t="n"/>
      <c r="G752" s="42" t="n"/>
      <c r="H752" s="37" t="n"/>
      <c r="I752" s="37" t="n"/>
      <c r="J752" s="32" t="n"/>
      <c r="K752" s="32" t="n"/>
      <c r="L752" s="43" t="n"/>
      <c r="M752" s="36" t="n"/>
      <c r="N752" s="44" t="n"/>
      <c r="O752" s="36" t="n"/>
      <c r="P752" s="33">
        <f>IF(C752="","",Commercial_Id)</f>
        <v/>
      </c>
      <c r="Q752" s="34">
        <f>IF(AC752="","",IF(AD752=1,"C"&amp;TEXT(SUM(AD$6:AD752),"0000"),INDEX(Q$6:Q751,MATCH(AC752,AC$6:AC751,0))))</f>
        <v/>
      </c>
      <c r="R752" s="34">
        <f>IF(C752="","",IF(L752="☑ Oui","Annulée",IF(OR(E752="Vente directe",K752&lt;&gt;""),"Livrée",IF(J752&lt;&gt;"","Confirmée","En attente"))))</f>
        <v/>
      </c>
      <c r="S752" s="34">
        <f>IF(F752="","",IFERROR(VLOOKUP(F752,T_Produits,2,FALSE),""))</f>
        <v/>
      </c>
      <c r="T752" s="40">
        <f>IF(F752="","",IFERROR(1/(1/VLOOKUP(F752,T_Produits,3,FALSE)),""))</f>
        <v/>
      </c>
      <c r="U752" s="40">
        <f>IF(H752&lt;&gt;"",H752,T752)</f>
        <v/>
      </c>
      <c r="V752" s="40">
        <f>IF(OR(G752="",U752=""),"",G752*U752-N(I752))</f>
        <v/>
      </c>
      <c r="W752" s="39">
        <f>IF(D752="","",IFERROR(VALUE(MID(D752,LEN(D752)-3,3)),""))</f>
        <v/>
      </c>
      <c r="X752" s="33">
        <f>IF(W752="","",P752&amp;"|"&amp;W752)</f>
        <v/>
      </c>
      <c r="Y752" s="33">
        <f>IF(W752="","",IF(P752="À RENSEIGNER","GIC",P752)&amp;"-"&amp;TEXT(W752,"000"))</f>
        <v/>
      </c>
      <c r="Z752" s="33">
        <f>IF(X752="","",IFERROR(INDEX(Cl_nom,MATCH(X752,Cl_cle,0)),"(client introuvable)"))</f>
        <v/>
      </c>
      <c r="AA752" s="33">
        <f>IF(X752="","",IFERROR(INDEX(Cl_quartier,MATCH(X752,Cl_cle,0))&amp;"",""))</f>
        <v/>
      </c>
      <c r="AB752" s="45">
        <f>IF(R752&lt;&gt;"Livrée",0,IF(K752&lt;&gt;"",K752,C752))</f>
        <v/>
      </c>
      <c r="AC752" s="33">
        <f>IF(OR(C752="",W752=""),"",P752&amp;"|"&amp;W752&amp;"|"&amp;C752&amp;"|"&amp;E752)</f>
        <v/>
      </c>
      <c r="AD752" s="39">
        <f>IF(AC752="","",IF(COUNTIF(AC$6:AC752,AC752)=1,1,0))</f>
        <v/>
      </c>
      <c r="AE752" s="39">
        <f>IF(AB752=0,"",IF(COUNTIFS(X$6:X752,X752,AB$6:AB752,AB752)=1,1,0))</f>
        <v/>
      </c>
      <c r="AF752" s="34">
        <f>IF(C752="","",YEAR(C752-WEEKDAY(C752,2)+4)&amp;"-S"&amp;TEXT(INT((C752-DATE(YEAR(C752-WEEKDAY(C752,2)+4),1,3)+WEEKDAY(DATE(YEAR(C752-WEEKDAY(C752,2)+4),1,3),2)+5)/7),"00"))</f>
        <v/>
      </c>
    </row>
    <row r="753" ht="18" customHeight="1">
      <c r="A753" s="39" t="n">
        <v>748</v>
      </c>
      <c r="B753" s="33">
        <f>IF(C753="","",IF(P753="À RENSEIGNER","GIC",P753)&amp;"-C"&amp;TEXT(A753,"00000"))</f>
        <v/>
      </c>
      <c r="C753" s="32" t="n"/>
      <c r="D753" s="36" t="n"/>
      <c r="E753" s="36" t="n"/>
      <c r="F753" s="36" t="n"/>
      <c r="G753" s="42" t="n"/>
      <c r="H753" s="37" t="n"/>
      <c r="I753" s="37" t="n"/>
      <c r="J753" s="32" t="n"/>
      <c r="K753" s="32" t="n"/>
      <c r="L753" s="43" t="n"/>
      <c r="M753" s="36" t="n"/>
      <c r="N753" s="44" t="n"/>
      <c r="O753" s="36" t="n"/>
      <c r="P753" s="33">
        <f>IF(C753="","",Commercial_Id)</f>
        <v/>
      </c>
      <c r="Q753" s="34">
        <f>IF(AC753="","",IF(AD753=1,"C"&amp;TEXT(SUM(AD$6:AD753),"0000"),INDEX(Q$6:Q752,MATCH(AC753,AC$6:AC752,0))))</f>
        <v/>
      </c>
      <c r="R753" s="34">
        <f>IF(C753="","",IF(L753="☑ Oui","Annulée",IF(OR(E753="Vente directe",K753&lt;&gt;""),"Livrée",IF(J753&lt;&gt;"","Confirmée","En attente"))))</f>
        <v/>
      </c>
      <c r="S753" s="34">
        <f>IF(F753="","",IFERROR(VLOOKUP(F753,T_Produits,2,FALSE),""))</f>
        <v/>
      </c>
      <c r="T753" s="40">
        <f>IF(F753="","",IFERROR(1/(1/VLOOKUP(F753,T_Produits,3,FALSE)),""))</f>
        <v/>
      </c>
      <c r="U753" s="40">
        <f>IF(H753&lt;&gt;"",H753,T753)</f>
        <v/>
      </c>
      <c r="V753" s="40">
        <f>IF(OR(G753="",U753=""),"",G753*U753-N(I753))</f>
        <v/>
      </c>
      <c r="W753" s="39">
        <f>IF(D753="","",IFERROR(VALUE(MID(D753,LEN(D753)-3,3)),""))</f>
        <v/>
      </c>
      <c r="X753" s="33">
        <f>IF(W753="","",P753&amp;"|"&amp;W753)</f>
        <v/>
      </c>
      <c r="Y753" s="33">
        <f>IF(W753="","",IF(P753="À RENSEIGNER","GIC",P753)&amp;"-"&amp;TEXT(W753,"000"))</f>
        <v/>
      </c>
      <c r="Z753" s="33">
        <f>IF(X753="","",IFERROR(INDEX(Cl_nom,MATCH(X753,Cl_cle,0)),"(client introuvable)"))</f>
        <v/>
      </c>
      <c r="AA753" s="33">
        <f>IF(X753="","",IFERROR(INDEX(Cl_quartier,MATCH(X753,Cl_cle,0))&amp;"",""))</f>
        <v/>
      </c>
      <c r="AB753" s="45">
        <f>IF(R753&lt;&gt;"Livrée",0,IF(K753&lt;&gt;"",K753,C753))</f>
        <v/>
      </c>
      <c r="AC753" s="33">
        <f>IF(OR(C753="",W753=""),"",P753&amp;"|"&amp;W753&amp;"|"&amp;C753&amp;"|"&amp;E753)</f>
        <v/>
      </c>
      <c r="AD753" s="39">
        <f>IF(AC753="","",IF(COUNTIF(AC$6:AC753,AC753)=1,1,0))</f>
        <v/>
      </c>
      <c r="AE753" s="39">
        <f>IF(AB753=0,"",IF(COUNTIFS(X$6:X753,X753,AB$6:AB753,AB753)=1,1,0))</f>
        <v/>
      </c>
      <c r="AF753" s="34">
        <f>IF(C753="","",YEAR(C753-WEEKDAY(C753,2)+4)&amp;"-S"&amp;TEXT(INT((C753-DATE(YEAR(C753-WEEKDAY(C753,2)+4),1,3)+WEEKDAY(DATE(YEAR(C753-WEEKDAY(C753,2)+4),1,3),2)+5)/7),"00"))</f>
        <v/>
      </c>
    </row>
    <row r="754" ht="18" customHeight="1">
      <c r="A754" s="39" t="n">
        <v>749</v>
      </c>
      <c r="B754" s="33">
        <f>IF(C754="","",IF(P754="À RENSEIGNER","GIC",P754)&amp;"-C"&amp;TEXT(A754,"00000"))</f>
        <v/>
      </c>
      <c r="C754" s="32" t="n"/>
      <c r="D754" s="36" t="n"/>
      <c r="E754" s="36" t="n"/>
      <c r="F754" s="36" t="n"/>
      <c r="G754" s="42" t="n"/>
      <c r="H754" s="37" t="n"/>
      <c r="I754" s="37" t="n"/>
      <c r="J754" s="32" t="n"/>
      <c r="K754" s="32" t="n"/>
      <c r="L754" s="43" t="n"/>
      <c r="M754" s="36" t="n"/>
      <c r="N754" s="44" t="n"/>
      <c r="O754" s="36" t="n"/>
      <c r="P754" s="33">
        <f>IF(C754="","",Commercial_Id)</f>
        <v/>
      </c>
      <c r="Q754" s="34">
        <f>IF(AC754="","",IF(AD754=1,"C"&amp;TEXT(SUM(AD$6:AD754),"0000"),INDEX(Q$6:Q753,MATCH(AC754,AC$6:AC753,0))))</f>
        <v/>
      </c>
      <c r="R754" s="34">
        <f>IF(C754="","",IF(L754="☑ Oui","Annulée",IF(OR(E754="Vente directe",K754&lt;&gt;""),"Livrée",IF(J754&lt;&gt;"","Confirmée","En attente"))))</f>
        <v/>
      </c>
      <c r="S754" s="34">
        <f>IF(F754="","",IFERROR(VLOOKUP(F754,T_Produits,2,FALSE),""))</f>
        <v/>
      </c>
      <c r="T754" s="40">
        <f>IF(F754="","",IFERROR(1/(1/VLOOKUP(F754,T_Produits,3,FALSE)),""))</f>
        <v/>
      </c>
      <c r="U754" s="40">
        <f>IF(H754&lt;&gt;"",H754,T754)</f>
        <v/>
      </c>
      <c r="V754" s="40">
        <f>IF(OR(G754="",U754=""),"",G754*U754-N(I754))</f>
        <v/>
      </c>
      <c r="W754" s="39">
        <f>IF(D754="","",IFERROR(VALUE(MID(D754,LEN(D754)-3,3)),""))</f>
        <v/>
      </c>
      <c r="X754" s="33">
        <f>IF(W754="","",P754&amp;"|"&amp;W754)</f>
        <v/>
      </c>
      <c r="Y754" s="33">
        <f>IF(W754="","",IF(P754="À RENSEIGNER","GIC",P754)&amp;"-"&amp;TEXT(W754,"000"))</f>
        <v/>
      </c>
      <c r="Z754" s="33">
        <f>IF(X754="","",IFERROR(INDEX(Cl_nom,MATCH(X754,Cl_cle,0)),"(client introuvable)"))</f>
        <v/>
      </c>
      <c r="AA754" s="33">
        <f>IF(X754="","",IFERROR(INDEX(Cl_quartier,MATCH(X754,Cl_cle,0))&amp;"",""))</f>
        <v/>
      </c>
      <c r="AB754" s="45">
        <f>IF(R754&lt;&gt;"Livrée",0,IF(K754&lt;&gt;"",K754,C754))</f>
        <v/>
      </c>
      <c r="AC754" s="33">
        <f>IF(OR(C754="",W754=""),"",P754&amp;"|"&amp;W754&amp;"|"&amp;C754&amp;"|"&amp;E754)</f>
        <v/>
      </c>
      <c r="AD754" s="39">
        <f>IF(AC754="","",IF(COUNTIF(AC$6:AC754,AC754)=1,1,0))</f>
        <v/>
      </c>
      <c r="AE754" s="39">
        <f>IF(AB754=0,"",IF(COUNTIFS(X$6:X754,X754,AB$6:AB754,AB754)=1,1,0))</f>
        <v/>
      </c>
      <c r="AF754" s="34">
        <f>IF(C754="","",YEAR(C754-WEEKDAY(C754,2)+4)&amp;"-S"&amp;TEXT(INT((C754-DATE(YEAR(C754-WEEKDAY(C754,2)+4),1,3)+WEEKDAY(DATE(YEAR(C754-WEEKDAY(C754,2)+4),1,3),2)+5)/7),"00"))</f>
        <v/>
      </c>
    </row>
    <row r="755" ht="18" customHeight="1">
      <c r="A755" s="39" t="n">
        <v>750</v>
      </c>
      <c r="B755" s="33">
        <f>IF(C755="","",IF(P755="À RENSEIGNER","GIC",P755)&amp;"-C"&amp;TEXT(A755,"00000"))</f>
        <v/>
      </c>
      <c r="C755" s="32" t="n"/>
      <c r="D755" s="36" t="n"/>
      <c r="E755" s="36" t="n"/>
      <c r="F755" s="36" t="n"/>
      <c r="G755" s="42" t="n"/>
      <c r="H755" s="37" t="n"/>
      <c r="I755" s="37" t="n"/>
      <c r="J755" s="32" t="n"/>
      <c r="K755" s="32" t="n"/>
      <c r="L755" s="43" t="n"/>
      <c r="M755" s="36" t="n"/>
      <c r="N755" s="44" t="n"/>
      <c r="O755" s="36" t="n"/>
      <c r="P755" s="33">
        <f>IF(C755="","",Commercial_Id)</f>
        <v/>
      </c>
      <c r="Q755" s="34">
        <f>IF(AC755="","",IF(AD755=1,"C"&amp;TEXT(SUM(AD$6:AD755),"0000"),INDEX(Q$6:Q754,MATCH(AC755,AC$6:AC754,0))))</f>
        <v/>
      </c>
      <c r="R755" s="34">
        <f>IF(C755="","",IF(L755="☑ Oui","Annulée",IF(OR(E755="Vente directe",K755&lt;&gt;""),"Livrée",IF(J755&lt;&gt;"","Confirmée","En attente"))))</f>
        <v/>
      </c>
      <c r="S755" s="34">
        <f>IF(F755="","",IFERROR(VLOOKUP(F755,T_Produits,2,FALSE),""))</f>
        <v/>
      </c>
      <c r="T755" s="40">
        <f>IF(F755="","",IFERROR(1/(1/VLOOKUP(F755,T_Produits,3,FALSE)),""))</f>
        <v/>
      </c>
      <c r="U755" s="40">
        <f>IF(H755&lt;&gt;"",H755,T755)</f>
        <v/>
      </c>
      <c r="V755" s="40">
        <f>IF(OR(G755="",U755=""),"",G755*U755-N(I755))</f>
        <v/>
      </c>
      <c r="W755" s="39">
        <f>IF(D755="","",IFERROR(VALUE(MID(D755,LEN(D755)-3,3)),""))</f>
        <v/>
      </c>
      <c r="X755" s="33">
        <f>IF(W755="","",P755&amp;"|"&amp;W755)</f>
        <v/>
      </c>
      <c r="Y755" s="33">
        <f>IF(W755="","",IF(P755="À RENSEIGNER","GIC",P755)&amp;"-"&amp;TEXT(W755,"000"))</f>
        <v/>
      </c>
      <c r="Z755" s="33">
        <f>IF(X755="","",IFERROR(INDEX(Cl_nom,MATCH(X755,Cl_cle,0)),"(client introuvable)"))</f>
        <v/>
      </c>
      <c r="AA755" s="33">
        <f>IF(X755="","",IFERROR(INDEX(Cl_quartier,MATCH(X755,Cl_cle,0))&amp;"",""))</f>
        <v/>
      </c>
      <c r="AB755" s="45">
        <f>IF(R755&lt;&gt;"Livrée",0,IF(K755&lt;&gt;"",K755,C755))</f>
        <v/>
      </c>
      <c r="AC755" s="33">
        <f>IF(OR(C755="",W755=""),"",P755&amp;"|"&amp;W755&amp;"|"&amp;C755&amp;"|"&amp;E755)</f>
        <v/>
      </c>
      <c r="AD755" s="39">
        <f>IF(AC755="","",IF(COUNTIF(AC$6:AC755,AC755)=1,1,0))</f>
        <v/>
      </c>
      <c r="AE755" s="39">
        <f>IF(AB755=0,"",IF(COUNTIFS(X$6:X755,X755,AB$6:AB755,AB755)=1,1,0))</f>
        <v/>
      </c>
      <c r="AF755" s="34">
        <f>IF(C755="","",YEAR(C755-WEEKDAY(C755,2)+4)&amp;"-S"&amp;TEXT(INT((C755-DATE(YEAR(C755-WEEKDAY(C755,2)+4),1,3)+WEEKDAY(DATE(YEAR(C755-WEEKDAY(C755,2)+4),1,3),2)+5)/7),"00"))</f>
        <v/>
      </c>
    </row>
    <row r="756" ht="18" customHeight="1">
      <c r="A756" s="39" t="n">
        <v>751</v>
      </c>
      <c r="B756" s="33">
        <f>IF(C756="","",IF(P756="À RENSEIGNER","GIC",P756)&amp;"-C"&amp;TEXT(A756,"00000"))</f>
        <v/>
      </c>
      <c r="C756" s="32" t="n"/>
      <c r="D756" s="36" t="n"/>
      <c r="E756" s="36" t="n"/>
      <c r="F756" s="36" t="n"/>
      <c r="G756" s="42" t="n"/>
      <c r="H756" s="37" t="n"/>
      <c r="I756" s="37" t="n"/>
      <c r="J756" s="32" t="n"/>
      <c r="K756" s="32" t="n"/>
      <c r="L756" s="43" t="n"/>
      <c r="M756" s="36" t="n"/>
      <c r="N756" s="44" t="n"/>
      <c r="O756" s="36" t="n"/>
      <c r="P756" s="33">
        <f>IF(C756="","",Commercial_Id)</f>
        <v/>
      </c>
      <c r="Q756" s="34">
        <f>IF(AC756="","",IF(AD756=1,"C"&amp;TEXT(SUM(AD$6:AD756),"0000"),INDEX(Q$6:Q755,MATCH(AC756,AC$6:AC755,0))))</f>
        <v/>
      </c>
      <c r="R756" s="34">
        <f>IF(C756="","",IF(L756="☑ Oui","Annulée",IF(OR(E756="Vente directe",K756&lt;&gt;""),"Livrée",IF(J756&lt;&gt;"","Confirmée","En attente"))))</f>
        <v/>
      </c>
      <c r="S756" s="34">
        <f>IF(F756="","",IFERROR(VLOOKUP(F756,T_Produits,2,FALSE),""))</f>
        <v/>
      </c>
      <c r="T756" s="40">
        <f>IF(F756="","",IFERROR(1/(1/VLOOKUP(F756,T_Produits,3,FALSE)),""))</f>
        <v/>
      </c>
      <c r="U756" s="40">
        <f>IF(H756&lt;&gt;"",H756,T756)</f>
        <v/>
      </c>
      <c r="V756" s="40">
        <f>IF(OR(G756="",U756=""),"",G756*U756-N(I756))</f>
        <v/>
      </c>
      <c r="W756" s="39">
        <f>IF(D756="","",IFERROR(VALUE(MID(D756,LEN(D756)-3,3)),""))</f>
        <v/>
      </c>
      <c r="X756" s="33">
        <f>IF(W756="","",P756&amp;"|"&amp;W756)</f>
        <v/>
      </c>
      <c r="Y756" s="33">
        <f>IF(W756="","",IF(P756="À RENSEIGNER","GIC",P756)&amp;"-"&amp;TEXT(W756,"000"))</f>
        <v/>
      </c>
      <c r="Z756" s="33">
        <f>IF(X756="","",IFERROR(INDEX(Cl_nom,MATCH(X756,Cl_cle,0)),"(client introuvable)"))</f>
        <v/>
      </c>
      <c r="AA756" s="33">
        <f>IF(X756="","",IFERROR(INDEX(Cl_quartier,MATCH(X756,Cl_cle,0))&amp;"",""))</f>
        <v/>
      </c>
      <c r="AB756" s="45">
        <f>IF(R756&lt;&gt;"Livrée",0,IF(K756&lt;&gt;"",K756,C756))</f>
        <v/>
      </c>
      <c r="AC756" s="33">
        <f>IF(OR(C756="",W756=""),"",P756&amp;"|"&amp;W756&amp;"|"&amp;C756&amp;"|"&amp;E756)</f>
        <v/>
      </c>
      <c r="AD756" s="39">
        <f>IF(AC756="","",IF(COUNTIF(AC$6:AC756,AC756)=1,1,0))</f>
        <v/>
      </c>
      <c r="AE756" s="39">
        <f>IF(AB756=0,"",IF(COUNTIFS(X$6:X756,X756,AB$6:AB756,AB756)=1,1,0))</f>
        <v/>
      </c>
      <c r="AF756" s="34">
        <f>IF(C756="","",YEAR(C756-WEEKDAY(C756,2)+4)&amp;"-S"&amp;TEXT(INT((C756-DATE(YEAR(C756-WEEKDAY(C756,2)+4),1,3)+WEEKDAY(DATE(YEAR(C756-WEEKDAY(C756,2)+4),1,3),2)+5)/7),"00"))</f>
        <v/>
      </c>
    </row>
    <row r="757" ht="18" customHeight="1">
      <c r="A757" s="39" t="n">
        <v>752</v>
      </c>
      <c r="B757" s="33">
        <f>IF(C757="","",IF(P757="À RENSEIGNER","GIC",P757)&amp;"-C"&amp;TEXT(A757,"00000"))</f>
        <v/>
      </c>
      <c r="C757" s="32" t="n"/>
      <c r="D757" s="36" t="n"/>
      <c r="E757" s="36" t="n"/>
      <c r="F757" s="36" t="n"/>
      <c r="G757" s="42" t="n"/>
      <c r="H757" s="37" t="n"/>
      <c r="I757" s="37" t="n"/>
      <c r="J757" s="32" t="n"/>
      <c r="K757" s="32" t="n"/>
      <c r="L757" s="43" t="n"/>
      <c r="M757" s="36" t="n"/>
      <c r="N757" s="44" t="n"/>
      <c r="O757" s="36" t="n"/>
      <c r="P757" s="33">
        <f>IF(C757="","",Commercial_Id)</f>
        <v/>
      </c>
      <c r="Q757" s="34">
        <f>IF(AC757="","",IF(AD757=1,"C"&amp;TEXT(SUM(AD$6:AD757),"0000"),INDEX(Q$6:Q756,MATCH(AC757,AC$6:AC756,0))))</f>
        <v/>
      </c>
      <c r="R757" s="34">
        <f>IF(C757="","",IF(L757="☑ Oui","Annulée",IF(OR(E757="Vente directe",K757&lt;&gt;""),"Livrée",IF(J757&lt;&gt;"","Confirmée","En attente"))))</f>
        <v/>
      </c>
      <c r="S757" s="34">
        <f>IF(F757="","",IFERROR(VLOOKUP(F757,T_Produits,2,FALSE),""))</f>
        <v/>
      </c>
      <c r="T757" s="40">
        <f>IF(F757="","",IFERROR(1/(1/VLOOKUP(F757,T_Produits,3,FALSE)),""))</f>
        <v/>
      </c>
      <c r="U757" s="40">
        <f>IF(H757&lt;&gt;"",H757,T757)</f>
        <v/>
      </c>
      <c r="V757" s="40">
        <f>IF(OR(G757="",U757=""),"",G757*U757-N(I757))</f>
        <v/>
      </c>
      <c r="W757" s="39">
        <f>IF(D757="","",IFERROR(VALUE(MID(D757,LEN(D757)-3,3)),""))</f>
        <v/>
      </c>
      <c r="X757" s="33">
        <f>IF(W757="","",P757&amp;"|"&amp;W757)</f>
        <v/>
      </c>
      <c r="Y757" s="33">
        <f>IF(W757="","",IF(P757="À RENSEIGNER","GIC",P757)&amp;"-"&amp;TEXT(W757,"000"))</f>
        <v/>
      </c>
      <c r="Z757" s="33">
        <f>IF(X757="","",IFERROR(INDEX(Cl_nom,MATCH(X757,Cl_cle,0)),"(client introuvable)"))</f>
        <v/>
      </c>
      <c r="AA757" s="33">
        <f>IF(X757="","",IFERROR(INDEX(Cl_quartier,MATCH(X757,Cl_cle,0))&amp;"",""))</f>
        <v/>
      </c>
      <c r="AB757" s="45">
        <f>IF(R757&lt;&gt;"Livrée",0,IF(K757&lt;&gt;"",K757,C757))</f>
        <v/>
      </c>
      <c r="AC757" s="33">
        <f>IF(OR(C757="",W757=""),"",P757&amp;"|"&amp;W757&amp;"|"&amp;C757&amp;"|"&amp;E757)</f>
        <v/>
      </c>
      <c r="AD757" s="39">
        <f>IF(AC757="","",IF(COUNTIF(AC$6:AC757,AC757)=1,1,0))</f>
        <v/>
      </c>
      <c r="AE757" s="39">
        <f>IF(AB757=0,"",IF(COUNTIFS(X$6:X757,X757,AB$6:AB757,AB757)=1,1,0))</f>
        <v/>
      </c>
      <c r="AF757" s="34">
        <f>IF(C757="","",YEAR(C757-WEEKDAY(C757,2)+4)&amp;"-S"&amp;TEXT(INT((C757-DATE(YEAR(C757-WEEKDAY(C757,2)+4),1,3)+WEEKDAY(DATE(YEAR(C757-WEEKDAY(C757,2)+4),1,3),2)+5)/7),"00"))</f>
        <v/>
      </c>
    </row>
    <row r="758" ht="18" customHeight="1">
      <c r="A758" s="39" t="n">
        <v>753</v>
      </c>
      <c r="B758" s="33">
        <f>IF(C758="","",IF(P758="À RENSEIGNER","GIC",P758)&amp;"-C"&amp;TEXT(A758,"00000"))</f>
        <v/>
      </c>
      <c r="C758" s="32" t="n"/>
      <c r="D758" s="36" t="n"/>
      <c r="E758" s="36" t="n"/>
      <c r="F758" s="36" t="n"/>
      <c r="G758" s="42" t="n"/>
      <c r="H758" s="37" t="n"/>
      <c r="I758" s="37" t="n"/>
      <c r="J758" s="32" t="n"/>
      <c r="K758" s="32" t="n"/>
      <c r="L758" s="43" t="n"/>
      <c r="M758" s="36" t="n"/>
      <c r="N758" s="44" t="n"/>
      <c r="O758" s="36" t="n"/>
      <c r="P758" s="33">
        <f>IF(C758="","",Commercial_Id)</f>
        <v/>
      </c>
      <c r="Q758" s="34">
        <f>IF(AC758="","",IF(AD758=1,"C"&amp;TEXT(SUM(AD$6:AD758),"0000"),INDEX(Q$6:Q757,MATCH(AC758,AC$6:AC757,0))))</f>
        <v/>
      </c>
      <c r="R758" s="34">
        <f>IF(C758="","",IF(L758="☑ Oui","Annulée",IF(OR(E758="Vente directe",K758&lt;&gt;""),"Livrée",IF(J758&lt;&gt;"","Confirmée","En attente"))))</f>
        <v/>
      </c>
      <c r="S758" s="34">
        <f>IF(F758="","",IFERROR(VLOOKUP(F758,T_Produits,2,FALSE),""))</f>
        <v/>
      </c>
      <c r="T758" s="40">
        <f>IF(F758="","",IFERROR(1/(1/VLOOKUP(F758,T_Produits,3,FALSE)),""))</f>
        <v/>
      </c>
      <c r="U758" s="40">
        <f>IF(H758&lt;&gt;"",H758,T758)</f>
        <v/>
      </c>
      <c r="V758" s="40">
        <f>IF(OR(G758="",U758=""),"",G758*U758-N(I758))</f>
        <v/>
      </c>
      <c r="W758" s="39">
        <f>IF(D758="","",IFERROR(VALUE(MID(D758,LEN(D758)-3,3)),""))</f>
        <v/>
      </c>
      <c r="X758" s="33">
        <f>IF(W758="","",P758&amp;"|"&amp;W758)</f>
        <v/>
      </c>
      <c r="Y758" s="33">
        <f>IF(W758="","",IF(P758="À RENSEIGNER","GIC",P758)&amp;"-"&amp;TEXT(W758,"000"))</f>
        <v/>
      </c>
      <c r="Z758" s="33">
        <f>IF(X758="","",IFERROR(INDEX(Cl_nom,MATCH(X758,Cl_cle,0)),"(client introuvable)"))</f>
        <v/>
      </c>
      <c r="AA758" s="33">
        <f>IF(X758="","",IFERROR(INDEX(Cl_quartier,MATCH(X758,Cl_cle,0))&amp;"",""))</f>
        <v/>
      </c>
      <c r="AB758" s="45">
        <f>IF(R758&lt;&gt;"Livrée",0,IF(K758&lt;&gt;"",K758,C758))</f>
        <v/>
      </c>
      <c r="AC758" s="33">
        <f>IF(OR(C758="",W758=""),"",P758&amp;"|"&amp;W758&amp;"|"&amp;C758&amp;"|"&amp;E758)</f>
        <v/>
      </c>
      <c r="AD758" s="39">
        <f>IF(AC758="","",IF(COUNTIF(AC$6:AC758,AC758)=1,1,0))</f>
        <v/>
      </c>
      <c r="AE758" s="39">
        <f>IF(AB758=0,"",IF(COUNTIFS(X$6:X758,X758,AB$6:AB758,AB758)=1,1,0))</f>
        <v/>
      </c>
      <c r="AF758" s="34">
        <f>IF(C758="","",YEAR(C758-WEEKDAY(C758,2)+4)&amp;"-S"&amp;TEXT(INT((C758-DATE(YEAR(C758-WEEKDAY(C758,2)+4),1,3)+WEEKDAY(DATE(YEAR(C758-WEEKDAY(C758,2)+4),1,3),2)+5)/7),"00"))</f>
        <v/>
      </c>
    </row>
    <row r="759" ht="18" customHeight="1">
      <c r="A759" s="39" t="n">
        <v>754</v>
      </c>
      <c r="B759" s="33">
        <f>IF(C759="","",IF(P759="À RENSEIGNER","GIC",P759)&amp;"-C"&amp;TEXT(A759,"00000"))</f>
        <v/>
      </c>
      <c r="C759" s="32" t="n"/>
      <c r="D759" s="36" t="n"/>
      <c r="E759" s="36" t="n"/>
      <c r="F759" s="36" t="n"/>
      <c r="G759" s="42" t="n"/>
      <c r="H759" s="37" t="n"/>
      <c r="I759" s="37" t="n"/>
      <c r="J759" s="32" t="n"/>
      <c r="K759" s="32" t="n"/>
      <c r="L759" s="43" t="n"/>
      <c r="M759" s="36" t="n"/>
      <c r="N759" s="44" t="n"/>
      <c r="O759" s="36" t="n"/>
      <c r="P759" s="33">
        <f>IF(C759="","",Commercial_Id)</f>
        <v/>
      </c>
      <c r="Q759" s="34">
        <f>IF(AC759="","",IF(AD759=1,"C"&amp;TEXT(SUM(AD$6:AD759),"0000"),INDEX(Q$6:Q758,MATCH(AC759,AC$6:AC758,0))))</f>
        <v/>
      </c>
      <c r="R759" s="34">
        <f>IF(C759="","",IF(L759="☑ Oui","Annulée",IF(OR(E759="Vente directe",K759&lt;&gt;""),"Livrée",IF(J759&lt;&gt;"","Confirmée","En attente"))))</f>
        <v/>
      </c>
      <c r="S759" s="34">
        <f>IF(F759="","",IFERROR(VLOOKUP(F759,T_Produits,2,FALSE),""))</f>
        <v/>
      </c>
      <c r="T759" s="40">
        <f>IF(F759="","",IFERROR(1/(1/VLOOKUP(F759,T_Produits,3,FALSE)),""))</f>
        <v/>
      </c>
      <c r="U759" s="40">
        <f>IF(H759&lt;&gt;"",H759,T759)</f>
        <v/>
      </c>
      <c r="V759" s="40">
        <f>IF(OR(G759="",U759=""),"",G759*U759-N(I759))</f>
        <v/>
      </c>
      <c r="W759" s="39">
        <f>IF(D759="","",IFERROR(VALUE(MID(D759,LEN(D759)-3,3)),""))</f>
        <v/>
      </c>
      <c r="X759" s="33">
        <f>IF(W759="","",P759&amp;"|"&amp;W759)</f>
        <v/>
      </c>
      <c r="Y759" s="33">
        <f>IF(W759="","",IF(P759="À RENSEIGNER","GIC",P759)&amp;"-"&amp;TEXT(W759,"000"))</f>
        <v/>
      </c>
      <c r="Z759" s="33">
        <f>IF(X759="","",IFERROR(INDEX(Cl_nom,MATCH(X759,Cl_cle,0)),"(client introuvable)"))</f>
        <v/>
      </c>
      <c r="AA759" s="33">
        <f>IF(X759="","",IFERROR(INDEX(Cl_quartier,MATCH(X759,Cl_cle,0))&amp;"",""))</f>
        <v/>
      </c>
      <c r="AB759" s="45">
        <f>IF(R759&lt;&gt;"Livrée",0,IF(K759&lt;&gt;"",K759,C759))</f>
        <v/>
      </c>
      <c r="AC759" s="33">
        <f>IF(OR(C759="",W759=""),"",P759&amp;"|"&amp;W759&amp;"|"&amp;C759&amp;"|"&amp;E759)</f>
        <v/>
      </c>
      <c r="AD759" s="39">
        <f>IF(AC759="","",IF(COUNTIF(AC$6:AC759,AC759)=1,1,0))</f>
        <v/>
      </c>
      <c r="AE759" s="39">
        <f>IF(AB759=0,"",IF(COUNTIFS(X$6:X759,X759,AB$6:AB759,AB759)=1,1,0))</f>
        <v/>
      </c>
      <c r="AF759" s="34">
        <f>IF(C759="","",YEAR(C759-WEEKDAY(C759,2)+4)&amp;"-S"&amp;TEXT(INT((C759-DATE(YEAR(C759-WEEKDAY(C759,2)+4),1,3)+WEEKDAY(DATE(YEAR(C759-WEEKDAY(C759,2)+4),1,3),2)+5)/7),"00"))</f>
        <v/>
      </c>
    </row>
    <row r="760" ht="18" customHeight="1">
      <c r="A760" s="39" t="n">
        <v>755</v>
      </c>
      <c r="B760" s="33">
        <f>IF(C760="","",IF(P760="À RENSEIGNER","GIC",P760)&amp;"-C"&amp;TEXT(A760,"00000"))</f>
        <v/>
      </c>
      <c r="C760" s="32" t="n"/>
      <c r="D760" s="36" t="n"/>
      <c r="E760" s="36" t="n"/>
      <c r="F760" s="36" t="n"/>
      <c r="G760" s="42" t="n"/>
      <c r="H760" s="37" t="n"/>
      <c r="I760" s="37" t="n"/>
      <c r="J760" s="32" t="n"/>
      <c r="K760" s="32" t="n"/>
      <c r="L760" s="43" t="n"/>
      <c r="M760" s="36" t="n"/>
      <c r="N760" s="44" t="n"/>
      <c r="O760" s="36" t="n"/>
      <c r="P760" s="33">
        <f>IF(C760="","",Commercial_Id)</f>
        <v/>
      </c>
      <c r="Q760" s="34">
        <f>IF(AC760="","",IF(AD760=1,"C"&amp;TEXT(SUM(AD$6:AD760),"0000"),INDEX(Q$6:Q759,MATCH(AC760,AC$6:AC759,0))))</f>
        <v/>
      </c>
      <c r="R760" s="34">
        <f>IF(C760="","",IF(L760="☑ Oui","Annulée",IF(OR(E760="Vente directe",K760&lt;&gt;""),"Livrée",IF(J760&lt;&gt;"","Confirmée","En attente"))))</f>
        <v/>
      </c>
      <c r="S760" s="34">
        <f>IF(F760="","",IFERROR(VLOOKUP(F760,T_Produits,2,FALSE),""))</f>
        <v/>
      </c>
      <c r="T760" s="40">
        <f>IF(F760="","",IFERROR(1/(1/VLOOKUP(F760,T_Produits,3,FALSE)),""))</f>
        <v/>
      </c>
      <c r="U760" s="40">
        <f>IF(H760&lt;&gt;"",H760,T760)</f>
        <v/>
      </c>
      <c r="V760" s="40">
        <f>IF(OR(G760="",U760=""),"",G760*U760-N(I760))</f>
        <v/>
      </c>
      <c r="W760" s="39">
        <f>IF(D760="","",IFERROR(VALUE(MID(D760,LEN(D760)-3,3)),""))</f>
        <v/>
      </c>
      <c r="X760" s="33">
        <f>IF(W760="","",P760&amp;"|"&amp;W760)</f>
        <v/>
      </c>
      <c r="Y760" s="33">
        <f>IF(W760="","",IF(P760="À RENSEIGNER","GIC",P760)&amp;"-"&amp;TEXT(W760,"000"))</f>
        <v/>
      </c>
      <c r="Z760" s="33">
        <f>IF(X760="","",IFERROR(INDEX(Cl_nom,MATCH(X760,Cl_cle,0)),"(client introuvable)"))</f>
        <v/>
      </c>
      <c r="AA760" s="33">
        <f>IF(X760="","",IFERROR(INDEX(Cl_quartier,MATCH(X760,Cl_cle,0))&amp;"",""))</f>
        <v/>
      </c>
      <c r="AB760" s="45">
        <f>IF(R760&lt;&gt;"Livrée",0,IF(K760&lt;&gt;"",K760,C760))</f>
        <v/>
      </c>
      <c r="AC760" s="33">
        <f>IF(OR(C760="",W760=""),"",P760&amp;"|"&amp;W760&amp;"|"&amp;C760&amp;"|"&amp;E760)</f>
        <v/>
      </c>
      <c r="AD760" s="39">
        <f>IF(AC760="","",IF(COUNTIF(AC$6:AC760,AC760)=1,1,0))</f>
        <v/>
      </c>
      <c r="AE760" s="39">
        <f>IF(AB760=0,"",IF(COUNTIFS(X$6:X760,X760,AB$6:AB760,AB760)=1,1,0))</f>
        <v/>
      </c>
      <c r="AF760" s="34">
        <f>IF(C760="","",YEAR(C760-WEEKDAY(C760,2)+4)&amp;"-S"&amp;TEXT(INT((C760-DATE(YEAR(C760-WEEKDAY(C760,2)+4),1,3)+WEEKDAY(DATE(YEAR(C760-WEEKDAY(C760,2)+4),1,3),2)+5)/7),"00"))</f>
        <v/>
      </c>
    </row>
    <row r="761" ht="18" customHeight="1">
      <c r="A761" s="39" t="n">
        <v>756</v>
      </c>
      <c r="B761" s="33">
        <f>IF(C761="","",IF(P761="À RENSEIGNER","GIC",P761)&amp;"-C"&amp;TEXT(A761,"00000"))</f>
        <v/>
      </c>
      <c r="C761" s="32" t="n"/>
      <c r="D761" s="36" t="n"/>
      <c r="E761" s="36" t="n"/>
      <c r="F761" s="36" t="n"/>
      <c r="G761" s="42" t="n"/>
      <c r="H761" s="37" t="n"/>
      <c r="I761" s="37" t="n"/>
      <c r="J761" s="32" t="n"/>
      <c r="K761" s="32" t="n"/>
      <c r="L761" s="43" t="n"/>
      <c r="M761" s="36" t="n"/>
      <c r="N761" s="44" t="n"/>
      <c r="O761" s="36" t="n"/>
      <c r="P761" s="33">
        <f>IF(C761="","",Commercial_Id)</f>
        <v/>
      </c>
      <c r="Q761" s="34">
        <f>IF(AC761="","",IF(AD761=1,"C"&amp;TEXT(SUM(AD$6:AD761),"0000"),INDEX(Q$6:Q760,MATCH(AC761,AC$6:AC760,0))))</f>
        <v/>
      </c>
      <c r="R761" s="34">
        <f>IF(C761="","",IF(L761="☑ Oui","Annulée",IF(OR(E761="Vente directe",K761&lt;&gt;""),"Livrée",IF(J761&lt;&gt;"","Confirmée","En attente"))))</f>
        <v/>
      </c>
      <c r="S761" s="34">
        <f>IF(F761="","",IFERROR(VLOOKUP(F761,T_Produits,2,FALSE),""))</f>
        <v/>
      </c>
      <c r="T761" s="40">
        <f>IF(F761="","",IFERROR(1/(1/VLOOKUP(F761,T_Produits,3,FALSE)),""))</f>
        <v/>
      </c>
      <c r="U761" s="40">
        <f>IF(H761&lt;&gt;"",H761,T761)</f>
        <v/>
      </c>
      <c r="V761" s="40">
        <f>IF(OR(G761="",U761=""),"",G761*U761-N(I761))</f>
        <v/>
      </c>
      <c r="W761" s="39">
        <f>IF(D761="","",IFERROR(VALUE(MID(D761,LEN(D761)-3,3)),""))</f>
        <v/>
      </c>
      <c r="X761" s="33">
        <f>IF(W761="","",P761&amp;"|"&amp;W761)</f>
        <v/>
      </c>
      <c r="Y761" s="33">
        <f>IF(W761="","",IF(P761="À RENSEIGNER","GIC",P761)&amp;"-"&amp;TEXT(W761,"000"))</f>
        <v/>
      </c>
      <c r="Z761" s="33">
        <f>IF(X761="","",IFERROR(INDEX(Cl_nom,MATCH(X761,Cl_cle,0)),"(client introuvable)"))</f>
        <v/>
      </c>
      <c r="AA761" s="33">
        <f>IF(X761="","",IFERROR(INDEX(Cl_quartier,MATCH(X761,Cl_cle,0))&amp;"",""))</f>
        <v/>
      </c>
      <c r="AB761" s="45">
        <f>IF(R761&lt;&gt;"Livrée",0,IF(K761&lt;&gt;"",K761,C761))</f>
        <v/>
      </c>
      <c r="AC761" s="33">
        <f>IF(OR(C761="",W761=""),"",P761&amp;"|"&amp;W761&amp;"|"&amp;C761&amp;"|"&amp;E761)</f>
        <v/>
      </c>
      <c r="AD761" s="39">
        <f>IF(AC761="","",IF(COUNTIF(AC$6:AC761,AC761)=1,1,0))</f>
        <v/>
      </c>
      <c r="AE761" s="39">
        <f>IF(AB761=0,"",IF(COUNTIFS(X$6:X761,X761,AB$6:AB761,AB761)=1,1,0))</f>
        <v/>
      </c>
      <c r="AF761" s="34">
        <f>IF(C761="","",YEAR(C761-WEEKDAY(C761,2)+4)&amp;"-S"&amp;TEXT(INT((C761-DATE(YEAR(C761-WEEKDAY(C761,2)+4),1,3)+WEEKDAY(DATE(YEAR(C761-WEEKDAY(C761,2)+4),1,3),2)+5)/7),"00"))</f>
        <v/>
      </c>
    </row>
    <row r="762" ht="18" customHeight="1">
      <c r="A762" s="39" t="n">
        <v>757</v>
      </c>
      <c r="B762" s="33">
        <f>IF(C762="","",IF(P762="À RENSEIGNER","GIC",P762)&amp;"-C"&amp;TEXT(A762,"00000"))</f>
        <v/>
      </c>
      <c r="C762" s="32" t="n"/>
      <c r="D762" s="36" t="n"/>
      <c r="E762" s="36" t="n"/>
      <c r="F762" s="36" t="n"/>
      <c r="G762" s="42" t="n"/>
      <c r="H762" s="37" t="n"/>
      <c r="I762" s="37" t="n"/>
      <c r="J762" s="32" t="n"/>
      <c r="K762" s="32" t="n"/>
      <c r="L762" s="43" t="n"/>
      <c r="M762" s="36" t="n"/>
      <c r="N762" s="44" t="n"/>
      <c r="O762" s="36" t="n"/>
      <c r="P762" s="33">
        <f>IF(C762="","",Commercial_Id)</f>
        <v/>
      </c>
      <c r="Q762" s="34">
        <f>IF(AC762="","",IF(AD762=1,"C"&amp;TEXT(SUM(AD$6:AD762),"0000"),INDEX(Q$6:Q761,MATCH(AC762,AC$6:AC761,0))))</f>
        <v/>
      </c>
      <c r="R762" s="34">
        <f>IF(C762="","",IF(L762="☑ Oui","Annulée",IF(OR(E762="Vente directe",K762&lt;&gt;""),"Livrée",IF(J762&lt;&gt;"","Confirmée","En attente"))))</f>
        <v/>
      </c>
      <c r="S762" s="34">
        <f>IF(F762="","",IFERROR(VLOOKUP(F762,T_Produits,2,FALSE),""))</f>
        <v/>
      </c>
      <c r="T762" s="40">
        <f>IF(F762="","",IFERROR(1/(1/VLOOKUP(F762,T_Produits,3,FALSE)),""))</f>
        <v/>
      </c>
      <c r="U762" s="40">
        <f>IF(H762&lt;&gt;"",H762,T762)</f>
        <v/>
      </c>
      <c r="V762" s="40">
        <f>IF(OR(G762="",U762=""),"",G762*U762-N(I762))</f>
        <v/>
      </c>
      <c r="W762" s="39">
        <f>IF(D762="","",IFERROR(VALUE(MID(D762,LEN(D762)-3,3)),""))</f>
        <v/>
      </c>
      <c r="X762" s="33">
        <f>IF(W762="","",P762&amp;"|"&amp;W762)</f>
        <v/>
      </c>
      <c r="Y762" s="33">
        <f>IF(W762="","",IF(P762="À RENSEIGNER","GIC",P762)&amp;"-"&amp;TEXT(W762,"000"))</f>
        <v/>
      </c>
      <c r="Z762" s="33">
        <f>IF(X762="","",IFERROR(INDEX(Cl_nom,MATCH(X762,Cl_cle,0)),"(client introuvable)"))</f>
        <v/>
      </c>
      <c r="AA762" s="33">
        <f>IF(X762="","",IFERROR(INDEX(Cl_quartier,MATCH(X762,Cl_cle,0))&amp;"",""))</f>
        <v/>
      </c>
      <c r="AB762" s="45">
        <f>IF(R762&lt;&gt;"Livrée",0,IF(K762&lt;&gt;"",K762,C762))</f>
        <v/>
      </c>
      <c r="AC762" s="33">
        <f>IF(OR(C762="",W762=""),"",P762&amp;"|"&amp;W762&amp;"|"&amp;C762&amp;"|"&amp;E762)</f>
        <v/>
      </c>
      <c r="AD762" s="39">
        <f>IF(AC762="","",IF(COUNTIF(AC$6:AC762,AC762)=1,1,0))</f>
        <v/>
      </c>
      <c r="AE762" s="39">
        <f>IF(AB762=0,"",IF(COUNTIFS(X$6:X762,X762,AB$6:AB762,AB762)=1,1,0))</f>
        <v/>
      </c>
      <c r="AF762" s="34">
        <f>IF(C762="","",YEAR(C762-WEEKDAY(C762,2)+4)&amp;"-S"&amp;TEXT(INT((C762-DATE(YEAR(C762-WEEKDAY(C762,2)+4),1,3)+WEEKDAY(DATE(YEAR(C762-WEEKDAY(C762,2)+4),1,3),2)+5)/7),"00"))</f>
        <v/>
      </c>
    </row>
    <row r="763" ht="18" customHeight="1">
      <c r="A763" s="39" t="n">
        <v>758</v>
      </c>
      <c r="B763" s="33">
        <f>IF(C763="","",IF(P763="À RENSEIGNER","GIC",P763)&amp;"-C"&amp;TEXT(A763,"00000"))</f>
        <v/>
      </c>
      <c r="C763" s="32" t="n"/>
      <c r="D763" s="36" t="n"/>
      <c r="E763" s="36" t="n"/>
      <c r="F763" s="36" t="n"/>
      <c r="G763" s="42" t="n"/>
      <c r="H763" s="37" t="n"/>
      <c r="I763" s="37" t="n"/>
      <c r="J763" s="32" t="n"/>
      <c r="K763" s="32" t="n"/>
      <c r="L763" s="43" t="n"/>
      <c r="M763" s="36" t="n"/>
      <c r="N763" s="44" t="n"/>
      <c r="O763" s="36" t="n"/>
      <c r="P763" s="33">
        <f>IF(C763="","",Commercial_Id)</f>
        <v/>
      </c>
      <c r="Q763" s="34">
        <f>IF(AC763="","",IF(AD763=1,"C"&amp;TEXT(SUM(AD$6:AD763),"0000"),INDEX(Q$6:Q762,MATCH(AC763,AC$6:AC762,0))))</f>
        <v/>
      </c>
      <c r="R763" s="34">
        <f>IF(C763="","",IF(L763="☑ Oui","Annulée",IF(OR(E763="Vente directe",K763&lt;&gt;""),"Livrée",IF(J763&lt;&gt;"","Confirmée","En attente"))))</f>
        <v/>
      </c>
      <c r="S763" s="34">
        <f>IF(F763="","",IFERROR(VLOOKUP(F763,T_Produits,2,FALSE),""))</f>
        <v/>
      </c>
      <c r="T763" s="40">
        <f>IF(F763="","",IFERROR(1/(1/VLOOKUP(F763,T_Produits,3,FALSE)),""))</f>
        <v/>
      </c>
      <c r="U763" s="40">
        <f>IF(H763&lt;&gt;"",H763,T763)</f>
        <v/>
      </c>
      <c r="V763" s="40">
        <f>IF(OR(G763="",U763=""),"",G763*U763-N(I763))</f>
        <v/>
      </c>
      <c r="W763" s="39">
        <f>IF(D763="","",IFERROR(VALUE(MID(D763,LEN(D763)-3,3)),""))</f>
        <v/>
      </c>
      <c r="X763" s="33">
        <f>IF(W763="","",P763&amp;"|"&amp;W763)</f>
        <v/>
      </c>
      <c r="Y763" s="33">
        <f>IF(W763="","",IF(P763="À RENSEIGNER","GIC",P763)&amp;"-"&amp;TEXT(W763,"000"))</f>
        <v/>
      </c>
      <c r="Z763" s="33">
        <f>IF(X763="","",IFERROR(INDEX(Cl_nom,MATCH(X763,Cl_cle,0)),"(client introuvable)"))</f>
        <v/>
      </c>
      <c r="AA763" s="33">
        <f>IF(X763="","",IFERROR(INDEX(Cl_quartier,MATCH(X763,Cl_cle,0))&amp;"",""))</f>
        <v/>
      </c>
      <c r="AB763" s="45">
        <f>IF(R763&lt;&gt;"Livrée",0,IF(K763&lt;&gt;"",K763,C763))</f>
        <v/>
      </c>
      <c r="AC763" s="33">
        <f>IF(OR(C763="",W763=""),"",P763&amp;"|"&amp;W763&amp;"|"&amp;C763&amp;"|"&amp;E763)</f>
        <v/>
      </c>
      <c r="AD763" s="39">
        <f>IF(AC763="","",IF(COUNTIF(AC$6:AC763,AC763)=1,1,0))</f>
        <v/>
      </c>
      <c r="AE763" s="39">
        <f>IF(AB763=0,"",IF(COUNTIFS(X$6:X763,X763,AB$6:AB763,AB763)=1,1,0))</f>
        <v/>
      </c>
      <c r="AF763" s="34">
        <f>IF(C763="","",YEAR(C763-WEEKDAY(C763,2)+4)&amp;"-S"&amp;TEXT(INT((C763-DATE(YEAR(C763-WEEKDAY(C763,2)+4),1,3)+WEEKDAY(DATE(YEAR(C763-WEEKDAY(C763,2)+4),1,3),2)+5)/7),"00"))</f>
        <v/>
      </c>
    </row>
    <row r="764" ht="18" customHeight="1">
      <c r="A764" s="39" t="n">
        <v>759</v>
      </c>
      <c r="B764" s="33">
        <f>IF(C764="","",IF(P764="À RENSEIGNER","GIC",P764)&amp;"-C"&amp;TEXT(A764,"00000"))</f>
        <v/>
      </c>
      <c r="C764" s="32" t="n"/>
      <c r="D764" s="36" t="n"/>
      <c r="E764" s="36" t="n"/>
      <c r="F764" s="36" t="n"/>
      <c r="G764" s="42" t="n"/>
      <c r="H764" s="37" t="n"/>
      <c r="I764" s="37" t="n"/>
      <c r="J764" s="32" t="n"/>
      <c r="K764" s="32" t="n"/>
      <c r="L764" s="43" t="n"/>
      <c r="M764" s="36" t="n"/>
      <c r="N764" s="44" t="n"/>
      <c r="O764" s="36" t="n"/>
      <c r="P764" s="33">
        <f>IF(C764="","",Commercial_Id)</f>
        <v/>
      </c>
      <c r="Q764" s="34">
        <f>IF(AC764="","",IF(AD764=1,"C"&amp;TEXT(SUM(AD$6:AD764),"0000"),INDEX(Q$6:Q763,MATCH(AC764,AC$6:AC763,0))))</f>
        <v/>
      </c>
      <c r="R764" s="34">
        <f>IF(C764="","",IF(L764="☑ Oui","Annulée",IF(OR(E764="Vente directe",K764&lt;&gt;""),"Livrée",IF(J764&lt;&gt;"","Confirmée","En attente"))))</f>
        <v/>
      </c>
      <c r="S764" s="34">
        <f>IF(F764="","",IFERROR(VLOOKUP(F764,T_Produits,2,FALSE),""))</f>
        <v/>
      </c>
      <c r="T764" s="40">
        <f>IF(F764="","",IFERROR(1/(1/VLOOKUP(F764,T_Produits,3,FALSE)),""))</f>
        <v/>
      </c>
      <c r="U764" s="40">
        <f>IF(H764&lt;&gt;"",H764,T764)</f>
        <v/>
      </c>
      <c r="V764" s="40">
        <f>IF(OR(G764="",U764=""),"",G764*U764-N(I764))</f>
        <v/>
      </c>
      <c r="W764" s="39">
        <f>IF(D764="","",IFERROR(VALUE(MID(D764,LEN(D764)-3,3)),""))</f>
        <v/>
      </c>
      <c r="X764" s="33">
        <f>IF(W764="","",P764&amp;"|"&amp;W764)</f>
        <v/>
      </c>
      <c r="Y764" s="33">
        <f>IF(W764="","",IF(P764="À RENSEIGNER","GIC",P764)&amp;"-"&amp;TEXT(W764,"000"))</f>
        <v/>
      </c>
      <c r="Z764" s="33">
        <f>IF(X764="","",IFERROR(INDEX(Cl_nom,MATCH(X764,Cl_cle,0)),"(client introuvable)"))</f>
        <v/>
      </c>
      <c r="AA764" s="33">
        <f>IF(X764="","",IFERROR(INDEX(Cl_quartier,MATCH(X764,Cl_cle,0))&amp;"",""))</f>
        <v/>
      </c>
      <c r="AB764" s="45">
        <f>IF(R764&lt;&gt;"Livrée",0,IF(K764&lt;&gt;"",K764,C764))</f>
        <v/>
      </c>
      <c r="AC764" s="33">
        <f>IF(OR(C764="",W764=""),"",P764&amp;"|"&amp;W764&amp;"|"&amp;C764&amp;"|"&amp;E764)</f>
        <v/>
      </c>
      <c r="AD764" s="39">
        <f>IF(AC764="","",IF(COUNTIF(AC$6:AC764,AC764)=1,1,0))</f>
        <v/>
      </c>
      <c r="AE764" s="39">
        <f>IF(AB764=0,"",IF(COUNTIFS(X$6:X764,X764,AB$6:AB764,AB764)=1,1,0))</f>
        <v/>
      </c>
      <c r="AF764" s="34">
        <f>IF(C764="","",YEAR(C764-WEEKDAY(C764,2)+4)&amp;"-S"&amp;TEXT(INT((C764-DATE(YEAR(C764-WEEKDAY(C764,2)+4),1,3)+WEEKDAY(DATE(YEAR(C764-WEEKDAY(C764,2)+4),1,3),2)+5)/7),"00"))</f>
        <v/>
      </c>
    </row>
    <row r="765" ht="18" customHeight="1">
      <c r="A765" s="39" t="n">
        <v>760</v>
      </c>
      <c r="B765" s="33">
        <f>IF(C765="","",IF(P765="À RENSEIGNER","GIC",P765)&amp;"-C"&amp;TEXT(A765,"00000"))</f>
        <v/>
      </c>
      <c r="C765" s="32" t="n"/>
      <c r="D765" s="36" t="n"/>
      <c r="E765" s="36" t="n"/>
      <c r="F765" s="36" t="n"/>
      <c r="G765" s="42" t="n"/>
      <c r="H765" s="37" t="n"/>
      <c r="I765" s="37" t="n"/>
      <c r="J765" s="32" t="n"/>
      <c r="K765" s="32" t="n"/>
      <c r="L765" s="43" t="n"/>
      <c r="M765" s="36" t="n"/>
      <c r="N765" s="44" t="n"/>
      <c r="O765" s="36" t="n"/>
      <c r="P765" s="33">
        <f>IF(C765="","",Commercial_Id)</f>
        <v/>
      </c>
      <c r="Q765" s="34">
        <f>IF(AC765="","",IF(AD765=1,"C"&amp;TEXT(SUM(AD$6:AD765),"0000"),INDEX(Q$6:Q764,MATCH(AC765,AC$6:AC764,0))))</f>
        <v/>
      </c>
      <c r="R765" s="34">
        <f>IF(C765="","",IF(L765="☑ Oui","Annulée",IF(OR(E765="Vente directe",K765&lt;&gt;""),"Livrée",IF(J765&lt;&gt;"","Confirmée","En attente"))))</f>
        <v/>
      </c>
      <c r="S765" s="34">
        <f>IF(F765="","",IFERROR(VLOOKUP(F765,T_Produits,2,FALSE),""))</f>
        <v/>
      </c>
      <c r="T765" s="40">
        <f>IF(F765="","",IFERROR(1/(1/VLOOKUP(F765,T_Produits,3,FALSE)),""))</f>
        <v/>
      </c>
      <c r="U765" s="40">
        <f>IF(H765&lt;&gt;"",H765,T765)</f>
        <v/>
      </c>
      <c r="V765" s="40">
        <f>IF(OR(G765="",U765=""),"",G765*U765-N(I765))</f>
        <v/>
      </c>
      <c r="W765" s="39">
        <f>IF(D765="","",IFERROR(VALUE(MID(D765,LEN(D765)-3,3)),""))</f>
        <v/>
      </c>
      <c r="X765" s="33">
        <f>IF(W765="","",P765&amp;"|"&amp;W765)</f>
        <v/>
      </c>
      <c r="Y765" s="33">
        <f>IF(W765="","",IF(P765="À RENSEIGNER","GIC",P765)&amp;"-"&amp;TEXT(W765,"000"))</f>
        <v/>
      </c>
      <c r="Z765" s="33">
        <f>IF(X765="","",IFERROR(INDEX(Cl_nom,MATCH(X765,Cl_cle,0)),"(client introuvable)"))</f>
        <v/>
      </c>
      <c r="AA765" s="33">
        <f>IF(X765="","",IFERROR(INDEX(Cl_quartier,MATCH(X765,Cl_cle,0))&amp;"",""))</f>
        <v/>
      </c>
      <c r="AB765" s="45">
        <f>IF(R765&lt;&gt;"Livrée",0,IF(K765&lt;&gt;"",K765,C765))</f>
        <v/>
      </c>
      <c r="AC765" s="33">
        <f>IF(OR(C765="",W765=""),"",P765&amp;"|"&amp;W765&amp;"|"&amp;C765&amp;"|"&amp;E765)</f>
        <v/>
      </c>
      <c r="AD765" s="39">
        <f>IF(AC765="","",IF(COUNTIF(AC$6:AC765,AC765)=1,1,0))</f>
        <v/>
      </c>
      <c r="AE765" s="39">
        <f>IF(AB765=0,"",IF(COUNTIFS(X$6:X765,X765,AB$6:AB765,AB765)=1,1,0))</f>
        <v/>
      </c>
      <c r="AF765" s="34">
        <f>IF(C765="","",YEAR(C765-WEEKDAY(C765,2)+4)&amp;"-S"&amp;TEXT(INT((C765-DATE(YEAR(C765-WEEKDAY(C765,2)+4),1,3)+WEEKDAY(DATE(YEAR(C765-WEEKDAY(C765,2)+4),1,3),2)+5)/7),"00"))</f>
        <v/>
      </c>
    </row>
    <row r="766" ht="18" customHeight="1">
      <c r="A766" s="39" t="n">
        <v>761</v>
      </c>
      <c r="B766" s="33">
        <f>IF(C766="","",IF(P766="À RENSEIGNER","GIC",P766)&amp;"-C"&amp;TEXT(A766,"00000"))</f>
        <v/>
      </c>
      <c r="C766" s="32" t="n"/>
      <c r="D766" s="36" t="n"/>
      <c r="E766" s="36" t="n"/>
      <c r="F766" s="36" t="n"/>
      <c r="G766" s="42" t="n"/>
      <c r="H766" s="37" t="n"/>
      <c r="I766" s="37" t="n"/>
      <c r="J766" s="32" t="n"/>
      <c r="K766" s="32" t="n"/>
      <c r="L766" s="43" t="n"/>
      <c r="M766" s="36" t="n"/>
      <c r="N766" s="44" t="n"/>
      <c r="O766" s="36" t="n"/>
      <c r="P766" s="33">
        <f>IF(C766="","",Commercial_Id)</f>
        <v/>
      </c>
      <c r="Q766" s="34">
        <f>IF(AC766="","",IF(AD766=1,"C"&amp;TEXT(SUM(AD$6:AD766),"0000"),INDEX(Q$6:Q765,MATCH(AC766,AC$6:AC765,0))))</f>
        <v/>
      </c>
      <c r="R766" s="34">
        <f>IF(C766="","",IF(L766="☑ Oui","Annulée",IF(OR(E766="Vente directe",K766&lt;&gt;""),"Livrée",IF(J766&lt;&gt;"","Confirmée","En attente"))))</f>
        <v/>
      </c>
      <c r="S766" s="34">
        <f>IF(F766="","",IFERROR(VLOOKUP(F766,T_Produits,2,FALSE),""))</f>
        <v/>
      </c>
      <c r="T766" s="40">
        <f>IF(F766="","",IFERROR(1/(1/VLOOKUP(F766,T_Produits,3,FALSE)),""))</f>
        <v/>
      </c>
      <c r="U766" s="40">
        <f>IF(H766&lt;&gt;"",H766,T766)</f>
        <v/>
      </c>
      <c r="V766" s="40">
        <f>IF(OR(G766="",U766=""),"",G766*U766-N(I766))</f>
        <v/>
      </c>
      <c r="W766" s="39">
        <f>IF(D766="","",IFERROR(VALUE(MID(D766,LEN(D766)-3,3)),""))</f>
        <v/>
      </c>
      <c r="X766" s="33">
        <f>IF(W766="","",P766&amp;"|"&amp;W766)</f>
        <v/>
      </c>
      <c r="Y766" s="33">
        <f>IF(W766="","",IF(P766="À RENSEIGNER","GIC",P766)&amp;"-"&amp;TEXT(W766,"000"))</f>
        <v/>
      </c>
      <c r="Z766" s="33">
        <f>IF(X766="","",IFERROR(INDEX(Cl_nom,MATCH(X766,Cl_cle,0)),"(client introuvable)"))</f>
        <v/>
      </c>
      <c r="AA766" s="33">
        <f>IF(X766="","",IFERROR(INDEX(Cl_quartier,MATCH(X766,Cl_cle,0))&amp;"",""))</f>
        <v/>
      </c>
      <c r="AB766" s="45">
        <f>IF(R766&lt;&gt;"Livrée",0,IF(K766&lt;&gt;"",K766,C766))</f>
        <v/>
      </c>
      <c r="AC766" s="33">
        <f>IF(OR(C766="",W766=""),"",P766&amp;"|"&amp;W766&amp;"|"&amp;C766&amp;"|"&amp;E766)</f>
        <v/>
      </c>
      <c r="AD766" s="39">
        <f>IF(AC766="","",IF(COUNTIF(AC$6:AC766,AC766)=1,1,0))</f>
        <v/>
      </c>
      <c r="AE766" s="39">
        <f>IF(AB766=0,"",IF(COUNTIFS(X$6:X766,X766,AB$6:AB766,AB766)=1,1,0))</f>
        <v/>
      </c>
      <c r="AF766" s="34">
        <f>IF(C766="","",YEAR(C766-WEEKDAY(C766,2)+4)&amp;"-S"&amp;TEXT(INT((C766-DATE(YEAR(C766-WEEKDAY(C766,2)+4),1,3)+WEEKDAY(DATE(YEAR(C766-WEEKDAY(C766,2)+4),1,3),2)+5)/7),"00"))</f>
        <v/>
      </c>
    </row>
    <row r="767" ht="18" customHeight="1">
      <c r="A767" s="39" t="n">
        <v>762</v>
      </c>
      <c r="B767" s="33">
        <f>IF(C767="","",IF(P767="À RENSEIGNER","GIC",P767)&amp;"-C"&amp;TEXT(A767,"00000"))</f>
        <v/>
      </c>
      <c r="C767" s="32" t="n"/>
      <c r="D767" s="36" t="n"/>
      <c r="E767" s="36" t="n"/>
      <c r="F767" s="36" t="n"/>
      <c r="G767" s="42" t="n"/>
      <c r="H767" s="37" t="n"/>
      <c r="I767" s="37" t="n"/>
      <c r="J767" s="32" t="n"/>
      <c r="K767" s="32" t="n"/>
      <c r="L767" s="43" t="n"/>
      <c r="M767" s="36" t="n"/>
      <c r="N767" s="44" t="n"/>
      <c r="O767" s="36" t="n"/>
      <c r="P767" s="33">
        <f>IF(C767="","",Commercial_Id)</f>
        <v/>
      </c>
      <c r="Q767" s="34">
        <f>IF(AC767="","",IF(AD767=1,"C"&amp;TEXT(SUM(AD$6:AD767),"0000"),INDEX(Q$6:Q766,MATCH(AC767,AC$6:AC766,0))))</f>
        <v/>
      </c>
      <c r="R767" s="34">
        <f>IF(C767="","",IF(L767="☑ Oui","Annulée",IF(OR(E767="Vente directe",K767&lt;&gt;""),"Livrée",IF(J767&lt;&gt;"","Confirmée","En attente"))))</f>
        <v/>
      </c>
      <c r="S767" s="34">
        <f>IF(F767="","",IFERROR(VLOOKUP(F767,T_Produits,2,FALSE),""))</f>
        <v/>
      </c>
      <c r="T767" s="40">
        <f>IF(F767="","",IFERROR(1/(1/VLOOKUP(F767,T_Produits,3,FALSE)),""))</f>
        <v/>
      </c>
      <c r="U767" s="40">
        <f>IF(H767&lt;&gt;"",H767,T767)</f>
        <v/>
      </c>
      <c r="V767" s="40">
        <f>IF(OR(G767="",U767=""),"",G767*U767-N(I767))</f>
        <v/>
      </c>
      <c r="W767" s="39">
        <f>IF(D767="","",IFERROR(VALUE(MID(D767,LEN(D767)-3,3)),""))</f>
        <v/>
      </c>
      <c r="X767" s="33">
        <f>IF(W767="","",P767&amp;"|"&amp;W767)</f>
        <v/>
      </c>
      <c r="Y767" s="33">
        <f>IF(W767="","",IF(P767="À RENSEIGNER","GIC",P767)&amp;"-"&amp;TEXT(W767,"000"))</f>
        <v/>
      </c>
      <c r="Z767" s="33">
        <f>IF(X767="","",IFERROR(INDEX(Cl_nom,MATCH(X767,Cl_cle,0)),"(client introuvable)"))</f>
        <v/>
      </c>
      <c r="AA767" s="33">
        <f>IF(X767="","",IFERROR(INDEX(Cl_quartier,MATCH(X767,Cl_cle,0))&amp;"",""))</f>
        <v/>
      </c>
      <c r="AB767" s="45">
        <f>IF(R767&lt;&gt;"Livrée",0,IF(K767&lt;&gt;"",K767,C767))</f>
        <v/>
      </c>
      <c r="AC767" s="33">
        <f>IF(OR(C767="",W767=""),"",P767&amp;"|"&amp;W767&amp;"|"&amp;C767&amp;"|"&amp;E767)</f>
        <v/>
      </c>
      <c r="AD767" s="39">
        <f>IF(AC767="","",IF(COUNTIF(AC$6:AC767,AC767)=1,1,0))</f>
        <v/>
      </c>
      <c r="AE767" s="39">
        <f>IF(AB767=0,"",IF(COUNTIFS(X$6:X767,X767,AB$6:AB767,AB767)=1,1,0))</f>
        <v/>
      </c>
      <c r="AF767" s="34">
        <f>IF(C767="","",YEAR(C767-WEEKDAY(C767,2)+4)&amp;"-S"&amp;TEXT(INT((C767-DATE(YEAR(C767-WEEKDAY(C767,2)+4),1,3)+WEEKDAY(DATE(YEAR(C767-WEEKDAY(C767,2)+4),1,3),2)+5)/7),"00"))</f>
        <v/>
      </c>
    </row>
    <row r="768" ht="18" customHeight="1">
      <c r="A768" s="39" t="n">
        <v>763</v>
      </c>
      <c r="B768" s="33">
        <f>IF(C768="","",IF(P768="À RENSEIGNER","GIC",P768)&amp;"-C"&amp;TEXT(A768,"00000"))</f>
        <v/>
      </c>
      <c r="C768" s="32" t="n"/>
      <c r="D768" s="36" t="n"/>
      <c r="E768" s="36" t="n"/>
      <c r="F768" s="36" t="n"/>
      <c r="G768" s="42" t="n"/>
      <c r="H768" s="37" t="n"/>
      <c r="I768" s="37" t="n"/>
      <c r="J768" s="32" t="n"/>
      <c r="K768" s="32" t="n"/>
      <c r="L768" s="43" t="n"/>
      <c r="M768" s="36" t="n"/>
      <c r="N768" s="44" t="n"/>
      <c r="O768" s="36" t="n"/>
      <c r="P768" s="33">
        <f>IF(C768="","",Commercial_Id)</f>
        <v/>
      </c>
      <c r="Q768" s="34">
        <f>IF(AC768="","",IF(AD768=1,"C"&amp;TEXT(SUM(AD$6:AD768),"0000"),INDEX(Q$6:Q767,MATCH(AC768,AC$6:AC767,0))))</f>
        <v/>
      </c>
      <c r="R768" s="34">
        <f>IF(C768="","",IF(L768="☑ Oui","Annulée",IF(OR(E768="Vente directe",K768&lt;&gt;""),"Livrée",IF(J768&lt;&gt;"","Confirmée","En attente"))))</f>
        <v/>
      </c>
      <c r="S768" s="34">
        <f>IF(F768="","",IFERROR(VLOOKUP(F768,T_Produits,2,FALSE),""))</f>
        <v/>
      </c>
      <c r="T768" s="40">
        <f>IF(F768="","",IFERROR(1/(1/VLOOKUP(F768,T_Produits,3,FALSE)),""))</f>
        <v/>
      </c>
      <c r="U768" s="40">
        <f>IF(H768&lt;&gt;"",H768,T768)</f>
        <v/>
      </c>
      <c r="V768" s="40">
        <f>IF(OR(G768="",U768=""),"",G768*U768-N(I768))</f>
        <v/>
      </c>
      <c r="W768" s="39">
        <f>IF(D768="","",IFERROR(VALUE(MID(D768,LEN(D768)-3,3)),""))</f>
        <v/>
      </c>
      <c r="X768" s="33">
        <f>IF(W768="","",P768&amp;"|"&amp;W768)</f>
        <v/>
      </c>
      <c r="Y768" s="33">
        <f>IF(W768="","",IF(P768="À RENSEIGNER","GIC",P768)&amp;"-"&amp;TEXT(W768,"000"))</f>
        <v/>
      </c>
      <c r="Z768" s="33">
        <f>IF(X768="","",IFERROR(INDEX(Cl_nom,MATCH(X768,Cl_cle,0)),"(client introuvable)"))</f>
        <v/>
      </c>
      <c r="AA768" s="33">
        <f>IF(X768="","",IFERROR(INDEX(Cl_quartier,MATCH(X768,Cl_cle,0))&amp;"",""))</f>
        <v/>
      </c>
      <c r="AB768" s="45">
        <f>IF(R768&lt;&gt;"Livrée",0,IF(K768&lt;&gt;"",K768,C768))</f>
        <v/>
      </c>
      <c r="AC768" s="33">
        <f>IF(OR(C768="",W768=""),"",P768&amp;"|"&amp;W768&amp;"|"&amp;C768&amp;"|"&amp;E768)</f>
        <v/>
      </c>
      <c r="AD768" s="39">
        <f>IF(AC768="","",IF(COUNTIF(AC$6:AC768,AC768)=1,1,0))</f>
        <v/>
      </c>
      <c r="AE768" s="39">
        <f>IF(AB768=0,"",IF(COUNTIFS(X$6:X768,X768,AB$6:AB768,AB768)=1,1,0))</f>
        <v/>
      </c>
      <c r="AF768" s="34">
        <f>IF(C768="","",YEAR(C768-WEEKDAY(C768,2)+4)&amp;"-S"&amp;TEXT(INT((C768-DATE(YEAR(C768-WEEKDAY(C768,2)+4),1,3)+WEEKDAY(DATE(YEAR(C768-WEEKDAY(C768,2)+4),1,3),2)+5)/7),"00"))</f>
        <v/>
      </c>
    </row>
    <row r="769" ht="18" customHeight="1">
      <c r="A769" s="39" t="n">
        <v>764</v>
      </c>
      <c r="B769" s="33">
        <f>IF(C769="","",IF(P769="À RENSEIGNER","GIC",P769)&amp;"-C"&amp;TEXT(A769,"00000"))</f>
        <v/>
      </c>
      <c r="C769" s="32" t="n"/>
      <c r="D769" s="36" t="n"/>
      <c r="E769" s="36" t="n"/>
      <c r="F769" s="36" t="n"/>
      <c r="G769" s="42" t="n"/>
      <c r="H769" s="37" t="n"/>
      <c r="I769" s="37" t="n"/>
      <c r="J769" s="32" t="n"/>
      <c r="K769" s="32" t="n"/>
      <c r="L769" s="43" t="n"/>
      <c r="M769" s="36" t="n"/>
      <c r="N769" s="44" t="n"/>
      <c r="O769" s="36" t="n"/>
      <c r="P769" s="33">
        <f>IF(C769="","",Commercial_Id)</f>
        <v/>
      </c>
      <c r="Q769" s="34">
        <f>IF(AC769="","",IF(AD769=1,"C"&amp;TEXT(SUM(AD$6:AD769),"0000"),INDEX(Q$6:Q768,MATCH(AC769,AC$6:AC768,0))))</f>
        <v/>
      </c>
      <c r="R769" s="34">
        <f>IF(C769="","",IF(L769="☑ Oui","Annulée",IF(OR(E769="Vente directe",K769&lt;&gt;""),"Livrée",IF(J769&lt;&gt;"","Confirmée","En attente"))))</f>
        <v/>
      </c>
      <c r="S769" s="34">
        <f>IF(F769="","",IFERROR(VLOOKUP(F769,T_Produits,2,FALSE),""))</f>
        <v/>
      </c>
      <c r="T769" s="40">
        <f>IF(F769="","",IFERROR(1/(1/VLOOKUP(F769,T_Produits,3,FALSE)),""))</f>
        <v/>
      </c>
      <c r="U769" s="40">
        <f>IF(H769&lt;&gt;"",H769,T769)</f>
        <v/>
      </c>
      <c r="V769" s="40">
        <f>IF(OR(G769="",U769=""),"",G769*U769-N(I769))</f>
        <v/>
      </c>
      <c r="W769" s="39">
        <f>IF(D769="","",IFERROR(VALUE(MID(D769,LEN(D769)-3,3)),""))</f>
        <v/>
      </c>
      <c r="X769" s="33">
        <f>IF(W769="","",P769&amp;"|"&amp;W769)</f>
        <v/>
      </c>
      <c r="Y769" s="33">
        <f>IF(W769="","",IF(P769="À RENSEIGNER","GIC",P769)&amp;"-"&amp;TEXT(W769,"000"))</f>
        <v/>
      </c>
      <c r="Z769" s="33">
        <f>IF(X769="","",IFERROR(INDEX(Cl_nom,MATCH(X769,Cl_cle,0)),"(client introuvable)"))</f>
        <v/>
      </c>
      <c r="AA769" s="33">
        <f>IF(X769="","",IFERROR(INDEX(Cl_quartier,MATCH(X769,Cl_cle,0))&amp;"",""))</f>
        <v/>
      </c>
      <c r="AB769" s="45">
        <f>IF(R769&lt;&gt;"Livrée",0,IF(K769&lt;&gt;"",K769,C769))</f>
        <v/>
      </c>
      <c r="AC769" s="33">
        <f>IF(OR(C769="",W769=""),"",P769&amp;"|"&amp;W769&amp;"|"&amp;C769&amp;"|"&amp;E769)</f>
        <v/>
      </c>
      <c r="AD769" s="39">
        <f>IF(AC769="","",IF(COUNTIF(AC$6:AC769,AC769)=1,1,0))</f>
        <v/>
      </c>
      <c r="AE769" s="39">
        <f>IF(AB769=0,"",IF(COUNTIFS(X$6:X769,X769,AB$6:AB769,AB769)=1,1,0))</f>
        <v/>
      </c>
      <c r="AF769" s="34">
        <f>IF(C769="","",YEAR(C769-WEEKDAY(C769,2)+4)&amp;"-S"&amp;TEXT(INT((C769-DATE(YEAR(C769-WEEKDAY(C769,2)+4),1,3)+WEEKDAY(DATE(YEAR(C769-WEEKDAY(C769,2)+4),1,3),2)+5)/7),"00"))</f>
        <v/>
      </c>
    </row>
    <row r="770" ht="18" customHeight="1">
      <c r="A770" s="39" t="n">
        <v>765</v>
      </c>
      <c r="B770" s="33">
        <f>IF(C770="","",IF(P770="À RENSEIGNER","GIC",P770)&amp;"-C"&amp;TEXT(A770,"00000"))</f>
        <v/>
      </c>
      <c r="C770" s="32" t="n"/>
      <c r="D770" s="36" t="n"/>
      <c r="E770" s="36" t="n"/>
      <c r="F770" s="36" t="n"/>
      <c r="G770" s="42" t="n"/>
      <c r="H770" s="37" t="n"/>
      <c r="I770" s="37" t="n"/>
      <c r="J770" s="32" t="n"/>
      <c r="K770" s="32" t="n"/>
      <c r="L770" s="43" t="n"/>
      <c r="M770" s="36" t="n"/>
      <c r="N770" s="44" t="n"/>
      <c r="O770" s="36" t="n"/>
      <c r="P770" s="33">
        <f>IF(C770="","",Commercial_Id)</f>
        <v/>
      </c>
      <c r="Q770" s="34">
        <f>IF(AC770="","",IF(AD770=1,"C"&amp;TEXT(SUM(AD$6:AD770),"0000"),INDEX(Q$6:Q769,MATCH(AC770,AC$6:AC769,0))))</f>
        <v/>
      </c>
      <c r="R770" s="34">
        <f>IF(C770="","",IF(L770="☑ Oui","Annulée",IF(OR(E770="Vente directe",K770&lt;&gt;""),"Livrée",IF(J770&lt;&gt;"","Confirmée","En attente"))))</f>
        <v/>
      </c>
      <c r="S770" s="34">
        <f>IF(F770="","",IFERROR(VLOOKUP(F770,T_Produits,2,FALSE),""))</f>
        <v/>
      </c>
      <c r="T770" s="40">
        <f>IF(F770="","",IFERROR(1/(1/VLOOKUP(F770,T_Produits,3,FALSE)),""))</f>
        <v/>
      </c>
      <c r="U770" s="40">
        <f>IF(H770&lt;&gt;"",H770,T770)</f>
        <v/>
      </c>
      <c r="V770" s="40">
        <f>IF(OR(G770="",U770=""),"",G770*U770-N(I770))</f>
        <v/>
      </c>
      <c r="W770" s="39">
        <f>IF(D770="","",IFERROR(VALUE(MID(D770,LEN(D770)-3,3)),""))</f>
        <v/>
      </c>
      <c r="X770" s="33">
        <f>IF(W770="","",P770&amp;"|"&amp;W770)</f>
        <v/>
      </c>
      <c r="Y770" s="33">
        <f>IF(W770="","",IF(P770="À RENSEIGNER","GIC",P770)&amp;"-"&amp;TEXT(W770,"000"))</f>
        <v/>
      </c>
      <c r="Z770" s="33">
        <f>IF(X770="","",IFERROR(INDEX(Cl_nom,MATCH(X770,Cl_cle,0)),"(client introuvable)"))</f>
        <v/>
      </c>
      <c r="AA770" s="33">
        <f>IF(X770="","",IFERROR(INDEX(Cl_quartier,MATCH(X770,Cl_cle,0))&amp;"",""))</f>
        <v/>
      </c>
      <c r="AB770" s="45">
        <f>IF(R770&lt;&gt;"Livrée",0,IF(K770&lt;&gt;"",K770,C770))</f>
        <v/>
      </c>
      <c r="AC770" s="33">
        <f>IF(OR(C770="",W770=""),"",P770&amp;"|"&amp;W770&amp;"|"&amp;C770&amp;"|"&amp;E770)</f>
        <v/>
      </c>
      <c r="AD770" s="39">
        <f>IF(AC770="","",IF(COUNTIF(AC$6:AC770,AC770)=1,1,0))</f>
        <v/>
      </c>
      <c r="AE770" s="39">
        <f>IF(AB770=0,"",IF(COUNTIFS(X$6:X770,X770,AB$6:AB770,AB770)=1,1,0))</f>
        <v/>
      </c>
      <c r="AF770" s="34">
        <f>IF(C770="","",YEAR(C770-WEEKDAY(C770,2)+4)&amp;"-S"&amp;TEXT(INT((C770-DATE(YEAR(C770-WEEKDAY(C770,2)+4),1,3)+WEEKDAY(DATE(YEAR(C770-WEEKDAY(C770,2)+4),1,3),2)+5)/7),"00"))</f>
        <v/>
      </c>
    </row>
    <row r="771" ht="18" customHeight="1">
      <c r="A771" s="39" t="n">
        <v>766</v>
      </c>
      <c r="B771" s="33">
        <f>IF(C771="","",IF(P771="À RENSEIGNER","GIC",P771)&amp;"-C"&amp;TEXT(A771,"00000"))</f>
        <v/>
      </c>
      <c r="C771" s="32" t="n"/>
      <c r="D771" s="36" t="n"/>
      <c r="E771" s="36" t="n"/>
      <c r="F771" s="36" t="n"/>
      <c r="G771" s="42" t="n"/>
      <c r="H771" s="37" t="n"/>
      <c r="I771" s="37" t="n"/>
      <c r="J771" s="32" t="n"/>
      <c r="K771" s="32" t="n"/>
      <c r="L771" s="43" t="n"/>
      <c r="M771" s="36" t="n"/>
      <c r="N771" s="44" t="n"/>
      <c r="O771" s="36" t="n"/>
      <c r="P771" s="33">
        <f>IF(C771="","",Commercial_Id)</f>
        <v/>
      </c>
      <c r="Q771" s="34">
        <f>IF(AC771="","",IF(AD771=1,"C"&amp;TEXT(SUM(AD$6:AD771),"0000"),INDEX(Q$6:Q770,MATCH(AC771,AC$6:AC770,0))))</f>
        <v/>
      </c>
      <c r="R771" s="34">
        <f>IF(C771="","",IF(L771="☑ Oui","Annulée",IF(OR(E771="Vente directe",K771&lt;&gt;""),"Livrée",IF(J771&lt;&gt;"","Confirmée","En attente"))))</f>
        <v/>
      </c>
      <c r="S771" s="34">
        <f>IF(F771="","",IFERROR(VLOOKUP(F771,T_Produits,2,FALSE),""))</f>
        <v/>
      </c>
      <c r="T771" s="40">
        <f>IF(F771="","",IFERROR(1/(1/VLOOKUP(F771,T_Produits,3,FALSE)),""))</f>
        <v/>
      </c>
      <c r="U771" s="40">
        <f>IF(H771&lt;&gt;"",H771,T771)</f>
        <v/>
      </c>
      <c r="V771" s="40">
        <f>IF(OR(G771="",U771=""),"",G771*U771-N(I771))</f>
        <v/>
      </c>
      <c r="W771" s="39">
        <f>IF(D771="","",IFERROR(VALUE(MID(D771,LEN(D771)-3,3)),""))</f>
        <v/>
      </c>
      <c r="X771" s="33">
        <f>IF(W771="","",P771&amp;"|"&amp;W771)</f>
        <v/>
      </c>
      <c r="Y771" s="33">
        <f>IF(W771="","",IF(P771="À RENSEIGNER","GIC",P771)&amp;"-"&amp;TEXT(W771,"000"))</f>
        <v/>
      </c>
      <c r="Z771" s="33">
        <f>IF(X771="","",IFERROR(INDEX(Cl_nom,MATCH(X771,Cl_cle,0)),"(client introuvable)"))</f>
        <v/>
      </c>
      <c r="AA771" s="33">
        <f>IF(X771="","",IFERROR(INDEX(Cl_quartier,MATCH(X771,Cl_cle,0))&amp;"",""))</f>
        <v/>
      </c>
      <c r="AB771" s="45">
        <f>IF(R771&lt;&gt;"Livrée",0,IF(K771&lt;&gt;"",K771,C771))</f>
        <v/>
      </c>
      <c r="AC771" s="33">
        <f>IF(OR(C771="",W771=""),"",P771&amp;"|"&amp;W771&amp;"|"&amp;C771&amp;"|"&amp;E771)</f>
        <v/>
      </c>
      <c r="AD771" s="39">
        <f>IF(AC771="","",IF(COUNTIF(AC$6:AC771,AC771)=1,1,0))</f>
        <v/>
      </c>
      <c r="AE771" s="39">
        <f>IF(AB771=0,"",IF(COUNTIFS(X$6:X771,X771,AB$6:AB771,AB771)=1,1,0))</f>
        <v/>
      </c>
      <c r="AF771" s="34">
        <f>IF(C771="","",YEAR(C771-WEEKDAY(C771,2)+4)&amp;"-S"&amp;TEXT(INT((C771-DATE(YEAR(C771-WEEKDAY(C771,2)+4),1,3)+WEEKDAY(DATE(YEAR(C771-WEEKDAY(C771,2)+4),1,3),2)+5)/7),"00"))</f>
        <v/>
      </c>
    </row>
    <row r="772" ht="18" customHeight="1">
      <c r="A772" s="39" t="n">
        <v>767</v>
      </c>
      <c r="B772" s="33">
        <f>IF(C772="","",IF(P772="À RENSEIGNER","GIC",P772)&amp;"-C"&amp;TEXT(A772,"00000"))</f>
        <v/>
      </c>
      <c r="C772" s="32" t="n"/>
      <c r="D772" s="36" t="n"/>
      <c r="E772" s="36" t="n"/>
      <c r="F772" s="36" t="n"/>
      <c r="G772" s="42" t="n"/>
      <c r="H772" s="37" t="n"/>
      <c r="I772" s="37" t="n"/>
      <c r="J772" s="32" t="n"/>
      <c r="K772" s="32" t="n"/>
      <c r="L772" s="43" t="n"/>
      <c r="M772" s="36" t="n"/>
      <c r="N772" s="44" t="n"/>
      <c r="O772" s="36" t="n"/>
      <c r="P772" s="33">
        <f>IF(C772="","",Commercial_Id)</f>
        <v/>
      </c>
      <c r="Q772" s="34">
        <f>IF(AC772="","",IF(AD772=1,"C"&amp;TEXT(SUM(AD$6:AD772),"0000"),INDEX(Q$6:Q771,MATCH(AC772,AC$6:AC771,0))))</f>
        <v/>
      </c>
      <c r="R772" s="34">
        <f>IF(C772="","",IF(L772="☑ Oui","Annulée",IF(OR(E772="Vente directe",K772&lt;&gt;""),"Livrée",IF(J772&lt;&gt;"","Confirmée","En attente"))))</f>
        <v/>
      </c>
      <c r="S772" s="34">
        <f>IF(F772="","",IFERROR(VLOOKUP(F772,T_Produits,2,FALSE),""))</f>
        <v/>
      </c>
      <c r="T772" s="40">
        <f>IF(F772="","",IFERROR(1/(1/VLOOKUP(F772,T_Produits,3,FALSE)),""))</f>
        <v/>
      </c>
      <c r="U772" s="40">
        <f>IF(H772&lt;&gt;"",H772,T772)</f>
        <v/>
      </c>
      <c r="V772" s="40">
        <f>IF(OR(G772="",U772=""),"",G772*U772-N(I772))</f>
        <v/>
      </c>
      <c r="W772" s="39">
        <f>IF(D772="","",IFERROR(VALUE(MID(D772,LEN(D772)-3,3)),""))</f>
        <v/>
      </c>
      <c r="X772" s="33">
        <f>IF(W772="","",P772&amp;"|"&amp;W772)</f>
        <v/>
      </c>
      <c r="Y772" s="33">
        <f>IF(W772="","",IF(P772="À RENSEIGNER","GIC",P772)&amp;"-"&amp;TEXT(W772,"000"))</f>
        <v/>
      </c>
      <c r="Z772" s="33">
        <f>IF(X772="","",IFERROR(INDEX(Cl_nom,MATCH(X772,Cl_cle,0)),"(client introuvable)"))</f>
        <v/>
      </c>
      <c r="AA772" s="33">
        <f>IF(X772="","",IFERROR(INDEX(Cl_quartier,MATCH(X772,Cl_cle,0))&amp;"",""))</f>
        <v/>
      </c>
      <c r="AB772" s="45">
        <f>IF(R772&lt;&gt;"Livrée",0,IF(K772&lt;&gt;"",K772,C772))</f>
        <v/>
      </c>
      <c r="AC772" s="33">
        <f>IF(OR(C772="",W772=""),"",P772&amp;"|"&amp;W772&amp;"|"&amp;C772&amp;"|"&amp;E772)</f>
        <v/>
      </c>
      <c r="AD772" s="39">
        <f>IF(AC772="","",IF(COUNTIF(AC$6:AC772,AC772)=1,1,0))</f>
        <v/>
      </c>
      <c r="AE772" s="39">
        <f>IF(AB772=0,"",IF(COUNTIFS(X$6:X772,X772,AB$6:AB772,AB772)=1,1,0))</f>
        <v/>
      </c>
      <c r="AF772" s="34">
        <f>IF(C772="","",YEAR(C772-WEEKDAY(C772,2)+4)&amp;"-S"&amp;TEXT(INT((C772-DATE(YEAR(C772-WEEKDAY(C772,2)+4),1,3)+WEEKDAY(DATE(YEAR(C772-WEEKDAY(C772,2)+4),1,3),2)+5)/7),"00"))</f>
        <v/>
      </c>
    </row>
    <row r="773" ht="18" customHeight="1">
      <c r="A773" s="39" t="n">
        <v>768</v>
      </c>
      <c r="B773" s="33">
        <f>IF(C773="","",IF(P773="À RENSEIGNER","GIC",P773)&amp;"-C"&amp;TEXT(A773,"00000"))</f>
        <v/>
      </c>
      <c r="C773" s="32" t="n"/>
      <c r="D773" s="36" t="n"/>
      <c r="E773" s="36" t="n"/>
      <c r="F773" s="36" t="n"/>
      <c r="G773" s="42" t="n"/>
      <c r="H773" s="37" t="n"/>
      <c r="I773" s="37" t="n"/>
      <c r="J773" s="32" t="n"/>
      <c r="K773" s="32" t="n"/>
      <c r="L773" s="43" t="n"/>
      <c r="M773" s="36" t="n"/>
      <c r="N773" s="44" t="n"/>
      <c r="O773" s="36" t="n"/>
      <c r="P773" s="33">
        <f>IF(C773="","",Commercial_Id)</f>
        <v/>
      </c>
      <c r="Q773" s="34">
        <f>IF(AC773="","",IF(AD773=1,"C"&amp;TEXT(SUM(AD$6:AD773),"0000"),INDEX(Q$6:Q772,MATCH(AC773,AC$6:AC772,0))))</f>
        <v/>
      </c>
      <c r="R773" s="34">
        <f>IF(C773="","",IF(L773="☑ Oui","Annulée",IF(OR(E773="Vente directe",K773&lt;&gt;""),"Livrée",IF(J773&lt;&gt;"","Confirmée","En attente"))))</f>
        <v/>
      </c>
      <c r="S773" s="34">
        <f>IF(F773="","",IFERROR(VLOOKUP(F773,T_Produits,2,FALSE),""))</f>
        <v/>
      </c>
      <c r="T773" s="40">
        <f>IF(F773="","",IFERROR(1/(1/VLOOKUP(F773,T_Produits,3,FALSE)),""))</f>
        <v/>
      </c>
      <c r="U773" s="40">
        <f>IF(H773&lt;&gt;"",H773,T773)</f>
        <v/>
      </c>
      <c r="V773" s="40">
        <f>IF(OR(G773="",U773=""),"",G773*U773-N(I773))</f>
        <v/>
      </c>
      <c r="W773" s="39">
        <f>IF(D773="","",IFERROR(VALUE(MID(D773,LEN(D773)-3,3)),""))</f>
        <v/>
      </c>
      <c r="X773" s="33">
        <f>IF(W773="","",P773&amp;"|"&amp;W773)</f>
        <v/>
      </c>
      <c r="Y773" s="33">
        <f>IF(W773="","",IF(P773="À RENSEIGNER","GIC",P773)&amp;"-"&amp;TEXT(W773,"000"))</f>
        <v/>
      </c>
      <c r="Z773" s="33">
        <f>IF(X773="","",IFERROR(INDEX(Cl_nom,MATCH(X773,Cl_cle,0)),"(client introuvable)"))</f>
        <v/>
      </c>
      <c r="AA773" s="33">
        <f>IF(X773="","",IFERROR(INDEX(Cl_quartier,MATCH(X773,Cl_cle,0))&amp;"",""))</f>
        <v/>
      </c>
      <c r="AB773" s="45">
        <f>IF(R773&lt;&gt;"Livrée",0,IF(K773&lt;&gt;"",K773,C773))</f>
        <v/>
      </c>
      <c r="AC773" s="33">
        <f>IF(OR(C773="",W773=""),"",P773&amp;"|"&amp;W773&amp;"|"&amp;C773&amp;"|"&amp;E773)</f>
        <v/>
      </c>
      <c r="AD773" s="39">
        <f>IF(AC773="","",IF(COUNTIF(AC$6:AC773,AC773)=1,1,0))</f>
        <v/>
      </c>
      <c r="AE773" s="39">
        <f>IF(AB773=0,"",IF(COUNTIFS(X$6:X773,X773,AB$6:AB773,AB773)=1,1,0))</f>
        <v/>
      </c>
      <c r="AF773" s="34">
        <f>IF(C773="","",YEAR(C773-WEEKDAY(C773,2)+4)&amp;"-S"&amp;TEXT(INT((C773-DATE(YEAR(C773-WEEKDAY(C773,2)+4),1,3)+WEEKDAY(DATE(YEAR(C773-WEEKDAY(C773,2)+4),1,3),2)+5)/7),"00"))</f>
        <v/>
      </c>
    </row>
    <row r="774" ht="18" customHeight="1">
      <c r="A774" s="39" t="n">
        <v>769</v>
      </c>
      <c r="B774" s="33">
        <f>IF(C774="","",IF(P774="À RENSEIGNER","GIC",P774)&amp;"-C"&amp;TEXT(A774,"00000"))</f>
        <v/>
      </c>
      <c r="C774" s="32" t="n"/>
      <c r="D774" s="36" t="n"/>
      <c r="E774" s="36" t="n"/>
      <c r="F774" s="36" t="n"/>
      <c r="G774" s="42" t="n"/>
      <c r="H774" s="37" t="n"/>
      <c r="I774" s="37" t="n"/>
      <c r="J774" s="32" t="n"/>
      <c r="K774" s="32" t="n"/>
      <c r="L774" s="43" t="n"/>
      <c r="M774" s="36" t="n"/>
      <c r="N774" s="44" t="n"/>
      <c r="O774" s="36" t="n"/>
      <c r="P774" s="33">
        <f>IF(C774="","",Commercial_Id)</f>
        <v/>
      </c>
      <c r="Q774" s="34">
        <f>IF(AC774="","",IF(AD774=1,"C"&amp;TEXT(SUM(AD$6:AD774),"0000"),INDEX(Q$6:Q773,MATCH(AC774,AC$6:AC773,0))))</f>
        <v/>
      </c>
      <c r="R774" s="34">
        <f>IF(C774="","",IF(L774="☑ Oui","Annulée",IF(OR(E774="Vente directe",K774&lt;&gt;""),"Livrée",IF(J774&lt;&gt;"","Confirmée","En attente"))))</f>
        <v/>
      </c>
      <c r="S774" s="34">
        <f>IF(F774="","",IFERROR(VLOOKUP(F774,T_Produits,2,FALSE),""))</f>
        <v/>
      </c>
      <c r="T774" s="40">
        <f>IF(F774="","",IFERROR(1/(1/VLOOKUP(F774,T_Produits,3,FALSE)),""))</f>
        <v/>
      </c>
      <c r="U774" s="40">
        <f>IF(H774&lt;&gt;"",H774,T774)</f>
        <v/>
      </c>
      <c r="V774" s="40">
        <f>IF(OR(G774="",U774=""),"",G774*U774-N(I774))</f>
        <v/>
      </c>
      <c r="W774" s="39">
        <f>IF(D774="","",IFERROR(VALUE(MID(D774,LEN(D774)-3,3)),""))</f>
        <v/>
      </c>
      <c r="X774" s="33">
        <f>IF(W774="","",P774&amp;"|"&amp;W774)</f>
        <v/>
      </c>
      <c r="Y774" s="33">
        <f>IF(W774="","",IF(P774="À RENSEIGNER","GIC",P774)&amp;"-"&amp;TEXT(W774,"000"))</f>
        <v/>
      </c>
      <c r="Z774" s="33">
        <f>IF(X774="","",IFERROR(INDEX(Cl_nom,MATCH(X774,Cl_cle,0)),"(client introuvable)"))</f>
        <v/>
      </c>
      <c r="AA774" s="33">
        <f>IF(X774="","",IFERROR(INDEX(Cl_quartier,MATCH(X774,Cl_cle,0))&amp;"",""))</f>
        <v/>
      </c>
      <c r="AB774" s="45">
        <f>IF(R774&lt;&gt;"Livrée",0,IF(K774&lt;&gt;"",K774,C774))</f>
        <v/>
      </c>
      <c r="AC774" s="33">
        <f>IF(OR(C774="",W774=""),"",P774&amp;"|"&amp;W774&amp;"|"&amp;C774&amp;"|"&amp;E774)</f>
        <v/>
      </c>
      <c r="AD774" s="39">
        <f>IF(AC774="","",IF(COUNTIF(AC$6:AC774,AC774)=1,1,0))</f>
        <v/>
      </c>
      <c r="AE774" s="39">
        <f>IF(AB774=0,"",IF(COUNTIFS(X$6:X774,X774,AB$6:AB774,AB774)=1,1,0))</f>
        <v/>
      </c>
      <c r="AF774" s="34">
        <f>IF(C774="","",YEAR(C774-WEEKDAY(C774,2)+4)&amp;"-S"&amp;TEXT(INT((C774-DATE(YEAR(C774-WEEKDAY(C774,2)+4),1,3)+WEEKDAY(DATE(YEAR(C774-WEEKDAY(C774,2)+4),1,3),2)+5)/7),"00"))</f>
        <v/>
      </c>
    </row>
    <row r="775" ht="18" customHeight="1">
      <c r="A775" s="39" t="n">
        <v>770</v>
      </c>
      <c r="B775" s="33">
        <f>IF(C775="","",IF(P775="À RENSEIGNER","GIC",P775)&amp;"-C"&amp;TEXT(A775,"00000"))</f>
        <v/>
      </c>
      <c r="C775" s="32" t="n"/>
      <c r="D775" s="36" t="n"/>
      <c r="E775" s="36" t="n"/>
      <c r="F775" s="36" t="n"/>
      <c r="G775" s="42" t="n"/>
      <c r="H775" s="37" t="n"/>
      <c r="I775" s="37" t="n"/>
      <c r="J775" s="32" t="n"/>
      <c r="K775" s="32" t="n"/>
      <c r="L775" s="43" t="n"/>
      <c r="M775" s="36" t="n"/>
      <c r="N775" s="44" t="n"/>
      <c r="O775" s="36" t="n"/>
      <c r="P775" s="33">
        <f>IF(C775="","",Commercial_Id)</f>
        <v/>
      </c>
      <c r="Q775" s="34">
        <f>IF(AC775="","",IF(AD775=1,"C"&amp;TEXT(SUM(AD$6:AD775),"0000"),INDEX(Q$6:Q774,MATCH(AC775,AC$6:AC774,0))))</f>
        <v/>
      </c>
      <c r="R775" s="34">
        <f>IF(C775="","",IF(L775="☑ Oui","Annulée",IF(OR(E775="Vente directe",K775&lt;&gt;""),"Livrée",IF(J775&lt;&gt;"","Confirmée","En attente"))))</f>
        <v/>
      </c>
      <c r="S775" s="34">
        <f>IF(F775="","",IFERROR(VLOOKUP(F775,T_Produits,2,FALSE),""))</f>
        <v/>
      </c>
      <c r="T775" s="40">
        <f>IF(F775="","",IFERROR(1/(1/VLOOKUP(F775,T_Produits,3,FALSE)),""))</f>
        <v/>
      </c>
      <c r="U775" s="40">
        <f>IF(H775&lt;&gt;"",H775,T775)</f>
        <v/>
      </c>
      <c r="V775" s="40">
        <f>IF(OR(G775="",U775=""),"",G775*U775-N(I775))</f>
        <v/>
      </c>
      <c r="W775" s="39">
        <f>IF(D775="","",IFERROR(VALUE(MID(D775,LEN(D775)-3,3)),""))</f>
        <v/>
      </c>
      <c r="X775" s="33">
        <f>IF(W775="","",P775&amp;"|"&amp;W775)</f>
        <v/>
      </c>
      <c r="Y775" s="33">
        <f>IF(W775="","",IF(P775="À RENSEIGNER","GIC",P775)&amp;"-"&amp;TEXT(W775,"000"))</f>
        <v/>
      </c>
      <c r="Z775" s="33">
        <f>IF(X775="","",IFERROR(INDEX(Cl_nom,MATCH(X775,Cl_cle,0)),"(client introuvable)"))</f>
        <v/>
      </c>
      <c r="AA775" s="33">
        <f>IF(X775="","",IFERROR(INDEX(Cl_quartier,MATCH(X775,Cl_cle,0))&amp;"",""))</f>
        <v/>
      </c>
      <c r="AB775" s="45">
        <f>IF(R775&lt;&gt;"Livrée",0,IF(K775&lt;&gt;"",K775,C775))</f>
        <v/>
      </c>
      <c r="AC775" s="33">
        <f>IF(OR(C775="",W775=""),"",P775&amp;"|"&amp;W775&amp;"|"&amp;C775&amp;"|"&amp;E775)</f>
        <v/>
      </c>
      <c r="AD775" s="39">
        <f>IF(AC775="","",IF(COUNTIF(AC$6:AC775,AC775)=1,1,0))</f>
        <v/>
      </c>
      <c r="AE775" s="39">
        <f>IF(AB775=0,"",IF(COUNTIFS(X$6:X775,X775,AB$6:AB775,AB775)=1,1,0))</f>
        <v/>
      </c>
      <c r="AF775" s="34">
        <f>IF(C775="","",YEAR(C775-WEEKDAY(C775,2)+4)&amp;"-S"&amp;TEXT(INT((C775-DATE(YEAR(C775-WEEKDAY(C775,2)+4),1,3)+WEEKDAY(DATE(YEAR(C775-WEEKDAY(C775,2)+4),1,3),2)+5)/7),"00"))</f>
        <v/>
      </c>
    </row>
    <row r="776" ht="18" customHeight="1">
      <c r="A776" s="39" t="n">
        <v>771</v>
      </c>
      <c r="B776" s="33">
        <f>IF(C776="","",IF(P776="À RENSEIGNER","GIC",P776)&amp;"-C"&amp;TEXT(A776,"00000"))</f>
        <v/>
      </c>
      <c r="C776" s="32" t="n"/>
      <c r="D776" s="36" t="n"/>
      <c r="E776" s="36" t="n"/>
      <c r="F776" s="36" t="n"/>
      <c r="G776" s="42" t="n"/>
      <c r="H776" s="37" t="n"/>
      <c r="I776" s="37" t="n"/>
      <c r="J776" s="32" t="n"/>
      <c r="K776" s="32" t="n"/>
      <c r="L776" s="43" t="n"/>
      <c r="M776" s="36" t="n"/>
      <c r="N776" s="44" t="n"/>
      <c r="O776" s="36" t="n"/>
      <c r="P776" s="33">
        <f>IF(C776="","",Commercial_Id)</f>
        <v/>
      </c>
      <c r="Q776" s="34">
        <f>IF(AC776="","",IF(AD776=1,"C"&amp;TEXT(SUM(AD$6:AD776),"0000"),INDEX(Q$6:Q775,MATCH(AC776,AC$6:AC775,0))))</f>
        <v/>
      </c>
      <c r="R776" s="34">
        <f>IF(C776="","",IF(L776="☑ Oui","Annulée",IF(OR(E776="Vente directe",K776&lt;&gt;""),"Livrée",IF(J776&lt;&gt;"","Confirmée","En attente"))))</f>
        <v/>
      </c>
      <c r="S776" s="34">
        <f>IF(F776="","",IFERROR(VLOOKUP(F776,T_Produits,2,FALSE),""))</f>
        <v/>
      </c>
      <c r="T776" s="40">
        <f>IF(F776="","",IFERROR(1/(1/VLOOKUP(F776,T_Produits,3,FALSE)),""))</f>
        <v/>
      </c>
      <c r="U776" s="40">
        <f>IF(H776&lt;&gt;"",H776,T776)</f>
        <v/>
      </c>
      <c r="V776" s="40">
        <f>IF(OR(G776="",U776=""),"",G776*U776-N(I776))</f>
        <v/>
      </c>
      <c r="W776" s="39">
        <f>IF(D776="","",IFERROR(VALUE(MID(D776,LEN(D776)-3,3)),""))</f>
        <v/>
      </c>
      <c r="X776" s="33">
        <f>IF(W776="","",P776&amp;"|"&amp;W776)</f>
        <v/>
      </c>
      <c r="Y776" s="33">
        <f>IF(W776="","",IF(P776="À RENSEIGNER","GIC",P776)&amp;"-"&amp;TEXT(W776,"000"))</f>
        <v/>
      </c>
      <c r="Z776" s="33">
        <f>IF(X776="","",IFERROR(INDEX(Cl_nom,MATCH(X776,Cl_cle,0)),"(client introuvable)"))</f>
        <v/>
      </c>
      <c r="AA776" s="33">
        <f>IF(X776="","",IFERROR(INDEX(Cl_quartier,MATCH(X776,Cl_cle,0))&amp;"",""))</f>
        <v/>
      </c>
      <c r="AB776" s="45">
        <f>IF(R776&lt;&gt;"Livrée",0,IF(K776&lt;&gt;"",K776,C776))</f>
        <v/>
      </c>
      <c r="AC776" s="33">
        <f>IF(OR(C776="",W776=""),"",P776&amp;"|"&amp;W776&amp;"|"&amp;C776&amp;"|"&amp;E776)</f>
        <v/>
      </c>
      <c r="AD776" s="39">
        <f>IF(AC776="","",IF(COUNTIF(AC$6:AC776,AC776)=1,1,0))</f>
        <v/>
      </c>
      <c r="AE776" s="39">
        <f>IF(AB776=0,"",IF(COUNTIFS(X$6:X776,X776,AB$6:AB776,AB776)=1,1,0))</f>
        <v/>
      </c>
      <c r="AF776" s="34">
        <f>IF(C776="","",YEAR(C776-WEEKDAY(C776,2)+4)&amp;"-S"&amp;TEXT(INT((C776-DATE(YEAR(C776-WEEKDAY(C776,2)+4),1,3)+WEEKDAY(DATE(YEAR(C776-WEEKDAY(C776,2)+4),1,3),2)+5)/7),"00"))</f>
        <v/>
      </c>
    </row>
    <row r="777" ht="18" customHeight="1">
      <c r="A777" s="39" t="n">
        <v>772</v>
      </c>
      <c r="B777" s="33">
        <f>IF(C777="","",IF(P777="À RENSEIGNER","GIC",P777)&amp;"-C"&amp;TEXT(A777,"00000"))</f>
        <v/>
      </c>
      <c r="C777" s="32" t="n"/>
      <c r="D777" s="36" t="n"/>
      <c r="E777" s="36" t="n"/>
      <c r="F777" s="36" t="n"/>
      <c r="G777" s="42" t="n"/>
      <c r="H777" s="37" t="n"/>
      <c r="I777" s="37" t="n"/>
      <c r="J777" s="32" t="n"/>
      <c r="K777" s="32" t="n"/>
      <c r="L777" s="43" t="n"/>
      <c r="M777" s="36" t="n"/>
      <c r="N777" s="44" t="n"/>
      <c r="O777" s="36" t="n"/>
      <c r="P777" s="33">
        <f>IF(C777="","",Commercial_Id)</f>
        <v/>
      </c>
      <c r="Q777" s="34">
        <f>IF(AC777="","",IF(AD777=1,"C"&amp;TEXT(SUM(AD$6:AD777),"0000"),INDEX(Q$6:Q776,MATCH(AC777,AC$6:AC776,0))))</f>
        <v/>
      </c>
      <c r="R777" s="34">
        <f>IF(C777="","",IF(L777="☑ Oui","Annulée",IF(OR(E777="Vente directe",K777&lt;&gt;""),"Livrée",IF(J777&lt;&gt;"","Confirmée","En attente"))))</f>
        <v/>
      </c>
      <c r="S777" s="34">
        <f>IF(F777="","",IFERROR(VLOOKUP(F777,T_Produits,2,FALSE),""))</f>
        <v/>
      </c>
      <c r="T777" s="40">
        <f>IF(F777="","",IFERROR(1/(1/VLOOKUP(F777,T_Produits,3,FALSE)),""))</f>
        <v/>
      </c>
      <c r="U777" s="40">
        <f>IF(H777&lt;&gt;"",H777,T777)</f>
        <v/>
      </c>
      <c r="V777" s="40">
        <f>IF(OR(G777="",U777=""),"",G777*U777-N(I777))</f>
        <v/>
      </c>
      <c r="W777" s="39">
        <f>IF(D777="","",IFERROR(VALUE(MID(D777,LEN(D777)-3,3)),""))</f>
        <v/>
      </c>
      <c r="X777" s="33">
        <f>IF(W777="","",P777&amp;"|"&amp;W777)</f>
        <v/>
      </c>
      <c r="Y777" s="33">
        <f>IF(W777="","",IF(P777="À RENSEIGNER","GIC",P777)&amp;"-"&amp;TEXT(W777,"000"))</f>
        <v/>
      </c>
      <c r="Z777" s="33">
        <f>IF(X777="","",IFERROR(INDEX(Cl_nom,MATCH(X777,Cl_cle,0)),"(client introuvable)"))</f>
        <v/>
      </c>
      <c r="AA777" s="33">
        <f>IF(X777="","",IFERROR(INDEX(Cl_quartier,MATCH(X777,Cl_cle,0))&amp;"",""))</f>
        <v/>
      </c>
      <c r="AB777" s="45">
        <f>IF(R777&lt;&gt;"Livrée",0,IF(K777&lt;&gt;"",K777,C777))</f>
        <v/>
      </c>
      <c r="AC777" s="33">
        <f>IF(OR(C777="",W777=""),"",P777&amp;"|"&amp;W777&amp;"|"&amp;C777&amp;"|"&amp;E777)</f>
        <v/>
      </c>
      <c r="AD777" s="39">
        <f>IF(AC777="","",IF(COUNTIF(AC$6:AC777,AC777)=1,1,0))</f>
        <v/>
      </c>
      <c r="AE777" s="39">
        <f>IF(AB777=0,"",IF(COUNTIFS(X$6:X777,X777,AB$6:AB777,AB777)=1,1,0))</f>
        <v/>
      </c>
      <c r="AF777" s="34">
        <f>IF(C777="","",YEAR(C777-WEEKDAY(C777,2)+4)&amp;"-S"&amp;TEXT(INT((C777-DATE(YEAR(C777-WEEKDAY(C777,2)+4),1,3)+WEEKDAY(DATE(YEAR(C777-WEEKDAY(C777,2)+4),1,3),2)+5)/7),"00"))</f>
        <v/>
      </c>
    </row>
    <row r="778" ht="18" customHeight="1">
      <c r="A778" s="39" t="n">
        <v>773</v>
      </c>
      <c r="B778" s="33">
        <f>IF(C778="","",IF(P778="À RENSEIGNER","GIC",P778)&amp;"-C"&amp;TEXT(A778,"00000"))</f>
        <v/>
      </c>
      <c r="C778" s="32" t="n"/>
      <c r="D778" s="36" t="n"/>
      <c r="E778" s="36" t="n"/>
      <c r="F778" s="36" t="n"/>
      <c r="G778" s="42" t="n"/>
      <c r="H778" s="37" t="n"/>
      <c r="I778" s="37" t="n"/>
      <c r="J778" s="32" t="n"/>
      <c r="K778" s="32" t="n"/>
      <c r="L778" s="43" t="n"/>
      <c r="M778" s="36" t="n"/>
      <c r="N778" s="44" t="n"/>
      <c r="O778" s="36" t="n"/>
      <c r="P778" s="33">
        <f>IF(C778="","",Commercial_Id)</f>
        <v/>
      </c>
      <c r="Q778" s="34">
        <f>IF(AC778="","",IF(AD778=1,"C"&amp;TEXT(SUM(AD$6:AD778),"0000"),INDEX(Q$6:Q777,MATCH(AC778,AC$6:AC777,0))))</f>
        <v/>
      </c>
      <c r="R778" s="34">
        <f>IF(C778="","",IF(L778="☑ Oui","Annulée",IF(OR(E778="Vente directe",K778&lt;&gt;""),"Livrée",IF(J778&lt;&gt;"","Confirmée","En attente"))))</f>
        <v/>
      </c>
      <c r="S778" s="34">
        <f>IF(F778="","",IFERROR(VLOOKUP(F778,T_Produits,2,FALSE),""))</f>
        <v/>
      </c>
      <c r="T778" s="40">
        <f>IF(F778="","",IFERROR(1/(1/VLOOKUP(F778,T_Produits,3,FALSE)),""))</f>
        <v/>
      </c>
      <c r="U778" s="40">
        <f>IF(H778&lt;&gt;"",H778,T778)</f>
        <v/>
      </c>
      <c r="V778" s="40">
        <f>IF(OR(G778="",U778=""),"",G778*U778-N(I778))</f>
        <v/>
      </c>
      <c r="W778" s="39">
        <f>IF(D778="","",IFERROR(VALUE(MID(D778,LEN(D778)-3,3)),""))</f>
        <v/>
      </c>
      <c r="X778" s="33">
        <f>IF(W778="","",P778&amp;"|"&amp;W778)</f>
        <v/>
      </c>
      <c r="Y778" s="33">
        <f>IF(W778="","",IF(P778="À RENSEIGNER","GIC",P778)&amp;"-"&amp;TEXT(W778,"000"))</f>
        <v/>
      </c>
      <c r="Z778" s="33">
        <f>IF(X778="","",IFERROR(INDEX(Cl_nom,MATCH(X778,Cl_cle,0)),"(client introuvable)"))</f>
        <v/>
      </c>
      <c r="AA778" s="33">
        <f>IF(X778="","",IFERROR(INDEX(Cl_quartier,MATCH(X778,Cl_cle,0))&amp;"",""))</f>
        <v/>
      </c>
      <c r="AB778" s="45">
        <f>IF(R778&lt;&gt;"Livrée",0,IF(K778&lt;&gt;"",K778,C778))</f>
        <v/>
      </c>
      <c r="AC778" s="33">
        <f>IF(OR(C778="",W778=""),"",P778&amp;"|"&amp;W778&amp;"|"&amp;C778&amp;"|"&amp;E778)</f>
        <v/>
      </c>
      <c r="AD778" s="39">
        <f>IF(AC778="","",IF(COUNTIF(AC$6:AC778,AC778)=1,1,0))</f>
        <v/>
      </c>
      <c r="AE778" s="39">
        <f>IF(AB778=0,"",IF(COUNTIFS(X$6:X778,X778,AB$6:AB778,AB778)=1,1,0))</f>
        <v/>
      </c>
      <c r="AF778" s="34">
        <f>IF(C778="","",YEAR(C778-WEEKDAY(C778,2)+4)&amp;"-S"&amp;TEXT(INT((C778-DATE(YEAR(C778-WEEKDAY(C778,2)+4),1,3)+WEEKDAY(DATE(YEAR(C778-WEEKDAY(C778,2)+4),1,3),2)+5)/7),"00"))</f>
        <v/>
      </c>
    </row>
    <row r="779" ht="18" customHeight="1">
      <c r="A779" s="39" t="n">
        <v>774</v>
      </c>
      <c r="B779" s="33">
        <f>IF(C779="","",IF(P779="À RENSEIGNER","GIC",P779)&amp;"-C"&amp;TEXT(A779,"00000"))</f>
        <v/>
      </c>
      <c r="C779" s="32" t="n"/>
      <c r="D779" s="36" t="n"/>
      <c r="E779" s="36" t="n"/>
      <c r="F779" s="36" t="n"/>
      <c r="G779" s="42" t="n"/>
      <c r="H779" s="37" t="n"/>
      <c r="I779" s="37" t="n"/>
      <c r="J779" s="32" t="n"/>
      <c r="K779" s="32" t="n"/>
      <c r="L779" s="43" t="n"/>
      <c r="M779" s="36" t="n"/>
      <c r="N779" s="44" t="n"/>
      <c r="O779" s="36" t="n"/>
      <c r="P779" s="33">
        <f>IF(C779="","",Commercial_Id)</f>
        <v/>
      </c>
      <c r="Q779" s="34">
        <f>IF(AC779="","",IF(AD779=1,"C"&amp;TEXT(SUM(AD$6:AD779),"0000"),INDEX(Q$6:Q778,MATCH(AC779,AC$6:AC778,0))))</f>
        <v/>
      </c>
      <c r="R779" s="34">
        <f>IF(C779="","",IF(L779="☑ Oui","Annulée",IF(OR(E779="Vente directe",K779&lt;&gt;""),"Livrée",IF(J779&lt;&gt;"","Confirmée","En attente"))))</f>
        <v/>
      </c>
      <c r="S779" s="34">
        <f>IF(F779="","",IFERROR(VLOOKUP(F779,T_Produits,2,FALSE),""))</f>
        <v/>
      </c>
      <c r="T779" s="40">
        <f>IF(F779="","",IFERROR(1/(1/VLOOKUP(F779,T_Produits,3,FALSE)),""))</f>
        <v/>
      </c>
      <c r="U779" s="40">
        <f>IF(H779&lt;&gt;"",H779,T779)</f>
        <v/>
      </c>
      <c r="V779" s="40">
        <f>IF(OR(G779="",U779=""),"",G779*U779-N(I779))</f>
        <v/>
      </c>
      <c r="W779" s="39">
        <f>IF(D779="","",IFERROR(VALUE(MID(D779,LEN(D779)-3,3)),""))</f>
        <v/>
      </c>
      <c r="X779" s="33">
        <f>IF(W779="","",P779&amp;"|"&amp;W779)</f>
        <v/>
      </c>
      <c r="Y779" s="33">
        <f>IF(W779="","",IF(P779="À RENSEIGNER","GIC",P779)&amp;"-"&amp;TEXT(W779,"000"))</f>
        <v/>
      </c>
      <c r="Z779" s="33">
        <f>IF(X779="","",IFERROR(INDEX(Cl_nom,MATCH(X779,Cl_cle,0)),"(client introuvable)"))</f>
        <v/>
      </c>
      <c r="AA779" s="33">
        <f>IF(X779="","",IFERROR(INDEX(Cl_quartier,MATCH(X779,Cl_cle,0))&amp;"",""))</f>
        <v/>
      </c>
      <c r="AB779" s="45">
        <f>IF(R779&lt;&gt;"Livrée",0,IF(K779&lt;&gt;"",K779,C779))</f>
        <v/>
      </c>
      <c r="AC779" s="33">
        <f>IF(OR(C779="",W779=""),"",P779&amp;"|"&amp;W779&amp;"|"&amp;C779&amp;"|"&amp;E779)</f>
        <v/>
      </c>
      <c r="AD779" s="39">
        <f>IF(AC779="","",IF(COUNTIF(AC$6:AC779,AC779)=1,1,0))</f>
        <v/>
      </c>
      <c r="AE779" s="39">
        <f>IF(AB779=0,"",IF(COUNTIFS(X$6:X779,X779,AB$6:AB779,AB779)=1,1,0))</f>
        <v/>
      </c>
      <c r="AF779" s="34">
        <f>IF(C779="","",YEAR(C779-WEEKDAY(C779,2)+4)&amp;"-S"&amp;TEXT(INT((C779-DATE(YEAR(C779-WEEKDAY(C779,2)+4),1,3)+WEEKDAY(DATE(YEAR(C779-WEEKDAY(C779,2)+4),1,3),2)+5)/7),"00"))</f>
        <v/>
      </c>
    </row>
    <row r="780" ht="18" customHeight="1">
      <c r="A780" s="39" t="n">
        <v>775</v>
      </c>
      <c r="B780" s="33">
        <f>IF(C780="","",IF(P780="À RENSEIGNER","GIC",P780)&amp;"-C"&amp;TEXT(A780,"00000"))</f>
        <v/>
      </c>
      <c r="C780" s="32" t="n"/>
      <c r="D780" s="36" t="n"/>
      <c r="E780" s="36" t="n"/>
      <c r="F780" s="36" t="n"/>
      <c r="G780" s="42" t="n"/>
      <c r="H780" s="37" t="n"/>
      <c r="I780" s="37" t="n"/>
      <c r="J780" s="32" t="n"/>
      <c r="K780" s="32" t="n"/>
      <c r="L780" s="43" t="n"/>
      <c r="M780" s="36" t="n"/>
      <c r="N780" s="44" t="n"/>
      <c r="O780" s="36" t="n"/>
      <c r="P780" s="33">
        <f>IF(C780="","",Commercial_Id)</f>
        <v/>
      </c>
      <c r="Q780" s="34">
        <f>IF(AC780="","",IF(AD780=1,"C"&amp;TEXT(SUM(AD$6:AD780),"0000"),INDEX(Q$6:Q779,MATCH(AC780,AC$6:AC779,0))))</f>
        <v/>
      </c>
      <c r="R780" s="34">
        <f>IF(C780="","",IF(L780="☑ Oui","Annulée",IF(OR(E780="Vente directe",K780&lt;&gt;""),"Livrée",IF(J780&lt;&gt;"","Confirmée","En attente"))))</f>
        <v/>
      </c>
      <c r="S780" s="34">
        <f>IF(F780="","",IFERROR(VLOOKUP(F780,T_Produits,2,FALSE),""))</f>
        <v/>
      </c>
      <c r="T780" s="40">
        <f>IF(F780="","",IFERROR(1/(1/VLOOKUP(F780,T_Produits,3,FALSE)),""))</f>
        <v/>
      </c>
      <c r="U780" s="40">
        <f>IF(H780&lt;&gt;"",H780,T780)</f>
        <v/>
      </c>
      <c r="V780" s="40">
        <f>IF(OR(G780="",U780=""),"",G780*U780-N(I780))</f>
        <v/>
      </c>
      <c r="W780" s="39">
        <f>IF(D780="","",IFERROR(VALUE(MID(D780,LEN(D780)-3,3)),""))</f>
        <v/>
      </c>
      <c r="X780" s="33">
        <f>IF(W780="","",P780&amp;"|"&amp;W780)</f>
        <v/>
      </c>
      <c r="Y780" s="33">
        <f>IF(W780="","",IF(P780="À RENSEIGNER","GIC",P780)&amp;"-"&amp;TEXT(W780,"000"))</f>
        <v/>
      </c>
      <c r="Z780" s="33">
        <f>IF(X780="","",IFERROR(INDEX(Cl_nom,MATCH(X780,Cl_cle,0)),"(client introuvable)"))</f>
        <v/>
      </c>
      <c r="AA780" s="33">
        <f>IF(X780="","",IFERROR(INDEX(Cl_quartier,MATCH(X780,Cl_cle,0))&amp;"",""))</f>
        <v/>
      </c>
      <c r="AB780" s="45">
        <f>IF(R780&lt;&gt;"Livrée",0,IF(K780&lt;&gt;"",K780,C780))</f>
        <v/>
      </c>
      <c r="AC780" s="33">
        <f>IF(OR(C780="",W780=""),"",P780&amp;"|"&amp;W780&amp;"|"&amp;C780&amp;"|"&amp;E780)</f>
        <v/>
      </c>
      <c r="AD780" s="39">
        <f>IF(AC780="","",IF(COUNTIF(AC$6:AC780,AC780)=1,1,0))</f>
        <v/>
      </c>
      <c r="AE780" s="39">
        <f>IF(AB780=0,"",IF(COUNTIFS(X$6:X780,X780,AB$6:AB780,AB780)=1,1,0))</f>
        <v/>
      </c>
      <c r="AF780" s="34">
        <f>IF(C780="","",YEAR(C780-WEEKDAY(C780,2)+4)&amp;"-S"&amp;TEXT(INT((C780-DATE(YEAR(C780-WEEKDAY(C780,2)+4),1,3)+WEEKDAY(DATE(YEAR(C780-WEEKDAY(C780,2)+4),1,3),2)+5)/7),"00"))</f>
        <v/>
      </c>
    </row>
    <row r="781" ht="18" customHeight="1">
      <c r="A781" s="39" t="n">
        <v>776</v>
      </c>
      <c r="B781" s="33">
        <f>IF(C781="","",IF(P781="À RENSEIGNER","GIC",P781)&amp;"-C"&amp;TEXT(A781,"00000"))</f>
        <v/>
      </c>
      <c r="C781" s="32" t="n"/>
      <c r="D781" s="36" t="n"/>
      <c r="E781" s="36" t="n"/>
      <c r="F781" s="36" t="n"/>
      <c r="G781" s="42" t="n"/>
      <c r="H781" s="37" t="n"/>
      <c r="I781" s="37" t="n"/>
      <c r="J781" s="32" t="n"/>
      <c r="K781" s="32" t="n"/>
      <c r="L781" s="43" t="n"/>
      <c r="M781" s="36" t="n"/>
      <c r="N781" s="44" t="n"/>
      <c r="O781" s="36" t="n"/>
      <c r="P781" s="33">
        <f>IF(C781="","",Commercial_Id)</f>
        <v/>
      </c>
      <c r="Q781" s="34">
        <f>IF(AC781="","",IF(AD781=1,"C"&amp;TEXT(SUM(AD$6:AD781),"0000"),INDEX(Q$6:Q780,MATCH(AC781,AC$6:AC780,0))))</f>
        <v/>
      </c>
      <c r="R781" s="34">
        <f>IF(C781="","",IF(L781="☑ Oui","Annulée",IF(OR(E781="Vente directe",K781&lt;&gt;""),"Livrée",IF(J781&lt;&gt;"","Confirmée","En attente"))))</f>
        <v/>
      </c>
      <c r="S781" s="34">
        <f>IF(F781="","",IFERROR(VLOOKUP(F781,T_Produits,2,FALSE),""))</f>
        <v/>
      </c>
      <c r="T781" s="40">
        <f>IF(F781="","",IFERROR(1/(1/VLOOKUP(F781,T_Produits,3,FALSE)),""))</f>
        <v/>
      </c>
      <c r="U781" s="40">
        <f>IF(H781&lt;&gt;"",H781,T781)</f>
        <v/>
      </c>
      <c r="V781" s="40">
        <f>IF(OR(G781="",U781=""),"",G781*U781-N(I781))</f>
        <v/>
      </c>
      <c r="W781" s="39">
        <f>IF(D781="","",IFERROR(VALUE(MID(D781,LEN(D781)-3,3)),""))</f>
        <v/>
      </c>
      <c r="X781" s="33">
        <f>IF(W781="","",P781&amp;"|"&amp;W781)</f>
        <v/>
      </c>
      <c r="Y781" s="33">
        <f>IF(W781="","",IF(P781="À RENSEIGNER","GIC",P781)&amp;"-"&amp;TEXT(W781,"000"))</f>
        <v/>
      </c>
      <c r="Z781" s="33">
        <f>IF(X781="","",IFERROR(INDEX(Cl_nom,MATCH(X781,Cl_cle,0)),"(client introuvable)"))</f>
        <v/>
      </c>
      <c r="AA781" s="33">
        <f>IF(X781="","",IFERROR(INDEX(Cl_quartier,MATCH(X781,Cl_cle,0))&amp;"",""))</f>
        <v/>
      </c>
      <c r="AB781" s="45">
        <f>IF(R781&lt;&gt;"Livrée",0,IF(K781&lt;&gt;"",K781,C781))</f>
        <v/>
      </c>
      <c r="AC781" s="33">
        <f>IF(OR(C781="",W781=""),"",P781&amp;"|"&amp;W781&amp;"|"&amp;C781&amp;"|"&amp;E781)</f>
        <v/>
      </c>
      <c r="AD781" s="39">
        <f>IF(AC781="","",IF(COUNTIF(AC$6:AC781,AC781)=1,1,0))</f>
        <v/>
      </c>
      <c r="AE781" s="39">
        <f>IF(AB781=0,"",IF(COUNTIFS(X$6:X781,X781,AB$6:AB781,AB781)=1,1,0))</f>
        <v/>
      </c>
      <c r="AF781" s="34">
        <f>IF(C781="","",YEAR(C781-WEEKDAY(C781,2)+4)&amp;"-S"&amp;TEXT(INT((C781-DATE(YEAR(C781-WEEKDAY(C781,2)+4),1,3)+WEEKDAY(DATE(YEAR(C781-WEEKDAY(C781,2)+4),1,3),2)+5)/7),"00"))</f>
        <v/>
      </c>
    </row>
    <row r="782" ht="18" customHeight="1">
      <c r="A782" s="39" t="n">
        <v>777</v>
      </c>
      <c r="B782" s="33">
        <f>IF(C782="","",IF(P782="À RENSEIGNER","GIC",P782)&amp;"-C"&amp;TEXT(A782,"00000"))</f>
        <v/>
      </c>
      <c r="C782" s="32" t="n"/>
      <c r="D782" s="36" t="n"/>
      <c r="E782" s="36" t="n"/>
      <c r="F782" s="36" t="n"/>
      <c r="G782" s="42" t="n"/>
      <c r="H782" s="37" t="n"/>
      <c r="I782" s="37" t="n"/>
      <c r="J782" s="32" t="n"/>
      <c r="K782" s="32" t="n"/>
      <c r="L782" s="43" t="n"/>
      <c r="M782" s="36" t="n"/>
      <c r="N782" s="44" t="n"/>
      <c r="O782" s="36" t="n"/>
      <c r="P782" s="33">
        <f>IF(C782="","",Commercial_Id)</f>
        <v/>
      </c>
      <c r="Q782" s="34">
        <f>IF(AC782="","",IF(AD782=1,"C"&amp;TEXT(SUM(AD$6:AD782),"0000"),INDEX(Q$6:Q781,MATCH(AC782,AC$6:AC781,0))))</f>
        <v/>
      </c>
      <c r="R782" s="34">
        <f>IF(C782="","",IF(L782="☑ Oui","Annulée",IF(OR(E782="Vente directe",K782&lt;&gt;""),"Livrée",IF(J782&lt;&gt;"","Confirmée","En attente"))))</f>
        <v/>
      </c>
      <c r="S782" s="34">
        <f>IF(F782="","",IFERROR(VLOOKUP(F782,T_Produits,2,FALSE),""))</f>
        <v/>
      </c>
      <c r="T782" s="40">
        <f>IF(F782="","",IFERROR(1/(1/VLOOKUP(F782,T_Produits,3,FALSE)),""))</f>
        <v/>
      </c>
      <c r="U782" s="40">
        <f>IF(H782&lt;&gt;"",H782,T782)</f>
        <v/>
      </c>
      <c r="V782" s="40">
        <f>IF(OR(G782="",U782=""),"",G782*U782-N(I782))</f>
        <v/>
      </c>
      <c r="W782" s="39">
        <f>IF(D782="","",IFERROR(VALUE(MID(D782,LEN(D782)-3,3)),""))</f>
        <v/>
      </c>
      <c r="X782" s="33">
        <f>IF(W782="","",P782&amp;"|"&amp;W782)</f>
        <v/>
      </c>
      <c r="Y782" s="33">
        <f>IF(W782="","",IF(P782="À RENSEIGNER","GIC",P782)&amp;"-"&amp;TEXT(W782,"000"))</f>
        <v/>
      </c>
      <c r="Z782" s="33">
        <f>IF(X782="","",IFERROR(INDEX(Cl_nom,MATCH(X782,Cl_cle,0)),"(client introuvable)"))</f>
        <v/>
      </c>
      <c r="AA782" s="33">
        <f>IF(X782="","",IFERROR(INDEX(Cl_quartier,MATCH(X782,Cl_cle,0))&amp;"",""))</f>
        <v/>
      </c>
      <c r="AB782" s="45">
        <f>IF(R782&lt;&gt;"Livrée",0,IF(K782&lt;&gt;"",K782,C782))</f>
        <v/>
      </c>
      <c r="AC782" s="33">
        <f>IF(OR(C782="",W782=""),"",P782&amp;"|"&amp;W782&amp;"|"&amp;C782&amp;"|"&amp;E782)</f>
        <v/>
      </c>
      <c r="AD782" s="39">
        <f>IF(AC782="","",IF(COUNTIF(AC$6:AC782,AC782)=1,1,0))</f>
        <v/>
      </c>
      <c r="AE782" s="39">
        <f>IF(AB782=0,"",IF(COUNTIFS(X$6:X782,X782,AB$6:AB782,AB782)=1,1,0))</f>
        <v/>
      </c>
      <c r="AF782" s="34">
        <f>IF(C782="","",YEAR(C782-WEEKDAY(C782,2)+4)&amp;"-S"&amp;TEXT(INT((C782-DATE(YEAR(C782-WEEKDAY(C782,2)+4),1,3)+WEEKDAY(DATE(YEAR(C782-WEEKDAY(C782,2)+4),1,3),2)+5)/7),"00"))</f>
        <v/>
      </c>
    </row>
    <row r="783" ht="18" customHeight="1">
      <c r="A783" s="39" t="n">
        <v>778</v>
      </c>
      <c r="B783" s="33">
        <f>IF(C783="","",IF(P783="À RENSEIGNER","GIC",P783)&amp;"-C"&amp;TEXT(A783,"00000"))</f>
        <v/>
      </c>
      <c r="C783" s="32" t="n"/>
      <c r="D783" s="36" t="n"/>
      <c r="E783" s="36" t="n"/>
      <c r="F783" s="36" t="n"/>
      <c r="G783" s="42" t="n"/>
      <c r="H783" s="37" t="n"/>
      <c r="I783" s="37" t="n"/>
      <c r="J783" s="32" t="n"/>
      <c r="K783" s="32" t="n"/>
      <c r="L783" s="43" t="n"/>
      <c r="M783" s="36" t="n"/>
      <c r="N783" s="44" t="n"/>
      <c r="O783" s="36" t="n"/>
      <c r="P783" s="33">
        <f>IF(C783="","",Commercial_Id)</f>
        <v/>
      </c>
      <c r="Q783" s="34">
        <f>IF(AC783="","",IF(AD783=1,"C"&amp;TEXT(SUM(AD$6:AD783),"0000"),INDEX(Q$6:Q782,MATCH(AC783,AC$6:AC782,0))))</f>
        <v/>
      </c>
      <c r="R783" s="34">
        <f>IF(C783="","",IF(L783="☑ Oui","Annulée",IF(OR(E783="Vente directe",K783&lt;&gt;""),"Livrée",IF(J783&lt;&gt;"","Confirmée","En attente"))))</f>
        <v/>
      </c>
      <c r="S783" s="34">
        <f>IF(F783="","",IFERROR(VLOOKUP(F783,T_Produits,2,FALSE),""))</f>
        <v/>
      </c>
      <c r="T783" s="40">
        <f>IF(F783="","",IFERROR(1/(1/VLOOKUP(F783,T_Produits,3,FALSE)),""))</f>
        <v/>
      </c>
      <c r="U783" s="40">
        <f>IF(H783&lt;&gt;"",H783,T783)</f>
        <v/>
      </c>
      <c r="V783" s="40">
        <f>IF(OR(G783="",U783=""),"",G783*U783-N(I783))</f>
        <v/>
      </c>
      <c r="W783" s="39">
        <f>IF(D783="","",IFERROR(VALUE(MID(D783,LEN(D783)-3,3)),""))</f>
        <v/>
      </c>
      <c r="X783" s="33">
        <f>IF(W783="","",P783&amp;"|"&amp;W783)</f>
        <v/>
      </c>
      <c r="Y783" s="33">
        <f>IF(W783="","",IF(P783="À RENSEIGNER","GIC",P783)&amp;"-"&amp;TEXT(W783,"000"))</f>
        <v/>
      </c>
      <c r="Z783" s="33">
        <f>IF(X783="","",IFERROR(INDEX(Cl_nom,MATCH(X783,Cl_cle,0)),"(client introuvable)"))</f>
        <v/>
      </c>
      <c r="AA783" s="33">
        <f>IF(X783="","",IFERROR(INDEX(Cl_quartier,MATCH(X783,Cl_cle,0))&amp;"",""))</f>
        <v/>
      </c>
      <c r="AB783" s="45">
        <f>IF(R783&lt;&gt;"Livrée",0,IF(K783&lt;&gt;"",K783,C783))</f>
        <v/>
      </c>
      <c r="AC783" s="33">
        <f>IF(OR(C783="",W783=""),"",P783&amp;"|"&amp;W783&amp;"|"&amp;C783&amp;"|"&amp;E783)</f>
        <v/>
      </c>
      <c r="AD783" s="39">
        <f>IF(AC783="","",IF(COUNTIF(AC$6:AC783,AC783)=1,1,0))</f>
        <v/>
      </c>
      <c r="AE783" s="39">
        <f>IF(AB783=0,"",IF(COUNTIFS(X$6:X783,X783,AB$6:AB783,AB783)=1,1,0))</f>
        <v/>
      </c>
      <c r="AF783" s="34">
        <f>IF(C783="","",YEAR(C783-WEEKDAY(C783,2)+4)&amp;"-S"&amp;TEXT(INT((C783-DATE(YEAR(C783-WEEKDAY(C783,2)+4),1,3)+WEEKDAY(DATE(YEAR(C783-WEEKDAY(C783,2)+4),1,3),2)+5)/7),"00"))</f>
        <v/>
      </c>
    </row>
    <row r="784" ht="18" customHeight="1">
      <c r="A784" s="39" t="n">
        <v>779</v>
      </c>
      <c r="B784" s="33">
        <f>IF(C784="","",IF(P784="À RENSEIGNER","GIC",P784)&amp;"-C"&amp;TEXT(A784,"00000"))</f>
        <v/>
      </c>
      <c r="C784" s="32" t="n"/>
      <c r="D784" s="36" t="n"/>
      <c r="E784" s="36" t="n"/>
      <c r="F784" s="36" t="n"/>
      <c r="G784" s="42" t="n"/>
      <c r="H784" s="37" t="n"/>
      <c r="I784" s="37" t="n"/>
      <c r="J784" s="32" t="n"/>
      <c r="K784" s="32" t="n"/>
      <c r="L784" s="43" t="n"/>
      <c r="M784" s="36" t="n"/>
      <c r="N784" s="44" t="n"/>
      <c r="O784" s="36" t="n"/>
      <c r="P784" s="33">
        <f>IF(C784="","",Commercial_Id)</f>
        <v/>
      </c>
      <c r="Q784" s="34">
        <f>IF(AC784="","",IF(AD784=1,"C"&amp;TEXT(SUM(AD$6:AD784),"0000"),INDEX(Q$6:Q783,MATCH(AC784,AC$6:AC783,0))))</f>
        <v/>
      </c>
      <c r="R784" s="34">
        <f>IF(C784="","",IF(L784="☑ Oui","Annulée",IF(OR(E784="Vente directe",K784&lt;&gt;""),"Livrée",IF(J784&lt;&gt;"","Confirmée","En attente"))))</f>
        <v/>
      </c>
      <c r="S784" s="34">
        <f>IF(F784="","",IFERROR(VLOOKUP(F784,T_Produits,2,FALSE),""))</f>
        <v/>
      </c>
      <c r="T784" s="40">
        <f>IF(F784="","",IFERROR(1/(1/VLOOKUP(F784,T_Produits,3,FALSE)),""))</f>
        <v/>
      </c>
      <c r="U784" s="40">
        <f>IF(H784&lt;&gt;"",H784,T784)</f>
        <v/>
      </c>
      <c r="V784" s="40">
        <f>IF(OR(G784="",U784=""),"",G784*U784-N(I784))</f>
        <v/>
      </c>
      <c r="W784" s="39">
        <f>IF(D784="","",IFERROR(VALUE(MID(D784,LEN(D784)-3,3)),""))</f>
        <v/>
      </c>
      <c r="X784" s="33">
        <f>IF(W784="","",P784&amp;"|"&amp;W784)</f>
        <v/>
      </c>
      <c r="Y784" s="33">
        <f>IF(W784="","",IF(P784="À RENSEIGNER","GIC",P784)&amp;"-"&amp;TEXT(W784,"000"))</f>
        <v/>
      </c>
      <c r="Z784" s="33">
        <f>IF(X784="","",IFERROR(INDEX(Cl_nom,MATCH(X784,Cl_cle,0)),"(client introuvable)"))</f>
        <v/>
      </c>
      <c r="AA784" s="33">
        <f>IF(X784="","",IFERROR(INDEX(Cl_quartier,MATCH(X784,Cl_cle,0))&amp;"",""))</f>
        <v/>
      </c>
      <c r="AB784" s="45">
        <f>IF(R784&lt;&gt;"Livrée",0,IF(K784&lt;&gt;"",K784,C784))</f>
        <v/>
      </c>
      <c r="AC784" s="33">
        <f>IF(OR(C784="",W784=""),"",P784&amp;"|"&amp;W784&amp;"|"&amp;C784&amp;"|"&amp;E784)</f>
        <v/>
      </c>
      <c r="AD784" s="39">
        <f>IF(AC784="","",IF(COUNTIF(AC$6:AC784,AC784)=1,1,0))</f>
        <v/>
      </c>
      <c r="AE784" s="39">
        <f>IF(AB784=0,"",IF(COUNTIFS(X$6:X784,X784,AB$6:AB784,AB784)=1,1,0))</f>
        <v/>
      </c>
      <c r="AF784" s="34">
        <f>IF(C784="","",YEAR(C784-WEEKDAY(C784,2)+4)&amp;"-S"&amp;TEXT(INT((C784-DATE(YEAR(C784-WEEKDAY(C784,2)+4),1,3)+WEEKDAY(DATE(YEAR(C784-WEEKDAY(C784,2)+4),1,3),2)+5)/7),"00"))</f>
        <v/>
      </c>
    </row>
    <row r="785" ht="18" customHeight="1">
      <c r="A785" s="39" t="n">
        <v>780</v>
      </c>
      <c r="B785" s="33">
        <f>IF(C785="","",IF(P785="À RENSEIGNER","GIC",P785)&amp;"-C"&amp;TEXT(A785,"00000"))</f>
        <v/>
      </c>
      <c r="C785" s="32" t="n"/>
      <c r="D785" s="36" t="n"/>
      <c r="E785" s="36" t="n"/>
      <c r="F785" s="36" t="n"/>
      <c r="G785" s="42" t="n"/>
      <c r="H785" s="37" t="n"/>
      <c r="I785" s="37" t="n"/>
      <c r="J785" s="32" t="n"/>
      <c r="K785" s="32" t="n"/>
      <c r="L785" s="43" t="n"/>
      <c r="M785" s="36" t="n"/>
      <c r="N785" s="44" t="n"/>
      <c r="O785" s="36" t="n"/>
      <c r="P785" s="33">
        <f>IF(C785="","",Commercial_Id)</f>
        <v/>
      </c>
      <c r="Q785" s="34">
        <f>IF(AC785="","",IF(AD785=1,"C"&amp;TEXT(SUM(AD$6:AD785),"0000"),INDEX(Q$6:Q784,MATCH(AC785,AC$6:AC784,0))))</f>
        <v/>
      </c>
      <c r="R785" s="34">
        <f>IF(C785="","",IF(L785="☑ Oui","Annulée",IF(OR(E785="Vente directe",K785&lt;&gt;""),"Livrée",IF(J785&lt;&gt;"","Confirmée","En attente"))))</f>
        <v/>
      </c>
      <c r="S785" s="34">
        <f>IF(F785="","",IFERROR(VLOOKUP(F785,T_Produits,2,FALSE),""))</f>
        <v/>
      </c>
      <c r="T785" s="40">
        <f>IF(F785="","",IFERROR(1/(1/VLOOKUP(F785,T_Produits,3,FALSE)),""))</f>
        <v/>
      </c>
      <c r="U785" s="40">
        <f>IF(H785&lt;&gt;"",H785,T785)</f>
        <v/>
      </c>
      <c r="V785" s="40">
        <f>IF(OR(G785="",U785=""),"",G785*U785-N(I785))</f>
        <v/>
      </c>
      <c r="W785" s="39">
        <f>IF(D785="","",IFERROR(VALUE(MID(D785,LEN(D785)-3,3)),""))</f>
        <v/>
      </c>
      <c r="X785" s="33">
        <f>IF(W785="","",P785&amp;"|"&amp;W785)</f>
        <v/>
      </c>
      <c r="Y785" s="33">
        <f>IF(W785="","",IF(P785="À RENSEIGNER","GIC",P785)&amp;"-"&amp;TEXT(W785,"000"))</f>
        <v/>
      </c>
      <c r="Z785" s="33">
        <f>IF(X785="","",IFERROR(INDEX(Cl_nom,MATCH(X785,Cl_cle,0)),"(client introuvable)"))</f>
        <v/>
      </c>
      <c r="AA785" s="33">
        <f>IF(X785="","",IFERROR(INDEX(Cl_quartier,MATCH(X785,Cl_cle,0))&amp;"",""))</f>
        <v/>
      </c>
      <c r="AB785" s="45">
        <f>IF(R785&lt;&gt;"Livrée",0,IF(K785&lt;&gt;"",K785,C785))</f>
        <v/>
      </c>
      <c r="AC785" s="33">
        <f>IF(OR(C785="",W785=""),"",P785&amp;"|"&amp;W785&amp;"|"&amp;C785&amp;"|"&amp;E785)</f>
        <v/>
      </c>
      <c r="AD785" s="39">
        <f>IF(AC785="","",IF(COUNTIF(AC$6:AC785,AC785)=1,1,0))</f>
        <v/>
      </c>
      <c r="AE785" s="39">
        <f>IF(AB785=0,"",IF(COUNTIFS(X$6:X785,X785,AB$6:AB785,AB785)=1,1,0))</f>
        <v/>
      </c>
      <c r="AF785" s="34">
        <f>IF(C785="","",YEAR(C785-WEEKDAY(C785,2)+4)&amp;"-S"&amp;TEXT(INT((C785-DATE(YEAR(C785-WEEKDAY(C785,2)+4),1,3)+WEEKDAY(DATE(YEAR(C785-WEEKDAY(C785,2)+4),1,3),2)+5)/7),"00"))</f>
        <v/>
      </c>
    </row>
    <row r="786" ht="18" customHeight="1">
      <c r="A786" s="39" t="n">
        <v>781</v>
      </c>
      <c r="B786" s="33">
        <f>IF(C786="","",IF(P786="À RENSEIGNER","GIC",P786)&amp;"-C"&amp;TEXT(A786,"00000"))</f>
        <v/>
      </c>
      <c r="C786" s="32" t="n"/>
      <c r="D786" s="36" t="n"/>
      <c r="E786" s="36" t="n"/>
      <c r="F786" s="36" t="n"/>
      <c r="G786" s="42" t="n"/>
      <c r="H786" s="37" t="n"/>
      <c r="I786" s="37" t="n"/>
      <c r="J786" s="32" t="n"/>
      <c r="K786" s="32" t="n"/>
      <c r="L786" s="43" t="n"/>
      <c r="M786" s="36" t="n"/>
      <c r="N786" s="44" t="n"/>
      <c r="O786" s="36" t="n"/>
      <c r="P786" s="33">
        <f>IF(C786="","",Commercial_Id)</f>
        <v/>
      </c>
      <c r="Q786" s="34">
        <f>IF(AC786="","",IF(AD786=1,"C"&amp;TEXT(SUM(AD$6:AD786),"0000"),INDEX(Q$6:Q785,MATCH(AC786,AC$6:AC785,0))))</f>
        <v/>
      </c>
      <c r="R786" s="34">
        <f>IF(C786="","",IF(L786="☑ Oui","Annulée",IF(OR(E786="Vente directe",K786&lt;&gt;""),"Livrée",IF(J786&lt;&gt;"","Confirmée","En attente"))))</f>
        <v/>
      </c>
      <c r="S786" s="34">
        <f>IF(F786="","",IFERROR(VLOOKUP(F786,T_Produits,2,FALSE),""))</f>
        <v/>
      </c>
      <c r="T786" s="40">
        <f>IF(F786="","",IFERROR(1/(1/VLOOKUP(F786,T_Produits,3,FALSE)),""))</f>
        <v/>
      </c>
      <c r="U786" s="40">
        <f>IF(H786&lt;&gt;"",H786,T786)</f>
        <v/>
      </c>
      <c r="V786" s="40">
        <f>IF(OR(G786="",U786=""),"",G786*U786-N(I786))</f>
        <v/>
      </c>
      <c r="W786" s="39">
        <f>IF(D786="","",IFERROR(VALUE(MID(D786,LEN(D786)-3,3)),""))</f>
        <v/>
      </c>
      <c r="X786" s="33">
        <f>IF(W786="","",P786&amp;"|"&amp;W786)</f>
        <v/>
      </c>
      <c r="Y786" s="33">
        <f>IF(W786="","",IF(P786="À RENSEIGNER","GIC",P786)&amp;"-"&amp;TEXT(W786,"000"))</f>
        <v/>
      </c>
      <c r="Z786" s="33">
        <f>IF(X786="","",IFERROR(INDEX(Cl_nom,MATCH(X786,Cl_cle,0)),"(client introuvable)"))</f>
        <v/>
      </c>
      <c r="AA786" s="33">
        <f>IF(X786="","",IFERROR(INDEX(Cl_quartier,MATCH(X786,Cl_cle,0))&amp;"",""))</f>
        <v/>
      </c>
      <c r="AB786" s="45">
        <f>IF(R786&lt;&gt;"Livrée",0,IF(K786&lt;&gt;"",K786,C786))</f>
        <v/>
      </c>
      <c r="AC786" s="33">
        <f>IF(OR(C786="",W786=""),"",P786&amp;"|"&amp;W786&amp;"|"&amp;C786&amp;"|"&amp;E786)</f>
        <v/>
      </c>
      <c r="AD786" s="39">
        <f>IF(AC786="","",IF(COUNTIF(AC$6:AC786,AC786)=1,1,0))</f>
        <v/>
      </c>
      <c r="AE786" s="39">
        <f>IF(AB786=0,"",IF(COUNTIFS(X$6:X786,X786,AB$6:AB786,AB786)=1,1,0))</f>
        <v/>
      </c>
      <c r="AF786" s="34">
        <f>IF(C786="","",YEAR(C786-WEEKDAY(C786,2)+4)&amp;"-S"&amp;TEXT(INT((C786-DATE(YEAR(C786-WEEKDAY(C786,2)+4),1,3)+WEEKDAY(DATE(YEAR(C786-WEEKDAY(C786,2)+4),1,3),2)+5)/7),"00"))</f>
        <v/>
      </c>
    </row>
    <row r="787" ht="18" customHeight="1">
      <c r="A787" s="39" t="n">
        <v>782</v>
      </c>
      <c r="B787" s="33">
        <f>IF(C787="","",IF(P787="À RENSEIGNER","GIC",P787)&amp;"-C"&amp;TEXT(A787,"00000"))</f>
        <v/>
      </c>
      <c r="C787" s="32" t="n"/>
      <c r="D787" s="36" t="n"/>
      <c r="E787" s="36" t="n"/>
      <c r="F787" s="36" t="n"/>
      <c r="G787" s="42" t="n"/>
      <c r="H787" s="37" t="n"/>
      <c r="I787" s="37" t="n"/>
      <c r="J787" s="32" t="n"/>
      <c r="K787" s="32" t="n"/>
      <c r="L787" s="43" t="n"/>
      <c r="M787" s="36" t="n"/>
      <c r="N787" s="44" t="n"/>
      <c r="O787" s="36" t="n"/>
      <c r="P787" s="33">
        <f>IF(C787="","",Commercial_Id)</f>
        <v/>
      </c>
      <c r="Q787" s="34">
        <f>IF(AC787="","",IF(AD787=1,"C"&amp;TEXT(SUM(AD$6:AD787),"0000"),INDEX(Q$6:Q786,MATCH(AC787,AC$6:AC786,0))))</f>
        <v/>
      </c>
      <c r="R787" s="34">
        <f>IF(C787="","",IF(L787="☑ Oui","Annulée",IF(OR(E787="Vente directe",K787&lt;&gt;""),"Livrée",IF(J787&lt;&gt;"","Confirmée","En attente"))))</f>
        <v/>
      </c>
      <c r="S787" s="34">
        <f>IF(F787="","",IFERROR(VLOOKUP(F787,T_Produits,2,FALSE),""))</f>
        <v/>
      </c>
      <c r="T787" s="40">
        <f>IF(F787="","",IFERROR(1/(1/VLOOKUP(F787,T_Produits,3,FALSE)),""))</f>
        <v/>
      </c>
      <c r="U787" s="40">
        <f>IF(H787&lt;&gt;"",H787,T787)</f>
        <v/>
      </c>
      <c r="V787" s="40">
        <f>IF(OR(G787="",U787=""),"",G787*U787-N(I787))</f>
        <v/>
      </c>
      <c r="W787" s="39">
        <f>IF(D787="","",IFERROR(VALUE(MID(D787,LEN(D787)-3,3)),""))</f>
        <v/>
      </c>
      <c r="X787" s="33">
        <f>IF(W787="","",P787&amp;"|"&amp;W787)</f>
        <v/>
      </c>
      <c r="Y787" s="33">
        <f>IF(W787="","",IF(P787="À RENSEIGNER","GIC",P787)&amp;"-"&amp;TEXT(W787,"000"))</f>
        <v/>
      </c>
      <c r="Z787" s="33">
        <f>IF(X787="","",IFERROR(INDEX(Cl_nom,MATCH(X787,Cl_cle,0)),"(client introuvable)"))</f>
        <v/>
      </c>
      <c r="AA787" s="33">
        <f>IF(X787="","",IFERROR(INDEX(Cl_quartier,MATCH(X787,Cl_cle,0))&amp;"",""))</f>
        <v/>
      </c>
      <c r="AB787" s="45">
        <f>IF(R787&lt;&gt;"Livrée",0,IF(K787&lt;&gt;"",K787,C787))</f>
        <v/>
      </c>
      <c r="AC787" s="33">
        <f>IF(OR(C787="",W787=""),"",P787&amp;"|"&amp;W787&amp;"|"&amp;C787&amp;"|"&amp;E787)</f>
        <v/>
      </c>
      <c r="AD787" s="39">
        <f>IF(AC787="","",IF(COUNTIF(AC$6:AC787,AC787)=1,1,0))</f>
        <v/>
      </c>
      <c r="AE787" s="39">
        <f>IF(AB787=0,"",IF(COUNTIFS(X$6:X787,X787,AB$6:AB787,AB787)=1,1,0))</f>
        <v/>
      </c>
      <c r="AF787" s="34">
        <f>IF(C787="","",YEAR(C787-WEEKDAY(C787,2)+4)&amp;"-S"&amp;TEXT(INT((C787-DATE(YEAR(C787-WEEKDAY(C787,2)+4),1,3)+WEEKDAY(DATE(YEAR(C787-WEEKDAY(C787,2)+4),1,3),2)+5)/7),"00"))</f>
        <v/>
      </c>
    </row>
    <row r="788" ht="18" customHeight="1">
      <c r="A788" s="39" t="n">
        <v>783</v>
      </c>
      <c r="B788" s="33">
        <f>IF(C788="","",IF(P788="À RENSEIGNER","GIC",P788)&amp;"-C"&amp;TEXT(A788,"00000"))</f>
        <v/>
      </c>
      <c r="C788" s="32" t="n"/>
      <c r="D788" s="36" t="n"/>
      <c r="E788" s="36" t="n"/>
      <c r="F788" s="36" t="n"/>
      <c r="G788" s="42" t="n"/>
      <c r="H788" s="37" t="n"/>
      <c r="I788" s="37" t="n"/>
      <c r="J788" s="32" t="n"/>
      <c r="K788" s="32" t="n"/>
      <c r="L788" s="43" t="n"/>
      <c r="M788" s="36" t="n"/>
      <c r="N788" s="44" t="n"/>
      <c r="O788" s="36" t="n"/>
      <c r="P788" s="33">
        <f>IF(C788="","",Commercial_Id)</f>
        <v/>
      </c>
      <c r="Q788" s="34">
        <f>IF(AC788="","",IF(AD788=1,"C"&amp;TEXT(SUM(AD$6:AD788),"0000"),INDEX(Q$6:Q787,MATCH(AC788,AC$6:AC787,0))))</f>
        <v/>
      </c>
      <c r="R788" s="34">
        <f>IF(C788="","",IF(L788="☑ Oui","Annulée",IF(OR(E788="Vente directe",K788&lt;&gt;""),"Livrée",IF(J788&lt;&gt;"","Confirmée","En attente"))))</f>
        <v/>
      </c>
      <c r="S788" s="34">
        <f>IF(F788="","",IFERROR(VLOOKUP(F788,T_Produits,2,FALSE),""))</f>
        <v/>
      </c>
      <c r="T788" s="40">
        <f>IF(F788="","",IFERROR(1/(1/VLOOKUP(F788,T_Produits,3,FALSE)),""))</f>
        <v/>
      </c>
      <c r="U788" s="40">
        <f>IF(H788&lt;&gt;"",H788,T788)</f>
        <v/>
      </c>
      <c r="V788" s="40">
        <f>IF(OR(G788="",U788=""),"",G788*U788-N(I788))</f>
        <v/>
      </c>
      <c r="W788" s="39">
        <f>IF(D788="","",IFERROR(VALUE(MID(D788,LEN(D788)-3,3)),""))</f>
        <v/>
      </c>
      <c r="X788" s="33">
        <f>IF(W788="","",P788&amp;"|"&amp;W788)</f>
        <v/>
      </c>
      <c r="Y788" s="33">
        <f>IF(W788="","",IF(P788="À RENSEIGNER","GIC",P788)&amp;"-"&amp;TEXT(W788,"000"))</f>
        <v/>
      </c>
      <c r="Z788" s="33">
        <f>IF(X788="","",IFERROR(INDEX(Cl_nom,MATCH(X788,Cl_cle,0)),"(client introuvable)"))</f>
        <v/>
      </c>
      <c r="AA788" s="33">
        <f>IF(X788="","",IFERROR(INDEX(Cl_quartier,MATCH(X788,Cl_cle,0))&amp;"",""))</f>
        <v/>
      </c>
      <c r="AB788" s="45">
        <f>IF(R788&lt;&gt;"Livrée",0,IF(K788&lt;&gt;"",K788,C788))</f>
        <v/>
      </c>
      <c r="AC788" s="33">
        <f>IF(OR(C788="",W788=""),"",P788&amp;"|"&amp;W788&amp;"|"&amp;C788&amp;"|"&amp;E788)</f>
        <v/>
      </c>
      <c r="AD788" s="39">
        <f>IF(AC788="","",IF(COUNTIF(AC$6:AC788,AC788)=1,1,0))</f>
        <v/>
      </c>
      <c r="AE788" s="39">
        <f>IF(AB788=0,"",IF(COUNTIFS(X$6:X788,X788,AB$6:AB788,AB788)=1,1,0))</f>
        <v/>
      </c>
      <c r="AF788" s="34">
        <f>IF(C788="","",YEAR(C788-WEEKDAY(C788,2)+4)&amp;"-S"&amp;TEXT(INT((C788-DATE(YEAR(C788-WEEKDAY(C788,2)+4),1,3)+WEEKDAY(DATE(YEAR(C788-WEEKDAY(C788,2)+4),1,3),2)+5)/7),"00"))</f>
        <v/>
      </c>
    </row>
    <row r="789" ht="18" customHeight="1">
      <c r="A789" s="39" t="n">
        <v>784</v>
      </c>
      <c r="B789" s="33">
        <f>IF(C789="","",IF(P789="À RENSEIGNER","GIC",P789)&amp;"-C"&amp;TEXT(A789,"00000"))</f>
        <v/>
      </c>
      <c r="C789" s="32" t="n"/>
      <c r="D789" s="36" t="n"/>
      <c r="E789" s="36" t="n"/>
      <c r="F789" s="36" t="n"/>
      <c r="G789" s="42" t="n"/>
      <c r="H789" s="37" t="n"/>
      <c r="I789" s="37" t="n"/>
      <c r="J789" s="32" t="n"/>
      <c r="K789" s="32" t="n"/>
      <c r="L789" s="43" t="n"/>
      <c r="M789" s="36" t="n"/>
      <c r="N789" s="44" t="n"/>
      <c r="O789" s="36" t="n"/>
      <c r="P789" s="33">
        <f>IF(C789="","",Commercial_Id)</f>
        <v/>
      </c>
      <c r="Q789" s="34">
        <f>IF(AC789="","",IF(AD789=1,"C"&amp;TEXT(SUM(AD$6:AD789),"0000"),INDEX(Q$6:Q788,MATCH(AC789,AC$6:AC788,0))))</f>
        <v/>
      </c>
      <c r="R789" s="34">
        <f>IF(C789="","",IF(L789="☑ Oui","Annulée",IF(OR(E789="Vente directe",K789&lt;&gt;""),"Livrée",IF(J789&lt;&gt;"","Confirmée","En attente"))))</f>
        <v/>
      </c>
      <c r="S789" s="34">
        <f>IF(F789="","",IFERROR(VLOOKUP(F789,T_Produits,2,FALSE),""))</f>
        <v/>
      </c>
      <c r="T789" s="40">
        <f>IF(F789="","",IFERROR(1/(1/VLOOKUP(F789,T_Produits,3,FALSE)),""))</f>
        <v/>
      </c>
      <c r="U789" s="40">
        <f>IF(H789&lt;&gt;"",H789,T789)</f>
        <v/>
      </c>
      <c r="V789" s="40">
        <f>IF(OR(G789="",U789=""),"",G789*U789-N(I789))</f>
        <v/>
      </c>
      <c r="W789" s="39">
        <f>IF(D789="","",IFERROR(VALUE(MID(D789,LEN(D789)-3,3)),""))</f>
        <v/>
      </c>
      <c r="X789" s="33">
        <f>IF(W789="","",P789&amp;"|"&amp;W789)</f>
        <v/>
      </c>
      <c r="Y789" s="33">
        <f>IF(W789="","",IF(P789="À RENSEIGNER","GIC",P789)&amp;"-"&amp;TEXT(W789,"000"))</f>
        <v/>
      </c>
      <c r="Z789" s="33">
        <f>IF(X789="","",IFERROR(INDEX(Cl_nom,MATCH(X789,Cl_cle,0)),"(client introuvable)"))</f>
        <v/>
      </c>
      <c r="AA789" s="33">
        <f>IF(X789="","",IFERROR(INDEX(Cl_quartier,MATCH(X789,Cl_cle,0))&amp;"",""))</f>
        <v/>
      </c>
      <c r="AB789" s="45">
        <f>IF(R789&lt;&gt;"Livrée",0,IF(K789&lt;&gt;"",K789,C789))</f>
        <v/>
      </c>
      <c r="AC789" s="33">
        <f>IF(OR(C789="",W789=""),"",P789&amp;"|"&amp;W789&amp;"|"&amp;C789&amp;"|"&amp;E789)</f>
        <v/>
      </c>
      <c r="AD789" s="39">
        <f>IF(AC789="","",IF(COUNTIF(AC$6:AC789,AC789)=1,1,0))</f>
        <v/>
      </c>
      <c r="AE789" s="39">
        <f>IF(AB789=0,"",IF(COUNTIFS(X$6:X789,X789,AB$6:AB789,AB789)=1,1,0))</f>
        <v/>
      </c>
      <c r="AF789" s="34">
        <f>IF(C789="","",YEAR(C789-WEEKDAY(C789,2)+4)&amp;"-S"&amp;TEXT(INT((C789-DATE(YEAR(C789-WEEKDAY(C789,2)+4),1,3)+WEEKDAY(DATE(YEAR(C789-WEEKDAY(C789,2)+4),1,3),2)+5)/7),"00"))</f>
        <v/>
      </c>
    </row>
    <row r="790" ht="18" customHeight="1">
      <c r="A790" s="39" t="n">
        <v>785</v>
      </c>
      <c r="B790" s="33">
        <f>IF(C790="","",IF(P790="À RENSEIGNER","GIC",P790)&amp;"-C"&amp;TEXT(A790,"00000"))</f>
        <v/>
      </c>
      <c r="C790" s="32" t="n"/>
      <c r="D790" s="36" t="n"/>
      <c r="E790" s="36" t="n"/>
      <c r="F790" s="36" t="n"/>
      <c r="G790" s="42" t="n"/>
      <c r="H790" s="37" t="n"/>
      <c r="I790" s="37" t="n"/>
      <c r="J790" s="32" t="n"/>
      <c r="K790" s="32" t="n"/>
      <c r="L790" s="43" t="n"/>
      <c r="M790" s="36" t="n"/>
      <c r="N790" s="44" t="n"/>
      <c r="O790" s="36" t="n"/>
      <c r="P790" s="33">
        <f>IF(C790="","",Commercial_Id)</f>
        <v/>
      </c>
      <c r="Q790" s="34">
        <f>IF(AC790="","",IF(AD790=1,"C"&amp;TEXT(SUM(AD$6:AD790),"0000"),INDEX(Q$6:Q789,MATCH(AC790,AC$6:AC789,0))))</f>
        <v/>
      </c>
      <c r="R790" s="34">
        <f>IF(C790="","",IF(L790="☑ Oui","Annulée",IF(OR(E790="Vente directe",K790&lt;&gt;""),"Livrée",IF(J790&lt;&gt;"","Confirmée","En attente"))))</f>
        <v/>
      </c>
      <c r="S790" s="34">
        <f>IF(F790="","",IFERROR(VLOOKUP(F790,T_Produits,2,FALSE),""))</f>
        <v/>
      </c>
      <c r="T790" s="40">
        <f>IF(F790="","",IFERROR(1/(1/VLOOKUP(F790,T_Produits,3,FALSE)),""))</f>
        <v/>
      </c>
      <c r="U790" s="40">
        <f>IF(H790&lt;&gt;"",H790,T790)</f>
        <v/>
      </c>
      <c r="V790" s="40">
        <f>IF(OR(G790="",U790=""),"",G790*U790-N(I790))</f>
        <v/>
      </c>
      <c r="W790" s="39">
        <f>IF(D790="","",IFERROR(VALUE(MID(D790,LEN(D790)-3,3)),""))</f>
        <v/>
      </c>
      <c r="X790" s="33">
        <f>IF(W790="","",P790&amp;"|"&amp;W790)</f>
        <v/>
      </c>
      <c r="Y790" s="33">
        <f>IF(W790="","",IF(P790="À RENSEIGNER","GIC",P790)&amp;"-"&amp;TEXT(W790,"000"))</f>
        <v/>
      </c>
      <c r="Z790" s="33">
        <f>IF(X790="","",IFERROR(INDEX(Cl_nom,MATCH(X790,Cl_cle,0)),"(client introuvable)"))</f>
        <v/>
      </c>
      <c r="AA790" s="33">
        <f>IF(X790="","",IFERROR(INDEX(Cl_quartier,MATCH(X790,Cl_cle,0))&amp;"",""))</f>
        <v/>
      </c>
      <c r="AB790" s="45">
        <f>IF(R790&lt;&gt;"Livrée",0,IF(K790&lt;&gt;"",K790,C790))</f>
        <v/>
      </c>
      <c r="AC790" s="33">
        <f>IF(OR(C790="",W790=""),"",P790&amp;"|"&amp;W790&amp;"|"&amp;C790&amp;"|"&amp;E790)</f>
        <v/>
      </c>
      <c r="AD790" s="39">
        <f>IF(AC790="","",IF(COUNTIF(AC$6:AC790,AC790)=1,1,0))</f>
        <v/>
      </c>
      <c r="AE790" s="39">
        <f>IF(AB790=0,"",IF(COUNTIFS(X$6:X790,X790,AB$6:AB790,AB790)=1,1,0))</f>
        <v/>
      </c>
      <c r="AF790" s="34">
        <f>IF(C790="","",YEAR(C790-WEEKDAY(C790,2)+4)&amp;"-S"&amp;TEXT(INT((C790-DATE(YEAR(C790-WEEKDAY(C790,2)+4),1,3)+WEEKDAY(DATE(YEAR(C790-WEEKDAY(C790,2)+4),1,3),2)+5)/7),"00"))</f>
        <v/>
      </c>
    </row>
    <row r="791" ht="18" customHeight="1">
      <c r="A791" s="39" t="n">
        <v>786</v>
      </c>
      <c r="B791" s="33">
        <f>IF(C791="","",IF(P791="À RENSEIGNER","GIC",P791)&amp;"-C"&amp;TEXT(A791,"00000"))</f>
        <v/>
      </c>
      <c r="C791" s="32" t="n"/>
      <c r="D791" s="36" t="n"/>
      <c r="E791" s="36" t="n"/>
      <c r="F791" s="36" t="n"/>
      <c r="G791" s="42" t="n"/>
      <c r="H791" s="37" t="n"/>
      <c r="I791" s="37" t="n"/>
      <c r="J791" s="32" t="n"/>
      <c r="K791" s="32" t="n"/>
      <c r="L791" s="43" t="n"/>
      <c r="M791" s="36" t="n"/>
      <c r="N791" s="44" t="n"/>
      <c r="O791" s="36" t="n"/>
      <c r="P791" s="33">
        <f>IF(C791="","",Commercial_Id)</f>
        <v/>
      </c>
      <c r="Q791" s="34">
        <f>IF(AC791="","",IF(AD791=1,"C"&amp;TEXT(SUM(AD$6:AD791),"0000"),INDEX(Q$6:Q790,MATCH(AC791,AC$6:AC790,0))))</f>
        <v/>
      </c>
      <c r="R791" s="34">
        <f>IF(C791="","",IF(L791="☑ Oui","Annulée",IF(OR(E791="Vente directe",K791&lt;&gt;""),"Livrée",IF(J791&lt;&gt;"","Confirmée","En attente"))))</f>
        <v/>
      </c>
      <c r="S791" s="34">
        <f>IF(F791="","",IFERROR(VLOOKUP(F791,T_Produits,2,FALSE),""))</f>
        <v/>
      </c>
      <c r="T791" s="40">
        <f>IF(F791="","",IFERROR(1/(1/VLOOKUP(F791,T_Produits,3,FALSE)),""))</f>
        <v/>
      </c>
      <c r="U791" s="40">
        <f>IF(H791&lt;&gt;"",H791,T791)</f>
        <v/>
      </c>
      <c r="V791" s="40">
        <f>IF(OR(G791="",U791=""),"",G791*U791-N(I791))</f>
        <v/>
      </c>
      <c r="W791" s="39">
        <f>IF(D791="","",IFERROR(VALUE(MID(D791,LEN(D791)-3,3)),""))</f>
        <v/>
      </c>
      <c r="X791" s="33">
        <f>IF(W791="","",P791&amp;"|"&amp;W791)</f>
        <v/>
      </c>
      <c r="Y791" s="33">
        <f>IF(W791="","",IF(P791="À RENSEIGNER","GIC",P791)&amp;"-"&amp;TEXT(W791,"000"))</f>
        <v/>
      </c>
      <c r="Z791" s="33">
        <f>IF(X791="","",IFERROR(INDEX(Cl_nom,MATCH(X791,Cl_cle,0)),"(client introuvable)"))</f>
        <v/>
      </c>
      <c r="AA791" s="33">
        <f>IF(X791="","",IFERROR(INDEX(Cl_quartier,MATCH(X791,Cl_cle,0))&amp;"",""))</f>
        <v/>
      </c>
      <c r="AB791" s="45">
        <f>IF(R791&lt;&gt;"Livrée",0,IF(K791&lt;&gt;"",K791,C791))</f>
        <v/>
      </c>
      <c r="AC791" s="33">
        <f>IF(OR(C791="",W791=""),"",P791&amp;"|"&amp;W791&amp;"|"&amp;C791&amp;"|"&amp;E791)</f>
        <v/>
      </c>
      <c r="AD791" s="39">
        <f>IF(AC791="","",IF(COUNTIF(AC$6:AC791,AC791)=1,1,0))</f>
        <v/>
      </c>
      <c r="AE791" s="39">
        <f>IF(AB791=0,"",IF(COUNTIFS(X$6:X791,X791,AB$6:AB791,AB791)=1,1,0))</f>
        <v/>
      </c>
      <c r="AF791" s="34">
        <f>IF(C791="","",YEAR(C791-WEEKDAY(C791,2)+4)&amp;"-S"&amp;TEXT(INT((C791-DATE(YEAR(C791-WEEKDAY(C791,2)+4),1,3)+WEEKDAY(DATE(YEAR(C791-WEEKDAY(C791,2)+4),1,3),2)+5)/7),"00"))</f>
        <v/>
      </c>
    </row>
    <row r="792" ht="18" customHeight="1">
      <c r="A792" s="39" t="n">
        <v>787</v>
      </c>
      <c r="B792" s="33">
        <f>IF(C792="","",IF(P792="À RENSEIGNER","GIC",P792)&amp;"-C"&amp;TEXT(A792,"00000"))</f>
        <v/>
      </c>
      <c r="C792" s="32" t="n"/>
      <c r="D792" s="36" t="n"/>
      <c r="E792" s="36" t="n"/>
      <c r="F792" s="36" t="n"/>
      <c r="G792" s="42" t="n"/>
      <c r="H792" s="37" t="n"/>
      <c r="I792" s="37" t="n"/>
      <c r="J792" s="32" t="n"/>
      <c r="K792" s="32" t="n"/>
      <c r="L792" s="43" t="n"/>
      <c r="M792" s="36" t="n"/>
      <c r="N792" s="44" t="n"/>
      <c r="O792" s="36" t="n"/>
      <c r="P792" s="33">
        <f>IF(C792="","",Commercial_Id)</f>
        <v/>
      </c>
      <c r="Q792" s="34">
        <f>IF(AC792="","",IF(AD792=1,"C"&amp;TEXT(SUM(AD$6:AD792),"0000"),INDEX(Q$6:Q791,MATCH(AC792,AC$6:AC791,0))))</f>
        <v/>
      </c>
      <c r="R792" s="34">
        <f>IF(C792="","",IF(L792="☑ Oui","Annulée",IF(OR(E792="Vente directe",K792&lt;&gt;""),"Livrée",IF(J792&lt;&gt;"","Confirmée","En attente"))))</f>
        <v/>
      </c>
      <c r="S792" s="34">
        <f>IF(F792="","",IFERROR(VLOOKUP(F792,T_Produits,2,FALSE),""))</f>
        <v/>
      </c>
      <c r="T792" s="40">
        <f>IF(F792="","",IFERROR(1/(1/VLOOKUP(F792,T_Produits,3,FALSE)),""))</f>
        <v/>
      </c>
      <c r="U792" s="40">
        <f>IF(H792&lt;&gt;"",H792,T792)</f>
        <v/>
      </c>
      <c r="V792" s="40">
        <f>IF(OR(G792="",U792=""),"",G792*U792-N(I792))</f>
        <v/>
      </c>
      <c r="W792" s="39">
        <f>IF(D792="","",IFERROR(VALUE(MID(D792,LEN(D792)-3,3)),""))</f>
        <v/>
      </c>
      <c r="X792" s="33">
        <f>IF(W792="","",P792&amp;"|"&amp;W792)</f>
        <v/>
      </c>
      <c r="Y792" s="33">
        <f>IF(W792="","",IF(P792="À RENSEIGNER","GIC",P792)&amp;"-"&amp;TEXT(W792,"000"))</f>
        <v/>
      </c>
      <c r="Z792" s="33">
        <f>IF(X792="","",IFERROR(INDEX(Cl_nom,MATCH(X792,Cl_cle,0)),"(client introuvable)"))</f>
        <v/>
      </c>
      <c r="AA792" s="33">
        <f>IF(X792="","",IFERROR(INDEX(Cl_quartier,MATCH(X792,Cl_cle,0))&amp;"",""))</f>
        <v/>
      </c>
      <c r="AB792" s="45">
        <f>IF(R792&lt;&gt;"Livrée",0,IF(K792&lt;&gt;"",K792,C792))</f>
        <v/>
      </c>
      <c r="AC792" s="33">
        <f>IF(OR(C792="",W792=""),"",P792&amp;"|"&amp;W792&amp;"|"&amp;C792&amp;"|"&amp;E792)</f>
        <v/>
      </c>
      <c r="AD792" s="39">
        <f>IF(AC792="","",IF(COUNTIF(AC$6:AC792,AC792)=1,1,0))</f>
        <v/>
      </c>
      <c r="AE792" s="39">
        <f>IF(AB792=0,"",IF(COUNTIFS(X$6:X792,X792,AB$6:AB792,AB792)=1,1,0))</f>
        <v/>
      </c>
      <c r="AF792" s="34">
        <f>IF(C792="","",YEAR(C792-WEEKDAY(C792,2)+4)&amp;"-S"&amp;TEXT(INT((C792-DATE(YEAR(C792-WEEKDAY(C792,2)+4),1,3)+WEEKDAY(DATE(YEAR(C792-WEEKDAY(C792,2)+4),1,3),2)+5)/7),"00"))</f>
        <v/>
      </c>
    </row>
    <row r="793" ht="18" customHeight="1">
      <c r="A793" s="39" t="n">
        <v>788</v>
      </c>
      <c r="B793" s="33">
        <f>IF(C793="","",IF(P793="À RENSEIGNER","GIC",P793)&amp;"-C"&amp;TEXT(A793,"00000"))</f>
        <v/>
      </c>
      <c r="C793" s="32" t="n"/>
      <c r="D793" s="36" t="n"/>
      <c r="E793" s="36" t="n"/>
      <c r="F793" s="36" t="n"/>
      <c r="G793" s="42" t="n"/>
      <c r="H793" s="37" t="n"/>
      <c r="I793" s="37" t="n"/>
      <c r="J793" s="32" t="n"/>
      <c r="K793" s="32" t="n"/>
      <c r="L793" s="43" t="n"/>
      <c r="M793" s="36" t="n"/>
      <c r="N793" s="44" t="n"/>
      <c r="O793" s="36" t="n"/>
      <c r="P793" s="33">
        <f>IF(C793="","",Commercial_Id)</f>
        <v/>
      </c>
      <c r="Q793" s="34">
        <f>IF(AC793="","",IF(AD793=1,"C"&amp;TEXT(SUM(AD$6:AD793),"0000"),INDEX(Q$6:Q792,MATCH(AC793,AC$6:AC792,0))))</f>
        <v/>
      </c>
      <c r="R793" s="34">
        <f>IF(C793="","",IF(L793="☑ Oui","Annulée",IF(OR(E793="Vente directe",K793&lt;&gt;""),"Livrée",IF(J793&lt;&gt;"","Confirmée","En attente"))))</f>
        <v/>
      </c>
      <c r="S793" s="34">
        <f>IF(F793="","",IFERROR(VLOOKUP(F793,T_Produits,2,FALSE),""))</f>
        <v/>
      </c>
      <c r="T793" s="40">
        <f>IF(F793="","",IFERROR(1/(1/VLOOKUP(F793,T_Produits,3,FALSE)),""))</f>
        <v/>
      </c>
      <c r="U793" s="40">
        <f>IF(H793&lt;&gt;"",H793,T793)</f>
        <v/>
      </c>
      <c r="V793" s="40">
        <f>IF(OR(G793="",U793=""),"",G793*U793-N(I793))</f>
        <v/>
      </c>
      <c r="W793" s="39">
        <f>IF(D793="","",IFERROR(VALUE(MID(D793,LEN(D793)-3,3)),""))</f>
        <v/>
      </c>
      <c r="X793" s="33">
        <f>IF(W793="","",P793&amp;"|"&amp;W793)</f>
        <v/>
      </c>
      <c r="Y793" s="33">
        <f>IF(W793="","",IF(P793="À RENSEIGNER","GIC",P793)&amp;"-"&amp;TEXT(W793,"000"))</f>
        <v/>
      </c>
      <c r="Z793" s="33">
        <f>IF(X793="","",IFERROR(INDEX(Cl_nom,MATCH(X793,Cl_cle,0)),"(client introuvable)"))</f>
        <v/>
      </c>
      <c r="AA793" s="33">
        <f>IF(X793="","",IFERROR(INDEX(Cl_quartier,MATCH(X793,Cl_cle,0))&amp;"",""))</f>
        <v/>
      </c>
      <c r="AB793" s="45">
        <f>IF(R793&lt;&gt;"Livrée",0,IF(K793&lt;&gt;"",K793,C793))</f>
        <v/>
      </c>
      <c r="AC793" s="33">
        <f>IF(OR(C793="",W793=""),"",P793&amp;"|"&amp;W793&amp;"|"&amp;C793&amp;"|"&amp;E793)</f>
        <v/>
      </c>
      <c r="AD793" s="39">
        <f>IF(AC793="","",IF(COUNTIF(AC$6:AC793,AC793)=1,1,0))</f>
        <v/>
      </c>
      <c r="AE793" s="39">
        <f>IF(AB793=0,"",IF(COUNTIFS(X$6:X793,X793,AB$6:AB793,AB793)=1,1,0))</f>
        <v/>
      </c>
      <c r="AF793" s="34">
        <f>IF(C793="","",YEAR(C793-WEEKDAY(C793,2)+4)&amp;"-S"&amp;TEXT(INT((C793-DATE(YEAR(C793-WEEKDAY(C793,2)+4),1,3)+WEEKDAY(DATE(YEAR(C793-WEEKDAY(C793,2)+4),1,3),2)+5)/7),"00"))</f>
        <v/>
      </c>
    </row>
    <row r="794" ht="18" customHeight="1">
      <c r="A794" s="39" t="n">
        <v>789</v>
      </c>
      <c r="B794" s="33">
        <f>IF(C794="","",IF(P794="À RENSEIGNER","GIC",P794)&amp;"-C"&amp;TEXT(A794,"00000"))</f>
        <v/>
      </c>
      <c r="C794" s="32" t="n"/>
      <c r="D794" s="36" t="n"/>
      <c r="E794" s="36" t="n"/>
      <c r="F794" s="36" t="n"/>
      <c r="G794" s="42" t="n"/>
      <c r="H794" s="37" t="n"/>
      <c r="I794" s="37" t="n"/>
      <c r="J794" s="32" t="n"/>
      <c r="K794" s="32" t="n"/>
      <c r="L794" s="43" t="n"/>
      <c r="M794" s="36" t="n"/>
      <c r="N794" s="44" t="n"/>
      <c r="O794" s="36" t="n"/>
      <c r="P794" s="33">
        <f>IF(C794="","",Commercial_Id)</f>
        <v/>
      </c>
      <c r="Q794" s="34">
        <f>IF(AC794="","",IF(AD794=1,"C"&amp;TEXT(SUM(AD$6:AD794),"0000"),INDEX(Q$6:Q793,MATCH(AC794,AC$6:AC793,0))))</f>
        <v/>
      </c>
      <c r="R794" s="34">
        <f>IF(C794="","",IF(L794="☑ Oui","Annulée",IF(OR(E794="Vente directe",K794&lt;&gt;""),"Livrée",IF(J794&lt;&gt;"","Confirmée","En attente"))))</f>
        <v/>
      </c>
      <c r="S794" s="34">
        <f>IF(F794="","",IFERROR(VLOOKUP(F794,T_Produits,2,FALSE),""))</f>
        <v/>
      </c>
      <c r="T794" s="40">
        <f>IF(F794="","",IFERROR(1/(1/VLOOKUP(F794,T_Produits,3,FALSE)),""))</f>
        <v/>
      </c>
      <c r="U794" s="40">
        <f>IF(H794&lt;&gt;"",H794,T794)</f>
        <v/>
      </c>
      <c r="V794" s="40">
        <f>IF(OR(G794="",U794=""),"",G794*U794-N(I794))</f>
        <v/>
      </c>
      <c r="W794" s="39">
        <f>IF(D794="","",IFERROR(VALUE(MID(D794,LEN(D794)-3,3)),""))</f>
        <v/>
      </c>
      <c r="X794" s="33">
        <f>IF(W794="","",P794&amp;"|"&amp;W794)</f>
        <v/>
      </c>
      <c r="Y794" s="33">
        <f>IF(W794="","",IF(P794="À RENSEIGNER","GIC",P794)&amp;"-"&amp;TEXT(W794,"000"))</f>
        <v/>
      </c>
      <c r="Z794" s="33">
        <f>IF(X794="","",IFERROR(INDEX(Cl_nom,MATCH(X794,Cl_cle,0)),"(client introuvable)"))</f>
        <v/>
      </c>
      <c r="AA794" s="33">
        <f>IF(X794="","",IFERROR(INDEX(Cl_quartier,MATCH(X794,Cl_cle,0))&amp;"",""))</f>
        <v/>
      </c>
      <c r="AB794" s="45">
        <f>IF(R794&lt;&gt;"Livrée",0,IF(K794&lt;&gt;"",K794,C794))</f>
        <v/>
      </c>
      <c r="AC794" s="33">
        <f>IF(OR(C794="",W794=""),"",P794&amp;"|"&amp;W794&amp;"|"&amp;C794&amp;"|"&amp;E794)</f>
        <v/>
      </c>
      <c r="AD794" s="39">
        <f>IF(AC794="","",IF(COUNTIF(AC$6:AC794,AC794)=1,1,0))</f>
        <v/>
      </c>
      <c r="AE794" s="39">
        <f>IF(AB794=0,"",IF(COUNTIFS(X$6:X794,X794,AB$6:AB794,AB794)=1,1,0))</f>
        <v/>
      </c>
      <c r="AF794" s="34">
        <f>IF(C794="","",YEAR(C794-WEEKDAY(C794,2)+4)&amp;"-S"&amp;TEXT(INT((C794-DATE(YEAR(C794-WEEKDAY(C794,2)+4),1,3)+WEEKDAY(DATE(YEAR(C794-WEEKDAY(C794,2)+4),1,3),2)+5)/7),"00"))</f>
        <v/>
      </c>
    </row>
    <row r="795" ht="18" customHeight="1">
      <c r="A795" s="39" t="n">
        <v>790</v>
      </c>
      <c r="B795" s="33">
        <f>IF(C795="","",IF(P795="À RENSEIGNER","GIC",P795)&amp;"-C"&amp;TEXT(A795,"00000"))</f>
        <v/>
      </c>
      <c r="C795" s="32" t="n"/>
      <c r="D795" s="36" t="n"/>
      <c r="E795" s="36" t="n"/>
      <c r="F795" s="36" t="n"/>
      <c r="G795" s="42" t="n"/>
      <c r="H795" s="37" t="n"/>
      <c r="I795" s="37" t="n"/>
      <c r="J795" s="32" t="n"/>
      <c r="K795" s="32" t="n"/>
      <c r="L795" s="43" t="n"/>
      <c r="M795" s="36" t="n"/>
      <c r="N795" s="44" t="n"/>
      <c r="O795" s="36" t="n"/>
      <c r="P795" s="33">
        <f>IF(C795="","",Commercial_Id)</f>
        <v/>
      </c>
      <c r="Q795" s="34">
        <f>IF(AC795="","",IF(AD795=1,"C"&amp;TEXT(SUM(AD$6:AD795),"0000"),INDEX(Q$6:Q794,MATCH(AC795,AC$6:AC794,0))))</f>
        <v/>
      </c>
      <c r="R795" s="34">
        <f>IF(C795="","",IF(L795="☑ Oui","Annulée",IF(OR(E795="Vente directe",K795&lt;&gt;""),"Livrée",IF(J795&lt;&gt;"","Confirmée","En attente"))))</f>
        <v/>
      </c>
      <c r="S795" s="34">
        <f>IF(F795="","",IFERROR(VLOOKUP(F795,T_Produits,2,FALSE),""))</f>
        <v/>
      </c>
      <c r="T795" s="40">
        <f>IF(F795="","",IFERROR(1/(1/VLOOKUP(F795,T_Produits,3,FALSE)),""))</f>
        <v/>
      </c>
      <c r="U795" s="40">
        <f>IF(H795&lt;&gt;"",H795,T795)</f>
        <v/>
      </c>
      <c r="V795" s="40">
        <f>IF(OR(G795="",U795=""),"",G795*U795-N(I795))</f>
        <v/>
      </c>
      <c r="W795" s="39">
        <f>IF(D795="","",IFERROR(VALUE(MID(D795,LEN(D795)-3,3)),""))</f>
        <v/>
      </c>
      <c r="X795" s="33">
        <f>IF(W795="","",P795&amp;"|"&amp;W795)</f>
        <v/>
      </c>
      <c r="Y795" s="33">
        <f>IF(W795="","",IF(P795="À RENSEIGNER","GIC",P795)&amp;"-"&amp;TEXT(W795,"000"))</f>
        <v/>
      </c>
      <c r="Z795" s="33">
        <f>IF(X795="","",IFERROR(INDEX(Cl_nom,MATCH(X795,Cl_cle,0)),"(client introuvable)"))</f>
        <v/>
      </c>
      <c r="AA795" s="33">
        <f>IF(X795="","",IFERROR(INDEX(Cl_quartier,MATCH(X795,Cl_cle,0))&amp;"",""))</f>
        <v/>
      </c>
      <c r="AB795" s="45">
        <f>IF(R795&lt;&gt;"Livrée",0,IF(K795&lt;&gt;"",K795,C795))</f>
        <v/>
      </c>
      <c r="AC795" s="33">
        <f>IF(OR(C795="",W795=""),"",P795&amp;"|"&amp;W795&amp;"|"&amp;C795&amp;"|"&amp;E795)</f>
        <v/>
      </c>
      <c r="AD795" s="39">
        <f>IF(AC795="","",IF(COUNTIF(AC$6:AC795,AC795)=1,1,0))</f>
        <v/>
      </c>
      <c r="AE795" s="39">
        <f>IF(AB795=0,"",IF(COUNTIFS(X$6:X795,X795,AB$6:AB795,AB795)=1,1,0))</f>
        <v/>
      </c>
      <c r="AF795" s="34">
        <f>IF(C795="","",YEAR(C795-WEEKDAY(C795,2)+4)&amp;"-S"&amp;TEXT(INT((C795-DATE(YEAR(C795-WEEKDAY(C795,2)+4),1,3)+WEEKDAY(DATE(YEAR(C795-WEEKDAY(C795,2)+4),1,3),2)+5)/7),"00"))</f>
        <v/>
      </c>
    </row>
    <row r="796" ht="18" customHeight="1">
      <c r="A796" s="39" t="n">
        <v>791</v>
      </c>
      <c r="B796" s="33">
        <f>IF(C796="","",IF(P796="À RENSEIGNER","GIC",P796)&amp;"-C"&amp;TEXT(A796,"00000"))</f>
        <v/>
      </c>
      <c r="C796" s="32" t="n"/>
      <c r="D796" s="36" t="n"/>
      <c r="E796" s="36" t="n"/>
      <c r="F796" s="36" t="n"/>
      <c r="G796" s="42" t="n"/>
      <c r="H796" s="37" t="n"/>
      <c r="I796" s="37" t="n"/>
      <c r="J796" s="32" t="n"/>
      <c r="K796" s="32" t="n"/>
      <c r="L796" s="43" t="n"/>
      <c r="M796" s="36" t="n"/>
      <c r="N796" s="44" t="n"/>
      <c r="O796" s="36" t="n"/>
      <c r="P796" s="33">
        <f>IF(C796="","",Commercial_Id)</f>
        <v/>
      </c>
      <c r="Q796" s="34">
        <f>IF(AC796="","",IF(AD796=1,"C"&amp;TEXT(SUM(AD$6:AD796),"0000"),INDEX(Q$6:Q795,MATCH(AC796,AC$6:AC795,0))))</f>
        <v/>
      </c>
      <c r="R796" s="34">
        <f>IF(C796="","",IF(L796="☑ Oui","Annulée",IF(OR(E796="Vente directe",K796&lt;&gt;""),"Livrée",IF(J796&lt;&gt;"","Confirmée","En attente"))))</f>
        <v/>
      </c>
      <c r="S796" s="34">
        <f>IF(F796="","",IFERROR(VLOOKUP(F796,T_Produits,2,FALSE),""))</f>
        <v/>
      </c>
      <c r="T796" s="40">
        <f>IF(F796="","",IFERROR(1/(1/VLOOKUP(F796,T_Produits,3,FALSE)),""))</f>
        <v/>
      </c>
      <c r="U796" s="40">
        <f>IF(H796&lt;&gt;"",H796,T796)</f>
        <v/>
      </c>
      <c r="V796" s="40">
        <f>IF(OR(G796="",U796=""),"",G796*U796-N(I796))</f>
        <v/>
      </c>
      <c r="W796" s="39">
        <f>IF(D796="","",IFERROR(VALUE(MID(D796,LEN(D796)-3,3)),""))</f>
        <v/>
      </c>
      <c r="X796" s="33">
        <f>IF(W796="","",P796&amp;"|"&amp;W796)</f>
        <v/>
      </c>
      <c r="Y796" s="33">
        <f>IF(W796="","",IF(P796="À RENSEIGNER","GIC",P796)&amp;"-"&amp;TEXT(W796,"000"))</f>
        <v/>
      </c>
      <c r="Z796" s="33">
        <f>IF(X796="","",IFERROR(INDEX(Cl_nom,MATCH(X796,Cl_cle,0)),"(client introuvable)"))</f>
        <v/>
      </c>
      <c r="AA796" s="33">
        <f>IF(X796="","",IFERROR(INDEX(Cl_quartier,MATCH(X796,Cl_cle,0))&amp;"",""))</f>
        <v/>
      </c>
      <c r="AB796" s="45">
        <f>IF(R796&lt;&gt;"Livrée",0,IF(K796&lt;&gt;"",K796,C796))</f>
        <v/>
      </c>
      <c r="AC796" s="33">
        <f>IF(OR(C796="",W796=""),"",P796&amp;"|"&amp;W796&amp;"|"&amp;C796&amp;"|"&amp;E796)</f>
        <v/>
      </c>
      <c r="AD796" s="39">
        <f>IF(AC796="","",IF(COUNTIF(AC$6:AC796,AC796)=1,1,0))</f>
        <v/>
      </c>
      <c r="AE796" s="39">
        <f>IF(AB796=0,"",IF(COUNTIFS(X$6:X796,X796,AB$6:AB796,AB796)=1,1,0))</f>
        <v/>
      </c>
      <c r="AF796" s="34">
        <f>IF(C796="","",YEAR(C796-WEEKDAY(C796,2)+4)&amp;"-S"&amp;TEXT(INT((C796-DATE(YEAR(C796-WEEKDAY(C796,2)+4),1,3)+WEEKDAY(DATE(YEAR(C796-WEEKDAY(C796,2)+4),1,3),2)+5)/7),"00"))</f>
        <v/>
      </c>
    </row>
    <row r="797" ht="18" customHeight="1">
      <c r="A797" s="39" t="n">
        <v>792</v>
      </c>
      <c r="B797" s="33">
        <f>IF(C797="","",IF(P797="À RENSEIGNER","GIC",P797)&amp;"-C"&amp;TEXT(A797,"00000"))</f>
        <v/>
      </c>
      <c r="C797" s="32" t="n"/>
      <c r="D797" s="36" t="n"/>
      <c r="E797" s="36" t="n"/>
      <c r="F797" s="36" t="n"/>
      <c r="G797" s="42" t="n"/>
      <c r="H797" s="37" t="n"/>
      <c r="I797" s="37" t="n"/>
      <c r="J797" s="32" t="n"/>
      <c r="K797" s="32" t="n"/>
      <c r="L797" s="43" t="n"/>
      <c r="M797" s="36" t="n"/>
      <c r="N797" s="44" t="n"/>
      <c r="O797" s="36" t="n"/>
      <c r="P797" s="33">
        <f>IF(C797="","",Commercial_Id)</f>
        <v/>
      </c>
      <c r="Q797" s="34">
        <f>IF(AC797="","",IF(AD797=1,"C"&amp;TEXT(SUM(AD$6:AD797),"0000"),INDEX(Q$6:Q796,MATCH(AC797,AC$6:AC796,0))))</f>
        <v/>
      </c>
      <c r="R797" s="34">
        <f>IF(C797="","",IF(L797="☑ Oui","Annulée",IF(OR(E797="Vente directe",K797&lt;&gt;""),"Livrée",IF(J797&lt;&gt;"","Confirmée","En attente"))))</f>
        <v/>
      </c>
      <c r="S797" s="34">
        <f>IF(F797="","",IFERROR(VLOOKUP(F797,T_Produits,2,FALSE),""))</f>
        <v/>
      </c>
      <c r="T797" s="40">
        <f>IF(F797="","",IFERROR(1/(1/VLOOKUP(F797,T_Produits,3,FALSE)),""))</f>
        <v/>
      </c>
      <c r="U797" s="40">
        <f>IF(H797&lt;&gt;"",H797,T797)</f>
        <v/>
      </c>
      <c r="V797" s="40">
        <f>IF(OR(G797="",U797=""),"",G797*U797-N(I797))</f>
        <v/>
      </c>
      <c r="W797" s="39">
        <f>IF(D797="","",IFERROR(VALUE(MID(D797,LEN(D797)-3,3)),""))</f>
        <v/>
      </c>
      <c r="X797" s="33">
        <f>IF(W797="","",P797&amp;"|"&amp;W797)</f>
        <v/>
      </c>
      <c r="Y797" s="33">
        <f>IF(W797="","",IF(P797="À RENSEIGNER","GIC",P797)&amp;"-"&amp;TEXT(W797,"000"))</f>
        <v/>
      </c>
      <c r="Z797" s="33">
        <f>IF(X797="","",IFERROR(INDEX(Cl_nom,MATCH(X797,Cl_cle,0)),"(client introuvable)"))</f>
        <v/>
      </c>
      <c r="AA797" s="33">
        <f>IF(X797="","",IFERROR(INDEX(Cl_quartier,MATCH(X797,Cl_cle,0))&amp;"",""))</f>
        <v/>
      </c>
      <c r="AB797" s="45">
        <f>IF(R797&lt;&gt;"Livrée",0,IF(K797&lt;&gt;"",K797,C797))</f>
        <v/>
      </c>
      <c r="AC797" s="33">
        <f>IF(OR(C797="",W797=""),"",P797&amp;"|"&amp;W797&amp;"|"&amp;C797&amp;"|"&amp;E797)</f>
        <v/>
      </c>
      <c r="AD797" s="39">
        <f>IF(AC797="","",IF(COUNTIF(AC$6:AC797,AC797)=1,1,0))</f>
        <v/>
      </c>
      <c r="AE797" s="39">
        <f>IF(AB797=0,"",IF(COUNTIFS(X$6:X797,X797,AB$6:AB797,AB797)=1,1,0))</f>
        <v/>
      </c>
      <c r="AF797" s="34">
        <f>IF(C797="","",YEAR(C797-WEEKDAY(C797,2)+4)&amp;"-S"&amp;TEXT(INT((C797-DATE(YEAR(C797-WEEKDAY(C797,2)+4),1,3)+WEEKDAY(DATE(YEAR(C797-WEEKDAY(C797,2)+4),1,3),2)+5)/7),"00"))</f>
        <v/>
      </c>
    </row>
    <row r="798" ht="18" customHeight="1">
      <c r="A798" s="39" t="n">
        <v>793</v>
      </c>
      <c r="B798" s="33">
        <f>IF(C798="","",IF(P798="À RENSEIGNER","GIC",P798)&amp;"-C"&amp;TEXT(A798,"00000"))</f>
        <v/>
      </c>
      <c r="C798" s="32" t="n"/>
      <c r="D798" s="36" t="n"/>
      <c r="E798" s="36" t="n"/>
      <c r="F798" s="36" t="n"/>
      <c r="G798" s="42" t="n"/>
      <c r="H798" s="37" t="n"/>
      <c r="I798" s="37" t="n"/>
      <c r="J798" s="32" t="n"/>
      <c r="K798" s="32" t="n"/>
      <c r="L798" s="43" t="n"/>
      <c r="M798" s="36" t="n"/>
      <c r="N798" s="44" t="n"/>
      <c r="O798" s="36" t="n"/>
      <c r="P798" s="33">
        <f>IF(C798="","",Commercial_Id)</f>
        <v/>
      </c>
      <c r="Q798" s="34">
        <f>IF(AC798="","",IF(AD798=1,"C"&amp;TEXT(SUM(AD$6:AD798),"0000"),INDEX(Q$6:Q797,MATCH(AC798,AC$6:AC797,0))))</f>
        <v/>
      </c>
      <c r="R798" s="34">
        <f>IF(C798="","",IF(L798="☑ Oui","Annulée",IF(OR(E798="Vente directe",K798&lt;&gt;""),"Livrée",IF(J798&lt;&gt;"","Confirmée","En attente"))))</f>
        <v/>
      </c>
      <c r="S798" s="34">
        <f>IF(F798="","",IFERROR(VLOOKUP(F798,T_Produits,2,FALSE),""))</f>
        <v/>
      </c>
      <c r="T798" s="40">
        <f>IF(F798="","",IFERROR(1/(1/VLOOKUP(F798,T_Produits,3,FALSE)),""))</f>
        <v/>
      </c>
      <c r="U798" s="40">
        <f>IF(H798&lt;&gt;"",H798,T798)</f>
        <v/>
      </c>
      <c r="V798" s="40">
        <f>IF(OR(G798="",U798=""),"",G798*U798-N(I798))</f>
        <v/>
      </c>
      <c r="W798" s="39">
        <f>IF(D798="","",IFERROR(VALUE(MID(D798,LEN(D798)-3,3)),""))</f>
        <v/>
      </c>
      <c r="X798" s="33">
        <f>IF(W798="","",P798&amp;"|"&amp;W798)</f>
        <v/>
      </c>
      <c r="Y798" s="33">
        <f>IF(W798="","",IF(P798="À RENSEIGNER","GIC",P798)&amp;"-"&amp;TEXT(W798,"000"))</f>
        <v/>
      </c>
      <c r="Z798" s="33">
        <f>IF(X798="","",IFERROR(INDEX(Cl_nom,MATCH(X798,Cl_cle,0)),"(client introuvable)"))</f>
        <v/>
      </c>
      <c r="AA798" s="33">
        <f>IF(X798="","",IFERROR(INDEX(Cl_quartier,MATCH(X798,Cl_cle,0))&amp;"",""))</f>
        <v/>
      </c>
      <c r="AB798" s="45">
        <f>IF(R798&lt;&gt;"Livrée",0,IF(K798&lt;&gt;"",K798,C798))</f>
        <v/>
      </c>
      <c r="AC798" s="33">
        <f>IF(OR(C798="",W798=""),"",P798&amp;"|"&amp;W798&amp;"|"&amp;C798&amp;"|"&amp;E798)</f>
        <v/>
      </c>
      <c r="AD798" s="39">
        <f>IF(AC798="","",IF(COUNTIF(AC$6:AC798,AC798)=1,1,0))</f>
        <v/>
      </c>
      <c r="AE798" s="39">
        <f>IF(AB798=0,"",IF(COUNTIFS(X$6:X798,X798,AB$6:AB798,AB798)=1,1,0))</f>
        <v/>
      </c>
      <c r="AF798" s="34">
        <f>IF(C798="","",YEAR(C798-WEEKDAY(C798,2)+4)&amp;"-S"&amp;TEXT(INT((C798-DATE(YEAR(C798-WEEKDAY(C798,2)+4),1,3)+WEEKDAY(DATE(YEAR(C798-WEEKDAY(C798,2)+4),1,3),2)+5)/7),"00"))</f>
        <v/>
      </c>
    </row>
    <row r="799" ht="18" customHeight="1">
      <c r="A799" s="39" t="n">
        <v>794</v>
      </c>
      <c r="B799" s="33">
        <f>IF(C799="","",IF(P799="À RENSEIGNER","GIC",P799)&amp;"-C"&amp;TEXT(A799,"00000"))</f>
        <v/>
      </c>
      <c r="C799" s="32" t="n"/>
      <c r="D799" s="36" t="n"/>
      <c r="E799" s="36" t="n"/>
      <c r="F799" s="36" t="n"/>
      <c r="G799" s="42" t="n"/>
      <c r="H799" s="37" t="n"/>
      <c r="I799" s="37" t="n"/>
      <c r="J799" s="32" t="n"/>
      <c r="K799" s="32" t="n"/>
      <c r="L799" s="43" t="n"/>
      <c r="M799" s="36" t="n"/>
      <c r="N799" s="44" t="n"/>
      <c r="O799" s="36" t="n"/>
      <c r="P799" s="33">
        <f>IF(C799="","",Commercial_Id)</f>
        <v/>
      </c>
      <c r="Q799" s="34">
        <f>IF(AC799="","",IF(AD799=1,"C"&amp;TEXT(SUM(AD$6:AD799),"0000"),INDEX(Q$6:Q798,MATCH(AC799,AC$6:AC798,0))))</f>
        <v/>
      </c>
      <c r="R799" s="34">
        <f>IF(C799="","",IF(L799="☑ Oui","Annulée",IF(OR(E799="Vente directe",K799&lt;&gt;""),"Livrée",IF(J799&lt;&gt;"","Confirmée","En attente"))))</f>
        <v/>
      </c>
      <c r="S799" s="34">
        <f>IF(F799="","",IFERROR(VLOOKUP(F799,T_Produits,2,FALSE),""))</f>
        <v/>
      </c>
      <c r="T799" s="40">
        <f>IF(F799="","",IFERROR(1/(1/VLOOKUP(F799,T_Produits,3,FALSE)),""))</f>
        <v/>
      </c>
      <c r="U799" s="40">
        <f>IF(H799&lt;&gt;"",H799,T799)</f>
        <v/>
      </c>
      <c r="V799" s="40">
        <f>IF(OR(G799="",U799=""),"",G799*U799-N(I799))</f>
        <v/>
      </c>
      <c r="W799" s="39">
        <f>IF(D799="","",IFERROR(VALUE(MID(D799,LEN(D799)-3,3)),""))</f>
        <v/>
      </c>
      <c r="X799" s="33">
        <f>IF(W799="","",P799&amp;"|"&amp;W799)</f>
        <v/>
      </c>
      <c r="Y799" s="33">
        <f>IF(W799="","",IF(P799="À RENSEIGNER","GIC",P799)&amp;"-"&amp;TEXT(W799,"000"))</f>
        <v/>
      </c>
      <c r="Z799" s="33">
        <f>IF(X799="","",IFERROR(INDEX(Cl_nom,MATCH(X799,Cl_cle,0)),"(client introuvable)"))</f>
        <v/>
      </c>
      <c r="AA799" s="33">
        <f>IF(X799="","",IFERROR(INDEX(Cl_quartier,MATCH(X799,Cl_cle,0))&amp;"",""))</f>
        <v/>
      </c>
      <c r="AB799" s="45">
        <f>IF(R799&lt;&gt;"Livrée",0,IF(K799&lt;&gt;"",K799,C799))</f>
        <v/>
      </c>
      <c r="AC799" s="33">
        <f>IF(OR(C799="",W799=""),"",P799&amp;"|"&amp;W799&amp;"|"&amp;C799&amp;"|"&amp;E799)</f>
        <v/>
      </c>
      <c r="AD799" s="39">
        <f>IF(AC799="","",IF(COUNTIF(AC$6:AC799,AC799)=1,1,0))</f>
        <v/>
      </c>
      <c r="AE799" s="39">
        <f>IF(AB799=0,"",IF(COUNTIFS(X$6:X799,X799,AB$6:AB799,AB799)=1,1,0))</f>
        <v/>
      </c>
      <c r="AF799" s="34">
        <f>IF(C799="","",YEAR(C799-WEEKDAY(C799,2)+4)&amp;"-S"&amp;TEXT(INT((C799-DATE(YEAR(C799-WEEKDAY(C799,2)+4),1,3)+WEEKDAY(DATE(YEAR(C799-WEEKDAY(C799,2)+4),1,3),2)+5)/7),"00"))</f>
        <v/>
      </c>
    </row>
    <row r="800" ht="18" customHeight="1">
      <c r="A800" s="39" t="n">
        <v>795</v>
      </c>
      <c r="B800" s="33">
        <f>IF(C800="","",IF(P800="À RENSEIGNER","GIC",P800)&amp;"-C"&amp;TEXT(A800,"00000"))</f>
        <v/>
      </c>
      <c r="C800" s="32" t="n"/>
      <c r="D800" s="36" t="n"/>
      <c r="E800" s="36" t="n"/>
      <c r="F800" s="36" t="n"/>
      <c r="G800" s="42" t="n"/>
      <c r="H800" s="37" t="n"/>
      <c r="I800" s="37" t="n"/>
      <c r="J800" s="32" t="n"/>
      <c r="K800" s="32" t="n"/>
      <c r="L800" s="43" t="n"/>
      <c r="M800" s="36" t="n"/>
      <c r="N800" s="44" t="n"/>
      <c r="O800" s="36" t="n"/>
      <c r="P800" s="33">
        <f>IF(C800="","",Commercial_Id)</f>
        <v/>
      </c>
      <c r="Q800" s="34">
        <f>IF(AC800="","",IF(AD800=1,"C"&amp;TEXT(SUM(AD$6:AD800),"0000"),INDEX(Q$6:Q799,MATCH(AC800,AC$6:AC799,0))))</f>
        <v/>
      </c>
      <c r="R800" s="34">
        <f>IF(C800="","",IF(L800="☑ Oui","Annulée",IF(OR(E800="Vente directe",K800&lt;&gt;""),"Livrée",IF(J800&lt;&gt;"","Confirmée","En attente"))))</f>
        <v/>
      </c>
      <c r="S800" s="34">
        <f>IF(F800="","",IFERROR(VLOOKUP(F800,T_Produits,2,FALSE),""))</f>
        <v/>
      </c>
      <c r="T800" s="40">
        <f>IF(F800="","",IFERROR(1/(1/VLOOKUP(F800,T_Produits,3,FALSE)),""))</f>
        <v/>
      </c>
      <c r="U800" s="40">
        <f>IF(H800&lt;&gt;"",H800,T800)</f>
        <v/>
      </c>
      <c r="V800" s="40">
        <f>IF(OR(G800="",U800=""),"",G800*U800-N(I800))</f>
        <v/>
      </c>
      <c r="W800" s="39">
        <f>IF(D800="","",IFERROR(VALUE(MID(D800,LEN(D800)-3,3)),""))</f>
        <v/>
      </c>
      <c r="X800" s="33">
        <f>IF(W800="","",P800&amp;"|"&amp;W800)</f>
        <v/>
      </c>
      <c r="Y800" s="33">
        <f>IF(W800="","",IF(P800="À RENSEIGNER","GIC",P800)&amp;"-"&amp;TEXT(W800,"000"))</f>
        <v/>
      </c>
      <c r="Z800" s="33">
        <f>IF(X800="","",IFERROR(INDEX(Cl_nom,MATCH(X800,Cl_cle,0)),"(client introuvable)"))</f>
        <v/>
      </c>
      <c r="AA800" s="33">
        <f>IF(X800="","",IFERROR(INDEX(Cl_quartier,MATCH(X800,Cl_cle,0))&amp;"",""))</f>
        <v/>
      </c>
      <c r="AB800" s="45">
        <f>IF(R800&lt;&gt;"Livrée",0,IF(K800&lt;&gt;"",K800,C800))</f>
        <v/>
      </c>
      <c r="AC800" s="33">
        <f>IF(OR(C800="",W800=""),"",P800&amp;"|"&amp;W800&amp;"|"&amp;C800&amp;"|"&amp;E800)</f>
        <v/>
      </c>
      <c r="AD800" s="39">
        <f>IF(AC800="","",IF(COUNTIF(AC$6:AC800,AC800)=1,1,0))</f>
        <v/>
      </c>
      <c r="AE800" s="39">
        <f>IF(AB800=0,"",IF(COUNTIFS(X$6:X800,X800,AB$6:AB800,AB800)=1,1,0))</f>
        <v/>
      </c>
      <c r="AF800" s="34">
        <f>IF(C800="","",YEAR(C800-WEEKDAY(C800,2)+4)&amp;"-S"&amp;TEXT(INT((C800-DATE(YEAR(C800-WEEKDAY(C800,2)+4),1,3)+WEEKDAY(DATE(YEAR(C800-WEEKDAY(C800,2)+4),1,3),2)+5)/7),"00"))</f>
        <v/>
      </c>
    </row>
    <row r="801" ht="18" customHeight="1">
      <c r="A801" s="39" t="n">
        <v>796</v>
      </c>
      <c r="B801" s="33">
        <f>IF(C801="","",IF(P801="À RENSEIGNER","GIC",P801)&amp;"-C"&amp;TEXT(A801,"00000"))</f>
        <v/>
      </c>
      <c r="C801" s="32" t="n"/>
      <c r="D801" s="36" t="n"/>
      <c r="E801" s="36" t="n"/>
      <c r="F801" s="36" t="n"/>
      <c r="G801" s="42" t="n"/>
      <c r="H801" s="37" t="n"/>
      <c r="I801" s="37" t="n"/>
      <c r="J801" s="32" t="n"/>
      <c r="K801" s="32" t="n"/>
      <c r="L801" s="43" t="n"/>
      <c r="M801" s="36" t="n"/>
      <c r="N801" s="44" t="n"/>
      <c r="O801" s="36" t="n"/>
      <c r="P801" s="33">
        <f>IF(C801="","",Commercial_Id)</f>
        <v/>
      </c>
      <c r="Q801" s="34">
        <f>IF(AC801="","",IF(AD801=1,"C"&amp;TEXT(SUM(AD$6:AD801),"0000"),INDEX(Q$6:Q800,MATCH(AC801,AC$6:AC800,0))))</f>
        <v/>
      </c>
      <c r="R801" s="34">
        <f>IF(C801="","",IF(L801="☑ Oui","Annulée",IF(OR(E801="Vente directe",K801&lt;&gt;""),"Livrée",IF(J801&lt;&gt;"","Confirmée","En attente"))))</f>
        <v/>
      </c>
      <c r="S801" s="34">
        <f>IF(F801="","",IFERROR(VLOOKUP(F801,T_Produits,2,FALSE),""))</f>
        <v/>
      </c>
      <c r="T801" s="40">
        <f>IF(F801="","",IFERROR(1/(1/VLOOKUP(F801,T_Produits,3,FALSE)),""))</f>
        <v/>
      </c>
      <c r="U801" s="40">
        <f>IF(H801&lt;&gt;"",H801,T801)</f>
        <v/>
      </c>
      <c r="V801" s="40">
        <f>IF(OR(G801="",U801=""),"",G801*U801-N(I801))</f>
        <v/>
      </c>
      <c r="W801" s="39">
        <f>IF(D801="","",IFERROR(VALUE(MID(D801,LEN(D801)-3,3)),""))</f>
        <v/>
      </c>
      <c r="X801" s="33">
        <f>IF(W801="","",P801&amp;"|"&amp;W801)</f>
        <v/>
      </c>
      <c r="Y801" s="33">
        <f>IF(W801="","",IF(P801="À RENSEIGNER","GIC",P801)&amp;"-"&amp;TEXT(W801,"000"))</f>
        <v/>
      </c>
      <c r="Z801" s="33">
        <f>IF(X801="","",IFERROR(INDEX(Cl_nom,MATCH(X801,Cl_cle,0)),"(client introuvable)"))</f>
        <v/>
      </c>
      <c r="AA801" s="33">
        <f>IF(X801="","",IFERROR(INDEX(Cl_quartier,MATCH(X801,Cl_cle,0))&amp;"",""))</f>
        <v/>
      </c>
      <c r="AB801" s="45">
        <f>IF(R801&lt;&gt;"Livrée",0,IF(K801&lt;&gt;"",K801,C801))</f>
        <v/>
      </c>
      <c r="AC801" s="33">
        <f>IF(OR(C801="",W801=""),"",P801&amp;"|"&amp;W801&amp;"|"&amp;C801&amp;"|"&amp;E801)</f>
        <v/>
      </c>
      <c r="AD801" s="39">
        <f>IF(AC801="","",IF(COUNTIF(AC$6:AC801,AC801)=1,1,0))</f>
        <v/>
      </c>
      <c r="AE801" s="39">
        <f>IF(AB801=0,"",IF(COUNTIFS(X$6:X801,X801,AB$6:AB801,AB801)=1,1,0))</f>
        <v/>
      </c>
      <c r="AF801" s="34">
        <f>IF(C801="","",YEAR(C801-WEEKDAY(C801,2)+4)&amp;"-S"&amp;TEXT(INT((C801-DATE(YEAR(C801-WEEKDAY(C801,2)+4),1,3)+WEEKDAY(DATE(YEAR(C801-WEEKDAY(C801,2)+4),1,3),2)+5)/7),"00"))</f>
        <v/>
      </c>
    </row>
    <row r="802" ht="18" customHeight="1">
      <c r="A802" s="39" t="n">
        <v>797</v>
      </c>
      <c r="B802" s="33">
        <f>IF(C802="","",IF(P802="À RENSEIGNER","GIC",P802)&amp;"-C"&amp;TEXT(A802,"00000"))</f>
        <v/>
      </c>
      <c r="C802" s="32" t="n"/>
      <c r="D802" s="36" t="n"/>
      <c r="E802" s="36" t="n"/>
      <c r="F802" s="36" t="n"/>
      <c r="G802" s="42" t="n"/>
      <c r="H802" s="37" t="n"/>
      <c r="I802" s="37" t="n"/>
      <c r="J802" s="32" t="n"/>
      <c r="K802" s="32" t="n"/>
      <c r="L802" s="43" t="n"/>
      <c r="M802" s="36" t="n"/>
      <c r="N802" s="44" t="n"/>
      <c r="O802" s="36" t="n"/>
      <c r="P802" s="33">
        <f>IF(C802="","",Commercial_Id)</f>
        <v/>
      </c>
      <c r="Q802" s="34">
        <f>IF(AC802="","",IF(AD802=1,"C"&amp;TEXT(SUM(AD$6:AD802),"0000"),INDEX(Q$6:Q801,MATCH(AC802,AC$6:AC801,0))))</f>
        <v/>
      </c>
      <c r="R802" s="34">
        <f>IF(C802="","",IF(L802="☑ Oui","Annulée",IF(OR(E802="Vente directe",K802&lt;&gt;""),"Livrée",IF(J802&lt;&gt;"","Confirmée","En attente"))))</f>
        <v/>
      </c>
      <c r="S802" s="34">
        <f>IF(F802="","",IFERROR(VLOOKUP(F802,T_Produits,2,FALSE),""))</f>
        <v/>
      </c>
      <c r="T802" s="40">
        <f>IF(F802="","",IFERROR(1/(1/VLOOKUP(F802,T_Produits,3,FALSE)),""))</f>
        <v/>
      </c>
      <c r="U802" s="40">
        <f>IF(H802&lt;&gt;"",H802,T802)</f>
        <v/>
      </c>
      <c r="V802" s="40">
        <f>IF(OR(G802="",U802=""),"",G802*U802-N(I802))</f>
        <v/>
      </c>
      <c r="W802" s="39">
        <f>IF(D802="","",IFERROR(VALUE(MID(D802,LEN(D802)-3,3)),""))</f>
        <v/>
      </c>
      <c r="X802" s="33">
        <f>IF(W802="","",P802&amp;"|"&amp;W802)</f>
        <v/>
      </c>
      <c r="Y802" s="33">
        <f>IF(W802="","",IF(P802="À RENSEIGNER","GIC",P802)&amp;"-"&amp;TEXT(W802,"000"))</f>
        <v/>
      </c>
      <c r="Z802" s="33">
        <f>IF(X802="","",IFERROR(INDEX(Cl_nom,MATCH(X802,Cl_cle,0)),"(client introuvable)"))</f>
        <v/>
      </c>
      <c r="AA802" s="33">
        <f>IF(X802="","",IFERROR(INDEX(Cl_quartier,MATCH(X802,Cl_cle,0))&amp;"",""))</f>
        <v/>
      </c>
      <c r="AB802" s="45">
        <f>IF(R802&lt;&gt;"Livrée",0,IF(K802&lt;&gt;"",K802,C802))</f>
        <v/>
      </c>
      <c r="AC802" s="33">
        <f>IF(OR(C802="",W802=""),"",P802&amp;"|"&amp;W802&amp;"|"&amp;C802&amp;"|"&amp;E802)</f>
        <v/>
      </c>
      <c r="AD802" s="39">
        <f>IF(AC802="","",IF(COUNTIF(AC$6:AC802,AC802)=1,1,0))</f>
        <v/>
      </c>
      <c r="AE802" s="39">
        <f>IF(AB802=0,"",IF(COUNTIFS(X$6:X802,X802,AB$6:AB802,AB802)=1,1,0))</f>
        <v/>
      </c>
      <c r="AF802" s="34">
        <f>IF(C802="","",YEAR(C802-WEEKDAY(C802,2)+4)&amp;"-S"&amp;TEXT(INT((C802-DATE(YEAR(C802-WEEKDAY(C802,2)+4),1,3)+WEEKDAY(DATE(YEAR(C802-WEEKDAY(C802,2)+4),1,3),2)+5)/7),"00"))</f>
        <v/>
      </c>
    </row>
    <row r="803" ht="18" customHeight="1">
      <c r="A803" s="39" t="n">
        <v>798</v>
      </c>
      <c r="B803" s="33">
        <f>IF(C803="","",IF(P803="À RENSEIGNER","GIC",P803)&amp;"-C"&amp;TEXT(A803,"00000"))</f>
        <v/>
      </c>
      <c r="C803" s="32" t="n"/>
      <c r="D803" s="36" t="n"/>
      <c r="E803" s="36" t="n"/>
      <c r="F803" s="36" t="n"/>
      <c r="G803" s="42" t="n"/>
      <c r="H803" s="37" t="n"/>
      <c r="I803" s="37" t="n"/>
      <c r="J803" s="32" t="n"/>
      <c r="K803" s="32" t="n"/>
      <c r="L803" s="43" t="n"/>
      <c r="M803" s="36" t="n"/>
      <c r="N803" s="44" t="n"/>
      <c r="O803" s="36" t="n"/>
      <c r="P803" s="33">
        <f>IF(C803="","",Commercial_Id)</f>
        <v/>
      </c>
      <c r="Q803" s="34">
        <f>IF(AC803="","",IF(AD803=1,"C"&amp;TEXT(SUM(AD$6:AD803),"0000"),INDEX(Q$6:Q802,MATCH(AC803,AC$6:AC802,0))))</f>
        <v/>
      </c>
      <c r="R803" s="34">
        <f>IF(C803="","",IF(L803="☑ Oui","Annulée",IF(OR(E803="Vente directe",K803&lt;&gt;""),"Livrée",IF(J803&lt;&gt;"","Confirmée","En attente"))))</f>
        <v/>
      </c>
      <c r="S803" s="34">
        <f>IF(F803="","",IFERROR(VLOOKUP(F803,T_Produits,2,FALSE),""))</f>
        <v/>
      </c>
      <c r="T803" s="40">
        <f>IF(F803="","",IFERROR(1/(1/VLOOKUP(F803,T_Produits,3,FALSE)),""))</f>
        <v/>
      </c>
      <c r="U803" s="40">
        <f>IF(H803&lt;&gt;"",H803,T803)</f>
        <v/>
      </c>
      <c r="V803" s="40">
        <f>IF(OR(G803="",U803=""),"",G803*U803-N(I803))</f>
        <v/>
      </c>
      <c r="W803" s="39">
        <f>IF(D803="","",IFERROR(VALUE(MID(D803,LEN(D803)-3,3)),""))</f>
        <v/>
      </c>
      <c r="X803" s="33">
        <f>IF(W803="","",P803&amp;"|"&amp;W803)</f>
        <v/>
      </c>
      <c r="Y803" s="33">
        <f>IF(W803="","",IF(P803="À RENSEIGNER","GIC",P803)&amp;"-"&amp;TEXT(W803,"000"))</f>
        <v/>
      </c>
      <c r="Z803" s="33">
        <f>IF(X803="","",IFERROR(INDEX(Cl_nom,MATCH(X803,Cl_cle,0)),"(client introuvable)"))</f>
        <v/>
      </c>
      <c r="AA803" s="33">
        <f>IF(X803="","",IFERROR(INDEX(Cl_quartier,MATCH(X803,Cl_cle,0))&amp;"",""))</f>
        <v/>
      </c>
      <c r="AB803" s="45">
        <f>IF(R803&lt;&gt;"Livrée",0,IF(K803&lt;&gt;"",K803,C803))</f>
        <v/>
      </c>
      <c r="AC803" s="33">
        <f>IF(OR(C803="",W803=""),"",P803&amp;"|"&amp;W803&amp;"|"&amp;C803&amp;"|"&amp;E803)</f>
        <v/>
      </c>
      <c r="AD803" s="39">
        <f>IF(AC803="","",IF(COUNTIF(AC$6:AC803,AC803)=1,1,0))</f>
        <v/>
      </c>
      <c r="AE803" s="39">
        <f>IF(AB803=0,"",IF(COUNTIFS(X$6:X803,X803,AB$6:AB803,AB803)=1,1,0))</f>
        <v/>
      </c>
      <c r="AF803" s="34">
        <f>IF(C803="","",YEAR(C803-WEEKDAY(C803,2)+4)&amp;"-S"&amp;TEXT(INT((C803-DATE(YEAR(C803-WEEKDAY(C803,2)+4),1,3)+WEEKDAY(DATE(YEAR(C803-WEEKDAY(C803,2)+4),1,3),2)+5)/7),"00"))</f>
        <v/>
      </c>
    </row>
    <row r="804" ht="18" customHeight="1">
      <c r="A804" s="39" t="n">
        <v>799</v>
      </c>
      <c r="B804" s="33">
        <f>IF(C804="","",IF(P804="À RENSEIGNER","GIC",P804)&amp;"-C"&amp;TEXT(A804,"00000"))</f>
        <v/>
      </c>
      <c r="C804" s="32" t="n"/>
      <c r="D804" s="36" t="n"/>
      <c r="E804" s="36" t="n"/>
      <c r="F804" s="36" t="n"/>
      <c r="G804" s="42" t="n"/>
      <c r="H804" s="37" t="n"/>
      <c r="I804" s="37" t="n"/>
      <c r="J804" s="32" t="n"/>
      <c r="K804" s="32" t="n"/>
      <c r="L804" s="43" t="n"/>
      <c r="M804" s="36" t="n"/>
      <c r="N804" s="44" t="n"/>
      <c r="O804" s="36" t="n"/>
      <c r="P804" s="33">
        <f>IF(C804="","",Commercial_Id)</f>
        <v/>
      </c>
      <c r="Q804" s="34">
        <f>IF(AC804="","",IF(AD804=1,"C"&amp;TEXT(SUM(AD$6:AD804),"0000"),INDEX(Q$6:Q803,MATCH(AC804,AC$6:AC803,0))))</f>
        <v/>
      </c>
      <c r="R804" s="34">
        <f>IF(C804="","",IF(L804="☑ Oui","Annulée",IF(OR(E804="Vente directe",K804&lt;&gt;""),"Livrée",IF(J804&lt;&gt;"","Confirmée","En attente"))))</f>
        <v/>
      </c>
      <c r="S804" s="34">
        <f>IF(F804="","",IFERROR(VLOOKUP(F804,T_Produits,2,FALSE),""))</f>
        <v/>
      </c>
      <c r="T804" s="40">
        <f>IF(F804="","",IFERROR(1/(1/VLOOKUP(F804,T_Produits,3,FALSE)),""))</f>
        <v/>
      </c>
      <c r="U804" s="40">
        <f>IF(H804&lt;&gt;"",H804,T804)</f>
        <v/>
      </c>
      <c r="V804" s="40">
        <f>IF(OR(G804="",U804=""),"",G804*U804-N(I804))</f>
        <v/>
      </c>
      <c r="W804" s="39">
        <f>IF(D804="","",IFERROR(VALUE(MID(D804,LEN(D804)-3,3)),""))</f>
        <v/>
      </c>
      <c r="X804" s="33">
        <f>IF(W804="","",P804&amp;"|"&amp;W804)</f>
        <v/>
      </c>
      <c r="Y804" s="33">
        <f>IF(W804="","",IF(P804="À RENSEIGNER","GIC",P804)&amp;"-"&amp;TEXT(W804,"000"))</f>
        <v/>
      </c>
      <c r="Z804" s="33">
        <f>IF(X804="","",IFERROR(INDEX(Cl_nom,MATCH(X804,Cl_cle,0)),"(client introuvable)"))</f>
        <v/>
      </c>
      <c r="AA804" s="33">
        <f>IF(X804="","",IFERROR(INDEX(Cl_quartier,MATCH(X804,Cl_cle,0))&amp;"",""))</f>
        <v/>
      </c>
      <c r="AB804" s="45">
        <f>IF(R804&lt;&gt;"Livrée",0,IF(K804&lt;&gt;"",K804,C804))</f>
        <v/>
      </c>
      <c r="AC804" s="33">
        <f>IF(OR(C804="",W804=""),"",P804&amp;"|"&amp;W804&amp;"|"&amp;C804&amp;"|"&amp;E804)</f>
        <v/>
      </c>
      <c r="AD804" s="39">
        <f>IF(AC804="","",IF(COUNTIF(AC$6:AC804,AC804)=1,1,0))</f>
        <v/>
      </c>
      <c r="AE804" s="39">
        <f>IF(AB804=0,"",IF(COUNTIFS(X$6:X804,X804,AB$6:AB804,AB804)=1,1,0))</f>
        <v/>
      </c>
      <c r="AF804" s="34">
        <f>IF(C804="","",YEAR(C804-WEEKDAY(C804,2)+4)&amp;"-S"&amp;TEXT(INT((C804-DATE(YEAR(C804-WEEKDAY(C804,2)+4),1,3)+WEEKDAY(DATE(YEAR(C804-WEEKDAY(C804,2)+4),1,3),2)+5)/7),"00"))</f>
        <v/>
      </c>
    </row>
    <row r="805" ht="18" customHeight="1">
      <c r="A805" s="39" t="n">
        <v>800</v>
      </c>
      <c r="B805" s="33">
        <f>IF(C805="","",IF(P805="À RENSEIGNER","GIC",P805)&amp;"-C"&amp;TEXT(A805,"00000"))</f>
        <v/>
      </c>
      <c r="C805" s="32" t="n"/>
      <c r="D805" s="36" t="n"/>
      <c r="E805" s="36" t="n"/>
      <c r="F805" s="36" t="n"/>
      <c r="G805" s="42" t="n"/>
      <c r="H805" s="37" t="n"/>
      <c r="I805" s="37" t="n"/>
      <c r="J805" s="32" t="n"/>
      <c r="K805" s="32" t="n"/>
      <c r="L805" s="43" t="n"/>
      <c r="M805" s="36" t="n"/>
      <c r="N805" s="44" t="n"/>
      <c r="O805" s="36" t="n"/>
      <c r="P805" s="33">
        <f>IF(C805="","",Commercial_Id)</f>
        <v/>
      </c>
      <c r="Q805" s="34">
        <f>IF(AC805="","",IF(AD805=1,"C"&amp;TEXT(SUM(AD$6:AD805),"0000"),INDEX(Q$6:Q804,MATCH(AC805,AC$6:AC804,0))))</f>
        <v/>
      </c>
      <c r="R805" s="34">
        <f>IF(C805="","",IF(L805="☑ Oui","Annulée",IF(OR(E805="Vente directe",K805&lt;&gt;""),"Livrée",IF(J805&lt;&gt;"","Confirmée","En attente"))))</f>
        <v/>
      </c>
      <c r="S805" s="34">
        <f>IF(F805="","",IFERROR(VLOOKUP(F805,T_Produits,2,FALSE),""))</f>
        <v/>
      </c>
      <c r="T805" s="40">
        <f>IF(F805="","",IFERROR(1/(1/VLOOKUP(F805,T_Produits,3,FALSE)),""))</f>
        <v/>
      </c>
      <c r="U805" s="40">
        <f>IF(H805&lt;&gt;"",H805,T805)</f>
        <v/>
      </c>
      <c r="V805" s="40">
        <f>IF(OR(G805="",U805=""),"",G805*U805-N(I805))</f>
        <v/>
      </c>
      <c r="W805" s="39">
        <f>IF(D805="","",IFERROR(VALUE(MID(D805,LEN(D805)-3,3)),""))</f>
        <v/>
      </c>
      <c r="X805" s="33">
        <f>IF(W805="","",P805&amp;"|"&amp;W805)</f>
        <v/>
      </c>
      <c r="Y805" s="33">
        <f>IF(W805="","",IF(P805="À RENSEIGNER","GIC",P805)&amp;"-"&amp;TEXT(W805,"000"))</f>
        <v/>
      </c>
      <c r="Z805" s="33">
        <f>IF(X805="","",IFERROR(INDEX(Cl_nom,MATCH(X805,Cl_cle,0)),"(client introuvable)"))</f>
        <v/>
      </c>
      <c r="AA805" s="33">
        <f>IF(X805="","",IFERROR(INDEX(Cl_quartier,MATCH(X805,Cl_cle,0))&amp;"",""))</f>
        <v/>
      </c>
      <c r="AB805" s="45">
        <f>IF(R805&lt;&gt;"Livrée",0,IF(K805&lt;&gt;"",K805,C805))</f>
        <v/>
      </c>
      <c r="AC805" s="33">
        <f>IF(OR(C805="",W805=""),"",P805&amp;"|"&amp;W805&amp;"|"&amp;C805&amp;"|"&amp;E805)</f>
        <v/>
      </c>
      <c r="AD805" s="39">
        <f>IF(AC805="","",IF(COUNTIF(AC$6:AC805,AC805)=1,1,0))</f>
        <v/>
      </c>
      <c r="AE805" s="39">
        <f>IF(AB805=0,"",IF(COUNTIFS(X$6:X805,X805,AB$6:AB805,AB805)=1,1,0))</f>
        <v/>
      </c>
      <c r="AF805" s="34">
        <f>IF(C805="","",YEAR(C805-WEEKDAY(C805,2)+4)&amp;"-S"&amp;TEXT(INT((C805-DATE(YEAR(C805-WEEKDAY(C805,2)+4),1,3)+WEEKDAY(DATE(YEAR(C805-WEEKDAY(C805,2)+4),1,3),2)+5)/7),"00"))</f>
        <v/>
      </c>
    </row>
    <row r="806" ht="18" customHeight="1">
      <c r="A806" s="39" t="n">
        <v>801</v>
      </c>
      <c r="B806" s="33">
        <f>IF(C806="","",IF(P806="À RENSEIGNER","GIC",P806)&amp;"-C"&amp;TEXT(A806,"00000"))</f>
        <v/>
      </c>
      <c r="C806" s="32" t="n"/>
      <c r="D806" s="36" t="n"/>
      <c r="E806" s="36" t="n"/>
      <c r="F806" s="36" t="n"/>
      <c r="G806" s="42" t="n"/>
      <c r="H806" s="37" t="n"/>
      <c r="I806" s="37" t="n"/>
      <c r="J806" s="32" t="n"/>
      <c r="K806" s="32" t="n"/>
      <c r="L806" s="43" t="n"/>
      <c r="M806" s="36" t="n"/>
      <c r="N806" s="44" t="n"/>
      <c r="O806" s="36" t="n"/>
      <c r="P806" s="33">
        <f>IF(C806="","",Commercial_Id)</f>
        <v/>
      </c>
      <c r="Q806" s="34">
        <f>IF(AC806="","",IF(AD806=1,"C"&amp;TEXT(SUM(AD$6:AD806),"0000"),INDEX(Q$6:Q805,MATCH(AC806,AC$6:AC805,0))))</f>
        <v/>
      </c>
      <c r="R806" s="34">
        <f>IF(C806="","",IF(L806="☑ Oui","Annulée",IF(OR(E806="Vente directe",K806&lt;&gt;""),"Livrée",IF(J806&lt;&gt;"","Confirmée","En attente"))))</f>
        <v/>
      </c>
      <c r="S806" s="34">
        <f>IF(F806="","",IFERROR(VLOOKUP(F806,T_Produits,2,FALSE),""))</f>
        <v/>
      </c>
      <c r="T806" s="40">
        <f>IF(F806="","",IFERROR(1/(1/VLOOKUP(F806,T_Produits,3,FALSE)),""))</f>
        <v/>
      </c>
      <c r="U806" s="40">
        <f>IF(H806&lt;&gt;"",H806,T806)</f>
        <v/>
      </c>
      <c r="V806" s="40">
        <f>IF(OR(G806="",U806=""),"",G806*U806-N(I806))</f>
        <v/>
      </c>
      <c r="W806" s="39">
        <f>IF(D806="","",IFERROR(VALUE(MID(D806,LEN(D806)-3,3)),""))</f>
        <v/>
      </c>
      <c r="X806" s="33">
        <f>IF(W806="","",P806&amp;"|"&amp;W806)</f>
        <v/>
      </c>
      <c r="Y806" s="33">
        <f>IF(W806="","",IF(P806="À RENSEIGNER","GIC",P806)&amp;"-"&amp;TEXT(W806,"000"))</f>
        <v/>
      </c>
      <c r="Z806" s="33">
        <f>IF(X806="","",IFERROR(INDEX(Cl_nom,MATCH(X806,Cl_cle,0)),"(client introuvable)"))</f>
        <v/>
      </c>
      <c r="AA806" s="33">
        <f>IF(X806="","",IFERROR(INDEX(Cl_quartier,MATCH(X806,Cl_cle,0))&amp;"",""))</f>
        <v/>
      </c>
      <c r="AB806" s="45">
        <f>IF(R806&lt;&gt;"Livrée",0,IF(K806&lt;&gt;"",K806,C806))</f>
        <v/>
      </c>
      <c r="AC806" s="33">
        <f>IF(OR(C806="",W806=""),"",P806&amp;"|"&amp;W806&amp;"|"&amp;C806&amp;"|"&amp;E806)</f>
        <v/>
      </c>
      <c r="AD806" s="39">
        <f>IF(AC806="","",IF(COUNTIF(AC$6:AC806,AC806)=1,1,0))</f>
        <v/>
      </c>
      <c r="AE806" s="39">
        <f>IF(AB806=0,"",IF(COUNTIFS(X$6:X806,X806,AB$6:AB806,AB806)=1,1,0))</f>
        <v/>
      </c>
      <c r="AF806" s="34">
        <f>IF(C806="","",YEAR(C806-WEEKDAY(C806,2)+4)&amp;"-S"&amp;TEXT(INT((C806-DATE(YEAR(C806-WEEKDAY(C806,2)+4),1,3)+WEEKDAY(DATE(YEAR(C806-WEEKDAY(C806,2)+4),1,3),2)+5)/7),"00"))</f>
        <v/>
      </c>
    </row>
    <row r="807" ht="18" customHeight="1">
      <c r="A807" s="39" t="n">
        <v>802</v>
      </c>
      <c r="B807" s="33">
        <f>IF(C807="","",IF(P807="À RENSEIGNER","GIC",P807)&amp;"-C"&amp;TEXT(A807,"00000"))</f>
        <v/>
      </c>
      <c r="C807" s="32" t="n"/>
      <c r="D807" s="36" t="n"/>
      <c r="E807" s="36" t="n"/>
      <c r="F807" s="36" t="n"/>
      <c r="G807" s="42" t="n"/>
      <c r="H807" s="37" t="n"/>
      <c r="I807" s="37" t="n"/>
      <c r="J807" s="32" t="n"/>
      <c r="K807" s="32" t="n"/>
      <c r="L807" s="43" t="n"/>
      <c r="M807" s="36" t="n"/>
      <c r="N807" s="44" t="n"/>
      <c r="O807" s="36" t="n"/>
      <c r="P807" s="33">
        <f>IF(C807="","",Commercial_Id)</f>
        <v/>
      </c>
      <c r="Q807" s="34">
        <f>IF(AC807="","",IF(AD807=1,"C"&amp;TEXT(SUM(AD$6:AD807),"0000"),INDEX(Q$6:Q806,MATCH(AC807,AC$6:AC806,0))))</f>
        <v/>
      </c>
      <c r="R807" s="34">
        <f>IF(C807="","",IF(L807="☑ Oui","Annulée",IF(OR(E807="Vente directe",K807&lt;&gt;""),"Livrée",IF(J807&lt;&gt;"","Confirmée","En attente"))))</f>
        <v/>
      </c>
      <c r="S807" s="34">
        <f>IF(F807="","",IFERROR(VLOOKUP(F807,T_Produits,2,FALSE),""))</f>
        <v/>
      </c>
      <c r="T807" s="40">
        <f>IF(F807="","",IFERROR(1/(1/VLOOKUP(F807,T_Produits,3,FALSE)),""))</f>
        <v/>
      </c>
      <c r="U807" s="40">
        <f>IF(H807&lt;&gt;"",H807,T807)</f>
        <v/>
      </c>
      <c r="V807" s="40">
        <f>IF(OR(G807="",U807=""),"",G807*U807-N(I807))</f>
        <v/>
      </c>
      <c r="W807" s="39">
        <f>IF(D807="","",IFERROR(VALUE(MID(D807,LEN(D807)-3,3)),""))</f>
        <v/>
      </c>
      <c r="X807" s="33">
        <f>IF(W807="","",P807&amp;"|"&amp;W807)</f>
        <v/>
      </c>
      <c r="Y807" s="33">
        <f>IF(W807="","",IF(P807="À RENSEIGNER","GIC",P807)&amp;"-"&amp;TEXT(W807,"000"))</f>
        <v/>
      </c>
      <c r="Z807" s="33">
        <f>IF(X807="","",IFERROR(INDEX(Cl_nom,MATCH(X807,Cl_cle,0)),"(client introuvable)"))</f>
        <v/>
      </c>
      <c r="AA807" s="33">
        <f>IF(X807="","",IFERROR(INDEX(Cl_quartier,MATCH(X807,Cl_cle,0))&amp;"",""))</f>
        <v/>
      </c>
      <c r="AB807" s="45">
        <f>IF(R807&lt;&gt;"Livrée",0,IF(K807&lt;&gt;"",K807,C807))</f>
        <v/>
      </c>
      <c r="AC807" s="33">
        <f>IF(OR(C807="",W807=""),"",P807&amp;"|"&amp;W807&amp;"|"&amp;C807&amp;"|"&amp;E807)</f>
        <v/>
      </c>
      <c r="AD807" s="39">
        <f>IF(AC807="","",IF(COUNTIF(AC$6:AC807,AC807)=1,1,0))</f>
        <v/>
      </c>
      <c r="AE807" s="39">
        <f>IF(AB807=0,"",IF(COUNTIFS(X$6:X807,X807,AB$6:AB807,AB807)=1,1,0))</f>
        <v/>
      </c>
      <c r="AF807" s="34">
        <f>IF(C807="","",YEAR(C807-WEEKDAY(C807,2)+4)&amp;"-S"&amp;TEXT(INT((C807-DATE(YEAR(C807-WEEKDAY(C807,2)+4),1,3)+WEEKDAY(DATE(YEAR(C807-WEEKDAY(C807,2)+4),1,3),2)+5)/7),"00"))</f>
        <v/>
      </c>
    </row>
    <row r="808" ht="18" customHeight="1">
      <c r="A808" s="39" t="n">
        <v>803</v>
      </c>
      <c r="B808" s="33">
        <f>IF(C808="","",IF(P808="À RENSEIGNER","GIC",P808)&amp;"-C"&amp;TEXT(A808,"00000"))</f>
        <v/>
      </c>
      <c r="C808" s="32" t="n"/>
      <c r="D808" s="36" t="n"/>
      <c r="E808" s="36" t="n"/>
      <c r="F808" s="36" t="n"/>
      <c r="G808" s="42" t="n"/>
      <c r="H808" s="37" t="n"/>
      <c r="I808" s="37" t="n"/>
      <c r="J808" s="32" t="n"/>
      <c r="K808" s="32" t="n"/>
      <c r="L808" s="43" t="n"/>
      <c r="M808" s="36" t="n"/>
      <c r="N808" s="44" t="n"/>
      <c r="O808" s="36" t="n"/>
      <c r="P808" s="33">
        <f>IF(C808="","",Commercial_Id)</f>
        <v/>
      </c>
      <c r="Q808" s="34">
        <f>IF(AC808="","",IF(AD808=1,"C"&amp;TEXT(SUM(AD$6:AD808),"0000"),INDEX(Q$6:Q807,MATCH(AC808,AC$6:AC807,0))))</f>
        <v/>
      </c>
      <c r="R808" s="34">
        <f>IF(C808="","",IF(L808="☑ Oui","Annulée",IF(OR(E808="Vente directe",K808&lt;&gt;""),"Livrée",IF(J808&lt;&gt;"","Confirmée","En attente"))))</f>
        <v/>
      </c>
      <c r="S808" s="34">
        <f>IF(F808="","",IFERROR(VLOOKUP(F808,T_Produits,2,FALSE),""))</f>
        <v/>
      </c>
      <c r="T808" s="40">
        <f>IF(F808="","",IFERROR(1/(1/VLOOKUP(F808,T_Produits,3,FALSE)),""))</f>
        <v/>
      </c>
      <c r="U808" s="40">
        <f>IF(H808&lt;&gt;"",H808,T808)</f>
        <v/>
      </c>
      <c r="V808" s="40">
        <f>IF(OR(G808="",U808=""),"",G808*U808-N(I808))</f>
        <v/>
      </c>
      <c r="W808" s="39">
        <f>IF(D808="","",IFERROR(VALUE(MID(D808,LEN(D808)-3,3)),""))</f>
        <v/>
      </c>
      <c r="X808" s="33">
        <f>IF(W808="","",P808&amp;"|"&amp;W808)</f>
        <v/>
      </c>
      <c r="Y808" s="33">
        <f>IF(W808="","",IF(P808="À RENSEIGNER","GIC",P808)&amp;"-"&amp;TEXT(W808,"000"))</f>
        <v/>
      </c>
      <c r="Z808" s="33">
        <f>IF(X808="","",IFERROR(INDEX(Cl_nom,MATCH(X808,Cl_cle,0)),"(client introuvable)"))</f>
        <v/>
      </c>
      <c r="AA808" s="33">
        <f>IF(X808="","",IFERROR(INDEX(Cl_quartier,MATCH(X808,Cl_cle,0))&amp;"",""))</f>
        <v/>
      </c>
      <c r="AB808" s="45">
        <f>IF(R808&lt;&gt;"Livrée",0,IF(K808&lt;&gt;"",K808,C808))</f>
        <v/>
      </c>
      <c r="AC808" s="33">
        <f>IF(OR(C808="",W808=""),"",P808&amp;"|"&amp;W808&amp;"|"&amp;C808&amp;"|"&amp;E808)</f>
        <v/>
      </c>
      <c r="AD808" s="39">
        <f>IF(AC808="","",IF(COUNTIF(AC$6:AC808,AC808)=1,1,0))</f>
        <v/>
      </c>
      <c r="AE808" s="39">
        <f>IF(AB808=0,"",IF(COUNTIFS(X$6:X808,X808,AB$6:AB808,AB808)=1,1,0))</f>
        <v/>
      </c>
      <c r="AF808" s="34">
        <f>IF(C808="","",YEAR(C808-WEEKDAY(C808,2)+4)&amp;"-S"&amp;TEXT(INT((C808-DATE(YEAR(C808-WEEKDAY(C808,2)+4),1,3)+WEEKDAY(DATE(YEAR(C808-WEEKDAY(C808,2)+4),1,3),2)+5)/7),"00"))</f>
        <v/>
      </c>
    </row>
    <row r="809" ht="18" customHeight="1">
      <c r="A809" s="39" t="n">
        <v>804</v>
      </c>
      <c r="B809" s="33">
        <f>IF(C809="","",IF(P809="À RENSEIGNER","GIC",P809)&amp;"-C"&amp;TEXT(A809,"00000"))</f>
        <v/>
      </c>
      <c r="C809" s="32" t="n"/>
      <c r="D809" s="36" t="n"/>
      <c r="E809" s="36" t="n"/>
      <c r="F809" s="36" t="n"/>
      <c r="G809" s="42" t="n"/>
      <c r="H809" s="37" t="n"/>
      <c r="I809" s="37" t="n"/>
      <c r="J809" s="32" t="n"/>
      <c r="K809" s="32" t="n"/>
      <c r="L809" s="43" t="n"/>
      <c r="M809" s="36" t="n"/>
      <c r="N809" s="44" t="n"/>
      <c r="O809" s="36" t="n"/>
      <c r="P809" s="33">
        <f>IF(C809="","",Commercial_Id)</f>
        <v/>
      </c>
      <c r="Q809" s="34">
        <f>IF(AC809="","",IF(AD809=1,"C"&amp;TEXT(SUM(AD$6:AD809),"0000"),INDEX(Q$6:Q808,MATCH(AC809,AC$6:AC808,0))))</f>
        <v/>
      </c>
      <c r="R809" s="34">
        <f>IF(C809="","",IF(L809="☑ Oui","Annulée",IF(OR(E809="Vente directe",K809&lt;&gt;""),"Livrée",IF(J809&lt;&gt;"","Confirmée","En attente"))))</f>
        <v/>
      </c>
      <c r="S809" s="34">
        <f>IF(F809="","",IFERROR(VLOOKUP(F809,T_Produits,2,FALSE),""))</f>
        <v/>
      </c>
      <c r="T809" s="40">
        <f>IF(F809="","",IFERROR(1/(1/VLOOKUP(F809,T_Produits,3,FALSE)),""))</f>
        <v/>
      </c>
      <c r="U809" s="40">
        <f>IF(H809&lt;&gt;"",H809,T809)</f>
        <v/>
      </c>
      <c r="V809" s="40">
        <f>IF(OR(G809="",U809=""),"",G809*U809-N(I809))</f>
        <v/>
      </c>
      <c r="W809" s="39">
        <f>IF(D809="","",IFERROR(VALUE(MID(D809,LEN(D809)-3,3)),""))</f>
        <v/>
      </c>
      <c r="X809" s="33">
        <f>IF(W809="","",P809&amp;"|"&amp;W809)</f>
        <v/>
      </c>
      <c r="Y809" s="33">
        <f>IF(W809="","",IF(P809="À RENSEIGNER","GIC",P809)&amp;"-"&amp;TEXT(W809,"000"))</f>
        <v/>
      </c>
      <c r="Z809" s="33">
        <f>IF(X809="","",IFERROR(INDEX(Cl_nom,MATCH(X809,Cl_cle,0)),"(client introuvable)"))</f>
        <v/>
      </c>
      <c r="AA809" s="33">
        <f>IF(X809="","",IFERROR(INDEX(Cl_quartier,MATCH(X809,Cl_cle,0))&amp;"",""))</f>
        <v/>
      </c>
      <c r="AB809" s="45">
        <f>IF(R809&lt;&gt;"Livrée",0,IF(K809&lt;&gt;"",K809,C809))</f>
        <v/>
      </c>
      <c r="AC809" s="33">
        <f>IF(OR(C809="",W809=""),"",P809&amp;"|"&amp;W809&amp;"|"&amp;C809&amp;"|"&amp;E809)</f>
        <v/>
      </c>
      <c r="AD809" s="39">
        <f>IF(AC809="","",IF(COUNTIF(AC$6:AC809,AC809)=1,1,0))</f>
        <v/>
      </c>
      <c r="AE809" s="39">
        <f>IF(AB809=0,"",IF(COUNTIFS(X$6:X809,X809,AB$6:AB809,AB809)=1,1,0))</f>
        <v/>
      </c>
      <c r="AF809" s="34">
        <f>IF(C809="","",YEAR(C809-WEEKDAY(C809,2)+4)&amp;"-S"&amp;TEXT(INT((C809-DATE(YEAR(C809-WEEKDAY(C809,2)+4),1,3)+WEEKDAY(DATE(YEAR(C809-WEEKDAY(C809,2)+4),1,3),2)+5)/7),"00"))</f>
        <v/>
      </c>
    </row>
    <row r="810" ht="18" customHeight="1">
      <c r="A810" s="39" t="n">
        <v>805</v>
      </c>
      <c r="B810" s="33">
        <f>IF(C810="","",IF(P810="À RENSEIGNER","GIC",P810)&amp;"-C"&amp;TEXT(A810,"00000"))</f>
        <v/>
      </c>
      <c r="C810" s="32" t="n"/>
      <c r="D810" s="36" t="n"/>
      <c r="E810" s="36" t="n"/>
      <c r="F810" s="36" t="n"/>
      <c r="G810" s="42" t="n"/>
      <c r="H810" s="37" t="n"/>
      <c r="I810" s="37" t="n"/>
      <c r="J810" s="32" t="n"/>
      <c r="K810" s="32" t="n"/>
      <c r="L810" s="43" t="n"/>
      <c r="M810" s="36" t="n"/>
      <c r="N810" s="44" t="n"/>
      <c r="O810" s="36" t="n"/>
      <c r="P810" s="33">
        <f>IF(C810="","",Commercial_Id)</f>
        <v/>
      </c>
      <c r="Q810" s="34">
        <f>IF(AC810="","",IF(AD810=1,"C"&amp;TEXT(SUM(AD$6:AD810),"0000"),INDEX(Q$6:Q809,MATCH(AC810,AC$6:AC809,0))))</f>
        <v/>
      </c>
      <c r="R810" s="34">
        <f>IF(C810="","",IF(L810="☑ Oui","Annulée",IF(OR(E810="Vente directe",K810&lt;&gt;""),"Livrée",IF(J810&lt;&gt;"","Confirmée","En attente"))))</f>
        <v/>
      </c>
      <c r="S810" s="34">
        <f>IF(F810="","",IFERROR(VLOOKUP(F810,T_Produits,2,FALSE),""))</f>
        <v/>
      </c>
      <c r="T810" s="40">
        <f>IF(F810="","",IFERROR(1/(1/VLOOKUP(F810,T_Produits,3,FALSE)),""))</f>
        <v/>
      </c>
      <c r="U810" s="40">
        <f>IF(H810&lt;&gt;"",H810,T810)</f>
        <v/>
      </c>
      <c r="V810" s="40">
        <f>IF(OR(G810="",U810=""),"",G810*U810-N(I810))</f>
        <v/>
      </c>
      <c r="W810" s="39">
        <f>IF(D810="","",IFERROR(VALUE(MID(D810,LEN(D810)-3,3)),""))</f>
        <v/>
      </c>
      <c r="X810" s="33">
        <f>IF(W810="","",P810&amp;"|"&amp;W810)</f>
        <v/>
      </c>
      <c r="Y810" s="33">
        <f>IF(W810="","",IF(P810="À RENSEIGNER","GIC",P810)&amp;"-"&amp;TEXT(W810,"000"))</f>
        <v/>
      </c>
      <c r="Z810" s="33">
        <f>IF(X810="","",IFERROR(INDEX(Cl_nom,MATCH(X810,Cl_cle,0)),"(client introuvable)"))</f>
        <v/>
      </c>
      <c r="AA810" s="33">
        <f>IF(X810="","",IFERROR(INDEX(Cl_quartier,MATCH(X810,Cl_cle,0))&amp;"",""))</f>
        <v/>
      </c>
      <c r="AB810" s="45">
        <f>IF(R810&lt;&gt;"Livrée",0,IF(K810&lt;&gt;"",K810,C810))</f>
        <v/>
      </c>
      <c r="AC810" s="33">
        <f>IF(OR(C810="",W810=""),"",P810&amp;"|"&amp;W810&amp;"|"&amp;C810&amp;"|"&amp;E810)</f>
        <v/>
      </c>
      <c r="AD810" s="39">
        <f>IF(AC810="","",IF(COUNTIF(AC$6:AC810,AC810)=1,1,0))</f>
        <v/>
      </c>
      <c r="AE810" s="39">
        <f>IF(AB810=0,"",IF(COUNTIFS(X$6:X810,X810,AB$6:AB810,AB810)=1,1,0))</f>
        <v/>
      </c>
      <c r="AF810" s="34">
        <f>IF(C810="","",YEAR(C810-WEEKDAY(C810,2)+4)&amp;"-S"&amp;TEXT(INT((C810-DATE(YEAR(C810-WEEKDAY(C810,2)+4),1,3)+WEEKDAY(DATE(YEAR(C810-WEEKDAY(C810,2)+4),1,3),2)+5)/7),"00"))</f>
        <v/>
      </c>
    </row>
    <row r="811" ht="18" customHeight="1">
      <c r="A811" s="39" t="n">
        <v>806</v>
      </c>
      <c r="B811" s="33">
        <f>IF(C811="","",IF(P811="À RENSEIGNER","GIC",P811)&amp;"-C"&amp;TEXT(A811,"00000"))</f>
        <v/>
      </c>
      <c r="C811" s="32" t="n"/>
      <c r="D811" s="36" t="n"/>
      <c r="E811" s="36" t="n"/>
      <c r="F811" s="36" t="n"/>
      <c r="G811" s="42" t="n"/>
      <c r="H811" s="37" t="n"/>
      <c r="I811" s="37" t="n"/>
      <c r="J811" s="32" t="n"/>
      <c r="K811" s="32" t="n"/>
      <c r="L811" s="43" t="n"/>
      <c r="M811" s="36" t="n"/>
      <c r="N811" s="44" t="n"/>
      <c r="O811" s="36" t="n"/>
      <c r="P811" s="33">
        <f>IF(C811="","",Commercial_Id)</f>
        <v/>
      </c>
      <c r="Q811" s="34">
        <f>IF(AC811="","",IF(AD811=1,"C"&amp;TEXT(SUM(AD$6:AD811),"0000"),INDEX(Q$6:Q810,MATCH(AC811,AC$6:AC810,0))))</f>
        <v/>
      </c>
      <c r="R811" s="34">
        <f>IF(C811="","",IF(L811="☑ Oui","Annulée",IF(OR(E811="Vente directe",K811&lt;&gt;""),"Livrée",IF(J811&lt;&gt;"","Confirmée","En attente"))))</f>
        <v/>
      </c>
      <c r="S811" s="34">
        <f>IF(F811="","",IFERROR(VLOOKUP(F811,T_Produits,2,FALSE),""))</f>
        <v/>
      </c>
      <c r="T811" s="40">
        <f>IF(F811="","",IFERROR(1/(1/VLOOKUP(F811,T_Produits,3,FALSE)),""))</f>
        <v/>
      </c>
      <c r="U811" s="40">
        <f>IF(H811&lt;&gt;"",H811,T811)</f>
        <v/>
      </c>
      <c r="V811" s="40">
        <f>IF(OR(G811="",U811=""),"",G811*U811-N(I811))</f>
        <v/>
      </c>
      <c r="W811" s="39">
        <f>IF(D811="","",IFERROR(VALUE(MID(D811,LEN(D811)-3,3)),""))</f>
        <v/>
      </c>
      <c r="X811" s="33">
        <f>IF(W811="","",P811&amp;"|"&amp;W811)</f>
        <v/>
      </c>
      <c r="Y811" s="33">
        <f>IF(W811="","",IF(P811="À RENSEIGNER","GIC",P811)&amp;"-"&amp;TEXT(W811,"000"))</f>
        <v/>
      </c>
      <c r="Z811" s="33">
        <f>IF(X811="","",IFERROR(INDEX(Cl_nom,MATCH(X811,Cl_cle,0)),"(client introuvable)"))</f>
        <v/>
      </c>
      <c r="AA811" s="33">
        <f>IF(X811="","",IFERROR(INDEX(Cl_quartier,MATCH(X811,Cl_cle,0))&amp;"",""))</f>
        <v/>
      </c>
      <c r="AB811" s="45">
        <f>IF(R811&lt;&gt;"Livrée",0,IF(K811&lt;&gt;"",K811,C811))</f>
        <v/>
      </c>
      <c r="AC811" s="33">
        <f>IF(OR(C811="",W811=""),"",P811&amp;"|"&amp;W811&amp;"|"&amp;C811&amp;"|"&amp;E811)</f>
        <v/>
      </c>
      <c r="AD811" s="39">
        <f>IF(AC811="","",IF(COUNTIF(AC$6:AC811,AC811)=1,1,0))</f>
        <v/>
      </c>
      <c r="AE811" s="39">
        <f>IF(AB811=0,"",IF(COUNTIFS(X$6:X811,X811,AB$6:AB811,AB811)=1,1,0))</f>
        <v/>
      </c>
      <c r="AF811" s="34">
        <f>IF(C811="","",YEAR(C811-WEEKDAY(C811,2)+4)&amp;"-S"&amp;TEXT(INT((C811-DATE(YEAR(C811-WEEKDAY(C811,2)+4),1,3)+WEEKDAY(DATE(YEAR(C811-WEEKDAY(C811,2)+4),1,3),2)+5)/7),"00"))</f>
        <v/>
      </c>
    </row>
    <row r="812" ht="18" customHeight="1">
      <c r="A812" s="39" t="n">
        <v>807</v>
      </c>
      <c r="B812" s="33">
        <f>IF(C812="","",IF(P812="À RENSEIGNER","GIC",P812)&amp;"-C"&amp;TEXT(A812,"00000"))</f>
        <v/>
      </c>
      <c r="C812" s="32" t="n"/>
      <c r="D812" s="36" t="n"/>
      <c r="E812" s="36" t="n"/>
      <c r="F812" s="36" t="n"/>
      <c r="G812" s="42" t="n"/>
      <c r="H812" s="37" t="n"/>
      <c r="I812" s="37" t="n"/>
      <c r="J812" s="32" t="n"/>
      <c r="K812" s="32" t="n"/>
      <c r="L812" s="43" t="n"/>
      <c r="M812" s="36" t="n"/>
      <c r="N812" s="44" t="n"/>
      <c r="O812" s="36" t="n"/>
      <c r="P812" s="33">
        <f>IF(C812="","",Commercial_Id)</f>
        <v/>
      </c>
      <c r="Q812" s="34">
        <f>IF(AC812="","",IF(AD812=1,"C"&amp;TEXT(SUM(AD$6:AD812),"0000"),INDEX(Q$6:Q811,MATCH(AC812,AC$6:AC811,0))))</f>
        <v/>
      </c>
      <c r="R812" s="34">
        <f>IF(C812="","",IF(L812="☑ Oui","Annulée",IF(OR(E812="Vente directe",K812&lt;&gt;""),"Livrée",IF(J812&lt;&gt;"","Confirmée","En attente"))))</f>
        <v/>
      </c>
      <c r="S812" s="34">
        <f>IF(F812="","",IFERROR(VLOOKUP(F812,T_Produits,2,FALSE),""))</f>
        <v/>
      </c>
      <c r="T812" s="40">
        <f>IF(F812="","",IFERROR(1/(1/VLOOKUP(F812,T_Produits,3,FALSE)),""))</f>
        <v/>
      </c>
      <c r="U812" s="40">
        <f>IF(H812&lt;&gt;"",H812,T812)</f>
        <v/>
      </c>
      <c r="V812" s="40">
        <f>IF(OR(G812="",U812=""),"",G812*U812-N(I812))</f>
        <v/>
      </c>
      <c r="W812" s="39">
        <f>IF(D812="","",IFERROR(VALUE(MID(D812,LEN(D812)-3,3)),""))</f>
        <v/>
      </c>
      <c r="X812" s="33">
        <f>IF(W812="","",P812&amp;"|"&amp;W812)</f>
        <v/>
      </c>
      <c r="Y812" s="33">
        <f>IF(W812="","",IF(P812="À RENSEIGNER","GIC",P812)&amp;"-"&amp;TEXT(W812,"000"))</f>
        <v/>
      </c>
      <c r="Z812" s="33">
        <f>IF(X812="","",IFERROR(INDEX(Cl_nom,MATCH(X812,Cl_cle,0)),"(client introuvable)"))</f>
        <v/>
      </c>
      <c r="AA812" s="33">
        <f>IF(X812="","",IFERROR(INDEX(Cl_quartier,MATCH(X812,Cl_cle,0))&amp;"",""))</f>
        <v/>
      </c>
      <c r="AB812" s="45">
        <f>IF(R812&lt;&gt;"Livrée",0,IF(K812&lt;&gt;"",K812,C812))</f>
        <v/>
      </c>
      <c r="AC812" s="33">
        <f>IF(OR(C812="",W812=""),"",P812&amp;"|"&amp;W812&amp;"|"&amp;C812&amp;"|"&amp;E812)</f>
        <v/>
      </c>
      <c r="AD812" s="39">
        <f>IF(AC812="","",IF(COUNTIF(AC$6:AC812,AC812)=1,1,0))</f>
        <v/>
      </c>
      <c r="AE812" s="39">
        <f>IF(AB812=0,"",IF(COUNTIFS(X$6:X812,X812,AB$6:AB812,AB812)=1,1,0))</f>
        <v/>
      </c>
      <c r="AF812" s="34">
        <f>IF(C812="","",YEAR(C812-WEEKDAY(C812,2)+4)&amp;"-S"&amp;TEXT(INT((C812-DATE(YEAR(C812-WEEKDAY(C812,2)+4),1,3)+WEEKDAY(DATE(YEAR(C812-WEEKDAY(C812,2)+4),1,3),2)+5)/7),"00"))</f>
        <v/>
      </c>
    </row>
    <row r="813" ht="18" customHeight="1">
      <c r="A813" s="39" t="n">
        <v>808</v>
      </c>
      <c r="B813" s="33">
        <f>IF(C813="","",IF(P813="À RENSEIGNER","GIC",P813)&amp;"-C"&amp;TEXT(A813,"00000"))</f>
        <v/>
      </c>
      <c r="C813" s="32" t="n"/>
      <c r="D813" s="36" t="n"/>
      <c r="E813" s="36" t="n"/>
      <c r="F813" s="36" t="n"/>
      <c r="G813" s="42" t="n"/>
      <c r="H813" s="37" t="n"/>
      <c r="I813" s="37" t="n"/>
      <c r="J813" s="32" t="n"/>
      <c r="K813" s="32" t="n"/>
      <c r="L813" s="43" t="n"/>
      <c r="M813" s="36" t="n"/>
      <c r="N813" s="44" t="n"/>
      <c r="O813" s="36" t="n"/>
      <c r="P813" s="33">
        <f>IF(C813="","",Commercial_Id)</f>
        <v/>
      </c>
      <c r="Q813" s="34">
        <f>IF(AC813="","",IF(AD813=1,"C"&amp;TEXT(SUM(AD$6:AD813),"0000"),INDEX(Q$6:Q812,MATCH(AC813,AC$6:AC812,0))))</f>
        <v/>
      </c>
      <c r="R813" s="34">
        <f>IF(C813="","",IF(L813="☑ Oui","Annulée",IF(OR(E813="Vente directe",K813&lt;&gt;""),"Livrée",IF(J813&lt;&gt;"","Confirmée","En attente"))))</f>
        <v/>
      </c>
      <c r="S813" s="34">
        <f>IF(F813="","",IFERROR(VLOOKUP(F813,T_Produits,2,FALSE),""))</f>
        <v/>
      </c>
      <c r="T813" s="40">
        <f>IF(F813="","",IFERROR(1/(1/VLOOKUP(F813,T_Produits,3,FALSE)),""))</f>
        <v/>
      </c>
      <c r="U813" s="40">
        <f>IF(H813&lt;&gt;"",H813,T813)</f>
        <v/>
      </c>
      <c r="V813" s="40">
        <f>IF(OR(G813="",U813=""),"",G813*U813-N(I813))</f>
        <v/>
      </c>
      <c r="W813" s="39">
        <f>IF(D813="","",IFERROR(VALUE(MID(D813,LEN(D813)-3,3)),""))</f>
        <v/>
      </c>
      <c r="X813" s="33">
        <f>IF(W813="","",P813&amp;"|"&amp;W813)</f>
        <v/>
      </c>
      <c r="Y813" s="33">
        <f>IF(W813="","",IF(P813="À RENSEIGNER","GIC",P813)&amp;"-"&amp;TEXT(W813,"000"))</f>
        <v/>
      </c>
      <c r="Z813" s="33">
        <f>IF(X813="","",IFERROR(INDEX(Cl_nom,MATCH(X813,Cl_cle,0)),"(client introuvable)"))</f>
        <v/>
      </c>
      <c r="AA813" s="33">
        <f>IF(X813="","",IFERROR(INDEX(Cl_quartier,MATCH(X813,Cl_cle,0))&amp;"",""))</f>
        <v/>
      </c>
      <c r="AB813" s="45">
        <f>IF(R813&lt;&gt;"Livrée",0,IF(K813&lt;&gt;"",K813,C813))</f>
        <v/>
      </c>
      <c r="AC813" s="33">
        <f>IF(OR(C813="",W813=""),"",P813&amp;"|"&amp;W813&amp;"|"&amp;C813&amp;"|"&amp;E813)</f>
        <v/>
      </c>
      <c r="AD813" s="39">
        <f>IF(AC813="","",IF(COUNTIF(AC$6:AC813,AC813)=1,1,0))</f>
        <v/>
      </c>
      <c r="AE813" s="39">
        <f>IF(AB813=0,"",IF(COUNTIFS(X$6:X813,X813,AB$6:AB813,AB813)=1,1,0))</f>
        <v/>
      </c>
      <c r="AF813" s="34">
        <f>IF(C813="","",YEAR(C813-WEEKDAY(C813,2)+4)&amp;"-S"&amp;TEXT(INT((C813-DATE(YEAR(C813-WEEKDAY(C813,2)+4),1,3)+WEEKDAY(DATE(YEAR(C813-WEEKDAY(C813,2)+4),1,3),2)+5)/7),"00"))</f>
        <v/>
      </c>
    </row>
    <row r="814" ht="18" customHeight="1">
      <c r="A814" s="39" t="n">
        <v>809</v>
      </c>
      <c r="B814" s="33">
        <f>IF(C814="","",IF(P814="À RENSEIGNER","GIC",P814)&amp;"-C"&amp;TEXT(A814,"00000"))</f>
        <v/>
      </c>
      <c r="C814" s="32" t="n"/>
      <c r="D814" s="36" t="n"/>
      <c r="E814" s="36" t="n"/>
      <c r="F814" s="36" t="n"/>
      <c r="G814" s="42" t="n"/>
      <c r="H814" s="37" t="n"/>
      <c r="I814" s="37" t="n"/>
      <c r="J814" s="32" t="n"/>
      <c r="K814" s="32" t="n"/>
      <c r="L814" s="43" t="n"/>
      <c r="M814" s="36" t="n"/>
      <c r="N814" s="44" t="n"/>
      <c r="O814" s="36" t="n"/>
      <c r="P814" s="33">
        <f>IF(C814="","",Commercial_Id)</f>
        <v/>
      </c>
      <c r="Q814" s="34">
        <f>IF(AC814="","",IF(AD814=1,"C"&amp;TEXT(SUM(AD$6:AD814),"0000"),INDEX(Q$6:Q813,MATCH(AC814,AC$6:AC813,0))))</f>
        <v/>
      </c>
      <c r="R814" s="34">
        <f>IF(C814="","",IF(L814="☑ Oui","Annulée",IF(OR(E814="Vente directe",K814&lt;&gt;""),"Livrée",IF(J814&lt;&gt;"","Confirmée","En attente"))))</f>
        <v/>
      </c>
      <c r="S814" s="34">
        <f>IF(F814="","",IFERROR(VLOOKUP(F814,T_Produits,2,FALSE),""))</f>
        <v/>
      </c>
      <c r="T814" s="40">
        <f>IF(F814="","",IFERROR(1/(1/VLOOKUP(F814,T_Produits,3,FALSE)),""))</f>
        <v/>
      </c>
      <c r="U814" s="40">
        <f>IF(H814&lt;&gt;"",H814,T814)</f>
        <v/>
      </c>
      <c r="V814" s="40">
        <f>IF(OR(G814="",U814=""),"",G814*U814-N(I814))</f>
        <v/>
      </c>
      <c r="W814" s="39">
        <f>IF(D814="","",IFERROR(VALUE(MID(D814,LEN(D814)-3,3)),""))</f>
        <v/>
      </c>
      <c r="X814" s="33">
        <f>IF(W814="","",P814&amp;"|"&amp;W814)</f>
        <v/>
      </c>
      <c r="Y814" s="33">
        <f>IF(W814="","",IF(P814="À RENSEIGNER","GIC",P814)&amp;"-"&amp;TEXT(W814,"000"))</f>
        <v/>
      </c>
      <c r="Z814" s="33">
        <f>IF(X814="","",IFERROR(INDEX(Cl_nom,MATCH(X814,Cl_cle,0)),"(client introuvable)"))</f>
        <v/>
      </c>
      <c r="AA814" s="33">
        <f>IF(X814="","",IFERROR(INDEX(Cl_quartier,MATCH(X814,Cl_cle,0))&amp;"",""))</f>
        <v/>
      </c>
      <c r="AB814" s="45">
        <f>IF(R814&lt;&gt;"Livrée",0,IF(K814&lt;&gt;"",K814,C814))</f>
        <v/>
      </c>
      <c r="AC814" s="33">
        <f>IF(OR(C814="",W814=""),"",P814&amp;"|"&amp;W814&amp;"|"&amp;C814&amp;"|"&amp;E814)</f>
        <v/>
      </c>
      <c r="AD814" s="39">
        <f>IF(AC814="","",IF(COUNTIF(AC$6:AC814,AC814)=1,1,0))</f>
        <v/>
      </c>
      <c r="AE814" s="39">
        <f>IF(AB814=0,"",IF(COUNTIFS(X$6:X814,X814,AB$6:AB814,AB814)=1,1,0))</f>
        <v/>
      </c>
      <c r="AF814" s="34">
        <f>IF(C814="","",YEAR(C814-WEEKDAY(C814,2)+4)&amp;"-S"&amp;TEXT(INT((C814-DATE(YEAR(C814-WEEKDAY(C814,2)+4),1,3)+WEEKDAY(DATE(YEAR(C814-WEEKDAY(C814,2)+4),1,3),2)+5)/7),"00"))</f>
        <v/>
      </c>
    </row>
    <row r="815" ht="18" customHeight="1">
      <c r="A815" s="39" t="n">
        <v>810</v>
      </c>
      <c r="B815" s="33">
        <f>IF(C815="","",IF(P815="À RENSEIGNER","GIC",P815)&amp;"-C"&amp;TEXT(A815,"00000"))</f>
        <v/>
      </c>
      <c r="C815" s="32" t="n"/>
      <c r="D815" s="36" t="n"/>
      <c r="E815" s="36" t="n"/>
      <c r="F815" s="36" t="n"/>
      <c r="G815" s="42" t="n"/>
      <c r="H815" s="37" t="n"/>
      <c r="I815" s="37" t="n"/>
      <c r="J815" s="32" t="n"/>
      <c r="K815" s="32" t="n"/>
      <c r="L815" s="43" t="n"/>
      <c r="M815" s="36" t="n"/>
      <c r="N815" s="44" t="n"/>
      <c r="O815" s="36" t="n"/>
      <c r="P815" s="33">
        <f>IF(C815="","",Commercial_Id)</f>
        <v/>
      </c>
      <c r="Q815" s="34">
        <f>IF(AC815="","",IF(AD815=1,"C"&amp;TEXT(SUM(AD$6:AD815),"0000"),INDEX(Q$6:Q814,MATCH(AC815,AC$6:AC814,0))))</f>
        <v/>
      </c>
      <c r="R815" s="34">
        <f>IF(C815="","",IF(L815="☑ Oui","Annulée",IF(OR(E815="Vente directe",K815&lt;&gt;""),"Livrée",IF(J815&lt;&gt;"","Confirmée","En attente"))))</f>
        <v/>
      </c>
      <c r="S815" s="34">
        <f>IF(F815="","",IFERROR(VLOOKUP(F815,T_Produits,2,FALSE),""))</f>
        <v/>
      </c>
      <c r="T815" s="40">
        <f>IF(F815="","",IFERROR(1/(1/VLOOKUP(F815,T_Produits,3,FALSE)),""))</f>
        <v/>
      </c>
      <c r="U815" s="40">
        <f>IF(H815&lt;&gt;"",H815,T815)</f>
        <v/>
      </c>
      <c r="V815" s="40">
        <f>IF(OR(G815="",U815=""),"",G815*U815-N(I815))</f>
        <v/>
      </c>
      <c r="W815" s="39">
        <f>IF(D815="","",IFERROR(VALUE(MID(D815,LEN(D815)-3,3)),""))</f>
        <v/>
      </c>
      <c r="X815" s="33">
        <f>IF(W815="","",P815&amp;"|"&amp;W815)</f>
        <v/>
      </c>
      <c r="Y815" s="33">
        <f>IF(W815="","",IF(P815="À RENSEIGNER","GIC",P815)&amp;"-"&amp;TEXT(W815,"000"))</f>
        <v/>
      </c>
      <c r="Z815" s="33">
        <f>IF(X815="","",IFERROR(INDEX(Cl_nom,MATCH(X815,Cl_cle,0)),"(client introuvable)"))</f>
        <v/>
      </c>
      <c r="AA815" s="33">
        <f>IF(X815="","",IFERROR(INDEX(Cl_quartier,MATCH(X815,Cl_cle,0))&amp;"",""))</f>
        <v/>
      </c>
      <c r="AB815" s="45">
        <f>IF(R815&lt;&gt;"Livrée",0,IF(K815&lt;&gt;"",K815,C815))</f>
        <v/>
      </c>
      <c r="AC815" s="33">
        <f>IF(OR(C815="",W815=""),"",P815&amp;"|"&amp;W815&amp;"|"&amp;C815&amp;"|"&amp;E815)</f>
        <v/>
      </c>
      <c r="AD815" s="39">
        <f>IF(AC815="","",IF(COUNTIF(AC$6:AC815,AC815)=1,1,0))</f>
        <v/>
      </c>
      <c r="AE815" s="39">
        <f>IF(AB815=0,"",IF(COUNTIFS(X$6:X815,X815,AB$6:AB815,AB815)=1,1,0))</f>
        <v/>
      </c>
      <c r="AF815" s="34">
        <f>IF(C815="","",YEAR(C815-WEEKDAY(C815,2)+4)&amp;"-S"&amp;TEXT(INT((C815-DATE(YEAR(C815-WEEKDAY(C815,2)+4),1,3)+WEEKDAY(DATE(YEAR(C815-WEEKDAY(C815,2)+4),1,3),2)+5)/7),"00"))</f>
        <v/>
      </c>
    </row>
    <row r="816" ht="18" customHeight="1">
      <c r="A816" s="39" t="n">
        <v>811</v>
      </c>
      <c r="B816" s="33">
        <f>IF(C816="","",IF(P816="À RENSEIGNER","GIC",P816)&amp;"-C"&amp;TEXT(A816,"00000"))</f>
        <v/>
      </c>
      <c r="C816" s="32" t="n"/>
      <c r="D816" s="36" t="n"/>
      <c r="E816" s="36" t="n"/>
      <c r="F816" s="36" t="n"/>
      <c r="G816" s="42" t="n"/>
      <c r="H816" s="37" t="n"/>
      <c r="I816" s="37" t="n"/>
      <c r="J816" s="32" t="n"/>
      <c r="K816" s="32" t="n"/>
      <c r="L816" s="43" t="n"/>
      <c r="M816" s="36" t="n"/>
      <c r="N816" s="44" t="n"/>
      <c r="O816" s="36" t="n"/>
      <c r="P816" s="33">
        <f>IF(C816="","",Commercial_Id)</f>
        <v/>
      </c>
      <c r="Q816" s="34">
        <f>IF(AC816="","",IF(AD816=1,"C"&amp;TEXT(SUM(AD$6:AD816),"0000"),INDEX(Q$6:Q815,MATCH(AC816,AC$6:AC815,0))))</f>
        <v/>
      </c>
      <c r="R816" s="34">
        <f>IF(C816="","",IF(L816="☑ Oui","Annulée",IF(OR(E816="Vente directe",K816&lt;&gt;""),"Livrée",IF(J816&lt;&gt;"","Confirmée","En attente"))))</f>
        <v/>
      </c>
      <c r="S816" s="34">
        <f>IF(F816="","",IFERROR(VLOOKUP(F816,T_Produits,2,FALSE),""))</f>
        <v/>
      </c>
      <c r="T816" s="40">
        <f>IF(F816="","",IFERROR(1/(1/VLOOKUP(F816,T_Produits,3,FALSE)),""))</f>
        <v/>
      </c>
      <c r="U816" s="40">
        <f>IF(H816&lt;&gt;"",H816,T816)</f>
        <v/>
      </c>
      <c r="V816" s="40">
        <f>IF(OR(G816="",U816=""),"",G816*U816-N(I816))</f>
        <v/>
      </c>
      <c r="W816" s="39">
        <f>IF(D816="","",IFERROR(VALUE(MID(D816,LEN(D816)-3,3)),""))</f>
        <v/>
      </c>
      <c r="X816" s="33">
        <f>IF(W816="","",P816&amp;"|"&amp;W816)</f>
        <v/>
      </c>
      <c r="Y816" s="33">
        <f>IF(W816="","",IF(P816="À RENSEIGNER","GIC",P816)&amp;"-"&amp;TEXT(W816,"000"))</f>
        <v/>
      </c>
      <c r="Z816" s="33">
        <f>IF(X816="","",IFERROR(INDEX(Cl_nom,MATCH(X816,Cl_cle,0)),"(client introuvable)"))</f>
        <v/>
      </c>
      <c r="AA816" s="33">
        <f>IF(X816="","",IFERROR(INDEX(Cl_quartier,MATCH(X816,Cl_cle,0))&amp;"",""))</f>
        <v/>
      </c>
      <c r="AB816" s="45">
        <f>IF(R816&lt;&gt;"Livrée",0,IF(K816&lt;&gt;"",K816,C816))</f>
        <v/>
      </c>
      <c r="AC816" s="33">
        <f>IF(OR(C816="",W816=""),"",P816&amp;"|"&amp;W816&amp;"|"&amp;C816&amp;"|"&amp;E816)</f>
        <v/>
      </c>
      <c r="AD816" s="39">
        <f>IF(AC816="","",IF(COUNTIF(AC$6:AC816,AC816)=1,1,0))</f>
        <v/>
      </c>
      <c r="AE816" s="39">
        <f>IF(AB816=0,"",IF(COUNTIFS(X$6:X816,X816,AB$6:AB816,AB816)=1,1,0))</f>
        <v/>
      </c>
      <c r="AF816" s="34">
        <f>IF(C816="","",YEAR(C816-WEEKDAY(C816,2)+4)&amp;"-S"&amp;TEXT(INT((C816-DATE(YEAR(C816-WEEKDAY(C816,2)+4),1,3)+WEEKDAY(DATE(YEAR(C816-WEEKDAY(C816,2)+4),1,3),2)+5)/7),"00"))</f>
        <v/>
      </c>
    </row>
    <row r="817" ht="18" customHeight="1">
      <c r="A817" s="39" t="n">
        <v>812</v>
      </c>
      <c r="B817" s="33">
        <f>IF(C817="","",IF(P817="À RENSEIGNER","GIC",P817)&amp;"-C"&amp;TEXT(A817,"00000"))</f>
        <v/>
      </c>
      <c r="C817" s="32" t="n"/>
      <c r="D817" s="36" t="n"/>
      <c r="E817" s="36" t="n"/>
      <c r="F817" s="36" t="n"/>
      <c r="G817" s="42" t="n"/>
      <c r="H817" s="37" t="n"/>
      <c r="I817" s="37" t="n"/>
      <c r="J817" s="32" t="n"/>
      <c r="K817" s="32" t="n"/>
      <c r="L817" s="43" t="n"/>
      <c r="M817" s="36" t="n"/>
      <c r="N817" s="44" t="n"/>
      <c r="O817" s="36" t="n"/>
      <c r="P817" s="33">
        <f>IF(C817="","",Commercial_Id)</f>
        <v/>
      </c>
      <c r="Q817" s="34">
        <f>IF(AC817="","",IF(AD817=1,"C"&amp;TEXT(SUM(AD$6:AD817),"0000"),INDEX(Q$6:Q816,MATCH(AC817,AC$6:AC816,0))))</f>
        <v/>
      </c>
      <c r="R817" s="34">
        <f>IF(C817="","",IF(L817="☑ Oui","Annulée",IF(OR(E817="Vente directe",K817&lt;&gt;""),"Livrée",IF(J817&lt;&gt;"","Confirmée","En attente"))))</f>
        <v/>
      </c>
      <c r="S817" s="34">
        <f>IF(F817="","",IFERROR(VLOOKUP(F817,T_Produits,2,FALSE),""))</f>
        <v/>
      </c>
      <c r="T817" s="40">
        <f>IF(F817="","",IFERROR(1/(1/VLOOKUP(F817,T_Produits,3,FALSE)),""))</f>
        <v/>
      </c>
      <c r="U817" s="40">
        <f>IF(H817&lt;&gt;"",H817,T817)</f>
        <v/>
      </c>
      <c r="V817" s="40">
        <f>IF(OR(G817="",U817=""),"",G817*U817-N(I817))</f>
        <v/>
      </c>
      <c r="W817" s="39">
        <f>IF(D817="","",IFERROR(VALUE(MID(D817,LEN(D817)-3,3)),""))</f>
        <v/>
      </c>
      <c r="X817" s="33">
        <f>IF(W817="","",P817&amp;"|"&amp;W817)</f>
        <v/>
      </c>
      <c r="Y817" s="33">
        <f>IF(W817="","",IF(P817="À RENSEIGNER","GIC",P817)&amp;"-"&amp;TEXT(W817,"000"))</f>
        <v/>
      </c>
      <c r="Z817" s="33">
        <f>IF(X817="","",IFERROR(INDEX(Cl_nom,MATCH(X817,Cl_cle,0)),"(client introuvable)"))</f>
        <v/>
      </c>
      <c r="AA817" s="33">
        <f>IF(X817="","",IFERROR(INDEX(Cl_quartier,MATCH(X817,Cl_cle,0))&amp;"",""))</f>
        <v/>
      </c>
      <c r="AB817" s="45">
        <f>IF(R817&lt;&gt;"Livrée",0,IF(K817&lt;&gt;"",K817,C817))</f>
        <v/>
      </c>
      <c r="AC817" s="33">
        <f>IF(OR(C817="",W817=""),"",P817&amp;"|"&amp;W817&amp;"|"&amp;C817&amp;"|"&amp;E817)</f>
        <v/>
      </c>
      <c r="AD817" s="39">
        <f>IF(AC817="","",IF(COUNTIF(AC$6:AC817,AC817)=1,1,0))</f>
        <v/>
      </c>
      <c r="AE817" s="39">
        <f>IF(AB817=0,"",IF(COUNTIFS(X$6:X817,X817,AB$6:AB817,AB817)=1,1,0))</f>
        <v/>
      </c>
      <c r="AF817" s="34">
        <f>IF(C817="","",YEAR(C817-WEEKDAY(C817,2)+4)&amp;"-S"&amp;TEXT(INT((C817-DATE(YEAR(C817-WEEKDAY(C817,2)+4),1,3)+WEEKDAY(DATE(YEAR(C817-WEEKDAY(C817,2)+4),1,3),2)+5)/7),"00"))</f>
        <v/>
      </c>
    </row>
    <row r="818" ht="18" customHeight="1">
      <c r="A818" s="39" t="n">
        <v>813</v>
      </c>
      <c r="B818" s="33">
        <f>IF(C818="","",IF(P818="À RENSEIGNER","GIC",P818)&amp;"-C"&amp;TEXT(A818,"00000"))</f>
        <v/>
      </c>
      <c r="C818" s="32" t="n"/>
      <c r="D818" s="36" t="n"/>
      <c r="E818" s="36" t="n"/>
      <c r="F818" s="36" t="n"/>
      <c r="G818" s="42" t="n"/>
      <c r="H818" s="37" t="n"/>
      <c r="I818" s="37" t="n"/>
      <c r="J818" s="32" t="n"/>
      <c r="K818" s="32" t="n"/>
      <c r="L818" s="43" t="n"/>
      <c r="M818" s="36" t="n"/>
      <c r="N818" s="44" t="n"/>
      <c r="O818" s="36" t="n"/>
      <c r="P818" s="33">
        <f>IF(C818="","",Commercial_Id)</f>
        <v/>
      </c>
      <c r="Q818" s="34">
        <f>IF(AC818="","",IF(AD818=1,"C"&amp;TEXT(SUM(AD$6:AD818),"0000"),INDEX(Q$6:Q817,MATCH(AC818,AC$6:AC817,0))))</f>
        <v/>
      </c>
      <c r="R818" s="34">
        <f>IF(C818="","",IF(L818="☑ Oui","Annulée",IF(OR(E818="Vente directe",K818&lt;&gt;""),"Livrée",IF(J818&lt;&gt;"","Confirmée","En attente"))))</f>
        <v/>
      </c>
      <c r="S818" s="34">
        <f>IF(F818="","",IFERROR(VLOOKUP(F818,T_Produits,2,FALSE),""))</f>
        <v/>
      </c>
      <c r="T818" s="40">
        <f>IF(F818="","",IFERROR(1/(1/VLOOKUP(F818,T_Produits,3,FALSE)),""))</f>
        <v/>
      </c>
      <c r="U818" s="40">
        <f>IF(H818&lt;&gt;"",H818,T818)</f>
        <v/>
      </c>
      <c r="V818" s="40">
        <f>IF(OR(G818="",U818=""),"",G818*U818-N(I818))</f>
        <v/>
      </c>
      <c r="W818" s="39">
        <f>IF(D818="","",IFERROR(VALUE(MID(D818,LEN(D818)-3,3)),""))</f>
        <v/>
      </c>
      <c r="X818" s="33">
        <f>IF(W818="","",P818&amp;"|"&amp;W818)</f>
        <v/>
      </c>
      <c r="Y818" s="33">
        <f>IF(W818="","",IF(P818="À RENSEIGNER","GIC",P818)&amp;"-"&amp;TEXT(W818,"000"))</f>
        <v/>
      </c>
      <c r="Z818" s="33">
        <f>IF(X818="","",IFERROR(INDEX(Cl_nom,MATCH(X818,Cl_cle,0)),"(client introuvable)"))</f>
        <v/>
      </c>
      <c r="AA818" s="33">
        <f>IF(X818="","",IFERROR(INDEX(Cl_quartier,MATCH(X818,Cl_cle,0))&amp;"",""))</f>
        <v/>
      </c>
      <c r="AB818" s="45">
        <f>IF(R818&lt;&gt;"Livrée",0,IF(K818&lt;&gt;"",K818,C818))</f>
        <v/>
      </c>
      <c r="AC818" s="33">
        <f>IF(OR(C818="",W818=""),"",P818&amp;"|"&amp;W818&amp;"|"&amp;C818&amp;"|"&amp;E818)</f>
        <v/>
      </c>
      <c r="AD818" s="39">
        <f>IF(AC818="","",IF(COUNTIF(AC$6:AC818,AC818)=1,1,0))</f>
        <v/>
      </c>
      <c r="AE818" s="39">
        <f>IF(AB818=0,"",IF(COUNTIFS(X$6:X818,X818,AB$6:AB818,AB818)=1,1,0))</f>
        <v/>
      </c>
      <c r="AF818" s="34">
        <f>IF(C818="","",YEAR(C818-WEEKDAY(C818,2)+4)&amp;"-S"&amp;TEXT(INT((C818-DATE(YEAR(C818-WEEKDAY(C818,2)+4),1,3)+WEEKDAY(DATE(YEAR(C818-WEEKDAY(C818,2)+4),1,3),2)+5)/7),"00"))</f>
        <v/>
      </c>
    </row>
    <row r="819" ht="18" customHeight="1">
      <c r="A819" s="39" t="n">
        <v>814</v>
      </c>
      <c r="B819" s="33">
        <f>IF(C819="","",IF(P819="À RENSEIGNER","GIC",P819)&amp;"-C"&amp;TEXT(A819,"00000"))</f>
        <v/>
      </c>
      <c r="C819" s="32" t="n"/>
      <c r="D819" s="36" t="n"/>
      <c r="E819" s="36" t="n"/>
      <c r="F819" s="36" t="n"/>
      <c r="G819" s="42" t="n"/>
      <c r="H819" s="37" t="n"/>
      <c r="I819" s="37" t="n"/>
      <c r="J819" s="32" t="n"/>
      <c r="K819" s="32" t="n"/>
      <c r="L819" s="43" t="n"/>
      <c r="M819" s="36" t="n"/>
      <c r="N819" s="44" t="n"/>
      <c r="O819" s="36" t="n"/>
      <c r="P819" s="33">
        <f>IF(C819="","",Commercial_Id)</f>
        <v/>
      </c>
      <c r="Q819" s="34">
        <f>IF(AC819="","",IF(AD819=1,"C"&amp;TEXT(SUM(AD$6:AD819),"0000"),INDEX(Q$6:Q818,MATCH(AC819,AC$6:AC818,0))))</f>
        <v/>
      </c>
      <c r="R819" s="34">
        <f>IF(C819="","",IF(L819="☑ Oui","Annulée",IF(OR(E819="Vente directe",K819&lt;&gt;""),"Livrée",IF(J819&lt;&gt;"","Confirmée","En attente"))))</f>
        <v/>
      </c>
      <c r="S819" s="34">
        <f>IF(F819="","",IFERROR(VLOOKUP(F819,T_Produits,2,FALSE),""))</f>
        <v/>
      </c>
      <c r="T819" s="40">
        <f>IF(F819="","",IFERROR(1/(1/VLOOKUP(F819,T_Produits,3,FALSE)),""))</f>
        <v/>
      </c>
      <c r="U819" s="40">
        <f>IF(H819&lt;&gt;"",H819,T819)</f>
        <v/>
      </c>
      <c r="V819" s="40">
        <f>IF(OR(G819="",U819=""),"",G819*U819-N(I819))</f>
        <v/>
      </c>
      <c r="W819" s="39">
        <f>IF(D819="","",IFERROR(VALUE(MID(D819,LEN(D819)-3,3)),""))</f>
        <v/>
      </c>
      <c r="X819" s="33">
        <f>IF(W819="","",P819&amp;"|"&amp;W819)</f>
        <v/>
      </c>
      <c r="Y819" s="33">
        <f>IF(W819="","",IF(P819="À RENSEIGNER","GIC",P819)&amp;"-"&amp;TEXT(W819,"000"))</f>
        <v/>
      </c>
      <c r="Z819" s="33">
        <f>IF(X819="","",IFERROR(INDEX(Cl_nom,MATCH(X819,Cl_cle,0)),"(client introuvable)"))</f>
        <v/>
      </c>
      <c r="AA819" s="33">
        <f>IF(X819="","",IFERROR(INDEX(Cl_quartier,MATCH(X819,Cl_cle,0))&amp;"",""))</f>
        <v/>
      </c>
      <c r="AB819" s="45">
        <f>IF(R819&lt;&gt;"Livrée",0,IF(K819&lt;&gt;"",K819,C819))</f>
        <v/>
      </c>
      <c r="AC819" s="33">
        <f>IF(OR(C819="",W819=""),"",P819&amp;"|"&amp;W819&amp;"|"&amp;C819&amp;"|"&amp;E819)</f>
        <v/>
      </c>
      <c r="AD819" s="39">
        <f>IF(AC819="","",IF(COUNTIF(AC$6:AC819,AC819)=1,1,0))</f>
        <v/>
      </c>
      <c r="AE819" s="39">
        <f>IF(AB819=0,"",IF(COUNTIFS(X$6:X819,X819,AB$6:AB819,AB819)=1,1,0))</f>
        <v/>
      </c>
      <c r="AF819" s="34">
        <f>IF(C819="","",YEAR(C819-WEEKDAY(C819,2)+4)&amp;"-S"&amp;TEXT(INT((C819-DATE(YEAR(C819-WEEKDAY(C819,2)+4),1,3)+WEEKDAY(DATE(YEAR(C819-WEEKDAY(C819,2)+4),1,3),2)+5)/7),"00"))</f>
        <v/>
      </c>
    </row>
    <row r="820" ht="18" customHeight="1">
      <c r="A820" s="39" t="n">
        <v>815</v>
      </c>
      <c r="B820" s="33">
        <f>IF(C820="","",IF(P820="À RENSEIGNER","GIC",P820)&amp;"-C"&amp;TEXT(A820,"00000"))</f>
        <v/>
      </c>
      <c r="C820" s="32" t="n"/>
      <c r="D820" s="36" t="n"/>
      <c r="E820" s="36" t="n"/>
      <c r="F820" s="36" t="n"/>
      <c r="G820" s="42" t="n"/>
      <c r="H820" s="37" t="n"/>
      <c r="I820" s="37" t="n"/>
      <c r="J820" s="32" t="n"/>
      <c r="K820" s="32" t="n"/>
      <c r="L820" s="43" t="n"/>
      <c r="M820" s="36" t="n"/>
      <c r="N820" s="44" t="n"/>
      <c r="O820" s="36" t="n"/>
      <c r="P820" s="33">
        <f>IF(C820="","",Commercial_Id)</f>
        <v/>
      </c>
      <c r="Q820" s="34">
        <f>IF(AC820="","",IF(AD820=1,"C"&amp;TEXT(SUM(AD$6:AD820),"0000"),INDEX(Q$6:Q819,MATCH(AC820,AC$6:AC819,0))))</f>
        <v/>
      </c>
      <c r="R820" s="34">
        <f>IF(C820="","",IF(L820="☑ Oui","Annulée",IF(OR(E820="Vente directe",K820&lt;&gt;""),"Livrée",IF(J820&lt;&gt;"","Confirmée","En attente"))))</f>
        <v/>
      </c>
      <c r="S820" s="34">
        <f>IF(F820="","",IFERROR(VLOOKUP(F820,T_Produits,2,FALSE),""))</f>
        <v/>
      </c>
      <c r="T820" s="40">
        <f>IF(F820="","",IFERROR(1/(1/VLOOKUP(F820,T_Produits,3,FALSE)),""))</f>
        <v/>
      </c>
      <c r="U820" s="40">
        <f>IF(H820&lt;&gt;"",H820,T820)</f>
        <v/>
      </c>
      <c r="V820" s="40">
        <f>IF(OR(G820="",U820=""),"",G820*U820-N(I820))</f>
        <v/>
      </c>
      <c r="W820" s="39">
        <f>IF(D820="","",IFERROR(VALUE(MID(D820,LEN(D820)-3,3)),""))</f>
        <v/>
      </c>
      <c r="X820" s="33">
        <f>IF(W820="","",P820&amp;"|"&amp;W820)</f>
        <v/>
      </c>
      <c r="Y820" s="33">
        <f>IF(W820="","",IF(P820="À RENSEIGNER","GIC",P820)&amp;"-"&amp;TEXT(W820,"000"))</f>
        <v/>
      </c>
      <c r="Z820" s="33">
        <f>IF(X820="","",IFERROR(INDEX(Cl_nom,MATCH(X820,Cl_cle,0)),"(client introuvable)"))</f>
        <v/>
      </c>
      <c r="AA820" s="33">
        <f>IF(X820="","",IFERROR(INDEX(Cl_quartier,MATCH(X820,Cl_cle,0))&amp;"",""))</f>
        <v/>
      </c>
      <c r="AB820" s="45">
        <f>IF(R820&lt;&gt;"Livrée",0,IF(K820&lt;&gt;"",K820,C820))</f>
        <v/>
      </c>
      <c r="AC820" s="33">
        <f>IF(OR(C820="",W820=""),"",P820&amp;"|"&amp;W820&amp;"|"&amp;C820&amp;"|"&amp;E820)</f>
        <v/>
      </c>
      <c r="AD820" s="39">
        <f>IF(AC820="","",IF(COUNTIF(AC$6:AC820,AC820)=1,1,0))</f>
        <v/>
      </c>
      <c r="AE820" s="39">
        <f>IF(AB820=0,"",IF(COUNTIFS(X$6:X820,X820,AB$6:AB820,AB820)=1,1,0))</f>
        <v/>
      </c>
      <c r="AF820" s="34">
        <f>IF(C820="","",YEAR(C820-WEEKDAY(C820,2)+4)&amp;"-S"&amp;TEXT(INT((C820-DATE(YEAR(C820-WEEKDAY(C820,2)+4),1,3)+WEEKDAY(DATE(YEAR(C820-WEEKDAY(C820,2)+4),1,3),2)+5)/7),"00"))</f>
        <v/>
      </c>
    </row>
    <row r="821" ht="18" customHeight="1">
      <c r="A821" s="39" t="n">
        <v>816</v>
      </c>
      <c r="B821" s="33">
        <f>IF(C821="","",IF(P821="À RENSEIGNER","GIC",P821)&amp;"-C"&amp;TEXT(A821,"00000"))</f>
        <v/>
      </c>
      <c r="C821" s="32" t="n"/>
      <c r="D821" s="36" t="n"/>
      <c r="E821" s="36" t="n"/>
      <c r="F821" s="36" t="n"/>
      <c r="G821" s="42" t="n"/>
      <c r="H821" s="37" t="n"/>
      <c r="I821" s="37" t="n"/>
      <c r="J821" s="32" t="n"/>
      <c r="K821" s="32" t="n"/>
      <c r="L821" s="43" t="n"/>
      <c r="M821" s="36" t="n"/>
      <c r="N821" s="44" t="n"/>
      <c r="O821" s="36" t="n"/>
      <c r="P821" s="33">
        <f>IF(C821="","",Commercial_Id)</f>
        <v/>
      </c>
      <c r="Q821" s="34">
        <f>IF(AC821="","",IF(AD821=1,"C"&amp;TEXT(SUM(AD$6:AD821),"0000"),INDEX(Q$6:Q820,MATCH(AC821,AC$6:AC820,0))))</f>
        <v/>
      </c>
      <c r="R821" s="34">
        <f>IF(C821="","",IF(L821="☑ Oui","Annulée",IF(OR(E821="Vente directe",K821&lt;&gt;""),"Livrée",IF(J821&lt;&gt;"","Confirmée","En attente"))))</f>
        <v/>
      </c>
      <c r="S821" s="34">
        <f>IF(F821="","",IFERROR(VLOOKUP(F821,T_Produits,2,FALSE),""))</f>
        <v/>
      </c>
      <c r="T821" s="40">
        <f>IF(F821="","",IFERROR(1/(1/VLOOKUP(F821,T_Produits,3,FALSE)),""))</f>
        <v/>
      </c>
      <c r="U821" s="40">
        <f>IF(H821&lt;&gt;"",H821,T821)</f>
        <v/>
      </c>
      <c r="V821" s="40">
        <f>IF(OR(G821="",U821=""),"",G821*U821-N(I821))</f>
        <v/>
      </c>
      <c r="W821" s="39">
        <f>IF(D821="","",IFERROR(VALUE(MID(D821,LEN(D821)-3,3)),""))</f>
        <v/>
      </c>
      <c r="X821" s="33">
        <f>IF(W821="","",P821&amp;"|"&amp;W821)</f>
        <v/>
      </c>
      <c r="Y821" s="33">
        <f>IF(W821="","",IF(P821="À RENSEIGNER","GIC",P821)&amp;"-"&amp;TEXT(W821,"000"))</f>
        <v/>
      </c>
      <c r="Z821" s="33">
        <f>IF(X821="","",IFERROR(INDEX(Cl_nom,MATCH(X821,Cl_cle,0)),"(client introuvable)"))</f>
        <v/>
      </c>
      <c r="AA821" s="33">
        <f>IF(X821="","",IFERROR(INDEX(Cl_quartier,MATCH(X821,Cl_cle,0))&amp;"",""))</f>
        <v/>
      </c>
      <c r="AB821" s="45">
        <f>IF(R821&lt;&gt;"Livrée",0,IF(K821&lt;&gt;"",K821,C821))</f>
        <v/>
      </c>
      <c r="AC821" s="33">
        <f>IF(OR(C821="",W821=""),"",P821&amp;"|"&amp;W821&amp;"|"&amp;C821&amp;"|"&amp;E821)</f>
        <v/>
      </c>
      <c r="AD821" s="39">
        <f>IF(AC821="","",IF(COUNTIF(AC$6:AC821,AC821)=1,1,0))</f>
        <v/>
      </c>
      <c r="AE821" s="39">
        <f>IF(AB821=0,"",IF(COUNTIFS(X$6:X821,X821,AB$6:AB821,AB821)=1,1,0))</f>
        <v/>
      </c>
      <c r="AF821" s="34">
        <f>IF(C821="","",YEAR(C821-WEEKDAY(C821,2)+4)&amp;"-S"&amp;TEXT(INT((C821-DATE(YEAR(C821-WEEKDAY(C821,2)+4),1,3)+WEEKDAY(DATE(YEAR(C821-WEEKDAY(C821,2)+4),1,3),2)+5)/7),"00"))</f>
        <v/>
      </c>
    </row>
    <row r="822" ht="18" customHeight="1">
      <c r="A822" s="39" t="n">
        <v>817</v>
      </c>
      <c r="B822" s="33">
        <f>IF(C822="","",IF(P822="À RENSEIGNER","GIC",P822)&amp;"-C"&amp;TEXT(A822,"00000"))</f>
        <v/>
      </c>
      <c r="C822" s="32" t="n"/>
      <c r="D822" s="36" t="n"/>
      <c r="E822" s="36" t="n"/>
      <c r="F822" s="36" t="n"/>
      <c r="G822" s="42" t="n"/>
      <c r="H822" s="37" t="n"/>
      <c r="I822" s="37" t="n"/>
      <c r="J822" s="32" t="n"/>
      <c r="K822" s="32" t="n"/>
      <c r="L822" s="43" t="n"/>
      <c r="M822" s="36" t="n"/>
      <c r="N822" s="44" t="n"/>
      <c r="O822" s="36" t="n"/>
      <c r="P822" s="33">
        <f>IF(C822="","",Commercial_Id)</f>
        <v/>
      </c>
      <c r="Q822" s="34">
        <f>IF(AC822="","",IF(AD822=1,"C"&amp;TEXT(SUM(AD$6:AD822),"0000"),INDEX(Q$6:Q821,MATCH(AC822,AC$6:AC821,0))))</f>
        <v/>
      </c>
      <c r="R822" s="34">
        <f>IF(C822="","",IF(L822="☑ Oui","Annulée",IF(OR(E822="Vente directe",K822&lt;&gt;""),"Livrée",IF(J822&lt;&gt;"","Confirmée","En attente"))))</f>
        <v/>
      </c>
      <c r="S822" s="34">
        <f>IF(F822="","",IFERROR(VLOOKUP(F822,T_Produits,2,FALSE),""))</f>
        <v/>
      </c>
      <c r="T822" s="40">
        <f>IF(F822="","",IFERROR(1/(1/VLOOKUP(F822,T_Produits,3,FALSE)),""))</f>
        <v/>
      </c>
      <c r="U822" s="40">
        <f>IF(H822&lt;&gt;"",H822,T822)</f>
        <v/>
      </c>
      <c r="V822" s="40">
        <f>IF(OR(G822="",U822=""),"",G822*U822-N(I822))</f>
        <v/>
      </c>
      <c r="W822" s="39">
        <f>IF(D822="","",IFERROR(VALUE(MID(D822,LEN(D822)-3,3)),""))</f>
        <v/>
      </c>
      <c r="X822" s="33">
        <f>IF(W822="","",P822&amp;"|"&amp;W822)</f>
        <v/>
      </c>
      <c r="Y822" s="33">
        <f>IF(W822="","",IF(P822="À RENSEIGNER","GIC",P822)&amp;"-"&amp;TEXT(W822,"000"))</f>
        <v/>
      </c>
      <c r="Z822" s="33">
        <f>IF(X822="","",IFERROR(INDEX(Cl_nom,MATCH(X822,Cl_cle,0)),"(client introuvable)"))</f>
        <v/>
      </c>
      <c r="AA822" s="33">
        <f>IF(X822="","",IFERROR(INDEX(Cl_quartier,MATCH(X822,Cl_cle,0))&amp;"",""))</f>
        <v/>
      </c>
      <c r="AB822" s="45">
        <f>IF(R822&lt;&gt;"Livrée",0,IF(K822&lt;&gt;"",K822,C822))</f>
        <v/>
      </c>
      <c r="AC822" s="33">
        <f>IF(OR(C822="",W822=""),"",P822&amp;"|"&amp;W822&amp;"|"&amp;C822&amp;"|"&amp;E822)</f>
        <v/>
      </c>
      <c r="AD822" s="39">
        <f>IF(AC822="","",IF(COUNTIF(AC$6:AC822,AC822)=1,1,0))</f>
        <v/>
      </c>
      <c r="AE822" s="39">
        <f>IF(AB822=0,"",IF(COUNTIFS(X$6:X822,X822,AB$6:AB822,AB822)=1,1,0))</f>
        <v/>
      </c>
      <c r="AF822" s="34">
        <f>IF(C822="","",YEAR(C822-WEEKDAY(C822,2)+4)&amp;"-S"&amp;TEXT(INT((C822-DATE(YEAR(C822-WEEKDAY(C822,2)+4),1,3)+WEEKDAY(DATE(YEAR(C822-WEEKDAY(C822,2)+4),1,3),2)+5)/7),"00"))</f>
        <v/>
      </c>
    </row>
    <row r="823" ht="18" customHeight="1">
      <c r="A823" s="39" t="n">
        <v>818</v>
      </c>
      <c r="B823" s="33">
        <f>IF(C823="","",IF(P823="À RENSEIGNER","GIC",P823)&amp;"-C"&amp;TEXT(A823,"00000"))</f>
        <v/>
      </c>
      <c r="C823" s="32" t="n"/>
      <c r="D823" s="36" t="n"/>
      <c r="E823" s="36" t="n"/>
      <c r="F823" s="36" t="n"/>
      <c r="G823" s="42" t="n"/>
      <c r="H823" s="37" t="n"/>
      <c r="I823" s="37" t="n"/>
      <c r="J823" s="32" t="n"/>
      <c r="K823" s="32" t="n"/>
      <c r="L823" s="43" t="n"/>
      <c r="M823" s="36" t="n"/>
      <c r="N823" s="44" t="n"/>
      <c r="O823" s="36" t="n"/>
      <c r="P823" s="33">
        <f>IF(C823="","",Commercial_Id)</f>
        <v/>
      </c>
      <c r="Q823" s="34">
        <f>IF(AC823="","",IF(AD823=1,"C"&amp;TEXT(SUM(AD$6:AD823),"0000"),INDEX(Q$6:Q822,MATCH(AC823,AC$6:AC822,0))))</f>
        <v/>
      </c>
      <c r="R823" s="34">
        <f>IF(C823="","",IF(L823="☑ Oui","Annulée",IF(OR(E823="Vente directe",K823&lt;&gt;""),"Livrée",IF(J823&lt;&gt;"","Confirmée","En attente"))))</f>
        <v/>
      </c>
      <c r="S823" s="34">
        <f>IF(F823="","",IFERROR(VLOOKUP(F823,T_Produits,2,FALSE),""))</f>
        <v/>
      </c>
      <c r="T823" s="40">
        <f>IF(F823="","",IFERROR(1/(1/VLOOKUP(F823,T_Produits,3,FALSE)),""))</f>
        <v/>
      </c>
      <c r="U823" s="40">
        <f>IF(H823&lt;&gt;"",H823,T823)</f>
        <v/>
      </c>
      <c r="V823" s="40">
        <f>IF(OR(G823="",U823=""),"",G823*U823-N(I823))</f>
        <v/>
      </c>
      <c r="W823" s="39">
        <f>IF(D823="","",IFERROR(VALUE(MID(D823,LEN(D823)-3,3)),""))</f>
        <v/>
      </c>
      <c r="X823" s="33">
        <f>IF(W823="","",P823&amp;"|"&amp;W823)</f>
        <v/>
      </c>
      <c r="Y823" s="33">
        <f>IF(W823="","",IF(P823="À RENSEIGNER","GIC",P823)&amp;"-"&amp;TEXT(W823,"000"))</f>
        <v/>
      </c>
      <c r="Z823" s="33">
        <f>IF(X823="","",IFERROR(INDEX(Cl_nom,MATCH(X823,Cl_cle,0)),"(client introuvable)"))</f>
        <v/>
      </c>
      <c r="AA823" s="33">
        <f>IF(X823="","",IFERROR(INDEX(Cl_quartier,MATCH(X823,Cl_cle,0))&amp;"",""))</f>
        <v/>
      </c>
      <c r="AB823" s="45">
        <f>IF(R823&lt;&gt;"Livrée",0,IF(K823&lt;&gt;"",K823,C823))</f>
        <v/>
      </c>
      <c r="AC823" s="33">
        <f>IF(OR(C823="",W823=""),"",P823&amp;"|"&amp;W823&amp;"|"&amp;C823&amp;"|"&amp;E823)</f>
        <v/>
      </c>
      <c r="AD823" s="39">
        <f>IF(AC823="","",IF(COUNTIF(AC$6:AC823,AC823)=1,1,0))</f>
        <v/>
      </c>
      <c r="AE823" s="39">
        <f>IF(AB823=0,"",IF(COUNTIFS(X$6:X823,X823,AB$6:AB823,AB823)=1,1,0))</f>
        <v/>
      </c>
      <c r="AF823" s="34">
        <f>IF(C823="","",YEAR(C823-WEEKDAY(C823,2)+4)&amp;"-S"&amp;TEXT(INT((C823-DATE(YEAR(C823-WEEKDAY(C823,2)+4),1,3)+WEEKDAY(DATE(YEAR(C823-WEEKDAY(C823,2)+4),1,3),2)+5)/7),"00"))</f>
        <v/>
      </c>
    </row>
    <row r="824" ht="18" customHeight="1">
      <c r="A824" s="39" t="n">
        <v>819</v>
      </c>
      <c r="B824" s="33">
        <f>IF(C824="","",IF(P824="À RENSEIGNER","GIC",P824)&amp;"-C"&amp;TEXT(A824,"00000"))</f>
        <v/>
      </c>
      <c r="C824" s="32" t="n"/>
      <c r="D824" s="36" t="n"/>
      <c r="E824" s="36" t="n"/>
      <c r="F824" s="36" t="n"/>
      <c r="G824" s="42" t="n"/>
      <c r="H824" s="37" t="n"/>
      <c r="I824" s="37" t="n"/>
      <c r="J824" s="32" t="n"/>
      <c r="K824" s="32" t="n"/>
      <c r="L824" s="43" t="n"/>
      <c r="M824" s="36" t="n"/>
      <c r="N824" s="44" t="n"/>
      <c r="O824" s="36" t="n"/>
      <c r="P824" s="33">
        <f>IF(C824="","",Commercial_Id)</f>
        <v/>
      </c>
      <c r="Q824" s="34">
        <f>IF(AC824="","",IF(AD824=1,"C"&amp;TEXT(SUM(AD$6:AD824),"0000"),INDEX(Q$6:Q823,MATCH(AC824,AC$6:AC823,0))))</f>
        <v/>
      </c>
      <c r="R824" s="34">
        <f>IF(C824="","",IF(L824="☑ Oui","Annulée",IF(OR(E824="Vente directe",K824&lt;&gt;""),"Livrée",IF(J824&lt;&gt;"","Confirmée","En attente"))))</f>
        <v/>
      </c>
      <c r="S824" s="34">
        <f>IF(F824="","",IFERROR(VLOOKUP(F824,T_Produits,2,FALSE),""))</f>
        <v/>
      </c>
      <c r="T824" s="40">
        <f>IF(F824="","",IFERROR(1/(1/VLOOKUP(F824,T_Produits,3,FALSE)),""))</f>
        <v/>
      </c>
      <c r="U824" s="40">
        <f>IF(H824&lt;&gt;"",H824,T824)</f>
        <v/>
      </c>
      <c r="V824" s="40">
        <f>IF(OR(G824="",U824=""),"",G824*U824-N(I824))</f>
        <v/>
      </c>
      <c r="W824" s="39">
        <f>IF(D824="","",IFERROR(VALUE(MID(D824,LEN(D824)-3,3)),""))</f>
        <v/>
      </c>
      <c r="X824" s="33">
        <f>IF(W824="","",P824&amp;"|"&amp;W824)</f>
        <v/>
      </c>
      <c r="Y824" s="33">
        <f>IF(W824="","",IF(P824="À RENSEIGNER","GIC",P824)&amp;"-"&amp;TEXT(W824,"000"))</f>
        <v/>
      </c>
      <c r="Z824" s="33">
        <f>IF(X824="","",IFERROR(INDEX(Cl_nom,MATCH(X824,Cl_cle,0)),"(client introuvable)"))</f>
        <v/>
      </c>
      <c r="AA824" s="33">
        <f>IF(X824="","",IFERROR(INDEX(Cl_quartier,MATCH(X824,Cl_cle,0))&amp;"",""))</f>
        <v/>
      </c>
      <c r="AB824" s="45">
        <f>IF(R824&lt;&gt;"Livrée",0,IF(K824&lt;&gt;"",K824,C824))</f>
        <v/>
      </c>
      <c r="AC824" s="33">
        <f>IF(OR(C824="",W824=""),"",P824&amp;"|"&amp;W824&amp;"|"&amp;C824&amp;"|"&amp;E824)</f>
        <v/>
      </c>
      <c r="AD824" s="39">
        <f>IF(AC824="","",IF(COUNTIF(AC$6:AC824,AC824)=1,1,0))</f>
        <v/>
      </c>
      <c r="AE824" s="39">
        <f>IF(AB824=0,"",IF(COUNTIFS(X$6:X824,X824,AB$6:AB824,AB824)=1,1,0))</f>
        <v/>
      </c>
      <c r="AF824" s="34">
        <f>IF(C824="","",YEAR(C824-WEEKDAY(C824,2)+4)&amp;"-S"&amp;TEXT(INT((C824-DATE(YEAR(C824-WEEKDAY(C824,2)+4),1,3)+WEEKDAY(DATE(YEAR(C824-WEEKDAY(C824,2)+4),1,3),2)+5)/7),"00"))</f>
        <v/>
      </c>
    </row>
    <row r="825" ht="18" customHeight="1">
      <c r="A825" s="39" t="n">
        <v>820</v>
      </c>
      <c r="B825" s="33">
        <f>IF(C825="","",IF(P825="À RENSEIGNER","GIC",P825)&amp;"-C"&amp;TEXT(A825,"00000"))</f>
        <v/>
      </c>
      <c r="C825" s="32" t="n"/>
      <c r="D825" s="36" t="n"/>
      <c r="E825" s="36" t="n"/>
      <c r="F825" s="36" t="n"/>
      <c r="G825" s="42" t="n"/>
      <c r="H825" s="37" t="n"/>
      <c r="I825" s="37" t="n"/>
      <c r="J825" s="32" t="n"/>
      <c r="K825" s="32" t="n"/>
      <c r="L825" s="43" t="n"/>
      <c r="M825" s="36" t="n"/>
      <c r="N825" s="44" t="n"/>
      <c r="O825" s="36" t="n"/>
      <c r="P825" s="33">
        <f>IF(C825="","",Commercial_Id)</f>
        <v/>
      </c>
      <c r="Q825" s="34">
        <f>IF(AC825="","",IF(AD825=1,"C"&amp;TEXT(SUM(AD$6:AD825),"0000"),INDEX(Q$6:Q824,MATCH(AC825,AC$6:AC824,0))))</f>
        <v/>
      </c>
      <c r="R825" s="34">
        <f>IF(C825="","",IF(L825="☑ Oui","Annulée",IF(OR(E825="Vente directe",K825&lt;&gt;""),"Livrée",IF(J825&lt;&gt;"","Confirmée","En attente"))))</f>
        <v/>
      </c>
      <c r="S825" s="34">
        <f>IF(F825="","",IFERROR(VLOOKUP(F825,T_Produits,2,FALSE),""))</f>
        <v/>
      </c>
      <c r="T825" s="40">
        <f>IF(F825="","",IFERROR(1/(1/VLOOKUP(F825,T_Produits,3,FALSE)),""))</f>
        <v/>
      </c>
      <c r="U825" s="40">
        <f>IF(H825&lt;&gt;"",H825,T825)</f>
        <v/>
      </c>
      <c r="V825" s="40">
        <f>IF(OR(G825="",U825=""),"",G825*U825-N(I825))</f>
        <v/>
      </c>
      <c r="W825" s="39">
        <f>IF(D825="","",IFERROR(VALUE(MID(D825,LEN(D825)-3,3)),""))</f>
        <v/>
      </c>
      <c r="X825" s="33">
        <f>IF(W825="","",P825&amp;"|"&amp;W825)</f>
        <v/>
      </c>
      <c r="Y825" s="33">
        <f>IF(W825="","",IF(P825="À RENSEIGNER","GIC",P825)&amp;"-"&amp;TEXT(W825,"000"))</f>
        <v/>
      </c>
      <c r="Z825" s="33">
        <f>IF(X825="","",IFERROR(INDEX(Cl_nom,MATCH(X825,Cl_cle,0)),"(client introuvable)"))</f>
        <v/>
      </c>
      <c r="AA825" s="33">
        <f>IF(X825="","",IFERROR(INDEX(Cl_quartier,MATCH(X825,Cl_cle,0))&amp;"",""))</f>
        <v/>
      </c>
      <c r="AB825" s="45">
        <f>IF(R825&lt;&gt;"Livrée",0,IF(K825&lt;&gt;"",K825,C825))</f>
        <v/>
      </c>
      <c r="AC825" s="33">
        <f>IF(OR(C825="",W825=""),"",P825&amp;"|"&amp;W825&amp;"|"&amp;C825&amp;"|"&amp;E825)</f>
        <v/>
      </c>
      <c r="AD825" s="39">
        <f>IF(AC825="","",IF(COUNTIF(AC$6:AC825,AC825)=1,1,0))</f>
        <v/>
      </c>
      <c r="AE825" s="39">
        <f>IF(AB825=0,"",IF(COUNTIFS(X$6:X825,X825,AB$6:AB825,AB825)=1,1,0))</f>
        <v/>
      </c>
      <c r="AF825" s="34">
        <f>IF(C825="","",YEAR(C825-WEEKDAY(C825,2)+4)&amp;"-S"&amp;TEXT(INT((C825-DATE(YEAR(C825-WEEKDAY(C825,2)+4),1,3)+WEEKDAY(DATE(YEAR(C825-WEEKDAY(C825,2)+4),1,3),2)+5)/7),"00"))</f>
        <v/>
      </c>
    </row>
    <row r="826" ht="18" customHeight="1">
      <c r="A826" s="39" t="n">
        <v>821</v>
      </c>
      <c r="B826" s="33">
        <f>IF(C826="","",IF(P826="À RENSEIGNER","GIC",P826)&amp;"-C"&amp;TEXT(A826,"00000"))</f>
        <v/>
      </c>
      <c r="C826" s="32" t="n"/>
      <c r="D826" s="36" t="n"/>
      <c r="E826" s="36" t="n"/>
      <c r="F826" s="36" t="n"/>
      <c r="G826" s="42" t="n"/>
      <c r="H826" s="37" t="n"/>
      <c r="I826" s="37" t="n"/>
      <c r="J826" s="32" t="n"/>
      <c r="K826" s="32" t="n"/>
      <c r="L826" s="43" t="n"/>
      <c r="M826" s="36" t="n"/>
      <c r="N826" s="44" t="n"/>
      <c r="O826" s="36" t="n"/>
      <c r="P826" s="33">
        <f>IF(C826="","",Commercial_Id)</f>
        <v/>
      </c>
      <c r="Q826" s="34">
        <f>IF(AC826="","",IF(AD826=1,"C"&amp;TEXT(SUM(AD$6:AD826),"0000"),INDEX(Q$6:Q825,MATCH(AC826,AC$6:AC825,0))))</f>
        <v/>
      </c>
      <c r="R826" s="34">
        <f>IF(C826="","",IF(L826="☑ Oui","Annulée",IF(OR(E826="Vente directe",K826&lt;&gt;""),"Livrée",IF(J826&lt;&gt;"","Confirmée","En attente"))))</f>
        <v/>
      </c>
      <c r="S826" s="34">
        <f>IF(F826="","",IFERROR(VLOOKUP(F826,T_Produits,2,FALSE),""))</f>
        <v/>
      </c>
      <c r="T826" s="40">
        <f>IF(F826="","",IFERROR(1/(1/VLOOKUP(F826,T_Produits,3,FALSE)),""))</f>
        <v/>
      </c>
      <c r="U826" s="40">
        <f>IF(H826&lt;&gt;"",H826,T826)</f>
        <v/>
      </c>
      <c r="V826" s="40">
        <f>IF(OR(G826="",U826=""),"",G826*U826-N(I826))</f>
        <v/>
      </c>
      <c r="W826" s="39">
        <f>IF(D826="","",IFERROR(VALUE(MID(D826,LEN(D826)-3,3)),""))</f>
        <v/>
      </c>
      <c r="X826" s="33">
        <f>IF(W826="","",P826&amp;"|"&amp;W826)</f>
        <v/>
      </c>
      <c r="Y826" s="33">
        <f>IF(W826="","",IF(P826="À RENSEIGNER","GIC",P826)&amp;"-"&amp;TEXT(W826,"000"))</f>
        <v/>
      </c>
      <c r="Z826" s="33">
        <f>IF(X826="","",IFERROR(INDEX(Cl_nom,MATCH(X826,Cl_cle,0)),"(client introuvable)"))</f>
        <v/>
      </c>
      <c r="AA826" s="33">
        <f>IF(X826="","",IFERROR(INDEX(Cl_quartier,MATCH(X826,Cl_cle,0))&amp;"",""))</f>
        <v/>
      </c>
      <c r="AB826" s="45">
        <f>IF(R826&lt;&gt;"Livrée",0,IF(K826&lt;&gt;"",K826,C826))</f>
        <v/>
      </c>
      <c r="AC826" s="33">
        <f>IF(OR(C826="",W826=""),"",P826&amp;"|"&amp;W826&amp;"|"&amp;C826&amp;"|"&amp;E826)</f>
        <v/>
      </c>
      <c r="AD826" s="39">
        <f>IF(AC826="","",IF(COUNTIF(AC$6:AC826,AC826)=1,1,0))</f>
        <v/>
      </c>
      <c r="AE826" s="39">
        <f>IF(AB826=0,"",IF(COUNTIFS(X$6:X826,X826,AB$6:AB826,AB826)=1,1,0))</f>
        <v/>
      </c>
      <c r="AF826" s="34">
        <f>IF(C826="","",YEAR(C826-WEEKDAY(C826,2)+4)&amp;"-S"&amp;TEXT(INT((C826-DATE(YEAR(C826-WEEKDAY(C826,2)+4),1,3)+WEEKDAY(DATE(YEAR(C826-WEEKDAY(C826,2)+4),1,3),2)+5)/7),"00"))</f>
        <v/>
      </c>
    </row>
    <row r="827" ht="18" customHeight="1">
      <c r="A827" s="39" t="n">
        <v>822</v>
      </c>
      <c r="B827" s="33">
        <f>IF(C827="","",IF(P827="À RENSEIGNER","GIC",P827)&amp;"-C"&amp;TEXT(A827,"00000"))</f>
        <v/>
      </c>
      <c r="C827" s="32" t="n"/>
      <c r="D827" s="36" t="n"/>
      <c r="E827" s="36" t="n"/>
      <c r="F827" s="36" t="n"/>
      <c r="G827" s="42" t="n"/>
      <c r="H827" s="37" t="n"/>
      <c r="I827" s="37" t="n"/>
      <c r="J827" s="32" t="n"/>
      <c r="K827" s="32" t="n"/>
      <c r="L827" s="43" t="n"/>
      <c r="M827" s="36" t="n"/>
      <c r="N827" s="44" t="n"/>
      <c r="O827" s="36" t="n"/>
      <c r="P827" s="33">
        <f>IF(C827="","",Commercial_Id)</f>
        <v/>
      </c>
      <c r="Q827" s="34">
        <f>IF(AC827="","",IF(AD827=1,"C"&amp;TEXT(SUM(AD$6:AD827),"0000"),INDEX(Q$6:Q826,MATCH(AC827,AC$6:AC826,0))))</f>
        <v/>
      </c>
      <c r="R827" s="34">
        <f>IF(C827="","",IF(L827="☑ Oui","Annulée",IF(OR(E827="Vente directe",K827&lt;&gt;""),"Livrée",IF(J827&lt;&gt;"","Confirmée","En attente"))))</f>
        <v/>
      </c>
      <c r="S827" s="34">
        <f>IF(F827="","",IFERROR(VLOOKUP(F827,T_Produits,2,FALSE),""))</f>
        <v/>
      </c>
      <c r="T827" s="40">
        <f>IF(F827="","",IFERROR(1/(1/VLOOKUP(F827,T_Produits,3,FALSE)),""))</f>
        <v/>
      </c>
      <c r="U827" s="40">
        <f>IF(H827&lt;&gt;"",H827,T827)</f>
        <v/>
      </c>
      <c r="V827" s="40">
        <f>IF(OR(G827="",U827=""),"",G827*U827-N(I827))</f>
        <v/>
      </c>
      <c r="W827" s="39">
        <f>IF(D827="","",IFERROR(VALUE(MID(D827,LEN(D827)-3,3)),""))</f>
        <v/>
      </c>
      <c r="X827" s="33">
        <f>IF(W827="","",P827&amp;"|"&amp;W827)</f>
        <v/>
      </c>
      <c r="Y827" s="33">
        <f>IF(W827="","",IF(P827="À RENSEIGNER","GIC",P827)&amp;"-"&amp;TEXT(W827,"000"))</f>
        <v/>
      </c>
      <c r="Z827" s="33">
        <f>IF(X827="","",IFERROR(INDEX(Cl_nom,MATCH(X827,Cl_cle,0)),"(client introuvable)"))</f>
        <v/>
      </c>
      <c r="AA827" s="33">
        <f>IF(X827="","",IFERROR(INDEX(Cl_quartier,MATCH(X827,Cl_cle,0))&amp;"",""))</f>
        <v/>
      </c>
      <c r="AB827" s="45">
        <f>IF(R827&lt;&gt;"Livrée",0,IF(K827&lt;&gt;"",K827,C827))</f>
        <v/>
      </c>
      <c r="AC827" s="33">
        <f>IF(OR(C827="",W827=""),"",P827&amp;"|"&amp;W827&amp;"|"&amp;C827&amp;"|"&amp;E827)</f>
        <v/>
      </c>
      <c r="AD827" s="39">
        <f>IF(AC827="","",IF(COUNTIF(AC$6:AC827,AC827)=1,1,0))</f>
        <v/>
      </c>
      <c r="AE827" s="39">
        <f>IF(AB827=0,"",IF(COUNTIFS(X$6:X827,X827,AB$6:AB827,AB827)=1,1,0))</f>
        <v/>
      </c>
      <c r="AF827" s="34">
        <f>IF(C827="","",YEAR(C827-WEEKDAY(C827,2)+4)&amp;"-S"&amp;TEXT(INT((C827-DATE(YEAR(C827-WEEKDAY(C827,2)+4),1,3)+WEEKDAY(DATE(YEAR(C827-WEEKDAY(C827,2)+4),1,3),2)+5)/7),"00"))</f>
        <v/>
      </c>
    </row>
    <row r="828" ht="18" customHeight="1">
      <c r="A828" s="39" t="n">
        <v>823</v>
      </c>
      <c r="B828" s="33">
        <f>IF(C828="","",IF(P828="À RENSEIGNER","GIC",P828)&amp;"-C"&amp;TEXT(A828,"00000"))</f>
        <v/>
      </c>
      <c r="C828" s="32" t="n"/>
      <c r="D828" s="36" t="n"/>
      <c r="E828" s="36" t="n"/>
      <c r="F828" s="36" t="n"/>
      <c r="G828" s="42" t="n"/>
      <c r="H828" s="37" t="n"/>
      <c r="I828" s="37" t="n"/>
      <c r="J828" s="32" t="n"/>
      <c r="K828" s="32" t="n"/>
      <c r="L828" s="43" t="n"/>
      <c r="M828" s="36" t="n"/>
      <c r="N828" s="44" t="n"/>
      <c r="O828" s="36" t="n"/>
      <c r="P828" s="33">
        <f>IF(C828="","",Commercial_Id)</f>
        <v/>
      </c>
      <c r="Q828" s="34">
        <f>IF(AC828="","",IF(AD828=1,"C"&amp;TEXT(SUM(AD$6:AD828),"0000"),INDEX(Q$6:Q827,MATCH(AC828,AC$6:AC827,0))))</f>
        <v/>
      </c>
      <c r="R828" s="34">
        <f>IF(C828="","",IF(L828="☑ Oui","Annulée",IF(OR(E828="Vente directe",K828&lt;&gt;""),"Livrée",IF(J828&lt;&gt;"","Confirmée","En attente"))))</f>
        <v/>
      </c>
      <c r="S828" s="34">
        <f>IF(F828="","",IFERROR(VLOOKUP(F828,T_Produits,2,FALSE),""))</f>
        <v/>
      </c>
      <c r="T828" s="40">
        <f>IF(F828="","",IFERROR(1/(1/VLOOKUP(F828,T_Produits,3,FALSE)),""))</f>
        <v/>
      </c>
      <c r="U828" s="40">
        <f>IF(H828&lt;&gt;"",H828,T828)</f>
        <v/>
      </c>
      <c r="V828" s="40">
        <f>IF(OR(G828="",U828=""),"",G828*U828-N(I828))</f>
        <v/>
      </c>
      <c r="W828" s="39">
        <f>IF(D828="","",IFERROR(VALUE(MID(D828,LEN(D828)-3,3)),""))</f>
        <v/>
      </c>
      <c r="X828" s="33">
        <f>IF(W828="","",P828&amp;"|"&amp;W828)</f>
        <v/>
      </c>
      <c r="Y828" s="33">
        <f>IF(W828="","",IF(P828="À RENSEIGNER","GIC",P828)&amp;"-"&amp;TEXT(W828,"000"))</f>
        <v/>
      </c>
      <c r="Z828" s="33">
        <f>IF(X828="","",IFERROR(INDEX(Cl_nom,MATCH(X828,Cl_cle,0)),"(client introuvable)"))</f>
        <v/>
      </c>
      <c r="AA828" s="33">
        <f>IF(X828="","",IFERROR(INDEX(Cl_quartier,MATCH(X828,Cl_cle,0))&amp;"",""))</f>
        <v/>
      </c>
      <c r="AB828" s="45">
        <f>IF(R828&lt;&gt;"Livrée",0,IF(K828&lt;&gt;"",K828,C828))</f>
        <v/>
      </c>
      <c r="AC828" s="33">
        <f>IF(OR(C828="",W828=""),"",P828&amp;"|"&amp;W828&amp;"|"&amp;C828&amp;"|"&amp;E828)</f>
        <v/>
      </c>
      <c r="AD828" s="39">
        <f>IF(AC828="","",IF(COUNTIF(AC$6:AC828,AC828)=1,1,0))</f>
        <v/>
      </c>
      <c r="AE828" s="39">
        <f>IF(AB828=0,"",IF(COUNTIFS(X$6:X828,X828,AB$6:AB828,AB828)=1,1,0))</f>
        <v/>
      </c>
      <c r="AF828" s="34">
        <f>IF(C828="","",YEAR(C828-WEEKDAY(C828,2)+4)&amp;"-S"&amp;TEXT(INT((C828-DATE(YEAR(C828-WEEKDAY(C828,2)+4),1,3)+WEEKDAY(DATE(YEAR(C828-WEEKDAY(C828,2)+4),1,3),2)+5)/7),"00"))</f>
        <v/>
      </c>
    </row>
    <row r="829" ht="18" customHeight="1">
      <c r="A829" s="39" t="n">
        <v>824</v>
      </c>
      <c r="B829" s="33">
        <f>IF(C829="","",IF(P829="À RENSEIGNER","GIC",P829)&amp;"-C"&amp;TEXT(A829,"00000"))</f>
        <v/>
      </c>
      <c r="C829" s="32" t="n"/>
      <c r="D829" s="36" t="n"/>
      <c r="E829" s="36" t="n"/>
      <c r="F829" s="36" t="n"/>
      <c r="G829" s="42" t="n"/>
      <c r="H829" s="37" t="n"/>
      <c r="I829" s="37" t="n"/>
      <c r="J829" s="32" t="n"/>
      <c r="K829" s="32" t="n"/>
      <c r="L829" s="43" t="n"/>
      <c r="M829" s="36" t="n"/>
      <c r="N829" s="44" t="n"/>
      <c r="O829" s="36" t="n"/>
      <c r="P829" s="33">
        <f>IF(C829="","",Commercial_Id)</f>
        <v/>
      </c>
      <c r="Q829" s="34">
        <f>IF(AC829="","",IF(AD829=1,"C"&amp;TEXT(SUM(AD$6:AD829),"0000"),INDEX(Q$6:Q828,MATCH(AC829,AC$6:AC828,0))))</f>
        <v/>
      </c>
      <c r="R829" s="34">
        <f>IF(C829="","",IF(L829="☑ Oui","Annulée",IF(OR(E829="Vente directe",K829&lt;&gt;""),"Livrée",IF(J829&lt;&gt;"","Confirmée","En attente"))))</f>
        <v/>
      </c>
      <c r="S829" s="34">
        <f>IF(F829="","",IFERROR(VLOOKUP(F829,T_Produits,2,FALSE),""))</f>
        <v/>
      </c>
      <c r="T829" s="40">
        <f>IF(F829="","",IFERROR(1/(1/VLOOKUP(F829,T_Produits,3,FALSE)),""))</f>
        <v/>
      </c>
      <c r="U829" s="40">
        <f>IF(H829&lt;&gt;"",H829,T829)</f>
        <v/>
      </c>
      <c r="V829" s="40">
        <f>IF(OR(G829="",U829=""),"",G829*U829-N(I829))</f>
        <v/>
      </c>
      <c r="W829" s="39">
        <f>IF(D829="","",IFERROR(VALUE(MID(D829,LEN(D829)-3,3)),""))</f>
        <v/>
      </c>
      <c r="X829" s="33">
        <f>IF(W829="","",P829&amp;"|"&amp;W829)</f>
        <v/>
      </c>
      <c r="Y829" s="33">
        <f>IF(W829="","",IF(P829="À RENSEIGNER","GIC",P829)&amp;"-"&amp;TEXT(W829,"000"))</f>
        <v/>
      </c>
      <c r="Z829" s="33">
        <f>IF(X829="","",IFERROR(INDEX(Cl_nom,MATCH(X829,Cl_cle,0)),"(client introuvable)"))</f>
        <v/>
      </c>
      <c r="AA829" s="33">
        <f>IF(X829="","",IFERROR(INDEX(Cl_quartier,MATCH(X829,Cl_cle,0))&amp;"",""))</f>
        <v/>
      </c>
      <c r="AB829" s="45">
        <f>IF(R829&lt;&gt;"Livrée",0,IF(K829&lt;&gt;"",K829,C829))</f>
        <v/>
      </c>
      <c r="AC829" s="33">
        <f>IF(OR(C829="",W829=""),"",P829&amp;"|"&amp;W829&amp;"|"&amp;C829&amp;"|"&amp;E829)</f>
        <v/>
      </c>
      <c r="AD829" s="39">
        <f>IF(AC829="","",IF(COUNTIF(AC$6:AC829,AC829)=1,1,0))</f>
        <v/>
      </c>
      <c r="AE829" s="39">
        <f>IF(AB829=0,"",IF(COUNTIFS(X$6:X829,X829,AB$6:AB829,AB829)=1,1,0))</f>
        <v/>
      </c>
      <c r="AF829" s="34">
        <f>IF(C829="","",YEAR(C829-WEEKDAY(C829,2)+4)&amp;"-S"&amp;TEXT(INT((C829-DATE(YEAR(C829-WEEKDAY(C829,2)+4),1,3)+WEEKDAY(DATE(YEAR(C829-WEEKDAY(C829,2)+4),1,3),2)+5)/7),"00"))</f>
        <v/>
      </c>
    </row>
    <row r="830" ht="18" customHeight="1">
      <c r="A830" s="39" t="n">
        <v>825</v>
      </c>
      <c r="B830" s="33">
        <f>IF(C830="","",IF(P830="À RENSEIGNER","GIC",P830)&amp;"-C"&amp;TEXT(A830,"00000"))</f>
        <v/>
      </c>
      <c r="C830" s="32" t="n"/>
      <c r="D830" s="36" t="n"/>
      <c r="E830" s="36" t="n"/>
      <c r="F830" s="36" t="n"/>
      <c r="G830" s="42" t="n"/>
      <c r="H830" s="37" t="n"/>
      <c r="I830" s="37" t="n"/>
      <c r="J830" s="32" t="n"/>
      <c r="K830" s="32" t="n"/>
      <c r="L830" s="43" t="n"/>
      <c r="M830" s="36" t="n"/>
      <c r="N830" s="44" t="n"/>
      <c r="O830" s="36" t="n"/>
      <c r="P830" s="33">
        <f>IF(C830="","",Commercial_Id)</f>
        <v/>
      </c>
      <c r="Q830" s="34">
        <f>IF(AC830="","",IF(AD830=1,"C"&amp;TEXT(SUM(AD$6:AD830),"0000"),INDEX(Q$6:Q829,MATCH(AC830,AC$6:AC829,0))))</f>
        <v/>
      </c>
      <c r="R830" s="34">
        <f>IF(C830="","",IF(L830="☑ Oui","Annulée",IF(OR(E830="Vente directe",K830&lt;&gt;""),"Livrée",IF(J830&lt;&gt;"","Confirmée","En attente"))))</f>
        <v/>
      </c>
      <c r="S830" s="34">
        <f>IF(F830="","",IFERROR(VLOOKUP(F830,T_Produits,2,FALSE),""))</f>
        <v/>
      </c>
      <c r="T830" s="40">
        <f>IF(F830="","",IFERROR(1/(1/VLOOKUP(F830,T_Produits,3,FALSE)),""))</f>
        <v/>
      </c>
      <c r="U830" s="40">
        <f>IF(H830&lt;&gt;"",H830,T830)</f>
        <v/>
      </c>
      <c r="V830" s="40">
        <f>IF(OR(G830="",U830=""),"",G830*U830-N(I830))</f>
        <v/>
      </c>
      <c r="W830" s="39">
        <f>IF(D830="","",IFERROR(VALUE(MID(D830,LEN(D830)-3,3)),""))</f>
        <v/>
      </c>
      <c r="X830" s="33">
        <f>IF(W830="","",P830&amp;"|"&amp;W830)</f>
        <v/>
      </c>
      <c r="Y830" s="33">
        <f>IF(W830="","",IF(P830="À RENSEIGNER","GIC",P830)&amp;"-"&amp;TEXT(W830,"000"))</f>
        <v/>
      </c>
      <c r="Z830" s="33">
        <f>IF(X830="","",IFERROR(INDEX(Cl_nom,MATCH(X830,Cl_cle,0)),"(client introuvable)"))</f>
        <v/>
      </c>
      <c r="AA830" s="33">
        <f>IF(X830="","",IFERROR(INDEX(Cl_quartier,MATCH(X830,Cl_cle,0))&amp;"",""))</f>
        <v/>
      </c>
      <c r="AB830" s="45">
        <f>IF(R830&lt;&gt;"Livrée",0,IF(K830&lt;&gt;"",K830,C830))</f>
        <v/>
      </c>
      <c r="AC830" s="33">
        <f>IF(OR(C830="",W830=""),"",P830&amp;"|"&amp;W830&amp;"|"&amp;C830&amp;"|"&amp;E830)</f>
        <v/>
      </c>
      <c r="AD830" s="39">
        <f>IF(AC830="","",IF(COUNTIF(AC$6:AC830,AC830)=1,1,0))</f>
        <v/>
      </c>
      <c r="AE830" s="39">
        <f>IF(AB830=0,"",IF(COUNTIFS(X$6:X830,X830,AB$6:AB830,AB830)=1,1,0))</f>
        <v/>
      </c>
      <c r="AF830" s="34">
        <f>IF(C830="","",YEAR(C830-WEEKDAY(C830,2)+4)&amp;"-S"&amp;TEXT(INT((C830-DATE(YEAR(C830-WEEKDAY(C830,2)+4),1,3)+WEEKDAY(DATE(YEAR(C830-WEEKDAY(C830,2)+4),1,3),2)+5)/7),"00"))</f>
        <v/>
      </c>
    </row>
    <row r="831" ht="18" customHeight="1">
      <c r="A831" s="39" t="n">
        <v>826</v>
      </c>
      <c r="B831" s="33">
        <f>IF(C831="","",IF(P831="À RENSEIGNER","GIC",P831)&amp;"-C"&amp;TEXT(A831,"00000"))</f>
        <v/>
      </c>
      <c r="C831" s="32" t="n"/>
      <c r="D831" s="36" t="n"/>
      <c r="E831" s="36" t="n"/>
      <c r="F831" s="36" t="n"/>
      <c r="G831" s="42" t="n"/>
      <c r="H831" s="37" t="n"/>
      <c r="I831" s="37" t="n"/>
      <c r="J831" s="32" t="n"/>
      <c r="K831" s="32" t="n"/>
      <c r="L831" s="43" t="n"/>
      <c r="M831" s="36" t="n"/>
      <c r="N831" s="44" t="n"/>
      <c r="O831" s="36" t="n"/>
      <c r="P831" s="33">
        <f>IF(C831="","",Commercial_Id)</f>
        <v/>
      </c>
      <c r="Q831" s="34">
        <f>IF(AC831="","",IF(AD831=1,"C"&amp;TEXT(SUM(AD$6:AD831),"0000"),INDEX(Q$6:Q830,MATCH(AC831,AC$6:AC830,0))))</f>
        <v/>
      </c>
      <c r="R831" s="34">
        <f>IF(C831="","",IF(L831="☑ Oui","Annulée",IF(OR(E831="Vente directe",K831&lt;&gt;""),"Livrée",IF(J831&lt;&gt;"","Confirmée","En attente"))))</f>
        <v/>
      </c>
      <c r="S831" s="34">
        <f>IF(F831="","",IFERROR(VLOOKUP(F831,T_Produits,2,FALSE),""))</f>
        <v/>
      </c>
      <c r="T831" s="40">
        <f>IF(F831="","",IFERROR(1/(1/VLOOKUP(F831,T_Produits,3,FALSE)),""))</f>
        <v/>
      </c>
      <c r="U831" s="40">
        <f>IF(H831&lt;&gt;"",H831,T831)</f>
        <v/>
      </c>
      <c r="V831" s="40">
        <f>IF(OR(G831="",U831=""),"",G831*U831-N(I831))</f>
        <v/>
      </c>
      <c r="W831" s="39">
        <f>IF(D831="","",IFERROR(VALUE(MID(D831,LEN(D831)-3,3)),""))</f>
        <v/>
      </c>
      <c r="X831" s="33">
        <f>IF(W831="","",P831&amp;"|"&amp;W831)</f>
        <v/>
      </c>
      <c r="Y831" s="33">
        <f>IF(W831="","",IF(P831="À RENSEIGNER","GIC",P831)&amp;"-"&amp;TEXT(W831,"000"))</f>
        <v/>
      </c>
      <c r="Z831" s="33">
        <f>IF(X831="","",IFERROR(INDEX(Cl_nom,MATCH(X831,Cl_cle,0)),"(client introuvable)"))</f>
        <v/>
      </c>
      <c r="AA831" s="33">
        <f>IF(X831="","",IFERROR(INDEX(Cl_quartier,MATCH(X831,Cl_cle,0))&amp;"",""))</f>
        <v/>
      </c>
      <c r="AB831" s="45">
        <f>IF(R831&lt;&gt;"Livrée",0,IF(K831&lt;&gt;"",K831,C831))</f>
        <v/>
      </c>
      <c r="AC831" s="33">
        <f>IF(OR(C831="",W831=""),"",P831&amp;"|"&amp;W831&amp;"|"&amp;C831&amp;"|"&amp;E831)</f>
        <v/>
      </c>
      <c r="AD831" s="39">
        <f>IF(AC831="","",IF(COUNTIF(AC$6:AC831,AC831)=1,1,0))</f>
        <v/>
      </c>
      <c r="AE831" s="39">
        <f>IF(AB831=0,"",IF(COUNTIFS(X$6:X831,X831,AB$6:AB831,AB831)=1,1,0))</f>
        <v/>
      </c>
      <c r="AF831" s="34">
        <f>IF(C831="","",YEAR(C831-WEEKDAY(C831,2)+4)&amp;"-S"&amp;TEXT(INT((C831-DATE(YEAR(C831-WEEKDAY(C831,2)+4),1,3)+WEEKDAY(DATE(YEAR(C831-WEEKDAY(C831,2)+4),1,3),2)+5)/7),"00"))</f>
        <v/>
      </c>
    </row>
    <row r="832" ht="18" customHeight="1">
      <c r="A832" s="39" t="n">
        <v>827</v>
      </c>
      <c r="B832" s="33">
        <f>IF(C832="","",IF(P832="À RENSEIGNER","GIC",P832)&amp;"-C"&amp;TEXT(A832,"00000"))</f>
        <v/>
      </c>
      <c r="C832" s="32" t="n"/>
      <c r="D832" s="36" t="n"/>
      <c r="E832" s="36" t="n"/>
      <c r="F832" s="36" t="n"/>
      <c r="G832" s="42" t="n"/>
      <c r="H832" s="37" t="n"/>
      <c r="I832" s="37" t="n"/>
      <c r="J832" s="32" t="n"/>
      <c r="K832" s="32" t="n"/>
      <c r="L832" s="43" t="n"/>
      <c r="M832" s="36" t="n"/>
      <c r="N832" s="44" t="n"/>
      <c r="O832" s="36" t="n"/>
      <c r="P832" s="33">
        <f>IF(C832="","",Commercial_Id)</f>
        <v/>
      </c>
      <c r="Q832" s="34">
        <f>IF(AC832="","",IF(AD832=1,"C"&amp;TEXT(SUM(AD$6:AD832),"0000"),INDEX(Q$6:Q831,MATCH(AC832,AC$6:AC831,0))))</f>
        <v/>
      </c>
      <c r="R832" s="34">
        <f>IF(C832="","",IF(L832="☑ Oui","Annulée",IF(OR(E832="Vente directe",K832&lt;&gt;""),"Livrée",IF(J832&lt;&gt;"","Confirmée","En attente"))))</f>
        <v/>
      </c>
      <c r="S832" s="34">
        <f>IF(F832="","",IFERROR(VLOOKUP(F832,T_Produits,2,FALSE),""))</f>
        <v/>
      </c>
      <c r="T832" s="40">
        <f>IF(F832="","",IFERROR(1/(1/VLOOKUP(F832,T_Produits,3,FALSE)),""))</f>
        <v/>
      </c>
      <c r="U832" s="40">
        <f>IF(H832&lt;&gt;"",H832,T832)</f>
        <v/>
      </c>
      <c r="V832" s="40">
        <f>IF(OR(G832="",U832=""),"",G832*U832-N(I832))</f>
        <v/>
      </c>
      <c r="W832" s="39">
        <f>IF(D832="","",IFERROR(VALUE(MID(D832,LEN(D832)-3,3)),""))</f>
        <v/>
      </c>
      <c r="X832" s="33">
        <f>IF(W832="","",P832&amp;"|"&amp;W832)</f>
        <v/>
      </c>
      <c r="Y832" s="33">
        <f>IF(W832="","",IF(P832="À RENSEIGNER","GIC",P832)&amp;"-"&amp;TEXT(W832,"000"))</f>
        <v/>
      </c>
      <c r="Z832" s="33">
        <f>IF(X832="","",IFERROR(INDEX(Cl_nom,MATCH(X832,Cl_cle,0)),"(client introuvable)"))</f>
        <v/>
      </c>
      <c r="AA832" s="33">
        <f>IF(X832="","",IFERROR(INDEX(Cl_quartier,MATCH(X832,Cl_cle,0))&amp;"",""))</f>
        <v/>
      </c>
      <c r="AB832" s="45">
        <f>IF(R832&lt;&gt;"Livrée",0,IF(K832&lt;&gt;"",K832,C832))</f>
        <v/>
      </c>
      <c r="AC832" s="33">
        <f>IF(OR(C832="",W832=""),"",P832&amp;"|"&amp;W832&amp;"|"&amp;C832&amp;"|"&amp;E832)</f>
        <v/>
      </c>
      <c r="AD832" s="39">
        <f>IF(AC832="","",IF(COUNTIF(AC$6:AC832,AC832)=1,1,0))</f>
        <v/>
      </c>
      <c r="AE832" s="39">
        <f>IF(AB832=0,"",IF(COUNTIFS(X$6:X832,X832,AB$6:AB832,AB832)=1,1,0))</f>
        <v/>
      </c>
      <c r="AF832" s="34">
        <f>IF(C832="","",YEAR(C832-WEEKDAY(C832,2)+4)&amp;"-S"&amp;TEXT(INT((C832-DATE(YEAR(C832-WEEKDAY(C832,2)+4),1,3)+WEEKDAY(DATE(YEAR(C832-WEEKDAY(C832,2)+4),1,3),2)+5)/7),"00"))</f>
        <v/>
      </c>
    </row>
    <row r="833" ht="18" customHeight="1">
      <c r="A833" s="39" t="n">
        <v>828</v>
      </c>
      <c r="B833" s="33">
        <f>IF(C833="","",IF(P833="À RENSEIGNER","GIC",P833)&amp;"-C"&amp;TEXT(A833,"00000"))</f>
        <v/>
      </c>
      <c r="C833" s="32" t="n"/>
      <c r="D833" s="36" t="n"/>
      <c r="E833" s="36" t="n"/>
      <c r="F833" s="36" t="n"/>
      <c r="G833" s="42" t="n"/>
      <c r="H833" s="37" t="n"/>
      <c r="I833" s="37" t="n"/>
      <c r="J833" s="32" t="n"/>
      <c r="K833" s="32" t="n"/>
      <c r="L833" s="43" t="n"/>
      <c r="M833" s="36" t="n"/>
      <c r="N833" s="44" t="n"/>
      <c r="O833" s="36" t="n"/>
      <c r="P833" s="33">
        <f>IF(C833="","",Commercial_Id)</f>
        <v/>
      </c>
      <c r="Q833" s="34">
        <f>IF(AC833="","",IF(AD833=1,"C"&amp;TEXT(SUM(AD$6:AD833),"0000"),INDEX(Q$6:Q832,MATCH(AC833,AC$6:AC832,0))))</f>
        <v/>
      </c>
      <c r="R833" s="34">
        <f>IF(C833="","",IF(L833="☑ Oui","Annulée",IF(OR(E833="Vente directe",K833&lt;&gt;""),"Livrée",IF(J833&lt;&gt;"","Confirmée","En attente"))))</f>
        <v/>
      </c>
      <c r="S833" s="34">
        <f>IF(F833="","",IFERROR(VLOOKUP(F833,T_Produits,2,FALSE),""))</f>
        <v/>
      </c>
      <c r="T833" s="40">
        <f>IF(F833="","",IFERROR(1/(1/VLOOKUP(F833,T_Produits,3,FALSE)),""))</f>
        <v/>
      </c>
      <c r="U833" s="40">
        <f>IF(H833&lt;&gt;"",H833,T833)</f>
        <v/>
      </c>
      <c r="V833" s="40">
        <f>IF(OR(G833="",U833=""),"",G833*U833-N(I833))</f>
        <v/>
      </c>
      <c r="W833" s="39">
        <f>IF(D833="","",IFERROR(VALUE(MID(D833,LEN(D833)-3,3)),""))</f>
        <v/>
      </c>
      <c r="X833" s="33">
        <f>IF(W833="","",P833&amp;"|"&amp;W833)</f>
        <v/>
      </c>
      <c r="Y833" s="33">
        <f>IF(W833="","",IF(P833="À RENSEIGNER","GIC",P833)&amp;"-"&amp;TEXT(W833,"000"))</f>
        <v/>
      </c>
      <c r="Z833" s="33">
        <f>IF(X833="","",IFERROR(INDEX(Cl_nom,MATCH(X833,Cl_cle,0)),"(client introuvable)"))</f>
        <v/>
      </c>
      <c r="AA833" s="33">
        <f>IF(X833="","",IFERROR(INDEX(Cl_quartier,MATCH(X833,Cl_cle,0))&amp;"",""))</f>
        <v/>
      </c>
      <c r="AB833" s="45">
        <f>IF(R833&lt;&gt;"Livrée",0,IF(K833&lt;&gt;"",K833,C833))</f>
        <v/>
      </c>
      <c r="AC833" s="33">
        <f>IF(OR(C833="",W833=""),"",P833&amp;"|"&amp;W833&amp;"|"&amp;C833&amp;"|"&amp;E833)</f>
        <v/>
      </c>
      <c r="AD833" s="39">
        <f>IF(AC833="","",IF(COUNTIF(AC$6:AC833,AC833)=1,1,0))</f>
        <v/>
      </c>
      <c r="AE833" s="39">
        <f>IF(AB833=0,"",IF(COUNTIFS(X$6:X833,X833,AB$6:AB833,AB833)=1,1,0))</f>
        <v/>
      </c>
      <c r="AF833" s="34">
        <f>IF(C833="","",YEAR(C833-WEEKDAY(C833,2)+4)&amp;"-S"&amp;TEXT(INT((C833-DATE(YEAR(C833-WEEKDAY(C833,2)+4),1,3)+WEEKDAY(DATE(YEAR(C833-WEEKDAY(C833,2)+4),1,3),2)+5)/7),"00"))</f>
        <v/>
      </c>
    </row>
    <row r="834" ht="18" customHeight="1">
      <c r="A834" s="39" t="n">
        <v>829</v>
      </c>
      <c r="B834" s="33">
        <f>IF(C834="","",IF(P834="À RENSEIGNER","GIC",P834)&amp;"-C"&amp;TEXT(A834,"00000"))</f>
        <v/>
      </c>
      <c r="C834" s="32" t="n"/>
      <c r="D834" s="36" t="n"/>
      <c r="E834" s="36" t="n"/>
      <c r="F834" s="36" t="n"/>
      <c r="G834" s="42" t="n"/>
      <c r="H834" s="37" t="n"/>
      <c r="I834" s="37" t="n"/>
      <c r="J834" s="32" t="n"/>
      <c r="K834" s="32" t="n"/>
      <c r="L834" s="43" t="n"/>
      <c r="M834" s="36" t="n"/>
      <c r="N834" s="44" t="n"/>
      <c r="O834" s="36" t="n"/>
      <c r="P834" s="33">
        <f>IF(C834="","",Commercial_Id)</f>
        <v/>
      </c>
      <c r="Q834" s="34">
        <f>IF(AC834="","",IF(AD834=1,"C"&amp;TEXT(SUM(AD$6:AD834),"0000"),INDEX(Q$6:Q833,MATCH(AC834,AC$6:AC833,0))))</f>
        <v/>
      </c>
      <c r="R834" s="34">
        <f>IF(C834="","",IF(L834="☑ Oui","Annulée",IF(OR(E834="Vente directe",K834&lt;&gt;""),"Livrée",IF(J834&lt;&gt;"","Confirmée","En attente"))))</f>
        <v/>
      </c>
      <c r="S834" s="34">
        <f>IF(F834="","",IFERROR(VLOOKUP(F834,T_Produits,2,FALSE),""))</f>
        <v/>
      </c>
      <c r="T834" s="40">
        <f>IF(F834="","",IFERROR(1/(1/VLOOKUP(F834,T_Produits,3,FALSE)),""))</f>
        <v/>
      </c>
      <c r="U834" s="40">
        <f>IF(H834&lt;&gt;"",H834,T834)</f>
        <v/>
      </c>
      <c r="V834" s="40">
        <f>IF(OR(G834="",U834=""),"",G834*U834-N(I834))</f>
        <v/>
      </c>
      <c r="W834" s="39">
        <f>IF(D834="","",IFERROR(VALUE(MID(D834,LEN(D834)-3,3)),""))</f>
        <v/>
      </c>
      <c r="X834" s="33">
        <f>IF(W834="","",P834&amp;"|"&amp;W834)</f>
        <v/>
      </c>
      <c r="Y834" s="33">
        <f>IF(W834="","",IF(P834="À RENSEIGNER","GIC",P834)&amp;"-"&amp;TEXT(W834,"000"))</f>
        <v/>
      </c>
      <c r="Z834" s="33">
        <f>IF(X834="","",IFERROR(INDEX(Cl_nom,MATCH(X834,Cl_cle,0)),"(client introuvable)"))</f>
        <v/>
      </c>
      <c r="AA834" s="33">
        <f>IF(X834="","",IFERROR(INDEX(Cl_quartier,MATCH(X834,Cl_cle,0))&amp;"",""))</f>
        <v/>
      </c>
      <c r="AB834" s="45">
        <f>IF(R834&lt;&gt;"Livrée",0,IF(K834&lt;&gt;"",K834,C834))</f>
        <v/>
      </c>
      <c r="AC834" s="33">
        <f>IF(OR(C834="",W834=""),"",P834&amp;"|"&amp;W834&amp;"|"&amp;C834&amp;"|"&amp;E834)</f>
        <v/>
      </c>
      <c r="AD834" s="39">
        <f>IF(AC834="","",IF(COUNTIF(AC$6:AC834,AC834)=1,1,0))</f>
        <v/>
      </c>
      <c r="AE834" s="39">
        <f>IF(AB834=0,"",IF(COUNTIFS(X$6:X834,X834,AB$6:AB834,AB834)=1,1,0))</f>
        <v/>
      </c>
      <c r="AF834" s="34">
        <f>IF(C834="","",YEAR(C834-WEEKDAY(C834,2)+4)&amp;"-S"&amp;TEXT(INT((C834-DATE(YEAR(C834-WEEKDAY(C834,2)+4),1,3)+WEEKDAY(DATE(YEAR(C834-WEEKDAY(C834,2)+4),1,3),2)+5)/7),"00"))</f>
        <v/>
      </c>
    </row>
    <row r="835" ht="18" customHeight="1">
      <c r="A835" s="39" t="n">
        <v>830</v>
      </c>
      <c r="B835" s="33">
        <f>IF(C835="","",IF(P835="À RENSEIGNER","GIC",P835)&amp;"-C"&amp;TEXT(A835,"00000"))</f>
        <v/>
      </c>
      <c r="C835" s="32" t="n"/>
      <c r="D835" s="36" t="n"/>
      <c r="E835" s="36" t="n"/>
      <c r="F835" s="36" t="n"/>
      <c r="G835" s="42" t="n"/>
      <c r="H835" s="37" t="n"/>
      <c r="I835" s="37" t="n"/>
      <c r="J835" s="32" t="n"/>
      <c r="K835" s="32" t="n"/>
      <c r="L835" s="43" t="n"/>
      <c r="M835" s="36" t="n"/>
      <c r="N835" s="44" t="n"/>
      <c r="O835" s="36" t="n"/>
      <c r="P835" s="33">
        <f>IF(C835="","",Commercial_Id)</f>
        <v/>
      </c>
      <c r="Q835" s="34">
        <f>IF(AC835="","",IF(AD835=1,"C"&amp;TEXT(SUM(AD$6:AD835),"0000"),INDEX(Q$6:Q834,MATCH(AC835,AC$6:AC834,0))))</f>
        <v/>
      </c>
      <c r="R835" s="34">
        <f>IF(C835="","",IF(L835="☑ Oui","Annulée",IF(OR(E835="Vente directe",K835&lt;&gt;""),"Livrée",IF(J835&lt;&gt;"","Confirmée","En attente"))))</f>
        <v/>
      </c>
      <c r="S835" s="34">
        <f>IF(F835="","",IFERROR(VLOOKUP(F835,T_Produits,2,FALSE),""))</f>
        <v/>
      </c>
      <c r="T835" s="40">
        <f>IF(F835="","",IFERROR(1/(1/VLOOKUP(F835,T_Produits,3,FALSE)),""))</f>
        <v/>
      </c>
      <c r="U835" s="40">
        <f>IF(H835&lt;&gt;"",H835,T835)</f>
        <v/>
      </c>
      <c r="V835" s="40">
        <f>IF(OR(G835="",U835=""),"",G835*U835-N(I835))</f>
        <v/>
      </c>
      <c r="W835" s="39">
        <f>IF(D835="","",IFERROR(VALUE(MID(D835,LEN(D835)-3,3)),""))</f>
        <v/>
      </c>
      <c r="X835" s="33">
        <f>IF(W835="","",P835&amp;"|"&amp;W835)</f>
        <v/>
      </c>
      <c r="Y835" s="33">
        <f>IF(W835="","",IF(P835="À RENSEIGNER","GIC",P835)&amp;"-"&amp;TEXT(W835,"000"))</f>
        <v/>
      </c>
      <c r="Z835" s="33">
        <f>IF(X835="","",IFERROR(INDEX(Cl_nom,MATCH(X835,Cl_cle,0)),"(client introuvable)"))</f>
        <v/>
      </c>
      <c r="AA835" s="33">
        <f>IF(X835="","",IFERROR(INDEX(Cl_quartier,MATCH(X835,Cl_cle,0))&amp;"",""))</f>
        <v/>
      </c>
      <c r="AB835" s="45">
        <f>IF(R835&lt;&gt;"Livrée",0,IF(K835&lt;&gt;"",K835,C835))</f>
        <v/>
      </c>
      <c r="AC835" s="33">
        <f>IF(OR(C835="",W835=""),"",P835&amp;"|"&amp;W835&amp;"|"&amp;C835&amp;"|"&amp;E835)</f>
        <v/>
      </c>
      <c r="AD835" s="39">
        <f>IF(AC835="","",IF(COUNTIF(AC$6:AC835,AC835)=1,1,0))</f>
        <v/>
      </c>
      <c r="AE835" s="39">
        <f>IF(AB835=0,"",IF(COUNTIFS(X$6:X835,X835,AB$6:AB835,AB835)=1,1,0))</f>
        <v/>
      </c>
      <c r="AF835" s="34">
        <f>IF(C835="","",YEAR(C835-WEEKDAY(C835,2)+4)&amp;"-S"&amp;TEXT(INT((C835-DATE(YEAR(C835-WEEKDAY(C835,2)+4),1,3)+WEEKDAY(DATE(YEAR(C835-WEEKDAY(C835,2)+4),1,3),2)+5)/7),"00"))</f>
        <v/>
      </c>
    </row>
    <row r="836" ht="18" customHeight="1">
      <c r="A836" s="39" t="n">
        <v>831</v>
      </c>
      <c r="B836" s="33">
        <f>IF(C836="","",IF(P836="À RENSEIGNER","GIC",P836)&amp;"-C"&amp;TEXT(A836,"00000"))</f>
        <v/>
      </c>
      <c r="C836" s="32" t="n"/>
      <c r="D836" s="36" t="n"/>
      <c r="E836" s="36" t="n"/>
      <c r="F836" s="36" t="n"/>
      <c r="G836" s="42" t="n"/>
      <c r="H836" s="37" t="n"/>
      <c r="I836" s="37" t="n"/>
      <c r="J836" s="32" t="n"/>
      <c r="K836" s="32" t="n"/>
      <c r="L836" s="43" t="n"/>
      <c r="M836" s="36" t="n"/>
      <c r="N836" s="44" t="n"/>
      <c r="O836" s="36" t="n"/>
      <c r="P836" s="33">
        <f>IF(C836="","",Commercial_Id)</f>
        <v/>
      </c>
      <c r="Q836" s="34">
        <f>IF(AC836="","",IF(AD836=1,"C"&amp;TEXT(SUM(AD$6:AD836),"0000"),INDEX(Q$6:Q835,MATCH(AC836,AC$6:AC835,0))))</f>
        <v/>
      </c>
      <c r="R836" s="34">
        <f>IF(C836="","",IF(L836="☑ Oui","Annulée",IF(OR(E836="Vente directe",K836&lt;&gt;""),"Livrée",IF(J836&lt;&gt;"","Confirmée","En attente"))))</f>
        <v/>
      </c>
      <c r="S836" s="34">
        <f>IF(F836="","",IFERROR(VLOOKUP(F836,T_Produits,2,FALSE),""))</f>
        <v/>
      </c>
      <c r="T836" s="40">
        <f>IF(F836="","",IFERROR(1/(1/VLOOKUP(F836,T_Produits,3,FALSE)),""))</f>
        <v/>
      </c>
      <c r="U836" s="40">
        <f>IF(H836&lt;&gt;"",H836,T836)</f>
        <v/>
      </c>
      <c r="V836" s="40">
        <f>IF(OR(G836="",U836=""),"",G836*U836-N(I836))</f>
        <v/>
      </c>
      <c r="W836" s="39">
        <f>IF(D836="","",IFERROR(VALUE(MID(D836,LEN(D836)-3,3)),""))</f>
        <v/>
      </c>
      <c r="X836" s="33">
        <f>IF(W836="","",P836&amp;"|"&amp;W836)</f>
        <v/>
      </c>
      <c r="Y836" s="33">
        <f>IF(W836="","",IF(P836="À RENSEIGNER","GIC",P836)&amp;"-"&amp;TEXT(W836,"000"))</f>
        <v/>
      </c>
      <c r="Z836" s="33">
        <f>IF(X836="","",IFERROR(INDEX(Cl_nom,MATCH(X836,Cl_cle,0)),"(client introuvable)"))</f>
        <v/>
      </c>
      <c r="AA836" s="33">
        <f>IF(X836="","",IFERROR(INDEX(Cl_quartier,MATCH(X836,Cl_cle,0))&amp;"",""))</f>
        <v/>
      </c>
      <c r="AB836" s="45">
        <f>IF(R836&lt;&gt;"Livrée",0,IF(K836&lt;&gt;"",K836,C836))</f>
        <v/>
      </c>
      <c r="AC836" s="33">
        <f>IF(OR(C836="",W836=""),"",P836&amp;"|"&amp;W836&amp;"|"&amp;C836&amp;"|"&amp;E836)</f>
        <v/>
      </c>
      <c r="AD836" s="39">
        <f>IF(AC836="","",IF(COUNTIF(AC$6:AC836,AC836)=1,1,0))</f>
        <v/>
      </c>
      <c r="AE836" s="39">
        <f>IF(AB836=0,"",IF(COUNTIFS(X$6:X836,X836,AB$6:AB836,AB836)=1,1,0))</f>
        <v/>
      </c>
      <c r="AF836" s="34">
        <f>IF(C836="","",YEAR(C836-WEEKDAY(C836,2)+4)&amp;"-S"&amp;TEXT(INT((C836-DATE(YEAR(C836-WEEKDAY(C836,2)+4),1,3)+WEEKDAY(DATE(YEAR(C836-WEEKDAY(C836,2)+4),1,3),2)+5)/7),"00"))</f>
        <v/>
      </c>
    </row>
    <row r="837" ht="18" customHeight="1">
      <c r="A837" s="39" t="n">
        <v>832</v>
      </c>
      <c r="B837" s="33">
        <f>IF(C837="","",IF(P837="À RENSEIGNER","GIC",P837)&amp;"-C"&amp;TEXT(A837,"00000"))</f>
        <v/>
      </c>
      <c r="C837" s="32" t="n"/>
      <c r="D837" s="36" t="n"/>
      <c r="E837" s="36" t="n"/>
      <c r="F837" s="36" t="n"/>
      <c r="G837" s="42" t="n"/>
      <c r="H837" s="37" t="n"/>
      <c r="I837" s="37" t="n"/>
      <c r="J837" s="32" t="n"/>
      <c r="K837" s="32" t="n"/>
      <c r="L837" s="43" t="n"/>
      <c r="M837" s="36" t="n"/>
      <c r="N837" s="44" t="n"/>
      <c r="O837" s="36" t="n"/>
      <c r="P837" s="33">
        <f>IF(C837="","",Commercial_Id)</f>
        <v/>
      </c>
      <c r="Q837" s="34">
        <f>IF(AC837="","",IF(AD837=1,"C"&amp;TEXT(SUM(AD$6:AD837),"0000"),INDEX(Q$6:Q836,MATCH(AC837,AC$6:AC836,0))))</f>
        <v/>
      </c>
      <c r="R837" s="34">
        <f>IF(C837="","",IF(L837="☑ Oui","Annulée",IF(OR(E837="Vente directe",K837&lt;&gt;""),"Livrée",IF(J837&lt;&gt;"","Confirmée","En attente"))))</f>
        <v/>
      </c>
      <c r="S837" s="34">
        <f>IF(F837="","",IFERROR(VLOOKUP(F837,T_Produits,2,FALSE),""))</f>
        <v/>
      </c>
      <c r="T837" s="40">
        <f>IF(F837="","",IFERROR(1/(1/VLOOKUP(F837,T_Produits,3,FALSE)),""))</f>
        <v/>
      </c>
      <c r="U837" s="40">
        <f>IF(H837&lt;&gt;"",H837,T837)</f>
        <v/>
      </c>
      <c r="V837" s="40">
        <f>IF(OR(G837="",U837=""),"",G837*U837-N(I837))</f>
        <v/>
      </c>
      <c r="W837" s="39">
        <f>IF(D837="","",IFERROR(VALUE(MID(D837,LEN(D837)-3,3)),""))</f>
        <v/>
      </c>
      <c r="X837" s="33">
        <f>IF(W837="","",P837&amp;"|"&amp;W837)</f>
        <v/>
      </c>
      <c r="Y837" s="33">
        <f>IF(W837="","",IF(P837="À RENSEIGNER","GIC",P837)&amp;"-"&amp;TEXT(W837,"000"))</f>
        <v/>
      </c>
      <c r="Z837" s="33">
        <f>IF(X837="","",IFERROR(INDEX(Cl_nom,MATCH(X837,Cl_cle,0)),"(client introuvable)"))</f>
        <v/>
      </c>
      <c r="AA837" s="33">
        <f>IF(X837="","",IFERROR(INDEX(Cl_quartier,MATCH(X837,Cl_cle,0))&amp;"",""))</f>
        <v/>
      </c>
      <c r="AB837" s="45">
        <f>IF(R837&lt;&gt;"Livrée",0,IF(K837&lt;&gt;"",K837,C837))</f>
        <v/>
      </c>
      <c r="AC837" s="33">
        <f>IF(OR(C837="",W837=""),"",P837&amp;"|"&amp;W837&amp;"|"&amp;C837&amp;"|"&amp;E837)</f>
        <v/>
      </c>
      <c r="AD837" s="39">
        <f>IF(AC837="","",IF(COUNTIF(AC$6:AC837,AC837)=1,1,0))</f>
        <v/>
      </c>
      <c r="AE837" s="39">
        <f>IF(AB837=0,"",IF(COUNTIFS(X$6:X837,X837,AB$6:AB837,AB837)=1,1,0))</f>
        <v/>
      </c>
      <c r="AF837" s="34">
        <f>IF(C837="","",YEAR(C837-WEEKDAY(C837,2)+4)&amp;"-S"&amp;TEXT(INT((C837-DATE(YEAR(C837-WEEKDAY(C837,2)+4),1,3)+WEEKDAY(DATE(YEAR(C837-WEEKDAY(C837,2)+4),1,3),2)+5)/7),"00"))</f>
        <v/>
      </c>
    </row>
    <row r="838" ht="18" customHeight="1">
      <c r="A838" s="39" t="n">
        <v>833</v>
      </c>
      <c r="B838" s="33">
        <f>IF(C838="","",IF(P838="À RENSEIGNER","GIC",P838)&amp;"-C"&amp;TEXT(A838,"00000"))</f>
        <v/>
      </c>
      <c r="C838" s="32" t="n"/>
      <c r="D838" s="36" t="n"/>
      <c r="E838" s="36" t="n"/>
      <c r="F838" s="36" t="n"/>
      <c r="G838" s="42" t="n"/>
      <c r="H838" s="37" t="n"/>
      <c r="I838" s="37" t="n"/>
      <c r="J838" s="32" t="n"/>
      <c r="K838" s="32" t="n"/>
      <c r="L838" s="43" t="n"/>
      <c r="M838" s="36" t="n"/>
      <c r="N838" s="44" t="n"/>
      <c r="O838" s="36" t="n"/>
      <c r="P838" s="33">
        <f>IF(C838="","",Commercial_Id)</f>
        <v/>
      </c>
      <c r="Q838" s="34">
        <f>IF(AC838="","",IF(AD838=1,"C"&amp;TEXT(SUM(AD$6:AD838),"0000"),INDEX(Q$6:Q837,MATCH(AC838,AC$6:AC837,0))))</f>
        <v/>
      </c>
      <c r="R838" s="34">
        <f>IF(C838="","",IF(L838="☑ Oui","Annulée",IF(OR(E838="Vente directe",K838&lt;&gt;""),"Livrée",IF(J838&lt;&gt;"","Confirmée","En attente"))))</f>
        <v/>
      </c>
      <c r="S838" s="34">
        <f>IF(F838="","",IFERROR(VLOOKUP(F838,T_Produits,2,FALSE),""))</f>
        <v/>
      </c>
      <c r="T838" s="40">
        <f>IF(F838="","",IFERROR(1/(1/VLOOKUP(F838,T_Produits,3,FALSE)),""))</f>
        <v/>
      </c>
      <c r="U838" s="40">
        <f>IF(H838&lt;&gt;"",H838,T838)</f>
        <v/>
      </c>
      <c r="V838" s="40">
        <f>IF(OR(G838="",U838=""),"",G838*U838-N(I838))</f>
        <v/>
      </c>
      <c r="W838" s="39">
        <f>IF(D838="","",IFERROR(VALUE(MID(D838,LEN(D838)-3,3)),""))</f>
        <v/>
      </c>
      <c r="X838" s="33">
        <f>IF(W838="","",P838&amp;"|"&amp;W838)</f>
        <v/>
      </c>
      <c r="Y838" s="33">
        <f>IF(W838="","",IF(P838="À RENSEIGNER","GIC",P838)&amp;"-"&amp;TEXT(W838,"000"))</f>
        <v/>
      </c>
      <c r="Z838" s="33">
        <f>IF(X838="","",IFERROR(INDEX(Cl_nom,MATCH(X838,Cl_cle,0)),"(client introuvable)"))</f>
        <v/>
      </c>
      <c r="AA838" s="33">
        <f>IF(X838="","",IFERROR(INDEX(Cl_quartier,MATCH(X838,Cl_cle,0))&amp;"",""))</f>
        <v/>
      </c>
      <c r="AB838" s="45">
        <f>IF(R838&lt;&gt;"Livrée",0,IF(K838&lt;&gt;"",K838,C838))</f>
        <v/>
      </c>
      <c r="AC838" s="33">
        <f>IF(OR(C838="",W838=""),"",P838&amp;"|"&amp;W838&amp;"|"&amp;C838&amp;"|"&amp;E838)</f>
        <v/>
      </c>
      <c r="AD838" s="39">
        <f>IF(AC838="","",IF(COUNTIF(AC$6:AC838,AC838)=1,1,0))</f>
        <v/>
      </c>
      <c r="AE838" s="39">
        <f>IF(AB838=0,"",IF(COUNTIFS(X$6:X838,X838,AB$6:AB838,AB838)=1,1,0))</f>
        <v/>
      </c>
      <c r="AF838" s="34">
        <f>IF(C838="","",YEAR(C838-WEEKDAY(C838,2)+4)&amp;"-S"&amp;TEXT(INT((C838-DATE(YEAR(C838-WEEKDAY(C838,2)+4),1,3)+WEEKDAY(DATE(YEAR(C838-WEEKDAY(C838,2)+4),1,3),2)+5)/7),"00"))</f>
        <v/>
      </c>
    </row>
    <row r="839" ht="18" customHeight="1">
      <c r="A839" s="39" t="n">
        <v>834</v>
      </c>
      <c r="B839" s="33">
        <f>IF(C839="","",IF(P839="À RENSEIGNER","GIC",P839)&amp;"-C"&amp;TEXT(A839,"00000"))</f>
        <v/>
      </c>
      <c r="C839" s="32" t="n"/>
      <c r="D839" s="36" t="n"/>
      <c r="E839" s="36" t="n"/>
      <c r="F839" s="36" t="n"/>
      <c r="G839" s="42" t="n"/>
      <c r="H839" s="37" t="n"/>
      <c r="I839" s="37" t="n"/>
      <c r="J839" s="32" t="n"/>
      <c r="K839" s="32" t="n"/>
      <c r="L839" s="43" t="n"/>
      <c r="M839" s="36" t="n"/>
      <c r="N839" s="44" t="n"/>
      <c r="O839" s="36" t="n"/>
      <c r="P839" s="33">
        <f>IF(C839="","",Commercial_Id)</f>
        <v/>
      </c>
      <c r="Q839" s="34">
        <f>IF(AC839="","",IF(AD839=1,"C"&amp;TEXT(SUM(AD$6:AD839),"0000"),INDEX(Q$6:Q838,MATCH(AC839,AC$6:AC838,0))))</f>
        <v/>
      </c>
      <c r="R839" s="34">
        <f>IF(C839="","",IF(L839="☑ Oui","Annulée",IF(OR(E839="Vente directe",K839&lt;&gt;""),"Livrée",IF(J839&lt;&gt;"","Confirmée","En attente"))))</f>
        <v/>
      </c>
      <c r="S839" s="34">
        <f>IF(F839="","",IFERROR(VLOOKUP(F839,T_Produits,2,FALSE),""))</f>
        <v/>
      </c>
      <c r="T839" s="40">
        <f>IF(F839="","",IFERROR(1/(1/VLOOKUP(F839,T_Produits,3,FALSE)),""))</f>
        <v/>
      </c>
      <c r="U839" s="40">
        <f>IF(H839&lt;&gt;"",H839,T839)</f>
        <v/>
      </c>
      <c r="V839" s="40">
        <f>IF(OR(G839="",U839=""),"",G839*U839-N(I839))</f>
        <v/>
      </c>
      <c r="W839" s="39">
        <f>IF(D839="","",IFERROR(VALUE(MID(D839,LEN(D839)-3,3)),""))</f>
        <v/>
      </c>
      <c r="X839" s="33">
        <f>IF(W839="","",P839&amp;"|"&amp;W839)</f>
        <v/>
      </c>
      <c r="Y839" s="33">
        <f>IF(W839="","",IF(P839="À RENSEIGNER","GIC",P839)&amp;"-"&amp;TEXT(W839,"000"))</f>
        <v/>
      </c>
      <c r="Z839" s="33">
        <f>IF(X839="","",IFERROR(INDEX(Cl_nom,MATCH(X839,Cl_cle,0)),"(client introuvable)"))</f>
        <v/>
      </c>
      <c r="AA839" s="33">
        <f>IF(X839="","",IFERROR(INDEX(Cl_quartier,MATCH(X839,Cl_cle,0))&amp;"",""))</f>
        <v/>
      </c>
      <c r="AB839" s="45">
        <f>IF(R839&lt;&gt;"Livrée",0,IF(K839&lt;&gt;"",K839,C839))</f>
        <v/>
      </c>
      <c r="AC839" s="33">
        <f>IF(OR(C839="",W839=""),"",P839&amp;"|"&amp;W839&amp;"|"&amp;C839&amp;"|"&amp;E839)</f>
        <v/>
      </c>
      <c r="AD839" s="39">
        <f>IF(AC839="","",IF(COUNTIF(AC$6:AC839,AC839)=1,1,0))</f>
        <v/>
      </c>
      <c r="AE839" s="39">
        <f>IF(AB839=0,"",IF(COUNTIFS(X$6:X839,X839,AB$6:AB839,AB839)=1,1,0))</f>
        <v/>
      </c>
      <c r="AF839" s="34">
        <f>IF(C839="","",YEAR(C839-WEEKDAY(C839,2)+4)&amp;"-S"&amp;TEXT(INT((C839-DATE(YEAR(C839-WEEKDAY(C839,2)+4),1,3)+WEEKDAY(DATE(YEAR(C839-WEEKDAY(C839,2)+4),1,3),2)+5)/7),"00"))</f>
        <v/>
      </c>
    </row>
    <row r="840" ht="18" customHeight="1">
      <c r="A840" s="39" t="n">
        <v>835</v>
      </c>
      <c r="B840" s="33">
        <f>IF(C840="","",IF(P840="À RENSEIGNER","GIC",P840)&amp;"-C"&amp;TEXT(A840,"00000"))</f>
        <v/>
      </c>
      <c r="C840" s="32" t="n"/>
      <c r="D840" s="36" t="n"/>
      <c r="E840" s="36" t="n"/>
      <c r="F840" s="36" t="n"/>
      <c r="G840" s="42" t="n"/>
      <c r="H840" s="37" t="n"/>
      <c r="I840" s="37" t="n"/>
      <c r="J840" s="32" t="n"/>
      <c r="K840" s="32" t="n"/>
      <c r="L840" s="43" t="n"/>
      <c r="M840" s="36" t="n"/>
      <c r="N840" s="44" t="n"/>
      <c r="O840" s="36" t="n"/>
      <c r="P840" s="33">
        <f>IF(C840="","",Commercial_Id)</f>
        <v/>
      </c>
      <c r="Q840" s="34">
        <f>IF(AC840="","",IF(AD840=1,"C"&amp;TEXT(SUM(AD$6:AD840),"0000"),INDEX(Q$6:Q839,MATCH(AC840,AC$6:AC839,0))))</f>
        <v/>
      </c>
      <c r="R840" s="34">
        <f>IF(C840="","",IF(L840="☑ Oui","Annulée",IF(OR(E840="Vente directe",K840&lt;&gt;""),"Livrée",IF(J840&lt;&gt;"","Confirmée","En attente"))))</f>
        <v/>
      </c>
      <c r="S840" s="34">
        <f>IF(F840="","",IFERROR(VLOOKUP(F840,T_Produits,2,FALSE),""))</f>
        <v/>
      </c>
      <c r="T840" s="40">
        <f>IF(F840="","",IFERROR(1/(1/VLOOKUP(F840,T_Produits,3,FALSE)),""))</f>
        <v/>
      </c>
      <c r="U840" s="40">
        <f>IF(H840&lt;&gt;"",H840,T840)</f>
        <v/>
      </c>
      <c r="V840" s="40">
        <f>IF(OR(G840="",U840=""),"",G840*U840-N(I840))</f>
        <v/>
      </c>
      <c r="W840" s="39">
        <f>IF(D840="","",IFERROR(VALUE(MID(D840,LEN(D840)-3,3)),""))</f>
        <v/>
      </c>
      <c r="X840" s="33">
        <f>IF(W840="","",P840&amp;"|"&amp;W840)</f>
        <v/>
      </c>
      <c r="Y840" s="33">
        <f>IF(W840="","",IF(P840="À RENSEIGNER","GIC",P840)&amp;"-"&amp;TEXT(W840,"000"))</f>
        <v/>
      </c>
      <c r="Z840" s="33">
        <f>IF(X840="","",IFERROR(INDEX(Cl_nom,MATCH(X840,Cl_cle,0)),"(client introuvable)"))</f>
        <v/>
      </c>
      <c r="AA840" s="33">
        <f>IF(X840="","",IFERROR(INDEX(Cl_quartier,MATCH(X840,Cl_cle,0))&amp;"",""))</f>
        <v/>
      </c>
      <c r="AB840" s="45">
        <f>IF(R840&lt;&gt;"Livrée",0,IF(K840&lt;&gt;"",K840,C840))</f>
        <v/>
      </c>
      <c r="AC840" s="33">
        <f>IF(OR(C840="",W840=""),"",P840&amp;"|"&amp;W840&amp;"|"&amp;C840&amp;"|"&amp;E840)</f>
        <v/>
      </c>
      <c r="AD840" s="39">
        <f>IF(AC840="","",IF(COUNTIF(AC$6:AC840,AC840)=1,1,0))</f>
        <v/>
      </c>
      <c r="AE840" s="39">
        <f>IF(AB840=0,"",IF(COUNTIFS(X$6:X840,X840,AB$6:AB840,AB840)=1,1,0))</f>
        <v/>
      </c>
      <c r="AF840" s="34">
        <f>IF(C840="","",YEAR(C840-WEEKDAY(C840,2)+4)&amp;"-S"&amp;TEXT(INT((C840-DATE(YEAR(C840-WEEKDAY(C840,2)+4),1,3)+WEEKDAY(DATE(YEAR(C840-WEEKDAY(C840,2)+4),1,3),2)+5)/7),"00"))</f>
        <v/>
      </c>
    </row>
    <row r="841" ht="18" customHeight="1">
      <c r="A841" s="39" t="n">
        <v>836</v>
      </c>
      <c r="B841" s="33">
        <f>IF(C841="","",IF(P841="À RENSEIGNER","GIC",P841)&amp;"-C"&amp;TEXT(A841,"00000"))</f>
        <v/>
      </c>
      <c r="C841" s="32" t="n"/>
      <c r="D841" s="36" t="n"/>
      <c r="E841" s="36" t="n"/>
      <c r="F841" s="36" t="n"/>
      <c r="G841" s="42" t="n"/>
      <c r="H841" s="37" t="n"/>
      <c r="I841" s="37" t="n"/>
      <c r="J841" s="32" t="n"/>
      <c r="K841" s="32" t="n"/>
      <c r="L841" s="43" t="n"/>
      <c r="M841" s="36" t="n"/>
      <c r="N841" s="44" t="n"/>
      <c r="O841" s="36" t="n"/>
      <c r="P841" s="33">
        <f>IF(C841="","",Commercial_Id)</f>
        <v/>
      </c>
      <c r="Q841" s="34">
        <f>IF(AC841="","",IF(AD841=1,"C"&amp;TEXT(SUM(AD$6:AD841),"0000"),INDEX(Q$6:Q840,MATCH(AC841,AC$6:AC840,0))))</f>
        <v/>
      </c>
      <c r="R841" s="34">
        <f>IF(C841="","",IF(L841="☑ Oui","Annulée",IF(OR(E841="Vente directe",K841&lt;&gt;""),"Livrée",IF(J841&lt;&gt;"","Confirmée","En attente"))))</f>
        <v/>
      </c>
      <c r="S841" s="34">
        <f>IF(F841="","",IFERROR(VLOOKUP(F841,T_Produits,2,FALSE),""))</f>
        <v/>
      </c>
      <c r="T841" s="40">
        <f>IF(F841="","",IFERROR(1/(1/VLOOKUP(F841,T_Produits,3,FALSE)),""))</f>
        <v/>
      </c>
      <c r="U841" s="40">
        <f>IF(H841&lt;&gt;"",H841,T841)</f>
        <v/>
      </c>
      <c r="V841" s="40">
        <f>IF(OR(G841="",U841=""),"",G841*U841-N(I841))</f>
        <v/>
      </c>
      <c r="W841" s="39">
        <f>IF(D841="","",IFERROR(VALUE(MID(D841,LEN(D841)-3,3)),""))</f>
        <v/>
      </c>
      <c r="X841" s="33">
        <f>IF(W841="","",P841&amp;"|"&amp;W841)</f>
        <v/>
      </c>
      <c r="Y841" s="33">
        <f>IF(W841="","",IF(P841="À RENSEIGNER","GIC",P841)&amp;"-"&amp;TEXT(W841,"000"))</f>
        <v/>
      </c>
      <c r="Z841" s="33">
        <f>IF(X841="","",IFERROR(INDEX(Cl_nom,MATCH(X841,Cl_cle,0)),"(client introuvable)"))</f>
        <v/>
      </c>
      <c r="AA841" s="33">
        <f>IF(X841="","",IFERROR(INDEX(Cl_quartier,MATCH(X841,Cl_cle,0))&amp;"",""))</f>
        <v/>
      </c>
      <c r="AB841" s="45">
        <f>IF(R841&lt;&gt;"Livrée",0,IF(K841&lt;&gt;"",K841,C841))</f>
        <v/>
      </c>
      <c r="AC841" s="33">
        <f>IF(OR(C841="",W841=""),"",P841&amp;"|"&amp;W841&amp;"|"&amp;C841&amp;"|"&amp;E841)</f>
        <v/>
      </c>
      <c r="AD841" s="39">
        <f>IF(AC841="","",IF(COUNTIF(AC$6:AC841,AC841)=1,1,0))</f>
        <v/>
      </c>
      <c r="AE841" s="39">
        <f>IF(AB841=0,"",IF(COUNTIFS(X$6:X841,X841,AB$6:AB841,AB841)=1,1,0))</f>
        <v/>
      </c>
      <c r="AF841" s="34">
        <f>IF(C841="","",YEAR(C841-WEEKDAY(C841,2)+4)&amp;"-S"&amp;TEXT(INT((C841-DATE(YEAR(C841-WEEKDAY(C841,2)+4),1,3)+WEEKDAY(DATE(YEAR(C841-WEEKDAY(C841,2)+4),1,3),2)+5)/7),"00"))</f>
        <v/>
      </c>
    </row>
    <row r="842" ht="18" customHeight="1">
      <c r="A842" s="39" t="n">
        <v>837</v>
      </c>
      <c r="B842" s="33">
        <f>IF(C842="","",IF(P842="À RENSEIGNER","GIC",P842)&amp;"-C"&amp;TEXT(A842,"00000"))</f>
        <v/>
      </c>
      <c r="C842" s="32" t="n"/>
      <c r="D842" s="36" t="n"/>
      <c r="E842" s="36" t="n"/>
      <c r="F842" s="36" t="n"/>
      <c r="G842" s="42" t="n"/>
      <c r="H842" s="37" t="n"/>
      <c r="I842" s="37" t="n"/>
      <c r="J842" s="32" t="n"/>
      <c r="K842" s="32" t="n"/>
      <c r="L842" s="43" t="n"/>
      <c r="M842" s="36" t="n"/>
      <c r="N842" s="44" t="n"/>
      <c r="O842" s="36" t="n"/>
      <c r="P842" s="33">
        <f>IF(C842="","",Commercial_Id)</f>
        <v/>
      </c>
      <c r="Q842" s="34">
        <f>IF(AC842="","",IF(AD842=1,"C"&amp;TEXT(SUM(AD$6:AD842),"0000"),INDEX(Q$6:Q841,MATCH(AC842,AC$6:AC841,0))))</f>
        <v/>
      </c>
      <c r="R842" s="34">
        <f>IF(C842="","",IF(L842="☑ Oui","Annulée",IF(OR(E842="Vente directe",K842&lt;&gt;""),"Livrée",IF(J842&lt;&gt;"","Confirmée","En attente"))))</f>
        <v/>
      </c>
      <c r="S842" s="34">
        <f>IF(F842="","",IFERROR(VLOOKUP(F842,T_Produits,2,FALSE),""))</f>
        <v/>
      </c>
      <c r="T842" s="40">
        <f>IF(F842="","",IFERROR(1/(1/VLOOKUP(F842,T_Produits,3,FALSE)),""))</f>
        <v/>
      </c>
      <c r="U842" s="40">
        <f>IF(H842&lt;&gt;"",H842,T842)</f>
        <v/>
      </c>
      <c r="V842" s="40">
        <f>IF(OR(G842="",U842=""),"",G842*U842-N(I842))</f>
        <v/>
      </c>
      <c r="W842" s="39">
        <f>IF(D842="","",IFERROR(VALUE(MID(D842,LEN(D842)-3,3)),""))</f>
        <v/>
      </c>
      <c r="X842" s="33">
        <f>IF(W842="","",P842&amp;"|"&amp;W842)</f>
        <v/>
      </c>
      <c r="Y842" s="33">
        <f>IF(W842="","",IF(P842="À RENSEIGNER","GIC",P842)&amp;"-"&amp;TEXT(W842,"000"))</f>
        <v/>
      </c>
      <c r="Z842" s="33">
        <f>IF(X842="","",IFERROR(INDEX(Cl_nom,MATCH(X842,Cl_cle,0)),"(client introuvable)"))</f>
        <v/>
      </c>
      <c r="AA842" s="33">
        <f>IF(X842="","",IFERROR(INDEX(Cl_quartier,MATCH(X842,Cl_cle,0))&amp;"",""))</f>
        <v/>
      </c>
      <c r="AB842" s="45">
        <f>IF(R842&lt;&gt;"Livrée",0,IF(K842&lt;&gt;"",K842,C842))</f>
        <v/>
      </c>
      <c r="AC842" s="33">
        <f>IF(OR(C842="",W842=""),"",P842&amp;"|"&amp;W842&amp;"|"&amp;C842&amp;"|"&amp;E842)</f>
        <v/>
      </c>
      <c r="AD842" s="39">
        <f>IF(AC842="","",IF(COUNTIF(AC$6:AC842,AC842)=1,1,0))</f>
        <v/>
      </c>
      <c r="AE842" s="39">
        <f>IF(AB842=0,"",IF(COUNTIFS(X$6:X842,X842,AB$6:AB842,AB842)=1,1,0))</f>
        <v/>
      </c>
      <c r="AF842" s="34">
        <f>IF(C842="","",YEAR(C842-WEEKDAY(C842,2)+4)&amp;"-S"&amp;TEXT(INT((C842-DATE(YEAR(C842-WEEKDAY(C842,2)+4),1,3)+WEEKDAY(DATE(YEAR(C842-WEEKDAY(C842,2)+4),1,3),2)+5)/7),"00"))</f>
        <v/>
      </c>
    </row>
    <row r="843" ht="18" customHeight="1">
      <c r="A843" s="39" t="n">
        <v>838</v>
      </c>
      <c r="B843" s="33">
        <f>IF(C843="","",IF(P843="À RENSEIGNER","GIC",P843)&amp;"-C"&amp;TEXT(A843,"00000"))</f>
        <v/>
      </c>
      <c r="C843" s="32" t="n"/>
      <c r="D843" s="36" t="n"/>
      <c r="E843" s="36" t="n"/>
      <c r="F843" s="36" t="n"/>
      <c r="G843" s="42" t="n"/>
      <c r="H843" s="37" t="n"/>
      <c r="I843" s="37" t="n"/>
      <c r="J843" s="32" t="n"/>
      <c r="K843" s="32" t="n"/>
      <c r="L843" s="43" t="n"/>
      <c r="M843" s="36" t="n"/>
      <c r="N843" s="44" t="n"/>
      <c r="O843" s="36" t="n"/>
      <c r="P843" s="33">
        <f>IF(C843="","",Commercial_Id)</f>
        <v/>
      </c>
      <c r="Q843" s="34">
        <f>IF(AC843="","",IF(AD843=1,"C"&amp;TEXT(SUM(AD$6:AD843),"0000"),INDEX(Q$6:Q842,MATCH(AC843,AC$6:AC842,0))))</f>
        <v/>
      </c>
      <c r="R843" s="34">
        <f>IF(C843="","",IF(L843="☑ Oui","Annulée",IF(OR(E843="Vente directe",K843&lt;&gt;""),"Livrée",IF(J843&lt;&gt;"","Confirmée","En attente"))))</f>
        <v/>
      </c>
      <c r="S843" s="34">
        <f>IF(F843="","",IFERROR(VLOOKUP(F843,T_Produits,2,FALSE),""))</f>
        <v/>
      </c>
      <c r="T843" s="40">
        <f>IF(F843="","",IFERROR(1/(1/VLOOKUP(F843,T_Produits,3,FALSE)),""))</f>
        <v/>
      </c>
      <c r="U843" s="40">
        <f>IF(H843&lt;&gt;"",H843,T843)</f>
        <v/>
      </c>
      <c r="V843" s="40">
        <f>IF(OR(G843="",U843=""),"",G843*U843-N(I843))</f>
        <v/>
      </c>
      <c r="W843" s="39">
        <f>IF(D843="","",IFERROR(VALUE(MID(D843,LEN(D843)-3,3)),""))</f>
        <v/>
      </c>
      <c r="X843" s="33">
        <f>IF(W843="","",P843&amp;"|"&amp;W843)</f>
        <v/>
      </c>
      <c r="Y843" s="33">
        <f>IF(W843="","",IF(P843="À RENSEIGNER","GIC",P843)&amp;"-"&amp;TEXT(W843,"000"))</f>
        <v/>
      </c>
      <c r="Z843" s="33">
        <f>IF(X843="","",IFERROR(INDEX(Cl_nom,MATCH(X843,Cl_cle,0)),"(client introuvable)"))</f>
        <v/>
      </c>
      <c r="AA843" s="33">
        <f>IF(X843="","",IFERROR(INDEX(Cl_quartier,MATCH(X843,Cl_cle,0))&amp;"",""))</f>
        <v/>
      </c>
      <c r="AB843" s="45">
        <f>IF(R843&lt;&gt;"Livrée",0,IF(K843&lt;&gt;"",K843,C843))</f>
        <v/>
      </c>
      <c r="AC843" s="33">
        <f>IF(OR(C843="",W843=""),"",P843&amp;"|"&amp;W843&amp;"|"&amp;C843&amp;"|"&amp;E843)</f>
        <v/>
      </c>
      <c r="AD843" s="39">
        <f>IF(AC843="","",IF(COUNTIF(AC$6:AC843,AC843)=1,1,0))</f>
        <v/>
      </c>
      <c r="AE843" s="39">
        <f>IF(AB843=0,"",IF(COUNTIFS(X$6:X843,X843,AB$6:AB843,AB843)=1,1,0))</f>
        <v/>
      </c>
      <c r="AF843" s="34">
        <f>IF(C843="","",YEAR(C843-WEEKDAY(C843,2)+4)&amp;"-S"&amp;TEXT(INT((C843-DATE(YEAR(C843-WEEKDAY(C843,2)+4),1,3)+WEEKDAY(DATE(YEAR(C843-WEEKDAY(C843,2)+4),1,3),2)+5)/7),"00"))</f>
        <v/>
      </c>
    </row>
    <row r="844" ht="18" customHeight="1">
      <c r="A844" s="39" t="n">
        <v>839</v>
      </c>
      <c r="B844" s="33">
        <f>IF(C844="","",IF(P844="À RENSEIGNER","GIC",P844)&amp;"-C"&amp;TEXT(A844,"00000"))</f>
        <v/>
      </c>
      <c r="C844" s="32" t="n"/>
      <c r="D844" s="36" t="n"/>
      <c r="E844" s="36" t="n"/>
      <c r="F844" s="36" t="n"/>
      <c r="G844" s="42" t="n"/>
      <c r="H844" s="37" t="n"/>
      <c r="I844" s="37" t="n"/>
      <c r="J844" s="32" t="n"/>
      <c r="K844" s="32" t="n"/>
      <c r="L844" s="43" t="n"/>
      <c r="M844" s="36" t="n"/>
      <c r="N844" s="44" t="n"/>
      <c r="O844" s="36" t="n"/>
      <c r="P844" s="33">
        <f>IF(C844="","",Commercial_Id)</f>
        <v/>
      </c>
      <c r="Q844" s="34">
        <f>IF(AC844="","",IF(AD844=1,"C"&amp;TEXT(SUM(AD$6:AD844),"0000"),INDEX(Q$6:Q843,MATCH(AC844,AC$6:AC843,0))))</f>
        <v/>
      </c>
      <c r="R844" s="34">
        <f>IF(C844="","",IF(L844="☑ Oui","Annulée",IF(OR(E844="Vente directe",K844&lt;&gt;""),"Livrée",IF(J844&lt;&gt;"","Confirmée","En attente"))))</f>
        <v/>
      </c>
      <c r="S844" s="34">
        <f>IF(F844="","",IFERROR(VLOOKUP(F844,T_Produits,2,FALSE),""))</f>
        <v/>
      </c>
      <c r="T844" s="40">
        <f>IF(F844="","",IFERROR(1/(1/VLOOKUP(F844,T_Produits,3,FALSE)),""))</f>
        <v/>
      </c>
      <c r="U844" s="40">
        <f>IF(H844&lt;&gt;"",H844,T844)</f>
        <v/>
      </c>
      <c r="V844" s="40">
        <f>IF(OR(G844="",U844=""),"",G844*U844-N(I844))</f>
        <v/>
      </c>
      <c r="W844" s="39">
        <f>IF(D844="","",IFERROR(VALUE(MID(D844,LEN(D844)-3,3)),""))</f>
        <v/>
      </c>
      <c r="X844" s="33">
        <f>IF(W844="","",P844&amp;"|"&amp;W844)</f>
        <v/>
      </c>
      <c r="Y844" s="33">
        <f>IF(W844="","",IF(P844="À RENSEIGNER","GIC",P844)&amp;"-"&amp;TEXT(W844,"000"))</f>
        <v/>
      </c>
      <c r="Z844" s="33">
        <f>IF(X844="","",IFERROR(INDEX(Cl_nom,MATCH(X844,Cl_cle,0)),"(client introuvable)"))</f>
        <v/>
      </c>
      <c r="AA844" s="33">
        <f>IF(X844="","",IFERROR(INDEX(Cl_quartier,MATCH(X844,Cl_cle,0))&amp;"",""))</f>
        <v/>
      </c>
      <c r="AB844" s="45">
        <f>IF(R844&lt;&gt;"Livrée",0,IF(K844&lt;&gt;"",K844,C844))</f>
        <v/>
      </c>
      <c r="AC844" s="33">
        <f>IF(OR(C844="",W844=""),"",P844&amp;"|"&amp;W844&amp;"|"&amp;C844&amp;"|"&amp;E844)</f>
        <v/>
      </c>
      <c r="AD844" s="39">
        <f>IF(AC844="","",IF(COUNTIF(AC$6:AC844,AC844)=1,1,0))</f>
        <v/>
      </c>
      <c r="AE844" s="39">
        <f>IF(AB844=0,"",IF(COUNTIFS(X$6:X844,X844,AB$6:AB844,AB844)=1,1,0))</f>
        <v/>
      </c>
      <c r="AF844" s="34">
        <f>IF(C844="","",YEAR(C844-WEEKDAY(C844,2)+4)&amp;"-S"&amp;TEXT(INT((C844-DATE(YEAR(C844-WEEKDAY(C844,2)+4),1,3)+WEEKDAY(DATE(YEAR(C844-WEEKDAY(C844,2)+4),1,3),2)+5)/7),"00"))</f>
        <v/>
      </c>
    </row>
    <row r="845" ht="18" customHeight="1">
      <c r="A845" s="39" t="n">
        <v>840</v>
      </c>
      <c r="B845" s="33">
        <f>IF(C845="","",IF(P845="À RENSEIGNER","GIC",P845)&amp;"-C"&amp;TEXT(A845,"00000"))</f>
        <v/>
      </c>
      <c r="C845" s="32" t="n"/>
      <c r="D845" s="36" t="n"/>
      <c r="E845" s="36" t="n"/>
      <c r="F845" s="36" t="n"/>
      <c r="G845" s="42" t="n"/>
      <c r="H845" s="37" t="n"/>
      <c r="I845" s="37" t="n"/>
      <c r="J845" s="32" t="n"/>
      <c r="K845" s="32" t="n"/>
      <c r="L845" s="43" t="n"/>
      <c r="M845" s="36" t="n"/>
      <c r="N845" s="44" t="n"/>
      <c r="O845" s="36" t="n"/>
      <c r="P845" s="33">
        <f>IF(C845="","",Commercial_Id)</f>
        <v/>
      </c>
      <c r="Q845" s="34">
        <f>IF(AC845="","",IF(AD845=1,"C"&amp;TEXT(SUM(AD$6:AD845),"0000"),INDEX(Q$6:Q844,MATCH(AC845,AC$6:AC844,0))))</f>
        <v/>
      </c>
      <c r="R845" s="34">
        <f>IF(C845="","",IF(L845="☑ Oui","Annulée",IF(OR(E845="Vente directe",K845&lt;&gt;""),"Livrée",IF(J845&lt;&gt;"","Confirmée","En attente"))))</f>
        <v/>
      </c>
      <c r="S845" s="34">
        <f>IF(F845="","",IFERROR(VLOOKUP(F845,T_Produits,2,FALSE),""))</f>
        <v/>
      </c>
      <c r="T845" s="40">
        <f>IF(F845="","",IFERROR(1/(1/VLOOKUP(F845,T_Produits,3,FALSE)),""))</f>
        <v/>
      </c>
      <c r="U845" s="40">
        <f>IF(H845&lt;&gt;"",H845,T845)</f>
        <v/>
      </c>
      <c r="V845" s="40">
        <f>IF(OR(G845="",U845=""),"",G845*U845-N(I845))</f>
        <v/>
      </c>
      <c r="W845" s="39">
        <f>IF(D845="","",IFERROR(VALUE(MID(D845,LEN(D845)-3,3)),""))</f>
        <v/>
      </c>
      <c r="X845" s="33">
        <f>IF(W845="","",P845&amp;"|"&amp;W845)</f>
        <v/>
      </c>
      <c r="Y845" s="33">
        <f>IF(W845="","",IF(P845="À RENSEIGNER","GIC",P845)&amp;"-"&amp;TEXT(W845,"000"))</f>
        <v/>
      </c>
      <c r="Z845" s="33">
        <f>IF(X845="","",IFERROR(INDEX(Cl_nom,MATCH(X845,Cl_cle,0)),"(client introuvable)"))</f>
        <v/>
      </c>
      <c r="AA845" s="33">
        <f>IF(X845="","",IFERROR(INDEX(Cl_quartier,MATCH(X845,Cl_cle,0))&amp;"",""))</f>
        <v/>
      </c>
      <c r="AB845" s="45">
        <f>IF(R845&lt;&gt;"Livrée",0,IF(K845&lt;&gt;"",K845,C845))</f>
        <v/>
      </c>
      <c r="AC845" s="33">
        <f>IF(OR(C845="",W845=""),"",P845&amp;"|"&amp;W845&amp;"|"&amp;C845&amp;"|"&amp;E845)</f>
        <v/>
      </c>
      <c r="AD845" s="39">
        <f>IF(AC845="","",IF(COUNTIF(AC$6:AC845,AC845)=1,1,0))</f>
        <v/>
      </c>
      <c r="AE845" s="39">
        <f>IF(AB845=0,"",IF(COUNTIFS(X$6:X845,X845,AB$6:AB845,AB845)=1,1,0))</f>
        <v/>
      </c>
      <c r="AF845" s="34">
        <f>IF(C845="","",YEAR(C845-WEEKDAY(C845,2)+4)&amp;"-S"&amp;TEXT(INT((C845-DATE(YEAR(C845-WEEKDAY(C845,2)+4),1,3)+WEEKDAY(DATE(YEAR(C845-WEEKDAY(C845,2)+4),1,3),2)+5)/7),"00"))</f>
        <v/>
      </c>
    </row>
    <row r="846" ht="18" customHeight="1">
      <c r="A846" s="39" t="n">
        <v>841</v>
      </c>
      <c r="B846" s="33">
        <f>IF(C846="","",IF(P846="À RENSEIGNER","GIC",P846)&amp;"-C"&amp;TEXT(A846,"00000"))</f>
        <v/>
      </c>
      <c r="C846" s="32" t="n"/>
      <c r="D846" s="36" t="n"/>
      <c r="E846" s="36" t="n"/>
      <c r="F846" s="36" t="n"/>
      <c r="G846" s="42" t="n"/>
      <c r="H846" s="37" t="n"/>
      <c r="I846" s="37" t="n"/>
      <c r="J846" s="32" t="n"/>
      <c r="K846" s="32" t="n"/>
      <c r="L846" s="43" t="n"/>
      <c r="M846" s="36" t="n"/>
      <c r="N846" s="44" t="n"/>
      <c r="O846" s="36" t="n"/>
      <c r="P846" s="33">
        <f>IF(C846="","",Commercial_Id)</f>
        <v/>
      </c>
      <c r="Q846" s="34">
        <f>IF(AC846="","",IF(AD846=1,"C"&amp;TEXT(SUM(AD$6:AD846),"0000"),INDEX(Q$6:Q845,MATCH(AC846,AC$6:AC845,0))))</f>
        <v/>
      </c>
      <c r="R846" s="34">
        <f>IF(C846="","",IF(L846="☑ Oui","Annulée",IF(OR(E846="Vente directe",K846&lt;&gt;""),"Livrée",IF(J846&lt;&gt;"","Confirmée","En attente"))))</f>
        <v/>
      </c>
      <c r="S846" s="34">
        <f>IF(F846="","",IFERROR(VLOOKUP(F846,T_Produits,2,FALSE),""))</f>
        <v/>
      </c>
      <c r="T846" s="40">
        <f>IF(F846="","",IFERROR(1/(1/VLOOKUP(F846,T_Produits,3,FALSE)),""))</f>
        <v/>
      </c>
      <c r="U846" s="40">
        <f>IF(H846&lt;&gt;"",H846,T846)</f>
        <v/>
      </c>
      <c r="V846" s="40">
        <f>IF(OR(G846="",U846=""),"",G846*U846-N(I846))</f>
        <v/>
      </c>
      <c r="W846" s="39">
        <f>IF(D846="","",IFERROR(VALUE(MID(D846,LEN(D846)-3,3)),""))</f>
        <v/>
      </c>
      <c r="X846" s="33">
        <f>IF(W846="","",P846&amp;"|"&amp;W846)</f>
        <v/>
      </c>
      <c r="Y846" s="33">
        <f>IF(W846="","",IF(P846="À RENSEIGNER","GIC",P846)&amp;"-"&amp;TEXT(W846,"000"))</f>
        <v/>
      </c>
      <c r="Z846" s="33">
        <f>IF(X846="","",IFERROR(INDEX(Cl_nom,MATCH(X846,Cl_cle,0)),"(client introuvable)"))</f>
        <v/>
      </c>
      <c r="AA846" s="33">
        <f>IF(X846="","",IFERROR(INDEX(Cl_quartier,MATCH(X846,Cl_cle,0))&amp;"",""))</f>
        <v/>
      </c>
      <c r="AB846" s="45">
        <f>IF(R846&lt;&gt;"Livrée",0,IF(K846&lt;&gt;"",K846,C846))</f>
        <v/>
      </c>
      <c r="AC846" s="33">
        <f>IF(OR(C846="",W846=""),"",P846&amp;"|"&amp;W846&amp;"|"&amp;C846&amp;"|"&amp;E846)</f>
        <v/>
      </c>
      <c r="AD846" s="39">
        <f>IF(AC846="","",IF(COUNTIF(AC$6:AC846,AC846)=1,1,0))</f>
        <v/>
      </c>
      <c r="AE846" s="39">
        <f>IF(AB846=0,"",IF(COUNTIFS(X$6:X846,X846,AB$6:AB846,AB846)=1,1,0))</f>
        <v/>
      </c>
      <c r="AF846" s="34">
        <f>IF(C846="","",YEAR(C846-WEEKDAY(C846,2)+4)&amp;"-S"&amp;TEXT(INT((C846-DATE(YEAR(C846-WEEKDAY(C846,2)+4),1,3)+WEEKDAY(DATE(YEAR(C846-WEEKDAY(C846,2)+4),1,3),2)+5)/7),"00"))</f>
        <v/>
      </c>
    </row>
    <row r="847" ht="18" customHeight="1">
      <c r="A847" s="39" t="n">
        <v>842</v>
      </c>
      <c r="B847" s="33">
        <f>IF(C847="","",IF(P847="À RENSEIGNER","GIC",P847)&amp;"-C"&amp;TEXT(A847,"00000"))</f>
        <v/>
      </c>
      <c r="C847" s="32" t="n"/>
      <c r="D847" s="36" t="n"/>
      <c r="E847" s="36" t="n"/>
      <c r="F847" s="36" t="n"/>
      <c r="G847" s="42" t="n"/>
      <c r="H847" s="37" t="n"/>
      <c r="I847" s="37" t="n"/>
      <c r="J847" s="32" t="n"/>
      <c r="K847" s="32" t="n"/>
      <c r="L847" s="43" t="n"/>
      <c r="M847" s="36" t="n"/>
      <c r="N847" s="44" t="n"/>
      <c r="O847" s="36" t="n"/>
      <c r="P847" s="33">
        <f>IF(C847="","",Commercial_Id)</f>
        <v/>
      </c>
      <c r="Q847" s="34">
        <f>IF(AC847="","",IF(AD847=1,"C"&amp;TEXT(SUM(AD$6:AD847),"0000"),INDEX(Q$6:Q846,MATCH(AC847,AC$6:AC846,0))))</f>
        <v/>
      </c>
      <c r="R847" s="34">
        <f>IF(C847="","",IF(L847="☑ Oui","Annulée",IF(OR(E847="Vente directe",K847&lt;&gt;""),"Livrée",IF(J847&lt;&gt;"","Confirmée","En attente"))))</f>
        <v/>
      </c>
      <c r="S847" s="34">
        <f>IF(F847="","",IFERROR(VLOOKUP(F847,T_Produits,2,FALSE),""))</f>
        <v/>
      </c>
      <c r="T847" s="40">
        <f>IF(F847="","",IFERROR(1/(1/VLOOKUP(F847,T_Produits,3,FALSE)),""))</f>
        <v/>
      </c>
      <c r="U847" s="40">
        <f>IF(H847&lt;&gt;"",H847,T847)</f>
        <v/>
      </c>
      <c r="V847" s="40">
        <f>IF(OR(G847="",U847=""),"",G847*U847-N(I847))</f>
        <v/>
      </c>
      <c r="W847" s="39">
        <f>IF(D847="","",IFERROR(VALUE(MID(D847,LEN(D847)-3,3)),""))</f>
        <v/>
      </c>
      <c r="X847" s="33">
        <f>IF(W847="","",P847&amp;"|"&amp;W847)</f>
        <v/>
      </c>
      <c r="Y847" s="33">
        <f>IF(W847="","",IF(P847="À RENSEIGNER","GIC",P847)&amp;"-"&amp;TEXT(W847,"000"))</f>
        <v/>
      </c>
      <c r="Z847" s="33">
        <f>IF(X847="","",IFERROR(INDEX(Cl_nom,MATCH(X847,Cl_cle,0)),"(client introuvable)"))</f>
        <v/>
      </c>
      <c r="AA847" s="33">
        <f>IF(X847="","",IFERROR(INDEX(Cl_quartier,MATCH(X847,Cl_cle,0))&amp;"",""))</f>
        <v/>
      </c>
      <c r="AB847" s="45">
        <f>IF(R847&lt;&gt;"Livrée",0,IF(K847&lt;&gt;"",K847,C847))</f>
        <v/>
      </c>
      <c r="AC847" s="33">
        <f>IF(OR(C847="",W847=""),"",P847&amp;"|"&amp;W847&amp;"|"&amp;C847&amp;"|"&amp;E847)</f>
        <v/>
      </c>
      <c r="AD847" s="39">
        <f>IF(AC847="","",IF(COUNTIF(AC$6:AC847,AC847)=1,1,0))</f>
        <v/>
      </c>
      <c r="AE847" s="39">
        <f>IF(AB847=0,"",IF(COUNTIFS(X$6:X847,X847,AB$6:AB847,AB847)=1,1,0))</f>
        <v/>
      </c>
      <c r="AF847" s="34">
        <f>IF(C847="","",YEAR(C847-WEEKDAY(C847,2)+4)&amp;"-S"&amp;TEXT(INT((C847-DATE(YEAR(C847-WEEKDAY(C847,2)+4),1,3)+WEEKDAY(DATE(YEAR(C847-WEEKDAY(C847,2)+4),1,3),2)+5)/7),"00"))</f>
        <v/>
      </c>
    </row>
    <row r="848" ht="18" customHeight="1">
      <c r="A848" s="39" t="n">
        <v>843</v>
      </c>
      <c r="B848" s="33">
        <f>IF(C848="","",IF(P848="À RENSEIGNER","GIC",P848)&amp;"-C"&amp;TEXT(A848,"00000"))</f>
        <v/>
      </c>
      <c r="C848" s="32" t="n"/>
      <c r="D848" s="36" t="n"/>
      <c r="E848" s="36" t="n"/>
      <c r="F848" s="36" t="n"/>
      <c r="G848" s="42" t="n"/>
      <c r="H848" s="37" t="n"/>
      <c r="I848" s="37" t="n"/>
      <c r="J848" s="32" t="n"/>
      <c r="K848" s="32" t="n"/>
      <c r="L848" s="43" t="n"/>
      <c r="M848" s="36" t="n"/>
      <c r="N848" s="44" t="n"/>
      <c r="O848" s="36" t="n"/>
      <c r="P848" s="33">
        <f>IF(C848="","",Commercial_Id)</f>
        <v/>
      </c>
      <c r="Q848" s="34">
        <f>IF(AC848="","",IF(AD848=1,"C"&amp;TEXT(SUM(AD$6:AD848),"0000"),INDEX(Q$6:Q847,MATCH(AC848,AC$6:AC847,0))))</f>
        <v/>
      </c>
      <c r="R848" s="34">
        <f>IF(C848="","",IF(L848="☑ Oui","Annulée",IF(OR(E848="Vente directe",K848&lt;&gt;""),"Livrée",IF(J848&lt;&gt;"","Confirmée","En attente"))))</f>
        <v/>
      </c>
      <c r="S848" s="34">
        <f>IF(F848="","",IFERROR(VLOOKUP(F848,T_Produits,2,FALSE),""))</f>
        <v/>
      </c>
      <c r="T848" s="40">
        <f>IF(F848="","",IFERROR(1/(1/VLOOKUP(F848,T_Produits,3,FALSE)),""))</f>
        <v/>
      </c>
      <c r="U848" s="40">
        <f>IF(H848&lt;&gt;"",H848,T848)</f>
        <v/>
      </c>
      <c r="V848" s="40">
        <f>IF(OR(G848="",U848=""),"",G848*U848-N(I848))</f>
        <v/>
      </c>
      <c r="W848" s="39">
        <f>IF(D848="","",IFERROR(VALUE(MID(D848,LEN(D848)-3,3)),""))</f>
        <v/>
      </c>
      <c r="X848" s="33">
        <f>IF(W848="","",P848&amp;"|"&amp;W848)</f>
        <v/>
      </c>
      <c r="Y848" s="33">
        <f>IF(W848="","",IF(P848="À RENSEIGNER","GIC",P848)&amp;"-"&amp;TEXT(W848,"000"))</f>
        <v/>
      </c>
      <c r="Z848" s="33">
        <f>IF(X848="","",IFERROR(INDEX(Cl_nom,MATCH(X848,Cl_cle,0)),"(client introuvable)"))</f>
        <v/>
      </c>
      <c r="AA848" s="33">
        <f>IF(X848="","",IFERROR(INDEX(Cl_quartier,MATCH(X848,Cl_cle,0))&amp;"",""))</f>
        <v/>
      </c>
      <c r="AB848" s="45">
        <f>IF(R848&lt;&gt;"Livrée",0,IF(K848&lt;&gt;"",K848,C848))</f>
        <v/>
      </c>
      <c r="AC848" s="33">
        <f>IF(OR(C848="",W848=""),"",P848&amp;"|"&amp;W848&amp;"|"&amp;C848&amp;"|"&amp;E848)</f>
        <v/>
      </c>
      <c r="AD848" s="39">
        <f>IF(AC848="","",IF(COUNTIF(AC$6:AC848,AC848)=1,1,0))</f>
        <v/>
      </c>
      <c r="AE848" s="39">
        <f>IF(AB848=0,"",IF(COUNTIFS(X$6:X848,X848,AB$6:AB848,AB848)=1,1,0))</f>
        <v/>
      </c>
      <c r="AF848" s="34">
        <f>IF(C848="","",YEAR(C848-WEEKDAY(C848,2)+4)&amp;"-S"&amp;TEXT(INT((C848-DATE(YEAR(C848-WEEKDAY(C848,2)+4),1,3)+WEEKDAY(DATE(YEAR(C848-WEEKDAY(C848,2)+4),1,3),2)+5)/7),"00"))</f>
        <v/>
      </c>
    </row>
    <row r="849" ht="18" customHeight="1">
      <c r="A849" s="39" t="n">
        <v>844</v>
      </c>
      <c r="B849" s="33">
        <f>IF(C849="","",IF(P849="À RENSEIGNER","GIC",P849)&amp;"-C"&amp;TEXT(A849,"00000"))</f>
        <v/>
      </c>
      <c r="C849" s="32" t="n"/>
      <c r="D849" s="36" t="n"/>
      <c r="E849" s="36" t="n"/>
      <c r="F849" s="36" t="n"/>
      <c r="G849" s="42" t="n"/>
      <c r="H849" s="37" t="n"/>
      <c r="I849" s="37" t="n"/>
      <c r="J849" s="32" t="n"/>
      <c r="K849" s="32" t="n"/>
      <c r="L849" s="43" t="n"/>
      <c r="M849" s="36" t="n"/>
      <c r="N849" s="44" t="n"/>
      <c r="O849" s="36" t="n"/>
      <c r="P849" s="33">
        <f>IF(C849="","",Commercial_Id)</f>
        <v/>
      </c>
      <c r="Q849" s="34">
        <f>IF(AC849="","",IF(AD849=1,"C"&amp;TEXT(SUM(AD$6:AD849),"0000"),INDEX(Q$6:Q848,MATCH(AC849,AC$6:AC848,0))))</f>
        <v/>
      </c>
      <c r="R849" s="34">
        <f>IF(C849="","",IF(L849="☑ Oui","Annulée",IF(OR(E849="Vente directe",K849&lt;&gt;""),"Livrée",IF(J849&lt;&gt;"","Confirmée","En attente"))))</f>
        <v/>
      </c>
      <c r="S849" s="34">
        <f>IF(F849="","",IFERROR(VLOOKUP(F849,T_Produits,2,FALSE),""))</f>
        <v/>
      </c>
      <c r="T849" s="40">
        <f>IF(F849="","",IFERROR(1/(1/VLOOKUP(F849,T_Produits,3,FALSE)),""))</f>
        <v/>
      </c>
      <c r="U849" s="40">
        <f>IF(H849&lt;&gt;"",H849,T849)</f>
        <v/>
      </c>
      <c r="V849" s="40">
        <f>IF(OR(G849="",U849=""),"",G849*U849-N(I849))</f>
        <v/>
      </c>
      <c r="W849" s="39">
        <f>IF(D849="","",IFERROR(VALUE(MID(D849,LEN(D849)-3,3)),""))</f>
        <v/>
      </c>
      <c r="X849" s="33">
        <f>IF(W849="","",P849&amp;"|"&amp;W849)</f>
        <v/>
      </c>
      <c r="Y849" s="33">
        <f>IF(W849="","",IF(P849="À RENSEIGNER","GIC",P849)&amp;"-"&amp;TEXT(W849,"000"))</f>
        <v/>
      </c>
      <c r="Z849" s="33">
        <f>IF(X849="","",IFERROR(INDEX(Cl_nom,MATCH(X849,Cl_cle,0)),"(client introuvable)"))</f>
        <v/>
      </c>
      <c r="AA849" s="33">
        <f>IF(X849="","",IFERROR(INDEX(Cl_quartier,MATCH(X849,Cl_cle,0))&amp;"",""))</f>
        <v/>
      </c>
      <c r="AB849" s="45">
        <f>IF(R849&lt;&gt;"Livrée",0,IF(K849&lt;&gt;"",K849,C849))</f>
        <v/>
      </c>
      <c r="AC849" s="33">
        <f>IF(OR(C849="",W849=""),"",P849&amp;"|"&amp;W849&amp;"|"&amp;C849&amp;"|"&amp;E849)</f>
        <v/>
      </c>
      <c r="AD849" s="39">
        <f>IF(AC849="","",IF(COUNTIF(AC$6:AC849,AC849)=1,1,0))</f>
        <v/>
      </c>
      <c r="AE849" s="39">
        <f>IF(AB849=0,"",IF(COUNTIFS(X$6:X849,X849,AB$6:AB849,AB849)=1,1,0))</f>
        <v/>
      </c>
      <c r="AF849" s="34">
        <f>IF(C849="","",YEAR(C849-WEEKDAY(C849,2)+4)&amp;"-S"&amp;TEXT(INT((C849-DATE(YEAR(C849-WEEKDAY(C849,2)+4),1,3)+WEEKDAY(DATE(YEAR(C849-WEEKDAY(C849,2)+4),1,3),2)+5)/7),"00"))</f>
        <v/>
      </c>
    </row>
    <row r="850" ht="18" customHeight="1">
      <c r="A850" s="39" t="n">
        <v>845</v>
      </c>
      <c r="B850" s="33">
        <f>IF(C850="","",IF(P850="À RENSEIGNER","GIC",P850)&amp;"-C"&amp;TEXT(A850,"00000"))</f>
        <v/>
      </c>
      <c r="C850" s="32" t="n"/>
      <c r="D850" s="36" t="n"/>
      <c r="E850" s="36" t="n"/>
      <c r="F850" s="36" t="n"/>
      <c r="G850" s="42" t="n"/>
      <c r="H850" s="37" t="n"/>
      <c r="I850" s="37" t="n"/>
      <c r="J850" s="32" t="n"/>
      <c r="K850" s="32" t="n"/>
      <c r="L850" s="43" t="n"/>
      <c r="M850" s="36" t="n"/>
      <c r="N850" s="44" t="n"/>
      <c r="O850" s="36" t="n"/>
      <c r="P850" s="33">
        <f>IF(C850="","",Commercial_Id)</f>
        <v/>
      </c>
      <c r="Q850" s="34">
        <f>IF(AC850="","",IF(AD850=1,"C"&amp;TEXT(SUM(AD$6:AD850),"0000"),INDEX(Q$6:Q849,MATCH(AC850,AC$6:AC849,0))))</f>
        <v/>
      </c>
      <c r="R850" s="34">
        <f>IF(C850="","",IF(L850="☑ Oui","Annulée",IF(OR(E850="Vente directe",K850&lt;&gt;""),"Livrée",IF(J850&lt;&gt;"","Confirmée","En attente"))))</f>
        <v/>
      </c>
      <c r="S850" s="34">
        <f>IF(F850="","",IFERROR(VLOOKUP(F850,T_Produits,2,FALSE),""))</f>
        <v/>
      </c>
      <c r="T850" s="40">
        <f>IF(F850="","",IFERROR(1/(1/VLOOKUP(F850,T_Produits,3,FALSE)),""))</f>
        <v/>
      </c>
      <c r="U850" s="40">
        <f>IF(H850&lt;&gt;"",H850,T850)</f>
        <v/>
      </c>
      <c r="V850" s="40">
        <f>IF(OR(G850="",U850=""),"",G850*U850-N(I850))</f>
        <v/>
      </c>
      <c r="W850" s="39">
        <f>IF(D850="","",IFERROR(VALUE(MID(D850,LEN(D850)-3,3)),""))</f>
        <v/>
      </c>
      <c r="X850" s="33">
        <f>IF(W850="","",P850&amp;"|"&amp;W850)</f>
        <v/>
      </c>
      <c r="Y850" s="33">
        <f>IF(W850="","",IF(P850="À RENSEIGNER","GIC",P850)&amp;"-"&amp;TEXT(W850,"000"))</f>
        <v/>
      </c>
      <c r="Z850" s="33">
        <f>IF(X850="","",IFERROR(INDEX(Cl_nom,MATCH(X850,Cl_cle,0)),"(client introuvable)"))</f>
        <v/>
      </c>
      <c r="AA850" s="33">
        <f>IF(X850="","",IFERROR(INDEX(Cl_quartier,MATCH(X850,Cl_cle,0))&amp;"",""))</f>
        <v/>
      </c>
      <c r="AB850" s="45">
        <f>IF(R850&lt;&gt;"Livrée",0,IF(K850&lt;&gt;"",K850,C850))</f>
        <v/>
      </c>
      <c r="AC850" s="33">
        <f>IF(OR(C850="",W850=""),"",P850&amp;"|"&amp;W850&amp;"|"&amp;C850&amp;"|"&amp;E850)</f>
        <v/>
      </c>
      <c r="AD850" s="39">
        <f>IF(AC850="","",IF(COUNTIF(AC$6:AC850,AC850)=1,1,0))</f>
        <v/>
      </c>
      <c r="AE850" s="39">
        <f>IF(AB850=0,"",IF(COUNTIFS(X$6:X850,X850,AB$6:AB850,AB850)=1,1,0))</f>
        <v/>
      </c>
      <c r="AF850" s="34">
        <f>IF(C850="","",YEAR(C850-WEEKDAY(C850,2)+4)&amp;"-S"&amp;TEXT(INT((C850-DATE(YEAR(C850-WEEKDAY(C850,2)+4),1,3)+WEEKDAY(DATE(YEAR(C850-WEEKDAY(C850,2)+4),1,3),2)+5)/7),"00"))</f>
        <v/>
      </c>
    </row>
    <row r="851" ht="18" customHeight="1">
      <c r="A851" s="39" t="n">
        <v>846</v>
      </c>
      <c r="B851" s="33">
        <f>IF(C851="","",IF(P851="À RENSEIGNER","GIC",P851)&amp;"-C"&amp;TEXT(A851,"00000"))</f>
        <v/>
      </c>
      <c r="C851" s="32" t="n"/>
      <c r="D851" s="36" t="n"/>
      <c r="E851" s="36" t="n"/>
      <c r="F851" s="36" t="n"/>
      <c r="G851" s="42" t="n"/>
      <c r="H851" s="37" t="n"/>
      <c r="I851" s="37" t="n"/>
      <c r="J851" s="32" t="n"/>
      <c r="K851" s="32" t="n"/>
      <c r="L851" s="43" t="n"/>
      <c r="M851" s="36" t="n"/>
      <c r="N851" s="44" t="n"/>
      <c r="O851" s="36" t="n"/>
      <c r="P851" s="33">
        <f>IF(C851="","",Commercial_Id)</f>
        <v/>
      </c>
      <c r="Q851" s="34">
        <f>IF(AC851="","",IF(AD851=1,"C"&amp;TEXT(SUM(AD$6:AD851),"0000"),INDEX(Q$6:Q850,MATCH(AC851,AC$6:AC850,0))))</f>
        <v/>
      </c>
      <c r="R851" s="34">
        <f>IF(C851="","",IF(L851="☑ Oui","Annulée",IF(OR(E851="Vente directe",K851&lt;&gt;""),"Livrée",IF(J851&lt;&gt;"","Confirmée","En attente"))))</f>
        <v/>
      </c>
      <c r="S851" s="34">
        <f>IF(F851="","",IFERROR(VLOOKUP(F851,T_Produits,2,FALSE),""))</f>
        <v/>
      </c>
      <c r="T851" s="40">
        <f>IF(F851="","",IFERROR(1/(1/VLOOKUP(F851,T_Produits,3,FALSE)),""))</f>
        <v/>
      </c>
      <c r="U851" s="40">
        <f>IF(H851&lt;&gt;"",H851,T851)</f>
        <v/>
      </c>
      <c r="V851" s="40">
        <f>IF(OR(G851="",U851=""),"",G851*U851-N(I851))</f>
        <v/>
      </c>
      <c r="W851" s="39">
        <f>IF(D851="","",IFERROR(VALUE(MID(D851,LEN(D851)-3,3)),""))</f>
        <v/>
      </c>
      <c r="X851" s="33">
        <f>IF(W851="","",P851&amp;"|"&amp;W851)</f>
        <v/>
      </c>
      <c r="Y851" s="33">
        <f>IF(W851="","",IF(P851="À RENSEIGNER","GIC",P851)&amp;"-"&amp;TEXT(W851,"000"))</f>
        <v/>
      </c>
      <c r="Z851" s="33">
        <f>IF(X851="","",IFERROR(INDEX(Cl_nom,MATCH(X851,Cl_cle,0)),"(client introuvable)"))</f>
        <v/>
      </c>
      <c r="AA851" s="33">
        <f>IF(X851="","",IFERROR(INDEX(Cl_quartier,MATCH(X851,Cl_cle,0))&amp;"",""))</f>
        <v/>
      </c>
      <c r="AB851" s="45">
        <f>IF(R851&lt;&gt;"Livrée",0,IF(K851&lt;&gt;"",K851,C851))</f>
        <v/>
      </c>
      <c r="AC851" s="33">
        <f>IF(OR(C851="",W851=""),"",P851&amp;"|"&amp;W851&amp;"|"&amp;C851&amp;"|"&amp;E851)</f>
        <v/>
      </c>
      <c r="AD851" s="39">
        <f>IF(AC851="","",IF(COUNTIF(AC$6:AC851,AC851)=1,1,0))</f>
        <v/>
      </c>
      <c r="AE851" s="39">
        <f>IF(AB851=0,"",IF(COUNTIFS(X$6:X851,X851,AB$6:AB851,AB851)=1,1,0))</f>
        <v/>
      </c>
      <c r="AF851" s="34">
        <f>IF(C851="","",YEAR(C851-WEEKDAY(C851,2)+4)&amp;"-S"&amp;TEXT(INT((C851-DATE(YEAR(C851-WEEKDAY(C851,2)+4),1,3)+WEEKDAY(DATE(YEAR(C851-WEEKDAY(C851,2)+4),1,3),2)+5)/7),"00"))</f>
        <v/>
      </c>
    </row>
    <row r="852" ht="18" customHeight="1">
      <c r="A852" s="39" t="n">
        <v>847</v>
      </c>
      <c r="B852" s="33">
        <f>IF(C852="","",IF(P852="À RENSEIGNER","GIC",P852)&amp;"-C"&amp;TEXT(A852,"00000"))</f>
        <v/>
      </c>
      <c r="C852" s="32" t="n"/>
      <c r="D852" s="36" t="n"/>
      <c r="E852" s="36" t="n"/>
      <c r="F852" s="36" t="n"/>
      <c r="G852" s="42" t="n"/>
      <c r="H852" s="37" t="n"/>
      <c r="I852" s="37" t="n"/>
      <c r="J852" s="32" t="n"/>
      <c r="K852" s="32" t="n"/>
      <c r="L852" s="43" t="n"/>
      <c r="M852" s="36" t="n"/>
      <c r="N852" s="44" t="n"/>
      <c r="O852" s="36" t="n"/>
      <c r="P852" s="33">
        <f>IF(C852="","",Commercial_Id)</f>
        <v/>
      </c>
      <c r="Q852" s="34">
        <f>IF(AC852="","",IF(AD852=1,"C"&amp;TEXT(SUM(AD$6:AD852),"0000"),INDEX(Q$6:Q851,MATCH(AC852,AC$6:AC851,0))))</f>
        <v/>
      </c>
      <c r="R852" s="34">
        <f>IF(C852="","",IF(L852="☑ Oui","Annulée",IF(OR(E852="Vente directe",K852&lt;&gt;""),"Livrée",IF(J852&lt;&gt;"","Confirmée","En attente"))))</f>
        <v/>
      </c>
      <c r="S852" s="34">
        <f>IF(F852="","",IFERROR(VLOOKUP(F852,T_Produits,2,FALSE),""))</f>
        <v/>
      </c>
      <c r="T852" s="40">
        <f>IF(F852="","",IFERROR(1/(1/VLOOKUP(F852,T_Produits,3,FALSE)),""))</f>
        <v/>
      </c>
      <c r="U852" s="40">
        <f>IF(H852&lt;&gt;"",H852,T852)</f>
        <v/>
      </c>
      <c r="V852" s="40">
        <f>IF(OR(G852="",U852=""),"",G852*U852-N(I852))</f>
        <v/>
      </c>
      <c r="W852" s="39">
        <f>IF(D852="","",IFERROR(VALUE(MID(D852,LEN(D852)-3,3)),""))</f>
        <v/>
      </c>
      <c r="X852" s="33">
        <f>IF(W852="","",P852&amp;"|"&amp;W852)</f>
        <v/>
      </c>
      <c r="Y852" s="33">
        <f>IF(W852="","",IF(P852="À RENSEIGNER","GIC",P852)&amp;"-"&amp;TEXT(W852,"000"))</f>
        <v/>
      </c>
      <c r="Z852" s="33">
        <f>IF(X852="","",IFERROR(INDEX(Cl_nom,MATCH(X852,Cl_cle,0)),"(client introuvable)"))</f>
        <v/>
      </c>
      <c r="AA852" s="33">
        <f>IF(X852="","",IFERROR(INDEX(Cl_quartier,MATCH(X852,Cl_cle,0))&amp;"",""))</f>
        <v/>
      </c>
      <c r="AB852" s="45">
        <f>IF(R852&lt;&gt;"Livrée",0,IF(K852&lt;&gt;"",K852,C852))</f>
        <v/>
      </c>
      <c r="AC852" s="33">
        <f>IF(OR(C852="",W852=""),"",P852&amp;"|"&amp;W852&amp;"|"&amp;C852&amp;"|"&amp;E852)</f>
        <v/>
      </c>
      <c r="AD852" s="39">
        <f>IF(AC852="","",IF(COUNTIF(AC$6:AC852,AC852)=1,1,0))</f>
        <v/>
      </c>
      <c r="AE852" s="39">
        <f>IF(AB852=0,"",IF(COUNTIFS(X$6:X852,X852,AB$6:AB852,AB852)=1,1,0))</f>
        <v/>
      </c>
      <c r="AF852" s="34">
        <f>IF(C852="","",YEAR(C852-WEEKDAY(C852,2)+4)&amp;"-S"&amp;TEXT(INT((C852-DATE(YEAR(C852-WEEKDAY(C852,2)+4),1,3)+WEEKDAY(DATE(YEAR(C852-WEEKDAY(C852,2)+4),1,3),2)+5)/7),"00"))</f>
        <v/>
      </c>
    </row>
    <row r="853" ht="18" customHeight="1">
      <c r="A853" s="39" t="n">
        <v>848</v>
      </c>
      <c r="B853" s="33">
        <f>IF(C853="","",IF(P853="À RENSEIGNER","GIC",P853)&amp;"-C"&amp;TEXT(A853,"00000"))</f>
        <v/>
      </c>
      <c r="C853" s="32" t="n"/>
      <c r="D853" s="36" t="n"/>
      <c r="E853" s="36" t="n"/>
      <c r="F853" s="36" t="n"/>
      <c r="G853" s="42" t="n"/>
      <c r="H853" s="37" t="n"/>
      <c r="I853" s="37" t="n"/>
      <c r="J853" s="32" t="n"/>
      <c r="K853" s="32" t="n"/>
      <c r="L853" s="43" t="n"/>
      <c r="M853" s="36" t="n"/>
      <c r="N853" s="44" t="n"/>
      <c r="O853" s="36" t="n"/>
      <c r="P853" s="33">
        <f>IF(C853="","",Commercial_Id)</f>
        <v/>
      </c>
      <c r="Q853" s="34">
        <f>IF(AC853="","",IF(AD853=1,"C"&amp;TEXT(SUM(AD$6:AD853),"0000"),INDEX(Q$6:Q852,MATCH(AC853,AC$6:AC852,0))))</f>
        <v/>
      </c>
      <c r="R853" s="34">
        <f>IF(C853="","",IF(L853="☑ Oui","Annulée",IF(OR(E853="Vente directe",K853&lt;&gt;""),"Livrée",IF(J853&lt;&gt;"","Confirmée","En attente"))))</f>
        <v/>
      </c>
      <c r="S853" s="34">
        <f>IF(F853="","",IFERROR(VLOOKUP(F853,T_Produits,2,FALSE),""))</f>
        <v/>
      </c>
      <c r="T853" s="40">
        <f>IF(F853="","",IFERROR(1/(1/VLOOKUP(F853,T_Produits,3,FALSE)),""))</f>
        <v/>
      </c>
      <c r="U853" s="40">
        <f>IF(H853&lt;&gt;"",H853,T853)</f>
        <v/>
      </c>
      <c r="V853" s="40">
        <f>IF(OR(G853="",U853=""),"",G853*U853-N(I853))</f>
        <v/>
      </c>
      <c r="W853" s="39">
        <f>IF(D853="","",IFERROR(VALUE(MID(D853,LEN(D853)-3,3)),""))</f>
        <v/>
      </c>
      <c r="X853" s="33">
        <f>IF(W853="","",P853&amp;"|"&amp;W853)</f>
        <v/>
      </c>
      <c r="Y853" s="33">
        <f>IF(W853="","",IF(P853="À RENSEIGNER","GIC",P853)&amp;"-"&amp;TEXT(W853,"000"))</f>
        <v/>
      </c>
      <c r="Z853" s="33">
        <f>IF(X853="","",IFERROR(INDEX(Cl_nom,MATCH(X853,Cl_cle,0)),"(client introuvable)"))</f>
        <v/>
      </c>
      <c r="AA853" s="33">
        <f>IF(X853="","",IFERROR(INDEX(Cl_quartier,MATCH(X853,Cl_cle,0))&amp;"",""))</f>
        <v/>
      </c>
      <c r="AB853" s="45">
        <f>IF(R853&lt;&gt;"Livrée",0,IF(K853&lt;&gt;"",K853,C853))</f>
        <v/>
      </c>
      <c r="AC853" s="33">
        <f>IF(OR(C853="",W853=""),"",P853&amp;"|"&amp;W853&amp;"|"&amp;C853&amp;"|"&amp;E853)</f>
        <v/>
      </c>
      <c r="AD853" s="39">
        <f>IF(AC853="","",IF(COUNTIF(AC$6:AC853,AC853)=1,1,0))</f>
        <v/>
      </c>
      <c r="AE853" s="39">
        <f>IF(AB853=0,"",IF(COUNTIFS(X$6:X853,X853,AB$6:AB853,AB853)=1,1,0))</f>
        <v/>
      </c>
      <c r="AF853" s="34">
        <f>IF(C853="","",YEAR(C853-WEEKDAY(C853,2)+4)&amp;"-S"&amp;TEXT(INT((C853-DATE(YEAR(C853-WEEKDAY(C853,2)+4),1,3)+WEEKDAY(DATE(YEAR(C853-WEEKDAY(C853,2)+4),1,3),2)+5)/7),"00"))</f>
        <v/>
      </c>
    </row>
    <row r="854" ht="18" customHeight="1">
      <c r="A854" s="39" t="n">
        <v>849</v>
      </c>
      <c r="B854" s="33">
        <f>IF(C854="","",IF(P854="À RENSEIGNER","GIC",P854)&amp;"-C"&amp;TEXT(A854,"00000"))</f>
        <v/>
      </c>
      <c r="C854" s="32" t="n"/>
      <c r="D854" s="36" t="n"/>
      <c r="E854" s="36" t="n"/>
      <c r="F854" s="36" t="n"/>
      <c r="G854" s="42" t="n"/>
      <c r="H854" s="37" t="n"/>
      <c r="I854" s="37" t="n"/>
      <c r="J854" s="32" t="n"/>
      <c r="K854" s="32" t="n"/>
      <c r="L854" s="43" t="n"/>
      <c r="M854" s="36" t="n"/>
      <c r="N854" s="44" t="n"/>
      <c r="O854" s="36" t="n"/>
      <c r="P854" s="33">
        <f>IF(C854="","",Commercial_Id)</f>
        <v/>
      </c>
      <c r="Q854" s="34">
        <f>IF(AC854="","",IF(AD854=1,"C"&amp;TEXT(SUM(AD$6:AD854),"0000"),INDEX(Q$6:Q853,MATCH(AC854,AC$6:AC853,0))))</f>
        <v/>
      </c>
      <c r="R854" s="34">
        <f>IF(C854="","",IF(L854="☑ Oui","Annulée",IF(OR(E854="Vente directe",K854&lt;&gt;""),"Livrée",IF(J854&lt;&gt;"","Confirmée","En attente"))))</f>
        <v/>
      </c>
      <c r="S854" s="34">
        <f>IF(F854="","",IFERROR(VLOOKUP(F854,T_Produits,2,FALSE),""))</f>
        <v/>
      </c>
      <c r="T854" s="40">
        <f>IF(F854="","",IFERROR(1/(1/VLOOKUP(F854,T_Produits,3,FALSE)),""))</f>
        <v/>
      </c>
      <c r="U854" s="40">
        <f>IF(H854&lt;&gt;"",H854,T854)</f>
        <v/>
      </c>
      <c r="V854" s="40">
        <f>IF(OR(G854="",U854=""),"",G854*U854-N(I854))</f>
        <v/>
      </c>
      <c r="W854" s="39">
        <f>IF(D854="","",IFERROR(VALUE(MID(D854,LEN(D854)-3,3)),""))</f>
        <v/>
      </c>
      <c r="X854" s="33">
        <f>IF(W854="","",P854&amp;"|"&amp;W854)</f>
        <v/>
      </c>
      <c r="Y854" s="33">
        <f>IF(W854="","",IF(P854="À RENSEIGNER","GIC",P854)&amp;"-"&amp;TEXT(W854,"000"))</f>
        <v/>
      </c>
      <c r="Z854" s="33">
        <f>IF(X854="","",IFERROR(INDEX(Cl_nom,MATCH(X854,Cl_cle,0)),"(client introuvable)"))</f>
        <v/>
      </c>
      <c r="AA854" s="33">
        <f>IF(X854="","",IFERROR(INDEX(Cl_quartier,MATCH(X854,Cl_cle,0))&amp;"",""))</f>
        <v/>
      </c>
      <c r="AB854" s="45">
        <f>IF(R854&lt;&gt;"Livrée",0,IF(K854&lt;&gt;"",K854,C854))</f>
        <v/>
      </c>
      <c r="AC854" s="33">
        <f>IF(OR(C854="",W854=""),"",P854&amp;"|"&amp;W854&amp;"|"&amp;C854&amp;"|"&amp;E854)</f>
        <v/>
      </c>
      <c r="AD854" s="39">
        <f>IF(AC854="","",IF(COUNTIF(AC$6:AC854,AC854)=1,1,0))</f>
        <v/>
      </c>
      <c r="AE854" s="39">
        <f>IF(AB854=0,"",IF(COUNTIFS(X$6:X854,X854,AB$6:AB854,AB854)=1,1,0))</f>
        <v/>
      </c>
      <c r="AF854" s="34">
        <f>IF(C854="","",YEAR(C854-WEEKDAY(C854,2)+4)&amp;"-S"&amp;TEXT(INT((C854-DATE(YEAR(C854-WEEKDAY(C854,2)+4),1,3)+WEEKDAY(DATE(YEAR(C854-WEEKDAY(C854,2)+4),1,3),2)+5)/7),"00"))</f>
        <v/>
      </c>
    </row>
    <row r="855" ht="18" customHeight="1">
      <c r="A855" s="39" t="n">
        <v>850</v>
      </c>
      <c r="B855" s="33">
        <f>IF(C855="","",IF(P855="À RENSEIGNER","GIC",P855)&amp;"-C"&amp;TEXT(A855,"00000"))</f>
        <v/>
      </c>
      <c r="C855" s="32" t="n"/>
      <c r="D855" s="36" t="n"/>
      <c r="E855" s="36" t="n"/>
      <c r="F855" s="36" t="n"/>
      <c r="G855" s="42" t="n"/>
      <c r="H855" s="37" t="n"/>
      <c r="I855" s="37" t="n"/>
      <c r="J855" s="32" t="n"/>
      <c r="K855" s="32" t="n"/>
      <c r="L855" s="43" t="n"/>
      <c r="M855" s="36" t="n"/>
      <c r="N855" s="44" t="n"/>
      <c r="O855" s="36" t="n"/>
      <c r="P855" s="33">
        <f>IF(C855="","",Commercial_Id)</f>
        <v/>
      </c>
      <c r="Q855" s="34">
        <f>IF(AC855="","",IF(AD855=1,"C"&amp;TEXT(SUM(AD$6:AD855),"0000"),INDEX(Q$6:Q854,MATCH(AC855,AC$6:AC854,0))))</f>
        <v/>
      </c>
      <c r="R855" s="34">
        <f>IF(C855="","",IF(L855="☑ Oui","Annulée",IF(OR(E855="Vente directe",K855&lt;&gt;""),"Livrée",IF(J855&lt;&gt;"","Confirmée","En attente"))))</f>
        <v/>
      </c>
      <c r="S855" s="34">
        <f>IF(F855="","",IFERROR(VLOOKUP(F855,T_Produits,2,FALSE),""))</f>
        <v/>
      </c>
      <c r="T855" s="40">
        <f>IF(F855="","",IFERROR(1/(1/VLOOKUP(F855,T_Produits,3,FALSE)),""))</f>
        <v/>
      </c>
      <c r="U855" s="40">
        <f>IF(H855&lt;&gt;"",H855,T855)</f>
        <v/>
      </c>
      <c r="V855" s="40">
        <f>IF(OR(G855="",U855=""),"",G855*U855-N(I855))</f>
        <v/>
      </c>
      <c r="W855" s="39">
        <f>IF(D855="","",IFERROR(VALUE(MID(D855,LEN(D855)-3,3)),""))</f>
        <v/>
      </c>
      <c r="X855" s="33">
        <f>IF(W855="","",P855&amp;"|"&amp;W855)</f>
        <v/>
      </c>
      <c r="Y855" s="33">
        <f>IF(W855="","",IF(P855="À RENSEIGNER","GIC",P855)&amp;"-"&amp;TEXT(W855,"000"))</f>
        <v/>
      </c>
      <c r="Z855" s="33">
        <f>IF(X855="","",IFERROR(INDEX(Cl_nom,MATCH(X855,Cl_cle,0)),"(client introuvable)"))</f>
        <v/>
      </c>
      <c r="AA855" s="33">
        <f>IF(X855="","",IFERROR(INDEX(Cl_quartier,MATCH(X855,Cl_cle,0))&amp;"",""))</f>
        <v/>
      </c>
      <c r="AB855" s="45">
        <f>IF(R855&lt;&gt;"Livrée",0,IF(K855&lt;&gt;"",K855,C855))</f>
        <v/>
      </c>
      <c r="AC855" s="33">
        <f>IF(OR(C855="",W855=""),"",P855&amp;"|"&amp;W855&amp;"|"&amp;C855&amp;"|"&amp;E855)</f>
        <v/>
      </c>
      <c r="AD855" s="39">
        <f>IF(AC855="","",IF(COUNTIF(AC$6:AC855,AC855)=1,1,0))</f>
        <v/>
      </c>
      <c r="AE855" s="39">
        <f>IF(AB855=0,"",IF(COUNTIFS(X$6:X855,X855,AB$6:AB855,AB855)=1,1,0))</f>
        <v/>
      </c>
      <c r="AF855" s="34">
        <f>IF(C855="","",YEAR(C855-WEEKDAY(C855,2)+4)&amp;"-S"&amp;TEXT(INT((C855-DATE(YEAR(C855-WEEKDAY(C855,2)+4),1,3)+WEEKDAY(DATE(YEAR(C855-WEEKDAY(C855,2)+4),1,3),2)+5)/7),"00"))</f>
        <v/>
      </c>
    </row>
    <row r="856" ht="18" customHeight="1">
      <c r="A856" s="39" t="n">
        <v>851</v>
      </c>
      <c r="B856" s="33">
        <f>IF(C856="","",IF(P856="À RENSEIGNER","GIC",P856)&amp;"-C"&amp;TEXT(A856,"00000"))</f>
        <v/>
      </c>
      <c r="C856" s="32" t="n"/>
      <c r="D856" s="36" t="n"/>
      <c r="E856" s="36" t="n"/>
      <c r="F856" s="36" t="n"/>
      <c r="G856" s="42" t="n"/>
      <c r="H856" s="37" t="n"/>
      <c r="I856" s="37" t="n"/>
      <c r="J856" s="32" t="n"/>
      <c r="K856" s="32" t="n"/>
      <c r="L856" s="43" t="n"/>
      <c r="M856" s="36" t="n"/>
      <c r="N856" s="44" t="n"/>
      <c r="O856" s="36" t="n"/>
      <c r="P856" s="33">
        <f>IF(C856="","",Commercial_Id)</f>
        <v/>
      </c>
      <c r="Q856" s="34">
        <f>IF(AC856="","",IF(AD856=1,"C"&amp;TEXT(SUM(AD$6:AD856),"0000"),INDEX(Q$6:Q855,MATCH(AC856,AC$6:AC855,0))))</f>
        <v/>
      </c>
      <c r="R856" s="34">
        <f>IF(C856="","",IF(L856="☑ Oui","Annulée",IF(OR(E856="Vente directe",K856&lt;&gt;""),"Livrée",IF(J856&lt;&gt;"","Confirmée","En attente"))))</f>
        <v/>
      </c>
      <c r="S856" s="34">
        <f>IF(F856="","",IFERROR(VLOOKUP(F856,T_Produits,2,FALSE),""))</f>
        <v/>
      </c>
      <c r="T856" s="40">
        <f>IF(F856="","",IFERROR(1/(1/VLOOKUP(F856,T_Produits,3,FALSE)),""))</f>
        <v/>
      </c>
      <c r="U856" s="40">
        <f>IF(H856&lt;&gt;"",H856,T856)</f>
        <v/>
      </c>
      <c r="V856" s="40">
        <f>IF(OR(G856="",U856=""),"",G856*U856-N(I856))</f>
        <v/>
      </c>
      <c r="W856" s="39">
        <f>IF(D856="","",IFERROR(VALUE(MID(D856,LEN(D856)-3,3)),""))</f>
        <v/>
      </c>
      <c r="X856" s="33">
        <f>IF(W856="","",P856&amp;"|"&amp;W856)</f>
        <v/>
      </c>
      <c r="Y856" s="33">
        <f>IF(W856="","",IF(P856="À RENSEIGNER","GIC",P856)&amp;"-"&amp;TEXT(W856,"000"))</f>
        <v/>
      </c>
      <c r="Z856" s="33">
        <f>IF(X856="","",IFERROR(INDEX(Cl_nom,MATCH(X856,Cl_cle,0)),"(client introuvable)"))</f>
        <v/>
      </c>
      <c r="AA856" s="33">
        <f>IF(X856="","",IFERROR(INDEX(Cl_quartier,MATCH(X856,Cl_cle,0))&amp;"",""))</f>
        <v/>
      </c>
      <c r="AB856" s="45">
        <f>IF(R856&lt;&gt;"Livrée",0,IF(K856&lt;&gt;"",K856,C856))</f>
        <v/>
      </c>
      <c r="AC856" s="33">
        <f>IF(OR(C856="",W856=""),"",P856&amp;"|"&amp;W856&amp;"|"&amp;C856&amp;"|"&amp;E856)</f>
        <v/>
      </c>
      <c r="AD856" s="39">
        <f>IF(AC856="","",IF(COUNTIF(AC$6:AC856,AC856)=1,1,0))</f>
        <v/>
      </c>
      <c r="AE856" s="39">
        <f>IF(AB856=0,"",IF(COUNTIFS(X$6:X856,X856,AB$6:AB856,AB856)=1,1,0))</f>
        <v/>
      </c>
      <c r="AF856" s="34">
        <f>IF(C856="","",YEAR(C856-WEEKDAY(C856,2)+4)&amp;"-S"&amp;TEXT(INT((C856-DATE(YEAR(C856-WEEKDAY(C856,2)+4),1,3)+WEEKDAY(DATE(YEAR(C856-WEEKDAY(C856,2)+4),1,3),2)+5)/7),"00"))</f>
        <v/>
      </c>
    </row>
    <row r="857" ht="18" customHeight="1">
      <c r="A857" s="39" t="n">
        <v>852</v>
      </c>
      <c r="B857" s="33">
        <f>IF(C857="","",IF(P857="À RENSEIGNER","GIC",P857)&amp;"-C"&amp;TEXT(A857,"00000"))</f>
        <v/>
      </c>
      <c r="C857" s="32" t="n"/>
      <c r="D857" s="36" t="n"/>
      <c r="E857" s="36" t="n"/>
      <c r="F857" s="36" t="n"/>
      <c r="G857" s="42" t="n"/>
      <c r="H857" s="37" t="n"/>
      <c r="I857" s="37" t="n"/>
      <c r="J857" s="32" t="n"/>
      <c r="K857" s="32" t="n"/>
      <c r="L857" s="43" t="n"/>
      <c r="M857" s="36" t="n"/>
      <c r="N857" s="44" t="n"/>
      <c r="O857" s="36" t="n"/>
      <c r="P857" s="33">
        <f>IF(C857="","",Commercial_Id)</f>
        <v/>
      </c>
      <c r="Q857" s="34">
        <f>IF(AC857="","",IF(AD857=1,"C"&amp;TEXT(SUM(AD$6:AD857),"0000"),INDEX(Q$6:Q856,MATCH(AC857,AC$6:AC856,0))))</f>
        <v/>
      </c>
      <c r="R857" s="34">
        <f>IF(C857="","",IF(L857="☑ Oui","Annulée",IF(OR(E857="Vente directe",K857&lt;&gt;""),"Livrée",IF(J857&lt;&gt;"","Confirmée","En attente"))))</f>
        <v/>
      </c>
      <c r="S857" s="34">
        <f>IF(F857="","",IFERROR(VLOOKUP(F857,T_Produits,2,FALSE),""))</f>
        <v/>
      </c>
      <c r="T857" s="40">
        <f>IF(F857="","",IFERROR(1/(1/VLOOKUP(F857,T_Produits,3,FALSE)),""))</f>
        <v/>
      </c>
      <c r="U857" s="40">
        <f>IF(H857&lt;&gt;"",H857,T857)</f>
        <v/>
      </c>
      <c r="V857" s="40">
        <f>IF(OR(G857="",U857=""),"",G857*U857-N(I857))</f>
        <v/>
      </c>
      <c r="W857" s="39">
        <f>IF(D857="","",IFERROR(VALUE(MID(D857,LEN(D857)-3,3)),""))</f>
        <v/>
      </c>
      <c r="X857" s="33">
        <f>IF(W857="","",P857&amp;"|"&amp;W857)</f>
        <v/>
      </c>
      <c r="Y857" s="33">
        <f>IF(W857="","",IF(P857="À RENSEIGNER","GIC",P857)&amp;"-"&amp;TEXT(W857,"000"))</f>
        <v/>
      </c>
      <c r="Z857" s="33">
        <f>IF(X857="","",IFERROR(INDEX(Cl_nom,MATCH(X857,Cl_cle,0)),"(client introuvable)"))</f>
        <v/>
      </c>
      <c r="AA857" s="33">
        <f>IF(X857="","",IFERROR(INDEX(Cl_quartier,MATCH(X857,Cl_cle,0))&amp;"",""))</f>
        <v/>
      </c>
      <c r="AB857" s="45">
        <f>IF(R857&lt;&gt;"Livrée",0,IF(K857&lt;&gt;"",K857,C857))</f>
        <v/>
      </c>
      <c r="AC857" s="33">
        <f>IF(OR(C857="",W857=""),"",P857&amp;"|"&amp;W857&amp;"|"&amp;C857&amp;"|"&amp;E857)</f>
        <v/>
      </c>
      <c r="AD857" s="39">
        <f>IF(AC857="","",IF(COUNTIF(AC$6:AC857,AC857)=1,1,0))</f>
        <v/>
      </c>
      <c r="AE857" s="39">
        <f>IF(AB857=0,"",IF(COUNTIFS(X$6:X857,X857,AB$6:AB857,AB857)=1,1,0))</f>
        <v/>
      </c>
      <c r="AF857" s="34">
        <f>IF(C857="","",YEAR(C857-WEEKDAY(C857,2)+4)&amp;"-S"&amp;TEXT(INT((C857-DATE(YEAR(C857-WEEKDAY(C857,2)+4),1,3)+WEEKDAY(DATE(YEAR(C857-WEEKDAY(C857,2)+4),1,3),2)+5)/7),"00"))</f>
        <v/>
      </c>
    </row>
    <row r="858" ht="18" customHeight="1">
      <c r="A858" s="39" t="n">
        <v>853</v>
      </c>
      <c r="B858" s="33">
        <f>IF(C858="","",IF(P858="À RENSEIGNER","GIC",P858)&amp;"-C"&amp;TEXT(A858,"00000"))</f>
        <v/>
      </c>
      <c r="C858" s="32" t="n"/>
      <c r="D858" s="36" t="n"/>
      <c r="E858" s="36" t="n"/>
      <c r="F858" s="36" t="n"/>
      <c r="G858" s="42" t="n"/>
      <c r="H858" s="37" t="n"/>
      <c r="I858" s="37" t="n"/>
      <c r="J858" s="32" t="n"/>
      <c r="K858" s="32" t="n"/>
      <c r="L858" s="43" t="n"/>
      <c r="M858" s="36" t="n"/>
      <c r="N858" s="44" t="n"/>
      <c r="O858" s="36" t="n"/>
      <c r="P858" s="33">
        <f>IF(C858="","",Commercial_Id)</f>
        <v/>
      </c>
      <c r="Q858" s="34">
        <f>IF(AC858="","",IF(AD858=1,"C"&amp;TEXT(SUM(AD$6:AD858),"0000"),INDEX(Q$6:Q857,MATCH(AC858,AC$6:AC857,0))))</f>
        <v/>
      </c>
      <c r="R858" s="34">
        <f>IF(C858="","",IF(L858="☑ Oui","Annulée",IF(OR(E858="Vente directe",K858&lt;&gt;""),"Livrée",IF(J858&lt;&gt;"","Confirmée","En attente"))))</f>
        <v/>
      </c>
      <c r="S858" s="34">
        <f>IF(F858="","",IFERROR(VLOOKUP(F858,T_Produits,2,FALSE),""))</f>
        <v/>
      </c>
      <c r="T858" s="40">
        <f>IF(F858="","",IFERROR(1/(1/VLOOKUP(F858,T_Produits,3,FALSE)),""))</f>
        <v/>
      </c>
      <c r="U858" s="40">
        <f>IF(H858&lt;&gt;"",H858,T858)</f>
        <v/>
      </c>
      <c r="V858" s="40">
        <f>IF(OR(G858="",U858=""),"",G858*U858-N(I858))</f>
        <v/>
      </c>
      <c r="W858" s="39">
        <f>IF(D858="","",IFERROR(VALUE(MID(D858,LEN(D858)-3,3)),""))</f>
        <v/>
      </c>
      <c r="X858" s="33">
        <f>IF(W858="","",P858&amp;"|"&amp;W858)</f>
        <v/>
      </c>
      <c r="Y858" s="33">
        <f>IF(W858="","",IF(P858="À RENSEIGNER","GIC",P858)&amp;"-"&amp;TEXT(W858,"000"))</f>
        <v/>
      </c>
      <c r="Z858" s="33">
        <f>IF(X858="","",IFERROR(INDEX(Cl_nom,MATCH(X858,Cl_cle,0)),"(client introuvable)"))</f>
        <v/>
      </c>
      <c r="AA858" s="33">
        <f>IF(X858="","",IFERROR(INDEX(Cl_quartier,MATCH(X858,Cl_cle,0))&amp;"",""))</f>
        <v/>
      </c>
      <c r="AB858" s="45">
        <f>IF(R858&lt;&gt;"Livrée",0,IF(K858&lt;&gt;"",K858,C858))</f>
        <v/>
      </c>
      <c r="AC858" s="33">
        <f>IF(OR(C858="",W858=""),"",P858&amp;"|"&amp;W858&amp;"|"&amp;C858&amp;"|"&amp;E858)</f>
        <v/>
      </c>
      <c r="AD858" s="39">
        <f>IF(AC858="","",IF(COUNTIF(AC$6:AC858,AC858)=1,1,0))</f>
        <v/>
      </c>
      <c r="AE858" s="39">
        <f>IF(AB858=0,"",IF(COUNTIFS(X$6:X858,X858,AB$6:AB858,AB858)=1,1,0))</f>
        <v/>
      </c>
      <c r="AF858" s="34">
        <f>IF(C858="","",YEAR(C858-WEEKDAY(C858,2)+4)&amp;"-S"&amp;TEXT(INT((C858-DATE(YEAR(C858-WEEKDAY(C858,2)+4),1,3)+WEEKDAY(DATE(YEAR(C858-WEEKDAY(C858,2)+4),1,3),2)+5)/7),"00"))</f>
        <v/>
      </c>
    </row>
    <row r="859" ht="18" customHeight="1">
      <c r="A859" s="39" t="n">
        <v>854</v>
      </c>
      <c r="B859" s="33">
        <f>IF(C859="","",IF(P859="À RENSEIGNER","GIC",P859)&amp;"-C"&amp;TEXT(A859,"00000"))</f>
        <v/>
      </c>
      <c r="C859" s="32" t="n"/>
      <c r="D859" s="36" t="n"/>
      <c r="E859" s="36" t="n"/>
      <c r="F859" s="36" t="n"/>
      <c r="G859" s="42" t="n"/>
      <c r="H859" s="37" t="n"/>
      <c r="I859" s="37" t="n"/>
      <c r="J859" s="32" t="n"/>
      <c r="K859" s="32" t="n"/>
      <c r="L859" s="43" t="n"/>
      <c r="M859" s="36" t="n"/>
      <c r="N859" s="44" t="n"/>
      <c r="O859" s="36" t="n"/>
      <c r="P859" s="33">
        <f>IF(C859="","",Commercial_Id)</f>
        <v/>
      </c>
      <c r="Q859" s="34">
        <f>IF(AC859="","",IF(AD859=1,"C"&amp;TEXT(SUM(AD$6:AD859),"0000"),INDEX(Q$6:Q858,MATCH(AC859,AC$6:AC858,0))))</f>
        <v/>
      </c>
      <c r="R859" s="34">
        <f>IF(C859="","",IF(L859="☑ Oui","Annulée",IF(OR(E859="Vente directe",K859&lt;&gt;""),"Livrée",IF(J859&lt;&gt;"","Confirmée","En attente"))))</f>
        <v/>
      </c>
      <c r="S859" s="34">
        <f>IF(F859="","",IFERROR(VLOOKUP(F859,T_Produits,2,FALSE),""))</f>
        <v/>
      </c>
      <c r="T859" s="40">
        <f>IF(F859="","",IFERROR(1/(1/VLOOKUP(F859,T_Produits,3,FALSE)),""))</f>
        <v/>
      </c>
      <c r="U859" s="40">
        <f>IF(H859&lt;&gt;"",H859,T859)</f>
        <v/>
      </c>
      <c r="V859" s="40">
        <f>IF(OR(G859="",U859=""),"",G859*U859-N(I859))</f>
        <v/>
      </c>
      <c r="W859" s="39">
        <f>IF(D859="","",IFERROR(VALUE(MID(D859,LEN(D859)-3,3)),""))</f>
        <v/>
      </c>
      <c r="X859" s="33">
        <f>IF(W859="","",P859&amp;"|"&amp;W859)</f>
        <v/>
      </c>
      <c r="Y859" s="33">
        <f>IF(W859="","",IF(P859="À RENSEIGNER","GIC",P859)&amp;"-"&amp;TEXT(W859,"000"))</f>
        <v/>
      </c>
      <c r="Z859" s="33">
        <f>IF(X859="","",IFERROR(INDEX(Cl_nom,MATCH(X859,Cl_cle,0)),"(client introuvable)"))</f>
        <v/>
      </c>
      <c r="AA859" s="33">
        <f>IF(X859="","",IFERROR(INDEX(Cl_quartier,MATCH(X859,Cl_cle,0))&amp;"",""))</f>
        <v/>
      </c>
      <c r="AB859" s="45">
        <f>IF(R859&lt;&gt;"Livrée",0,IF(K859&lt;&gt;"",K859,C859))</f>
        <v/>
      </c>
      <c r="AC859" s="33">
        <f>IF(OR(C859="",W859=""),"",P859&amp;"|"&amp;W859&amp;"|"&amp;C859&amp;"|"&amp;E859)</f>
        <v/>
      </c>
      <c r="AD859" s="39">
        <f>IF(AC859="","",IF(COUNTIF(AC$6:AC859,AC859)=1,1,0))</f>
        <v/>
      </c>
      <c r="AE859" s="39">
        <f>IF(AB859=0,"",IF(COUNTIFS(X$6:X859,X859,AB$6:AB859,AB859)=1,1,0))</f>
        <v/>
      </c>
      <c r="AF859" s="34">
        <f>IF(C859="","",YEAR(C859-WEEKDAY(C859,2)+4)&amp;"-S"&amp;TEXT(INT((C859-DATE(YEAR(C859-WEEKDAY(C859,2)+4),1,3)+WEEKDAY(DATE(YEAR(C859-WEEKDAY(C859,2)+4),1,3),2)+5)/7),"00"))</f>
        <v/>
      </c>
    </row>
    <row r="860" ht="18" customHeight="1">
      <c r="A860" s="39" t="n">
        <v>855</v>
      </c>
      <c r="B860" s="33">
        <f>IF(C860="","",IF(P860="À RENSEIGNER","GIC",P860)&amp;"-C"&amp;TEXT(A860,"00000"))</f>
        <v/>
      </c>
      <c r="C860" s="32" t="n"/>
      <c r="D860" s="36" t="n"/>
      <c r="E860" s="36" t="n"/>
      <c r="F860" s="36" t="n"/>
      <c r="G860" s="42" t="n"/>
      <c r="H860" s="37" t="n"/>
      <c r="I860" s="37" t="n"/>
      <c r="J860" s="32" t="n"/>
      <c r="K860" s="32" t="n"/>
      <c r="L860" s="43" t="n"/>
      <c r="M860" s="36" t="n"/>
      <c r="N860" s="44" t="n"/>
      <c r="O860" s="36" t="n"/>
      <c r="P860" s="33">
        <f>IF(C860="","",Commercial_Id)</f>
        <v/>
      </c>
      <c r="Q860" s="34">
        <f>IF(AC860="","",IF(AD860=1,"C"&amp;TEXT(SUM(AD$6:AD860),"0000"),INDEX(Q$6:Q859,MATCH(AC860,AC$6:AC859,0))))</f>
        <v/>
      </c>
      <c r="R860" s="34">
        <f>IF(C860="","",IF(L860="☑ Oui","Annulée",IF(OR(E860="Vente directe",K860&lt;&gt;""),"Livrée",IF(J860&lt;&gt;"","Confirmée","En attente"))))</f>
        <v/>
      </c>
      <c r="S860" s="34">
        <f>IF(F860="","",IFERROR(VLOOKUP(F860,T_Produits,2,FALSE),""))</f>
        <v/>
      </c>
      <c r="T860" s="40">
        <f>IF(F860="","",IFERROR(1/(1/VLOOKUP(F860,T_Produits,3,FALSE)),""))</f>
        <v/>
      </c>
      <c r="U860" s="40">
        <f>IF(H860&lt;&gt;"",H860,T860)</f>
        <v/>
      </c>
      <c r="V860" s="40">
        <f>IF(OR(G860="",U860=""),"",G860*U860-N(I860))</f>
        <v/>
      </c>
      <c r="W860" s="39">
        <f>IF(D860="","",IFERROR(VALUE(MID(D860,LEN(D860)-3,3)),""))</f>
        <v/>
      </c>
      <c r="X860" s="33">
        <f>IF(W860="","",P860&amp;"|"&amp;W860)</f>
        <v/>
      </c>
      <c r="Y860" s="33">
        <f>IF(W860="","",IF(P860="À RENSEIGNER","GIC",P860)&amp;"-"&amp;TEXT(W860,"000"))</f>
        <v/>
      </c>
      <c r="Z860" s="33">
        <f>IF(X860="","",IFERROR(INDEX(Cl_nom,MATCH(X860,Cl_cle,0)),"(client introuvable)"))</f>
        <v/>
      </c>
      <c r="AA860" s="33">
        <f>IF(X860="","",IFERROR(INDEX(Cl_quartier,MATCH(X860,Cl_cle,0))&amp;"",""))</f>
        <v/>
      </c>
      <c r="AB860" s="45">
        <f>IF(R860&lt;&gt;"Livrée",0,IF(K860&lt;&gt;"",K860,C860))</f>
        <v/>
      </c>
      <c r="AC860" s="33">
        <f>IF(OR(C860="",W860=""),"",P860&amp;"|"&amp;W860&amp;"|"&amp;C860&amp;"|"&amp;E860)</f>
        <v/>
      </c>
      <c r="AD860" s="39">
        <f>IF(AC860="","",IF(COUNTIF(AC$6:AC860,AC860)=1,1,0))</f>
        <v/>
      </c>
      <c r="AE860" s="39">
        <f>IF(AB860=0,"",IF(COUNTIFS(X$6:X860,X860,AB$6:AB860,AB860)=1,1,0))</f>
        <v/>
      </c>
      <c r="AF860" s="34">
        <f>IF(C860="","",YEAR(C860-WEEKDAY(C860,2)+4)&amp;"-S"&amp;TEXT(INT((C860-DATE(YEAR(C860-WEEKDAY(C860,2)+4),1,3)+WEEKDAY(DATE(YEAR(C860-WEEKDAY(C860,2)+4),1,3),2)+5)/7),"00"))</f>
        <v/>
      </c>
    </row>
    <row r="861" ht="18" customHeight="1">
      <c r="A861" s="39" t="n">
        <v>856</v>
      </c>
      <c r="B861" s="33">
        <f>IF(C861="","",IF(P861="À RENSEIGNER","GIC",P861)&amp;"-C"&amp;TEXT(A861,"00000"))</f>
        <v/>
      </c>
      <c r="C861" s="32" t="n"/>
      <c r="D861" s="36" t="n"/>
      <c r="E861" s="36" t="n"/>
      <c r="F861" s="36" t="n"/>
      <c r="G861" s="42" t="n"/>
      <c r="H861" s="37" t="n"/>
      <c r="I861" s="37" t="n"/>
      <c r="J861" s="32" t="n"/>
      <c r="K861" s="32" t="n"/>
      <c r="L861" s="43" t="n"/>
      <c r="M861" s="36" t="n"/>
      <c r="N861" s="44" t="n"/>
      <c r="O861" s="36" t="n"/>
      <c r="P861" s="33">
        <f>IF(C861="","",Commercial_Id)</f>
        <v/>
      </c>
      <c r="Q861" s="34">
        <f>IF(AC861="","",IF(AD861=1,"C"&amp;TEXT(SUM(AD$6:AD861),"0000"),INDEX(Q$6:Q860,MATCH(AC861,AC$6:AC860,0))))</f>
        <v/>
      </c>
      <c r="R861" s="34">
        <f>IF(C861="","",IF(L861="☑ Oui","Annulée",IF(OR(E861="Vente directe",K861&lt;&gt;""),"Livrée",IF(J861&lt;&gt;"","Confirmée","En attente"))))</f>
        <v/>
      </c>
      <c r="S861" s="34">
        <f>IF(F861="","",IFERROR(VLOOKUP(F861,T_Produits,2,FALSE),""))</f>
        <v/>
      </c>
      <c r="T861" s="40">
        <f>IF(F861="","",IFERROR(1/(1/VLOOKUP(F861,T_Produits,3,FALSE)),""))</f>
        <v/>
      </c>
      <c r="U861" s="40">
        <f>IF(H861&lt;&gt;"",H861,T861)</f>
        <v/>
      </c>
      <c r="V861" s="40">
        <f>IF(OR(G861="",U861=""),"",G861*U861-N(I861))</f>
        <v/>
      </c>
      <c r="W861" s="39">
        <f>IF(D861="","",IFERROR(VALUE(MID(D861,LEN(D861)-3,3)),""))</f>
        <v/>
      </c>
      <c r="X861" s="33">
        <f>IF(W861="","",P861&amp;"|"&amp;W861)</f>
        <v/>
      </c>
      <c r="Y861" s="33">
        <f>IF(W861="","",IF(P861="À RENSEIGNER","GIC",P861)&amp;"-"&amp;TEXT(W861,"000"))</f>
        <v/>
      </c>
      <c r="Z861" s="33">
        <f>IF(X861="","",IFERROR(INDEX(Cl_nom,MATCH(X861,Cl_cle,0)),"(client introuvable)"))</f>
        <v/>
      </c>
      <c r="AA861" s="33">
        <f>IF(X861="","",IFERROR(INDEX(Cl_quartier,MATCH(X861,Cl_cle,0))&amp;"",""))</f>
        <v/>
      </c>
      <c r="AB861" s="45">
        <f>IF(R861&lt;&gt;"Livrée",0,IF(K861&lt;&gt;"",K861,C861))</f>
        <v/>
      </c>
      <c r="AC861" s="33">
        <f>IF(OR(C861="",W861=""),"",P861&amp;"|"&amp;W861&amp;"|"&amp;C861&amp;"|"&amp;E861)</f>
        <v/>
      </c>
      <c r="AD861" s="39">
        <f>IF(AC861="","",IF(COUNTIF(AC$6:AC861,AC861)=1,1,0))</f>
        <v/>
      </c>
      <c r="AE861" s="39">
        <f>IF(AB861=0,"",IF(COUNTIFS(X$6:X861,X861,AB$6:AB861,AB861)=1,1,0))</f>
        <v/>
      </c>
      <c r="AF861" s="34">
        <f>IF(C861="","",YEAR(C861-WEEKDAY(C861,2)+4)&amp;"-S"&amp;TEXT(INT((C861-DATE(YEAR(C861-WEEKDAY(C861,2)+4),1,3)+WEEKDAY(DATE(YEAR(C861-WEEKDAY(C861,2)+4),1,3),2)+5)/7),"00"))</f>
        <v/>
      </c>
    </row>
    <row r="862" ht="18" customHeight="1">
      <c r="A862" s="39" t="n">
        <v>857</v>
      </c>
      <c r="B862" s="33">
        <f>IF(C862="","",IF(P862="À RENSEIGNER","GIC",P862)&amp;"-C"&amp;TEXT(A862,"00000"))</f>
        <v/>
      </c>
      <c r="C862" s="32" t="n"/>
      <c r="D862" s="36" t="n"/>
      <c r="E862" s="36" t="n"/>
      <c r="F862" s="36" t="n"/>
      <c r="G862" s="42" t="n"/>
      <c r="H862" s="37" t="n"/>
      <c r="I862" s="37" t="n"/>
      <c r="J862" s="32" t="n"/>
      <c r="K862" s="32" t="n"/>
      <c r="L862" s="43" t="n"/>
      <c r="M862" s="36" t="n"/>
      <c r="N862" s="44" t="n"/>
      <c r="O862" s="36" t="n"/>
      <c r="P862" s="33">
        <f>IF(C862="","",Commercial_Id)</f>
        <v/>
      </c>
      <c r="Q862" s="34">
        <f>IF(AC862="","",IF(AD862=1,"C"&amp;TEXT(SUM(AD$6:AD862),"0000"),INDEX(Q$6:Q861,MATCH(AC862,AC$6:AC861,0))))</f>
        <v/>
      </c>
      <c r="R862" s="34">
        <f>IF(C862="","",IF(L862="☑ Oui","Annulée",IF(OR(E862="Vente directe",K862&lt;&gt;""),"Livrée",IF(J862&lt;&gt;"","Confirmée","En attente"))))</f>
        <v/>
      </c>
      <c r="S862" s="34">
        <f>IF(F862="","",IFERROR(VLOOKUP(F862,T_Produits,2,FALSE),""))</f>
        <v/>
      </c>
      <c r="T862" s="40">
        <f>IF(F862="","",IFERROR(1/(1/VLOOKUP(F862,T_Produits,3,FALSE)),""))</f>
        <v/>
      </c>
      <c r="U862" s="40">
        <f>IF(H862&lt;&gt;"",H862,T862)</f>
        <v/>
      </c>
      <c r="V862" s="40">
        <f>IF(OR(G862="",U862=""),"",G862*U862-N(I862))</f>
        <v/>
      </c>
      <c r="W862" s="39">
        <f>IF(D862="","",IFERROR(VALUE(MID(D862,LEN(D862)-3,3)),""))</f>
        <v/>
      </c>
      <c r="X862" s="33">
        <f>IF(W862="","",P862&amp;"|"&amp;W862)</f>
        <v/>
      </c>
      <c r="Y862" s="33">
        <f>IF(W862="","",IF(P862="À RENSEIGNER","GIC",P862)&amp;"-"&amp;TEXT(W862,"000"))</f>
        <v/>
      </c>
      <c r="Z862" s="33">
        <f>IF(X862="","",IFERROR(INDEX(Cl_nom,MATCH(X862,Cl_cle,0)),"(client introuvable)"))</f>
        <v/>
      </c>
      <c r="AA862" s="33">
        <f>IF(X862="","",IFERROR(INDEX(Cl_quartier,MATCH(X862,Cl_cle,0))&amp;"",""))</f>
        <v/>
      </c>
      <c r="AB862" s="45">
        <f>IF(R862&lt;&gt;"Livrée",0,IF(K862&lt;&gt;"",K862,C862))</f>
        <v/>
      </c>
      <c r="AC862" s="33">
        <f>IF(OR(C862="",W862=""),"",P862&amp;"|"&amp;W862&amp;"|"&amp;C862&amp;"|"&amp;E862)</f>
        <v/>
      </c>
      <c r="AD862" s="39">
        <f>IF(AC862="","",IF(COUNTIF(AC$6:AC862,AC862)=1,1,0))</f>
        <v/>
      </c>
      <c r="AE862" s="39">
        <f>IF(AB862=0,"",IF(COUNTIFS(X$6:X862,X862,AB$6:AB862,AB862)=1,1,0))</f>
        <v/>
      </c>
      <c r="AF862" s="34">
        <f>IF(C862="","",YEAR(C862-WEEKDAY(C862,2)+4)&amp;"-S"&amp;TEXT(INT((C862-DATE(YEAR(C862-WEEKDAY(C862,2)+4),1,3)+WEEKDAY(DATE(YEAR(C862-WEEKDAY(C862,2)+4),1,3),2)+5)/7),"00"))</f>
        <v/>
      </c>
    </row>
    <row r="863" ht="18" customHeight="1">
      <c r="A863" s="39" t="n">
        <v>858</v>
      </c>
      <c r="B863" s="33">
        <f>IF(C863="","",IF(P863="À RENSEIGNER","GIC",P863)&amp;"-C"&amp;TEXT(A863,"00000"))</f>
        <v/>
      </c>
      <c r="C863" s="32" t="n"/>
      <c r="D863" s="36" t="n"/>
      <c r="E863" s="36" t="n"/>
      <c r="F863" s="36" t="n"/>
      <c r="G863" s="42" t="n"/>
      <c r="H863" s="37" t="n"/>
      <c r="I863" s="37" t="n"/>
      <c r="J863" s="32" t="n"/>
      <c r="K863" s="32" t="n"/>
      <c r="L863" s="43" t="n"/>
      <c r="M863" s="36" t="n"/>
      <c r="N863" s="44" t="n"/>
      <c r="O863" s="36" t="n"/>
      <c r="P863" s="33">
        <f>IF(C863="","",Commercial_Id)</f>
        <v/>
      </c>
      <c r="Q863" s="34">
        <f>IF(AC863="","",IF(AD863=1,"C"&amp;TEXT(SUM(AD$6:AD863),"0000"),INDEX(Q$6:Q862,MATCH(AC863,AC$6:AC862,0))))</f>
        <v/>
      </c>
      <c r="R863" s="34">
        <f>IF(C863="","",IF(L863="☑ Oui","Annulée",IF(OR(E863="Vente directe",K863&lt;&gt;""),"Livrée",IF(J863&lt;&gt;"","Confirmée","En attente"))))</f>
        <v/>
      </c>
      <c r="S863" s="34">
        <f>IF(F863="","",IFERROR(VLOOKUP(F863,T_Produits,2,FALSE),""))</f>
        <v/>
      </c>
      <c r="T863" s="40">
        <f>IF(F863="","",IFERROR(1/(1/VLOOKUP(F863,T_Produits,3,FALSE)),""))</f>
        <v/>
      </c>
      <c r="U863" s="40">
        <f>IF(H863&lt;&gt;"",H863,T863)</f>
        <v/>
      </c>
      <c r="V863" s="40">
        <f>IF(OR(G863="",U863=""),"",G863*U863-N(I863))</f>
        <v/>
      </c>
      <c r="W863" s="39">
        <f>IF(D863="","",IFERROR(VALUE(MID(D863,LEN(D863)-3,3)),""))</f>
        <v/>
      </c>
      <c r="X863" s="33">
        <f>IF(W863="","",P863&amp;"|"&amp;W863)</f>
        <v/>
      </c>
      <c r="Y863" s="33">
        <f>IF(W863="","",IF(P863="À RENSEIGNER","GIC",P863)&amp;"-"&amp;TEXT(W863,"000"))</f>
        <v/>
      </c>
      <c r="Z863" s="33">
        <f>IF(X863="","",IFERROR(INDEX(Cl_nom,MATCH(X863,Cl_cle,0)),"(client introuvable)"))</f>
        <v/>
      </c>
      <c r="AA863" s="33">
        <f>IF(X863="","",IFERROR(INDEX(Cl_quartier,MATCH(X863,Cl_cle,0))&amp;"",""))</f>
        <v/>
      </c>
      <c r="AB863" s="45">
        <f>IF(R863&lt;&gt;"Livrée",0,IF(K863&lt;&gt;"",K863,C863))</f>
        <v/>
      </c>
      <c r="AC863" s="33">
        <f>IF(OR(C863="",W863=""),"",P863&amp;"|"&amp;W863&amp;"|"&amp;C863&amp;"|"&amp;E863)</f>
        <v/>
      </c>
      <c r="AD863" s="39">
        <f>IF(AC863="","",IF(COUNTIF(AC$6:AC863,AC863)=1,1,0))</f>
        <v/>
      </c>
      <c r="AE863" s="39">
        <f>IF(AB863=0,"",IF(COUNTIFS(X$6:X863,X863,AB$6:AB863,AB863)=1,1,0))</f>
        <v/>
      </c>
      <c r="AF863" s="34">
        <f>IF(C863="","",YEAR(C863-WEEKDAY(C863,2)+4)&amp;"-S"&amp;TEXT(INT((C863-DATE(YEAR(C863-WEEKDAY(C863,2)+4),1,3)+WEEKDAY(DATE(YEAR(C863-WEEKDAY(C863,2)+4),1,3),2)+5)/7),"00"))</f>
        <v/>
      </c>
    </row>
    <row r="864" ht="18" customHeight="1">
      <c r="A864" s="39" t="n">
        <v>859</v>
      </c>
      <c r="B864" s="33">
        <f>IF(C864="","",IF(P864="À RENSEIGNER","GIC",P864)&amp;"-C"&amp;TEXT(A864,"00000"))</f>
        <v/>
      </c>
      <c r="C864" s="32" t="n"/>
      <c r="D864" s="36" t="n"/>
      <c r="E864" s="36" t="n"/>
      <c r="F864" s="36" t="n"/>
      <c r="G864" s="42" t="n"/>
      <c r="H864" s="37" t="n"/>
      <c r="I864" s="37" t="n"/>
      <c r="J864" s="32" t="n"/>
      <c r="K864" s="32" t="n"/>
      <c r="L864" s="43" t="n"/>
      <c r="M864" s="36" t="n"/>
      <c r="N864" s="44" t="n"/>
      <c r="O864" s="36" t="n"/>
      <c r="P864" s="33">
        <f>IF(C864="","",Commercial_Id)</f>
        <v/>
      </c>
      <c r="Q864" s="34">
        <f>IF(AC864="","",IF(AD864=1,"C"&amp;TEXT(SUM(AD$6:AD864),"0000"),INDEX(Q$6:Q863,MATCH(AC864,AC$6:AC863,0))))</f>
        <v/>
      </c>
      <c r="R864" s="34">
        <f>IF(C864="","",IF(L864="☑ Oui","Annulée",IF(OR(E864="Vente directe",K864&lt;&gt;""),"Livrée",IF(J864&lt;&gt;"","Confirmée","En attente"))))</f>
        <v/>
      </c>
      <c r="S864" s="34">
        <f>IF(F864="","",IFERROR(VLOOKUP(F864,T_Produits,2,FALSE),""))</f>
        <v/>
      </c>
      <c r="T864" s="40">
        <f>IF(F864="","",IFERROR(1/(1/VLOOKUP(F864,T_Produits,3,FALSE)),""))</f>
        <v/>
      </c>
      <c r="U864" s="40">
        <f>IF(H864&lt;&gt;"",H864,T864)</f>
        <v/>
      </c>
      <c r="V864" s="40">
        <f>IF(OR(G864="",U864=""),"",G864*U864-N(I864))</f>
        <v/>
      </c>
      <c r="W864" s="39">
        <f>IF(D864="","",IFERROR(VALUE(MID(D864,LEN(D864)-3,3)),""))</f>
        <v/>
      </c>
      <c r="X864" s="33">
        <f>IF(W864="","",P864&amp;"|"&amp;W864)</f>
        <v/>
      </c>
      <c r="Y864" s="33">
        <f>IF(W864="","",IF(P864="À RENSEIGNER","GIC",P864)&amp;"-"&amp;TEXT(W864,"000"))</f>
        <v/>
      </c>
      <c r="Z864" s="33">
        <f>IF(X864="","",IFERROR(INDEX(Cl_nom,MATCH(X864,Cl_cle,0)),"(client introuvable)"))</f>
        <v/>
      </c>
      <c r="AA864" s="33">
        <f>IF(X864="","",IFERROR(INDEX(Cl_quartier,MATCH(X864,Cl_cle,0))&amp;"",""))</f>
        <v/>
      </c>
      <c r="AB864" s="45">
        <f>IF(R864&lt;&gt;"Livrée",0,IF(K864&lt;&gt;"",K864,C864))</f>
        <v/>
      </c>
      <c r="AC864" s="33">
        <f>IF(OR(C864="",W864=""),"",P864&amp;"|"&amp;W864&amp;"|"&amp;C864&amp;"|"&amp;E864)</f>
        <v/>
      </c>
      <c r="AD864" s="39">
        <f>IF(AC864="","",IF(COUNTIF(AC$6:AC864,AC864)=1,1,0))</f>
        <v/>
      </c>
      <c r="AE864" s="39">
        <f>IF(AB864=0,"",IF(COUNTIFS(X$6:X864,X864,AB$6:AB864,AB864)=1,1,0))</f>
        <v/>
      </c>
      <c r="AF864" s="34">
        <f>IF(C864="","",YEAR(C864-WEEKDAY(C864,2)+4)&amp;"-S"&amp;TEXT(INT((C864-DATE(YEAR(C864-WEEKDAY(C864,2)+4),1,3)+WEEKDAY(DATE(YEAR(C864-WEEKDAY(C864,2)+4),1,3),2)+5)/7),"00"))</f>
        <v/>
      </c>
    </row>
    <row r="865" ht="18" customHeight="1">
      <c r="A865" s="39" t="n">
        <v>860</v>
      </c>
      <c r="B865" s="33">
        <f>IF(C865="","",IF(P865="À RENSEIGNER","GIC",P865)&amp;"-C"&amp;TEXT(A865,"00000"))</f>
        <v/>
      </c>
      <c r="C865" s="32" t="n"/>
      <c r="D865" s="36" t="n"/>
      <c r="E865" s="36" t="n"/>
      <c r="F865" s="36" t="n"/>
      <c r="G865" s="42" t="n"/>
      <c r="H865" s="37" t="n"/>
      <c r="I865" s="37" t="n"/>
      <c r="J865" s="32" t="n"/>
      <c r="K865" s="32" t="n"/>
      <c r="L865" s="43" t="n"/>
      <c r="M865" s="36" t="n"/>
      <c r="N865" s="44" t="n"/>
      <c r="O865" s="36" t="n"/>
      <c r="P865" s="33">
        <f>IF(C865="","",Commercial_Id)</f>
        <v/>
      </c>
      <c r="Q865" s="34">
        <f>IF(AC865="","",IF(AD865=1,"C"&amp;TEXT(SUM(AD$6:AD865),"0000"),INDEX(Q$6:Q864,MATCH(AC865,AC$6:AC864,0))))</f>
        <v/>
      </c>
      <c r="R865" s="34">
        <f>IF(C865="","",IF(L865="☑ Oui","Annulée",IF(OR(E865="Vente directe",K865&lt;&gt;""),"Livrée",IF(J865&lt;&gt;"","Confirmée","En attente"))))</f>
        <v/>
      </c>
      <c r="S865" s="34">
        <f>IF(F865="","",IFERROR(VLOOKUP(F865,T_Produits,2,FALSE),""))</f>
        <v/>
      </c>
      <c r="T865" s="40">
        <f>IF(F865="","",IFERROR(1/(1/VLOOKUP(F865,T_Produits,3,FALSE)),""))</f>
        <v/>
      </c>
      <c r="U865" s="40">
        <f>IF(H865&lt;&gt;"",H865,T865)</f>
        <v/>
      </c>
      <c r="V865" s="40">
        <f>IF(OR(G865="",U865=""),"",G865*U865-N(I865))</f>
        <v/>
      </c>
      <c r="W865" s="39">
        <f>IF(D865="","",IFERROR(VALUE(MID(D865,LEN(D865)-3,3)),""))</f>
        <v/>
      </c>
      <c r="X865" s="33">
        <f>IF(W865="","",P865&amp;"|"&amp;W865)</f>
        <v/>
      </c>
      <c r="Y865" s="33">
        <f>IF(W865="","",IF(P865="À RENSEIGNER","GIC",P865)&amp;"-"&amp;TEXT(W865,"000"))</f>
        <v/>
      </c>
      <c r="Z865" s="33">
        <f>IF(X865="","",IFERROR(INDEX(Cl_nom,MATCH(X865,Cl_cle,0)),"(client introuvable)"))</f>
        <v/>
      </c>
      <c r="AA865" s="33">
        <f>IF(X865="","",IFERROR(INDEX(Cl_quartier,MATCH(X865,Cl_cle,0))&amp;"",""))</f>
        <v/>
      </c>
      <c r="AB865" s="45">
        <f>IF(R865&lt;&gt;"Livrée",0,IF(K865&lt;&gt;"",K865,C865))</f>
        <v/>
      </c>
      <c r="AC865" s="33">
        <f>IF(OR(C865="",W865=""),"",P865&amp;"|"&amp;W865&amp;"|"&amp;C865&amp;"|"&amp;E865)</f>
        <v/>
      </c>
      <c r="AD865" s="39">
        <f>IF(AC865="","",IF(COUNTIF(AC$6:AC865,AC865)=1,1,0))</f>
        <v/>
      </c>
      <c r="AE865" s="39">
        <f>IF(AB865=0,"",IF(COUNTIFS(X$6:X865,X865,AB$6:AB865,AB865)=1,1,0))</f>
        <v/>
      </c>
      <c r="AF865" s="34">
        <f>IF(C865="","",YEAR(C865-WEEKDAY(C865,2)+4)&amp;"-S"&amp;TEXT(INT((C865-DATE(YEAR(C865-WEEKDAY(C865,2)+4),1,3)+WEEKDAY(DATE(YEAR(C865-WEEKDAY(C865,2)+4),1,3),2)+5)/7),"00"))</f>
        <v/>
      </c>
    </row>
    <row r="866" ht="18" customHeight="1">
      <c r="A866" s="39" t="n">
        <v>861</v>
      </c>
      <c r="B866" s="33">
        <f>IF(C866="","",IF(P866="À RENSEIGNER","GIC",P866)&amp;"-C"&amp;TEXT(A866,"00000"))</f>
        <v/>
      </c>
      <c r="C866" s="32" t="n"/>
      <c r="D866" s="36" t="n"/>
      <c r="E866" s="36" t="n"/>
      <c r="F866" s="36" t="n"/>
      <c r="G866" s="42" t="n"/>
      <c r="H866" s="37" t="n"/>
      <c r="I866" s="37" t="n"/>
      <c r="J866" s="32" t="n"/>
      <c r="K866" s="32" t="n"/>
      <c r="L866" s="43" t="n"/>
      <c r="M866" s="36" t="n"/>
      <c r="N866" s="44" t="n"/>
      <c r="O866" s="36" t="n"/>
      <c r="P866" s="33">
        <f>IF(C866="","",Commercial_Id)</f>
        <v/>
      </c>
      <c r="Q866" s="34">
        <f>IF(AC866="","",IF(AD866=1,"C"&amp;TEXT(SUM(AD$6:AD866),"0000"),INDEX(Q$6:Q865,MATCH(AC866,AC$6:AC865,0))))</f>
        <v/>
      </c>
      <c r="R866" s="34">
        <f>IF(C866="","",IF(L866="☑ Oui","Annulée",IF(OR(E866="Vente directe",K866&lt;&gt;""),"Livrée",IF(J866&lt;&gt;"","Confirmée","En attente"))))</f>
        <v/>
      </c>
      <c r="S866" s="34">
        <f>IF(F866="","",IFERROR(VLOOKUP(F866,T_Produits,2,FALSE),""))</f>
        <v/>
      </c>
      <c r="T866" s="40">
        <f>IF(F866="","",IFERROR(1/(1/VLOOKUP(F866,T_Produits,3,FALSE)),""))</f>
        <v/>
      </c>
      <c r="U866" s="40">
        <f>IF(H866&lt;&gt;"",H866,T866)</f>
        <v/>
      </c>
      <c r="V866" s="40">
        <f>IF(OR(G866="",U866=""),"",G866*U866-N(I866))</f>
        <v/>
      </c>
      <c r="W866" s="39">
        <f>IF(D866="","",IFERROR(VALUE(MID(D866,LEN(D866)-3,3)),""))</f>
        <v/>
      </c>
      <c r="X866" s="33">
        <f>IF(W866="","",P866&amp;"|"&amp;W866)</f>
        <v/>
      </c>
      <c r="Y866" s="33">
        <f>IF(W866="","",IF(P866="À RENSEIGNER","GIC",P866)&amp;"-"&amp;TEXT(W866,"000"))</f>
        <v/>
      </c>
      <c r="Z866" s="33">
        <f>IF(X866="","",IFERROR(INDEX(Cl_nom,MATCH(X866,Cl_cle,0)),"(client introuvable)"))</f>
        <v/>
      </c>
      <c r="AA866" s="33">
        <f>IF(X866="","",IFERROR(INDEX(Cl_quartier,MATCH(X866,Cl_cle,0))&amp;"",""))</f>
        <v/>
      </c>
      <c r="AB866" s="45">
        <f>IF(R866&lt;&gt;"Livrée",0,IF(K866&lt;&gt;"",K866,C866))</f>
        <v/>
      </c>
      <c r="AC866" s="33">
        <f>IF(OR(C866="",W866=""),"",P866&amp;"|"&amp;W866&amp;"|"&amp;C866&amp;"|"&amp;E866)</f>
        <v/>
      </c>
      <c r="AD866" s="39">
        <f>IF(AC866="","",IF(COUNTIF(AC$6:AC866,AC866)=1,1,0))</f>
        <v/>
      </c>
      <c r="AE866" s="39">
        <f>IF(AB866=0,"",IF(COUNTIFS(X$6:X866,X866,AB$6:AB866,AB866)=1,1,0))</f>
        <v/>
      </c>
      <c r="AF866" s="34">
        <f>IF(C866="","",YEAR(C866-WEEKDAY(C866,2)+4)&amp;"-S"&amp;TEXT(INT((C866-DATE(YEAR(C866-WEEKDAY(C866,2)+4),1,3)+WEEKDAY(DATE(YEAR(C866-WEEKDAY(C866,2)+4),1,3),2)+5)/7),"00"))</f>
        <v/>
      </c>
    </row>
    <row r="867" ht="18" customHeight="1">
      <c r="A867" s="39" t="n">
        <v>862</v>
      </c>
      <c r="B867" s="33">
        <f>IF(C867="","",IF(P867="À RENSEIGNER","GIC",P867)&amp;"-C"&amp;TEXT(A867,"00000"))</f>
        <v/>
      </c>
      <c r="C867" s="32" t="n"/>
      <c r="D867" s="36" t="n"/>
      <c r="E867" s="36" t="n"/>
      <c r="F867" s="36" t="n"/>
      <c r="G867" s="42" t="n"/>
      <c r="H867" s="37" t="n"/>
      <c r="I867" s="37" t="n"/>
      <c r="J867" s="32" t="n"/>
      <c r="K867" s="32" t="n"/>
      <c r="L867" s="43" t="n"/>
      <c r="M867" s="36" t="n"/>
      <c r="N867" s="44" t="n"/>
      <c r="O867" s="36" t="n"/>
      <c r="P867" s="33">
        <f>IF(C867="","",Commercial_Id)</f>
        <v/>
      </c>
      <c r="Q867" s="34">
        <f>IF(AC867="","",IF(AD867=1,"C"&amp;TEXT(SUM(AD$6:AD867),"0000"),INDEX(Q$6:Q866,MATCH(AC867,AC$6:AC866,0))))</f>
        <v/>
      </c>
      <c r="R867" s="34">
        <f>IF(C867="","",IF(L867="☑ Oui","Annulée",IF(OR(E867="Vente directe",K867&lt;&gt;""),"Livrée",IF(J867&lt;&gt;"","Confirmée","En attente"))))</f>
        <v/>
      </c>
      <c r="S867" s="34">
        <f>IF(F867="","",IFERROR(VLOOKUP(F867,T_Produits,2,FALSE),""))</f>
        <v/>
      </c>
      <c r="T867" s="40">
        <f>IF(F867="","",IFERROR(1/(1/VLOOKUP(F867,T_Produits,3,FALSE)),""))</f>
        <v/>
      </c>
      <c r="U867" s="40">
        <f>IF(H867&lt;&gt;"",H867,T867)</f>
        <v/>
      </c>
      <c r="V867" s="40">
        <f>IF(OR(G867="",U867=""),"",G867*U867-N(I867))</f>
        <v/>
      </c>
      <c r="W867" s="39">
        <f>IF(D867="","",IFERROR(VALUE(MID(D867,LEN(D867)-3,3)),""))</f>
        <v/>
      </c>
      <c r="X867" s="33">
        <f>IF(W867="","",P867&amp;"|"&amp;W867)</f>
        <v/>
      </c>
      <c r="Y867" s="33">
        <f>IF(W867="","",IF(P867="À RENSEIGNER","GIC",P867)&amp;"-"&amp;TEXT(W867,"000"))</f>
        <v/>
      </c>
      <c r="Z867" s="33">
        <f>IF(X867="","",IFERROR(INDEX(Cl_nom,MATCH(X867,Cl_cle,0)),"(client introuvable)"))</f>
        <v/>
      </c>
      <c r="AA867" s="33">
        <f>IF(X867="","",IFERROR(INDEX(Cl_quartier,MATCH(X867,Cl_cle,0))&amp;"",""))</f>
        <v/>
      </c>
      <c r="AB867" s="45">
        <f>IF(R867&lt;&gt;"Livrée",0,IF(K867&lt;&gt;"",K867,C867))</f>
        <v/>
      </c>
      <c r="AC867" s="33">
        <f>IF(OR(C867="",W867=""),"",P867&amp;"|"&amp;W867&amp;"|"&amp;C867&amp;"|"&amp;E867)</f>
        <v/>
      </c>
      <c r="AD867" s="39">
        <f>IF(AC867="","",IF(COUNTIF(AC$6:AC867,AC867)=1,1,0))</f>
        <v/>
      </c>
      <c r="AE867" s="39">
        <f>IF(AB867=0,"",IF(COUNTIFS(X$6:X867,X867,AB$6:AB867,AB867)=1,1,0))</f>
        <v/>
      </c>
      <c r="AF867" s="34">
        <f>IF(C867="","",YEAR(C867-WEEKDAY(C867,2)+4)&amp;"-S"&amp;TEXT(INT((C867-DATE(YEAR(C867-WEEKDAY(C867,2)+4),1,3)+WEEKDAY(DATE(YEAR(C867-WEEKDAY(C867,2)+4),1,3),2)+5)/7),"00"))</f>
        <v/>
      </c>
    </row>
    <row r="868" ht="18" customHeight="1">
      <c r="A868" s="39" t="n">
        <v>863</v>
      </c>
      <c r="B868" s="33">
        <f>IF(C868="","",IF(P868="À RENSEIGNER","GIC",P868)&amp;"-C"&amp;TEXT(A868,"00000"))</f>
        <v/>
      </c>
      <c r="C868" s="32" t="n"/>
      <c r="D868" s="36" t="n"/>
      <c r="E868" s="36" t="n"/>
      <c r="F868" s="36" t="n"/>
      <c r="G868" s="42" t="n"/>
      <c r="H868" s="37" t="n"/>
      <c r="I868" s="37" t="n"/>
      <c r="J868" s="32" t="n"/>
      <c r="K868" s="32" t="n"/>
      <c r="L868" s="43" t="n"/>
      <c r="M868" s="36" t="n"/>
      <c r="N868" s="44" t="n"/>
      <c r="O868" s="36" t="n"/>
      <c r="P868" s="33">
        <f>IF(C868="","",Commercial_Id)</f>
        <v/>
      </c>
      <c r="Q868" s="34">
        <f>IF(AC868="","",IF(AD868=1,"C"&amp;TEXT(SUM(AD$6:AD868),"0000"),INDEX(Q$6:Q867,MATCH(AC868,AC$6:AC867,0))))</f>
        <v/>
      </c>
      <c r="R868" s="34">
        <f>IF(C868="","",IF(L868="☑ Oui","Annulée",IF(OR(E868="Vente directe",K868&lt;&gt;""),"Livrée",IF(J868&lt;&gt;"","Confirmée","En attente"))))</f>
        <v/>
      </c>
      <c r="S868" s="34">
        <f>IF(F868="","",IFERROR(VLOOKUP(F868,T_Produits,2,FALSE),""))</f>
        <v/>
      </c>
      <c r="T868" s="40">
        <f>IF(F868="","",IFERROR(1/(1/VLOOKUP(F868,T_Produits,3,FALSE)),""))</f>
        <v/>
      </c>
      <c r="U868" s="40">
        <f>IF(H868&lt;&gt;"",H868,T868)</f>
        <v/>
      </c>
      <c r="V868" s="40">
        <f>IF(OR(G868="",U868=""),"",G868*U868-N(I868))</f>
        <v/>
      </c>
      <c r="W868" s="39">
        <f>IF(D868="","",IFERROR(VALUE(MID(D868,LEN(D868)-3,3)),""))</f>
        <v/>
      </c>
      <c r="X868" s="33">
        <f>IF(W868="","",P868&amp;"|"&amp;W868)</f>
        <v/>
      </c>
      <c r="Y868" s="33">
        <f>IF(W868="","",IF(P868="À RENSEIGNER","GIC",P868)&amp;"-"&amp;TEXT(W868,"000"))</f>
        <v/>
      </c>
      <c r="Z868" s="33">
        <f>IF(X868="","",IFERROR(INDEX(Cl_nom,MATCH(X868,Cl_cle,0)),"(client introuvable)"))</f>
        <v/>
      </c>
      <c r="AA868" s="33">
        <f>IF(X868="","",IFERROR(INDEX(Cl_quartier,MATCH(X868,Cl_cle,0))&amp;"",""))</f>
        <v/>
      </c>
      <c r="AB868" s="45">
        <f>IF(R868&lt;&gt;"Livrée",0,IF(K868&lt;&gt;"",K868,C868))</f>
        <v/>
      </c>
      <c r="AC868" s="33">
        <f>IF(OR(C868="",W868=""),"",P868&amp;"|"&amp;W868&amp;"|"&amp;C868&amp;"|"&amp;E868)</f>
        <v/>
      </c>
      <c r="AD868" s="39">
        <f>IF(AC868="","",IF(COUNTIF(AC$6:AC868,AC868)=1,1,0))</f>
        <v/>
      </c>
      <c r="AE868" s="39">
        <f>IF(AB868=0,"",IF(COUNTIFS(X$6:X868,X868,AB$6:AB868,AB868)=1,1,0))</f>
        <v/>
      </c>
      <c r="AF868" s="34">
        <f>IF(C868="","",YEAR(C868-WEEKDAY(C868,2)+4)&amp;"-S"&amp;TEXT(INT((C868-DATE(YEAR(C868-WEEKDAY(C868,2)+4),1,3)+WEEKDAY(DATE(YEAR(C868-WEEKDAY(C868,2)+4),1,3),2)+5)/7),"00"))</f>
        <v/>
      </c>
    </row>
    <row r="869" ht="18" customHeight="1">
      <c r="A869" s="39" t="n">
        <v>864</v>
      </c>
      <c r="B869" s="33">
        <f>IF(C869="","",IF(P869="À RENSEIGNER","GIC",P869)&amp;"-C"&amp;TEXT(A869,"00000"))</f>
        <v/>
      </c>
      <c r="C869" s="32" t="n"/>
      <c r="D869" s="36" t="n"/>
      <c r="E869" s="36" t="n"/>
      <c r="F869" s="36" t="n"/>
      <c r="G869" s="42" t="n"/>
      <c r="H869" s="37" t="n"/>
      <c r="I869" s="37" t="n"/>
      <c r="J869" s="32" t="n"/>
      <c r="K869" s="32" t="n"/>
      <c r="L869" s="43" t="n"/>
      <c r="M869" s="36" t="n"/>
      <c r="N869" s="44" t="n"/>
      <c r="O869" s="36" t="n"/>
      <c r="P869" s="33">
        <f>IF(C869="","",Commercial_Id)</f>
        <v/>
      </c>
      <c r="Q869" s="34">
        <f>IF(AC869="","",IF(AD869=1,"C"&amp;TEXT(SUM(AD$6:AD869),"0000"),INDEX(Q$6:Q868,MATCH(AC869,AC$6:AC868,0))))</f>
        <v/>
      </c>
      <c r="R869" s="34">
        <f>IF(C869="","",IF(L869="☑ Oui","Annulée",IF(OR(E869="Vente directe",K869&lt;&gt;""),"Livrée",IF(J869&lt;&gt;"","Confirmée","En attente"))))</f>
        <v/>
      </c>
      <c r="S869" s="34">
        <f>IF(F869="","",IFERROR(VLOOKUP(F869,T_Produits,2,FALSE),""))</f>
        <v/>
      </c>
      <c r="T869" s="40">
        <f>IF(F869="","",IFERROR(1/(1/VLOOKUP(F869,T_Produits,3,FALSE)),""))</f>
        <v/>
      </c>
      <c r="U869" s="40">
        <f>IF(H869&lt;&gt;"",H869,T869)</f>
        <v/>
      </c>
      <c r="V869" s="40">
        <f>IF(OR(G869="",U869=""),"",G869*U869-N(I869))</f>
        <v/>
      </c>
      <c r="W869" s="39">
        <f>IF(D869="","",IFERROR(VALUE(MID(D869,LEN(D869)-3,3)),""))</f>
        <v/>
      </c>
      <c r="X869" s="33">
        <f>IF(W869="","",P869&amp;"|"&amp;W869)</f>
        <v/>
      </c>
      <c r="Y869" s="33">
        <f>IF(W869="","",IF(P869="À RENSEIGNER","GIC",P869)&amp;"-"&amp;TEXT(W869,"000"))</f>
        <v/>
      </c>
      <c r="Z869" s="33">
        <f>IF(X869="","",IFERROR(INDEX(Cl_nom,MATCH(X869,Cl_cle,0)),"(client introuvable)"))</f>
        <v/>
      </c>
      <c r="AA869" s="33">
        <f>IF(X869="","",IFERROR(INDEX(Cl_quartier,MATCH(X869,Cl_cle,0))&amp;"",""))</f>
        <v/>
      </c>
      <c r="AB869" s="45">
        <f>IF(R869&lt;&gt;"Livrée",0,IF(K869&lt;&gt;"",K869,C869))</f>
        <v/>
      </c>
      <c r="AC869" s="33">
        <f>IF(OR(C869="",W869=""),"",P869&amp;"|"&amp;W869&amp;"|"&amp;C869&amp;"|"&amp;E869)</f>
        <v/>
      </c>
      <c r="AD869" s="39">
        <f>IF(AC869="","",IF(COUNTIF(AC$6:AC869,AC869)=1,1,0))</f>
        <v/>
      </c>
      <c r="AE869" s="39">
        <f>IF(AB869=0,"",IF(COUNTIFS(X$6:X869,X869,AB$6:AB869,AB869)=1,1,0))</f>
        <v/>
      </c>
      <c r="AF869" s="34">
        <f>IF(C869="","",YEAR(C869-WEEKDAY(C869,2)+4)&amp;"-S"&amp;TEXT(INT((C869-DATE(YEAR(C869-WEEKDAY(C869,2)+4),1,3)+WEEKDAY(DATE(YEAR(C869-WEEKDAY(C869,2)+4),1,3),2)+5)/7),"00"))</f>
        <v/>
      </c>
    </row>
    <row r="870" ht="18" customHeight="1">
      <c r="A870" s="39" t="n">
        <v>865</v>
      </c>
      <c r="B870" s="33">
        <f>IF(C870="","",IF(P870="À RENSEIGNER","GIC",P870)&amp;"-C"&amp;TEXT(A870,"00000"))</f>
        <v/>
      </c>
      <c r="C870" s="32" t="n"/>
      <c r="D870" s="36" t="n"/>
      <c r="E870" s="36" t="n"/>
      <c r="F870" s="36" t="n"/>
      <c r="G870" s="42" t="n"/>
      <c r="H870" s="37" t="n"/>
      <c r="I870" s="37" t="n"/>
      <c r="J870" s="32" t="n"/>
      <c r="K870" s="32" t="n"/>
      <c r="L870" s="43" t="n"/>
      <c r="M870" s="36" t="n"/>
      <c r="N870" s="44" t="n"/>
      <c r="O870" s="36" t="n"/>
      <c r="P870" s="33">
        <f>IF(C870="","",Commercial_Id)</f>
        <v/>
      </c>
      <c r="Q870" s="34">
        <f>IF(AC870="","",IF(AD870=1,"C"&amp;TEXT(SUM(AD$6:AD870),"0000"),INDEX(Q$6:Q869,MATCH(AC870,AC$6:AC869,0))))</f>
        <v/>
      </c>
      <c r="R870" s="34">
        <f>IF(C870="","",IF(L870="☑ Oui","Annulée",IF(OR(E870="Vente directe",K870&lt;&gt;""),"Livrée",IF(J870&lt;&gt;"","Confirmée","En attente"))))</f>
        <v/>
      </c>
      <c r="S870" s="34">
        <f>IF(F870="","",IFERROR(VLOOKUP(F870,T_Produits,2,FALSE),""))</f>
        <v/>
      </c>
      <c r="T870" s="40">
        <f>IF(F870="","",IFERROR(1/(1/VLOOKUP(F870,T_Produits,3,FALSE)),""))</f>
        <v/>
      </c>
      <c r="U870" s="40">
        <f>IF(H870&lt;&gt;"",H870,T870)</f>
        <v/>
      </c>
      <c r="V870" s="40">
        <f>IF(OR(G870="",U870=""),"",G870*U870-N(I870))</f>
        <v/>
      </c>
      <c r="W870" s="39">
        <f>IF(D870="","",IFERROR(VALUE(MID(D870,LEN(D870)-3,3)),""))</f>
        <v/>
      </c>
      <c r="X870" s="33">
        <f>IF(W870="","",P870&amp;"|"&amp;W870)</f>
        <v/>
      </c>
      <c r="Y870" s="33">
        <f>IF(W870="","",IF(P870="À RENSEIGNER","GIC",P870)&amp;"-"&amp;TEXT(W870,"000"))</f>
        <v/>
      </c>
      <c r="Z870" s="33">
        <f>IF(X870="","",IFERROR(INDEX(Cl_nom,MATCH(X870,Cl_cle,0)),"(client introuvable)"))</f>
        <v/>
      </c>
      <c r="AA870" s="33">
        <f>IF(X870="","",IFERROR(INDEX(Cl_quartier,MATCH(X870,Cl_cle,0))&amp;"",""))</f>
        <v/>
      </c>
      <c r="AB870" s="45">
        <f>IF(R870&lt;&gt;"Livrée",0,IF(K870&lt;&gt;"",K870,C870))</f>
        <v/>
      </c>
      <c r="AC870" s="33">
        <f>IF(OR(C870="",W870=""),"",P870&amp;"|"&amp;W870&amp;"|"&amp;C870&amp;"|"&amp;E870)</f>
        <v/>
      </c>
      <c r="AD870" s="39">
        <f>IF(AC870="","",IF(COUNTIF(AC$6:AC870,AC870)=1,1,0))</f>
        <v/>
      </c>
      <c r="AE870" s="39">
        <f>IF(AB870=0,"",IF(COUNTIFS(X$6:X870,X870,AB$6:AB870,AB870)=1,1,0))</f>
        <v/>
      </c>
      <c r="AF870" s="34">
        <f>IF(C870="","",YEAR(C870-WEEKDAY(C870,2)+4)&amp;"-S"&amp;TEXT(INT((C870-DATE(YEAR(C870-WEEKDAY(C870,2)+4),1,3)+WEEKDAY(DATE(YEAR(C870-WEEKDAY(C870,2)+4),1,3),2)+5)/7),"00"))</f>
        <v/>
      </c>
    </row>
    <row r="871" ht="18" customHeight="1">
      <c r="A871" s="39" t="n">
        <v>866</v>
      </c>
      <c r="B871" s="33">
        <f>IF(C871="","",IF(P871="À RENSEIGNER","GIC",P871)&amp;"-C"&amp;TEXT(A871,"00000"))</f>
        <v/>
      </c>
      <c r="C871" s="32" t="n"/>
      <c r="D871" s="36" t="n"/>
      <c r="E871" s="36" t="n"/>
      <c r="F871" s="36" t="n"/>
      <c r="G871" s="42" t="n"/>
      <c r="H871" s="37" t="n"/>
      <c r="I871" s="37" t="n"/>
      <c r="J871" s="32" t="n"/>
      <c r="K871" s="32" t="n"/>
      <c r="L871" s="43" t="n"/>
      <c r="M871" s="36" t="n"/>
      <c r="N871" s="44" t="n"/>
      <c r="O871" s="36" t="n"/>
      <c r="P871" s="33">
        <f>IF(C871="","",Commercial_Id)</f>
        <v/>
      </c>
      <c r="Q871" s="34">
        <f>IF(AC871="","",IF(AD871=1,"C"&amp;TEXT(SUM(AD$6:AD871),"0000"),INDEX(Q$6:Q870,MATCH(AC871,AC$6:AC870,0))))</f>
        <v/>
      </c>
      <c r="R871" s="34">
        <f>IF(C871="","",IF(L871="☑ Oui","Annulée",IF(OR(E871="Vente directe",K871&lt;&gt;""),"Livrée",IF(J871&lt;&gt;"","Confirmée","En attente"))))</f>
        <v/>
      </c>
      <c r="S871" s="34">
        <f>IF(F871="","",IFERROR(VLOOKUP(F871,T_Produits,2,FALSE),""))</f>
        <v/>
      </c>
      <c r="T871" s="40">
        <f>IF(F871="","",IFERROR(1/(1/VLOOKUP(F871,T_Produits,3,FALSE)),""))</f>
        <v/>
      </c>
      <c r="U871" s="40">
        <f>IF(H871&lt;&gt;"",H871,T871)</f>
        <v/>
      </c>
      <c r="V871" s="40">
        <f>IF(OR(G871="",U871=""),"",G871*U871-N(I871))</f>
        <v/>
      </c>
      <c r="W871" s="39">
        <f>IF(D871="","",IFERROR(VALUE(MID(D871,LEN(D871)-3,3)),""))</f>
        <v/>
      </c>
      <c r="X871" s="33">
        <f>IF(W871="","",P871&amp;"|"&amp;W871)</f>
        <v/>
      </c>
      <c r="Y871" s="33">
        <f>IF(W871="","",IF(P871="À RENSEIGNER","GIC",P871)&amp;"-"&amp;TEXT(W871,"000"))</f>
        <v/>
      </c>
      <c r="Z871" s="33">
        <f>IF(X871="","",IFERROR(INDEX(Cl_nom,MATCH(X871,Cl_cle,0)),"(client introuvable)"))</f>
        <v/>
      </c>
      <c r="AA871" s="33">
        <f>IF(X871="","",IFERROR(INDEX(Cl_quartier,MATCH(X871,Cl_cle,0))&amp;"",""))</f>
        <v/>
      </c>
      <c r="AB871" s="45">
        <f>IF(R871&lt;&gt;"Livrée",0,IF(K871&lt;&gt;"",K871,C871))</f>
        <v/>
      </c>
      <c r="AC871" s="33">
        <f>IF(OR(C871="",W871=""),"",P871&amp;"|"&amp;W871&amp;"|"&amp;C871&amp;"|"&amp;E871)</f>
        <v/>
      </c>
      <c r="AD871" s="39">
        <f>IF(AC871="","",IF(COUNTIF(AC$6:AC871,AC871)=1,1,0))</f>
        <v/>
      </c>
      <c r="AE871" s="39">
        <f>IF(AB871=0,"",IF(COUNTIFS(X$6:X871,X871,AB$6:AB871,AB871)=1,1,0))</f>
        <v/>
      </c>
      <c r="AF871" s="34">
        <f>IF(C871="","",YEAR(C871-WEEKDAY(C871,2)+4)&amp;"-S"&amp;TEXT(INT((C871-DATE(YEAR(C871-WEEKDAY(C871,2)+4),1,3)+WEEKDAY(DATE(YEAR(C871-WEEKDAY(C871,2)+4),1,3),2)+5)/7),"00"))</f>
        <v/>
      </c>
    </row>
    <row r="872" ht="18" customHeight="1">
      <c r="A872" s="39" t="n">
        <v>867</v>
      </c>
      <c r="B872" s="33">
        <f>IF(C872="","",IF(P872="À RENSEIGNER","GIC",P872)&amp;"-C"&amp;TEXT(A872,"00000"))</f>
        <v/>
      </c>
      <c r="C872" s="32" t="n"/>
      <c r="D872" s="36" t="n"/>
      <c r="E872" s="36" t="n"/>
      <c r="F872" s="36" t="n"/>
      <c r="G872" s="42" t="n"/>
      <c r="H872" s="37" t="n"/>
      <c r="I872" s="37" t="n"/>
      <c r="J872" s="32" t="n"/>
      <c r="K872" s="32" t="n"/>
      <c r="L872" s="43" t="n"/>
      <c r="M872" s="36" t="n"/>
      <c r="N872" s="44" t="n"/>
      <c r="O872" s="36" t="n"/>
      <c r="P872" s="33">
        <f>IF(C872="","",Commercial_Id)</f>
        <v/>
      </c>
      <c r="Q872" s="34">
        <f>IF(AC872="","",IF(AD872=1,"C"&amp;TEXT(SUM(AD$6:AD872),"0000"),INDEX(Q$6:Q871,MATCH(AC872,AC$6:AC871,0))))</f>
        <v/>
      </c>
      <c r="R872" s="34">
        <f>IF(C872="","",IF(L872="☑ Oui","Annulée",IF(OR(E872="Vente directe",K872&lt;&gt;""),"Livrée",IF(J872&lt;&gt;"","Confirmée","En attente"))))</f>
        <v/>
      </c>
      <c r="S872" s="34">
        <f>IF(F872="","",IFERROR(VLOOKUP(F872,T_Produits,2,FALSE),""))</f>
        <v/>
      </c>
      <c r="T872" s="40">
        <f>IF(F872="","",IFERROR(1/(1/VLOOKUP(F872,T_Produits,3,FALSE)),""))</f>
        <v/>
      </c>
      <c r="U872" s="40">
        <f>IF(H872&lt;&gt;"",H872,T872)</f>
        <v/>
      </c>
      <c r="V872" s="40">
        <f>IF(OR(G872="",U872=""),"",G872*U872-N(I872))</f>
        <v/>
      </c>
      <c r="W872" s="39">
        <f>IF(D872="","",IFERROR(VALUE(MID(D872,LEN(D872)-3,3)),""))</f>
        <v/>
      </c>
      <c r="X872" s="33">
        <f>IF(W872="","",P872&amp;"|"&amp;W872)</f>
        <v/>
      </c>
      <c r="Y872" s="33">
        <f>IF(W872="","",IF(P872="À RENSEIGNER","GIC",P872)&amp;"-"&amp;TEXT(W872,"000"))</f>
        <v/>
      </c>
      <c r="Z872" s="33">
        <f>IF(X872="","",IFERROR(INDEX(Cl_nom,MATCH(X872,Cl_cle,0)),"(client introuvable)"))</f>
        <v/>
      </c>
      <c r="AA872" s="33">
        <f>IF(X872="","",IFERROR(INDEX(Cl_quartier,MATCH(X872,Cl_cle,0))&amp;"",""))</f>
        <v/>
      </c>
      <c r="AB872" s="45">
        <f>IF(R872&lt;&gt;"Livrée",0,IF(K872&lt;&gt;"",K872,C872))</f>
        <v/>
      </c>
      <c r="AC872" s="33">
        <f>IF(OR(C872="",W872=""),"",P872&amp;"|"&amp;W872&amp;"|"&amp;C872&amp;"|"&amp;E872)</f>
        <v/>
      </c>
      <c r="AD872" s="39">
        <f>IF(AC872="","",IF(COUNTIF(AC$6:AC872,AC872)=1,1,0))</f>
        <v/>
      </c>
      <c r="AE872" s="39">
        <f>IF(AB872=0,"",IF(COUNTIFS(X$6:X872,X872,AB$6:AB872,AB872)=1,1,0))</f>
        <v/>
      </c>
      <c r="AF872" s="34">
        <f>IF(C872="","",YEAR(C872-WEEKDAY(C872,2)+4)&amp;"-S"&amp;TEXT(INT((C872-DATE(YEAR(C872-WEEKDAY(C872,2)+4),1,3)+WEEKDAY(DATE(YEAR(C872-WEEKDAY(C872,2)+4),1,3),2)+5)/7),"00"))</f>
        <v/>
      </c>
    </row>
    <row r="873" ht="18" customHeight="1">
      <c r="A873" s="39" t="n">
        <v>868</v>
      </c>
      <c r="B873" s="33">
        <f>IF(C873="","",IF(P873="À RENSEIGNER","GIC",P873)&amp;"-C"&amp;TEXT(A873,"00000"))</f>
        <v/>
      </c>
      <c r="C873" s="32" t="n"/>
      <c r="D873" s="36" t="n"/>
      <c r="E873" s="36" t="n"/>
      <c r="F873" s="36" t="n"/>
      <c r="G873" s="42" t="n"/>
      <c r="H873" s="37" t="n"/>
      <c r="I873" s="37" t="n"/>
      <c r="J873" s="32" t="n"/>
      <c r="K873" s="32" t="n"/>
      <c r="L873" s="43" t="n"/>
      <c r="M873" s="36" t="n"/>
      <c r="N873" s="44" t="n"/>
      <c r="O873" s="36" t="n"/>
      <c r="P873" s="33">
        <f>IF(C873="","",Commercial_Id)</f>
        <v/>
      </c>
      <c r="Q873" s="34">
        <f>IF(AC873="","",IF(AD873=1,"C"&amp;TEXT(SUM(AD$6:AD873),"0000"),INDEX(Q$6:Q872,MATCH(AC873,AC$6:AC872,0))))</f>
        <v/>
      </c>
      <c r="R873" s="34">
        <f>IF(C873="","",IF(L873="☑ Oui","Annulée",IF(OR(E873="Vente directe",K873&lt;&gt;""),"Livrée",IF(J873&lt;&gt;"","Confirmée","En attente"))))</f>
        <v/>
      </c>
      <c r="S873" s="34">
        <f>IF(F873="","",IFERROR(VLOOKUP(F873,T_Produits,2,FALSE),""))</f>
        <v/>
      </c>
      <c r="T873" s="40">
        <f>IF(F873="","",IFERROR(1/(1/VLOOKUP(F873,T_Produits,3,FALSE)),""))</f>
        <v/>
      </c>
      <c r="U873" s="40">
        <f>IF(H873&lt;&gt;"",H873,T873)</f>
        <v/>
      </c>
      <c r="V873" s="40">
        <f>IF(OR(G873="",U873=""),"",G873*U873-N(I873))</f>
        <v/>
      </c>
      <c r="W873" s="39">
        <f>IF(D873="","",IFERROR(VALUE(MID(D873,LEN(D873)-3,3)),""))</f>
        <v/>
      </c>
      <c r="X873" s="33">
        <f>IF(W873="","",P873&amp;"|"&amp;W873)</f>
        <v/>
      </c>
      <c r="Y873" s="33">
        <f>IF(W873="","",IF(P873="À RENSEIGNER","GIC",P873)&amp;"-"&amp;TEXT(W873,"000"))</f>
        <v/>
      </c>
      <c r="Z873" s="33">
        <f>IF(X873="","",IFERROR(INDEX(Cl_nom,MATCH(X873,Cl_cle,0)),"(client introuvable)"))</f>
        <v/>
      </c>
      <c r="AA873" s="33">
        <f>IF(X873="","",IFERROR(INDEX(Cl_quartier,MATCH(X873,Cl_cle,0))&amp;"",""))</f>
        <v/>
      </c>
      <c r="AB873" s="45">
        <f>IF(R873&lt;&gt;"Livrée",0,IF(K873&lt;&gt;"",K873,C873))</f>
        <v/>
      </c>
      <c r="AC873" s="33">
        <f>IF(OR(C873="",W873=""),"",P873&amp;"|"&amp;W873&amp;"|"&amp;C873&amp;"|"&amp;E873)</f>
        <v/>
      </c>
      <c r="AD873" s="39">
        <f>IF(AC873="","",IF(COUNTIF(AC$6:AC873,AC873)=1,1,0))</f>
        <v/>
      </c>
      <c r="AE873" s="39">
        <f>IF(AB873=0,"",IF(COUNTIFS(X$6:X873,X873,AB$6:AB873,AB873)=1,1,0))</f>
        <v/>
      </c>
      <c r="AF873" s="34">
        <f>IF(C873="","",YEAR(C873-WEEKDAY(C873,2)+4)&amp;"-S"&amp;TEXT(INT((C873-DATE(YEAR(C873-WEEKDAY(C873,2)+4),1,3)+WEEKDAY(DATE(YEAR(C873-WEEKDAY(C873,2)+4),1,3),2)+5)/7),"00"))</f>
        <v/>
      </c>
    </row>
    <row r="874" ht="18" customHeight="1">
      <c r="A874" s="39" t="n">
        <v>869</v>
      </c>
      <c r="B874" s="33">
        <f>IF(C874="","",IF(P874="À RENSEIGNER","GIC",P874)&amp;"-C"&amp;TEXT(A874,"00000"))</f>
        <v/>
      </c>
      <c r="C874" s="32" t="n"/>
      <c r="D874" s="36" t="n"/>
      <c r="E874" s="36" t="n"/>
      <c r="F874" s="36" t="n"/>
      <c r="G874" s="42" t="n"/>
      <c r="H874" s="37" t="n"/>
      <c r="I874" s="37" t="n"/>
      <c r="J874" s="32" t="n"/>
      <c r="K874" s="32" t="n"/>
      <c r="L874" s="43" t="n"/>
      <c r="M874" s="36" t="n"/>
      <c r="N874" s="44" t="n"/>
      <c r="O874" s="36" t="n"/>
      <c r="P874" s="33">
        <f>IF(C874="","",Commercial_Id)</f>
        <v/>
      </c>
      <c r="Q874" s="34">
        <f>IF(AC874="","",IF(AD874=1,"C"&amp;TEXT(SUM(AD$6:AD874),"0000"),INDEX(Q$6:Q873,MATCH(AC874,AC$6:AC873,0))))</f>
        <v/>
      </c>
      <c r="R874" s="34">
        <f>IF(C874="","",IF(L874="☑ Oui","Annulée",IF(OR(E874="Vente directe",K874&lt;&gt;""),"Livrée",IF(J874&lt;&gt;"","Confirmée","En attente"))))</f>
        <v/>
      </c>
      <c r="S874" s="34">
        <f>IF(F874="","",IFERROR(VLOOKUP(F874,T_Produits,2,FALSE),""))</f>
        <v/>
      </c>
      <c r="T874" s="40">
        <f>IF(F874="","",IFERROR(1/(1/VLOOKUP(F874,T_Produits,3,FALSE)),""))</f>
        <v/>
      </c>
      <c r="U874" s="40">
        <f>IF(H874&lt;&gt;"",H874,T874)</f>
        <v/>
      </c>
      <c r="V874" s="40">
        <f>IF(OR(G874="",U874=""),"",G874*U874-N(I874))</f>
        <v/>
      </c>
      <c r="W874" s="39">
        <f>IF(D874="","",IFERROR(VALUE(MID(D874,LEN(D874)-3,3)),""))</f>
        <v/>
      </c>
      <c r="X874" s="33">
        <f>IF(W874="","",P874&amp;"|"&amp;W874)</f>
        <v/>
      </c>
      <c r="Y874" s="33">
        <f>IF(W874="","",IF(P874="À RENSEIGNER","GIC",P874)&amp;"-"&amp;TEXT(W874,"000"))</f>
        <v/>
      </c>
      <c r="Z874" s="33">
        <f>IF(X874="","",IFERROR(INDEX(Cl_nom,MATCH(X874,Cl_cle,0)),"(client introuvable)"))</f>
        <v/>
      </c>
      <c r="AA874" s="33">
        <f>IF(X874="","",IFERROR(INDEX(Cl_quartier,MATCH(X874,Cl_cle,0))&amp;"",""))</f>
        <v/>
      </c>
      <c r="AB874" s="45">
        <f>IF(R874&lt;&gt;"Livrée",0,IF(K874&lt;&gt;"",K874,C874))</f>
        <v/>
      </c>
      <c r="AC874" s="33">
        <f>IF(OR(C874="",W874=""),"",P874&amp;"|"&amp;W874&amp;"|"&amp;C874&amp;"|"&amp;E874)</f>
        <v/>
      </c>
      <c r="AD874" s="39">
        <f>IF(AC874="","",IF(COUNTIF(AC$6:AC874,AC874)=1,1,0))</f>
        <v/>
      </c>
      <c r="AE874" s="39">
        <f>IF(AB874=0,"",IF(COUNTIFS(X$6:X874,X874,AB$6:AB874,AB874)=1,1,0))</f>
        <v/>
      </c>
      <c r="AF874" s="34">
        <f>IF(C874="","",YEAR(C874-WEEKDAY(C874,2)+4)&amp;"-S"&amp;TEXT(INT((C874-DATE(YEAR(C874-WEEKDAY(C874,2)+4),1,3)+WEEKDAY(DATE(YEAR(C874-WEEKDAY(C874,2)+4),1,3),2)+5)/7),"00"))</f>
        <v/>
      </c>
    </row>
    <row r="875" ht="18" customHeight="1">
      <c r="A875" s="39" t="n">
        <v>870</v>
      </c>
      <c r="B875" s="33">
        <f>IF(C875="","",IF(P875="À RENSEIGNER","GIC",P875)&amp;"-C"&amp;TEXT(A875,"00000"))</f>
        <v/>
      </c>
      <c r="C875" s="32" t="n"/>
      <c r="D875" s="36" t="n"/>
      <c r="E875" s="36" t="n"/>
      <c r="F875" s="36" t="n"/>
      <c r="G875" s="42" t="n"/>
      <c r="H875" s="37" t="n"/>
      <c r="I875" s="37" t="n"/>
      <c r="J875" s="32" t="n"/>
      <c r="K875" s="32" t="n"/>
      <c r="L875" s="43" t="n"/>
      <c r="M875" s="36" t="n"/>
      <c r="N875" s="44" t="n"/>
      <c r="O875" s="36" t="n"/>
      <c r="P875" s="33">
        <f>IF(C875="","",Commercial_Id)</f>
        <v/>
      </c>
      <c r="Q875" s="34">
        <f>IF(AC875="","",IF(AD875=1,"C"&amp;TEXT(SUM(AD$6:AD875),"0000"),INDEX(Q$6:Q874,MATCH(AC875,AC$6:AC874,0))))</f>
        <v/>
      </c>
      <c r="R875" s="34">
        <f>IF(C875="","",IF(L875="☑ Oui","Annulée",IF(OR(E875="Vente directe",K875&lt;&gt;""),"Livrée",IF(J875&lt;&gt;"","Confirmée","En attente"))))</f>
        <v/>
      </c>
      <c r="S875" s="34">
        <f>IF(F875="","",IFERROR(VLOOKUP(F875,T_Produits,2,FALSE),""))</f>
        <v/>
      </c>
      <c r="T875" s="40">
        <f>IF(F875="","",IFERROR(1/(1/VLOOKUP(F875,T_Produits,3,FALSE)),""))</f>
        <v/>
      </c>
      <c r="U875" s="40">
        <f>IF(H875&lt;&gt;"",H875,T875)</f>
        <v/>
      </c>
      <c r="V875" s="40">
        <f>IF(OR(G875="",U875=""),"",G875*U875-N(I875))</f>
        <v/>
      </c>
      <c r="W875" s="39">
        <f>IF(D875="","",IFERROR(VALUE(MID(D875,LEN(D875)-3,3)),""))</f>
        <v/>
      </c>
      <c r="X875" s="33">
        <f>IF(W875="","",P875&amp;"|"&amp;W875)</f>
        <v/>
      </c>
      <c r="Y875" s="33">
        <f>IF(W875="","",IF(P875="À RENSEIGNER","GIC",P875)&amp;"-"&amp;TEXT(W875,"000"))</f>
        <v/>
      </c>
      <c r="Z875" s="33">
        <f>IF(X875="","",IFERROR(INDEX(Cl_nom,MATCH(X875,Cl_cle,0)),"(client introuvable)"))</f>
        <v/>
      </c>
      <c r="AA875" s="33">
        <f>IF(X875="","",IFERROR(INDEX(Cl_quartier,MATCH(X875,Cl_cle,0))&amp;"",""))</f>
        <v/>
      </c>
      <c r="AB875" s="45">
        <f>IF(R875&lt;&gt;"Livrée",0,IF(K875&lt;&gt;"",K875,C875))</f>
        <v/>
      </c>
      <c r="AC875" s="33">
        <f>IF(OR(C875="",W875=""),"",P875&amp;"|"&amp;W875&amp;"|"&amp;C875&amp;"|"&amp;E875)</f>
        <v/>
      </c>
      <c r="AD875" s="39">
        <f>IF(AC875="","",IF(COUNTIF(AC$6:AC875,AC875)=1,1,0))</f>
        <v/>
      </c>
      <c r="AE875" s="39">
        <f>IF(AB875=0,"",IF(COUNTIFS(X$6:X875,X875,AB$6:AB875,AB875)=1,1,0))</f>
        <v/>
      </c>
      <c r="AF875" s="34">
        <f>IF(C875="","",YEAR(C875-WEEKDAY(C875,2)+4)&amp;"-S"&amp;TEXT(INT((C875-DATE(YEAR(C875-WEEKDAY(C875,2)+4),1,3)+WEEKDAY(DATE(YEAR(C875-WEEKDAY(C875,2)+4),1,3),2)+5)/7),"00"))</f>
        <v/>
      </c>
    </row>
    <row r="876" ht="18" customHeight="1">
      <c r="A876" s="39" t="n">
        <v>871</v>
      </c>
      <c r="B876" s="33">
        <f>IF(C876="","",IF(P876="À RENSEIGNER","GIC",P876)&amp;"-C"&amp;TEXT(A876,"00000"))</f>
        <v/>
      </c>
      <c r="C876" s="32" t="n"/>
      <c r="D876" s="36" t="n"/>
      <c r="E876" s="36" t="n"/>
      <c r="F876" s="36" t="n"/>
      <c r="G876" s="42" t="n"/>
      <c r="H876" s="37" t="n"/>
      <c r="I876" s="37" t="n"/>
      <c r="J876" s="32" t="n"/>
      <c r="K876" s="32" t="n"/>
      <c r="L876" s="43" t="n"/>
      <c r="M876" s="36" t="n"/>
      <c r="N876" s="44" t="n"/>
      <c r="O876" s="36" t="n"/>
      <c r="P876" s="33">
        <f>IF(C876="","",Commercial_Id)</f>
        <v/>
      </c>
      <c r="Q876" s="34">
        <f>IF(AC876="","",IF(AD876=1,"C"&amp;TEXT(SUM(AD$6:AD876),"0000"),INDEX(Q$6:Q875,MATCH(AC876,AC$6:AC875,0))))</f>
        <v/>
      </c>
      <c r="R876" s="34">
        <f>IF(C876="","",IF(L876="☑ Oui","Annulée",IF(OR(E876="Vente directe",K876&lt;&gt;""),"Livrée",IF(J876&lt;&gt;"","Confirmée","En attente"))))</f>
        <v/>
      </c>
      <c r="S876" s="34">
        <f>IF(F876="","",IFERROR(VLOOKUP(F876,T_Produits,2,FALSE),""))</f>
        <v/>
      </c>
      <c r="T876" s="40">
        <f>IF(F876="","",IFERROR(1/(1/VLOOKUP(F876,T_Produits,3,FALSE)),""))</f>
        <v/>
      </c>
      <c r="U876" s="40">
        <f>IF(H876&lt;&gt;"",H876,T876)</f>
        <v/>
      </c>
      <c r="V876" s="40">
        <f>IF(OR(G876="",U876=""),"",G876*U876-N(I876))</f>
        <v/>
      </c>
      <c r="W876" s="39">
        <f>IF(D876="","",IFERROR(VALUE(MID(D876,LEN(D876)-3,3)),""))</f>
        <v/>
      </c>
      <c r="X876" s="33">
        <f>IF(W876="","",P876&amp;"|"&amp;W876)</f>
        <v/>
      </c>
      <c r="Y876" s="33">
        <f>IF(W876="","",IF(P876="À RENSEIGNER","GIC",P876)&amp;"-"&amp;TEXT(W876,"000"))</f>
        <v/>
      </c>
      <c r="Z876" s="33">
        <f>IF(X876="","",IFERROR(INDEX(Cl_nom,MATCH(X876,Cl_cle,0)),"(client introuvable)"))</f>
        <v/>
      </c>
      <c r="AA876" s="33">
        <f>IF(X876="","",IFERROR(INDEX(Cl_quartier,MATCH(X876,Cl_cle,0))&amp;"",""))</f>
        <v/>
      </c>
      <c r="AB876" s="45">
        <f>IF(R876&lt;&gt;"Livrée",0,IF(K876&lt;&gt;"",K876,C876))</f>
        <v/>
      </c>
      <c r="AC876" s="33">
        <f>IF(OR(C876="",W876=""),"",P876&amp;"|"&amp;W876&amp;"|"&amp;C876&amp;"|"&amp;E876)</f>
        <v/>
      </c>
      <c r="AD876" s="39">
        <f>IF(AC876="","",IF(COUNTIF(AC$6:AC876,AC876)=1,1,0))</f>
        <v/>
      </c>
      <c r="AE876" s="39">
        <f>IF(AB876=0,"",IF(COUNTIFS(X$6:X876,X876,AB$6:AB876,AB876)=1,1,0))</f>
        <v/>
      </c>
      <c r="AF876" s="34">
        <f>IF(C876="","",YEAR(C876-WEEKDAY(C876,2)+4)&amp;"-S"&amp;TEXT(INT((C876-DATE(YEAR(C876-WEEKDAY(C876,2)+4),1,3)+WEEKDAY(DATE(YEAR(C876-WEEKDAY(C876,2)+4),1,3),2)+5)/7),"00"))</f>
        <v/>
      </c>
    </row>
    <row r="877" ht="18" customHeight="1">
      <c r="A877" s="39" t="n">
        <v>872</v>
      </c>
      <c r="B877" s="33">
        <f>IF(C877="","",IF(P877="À RENSEIGNER","GIC",P877)&amp;"-C"&amp;TEXT(A877,"00000"))</f>
        <v/>
      </c>
      <c r="C877" s="32" t="n"/>
      <c r="D877" s="36" t="n"/>
      <c r="E877" s="36" t="n"/>
      <c r="F877" s="36" t="n"/>
      <c r="G877" s="42" t="n"/>
      <c r="H877" s="37" t="n"/>
      <c r="I877" s="37" t="n"/>
      <c r="J877" s="32" t="n"/>
      <c r="K877" s="32" t="n"/>
      <c r="L877" s="43" t="n"/>
      <c r="M877" s="36" t="n"/>
      <c r="N877" s="44" t="n"/>
      <c r="O877" s="36" t="n"/>
      <c r="P877" s="33">
        <f>IF(C877="","",Commercial_Id)</f>
        <v/>
      </c>
      <c r="Q877" s="34">
        <f>IF(AC877="","",IF(AD877=1,"C"&amp;TEXT(SUM(AD$6:AD877),"0000"),INDEX(Q$6:Q876,MATCH(AC877,AC$6:AC876,0))))</f>
        <v/>
      </c>
      <c r="R877" s="34">
        <f>IF(C877="","",IF(L877="☑ Oui","Annulée",IF(OR(E877="Vente directe",K877&lt;&gt;""),"Livrée",IF(J877&lt;&gt;"","Confirmée","En attente"))))</f>
        <v/>
      </c>
      <c r="S877" s="34">
        <f>IF(F877="","",IFERROR(VLOOKUP(F877,T_Produits,2,FALSE),""))</f>
        <v/>
      </c>
      <c r="T877" s="40">
        <f>IF(F877="","",IFERROR(1/(1/VLOOKUP(F877,T_Produits,3,FALSE)),""))</f>
        <v/>
      </c>
      <c r="U877" s="40">
        <f>IF(H877&lt;&gt;"",H877,T877)</f>
        <v/>
      </c>
      <c r="V877" s="40">
        <f>IF(OR(G877="",U877=""),"",G877*U877-N(I877))</f>
        <v/>
      </c>
      <c r="W877" s="39">
        <f>IF(D877="","",IFERROR(VALUE(MID(D877,LEN(D877)-3,3)),""))</f>
        <v/>
      </c>
      <c r="X877" s="33">
        <f>IF(W877="","",P877&amp;"|"&amp;W877)</f>
        <v/>
      </c>
      <c r="Y877" s="33">
        <f>IF(W877="","",IF(P877="À RENSEIGNER","GIC",P877)&amp;"-"&amp;TEXT(W877,"000"))</f>
        <v/>
      </c>
      <c r="Z877" s="33">
        <f>IF(X877="","",IFERROR(INDEX(Cl_nom,MATCH(X877,Cl_cle,0)),"(client introuvable)"))</f>
        <v/>
      </c>
      <c r="AA877" s="33">
        <f>IF(X877="","",IFERROR(INDEX(Cl_quartier,MATCH(X877,Cl_cle,0))&amp;"",""))</f>
        <v/>
      </c>
      <c r="AB877" s="45">
        <f>IF(R877&lt;&gt;"Livrée",0,IF(K877&lt;&gt;"",K877,C877))</f>
        <v/>
      </c>
      <c r="AC877" s="33">
        <f>IF(OR(C877="",W877=""),"",P877&amp;"|"&amp;W877&amp;"|"&amp;C877&amp;"|"&amp;E877)</f>
        <v/>
      </c>
      <c r="AD877" s="39">
        <f>IF(AC877="","",IF(COUNTIF(AC$6:AC877,AC877)=1,1,0))</f>
        <v/>
      </c>
      <c r="AE877" s="39">
        <f>IF(AB877=0,"",IF(COUNTIFS(X$6:X877,X877,AB$6:AB877,AB877)=1,1,0))</f>
        <v/>
      </c>
      <c r="AF877" s="34">
        <f>IF(C877="","",YEAR(C877-WEEKDAY(C877,2)+4)&amp;"-S"&amp;TEXT(INT((C877-DATE(YEAR(C877-WEEKDAY(C877,2)+4),1,3)+WEEKDAY(DATE(YEAR(C877-WEEKDAY(C877,2)+4),1,3),2)+5)/7),"00"))</f>
        <v/>
      </c>
    </row>
    <row r="878" ht="18" customHeight="1">
      <c r="A878" s="39" t="n">
        <v>873</v>
      </c>
      <c r="B878" s="33">
        <f>IF(C878="","",IF(P878="À RENSEIGNER","GIC",P878)&amp;"-C"&amp;TEXT(A878,"00000"))</f>
        <v/>
      </c>
      <c r="C878" s="32" t="n"/>
      <c r="D878" s="36" t="n"/>
      <c r="E878" s="36" t="n"/>
      <c r="F878" s="36" t="n"/>
      <c r="G878" s="42" t="n"/>
      <c r="H878" s="37" t="n"/>
      <c r="I878" s="37" t="n"/>
      <c r="J878" s="32" t="n"/>
      <c r="K878" s="32" t="n"/>
      <c r="L878" s="43" t="n"/>
      <c r="M878" s="36" t="n"/>
      <c r="N878" s="44" t="n"/>
      <c r="O878" s="36" t="n"/>
      <c r="P878" s="33">
        <f>IF(C878="","",Commercial_Id)</f>
        <v/>
      </c>
      <c r="Q878" s="34">
        <f>IF(AC878="","",IF(AD878=1,"C"&amp;TEXT(SUM(AD$6:AD878),"0000"),INDEX(Q$6:Q877,MATCH(AC878,AC$6:AC877,0))))</f>
        <v/>
      </c>
      <c r="R878" s="34">
        <f>IF(C878="","",IF(L878="☑ Oui","Annulée",IF(OR(E878="Vente directe",K878&lt;&gt;""),"Livrée",IF(J878&lt;&gt;"","Confirmée","En attente"))))</f>
        <v/>
      </c>
      <c r="S878" s="34">
        <f>IF(F878="","",IFERROR(VLOOKUP(F878,T_Produits,2,FALSE),""))</f>
        <v/>
      </c>
      <c r="T878" s="40">
        <f>IF(F878="","",IFERROR(1/(1/VLOOKUP(F878,T_Produits,3,FALSE)),""))</f>
        <v/>
      </c>
      <c r="U878" s="40">
        <f>IF(H878&lt;&gt;"",H878,T878)</f>
        <v/>
      </c>
      <c r="V878" s="40">
        <f>IF(OR(G878="",U878=""),"",G878*U878-N(I878))</f>
        <v/>
      </c>
      <c r="W878" s="39">
        <f>IF(D878="","",IFERROR(VALUE(MID(D878,LEN(D878)-3,3)),""))</f>
        <v/>
      </c>
      <c r="X878" s="33">
        <f>IF(W878="","",P878&amp;"|"&amp;W878)</f>
        <v/>
      </c>
      <c r="Y878" s="33">
        <f>IF(W878="","",IF(P878="À RENSEIGNER","GIC",P878)&amp;"-"&amp;TEXT(W878,"000"))</f>
        <v/>
      </c>
      <c r="Z878" s="33">
        <f>IF(X878="","",IFERROR(INDEX(Cl_nom,MATCH(X878,Cl_cle,0)),"(client introuvable)"))</f>
        <v/>
      </c>
      <c r="AA878" s="33">
        <f>IF(X878="","",IFERROR(INDEX(Cl_quartier,MATCH(X878,Cl_cle,0))&amp;"",""))</f>
        <v/>
      </c>
      <c r="AB878" s="45">
        <f>IF(R878&lt;&gt;"Livrée",0,IF(K878&lt;&gt;"",K878,C878))</f>
        <v/>
      </c>
      <c r="AC878" s="33">
        <f>IF(OR(C878="",W878=""),"",P878&amp;"|"&amp;W878&amp;"|"&amp;C878&amp;"|"&amp;E878)</f>
        <v/>
      </c>
      <c r="AD878" s="39">
        <f>IF(AC878="","",IF(COUNTIF(AC$6:AC878,AC878)=1,1,0))</f>
        <v/>
      </c>
      <c r="AE878" s="39">
        <f>IF(AB878=0,"",IF(COUNTIFS(X$6:X878,X878,AB$6:AB878,AB878)=1,1,0))</f>
        <v/>
      </c>
      <c r="AF878" s="34">
        <f>IF(C878="","",YEAR(C878-WEEKDAY(C878,2)+4)&amp;"-S"&amp;TEXT(INT((C878-DATE(YEAR(C878-WEEKDAY(C878,2)+4),1,3)+WEEKDAY(DATE(YEAR(C878-WEEKDAY(C878,2)+4),1,3),2)+5)/7),"00"))</f>
        <v/>
      </c>
    </row>
    <row r="879" ht="18" customHeight="1">
      <c r="A879" s="39" t="n">
        <v>874</v>
      </c>
      <c r="B879" s="33">
        <f>IF(C879="","",IF(P879="À RENSEIGNER","GIC",P879)&amp;"-C"&amp;TEXT(A879,"00000"))</f>
        <v/>
      </c>
      <c r="C879" s="32" t="n"/>
      <c r="D879" s="36" t="n"/>
      <c r="E879" s="36" t="n"/>
      <c r="F879" s="36" t="n"/>
      <c r="G879" s="42" t="n"/>
      <c r="H879" s="37" t="n"/>
      <c r="I879" s="37" t="n"/>
      <c r="J879" s="32" t="n"/>
      <c r="K879" s="32" t="n"/>
      <c r="L879" s="43" t="n"/>
      <c r="M879" s="36" t="n"/>
      <c r="N879" s="44" t="n"/>
      <c r="O879" s="36" t="n"/>
      <c r="P879" s="33">
        <f>IF(C879="","",Commercial_Id)</f>
        <v/>
      </c>
      <c r="Q879" s="34">
        <f>IF(AC879="","",IF(AD879=1,"C"&amp;TEXT(SUM(AD$6:AD879),"0000"),INDEX(Q$6:Q878,MATCH(AC879,AC$6:AC878,0))))</f>
        <v/>
      </c>
      <c r="R879" s="34">
        <f>IF(C879="","",IF(L879="☑ Oui","Annulée",IF(OR(E879="Vente directe",K879&lt;&gt;""),"Livrée",IF(J879&lt;&gt;"","Confirmée","En attente"))))</f>
        <v/>
      </c>
      <c r="S879" s="34">
        <f>IF(F879="","",IFERROR(VLOOKUP(F879,T_Produits,2,FALSE),""))</f>
        <v/>
      </c>
      <c r="T879" s="40">
        <f>IF(F879="","",IFERROR(1/(1/VLOOKUP(F879,T_Produits,3,FALSE)),""))</f>
        <v/>
      </c>
      <c r="U879" s="40">
        <f>IF(H879&lt;&gt;"",H879,T879)</f>
        <v/>
      </c>
      <c r="V879" s="40">
        <f>IF(OR(G879="",U879=""),"",G879*U879-N(I879))</f>
        <v/>
      </c>
      <c r="W879" s="39">
        <f>IF(D879="","",IFERROR(VALUE(MID(D879,LEN(D879)-3,3)),""))</f>
        <v/>
      </c>
      <c r="X879" s="33">
        <f>IF(W879="","",P879&amp;"|"&amp;W879)</f>
        <v/>
      </c>
      <c r="Y879" s="33">
        <f>IF(W879="","",IF(P879="À RENSEIGNER","GIC",P879)&amp;"-"&amp;TEXT(W879,"000"))</f>
        <v/>
      </c>
      <c r="Z879" s="33">
        <f>IF(X879="","",IFERROR(INDEX(Cl_nom,MATCH(X879,Cl_cle,0)),"(client introuvable)"))</f>
        <v/>
      </c>
      <c r="AA879" s="33">
        <f>IF(X879="","",IFERROR(INDEX(Cl_quartier,MATCH(X879,Cl_cle,0))&amp;"",""))</f>
        <v/>
      </c>
      <c r="AB879" s="45">
        <f>IF(R879&lt;&gt;"Livrée",0,IF(K879&lt;&gt;"",K879,C879))</f>
        <v/>
      </c>
      <c r="AC879" s="33">
        <f>IF(OR(C879="",W879=""),"",P879&amp;"|"&amp;W879&amp;"|"&amp;C879&amp;"|"&amp;E879)</f>
        <v/>
      </c>
      <c r="AD879" s="39">
        <f>IF(AC879="","",IF(COUNTIF(AC$6:AC879,AC879)=1,1,0))</f>
        <v/>
      </c>
      <c r="AE879" s="39">
        <f>IF(AB879=0,"",IF(COUNTIFS(X$6:X879,X879,AB$6:AB879,AB879)=1,1,0))</f>
        <v/>
      </c>
      <c r="AF879" s="34">
        <f>IF(C879="","",YEAR(C879-WEEKDAY(C879,2)+4)&amp;"-S"&amp;TEXT(INT((C879-DATE(YEAR(C879-WEEKDAY(C879,2)+4),1,3)+WEEKDAY(DATE(YEAR(C879-WEEKDAY(C879,2)+4),1,3),2)+5)/7),"00"))</f>
        <v/>
      </c>
    </row>
    <row r="880" ht="18" customHeight="1">
      <c r="A880" s="39" t="n">
        <v>875</v>
      </c>
      <c r="B880" s="33">
        <f>IF(C880="","",IF(P880="À RENSEIGNER","GIC",P880)&amp;"-C"&amp;TEXT(A880,"00000"))</f>
        <v/>
      </c>
      <c r="C880" s="32" t="n"/>
      <c r="D880" s="36" t="n"/>
      <c r="E880" s="36" t="n"/>
      <c r="F880" s="36" t="n"/>
      <c r="G880" s="42" t="n"/>
      <c r="H880" s="37" t="n"/>
      <c r="I880" s="37" t="n"/>
      <c r="J880" s="32" t="n"/>
      <c r="K880" s="32" t="n"/>
      <c r="L880" s="43" t="n"/>
      <c r="M880" s="36" t="n"/>
      <c r="N880" s="44" t="n"/>
      <c r="O880" s="36" t="n"/>
      <c r="P880" s="33">
        <f>IF(C880="","",Commercial_Id)</f>
        <v/>
      </c>
      <c r="Q880" s="34">
        <f>IF(AC880="","",IF(AD880=1,"C"&amp;TEXT(SUM(AD$6:AD880),"0000"),INDEX(Q$6:Q879,MATCH(AC880,AC$6:AC879,0))))</f>
        <v/>
      </c>
      <c r="R880" s="34">
        <f>IF(C880="","",IF(L880="☑ Oui","Annulée",IF(OR(E880="Vente directe",K880&lt;&gt;""),"Livrée",IF(J880&lt;&gt;"","Confirmée","En attente"))))</f>
        <v/>
      </c>
      <c r="S880" s="34">
        <f>IF(F880="","",IFERROR(VLOOKUP(F880,T_Produits,2,FALSE),""))</f>
        <v/>
      </c>
      <c r="T880" s="40">
        <f>IF(F880="","",IFERROR(1/(1/VLOOKUP(F880,T_Produits,3,FALSE)),""))</f>
        <v/>
      </c>
      <c r="U880" s="40">
        <f>IF(H880&lt;&gt;"",H880,T880)</f>
        <v/>
      </c>
      <c r="V880" s="40">
        <f>IF(OR(G880="",U880=""),"",G880*U880-N(I880))</f>
        <v/>
      </c>
      <c r="W880" s="39">
        <f>IF(D880="","",IFERROR(VALUE(MID(D880,LEN(D880)-3,3)),""))</f>
        <v/>
      </c>
      <c r="X880" s="33">
        <f>IF(W880="","",P880&amp;"|"&amp;W880)</f>
        <v/>
      </c>
      <c r="Y880" s="33">
        <f>IF(W880="","",IF(P880="À RENSEIGNER","GIC",P880)&amp;"-"&amp;TEXT(W880,"000"))</f>
        <v/>
      </c>
      <c r="Z880" s="33">
        <f>IF(X880="","",IFERROR(INDEX(Cl_nom,MATCH(X880,Cl_cle,0)),"(client introuvable)"))</f>
        <v/>
      </c>
      <c r="AA880" s="33">
        <f>IF(X880="","",IFERROR(INDEX(Cl_quartier,MATCH(X880,Cl_cle,0))&amp;"",""))</f>
        <v/>
      </c>
      <c r="AB880" s="45">
        <f>IF(R880&lt;&gt;"Livrée",0,IF(K880&lt;&gt;"",K880,C880))</f>
        <v/>
      </c>
      <c r="AC880" s="33">
        <f>IF(OR(C880="",W880=""),"",P880&amp;"|"&amp;W880&amp;"|"&amp;C880&amp;"|"&amp;E880)</f>
        <v/>
      </c>
      <c r="AD880" s="39">
        <f>IF(AC880="","",IF(COUNTIF(AC$6:AC880,AC880)=1,1,0))</f>
        <v/>
      </c>
      <c r="AE880" s="39">
        <f>IF(AB880=0,"",IF(COUNTIFS(X$6:X880,X880,AB$6:AB880,AB880)=1,1,0))</f>
        <v/>
      </c>
      <c r="AF880" s="34">
        <f>IF(C880="","",YEAR(C880-WEEKDAY(C880,2)+4)&amp;"-S"&amp;TEXT(INT((C880-DATE(YEAR(C880-WEEKDAY(C880,2)+4),1,3)+WEEKDAY(DATE(YEAR(C880-WEEKDAY(C880,2)+4),1,3),2)+5)/7),"00"))</f>
        <v/>
      </c>
    </row>
    <row r="881" ht="18" customHeight="1">
      <c r="A881" s="39" t="n">
        <v>876</v>
      </c>
      <c r="B881" s="33">
        <f>IF(C881="","",IF(P881="À RENSEIGNER","GIC",P881)&amp;"-C"&amp;TEXT(A881,"00000"))</f>
        <v/>
      </c>
      <c r="C881" s="32" t="n"/>
      <c r="D881" s="36" t="n"/>
      <c r="E881" s="36" t="n"/>
      <c r="F881" s="36" t="n"/>
      <c r="G881" s="42" t="n"/>
      <c r="H881" s="37" t="n"/>
      <c r="I881" s="37" t="n"/>
      <c r="J881" s="32" t="n"/>
      <c r="K881" s="32" t="n"/>
      <c r="L881" s="43" t="n"/>
      <c r="M881" s="36" t="n"/>
      <c r="N881" s="44" t="n"/>
      <c r="O881" s="36" t="n"/>
      <c r="P881" s="33">
        <f>IF(C881="","",Commercial_Id)</f>
        <v/>
      </c>
      <c r="Q881" s="34">
        <f>IF(AC881="","",IF(AD881=1,"C"&amp;TEXT(SUM(AD$6:AD881),"0000"),INDEX(Q$6:Q880,MATCH(AC881,AC$6:AC880,0))))</f>
        <v/>
      </c>
      <c r="R881" s="34">
        <f>IF(C881="","",IF(L881="☑ Oui","Annulée",IF(OR(E881="Vente directe",K881&lt;&gt;""),"Livrée",IF(J881&lt;&gt;"","Confirmée","En attente"))))</f>
        <v/>
      </c>
      <c r="S881" s="34">
        <f>IF(F881="","",IFERROR(VLOOKUP(F881,T_Produits,2,FALSE),""))</f>
        <v/>
      </c>
      <c r="T881" s="40">
        <f>IF(F881="","",IFERROR(1/(1/VLOOKUP(F881,T_Produits,3,FALSE)),""))</f>
        <v/>
      </c>
      <c r="U881" s="40">
        <f>IF(H881&lt;&gt;"",H881,T881)</f>
        <v/>
      </c>
      <c r="V881" s="40">
        <f>IF(OR(G881="",U881=""),"",G881*U881-N(I881))</f>
        <v/>
      </c>
      <c r="W881" s="39">
        <f>IF(D881="","",IFERROR(VALUE(MID(D881,LEN(D881)-3,3)),""))</f>
        <v/>
      </c>
      <c r="X881" s="33">
        <f>IF(W881="","",P881&amp;"|"&amp;W881)</f>
        <v/>
      </c>
      <c r="Y881" s="33">
        <f>IF(W881="","",IF(P881="À RENSEIGNER","GIC",P881)&amp;"-"&amp;TEXT(W881,"000"))</f>
        <v/>
      </c>
      <c r="Z881" s="33">
        <f>IF(X881="","",IFERROR(INDEX(Cl_nom,MATCH(X881,Cl_cle,0)),"(client introuvable)"))</f>
        <v/>
      </c>
      <c r="AA881" s="33">
        <f>IF(X881="","",IFERROR(INDEX(Cl_quartier,MATCH(X881,Cl_cle,0))&amp;"",""))</f>
        <v/>
      </c>
      <c r="AB881" s="45">
        <f>IF(R881&lt;&gt;"Livrée",0,IF(K881&lt;&gt;"",K881,C881))</f>
        <v/>
      </c>
      <c r="AC881" s="33">
        <f>IF(OR(C881="",W881=""),"",P881&amp;"|"&amp;W881&amp;"|"&amp;C881&amp;"|"&amp;E881)</f>
        <v/>
      </c>
      <c r="AD881" s="39">
        <f>IF(AC881="","",IF(COUNTIF(AC$6:AC881,AC881)=1,1,0))</f>
        <v/>
      </c>
      <c r="AE881" s="39">
        <f>IF(AB881=0,"",IF(COUNTIFS(X$6:X881,X881,AB$6:AB881,AB881)=1,1,0))</f>
        <v/>
      </c>
      <c r="AF881" s="34">
        <f>IF(C881="","",YEAR(C881-WEEKDAY(C881,2)+4)&amp;"-S"&amp;TEXT(INT((C881-DATE(YEAR(C881-WEEKDAY(C881,2)+4),1,3)+WEEKDAY(DATE(YEAR(C881-WEEKDAY(C881,2)+4),1,3),2)+5)/7),"00"))</f>
        <v/>
      </c>
    </row>
    <row r="882" ht="18" customHeight="1">
      <c r="A882" s="39" t="n">
        <v>877</v>
      </c>
      <c r="B882" s="33">
        <f>IF(C882="","",IF(P882="À RENSEIGNER","GIC",P882)&amp;"-C"&amp;TEXT(A882,"00000"))</f>
        <v/>
      </c>
      <c r="C882" s="32" t="n"/>
      <c r="D882" s="36" t="n"/>
      <c r="E882" s="36" t="n"/>
      <c r="F882" s="36" t="n"/>
      <c r="G882" s="42" t="n"/>
      <c r="H882" s="37" t="n"/>
      <c r="I882" s="37" t="n"/>
      <c r="J882" s="32" t="n"/>
      <c r="K882" s="32" t="n"/>
      <c r="L882" s="43" t="n"/>
      <c r="M882" s="36" t="n"/>
      <c r="N882" s="44" t="n"/>
      <c r="O882" s="36" t="n"/>
      <c r="P882" s="33">
        <f>IF(C882="","",Commercial_Id)</f>
        <v/>
      </c>
      <c r="Q882" s="34">
        <f>IF(AC882="","",IF(AD882=1,"C"&amp;TEXT(SUM(AD$6:AD882),"0000"),INDEX(Q$6:Q881,MATCH(AC882,AC$6:AC881,0))))</f>
        <v/>
      </c>
      <c r="R882" s="34">
        <f>IF(C882="","",IF(L882="☑ Oui","Annulée",IF(OR(E882="Vente directe",K882&lt;&gt;""),"Livrée",IF(J882&lt;&gt;"","Confirmée","En attente"))))</f>
        <v/>
      </c>
      <c r="S882" s="34">
        <f>IF(F882="","",IFERROR(VLOOKUP(F882,T_Produits,2,FALSE),""))</f>
        <v/>
      </c>
      <c r="T882" s="40">
        <f>IF(F882="","",IFERROR(1/(1/VLOOKUP(F882,T_Produits,3,FALSE)),""))</f>
        <v/>
      </c>
      <c r="U882" s="40">
        <f>IF(H882&lt;&gt;"",H882,T882)</f>
        <v/>
      </c>
      <c r="V882" s="40">
        <f>IF(OR(G882="",U882=""),"",G882*U882-N(I882))</f>
        <v/>
      </c>
      <c r="W882" s="39">
        <f>IF(D882="","",IFERROR(VALUE(MID(D882,LEN(D882)-3,3)),""))</f>
        <v/>
      </c>
      <c r="X882" s="33">
        <f>IF(W882="","",P882&amp;"|"&amp;W882)</f>
        <v/>
      </c>
      <c r="Y882" s="33">
        <f>IF(W882="","",IF(P882="À RENSEIGNER","GIC",P882)&amp;"-"&amp;TEXT(W882,"000"))</f>
        <v/>
      </c>
      <c r="Z882" s="33">
        <f>IF(X882="","",IFERROR(INDEX(Cl_nom,MATCH(X882,Cl_cle,0)),"(client introuvable)"))</f>
        <v/>
      </c>
      <c r="AA882" s="33">
        <f>IF(X882="","",IFERROR(INDEX(Cl_quartier,MATCH(X882,Cl_cle,0))&amp;"",""))</f>
        <v/>
      </c>
      <c r="AB882" s="45">
        <f>IF(R882&lt;&gt;"Livrée",0,IF(K882&lt;&gt;"",K882,C882))</f>
        <v/>
      </c>
      <c r="AC882" s="33">
        <f>IF(OR(C882="",W882=""),"",P882&amp;"|"&amp;W882&amp;"|"&amp;C882&amp;"|"&amp;E882)</f>
        <v/>
      </c>
      <c r="AD882" s="39">
        <f>IF(AC882="","",IF(COUNTIF(AC$6:AC882,AC882)=1,1,0))</f>
        <v/>
      </c>
      <c r="AE882" s="39">
        <f>IF(AB882=0,"",IF(COUNTIFS(X$6:X882,X882,AB$6:AB882,AB882)=1,1,0))</f>
        <v/>
      </c>
      <c r="AF882" s="34">
        <f>IF(C882="","",YEAR(C882-WEEKDAY(C882,2)+4)&amp;"-S"&amp;TEXT(INT((C882-DATE(YEAR(C882-WEEKDAY(C882,2)+4),1,3)+WEEKDAY(DATE(YEAR(C882-WEEKDAY(C882,2)+4),1,3),2)+5)/7),"00"))</f>
        <v/>
      </c>
    </row>
    <row r="883" ht="18" customHeight="1">
      <c r="A883" s="39" t="n">
        <v>878</v>
      </c>
      <c r="B883" s="33">
        <f>IF(C883="","",IF(P883="À RENSEIGNER","GIC",P883)&amp;"-C"&amp;TEXT(A883,"00000"))</f>
        <v/>
      </c>
      <c r="C883" s="32" t="n"/>
      <c r="D883" s="36" t="n"/>
      <c r="E883" s="36" t="n"/>
      <c r="F883" s="36" t="n"/>
      <c r="G883" s="42" t="n"/>
      <c r="H883" s="37" t="n"/>
      <c r="I883" s="37" t="n"/>
      <c r="J883" s="32" t="n"/>
      <c r="K883" s="32" t="n"/>
      <c r="L883" s="43" t="n"/>
      <c r="M883" s="36" t="n"/>
      <c r="N883" s="44" t="n"/>
      <c r="O883" s="36" t="n"/>
      <c r="P883" s="33">
        <f>IF(C883="","",Commercial_Id)</f>
        <v/>
      </c>
      <c r="Q883" s="34">
        <f>IF(AC883="","",IF(AD883=1,"C"&amp;TEXT(SUM(AD$6:AD883),"0000"),INDEX(Q$6:Q882,MATCH(AC883,AC$6:AC882,0))))</f>
        <v/>
      </c>
      <c r="R883" s="34">
        <f>IF(C883="","",IF(L883="☑ Oui","Annulée",IF(OR(E883="Vente directe",K883&lt;&gt;""),"Livrée",IF(J883&lt;&gt;"","Confirmée","En attente"))))</f>
        <v/>
      </c>
      <c r="S883" s="34">
        <f>IF(F883="","",IFERROR(VLOOKUP(F883,T_Produits,2,FALSE),""))</f>
        <v/>
      </c>
      <c r="T883" s="40">
        <f>IF(F883="","",IFERROR(1/(1/VLOOKUP(F883,T_Produits,3,FALSE)),""))</f>
        <v/>
      </c>
      <c r="U883" s="40">
        <f>IF(H883&lt;&gt;"",H883,T883)</f>
        <v/>
      </c>
      <c r="V883" s="40">
        <f>IF(OR(G883="",U883=""),"",G883*U883-N(I883))</f>
        <v/>
      </c>
      <c r="W883" s="39">
        <f>IF(D883="","",IFERROR(VALUE(MID(D883,LEN(D883)-3,3)),""))</f>
        <v/>
      </c>
      <c r="X883" s="33">
        <f>IF(W883="","",P883&amp;"|"&amp;W883)</f>
        <v/>
      </c>
      <c r="Y883" s="33">
        <f>IF(W883="","",IF(P883="À RENSEIGNER","GIC",P883)&amp;"-"&amp;TEXT(W883,"000"))</f>
        <v/>
      </c>
      <c r="Z883" s="33">
        <f>IF(X883="","",IFERROR(INDEX(Cl_nom,MATCH(X883,Cl_cle,0)),"(client introuvable)"))</f>
        <v/>
      </c>
      <c r="AA883" s="33">
        <f>IF(X883="","",IFERROR(INDEX(Cl_quartier,MATCH(X883,Cl_cle,0))&amp;"",""))</f>
        <v/>
      </c>
      <c r="AB883" s="45">
        <f>IF(R883&lt;&gt;"Livrée",0,IF(K883&lt;&gt;"",K883,C883))</f>
        <v/>
      </c>
      <c r="AC883" s="33">
        <f>IF(OR(C883="",W883=""),"",P883&amp;"|"&amp;W883&amp;"|"&amp;C883&amp;"|"&amp;E883)</f>
        <v/>
      </c>
      <c r="AD883" s="39">
        <f>IF(AC883="","",IF(COUNTIF(AC$6:AC883,AC883)=1,1,0))</f>
        <v/>
      </c>
      <c r="AE883" s="39">
        <f>IF(AB883=0,"",IF(COUNTIFS(X$6:X883,X883,AB$6:AB883,AB883)=1,1,0))</f>
        <v/>
      </c>
      <c r="AF883" s="34">
        <f>IF(C883="","",YEAR(C883-WEEKDAY(C883,2)+4)&amp;"-S"&amp;TEXT(INT((C883-DATE(YEAR(C883-WEEKDAY(C883,2)+4),1,3)+WEEKDAY(DATE(YEAR(C883-WEEKDAY(C883,2)+4),1,3),2)+5)/7),"00"))</f>
        <v/>
      </c>
    </row>
    <row r="884" ht="18" customHeight="1">
      <c r="A884" s="39" t="n">
        <v>879</v>
      </c>
      <c r="B884" s="33">
        <f>IF(C884="","",IF(P884="À RENSEIGNER","GIC",P884)&amp;"-C"&amp;TEXT(A884,"00000"))</f>
        <v/>
      </c>
      <c r="C884" s="32" t="n"/>
      <c r="D884" s="36" t="n"/>
      <c r="E884" s="36" t="n"/>
      <c r="F884" s="36" t="n"/>
      <c r="G884" s="42" t="n"/>
      <c r="H884" s="37" t="n"/>
      <c r="I884" s="37" t="n"/>
      <c r="J884" s="32" t="n"/>
      <c r="K884" s="32" t="n"/>
      <c r="L884" s="43" t="n"/>
      <c r="M884" s="36" t="n"/>
      <c r="N884" s="44" t="n"/>
      <c r="O884" s="36" t="n"/>
      <c r="P884" s="33">
        <f>IF(C884="","",Commercial_Id)</f>
        <v/>
      </c>
      <c r="Q884" s="34">
        <f>IF(AC884="","",IF(AD884=1,"C"&amp;TEXT(SUM(AD$6:AD884),"0000"),INDEX(Q$6:Q883,MATCH(AC884,AC$6:AC883,0))))</f>
        <v/>
      </c>
      <c r="R884" s="34">
        <f>IF(C884="","",IF(L884="☑ Oui","Annulée",IF(OR(E884="Vente directe",K884&lt;&gt;""),"Livrée",IF(J884&lt;&gt;"","Confirmée","En attente"))))</f>
        <v/>
      </c>
      <c r="S884" s="34">
        <f>IF(F884="","",IFERROR(VLOOKUP(F884,T_Produits,2,FALSE),""))</f>
        <v/>
      </c>
      <c r="T884" s="40">
        <f>IF(F884="","",IFERROR(1/(1/VLOOKUP(F884,T_Produits,3,FALSE)),""))</f>
        <v/>
      </c>
      <c r="U884" s="40">
        <f>IF(H884&lt;&gt;"",H884,T884)</f>
        <v/>
      </c>
      <c r="V884" s="40">
        <f>IF(OR(G884="",U884=""),"",G884*U884-N(I884))</f>
        <v/>
      </c>
      <c r="W884" s="39">
        <f>IF(D884="","",IFERROR(VALUE(MID(D884,LEN(D884)-3,3)),""))</f>
        <v/>
      </c>
      <c r="X884" s="33">
        <f>IF(W884="","",P884&amp;"|"&amp;W884)</f>
        <v/>
      </c>
      <c r="Y884" s="33">
        <f>IF(W884="","",IF(P884="À RENSEIGNER","GIC",P884)&amp;"-"&amp;TEXT(W884,"000"))</f>
        <v/>
      </c>
      <c r="Z884" s="33">
        <f>IF(X884="","",IFERROR(INDEX(Cl_nom,MATCH(X884,Cl_cle,0)),"(client introuvable)"))</f>
        <v/>
      </c>
      <c r="AA884" s="33">
        <f>IF(X884="","",IFERROR(INDEX(Cl_quartier,MATCH(X884,Cl_cle,0))&amp;"",""))</f>
        <v/>
      </c>
      <c r="AB884" s="45">
        <f>IF(R884&lt;&gt;"Livrée",0,IF(K884&lt;&gt;"",K884,C884))</f>
        <v/>
      </c>
      <c r="AC884" s="33">
        <f>IF(OR(C884="",W884=""),"",P884&amp;"|"&amp;W884&amp;"|"&amp;C884&amp;"|"&amp;E884)</f>
        <v/>
      </c>
      <c r="AD884" s="39">
        <f>IF(AC884="","",IF(COUNTIF(AC$6:AC884,AC884)=1,1,0))</f>
        <v/>
      </c>
      <c r="AE884" s="39">
        <f>IF(AB884=0,"",IF(COUNTIFS(X$6:X884,X884,AB$6:AB884,AB884)=1,1,0))</f>
        <v/>
      </c>
      <c r="AF884" s="34">
        <f>IF(C884="","",YEAR(C884-WEEKDAY(C884,2)+4)&amp;"-S"&amp;TEXT(INT((C884-DATE(YEAR(C884-WEEKDAY(C884,2)+4),1,3)+WEEKDAY(DATE(YEAR(C884-WEEKDAY(C884,2)+4),1,3),2)+5)/7),"00"))</f>
        <v/>
      </c>
    </row>
    <row r="885" ht="18" customHeight="1">
      <c r="A885" s="39" t="n">
        <v>880</v>
      </c>
      <c r="B885" s="33">
        <f>IF(C885="","",IF(P885="À RENSEIGNER","GIC",P885)&amp;"-C"&amp;TEXT(A885,"00000"))</f>
        <v/>
      </c>
      <c r="C885" s="32" t="n"/>
      <c r="D885" s="36" t="n"/>
      <c r="E885" s="36" t="n"/>
      <c r="F885" s="36" t="n"/>
      <c r="G885" s="42" t="n"/>
      <c r="H885" s="37" t="n"/>
      <c r="I885" s="37" t="n"/>
      <c r="J885" s="32" t="n"/>
      <c r="K885" s="32" t="n"/>
      <c r="L885" s="43" t="n"/>
      <c r="M885" s="36" t="n"/>
      <c r="N885" s="44" t="n"/>
      <c r="O885" s="36" t="n"/>
      <c r="P885" s="33">
        <f>IF(C885="","",Commercial_Id)</f>
        <v/>
      </c>
      <c r="Q885" s="34">
        <f>IF(AC885="","",IF(AD885=1,"C"&amp;TEXT(SUM(AD$6:AD885),"0000"),INDEX(Q$6:Q884,MATCH(AC885,AC$6:AC884,0))))</f>
        <v/>
      </c>
      <c r="R885" s="34">
        <f>IF(C885="","",IF(L885="☑ Oui","Annulée",IF(OR(E885="Vente directe",K885&lt;&gt;""),"Livrée",IF(J885&lt;&gt;"","Confirmée","En attente"))))</f>
        <v/>
      </c>
      <c r="S885" s="34">
        <f>IF(F885="","",IFERROR(VLOOKUP(F885,T_Produits,2,FALSE),""))</f>
        <v/>
      </c>
      <c r="T885" s="40">
        <f>IF(F885="","",IFERROR(1/(1/VLOOKUP(F885,T_Produits,3,FALSE)),""))</f>
        <v/>
      </c>
      <c r="U885" s="40">
        <f>IF(H885&lt;&gt;"",H885,T885)</f>
        <v/>
      </c>
      <c r="V885" s="40">
        <f>IF(OR(G885="",U885=""),"",G885*U885-N(I885))</f>
        <v/>
      </c>
      <c r="W885" s="39">
        <f>IF(D885="","",IFERROR(VALUE(MID(D885,LEN(D885)-3,3)),""))</f>
        <v/>
      </c>
      <c r="X885" s="33">
        <f>IF(W885="","",P885&amp;"|"&amp;W885)</f>
        <v/>
      </c>
      <c r="Y885" s="33">
        <f>IF(W885="","",IF(P885="À RENSEIGNER","GIC",P885)&amp;"-"&amp;TEXT(W885,"000"))</f>
        <v/>
      </c>
      <c r="Z885" s="33">
        <f>IF(X885="","",IFERROR(INDEX(Cl_nom,MATCH(X885,Cl_cle,0)),"(client introuvable)"))</f>
        <v/>
      </c>
      <c r="AA885" s="33">
        <f>IF(X885="","",IFERROR(INDEX(Cl_quartier,MATCH(X885,Cl_cle,0))&amp;"",""))</f>
        <v/>
      </c>
      <c r="AB885" s="45">
        <f>IF(R885&lt;&gt;"Livrée",0,IF(K885&lt;&gt;"",K885,C885))</f>
        <v/>
      </c>
      <c r="AC885" s="33">
        <f>IF(OR(C885="",W885=""),"",P885&amp;"|"&amp;W885&amp;"|"&amp;C885&amp;"|"&amp;E885)</f>
        <v/>
      </c>
      <c r="AD885" s="39">
        <f>IF(AC885="","",IF(COUNTIF(AC$6:AC885,AC885)=1,1,0))</f>
        <v/>
      </c>
      <c r="AE885" s="39">
        <f>IF(AB885=0,"",IF(COUNTIFS(X$6:X885,X885,AB$6:AB885,AB885)=1,1,0))</f>
        <v/>
      </c>
      <c r="AF885" s="34">
        <f>IF(C885="","",YEAR(C885-WEEKDAY(C885,2)+4)&amp;"-S"&amp;TEXT(INT((C885-DATE(YEAR(C885-WEEKDAY(C885,2)+4),1,3)+WEEKDAY(DATE(YEAR(C885-WEEKDAY(C885,2)+4),1,3),2)+5)/7),"00"))</f>
        <v/>
      </c>
    </row>
    <row r="886" ht="18" customHeight="1">
      <c r="A886" s="39" t="n">
        <v>881</v>
      </c>
      <c r="B886" s="33">
        <f>IF(C886="","",IF(P886="À RENSEIGNER","GIC",P886)&amp;"-C"&amp;TEXT(A886,"00000"))</f>
        <v/>
      </c>
      <c r="C886" s="32" t="n"/>
      <c r="D886" s="36" t="n"/>
      <c r="E886" s="36" t="n"/>
      <c r="F886" s="36" t="n"/>
      <c r="G886" s="42" t="n"/>
      <c r="H886" s="37" t="n"/>
      <c r="I886" s="37" t="n"/>
      <c r="J886" s="32" t="n"/>
      <c r="K886" s="32" t="n"/>
      <c r="L886" s="43" t="n"/>
      <c r="M886" s="36" t="n"/>
      <c r="N886" s="44" t="n"/>
      <c r="O886" s="36" t="n"/>
      <c r="P886" s="33">
        <f>IF(C886="","",Commercial_Id)</f>
        <v/>
      </c>
      <c r="Q886" s="34">
        <f>IF(AC886="","",IF(AD886=1,"C"&amp;TEXT(SUM(AD$6:AD886),"0000"),INDEX(Q$6:Q885,MATCH(AC886,AC$6:AC885,0))))</f>
        <v/>
      </c>
      <c r="R886" s="34">
        <f>IF(C886="","",IF(L886="☑ Oui","Annulée",IF(OR(E886="Vente directe",K886&lt;&gt;""),"Livrée",IF(J886&lt;&gt;"","Confirmée","En attente"))))</f>
        <v/>
      </c>
      <c r="S886" s="34">
        <f>IF(F886="","",IFERROR(VLOOKUP(F886,T_Produits,2,FALSE),""))</f>
        <v/>
      </c>
      <c r="T886" s="40">
        <f>IF(F886="","",IFERROR(1/(1/VLOOKUP(F886,T_Produits,3,FALSE)),""))</f>
        <v/>
      </c>
      <c r="U886" s="40">
        <f>IF(H886&lt;&gt;"",H886,T886)</f>
        <v/>
      </c>
      <c r="V886" s="40">
        <f>IF(OR(G886="",U886=""),"",G886*U886-N(I886))</f>
        <v/>
      </c>
      <c r="W886" s="39">
        <f>IF(D886="","",IFERROR(VALUE(MID(D886,LEN(D886)-3,3)),""))</f>
        <v/>
      </c>
      <c r="X886" s="33">
        <f>IF(W886="","",P886&amp;"|"&amp;W886)</f>
        <v/>
      </c>
      <c r="Y886" s="33">
        <f>IF(W886="","",IF(P886="À RENSEIGNER","GIC",P886)&amp;"-"&amp;TEXT(W886,"000"))</f>
        <v/>
      </c>
      <c r="Z886" s="33">
        <f>IF(X886="","",IFERROR(INDEX(Cl_nom,MATCH(X886,Cl_cle,0)),"(client introuvable)"))</f>
        <v/>
      </c>
      <c r="AA886" s="33">
        <f>IF(X886="","",IFERROR(INDEX(Cl_quartier,MATCH(X886,Cl_cle,0))&amp;"",""))</f>
        <v/>
      </c>
      <c r="AB886" s="45">
        <f>IF(R886&lt;&gt;"Livrée",0,IF(K886&lt;&gt;"",K886,C886))</f>
        <v/>
      </c>
      <c r="AC886" s="33">
        <f>IF(OR(C886="",W886=""),"",P886&amp;"|"&amp;W886&amp;"|"&amp;C886&amp;"|"&amp;E886)</f>
        <v/>
      </c>
      <c r="AD886" s="39">
        <f>IF(AC886="","",IF(COUNTIF(AC$6:AC886,AC886)=1,1,0))</f>
        <v/>
      </c>
      <c r="AE886" s="39">
        <f>IF(AB886=0,"",IF(COUNTIFS(X$6:X886,X886,AB$6:AB886,AB886)=1,1,0))</f>
        <v/>
      </c>
      <c r="AF886" s="34">
        <f>IF(C886="","",YEAR(C886-WEEKDAY(C886,2)+4)&amp;"-S"&amp;TEXT(INT((C886-DATE(YEAR(C886-WEEKDAY(C886,2)+4),1,3)+WEEKDAY(DATE(YEAR(C886-WEEKDAY(C886,2)+4),1,3),2)+5)/7),"00"))</f>
        <v/>
      </c>
    </row>
    <row r="887" ht="18" customHeight="1">
      <c r="A887" s="39" t="n">
        <v>882</v>
      </c>
      <c r="B887" s="33">
        <f>IF(C887="","",IF(P887="À RENSEIGNER","GIC",P887)&amp;"-C"&amp;TEXT(A887,"00000"))</f>
        <v/>
      </c>
      <c r="C887" s="32" t="n"/>
      <c r="D887" s="36" t="n"/>
      <c r="E887" s="36" t="n"/>
      <c r="F887" s="36" t="n"/>
      <c r="G887" s="42" t="n"/>
      <c r="H887" s="37" t="n"/>
      <c r="I887" s="37" t="n"/>
      <c r="J887" s="32" t="n"/>
      <c r="K887" s="32" t="n"/>
      <c r="L887" s="43" t="n"/>
      <c r="M887" s="36" t="n"/>
      <c r="N887" s="44" t="n"/>
      <c r="O887" s="36" t="n"/>
      <c r="P887" s="33">
        <f>IF(C887="","",Commercial_Id)</f>
        <v/>
      </c>
      <c r="Q887" s="34">
        <f>IF(AC887="","",IF(AD887=1,"C"&amp;TEXT(SUM(AD$6:AD887),"0000"),INDEX(Q$6:Q886,MATCH(AC887,AC$6:AC886,0))))</f>
        <v/>
      </c>
      <c r="R887" s="34">
        <f>IF(C887="","",IF(L887="☑ Oui","Annulée",IF(OR(E887="Vente directe",K887&lt;&gt;""),"Livrée",IF(J887&lt;&gt;"","Confirmée","En attente"))))</f>
        <v/>
      </c>
      <c r="S887" s="34">
        <f>IF(F887="","",IFERROR(VLOOKUP(F887,T_Produits,2,FALSE),""))</f>
        <v/>
      </c>
      <c r="T887" s="40">
        <f>IF(F887="","",IFERROR(1/(1/VLOOKUP(F887,T_Produits,3,FALSE)),""))</f>
        <v/>
      </c>
      <c r="U887" s="40">
        <f>IF(H887&lt;&gt;"",H887,T887)</f>
        <v/>
      </c>
      <c r="V887" s="40">
        <f>IF(OR(G887="",U887=""),"",G887*U887-N(I887))</f>
        <v/>
      </c>
      <c r="W887" s="39">
        <f>IF(D887="","",IFERROR(VALUE(MID(D887,LEN(D887)-3,3)),""))</f>
        <v/>
      </c>
      <c r="X887" s="33">
        <f>IF(W887="","",P887&amp;"|"&amp;W887)</f>
        <v/>
      </c>
      <c r="Y887" s="33">
        <f>IF(W887="","",IF(P887="À RENSEIGNER","GIC",P887)&amp;"-"&amp;TEXT(W887,"000"))</f>
        <v/>
      </c>
      <c r="Z887" s="33">
        <f>IF(X887="","",IFERROR(INDEX(Cl_nom,MATCH(X887,Cl_cle,0)),"(client introuvable)"))</f>
        <v/>
      </c>
      <c r="AA887" s="33">
        <f>IF(X887="","",IFERROR(INDEX(Cl_quartier,MATCH(X887,Cl_cle,0))&amp;"",""))</f>
        <v/>
      </c>
      <c r="AB887" s="45">
        <f>IF(R887&lt;&gt;"Livrée",0,IF(K887&lt;&gt;"",K887,C887))</f>
        <v/>
      </c>
      <c r="AC887" s="33">
        <f>IF(OR(C887="",W887=""),"",P887&amp;"|"&amp;W887&amp;"|"&amp;C887&amp;"|"&amp;E887)</f>
        <v/>
      </c>
      <c r="AD887" s="39">
        <f>IF(AC887="","",IF(COUNTIF(AC$6:AC887,AC887)=1,1,0))</f>
        <v/>
      </c>
      <c r="AE887" s="39">
        <f>IF(AB887=0,"",IF(COUNTIFS(X$6:X887,X887,AB$6:AB887,AB887)=1,1,0))</f>
        <v/>
      </c>
      <c r="AF887" s="34">
        <f>IF(C887="","",YEAR(C887-WEEKDAY(C887,2)+4)&amp;"-S"&amp;TEXT(INT((C887-DATE(YEAR(C887-WEEKDAY(C887,2)+4),1,3)+WEEKDAY(DATE(YEAR(C887-WEEKDAY(C887,2)+4),1,3),2)+5)/7),"00"))</f>
        <v/>
      </c>
    </row>
    <row r="888" ht="18" customHeight="1">
      <c r="A888" s="39" t="n">
        <v>883</v>
      </c>
      <c r="B888" s="33">
        <f>IF(C888="","",IF(P888="À RENSEIGNER","GIC",P888)&amp;"-C"&amp;TEXT(A888,"00000"))</f>
        <v/>
      </c>
      <c r="C888" s="32" t="n"/>
      <c r="D888" s="36" t="n"/>
      <c r="E888" s="36" t="n"/>
      <c r="F888" s="36" t="n"/>
      <c r="G888" s="42" t="n"/>
      <c r="H888" s="37" t="n"/>
      <c r="I888" s="37" t="n"/>
      <c r="J888" s="32" t="n"/>
      <c r="K888" s="32" t="n"/>
      <c r="L888" s="43" t="n"/>
      <c r="M888" s="36" t="n"/>
      <c r="N888" s="44" t="n"/>
      <c r="O888" s="36" t="n"/>
      <c r="P888" s="33">
        <f>IF(C888="","",Commercial_Id)</f>
        <v/>
      </c>
      <c r="Q888" s="34">
        <f>IF(AC888="","",IF(AD888=1,"C"&amp;TEXT(SUM(AD$6:AD888),"0000"),INDEX(Q$6:Q887,MATCH(AC888,AC$6:AC887,0))))</f>
        <v/>
      </c>
      <c r="R888" s="34">
        <f>IF(C888="","",IF(L888="☑ Oui","Annulée",IF(OR(E888="Vente directe",K888&lt;&gt;""),"Livrée",IF(J888&lt;&gt;"","Confirmée","En attente"))))</f>
        <v/>
      </c>
      <c r="S888" s="34">
        <f>IF(F888="","",IFERROR(VLOOKUP(F888,T_Produits,2,FALSE),""))</f>
        <v/>
      </c>
      <c r="T888" s="40">
        <f>IF(F888="","",IFERROR(1/(1/VLOOKUP(F888,T_Produits,3,FALSE)),""))</f>
        <v/>
      </c>
      <c r="U888" s="40">
        <f>IF(H888&lt;&gt;"",H888,T888)</f>
        <v/>
      </c>
      <c r="V888" s="40">
        <f>IF(OR(G888="",U888=""),"",G888*U888-N(I888))</f>
        <v/>
      </c>
      <c r="W888" s="39">
        <f>IF(D888="","",IFERROR(VALUE(MID(D888,LEN(D888)-3,3)),""))</f>
        <v/>
      </c>
      <c r="X888" s="33">
        <f>IF(W888="","",P888&amp;"|"&amp;W888)</f>
        <v/>
      </c>
      <c r="Y888" s="33">
        <f>IF(W888="","",IF(P888="À RENSEIGNER","GIC",P888)&amp;"-"&amp;TEXT(W888,"000"))</f>
        <v/>
      </c>
      <c r="Z888" s="33">
        <f>IF(X888="","",IFERROR(INDEX(Cl_nom,MATCH(X888,Cl_cle,0)),"(client introuvable)"))</f>
        <v/>
      </c>
      <c r="AA888" s="33">
        <f>IF(X888="","",IFERROR(INDEX(Cl_quartier,MATCH(X888,Cl_cle,0))&amp;"",""))</f>
        <v/>
      </c>
      <c r="AB888" s="45">
        <f>IF(R888&lt;&gt;"Livrée",0,IF(K888&lt;&gt;"",K888,C888))</f>
        <v/>
      </c>
      <c r="AC888" s="33">
        <f>IF(OR(C888="",W888=""),"",P888&amp;"|"&amp;W888&amp;"|"&amp;C888&amp;"|"&amp;E888)</f>
        <v/>
      </c>
      <c r="AD888" s="39">
        <f>IF(AC888="","",IF(COUNTIF(AC$6:AC888,AC888)=1,1,0))</f>
        <v/>
      </c>
      <c r="AE888" s="39">
        <f>IF(AB888=0,"",IF(COUNTIFS(X$6:X888,X888,AB$6:AB888,AB888)=1,1,0))</f>
        <v/>
      </c>
      <c r="AF888" s="34">
        <f>IF(C888="","",YEAR(C888-WEEKDAY(C888,2)+4)&amp;"-S"&amp;TEXT(INT((C888-DATE(YEAR(C888-WEEKDAY(C888,2)+4),1,3)+WEEKDAY(DATE(YEAR(C888-WEEKDAY(C888,2)+4),1,3),2)+5)/7),"00"))</f>
        <v/>
      </c>
    </row>
    <row r="889" ht="18" customHeight="1">
      <c r="A889" s="39" t="n">
        <v>884</v>
      </c>
      <c r="B889" s="33">
        <f>IF(C889="","",IF(P889="À RENSEIGNER","GIC",P889)&amp;"-C"&amp;TEXT(A889,"00000"))</f>
        <v/>
      </c>
      <c r="C889" s="32" t="n"/>
      <c r="D889" s="36" t="n"/>
      <c r="E889" s="36" t="n"/>
      <c r="F889" s="36" t="n"/>
      <c r="G889" s="42" t="n"/>
      <c r="H889" s="37" t="n"/>
      <c r="I889" s="37" t="n"/>
      <c r="J889" s="32" t="n"/>
      <c r="K889" s="32" t="n"/>
      <c r="L889" s="43" t="n"/>
      <c r="M889" s="36" t="n"/>
      <c r="N889" s="44" t="n"/>
      <c r="O889" s="36" t="n"/>
      <c r="P889" s="33">
        <f>IF(C889="","",Commercial_Id)</f>
        <v/>
      </c>
      <c r="Q889" s="34">
        <f>IF(AC889="","",IF(AD889=1,"C"&amp;TEXT(SUM(AD$6:AD889),"0000"),INDEX(Q$6:Q888,MATCH(AC889,AC$6:AC888,0))))</f>
        <v/>
      </c>
      <c r="R889" s="34">
        <f>IF(C889="","",IF(L889="☑ Oui","Annulée",IF(OR(E889="Vente directe",K889&lt;&gt;""),"Livrée",IF(J889&lt;&gt;"","Confirmée","En attente"))))</f>
        <v/>
      </c>
      <c r="S889" s="34">
        <f>IF(F889="","",IFERROR(VLOOKUP(F889,T_Produits,2,FALSE),""))</f>
        <v/>
      </c>
      <c r="T889" s="40">
        <f>IF(F889="","",IFERROR(1/(1/VLOOKUP(F889,T_Produits,3,FALSE)),""))</f>
        <v/>
      </c>
      <c r="U889" s="40">
        <f>IF(H889&lt;&gt;"",H889,T889)</f>
        <v/>
      </c>
      <c r="V889" s="40">
        <f>IF(OR(G889="",U889=""),"",G889*U889-N(I889))</f>
        <v/>
      </c>
      <c r="W889" s="39">
        <f>IF(D889="","",IFERROR(VALUE(MID(D889,LEN(D889)-3,3)),""))</f>
        <v/>
      </c>
      <c r="X889" s="33">
        <f>IF(W889="","",P889&amp;"|"&amp;W889)</f>
        <v/>
      </c>
      <c r="Y889" s="33">
        <f>IF(W889="","",IF(P889="À RENSEIGNER","GIC",P889)&amp;"-"&amp;TEXT(W889,"000"))</f>
        <v/>
      </c>
      <c r="Z889" s="33">
        <f>IF(X889="","",IFERROR(INDEX(Cl_nom,MATCH(X889,Cl_cle,0)),"(client introuvable)"))</f>
        <v/>
      </c>
      <c r="AA889" s="33">
        <f>IF(X889="","",IFERROR(INDEX(Cl_quartier,MATCH(X889,Cl_cle,0))&amp;"",""))</f>
        <v/>
      </c>
      <c r="AB889" s="45">
        <f>IF(R889&lt;&gt;"Livrée",0,IF(K889&lt;&gt;"",K889,C889))</f>
        <v/>
      </c>
      <c r="AC889" s="33">
        <f>IF(OR(C889="",W889=""),"",P889&amp;"|"&amp;W889&amp;"|"&amp;C889&amp;"|"&amp;E889)</f>
        <v/>
      </c>
      <c r="AD889" s="39">
        <f>IF(AC889="","",IF(COUNTIF(AC$6:AC889,AC889)=1,1,0))</f>
        <v/>
      </c>
      <c r="AE889" s="39">
        <f>IF(AB889=0,"",IF(COUNTIFS(X$6:X889,X889,AB$6:AB889,AB889)=1,1,0))</f>
        <v/>
      </c>
      <c r="AF889" s="34">
        <f>IF(C889="","",YEAR(C889-WEEKDAY(C889,2)+4)&amp;"-S"&amp;TEXT(INT((C889-DATE(YEAR(C889-WEEKDAY(C889,2)+4),1,3)+WEEKDAY(DATE(YEAR(C889-WEEKDAY(C889,2)+4),1,3),2)+5)/7),"00"))</f>
        <v/>
      </c>
    </row>
    <row r="890" ht="18" customHeight="1">
      <c r="A890" s="39" t="n">
        <v>885</v>
      </c>
      <c r="B890" s="33">
        <f>IF(C890="","",IF(P890="À RENSEIGNER","GIC",P890)&amp;"-C"&amp;TEXT(A890,"00000"))</f>
        <v/>
      </c>
      <c r="C890" s="32" t="n"/>
      <c r="D890" s="36" t="n"/>
      <c r="E890" s="36" t="n"/>
      <c r="F890" s="36" t="n"/>
      <c r="G890" s="42" t="n"/>
      <c r="H890" s="37" t="n"/>
      <c r="I890" s="37" t="n"/>
      <c r="J890" s="32" t="n"/>
      <c r="K890" s="32" t="n"/>
      <c r="L890" s="43" t="n"/>
      <c r="M890" s="36" t="n"/>
      <c r="N890" s="44" t="n"/>
      <c r="O890" s="36" t="n"/>
      <c r="P890" s="33">
        <f>IF(C890="","",Commercial_Id)</f>
        <v/>
      </c>
      <c r="Q890" s="34">
        <f>IF(AC890="","",IF(AD890=1,"C"&amp;TEXT(SUM(AD$6:AD890),"0000"),INDEX(Q$6:Q889,MATCH(AC890,AC$6:AC889,0))))</f>
        <v/>
      </c>
      <c r="R890" s="34">
        <f>IF(C890="","",IF(L890="☑ Oui","Annulée",IF(OR(E890="Vente directe",K890&lt;&gt;""),"Livrée",IF(J890&lt;&gt;"","Confirmée","En attente"))))</f>
        <v/>
      </c>
      <c r="S890" s="34">
        <f>IF(F890="","",IFERROR(VLOOKUP(F890,T_Produits,2,FALSE),""))</f>
        <v/>
      </c>
      <c r="T890" s="40">
        <f>IF(F890="","",IFERROR(1/(1/VLOOKUP(F890,T_Produits,3,FALSE)),""))</f>
        <v/>
      </c>
      <c r="U890" s="40">
        <f>IF(H890&lt;&gt;"",H890,T890)</f>
        <v/>
      </c>
      <c r="V890" s="40">
        <f>IF(OR(G890="",U890=""),"",G890*U890-N(I890))</f>
        <v/>
      </c>
      <c r="W890" s="39">
        <f>IF(D890="","",IFERROR(VALUE(MID(D890,LEN(D890)-3,3)),""))</f>
        <v/>
      </c>
      <c r="X890" s="33">
        <f>IF(W890="","",P890&amp;"|"&amp;W890)</f>
        <v/>
      </c>
      <c r="Y890" s="33">
        <f>IF(W890="","",IF(P890="À RENSEIGNER","GIC",P890)&amp;"-"&amp;TEXT(W890,"000"))</f>
        <v/>
      </c>
      <c r="Z890" s="33">
        <f>IF(X890="","",IFERROR(INDEX(Cl_nom,MATCH(X890,Cl_cle,0)),"(client introuvable)"))</f>
        <v/>
      </c>
      <c r="AA890" s="33">
        <f>IF(X890="","",IFERROR(INDEX(Cl_quartier,MATCH(X890,Cl_cle,0))&amp;"",""))</f>
        <v/>
      </c>
      <c r="AB890" s="45">
        <f>IF(R890&lt;&gt;"Livrée",0,IF(K890&lt;&gt;"",K890,C890))</f>
        <v/>
      </c>
      <c r="AC890" s="33">
        <f>IF(OR(C890="",W890=""),"",P890&amp;"|"&amp;W890&amp;"|"&amp;C890&amp;"|"&amp;E890)</f>
        <v/>
      </c>
      <c r="AD890" s="39">
        <f>IF(AC890="","",IF(COUNTIF(AC$6:AC890,AC890)=1,1,0))</f>
        <v/>
      </c>
      <c r="AE890" s="39">
        <f>IF(AB890=0,"",IF(COUNTIFS(X$6:X890,X890,AB$6:AB890,AB890)=1,1,0))</f>
        <v/>
      </c>
      <c r="AF890" s="34">
        <f>IF(C890="","",YEAR(C890-WEEKDAY(C890,2)+4)&amp;"-S"&amp;TEXT(INT((C890-DATE(YEAR(C890-WEEKDAY(C890,2)+4),1,3)+WEEKDAY(DATE(YEAR(C890-WEEKDAY(C890,2)+4),1,3),2)+5)/7),"00"))</f>
        <v/>
      </c>
    </row>
    <row r="891" ht="18" customHeight="1">
      <c r="A891" s="39" t="n">
        <v>886</v>
      </c>
      <c r="B891" s="33">
        <f>IF(C891="","",IF(P891="À RENSEIGNER","GIC",P891)&amp;"-C"&amp;TEXT(A891,"00000"))</f>
        <v/>
      </c>
      <c r="C891" s="32" t="n"/>
      <c r="D891" s="36" t="n"/>
      <c r="E891" s="36" t="n"/>
      <c r="F891" s="36" t="n"/>
      <c r="G891" s="42" t="n"/>
      <c r="H891" s="37" t="n"/>
      <c r="I891" s="37" t="n"/>
      <c r="J891" s="32" t="n"/>
      <c r="K891" s="32" t="n"/>
      <c r="L891" s="43" t="n"/>
      <c r="M891" s="36" t="n"/>
      <c r="N891" s="44" t="n"/>
      <c r="O891" s="36" t="n"/>
      <c r="P891" s="33">
        <f>IF(C891="","",Commercial_Id)</f>
        <v/>
      </c>
      <c r="Q891" s="34">
        <f>IF(AC891="","",IF(AD891=1,"C"&amp;TEXT(SUM(AD$6:AD891),"0000"),INDEX(Q$6:Q890,MATCH(AC891,AC$6:AC890,0))))</f>
        <v/>
      </c>
      <c r="R891" s="34">
        <f>IF(C891="","",IF(L891="☑ Oui","Annulée",IF(OR(E891="Vente directe",K891&lt;&gt;""),"Livrée",IF(J891&lt;&gt;"","Confirmée","En attente"))))</f>
        <v/>
      </c>
      <c r="S891" s="34">
        <f>IF(F891="","",IFERROR(VLOOKUP(F891,T_Produits,2,FALSE),""))</f>
        <v/>
      </c>
      <c r="T891" s="40">
        <f>IF(F891="","",IFERROR(1/(1/VLOOKUP(F891,T_Produits,3,FALSE)),""))</f>
        <v/>
      </c>
      <c r="U891" s="40">
        <f>IF(H891&lt;&gt;"",H891,T891)</f>
        <v/>
      </c>
      <c r="V891" s="40">
        <f>IF(OR(G891="",U891=""),"",G891*U891-N(I891))</f>
        <v/>
      </c>
      <c r="W891" s="39">
        <f>IF(D891="","",IFERROR(VALUE(MID(D891,LEN(D891)-3,3)),""))</f>
        <v/>
      </c>
      <c r="X891" s="33">
        <f>IF(W891="","",P891&amp;"|"&amp;W891)</f>
        <v/>
      </c>
      <c r="Y891" s="33">
        <f>IF(W891="","",IF(P891="À RENSEIGNER","GIC",P891)&amp;"-"&amp;TEXT(W891,"000"))</f>
        <v/>
      </c>
      <c r="Z891" s="33">
        <f>IF(X891="","",IFERROR(INDEX(Cl_nom,MATCH(X891,Cl_cle,0)),"(client introuvable)"))</f>
        <v/>
      </c>
      <c r="AA891" s="33">
        <f>IF(X891="","",IFERROR(INDEX(Cl_quartier,MATCH(X891,Cl_cle,0))&amp;"",""))</f>
        <v/>
      </c>
      <c r="AB891" s="45">
        <f>IF(R891&lt;&gt;"Livrée",0,IF(K891&lt;&gt;"",K891,C891))</f>
        <v/>
      </c>
      <c r="AC891" s="33">
        <f>IF(OR(C891="",W891=""),"",P891&amp;"|"&amp;W891&amp;"|"&amp;C891&amp;"|"&amp;E891)</f>
        <v/>
      </c>
      <c r="AD891" s="39">
        <f>IF(AC891="","",IF(COUNTIF(AC$6:AC891,AC891)=1,1,0))</f>
        <v/>
      </c>
      <c r="AE891" s="39">
        <f>IF(AB891=0,"",IF(COUNTIFS(X$6:X891,X891,AB$6:AB891,AB891)=1,1,0))</f>
        <v/>
      </c>
      <c r="AF891" s="34">
        <f>IF(C891="","",YEAR(C891-WEEKDAY(C891,2)+4)&amp;"-S"&amp;TEXT(INT((C891-DATE(YEAR(C891-WEEKDAY(C891,2)+4),1,3)+WEEKDAY(DATE(YEAR(C891-WEEKDAY(C891,2)+4),1,3),2)+5)/7),"00"))</f>
        <v/>
      </c>
    </row>
    <row r="892" ht="18" customHeight="1">
      <c r="A892" s="39" t="n">
        <v>887</v>
      </c>
      <c r="B892" s="33">
        <f>IF(C892="","",IF(P892="À RENSEIGNER","GIC",P892)&amp;"-C"&amp;TEXT(A892,"00000"))</f>
        <v/>
      </c>
      <c r="C892" s="32" t="n"/>
      <c r="D892" s="36" t="n"/>
      <c r="E892" s="36" t="n"/>
      <c r="F892" s="36" t="n"/>
      <c r="G892" s="42" t="n"/>
      <c r="H892" s="37" t="n"/>
      <c r="I892" s="37" t="n"/>
      <c r="J892" s="32" t="n"/>
      <c r="K892" s="32" t="n"/>
      <c r="L892" s="43" t="n"/>
      <c r="M892" s="36" t="n"/>
      <c r="N892" s="44" t="n"/>
      <c r="O892" s="36" t="n"/>
      <c r="P892" s="33">
        <f>IF(C892="","",Commercial_Id)</f>
        <v/>
      </c>
      <c r="Q892" s="34">
        <f>IF(AC892="","",IF(AD892=1,"C"&amp;TEXT(SUM(AD$6:AD892),"0000"),INDEX(Q$6:Q891,MATCH(AC892,AC$6:AC891,0))))</f>
        <v/>
      </c>
      <c r="R892" s="34">
        <f>IF(C892="","",IF(L892="☑ Oui","Annulée",IF(OR(E892="Vente directe",K892&lt;&gt;""),"Livrée",IF(J892&lt;&gt;"","Confirmée","En attente"))))</f>
        <v/>
      </c>
      <c r="S892" s="34">
        <f>IF(F892="","",IFERROR(VLOOKUP(F892,T_Produits,2,FALSE),""))</f>
        <v/>
      </c>
      <c r="T892" s="40">
        <f>IF(F892="","",IFERROR(1/(1/VLOOKUP(F892,T_Produits,3,FALSE)),""))</f>
        <v/>
      </c>
      <c r="U892" s="40">
        <f>IF(H892&lt;&gt;"",H892,T892)</f>
        <v/>
      </c>
      <c r="V892" s="40">
        <f>IF(OR(G892="",U892=""),"",G892*U892-N(I892))</f>
        <v/>
      </c>
      <c r="W892" s="39">
        <f>IF(D892="","",IFERROR(VALUE(MID(D892,LEN(D892)-3,3)),""))</f>
        <v/>
      </c>
      <c r="X892" s="33">
        <f>IF(W892="","",P892&amp;"|"&amp;W892)</f>
        <v/>
      </c>
      <c r="Y892" s="33">
        <f>IF(W892="","",IF(P892="À RENSEIGNER","GIC",P892)&amp;"-"&amp;TEXT(W892,"000"))</f>
        <v/>
      </c>
      <c r="Z892" s="33">
        <f>IF(X892="","",IFERROR(INDEX(Cl_nom,MATCH(X892,Cl_cle,0)),"(client introuvable)"))</f>
        <v/>
      </c>
      <c r="AA892" s="33">
        <f>IF(X892="","",IFERROR(INDEX(Cl_quartier,MATCH(X892,Cl_cle,0))&amp;"",""))</f>
        <v/>
      </c>
      <c r="AB892" s="45">
        <f>IF(R892&lt;&gt;"Livrée",0,IF(K892&lt;&gt;"",K892,C892))</f>
        <v/>
      </c>
      <c r="AC892" s="33">
        <f>IF(OR(C892="",W892=""),"",P892&amp;"|"&amp;W892&amp;"|"&amp;C892&amp;"|"&amp;E892)</f>
        <v/>
      </c>
      <c r="AD892" s="39">
        <f>IF(AC892="","",IF(COUNTIF(AC$6:AC892,AC892)=1,1,0))</f>
        <v/>
      </c>
      <c r="AE892" s="39">
        <f>IF(AB892=0,"",IF(COUNTIFS(X$6:X892,X892,AB$6:AB892,AB892)=1,1,0))</f>
        <v/>
      </c>
      <c r="AF892" s="34">
        <f>IF(C892="","",YEAR(C892-WEEKDAY(C892,2)+4)&amp;"-S"&amp;TEXT(INT((C892-DATE(YEAR(C892-WEEKDAY(C892,2)+4),1,3)+WEEKDAY(DATE(YEAR(C892-WEEKDAY(C892,2)+4),1,3),2)+5)/7),"00"))</f>
        <v/>
      </c>
    </row>
    <row r="893" ht="18" customHeight="1">
      <c r="A893" s="39" t="n">
        <v>888</v>
      </c>
      <c r="B893" s="33">
        <f>IF(C893="","",IF(P893="À RENSEIGNER","GIC",P893)&amp;"-C"&amp;TEXT(A893,"00000"))</f>
        <v/>
      </c>
      <c r="C893" s="32" t="n"/>
      <c r="D893" s="36" t="n"/>
      <c r="E893" s="36" t="n"/>
      <c r="F893" s="36" t="n"/>
      <c r="G893" s="42" t="n"/>
      <c r="H893" s="37" t="n"/>
      <c r="I893" s="37" t="n"/>
      <c r="J893" s="32" t="n"/>
      <c r="K893" s="32" t="n"/>
      <c r="L893" s="43" t="n"/>
      <c r="M893" s="36" t="n"/>
      <c r="N893" s="44" t="n"/>
      <c r="O893" s="36" t="n"/>
      <c r="P893" s="33">
        <f>IF(C893="","",Commercial_Id)</f>
        <v/>
      </c>
      <c r="Q893" s="34">
        <f>IF(AC893="","",IF(AD893=1,"C"&amp;TEXT(SUM(AD$6:AD893),"0000"),INDEX(Q$6:Q892,MATCH(AC893,AC$6:AC892,0))))</f>
        <v/>
      </c>
      <c r="R893" s="34">
        <f>IF(C893="","",IF(L893="☑ Oui","Annulée",IF(OR(E893="Vente directe",K893&lt;&gt;""),"Livrée",IF(J893&lt;&gt;"","Confirmée","En attente"))))</f>
        <v/>
      </c>
      <c r="S893" s="34">
        <f>IF(F893="","",IFERROR(VLOOKUP(F893,T_Produits,2,FALSE),""))</f>
        <v/>
      </c>
      <c r="T893" s="40">
        <f>IF(F893="","",IFERROR(1/(1/VLOOKUP(F893,T_Produits,3,FALSE)),""))</f>
        <v/>
      </c>
      <c r="U893" s="40">
        <f>IF(H893&lt;&gt;"",H893,T893)</f>
        <v/>
      </c>
      <c r="V893" s="40">
        <f>IF(OR(G893="",U893=""),"",G893*U893-N(I893))</f>
        <v/>
      </c>
      <c r="W893" s="39">
        <f>IF(D893="","",IFERROR(VALUE(MID(D893,LEN(D893)-3,3)),""))</f>
        <v/>
      </c>
      <c r="X893" s="33">
        <f>IF(W893="","",P893&amp;"|"&amp;W893)</f>
        <v/>
      </c>
      <c r="Y893" s="33">
        <f>IF(W893="","",IF(P893="À RENSEIGNER","GIC",P893)&amp;"-"&amp;TEXT(W893,"000"))</f>
        <v/>
      </c>
      <c r="Z893" s="33">
        <f>IF(X893="","",IFERROR(INDEX(Cl_nom,MATCH(X893,Cl_cle,0)),"(client introuvable)"))</f>
        <v/>
      </c>
      <c r="AA893" s="33">
        <f>IF(X893="","",IFERROR(INDEX(Cl_quartier,MATCH(X893,Cl_cle,0))&amp;"",""))</f>
        <v/>
      </c>
      <c r="AB893" s="45">
        <f>IF(R893&lt;&gt;"Livrée",0,IF(K893&lt;&gt;"",K893,C893))</f>
        <v/>
      </c>
      <c r="AC893" s="33">
        <f>IF(OR(C893="",W893=""),"",P893&amp;"|"&amp;W893&amp;"|"&amp;C893&amp;"|"&amp;E893)</f>
        <v/>
      </c>
      <c r="AD893" s="39">
        <f>IF(AC893="","",IF(COUNTIF(AC$6:AC893,AC893)=1,1,0))</f>
        <v/>
      </c>
      <c r="AE893" s="39">
        <f>IF(AB893=0,"",IF(COUNTIFS(X$6:X893,X893,AB$6:AB893,AB893)=1,1,0))</f>
        <v/>
      </c>
      <c r="AF893" s="34">
        <f>IF(C893="","",YEAR(C893-WEEKDAY(C893,2)+4)&amp;"-S"&amp;TEXT(INT((C893-DATE(YEAR(C893-WEEKDAY(C893,2)+4),1,3)+WEEKDAY(DATE(YEAR(C893-WEEKDAY(C893,2)+4),1,3),2)+5)/7),"00"))</f>
        <v/>
      </c>
    </row>
    <row r="894" ht="18" customHeight="1">
      <c r="A894" s="39" t="n">
        <v>889</v>
      </c>
      <c r="B894" s="33">
        <f>IF(C894="","",IF(P894="À RENSEIGNER","GIC",P894)&amp;"-C"&amp;TEXT(A894,"00000"))</f>
        <v/>
      </c>
      <c r="C894" s="32" t="n"/>
      <c r="D894" s="36" t="n"/>
      <c r="E894" s="36" t="n"/>
      <c r="F894" s="36" t="n"/>
      <c r="G894" s="42" t="n"/>
      <c r="H894" s="37" t="n"/>
      <c r="I894" s="37" t="n"/>
      <c r="J894" s="32" t="n"/>
      <c r="K894" s="32" t="n"/>
      <c r="L894" s="43" t="n"/>
      <c r="M894" s="36" t="n"/>
      <c r="N894" s="44" t="n"/>
      <c r="O894" s="36" t="n"/>
      <c r="P894" s="33">
        <f>IF(C894="","",Commercial_Id)</f>
        <v/>
      </c>
      <c r="Q894" s="34">
        <f>IF(AC894="","",IF(AD894=1,"C"&amp;TEXT(SUM(AD$6:AD894),"0000"),INDEX(Q$6:Q893,MATCH(AC894,AC$6:AC893,0))))</f>
        <v/>
      </c>
      <c r="R894" s="34">
        <f>IF(C894="","",IF(L894="☑ Oui","Annulée",IF(OR(E894="Vente directe",K894&lt;&gt;""),"Livrée",IF(J894&lt;&gt;"","Confirmée","En attente"))))</f>
        <v/>
      </c>
      <c r="S894" s="34">
        <f>IF(F894="","",IFERROR(VLOOKUP(F894,T_Produits,2,FALSE),""))</f>
        <v/>
      </c>
      <c r="T894" s="40">
        <f>IF(F894="","",IFERROR(1/(1/VLOOKUP(F894,T_Produits,3,FALSE)),""))</f>
        <v/>
      </c>
      <c r="U894" s="40">
        <f>IF(H894&lt;&gt;"",H894,T894)</f>
        <v/>
      </c>
      <c r="V894" s="40">
        <f>IF(OR(G894="",U894=""),"",G894*U894-N(I894))</f>
        <v/>
      </c>
      <c r="W894" s="39">
        <f>IF(D894="","",IFERROR(VALUE(MID(D894,LEN(D894)-3,3)),""))</f>
        <v/>
      </c>
      <c r="X894" s="33">
        <f>IF(W894="","",P894&amp;"|"&amp;W894)</f>
        <v/>
      </c>
      <c r="Y894" s="33">
        <f>IF(W894="","",IF(P894="À RENSEIGNER","GIC",P894)&amp;"-"&amp;TEXT(W894,"000"))</f>
        <v/>
      </c>
      <c r="Z894" s="33">
        <f>IF(X894="","",IFERROR(INDEX(Cl_nom,MATCH(X894,Cl_cle,0)),"(client introuvable)"))</f>
        <v/>
      </c>
      <c r="AA894" s="33">
        <f>IF(X894="","",IFERROR(INDEX(Cl_quartier,MATCH(X894,Cl_cle,0))&amp;"",""))</f>
        <v/>
      </c>
      <c r="AB894" s="45">
        <f>IF(R894&lt;&gt;"Livrée",0,IF(K894&lt;&gt;"",K894,C894))</f>
        <v/>
      </c>
      <c r="AC894" s="33">
        <f>IF(OR(C894="",W894=""),"",P894&amp;"|"&amp;W894&amp;"|"&amp;C894&amp;"|"&amp;E894)</f>
        <v/>
      </c>
      <c r="AD894" s="39">
        <f>IF(AC894="","",IF(COUNTIF(AC$6:AC894,AC894)=1,1,0))</f>
        <v/>
      </c>
      <c r="AE894" s="39">
        <f>IF(AB894=0,"",IF(COUNTIFS(X$6:X894,X894,AB$6:AB894,AB894)=1,1,0))</f>
        <v/>
      </c>
      <c r="AF894" s="34">
        <f>IF(C894="","",YEAR(C894-WEEKDAY(C894,2)+4)&amp;"-S"&amp;TEXT(INT((C894-DATE(YEAR(C894-WEEKDAY(C894,2)+4),1,3)+WEEKDAY(DATE(YEAR(C894-WEEKDAY(C894,2)+4),1,3),2)+5)/7),"00"))</f>
        <v/>
      </c>
    </row>
    <row r="895" ht="18" customHeight="1">
      <c r="A895" s="39" t="n">
        <v>890</v>
      </c>
      <c r="B895" s="33">
        <f>IF(C895="","",IF(P895="À RENSEIGNER","GIC",P895)&amp;"-C"&amp;TEXT(A895,"00000"))</f>
        <v/>
      </c>
      <c r="C895" s="32" t="n"/>
      <c r="D895" s="36" t="n"/>
      <c r="E895" s="36" t="n"/>
      <c r="F895" s="36" t="n"/>
      <c r="G895" s="42" t="n"/>
      <c r="H895" s="37" t="n"/>
      <c r="I895" s="37" t="n"/>
      <c r="J895" s="32" t="n"/>
      <c r="K895" s="32" t="n"/>
      <c r="L895" s="43" t="n"/>
      <c r="M895" s="36" t="n"/>
      <c r="N895" s="44" t="n"/>
      <c r="O895" s="36" t="n"/>
      <c r="P895" s="33">
        <f>IF(C895="","",Commercial_Id)</f>
        <v/>
      </c>
      <c r="Q895" s="34">
        <f>IF(AC895="","",IF(AD895=1,"C"&amp;TEXT(SUM(AD$6:AD895),"0000"),INDEX(Q$6:Q894,MATCH(AC895,AC$6:AC894,0))))</f>
        <v/>
      </c>
      <c r="R895" s="34">
        <f>IF(C895="","",IF(L895="☑ Oui","Annulée",IF(OR(E895="Vente directe",K895&lt;&gt;""),"Livrée",IF(J895&lt;&gt;"","Confirmée","En attente"))))</f>
        <v/>
      </c>
      <c r="S895" s="34">
        <f>IF(F895="","",IFERROR(VLOOKUP(F895,T_Produits,2,FALSE),""))</f>
        <v/>
      </c>
      <c r="T895" s="40">
        <f>IF(F895="","",IFERROR(1/(1/VLOOKUP(F895,T_Produits,3,FALSE)),""))</f>
        <v/>
      </c>
      <c r="U895" s="40">
        <f>IF(H895&lt;&gt;"",H895,T895)</f>
        <v/>
      </c>
      <c r="V895" s="40">
        <f>IF(OR(G895="",U895=""),"",G895*U895-N(I895))</f>
        <v/>
      </c>
      <c r="W895" s="39">
        <f>IF(D895="","",IFERROR(VALUE(MID(D895,LEN(D895)-3,3)),""))</f>
        <v/>
      </c>
      <c r="X895" s="33">
        <f>IF(W895="","",P895&amp;"|"&amp;W895)</f>
        <v/>
      </c>
      <c r="Y895" s="33">
        <f>IF(W895="","",IF(P895="À RENSEIGNER","GIC",P895)&amp;"-"&amp;TEXT(W895,"000"))</f>
        <v/>
      </c>
      <c r="Z895" s="33">
        <f>IF(X895="","",IFERROR(INDEX(Cl_nom,MATCH(X895,Cl_cle,0)),"(client introuvable)"))</f>
        <v/>
      </c>
      <c r="AA895" s="33">
        <f>IF(X895="","",IFERROR(INDEX(Cl_quartier,MATCH(X895,Cl_cle,0))&amp;"",""))</f>
        <v/>
      </c>
      <c r="AB895" s="45">
        <f>IF(R895&lt;&gt;"Livrée",0,IF(K895&lt;&gt;"",K895,C895))</f>
        <v/>
      </c>
      <c r="AC895" s="33">
        <f>IF(OR(C895="",W895=""),"",P895&amp;"|"&amp;W895&amp;"|"&amp;C895&amp;"|"&amp;E895)</f>
        <v/>
      </c>
      <c r="AD895" s="39">
        <f>IF(AC895="","",IF(COUNTIF(AC$6:AC895,AC895)=1,1,0))</f>
        <v/>
      </c>
      <c r="AE895" s="39">
        <f>IF(AB895=0,"",IF(COUNTIFS(X$6:X895,X895,AB$6:AB895,AB895)=1,1,0))</f>
        <v/>
      </c>
      <c r="AF895" s="34">
        <f>IF(C895="","",YEAR(C895-WEEKDAY(C895,2)+4)&amp;"-S"&amp;TEXT(INT((C895-DATE(YEAR(C895-WEEKDAY(C895,2)+4),1,3)+WEEKDAY(DATE(YEAR(C895-WEEKDAY(C895,2)+4),1,3),2)+5)/7),"00"))</f>
        <v/>
      </c>
    </row>
    <row r="896" ht="18" customHeight="1">
      <c r="A896" s="39" t="n">
        <v>891</v>
      </c>
      <c r="B896" s="33">
        <f>IF(C896="","",IF(P896="À RENSEIGNER","GIC",P896)&amp;"-C"&amp;TEXT(A896,"00000"))</f>
        <v/>
      </c>
      <c r="C896" s="32" t="n"/>
      <c r="D896" s="36" t="n"/>
      <c r="E896" s="36" t="n"/>
      <c r="F896" s="36" t="n"/>
      <c r="G896" s="42" t="n"/>
      <c r="H896" s="37" t="n"/>
      <c r="I896" s="37" t="n"/>
      <c r="J896" s="32" t="n"/>
      <c r="K896" s="32" t="n"/>
      <c r="L896" s="43" t="n"/>
      <c r="M896" s="36" t="n"/>
      <c r="N896" s="44" t="n"/>
      <c r="O896" s="36" t="n"/>
      <c r="P896" s="33">
        <f>IF(C896="","",Commercial_Id)</f>
        <v/>
      </c>
      <c r="Q896" s="34">
        <f>IF(AC896="","",IF(AD896=1,"C"&amp;TEXT(SUM(AD$6:AD896),"0000"),INDEX(Q$6:Q895,MATCH(AC896,AC$6:AC895,0))))</f>
        <v/>
      </c>
      <c r="R896" s="34">
        <f>IF(C896="","",IF(L896="☑ Oui","Annulée",IF(OR(E896="Vente directe",K896&lt;&gt;""),"Livrée",IF(J896&lt;&gt;"","Confirmée","En attente"))))</f>
        <v/>
      </c>
      <c r="S896" s="34">
        <f>IF(F896="","",IFERROR(VLOOKUP(F896,T_Produits,2,FALSE),""))</f>
        <v/>
      </c>
      <c r="T896" s="40">
        <f>IF(F896="","",IFERROR(1/(1/VLOOKUP(F896,T_Produits,3,FALSE)),""))</f>
        <v/>
      </c>
      <c r="U896" s="40">
        <f>IF(H896&lt;&gt;"",H896,T896)</f>
        <v/>
      </c>
      <c r="V896" s="40">
        <f>IF(OR(G896="",U896=""),"",G896*U896-N(I896))</f>
        <v/>
      </c>
      <c r="W896" s="39">
        <f>IF(D896="","",IFERROR(VALUE(MID(D896,LEN(D896)-3,3)),""))</f>
        <v/>
      </c>
      <c r="X896" s="33">
        <f>IF(W896="","",P896&amp;"|"&amp;W896)</f>
        <v/>
      </c>
      <c r="Y896" s="33">
        <f>IF(W896="","",IF(P896="À RENSEIGNER","GIC",P896)&amp;"-"&amp;TEXT(W896,"000"))</f>
        <v/>
      </c>
      <c r="Z896" s="33">
        <f>IF(X896="","",IFERROR(INDEX(Cl_nom,MATCH(X896,Cl_cle,0)),"(client introuvable)"))</f>
        <v/>
      </c>
      <c r="AA896" s="33">
        <f>IF(X896="","",IFERROR(INDEX(Cl_quartier,MATCH(X896,Cl_cle,0))&amp;"",""))</f>
        <v/>
      </c>
      <c r="AB896" s="45">
        <f>IF(R896&lt;&gt;"Livrée",0,IF(K896&lt;&gt;"",K896,C896))</f>
        <v/>
      </c>
      <c r="AC896" s="33">
        <f>IF(OR(C896="",W896=""),"",P896&amp;"|"&amp;W896&amp;"|"&amp;C896&amp;"|"&amp;E896)</f>
        <v/>
      </c>
      <c r="AD896" s="39">
        <f>IF(AC896="","",IF(COUNTIF(AC$6:AC896,AC896)=1,1,0))</f>
        <v/>
      </c>
      <c r="AE896" s="39">
        <f>IF(AB896=0,"",IF(COUNTIFS(X$6:X896,X896,AB$6:AB896,AB896)=1,1,0))</f>
        <v/>
      </c>
      <c r="AF896" s="34">
        <f>IF(C896="","",YEAR(C896-WEEKDAY(C896,2)+4)&amp;"-S"&amp;TEXT(INT((C896-DATE(YEAR(C896-WEEKDAY(C896,2)+4),1,3)+WEEKDAY(DATE(YEAR(C896-WEEKDAY(C896,2)+4),1,3),2)+5)/7),"00"))</f>
        <v/>
      </c>
    </row>
    <row r="897" ht="18" customHeight="1">
      <c r="A897" s="39" t="n">
        <v>892</v>
      </c>
      <c r="B897" s="33">
        <f>IF(C897="","",IF(P897="À RENSEIGNER","GIC",P897)&amp;"-C"&amp;TEXT(A897,"00000"))</f>
        <v/>
      </c>
      <c r="C897" s="32" t="n"/>
      <c r="D897" s="36" t="n"/>
      <c r="E897" s="36" t="n"/>
      <c r="F897" s="36" t="n"/>
      <c r="G897" s="42" t="n"/>
      <c r="H897" s="37" t="n"/>
      <c r="I897" s="37" t="n"/>
      <c r="J897" s="32" t="n"/>
      <c r="K897" s="32" t="n"/>
      <c r="L897" s="43" t="n"/>
      <c r="M897" s="36" t="n"/>
      <c r="N897" s="44" t="n"/>
      <c r="O897" s="36" t="n"/>
      <c r="P897" s="33">
        <f>IF(C897="","",Commercial_Id)</f>
        <v/>
      </c>
      <c r="Q897" s="34">
        <f>IF(AC897="","",IF(AD897=1,"C"&amp;TEXT(SUM(AD$6:AD897),"0000"),INDEX(Q$6:Q896,MATCH(AC897,AC$6:AC896,0))))</f>
        <v/>
      </c>
      <c r="R897" s="34">
        <f>IF(C897="","",IF(L897="☑ Oui","Annulée",IF(OR(E897="Vente directe",K897&lt;&gt;""),"Livrée",IF(J897&lt;&gt;"","Confirmée","En attente"))))</f>
        <v/>
      </c>
      <c r="S897" s="34">
        <f>IF(F897="","",IFERROR(VLOOKUP(F897,T_Produits,2,FALSE),""))</f>
        <v/>
      </c>
      <c r="T897" s="40">
        <f>IF(F897="","",IFERROR(1/(1/VLOOKUP(F897,T_Produits,3,FALSE)),""))</f>
        <v/>
      </c>
      <c r="U897" s="40">
        <f>IF(H897&lt;&gt;"",H897,T897)</f>
        <v/>
      </c>
      <c r="V897" s="40">
        <f>IF(OR(G897="",U897=""),"",G897*U897-N(I897))</f>
        <v/>
      </c>
      <c r="W897" s="39">
        <f>IF(D897="","",IFERROR(VALUE(MID(D897,LEN(D897)-3,3)),""))</f>
        <v/>
      </c>
      <c r="X897" s="33">
        <f>IF(W897="","",P897&amp;"|"&amp;W897)</f>
        <v/>
      </c>
      <c r="Y897" s="33">
        <f>IF(W897="","",IF(P897="À RENSEIGNER","GIC",P897)&amp;"-"&amp;TEXT(W897,"000"))</f>
        <v/>
      </c>
      <c r="Z897" s="33">
        <f>IF(X897="","",IFERROR(INDEX(Cl_nom,MATCH(X897,Cl_cle,0)),"(client introuvable)"))</f>
        <v/>
      </c>
      <c r="AA897" s="33">
        <f>IF(X897="","",IFERROR(INDEX(Cl_quartier,MATCH(X897,Cl_cle,0))&amp;"",""))</f>
        <v/>
      </c>
      <c r="AB897" s="45">
        <f>IF(R897&lt;&gt;"Livrée",0,IF(K897&lt;&gt;"",K897,C897))</f>
        <v/>
      </c>
      <c r="AC897" s="33">
        <f>IF(OR(C897="",W897=""),"",P897&amp;"|"&amp;W897&amp;"|"&amp;C897&amp;"|"&amp;E897)</f>
        <v/>
      </c>
      <c r="AD897" s="39">
        <f>IF(AC897="","",IF(COUNTIF(AC$6:AC897,AC897)=1,1,0))</f>
        <v/>
      </c>
      <c r="AE897" s="39">
        <f>IF(AB897=0,"",IF(COUNTIFS(X$6:X897,X897,AB$6:AB897,AB897)=1,1,0))</f>
        <v/>
      </c>
      <c r="AF897" s="34">
        <f>IF(C897="","",YEAR(C897-WEEKDAY(C897,2)+4)&amp;"-S"&amp;TEXT(INT((C897-DATE(YEAR(C897-WEEKDAY(C897,2)+4),1,3)+WEEKDAY(DATE(YEAR(C897-WEEKDAY(C897,2)+4),1,3),2)+5)/7),"00"))</f>
        <v/>
      </c>
    </row>
    <row r="898" ht="18" customHeight="1">
      <c r="A898" s="39" t="n">
        <v>893</v>
      </c>
      <c r="B898" s="33">
        <f>IF(C898="","",IF(P898="À RENSEIGNER","GIC",P898)&amp;"-C"&amp;TEXT(A898,"00000"))</f>
        <v/>
      </c>
      <c r="C898" s="32" t="n"/>
      <c r="D898" s="36" t="n"/>
      <c r="E898" s="36" t="n"/>
      <c r="F898" s="36" t="n"/>
      <c r="G898" s="42" t="n"/>
      <c r="H898" s="37" t="n"/>
      <c r="I898" s="37" t="n"/>
      <c r="J898" s="32" t="n"/>
      <c r="K898" s="32" t="n"/>
      <c r="L898" s="43" t="n"/>
      <c r="M898" s="36" t="n"/>
      <c r="N898" s="44" t="n"/>
      <c r="O898" s="36" t="n"/>
      <c r="P898" s="33">
        <f>IF(C898="","",Commercial_Id)</f>
        <v/>
      </c>
      <c r="Q898" s="34">
        <f>IF(AC898="","",IF(AD898=1,"C"&amp;TEXT(SUM(AD$6:AD898),"0000"),INDEX(Q$6:Q897,MATCH(AC898,AC$6:AC897,0))))</f>
        <v/>
      </c>
      <c r="R898" s="34">
        <f>IF(C898="","",IF(L898="☑ Oui","Annulée",IF(OR(E898="Vente directe",K898&lt;&gt;""),"Livrée",IF(J898&lt;&gt;"","Confirmée","En attente"))))</f>
        <v/>
      </c>
      <c r="S898" s="34">
        <f>IF(F898="","",IFERROR(VLOOKUP(F898,T_Produits,2,FALSE),""))</f>
        <v/>
      </c>
      <c r="T898" s="40">
        <f>IF(F898="","",IFERROR(1/(1/VLOOKUP(F898,T_Produits,3,FALSE)),""))</f>
        <v/>
      </c>
      <c r="U898" s="40">
        <f>IF(H898&lt;&gt;"",H898,T898)</f>
        <v/>
      </c>
      <c r="V898" s="40">
        <f>IF(OR(G898="",U898=""),"",G898*U898-N(I898))</f>
        <v/>
      </c>
      <c r="W898" s="39">
        <f>IF(D898="","",IFERROR(VALUE(MID(D898,LEN(D898)-3,3)),""))</f>
        <v/>
      </c>
      <c r="X898" s="33">
        <f>IF(W898="","",P898&amp;"|"&amp;W898)</f>
        <v/>
      </c>
      <c r="Y898" s="33">
        <f>IF(W898="","",IF(P898="À RENSEIGNER","GIC",P898)&amp;"-"&amp;TEXT(W898,"000"))</f>
        <v/>
      </c>
      <c r="Z898" s="33">
        <f>IF(X898="","",IFERROR(INDEX(Cl_nom,MATCH(X898,Cl_cle,0)),"(client introuvable)"))</f>
        <v/>
      </c>
      <c r="AA898" s="33">
        <f>IF(X898="","",IFERROR(INDEX(Cl_quartier,MATCH(X898,Cl_cle,0))&amp;"",""))</f>
        <v/>
      </c>
      <c r="AB898" s="45">
        <f>IF(R898&lt;&gt;"Livrée",0,IF(K898&lt;&gt;"",K898,C898))</f>
        <v/>
      </c>
      <c r="AC898" s="33">
        <f>IF(OR(C898="",W898=""),"",P898&amp;"|"&amp;W898&amp;"|"&amp;C898&amp;"|"&amp;E898)</f>
        <v/>
      </c>
      <c r="AD898" s="39">
        <f>IF(AC898="","",IF(COUNTIF(AC$6:AC898,AC898)=1,1,0))</f>
        <v/>
      </c>
      <c r="AE898" s="39">
        <f>IF(AB898=0,"",IF(COUNTIFS(X$6:X898,X898,AB$6:AB898,AB898)=1,1,0))</f>
        <v/>
      </c>
      <c r="AF898" s="34">
        <f>IF(C898="","",YEAR(C898-WEEKDAY(C898,2)+4)&amp;"-S"&amp;TEXT(INT((C898-DATE(YEAR(C898-WEEKDAY(C898,2)+4),1,3)+WEEKDAY(DATE(YEAR(C898-WEEKDAY(C898,2)+4),1,3),2)+5)/7),"00"))</f>
        <v/>
      </c>
    </row>
    <row r="899" ht="18" customHeight="1">
      <c r="A899" s="39" t="n">
        <v>894</v>
      </c>
      <c r="B899" s="33">
        <f>IF(C899="","",IF(P899="À RENSEIGNER","GIC",P899)&amp;"-C"&amp;TEXT(A899,"00000"))</f>
        <v/>
      </c>
      <c r="C899" s="32" t="n"/>
      <c r="D899" s="36" t="n"/>
      <c r="E899" s="36" t="n"/>
      <c r="F899" s="36" t="n"/>
      <c r="G899" s="42" t="n"/>
      <c r="H899" s="37" t="n"/>
      <c r="I899" s="37" t="n"/>
      <c r="J899" s="32" t="n"/>
      <c r="K899" s="32" t="n"/>
      <c r="L899" s="43" t="n"/>
      <c r="M899" s="36" t="n"/>
      <c r="N899" s="44" t="n"/>
      <c r="O899" s="36" t="n"/>
      <c r="P899" s="33">
        <f>IF(C899="","",Commercial_Id)</f>
        <v/>
      </c>
      <c r="Q899" s="34">
        <f>IF(AC899="","",IF(AD899=1,"C"&amp;TEXT(SUM(AD$6:AD899),"0000"),INDEX(Q$6:Q898,MATCH(AC899,AC$6:AC898,0))))</f>
        <v/>
      </c>
      <c r="R899" s="34">
        <f>IF(C899="","",IF(L899="☑ Oui","Annulée",IF(OR(E899="Vente directe",K899&lt;&gt;""),"Livrée",IF(J899&lt;&gt;"","Confirmée","En attente"))))</f>
        <v/>
      </c>
      <c r="S899" s="34">
        <f>IF(F899="","",IFERROR(VLOOKUP(F899,T_Produits,2,FALSE),""))</f>
        <v/>
      </c>
      <c r="T899" s="40">
        <f>IF(F899="","",IFERROR(1/(1/VLOOKUP(F899,T_Produits,3,FALSE)),""))</f>
        <v/>
      </c>
      <c r="U899" s="40">
        <f>IF(H899&lt;&gt;"",H899,T899)</f>
        <v/>
      </c>
      <c r="V899" s="40">
        <f>IF(OR(G899="",U899=""),"",G899*U899-N(I899))</f>
        <v/>
      </c>
      <c r="W899" s="39">
        <f>IF(D899="","",IFERROR(VALUE(MID(D899,LEN(D899)-3,3)),""))</f>
        <v/>
      </c>
      <c r="X899" s="33">
        <f>IF(W899="","",P899&amp;"|"&amp;W899)</f>
        <v/>
      </c>
      <c r="Y899" s="33">
        <f>IF(W899="","",IF(P899="À RENSEIGNER","GIC",P899)&amp;"-"&amp;TEXT(W899,"000"))</f>
        <v/>
      </c>
      <c r="Z899" s="33">
        <f>IF(X899="","",IFERROR(INDEX(Cl_nom,MATCH(X899,Cl_cle,0)),"(client introuvable)"))</f>
        <v/>
      </c>
      <c r="AA899" s="33">
        <f>IF(X899="","",IFERROR(INDEX(Cl_quartier,MATCH(X899,Cl_cle,0))&amp;"",""))</f>
        <v/>
      </c>
      <c r="AB899" s="45">
        <f>IF(R899&lt;&gt;"Livrée",0,IF(K899&lt;&gt;"",K899,C899))</f>
        <v/>
      </c>
      <c r="AC899" s="33">
        <f>IF(OR(C899="",W899=""),"",P899&amp;"|"&amp;W899&amp;"|"&amp;C899&amp;"|"&amp;E899)</f>
        <v/>
      </c>
      <c r="AD899" s="39">
        <f>IF(AC899="","",IF(COUNTIF(AC$6:AC899,AC899)=1,1,0))</f>
        <v/>
      </c>
      <c r="AE899" s="39">
        <f>IF(AB899=0,"",IF(COUNTIFS(X$6:X899,X899,AB$6:AB899,AB899)=1,1,0))</f>
        <v/>
      </c>
      <c r="AF899" s="34">
        <f>IF(C899="","",YEAR(C899-WEEKDAY(C899,2)+4)&amp;"-S"&amp;TEXT(INT((C899-DATE(YEAR(C899-WEEKDAY(C899,2)+4),1,3)+WEEKDAY(DATE(YEAR(C899-WEEKDAY(C899,2)+4),1,3),2)+5)/7),"00"))</f>
        <v/>
      </c>
    </row>
    <row r="900" ht="18" customHeight="1">
      <c r="A900" s="39" t="n">
        <v>895</v>
      </c>
      <c r="B900" s="33">
        <f>IF(C900="","",IF(P900="À RENSEIGNER","GIC",P900)&amp;"-C"&amp;TEXT(A900,"00000"))</f>
        <v/>
      </c>
      <c r="C900" s="32" t="n"/>
      <c r="D900" s="36" t="n"/>
      <c r="E900" s="36" t="n"/>
      <c r="F900" s="36" t="n"/>
      <c r="G900" s="42" t="n"/>
      <c r="H900" s="37" t="n"/>
      <c r="I900" s="37" t="n"/>
      <c r="J900" s="32" t="n"/>
      <c r="K900" s="32" t="n"/>
      <c r="L900" s="43" t="n"/>
      <c r="M900" s="36" t="n"/>
      <c r="N900" s="44" t="n"/>
      <c r="O900" s="36" t="n"/>
      <c r="P900" s="33">
        <f>IF(C900="","",Commercial_Id)</f>
        <v/>
      </c>
      <c r="Q900" s="34">
        <f>IF(AC900="","",IF(AD900=1,"C"&amp;TEXT(SUM(AD$6:AD900),"0000"),INDEX(Q$6:Q899,MATCH(AC900,AC$6:AC899,0))))</f>
        <v/>
      </c>
      <c r="R900" s="34">
        <f>IF(C900="","",IF(L900="☑ Oui","Annulée",IF(OR(E900="Vente directe",K900&lt;&gt;""),"Livrée",IF(J900&lt;&gt;"","Confirmée","En attente"))))</f>
        <v/>
      </c>
      <c r="S900" s="34">
        <f>IF(F900="","",IFERROR(VLOOKUP(F900,T_Produits,2,FALSE),""))</f>
        <v/>
      </c>
      <c r="T900" s="40">
        <f>IF(F900="","",IFERROR(1/(1/VLOOKUP(F900,T_Produits,3,FALSE)),""))</f>
        <v/>
      </c>
      <c r="U900" s="40">
        <f>IF(H900&lt;&gt;"",H900,T900)</f>
        <v/>
      </c>
      <c r="V900" s="40">
        <f>IF(OR(G900="",U900=""),"",G900*U900-N(I900))</f>
        <v/>
      </c>
      <c r="W900" s="39">
        <f>IF(D900="","",IFERROR(VALUE(MID(D900,LEN(D900)-3,3)),""))</f>
        <v/>
      </c>
      <c r="X900" s="33">
        <f>IF(W900="","",P900&amp;"|"&amp;W900)</f>
        <v/>
      </c>
      <c r="Y900" s="33">
        <f>IF(W900="","",IF(P900="À RENSEIGNER","GIC",P900)&amp;"-"&amp;TEXT(W900,"000"))</f>
        <v/>
      </c>
      <c r="Z900" s="33">
        <f>IF(X900="","",IFERROR(INDEX(Cl_nom,MATCH(X900,Cl_cle,0)),"(client introuvable)"))</f>
        <v/>
      </c>
      <c r="AA900" s="33">
        <f>IF(X900="","",IFERROR(INDEX(Cl_quartier,MATCH(X900,Cl_cle,0))&amp;"",""))</f>
        <v/>
      </c>
      <c r="AB900" s="45">
        <f>IF(R900&lt;&gt;"Livrée",0,IF(K900&lt;&gt;"",K900,C900))</f>
        <v/>
      </c>
      <c r="AC900" s="33">
        <f>IF(OR(C900="",W900=""),"",P900&amp;"|"&amp;W900&amp;"|"&amp;C900&amp;"|"&amp;E900)</f>
        <v/>
      </c>
      <c r="AD900" s="39">
        <f>IF(AC900="","",IF(COUNTIF(AC$6:AC900,AC900)=1,1,0))</f>
        <v/>
      </c>
      <c r="AE900" s="39">
        <f>IF(AB900=0,"",IF(COUNTIFS(X$6:X900,X900,AB$6:AB900,AB900)=1,1,0))</f>
        <v/>
      </c>
      <c r="AF900" s="34">
        <f>IF(C900="","",YEAR(C900-WEEKDAY(C900,2)+4)&amp;"-S"&amp;TEXT(INT((C900-DATE(YEAR(C900-WEEKDAY(C900,2)+4),1,3)+WEEKDAY(DATE(YEAR(C900-WEEKDAY(C900,2)+4),1,3),2)+5)/7),"00"))</f>
        <v/>
      </c>
    </row>
    <row r="901" ht="18" customHeight="1">
      <c r="A901" s="39" t="n">
        <v>896</v>
      </c>
      <c r="B901" s="33">
        <f>IF(C901="","",IF(P901="À RENSEIGNER","GIC",P901)&amp;"-C"&amp;TEXT(A901,"00000"))</f>
        <v/>
      </c>
      <c r="C901" s="32" t="n"/>
      <c r="D901" s="36" t="n"/>
      <c r="E901" s="36" t="n"/>
      <c r="F901" s="36" t="n"/>
      <c r="G901" s="42" t="n"/>
      <c r="H901" s="37" t="n"/>
      <c r="I901" s="37" t="n"/>
      <c r="J901" s="32" t="n"/>
      <c r="K901" s="32" t="n"/>
      <c r="L901" s="43" t="n"/>
      <c r="M901" s="36" t="n"/>
      <c r="N901" s="44" t="n"/>
      <c r="O901" s="36" t="n"/>
      <c r="P901" s="33">
        <f>IF(C901="","",Commercial_Id)</f>
        <v/>
      </c>
      <c r="Q901" s="34">
        <f>IF(AC901="","",IF(AD901=1,"C"&amp;TEXT(SUM(AD$6:AD901),"0000"),INDEX(Q$6:Q900,MATCH(AC901,AC$6:AC900,0))))</f>
        <v/>
      </c>
      <c r="R901" s="34">
        <f>IF(C901="","",IF(L901="☑ Oui","Annulée",IF(OR(E901="Vente directe",K901&lt;&gt;""),"Livrée",IF(J901&lt;&gt;"","Confirmée","En attente"))))</f>
        <v/>
      </c>
      <c r="S901" s="34">
        <f>IF(F901="","",IFERROR(VLOOKUP(F901,T_Produits,2,FALSE),""))</f>
        <v/>
      </c>
      <c r="T901" s="40">
        <f>IF(F901="","",IFERROR(1/(1/VLOOKUP(F901,T_Produits,3,FALSE)),""))</f>
        <v/>
      </c>
      <c r="U901" s="40">
        <f>IF(H901&lt;&gt;"",H901,T901)</f>
        <v/>
      </c>
      <c r="V901" s="40">
        <f>IF(OR(G901="",U901=""),"",G901*U901-N(I901))</f>
        <v/>
      </c>
      <c r="W901" s="39">
        <f>IF(D901="","",IFERROR(VALUE(MID(D901,LEN(D901)-3,3)),""))</f>
        <v/>
      </c>
      <c r="X901" s="33">
        <f>IF(W901="","",P901&amp;"|"&amp;W901)</f>
        <v/>
      </c>
      <c r="Y901" s="33">
        <f>IF(W901="","",IF(P901="À RENSEIGNER","GIC",P901)&amp;"-"&amp;TEXT(W901,"000"))</f>
        <v/>
      </c>
      <c r="Z901" s="33">
        <f>IF(X901="","",IFERROR(INDEX(Cl_nom,MATCH(X901,Cl_cle,0)),"(client introuvable)"))</f>
        <v/>
      </c>
      <c r="AA901" s="33">
        <f>IF(X901="","",IFERROR(INDEX(Cl_quartier,MATCH(X901,Cl_cle,0))&amp;"",""))</f>
        <v/>
      </c>
      <c r="AB901" s="45">
        <f>IF(R901&lt;&gt;"Livrée",0,IF(K901&lt;&gt;"",K901,C901))</f>
        <v/>
      </c>
      <c r="AC901" s="33">
        <f>IF(OR(C901="",W901=""),"",P901&amp;"|"&amp;W901&amp;"|"&amp;C901&amp;"|"&amp;E901)</f>
        <v/>
      </c>
      <c r="AD901" s="39">
        <f>IF(AC901="","",IF(COUNTIF(AC$6:AC901,AC901)=1,1,0))</f>
        <v/>
      </c>
      <c r="AE901" s="39">
        <f>IF(AB901=0,"",IF(COUNTIFS(X$6:X901,X901,AB$6:AB901,AB901)=1,1,0))</f>
        <v/>
      </c>
      <c r="AF901" s="34">
        <f>IF(C901="","",YEAR(C901-WEEKDAY(C901,2)+4)&amp;"-S"&amp;TEXT(INT((C901-DATE(YEAR(C901-WEEKDAY(C901,2)+4),1,3)+WEEKDAY(DATE(YEAR(C901-WEEKDAY(C901,2)+4),1,3),2)+5)/7),"00"))</f>
        <v/>
      </c>
    </row>
    <row r="902" ht="18" customHeight="1">
      <c r="A902" s="39" t="n">
        <v>897</v>
      </c>
      <c r="B902" s="33">
        <f>IF(C902="","",IF(P902="À RENSEIGNER","GIC",P902)&amp;"-C"&amp;TEXT(A902,"00000"))</f>
        <v/>
      </c>
      <c r="C902" s="32" t="n"/>
      <c r="D902" s="36" t="n"/>
      <c r="E902" s="36" t="n"/>
      <c r="F902" s="36" t="n"/>
      <c r="G902" s="42" t="n"/>
      <c r="H902" s="37" t="n"/>
      <c r="I902" s="37" t="n"/>
      <c r="J902" s="32" t="n"/>
      <c r="K902" s="32" t="n"/>
      <c r="L902" s="43" t="n"/>
      <c r="M902" s="36" t="n"/>
      <c r="N902" s="44" t="n"/>
      <c r="O902" s="36" t="n"/>
      <c r="P902" s="33">
        <f>IF(C902="","",Commercial_Id)</f>
        <v/>
      </c>
      <c r="Q902" s="34">
        <f>IF(AC902="","",IF(AD902=1,"C"&amp;TEXT(SUM(AD$6:AD902),"0000"),INDEX(Q$6:Q901,MATCH(AC902,AC$6:AC901,0))))</f>
        <v/>
      </c>
      <c r="R902" s="34">
        <f>IF(C902="","",IF(L902="☑ Oui","Annulée",IF(OR(E902="Vente directe",K902&lt;&gt;""),"Livrée",IF(J902&lt;&gt;"","Confirmée","En attente"))))</f>
        <v/>
      </c>
      <c r="S902" s="34">
        <f>IF(F902="","",IFERROR(VLOOKUP(F902,T_Produits,2,FALSE),""))</f>
        <v/>
      </c>
      <c r="T902" s="40">
        <f>IF(F902="","",IFERROR(1/(1/VLOOKUP(F902,T_Produits,3,FALSE)),""))</f>
        <v/>
      </c>
      <c r="U902" s="40">
        <f>IF(H902&lt;&gt;"",H902,T902)</f>
        <v/>
      </c>
      <c r="V902" s="40">
        <f>IF(OR(G902="",U902=""),"",G902*U902-N(I902))</f>
        <v/>
      </c>
      <c r="W902" s="39">
        <f>IF(D902="","",IFERROR(VALUE(MID(D902,LEN(D902)-3,3)),""))</f>
        <v/>
      </c>
      <c r="X902" s="33">
        <f>IF(W902="","",P902&amp;"|"&amp;W902)</f>
        <v/>
      </c>
      <c r="Y902" s="33">
        <f>IF(W902="","",IF(P902="À RENSEIGNER","GIC",P902)&amp;"-"&amp;TEXT(W902,"000"))</f>
        <v/>
      </c>
      <c r="Z902" s="33">
        <f>IF(X902="","",IFERROR(INDEX(Cl_nom,MATCH(X902,Cl_cle,0)),"(client introuvable)"))</f>
        <v/>
      </c>
      <c r="AA902" s="33">
        <f>IF(X902="","",IFERROR(INDEX(Cl_quartier,MATCH(X902,Cl_cle,0))&amp;"",""))</f>
        <v/>
      </c>
      <c r="AB902" s="45">
        <f>IF(R902&lt;&gt;"Livrée",0,IF(K902&lt;&gt;"",K902,C902))</f>
        <v/>
      </c>
      <c r="AC902" s="33">
        <f>IF(OR(C902="",W902=""),"",P902&amp;"|"&amp;W902&amp;"|"&amp;C902&amp;"|"&amp;E902)</f>
        <v/>
      </c>
      <c r="AD902" s="39">
        <f>IF(AC902="","",IF(COUNTIF(AC$6:AC902,AC902)=1,1,0))</f>
        <v/>
      </c>
      <c r="AE902" s="39">
        <f>IF(AB902=0,"",IF(COUNTIFS(X$6:X902,X902,AB$6:AB902,AB902)=1,1,0))</f>
        <v/>
      </c>
      <c r="AF902" s="34">
        <f>IF(C902="","",YEAR(C902-WEEKDAY(C902,2)+4)&amp;"-S"&amp;TEXT(INT((C902-DATE(YEAR(C902-WEEKDAY(C902,2)+4),1,3)+WEEKDAY(DATE(YEAR(C902-WEEKDAY(C902,2)+4),1,3),2)+5)/7),"00"))</f>
        <v/>
      </c>
    </row>
    <row r="903" ht="18" customHeight="1">
      <c r="A903" s="39" t="n">
        <v>898</v>
      </c>
      <c r="B903" s="33">
        <f>IF(C903="","",IF(P903="À RENSEIGNER","GIC",P903)&amp;"-C"&amp;TEXT(A903,"00000"))</f>
        <v/>
      </c>
      <c r="C903" s="32" t="n"/>
      <c r="D903" s="36" t="n"/>
      <c r="E903" s="36" t="n"/>
      <c r="F903" s="36" t="n"/>
      <c r="G903" s="42" t="n"/>
      <c r="H903" s="37" t="n"/>
      <c r="I903" s="37" t="n"/>
      <c r="J903" s="32" t="n"/>
      <c r="K903" s="32" t="n"/>
      <c r="L903" s="43" t="n"/>
      <c r="M903" s="36" t="n"/>
      <c r="N903" s="44" t="n"/>
      <c r="O903" s="36" t="n"/>
      <c r="P903" s="33">
        <f>IF(C903="","",Commercial_Id)</f>
        <v/>
      </c>
      <c r="Q903" s="34">
        <f>IF(AC903="","",IF(AD903=1,"C"&amp;TEXT(SUM(AD$6:AD903),"0000"),INDEX(Q$6:Q902,MATCH(AC903,AC$6:AC902,0))))</f>
        <v/>
      </c>
      <c r="R903" s="34">
        <f>IF(C903="","",IF(L903="☑ Oui","Annulée",IF(OR(E903="Vente directe",K903&lt;&gt;""),"Livrée",IF(J903&lt;&gt;"","Confirmée","En attente"))))</f>
        <v/>
      </c>
      <c r="S903" s="34">
        <f>IF(F903="","",IFERROR(VLOOKUP(F903,T_Produits,2,FALSE),""))</f>
        <v/>
      </c>
      <c r="T903" s="40">
        <f>IF(F903="","",IFERROR(1/(1/VLOOKUP(F903,T_Produits,3,FALSE)),""))</f>
        <v/>
      </c>
      <c r="U903" s="40">
        <f>IF(H903&lt;&gt;"",H903,T903)</f>
        <v/>
      </c>
      <c r="V903" s="40">
        <f>IF(OR(G903="",U903=""),"",G903*U903-N(I903))</f>
        <v/>
      </c>
      <c r="W903" s="39">
        <f>IF(D903="","",IFERROR(VALUE(MID(D903,LEN(D903)-3,3)),""))</f>
        <v/>
      </c>
      <c r="X903" s="33">
        <f>IF(W903="","",P903&amp;"|"&amp;W903)</f>
        <v/>
      </c>
      <c r="Y903" s="33">
        <f>IF(W903="","",IF(P903="À RENSEIGNER","GIC",P903)&amp;"-"&amp;TEXT(W903,"000"))</f>
        <v/>
      </c>
      <c r="Z903" s="33">
        <f>IF(X903="","",IFERROR(INDEX(Cl_nom,MATCH(X903,Cl_cle,0)),"(client introuvable)"))</f>
        <v/>
      </c>
      <c r="AA903" s="33">
        <f>IF(X903="","",IFERROR(INDEX(Cl_quartier,MATCH(X903,Cl_cle,0))&amp;"",""))</f>
        <v/>
      </c>
      <c r="AB903" s="45">
        <f>IF(R903&lt;&gt;"Livrée",0,IF(K903&lt;&gt;"",K903,C903))</f>
        <v/>
      </c>
      <c r="AC903" s="33">
        <f>IF(OR(C903="",W903=""),"",P903&amp;"|"&amp;W903&amp;"|"&amp;C903&amp;"|"&amp;E903)</f>
        <v/>
      </c>
      <c r="AD903" s="39">
        <f>IF(AC903="","",IF(COUNTIF(AC$6:AC903,AC903)=1,1,0))</f>
        <v/>
      </c>
      <c r="AE903" s="39">
        <f>IF(AB903=0,"",IF(COUNTIFS(X$6:X903,X903,AB$6:AB903,AB903)=1,1,0))</f>
        <v/>
      </c>
      <c r="AF903" s="34">
        <f>IF(C903="","",YEAR(C903-WEEKDAY(C903,2)+4)&amp;"-S"&amp;TEXT(INT((C903-DATE(YEAR(C903-WEEKDAY(C903,2)+4),1,3)+WEEKDAY(DATE(YEAR(C903-WEEKDAY(C903,2)+4),1,3),2)+5)/7),"00"))</f>
        <v/>
      </c>
    </row>
    <row r="904" ht="18" customHeight="1">
      <c r="A904" s="39" t="n">
        <v>899</v>
      </c>
      <c r="B904" s="33">
        <f>IF(C904="","",IF(P904="À RENSEIGNER","GIC",P904)&amp;"-C"&amp;TEXT(A904,"00000"))</f>
        <v/>
      </c>
      <c r="C904" s="32" t="n"/>
      <c r="D904" s="36" t="n"/>
      <c r="E904" s="36" t="n"/>
      <c r="F904" s="36" t="n"/>
      <c r="G904" s="42" t="n"/>
      <c r="H904" s="37" t="n"/>
      <c r="I904" s="37" t="n"/>
      <c r="J904" s="32" t="n"/>
      <c r="K904" s="32" t="n"/>
      <c r="L904" s="43" t="n"/>
      <c r="M904" s="36" t="n"/>
      <c r="N904" s="44" t="n"/>
      <c r="O904" s="36" t="n"/>
      <c r="P904" s="33">
        <f>IF(C904="","",Commercial_Id)</f>
        <v/>
      </c>
      <c r="Q904" s="34">
        <f>IF(AC904="","",IF(AD904=1,"C"&amp;TEXT(SUM(AD$6:AD904),"0000"),INDEX(Q$6:Q903,MATCH(AC904,AC$6:AC903,0))))</f>
        <v/>
      </c>
      <c r="R904" s="34">
        <f>IF(C904="","",IF(L904="☑ Oui","Annulée",IF(OR(E904="Vente directe",K904&lt;&gt;""),"Livrée",IF(J904&lt;&gt;"","Confirmée","En attente"))))</f>
        <v/>
      </c>
      <c r="S904" s="34">
        <f>IF(F904="","",IFERROR(VLOOKUP(F904,T_Produits,2,FALSE),""))</f>
        <v/>
      </c>
      <c r="T904" s="40">
        <f>IF(F904="","",IFERROR(1/(1/VLOOKUP(F904,T_Produits,3,FALSE)),""))</f>
        <v/>
      </c>
      <c r="U904" s="40">
        <f>IF(H904&lt;&gt;"",H904,T904)</f>
        <v/>
      </c>
      <c r="V904" s="40">
        <f>IF(OR(G904="",U904=""),"",G904*U904-N(I904))</f>
        <v/>
      </c>
      <c r="W904" s="39">
        <f>IF(D904="","",IFERROR(VALUE(MID(D904,LEN(D904)-3,3)),""))</f>
        <v/>
      </c>
      <c r="X904" s="33">
        <f>IF(W904="","",P904&amp;"|"&amp;W904)</f>
        <v/>
      </c>
      <c r="Y904" s="33">
        <f>IF(W904="","",IF(P904="À RENSEIGNER","GIC",P904)&amp;"-"&amp;TEXT(W904,"000"))</f>
        <v/>
      </c>
      <c r="Z904" s="33">
        <f>IF(X904="","",IFERROR(INDEX(Cl_nom,MATCH(X904,Cl_cle,0)),"(client introuvable)"))</f>
        <v/>
      </c>
      <c r="AA904" s="33">
        <f>IF(X904="","",IFERROR(INDEX(Cl_quartier,MATCH(X904,Cl_cle,0))&amp;"",""))</f>
        <v/>
      </c>
      <c r="AB904" s="45">
        <f>IF(R904&lt;&gt;"Livrée",0,IF(K904&lt;&gt;"",K904,C904))</f>
        <v/>
      </c>
      <c r="AC904" s="33">
        <f>IF(OR(C904="",W904=""),"",P904&amp;"|"&amp;W904&amp;"|"&amp;C904&amp;"|"&amp;E904)</f>
        <v/>
      </c>
      <c r="AD904" s="39">
        <f>IF(AC904="","",IF(COUNTIF(AC$6:AC904,AC904)=1,1,0))</f>
        <v/>
      </c>
      <c r="AE904" s="39">
        <f>IF(AB904=0,"",IF(COUNTIFS(X$6:X904,X904,AB$6:AB904,AB904)=1,1,0))</f>
        <v/>
      </c>
      <c r="AF904" s="34">
        <f>IF(C904="","",YEAR(C904-WEEKDAY(C904,2)+4)&amp;"-S"&amp;TEXT(INT((C904-DATE(YEAR(C904-WEEKDAY(C904,2)+4),1,3)+WEEKDAY(DATE(YEAR(C904-WEEKDAY(C904,2)+4),1,3),2)+5)/7),"00"))</f>
        <v/>
      </c>
    </row>
    <row r="905" ht="18" customHeight="1">
      <c r="A905" s="39" t="n">
        <v>900</v>
      </c>
      <c r="B905" s="33">
        <f>IF(C905="","",IF(P905="À RENSEIGNER","GIC",P905)&amp;"-C"&amp;TEXT(A905,"00000"))</f>
        <v/>
      </c>
      <c r="C905" s="32" t="n"/>
      <c r="D905" s="36" t="n"/>
      <c r="E905" s="36" t="n"/>
      <c r="F905" s="36" t="n"/>
      <c r="G905" s="42" t="n"/>
      <c r="H905" s="37" t="n"/>
      <c r="I905" s="37" t="n"/>
      <c r="J905" s="32" t="n"/>
      <c r="K905" s="32" t="n"/>
      <c r="L905" s="43" t="n"/>
      <c r="M905" s="36" t="n"/>
      <c r="N905" s="44" t="n"/>
      <c r="O905" s="36" t="n"/>
      <c r="P905" s="33">
        <f>IF(C905="","",Commercial_Id)</f>
        <v/>
      </c>
      <c r="Q905" s="34">
        <f>IF(AC905="","",IF(AD905=1,"C"&amp;TEXT(SUM(AD$6:AD905),"0000"),INDEX(Q$6:Q904,MATCH(AC905,AC$6:AC904,0))))</f>
        <v/>
      </c>
      <c r="R905" s="34">
        <f>IF(C905="","",IF(L905="☑ Oui","Annulée",IF(OR(E905="Vente directe",K905&lt;&gt;""),"Livrée",IF(J905&lt;&gt;"","Confirmée","En attente"))))</f>
        <v/>
      </c>
      <c r="S905" s="34">
        <f>IF(F905="","",IFERROR(VLOOKUP(F905,T_Produits,2,FALSE),""))</f>
        <v/>
      </c>
      <c r="T905" s="40">
        <f>IF(F905="","",IFERROR(1/(1/VLOOKUP(F905,T_Produits,3,FALSE)),""))</f>
        <v/>
      </c>
      <c r="U905" s="40">
        <f>IF(H905&lt;&gt;"",H905,T905)</f>
        <v/>
      </c>
      <c r="V905" s="40">
        <f>IF(OR(G905="",U905=""),"",G905*U905-N(I905))</f>
        <v/>
      </c>
      <c r="W905" s="39">
        <f>IF(D905="","",IFERROR(VALUE(MID(D905,LEN(D905)-3,3)),""))</f>
        <v/>
      </c>
      <c r="X905" s="33">
        <f>IF(W905="","",P905&amp;"|"&amp;W905)</f>
        <v/>
      </c>
      <c r="Y905" s="33">
        <f>IF(W905="","",IF(P905="À RENSEIGNER","GIC",P905)&amp;"-"&amp;TEXT(W905,"000"))</f>
        <v/>
      </c>
      <c r="Z905" s="33">
        <f>IF(X905="","",IFERROR(INDEX(Cl_nom,MATCH(X905,Cl_cle,0)),"(client introuvable)"))</f>
        <v/>
      </c>
      <c r="AA905" s="33">
        <f>IF(X905="","",IFERROR(INDEX(Cl_quartier,MATCH(X905,Cl_cle,0))&amp;"",""))</f>
        <v/>
      </c>
      <c r="AB905" s="45">
        <f>IF(R905&lt;&gt;"Livrée",0,IF(K905&lt;&gt;"",K905,C905))</f>
        <v/>
      </c>
      <c r="AC905" s="33">
        <f>IF(OR(C905="",W905=""),"",P905&amp;"|"&amp;W905&amp;"|"&amp;C905&amp;"|"&amp;E905)</f>
        <v/>
      </c>
      <c r="AD905" s="39">
        <f>IF(AC905="","",IF(COUNTIF(AC$6:AC905,AC905)=1,1,0))</f>
        <v/>
      </c>
      <c r="AE905" s="39">
        <f>IF(AB905=0,"",IF(COUNTIFS(X$6:X905,X905,AB$6:AB905,AB905)=1,1,0))</f>
        <v/>
      </c>
      <c r="AF905" s="34">
        <f>IF(C905="","",YEAR(C905-WEEKDAY(C905,2)+4)&amp;"-S"&amp;TEXT(INT((C905-DATE(YEAR(C905-WEEKDAY(C905,2)+4),1,3)+WEEKDAY(DATE(YEAR(C905-WEEKDAY(C905,2)+4),1,3),2)+5)/7),"00"))</f>
        <v/>
      </c>
    </row>
    <row r="906" ht="18" customHeight="1">
      <c r="A906" s="39" t="n">
        <v>901</v>
      </c>
      <c r="B906" s="33">
        <f>IF(C906="","",IF(P906="À RENSEIGNER","GIC",P906)&amp;"-C"&amp;TEXT(A906,"00000"))</f>
        <v/>
      </c>
      <c r="C906" s="32" t="n"/>
      <c r="D906" s="36" t="n"/>
      <c r="E906" s="36" t="n"/>
      <c r="F906" s="36" t="n"/>
      <c r="G906" s="42" t="n"/>
      <c r="H906" s="37" t="n"/>
      <c r="I906" s="37" t="n"/>
      <c r="J906" s="32" t="n"/>
      <c r="K906" s="32" t="n"/>
      <c r="L906" s="43" t="n"/>
      <c r="M906" s="36" t="n"/>
      <c r="N906" s="44" t="n"/>
      <c r="O906" s="36" t="n"/>
      <c r="P906" s="33">
        <f>IF(C906="","",Commercial_Id)</f>
        <v/>
      </c>
      <c r="Q906" s="34">
        <f>IF(AC906="","",IF(AD906=1,"C"&amp;TEXT(SUM(AD$6:AD906),"0000"),INDEX(Q$6:Q905,MATCH(AC906,AC$6:AC905,0))))</f>
        <v/>
      </c>
      <c r="R906" s="34">
        <f>IF(C906="","",IF(L906="☑ Oui","Annulée",IF(OR(E906="Vente directe",K906&lt;&gt;""),"Livrée",IF(J906&lt;&gt;"","Confirmée","En attente"))))</f>
        <v/>
      </c>
      <c r="S906" s="34">
        <f>IF(F906="","",IFERROR(VLOOKUP(F906,T_Produits,2,FALSE),""))</f>
        <v/>
      </c>
      <c r="T906" s="40">
        <f>IF(F906="","",IFERROR(1/(1/VLOOKUP(F906,T_Produits,3,FALSE)),""))</f>
        <v/>
      </c>
      <c r="U906" s="40">
        <f>IF(H906&lt;&gt;"",H906,T906)</f>
        <v/>
      </c>
      <c r="V906" s="40">
        <f>IF(OR(G906="",U906=""),"",G906*U906-N(I906))</f>
        <v/>
      </c>
      <c r="W906" s="39">
        <f>IF(D906="","",IFERROR(VALUE(MID(D906,LEN(D906)-3,3)),""))</f>
        <v/>
      </c>
      <c r="X906" s="33">
        <f>IF(W906="","",P906&amp;"|"&amp;W906)</f>
        <v/>
      </c>
      <c r="Y906" s="33">
        <f>IF(W906="","",IF(P906="À RENSEIGNER","GIC",P906)&amp;"-"&amp;TEXT(W906,"000"))</f>
        <v/>
      </c>
      <c r="Z906" s="33">
        <f>IF(X906="","",IFERROR(INDEX(Cl_nom,MATCH(X906,Cl_cle,0)),"(client introuvable)"))</f>
        <v/>
      </c>
      <c r="AA906" s="33">
        <f>IF(X906="","",IFERROR(INDEX(Cl_quartier,MATCH(X906,Cl_cle,0))&amp;"",""))</f>
        <v/>
      </c>
      <c r="AB906" s="45">
        <f>IF(R906&lt;&gt;"Livrée",0,IF(K906&lt;&gt;"",K906,C906))</f>
        <v/>
      </c>
      <c r="AC906" s="33">
        <f>IF(OR(C906="",W906=""),"",P906&amp;"|"&amp;W906&amp;"|"&amp;C906&amp;"|"&amp;E906)</f>
        <v/>
      </c>
      <c r="AD906" s="39">
        <f>IF(AC906="","",IF(COUNTIF(AC$6:AC906,AC906)=1,1,0))</f>
        <v/>
      </c>
      <c r="AE906" s="39">
        <f>IF(AB906=0,"",IF(COUNTIFS(X$6:X906,X906,AB$6:AB906,AB906)=1,1,0))</f>
        <v/>
      </c>
      <c r="AF906" s="34">
        <f>IF(C906="","",YEAR(C906-WEEKDAY(C906,2)+4)&amp;"-S"&amp;TEXT(INT((C906-DATE(YEAR(C906-WEEKDAY(C906,2)+4),1,3)+WEEKDAY(DATE(YEAR(C906-WEEKDAY(C906,2)+4),1,3),2)+5)/7),"00"))</f>
        <v/>
      </c>
    </row>
    <row r="907" ht="18" customHeight="1">
      <c r="A907" s="39" t="n">
        <v>902</v>
      </c>
      <c r="B907" s="33">
        <f>IF(C907="","",IF(P907="À RENSEIGNER","GIC",P907)&amp;"-C"&amp;TEXT(A907,"00000"))</f>
        <v/>
      </c>
      <c r="C907" s="32" t="n"/>
      <c r="D907" s="36" t="n"/>
      <c r="E907" s="36" t="n"/>
      <c r="F907" s="36" t="n"/>
      <c r="G907" s="42" t="n"/>
      <c r="H907" s="37" t="n"/>
      <c r="I907" s="37" t="n"/>
      <c r="J907" s="32" t="n"/>
      <c r="K907" s="32" t="n"/>
      <c r="L907" s="43" t="n"/>
      <c r="M907" s="36" t="n"/>
      <c r="N907" s="44" t="n"/>
      <c r="O907" s="36" t="n"/>
      <c r="P907" s="33">
        <f>IF(C907="","",Commercial_Id)</f>
        <v/>
      </c>
      <c r="Q907" s="34">
        <f>IF(AC907="","",IF(AD907=1,"C"&amp;TEXT(SUM(AD$6:AD907),"0000"),INDEX(Q$6:Q906,MATCH(AC907,AC$6:AC906,0))))</f>
        <v/>
      </c>
      <c r="R907" s="34">
        <f>IF(C907="","",IF(L907="☑ Oui","Annulée",IF(OR(E907="Vente directe",K907&lt;&gt;""),"Livrée",IF(J907&lt;&gt;"","Confirmée","En attente"))))</f>
        <v/>
      </c>
      <c r="S907" s="34">
        <f>IF(F907="","",IFERROR(VLOOKUP(F907,T_Produits,2,FALSE),""))</f>
        <v/>
      </c>
      <c r="T907" s="40">
        <f>IF(F907="","",IFERROR(1/(1/VLOOKUP(F907,T_Produits,3,FALSE)),""))</f>
        <v/>
      </c>
      <c r="U907" s="40">
        <f>IF(H907&lt;&gt;"",H907,T907)</f>
        <v/>
      </c>
      <c r="V907" s="40">
        <f>IF(OR(G907="",U907=""),"",G907*U907-N(I907))</f>
        <v/>
      </c>
      <c r="W907" s="39">
        <f>IF(D907="","",IFERROR(VALUE(MID(D907,LEN(D907)-3,3)),""))</f>
        <v/>
      </c>
      <c r="X907" s="33">
        <f>IF(W907="","",P907&amp;"|"&amp;W907)</f>
        <v/>
      </c>
      <c r="Y907" s="33">
        <f>IF(W907="","",IF(P907="À RENSEIGNER","GIC",P907)&amp;"-"&amp;TEXT(W907,"000"))</f>
        <v/>
      </c>
      <c r="Z907" s="33">
        <f>IF(X907="","",IFERROR(INDEX(Cl_nom,MATCH(X907,Cl_cle,0)),"(client introuvable)"))</f>
        <v/>
      </c>
      <c r="AA907" s="33">
        <f>IF(X907="","",IFERROR(INDEX(Cl_quartier,MATCH(X907,Cl_cle,0))&amp;"",""))</f>
        <v/>
      </c>
      <c r="AB907" s="45">
        <f>IF(R907&lt;&gt;"Livrée",0,IF(K907&lt;&gt;"",K907,C907))</f>
        <v/>
      </c>
      <c r="AC907" s="33">
        <f>IF(OR(C907="",W907=""),"",P907&amp;"|"&amp;W907&amp;"|"&amp;C907&amp;"|"&amp;E907)</f>
        <v/>
      </c>
      <c r="AD907" s="39">
        <f>IF(AC907="","",IF(COUNTIF(AC$6:AC907,AC907)=1,1,0))</f>
        <v/>
      </c>
      <c r="AE907" s="39">
        <f>IF(AB907=0,"",IF(COUNTIFS(X$6:X907,X907,AB$6:AB907,AB907)=1,1,0))</f>
        <v/>
      </c>
      <c r="AF907" s="34">
        <f>IF(C907="","",YEAR(C907-WEEKDAY(C907,2)+4)&amp;"-S"&amp;TEXT(INT((C907-DATE(YEAR(C907-WEEKDAY(C907,2)+4),1,3)+WEEKDAY(DATE(YEAR(C907-WEEKDAY(C907,2)+4),1,3),2)+5)/7),"00"))</f>
        <v/>
      </c>
    </row>
    <row r="908" ht="18" customHeight="1">
      <c r="A908" s="39" t="n">
        <v>903</v>
      </c>
      <c r="B908" s="33">
        <f>IF(C908="","",IF(P908="À RENSEIGNER","GIC",P908)&amp;"-C"&amp;TEXT(A908,"00000"))</f>
        <v/>
      </c>
      <c r="C908" s="32" t="n"/>
      <c r="D908" s="36" t="n"/>
      <c r="E908" s="36" t="n"/>
      <c r="F908" s="36" t="n"/>
      <c r="G908" s="42" t="n"/>
      <c r="H908" s="37" t="n"/>
      <c r="I908" s="37" t="n"/>
      <c r="J908" s="32" t="n"/>
      <c r="K908" s="32" t="n"/>
      <c r="L908" s="43" t="n"/>
      <c r="M908" s="36" t="n"/>
      <c r="N908" s="44" t="n"/>
      <c r="O908" s="36" t="n"/>
      <c r="P908" s="33">
        <f>IF(C908="","",Commercial_Id)</f>
        <v/>
      </c>
      <c r="Q908" s="34">
        <f>IF(AC908="","",IF(AD908=1,"C"&amp;TEXT(SUM(AD$6:AD908),"0000"),INDEX(Q$6:Q907,MATCH(AC908,AC$6:AC907,0))))</f>
        <v/>
      </c>
      <c r="R908" s="34">
        <f>IF(C908="","",IF(L908="☑ Oui","Annulée",IF(OR(E908="Vente directe",K908&lt;&gt;""),"Livrée",IF(J908&lt;&gt;"","Confirmée","En attente"))))</f>
        <v/>
      </c>
      <c r="S908" s="34">
        <f>IF(F908="","",IFERROR(VLOOKUP(F908,T_Produits,2,FALSE),""))</f>
        <v/>
      </c>
      <c r="T908" s="40">
        <f>IF(F908="","",IFERROR(1/(1/VLOOKUP(F908,T_Produits,3,FALSE)),""))</f>
        <v/>
      </c>
      <c r="U908" s="40">
        <f>IF(H908&lt;&gt;"",H908,T908)</f>
        <v/>
      </c>
      <c r="V908" s="40">
        <f>IF(OR(G908="",U908=""),"",G908*U908-N(I908))</f>
        <v/>
      </c>
      <c r="W908" s="39">
        <f>IF(D908="","",IFERROR(VALUE(MID(D908,LEN(D908)-3,3)),""))</f>
        <v/>
      </c>
      <c r="X908" s="33">
        <f>IF(W908="","",P908&amp;"|"&amp;W908)</f>
        <v/>
      </c>
      <c r="Y908" s="33">
        <f>IF(W908="","",IF(P908="À RENSEIGNER","GIC",P908)&amp;"-"&amp;TEXT(W908,"000"))</f>
        <v/>
      </c>
      <c r="Z908" s="33">
        <f>IF(X908="","",IFERROR(INDEX(Cl_nom,MATCH(X908,Cl_cle,0)),"(client introuvable)"))</f>
        <v/>
      </c>
      <c r="AA908" s="33">
        <f>IF(X908="","",IFERROR(INDEX(Cl_quartier,MATCH(X908,Cl_cle,0))&amp;"",""))</f>
        <v/>
      </c>
      <c r="AB908" s="45">
        <f>IF(R908&lt;&gt;"Livrée",0,IF(K908&lt;&gt;"",K908,C908))</f>
        <v/>
      </c>
      <c r="AC908" s="33">
        <f>IF(OR(C908="",W908=""),"",P908&amp;"|"&amp;W908&amp;"|"&amp;C908&amp;"|"&amp;E908)</f>
        <v/>
      </c>
      <c r="AD908" s="39">
        <f>IF(AC908="","",IF(COUNTIF(AC$6:AC908,AC908)=1,1,0))</f>
        <v/>
      </c>
      <c r="AE908" s="39">
        <f>IF(AB908=0,"",IF(COUNTIFS(X$6:X908,X908,AB$6:AB908,AB908)=1,1,0))</f>
        <v/>
      </c>
      <c r="AF908" s="34">
        <f>IF(C908="","",YEAR(C908-WEEKDAY(C908,2)+4)&amp;"-S"&amp;TEXT(INT((C908-DATE(YEAR(C908-WEEKDAY(C908,2)+4),1,3)+WEEKDAY(DATE(YEAR(C908-WEEKDAY(C908,2)+4),1,3),2)+5)/7),"00"))</f>
        <v/>
      </c>
    </row>
    <row r="909" ht="18" customHeight="1">
      <c r="A909" s="39" t="n">
        <v>904</v>
      </c>
      <c r="B909" s="33">
        <f>IF(C909="","",IF(P909="À RENSEIGNER","GIC",P909)&amp;"-C"&amp;TEXT(A909,"00000"))</f>
        <v/>
      </c>
      <c r="C909" s="32" t="n"/>
      <c r="D909" s="36" t="n"/>
      <c r="E909" s="36" t="n"/>
      <c r="F909" s="36" t="n"/>
      <c r="G909" s="42" t="n"/>
      <c r="H909" s="37" t="n"/>
      <c r="I909" s="37" t="n"/>
      <c r="J909" s="32" t="n"/>
      <c r="K909" s="32" t="n"/>
      <c r="L909" s="43" t="n"/>
      <c r="M909" s="36" t="n"/>
      <c r="N909" s="44" t="n"/>
      <c r="O909" s="36" t="n"/>
      <c r="P909" s="33">
        <f>IF(C909="","",Commercial_Id)</f>
        <v/>
      </c>
      <c r="Q909" s="34">
        <f>IF(AC909="","",IF(AD909=1,"C"&amp;TEXT(SUM(AD$6:AD909),"0000"),INDEX(Q$6:Q908,MATCH(AC909,AC$6:AC908,0))))</f>
        <v/>
      </c>
      <c r="R909" s="34">
        <f>IF(C909="","",IF(L909="☑ Oui","Annulée",IF(OR(E909="Vente directe",K909&lt;&gt;""),"Livrée",IF(J909&lt;&gt;"","Confirmée","En attente"))))</f>
        <v/>
      </c>
      <c r="S909" s="34">
        <f>IF(F909="","",IFERROR(VLOOKUP(F909,T_Produits,2,FALSE),""))</f>
        <v/>
      </c>
      <c r="T909" s="40">
        <f>IF(F909="","",IFERROR(1/(1/VLOOKUP(F909,T_Produits,3,FALSE)),""))</f>
        <v/>
      </c>
      <c r="U909" s="40">
        <f>IF(H909&lt;&gt;"",H909,T909)</f>
        <v/>
      </c>
      <c r="V909" s="40">
        <f>IF(OR(G909="",U909=""),"",G909*U909-N(I909))</f>
        <v/>
      </c>
      <c r="W909" s="39">
        <f>IF(D909="","",IFERROR(VALUE(MID(D909,LEN(D909)-3,3)),""))</f>
        <v/>
      </c>
      <c r="X909" s="33">
        <f>IF(W909="","",P909&amp;"|"&amp;W909)</f>
        <v/>
      </c>
      <c r="Y909" s="33">
        <f>IF(W909="","",IF(P909="À RENSEIGNER","GIC",P909)&amp;"-"&amp;TEXT(W909,"000"))</f>
        <v/>
      </c>
      <c r="Z909" s="33">
        <f>IF(X909="","",IFERROR(INDEX(Cl_nom,MATCH(X909,Cl_cle,0)),"(client introuvable)"))</f>
        <v/>
      </c>
      <c r="AA909" s="33">
        <f>IF(X909="","",IFERROR(INDEX(Cl_quartier,MATCH(X909,Cl_cle,0))&amp;"",""))</f>
        <v/>
      </c>
      <c r="AB909" s="45">
        <f>IF(R909&lt;&gt;"Livrée",0,IF(K909&lt;&gt;"",K909,C909))</f>
        <v/>
      </c>
      <c r="AC909" s="33">
        <f>IF(OR(C909="",W909=""),"",P909&amp;"|"&amp;W909&amp;"|"&amp;C909&amp;"|"&amp;E909)</f>
        <v/>
      </c>
      <c r="AD909" s="39">
        <f>IF(AC909="","",IF(COUNTIF(AC$6:AC909,AC909)=1,1,0))</f>
        <v/>
      </c>
      <c r="AE909" s="39">
        <f>IF(AB909=0,"",IF(COUNTIFS(X$6:X909,X909,AB$6:AB909,AB909)=1,1,0))</f>
        <v/>
      </c>
      <c r="AF909" s="34">
        <f>IF(C909="","",YEAR(C909-WEEKDAY(C909,2)+4)&amp;"-S"&amp;TEXT(INT((C909-DATE(YEAR(C909-WEEKDAY(C909,2)+4),1,3)+WEEKDAY(DATE(YEAR(C909-WEEKDAY(C909,2)+4),1,3),2)+5)/7),"00"))</f>
        <v/>
      </c>
    </row>
    <row r="910" ht="18" customHeight="1">
      <c r="A910" s="39" t="n">
        <v>905</v>
      </c>
      <c r="B910" s="33">
        <f>IF(C910="","",IF(P910="À RENSEIGNER","GIC",P910)&amp;"-C"&amp;TEXT(A910,"00000"))</f>
        <v/>
      </c>
      <c r="C910" s="32" t="n"/>
      <c r="D910" s="36" t="n"/>
      <c r="E910" s="36" t="n"/>
      <c r="F910" s="36" t="n"/>
      <c r="G910" s="42" t="n"/>
      <c r="H910" s="37" t="n"/>
      <c r="I910" s="37" t="n"/>
      <c r="J910" s="32" t="n"/>
      <c r="K910" s="32" t="n"/>
      <c r="L910" s="43" t="n"/>
      <c r="M910" s="36" t="n"/>
      <c r="N910" s="44" t="n"/>
      <c r="O910" s="36" t="n"/>
      <c r="P910" s="33">
        <f>IF(C910="","",Commercial_Id)</f>
        <v/>
      </c>
      <c r="Q910" s="34">
        <f>IF(AC910="","",IF(AD910=1,"C"&amp;TEXT(SUM(AD$6:AD910),"0000"),INDEX(Q$6:Q909,MATCH(AC910,AC$6:AC909,0))))</f>
        <v/>
      </c>
      <c r="R910" s="34">
        <f>IF(C910="","",IF(L910="☑ Oui","Annulée",IF(OR(E910="Vente directe",K910&lt;&gt;""),"Livrée",IF(J910&lt;&gt;"","Confirmée","En attente"))))</f>
        <v/>
      </c>
      <c r="S910" s="34">
        <f>IF(F910="","",IFERROR(VLOOKUP(F910,T_Produits,2,FALSE),""))</f>
        <v/>
      </c>
      <c r="T910" s="40">
        <f>IF(F910="","",IFERROR(1/(1/VLOOKUP(F910,T_Produits,3,FALSE)),""))</f>
        <v/>
      </c>
      <c r="U910" s="40">
        <f>IF(H910&lt;&gt;"",H910,T910)</f>
        <v/>
      </c>
      <c r="V910" s="40">
        <f>IF(OR(G910="",U910=""),"",G910*U910-N(I910))</f>
        <v/>
      </c>
      <c r="W910" s="39">
        <f>IF(D910="","",IFERROR(VALUE(MID(D910,LEN(D910)-3,3)),""))</f>
        <v/>
      </c>
      <c r="X910" s="33">
        <f>IF(W910="","",P910&amp;"|"&amp;W910)</f>
        <v/>
      </c>
      <c r="Y910" s="33">
        <f>IF(W910="","",IF(P910="À RENSEIGNER","GIC",P910)&amp;"-"&amp;TEXT(W910,"000"))</f>
        <v/>
      </c>
      <c r="Z910" s="33">
        <f>IF(X910="","",IFERROR(INDEX(Cl_nom,MATCH(X910,Cl_cle,0)),"(client introuvable)"))</f>
        <v/>
      </c>
      <c r="AA910" s="33">
        <f>IF(X910="","",IFERROR(INDEX(Cl_quartier,MATCH(X910,Cl_cle,0))&amp;"",""))</f>
        <v/>
      </c>
      <c r="AB910" s="45">
        <f>IF(R910&lt;&gt;"Livrée",0,IF(K910&lt;&gt;"",K910,C910))</f>
        <v/>
      </c>
      <c r="AC910" s="33">
        <f>IF(OR(C910="",W910=""),"",P910&amp;"|"&amp;W910&amp;"|"&amp;C910&amp;"|"&amp;E910)</f>
        <v/>
      </c>
      <c r="AD910" s="39">
        <f>IF(AC910="","",IF(COUNTIF(AC$6:AC910,AC910)=1,1,0))</f>
        <v/>
      </c>
      <c r="AE910" s="39">
        <f>IF(AB910=0,"",IF(COUNTIFS(X$6:X910,X910,AB$6:AB910,AB910)=1,1,0))</f>
        <v/>
      </c>
      <c r="AF910" s="34">
        <f>IF(C910="","",YEAR(C910-WEEKDAY(C910,2)+4)&amp;"-S"&amp;TEXT(INT((C910-DATE(YEAR(C910-WEEKDAY(C910,2)+4),1,3)+WEEKDAY(DATE(YEAR(C910-WEEKDAY(C910,2)+4),1,3),2)+5)/7),"00"))</f>
        <v/>
      </c>
    </row>
    <row r="911" ht="18" customHeight="1">
      <c r="A911" s="39" t="n">
        <v>906</v>
      </c>
      <c r="B911" s="33">
        <f>IF(C911="","",IF(P911="À RENSEIGNER","GIC",P911)&amp;"-C"&amp;TEXT(A911,"00000"))</f>
        <v/>
      </c>
      <c r="C911" s="32" t="n"/>
      <c r="D911" s="36" t="n"/>
      <c r="E911" s="36" t="n"/>
      <c r="F911" s="36" t="n"/>
      <c r="G911" s="42" t="n"/>
      <c r="H911" s="37" t="n"/>
      <c r="I911" s="37" t="n"/>
      <c r="J911" s="32" t="n"/>
      <c r="K911" s="32" t="n"/>
      <c r="L911" s="43" t="n"/>
      <c r="M911" s="36" t="n"/>
      <c r="N911" s="44" t="n"/>
      <c r="O911" s="36" t="n"/>
      <c r="P911" s="33">
        <f>IF(C911="","",Commercial_Id)</f>
        <v/>
      </c>
      <c r="Q911" s="34">
        <f>IF(AC911="","",IF(AD911=1,"C"&amp;TEXT(SUM(AD$6:AD911),"0000"),INDEX(Q$6:Q910,MATCH(AC911,AC$6:AC910,0))))</f>
        <v/>
      </c>
      <c r="R911" s="34">
        <f>IF(C911="","",IF(L911="☑ Oui","Annulée",IF(OR(E911="Vente directe",K911&lt;&gt;""),"Livrée",IF(J911&lt;&gt;"","Confirmée","En attente"))))</f>
        <v/>
      </c>
      <c r="S911" s="34">
        <f>IF(F911="","",IFERROR(VLOOKUP(F911,T_Produits,2,FALSE),""))</f>
        <v/>
      </c>
      <c r="T911" s="40">
        <f>IF(F911="","",IFERROR(1/(1/VLOOKUP(F911,T_Produits,3,FALSE)),""))</f>
        <v/>
      </c>
      <c r="U911" s="40">
        <f>IF(H911&lt;&gt;"",H911,T911)</f>
        <v/>
      </c>
      <c r="V911" s="40">
        <f>IF(OR(G911="",U911=""),"",G911*U911-N(I911))</f>
        <v/>
      </c>
      <c r="W911" s="39">
        <f>IF(D911="","",IFERROR(VALUE(MID(D911,LEN(D911)-3,3)),""))</f>
        <v/>
      </c>
      <c r="X911" s="33">
        <f>IF(W911="","",P911&amp;"|"&amp;W911)</f>
        <v/>
      </c>
      <c r="Y911" s="33">
        <f>IF(W911="","",IF(P911="À RENSEIGNER","GIC",P911)&amp;"-"&amp;TEXT(W911,"000"))</f>
        <v/>
      </c>
      <c r="Z911" s="33">
        <f>IF(X911="","",IFERROR(INDEX(Cl_nom,MATCH(X911,Cl_cle,0)),"(client introuvable)"))</f>
        <v/>
      </c>
      <c r="AA911" s="33">
        <f>IF(X911="","",IFERROR(INDEX(Cl_quartier,MATCH(X911,Cl_cle,0))&amp;"",""))</f>
        <v/>
      </c>
      <c r="AB911" s="45">
        <f>IF(R911&lt;&gt;"Livrée",0,IF(K911&lt;&gt;"",K911,C911))</f>
        <v/>
      </c>
      <c r="AC911" s="33">
        <f>IF(OR(C911="",W911=""),"",P911&amp;"|"&amp;W911&amp;"|"&amp;C911&amp;"|"&amp;E911)</f>
        <v/>
      </c>
      <c r="AD911" s="39">
        <f>IF(AC911="","",IF(COUNTIF(AC$6:AC911,AC911)=1,1,0))</f>
        <v/>
      </c>
      <c r="AE911" s="39">
        <f>IF(AB911=0,"",IF(COUNTIFS(X$6:X911,X911,AB$6:AB911,AB911)=1,1,0))</f>
        <v/>
      </c>
      <c r="AF911" s="34">
        <f>IF(C911="","",YEAR(C911-WEEKDAY(C911,2)+4)&amp;"-S"&amp;TEXT(INT((C911-DATE(YEAR(C911-WEEKDAY(C911,2)+4),1,3)+WEEKDAY(DATE(YEAR(C911-WEEKDAY(C911,2)+4),1,3),2)+5)/7),"00"))</f>
        <v/>
      </c>
    </row>
    <row r="912" ht="18" customHeight="1">
      <c r="A912" s="39" t="n">
        <v>907</v>
      </c>
      <c r="B912" s="33">
        <f>IF(C912="","",IF(P912="À RENSEIGNER","GIC",P912)&amp;"-C"&amp;TEXT(A912,"00000"))</f>
        <v/>
      </c>
      <c r="C912" s="32" t="n"/>
      <c r="D912" s="36" t="n"/>
      <c r="E912" s="36" t="n"/>
      <c r="F912" s="36" t="n"/>
      <c r="G912" s="42" t="n"/>
      <c r="H912" s="37" t="n"/>
      <c r="I912" s="37" t="n"/>
      <c r="J912" s="32" t="n"/>
      <c r="K912" s="32" t="n"/>
      <c r="L912" s="43" t="n"/>
      <c r="M912" s="36" t="n"/>
      <c r="N912" s="44" t="n"/>
      <c r="O912" s="36" t="n"/>
      <c r="P912" s="33">
        <f>IF(C912="","",Commercial_Id)</f>
        <v/>
      </c>
      <c r="Q912" s="34">
        <f>IF(AC912="","",IF(AD912=1,"C"&amp;TEXT(SUM(AD$6:AD912),"0000"),INDEX(Q$6:Q911,MATCH(AC912,AC$6:AC911,0))))</f>
        <v/>
      </c>
      <c r="R912" s="34">
        <f>IF(C912="","",IF(L912="☑ Oui","Annulée",IF(OR(E912="Vente directe",K912&lt;&gt;""),"Livrée",IF(J912&lt;&gt;"","Confirmée","En attente"))))</f>
        <v/>
      </c>
      <c r="S912" s="34">
        <f>IF(F912="","",IFERROR(VLOOKUP(F912,T_Produits,2,FALSE),""))</f>
        <v/>
      </c>
      <c r="T912" s="40">
        <f>IF(F912="","",IFERROR(1/(1/VLOOKUP(F912,T_Produits,3,FALSE)),""))</f>
        <v/>
      </c>
      <c r="U912" s="40">
        <f>IF(H912&lt;&gt;"",H912,T912)</f>
        <v/>
      </c>
      <c r="V912" s="40">
        <f>IF(OR(G912="",U912=""),"",G912*U912-N(I912))</f>
        <v/>
      </c>
      <c r="W912" s="39">
        <f>IF(D912="","",IFERROR(VALUE(MID(D912,LEN(D912)-3,3)),""))</f>
        <v/>
      </c>
      <c r="X912" s="33">
        <f>IF(W912="","",P912&amp;"|"&amp;W912)</f>
        <v/>
      </c>
      <c r="Y912" s="33">
        <f>IF(W912="","",IF(P912="À RENSEIGNER","GIC",P912)&amp;"-"&amp;TEXT(W912,"000"))</f>
        <v/>
      </c>
      <c r="Z912" s="33">
        <f>IF(X912="","",IFERROR(INDEX(Cl_nom,MATCH(X912,Cl_cle,0)),"(client introuvable)"))</f>
        <v/>
      </c>
      <c r="AA912" s="33">
        <f>IF(X912="","",IFERROR(INDEX(Cl_quartier,MATCH(X912,Cl_cle,0))&amp;"",""))</f>
        <v/>
      </c>
      <c r="AB912" s="45">
        <f>IF(R912&lt;&gt;"Livrée",0,IF(K912&lt;&gt;"",K912,C912))</f>
        <v/>
      </c>
      <c r="AC912" s="33">
        <f>IF(OR(C912="",W912=""),"",P912&amp;"|"&amp;W912&amp;"|"&amp;C912&amp;"|"&amp;E912)</f>
        <v/>
      </c>
      <c r="AD912" s="39">
        <f>IF(AC912="","",IF(COUNTIF(AC$6:AC912,AC912)=1,1,0))</f>
        <v/>
      </c>
      <c r="AE912" s="39">
        <f>IF(AB912=0,"",IF(COUNTIFS(X$6:X912,X912,AB$6:AB912,AB912)=1,1,0))</f>
        <v/>
      </c>
      <c r="AF912" s="34">
        <f>IF(C912="","",YEAR(C912-WEEKDAY(C912,2)+4)&amp;"-S"&amp;TEXT(INT((C912-DATE(YEAR(C912-WEEKDAY(C912,2)+4),1,3)+WEEKDAY(DATE(YEAR(C912-WEEKDAY(C912,2)+4),1,3),2)+5)/7),"00"))</f>
        <v/>
      </c>
    </row>
    <row r="913" ht="18" customHeight="1">
      <c r="A913" s="39" t="n">
        <v>908</v>
      </c>
      <c r="B913" s="33">
        <f>IF(C913="","",IF(P913="À RENSEIGNER","GIC",P913)&amp;"-C"&amp;TEXT(A913,"00000"))</f>
        <v/>
      </c>
      <c r="C913" s="32" t="n"/>
      <c r="D913" s="36" t="n"/>
      <c r="E913" s="36" t="n"/>
      <c r="F913" s="36" t="n"/>
      <c r="G913" s="42" t="n"/>
      <c r="H913" s="37" t="n"/>
      <c r="I913" s="37" t="n"/>
      <c r="J913" s="32" t="n"/>
      <c r="K913" s="32" t="n"/>
      <c r="L913" s="43" t="n"/>
      <c r="M913" s="36" t="n"/>
      <c r="N913" s="44" t="n"/>
      <c r="O913" s="36" t="n"/>
      <c r="P913" s="33">
        <f>IF(C913="","",Commercial_Id)</f>
        <v/>
      </c>
      <c r="Q913" s="34">
        <f>IF(AC913="","",IF(AD913=1,"C"&amp;TEXT(SUM(AD$6:AD913),"0000"),INDEX(Q$6:Q912,MATCH(AC913,AC$6:AC912,0))))</f>
        <v/>
      </c>
      <c r="R913" s="34">
        <f>IF(C913="","",IF(L913="☑ Oui","Annulée",IF(OR(E913="Vente directe",K913&lt;&gt;""),"Livrée",IF(J913&lt;&gt;"","Confirmée","En attente"))))</f>
        <v/>
      </c>
      <c r="S913" s="34">
        <f>IF(F913="","",IFERROR(VLOOKUP(F913,T_Produits,2,FALSE),""))</f>
        <v/>
      </c>
      <c r="T913" s="40">
        <f>IF(F913="","",IFERROR(1/(1/VLOOKUP(F913,T_Produits,3,FALSE)),""))</f>
        <v/>
      </c>
      <c r="U913" s="40">
        <f>IF(H913&lt;&gt;"",H913,T913)</f>
        <v/>
      </c>
      <c r="V913" s="40">
        <f>IF(OR(G913="",U913=""),"",G913*U913-N(I913))</f>
        <v/>
      </c>
      <c r="W913" s="39">
        <f>IF(D913="","",IFERROR(VALUE(MID(D913,LEN(D913)-3,3)),""))</f>
        <v/>
      </c>
      <c r="X913" s="33">
        <f>IF(W913="","",P913&amp;"|"&amp;W913)</f>
        <v/>
      </c>
      <c r="Y913" s="33">
        <f>IF(W913="","",IF(P913="À RENSEIGNER","GIC",P913)&amp;"-"&amp;TEXT(W913,"000"))</f>
        <v/>
      </c>
      <c r="Z913" s="33">
        <f>IF(X913="","",IFERROR(INDEX(Cl_nom,MATCH(X913,Cl_cle,0)),"(client introuvable)"))</f>
        <v/>
      </c>
      <c r="AA913" s="33">
        <f>IF(X913="","",IFERROR(INDEX(Cl_quartier,MATCH(X913,Cl_cle,0))&amp;"",""))</f>
        <v/>
      </c>
      <c r="AB913" s="45">
        <f>IF(R913&lt;&gt;"Livrée",0,IF(K913&lt;&gt;"",K913,C913))</f>
        <v/>
      </c>
      <c r="AC913" s="33">
        <f>IF(OR(C913="",W913=""),"",P913&amp;"|"&amp;W913&amp;"|"&amp;C913&amp;"|"&amp;E913)</f>
        <v/>
      </c>
      <c r="AD913" s="39">
        <f>IF(AC913="","",IF(COUNTIF(AC$6:AC913,AC913)=1,1,0))</f>
        <v/>
      </c>
      <c r="AE913" s="39">
        <f>IF(AB913=0,"",IF(COUNTIFS(X$6:X913,X913,AB$6:AB913,AB913)=1,1,0))</f>
        <v/>
      </c>
      <c r="AF913" s="34">
        <f>IF(C913="","",YEAR(C913-WEEKDAY(C913,2)+4)&amp;"-S"&amp;TEXT(INT((C913-DATE(YEAR(C913-WEEKDAY(C913,2)+4),1,3)+WEEKDAY(DATE(YEAR(C913-WEEKDAY(C913,2)+4),1,3),2)+5)/7),"00"))</f>
        <v/>
      </c>
    </row>
    <row r="914" ht="18" customHeight="1">
      <c r="A914" s="39" t="n">
        <v>909</v>
      </c>
      <c r="B914" s="33">
        <f>IF(C914="","",IF(P914="À RENSEIGNER","GIC",P914)&amp;"-C"&amp;TEXT(A914,"00000"))</f>
        <v/>
      </c>
      <c r="C914" s="32" t="n"/>
      <c r="D914" s="36" t="n"/>
      <c r="E914" s="36" t="n"/>
      <c r="F914" s="36" t="n"/>
      <c r="G914" s="42" t="n"/>
      <c r="H914" s="37" t="n"/>
      <c r="I914" s="37" t="n"/>
      <c r="J914" s="32" t="n"/>
      <c r="K914" s="32" t="n"/>
      <c r="L914" s="43" t="n"/>
      <c r="M914" s="36" t="n"/>
      <c r="N914" s="44" t="n"/>
      <c r="O914" s="36" t="n"/>
      <c r="P914" s="33">
        <f>IF(C914="","",Commercial_Id)</f>
        <v/>
      </c>
      <c r="Q914" s="34">
        <f>IF(AC914="","",IF(AD914=1,"C"&amp;TEXT(SUM(AD$6:AD914),"0000"),INDEX(Q$6:Q913,MATCH(AC914,AC$6:AC913,0))))</f>
        <v/>
      </c>
      <c r="R914" s="34">
        <f>IF(C914="","",IF(L914="☑ Oui","Annulée",IF(OR(E914="Vente directe",K914&lt;&gt;""),"Livrée",IF(J914&lt;&gt;"","Confirmée","En attente"))))</f>
        <v/>
      </c>
      <c r="S914" s="34">
        <f>IF(F914="","",IFERROR(VLOOKUP(F914,T_Produits,2,FALSE),""))</f>
        <v/>
      </c>
      <c r="T914" s="40">
        <f>IF(F914="","",IFERROR(1/(1/VLOOKUP(F914,T_Produits,3,FALSE)),""))</f>
        <v/>
      </c>
      <c r="U914" s="40">
        <f>IF(H914&lt;&gt;"",H914,T914)</f>
        <v/>
      </c>
      <c r="V914" s="40">
        <f>IF(OR(G914="",U914=""),"",G914*U914-N(I914))</f>
        <v/>
      </c>
      <c r="W914" s="39">
        <f>IF(D914="","",IFERROR(VALUE(MID(D914,LEN(D914)-3,3)),""))</f>
        <v/>
      </c>
      <c r="X914" s="33">
        <f>IF(W914="","",P914&amp;"|"&amp;W914)</f>
        <v/>
      </c>
      <c r="Y914" s="33">
        <f>IF(W914="","",IF(P914="À RENSEIGNER","GIC",P914)&amp;"-"&amp;TEXT(W914,"000"))</f>
        <v/>
      </c>
      <c r="Z914" s="33">
        <f>IF(X914="","",IFERROR(INDEX(Cl_nom,MATCH(X914,Cl_cle,0)),"(client introuvable)"))</f>
        <v/>
      </c>
      <c r="AA914" s="33">
        <f>IF(X914="","",IFERROR(INDEX(Cl_quartier,MATCH(X914,Cl_cle,0))&amp;"",""))</f>
        <v/>
      </c>
      <c r="AB914" s="45">
        <f>IF(R914&lt;&gt;"Livrée",0,IF(K914&lt;&gt;"",K914,C914))</f>
        <v/>
      </c>
      <c r="AC914" s="33">
        <f>IF(OR(C914="",W914=""),"",P914&amp;"|"&amp;W914&amp;"|"&amp;C914&amp;"|"&amp;E914)</f>
        <v/>
      </c>
      <c r="AD914" s="39">
        <f>IF(AC914="","",IF(COUNTIF(AC$6:AC914,AC914)=1,1,0))</f>
        <v/>
      </c>
      <c r="AE914" s="39">
        <f>IF(AB914=0,"",IF(COUNTIFS(X$6:X914,X914,AB$6:AB914,AB914)=1,1,0))</f>
        <v/>
      </c>
      <c r="AF914" s="34">
        <f>IF(C914="","",YEAR(C914-WEEKDAY(C914,2)+4)&amp;"-S"&amp;TEXT(INT((C914-DATE(YEAR(C914-WEEKDAY(C914,2)+4),1,3)+WEEKDAY(DATE(YEAR(C914-WEEKDAY(C914,2)+4),1,3),2)+5)/7),"00"))</f>
        <v/>
      </c>
    </row>
    <row r="915" ht="18" customHeight="1">
      <c r="A915" s="39" t="n">
        <v>910</v>
      </c>
      <c r="B915" s="33">
        <f>IF(C915="","",IF(P915="À RENSEIGNER","GIC",P915)&amp;"-C"&amp;TEXT(A915,"00000"))</f>
        <v/>
      </c>
      <c r="C915" s="32" t="n"/>
      <c r="D915" s="36" t="n"/>
      <c r="E915" s="36" t="n"/>
      <c r="F915" s="36" t="n"/>
      <c r="G915" s="42" t="n"/>
      <c r="H915" s="37" t="n"/>
      <c r="I915" s="37" t="n"/>
      <c r="J915" s="32" t="n"/>
      <c r="K915" s="32" t="n"/>
      <c r="L915" s="43" t="n"/>
      <c r="M915" s="36" t="n"/>
      <c r="N915" s="44" t="n"/>
      <c r="O915" s="36" t="n"/>
      <c r="P915" s="33">
        <f>IF(C915="","",Commercial_Id)</f>
        <v/>
      </c>
      <c r="Q915" s="34">
        <f>IF(AC915="","",IF(AD915=1,"C"&amp;TEXT(SUM(AD$6:AD915),"0000"),INDEX(Q$6:Q914,MATCH(AC915,AC$6:AC914,0))))</f>
        <v/>
      </c>
      <c r="R915" s="34">
        <f>IF(C915="","",IF(L915="☑ Oui","Annulée",IF(OR(E915="Vente directe",K915&lt;&gt;""),"Livrée",IF(J915&lt;&gt;"","Confirmée","En attente"))))</f>
        <v/>
      </c>
      <c r="S915" s="34">
        <f>IF(F915="","",IFERROR(VLOOKUP(F915,T_Produits,2,FALSE),""))</f>
        <v/>
      </c>
      <c r="T915" s="40">
        <f>IF(F915="","",IFERROR(1/(1/VLOOKUP(F915,T_Produits,3,FALSE)),""))</f>
        <v/>
      </c>
      <c r="U915" s="40">
        <f>IF(H915&lt;&gt;"",H915,T915)</f>
        <v/>
      </c>
      <c r="V915" s="40">
        <f>IF(OR(G915="",U915=""),"",G915*U915-N(I915))</f>
        <v/>
      </c>
      <c r="W915" s="39">
        <f>IF(D915="","",IFERROR(VALUE(MID(D915,LEN(D915)-3,3)),""))</f>
        <v/>
      </c>
      <c r="X915" s="33">
        <f>IF(W915="","",P915&amp;"|"&amp;W915)</f>
        <v/>
      </c>
      <c r="Y915" s="33">
        <f>IF(W915="","",IF(P915="À RENSEIGNER","GIC",P915)&amp;"-"&amp;TEXT(W915,"000"))</f>
        <v/>
      </c>
      <c r="Z915" s="33">
        <f>IF(X915="","",IFERROR(INDEX(Cl_nom,MATCH(X915,Cl_cle,0)),"(client introuvable)"))</f>
        <v/>
      </c>
      <c r="AA915" s="33">
        <f>IF(X915="","",IFERROR(INDEX(Cl_quartier,MATCH(X915,Cl_cle,0))&amp;"",""))</f>
        <v/>
      </c>
      <c r="AB915" s="45">
        <f>IF(R915&lt;&gt;"Livrée",0,IF(K915&lt;&gt;"",K915,C915))</f>
        <v/>
      </c>
      <c r="AC915" s="33">
        <f>IF(OR(C915="",W915=""),"",P915&amp;"|"&amp;W915&amp;"|"&amp;C915&amp;"|"&amp;E915)</f>
        <v/>
      </c>
      <c r="AD915" s="39">
        <f>IF(AC915="","",IF(COUNTIF(AC$6:AC915,AC915)=1,1,0))</f>
        <v/>
      </c>
      <c r="AE915" s="39">
        <f>IF(AB915=0,"",IF(COUNTIFS(X$6:X915,X915,AB$6:AB915,AB915)=1,1,0))</f>
        <v/>
      </c>
      <c r="AF915" s="34">
        <f>IF(C915="","",YEAR(C915-WEEKDAY(C915,2)+4)&amp;"-S"&amp;TEXT(INT((C915-DATE(YEAR(C915-WEEKDAY(C915,2)+4),1,3)+WEEKDAY(DATE(YEAR(C915-WEEKDAY(C915,2)+4),1,3),2)+5)/7),"00"))</f>
        <v/>
      </c>
    </row>
    <row r="916" ht="18" customHeight="1">
      <c r="A916" s="39" t="n">
        <v>911</v>
      </c>
      <c r="B916" s="33">
        <f>IF(C916="","",IF(P916="À RENSEIGNER","GIC",P916)&amp;"-C"&amp;TEXT(A916,"00000"))</f>
        <v/>
      </c>
      <c r="C916" s="32" t="n"/>
      <c r="D916" s="36" t="n"/>
      <c r="E916" s="36" t="n"/>
      <c r="F916" s="36" t="n"/>
      <c r="G916" s="42" t="n"/>
      <c r="H916" s="37" t="n"/>
      <c r="I916" s="37" t="n"/>
      <c r="J916" s="32" t="n"/>
      <c r="K916" s="32" t="n"/>
      <c r="L916" s="43" t="n"/>
      <c r="M916" s="36" t="n"/>
      <c r="N916" s="44" t="n"/>
      <c r="O916" s="36" t="n"/>
      <c r="P916" s="33">
        <f>IF(C916="","",Commercial_Id)</f>
        <v/>
      </c>
      <c r="Q916" s="34">
        <f>IF(AC916="","",IF(AD916=1,"C"&amp;TEXT(SUM(AD$6:AD916),"0000"),INDEX(Q$6:Q915,MATCH(AC916,AC$6:AC915,0))))</f>
        <v/>
      </c>
      <c r="R916" s="34">
        <f>IF(C916="","",IF(L916="☑ Oui","Annulée",IF(OR(E916="Vente directe",K916&lt;&gt;""),"Livrée",IF(J916&lt;&gt;"","Confirmée","En attente"))))</f>
        <v/>
      </c>
      <c r="S916" s="34">
        <f>IF(F916="","",IFERROR(VLOOKUP(F916,T_Produits,2,FALSE),""))</f>
        <v/>
      </c>
      <c r="T916" s="40">
        <f>IF(F916="","",IFERROR(1/(1/VLOOKUP(F916,T_Produits,3,FALSE)),""))</f>
        <v/>
      </c>
      <c r="U916" s="40">
        <f>IF(H916&lt;&gt;"",H916,T916)</f>
        <v/>
      </c>
      <c r="V916" s="40">
        <f>IF(OR(G916="",U916=""),"",G916*U916-N(I916))</f>
        <v/>
      </c>
      <c r="W916" s="39">
        <f>IF(D916="","",IFERROR(VALUE(MID(D916,LEN(D916)-3,3)),""))</f>
        <v/>
      </c>
      <c r="X916" s="33">
        <f>IF(W916="","",P916&amp;"|"&amp;W916)</f>
        <v/>
      </c>
      <c r="Y916" s="33">
        <f>IF(W916="","",IF(P916="À RENSEIGNER","GIC",P916)&amp;"-"&amp;TEXT(W916,"000"))</f>
        <v/>
      </c>
      <c r="Z916" s="33">
        <f>IF(X916="","",IFERROR(INDEX(Cl_nom,MATCH(X916,Cl_cle,0)),"(client introuvable)"))</f>
        <v/>
      </c>
      <c r="AA916" s="33">
        <f>IF(X916="","",IFERROR(INDEX(Cl_quartier,MATCH(X916,Cl_cle,0))&amp;"",""))</f>
        <v/>
      </c>
      <c r="AB916" s="45">
        <f>IF(R916&lt;&gt;"Livrée",0,IF(K916&lt;&gt;"",K916,C916))</f>
        <v/>
      </c>
      <c r="AC916" s="33">
        <f>IF(OR(C916="",W916=""),"",P916&amp;"|"&amp;W916&amp;"|"&amp;C916&amp;"|"&amp;E916)</f>
        <v/>
      </c>
      <c r="AD916" s="39">
        <f>IF(AC916="","",IF(COUNTIF(AC$6:AC916,AC916)=1,1,0))</f>
        <v/>
      </c>
      <c r="AE916" s="39">
        <f>IF(AB916=0,"",IF(COUNTIFS(X$6:X916,X916,AB$6:AB916,AB916)=1,1,0))</f>
        <v/>
      </c>
      <c r="AF916" s="34">
        <f>IF(C916="","",YEAR(C916-WEEKDAY(C916,2)+4)&amp;"-S"&amp;TEXT(INT((C916-DATE(YEAR(C916-WEEKDAY(C916,2)+4),1,3)+WEEKDAY(DATE(YEAR(C916-WEEKDAY(C916,2)+4),1,3),2)+5)/7),"00"))</f>
        <v/>
      </c>
    </row>
    <row r="917" ht="18" customHeight="1">
      <c r="A917" s="39" t="n">
        <v>912</v>
      </c>
      <c r="B917" s="33">
        <f>IF(C917="","",IF(P917="À RENSEIGNER","GIC",P917)&amp;"-C"&amp;TEXT(A917,"00000"))</f>
        <v/>
      </c>
      <c r="C917" s="32" t="n"/>
      <c r="D917" s="36" t="n"/>
      <c r="E917" s="36" t="n"/>
      <c r="F917" s="36" t="n"/>
      <c r="G917" s="42" t="n"/>
      <c r="H917" s="37" t="n"/>
      <c r="I917" s="37" t="n"/>
      <c r="J917" s="32" t="n"/>
      <c r="K917" s="32" t="n"/>
      <c r="L917" s="43" t="n"/>
      <c r="M917" s="36" t="n"/>
      <c r="N917" s="44" t="n"/>
      <c r="O917" s="36" t="n"/>
      <c r="P917" s="33">
        <f>IF(C917="","",Commercial_Id)</f>
        <v/>
      </c>
      <c r="Q917" s="34">
        <f>IF(AC917="","",IF(AD917=1,"C"&amp;TEXT(SUM(AD$6:AD917),"0000"),INDEX(Q$6:Q916,MATCH(AC917,AC$6:AC916,0))))</f>
        <v/>
      </c>
      <c r="R917" s="34">
        <f>IF(C917="","",IF(L917="☑ Oui","Annulée",IF(OR(E917="Vente directe",K917&lt;&gt;""),"Livrée",IF(J917&lt;&gt;"","Confirmée","En attente"))))</f>
        <v/>
      </c>
      <c r="S917" s="34">
        <f>IF(F917="","",IFERROR(VLOOKUP(F917,T_Produits,2,FALSE),""))</f>
        <v/>
      </c>
      <c r="T917" s="40">
        <f>IF(F917="","",IFERROR(1/(1/VLOOKUP(F917,T_Produits,3,FALSE)),""))</f>
        <v/>
      </c>
      <c r="U917" s="40">
        <f>IF(H917&lt;&gt;"",H917,T917)</f>
        <v/>
      </c>
      <c r="V917" s="40">
        <f>IF(OR(G917="",U917=""),"",G917*U917-N(I917))</f>
        <v/>
      </c>
      <c r="W917" s="39">
        <f>IF(D917="","",IFERROR(VALUE(MID(D917,LEN(D917)-3,3)),""))</f>
        <v/>
      </c>
      <c r="X917" s="33">
        <f>IF(W917="","",P917&amp;"|"&amp;W917)</f>
        <v/>
      </c>
      <c r="Y917" s="33">
        <f>IF(W917="","",IF(P917="À RENSEIGNER","GIC",P917)&amp;"-"&amp;TEXT(W917,"000"))</f>
        <v/>
      </c>
      <c r="Z917" s="33">
        <f>IF(X917="","",IFERROR(INDEX(Cl_nom,MATCH(X917,Cl_cle,0)),"(client introuvable)"))</f>
        <v/>
      </c>
      <c r="AA917" s="33">
        <f>IF(X917="","",IFERROR(INDEX(Cl_quartier,MATCH(X917,Cl_cle,0))&amp;"",""))</f>
        <v/>
      </c>
      <c r="AB917" s="45">
        <f>IF(R917&lt;&gt;"Livrée",0,IF(K917&lt;&gt;"",K917,C917))</f>
        <v/>
      </c>
      <c r="AC917" s="33">
        <f>IF(OR(C917="",W917=""),"",P917&amp;"|"&amp;W917&amp;"|"&amp;C917&amp;"|"&amp;E917)</f>
        <v/>
      </c>
      <c r="AD917" s="39">
        <f>IF(AC917="","",IF(COUNTIF(AC$6:AC917,AC917)=1,1,0))</f>
        <v/>
      </c>
      <c r="AE917" s="39">
        <f>IF(AB917=0,"",IF(COUNTIFS(X$6:X917,X917,AB$6:AB917,AB917)=1,1,0))</f>
        <v/>
      </c>
      <c r="AF917" s="34">
        <f>IF(C917="","",YEAR(C917-WEEKDAY(C917,2)+4)&amp;"-S"&amp;TEXT(INT((C917-DATE(YEAR(C917-WEEKDAY(C917,2)+4),1,3)+WEEKDAY(DATE(YEAR(C917-WEEKDAY(C917,2)+4),1,3),2)+5)/7),"00"))</f>
        <v/>
      </c>
    </row>
    <row r="918" ht="18" customHeight="1">
      <c r="A918" s="39" t="n">
        <v>913</v>
      </c>
      <c r="B918" s="33">
        <f>IF(C918="","",IF(P918="À RENSEIGNER","GIC",P918)&amp;"-C"&amp;TEXT(A918,"00000"))</f>
        <v/>
      </c>
      <c r="C918" s="32" t="n"/>
      <c r="D918" s="36" t="n"/>
      <c r="E918" s="36" t="n"/>
      <c r="F918" s="36" t="n"/>
      <c r="G918" s="42" t="n"/>
      <c r="H918" s="37" t="n"/>
      <c r="I918" s="37" t="n"/>
      <c r="J918" s="32" t="n"/>
      <c r="K918" s="32" t="n"/>
      <c r="L918" s="43" t="n"/>
      <c r="M918" s="36" t="n"/>
      <c r="N918" s="44" t="n"/>
      <c r="O918" s="36" t="n"/>
      <c r="P918" s="33">
        <f>IF(C918="","",Commercial_Id)</f>
        <v/>
      </c>
      <c r="Q918" s="34">
        <f>IF(AC918="","",IF(AD918=1,"C"&amp;TEXT(SUM(AD$6:AD918),"0000"),INDEX(Q$6:Q917,MATCH(AC918,AC$6:AC917,0))))</f>
        <v/>
      </c>
      <c r="R918" s="34">
        <f>IF(C918="","",IF(L918="☑ Oui","Annulée",IF(OR(E918="Vente directe",K918&lt;&gt;""),"Livrée",IF(J918&lt;&gt;"","Confirmée","En attente"))))</f>
        <v/>
      </c>
      <c r="S918" s="34">
        <f>IF(F918="","",IFERROR(VLOOKUP(F918,T_Produits,2,FALSE),""))</f>
        <v/>
      </c>
      <c r="T918" s="40">
        <f>IF(F918="","",IFERROR(1/(1/VLOOKUP(F918,T_Produits,3,FALSE)),""))</f>
        <v/>
      </c>
      <c r="U918" s="40">
        <f>IF(H918&lt;&gt;"",H918,T918)</f>
        <v/>
      </c>
      <c r="V918" s="40">
        <f>IF(OR(G918="",U918=""),"",G918*U918-N(I918))</f>
        <v/>
      </c>
      <c r="W918" s="39">
        <f>IF(D918="","",IFERROR(VALUE(MID(D918,LEN(D918)-3,3)),""))</f>
        <v/>
      </c>
      <c r="X918" s="33">
        <f>IF(W918="","",P918&amp;"|"&amp;W918)</f>
        <v/>
      </c>
      <c r="Y918" s="33">
        <f>IF(W918="","",IF(P918="À RENSEIGNER","GIC",P918)&amp;"-"&amp;TEXT(W918,"000"))</f>
        <v/>
      </c>
      <c r="Z918" s="33">
        <f>IF(X918="","",IFERROR(INDEX(Cl_nom,MATCH(X918,Cl_cle,0)),"(client introuvable)"))</f>
        <v/>
      </c>
      <c r="AA918" s="33">
        <f>IF(X918="","",IFERROR(INDEX(Cl_quartier,MATCH(X918,Cl_cle,0))&amp;"",""))</f>
        <v/>
      </c>
      <c r="AB918" s="45">
        <f>IF(R918&lt;&gt;"Livrée",0,IF(K918&lt;&gt;"",K918,C918))</f>
        <v/>
      </c>
      <c r="AC918" s="33">
        <f>IF(OR(C918="",W918=""),"",P918&amp;"|"&amp;W918&amp;"|"&amp;C918&amp;"|"&amp;E918)</f>
        <v/>
      </c>
      <c r="AD918" s="39">
        <f>IF(AC918="","",IF(COUNTIF(AC$6:AC918,AC918)=1,1,0))</f>
        <v/>
      </c>
      <c r="AE918" s="39">
        <f>IF(AB918=0,"",IF(COUNTIFS(X$6:X918,X918,AB$6:AB918,AB918)=1,1,0))</f>
        <v/>
      </c>
      <c r="AF918" s="34">
        <f>IF(C918="","",YEAR(C918-WEEKDAY(C918,2)+4)&amp;"-S"&amp;TEXT(INT((C918-DATE(YEAR(C918-WEEKDAY(C918,2)+4),1,3)+WEEKDAY(DATE(YEAR(C918-WEEKDAY(C918,2)+4),1,3),2)+5)/7),"00"))</f>
        <v/>
      </c>
    </row>
    <row r="919" ht="18" customHeight="1">
      <c r="A919" s="39" t="n">
        <v>914</v>
      </c>
      <c r="B919" s="33">
        <f>IF(C919="","",IF(P919="À RENSEIGNER","GIC",P919)&amp;"-C"&amp;TEXT(A919,"00000"))</f>
        <v/>
      </c>
      <c r="C919" s="32" t="n"/>
      <c r="D919" s="36" t="n"/>
      <c r="E919" s="36" t="n"/>
      <c r="F919" s="36" t="n"/>
      <c r="G919" s="42" t="n"/>
      <c r="H919" s="37" t="n"/>
      <c r="I919" s="37" t="n"/>
      <c r="J919" s="32" t="n"/>
      <c r="K919" s="32" t="n"/>
      <c r="L919" s="43" t="n"/>
      <c r="M919" s="36" t="n"/>
      <c r="N919" s="44" t="n"/>
      <c r="O919" s="36" t="n"/>
      <c r="P919" s="33">
        <f>IF(C919="","",Commercial_Id)</f>
        <v/>
      </c>
      <c r="Q919" s="34">
        <f>IF(AC919="","",IF(AD919=1,"C"&amp;TEXT(SUM(AD$6:AD919),"0000"),INDEX(Q$6:Q918,MATCH(AC919,AC$6:AC918,0))))</f>
        <v/>
      </c>
      <c r="R919" s="34">
        <f>IF(C919="","",IF(L919="☑ Oui","Annulée",IF(OR(E919="Vente directe",K919&lt;&gt;""),"Livrée",IF(J919&lt;&gt;"","Confirmée","En attente"))))</f>
        <v/>
      </c>
      <c r="S919" s="34">
        <f>IF(F919="","",IFERROR(VLOOKUP(F919,T_Produits,2,FALSE),""))</f>
        <v/>
      </c>
      <c r="T919" s="40">
        <f>IF(F919="","",IFERROR(1/(1/VLOOKUP(F919,T_Produits,3,FALSE)),""))</f>
        <v/>
      </c>
      <c r="U919" s="40">
        <f>IF(H919&lt;&gt;"",H919,T919)</f>
        <v/>
      </c>
      <c r="V919" s="40">
        <f>IF(OR(G919="",U919=""),"",G919*U919-N(I919))</f>
        <v/>
      </c>
      <c r="W919" s="39">
        <f>IF(D919="","",IFERROR(VALUE(MID(D919,LEN(D919)-3,3)),""))</f>
        <v/>
      </c>
      <c r="X919" s="33">
        <f>IF(W919="","",P919&amp;"|"&amp;W919)</f>
        <v/>
      </c>
      <c r="Y919" s="33">
        <f>IF(W919="","",IF(P919="À RENSEIGNER","GIC",P919)&amp;"-"&amp;TEXT(W919,"000"))</f>
        <v/>
      </c>
      <c r="Z919" s="33">
        <f>IF(X919="","",IFERROR(INDEX(Cl_nom,MATCH(X919,Cl_cle,0)),"(client introuvable)"))</f>
        <v/>
      </c>
      <c r="AA919" s="33">
        <f>IF(X919="","",IFERROR(INDEX(Cl_quartier,MATCH(X919,Cl_cle,0))&amp;"",""))</f>
        <v/>
      </c>
      <c r="AB919" s="45">
        <f>IF(R919&lt;&gt;"Livrée",0,IF(K919&lt;&gt;"",K919,C919))</f>
        <v/>
      </c>
      <c r="AC919" s="33">
        <f>IF(OR(C919="",W919=""),"",P919&amp;"|"&amp;W919&amp;"|"&amp;C919&amp;"|"&amp;E919)</f>
        <v/>
      </c>
      <c r="AD919" s="39">
        <f>IF(AC919="","",IF(COUNTIF(AC$6:AC919,AC919)=1,1,0))</f>
        <v/>
      </c>
      <c r="AE919" s="39">
        <f>IF(AB919=0,"",IF(COUNTIFS(X$6:X919,X919,AB$6:AB919,AB919)=1,1,0))</f>
        <v/>
      </c>
      <c r="AF919" s="34">
        <f>IF(C919="","",YEAR(C919-WEEKDAY(C919,2)+4)&amp;"-S"&amp;TEXT(INT((C919-DATE(YEAR(C919-WEEKDAY(C919,2)+4),1,3)+WEEKDAY(DATE(YEAR(C919-WEEKDAY(C919,2)+4),1,3),2)+5)/7),"00"))</f>
        <v/>
      </c>
    </row>
    <row r="920" ht="18" customHeight="1">
      <c r="A920" s="39" t="n">
        <v>915</v>
      </c>
      <c r="B920" s="33">
        <f>IF(C920="","",IF(P920="À RENSEIGNER","GIC",P920)&amp;"-C"&amp;TEXT(A920,"00000"))</f>
        <v/>
      </c>
      <c r="C920" s="32" t="n"/>
      <c r="D920" s="36" t="n"/>
      <c r="E920" s="36" t="n"/>
      <c r="F920" s="36" t="n"/>
      <c r="G920" s="42" t="n"/>
      <c r="H920" s="37" t="n"/>
      <c r="I920" s="37" t="n"/>
      <c r="J920" s="32" t="n"/>
      <c r="K920" s="32" t="n"/>
      <c r="L920" s="43" t="n"/>
      <c r="M920" s="36" t="n"/>
      <c r="N920" s="44" t="n"/>
      <c r="O920" s="36" t="n"/>
      <c r="P920" s="33">
        <f>IF(C920="","",Commercial_Id)</f>
        <v/>
      </c>
      <c r="Q920" s="34">
        <f>IF(AC920="","",IF(AD920=1,"C"&amp;TEXT(SUM(AD$6:AD920),"0000"),INDEX(Q$6:Q919,MATCH(AC920,AC$6:AC919,0))))</f>
        <v/>
      </c>
      <c r="R920" s="34">
        <f>IF(C920="","",IF(L920="☑ Oui","Annulée",IF(OR(E920="Vente directe",K920&lt;&gt;""),"Livrée",IF(J920&lt;&gt;"","Confirmée","En attente"))))</f>
        <v/>
      </c>
      <c r="S920" s="34">
        <f>IF(F920="","",IFERROR(VLOOKUP(F920,T_Produits,2,FALSE),""))</f>
        <v/>
      </c>
      <c r="T920" s="40">
        <f>IF(F920="","",IFERROR(1/(1/VLOOKUP(F920,T_Produits,3,FALSE)),""))</f>
        <v/>
      </c>
      <c r="U920" s="40">
        <f>IF(H920&lt;&gt;"",H920,T920)</f>
        <v/>
      </c>
      <c r="V920" s="40">
        <f>IF(OR(G920="",U920=""),"",G920*U920-N(I920))</f>
        <v/>
      </c>
      <c r="W920" s="39">
        <f>IF(D920="","",IFERROR(VALUE(MID(D920,LEN(D920)-3,3)),""))</f>
        <v/>
      </c>
      <c r="X920" s="33">
        <f>IF(W920="","",P920&amp;"|"&amp;W920)</f>
        <v/>
      </c>
      <c r="Y920" s="33">
        <f>IF(W920="","",IF(P920="À RENSEIGNER","GIC",P920)&amp;"-"&amp;TEXT(W920,"000"))</f>
        <v/>
      </c>
      <c r="Z920" s="33">
        <f>IF(X920="","",IFERROR(INDEX(Cl_nom,MATCH(X920,Cl_cle,0)),"(client introuvable)"))</f>
        <v/>
      </c>
      <c r="AA920" s="33">
        <f>IF(X920="","",IFERROR(INDEX(Cl_quartier,MATCH(X920,Cl_cle,0))&amp;"",""))</f>
        <v/>
      </c>
      <c r="AB920" s="45">
        <f>IF(R920&lt;&gt;"Livrée",0,IF(K920&lt;&gt;"",K920,C920))</f>
        <v/>
      </c>
      <c r="AC920" s="33">
        <f>IF(OR(C920="",W920=""),"",P920&amp;"|"&amp;W920&amp;"|"&amp;C920&amp;"|"&amp;E920)</f>
        <v/>
      </c>
      <c r="AD920" s="39">
        <f>IF(AC920="","",IF(COUNTIF(AC$6:AC920,AC920)=1,1,0))</f>
        <v/>
      </c>
      <c r="AE920" s="39">
        <f>IF(AB920=0,"",IF(COUNTIFS(X$6:X920,X920,AB$6:AB920,AB920)=1,1,0))</f>
        <v/>
      </c>
      <c r="AF920" s="34">
        <f>IF(C920="","",YEAR(C920-WEEKDAY(C920,2)+4)&amp;"-S"&amp;TEXT(INT((C920-DATE(YEAR(C920-WEEKDAY(C920,2)+4),1,3)+WEEKDAY(DATE(YEAR(C920-WEEKDAY(C920,2)+4),1,3),2)+5)/7),"00"))</f>
        <v/>
      </c>
    </row>
    <row r="921" ht="18" customHeight="1">
      <c r="A921" s="39" t="n">
        <v>916</v>
      </c>
      <c r="B921" s="33">
        <f>IF(C921="","",IF(P921="À RENSEIGNER","GIC",P921)&amp;"-C"&amp;TEXT(A921,"00000"))</f>
        <v/>
      </c>
      <c r="C921" s="32" t="n"/>
      <c r="D921" s="36" t="n"/>
      <c r="E921" s="36" t="n"/>
      <c r="F921" s="36" t="n"/>
      <c r="G921" s="42" t="n"/>
      <c r="H921" s="37" t="n"/>
      <c r="I921" s="37" t="n"/>
      <c r="J921" s="32" t="n"/>
      <c r="K921" s="32" t="n"/>
      <c r="L921" s="43" t="n"/>
      <c r="M921" s="36" t="n"/>
      <c r="N921" s="44" t="n"/>
      <c r="O921" s="36" t="n"/>
      <c r="P921" s="33">
        <f>IF(C921="","",Commercial_Id)</f>
        <v/>
      </c>
      <c r="Q921" s="34">
        <f>IF(AC921="","",IF(AD921=1,"C"&amp;TEXT(SUM(AD$6:AD921),"0000"),INDEX(Q$6:Q920,MATCH(AC921,AC$6:AC920,0))))</f>
        <v/>
      </c>
      <c r="R921" s="34">
        <f>IF(C921="","",IF(L921="☑ Oui","Annulée",IF(OR(E921="Vente directe",K921&lt;&gt;""),"Livrée",IF(J921&lt;&gt;"","Confirmée","En attente"))))</f>
        <v/>
      </c>
      <c r="S921" s="34">
        <f>IF(F921="","",IFERROR(VLOOKUP(F921,T_Produits,2,FALSE),""))</f>
        <v/>
      </c>
      <c r="T921" s="40">
        <f>IF(F921="","",IFERROR(1/(1/VLOOKUP(F921,T_Produits,3,FALSE)),""))</f>
        <v/>
      </c>
      <c r="U921" s="40">
        <f>IF(H921&lt;&gt;"",H921,T921)</f>
        <v/>
      </c>
      <c r="V921" s="40">
        <f>IF(OR(G921="",U921=""),"",G921*U921-N(I921))</f>
        <v/>
      </c>
      <c r="W921" s="39">
        <f>IF(D921="","",IFERROR(VALUE(MID(D921,LEN(D921)-3,3)),""))</f>
        <v/>
      </c>
      <c r="X921" s="33">
        <f>IF(W921="","",P921&amp;"|"&amp;W921)</f>
        <v/>
      </c>
      <c r="Y921" s="33">
        <f>IF(W921="","",IF(P921="À RENSEIGNER","GIC",P921)&amp;"-"&amp;TEXT(W921,"000"))</f>
        <v/>
      </c>
      <c r="Z921" s="33">
        <f>IF(X921="","",IFERROR(INDEX(Cl_nom,MATCH(X921,Cl_cle,0)),"(client introuvable)"))</f>
        <v/>
      </c>
      <c r="AA921" s="33">
        <f>IF(X921="","",IFERROR(INDEX(Cl_quartier,MATCH(X921,Cl_cle,0))&amp;"",""))</f>
        <v/>
      </c>
      <c r="AB921" s="45">
        <f>IF(R921&lt;&gt;"Livrée",0,IF(K921&lt;&gt;"",K921,C921))</f>
        <v/>
      </c>
      <c r="AC921" s="33">
        <f>IF(OR(C921="",W921=""),"",P921&amp;"|"&amp;W921&amp;"|"&amp;C921&amp;"|"&amp;E921)</f>
        <v/>
      </c>
      <c r="AD921" s="39">
        <f>IF(AC921="","",IF(COUNTIF(AC$6:AC921,AC921)=1,1,0))</f>
        <v/>
      </c>
      <c r="AE921" s="39">
        <f>IF(AB921=0,"",IF(COUNTIFS(X$6:X921,X921,AB$6:AB921,AB921)=1,1,0))</f>
        <v/>
      </c>
      <c r="AF921" s="34">
        <f>IF(C921="","",YEAR(C921-WEEKDAY(C921,2)+4)&amp;"-S"&amp;TEXT(INT((C921-DATE(YEAR(C921-WEEKDAY(C921,2)+4),1,3)+WEEKDAY(DATE(YEAR(C921-WEEKDAY(C921,2)+4),1,3),2)+5)/7),"00"))</f>
        <v/>
      </c>
    </row>
    <row r="922" ht="18" customHeight="1">
      <c r="A922" s="39" t="n">
        <v>917</v>
      </c>
      <c r="B922" s="33">
        <f>IF(C922="","",IF(P922="À RENSEIGNER","GIC",P922)&amp;"-C"&amp;TEXT(A922,"00000"))</f>
        <v/>
      </c>
      <c r="C922" s="32" t="n"/>
      <c r="D922" s="36" t="n"/>
      <c r="E922" s="36" t="n"/>
      <c r="F922" s="36" t="n"/>
      <c r="G922" s="42" t="n"/>
      <c r="H922" s="37" t="n"/>
      <c r="I922" s="37" t="n"/>
      <c r="J922" s="32" t="n"/>
      <c r="K922" s="32" t="n"/>
      <c r="L922" s="43" t="n"/>
      <c r="M922" s="36" t="n"/>
      <c r="N922" s="44" t="n"/>
      <c r="O922" s="36" t="n"/>
      <c r="P922" s="33">
        <f>IF(C922="","",Commercial_Id)</f>
        <v/>
      </c>
      <c r="Q922" s="34">
        <f>IF(AC922="","",IF(AD922=1,"C"&amp;TEXT(SUM(AD$6:AD922),"0000"),INDEX(Q$6:Q921,MATCH(AC922,AC$6:AC921,0))))</f>
        <v/>
      </c>
      <c r="R922" s="34">
        <f>IF(C922="","",IF(L922="☑ Oui","Annulée",IF(OR(E922="Vente directe",K922&lt;&gt;""),"Livrée",IF(J922&lt;&gt;"","Confirmée","En attente"))))</f>
        <v/>
      </c>
      <c r="S922" s="34">
        <f>IF(F922="","",IFERROR(VLOOKUP(F922,T_Produits,2,FALSE),""))</f>
        <v/>
      </c>
      <c r="T922" s="40">
        <f>IF(F922="","",IFERROR(1/(1/VLOOKUP(F922,T_Produits,3,FALSE)),""))</f>
        <v/>
      </c>
      <c r="U922" s="40">
        <f>IF(H922&lt;&gt;"",H922,T922)</f>
        <v/>
      </c>
      <c r="V922" s="40">
        <f>IF(OR(G922="",U922=""),"",G922*U922-N(I922))</f>
        <v/>
      </c>
      <c r="W922" s="39">
        <f>IF(D922="","",IFERROR(VALUE(MID(D922,LEN(D922)-3,3)),""))</f>
        <v/>
      </c>
      <c r="X922" s="33">
        <f>IF(W922="","",P922&amp;"|"&amp;W922)</f>
        <v/>
      </c>
      <c r="Y922" s="33">
        <f>IF(W922="","",IF(P922="À RENSEIGNER","GIC",P922)&amp;"-"&amp;TEXT(W922,"000"))</f>
        <v/>
      </c>
      <c r="Z922" s="33">
        <f>IF(X922="","",IFERROR(INDEX(Cl_nom,MATCH(X922,Cl_cle,0)),"(client introuvable)"))</f>
        <v/>
      </c>
      <c r="AA922" s="33">
        <f>IF(X922="","",IFERROR(INDEX(Cl_quartier,MATCH(X922,Cl_cle,0))&amp;"",""))</f>
        <v/>
      </c>
      <c r="AB922" s="45">
        <f>IF(R922&lt;&gt;"Livrée",0,IF(K922&lt;&gt;"",K922,C922))</f>
        <v/>
      </c>
      <c r="AC922" s="33">
        <f>IF(OR(C922="",W922=""),"",P922&amp;"|"&amp;W922&amp;"|"&amp;C922&amp;"|"&amp;E922)</f>
        <v/>
      </c>
      <c r="AD922" s="39">
        <f>IF(AC922="","",IF(COUNTIF(AC$6:AC922,AC922)=1,1,0))</f>
        <v/>
      </c>
      <c r="AE922" s="39">
        <f>IF(AB922=0,"",IF(COUNTIFS(X$6:X922,X922,AB$6:AB922,AB922)=1,1,0))</f>
        <v/>
      </c>
      <c r="AF922" s="34">
        <f>IF(C922="","",YEAR(C922-WEEKDAY(C922,2)+4)&amp;"-S"&amp;TEXT(INT((C922-DATE(YEAR(C922-WEEKDAY(C922,2)+4),1,3)+WEEKDAY(DATE(YEAR(C922-WEEKDAY(C922,2)+4),1,3),2)+5)/7),"00"))</f>
        <v/>
      </c>
    </row>
    <row r="923" ht="18" customHeight="1">
      <c r="A923" s="39" t="n">
        <v>918</v>
      </c>
      <c r="B923" s="33">
        <f>IF(C923="","",IF(P923="À RENSEIGNER","GIC",P923)&amp;"-C"&amp;TEXT(A923,"00000"))</f>
        <v/>
      </c>
      <c r="C923" s="32" t="n"/>
      <c r="D923" s="36" t="n"/>
      <c r="E923" s="36" t="n"/>
      <c r="F923" s="36" t="n"/>
      <c r="G923" s="42" t="n"/>
      <c r="H923" s="37" t="n"/>
      <c r="I923" s="37" t="n"/>
      <c r="J923" s="32" t="n"/>
      <c r="K923" s="32" t="n"/>
      <c r="L923" s="43" t="n"/>
      <c r="M923" s="36" t="n"/>
      <c r="N923" s="44" t="n"/>
      <c r="O923" s="36" t="n"/>
      <c r="P923" s="33">
        <f>IF(C923="","",Commercial_Id)</f>
        <v/>
      </c>
      <c r="Q923" s="34">
        <f>IF(AC923="","",IF(AD923=1,"C"&amp;TEXT(SUM(AD$6:AD923),"0000"),INDEX(Q$6:Q922,MATCH(AC923,AC$6:AC922,0))))</f>
        <v/>
      </c>
      <c r="R923" s="34">
        <f>IF(C923="","",IF(L923="☑ Oui","Annulée",IF(OR(E923="Vente directe",K923&lt;&gt;""),"Livrée",IF(J923&lt;&gt;"","Confirmée","En attente"))))</f>
        <v/>
      </c>
      <c r="S923" s="34">
        <f>IF(F923="","",IFERROR(VLOOKUP(F923,T_Produits,2,FALSE),""))</f>
        <v/>
      </c>
      <c r="T923" s="40">
        <f>IF(F923="","",IFERROR(1/(1/VLOOKUP(F923,T_Produits,3,FALSE)),""))</f>
        <v/>
      </c>
      <c r="U923" s="40">
        <f>IF(H923&lt;&gt;"",H923,T923)</f>
        <v/>
      </c>
      <c r="V923" s="40">
        <f>IF(OR(G923="",U923=""),"",G923*U923-N(I923))</f>
        <v/>
      </c>
      <c r="W923" s="39">
        <f>IF(D923="","",IFERROR(VALUE(MID(D923,LEN(D923)-3,3)),""))</f>
        <v/>
      </c>
      <c r="X923" s="33">
        <f>IF(W923="","",P923&amp;"|"&amp;W923)</f>
        <v/>
      </c>
      <c r="Y923" s="33">
        <f>IF(W923="","",IF(P923="À RENSEIGNER","GIC",P923)&amp;"-"&amp;TEXT(W923,"000"))</f>
        <v/>
      </c>
      <c r="Z923" s="33">
        <f>IF(X923="","",IFERROR(INDEX(Cl_nom,MATCH(X923,Cl_cle,0)),"(client introuvable)"))</f>
        <v/>
      </c>
      <c r="AA923" s="33">
        <f>IF(X923="","",IFERROR(INDEX(Cl_quartier,MATCH(X923,Cl_cle,0))&amp;"",""))</f>
        <v/>
      </c>
      <c r="AB923" s="45">
        <f>IF(R923&lt;&gt;"Livrée",0,IF(K923&lt;&gt;"",K923,C923))</f>
        <v/>
      </c>
      <c r="AC923" s="33">
        <f>IF(OR(C923="",W923=""),"",P923&amp;"|"&amp;W923&amp;"|"&amp;C923&amp;"|"&amp;E923)</f>
        <v/>
      </c>
      <c r="AD923" s="39">
        <f>IF(AC923="","",IF(COUNTIF(AC$6:AC923,AC923)=1,1,0))</f>
        <v/>
      </c>
      <c r="AE923" s="39">
        <f>IF(AB923=0,"",IF(COUNTIFS(X$6:X923,X923,AB$6:AB923,AB923)=1,1,0))</f>
        <v/>
      </c>
      <c r="AF923" s="34">
        <f>IF(C923="","",YEAR(C923-WEEKDAY(C923,2)+4)&amp;"-S"&amp;TEXT(INT((C923-DATE(YEAR(C923-WEEKDAY(C923,2)+4),1,3)+WEEKDAY(DATE(YEAR(C923-WEEKDAY(C923,2)+4),1,3),2)+5)/7),"00"))</f>
        <v/>
      </c>
    </row>
    <row r="924" ht="18" customHeight="1">
      <c r="A924" s="39" t="n">
        <v>919</v>
      </c>
      <c r="B924" s="33">
        <f>IF(C924="","",IF(P924="À RENSEIGNER","GIC",P924)&amp;"-C"&amp;TEXT(A924,"00000"))</f>
        <v/>
      </c>
      <c r="C924" s="32" t="n"/>
      <c r="D924" s="36" t="n"/>
      <c r="E924" s="36" t="n"/>
      <c r="F924" s="36" t="n"/>
      <c r="G924" s="42" t="n"/>
      <c r="H924" s="37" t="n"/>
      <c r="I924" s="37" t="n"/>
      <c r="J924" s="32" t="n"/>
      <c r="K924" s="32" t="n"/>
      <c r="L924" s="43" t="n"/>
      <c r="M924" s="36" t="n"/>
      <c r="N924" s="44" t="n"/>
      <c r="O924" s="36" t="n"/>
      <c r="P924" s="33">
        <f>IF(C924="","",Commercial_Id)</f>
        <v/>
      </c>
      <c r="Q924" s="34">
        <f>IF(AC924="","",IF(AD924=1,"C"&amp;TEXT(SUM(AD$6:AD924),"0000"),INDEX(Q$6:Q923,MATCH(AC924,AC$6:AC923,0))))</f>
        <v/>
      </c>
      <c r="R924" s="34">
        <f>IF(C924="","",IF(L924="☑ Oui","Annulée",IF(OR(E924="Vente directe",K924&lt;&gt;""),"Livrée",IF(J924&lt;&gt;"","Confirmée","En attente"))))</f>
        <v/>
      </c>
      <c r="S924" s="34">
        <f>IF(F924="","",IFERROR(VLOOKUP(F924,T_Produits,2,FALSE),""))</f>
        <v/>
      </c>
      <c r="T924" s="40">
        <f>IF(F924="","",IFERROR(1/(1/VLOOKUP(F924,T_Produits,3,FALSE)),""))</f>
        <v/>
      </c>
      <c r="U924" s="40">
        <f>IF(H924&lt;&gt;"",H924,T924)</f>
        <v/>
      </c>
      <c r="V924" s="40">
        <f>IF(OR(G924="",U924=""),"",G924*U924-N(I924))</f>
        <v/>
      </c>
      <c r="W924" s="39">
        <f>IF(D924="","",IFERROR(VALUE(MID(D924,LEN(D924)-3,3)),""))</f>
        <v/>
      </c>
      <c r="X924" s="33">
        <f>IF(W924="","",P924&amp;"|"&amp;W924)</f>
        <v/>
      </c>
      <c r="Y924" s="33">
        <f>IF(W924="","",IF(P924="À RENSEIGNER","GIC",P924)&amp;"-"&amp;TEXT(W924,"000"))</f>
        <v/>
      </c>
      <c r="Z924" s="33">
        <f>IF(X924="","",IFERROR(INDEX(Cl_nom,MATCH(X924,Cl_cle,0)),"(client introuvable)"))</f>
        <v/>
      </c>
      <c r="AA924" s="33">
        <f>IF(X924="","",IFERROR(INDEX(Cl_quartier,MATCH(X924,Cl_cle,0))&amp;"",""))</f>
        <v/>
      </c>
      <c r="AB924" s="45">
        <f>IF(R924&lt;&gt;"Livrée",0,IF(K924&lt;&gt;"",K924,C924))</f>
        <v/>
      </c>
      <c r="AC924" s="33">
        <f>IF(OR(C924="",W924=""),"",P924&amp;"|"&amp;W924&amp;"|"&amp;C924&amp;"|"&amp;E924)</f>
        <v/>
      </c>
      <c r="AD924" s="39">
        <f>IF(AC924="","",IF(COUNTIF(AC$6:AC924,AC924)=1,1,0))</f>
        <v/>
      </c>
      <c r="AE924" s="39">
        <f>IF(AB924=0,"",IF(COUNTIFS(X$6:X924,X924,AB$6:AB924,AB924)=1,1,0))</f>
        <v/>
      </c>
      <c r="AF924" s="34">
        <f>IF(C924="","",YEAR(C924-WEEKDAY(C924,2)+4)&amp;"-S"&amp;TEXT(INT((C924-DATE(YEAR(C924-WEEKDAY(C924,2)+4),1,3)+WEEKDAY(DATE(YEAR(C924-WEEKDAY(C924,2)+4),1,3),2)+5)/7),"00"))</f>
        <v/>
      </c>
    </row>
    <row r="925" ht="18" customHeight="1">
      <c r="A925" s="39" t="n">
        <v>920</v>
      </c>
      <c r="B925" s="33">
        <f>IF(C925="","",IF(P925="À RENSEIGNER","GIC",P925)&amp;"-C"&amp;TEXT(A925,"00000"))</f>
        <v/>
      </c>
      <c r="C925" s="32" t="n"/>
      <c r="D925" s="36" t="n"/>
      <c r="E925" s="36" t="n"/>
      <c r="F925" s="36" t="n"/>
      <c r="G925" s="42" t="n"/>
      <c r="H925" s="37" t="n"/>
      <c r="I925" s="37" t="n"/>
      <c r="J925" s="32" t="n"/>
      <c r="K925" s="32" t="n"/>
      <c r="L925" s="43" t="n"/>
      <c r="M925" s="36" t="n"/>
      <c r="N925" s="44" t="n"/>
      <c r="O925" s="36" t="n"/>
      <c r="P925" s="33">
        <f>IF(C925="","",Commercial_Id)</f>
        <v/>
      </c>
      <c r="Q925" s="34">
        <f>IF(AC925="","",IF(AD925=1,"C"&amp;TEXT(SUM(AD$6:AD925),"0000"),INDEX(Q$6:Q924,MATCH(AC925,AC$6:AC924,0))))</f>
        <v/>
      </c>
      <c r="R925" s="34">
        <f>IF(C925="","",IF(L925="☑ Oui","Annulée",IF(OR(E925="Vente directe",K925&lt;&gt;""),"Livrée",IF(J925&lt;&gt;"","Confirmée","En attente"))))</f>
        <v/>
      </c>
      <c r="S925" s="34">
        <f>IF(F925="","",IFERROR(VLOOKUP(F925,T_Produits,2,FALSE),""))</f>
        <v/>
      </c>
      <c r="T925" s="40">
        <f>IF(F925="","",IFERROR(1/(1/VLOOKUP(F925,T_Produits,3,FALSE)),""))</f>
        <v/>
      </c>
      <c r="U925" s="40">
        <f>IF(H925&lt;&gt;"",H925,T925)</f>
        <v/>
      </c>
      <c r="V925" s="40">
        <f>IF(OR(G925="",U925=""),"",G925*U925-N(I925))</f>
        <v/>
      </c>
      <c r="W925" s="39">
        <f>IF(D925="","",IFERROR(VALUE(MID(D925,LEN(D925)-3,3)),""))</f>
        <v/>
      </c>
      <c r="X925" s="33">
        <f>IF(W925="","",P925&amp;"|"&amp;W925)</f>
        <v/>
      </c>
      <c r="Y925" s="33">
        <f>IF(W925="","",IF(P925="À RENSEIGNER","GIC",P925)&amp;"-"&amp;TEXT(W925,"000"))</f>
        <v/>
      </c>
      <c r="Z925" s="33">
        <f>IF(X925="","",IFERROR(INDEX(Cl_nom,MATCH(X925,Cl_cle,0)),"(client introuvable)"))</f>
        <v/>
      </c>
      <c r="AA925" s="33">
        <f>IF(X925="","",IFERROR(INDEX(Cl_quartier,MATCH(X925,Cl_cle,0))&amp;"",""))</f>
        <v/>
      </c>
      <c r="AB925" s="45">
        <f>IF(R925&lt;&gt;"Livrée",0,IF(K925&lt;&gt;"",K925,C925))</f>
        <v/>
      </c>
      <c r="AC925" s="33">
        <f>IF(OR(C925="",W925=""),"",P925&amp;"|"&amp;W925&amp;"|"&amp;C925&amp;"|"&amp;E925)</f>
        <v/>
      </c>
      <c r="AD925" s="39">
        <f>IF(AC925="","",IF(COUNTIF(AC$6:AC925,AC925)=1,1,0))</f>
        <v/>
      </c>
      <c r="AE925" s="39">
        <f>IF(AB925=0,"",IF(COUNTIFS(X$6:X925,X925,AB$6:AB925,AB925)=1,1,0))</f>
        <v/>
      </c>
      <c r="AF925" s="34">
        <f>IF(C925="","",YEAR(C925-WEEKDAY(C925,2)+4)&amp;"-S"&amp;TEXT(INT((C925-DATE(YEAR(C925-WEEKDAY(C925,2)+4),1,3)+WEEKDAY(DATE(YEAR(C925-WEEKDAY(C925,2)+4),1,3),2)+5)/7),"00"))</f>
        <v/>
      </c>
    </row>
    <row r="926" ht="18" customHeight="1">
      <c r="A926" s="39" t="n">
        <v>921</v>
      </c>
      <c r="B926" s="33">
        <f>IF(C926="","",IF(P926="À RENSEIGNER","GIC",P926)&amp;"-C"&amp;TEXT(A926,"00000"))</f>
        <v/>
      </c>
      <c r="C926" s="32" t="n"/>
      <c r="D926" s="36" t="n"/>
      <c r="E926" s="36" t="n"/>
      <c r="F926" s="36" t="n"/>
      <c r="G926" s="42" t="n"/>
      <c r="H926" s="37" t="n"/>
      <c r="I926" s="37" t="n"/>
      <c r="J926" s="32" t="n"/>
      <c r="K926" s="32" t="n"/>
      <c r="L926" s="43" t="n"/>
      <c r="M926" s="36" t="n"/>
      <c r="N926" s="44" t="n"/>
      <c r="O926" s="36" t="n"/>
      <c r="P926" s="33">
        <f>IF(C926="","",Commercial_Id)</f>
        <v/>
      </c>
      <c r="Q926" s="34">
        <f>IF(AC926="","",IF(AD926=1,"C"&amp;TEXT(SUM(AD$6:AD926),"0000"),INDEX(Q$6:Q925,MATCH(AC926,AC$6:AC925,0))))</f>
        <v/>
      </c>
      <c r="R926" s="34">
        <f>IF(C926="","",IF(L926="☑ Oui","Annulée",IF(OR(E926="Vente directe",K926&lt;&gt;""),"Livrée",IF(J926&lt;&gt;"","Confirmée","En attente"))))</f>
        <v/>
      </c>
      <c r="S926" s="34">
        <f>IF(F926="","",IFERROR(VLOOKUP(F926,T_Produits,2,FALSE),""))</f>
        <v/>
      </c>
      <c r="T926" s="40">
        <f>IF(F926="","",IFERROR(1/(1/VLOOKUP(F926,T_Produits,3,FALSE)),""))</f>
        <v/>
      </c>
      <c r="U926" s="40">
        <f>IF(H926&lt;&gt;"",H926,T926)</f>
        <v/>
      </c>
      <c r="V926" s="40">
        <f>IF(OR(G926="",U926=""),"",G926*U926-N(I926))</f>
        <v/>
      </c>
      <c r="W926" s="39">
        <f>IF(D926="","",IFERROR(VALUE(MID(D926,LEN(D926)-3,3)),""))</f>
        <v/>
      </c>
      <c r="X926" s="33">
        <f>IF(W926="","",P926&amp;"|"&amp;W926)</f>
        <v/>
      </c>
      <c r="Y926" s="33">
        <f>IF(W926="","",IF(P926="À RENSEIGNER","GIC",P926)&amp;"-"&amp;TEXT(W926,"000"))</f>
        <v/>
      </c>
      <c r="Z926" s="33">
        <f>IF(X926="","",IFERROR(INDEX(Cl_nom,MATCH(X926,Cl_cle,0)),"(client introuvable)"))</f>
        <v/>
      </c>
      <c r="AA926" s="33">
        <f>IF(X926="","",IFERROR(INDEX(Cl_quartier,MATCH(X926,Cl_cle,0))&amp;"",""))</f>
        <v/>
      </c>
      <c r="AB926" s="45">
        <f>IF(R926&lt;&gt;"Livrée",0,IF(K926&lt;&gt;"",K926,C926))</f>
        <v/>
      </c>
      <c r="AC926" s="33">
        <f>IF(OR(C926="",W926=""),"",P926&amp;"|"&amp;W926&amp;"|"&amp;C926&amp;"|"&amp;E926)</f>
        <v/>
      </c>
      <c r="AD926" s="39">
        <f>IF(AC926="","",IF(COUNTIF(AC$6:AC926,AC926)=1,1,0))</f>
        <v/>
      </c>
      <c r="AE926" s="39">
        <f>IF(AB926=0,"",IF(COUNTIFS(X$6:X926,X926,AB$6:AB926,AB926)=1,1,0))</f>
        <v/>
      </c>
      <c r="AF926" s="34">
        <f>IF(C926="","",YEAR(C926-WEEKDAY(C926,2)+4)&amp;"-S"&amp;TEXT(INT((C926-DATE(YEAR(C926-WEEKDAY(C926,2)+4),1,3)+WEEKDAY(DATE(YEAR(C926-WEEKDAY(C926,2)+4),1,3),2)+5)/7),"00"))</f>
        <v/>
      </c>
    </row>
    <row r="927" ht="18" customHeight="1">
      <c r="A927" s="39" t="n">
        <v>922</v>
      </c>
      <c r="B927" s="33">
        <f>IF(C927="","",IF(P927="À RENSEIGNER","GIC",P927)&amp;"-C"&amp;TEXT(A927,"00000"))</f>
        <v/>
      </c>
      <c r="C927" s="32" t="n"/>
      <c r="D927" s="36" t="n"/>
      <c r="E927" s="36" t="n"/>
      <c r="F927" s="36" t="n"/>
      <c r="G927" s="42" t="n"/>
      <c r="H927" s="37" t="n"/>
      <c r="I927" s="37" t="n"/>
      <c r="J927" s="32" t="n"/>
      <c r="K927" s="32" t="n"/>
      <c r="L927" s="43" t="n"/>
      <c r="M927" s="36" t="n"/>
      <c r="N927" s="44" t="n"/>
      <c r="O927" s="36" t="n"/>
      <c r="P927" s="33">
        <f>IF(C927="","",Commercial_Id)</f>
        <v/>
      </c>
      <c r="Q927" s="34">
        <f>IF(AC927="","",IF(AD927=1,"C"&amp;TEXT(SUM(AD$6:AD927),"0000"),INDEX(Q$6:Q926,MATCH(AC927,AC$6:AC926,0))))</f>
        <v/>
      </c>
      <c r="R927" s="34">
        <f>IF(C927="","",IF(L927="☑ Oui","Annulée",IF(OR(E927="Vente directe",K927&lt;&gt;""),"Livrée",IF(J927&lt;&gt;"","Confirmée","En attente"))))</f>
        <v/>
      </c>
      <c r="S927" s="34">
        <f>IF(F927="","",IFERROR(VLOOKUP(F927,T_Produits,2,FALSE),""))</f>
        <v/>
      </c>
      <c r="T927" s="40">
        <f>IF(F927="","",IFERROR(1/(1/VLOOKUP(F927,T_Produits,3,FALSE)),""))</f>
        <v/>
      </c>
      <c r="U927" s="40">
        <f>IF(H927&lt;&gt;"",H927,T927)</f>
        <v/>
      </c>
      <c r="V927" s="40">
        <f>IF(OR(G927="",U927=""),"",G927*U927-N(I927))</f>
        <v/>
      </c>
      <c r="W927" s="39">
        <f>IF(D927="","",IFERROR(VALUE(MID(D927,LEN(D927)-3,3)),""))</f>
        <v/>
      </c>
      <c r="X927" s="33">
        <f>IF(W927="","",P927&amp;"|"&amp;W927)</f>
        <v/>
      </c>
      <c r="Y927" s="33">
        <f>IF(W927="","",IF(P927="À RENSEIGNER","GIC",P927)&amp;"-"&amp;TEXT(W927,"000"))</f>
        <v/>
      </c>
      <c r="Z927" s="33">
        <f>IF(X927="","",IFERROR(INDEX(Cl_nom,MATCH(X927,Cl_cle,0)),"(client introuvable)"))</f>
        <v/>
      </c>
      <c r="AA927" s="33">
        <f>IF(X927="","",IFERROR(INDEX(Cl_quartier,MATCH(X927,Cl_cle,0))&amp;"",""))</f>
        <v/>
      </c>
      <c r="AB927" s="45">
        <f>IF(R927&lt;&gt;"Livrée",0,IF(K927&lt;&gt;"",K927,C927))</f>
        <v/>
      </c>
      <c r="AC927" s="33">
        <f>IF(OR(C927="",W927=""),"",P927&amp;"|"&amp;W927&amp;"|"&amp;C927&amp;"|"&amp;E927)</f>
        <v/>
      </c>
      <c r="AD927" s="39">
        <f>IF(AC927="","",IF(COUNTIF(AC$6:AC927,AC927)=1,1,0))</f>
        <v/>
      </c>
      <c r="AE927" s="39">
        <f>IF(AB927=0,"",IF(COUNTIFS(X$6:X927,X927,AB$6:AB927,AB927)=1,1,0))</f>
        <v/>
      </c>
      <c r="AF927" s="34">
        <f>IF(C927="","",YEAR(C927-WEEKDAY(C927,2)+4)&amp;"-S"&amp;TEXT(INT((C927-DATE(YEAR(C927-WEEKDAY(C927,2)+4),1,3)+WEEKDAY(DATE(YEAR(C927-WEEKDAY(C927,2)+4),1,3),2)+5)/7),"00"))</f>
        <v/>
      </c>
    </row>
    <row r="928" ht="18" customHeight="1">
      <c r="A928" s="39" t="n">
        <v>923</v>
      </c>
      <c r="B928" s="33">
        <f>IF(C928="","",IF(P928="À RENSEIGNER","GIC",P928)&amp;"-C"&amp;TEXT(A928,"00000"))</f>
        <v/>
      </c>
      <c r="C928" s="32" t="n"/>
      <c r="D928" s="36" t="n"/>
      <c r="E928" s="36" t="n"/>
      <c r="F928" s="36" t="n"/>
      <c r="G928" s="42" t="n"/>
      <c r="H928" s="37" t="n"/>
      <c r="I928" s="37" t="n"/>
      <c r="J928" s="32" t="n"/>
      <c r="K928" s="32" t="n"/>
      <c r="L928" s="43" t="n"/>
      <c r="M928" s="36" t="n"/>
      <c r="N928" s="44" t="n"/>
      <c r="O928" s="36" t="n"/>
      <c r="P928" s="33">
        <f>IF(C928="","",Commercial_Id)</f>
        <v/>
      </c>
      <c r="Q928" s="34">
        <f>IF(AC928="","",IF(AD928=1,"C"&amp;TEXT(SUM(AD$6:AD928),"0000"),INDEX(Q$6:Q927,MATCH(AC928,AC$6:AC927,0))))</f>
        <v/>
      </c>
      <c r="R928" s="34">
        <f>IF(C928="","",IF(L928="☑ Oui","Annulée",IF(OR(E928="Vente directe",K928&lt;&gt;""),"Livrée",IF(J928&lt;&gt;"","Confirmée","En attente"))))</f>
        <v/>
      </c>
      <c r="S928" s="34">
        <f>IF(F928="","",IFERROR(VLOOKUP(F928,T_Produits,2,FALSE),""))</f>
        <v/>
      </c>
      <c r="T928" s="40">
        <f>IF(F928="","",IFERROR(1/(1/VLOOKUP(F928,T_Produits,3,FALSE)),""))</f>
        <v/>
      </c>
      <c r="U928" s="40">
        <f>IF(H928&lt;&gt;"",H928,T928)</f>
        <v/>
      </c>
      <c r="V928" s="40">
        <f>IF(OR(G928="",U928=""),"",G928*U928-N(I928))</f>
        <v/>
      </c>
      <c r="W928" s="39">
        <f>IF(D928="","",IFERROR(VALUE(MID(D928,LEN(D928)-3,3)),""))</f>
        <v/>
      </c>
      <c r="X928" s="33">
        <f>IF(W928="","",P928&amp;"|"&amp;W928)</f>
        <v/>
      </c>
      <c r="Y928" s="33">
        <f>IF(W928="","",IF(P928="À RENSEIGNER","GIC",P928)&amp;"-"&amp;TEXT(W928,"000"))</f>
        <v/>
      </c>
      <c r="Z928" s="33">
        <f>IF(X928="","",IFERROR(INDEX(Cl_nom,MATCH(X928,Cl_cle,0)),"(client introuvable)"))</f>
        <v/>
      </c>
      <c r="AA928" s="33">
        <f>IF(X928="","",IFERROR(INDEX(Cl_quartier,MATCH(X928,Cl_cle,0))&amp;"",""))</f>
        <v/>
      </c>
      <c r="AB928" s="45">
        <f>IF(R928&lt;&gt;"Livrée",0,IF(K928&lt;&gt;"",K928,C928))</f>
        <v/>
      </c>
      <c r="AC928" s="33">
        <f>IF(OR(C928="",W928=""),"",P928&amp;"|"&amp;W928&amp;"|"&amp;C928&amp;"|"&amp;E928)</f>
        <v/>
      </c>
      <c r="AD928" s="39">
        <f>IF(AC928="","",IF(COUNTIF(AC$6:AC928,AC928)=1,1,0))</f>
        <v/>
      </c>
      <c r="AE928" s="39">
        <f>IF(AB928=0,"",IF(COUNTIFS(X$6:X928,X928,AB$6:AB928,AB928)=1,1,0))</f>
        <v/>
      </c>
      <c r="AF928" s="34">
        <f>IF(C928="","",YEAR(C928-WEEKDAY(C928,2)+4)&amp;"-S"&amp;TEXT(INT((C928-DATE(YEAR(C928-WEEKDAY(C928,2)+4),1,3)+WEEKDAY(DATE(YEAR(C928-WEEKDAY(C928,2)+4),1,3),2)+5)/7),"00"))</f>
        <v/>
      </c>
    </row>
    <row r="929" ht="18" customHeight="1">
      <c r="A929" s="39" t="n">
        <v>924</v>
      </c>
      <c r="B929" s="33">
        <f>IF(C929="","",IF(P929="À RENSEIGNER","GIC",P929)&amp;"-C"&amp;TEXT(A929,"00000"))</f>
        <v/>
      </c>
      <c r="C929" s="32" t="n"/>
      <c r="D929" s="36" t="n"/>
      <c r="E929" s="36" t="n"/>
      <c r="F929" s="36" t="n"/>
      <c r="G929" s="42" t="n"/>
      <c r="H929" s="37" t="n"/>
      <c r="I929" s="37" t="n"/>
      <c r="J929" s="32" t="n"/>
      <c r="K929" s="32" t="n"/>
      <c r="L929" s="43" t="n"/>
      <c r="M929" s="36" t="n"/>
      <c r="N929" s="44" t="n"/>
      <c r="O929" s="36" t="n"/>
      <c r="P929" s="33">
        <f>IF(C929="","",Commercial_Id)</f>
        <v/>
      </c>
      <c r="Q929" s="34">
        <f>IF(AC929="","",IF(AD929=1,"C"&amp;TEXT(SUM(AD$6:AD929),"0000"),INDEX(Q$6:Q928,MATCH(AC929,AC$6:AC928,0))))</f>
        <v/>
      </c>
      <c r="R929" s="34">
        <f>IF(C929="","",IF(L929="☑ Oui","Annulée",IF(OR(E929="Vente directe",K929&lt;&gt;""),"Livrée",IF(J929&lt;&gt;"","Confirmée","En attente"))))</f>
        <v/>
      </c>
      <c r="S929" s="34">
        <f>IF(F929="","",IFERROR(VLOOKUP(F929,T_Produits,2,FALSE),""))</f>
        <v/>
      </c>
      <c r="T929" s="40">
        <f>IF(F929="","",IFERROR(1/(1/VLOOKUP(F929,T_Produits,3,FALSE)),""))</f>
        <v/>
      </c>
      <c r="U929" s="40">
        <f>IF(H929&lt;&gt;"",H929,T929)</f>
        <v/>
      </c>
      <c r="V929" s="40">
        <f>IF(OR(G929="",U929=""),"",G929*U929-N(I929))</f>
        <v/>
      </c>
      <c r="W929" s="39">
        <f>IF(D929="","",IFERROR(VALUE(MID(D929,LEN(D929)-3,3)),""))</f>
        <v/>
      </c>
      <c r="X929" s="33">
        <f>IF(W929="","",P929&amp;"|"&amp;W929)</f>
        <v/>
      </c>
      <c r="Y929" s="33">
        <f>IF(W929="","",IF(P929="À RENSEIGNER","GIC",P929)&amp;"-"&amp;TEXT(W929,"000"))</f>
        <v/>
      </c>
      <c r="Z929" s="33">
        <f>IF(X929="","",IFERROR(INDEX(Cl_nom,MATCH(X929,Cl_cle,0)),"(client introuvable)"))</f>
        <v/>
      </c>
      <c r="AA929" s="33">
        <f>IF(X929="","",IFERROR(INDEX(Cl_quartier,MATCH(X929,Cl_cle,0))&amp;"",""))</f>
        <v/>
      </c>
      <c r="AB929" s="45">
        <f>IF(R929&lt;&gt;"Livrée",0,IF(K929&lt;&gt;"",K929,C929))</f>
        <v/>
      </c>
      <c r="AC929" s="33">
        <f>IF(OR(C929="",W929=""),"",P929&amp;"|"&amp;W929&amp;"|"&amp;C929&amp;"|"&amp;E929)</f>
        <v/>
      </c>
      <c r="AD929" s="39">
        <f>IF(AC929="","",IF(COUNTIF(AC$6:AC929,AC929)=1,1,0))</f>
        <v/>
      </c>
      <c r="AE929" s="39">
        <f>IF(AB929=0,"",IF(COUNTIFS(X$6:X929,X929,AB$6:AB929,AB929)=1,1,0))</f>
        <v/>
      </c>
      <c r="AF929" s="34">
        <f>IF(C929="","",YEAR(C929-WEEKDAY(C929,2)+4)&amp;"-S"&amp;TEXT(INT((C929-DATE(YEAR(C929-WEEKDAY(C929,2)+4),1,3)+WEEKDAY(DATE(YEAR(C929-WEEKDAY(C929,2)+4),1,3),2)+5)/7),"00"))</f>
        <v/>
      </c>
    </row>
    <row r="930" ht="18" customHeight="1">
      <c r="A930" s="39" t="n">
        <v>925</v>
      </c>
      <c r="B930" s="33">
        <f>IF(C930="","",IF(P930="À RENSEIGNER","GIC",P930)&amp;"-C"&amp;TEXT(A930,"00000"))</f>
        <v/>
      </c>
      <c r="C930" s="32" t="n"/>
      <c r="D930" s="36" t="n"/>
      <c r="E930" s="36" t="n"/>
      <c r="F930" s="36" t="n"/>
      <c r="G930" s="42" t="n"/>
      <c r="H930" s="37" t="n"/>
      <c r="I930" s="37" t="n"/>
      <c r="J930" s="32" t="n"/>
      <c r="K930" s="32" t="n"/>
      <c r="L930" s="43" t="n"/>
      <c r="M930" s="36" t="n"/>
      <c r="N930" s="44" t="n"/>
      <c r="O930" s="36" t="n"/>
      <c r="P930" s="33">
        <f>IF(C930="","",Commercial_Id)</f>
        <v/>
      </c>
      <c r="Q930" s="34">
        <f>IF(AC930="","",IF(AD930=1,"C"&amp;TEXT(SUM(AD$6:AD930),"0000"),INDEX(Q$6:Q929,MATCH(AC930,AC$6:AC929,0))))</f>
        <v/>
      </c>
      <c r="R930" s="34">
        <f>IF(C930="","",IF(L930="☑ Oui","Annulée",IF(OR(E930="Vente directe",K930&lt;&gt;""),"Livrée",IF(J930&lt;&gt;"","Confirmée","En attente"))))</f>
        <v/>
      </c>
      <c r="S930" s="34">
        <f>IF(F930="","",IFERROR(VLOOKUP(F930,T_Produits,2,FALSE),""))</f>
        <v/>
      </c>
      <c r="T930" s="40">
        <f>IF(F930="","",IFERROR(1/(1/VLOOKUP(F930,T_Produits,3,FALSE)),""))</f>
        <v/>
      </c>
      <c r="U930" s="40">
        <f>IF(H930&lt;&gt;"",H930,T930)</f>
        <v/>
      </c>
      <c r="V930" s="40">
        <f>IF(OR(G930="",U930=""),"",G930*U930-N(I930))</f>
        <v/>
      </c>
      <c r="W930" s="39">
        <f>IF(D930="","",IFERROR(VALUE(MID(D930,LEN(D930)-3,3)),""))</f>
        <v/>
      </c>
      <c r="X930" s="33">
        <f>IF(W930="","",P930&amp;"|"&amp;W930)</f>
        <v/>
      </c>
      <c r="Y930" s="33">
        <f>IF(W930="","",IF(P930="À RENSEIGNER","GIC",P930)&amp;"-"&amp;TEXT(W930,"000"))</f>
        <v/>
      </c>
      <c r="Z930" s="33">
        <f>IF(X930="","",IFERROR(INDEX(Cl_nom,MATCH(X930,Cl_cle,0)),"(client introuvable)"))</f>
        <v/>
      </c>
      <c r="AA930" s="33">
        <f>IF(X930="","",IFERROR(INDEX(Cl_quartier,MATCH(X930,Cl_cle,0))&amp;"",""))</f>
        <v/>
      </c>
      <c r="AB930" s="45">
        <f>IF(R930&lt;&gt;"Livrée",0,IF(K930&lt;&gt;"",K930,C930))</f>
        <v/>
      </c>
      <c r="AC930" s="33">
        <f>IF(OR(C930="",W930=""),"",P930&amp;"|"&amp;W930&amp;"|"&amp;C930&amp;"|"&amp;E930)</f>
        <v/>
      </c>
      <c r="AD930" s="39">
        <f>IF(AC930="","",IF(COUNTIF(AC$6:AC930,AC930)=1,1,0))</f>
        <v/>
      </c>
      <c r="AE930" s="39">
        <f>IF(AB930=0,"",IF(COUNTIFS(X$6:X930,X930,AB$6:AB930,AB930)=1,1,0))</f>
        <v/>
      </c>
      <c r="AF930" s="34">
        <f>IF(C930="","",YEAR(C930-WEEKDAY(C930,2)+4)&amp;"-S"&amp;TEXT(INT((C930-DATE(YEAR(C930-WEEKDAY(C930,2)+4),1,3)+WEEKDAY(DATE(YEAR(C930-WEEKDAY(C930,2)+4),1,3),2)+5)/7),"00"))</f>
        <v/>
      </c>
    </row>
    <row r="931" ht="18" customHeight="1">
      <c r="A931" s="39" t="n">
        <v>926</v>
      </c>
      <c r="B931" s="33">
        <f>IF(C931="","",IF(P931="À RENSEIGNER","GIC",P931)&amp;"-C"&amp;TEXT(A931,"00000"))</f>
        <v/>
      </c>
      <c r="C931" s="32" t="n"/>
      <c r="D931" s="36" t="n"/>
      <c r="E931" s="36" t="n"/>
      <c r="F931" s="36" t="n"/>
      <c r="G931" s="42" t="n"/>
      <c r="H931" s="37" t="n"/>
      <c r="I931" s="37" t="n"/>
      <c r="J931" s="32" t="n"/>
      <c r="K931" s="32" t="n"/>
      <c r="L931" s="43" t="n"/>
      <c r="M931" s="36" t="n"/>
      <c r="N931" s="44" t="n"/>
      <c r="O931" s="36" t="n"/>
      <c r="P931" s="33">
        <f>IF(C931="","",Commercial_Id)</f>
        <v/>
      </c>
      <c r="Q931" s="34">
        <f>IF(AC931="","",IF(AD931=1,"C"&amp;TEXT(SUM(AD$6:AD931),"0000"),INDEX(Q$6:Q930,MATCH(AC931,AC$6:AC930,0))))</f>
        <v/>
      </c>
      <c r="R931" s="34">
        <f>IF(C931="","",IF(L931="☑ Oui","Annulée",IF(OR(E931="Vente directe",K931&lt;&gt;""),"Livrée",IF(J931&lt;&gt;"","Confirmée","En attente"))))</f>
        <v/>
      </c>
      <c r="S931" s="34">
        <f>IF(F931="","",IFERROR(VLOOKUP(F931,T_Produits,2,FALSE),""))</f>
        <v/>
      </c>
      <c r="T931" s="40">
        <f>IF(F931="","",IFERROR(1/(1/VLOOKUP(F931,T_Produits,3,FALSE)),""))</f>
        <v/>
      </c>
      <c r="U931" s="40">
        <f>IF(H931&lt;&gt;"",H931,T931)</f>
        <v/>
      </c>
      <c r="V931" s="40">
        <f>IF(OR(G931="",U931=""),"",G931*U931-N(I931))</f>
        <v/>
      </c>
      <c r="W931" s="39">
        <f>IF(D931="","",IFERROR(VALUE(MID(D931,LEN(D931)-3,3)),""))</f>
        <v/>
      </c>
      <c r="X931" s="33">
        <f>IF(W931="","",P931&amp;"|"&amp;W931)</f>
        <v/>
      </c>
      <c r="Y931" s="33">
        <f>IF(W931="","",IF(P931="À RENSEIGNER","GIC",P931)&amp;"-"&amp;TEXT(W931,"000"))</f>
        <v/>
      </c>
      <c r="Z931" s="33">
        <f>IF(X931="","",IFERROR(INDEX(Cl_nom,MATCH(X931,Cl_cle,0)),"(client introuvable)"))</f>
        <v/>
      </c>
      <c r="AA931" s="33">
        <f>IF(X931="","",IFERROR(INDEX(Cl_quartier,MATCH(X931,Cl_cle,0))&amp;"",""))</f>
        <v/>
      </c>
      <c r="AB931" s="45">
        <f>IF(R931&lt;&gt;"Livrée",0,IF(K931&lt;&gt;"",K931,C931))</f>
        <v/>
      </c>
      <c r="AC931" s="33">
        <f>IF(OR(C931="",W931=""),"",P931&amp;"|"&amp;W931&amp;"|"&amp;C931&amp;"|"&amp;E931)</f>
        <v/>
      </c>
      <c r="AD931" s="39">
        <f>IF(AC931="","",IF(COUNTIF(AC$6:AC931,AC931)=1,1,0))</f>
        <v/>
      </c>
      <c r="AE931" s="39">
        <f>IF(AB931=0,"",IF(COUNTIFS(X$6:X931,X931,AB$6:AB931,AB931)=1,1,0))</f>
        <v/>
      </c>
      <c r="AF931" s="34">
        <f>IF(C931="","",YEAR(C931-WEEKDAY(C931,2)+4)&amp;"-S"&amp;TEXT(INT((C931-DATE(YEAR(C931-WEEKDAY(C931,2)+4),1,3)+WEEKDAY(DATE(YEAR(C931-WEEKDAY(C931,2)+4),1,3),2)+5)/7),"00"))</f>
        <v/>
      </c>
    </row>
    <row r="932" ht="18" customHeight="1">
      <c r="A932" s="39" t="n">
        <v>927</v>
      </c>
      <c r="B932" s="33">
        <f>IF(C932="","",IF(P932="À RENSEIGNER","GIC",P932)&amp;"-C"&amp;TEXT(A932,"00000"))</f>
        <v/>
      </c>
      <c r="C932" s="32" t="n"/>
      <c r="D932" s="36" t="n"/>
      <c r="E932" s="36" t="n"/>
      <c r="F932" s="36" t="n"/>
      <c r="G932" s="42" t="n"/>
      <c r="H932" s="37" t="n"/>
      <c r="I932" s="37" t="n"/>
      <c r="J932" s="32" t="n"/>
      <c r="K932" s="32" t="n"/>
      <c r="L932" s="43" t="n"/>
      <c r="M932" s="36" t="n"/>
      <c r="N932" s="44" t="n"/>
      <c r="O932" s="36" t="n"/>
      <c r="P932" s="33">
        <f>IF(C932="","",Commercial_Id)</f>
        <v/>
      </c>
      <c r="Q932" s="34">
        <f>IF(AC932="","",IF(AD932=1,"C"&amp;TEXT(SUM(AD$6:AD932),"0000"),INDEX(Q$6:Q931,MATCH(AC932,AC$6:AC931,0))))</f>
        <v/>
      </c>
      <c r="R932" s="34">
        <f>IF(C932="","",IF(L932="☑ Oui","Annulée",IF(OR(E932="Vente directe",K932&lt;&gt;""),"Livrée",IF(J932&lt;&gt;"","Confirmée","En attente"))))</f>
        <v/>
      </c>
      <c r="S932" s="34">
        <f>IF(F932="","",IFERROR(VLOOKUP(F932,T_Produits,2,FALSE),""))</f>
        <v/>
      </c>
      <c r="T932" s="40">
        <f>IF(F932="","",IFERROR(1/(1/VLOOKUP(F932,T_Produits,3,FALSE)),""))</f>
        <v/>
      </c>
      <c r="U932" s="40">
        <f>IF(H932&lt;&gt;"",H932,T932)</f>
        <v/>
      </c>
      <c r="V932" s="40">
        <f>IF(OR(G932="",U932=""),"",G932*U932-N(I932))</f>
        <v/>
      </c>
      <c r="W932" s="39">
        <f>IF(D932="","",IFERROR(VALUE(MID(D932,LEN(D932)-3,3)),""))</f>
        <v/>
      </c>
      <c r="X932" s="33">
        <f>IF(W932="","",P932&amp;"|"&amp;W932)</f>
        <v/>
      </c>
      <c r="Y932" s="33">
        <f>IF(W932="","",IF(P932="À RENSEIGNER","GIC",P932)&amp;"-"&amp;TEXT(W932,"000"))</f>
        <v/>
      </c>
      <c r="Z932" s="33">
        <f>IF(X932="","",IFERROR(INDEX(Cl_nom,MATCH(X932,Cl_cle,0)),"(client introuvable)"))</f>
        <v/>
      </c>
      <c r="AA932" s="33">
        <f>IF(X932="","",IFERROR(INDEX(Cl_quartier,MATCH(X932,Cl_cle,0))&amp;"",""))</f>
        <v/>
      </c>
      <c r="AB932" s="45">
        <f>IF(R932&lt;&gt;"Livrée",0,IF(K932&lt;&gt;"",K932,C932))</f>
        <v/>
      </c>
      <c r="AC932" s="33">
        <f>IF(OR(C932="",W932=""),"",P932&amp;"|"&amp;W932&amp;"|"&amp;C932&amp;"|"&amp;E932)</f>
        <v/>
      </c>
      <c r="AD932" s="39">
        <f>IF(AC932="","",IF(COUNTIF(AC$6:AC932,AC932)=1,1,0))</f>
        <v/>
      </c>
      <c r="AE932" s="39">
        <f>IF(AB932=0,"",IF(COUNTIFS(X$6:X932,X932,AB$6:AB932,AB932)=1,1,0))</f>
        <v/>
      </c>
      <c r="AF932" s="34">
        <f>IF(C932="","",YEAR(C932-WEEKDAY(C932,2)+4)&amp;"-S"&amp;TEXT(INT((C932-DATE(YEAR(C932-WEEKDAY(C932,2)+4),1,3)+WEEKDAY(DATE(YEAR(C932-WEEKDAY(C932,2)+4),1,3),2)+5)/7),"00"))</f>
        <v/>
      </c>
    </row>
    <row r="933" ht="18" customHeight="1">
      <c r="A933" s="39" t="n">
        <v>928</v>
      </c>
      <c r="B933" s="33">
        <f>IF(C933="","",IF(P933="À RENSEIGNER","GIC",P933)&amp;"-C"&amp;TEXT(A933,"00000"))</f>
        <v/>
      </c>
      <c r="C933" s="32" t="n"/>
      <c r="D933" s="36" t="n"/>
      <c r="E933" s="36" t="n"/>
      <c r="F933" s="36" t="n"/>
      <c r="G933" s="42" t="n"/>
      <c r="H933" s="37" t="n"/>
      <c r="I933" s="37" t="n"/>
      <c r="J933" s="32" t="n"/>
      <c r="K933" s="32" t="n"/>
      <c r="L933" s="43" t="n"/>
      <c r="M933" s="36" t="n"/>
      <c r="N933" s="44" t="n"/>
      <c r="O933" s="36" t="n"/>
      <c r="P933" s="33">
        <f>IF(C933="","",Commercial_Id)</f>
        <v/>
      </c>
      <c r="Q933" s="34">
        <f>IF(AC933="","",IF(AD933=1,"C"&amp;TEXT(SUM(AD$6:AD933),"0000"),INDEX(Q$6:Q932,MATCH(AC933,AC$6:AC932,0))))</f>
        <v/>
      </c>
      <c r="R933" s="34">
        <f>IF(C933="","",IF(L933="☑ Oui","Annulée",IF(OR(E933="Vente directe",K933&lt;&gt;""),"Livrée",IF(J933&lt;&gt;"","Confirmée","En attente"))))</f>
        <v/>
      </c>
      <c r="S933" s="34">
        <f>IF(F933="","",IFERROR(VLOOKUP(F933,T_Produits,2,FALSE),""))</f>
        <v/>
      </c>
      <c r="T933" s="40">
        <f>IF(F933="","",IFERROR(1/(1/VLOOKUP(F933,T_Produits,3,FALSE)),""))</f>
        <v/>
      </c>
      <c r="U933" s="40">
        <f>IF(H933&lt;&gt;"",H933,T933)</f>
        <v/>
      </c>
      <c r="V933" s="40">
        <f>IF(OR(G933="",U933=""),"",G933*U933-N(I933))</f>
        <v/>
      </c>
      <c r="W933" s="39">
        <f>IF(D933="","",IFERROR(VALUE(MID(D933,LEN(D933)-3,3)),""))</f>
        <v/>
      </c>
      <c r="X933" s="33">
        <f>IF(W933="","",P933&amp;"|"&amp;W933)</f>
        <v/>
      </c>
      <c r="Y933" s="33">
        <f>IF(W933="","",IF(P933="À RENSEIGNER","GIC",P933)&amp;"-"&amp;TEXT(W933,"000"))</f>
        <v/>
      </c>
      <c r="Z933" s="33">
        <f>IF(X933="","",IFERROR(INDEX(Cl_nom,MATCH(X933,Cl_cle,0)),"(client introuvable)"))</f>
        <v/>
      </c>
      <c r="AA933" s="33">
        <f>IF(X933="","",IFERROR(INDEX(Cl_quartier,MATCH(X933,Cl_cle,0))&amp;"",""))</f>
        <v/>
      </c>
      <c r="AB933" s="45">
        <f>IF(R933&lt;&gt;"Livrée",0,IF(K933&lt;&gt;"",K933,C933))</f>
        <v/>
      </c>
      <c r="AC933" s="33">
        <f>IF(OR(C933="",W933=""),"",P933&amp;"|"&amp;W933&amp;"|"&amp;C933&amp;"|"&amp;E933)</f>
        <v/>
      </c>
      <c r="AD933" s="39">
        <f>IF(AC933="","",IF(COUNTIF(AC$6:AC933,AC933)=1,1,0))</f>
        <v/>
      </c>
      <c r="AE933" s="39">
        <f>IF(AB933=0,"",IF(COUNTIFS(X$6:X933,X933,AB$6:AB933,AB933)=1,1,0))</f>
        <v/>
      </c>
      <c r="AF933" s="34">
        <f>IF(C933="","",YEAR(C933-WEEKDAY(C933,2)+4)&amp;"-S"&amp;TEXT(INT((C933-DATE(YEAR(C933-WEEKDAY(C933,2)+4),1,3)+WEEKDAY(DATE(YEAR(C933-WEEKDAY(C933,2)+4),1,3),2)+5)/7),"00"))</f>
        <v/>
      </c>
    </row>
    <row r="934" ht="18" customHeight="1">
      <c r="A934" s="39" t="n">
        <v>929</v>
      </c>
      <c r="B934" s="33">
        <f>IF(C934="","",IF(P934="À RENSEIGNER","GIC",P934)&amp;"-C"&amp;TEXT(A934,"00000"))</f>
        <v/>
      </c>
      <c r="C934" s="32" t="n"/>
      <c r="D934" s="36" t="n"/>
      <c r="E934" s="36" t="n"/>
      <c r="F934" s="36" t="n"/>
      <c r="G934" s="42" t="n"/>
      <c r="H934" s="37" t="n"/>
      <c r="I934" s="37" t="n"/>
      <c r="J934" s="32" t="n"/>
      <c r="K934" s="32" t="n"/>
      <c r="L934" s="43" t="n"/>
      <c r="M934" s="36" t="n"/>
      <c r="N934" s="44" t="n"/>
      <c r="O934" s="36" t="n"/>
      <c r="P934" s="33">
        <f>IF(C934="","",Commercial_Id)</f>
        <v/>
      </c>
      <c r="Q934" s="34">
        <f>IF(AC934="","",IF(AD934=1,"C"&amp;TEXT(SUM(AD$6:AD934),"0000"),INDEX(Q$6:Q933,MATCH(AC934,AC$6:AC933,0))))</f>
        <v/>
      </c>
      <c r="R934" s="34">
        <f>IF(C934="","",IF(L934="☑ Oui","Annulée",IF(OR(E934="Vente directe",K934&lt;&gt;""),"Livrée",IF(J934&lt;&gt;"","Confirmée","En attente"))))</f>
        <v/>
      </c>
      <c r="S934" s="34">
        <f>IF(F934="","",IFERROR(VLOOKUP(F934,T_Produits,2,FALSE),""))</f>
        <v/>
      </c>
      <c r="T934" s="40">
        <f>IF(F934="","",IFERROR(1/(1/VLOOKUP(F934,T_Produits,3,FALSE)),""))</f>
        <v/>
      </c>
      <c r="U934" s="40">
        <f>IF(H934&lt;&gt;"",H934,T934)</f>
        <v/>
      </c>
      <c r="V934" s="40">
        <f>IF(OR(G934="",U934=""),"",G934*U934-N(I934))</f>
        <v/>
      </c>
      <c r="W934" s="39">
        <f>IF(D934="","",IFERROR(VALUE(MID(D934,LEN(D934)-3,3)),""))</f>
        <v/>
      </c>
      <c r="X934" s="33">
        <f>IF(W934="","",P934&amp;"|"&amp;W934)</f>
        <v/>
      </c>
      <c r="Y934" s="33">
        <f>IF(W934="","",IF(P934="À RENSEIGNER","GIC",P934)&amp;"-"&amp;TEXT(W934,"000"))</f>
        <v/>
      </c>
      <c r="Z934" s="33">
        <f>IF(X934="","",IFERROR(INDEX(Cl_nom,MATCH(X934,Cl_cle,0)),"(client introuvable)"))</f>
        <v/>
      </c>
      <c r="AA934" s="33">
        <f>IF(X934="","",IFERROR(INDEX(Cl_quartier,MATCH(X934,Cl_cle,0))&amp;"",""))</f>
        <v/>
      </c>
      <c r="AB934" s="45">
        <f>IF(R934&lt;&gt;"Livrée",0,IF(K934&lt;&gt;"",K934,C934))</f>
        <v/>
      </c>
      <c r="AC934" s="33">
        <f>IF(OR(C934="",W934=""),"",P934&amp;"|"&amp;W934&amp;"|"&amp;C934&amp;"|"&amp;E934)</f>
        <v/>
      </c>
      <c r="AD934" s="39">
        <f>IF(AC934="","",IF(COUNTIF(AC$6:AC934,AC934)=1,1,0))</f>
        <v/>
      </c>
      <c r="AE934" s="39">
        <f>IF(AB934=0,"",IF(COUNTIFS(X$6:X934,X934,AB$6:AB934,AB934)=1,1,0))</f>
        <v/>
      </c>
      <c r="AF934" s="34">
        <f>IF(C934="","",YEAR(C934-WEEKDAY(C934,2)+4)&amp;"-S"&amp;TEXT(INT((C934-DATE(YEAR(C934-WEEKDAY(C934,2)+4),1,3)+WEEKDAY(DATE(YEAR(C934-WEEKDAY(C934,2)+4),1,3),2)+5)/7),"00"))</f>
        <v/>
      </c>
    </row>
    <row r="935" ht="18" customHeight="1">
      <c r="A935" s="39" t="n">
        <v>930</v>
      </c>
      <c r="B935" s="33">
        <f>IF(C935="","",IF(P935="À RENSEIGNER","GIC",P935)&amp;"-C"&amp;TEXT(A935,"00000"))</f>
        <v/>
      </c>
      <c r="C935" s="32" t="n"/>
      <c r="D935" s="36" t="n"/>
      <c r="E935" s="36" t="n"/>
      <c r="F935" s="36" t="n"/>
      <c r="G935" s="42" t="n"/>
      <c r="H935" s="37" t="n"/>
      <c r="I935" s="37" t="n"/>
      <c r="J935" s="32" t="n"/>
      <c r="K935" s="32" t="n"/>
      <c r="L935" s="43" t="n"/>
      <c r="M935" s="36" t="n"/>
      <c r="N935" s="44" t="n"/>
      <c r="O935" s="36" t="n"/>
      <c r="P935" s="33">
        <f>IF(C935="","",Commercial_Id)</f>
        <v/>
      </c>
      <c r="Q935" s="34">
        <f>IF(AC935="","",IF(AD935=1,"C"&amp;TEXT(SUM(AD$6:AD935),"0000"),INDEX(Q$6:Q934,MATCH(AC935,AC$6:AC934,0))))</f>
        <v/>
      </c>
      <c r="R935" s="34">
        <f>IF(C935="","",IF(L935="☑ Oui","Annulée",IF(OR(E935="Vente directe",K935&lt;&gt;""),"Livrée",IF(J935&lt;&gt;"","Confirmée","En attente"))))</f>
        <v/>
      </c>
      <c r="S935" s="34">
        <f>IF(F935="","",IFERROR(VLOOKUP(F935,T_Produits,2,FALSE),""))</f>
        <v/>
      </c>
      <c r="T935" s="40">
        <f>IF(F935="","",IFERROR(1/(1/VLOOKUP(F935,T_Produits,3,FALSE)),""))</f>
        <v/>
      </c>
      <c r="U935" s="40">
        <f>IF(H935&lt;&gt;"",H935,T935)</f>
        <v/>
      </c>
      <c r="V935" s="40">
        <f>IF(OR(G935="",U935=""),"",G935*U935-N(I935))</f>
        <v/>
      </c>
      <c r="W935" s="39">
        <f>IF(D935="","",IFERROR(VALUE(MID(D935,LEN(D935)-3,3)),""))</f>
        <v/>
      </c>
      <c r="X935" s="33">
        <f>IF(W935="","",P935&amp;"|"&amp;W935)</f>
        <v/>
      </c>
      <c r="Y935" s="33">
        <f>IF(W935="","",IF(P935="À RENSEIGNER","GIC",P935)&amp;"-"&amp;TEXT(W935,"000"))</f>
        <v/>
      </c>
      <c r="Z935" s="33">
        <f>IF(X935="","",IFERROR(INDEX(Cl_nom,MATCH(X935,Cl_cle,0)),"(client introuvable)"))</f>
        <v/>
      </c>
      <c r="AA935" s="33">
        <f>IF(X935="","",IFERROR(INDEX(Cl_quartier,MATCH(X935,Cl_cle,0))&amp;"",""))</f>
        <v/>
      </c>
      <c r="AB935" s="45">
        <f>IF(R935&lt;&gt;"Livrée",0,IF(K935&lt;&gt;"",K935,C935))</f>
        <v/>
      </c>
      <c r="AC935" s="33">
        <f>IF(OR(C935="",W935=""),"",P935&amp;"|"&amp;W935&amp;"|"&amp;C935&amp;"|"&amp;E935)</f>
        <v/>
      </c>
      <c r="AD935" s="39">
        <f>IF(AC935="","",IF(COUNTIF(AC$6:AC935,AC935)=1,1,0))</f>
        <v/>
      </c>
      <c r="AE935" s="39">
        <f>IF(AB935=0,"",IF(COUNTIFS(X$6:X935,X935,AB$6:AB935,AB935)=1,1,0))</f>
        <v/>
      </c>
      <c r="AF935" s="34">
        <f>IF(C935="","",YEAR(C935-WEEKDAY(C935,2)+4)&amp;"-S"&amp;TEXT(INT((C935-DATE(YEAR(C935-WEEKDAY(C935,2)+4),1,3)+WEEKDAY(DATE(YEAR(C935-WEEKDAY(C935,2)+4),1,3),2)+5)/7),"00"))</f>
        <v/>
      </c>
    </row>
    <row r="936" ht="18" customHeight="1">
      <c r="A936" s="39" t="n">
        <v>931</v>
      </c>
      <c r="B936" s="33">
        <f>IF(C936="","",IF(P936="À RENSEIGNER","GIC",P936)&amp;"-C"&amp;TEXT(A936,"00000"))</f>
        <v/>
      </c>
      <c r="C936" s="32" t="n"/>
      <c r="D936" s="36" t="n"/>
      <c r="E936" s="36" t="n"/>
      <c r="F936" s="36" t="n"/>
      <c r="G936" s="42" t="n"/>
      <c r="H936" s="37" t="n"/>
      <c r="I936" s="37" t="n"/>
      <c r="J936" s="32" t="n"/>
      <c r="K936" s="32" t="n"/>
      <c r="L936" s="43" t="n"/>
      <c r="M936" s="36" t="n"/>
      <c r="N936" s="44" t="n"/>
      <c r="O936" s="36" t="n"/>
      <c r="P936" s="33">
        <f>IF(C936="","",Commercial_Id)</f>
        <v/>
      </c>
      <c r="Q936" s="34">
        <f>IF(AC936="","",IF(AD936=1,"C"&amp;TEXT(SUM(AD$6:AD936),"0000"),INDEX(Q$6:Q935,MATCH(AC936,AC$6:AC935,0))))</f>
        <v/>
      </c>
      <c r="R936" s="34">
        <f>IF(C936="","",IF(L936="☑ Oui","Annulée",IF(OR(E936="Vente directe",K936&lt;&gt;""),"Livrée",IF(J936&lt;&gt;"","Confirmée","En attente"))))</f>
        <v/>
      </c>
      <c r="S936" s="34">
        <f>IF(F936="","",IFERROR(VLOOKUP(F936,T_Produits,2,FALSE),""))</f>
        <v/>
      </c>
      <c r="T936" s="40">
        <f>IF(F936="","",IFERROR(1/(1/VLOOKUP(F936,T_Produits,3,FALSE)),""))</f>
        <v/>
      </c>
      <c r="U936" s="40">
        <f>IF(H936&lt;&gt;"",H936,T936)</f>
        <v/>
      </c>
      <c r="V936" s="40">
        <f>IF(OR(G936="",U936=""),"",G936*U936-N(I936))</f>
        <v/>
      </c>
      <c r="W936" s="39">
        <f>IF(D936="","",IFERROR(VALUE(MID(D936,LEN(D936)-3,3)),""))</f>
        <v/>
      </c>
      <c r="X936" s="33">
        <f>IF(W936="","",P936&amp;"|"&amp;W936)</f>
        <v/>
      </c>
      <c r="Y936" s="33">
        <f>IF(W936="","",IF(P936="À RENSEIGNER","GIC",P936)&amp;"-"&amp;TEXT(W936,"000"))</f>
        <v/>
      </c>
      <c r="Z936" s="33">
        <f>IF(X936="","",IFERROR(INDEX(Cl_nom,MATCH(X936,Cl_cle,0)),"(client introuvable)"))</f>
        <v/>
      </c>
      <c r="AA936" s="33">
        <f>IF(X936="","",IFERROR(INDEX(Cl_quartier,MATCH(X936,Cl_cle,0))&amp;"",""))</f>
        <v/>
      </c>
      <c r="AB936" s="45">
        <f>IF(R936&lt;&gt;"Livrée",0,IF(K936&lt;&gt;"",K936,C936))</f>
        <v/>
      </c>
      <c r="AC936" s="33">
        <f>IF(OR(C936="",W936=""),"",P936&amp;"|"&amp;W936&amp;"|"&amp;C936&amp;"|"&amp;E936)</f>
        <v/>
      </c>
      <c r="AD936" s="39">
        <f>IF(AC936="","",IF(COUNTIF(AC$6:AC936,AC936)=1,1,0))</f>
        <v/>
      </c>
      <c r="AE936" s="39">
        <f>IF(AB936=0,"",IF(COUNTIFS(X$6:X936,X936,AB$6:AB936,AB936)=1,1,0))</f>
        <v/>
      </c>
      <c r="AF936" s="34">
        <f>IF(C936="","",YEAR(C936-WEEKDAY(C936,2)+4)&amp;"-S"&amp;TEXT(INT((C936-DATE(YEAR(C936-WEEKDAY(C936,2)+4),1,3)+WEEKDAY(DATE(YEAR(C936-WEEKDAY(C936,2)+4),1,3),2)+5)/7),"00"))</f>
        <v/>
      </c>
    </row>
    <row r="937" ht="18" customHeight="1">
      <c r="A937" s="39" t="n">
        <v>932</v>
      </c>
      <c r="B937" s="33">
        <f>IF(C937="","",IF(P937="À RENSEIGNER","GIC",P937)&amp;"-C"&amp;TEXT(A937,"00000"))</f>
        <v/>
      </c>
      <c r="C937" s="32" t="n"/>
      <c r="D937" s="36" t="n"/>
      <c r="E937" s="36" t="n"/>
      <c r="F937" s="36" t="n"/>
      <c r="G937" s="42" t="n"/>
      <c r="H937" s="37" t="n"/>
      <c r="I937" s="37" t="n"/>
      <c r="J937" s="32" t="n"/>
      <c r="K937" s="32" t="n"/>
      <c r="L937" s="43" t="n"/>
      <c r="M937" s="36" t="n"/>
      <c r="N937" s="44" t="n"/>
      <c r="O937" s="36" t="n"/>
      <c r="P937" s="33">
        <f>IF(C937="","",Commercial_Id)</f>
        <v/>
      </c>
      <c r="Q937" s="34">
        <f>IF(AC937="","",IF(AD937=1,"C"&amp;TEXT(SUM(AD$6:AD937),"0000"),INDEX(Q$6:Q936,MATCH(AC937,AC$6:AC936,0))))</f>
        <v/>
      </c>
      <c r="R937" s="34">
        <f>IF(C937="","",IF(L937="☑ Oui","Annulée",IF(OR(E937="Vente directe",K937&lt;&gt;""),"Livrée",IF(J937&lt;&gt;"","Confirmée","En attente"))))</f>
        <v/>
      </c>
      <c r="S937" s="34">
        <f>IF(F937="","",IFERROR(VLOOKUP(F937,T_Produits,2,FALSE),""))</f>
        <v/>
      </c>
      <c r="T937" s="40">
        <f>IF(F937="","",IFERROR(1/(1/VLOOKUP(F937,T_Produits,3,FALSE)),""))</f>
        <v/>
      </c>
      <c r="U937" s="40">
        <f>IF(H937&lt;&gt;"",H937,T937)</f>
        <v/>
      </c>
      <c r="V937" s="40">
        <f>IF(OR(G937="",U937=""),"",G937*U937-N(I937))</f>
        <v/>
      </c>
      <c r="W937" s="39">
        <f>IF(D937="","",IFERROR(VALUE(MID(D937,LEN(D937)-3,3)),""))</f>
        <v/>
      </c>
      <c r="X937" s="33">
        <f>IF(W937="","",P937&amp;"|"&amp;W937)</f>
        <v/>
      </c>
      <c r="Y937" s="33">
        <f>IF(W937="","",IF(P937="À RENSEIGNER","GIC",P937)&amp;"-"&amp;TEXT(W937,"000"))</f>
        <v/>
      </c>
      <c r="Z937" s="33">
        <f>IF(X937="","",IFERROR(INDEX(Cl_nom,MATCH(X937,Cl_cle,0)),"(client introuvable)"))</f>
        <v/>
      </c>
      <c r="AA937" s="33">
        <f>IF(X937="","",IFERROR(INDEX(Cl_quartier,MATCH(X937,Cl_cle,0))&amp;"",""))</f>
        <v/>
      </c>
      <c r="AB937" s="45">
        <f>IF(R937&lt;&gt;"Livrée",0,IF(K937&lt;&gt;"",K937,C937))</f>
        <v/>
      </c>
      <c r="AC937" s="33">
        <f>IF(OR(C937="",W937=""),"",P937&amp;"|"&amp;W937&amp;"|"&amp;C937&amp;"|"&amp;E937)</f>
        <v/>
      </c>
      <c r="AD937" s="39">
        <f>IF(AC937="","",IF(COUNTIF(AC$6:AC937,AC937)=1,1,0))</f>
        <v/>
      </c>
      <c r="AE937" s="39">
        <f>IF(AB937=0,"",IF(COUNTIFS(X$6:X937,X937,AB$6:AB937,AB937)=1,1,0))</f>
        <v/>
      </c>
      <c r="AF937" s="34">
        <f>IF(C937="","",YEAR(C937-WEEKDAY(C937,2)+4)&amp;"-S"&amp;TEXT(INT((C937-DATE(YEAR(C937-WEEKDAY(C937,2)+4),1,3)+WEEKDAY(DATE(YEAR(C937-WEEKDAY(C937,2)+4),1,3),2)+5)/7),"00"))</f>
        <v/>
      </c>
    </row>
    <row r="938" ht="18" customHeight="1">
      <c r="A938" s="39" t="n">
        <v>933</v>
      </c>
      <c r="B938" s="33">
        <f>IF(C938="","",IF(P938="À RENSEIGNER","GIC",P938)&amp;"-C"&amp;TEXT(A938,"00000"))</f>
        <v/>
      </c>
      <c r="C938" s="32" t="n"/>
      <c r="D938" s="36" t="n"/>
      <c r="E938" s="36" t="n"/>
      <c r="F938" s="36" t="n"/>
      <c r="G938" s="42" t="n"/>
      <c r="H938" s="37" t="n"/>
      <c r="I938" s="37" t="n"/>
      <c r="J938" s="32" t="n"/>
      <c r="K938" s="32" t="n"/>
      <c r="L938" s="43" t="n"/>
      <c r="M938" s="36" t="n"/>
      <c r="N938" s="44" t="n"/>
      <c r="O938" s="36" t="n"/>
      <c r="P938" s="33">
        <f>IF(C938="","",Commercial_Id)</f>
        <v/>
      </c>
      <c r="Q938" s="34">
        <f>IF(AC938="","",IF(AD938=1,"C"&amp;TEXT(SUM(AD$6:AD938),"0000"),INDEX(Q$6:Q937,MATCH(AC938,AC$6:AC937,0))))</f>
        <v/>
      </c>
      <c r="R938" s="34">
        <f>IF(C938="","",IF(L938="☑ Oui","Annulée",IF(OR(E938="Vente directe",K938&lt;&gt;""),"Livrée",IF(J938&lt;&gt;"","Confirmée","En attente"))))</f>
        <v/>
      </c>
      <c r="S938" s="34">
        <f>IF(F938="","",IFERROR(VLOOKUP(F938,T_Produits,2,FALSE),""))</f>
        <v/>
      </c>
      <c r="T938" s="40">
        <f>IF(F938="","",IFERROR(1/(1/VLOOKUP(F938,T_Produits,3,FALSE)),""))</f>
        <v/>
      </c>
      <c r="U938" s="40">
        <f>IF(H938&lt;&gt;"",H938,T938)</f>
        <v/>
      </c>
      <c r="V938" s="40">
        <f>IF(OR(G938="",U938=""),"",G938*U938-N(I938))</f>
        <v/>
      </c>
      <c r="W938" s="39">
        <f>IF(D938="","",IFERROR(VALUE(MID(D938,LEN(D938)-3,3)),""))</f>
        <v/>
      </c>
      <c r="X938" s="33">
        <f>IF(W938="","",P938&amp;"|"&amp;W938)</f>
        <v/>
      </c>
      <c r="Y938" s="33">
        <f>IF(W938="","",IF(P938="À RENSEIGNER","GIC",P938)&amp;"-"&amp;TEXT(W938,"000"))</f>
        <v/>
      </c>
      <c r="Z938" s="33">
        <f>IF(X938="","",IFERROR(INDEX(Cl_nom,MATCH(X938,Cl_cle,0)),"(client introuvable)"))</f>
        <v/>
      </c>
      <c r="AA938" s="33">
        <f>IF(X938="","",IFERROR(INDEX(Cl_quartier,MATCH(X938,Cl_cle,0))&amp;"",""))</f>
        <v/>
      </c>
      <c r="AB938" s="45">
        <f>IF(R938&lt;&gt;"Livrée",0,IF(K938&lt;&gt;"",K938,C938))</f>
        <v/>
      </c>
      <c r="AC938" s="33">
        <f>IF(OR(C938="",W938=""),"",P938&amp;"|"&amp;W938&amp;"|"&amp;C938&amp;"|"&amp;E938)</f>
        <v/>
      </c>
      <c r="AD938" s="39">
        <f>IF(AC938="","",IF(COUNTIF(AC$6:AC938,AC938)=1,1,0))</f>
        <v/>
      </c>
      <c r="AE938" s="39">
        <f>IF(AB938=0,"",IF(COUNTIFS(X$6:X938,X938,AB$6:AB938,AB938)=1,1,0))</f>
        <v/>
      </c>
      <c r="AF938" s="34">
        <f>IF(C938="","",YEAR(C938-WEEKDAY(C938,2)+4)&amp;"-S"&amp;TEXT(INT((C938-DATE(YEAR(C938-WEEKDAY(C938,2)+4),1,3)+WEEKDAY(DATE(YEAR(C938-WEEKDAY(C938,2)+4),1,3),2)+5)/7),"00"))</f>
        <v/>
      </c>
    </row>
    <row r="939" ht="18" customHeight="1">
      <c r="A939" s="39" t="n">
        <v>934</v>
      </c>
      <c r="B939" s="33">
        <f>IF(C939="","",IF(P939="À RENSEIGNER","GIC",P939)&amp;"-C"&amp;TEXT(A939,"00000"))</f>
        <v/>
      </c>
      <c r="C939" s="32" t="n"/>
      <c r="D939" s="36" t="n"/>
      <c r="E939" s="36" t="n"/>
      <c r="F939" s="36" t="n"/>
      <c r="G939" s="42" t="n"/>
      <c r="H939" s="37" t="n"/>
      <c r="I939" s="37" t="n"/>
      <c r="J939" s="32" t="n"/>
      <c r="K939" s="32" t="n"/>
      <c r="L939" s="43" t="n"/>
      <c r="M939" s="36" t="n"/>
      <c r="N939" s="44" t="n"/>
      <c r="O939" s="36" t="n"/>
      <c r="P939" s="33">
        <f>IF(C939="","",Commercial_Id)</f>
        <v/>
      </c>
      <c r="Q939" s="34">
        <f>IF(AC939="","",IF(AD939=1,"C"&amp;TEXT(SUM(AD$6:AD939),"0000"),INDEX(Q$6:Q938,MATCH(AC939,AC$6:AC938,0))))</f>
        <v/>
      </c>
      <c r="R939" s="34">
        <f>IF(C939="","",IF(L939="☑ Oui","Annulée",IF(OR(E939="Vente directe",K939&lt;&gt;""),"Livrée",IF(J939&lt;&gt;"","Confirmée","En attente"))))</f>
        <v/>
      </c>
      <c r="S939" s="34">
        <f>IF(F939="","",IFERROR(VLOOKUP(F939,T_Produits,2,FALSE),""))</f>
        <v/>
      </c>
      <c r="T939" s="40">
        <f>IF(F939="","",IFERROR(1/(1/VLOOKUP(F939,T_Produits,3,FALSE)),""))</f>
        <v/>
      </c>
      <c r="U939" s="40">
        <f>IF(H939&lt;&gt;"",H939,T939)</f>
        <v/>
      </c>
      <c r="V939" s="40">
        <f>IF(OR(G939="",U939=""),"",G939*U939-N(I939))</f>
        <v/>
      </c>
      <c r="W939" s="39">
        <f>IF(D939="","",IFERROR(VALUE(MID(D939,LEN(D939)-3,3)),""))</f>
        <v/>
      </c>
      <c r="X939" s="33">
        <f>IF(W939="","",P939&amp;"|"&amp;W939)</f>
        <v/>
      </c>
      <c r="Y939" s="33">
        <f>IF(W939="","",IF(P939="À RENSEIGNER","GIC",P939)&amp;"-"&amp;TEXT(W939,"000"))</f>
        <v/>
      </c>
      <c r="Z939" s="33">
        <f>IF(X939="","",IFERROR(INDEX(Cl_nom,MATCH(X939,Cl_cle,0)),"(client introuvable)"))</f>
        <v/>
      </c>
      <c r="AA939" s="33">
        <f>IF(X939="","",IFERROR(INDEX(Cl_quartier,MATCH(X939,Cl_cle,0))&amp;"",""))</f>
        <v/>
      </c>
      <c r="AB939" s="45">
        <f>IF(R939&lt;&gt;"Livrée",0,IF(K939&lt;&gt;"",K939,C939))</f>
        <v/>
      </c>
      <c r="AC939" s="33">
        <f>IF(OR(C939="",W939=""),"",P939&amp;"|"&amp;W939&amp;"|"&amp;C939&amp;"|"&amp;E939)</f>
        <v/>
      </c>
      <c r="AD939" s="39">
        <f>IF(AC939="","",IF(COUNTIF(AC$6:AC939,AC939)=1,1,0))</f>
        <v/>
      </c>
      <c r="AE939" s="39">
        <f>IF(AB939=0,"",IF(COUNTIFS(X$6:X939,X939,AB$6:AB939,AB939)=1,1,0))</f>
        <v/>
      </c>
      <c r="AF939" s="34">
        <f>IF(C939="","",YEAR(C939-WEEKDAY(C939,2)+4)&amp;"-S"&amp;TEXT(INT((C939-DATE(YEAR(C939-WEEKDAY(C939,2)+4),1,3)+WEEKDAY(DATE(YEAR(C939-WEEKDAY(C939,2)+4),1,3),2)+5)/7),"00"))</f>
        <v/>
      </c>
    </row>
    <row r="940" ht="18" customHeight="1">
      <c r="A940" s="39" t="n">
        <v>935</v>
      </c>
      <c r="B940" s="33">
        <f>IF(C940="","",IF(P940="À RENSEIGNER","GIC",P940)&amp;"-C"&amp;TEXT(A940,"00000"))</f>
        <v/>
      </c>
      <c r="C940" s="32" t="n"/>
      <c r="D940" s="36" t="n"/>
      <c r="E940" s="36" t="n"/>
      <c r="F940" s="36" t="n"/>
      <c r="G940" s="42" t="n"/>
      <c r="H940" s="37" t="n"/>
      <c r="I940" s="37" t="n"/>
      <c r="J940" s="32" t="n"/>
      <c r="K940" s="32" t="n"/>
      <c r="L940" s="43" t="n"/>
      <c r="M940" s="36" t="n"/>
      <c r="N940" s="44" t="n"/>
      <c r="O940" s="36" t="n"/>
      <c r="P940" s="33">
        <f>IF(C940="","",Commercial_Id)</f>
        <v/>
      </c>
      <c r="Q940" s="34">
        <f>IF(AC940="","",IF(AD940=1,"C"&amp;TEXT(SUM(AD$6:AD940),"0000"),INDEX(Q$6:Q939,MATCH(AC940,AC$6:AC939,0))))</f>
        <v/>
      </c>
      <c r="R940" s="34">
        <f>IF(C940="","",IF(L940="☑ Oui","Annulée",IF(OR(E940="Vente directe",K940&lt;&gt;""),"Livrée",IF(J940&lt;&gt;"","Confirmée","En attente"))))</f>
        <v/>
      </c>
      <c r="S940" s="34">
        <f>IF(F940="","",IFERROR(VLOOKUP(F940,T_Produits,2,FALSE),""))</f>
        <v/>
      </c>
      <c r="T940" s="40">
        <f>IF(F940="","",IFERROR(1/(1/VLOOKUP(F940,T_Produits,3,FALSE)),""))</f>
        <v/>
      </c>
      <c r="U940" s="40">
        <f>IF(H940&lt;&gt;"",H940,T940)</f>
        <v/>
      </c>
      <c r="V940" s="40">
        <f>IF(OR(G940="",U940=""),"",G940*U940-N(I940))</f>
        <v/>
      </c>
      <c r="W940" s="39">
        <f>IF(D940="","",IFERROR(VALUE(MID(D940,LEN(D940)-3,3)),""))</f>
        <v/>
      </c>
      <c r="X940" s="33">
        <f>IF(W940="","",P940&amp;"|"&amp;W940)</f>
        <v/>
      </c>
      <c r="Y940" s="33">
        <f>IF(W940="","",IF(P940="À RENSEIGNER","GIC",P940)&amp;"-"&amp;TEXT(W940,"000"))</f>
        <v/>
      </c>
      <c r="Z940" s="33">
        <f>IF(X940="","",IFERROR(INDEX(Cl_nom,MATCH(X940,Cl_cle,0)),"(client introuvable)"))</f>
        <v/>
      </c>
      <c r="AA940" s="33">
        <f>IF(X940="","",IFERROR(INDEX(Cl_quartier,MATCH(X940,Cl_cle,0))&amp;"",""))</f>
        <v/>
      </c>
      <c r="AB940" s="45">
        <f>IF(R940&lt;&gt;"Livrée",0,IF(K940&lt;&gt;"",K940,C940))</f>
        <v/>
      </c>
      <c r="AC940" s="33">
        <f>IF(OR(C940="",W940=""),"",P940&amp;"|"&amp;W940&amp;"|"&amp;C940&amp;"|"&amp;E940)</f>
        <v/>
      </c>
      <c r="AD940" s="39">
        <f>IF(AC940="","",IF(COUNTIF(AC$6:AC940,AC940)=1,1,0))</f>
        <v/>
      </c>
      <c r="AE940" s="39">
        <f>IF(AB940=0,"",IF(COUNTIFS(X$6:X940,X940,AB$6:AB940,AB940)=1,1,0))</f>
        <v/>
      </c>
      <c r="AF940" s="34">
        <f>IF(C940="","",YEAR(C940-WEEKDAY(C940,2)+4)&amp;"-S"&amp;TEXT(INT((C940-DATE(YEAR(C940-WEEKDAY(C940,2)+4),1,3)+WEEKDAY(DATE(YEAR(C940-WEEKDAY(C940,2)+4),1,3),2)+5)/7),"00"))</f>
        <v/>
      </c>
    </row>
    <row r="941" ht="18" customHeight="1">
      <c r="A941" s="39" t="n">
        <v>936</v>
      </c>
      <c r="B941" s="33">
        <f>IF(C941="","",IF(P941="À RENSEIGNER","GIC",P941)&amp;"-C"&amp;TEXT(A941,"00000"))</f>
        <v/>
      </c>
      <c r="C941" s="32" t="n"/>
      <c r="D941" s="36" t="n"/>
      <c r="E941" s="36" t="n"/>
      <c r="F941" s="36" t="n"/>
      <c r="G941" s="42" t="n"/>
      <c r="H941" s="37" t="n"/>
      <c r="I941" s="37" t="n"/>
      <c r="J941" s="32" t="n"/>
      <c r="K941" s="32" t="n"/>
      <c r="L941" s="43" t="n"/>
      <c r="M941" s="36" t="n"/>
      <c r="N941" s="44" t="n"/>
      <c r="O941" s="36" t="n"/>
      <c r="P941" s="33">
        <f>IF(C941="","",Commercial_Id)</f>
        <v/>
      </c>
      <c r="Q941" s="34">
        <f>IF(AC941="","",IF(AD941=1,"C"&amp;TEXT(SUM(AD$6:AD941),"0000"),INDEX(Q$6:Q940,MATCH(AC941,AC$6:AC940,0))))</f>
        <v/>
      </c>
      <c r="R941" s="34">
        <f>IF(C941="","",IF(L941="☑ Oui","Annulée",IF(OR(E941="Vente directe",K941&lt;&gt;""),"Livrée",IF(J941&lt;&gt;"","Confirmée","En attente"))))</f>
        <v/>
      </c>
      <c r="S941" s="34">
        <f>IF(F941="","",IFERROR(VLOOKUP(F941,T_Produits,2,FALSE),""))</f>
        <v/>
      </c>
      <c r="T941" s="40">
        <f>IF(F941="","",IFERROR(1/(1/VLOOKUP(F941,T_Produits,3,FALSE)),""))</f>
        <v/>
      </c>
      <c r="U941" s="40">
        <f>IF(H941&lt;&gt;"",H941,T941)</f>
        <v/>
      </c>
      <c r="V941" s="40">
        <f>IF(OR(G941="",U941=""),"",G941*U941-N(I941))</f>
        <v/>
      </c>
      <c r="W941" s="39">
        <f>IF(D941="","",IFERROR(VALUE(MID(D941,LEN(D941)-3,3)),""))</f>
        <v/>
      </c>
      <c r="X941" s="33">
        <f>IF(W941="","",P941&amp;"|"&amp;W941)</f>
        <v/>
      </c>
      <c r="Y941" s="33">
        <f>IF(W941="","",IF(P941="À RENSEIGNER","GIC",P941)&amp;"-"&amp;TEXT(W941,"000"))</f>
        <v/>
      </c>
      <c r="Z941" s="33">
        <f>IF(X941="","",IFERROR(INDEX(Cl_nom,MATCH(X941,Cl_cle,0)),"(client introuvable)"))</f>
        <v/>
      </c>
      <c r="AA941" s="33">
        <f>IF(X941="","",IFERROR(INDEX(Cl_quartier,MATCH(X941,Cl_cle,0))&amp;"",""))</f>
        <v/>
      </c>
      <c r="AB941" s="45">
        <f>IF(R941&lt;&gt;"Livrée",0,IF(K941&lt;&gt;"",K941,C941))</f>
        <v/>
      </c>
      <c r="AC941" s="33">
        <f>IF(OR(C941="",W941=""),"",P941&amp;"|"&amp;W941&amp;"|"&amp;C941&amp;"|"&amp;E941)</f>
        <v/>
      </c>
      <c r="AD941" s="39">
        <f>IF(AC941="","",IF(COUNTIF(AC$6:AC941,AC941)=1,1,0))</f>
        <v/>
      </c>
      <c r="AE941" s="39">
        <f>IF(AB941=0,"",IF(COUNTIFS(X$6:X941,X941,AB$6:AB941,AB941)=1,1,0))</f>
        <v/>
      </c>
      <c r="AF941" s="34">
        <f>IF(C941="","",YEAR(C941-WEEKDAY(C941,2)+4)&amp;"-S"&amp;TEXT(INT((C941-DATE(YEAR(C941-WEEKDAY(C941,2)+4),1,3)+WEEKDAY(DATE(YEAR(C941-WEEKDAY(C941,2)+4),1,3),2)+5)/7),"00"))</f>
        <v/>
      </c>
    </row>
    <row r="942" ht="18" customHeight="1">
      <c r="A942" s="39" t="n">
        <v>937</v>
      </c>
      <c r="B942" s="33">
        <f>IF(C942="","",IF(P942="À RENSEIGNER","GIC",P942)&amp;"-C"&amp;TEXT(A942,"00000"))</f>
        <v/>
      </c>
      <c r="C942" s="32" t="n"/>
      <c r="D942" s="36" t="n"/>
      <c r="E942" s="36" t="n"/>
      <c r="F942" s="36" t="n"/>
      <c r="G942" s="42" t="n"/>
      <c r="H942" s="37" t="n"/>
      <c r="I942" s="37" t="n"/>
      <c r="J942" s="32" t="n"/>
      <c r="K942" s="32" t="n"/>
      <c r="L942" s="43" t="n"/>
      <c r="M942" s="36" t="n"/>
      <c r="N942" s="44" t="n"/>
      <c r="O942" s="36" t="n"/>
      <c r="P942" s="33">
        <f>IF(C942="","",Commercial_Id)</f>
        <v/>
      </c>
      <c r="Q942" s="34">
        <f>IF(AC942="","",IF(AD942=1,"C"&amp;TEXT(SUM(AD$6:AD942),"0000"),INDEX(Q$6:Q941,MATCH(AC942,AC$6:AC941,0))))</f>
        <v/>
      </c>
      <c r="R942" s="34">
        <f>IF(C942="","",IF(L942="☑ Oui","Annulée",IF(OR(E942="Vente directe",K942&lt;&gt;""),"Livrée",IF(J942&lt;&gt;"","Confirmée","En attente"))))</f>
        <v/>
      </c>
      <c r="S942" s="34">
        <f>IF(F942="","",IFERROR(VLOOKUP(F942,T_Produits,2,FALSE),""))</f>
        <v/>
      </c>
      <c r="T942" s="40">
        <f>IF(F942="","",IFERROR(1/(1/VLOOKUP(F942,T_Produits,3,FALSE)),""))</f>
        <v/>
      </c>
      <c r="U942" s="40">
        <f>IF(H942&lt;&gt;"",H942,T942)</f>
        <v/>
      </c>
      <c r="V942" s="40">
        <f>IF(OR(G942="",U942=""),"",G942*U942-N(I942))</f>
        <v/>
      </c>
      <c r="W942" s="39">
        <f>IF(D942="","",IFERROR(VALUE(MID(D942,LEN(D942)-3,3)),""))</f>
        <v/>
      </c>
      <c r="X942" s="33">
        <f>IF(W942="","",P942&amp;"|"&amp;W942)</f>
        <v/>
      </c>
      <c r="Y942" s="33">
        <f>IF(W942="","",IF(P942="À RENSEIGNER","GIC",P942)&amp;"-"&amp;TEXT(W942,"000"))</f>
        <v/>
      </c>
      <c r="Z942" s="33">
        <f>IF(X942="","",IFERROR(INDEX(Cl_nom,MATCH(X942,Cl_cle,0)),"(client introuvable)"))</f>
        <v/>
      </c>
      <c r="AA942" s="33">
        <f>IF(X942="","",IFERROR(INDEX(Cl_quartier,MATCH(X942,Cl_cle,0))&amp;"",""))</f>
        <v/>
      </c>
      <c r="AB942" s="45">
        <f>IF(R942&lt;&gt;"Livrée",0,IF(K942&lt;&gt;"",K942,C942))</f>
        <v/>
      </c>
      <c r="AC942" s="33">
        <f>IF(OR(C942="",W942=""),"",P942&amp;"|"&amp;W942&amp;"|"&amp;C942&amp;"|"&amp;E942)</f>
        <v/>
      </c>
      <c r="AD942" s="39">
        <f>IF(AC942="","",IF(COUNTIF(AC$6:AC942,AC942)=1,1,0))</f>
        <v/>
      </c>
      <c r="AE942" s="39">
        <f>IF(AB942=0,"",IF(COUNTIFS(X$6:X942,X942,AB$6:AB942,AB942)=1,1,0))</f>
        <v/>
      </c>
      <c r="AF942" s="34">
        <f>IF(C942="","",YEAR(C942-WEEKDAY(C942,2)+4)&amp;"-S"&amp;TEXT(INT((C942-DATE(YEAR(C942-WEEKDAY(C942,2)+4),1,3)+WEEKDAY(DATE(YEAR(C942-WEEKDAY(C942,2)+4),1,3),2)+5)/7),"00"))</f>
        <v/>
      </c>
    </row>
    <row r="943" ht="18" customHeight="1">
      <c r="A943" s="39" t="n">
        <v>938</v>
      </c>
      <c r="B943" s="33">
        <f>IF(C943="","",IF(P943="À RENSEIGNER","GIC",P943)&amp;"-C"&amp;TEXT(A943,"00000"))</f>
        <v/>
      </c>
      <c r="C943" s="32" t="n"/>
      <c r="D943" s="36" t="n"/>
      <c r="E943" s="36" t="n"/>
      <c r="F943" s="36" t="n"/>
      <c r="G943" s="42" t="n"/>
      <c r="H943" s="37" t="n"/>
      <c r="I943" s="37" t="n"/>
      <c r="J943" s="32" t="n"/>
      <c r="K943" s="32" t="n"/>
      <c r="L943" s="43" t="n"/>
      <c r="M943" s="36" t="n"/>
      <c r="N943" s="44" t="n"/>
      <c r="O943" s="36" t="n"/>
      <c r="P943" s="33">
        <f>IF(C943="","",Commercial_Id)</f>
        <v/>
      </c>
      <c r="Q943" s="34">
        <f>IF(AC943="","",IF(AD943=1,"C"&amp;TEXT(SUM(AD$6:AD943),"0000"),INDEX(Q$6:Q942,MATCH(AC943,AC$6:AC942,0))))</f>
        <v/>
      </c>
      <c r="R943" s="34">
        <f>IF(C943="","",IF(L943="☑ Oui","Annulée",IF(OR(E943="Vente directe",K943&lt;&gt;""),"Livrée",IF(J943&lt;&gt;"","Confirmée","En attente"))))</f>
        <v/>
      </c>
      <c r="S943" s="34">
        <f>IF(F943="","",IFERROR(VLOOKUP(F943,T_Produits,2,FALSE),""))</f>
        <v/>
      </c>
      <c r="T943" s="40">
        <f>IF(F943="","",IFERROR(1/(1/VLOOKUP(F943,T_Produits,3,FALSE)),""))</f>
        <v/>
      </c>
      <c r="U943" s="40">
        <f>IF(H943&lt;&gt;"",H943,T943)</f>
        <v/>
      </c>
      <c r="V943" s="40">
        <f>IF(OR(G943="",U943=""),"",G943*U943-N(I943))</f>
        <v/>
      </c>
      <c r="W943" s="39">
        <f>IF(D943="","",IFERROR(VALUE(MID(D943,LEN(D943)-3,3)),""))</f>
        <v/>
      </c>
      <c r="X943" s="33">
        <f>IF(W943="","",P943&amp;"|"&amp;W943)</f>
        <v/>
      </c>
      <c r="Y943" s="33">
        <f>IF(W943="","",IF(P943="À RENSEIGNER","GIC",P943)&amp;"-"&amp;TEXT(W943,"000"))</f>
        <v/>
      </c>
      <c r="Z943" s="33">
        <f>IF(X943="","",IFERROR(INDEX(Cl_nom,MATCH(X943,Cl_cle,0)),"(client introuvable)"))</f>
        <v/>
      </c>
      <c r="AA943" s="33">
        <f>IF(X943="","",IFERROR(INDEX(Cl_quartier,MATCH(X943,Cl_cle,0))&amp;"",""))</f>
        <v/>
      </c>
      <c r="AB943" s="45">
        <f>IF(R943&lt;&gt;"Livrée",0,IF(K943&lt;&gt;"",K943,C943))</f>
        <v/>
      </c>
      <c r="AC943" s="33">
        <f>IF(OR(C943="",W943=""),"",P943&amp;"|"&amp;W943&amp;"|"&amp;C943&amp;"|"&amp;E943)</f>
        <v/>
      </c>
      <c r="AD943" s="39">
        <f>IF(AC943="","",IF(COUNTIF(AC$6:AC943,AC943)=1,1,0))</f>
        <v/>
      </c>
      <c r="AE943" s="39">
        <f>IF(AB943=0,"",IF(COUNTIFS(X$6:X943,X943,AB$6:AB943,AB943)=1,1,0))</f>
        <v/>
      </c>
      <c r="AF943" s="34">
        <f>IF(C943="","",YEAR(C943-WEEKDAY(C943,2)+4)&amp;"-S"&amp;TEXT(INT((C943-DATE(YEAR(C943-WEEKDAY(C943,2)+4),1,3)+WEEKDAY(DATE(YEAR(C943-WEEKDAY(C943,2)+4),1,3),2)+5)/7),"00"))</f>
        <v/>
      </c>
    </row>
    <row r="944" ht="18" customHeight="1">
      <c r="A944" s="39" t="n">
        <v>939</v>
      </c>
      <c r="B944" s="33">
        <f>IF(C944="","",IF(P944="À RENSEIGNER","GIC",P944)&amp;"-C"&amp;TEXT(A944,"00000"))</f>
        <v/>
      </c>
      <c r="C944" s="32" t="n"/>
      <c r="D944" s="36" t="n"/>
      <c r="E944" s="36" t="n"/>
      <c r="F944" s="36" t="n"/>
      <c r="G944" s="42" t="n"/>
      <c r="H944" s="37" t="n"/>
      <c r="I944" s="37" t="n"/>
      <c r="J944" s="32" t="n"/>
      <c r="K944" s="32" t="n"/>
      <c r="L944" s="43" t="n"/>
      <c r="M944" s="36" t="n"/>
      <c r="N944" s="44" t="n"/>
      <c r="O944" s="36" t="n"/>
      <c r="P944" s="33">
        <f>IF(C944="","",Commercial_Id)</f>
        <v/>
      </c>
      <c r="Q944" s="34">
        <f>IF(AC944="","",IF(AD944=1,"C"&amp;TEXT(SUM(AD$6:AD944),"0000"),INDEX(Q$6:Q943,MATCH(AC944,AC$6:AC943,0))))</f>
        <v/>
      </c>
      <c r="R944" s="34">
        <f>IF(C944="","",IF(L944="☑ Oui","Annulée",IF(OR(E944="Vente directe",K944&lt;&gt;""),"Livrée",IF(J944&lt;&gt;"","Confirmée","En attente"))))</f>
        <v/>
      </c>
      <c r="S944" s="34">
        <f>IF(F944="","",IFERROR(VLOOKUP(F944,T_Produits,2,FALSE),""))</f>
        <v/>
      </c>
      <c r="T944" s="40">
        <f>IF(F944="","",IFERROR(1/(1/VLOOKUP(F944,T_Produits,3,FALSE)),""))</f>
        <v/>
      </c>
      <c r="U944" s="40">
        <f>IF(H944&lt;&gt;"",H944,T944)</f>
        <v/>
      </c>
      <c r="V944" s="40">
        <f>IF(OR(G944="",U944=""),"",G944*U944-N(I944))</f>
        <v/>
      </c>
      <c r="W944" s="39">
        <f>IF(D944="","",IFERROR(VALUE(MID(D944,LEN(D944)-3,3)),""))</f>
        <v/>
      </c>
      <c r="X944" s="33">
        <f>IF(W944="","",P944&amp;"|"&amp;W944)</f>
        <v/>
      </c>
      <c r="Y944" s="33">
        <f>IF(W944="","",IF(P944="À RENSEIGNER","GIC",P944)&amp;"-"&amp;TEXT(W944,"000"))</f>
        <v/>
      </c>
      <c r="Z944" s="33">
        <f>IF(X944="","",IFERROR(INDEX(Cl_nom,MATCH(X944,Cl_cle,0)),"(client introuvable)"))</f>
        <v/>
      </c>
      <c r="AA944" s="33">
        <f>IF(X944="","",IFERROR(INDEX(Cl_quartier,MATCH(X944,Cl_cle,0))&amp;"",""))</f>
        <v/>
      </c>
      <c r="AB944" s="45">
        <f>IF(R944&lt;&gt;"Livrée",0,IF(K944&lt;&gt;"",K944,C944))</f>
        <v/>
      </c>
      <c r="AC944" s="33">
        <f>IF(OR(C944="",W944=""),"",P944&amp;"|"&amp;W944&amp;"|"&amp;C944&amp;"|"&amp;E944)</f>
        <v/>
      </c>
      <c r="AD944" s="39">
        <f>IF(AC944="","",IF(COUNTIF(AC$6:AC944,AC944)=1,1,0))</f>
        <v/>
      </c>
      <c r="AE944" s="39">
        <f>IF(AB944=0,"",IF(COUNTIFS(X$6:X944,X944,AB$6:AB944,AB944)=1,1,0))</f>
        <v/>
      </c>
      <c r="AF944" s="34">
        <f>IF(C944="","",YEAR(C944-WEEKDAY(C944,2)+4)&amp;"-S"&amp;TEXT(INT((C944-DATE(YEAR(C944-WEEKDAY(C944,2)+4),1,3)+WEEKDAY(DATE(YEAR(C944-WEEKDAY(C944,2)+4),1,3),2)+5)/7),"00"))</f>
        <v/>
      </c>
    </row>
    <row r="945" ht="18" customHeight="1">
      <c r="A945" s="39" t="n">
        <v>940</v>
      </c>
      <c r="B945" s="33">
        <f>IF(C945="","",IF(P945="À RENSEIGNER","GIC",P945)&amp;"-C"&amp;TEXT(A945,"00000"))</f>
        <v/>
      </c>
      <c r="C945" s="32" t="n"/>
      <c r="D945" s="36" t="n"/>
      <c r="E945" s="36" t="n"/>
      <c r="F945" s="36" t="n"/>
      <c r="G945" s="42" t="n"/>
      <c r="H945" s="37" t="n"/>
      <c r="I945" s="37" t="n"/>
      <c r="J945" s="32" t="n"/>
      <c r="K945" s="32" t="n"/>
      <c r="L945" s="43" t="n"/>
      <c r="M945" s="36" t="n"/>
      <c r="N945" s="44" t="n"/>
      <c r="O945" s="36" t="n"/>
      <c r="P945" s="33">
        <f>IF(C945="","",Commercial_Id)</f>
        <v/>
      </c>
      <c r="Q945" s="34">
        <f>IF(AC945="","",IF(AD945=1,"C"&amp;TEXT(SUM(AD$6:AD945),"0000"),INDEX(Q$6:Q944,MATCH(AC945,AC$6:AC944,0))))</f>
        <v/>
      </c>
      <c r="R945" s="34">
        <f>IF(C945="","",IF(L945="☑ Oui","Annulée",IF(OR(E945="Vente directe",K945&lt;&gt;""),"Livrée",IF(J945&lt;&gt;"","Confirmée","En attente"))))</f>
        <v/>
      </c>
      <c r="S945" s="34">
        <f>IF(F945="","",IFERROR(VLOOKUP(F945,T_Produits,2,FALSE),""))</f>
        <v/>
      </c>
      <c r="T945" s="40">
        <f>IF(F945="","",IFERROR(1/(1/VLOOKUP(F945,T_Produits,3,FALSE)),""))</f>
        <v/>
      </c>
      <c r="U945" s="40">
        <f>IF(H945&lt;&gt;"",H945,T945)</f>
        <v/>
      </c>
      <c r="V945" s="40">
        <f>IF(OR(G945="",U945=""),"",G945*U945-N(I945))</f>
        <v/>
      </c>
      <c r="W945" s="39">
        <f>IF(D945="","",IFERROR(VALUE(MID(D945,LEN(D945)-3,3)),""))</f>
        <v/>
      </c>
      <c r="X945" s="33">
        <f>IF(W945="","",P945&amp;"|"&amp;W945)</f>
        <v/>
      </c>
      <c r="Y945" s="33">
        <f>IF(W945="","",IF(P945="À RENSEIGNER","GIC",P945)&amp;"-"&amp;TEXT(W945,"000"))</f>
        <v/>
      </c>
      <c r="Z945" s="33">
        <f>IF(X945="","",IFERROR(INDEX(Cl_nom,MATCH(X945,Cl_cle,0)),"(client introuvable)"))</f>
        <v/>
      </c>
      <c r="AA945" s="33">
        <f>IF(X945="","",IFERROR(INDEX(Cl_quartier,MATCH(X945,Cl_cle,0))&amp;"",""))</f>
        <v/>
      </c>
      <c r="AB945" s="45">
        <f>IF(R945&lt;&gt;"Livrée",0,IF(K945&lt;&gt;"",K945,C945))</f>
        <v/>
      </c>
      <c r="AC945" s="33">
        <f>IF(OR(C945="",W945=""),"",P945&amp;"|"&amp;W945&amp;"|"&amp;C945&amp;"|"&amp;E945)</f>
        <v/>
      </c>
      <c r="AD945" s="39">
        <f>IF(AC945="","",IF(COUNTIF(AC$6:AC945,AC945)=1,1,0))</f>
        <v/>
      </c>
      <c r="AE945" s="39">
        <f>IF(AB945=0,"",IF(COUNTIFS(X$6:X945,X945,AB$6:AB945,AB945)=1,1,0))</f>
        <v/>
      </c>
      <c r="AF945" s="34">
        <f>IF(C945="","",YEAR(C945-WEEKDAY(C945,2)+4)&amp;"-S"&amp;TEXT(INT((C945-DATE(YEAR(C945-WEEKDAY(C945,2)+4),1,3)+WEEKDAY(DATE(YEAR(C945-WEEKDAY(C945,2)+4),1,3),2)+5)/7),"00"))</f>
        <v/>
      </c>
    </row>
    <row r="946" ht="18" customHeight="1">
      <c r="A946" s="39" t="n">
        <v>941</v>
      </c>
      <c r="B946" s="33">
        <f>IF(C946="","",IF(P946="À RENSEIGNER","GIC",P946)&amp;"-C"&amp;TEXT(A946,"00000"))</f>
        <v/>
      </c>
      <c r="C946" s="32" t="n"/>
      <c r="D946" s="36" t="n"/>
      <c r="E946" s="36" t="n"/>
      <c r="F946" s="36" t="n"/>
      <c r="G946" s="42" t="n"/>
      <c r="H946" s="37" t="n"/>
      <c r="I946" s="37" t="n"/>
      <c r="J946" s="32" t="n"/>
      <c r="K946" s="32" t="n"/>
      <c r="L946" s="43" t="n"/>
      <c r="M946" s="36" t="n"/>
      <c r="N946" s="44" t="n"/>
      <c r="O946" s="36" t="n"/>
      <c r="P946" s="33">
        <f>IF(C946="","",Commercial_Id)</f>
        <v/>
      </c>
      <c r="Q946" s="34">
        <f>IF(AC946="","",IF(AD946=1,"C"&amp;TEXT(SUM(AD$6:AD946),"0000"),INDEX(Q$6:Q945,MATCH(AC946,AC$6:AC945,0))))</f>
        <v/>
      </c>
      <c r="R946" s="34">
        <f>IF(C946="","",IF(L946="☑ Oui","Annulée",IF(OR(E946="Vente directe",K946&lt;&gt;""),"Livrée",IF(J946&lt;&gt;"","Confirmée","En attente"))))</f>
        <v/>
      </c>
      <c r="S946" s="34">
        <f>IF(F946="","",IFERROR(VLOOKUP(F946,T_Produits,2,FALSE),""))</f>
        <v/>
      </c>
      <c r="T946" s="40">
        <f>IF(F946="","",IFERROR(1/(1/VLOOKUP(F946,T_Produits,3,FALSE)),""))</f>
        <v/>
      </c>
      <c r="U946" s="40">
        <f>IF(H946&lt;&gt;"",H946,T946)</f>
        <v/>
      </c>
      <c r="V946" s="40">
        <f>IF(OR(G946="",U946=""),"",G946*U946-N(I946))</f>
        <v/>
      </c>
      <c r="W946" s="39">
        <f>IF(D946="","",IFERROR(VALUE(MID(D946,LEN(D946)-3,3)),""))</f>
        <v/>
      </c>
      <c r="X946" s="33">
        <f>IF(W946="","",P946&amp;"|"&amp;W946)</f>
        <v/>
      </c>
      <c r="Y946" s="33">
        <f>IF(W946="","",IF(P946="À RENSEIGNER","GIC",P946)&amp;"-"&amp;TEXT(W946,"000"))</f>
        <v/>
      </c>
      <c r="Z946" s="33">
        <f>IF(X946="","",IFERROR(INDEX(Cl_nom,MATCH(X946,Cl_cle,0)),"(client introuvable)"))</f>
        <v/>
      </c>
      <c r="AA946" s="33">
        <f>IF(X946="","",IFERROR(INDEX(Cl_quartier,MATCH(X946,Cl_cle,0))&amp;"",""))</f>
        <v/>
      </c>
      <c r="AB946" s="45">
        <f>IF(R946&lt;&gt;"Livrée",0,IF(K946&lt;&gt;"",K946,C946))</f>
        <v/>
      </c>
      <c r="AC946" s="33">
        <f>IF(OR(C946="",W946=""),"",P946&amp;"|"&amp;W946&amp;"|"&amp;C946&amp;"|"&amp;E946)</f>
        <v/>
      </c>
      <c r="AD946" s="39">
        <f>IF(AC946="","",IF(COUNTIF(AC$6:AC946,AC946)=1,1,0))</f>
        <v/>
      </c>
      <c r="AE946" s="39">
        <f>IF(AB946=0,"",IF(COUNTIFS(X$6:X946,X946,AB$6:AB946,AB946)=1,1,0))</f>
        <v/>
      </c>
      <c r="AF946" s="34">
        <f>IF(C946="","",YEAR(C946-WEEKDAY(C946,2)+4)&amp;"-S"&amp;TEXT(INT((C946-DATE(YEAR(C946-WEEKDAY(C946,2)+4),1,3)+WEEKDAY(DATE(YEAR(C946-WEEKDAY(C946,2)+4),1,3),2)+5)/7),"00"))</f>
        <v/>
      </c>
    </row>
    <row r="947" ht="18" customHeight="1">
      <c r="A947" s="39" t="n">
        <v>942</v>
      </c>
      <c r="B947" s="33">
        <f>IF(C947="","",IF(P947="À RENSEIGNER","GIC",P947)&amp;"-C"&amp;TEXT(A947,"00000"))</f>
        <v/>
      </c>
      <c r="C947" s="32" t="n"/>
      <c r="D947" s="36" t="n"/>
      <c r="E947" s="36" t="n"/>
      <c r="F947" s="36" t="n"/>
      <c r="G947" s="42" t="n"/>
      <c r="H947" s="37" t="n"/>
      <c r="I947" s="37" t="n"/>
      <c r="J947" s="32" t="n"/>
      <c r="K947" s="32" t="n"/>
      <c r="L947" s="43" t="n"/>
      <c r="M947" s="36" t="n"/>
      <c r="N947" s="44" t="n"/>
      <c r="O947" s="36" t="n"/>
      <c r="P947" s="33">
        <f>IF(C947="","",Commercial_Id)</f>
        <v/>
      </c>
      <c r="Q947" s="34">
        <f>IF(AC947="","",IF(AD947=1,"C"&amp;TEXT(SUM(AD$6:AD947),"0000"),INDEX(Q$6:Q946,MATCH(AC947,AC$6:AC946,0))))</f>
        <v/>
      </c>
      <c r="R947" s="34">
        <f>IF(C947="","",IF(L947="☑ Oui","Annulée",IF(OR(E947="Vente directe",K947&lt;&gt;""),"Livrée",IF(J947&lt;&gt;"","Confirmée","En attente"))))</f>
        <v/>
      </c>
      <c r="S947" s="34">
        <f>IF(F947="","",IFERROR(VLOOKUP(F947,T_Produits,2,FALSE),""))</f>
        <v/>
      </c>
      <c r="T947" s="40">
        <f>IF(F947="","",IFERROR(1/(1/VLOOKUP(F947,T_Produits,3,FALSE)),""))</f>
        <v/>
      </c>
      <c r="U947" s="40">
        <f>IF(H947&lt;&gt;"",H947,T947)</f>
        <v/>
      </c>
      <c r="V947" s="40">
        <f>IF(OR(G947="",U947=""),"",G947*U947-N(I947))</f>
        <v/>
      </c>
      <c r="W947" s="39">
        <f>IF(D947="","",IFERROR(VALUE(MID(D947,LEN(D947)-3,3)),""))</f>
        <v/>
      </c>
      <c r="X947" s="33">
        <f>IF(W947="","",P947&amp;"|"&amp;W947)</f>
        <v/>
      </c>
      <c r="Y947" s="33">
        <f>IF(W947="","",IF(P947="À RENSEIGNER","GIC",P947)&amp;"-"&amp;TEXT(W947,"000"))</f>
        <v/>
      </c>
      <c r="Z947" s="33">
        <f>IF(X947="","",IFERROR(INDEX(Cl_nom,MATCH(X947,Cl_cle,0)),"(client introuvable)"))</f>
        <v/>
      </c>
      <c r="AA947" s="33">
        <f>IF(X947="","",IFERROR(INDEX(Cl_quartier,MATCH(X947,Cl_cle,0))&amp;"",""))</f>
        <v/>
      </c>
      <c r="AB947" s="45">
        <f>IF(R947&lt;&gt;"Livrée",0,IF(K947&lt;&gt;"",K947,C947))</f>
        <v/>
      </c>
      <c r="AC947" s="33">
        <f>IF(OR(C947="",W947=""),"",P947&amp;"|"&amp;W947&amp;"|"&amp;C947&amp;"|"&amp;E947)</f>
        <v/>
      </c>
      <c r="AD947" s="39">
        <f>IF(AC947="","",IF(COUNTIF(AC$6:AC947,AC947)=1,1,0))</f>
        <v/>
      </c>
      <c r="AE947" s="39">
        <f>IF(AB947=0,"",IF(COUNTIFS(X$6:X947,X947,AB$6:AB947,AB947)=1,1,0))</f>
        <v/>
      </c>
      <c r="AF947" s="34">
        <f>IF(C947="","",YEAR(C947-WEEKDAY(C947,2)+4)&amp;"-S"&amp;TEXT(INT((C947-DATE(YEAR(C947-WEEKDAY(C947,2)+4),1,3)+WEEKDAY(DATE(YEAR(C947-WEEKDAY(C947,2)+4),1,3),2)+5)/7),"00"))</f>
        <v/>
      </c>
    </row>
    <row r="948" ht="18" customHeight="1">
      <c r="A948" s="39" t="n">
        <v>943</v>
      </c>
      <c r="B948" s="33">
        <f>IF(C948="","",IF(P948="À RENSEIGNER","GIC",P948)&amp;"-C"&amp;TEXT(A948,"00000"))</f>
        <v/>
      </c>
      <c r="C948" s="32" t="n"/>
      <c r="D948" s="36" t="n"/>
      <c r="E948" s="36" t="n"/>
      <c r="F948" s="36" t="n"/>
      <c r="G948" s="42" t="n"/>
      <c r="H948" s="37" t="n"/>
      <c r="I948" s="37" t="n"/>
      <c r="J948" s="32" t="n"/>
      <c r="K948" s="32" t="n"/>
      <c r="L948" s="43" t="n"/>
      <c r="M948" s="36" t="n"/>
      <c r="N948" s="44" t="n"/>
      <c r="O948" s="36" t="n"/>
      <c r="P948" s="33">
        <f>IF(C948="","",Commercial_Id)</f>
        <v/>
      </c>
      <c r="Q948" s="34">
        <f>IF(AC948="","",IF(AD948=1,"C"&amp;TEXT(SUM(AD$6:AD948),"0000"),INDEX(Q$6:Q947,MATCH(AC948,AC$6:AC947,0))))</f>
        <v/>
      </c>
      <c r="R948" s="34">
        <f>IF(C948="","",IF(L948="☑ Oui","Annulée",IF(OR(E948="Vente directe",K948&lt;&gt;""),"Livrée",IF(J948&lt;&gt;"","Confirmée","En attente"))))</f>
        <v/>
      </c>
      <c r="S948" s="34">
        <f>IF(F948="","",IFERROR(VLOOKUP(F948,T_Produits,2,FALSE),""))</f>
        <v/>
      </c>
      <c r="T948" s="40">
        <f>IF(F948="","",IFERROR(1/(1/VLOOKUP(F948,T_Produits,3,FALSE)),""))</f>
        <v/>
      </c>
      <c r="U948" s="40">
        <f>IF(H948&lt;&gt;"",H948,T948)</f>
        <v/>
      </c>
      <c r="V948" s="40">
        <f>IF(OR(G948="",U948=""),"",G948*U948-N(I948))</f>
        <v/>
      </c>
      <c r="W948" s="39">
        <f>IF(D948="","",IFERROR(VALUE(MID(D948,LEN(D948)-3,3)),""))</f>
        <v/>
      </c>
      <c r="X948" s="33">
        <f>IF(W948="","",P948&amp;"|"&amp;W948)</f>
        <v/>
      </c>
      <c r="Y948" s="33">
        <f>IF(W948="","",IF(P948="À RENSEIGNER","GIC",P948)&amp;"-"&amp;TEXT(W948,"000"))</f>
        <v/>
      </c>
      <c r="Z948" s="33">
        <f>IF(X948="","",IFERROR(INDEX(Cl_nom,MATCH(X948,Cl_cle,0)),"(client introuvable)"))</f>
        <v/>
      </c>
      <c r="AA948" s="33">
        <f>IF(X948="","",IFERROR(INDEX(Cl_quartier,MATCH(X948,Cl_cle,0))&amp;"",""))</f>
        <v/>
      </c>
      <c r="AB948" s="45">
        <f>IF(R948&lt;&gt;"Livrée",0,IF(K948&lt;&gt;"",K948,C948))</f>
        <v/>
      </c>
      <c r="AC948" s="33">
        <f>IF(OR(C948="",W948=""),"",P948&amp;"|"&amp;W948&amp;"|"&amp;C948&amp;"|"&amp;E948)</f>
        <v/>
      </c>
      <c r="AD948" s="39">
        <f>IF(AC948="","",IF(COUNTIF(AC$6:AC948,AC948)=1,1,0))</f>
        <v/>
      </c>
      <c r="AE948" s="39">
        <f>IF(AB948=0,"",IF(COUNTIFS(X$6:X948,X948,AB$6:AB948,AB948)=1,1,0))</f>
        <v/>
      </c>
      <c r="AF948" s="34">
        <f>IF(C948="","",YEAR(C948-WEEKDAY(C948,2)+4)&amp;"-S"&amp;TEXT(INT((C948-DATE(YEAR(C948-WEEKDAY(C948,2)+4),1,3)+WEEKDAY(DATE(YEAR(C948-WEEKDAY(C948,2)+4),1,3),2)+5)/7),"00"))</f>
        <v/>
      </c>
    </row>
    <row r="949" ht="18" customHeight="1">
      <c r="A949" s="39" t="n">
        <v>944</v>
      </c>
      <c r="B949" s="33">
        <f>IF(C949="","",IF(P949="À RENSEIGNER","GIC",P949)&amp;"-C"&amp;TEXT(A949,"00000"))</f>
        <v/>
      </c>
      <c r="C949" s="32" t="n"/>
      <c r="D949" s="36" t="n"/>
      <c r="E949" s="36" t="n"/>
      <c r="F949" s="36" t="n"/>
      <c r="G949" s="42" t="n"/>
      <c r="H949" s="37" t="n"/>
      <c r="I949" s="37" t="n"/>
      <c r="J949" s="32" t="n"/>
      <c r="K949" s="32" t="n"/>
      <c r="L949" s="43" t="n"/>
      <c r="M949" s="36" t="n"/>
      <c r="N949" s="44" t="n"/>
      <c r="O949" s="36" t="n"/>
      <c r="P949" s="33">
        <f>IF(C949="","",Commercial_Id)</f>
        <v/>
      </c>
      <c r="Q949" s="34">
        <f>IF(AC949="","",IF(AD949=1,"C"&amp;TEXT(SUM(AD$6:AD949),"0000"),INDEX(Q$6:Q948,MATCH(AC949,AC$6:AC948,0))))</f>
        <v/>
      </c>
      <c r="R949" s="34">
        <f>IF(C949="","",IF(L949="☑ Oui","Annulée",IF(OR(E949="Vente directe",K949&lt;&gt;""),"Livrée",IF(J949&lt;&gt;"","Confirmée","En attente"))))</f>
        <v/>
      </c>
      <c r="S949" s="34">
        <f>IF(F949="","",IFERROR(VLOOKUP(F949,T_Produits,2,FALSE),""))</f>
        <v/>
      </c>
      <c r="T949" s="40">
        <f>IF(F949="","",IFERROR(1/(1/VLOOKUP(F949,T_Produits,3,FALSE)),""))</f>
        <v/>
      </c>
      <c r="U949" s="40">
        <f>IF(H949&lt;&gt;"",H949,T949)</f>
        <v/>
      </c>
      <c r="V949" s="40">
        <f>IF(OR(G949="",U949=""),"",G949*U949-N(I949))</f>
        <v/>
      </c>
      <c r="W949" s="39">
        <f>IF(D949="","",IFERROR(VALUE(MID(D949,LEN(D949)-3,3)),""))</f>
        <v/>
      </c>
      <c r="X949" s="33">
        <f>IF(W949="","",P949&amp;"|"&amp;W949)</f>
        <v/>
      </c>
      <c r="Y949" s="33">
        <f>IF(W949="","",IF(P949="À RENSEIGNER","GIC",P949)&amp;"-"&amp;TEXT(W949,"000"))</f>
        <v/>
      </c>
      <c r="Z949" s="33">
        <f>IF(X949="","",IFERROR(INDEX(Cl_nom,MATCH(X949,Cl_cle,0)),"(client introuvable)"))</f>
        <v/>
      </c>
      <c r="AA949" s="33">
        <f>IF(X949="","",IFERROR(INDEX(Cl_quartier,MATCH(X949,Cl_cle,0))&amp;"",""))</f>
        <v/>
      </c>
      <c r="AB949" s="45">
        <f>IF(R949&lt;&gt;"Livrée",0,IF(K949&lt;&gt;"",K949,C949))</f>
        <v/>
      </c>
      <c r="AC949" s="33">
        <f>IF(OR(C949="",W949=""),"",P949&amp;"|"&amp;W949&amp;"|"&amp;C949&amp;"|"&amp;E949)</f>
        <v/>
      </c>
      <c r="AD949" s="39">
        <f>IF(AC949="","",IF(COUNTIF(AC$6:AC949,AC949)=1,1,0))</f>
        <v/>
      </c>
      <c r="AE949" s="39">
        <f>IF(AB949=0,"",IF(COUNTIFS(X$6:X949,X949,AB$6:AB949,AB949)=1,1,0))</f>
        <v/>
      </c>
      <c r="AF949" s="34">
        <f>IF(C949="","",YEAR(C949-WEEKDAY(C949,2)+4)&amp;"-S"&amp;TEXT(INT((C949-DATE(YEAR(C949-WEEKDAY(C949,2)+4),1,3)+WEEKDAY(DATE(YEAR(C949-WEEKDAY(C949,2)+4),1,3),2)+5)/7),"00"))</f>
        <v/>
      </c>
    </row>
    <row r="950" ht="18" customHeight="1">
      <c r="A950" s="39" t="n">
        <v>945</v>
      </c>
      <c r="B950" s="33">
        <f>IF(C950="","",IF(P950="À RENSEIGNER","GIC",P950)&amp;"-C"&amp;TEXT(A950,"00000"))</f>
        <v/>
      </c>
      <c r="C950" s="32" t="n"/>
      <c r="D950" s="36" t="n"/>
      <c r="E950" s="36" t="n"/>
      <c r="F950" s="36" t="n"/>
      <c r="G950" s="42" t="n"/>
      <c r="H950" s="37" t="n"/>
      <c r="I950" s="37" t="n"/>
      <c r="J950" s="32" t="n"/>
      <c r="K950" s="32" t="n"/>
      <c r="L950" s="43" t="n"/>
      <c r="M950" s="36" t="n"/>
      <c r="N950" s="44" t="n"/>
      <c r="O950" s="36" t="n"/>
      <c r="P950" s="33">
        <f>IF(C950="","",Commercial_Id)</f>
        <v/>
      </c>
      <c r="Q950" s="34">
        <f>IF(AC950="","",IF(AD950=1,"C"&amp;TEXT(SUM(AD$6:AD950),"0000"),INDEX(Q$6:Q949,MATCH(AC950,AC$6:AC949,0))))</f>
        <v/>
      </c>
      <c r="R950" s="34">
        <f>IF(C950="","",IF(L950="☑ Oui","Annulée",IF(OR(E950="Vente directe",K950&lt;&gt;""),"Livrée",IF(J950&lt;&gt;"","Confirmée","En attente"))))</f>
        <v/>
      </c>
      <c r="S950" s="34">
        <f>IF(F950="","",IFERROR(VLOOKUP(F950,T_Produits,2,FALSE),""))</f>
        <v/>
      </c>
      <c r="T950" s="40">
        <f>IF(F950="","",IFERROR(1/(1/VLOOKUP(F950,T_Produits,3,FALSE)),""))</f>
        <v/>
      </c>
      <c r="U950" s="40">
        <f>IF(H950&lt;&gt;"",H950,T950)</f>
        <v/>
      </c>
      <c r="V950" s="40">
        <f>IF(OR(G950="",U950=""),"",G950*U950-N(I950))</f>
        <v/>
      </c>
      <c r="W950" s="39">
        <f>IF(D950="","",IFERROR(VALUE(MID(D950,LEN(D950)-3,3)),""))</f>
        <v/>
      </c>
      <c r="X950" s="33">
        <f>IF(W950="","",P950&amp;"|"&amp;W950)</f>
        <v/>
      </c>
      <c r="Y950" s="33">
        <f>IF(W950="","",IF(P950="À RENSEIGNER","GIC",P950)&amp;"-"&amp;TEXT(W950,"000"))</f>
        <v/>
      </c>
      <c r="Z950" s="33">
        <f>IF(X950="","",IFERROR(INDEX(Cl_nom,MATCH(X950,Cl_cle,0)),"(client introuvable)"))</f>
        <v/>
      </c>
      <c r="AA950" s="33">
        <f>IF(X950="","",IFERROR(INDEX(Cl_quartier,MATCH(X950,Cl_cle,0))&amp;"",""))</f>
        <v/>
      </c>
      <c r="AB950" s="45">
        <f>IF(R950&lt;&gt;"Livrée",0,IF(K950&lt;&gt;"",K950,C950))</f>
        <v/>
      </c>
      <c r="AC950" s="33">
        <f>IF(OR(C950="",W950=""),"",P950&amp;"|"&amp;W950&amp;"|"&amp;C950&amp;"|"&amp;E950)</f>
        <v/>
      </c>
      <c r="AD950" s="39">
        <f>IF(AC950="","",IF(COUNTIF(AC$6:AC950,AC950)=1,1,0))</f>
        <v/>
      </c>
      <c r="AE950" s="39">
        <f>IF(AB950=0,"",IF(COUNTIFS(X$6:X950,X950,AB$6:AB950,AB950)=1,1,0))</f>
        <v/>
      </c>
      <c r="AF950" s="34">
        <f>IF(C950="","",YEAR(C950-WEEKDAY(C950,2)+4)&amp;"-S"&amp;TEXT(INT((C950-DATE(YEAR(C950-WEEKDAY(C950,2)+4),1,3)+WEEKDAY(DATE(YEAR(C950-WEEKDAY(C950,2)+4),1,3),2)+5)/7),"00"))</f>
        <v/>
      </c>
    </row>
    <row r="951" ht="18" customHeight="1">
      <c r="A951" s="39" t="n">
        <v>946</v>
      </c>
      <c r="B951" s="33">
        <f>IF(C951="","",IF(P951="À RENSEIGNER","GIC",P951)&amp;"-C"&amp;TEXT(A951,"00000"))</f>
        <v/>
      </c>
      <c r="C951" s="32" t="n"/>
      <c r="D951" s="36" t="n"/>
      <c r="E951" s="36" t="n"/>
      <c r="F951" s="36" t="n"/>
      <c r="G951" s="42" t="n"/>
      <c r="H951" s="37" t="n"/>
      <c r="I951" s="37" t="n"/>
      <c r="J951" s="32" t="n"/>
      <c r="K951" s="32" t="n"/>
      <c r="L951" s="43" t="n"/>
      <c r="M951" s="36" t="n"/>
      <c r="N951" s="44" t="n"/>
      <c r="O951" s="36" t="n"/>
      <c r="P951" s="33">
        <f>IF(C951="","",Commercial_Id)</f>
        <v/>
      </c>
      <c r="Q951" s="34">
        <f>IF(AC951="","",IF(AD951=1,"C"&amp;TEXT(SUM(AD$6:AD951),"0000"),INDEX(Q$6:Q950,MATCH(AC951,AC$6:AC950,0))))</f>
        <v/>
      </c>
      <c r="R951" s="34">
        <f>IF(C951="","",IF(L951="☑ Oui","Annulée",IF(OR(E951="Vente directe",K951&lt;&gt;""),"Livrée",IF(J951&lt;&gt;"","Confirmée","En attente"))))</f>
        <v/>
      </c>
      <c r="S951" s="34">
        <f>IF(F951="","",IFERROR(VLOOKUP(F951,T_Produits,2,FALSE),""))</f>
        <v/>
      </c>
      <c r="T951" s="40">
        <f>IF(F951="","",IFERROR(1/(1/VLOOKUP(F951,T_Produits,3,FALSE)),""))</f>
        <v/>
      </c>
      <c r="U951" s="40">
        <f>IF(H951&lt;&gt;"",H951,T951)</f>
        <v/>
      </c>
      <c r="V951" s="40">
        <f>IF(OR(G951="",U951=""),"",G951*U951-N(I951))</f>
        <v/>
      </c>
      <c r="W951" s="39">
        <f>IF(D951="","",IFERROR(VALUE(MID(D951,LEN(D951)-3,3)),""))</f>
        <v/>
      </c>
      <c r="X951" s="33">
        <f>IF(W951="","",P951&amp;"|"&amp;W951)</f>
        <v/>
      </c>
      <c r="Y951" s="33">
        <f>IF(W951="","",IF(P951="À RENSEIGNER","GIC",P951)&amp;"-"&amp;TEXT(W951,"000"))</f>
        <v/>
      </c>
      <c r="Z951" s="33">
        <f>IF(X951="","",IFERROR(INDEX(Cl_nom,MATCH(X951,Cl_cle,0)),"(client introuvable)"))</f>
        <v/>
      </c>
      <c r="AA951" s="33">
        <f>IF(X951="","",IFERROR(INDEX(Cl_quartier,MATCH(X951,Cl_cle,0))&amp;"",""))</f>
        <v/>
      </c>
      <c r="AB951" s="45">
        <f>IF(R951&lt;&gt;"Livrée",0,IF(K951&lt;&gt;"",K951,C951))</f>
        <v/>
      </c>
      <c r="AC951" s="33">
        <f>IF(OR(C951="",W951=""),"",P951&amp;"|"&amp;W951&amp;"|"&amp;C951&amp;"|"&amp;E951)</f>
        <v/>
      </c>
      <c r="AD951" s="39">
        <f>IF(AC951="","",IF(COUNTIF(AC$6:AC951,AC951)=1,1,0))</f>
        <v/>
      </c>
      <c r="AE951" s="39">
        <f>IF(AB951=0,"",IF(COUNTIFS(X$6:X951,X951,AB$6:AB951,AB951)=1,1,0))</f>
        <v/>
      </c>
      <c r="AF951" s="34">
        <f>IF(C951="","",YEAR(C951-WEEKDAY(C951,2)+4)&amp;"-S"&amp;TEXT(INT((C951-DATE(YEAR(C951-WEEKDAY(C951,2)+4),1,3)+WEEKDAY(DATE(YEAR(C951-WEEKDAY(C951,2)+4),1,3),2)+5)/7),"00"))</f>
        <v/>
      </c>
    </row>
    <row r="952" ht="18" customHeight="1">
      <c r="A952" s="39" t="n">
        <v>947</v>
      </c>
      <c r="B952" s="33">
        <f>IF(C952="","",IF(P952="À RENSEIGNER","GIC",P952)&amp;"-C"&amp;TEXT(A952,"00000"))</f>
        <v/>
      </c>
      <c r="C952" s="32" t="n"/>
      <c r="D952" s="36" t="n"/>
      <c r="E952" s="36" t="n"/>
      <c r="F952" s="36" t="n"/>
      <c r="G952" s="42" t="n"/>
      <c r="H952" s="37" t="n"/>
      <c r="I952" s="37" t="n"/>
      <c r="J952" s="32" t="n"/>
      <c r="K952" s="32" t="n"/>
      <c r="L952" s="43" t="n"/>
      <c r="M952" s="36" t="n"/>
      <c r="N952" s="44" t="n"/>
      <c r="O952" s="36" t="n"/>
      <c r="P952" s="33">
        <f>IF(C952="","",Commercial_Id)</f>
        <v/>
      </c>
      <c r="Q952" s="34">
        <f>IF(AC952="","",IF(AD952=1,"C"&amp;TEXT(SUM(AD$6:AD952),"0000"),INDEX(Q$6:Q951,MATCH(AC952,AC$6:AC951,0))))</f>
        <v/>
      </c>
      <c r="R952" s="34">
        <f>IF(C952="","",IF(L952="☑ Oui","Annulée",IF(OR(E952="Vente directe",K952&lt;&gt;""),"Livrée",IF(J952&lt;&gt;"","Confirmée","En attente"))))</f>
        <v/>
      </c>
      <c r="S952" s="34">
        <f>IF(F952="","",IFERROR(VLOOKUP(F952,T_Produits,2,FALSE),""))</f>
        <v/>
      </c>
      <c r="T952" s="40">
        <f>IF(F952="","",IFERROR(1/(1/VLOOKUP(F952,T_Produits,3,FALSE)),""))</f>
        <v/>
      </c>
      <c r="U952" s="40">
        <f>IF(H952&lt;&gt;"",H952,T952)</f>
        <v/>
      </c>
      <c r="V952" s="40">
        <f>IF(OR(G952="",U952=""),"",G952*U952-N(I952))</f>
        <v/>
      </c>
      <c r="W952" s="39">
        <f>IF(D952="","",IFERROR(VALUE(MID(D952,LEN(D952)-3,3)),""))</f>
        <v/>
      </c>
      <c r="X952" s="33">
        <f>IF(W952="","",P952&amp;"|"&amp;W952)</f>
        <v/>
      </c>
      <c r="Y952" s="33">
        <f>IF(W952="","",IF(P952="À RENSEIGNER","GIC",P952)&amp;"-"&amp;TEXT(W952,"000"))</f>
        <v/>
      </c>
      <c r="Z952" s="33">
        <f>IF(X952="","",IFERROR(INDEX(Cl_nom,MATCH(X952,Cl_cle,0)),"(client introuvable)"))</f>
        <v/>
      </c>
      <c r="AA952" s="33">
        <f>IF(X952="","",IFERROR(INDEX(Cl_quartier,MATCH(X952,Cl_cle,0))&amp;"",""))</f>
        <v/>
      </c>
      <c r="AB952" s="45">
        <f>IF(R952&lt;&gt;"Livrée",0,IF(K952&lt;&gt;"",K952,C952))</f>
        <v/>
      </c>
      <c r="AC952" s="33">
        <f>IF(OR(C952="",W952=""),"",P952&amp;"|"&amp;W952&amp;"|"&amp;C952&amp;"|"&amp;E952)</f>
        <v/>
      </c>
      <c r="AD952" s="39">
        <f>IF(AC952="","",IF(COUNTIF(AC$6:AC952,AC952)=1,1,0))</f>
        <v/>
      </c>
      <c r="AE952" s="39">
        <f>IF(AB952=0,"",IF(COUNTIFS(X$6:X952,X952,AB$6:AB952,AB952)=1,1,0))</f>
        <v/>
      </c>
      <c r="AF952" s="34">
        <f>IF(C952="","",YEAR(C952-WEEKDAY(C952,2)+4)&amp;"-S"&amp;TEXT(INT((C952-DATE(YEAR(C952-WEEKDAY(C952,2)+4),1,3)+WEEKDAY(DATE(YEAR(C952-WEEKDAY(C952,2)+4),1,3),2)+5)/7),"00"))</f>
        <v/>
      </c>
    </row>
    <row r="953" ht="18" customHeight="1">
      <c r="A953" s="39" t="n">
        <v>948</v>
      </c>
      <c r="B953" s="33">
        <f>IF(C953="","",IF(P953="À RENSEIGNER","GIC",P953)&amp;"-C"&amp;TEXT(A953,"00000"))</f>
        <v/>
      </c>
      <c r="C953" s="32" t="n"/>
      <c r="D953" s="36" t="n"/>
      <c r="E953" s="36" t="n"/>
      <c r="F953" s="36" t="n"/>
      <c r="G953" s="42" t="n"/>
      <c r="H953" s="37" t="n"/>
      <c r="I953" s="37" t="n"/>
      <c r="J953" s="32" t="n"/>
      <c r="K953" s="32" t="n"/>
      <c r="L953" s="43" t="n"/>
      <c r="M953" s="36" t="n"/>
      <c r="N953" s="44" t="n"/>
      <c r="O953" s="36" t="n"/>
      <c r="P953" s="33">
        <f>IF(C953="","",Commercial_Id)</f>
        <v/>
      </c>
      <c r="Q953" s="34">
        <f>IF(AC953="","",IF(AD953=1,"C"&amp;TEXT(SUM(AD$6:AD953),"0000"),INDEX(Q$6:Q952,MATCH(AC953,AC$6:AC952,0))))</f>
        <v/>
      </c>
      <c r="R953" s="34">
        <f>IF(C953="","",IF(L953="☑ Oui","Annulée",IF(OR(E953="Vente directe",K953&lt;&gt;""),"Livrée",IF(J953&lt;&gt;"","Confirmée","En attente"))))</f>
        <v/>
      </c>
      <c r="S953" s="34">
        <f>IF(F953="","",IFERROR(VLOOKUP(F953,T_Produits,2,FALSE),""))</f>
        <v/>
      </c>
      <c r="T953" s="40">
        <f>IF(F953="","",IFERROR(1/(1/VLOOKUP(F953,T_Produits,3,FALSE)),""))</f>
        <v/>
      </c>
      <c r="U953" s="40">
        <f>IF(H953&lt;&gt;"",H953,T953)</f>
        <v/>
      </c>
      <c r="V953" s="40">
        <f>IF(OR(G953="",U953=""),"",G953*U953-N(I953))</f>
        <v/>
      </c>
      <c r="W953" s="39">
        <f>IF(D953="","",IFERROR(VALUE(MID(D953,LEN(D953)-3,3)),""))</f>
        <v/>
      </c>
      <c r="X953" s="33">
        <f>IF(W953="","",P953&amp;"|"&amp;W953)</f>
        <v/>
      </c>
      <c r="Y953" s="33">
        <f>IF(W953="","",IF(P953="À RENSEIGNER","GIC",P953)&amp;"-"&amp;TEXT(W953,"000"))</f>
        <v/>
      </c>
      <c r="Z953" s="33">
        <f>IF(X953="","",IFERROR(INDEX(Cl_nom,MATCH(X953,Cl_cle,0)),"(client introuvable)"))</f>
        <v/>
      </c>
      <c r="AA953" s="33">
        <f>IF(X953="","",IFERROR(INDEX(Cl_quartier,MATCH(X953,Cl_cle,0))&amp;"",""))</f>
        <v/>
      </c>
      <c r="AB953" s="45">
        <f>IF(R953&lt;&gt;"Livrée",0,IF(K953&lt;&gt;"",K953,C953))</f>
        <v/>
      </c>
      <c r="AC953" s="33">
        <f>IF(OR(C953="",W953=""),"",P953&amp;"|"&amp;W953&amp;"|"&amp;C953&amp;"|"&amp;E953)</f>
        <v/>
      </c>
      <c r="AD953" s="39">
        <f>IF(AC953="","",IF(COUNTIF(AC$6:AC953,AC953)=1,1,0))</f>
        <v/>
      </c>
      <c r="AE953" s="39">
        <f>IF(AB953=0,"",IF(COUNTIFS(X$6:X953,X953,AB$6:AB953,AB953)=1,1,0))</f>
        <v/>
      </c>
      <c r="AF953" s="34">
        <f>IF(C953="","",YEAR(C953-WEEKDAY(C953,2)+4)&amp;"-S"&amp;TEXT(INT((C953-DATE(YEAR(C953-WEEKDAY(C953,2)+4),1,3)+WEEKDAY(DATE(YEAR(C953-WEEKDAY(C953,2)+4),1,3),2)+5)/7),"00"))</f>
        <v/>
      </c>
    </row>
    <row r="954" ht="18" customHeight="1">
      <c r="A954" s="39" t="n">
        <v>949</v>
      </c>
      <c r="B954" s="33">
        <f>IF(C954="","",IF(P954="À RENSEIGNER","GIC",P954)&amp;"-C"&amp;TEXT(A954,"00000"))</f>
        <v/>
      </c>
      <c r="C954" s="32" t="n"/>
      <c r="D954" s="36" t="n"/>
      <c r="E954" s="36" t="n"/>
      <c r="F954" s="36" t="n"/>
      <c r="G954" s="42" t="n"/>
      <c r="H954" s="37" t="n"/>
      <c r="I954" s="37" t="n"/>
      <c r="J954" s="32" t="n"/>
      <c r="K954" s="32" t="n"/>
      <c r="L954" s="43" t="n"/>
      <c r="M954" s="36" t="n"/>
      <c r="N954" s="44" t="n"/>
      <c r="O954" s="36" t="n"/>
      <c r="P954" s="33">
        <f>IF(C954="","",Commercial_Id)</f>
        <v/>
      </c>
      <c r="Q954" s="34">
        <f>IF(AC954="","",IF(AD954=1,"C"&amp;TEXT(SUM(AD$6:AD954),"0000"),INDEX(Q$6:Q953,MATCH(AC954,AC$6:AC953,0))))</f>
        <v/>
      </c>
      <c r="R954" s="34">
        <f>IF(C954="","",IF(L954="☑ Oui","Annulée",IF(OR(E954="Vente directe",K954&lt;&gt;""),"Livrée",IF(J954&lt;&gt;"","Confirmée","En attente"))))</f>
        <v/>
      </c>
      <c r="S954" s="34">
        <f>IF(F954="","",IFERROR(VLOOKUP(F954,T_Produits,2,FALSE),""))</f>
        <v/>
      </c>
      <c r="T954" s="40">
        <f>IF(F954="","",IFERROR(1/(1/VLOOKUP(F954,T_Produits,3,FALSE)),""))</f>
        <v/>
      </c>
      <c r="U954" s="40">
        <f>IF(H954&lt;&gt;"",H954,T954)</f>
        <v/>
      </c>
      <c r="V954" s="40">
        <f>IF(OR(G954="",U954=""),"",G954*U954-N(I954))</f>
        <v/>
      </c>
      <c r="W954" s="39">
        <f>IF(D954="","",IFERROR(VALUE(MID(D954,LEN(D954)-3,3)),""))</f>
        <v/>
      </c>
      <c r="X954" s="33">
        <f>IF(W954="","",P954&amp;"|"&amp;W954)</f>
        <v/>
      </c>
      <c r="Y954" s="33">
        <f>IF(W954="","",IF(P954="À RENSEIGNER","GIC",P954)&amp;"-"&amp;TEXT(W954,"000"))</f>
        <v/>
      </c>
      <c r="Z954" s="33">
        <f>IF(X954="","",IFERROR(INDEX(Cl_nom,MATCH(X954,Cl_cle,0)),"(client introuvable)"))</f>
        <v/>
      </c>
      <c r="AA954" s="33">
        <f>IF(X954="","",IFERROR(INDEX(Cl_quartier,MATCH(X954,Cl_cle,0))&amp;"",""))</f>
        <v/>
      </c>
      <c r="AB954" s="45">
        <f>IF(R954&lt;&gt;"Livrée",0,IF(K954&lt;&gt;"",K954,C954))</f>
        <v/>
      </c>
      <c r="AC954" s="33">
        <f>IF(OR(C954="",W954=""),"",P954&amp;"|"&amp;W954&amp;"|"&amp;C954&amp;"|"&amp;E954)</f>
        <v/>
      </c>
      <c r="AD954" s="39">
        <f>IF(AC954="","",IF(COUNTIF(AC$6:AC954,AC954)=1,1,0))</f>
        <v/>
      </c>
      <c r="AE954" s="39">
        <f>IF(AB954=0,"",IF(COUNTIFS(X$6:X954,X954,AB$6:AB954,AB954)=1,1,0))</f>
        <v/>
      </c>
      <c r="AF954" s="34">
        <f>IF(C954="","",YEAR(C954-WEEKDAY(C954,2)+4)&amp;"-S"&amp;TEXT(INT((C954-DATE(YEAR(C954-WEEKDAY(C954,2)+4),1,3)+WEEKDAY(DATE(YEAR(C954-WEEKDAY(C954,2)+4),1,3),2)+5)/7),"00"))</f>
        <v/>
      </c>
    </row>
    <row r="955" ht="18" customHeight="1">
      <c r="A955" s="39" t="n">
        <v>950</v>
      </c>
      <c r="B955" s="33">
        <f>IF(C955="","",IF(P955="À RENSEIGNER","GIC",P955)&amp;"-C"&amp;TEXT(A955,"00000"))</f>
        <v/>
      </c>
      <c r="C955" s="32" t="n"/>
      <c r="D955" s="36" t="n"/>
      <c r="E955" s="36" t="n"/>
      <c r="F955" s="36" t="n"/>
      <c r="G955" s="42" t="n"/>
      <c r="H955" s="37" t="n"/>
      <c r="I955" s="37" t="n"/>
      <c r="J955" s="32" t="n"/>
      <c r="K955" s="32" t="n"/>
      <c r="L955" s="43" t="n"/>
      <c r="M955" s="36" t="n"/>
      <c r="N955" s="44" t="n"/>
      <c r="O955" s="36" t="n"/>
      <c r="P955" s="33">
        <f>IF(C955="","",Commercial_Id)</f>
        <v/>
      </c>
      <c r="Q955" s="34">
        <f>IF(AC955="","",IF(AD955=1,"C"&amp;TEXT(SUM(AD$6:AD955),"0000"),INDEX(Q$6:Q954,MATCH(AC955,AC$6:AC954,0))))</f>
        <v/>
      </c>
      <c r="R955" s="34">
        <f>IF(C955="","",IF(L955="☑ Oui","Annulée",IF(OR(E955="Vente directe",K955&lt;&gt;""),"Livrée",IF(J955&lt;&gt;"","Confirmée","En attente"))))</f>
        <v/>
      </c>
      <c r="S955" s="34">
        <f>IF(F955="","",IFERROR(VLOOKUP(F955,T_Produits,2,FALSE),""))</f>
        <v/>
      </c>
      <c r="T955" s="40">
        <f>IF(F955="","",IFERROR(1/(1/VLOOKUP(F955,T_Produits,3,FALSE)),""))</f>
        <v/>
      </c>
      <c r="U955" s="40">
        <f>IF(H955&lt;&gt;"",H955,T955)</f>
        <v/>
      </c>
      <c r="V955" s="40">
        <f>IF(OR(G955="",U955=""),"",G955*U955-N(I955))</f>
        <v/>
      </c>
      <c r="W955" s="39">
        <f>IF(D955="","",IFERROR(VALUE(MID(D955,LEN(D955)-3,3)),""))</f>
        <v/>
      </c>
      <c r="X955" s="33">
        <f>IF(W955="","",P955&amp;"|"&amp;W955)</f>
        <v/>
      </c>
      <c r="Y955" s="33">
        <f>IF(W955="","",IF(P955="À RENSEIGNER","GIC",P955)&amp;"-"&amp;TEXT(W955,"000"))</f>
        <v/>
      </c>
      <c r="Z955" s="33">
        <f>IF(X955="","",IFERROR(INDEX(Cl_nom,MATCH(X955,Cl_cle,0)),"(client introuvable)"))</f>
        <v/>
      </c>
      <c r="AA955" s="33">
        <f>IF(X955="","",IFERROR(INDEX(Cl_quartier,MATCH(X955,Cl_cle,0))&amp;"",""))</f>
        <v/>
      </c>
      <c r="AB955" s="45">
        <f>IF(R955&lt;&gt;"Livrée",0,IF(K955&lt;&gt;"",K955,C955))</f>
        <v/>
      </c>
      <c r="AC955" s="33">
        <f>IF(OR(C955="",W955=""),"",P955&amp;"|"&amp;W955&amp;"|"&amp;C955&amp;"|"&amp;E955)</f>
        <v/>
      </c>
      <c r="AD955" s="39">
        <f>IF(AC955="","",IF(COUNTIF(AC$6:AC955,AC955)=1,1,0))</f>
        <v/>
      </c>
      <c r="AE955" s="39">
        <f>IF(AB955=0,"",IF(COUNTIFS(X$6:X955,X955,AB$6:AB955,AB955)=1,1,0))</f>
        <v/>
      </c>
      <c r="AF955" s="34">
        <f>IF(C955="","",YEAR(C955-WEEKDAY(C955,2)+4)&amp;"-S"&amp;TEXT(INT((C955-DATE(YEAR(C955-WEEKDAY(C955,2)+4),1,3)+WEEKDAY(DATE(YEAR(C955-WEEKDAY(C955,2)+4),1,3),2)+5)/7),"00"))</f>
        <v/>
      </c>
    </row>
    <row r="956" ht="18" customHeight="1">
      <c r="A956" s="39" t="n">
        <v>951</v>
      </c>
      <c r="B956" s="33">
        <f>IF(C956="","",IF(P956="À RENSEIGNER","GIC",P956)&amp;"-C"&amp;TEXT(A956,"00000"))</f>
        <v/>
      </c>
      <c r="C956" s="32" t="n"/>
      <c r="D956" s="36" t="n"/>
      <c r="E956" s="36" t="n"/>
      <c r="F956" s="36" t="n"/>
      <c r="G956" s="42" t="n"/>
      <c r="H956" s="37" t="n"/>
      <c r="I956" s="37" t="n"/>
      <c r="J956" s="32" t="n"/>
      <c r="K956" s="32" t="n"/>
      <c r="L956" s="43" t="n"/>
      <c r="M956" s="36" t="n"/>
      <c r="N956" s="44" t="n"/>
      <c r="O956" s="36" t="n"/>
      <c r="P956" s="33">
        <f>IF(C956="","",Commercial_Id)</f>
        <v/>
      </c>
      <c r="Q956" s="34">
        <f>IF(AC956="","",IF(AD956=1,"C"&amp;TEXT(SUM(AD$6:AD956),"0000"),INDEX(Q$6:Q955,MATCH(AC956,AC$6:AC955,0))))</f>
        <v/>
      </c>
      <c r="R956" s="34">
        <f>IF(C956="","",IF(L956="☑ Oui","Annulée",IF(OR(E956="Vente directe",K956&lt;&gt;""),"Livrée",IF(J956&lt;&gt;"","Confirmée","En attente"))))</f>
        <v/>
      </c>
      <c r="S956" s="34">
        <f>IF(F956="","",IFERROR(VLOOKUP(F956,T_Produits,2,FALSE),""))</f>
        <v/>
      </c>
      <c r="T956" s="40">
        <f>IF(F956="","",IFERROR(1/(1/VLOOKUP(F956,T_Produits,3,FALSE)),""))</f>
        <v/>
      </c>
      <c r="U956" s="40">
        <f>IF(H956&lt;&gt;"",H956,T956)</f>
        <v/>
      </c>
      <c r="V956" s="40">
        <f>IF(OR(G956="",U956=""),"",G956*U956-N(I956))</f>
        <v/>
      </c>
      <c r="W956" s="39">
        <f>IF(D956="","",IFERROR(VALUE(MID(D956,LEN(D956)-3,3)),""))</f>
        <v/>
      </c>
      <c r="X956" s="33">
        <f>IF(W956="","",P956&amp;"|"&amp;W956)</f>
        <v/>
      </c>
      <c r="Y956" s="33">
        <f>IF(W956="","",IF(P956="À RENSEIGNER","GIC",P956)&amp;"-"&amp;TEXT(W956,"000"))</f>
        <v/>
      </c>
      <c r="Z956" s="33">
        <f>IF(X956="","",IFERROR(INDEX(Cl_nom,MATCH(X956,Cl_cle,0)),"(client introuvable)"))</f>
        <v/>
      </c>
      <c r="AA956" s="33">
        <f>IF(X956="","",IFERROR(INDEX(Cl_quartier,MATCH(X956,Cl_cle,0))&amp;"",""))</f>
        <v/>
      </c>
      <c r="AB956" s="45">
        <f>IF(R956&lt;&gt;"Livrée",0,IF(K956&lt;&gt;"",K956,C956))</f>
        <v/>
      </c>
      <c r="AC956" s="33">
        <f>IF(OR(C956="",W956=""),"",P956&amp;"|"&amp;W956&amp;"|"&amp;C956&amp;"|"&amp;E956)</f>
        <v/>
      </c>
      <c r="AD956" s="39">
        <f>IF(AC956="","",IF(COUNTIF(AC$6:AC956,AC956)=1,1,0))</f>
        <v/>
      </c>
      <c r="AE956" s="39">
        <f>IF(AB956=0,"",IF(COUNTIFS(X$6:X956,X956,AB$6:AB956,AB956)=1,1,0))</f>
        <v/>
      </c>
      <c r="AF956" s="34">
        <f>IF(C956="","",YEAR(C956-WEEKDAY(C956,2)+4)&amp;"-S"&amp;TEXT(INT((C956-DATE(YEAR(C956-WEEKDAY(C956,2)+4),1,3)+WEEKDAY(DATE(YEAR(C956-WEEKDAY(C956,2)+4),1,3),2)+5)/7),"00"))</f>
        <v/>
      </c>
    </row>
    <row r="957" ht="18" customHeight="1">
      <c r="A957" s="39" t="n">
        <v>952</v>
      </c>
      <c r="B957" s="33">
        <f>IF(C957="","",IF(P957="À RENSEIGNER","GIC",P957)&amp;"-C"&amp;TEXT(A957,"00000"))</f>
        <v/>
      </c>
      <c r="C957" s="32" t="n"/>
      <c r="D957" s="36" t="n"/>
      <c r="E957" s="36" t="n"/>
      <c r="F957" s="36" t="n"/>
      <c r="G957" s="42" t="n"/>
      <c r="H957" s="37" t="n"/>
      <c r="I957" s="37" t="n"/>
      <c r="J957" s="32" t="n"/>
      <c r="K957" s="32" t="n"/>
      <c r="L957" s="43" t="n"/>
      <c r="M957" s="36" t="n"/>
      <c r="N957" s="44" t="n"/>
      <c r="O957" s="36" t="n"/>
      <c r="P957" s="33">
        <f>IF(C957="","",Commercial_Id)</f>
        <v/>
      </c>
      <c r="Q957" s="34">
        <f>IF(AC957="","",IF(AD957=1,"C"&amp;TEXT(SUM(AD$6:AD957),"0000"),INDEX(Q$6:Q956,MATCH(AC957,AC$6:AC956,0))))</f>
        <v/>
      </c>
      <c r="R957" s="34">
        <f>IF(C957="","",IF(L957="☑ Oui","Annulée",IF(OR(E957="Vente directe",K957&lt;&gt;""),"Livrée",IF(J957&lt;&gt;"","Confirmée","En attente"))))</f>
        <v/>
      </c>
      <c r="S957" s="34">
        <f>IF(F957="","",IFERROR(VLOOKUP(F957,T_Produits,2,FALSE),""))</f>
        <v/>
      </c>
      <c r="T957" s="40">
        <f>IF(F957="","",IFERROR(1/(1/VLOOKUP(F957,T_Produits,3,FALSE)),""))</f>
        <v/>
      </c>
      <c r="U957" s="40">
        <f>IF(H957&lt;&gt;"",H957,T957)</f>
        <v/>
      </c>
      <c r="V957" s="40">
        <f>IF(OR(G957="",U957=""),"",G957*U957-N(I957))</f>
        <v/>
      </c>
      <c r="W957" s="39">
        <f>IF(D957="","",IFERROR(VALUE(MID(D957,LEN(D957)-3,3)),""))</f>
        <v/>
      </c>
      <c r="X957" s="33">
        <f>IF(W957="","",P957&amp;"|"&amp;W957)</f>
        <v/>
      </c>
      <c r="Y957" s="33">
        <f>IF(W957="","",IF(P957="À RENSEIGNER","GIC",P957)&amp;"-"&amp;TEXT(W957,"000"))</f>
        <v/>
      </c>
      <c r="Z957" s="33">
        <f>IF(X957="","",IFERROR(INDEX(Cl_nom,MATCH(X957,Cl_cle,0)),"(client introuvable)"))</f>
        <v/>
      </c>
      <c r="AA957" s="33">
        <f>IF(X957="","",IFERROR(INDEX(Cl_quartier,MATCH(X957,Cl_cle,0))&amp;"",""))</f>
        <v/>
      </c>
      <c r="AB957" s="45">
        <f>IF(R957&lt;&gt;"Livrée",0,IF(K957&lt;&gt;"",K957,C957))</f>
        <v/>
      </c>
      <c r="AC957" s="33">
        <f>IF(OR(C957="",W957=""),"",P957&amp;"|"&amp;W957&amp;"|"&amp;C957&amp;"|"&amp;E957)</f>
        <v/>
      </c>
      <c r="AD957" s="39">
        <f>IF(AC957="","",IF(COUNTIF(AC$6:AC957,AC957)=1,1,0))</f>
        <v/>
      </c>
      <c r="AE957" s="39">
        <f>IF(AB957=0,"",IF(COUNTIFS(X$6:X957,X957,AB$6:AB957,AB957)=1,1,0))</f>
        <v/>
      </c>
      <c r="AF957" s="34">
        <f>IF(C957="","",YEAR(C957-WEEKDAY(C957,2)+4)&amp;"-S"&amp;TEXT(INT((C957-DATE(YEAR(C957-WEEKDAY(C957,2)+4),1,3)+WEEKDAY(DATE(YEAR(C957-WEEKDAY(C957,2)+4),1,3),2)+5)/7),"00"))</f>
        <v/>
      </c>
    </row>
    <row r="958" ht="18" customHeight="1">
      <c r="A958" s="39" t="n">
        <v>953</v>
      </c>
      <c r="B958" s="33">
        <f>IF(C958="","",IF(P958="À RENSEIGNER","GIC",P958)&amp;"-C"&amp;TEXT(A958,"00000"))</f>
        <v/>
      </c>
      <c r="C958" s="32" t="n"/>
      <c r="D958" s="36" t="n"/>
      <c r="E958" s="36" t="n"/>
      <c r="F958" s="36" t="n"/>
      <c r="G958" s="42" t="n"/>
      <c r="H958" s="37" t="n"/>
      <c r="I958" s="37" t="n"/>
      <c r="J958" s="32" t="n"/>
      <c r="K958" s="32" t="n"/>
      <c r="L958" s="43" t="n"/>
      <c r="M958" s="36" t="n"/>
      <c r="N958" s="44" t="n"/>
      <c r="O958" s="36" t="n"/>
      <c r="P958" s="33">
        <f>IF(C958="","",Commercial_Id)</f>
        <v/>
      </c>
      <c r="Q958" s="34">
        <f>IF(AC958="","",IF(AD958=1,"C"&amp;TEXT(SUM(AD$6:AD958),"0000"),INDEX(Q$6:Q957,MATCH(AC958,AC$6:AC957,0))))</f>
        <v/>
      </c>
      <c r="R958" s="34">
        <f>IF(C958="","",IF(L958="☑ Oui","Annulée",IF(OR(E958="Vente directe",K958&lt;&gt;""),"Livrée",IF(J958&lt;&gt;"","Confirmée","En attente"))))</f>
        <v/>
      </c>
      <c r="S958" s="34">
        <f>IF(F958="","",IFERROR(VLOOKUP(F958,T_Produits,2,FALSE),""))</f>
        <v/>
      </c>
      <c r="T958" s="40">
        <f>IF(F958="","",IFERROR(1/(1/VLOOKUP(F958,T_Produits,3,FALSE)),""))</f>
        <v/>
      </c>
      <c r="U958" s="40">
        <f>IF(H958&lt;&gt;"",H958,T958)</f>
        <v/>
      </c>
      <c r="V958" s="40">
        <f>IF(OR(G958="",U958=""),"",G958*U958-N(I958))</f>
        <v/>
      </c>
      <c r="W958" s="39">
        <f>IF(D958="","",IFERROR(VALUE(MID(D958,LEN(D958)-3,3)),""))</f>
        <v/>
      </c>
      <c r="X958" s="33">
        <f>IF(W958="","",P958&amp;"|"&amp;W958)</f>
        <v/>
      </c>
      <c r="Y958" s="33">
        <f>IF(W958="","",IF(P958="À RENSEIGNER","GIC",P958)&amp;"-"&amp;TEXT(W958,"000"))</f>
        <v/>
      </c>
      <c r="Z958" s="33">
        <f>IF(X958="","",IFERROR(INDEX(Cl_nom,MATCH(X958,Cl_cle,0)),"(client introuvable)"))</f>
        <v/>
      </c>
      <c r="AA958" s="33">
        <f>IF(X958="","",IFERROR(INDEX(Cl_quartier,MATCH(X958,Cl_cle,0))&amp;"",""))</f>
        <v/>
      </c>
      <c r="AB958" s="45">
        <f>IF(R958&lt;&gt;"Livrée",0,IF(K958&lt;&gt;"",K958,C958))</f>
        <v/>
      </c>
      <c r="AC958" s="33">
        <f>IF(OR(C958="",W958=""),"",P958&amp;"|"&amp;W958&amp;"|"&amp;C958&amp;"|"&amp;E958)</f>
        <v/>
      </c>
      <c r="AD958" s="39">
        <f>IF(AC958="","",IF(COUNTIF(AC$6:AC958,AC958)=1,1,0))</f>
        <v/>
      </c>
      <c r="AE958" s="39">
        <f>IF(AB958=0,"",IF(COUNTIFS(X$6:X958,X958,AB$6:AB958,AB958)=1,1,0))</f>
        <v/>
      </c>
      <c r="AF958" s="34">
        <f>IF(C958="","",YEAR(C958-WEEKDAY(C958,2)+4)&amp;"-S"&amp;TEXT(INT((C958-DATE(YEAR(C958-WEEKDAY(C958,2)+4),1,3)+WEEKDAY(DATE(YEAR(C958-WEEKDAY(C958,2)+4),1,3),2)+5)/7),"00"))</f>
        <v/>
      </c>
    </row>
    <row r="959" ht="18" customHeight="1">
      <c r="A959" s="39" t="n">
        <v>954</v>
      </c>
      <c r="B959" s="33">
        <f>IF(C959="","",IF(P959="À RENSEIGNER","GIC",P959)&amp;"-C"&amp;TEXT(A959,"00000"))</f>
        <v/>
      </c>
      <c r="C959" s="32" t="n"/>
      <c r="D959" s="36" t="n"/>
      <c r="E959" s="36" t="n"/>
      <c r="F959" s="36" t="n"/>
      <c r="G959" s="42" t="n"/>
      <c r="H959" s="37" t="n"/>
      <c r="I959" s="37" t="n"/>
      <c r="J959" s="32" t="n"/>
      <c r="K959" s="32" t="n"/>
      <c r="L959" s="43" t="n"/>
      <c r="M959" s="36" t="n"/>
      <c r="N959" s="44" t="n"/>
      <c r="O959" s="36" t="n"/>
      <c r="P959" s="33">
        <f>IF(C959="","",Commercial_Id)</f>
        <v/>
      </c>
      <c r="Q959" s="34">
        <f>IF(AC959="","",IF(AD959=1,"C"&amp;TEXT(SUM(AD$6:AD959),"0000"),INDEX(Q$6:Q958,MATCH(AC959,AC$6:AC958,0))))</f>
        <v/>
      </c>
      <c r="R959" s="34">
        <f>IF(C959="","",IF(L959="☑ Oui","Annulée",IF(OR(E959="Vente directe",K959&lt;&gt;""),"Livrée",IF(J959&lt;&gt;"","Confirmée","En attente"))))</f>
        <v/>
      </c>
      <c r="S959" s="34">
        <f>IF(F959="","",IFERROR(VLOOKUP(F959,T_Produits,2,FALSE),""))</f>
        <v/>
      </c>
      <c r="T959" s="40">
        <f>IF(F959="","",IFERROR(1/(1/VLOOKUP(F959,T_Produits,3,FALSE)),""))</f>
        <v/>
      </c>
      <c r="U959" s="40">
        <f>IF(H959&lt;&gt;"",H959,T959)</f>
        <v/>
      </c>
      <c r="V959" s="40">
        <f>IF(OR(G959="",U959=""),"",G959*U959-N(I959))</f>
        <v/>
      </c>
      <c r="W959" s="39">
        <f>IF(D959="","",IFERROR(VALUE(MID(D959,LEN(D959)-3,3)),""))</f>
        <v/>
      </c>
      <c r="X959" s="33">
        <f>IF(W959="","",P959&amp;"|"&amp;W959)</f>
        <v/>
      </c>
      <c r="Y959" s="33">
        <f>IF(W959="","",IF(P959="À RENSEIGNER","GIC",P959)&amp;"-"&amp;TEXT(W959,"000"))</f>
        <v/>
      </c>
      <c r="Z959" s="33">
        <f>IF(X959="","",IFERROR(INDEX(Cl_nom,MATCH(X959,Cl_cle,0)),"(client introuvable)"))</f>
        <v/>
      </c>
      <c r="AA959" s="33">
        <f>IF(X959="","",IFERROR(INDEX(Cl_quartier,MATCH(X959,Cl_cle,0))&amp;"",""))</f>
        <v/>
      </c>
      <c r="AB959" s="45">
        <f>IF(R959&lt;&gt;"Livrée",0,IF(K959&lt;&gt;"",K959,C959))</f>
        <v/>
      </c>
      <c r="AC959" s="33">
        <f>IF(OR(C959="",W959=""),"",P959&amp;"|"&amp;W959&amp;"|"&amp;C959&amp;"|"&amp;E959)</f>
        <v/>
      </c>
      <c r="AD959" s="39">
        <f>IF(AC959="","",IF(COUNTIF(AC$6:AC959,AC959)=1,1,0))</f>
        <v/>
      </c>
      <c r="AE959" s="39">
        <f>IF(AB959=0,"",IF(COUNTIFS(X$6:X959,X959,AB$6:AB959,AB959)=1,1,0))</f>
        <v/>
      </c>
      <c r="AF959" s="34">
        <f>IF(C959="","",YEAR(C959-WEEKDAY(C959,2)+4)&amp;"-S"&amp;TEXT(INT((C959-DATE(YEAR(C959-WEEKDAY(C959,2)+4),1,3)+WEEKDAY(DATE(YEAR(C959-WEEKDAY(C959,2)+4),1,3),2)+5)/7),"00"))</f>
        <v/>
      </c>
    </row>
    <row r="960" ht="18" customHeight="1">
      <c r="A960" s="39" t="n">
        <v>955</v>
      </c>
      <c r="B960" s="33">
        <f>IF(C960="","",IF(P960="À RENSEIGNER","GIC",P960)&amp;"-C"&amp;TEXT(A960,"00000"))</f>
        <v/>
      </c>
      <c r="C960" s="32" t="n"/>
      <c r="D960" s="36" t="n"/>
      <c r="E960" s="36" t="n"/>
      <c r="F960" s="36" t="n"/>
      <c r="G960" s="42" t="n"/>
      <c r="H960" s="37" t="n"/>
      <c r="I960" s="37" t="n"/>
      <c r="J960" s="32" t="n"/>
      <c r="K960" s="32" t="n"/>
      <c r="L960" s="43" t="n"/>
      <c r="M960" s="36" t="n"/>
      <c r="N960" s="44" t="n"/>
      <c r="O960" s="36" t="n"/>
      <c r="P960" s="33">
        <f>IF(C960="","",Commercial_Id)</f>
        <v/>
      </c>
      <c r="Q960" s="34">
        <f>IF(AC960="","",IF(AD960=1,"C"&amp;TEXT(SUM(AD$6:AD960),"0000"),INDEX(Q$6:Q959,MATCH(AC960,AC$6:AC959,0))))</f>
        <v/>
      </c>
      <c r="R960" s="34">
        <f>IF(C960="","",IF(L960="☑ Oui","Annulée",IF(OR(E960="Vente directe",K960&lt;&gt;""),"Livrée",IF(J960&lt;&gt;"","Confirmée","En attente"))))</f>
        <v/>
      </c>
      <c r="S960" s="34">
        <f>IF(F960="","",IFERROR(VLOOKUP(F960,T_Produits,2,FALSE),""))</f>
        <v/>
      </c>
      <c r="T960" s="40">
        <f>IF(F960="","",IFERROR(1/(1/VLOOKUP(F960,T_Produits,3,FALSE)),""))</f>
        <v/>
      </c>
      <c r="U960" s="40">
        <f>IF(H960&lt;&gt;"",H960,T960)</f>
        <v/>
      </c>
      <c r="V960" s="40">
        <f>IF(OR(G960="",U960=""),"",G960*U960-N(I960))</f>
        <v/>
      </c>
      <c r="W960" s="39">
        <f>IF(D960="","",IFERROR(VALUE(MID(D960,LEN(D960)-3,3)),""))</f>
        <v/>
      </c>
      <c r="X960" s="33">
        <f>IF(W960="","",P960&amp;"|"&amp;W960)</f>
        <v/>
      </c>
      <c r="Y960" s="33">
        <f>IF(W960="","",IF(P960="À RENSEIGNER","GIC",P960)&amp;"-"&amp;TEXT(W960,"000"))</f>
        <v/>
      </c>
      <c r="Z960" s="33">
        <f>IF(X960="","",IFERROR(INDEX(Cl_nom,MATCH(X960,Cl_cle,0)),"(client introuvable)"))</f>
        <v/>
      </c>
      <c r="AA960" s="33">
        <f>IF(X960="","",IFERROR(INDEX(Cl_quartier,MATCH(X960,Cl_cle,0))&amp;"",""))</f>
        <v/>
      </c>
      <c r="AB960" s="45">
        <f>IF(R960&lt;&gt;"Livrée",0,IF(K960&lt;&gt;"",K960,C960))</f>
        <v/>
      </c>
      <c r="AC960" s="33">
        <f>IF(OR(C960="",W960=""),"",P960&amp;"|"&amp;W960&amp;"|"&amp;C960&amp;"|"&amp;E960)</f>
        <v/>
      </c>
      <c r="AD960" s="39">
        <f>IF(AC960="","",IF(COUNTIF(AC$6:AC960,AC960)=1,1,0))</f>
        <v/>
      </c>
      <c r="AE960" s="39">
        <f>IF(AB960=0,"",IF(COUNTIFS(X$6:X960,X960,AB$6:AB960,AB960)=1,1,0))</f>
        <v/>
      </c>
      <c r="AF960" s="34">
        <f>IF(C960="","",YEAR(C960-WEEKDAY(C960,2)+4)&amp;"-S"&amp;TEXT(INT((C960-DATE(YEAR(C960-WEEKDAY(C960,2)+4),1,3)+WEEKDAY(DATE(YEAR(C960-WEEKDAY(C960,2)+4),1,3),2)+5)/7),"00"))</f>
        <v/>
      </c>
    </row>
    <row r="961" ht="18" customHeight="1">
      <c r="A961" s="39" t="n">
        <v>956</v>
      </c>
      <c r="B961" s="33">
        <f>IF(C961="","",IF(P961="À RENSEIGNER","GIC",P961)&amp;"-C"&amp;TEXT(A961,"00000"))</f>
        <v/>
      </c>
      <c r="C961" s="32" t="n"/>
      <c r="D961" s="36" t="n"/>
      <c r="E961" s="36" t="n"/>
      <c r="F961" s="36" t="n"/>
      <c r="G961" s="42" t="n"/>
      <c r="H961" s="37" t="n"/>
      <c r="I961" s="37" t="n"/>
      <c r="J961" s="32" t="n"/>
      <c r="K961" s="32" t="n"/>
      <c r="L961" s="43" t="n"/>
      <c r="M961" s="36" t="n"/>
      <c r="N961" s="44" t="n"/>
      <c r="O961" s="36" t="n"/>
      <c r="P961" s="33">
        <f>IF(C961="","",Commercial_Id)</f>
        <v/>
      </c>
      <c r="Q961" s="34">
        <f>IF(AC961="","",IF(AD961=1,"C"&amp;TEXT(SUM(AD$6:AD961),"0000"),INDEX(Q$6:Q960,MATCH(AC961,AC$6:AC960,0))))</f>
        <v/>
      </c>
      <c r="R961" s="34">
        <f>IF(C961="","",IF(L961="☑ Oui","Annulée",IF(OR(E961="Vente directe",K961&lt;&gt;""),"Livrée",IF(J961&lt;&gt;"","Confirmée","En attente"))))</f>
        <v/>
      </c>
      <c r="S961" s="34">
        <f>IF(F961="","",IFERROR(VLOOKUP(F961,T_Produits,2,FALSE),""))</f>
        <v/>
      </c>
      <c r="T961" s="40">
        <f>IF(F961="","",IFERROR(1/(1/VLOOKUP(F961,T_Produits,3,FALSE)),""))</f>
        <v/>
      </c>
      <c r="U961" s="40">
        <f>IF(H961&lt;&gt;"",H961,T961)</f>
        <v/>
      </c>
      <c r="V961" s="40">
        <f>IF(OR(G961="",U961=""),"",G961*U961-N(I961))</f>
        <v/>
      </c>
      <c r="W961" s="39">
        <f>IF(D961="","",IFERROR(VALUE(MID(D961,LEN(D961)-3,3)),""))</f>
        <v/>
      </c>
      <c r="X961" s="33">
        <f>IF(W961="","",P961&amp;"|"&amp;W961)</f>
        <v/>
      </c>
      <c r="Y961" s="33">
        <f>IF(W961="","",IF(P961="À RENSEIGNER","GIC",P961)&amp;"-"&amp;TEXT(W961,"000"))</f>
        <v/>
      </c>
      <c r="Z961" s="33">
        <f>IF(X961="","",IFERROR(INDEX(Cl_nom,MATCH(X961,Cl_cle,0)),"(client introuvable)"))</f>
        <v/>
      </c>
      <c r="AA961" s="33">
        <f>IF(X961="","",IFERROR(INDEX(Cl_quartier,MATCH(X961,Cl_cle,0))&amp;"",""))</f>
        <v/>
      </c>
      <c r="AB961" s="45">
        <f>IF(R961&lt;&gt;"Livrée",0,IF(K961&lt;&gt;"",K961,C961))</f>
        <v/>
      </c>
      <c r="AC961" s="33">
        <f>IF(OR(C961="",W961=""),"",P961&amp;"|"&amp;W961&amp;"|"&amp;C961&amp;"|"&amp;E961)</f>
        <v/>
      </c>
      <c r="AD961" s="39">
        <f>IF(AC961="","",IF(COUNTIF(AC$6:AC961,AC961)=1,1,0))</f>
        <v/>
      </c>
      <c r="AE961" s="39">
        <f>IF(AB961=0,"",IF(COUNTIFS(X$6:X961,X961,AB$6:AB961,AB961)=1,1,0))</f>
        <v/>
      </c>
      <c r="AF961" s="34">
        <f>IF(C961="","",YEAR(C961-WEEKDAY(C961,2)+4)&amp;"-S"&amp;TEXT(INT((C961-DATE(YEAR(C961-WEEKDAY(C961,2)+4),1,3)+WEEKDAY(DATE(YEAR(C961-WEEKDAY(C961,2)+4),1,3),2)+5)/7),"00"))</f>
        <v/>
      </c>
    </row>
    <row r="962" ht="18" customHeight="1">
      <c r="A962" s="39" t="n">
        <v>957</v>
      </c>
      <c r="B962" s="33">
        <f>IF(C962="","",IF(P962="À RENSEIGNER","GIC",P962)&amp;"-C"&amp;TEXT(A962,"00000"))</f>
        <v/>
      </c>
      <c r="C962" s="32" t="n"/>
      <c r="D962" s="36" t="n"/>
      <c r="E962" s="36" t="n"/>
      <c r="F962" s="36" t="n"/>
      <c r="G962" s="42" t="n"/>
      <c r="H962" s="37" t="n"/>
      <c r="I962" s="37" t="n"/>
      <c r="J962" s="32" t="n"/>
      <c r="K962" s="32" t="n"/>
      <c r="L962" s="43" t="n"/>
      <c r="M962" s="36" t="n"/>
      <c r="N962" s="44" t="n"/>
      <c r="O962" s="36" t="n"/>
      <c r="P962" s="33">
        <f>IF(C962="","",Commercial_Id)</f>
        <v/>
      </c>
      <c r="Q962" s="34">
        <f>IF(AC962="","",IF(AD962=1,"C"&amp;TEXT(SUM(AD$6:AD962),"0000"),INDEX(Q$6:Q961,MATCH(AC962,AC$6:AC961,0))))</f>
        <v/>
      </c>
      <c r="R962" s="34">
        <f>IF(C962="","",IF(L962="☑ Oui","Annulée",IF(OR(E962="Vente directe",K962&lt;&gt;""),"Livrée",IF(J962&lt;&gt;"","Confirmée","En attente"))))</f>
        <v/>
      </c>
      <c r="S962" s="34">
        <f>IF(F962="","",IFERROR(VLOOKUP(F962,T_Produits,2,FALSE),""))</f>
        <v/>
      </c>
      <c r="T962" s="40">
        <f>IF(F962="","",IFERROR(1/(1/VLOOKUP(F962,T_Produits,3,FALSE)),""))</f>
        <v/>
      </c>
      <c r="U962" s="40">
        <f>IF(H962&lt;&gt;"",H962,T962)</f>
        <v/>
      </c>
      <c r="V962" s="40">
        <f>IF(OR(G962="",U962=""),"",G962*U962-N(I962))</f>
        <v/>
      </c>
      <c r="W962" s="39">
        <f>IF(D962="","",IFERROR(VALUE(MID(D962,LEN(D962)-3,3)),""))</f>
        <v/>
      </c>
      <c r="X962" s="33">
        <f>IF(W962="","",P962&amp;"|"&amp;W962)</f>
        <v/>
      </c>
      <c r="Y962" s="33">
        <f>IF(W962="","",IF(P962="À RENSEIGNER","GIC",P962)&amp;"-"&amp;TEXT(W962,"000"))</f>
        <v/>
      </c>
      <c r="Z962" s="33">
        <f>IF(X962="","",IFERROR(INDEX(Cl_nom,MATCH(X962,Cl_cle,0)),"(client introuvable)"))</f>
        <v/>
      </c>
      <c r="AA962" s="33">
        <f>IF(X962="","",IFERROR(INDEX(Cl_quartier,MATCH(X962,Cl_cle,0))&amp;"",""))</f>
        <v/>
      </c>
      <c r="AB962" s="45">
        <f>IF(R962&lt;&gt;"Livrée",0,IF(K962&lt;&gt;"",K962,C962))</f>
        <v/>
      </c>
      <c r="AC962" s="33">
        <f>IF(OR(C962="",W962=""),"",P962&amp;"|"&amp;W962&amp;"|"&amp;C962&amp;"|"&amp;E962)</f>
        <v/>
      </c>
      <c r="AD962" s="39">
        <f>IF(AC962="","",IF(COUNTIF(AC$6:AC962,AC962)=1,1,0))</f>
        <v/>
      </c>
      <c r="AE962" s="39">
        <f>IF(AB962=0,"",IF(COUNTIFS(X$6:X962,X962,AB$6:AB962,AB962)=1,1,0))</f>
        <v/>
      </c>
      <c r="AF962" s="34">
        <f>IF(C962="","",YEAR(C962-WEEKDAY(C962,2)+4)&amp;"-S"&amp;TEXT(INT((C962-DATE(YEAR(C962-WEEKDAY(C962,2)+4),1,3)+WEEKDAY(DATE(YEAR(C962-WEEKDAY(C962,2)+4),1,3),2)+5)/7),"00"))</f>
        <v/>
      </c>
    </row>
    <row r="963" ht="18" customHeight="1">
      <c r="A963" s="39" t="n">
        <v>958</v>
      </c>
      <c r="B963" s="33">
        <f>IF(C963="","",IF(P963="À RENSEIGNER","GIC",P963)&amp;"-C"&amp;TEXT(A963,"00000"))</f>
        <v/>
      </c>
      <c r="C963" s="32" t="n"/>
      <c r="D963" s="36" t="n"/>
      <c r="E963" s="36" t="n"/>
      <c r="F963" s="36" t="n"/>
      <c r="G963" s="42" t="n"/>
      <c r="H963" s="37" t="n"/>
      <c r="I963" s="37" t="n"/>
      <c r="J963" s="32" t="n"/>
      <c r="K963" s="32" t="n"/>
      <c r="L963" s="43" t="n"/>
      <c r="M963" s="36" t="n"/>
      <c r="N963" s="44" t="n"/>
      <c r="O963" s="36" t="n"/>
      <c r="P963" s="33">
        <f>IF(C963="","",Commercial_Id)</f>
        <v/>
      </c>
      <c r="Q963" s="34">
        <f>IF(AC963="","",IF(AD963=1,"C"&amp;TEXT(SUM(AD$6:AD963),"0000"),INDEX(Q$6:Q962,MATCH(AC963,AC$6:AC962,0))))</f>
        <v/>
      </c>
      <c r="R963" s="34">
        <f>IF(C963="","",IF(L963="☑ Oui","Annulée",IF(OR(E963="Vente directe",K963&lt;&gt;""),"Livrée",IF(J963&lt;&gt;"","Confirmée","En attente"))))</f>
        <v/>
      </c>
      <c r="S963" s="34">
        <f>IF(F963="","",IFERROR(VLOOKUP(F963,T_Produits,2,FALSE),""))</f>
        <v/>
      </c>
      <c r="T963" s="40">
        <f>IF(F963="","",IFERROR(1/(1/VLOOKUP(F963,T_Produits,3,FALSE)),""))</f>
        <v/>
      </c>
      <c r="U963" s="40">
        <f>IF(H963&lt;&gt;"",H963,T963)</f>
        <v/>
      </c>
      <c r="V963" s="40">
        <f>IF(OR(G963="",U963=""),"",G963*U963-N(I963))</f>
        <v/>
      </c>
      <c r="W963" s="39">
        <f>IF(D963="","",IFERROR(VALUE(MID(D963,LEN(D963)-3,3)),""))</f>
        <v/>
      </c>
      <c r="X963" s="33">
        <f>IF(W963="","",P963&amp;"|"&amp;W963)</f>
        <v/>
      </c>
      <c r="Y963" s="33">
        <f>IF(W963="","",IF(P963="À RENSEIGNER","GIC",P963)&amp;"-"&amp;TEXT(W963,"000"))</f>
        <v/>
      </c>
      <c r="Z963" s="33">
        <f>IF(X963="","",IFERROR(INDEX(Cl_nom,MATCH(X963,Cl_cle,0)),"(client introuvable)"))</f>
        <v/>
      </c>
      <c r="AA963" s="33">
        <f>IF(X963="","",IFERROR(INDEX(Cl_quartier,MATCH(X963,Cl_cle,0))&amp;"",""))</f>
        <v/>
      </c>
      <c r="AB963" s="45">
        <f>IF(R963&lt;&gt;"Livrée",0,IF(K963&lt;&gt;"",K963,C963))</f>
        <v/>
      </c>
      <c r="AC963" s="33">
        <f>IF(OR(C963="",W963=""),"",P963&amp;"|"&amp;W963&amp;"|"&amp;C963&amp;"|"&amp;E963)</f>
        <v/>
      </c>
      <c r="AD963" s="39">
        <f>IF(AC963="","",IF(COUNTIF(AC$6:AC963,AC963)=1,1,0))</f>
        <v/>
      </c>
      <c r="AE963" s="39">
        <f>IF(AB963=0,"",IF(COUNTIFS(X$6:X963,X963,AB$6:AB963,AB963)=1,1,0))</f>
        <v/>
      </c>
      <c r="AF963" s="34">
        <f>IF(C963="","",YEAR(C963-WEEKDAY(C963,2)+4)&amp;"-S"&amp;TEXT(INT((C963-DATE(YEAR(C963-WEEKDAY(C963,2)+4),1,3)+WEEKDAY(DATE(YEAR(C963-WEEKDAY(C963,2)+4),1,3),2)+5)/7),"00"))</f>
        <v/>
      </c>
    </row>
    <row r="964" ht="18" customHeight="1">
      <c r="A964" s="39" t="n">
        <v>959</v>
      </c>
      <c r="B964" s="33">
        <f>IF(C964="","",IF(P964="À RENSEIGNER","GIC",P964)&amp;"-C"&amp;TEXT(A964,"00000"))</f>
        <v/>
      </c>
      <c r="C964" s="32" t="n"/>
      <c r="D964" s="36" t="n"/>
      <c r="E964" s="36" t="n"/>
      <c r="F964" s="36" t="n"/>
      <c r="G964" s="42" t="n"/>
      <c r="H964" s="37" t="n"/>
      <c r="I964" s="37" t="n"/>
      <c r="J964" s="32" t="n"/>
      <c r="K964" s="32" t="n"/>
      <c r="L964" s="43" t="n"/>
      <c r="M964" s="36" t="n"/>
      <c r="N964" s="44" t="n"/>
      <c r="O964" s="36" t="n"/>
      <c r="P964" s="33">
        <f>IF(C964="","",Commercial_Id)</f>
        <v/>
      </c>
      <c r="Q964" s="34">
        <f>IF(AC964="","",IF(AD964=1,"C"&amp;TEXT(SUM(AD$6:AD964),"0000"),INDEX(Q$6:Q963,MATCH(AC964,AC$6:AC963,0))))</f>
        <v/>
      </c>
      <c r="R964" s="34">
        <f>IF(C964="","",IF(L964="☑ Oui","Annulée",IF(OR(E964="Vente directe",K964&lt;&gt;""),"Livrée",IF(J964&lt;&gt;"","Confirmée","En attente"))))</f>
        <v/>
      </c>
      <c r="S964" s="34">
        <f>IF(F964="","",IFERROR(VLOOKUP(F964,T_Produits,2,FALSE),""))</f>
        <v/>
      </c>
      <c r="T964" s="40">
        <f>IF(F964="","",IFERROR(1/(1/VLOOKUP(F964,T_Produits,3,FALSE)),""))</f>
        <v/>
      </c>
      <c r="U964" s="40">
        <f>IF(H964&lt;&gt;"",H964,T964)</f>
        <v/>
      </c>
      <c r="V964" s="40">
        <f>IF(OR(G964="",U964=""),"",G964*U964-N(I964))</f>
        <v/>
      </c>
      <c r="W964" s="39">
        <f>IF(D964="","",IFERROR(VALUE(MID(D964,LEN(D964)-3,3)),""))</f>
        <v/>
      </c>
      <c r="X964" s="33">
        <f>IF(W964="","",P964&amp;"|"&amp;W964)</f>
        <v/>
      </c>
      <c r="Y964" s="33">
        <f>IF(W964="","",IF(P964="À RENSEIGNER","GIC",P964)&amp;"-"&amp;TEXT(W964,"000"))</f>
        <v/>
      </c>
      <c r="Z964" s="33">
        <f>IF(X964="","",IFERROR(INDEX(Cl_nom,MATCH(X964,Cl_cle,0)),"(client introuvable)"))</f>
        <v/>
      </c>
      <c r="AA964" s="33">
        <f>IF(X964="","",IFERROR(INDEX(Cl_quartier,MATCH(X964,Cl_cle,0))&amp;"",""))</f>
        <v/>
      </c>
      <c r="AB964" s="45">
        <f>IF(R964&lt;&gt;"Livrée",0,IF(K964&lt;&gt;"",K964,C964))</f>
        <v/>
      </c>
      <c r="AC964" s="33">
        <f>IF(OR(C964="",W964=""),"",P964&amp;"|"&amp;W964&amp;"|"&amp;C964&amp;"|"&amp;E964)</f>
        <v/>
      </c>
      <c r="AD964" s="39">
        <f>IF(AC964="","",IF(COUNTIF(AC$6:AC964,AC964)=1,1,0))</f>
        <v/>
      </c>
      <c r="AE964" s="39">
        <f>IF(AB964=0,"",IF(COUNTIFS(X$6:X964,X964,AB$6:AB964,AB964)=1,1,0))</f>
        <v/>
      </c>
      <c r="AF964" s="34">
        <f>IF(C964="","",YEAR(C964-WEEKDAY(C964,2)+4)&amp;"-S"&amp;TEXT(INT((C964-DATE(YEAR(C964-WEEKDAY(C964,2)+4),1,3)+WEEKDAY(DATE(YEAR(C964-WEEKDAY(C964,2)+4),1,3),2)+5)/7),"00"))</f>
        <v/>
      </c>
    </row>
    <row r="965" ht="18" customHeight="1">
      <c r="A965" s="39" t="n">
        <v>960</v>
      </c>
      <c r="B965" s="33">
        <f>IF(C965="","",IF(P965="À RENSEIGNER","GIC",P965)&amp;"-C"&amp;TEXT(A965,"00000"))</f>
        <v/>
      </c>
      <c r="C965" s="32" t="n"/>
      <c r="D965" s="36" t="n"/>
      <c r="E965" s="36" t="n"/>
      <c r="F965" s="36" t="n"/>
      <c r="G965" s="42" t="n"/>
      <c r="H965" s="37" t="n"/>
      <c r="I965" s="37" t="n"/>
      <c r="J965" s="32" t="n"/>
      <c r="K965" s="32" t="n"/>
      <c r="L965" s="43" t="n"/>
      <c r="M965" s="36" t="n"/>
      <c r="N965" s="44" t="n"/>
      <c r="O965" s="36" t="n"/>
      <c r="P965" s="33">
        <f>IF(C965="","",Commercial_Id)</f>
        <v/>
      </c>
      <c r="Q965" s="34">
        <f>IF(AC965="","",IF(AD965=1,"C"&amp;TEXT(SUM(AD$6:AD965),"0000"),INDEX(Q$6:Q964,MATCH(AC965,AC$6:AC964,0))))</f>
        <v/>
      </c>
      <c r="R965" s="34">
        <f>IF(C965="","",IF(L965="☑ Oui","Annulée",IF(OR(E965="Vente directe",K965&lt;&gt;""),"Livrée",IF(J965&lt;&gt;"","Confirmée","En attente"))))</f>
        <v/>
      </c>
      <c r="S965" s="34">
        <f>IF(F965="","",IFERROR(VLOOKUP(F965,T_Produits,2,FALSE),""))</f>
        <v/>
      </c>
      <c r="T965" s="40">
        <f>IF(F965="","",IFERROR(1/(1/VLOOKUP(F965,T_Produits,3,FALSE)),""))</f>
        <v/>
      </c>
      <c r="U965" s="40">
        <f>IF(H965&lt;&gt;"",H965,T965)</f>
        <v/>
      </c>
      <c r="V965" s="40">
        <f>IF(OR(G965="",U965=""),"",G965*U965-N(I965))</f>
        <v/>
      </c>
      <c r="W965" s="39">
        <f>IF(D965="","",IFERROR(VALUE(MID(D965,LEN(D965)-3,3)),""))</f>
        <v/>
      </c>
      <c r="X965" s="33">
        <f>IF(W965="","",P965&amp;"|"&amp;W965)</f>
        <v/>
      </c>
      <c r="Y965" s="33">
        <f>IF(W965="","",IF(P965="À RENSEIGNER","GIC",P965)&amp;"-"&amp;TEXT(W965,"000"))</f>
        <v/>
      </c>
      <c r="Z965" s="33">
        <f>IF(X965="","",IFERROR(INDEX(Cl_nom,MATCH(X965,Cl_cle,0)),"(client introuvable)"))</f>
        <v/>
      </c>
      <c r="AA965" s="33">
        <f>IF(X965="","",IFERROR(INDEX(Cl_quartier,MATCH(X965,Cl_cle,0))&amp;"",""))</f>
        <v/>
      </c>
      <c r="AB965" s="45">
        <f>IF(R965&lt;&gt;"Livrée",0,IF(K965&lt;&gt;"",K965,C965))</f>
        <v/>
      </c>
      <c r="AC965" s="33">
        <f>IF(OR(C965="",W965=""),"",P965&amp;"|"&amp;W965&amp;"|"&amp;C965&amp;"|"&amp;E965)</f>
        <v/>
      </c>
      <c r="AD965" s="39">
        <f>IF(AC965="","",IF(COUNTIF(AC$6:AC965,AC965)=1,1,0))</f>
        <v/>
      </c>
      <c r="AE965" s="39">
        <f>IF(AB965=0,"",IF(COUNTIFS(X$6:X965,X965,AB$6:AB965,AB965)=1,1,0))</f>
        <v/>
      </c>
      <c r="AF965" s="34">
        <f>IF(C965="","",YEAR(C965-WEEKDAY(C965,2)+4)&amp;"-S"&amp;TEXT(INT((C965-DATE(YEAR(C965-WEEKDAY(C965,2)+4),1,3)+WEEKDAY(DATE(YEAR(C965-WEEKDAY(C965,2)+4),1,3),2)+5)/7),"00"))</f>
        <v/>
      </c>
    </row>
    <row r="966" ht="18" customHeight="1">
      <c r="A966" s="39" t="n">
        <v>961</v>
      </c>
      <c r="B966" s="33">
        <f>IF(C966="","",IF(P966="À RENSEIGNER","GIC",P966)&amp;"-C"&amp;TEXT(A966,"00000"))</f>
        <v/>
      </c>
      <c r="C966" s="32" t="n"/>
      <c r="D966" s="36" t="n"/>
      <c r="E966" s="36" t="n"/>
      <c r="F966" s="36" t="n"/>
      <c r="G966" s="42" t="n"/>
      <c r="H966" s="37" t="n"/>
      <c r="I966" s="37" t="n"/>
      <c r="J966" s="32" t="n"/>
      <c r="K966" s="32" t="n"/>
      <c r="L966" s="43" t="n"/>
      <c r="M966" s="36" t="n"/>
      <c r="N966" s="44" t="n"/>
      <c r="O966" s="36" t="n"/>
      <c r="P966" s="33">
        <f>IF(C966="","",Commercial_Id)</f>
        <v/>
      </c>
      <c r="Q966" s="34">
        <f>IF(AC966="","",IF(AD966=1,"C"&amp;TEXT(SUM(AD$6:AD966),"0000"),INDEX(Q$6:Q965,MATCH(AC966,AC$6:AC965,0))))</f>
        <v/>
      </c>
      <c r="R966" s="34">
        <f>IF(C966="","",IF(L966="☑ Oui","Annulée",IF(OR(E966="Vente directe",K966&lt;&gt;""),"Livrée",IF(J966&lt;&gt;"","Confirmée","En attente"))))</f>
        <v/>
      </c>
      <c r="S966" s="34">
        <f>IF(F966="","",IFERROR(VLOOKUP(F966,T_Produits,2,FALSE),""))</f>
        <v/>
      </c>
      <c r="T966" s="40">
        <f>IF(F966="","",IFERROR(1/(1/VLOOKUP(F966,T_Produits,3,FALSE)),""))</f>
        <v/>
      </c>
      <c r="U966" s="40">
        <f>IF(H966&lt;&gt;"",H966,T966)</f>
        <v/>
      </c>
      <c r="V966" s="40">
        <f>IF(OR(G966="",U966=""),"",G966*U966-N(I966))</f>
        <v/>
      </c>
      <c r="W966" s="39">
        <f>IF(D966="","",IFERROR(VALUE(MID(D966,LEN(D966)-3,3)),""))</f>
        <v/>
      </c>
      <c r="X966" s="33">
        <f>IF(W966="","",P966&amp;"|"&amp;W966)</f>
        <v/>
      </c>
      <c r="Y966" s="33">
        <f>IF(W966="","",IF(P966="À RENSEIGNER","GIC",P966)&amp;"-"&amp;TEXT(W966,"000"))</f>
        <v/>
      </c>
      <c r="Z966" s="33">
        <f>IF(X966="","",IFERROR(INDEX(Cl_nom,MATCH(X966,Cl_cle,0)),"(client introuvable)"))</f>
        <v/>
      </c>
      <c r="AA966" s="33">
        <f>IF(X966="","",IFERROR(INDEX(Cl_quartier,MATCH(X966,Cl_cle,0))&amp;"",""))</f>
        <v/>
      </c>
      <c r="AB966" s="45">
        <f>IF(R966&lt;&gt;"Livrée",0,IF(K966&lt;&gt;"",K966,C966))</f>
        <v/>
      </c>
      <c r="AC966" s="33">
        <f>IF(OR(C966="",W966=""),"",P966&amp;"|"&amp;W966&amp;"|"&amp;C966&amp;"|"&amp;E966)</f>
        <v/>
      </c>
      <c r="AD966" s="39">
        <f>IF(AC966="","",IF(COUNTIF(AC$6:AC966,AC966)=1,1,0))</f>
        <v/>
      </c>
      <c r="AE966" s="39">
        <f>IF(AB966=0,"",IF(COUNTIFS(X$6:X966,X966,AB$6:AB966,AB966)=1,1,0))</f>
        <v/>
      </c>
      <c r="AF966" s="34">
        <f>IF(C966="","",YEAR(C966-WEEKDAY(C966,2)+4)&amp;"-S"&amp;TEXT(INT((C966-DATE(YEAR(C966-WEEKDAY(C966,2)+4),1,3)+WEEKDAY(DATE(YEAR(C966-WEEKDAY(C966,2)+4),1,3),2)+5)/7),"00"))</f>
        <v/>
      </c>
    </row>
    <row r="967" ht="18" customHeight="1">
      <c r="A967" s="39" t="n">
        <v>962</v>
      </c>
      <c r="B967" s="33">
        <f>IF(C967="","",IF(P967="À RENSEIGNER","GIC",P967)&amp;"-C"&amp;TEXT(A967,"00000"))</f>
        <v/>
      </c>
      <c r="C967" s="32" t="n"/>
      <c r="D967" s="36" t="n"/>
      <c r="E967" s="36" t="n"/>
      <c r="F967" s="36" t="n"/>
      <c r="G967" s="42" t="n"/>
      <c r="H967" s="37" t="n"/>
      <c r="I967" s="37" t="n"/>
      <c r="J967" s="32" t="n"/>
      <c r="K967" s="32" t="n"/>
      <c r="L967" s="43" t="n"/>
      <c r="M967" s="36" t="n"/>
      <c r="N967" s="44" t="n"/>
      <c r="O967" s="36" t="n"/>
      <c r="P967" s="33">
        <f>IF(C967="","",Commercial_Id)</f>
        <v/>
      </c>
      <c r="Q967" s="34">
        <f>IF(AC967="","",IF(AD967=1,"C"&amp;TEXT(SUM(AD$6:AD967),"0000"),INDEX(Q$6:Q966,MATCH(AC967,AC$6:AC966,0))))</f>
        <v/>
      </c>
      <c r="R967" s="34">
        <f>IF(C967="","",IF(L967="☑ Oui","Annulée",IF(OR(E967="Vente directe",K967&lt;&gt;""),"Livrée",IF(J967&lt;&gt;"","Confirmée","En attente"))))</f>
        <v/>
      </c>
      <c r="S967" s="34">
        <f>IF(F967="","",IFERROR(VLOOKUP(F967,T_Produits,2,FALSE),""))</f>
        <v/>
      </c>
      <c r="T967" s="40">
        <f>IF(F967="","",IFERROR(1/(1/VLOOKUP(F967,T_Produits,3,FALSE)),""))</f>
        <v/>
      </c>
      <c r="U967" s="40">
        <f>IF(H967&lt;&gt;"",H967,T967)</f>
        <v/>
      </c>
      <c r="V967" s="40">
        <f>IF(OR(G967="",U967=""),"",G967*U967-N(I967))</f>
        <v/>
      </c>
      <c r="W967" s="39">
        <f>IF(D967="","",IFERROR(VALUE(MID(D967,LEN(D967)-3,3)),""))</f>
        <v/>
      </c>
      <c r="X967" s="33">
        <f>IF(W967="","",P967&amp;"|"&amp;W967)</f>
        <v/>
      </c>
      <c r="Y967" s="33">
        <f>IF(W967="","",IF(P967="À RENSEIGNER","GIC",P967)&amp;"-"&amp;TEXT(W967,"000"))</f>
        <v/>
      </c>
      <c r="Z967" s="33">
        <f>IF(X967="","",IFERROR(INDEX(Cl_nom,MATCH(X967,Cl_cle,0)),"(client introuvable)"))</f>
        <v/>
      </c>
      <c r="AA967" s="33">
        <f>IF(X967="","",IFERROR(INDEX(Cl_quartier,MATCH(X967,Cl_cle,0))&amp;"",""))</f>
        <v/>
      </c>
      <c r="AB967" s="45">
        <f>IF(R967&lt;&gt;"Livrée",0,IF(K967&lt;&gt;"",K967,C967))</f>
        <v/>
      </c>
      <c r="AC967" s="33">
        <f>IF(OR(C967="",W967=""),"",P967&amp;"|"&amp;W967&amp;"|"&amp;C967&amp;"|"&amp;E967)</f>
        <v/>
      </c>
      <c r="AD967" s="39">
        <f>IF(AC967="","",IF(COUNTIF(AC$6:AC967,AC967)=1,1,0))</f>
        <v/>
      </c>
      <c r="AE967" s="39">
        <f>IF(AB967=0,"",IF(COUNTIFS(X$6:X967,X967,AB$6:AB967,AB967)=1,1,0))</f>
        <v/>
      </c>
      <c r="AF967" s="34">
        <f>IF(C967="","",YEAR(C967-WEEKDAY(C967,2)+4)&amp;"-S"&amp;TEXT(INT((C967-DATE(YEAR(C967-WEEKDAY(C967,2)+4),1,3)+WEEKDAY(DATE(YEAR(C967-WEEKDAY(C967,2)+4),1,3),2)+5)/7),"00"))</f>
        <v/>
      </c>
    </row>
    <row r="968" ht="18" customHeight="1">
      <c r="A968" s="39" t="n">
        <v>963</v>
      </c>
      <c r="B968" s="33">
        <f>IF(C968="","",IF(P968="À RENSEIGNER","GIC",P968)&amp;"-C"&amp;TEXT(A968,"00000"))</f>
        <v/>
      </c>
      <c r="C968" s="32" t="n"/>
      <c r="D968" s="36" t="n"/>
      <c r="E968" s="36" t="n"/>
      <c r="F968" s="36" t="n"/>
      <c r="G968" s="42" t="n"/>
      <c r="H968" s="37" t="n"/>
      <c r="I968" s="37" t="n"/>
      <c r="J968" s="32" t="n"/>
      <c r="K968" s="32" t="n"/>
      <c r="L968" s="43" t="n"/>
      <c r="M968" s="36" t="n"/>
      <c r="N968" s="44" t="n"/>
      <c r="O968" s="36" t="n"/>
      <c r="P968" s="33">
        <f>IF(C968="","",Commercial_Id)</f>
        <v/>
      </c>
      <c r="Q968" s="34">
        <f>IF(AC968="","",IF(AD968=1,"C"&amp;TEXT(SUM(AD$6:AD968),"0000"),INDEX(Q$6:Q967,MATCH(AC968,AC$6:AC967,0))))</f>
        <v/>
      </c>
      <c r="R968" s="34">
        <f>IF(C968="","",IF(L968="☑ Oui","Annulée",IF(OR(E968="Vente directe",K968&lt;&gt;""),"Livrée",IF(J968&lt;&gt;"","Confirmée","En attente"))))</f>
        <v/>
      </c>
      <c r="S968" s="34">
        <f>IF(F968="","",IFERROR(VLOOKUP(F968,T_Produits,2,FALSE),""))</f>
        <v/>
      </c>
      <c r="T968" s="40">
        <f>IF(F968="","",IFERROR(1/(1/VLOOKUP(F968,T_Produits,3,FALSE)),""))</f>
        <v/>
      </c>
      <c r="U968" s="40">
        <f>IF(H968&lt;&gt;"",H968,T968)</f>
        <v/>
      </c>
      <c r="V968" s="40">
        <f>IF(OR(G968="",U968=""),"",G968*U968-N(I968))</f>
        <v/>
      </c>
      <c r="W968" s="39">
        <f>IF(D968="","",IFERROR(VALUE(MID(D968,LEN(D968)-3,3)),""))</f>
        <v/>
      </c>
      <c r="X968" s="33">
        <f>IF(W968="","",P968&amp;"|"&amp;W968)</f>
        <v/>
      </c>
      <c r="Y968" s="33">
        <f>IF(W968="","",IF(P968="À RENSEIGNER","GIC",P968)&amp;"-"&amp;TEXT(W968,"000"))</f>
        <v/>
      </c>
      <c r="Z968" s="33">
        <f>IF(X968="","",IFERROR(INDEX(Cl_nom,MATCH(X968,Cl_cle,0)),"(client introuvable)"))</f>
        <v/>
      </c>
      <c r="AA968" s="33">
        <f>IF(X968="","",IFERROR(INDEX(Cl_quartier,MATCH(X968,Cl_cle,0))&amp;"",""))</f>
        <v/>
      </c>
      <c r="AB968" s="45">
        <f>IF(R968&lt;&gt;"Livrée",0,IF(K968&lt;&gt;"",K968,C968))</f>
        <v/>
      </c>
      <c r="AC968" s="33">
        <f>IF(OR(C968="",W968=""),"",P968&amp;"|"&amp;W968&amp;"|"&amp;C968&amp;"|"&amp;E968)</f>
        <v/>
      </c>
      <c r="AD968" s="39">
        <f>IF(AC968="","",IF(COUNTIF(AC$6:AC968,AC968)=1,1,0))</f>
        <v/>
      </c>
      <c r="AE968" s="39">
        <f>IF(AB968=0,"",IF(COUNTIFS(X$6:X968,X968,AB$6:AB968,AB968)=1,1,0))</f>
        <v/>
      </c>
      <c r="AF968" s="34">
        <f>IF(C968="","",YEAR(C968-WEEKDAY(C968,2)+4)&amp;"-S"&amp;TEXT(INT((C968-DATE(YEAR(C968-WEEKDAY(C968,2)+4),1,3)+WEEKDAY(DATE(YEAR(C968-WEEKDAY(C968,2)+4),1,3),2)+5)/7),"00"))</f>
        <v/>
      </c>
    </row>
    <row r="969" ht="18" customHeight="1">
      <c r="A969" s="39" t="n">
        <v>964</v>
      </c>
      <c r="B969" s="33">
        <f>IF(C969="","",IF(P969="À RENSEIGNER","GIC",P969)&amp;"-C"&amp;TEXT(A969,"00000"))</f>
        <v/>
      </c>
      <c r="C969" s="32" t="n"/>
      <c r="D969" s="36" t="n"/>
      <c r="E969" s="36" t="n"/>
      <c r="F969" s="36" t="n"/>
      <c r="G969" s="42" t="n"/>
      <c r="H969" s="37" t="n"/>
      <c r="I969" s="37" t="n"/>
      <c r="J969" s="32" t="n"/>
      <c r="K969" s="32" t="n"/>
      <c r="L969" s="43" t="n"/>
      <c r="M969" s="36" t="n"/>
      <c r="N969" s="44" t="n"/>
      <c r="O969" s="36" t="n"/>
      <c r="P969" s="33">
        <f>IF(C969="","",Commercial_Id)</f>
        <v/>
      </c>
      <c r="Q969" s="34">
        <f>IF(AC969="","",IF(AD969=1,"C"&amp;TEXT(SUM(AD$6:AD969),"0000"),INDEX(Q$6:Q968,MATCH(AC969,AC$6:AC968,0))))</f>
        <v/>
      </c>
      <c r="R969" s="34">
        <f>IF(C969="","",IF(L969="☑ Oui","Annulée",IF(OR(E969="Vente directe",K969&lt;&gt;""),"Livrée",IF(J969&lt;&gt;"","Confirmée","En attente"))))</f>
        <v/>
      </c>
      <c r="S969" s="34">
        <f>IF(F969="","",IFERROR(VLOOKUP(F969,T_Produits,2,FALSE),""))</f>
        <v/>
      </c>
      <c r="T969" s="40">
        <f>IF(F969="","",IFERROR(1/(1/VLOOKUP(F969,T_Produits,3,FALSE)),""))</f>
        <v/>
      </c>
      <c r="U969" s="40">
        <f>IF(H969&lt;&gt;"",H969,T969)</f>
        <v/>
      </c>
      <c r="V969" s="40">
        <f>IF(OR(G969="",U969=""),"",G969*U969-N(I969))</f>
        <v/>
      </c>
      <c r="W969" s="39">
        <f>IF(D969="","",IFERROR(VALUE(MID(D969,LEN(D969)-3,3)),""))</f>
        <v/>
      </c>
      <c r="X969" s="33">
        <f>IF(W969="","",P969&amp;"|"&amp;W969)</f>
        <v/>
      </c>
      <c r="Y969" s="33">
        <f>IF(W969="","",IF(P969="À RENSEIGNER","GIC",P969)&amp;"-"&amp;TEXT(W969,"000"))</f>
        <v/>
      </c>
      <c r="Z969" s="33">
        <f>IF(X969="","",IFERROR(INDEX(Cl_nom,MATCH(X969,Cl_cle,0)),"(client introuvable)"))</f>
        <v/>
      </c>
      <c r="AA969" s="33">
        <f>IF(X969="","",IFERROR(INDEX(Cl_quartier,MATCH(X969,Cl_cle,0))&amp;"",""))</f>
        <v/>
      </c>
      <c r="AB969" s="45">
        <f>IF(R969&lt;&gt;"Livrée",0,IF(K969&lt;&gt;"",K969,C969))</f>
        <v/>
      </c>
      <c r="AC969" s="33">
        <f>IF(OR(C969="",W969=""),"",P969&amp;"|"&amp;W969&amp;"|"&amp;C969&amp;"|"&amp;E969)</f>
        <v/>
      </c>
      <c r="AD969" s="39">
        <f>IF(AC969="","",IF(COUNTIF(AC$6:AC969,AC969)=1,1,0))</f>
        <v/>
      </c>
      <c r="AE969" s="39">
        <f>IF(AB969=0,"",IF(COUNTIFS(X$6:X969,X969,AB$6:AB969,AB969)=1,1,0))</f>
        <v/>
      </c>
      <c r="AF969" s="34">
        <f>IF(C969="","",YEAR(C969-WEEKDAY(C969,2)+4)&amp;"-S"&amp;TEXT(INT((C969-DATE(YEAR(C969-WEEKDAY(C969,2)+4),1,3)+WEEKDAY(DATE(YEAR(C969-WEEKDAY(C969,2)+4),1,3),2)+5)/7),"00"))</f>
        <v/>
      </c>
    </row>
    <row r="970" ht="18" customHeight="1">
      <c r="A970" s="39" t="n">
        <v>965</v>
      </c>
      <c r="B970" s="33">
        <f>IF(C970="","",IF(P970="À RENSEIGNER","GIC",P970)&amp;"-C"&amp;TEXT(A970,"00000"))</f>
        <v/>
      </c>
      <c r="C970" s="32" t="n"/>
      <c r="D970" s="36" t="n"/>
      <c r="E970" s="36" t="n"/>
      <c r="F970" s="36" t="n"/>
      <c r="G970" s="42" t="n"/>
      <c r="H970" s="37" t="n"/>
      <c r="I970" s="37" t="n"/>
      <c r="J970" s="32" t="n"/>
      <c r="K970" s="32" t="n"/>
      <c r="L970" s="43" t="n"/>
      <c r="M970" s="36" t="n"/>
      <c r="N970" s="44" t="n"/>
      <c r="O970" s="36" t="n"/>
      <c r="P970" s="33">
        <f>IF(C970="","",Commercial_Id)</f>
        <v/>
      </c>
      <c r="Q970" s="34">
        <f>IF(AC970="","",IF(AD970=1,"C"&amp;TEXT(SUM(AD$6:AD970),"0000"),INDEX(Q$6:Q969,MATCH(AC970,AC$6:AC969,0))))</f>
        <v/>
      </c>
      <c r="R970" s="34">
        <f>IF(C970="","",IF(L970="☑ Oui","Annulée",IF(OR(E970="Vente directe",K970&lt;&gt;""),"Livrée",IF(J970&lt;&gt;"","Confirmée","En attente"))))</f>
        <v/>
      </c>
      <c r="S970" s="34">
        <f>IF(F970="","",IFERROR(VLOOKUP(F970,T_Produits,2,FALSE),""))</f>
        <v/>
      </c>
      <c r="T970" s="40">
        <f>IF(F970="","",IFERROR(1/(1/VLOOKUP(F970,T_Produits,3,FALSE)),""))</f>
        <v/>
      </c>
      <c r="U970" s="40">
        <f>IF(H970&lt;&gt;"",H970,T970)</f>
        <v/>
      </c>
      <c r="V970" s="40">
        <f>IF(OR(G970="",U970=""),"",G970*U970-N(I970))</f>
        <v/>
      </c>
      <c r="W970" s="39">
        <f>IF(D970="","",IFERROR(VALUE(MID(D970,LEN(D970)-3,3)),""))</f>
        <v/>
      </c>
      <c r="X970" s="33">
        <f>IF(W970="","",P970&amp;"|"&amp;W970)</f>
        <v/>
      </c>
      <c r="Y970" s="33">
        <f>IF(W970="","",IF(P970="À RENSEIGNER","GIC",P970)&amp;"-"&amp;TEXT(W970,"000"))</f>
        <v/>
      </c>
      <c r="Z970" s="33">
        <f>IF(X970="","",IFERROR(INDEX(Cl_nom,MATCH(X970,Cl_cle,0)),"(client introuvable)"))</f>
        <v/>
      </c>
      <c r="AA970" s="33">
        <f>IF(X970="","",IFERROR(INDEX(Cl_quartier,MATCH(X970,Cl_cle,0))&amp;"",""))</f>
        <v/>
      </c>
      <c r="AB970" s="45">
        <f>IF(R970&lt;&gt;"Livrée",0,IF(K970&lt;&gt;"",K970,C970))</f>
        <v/>
      </c>
      <c r="AC970" s="33">
        <f>IF(OR(C970="",W970=""),"",P970&amp;"|"&amp;W970&amp;"|"&amp;C970&amp;"|"&amp;E970)</f>
        <v/>
      </c>
      <c r="AD970" s="39">
        <f>IF(AC970="","",IF(COUNTIF(AC$6:AC970,AC970)=1,1,0))</f>
        <v/>
      </c>
      <c r="AE970" s="39">
        <f>IF(AB970=0,"",IF(COUNTIFS(X$6:X970,X970,AB$6:AB970,AB970)=1,1,0))</f>
        <v/>
      </c>
      <c r="AF970" s="34">
        <f>IF(C970="","",YEAR(C970-WEEKDAY(C970,2)+4)&amp;"-S"&amp;TEXT(INT((C970-DATE(YEAR(C970-WEEKDAY(C970,2)+4),1,3)+WEEKDAY(DATE(YEAR(C970-WEEKDAY(C970,2)+4),1,3),2)+5)/7),"00"))</f>
        <v/>
      </c>
    </row>
    <row r="971" ht="18" customHeight="1">
      <c r="A971" s="39" t="n">
        <v>966</v>
      </c>
      <c r="B971" s="33">
        <f>IF(C971="","",IF(P971="À RENSEIGNER","GIC",P971)&amp;"-C"&amp;TEXT(A971,"00000"))</f>
        <v/>
      </c>
      <c r="C971" s="32" t="n"/>
      <c r="D971" s="36" t="n"/>
      <c r="E971" s="36" t="n"/>
      <c r="F971" s="36" t="n"/>
      <c r="G971" s="42" t="n"/>
      <c r="H971" s="37" t="n"/>
      <c r="I971" s="37" t="n"/>
      <c r="J971" s="32" t="n"/>
      <c r="K971" s="32" t="n"/>
      <c r="L971" s="43" t="n"/>
      <c r="M971" s="36" t="n"/>
      <c r="N971" s="44" t="n"/>
      <c r="O971" s="36" t="n"/>
      <c r="P971" s="33">
        <f>IF(C971="","",Commercial_Id)</f>
        <v/>
      </c>
      <c r="Q971" s="34">
        <f>IF(AC971="","",IF(AD971=1,"C"&amp;TEXT(SUM(AD$6:AD971),"0000"),INDEX(Q$6:Q970,MATCH(AC971,AC$6:AC970,0))))</f>
        <v/>
      </c>
      <c r="R971" s="34">
        <f>IF(C971="","",IF(L971="☑ Oui","Annulée",IF(OR(E971="Vente directe",K971&lt;&gt;""),"Livrée",IF(J971&lt;&gt;"","Confirmée","En attente"))))</f>
        <v/>
      </c>
      <c r="S971" s="34">
        <f>IF(F971="","",IFERROR(VLOOKUP(F971,T_Produits,2,FALSE),""))</f>
        <v/>
      </c>
      <c r="T971" s="40">
        <f>IF(F971="","",IFERROR(1/(1/VLOOKUP(F971,T_Produits,3,FALSE)),""))</f>
        <v/>
      </c>
      <c r="U971" s="40">
        <f>IF(H971&lt;&gt;"",H971,T971)</f>
        <v/>
      </c>
      <c r="V971" s="40">
        <f>IF(OR(G971="",U971=""),"",G971*U971-N(I971))</f>
        <v/>
      </c>
      <c r="W971" s="39">
        <f>IF(D971="","",IFERROR(VALUE(MID(D971,LEN(D971)-3,3)),""))</f>
        <v/>
      </c>
      <c r="X971" s="33">
        <f>IF(W971="","",P971&amp;"|"&amp;W971)</f>
        <v/>
      </c>
      <c r="Y971" s="33">
        <f>IF(W971="","",IF(P971="À RENSEIGNER","GIC",P971)&amp;"-"&amp;TEXT(W971,"000"))</f>
        <v/>
      </c>
      <c r="Z971" s="33">
        <f>IF(X971="","",IFERROR(INDEX(Cl_nom,MATCH(X971,Cl_cle,0)),"(client introuvable)"))</f>
        <v/>
      </c>
      <c r="AA971" s="33">
        <f>IF(X971="","",IFERROR(INDEX(Cl_quartier,MATCH(X971,Cl_cle,0))&amp;"",""))</f>
        <v/>
      </c>
      <c r="AB971" s="45">
        <f>IF(R971&lt;&gt;"Livrée",0,IF(K971&lt;&gt;"",K971,C971))</f>
        <v/>
      </c>
      <c r="AC971" s="33">
        <f>IF(OR(C971="",W971=""),"",P971&amp;"|"&amp;W971&amp;"|"&amp;C971&amp;"|"&amp;E971)</f>
        <v/>
      </c>
      <c r="AD971" s="39">
        <f>IF(AC971="","",IF(COUNTIF(AC$6:AC971,AC971)=1,1,0))</f>
        <v/>
      </c>
      <c r="AE971" s="39">
        <f>IF(AB971=0,"",IF(COUNTIFS(X$6:X971,X971,AB$6:AB971,AB971)=1,1,0))</f>
        <v/>
      </c>
      <c r="AF971" s="34">
        <f>IF(C971="","",YEAR(C971-WEEKDAY(C971,2)+4)&amp;"-S"&amp;TEXT(INT((C971-DATE(YEAR(C971-WEEKDAY(C971,2)+4),1,3)+WEEKDAY(DATE(YEAR(C971-WEEKDAY(C971,2)+4),1,3),2)+5)/7),"00"))</f>
        <v/>
      </c>
    </row>
    <row r="972" ht="18" customHeight="1">
      <c r="A972" s="39" t="n">
        <v>967</v>
      </c>
      <c r="B972" s="33">
        <f>IF(C972="","",IF(P972="À RENSEIGNER","GIC",P972)&amp;"-C"&amp;TEXT(A972,"00000"))</f>
        <v/>
      </c>
      <c r="C972" s="32" t="n"/>
      <c r="D972" s="36" t="n"/>
      <c r="E972" s="36" t="n"/>
      <c r="F972" s="36" t="n"/>
      <c r="G972" s="42" t="n"/>
      <c r="H972" s="37" t="n"/>
      <c r="I972" s="37" t="n"/>
      <c r="J972" s="32" t="n"/>
      <c r="K972" s="32" t="n"/>
      <c r="L972" s="43" t="n"/>
      <c r="M972" s="36" t="n"/>
      <c r="N972" s="44" t="n"/>
      <c r="O972" s="36" t="n"/>
      <c r="P972" s="33">
        <f>IF(C972="","",Commercial_Id)</f>
        <v/>
      </c>
      <c r="Q972" s="34">
        <f>IF(AC972="","",IF(AD972=1,"C"&amp;TEXT(SUM(AD$6:AD972),"0000"),INDEX(Q$6:Q971,MATCH(AC972,AC$6:AC971,0))))</f>
        <v/>
      </c>
      <c r="R972" s="34">
        <f>IF(C972="","",IF(L972="☑ Oui","Annulée",IF(OR(E972="Vente directe",K972&lt;&gt;""),"Livrée",IF(J972&lt;&gt;"","Confirmée","En attente"))))</f>
        <v/>
      </c>
      <c r="S972" s="34">
        <f>IF(F972="","",IFERROR(VLOOKUP(F972,T_Produits,2,FALSE),""))</f>
        <v/>
      </c>
      <c r="T972" s="40">
        <f>IF(F972="","",IFERROR(1/(1/VLOOKUP(F972,T_Produits,3,FALSE)),""))</f>
        <v/>
      </c>
      <c r="U972" s="40">
        <f>IF(H972&lt;&gt;"",H972,T972)</f>
        <v/>
      </c>
      <c r="V972" s="40">
        <f>IF(OR(G972="",U972=""),"",G972*U972-N(I972))</f>
        <v/>
      </c>
      <c r="W972" s="39">
        <f>IF(D972="","",IFERROR(VALUE(MID(D972,LEN(D972)-3,3)),""))</f>
        <v/>
      </c>
      <c r="X972" s="33">
        <f>IF(W972="","",P972&amp;"|"&amp;W972)</f>
        <v/>
      </c>
      <c r="Y972" s="33">
        <f>IF(W972="","",IF(P972="À RENSEIGNER","GIC",P972)&amp;"-"&amp;TEXT(W972,"000"))</f>
        <v/>
      </c>
      <c r="Z972" s="33">
        <f>IF(X972="","",IFERROR(INDEX(Cl_nom,MATCH(X972,Cl_cle,0)),"(client introuvable)"))</f>
        <v/>
      </c>
      <c r="AA972" s="33">
        <f>IF(X972="","",IFERROR(INDEX(Cl_quartier,MATCH(X972,Cl_cle,0))&amp;"",""))</f>
        <v/>
      </c>
      <c r="AB972" s="45">
        <f>IF(R972&lt;&gt;"Livrée",0,IF(K972&lt;&gt;"",K972,C972))</f>
        <v/>
      </c>
      <c r="AC972" s="33">
        <f>IF(OR(C972="",W972=""),"",P972&amp;"|"&amp;W972&amp;"|"&amp;C972&amp;"|"&amp;E972)</f>
        <v/>
      </c>
      <c r="AD972" s="39">
        <f>IF(AC972="","",IF(COUNTIF(AC$6:AC972,AC972)=1,1,0))</f>
        <v/>
      </c>
      <c r="AE972" s="39">
        <f>IF(AB972=0,"",IF(COUNTIFS(X$6:X972,X972,AB$6:AB972,AB972)=1,1,0))</f>
        <v/>
      </c>
      <c r="AF972" s="34">
        <f>IF(C972="","",YEAR(C972-WEEKDAY(C972,2)+4)&amp;"-S"&amp;TEXT(INT((C972-DATE(YEAR(C972-WEEKDAY(C972,2)+4),1,3)+WEEKDAY(DATE(YEAR(C972-WEEKDAY(C972,2)+4),1,3),2)+5)/7),"00"))</f>
        <v/>
      </c>
    </row>
    <row r="973" ht="18" customHeight="1">
      <c r="A973" s="39" t="n">
        <v>968</v>
      </c>
      <c r="B973" s="33">
        <f>IF(C973="","",IF(P973="À RENSEIGNER","GIC",P973)&amp;"-C"&amp;TEXT(A973,"00000"))</f>
        <v/>
      </c>
      <c r="C973" s="32" t="n"/>
      <c r="D973" s="36" t="n"/>
      <c r="E973" s="36" t="n"/>
      <c r="F973" s="36" t="n"/>
      <c r="G973" s="42" t="n"/>
      <c r="H973" s="37" t="n"/>
      <c r="I973" s="37" t="n"/>
      <c r="J973" s="32" t="n"/>
      <c r="K973" s="32" t="n"/>
      <c r="L973" s="43" t="n"/>
      <c r="M973" s="36" t="n"/>
      <c r="N973" s="44" t="n"/>
      <c r="O973" s="36" t="n"/>
      <c r="P973" s="33">
        <f>IF(C973="","",Commercial_Id)</f>
        <v/>
      </c>
      <c r="Q973" s="34">
        <f>IF(AC973="","",IF(AD973=1,"C"&amp;TEXT(SUM(AD$6:AD973),"0000"),INDEX(Q$6:Q972,MATCH(AC973,AC$6:AC972,0))))</f>
        <v/>
      </c>
      <c r="R973" s="34">
        <f>IF(C973="","",IF(L973="☑ Oui","Annulée",IF(OR(E973="Vente directe",K973&lt;&gt;""),"Livrée",IF(J973&lt;&gt;"","Confirmée","En attente"))))</f>
        <v/>
      </c>
      <c r="S973" s="34">
        <f>IF(F973="","",IFERROR(VLOOKUP(F973,T_Produits,2,FALSE),""))</f>
        <v/>
      </c>
      <c r="T973" s="40">
        <f>IF(F973="","",IFERROR(1/(1/VLOOKUP(F973,T_Produits,3,FALSE)),""))</f>
        <v/>
      </c>
      <c r="U973" s="40">
        <f>IF(H973&lt;&gt;"",H973,T973)</f>
        <v/>
      </c>
      <c r="V973" s="40">
        <f>IF(OR(G973="",U973=""),"",G973*U973-N(I973))</f>
        <v/>
      </c>
      <c r="W973" s="39">
        <f>IF(D973="","",IFERROR(VALUE(MID(D973,LEN(D973)-3,3)),""))</f>
        <v/>
      </c>
      <c r="X973" s="33">
        <f>IF(W973="","",P973&amp;"|"&amp;W973)</f>
        <v/>
      </c>
      <c r="Y973" s="33">
        <f>IF(W973="","",IF(P973="À RENSEIGNER","GIC",P973)&amp;"-"&amp;TEXT(W973,"000"))</f>
        <v/>
      </c>
      <c r="Z973" s="33">
        <f>IF(X973="","",IFERROR(INDEX(Cl_nom,MATCH(X973,Cl_cle,0)),"(client introuvable)"))</f>
        <v/>
      </c>
      <c r="AA973" s="33">
        <f>IF(X973="","",IFERROR(INDEX(Cl_quartier,MATCH(X973,Cl_cle,0))&amp;"",""))</f>
        <v/>
      </c>
      <c r="AB973" s="45">
        <f>IF(R973&lt;&gt;"Livrée",0,IF(K973&lt;&gt;"",K973,C973))</f>
        <v/>
      </c>
      <c r="AC973" s="33">
        <f>IF(OR(C973="",W973=""),"",P973&amp;"|"&amp;W973&amp;"|"&amp;C973&amp;"|"&amp;E973)</f>
        <v/>
      </c>
      <c r="AD973" s="39">
        <f>IF(AC973="","",IF(COUNTIF(AC$6:AC973,AC973)=1,1,0))</f>
        <v/>
      </c>
      <c r="AE973" s="39">
        <f>IF(AB973=0,"",IF(COUNTIFS(X$6:X973,X973,AB$6:AB973,AB973)=1,1,0))</f>
        <v/>
      </c>
      <c r="AF973" s="34">
        <f>IF(C973="","",YEAR(C973-WEEKDAY(C973,2)+4)&amp;"-S"&amp;TEXT(INT((C973-DATE(YEAR(C973-WEEKDAY(C973,2)+4),1,3)+WEEKDAY(DATE(YEAR(C973-WEEKDAY(C973,2)+4),1,3),2)+5)/7),"00"))</f>
        <v/>
      </c>
    </row>
    <row r="974" ht="18" customHeight="1">
      <c r="A974" s="39" t="n">
        <v>969</v>
      </c>
      <c r="B974" s="33">
        <f>IF(C974="","",IF(P974="À RENSEIGNER","GIC",P974)&amp;"-C"&amp;TEXT(A974,"00000"))</f>
        <v/>
      </c>
      <c r="C974" s="32" t="n"/>
      <c r="D974" s="36" t="n"/>
      <c r="E974" s="36" t="n"/>
      <c r="F974" s="36" t="n"/>
      <c r="G974" s="42" t="n"/>
      <c r="H974" s="37" t="n"/>
      <c r="I974" s="37" t="n"/>
      <c r="J974" s="32" t="n"/>
      <c r="K974" s="32" t="n"/>
      <c r="L974" s="43" t="n"/>
      <c r="M974" s="36" t="n"/>
      <c r="N974" s="44" t="n"/>
      <c r="O974" s="36" t="n"/>
      <c r="P974" s="33">
        <f>IF(C974="","",Commercial_Id)</f>
        <v/>
      </c>
      <c r="Q974" s="34">
        <f>IF(AC974="","",IF(AD974=1,"C"&amp;TEXT(SUM(AD$6:AD974),"0000"),INDEX(Q$6:Q973,MATCH(AC974,AC$6:AC973,0))))</f>
        <v/>
      </c>
      <c r="R974" s="34">
        <f>IF(C974="","",IF(L974="☑ Oui","Annulée",IF(OR(E974="Vente directe",K974&lt;&gt;""),"Livrée",IF(J974&lt;&gt;"","Confirmée","En attente"))))</f>
        <v/>
      </c>
      <c r="S974" s="34">
        <f>IF(F974="","",IFERROR(VLOOKUP(F974,T_Produits,2,FALSE),""))</f>
        <v/>
      </c>
      <c r="T974" s="40">
        <f>IF(F974="","",IFERROR(1/(1/VLOOKUP(F974,T_Produits,3,FALSE)),""))</f>
        <v/>
      </c>
      <c r="U974" s="40">
        <f>IF(H974&lt;&gt;"",H974,T974)</f>
        <v/>
      </c>
      <c r="V974" s="40">
        <f>IF(OR(G974="",U974=""),"",G974*U974-N(I974))</f>
        <v/>
      </c>
      <c r="W974" s="39">
        <f>IF(D974="","",IFERROR(VALUE(MID(D974,LEN(D974)-3,3)),""))</f>
        <v/>
      </c>
      <c r="X974" s="33">
        <f>IF(W974="","",P974&amp;"|"&amp;W974)</f>
        <v/>
      </c>
      <c r="Y974" s="33">
        <f>IF(W974="","",IF(P974="À RENSEIGNER","GIC",P974)&amp;"-"&amp;TEXT(W974,"000"))</f>
        <v/>
      </c>
      <c r="Z974" s="33">
        <f>IF(X974="","",IFERROR(INDEX(Cl_nom,MATCH(X974,Cl_cle,0)),"(client introuvable)"))</f>
        <v/>
      </c>
      <c r="AA974" s="33">
        <f>IF(X974="","",IFERROR(INDEX(Cl_quartier,MATCH(X974,Cl_cle,0))&amp;"",""))</f>
        <v/>
      </c>
      <c r="AB974" s="45">
        <f>IF(R974&lt;&gt;"Livrée",0,IF(K974&lt;&gt;"",K974,C974))</f>
        <v/>
      </c>
      <c r="AC974" s="33">
        <f>IF(OR(C974="",W974=""),"",P974&amp;"|"&amp;W974&amp;"|"&amp;C974&amp;"|"&amp;E974)</f>
        <v/>
      </c>
      <c r="AD974" s="39">
        <f>IF(AC974="","",IF(COUNTIF(AC$6:AC974,AC974)=1,1,0))</f>
        <v/>
      </c>
      <c r="AE974" s="39">
        <f>IF(AB974=0,"",IF(COUNTIFS(X$6:X974,X974,AB$6:AB974,AB974)=1,1,0))</f>
        <v/>
      </c>
      <c r="AF974" s="34">
        <f>IF(C974="","",YEAR(C974-WEEKDAY(C974,2)+4)&amp;"-S"&amp;TEXT(INT((C974-DATE(YEAR(C974-WEEKDAY(C974,2)+4),1,3)+WEEKDAY(DATE(YEAR(C974-WEEKDAY(C974,2)+4),1,3),2)+5)/7),"00"))</f>
        <v/>
      </c>
    </row>
    <row r="975" ht="18" customHeight="1">
      <c r="A975" s="39" t="n">
        <v>970</v>
      </c>
      <c r="B975" s="33">
        <f>IF(C975="","",IF(P975="À RENSEIGNER","GIC",P975)&amp;"-C"&amp;TEXT(A975,"00000"))</f>
        <v/>
      </c>
      <c r="C975" s="32" t="n"/>
      <c r="D975" s="36" t="n"/>
      <c r="E975" s="36" t="n"/>
      <c r="F975" s="36" t="n"/>
      <c r="G975" s="42" t="n"/>
      <c r="H975" s="37" t="n"/>
      <c r="I975" s="37" t="n"/>
      <c r="J975" s="32" t="n"/>
      <c r="K975" s="32" t="n"/>
      <c r="L975" s="43" t="n"/>
      <c r="M975" s="36" t="n"/>
      <c r="N975" s="44" t="n"/>
      <c r="O975" s="36" t="n"/>
      <c r="P975" s="33">
        <f>IF(C975="","",Commercial_Id)</f>
        <v/>
      </c>
      <c r="Q975" s="34">
        <f>IF(AC975="","",IF(AD975=1,"C"&amp;TEXT(SUM(AD$6:AD975),"0000"),INDEX(Q$6:Q974,MATCH(AC975,AC$6:AC974,0))))</f>
        <v/>
      </c>
      <c r="R975" s="34">
        <f>IF(C975="","",IF(L975="☑ Oui","Annulée",IF(OR(E975="Vente directe",K975&lt;&gt;""),"Livrée",IF(J975&lt;&gt;"","Confirmée","En attente"))))</f>
        <v/>
      </c>
      <c r="S975" s="34">
        <f>IF(F975="","",IFERROR(VLOOKUP(F975,T_Produits,2,FALSE),""))</f>
        <v/>
      </c>
      <c r="T975" s="40">
        <f>IF(F975="","",IFERROR(1/(1/VLOOKUP(F975,T_Produits,3,FALSE)),""))</f>
        <v/>
      </c>
      <c r="U975" s="40">
        <f>IF(H975&lt;&gt;"",H975,T975)</f>
        <v/>
      </c>
      <c r="V975" s="40">
        <f>IF(OR(G975="",U975=""),"",G975*U975-N(I975))</f>
        <v/>
      </c>
      <c r="W975" s="39">
        <f>IF(D975="","",IFERROR(VALUE(MID(D975,LEN(D975)-3,3)),""))</f>
        <v/>
      </c>
      <c r="X975" s="33">
        <f>IF(W975="","",P975&amp;"|"&amp;W975)</f>
        <v/>
      </c>
      <c r="Y975" s="33">
        <f>IF(W975="","",IF(P975="À RENSEIGNER","GIC",P975)&amp;"-"&amp;TEXT(W975,"000"))</f>
        <v/>
      </c>
      <c r="Z975" s="33">
        <f>IF(X975="","",IFERROR(INDEX(Cl_nom,MATCH(X975,Cl_cle,0)),"(client introuvable)"))</f>
        <v/>
      </c>
      <c r="AA975" s="33">
        <f>IF(X975="","",IFERROR(INDEX(Cl_quartier,MATCH(X975,Cl_cle,0))&amp;"",""))</f>
        <v/>
      </c>
      <c r="AB975" s="45">
        <f>IF(R975&lt;&gt;"Livrée",0,IF(K975&lt;&gt;"",K975,C975))</f>
        <v/>
      </c>
      <c r="AC975" s="33">
        <f>IF(OR(C975="",W975=""),"",P975&amp;"|"&amp;W975&amp;"|"&amp;C975&amp;"|"&amp;E975)</f>
        <v/>
      </c>
      <c r="AD975" s="39">
        <f>IF(AC975="","",IF(COUNTIF(AC$6:AC975,AC975)=1,1,0))</f>
        <v/>
      </c>
      <c r="AE975" s="39">
        <f>IF(AB975=0,"",IF(COUNTIFS(X$6:X975,X975,AB$6:AB975,AB975)=1,1,0))</f>
        <v/>
      </c>
      <c r="AF975" s="34">
        <f>IF(C975="","",YEAR(C975-WEEKDAY(C975,2)+4)&amp;"-S"&amp;TEXT(INT((C975-DATE(YEAR(C975-WEEKDAY(C975,2)+4),1,3)+WEEKDAY(DATE(YEAR(C975-WEEKDAY(C975,2)+4),1,3),2)+5)/7),"00"))</f>
        <v/>
      </c>
    </row>
    <row r="976" ht="18" customHeight="1">
      <c r="A976" s="39" t="n">
        <v>971</v>
      </c>
      <c r="B976" s="33">
        <f>IF(C976="","",IF(P976="À RENSEIGNER","GIC",P976)&amp;"-C"&amp;TEXT(A976,"00000"))</f>
        <v/>
      </c>
      <c r="C976" s="32" t="n"/>
      <c r="D976" s="36" t="n"/>
      <c r="E976" s="36" t="n"/>
      <c r="F976" s="36" t="n"/>
      <c r="G976" s="42" t="n"/>
      <c r="H976" s="37" t="n"/>
      <c r="I976" s="37" t="n"/>
      <c r="J976" s="32" t="n"/>
      <c r="K976" s="32" t="n"/>
      <c r="L976" s="43" t="n"/>
      <c r="M976" s="36" t="n"/>
      <c r="N976" s="44" t="n"/>
      <c r="O976" s="36" t="n"/>
      <c r="P976" s="33">
        <f>IF(C976="","",Commercial_Id)</f>
        <v/>
      </c>
      <c r="Q976" s="34">
        <f>IF(AC976="","",IF(AD976=1,"C"&amp;TEXT(SUM(AD$6:AD976),"0000"),INDEX(Q$6:Q975,MATCH(AC976,AC$6:AC975,0))))</f>
        <v/>
      </c>
      <c r="R976" s="34">
        <f>IF(C976="","",IF(L976="☑ Oui","Annulée",IF(OR(E976="Vente directe",K976&lt;&gt;""),"Livrée",IF(J976&lt;&gt;"","Confirmée","En attente"))))</f>
        <v/>
      </c>
      <c r="S976" s="34">
        <f>IF(F976="","",IFERROR(VLOOKUP(F976,T_Produits,2,FALSE),""))</f>
        <v/>
      </c>
      <c r="T976" s="40">
        <f>IF(F976="","",IFERROR(1/(1/VLOOKUP(F976,T_Produits,3,FALSE)),""))</f>
        <v/>
      </c>
      <c r="U976" s="40">
        <f>IF(H976&lt;&gt;"",H976,T976)</f>
        <v/>
      </c>
      <c r="V976" s="40">
        <f>IF(OR(G976="",U976=""),"",G976*U976-N(I976))</f>
        <v/>
      </c>
      <c r="W976" s="39">
        <f>IF(D976="","",IFERROR(VALUE(MID(D976,LEN(D976)-3,3)),""))</f>
        <v/>
      </c>
      <c r="X976" s="33">
        <f>IF(W976="","",P976&amp;"|"&amp;W976)</f>
        <v/>
      </c>
      <c r="Y976" s="33">
        <f>IF(W976="","",IF(P976="À RENSEIGNER","GIC",P976)&amp;"-"&amp;TEXT(W976,"000"))</f>
        <v/>
      </c>
      <c r="Z976" s="33">
        <f>IF(X976="","",IFERROR(INDEX(Cl_nom,MATCH(X976,Cl_cle,0)),"(client introuvable)"))</f>
        <v/>
      </c>
      <c r="AA976" s="33">
        <f>IF(X976="","",IFERROR(INDEX(Cl_quartier,MATCH(X976,Cl_cle,0))&amp;"",""))</f>
        <v/>
      </c>
      <c r="AB976" s="45">
        <f>IF(R976&lt;&gt;"Livrée",0,IF(K976&lt;&gt;"",K976,C976))</f>
        <v/>
      </c>
      <c r="AC976" s="33">
        <f>IF(OR(C976="",W976=""),"",P976&amp;"|"&amp;W976&amp;"|"&amp;C976&amp;"|"&amp;E976)</f>
        <v/>
      </c>
      <c r="AD976" s="39">
        <f>IF(AC976="","",IF(COUNTIF(AC$6:AC976,AC976)=1,1,0))</f>
        <v/>
      </c>
      <c r="AE976" s="39">
        <f>IF(AB976=0,"",IF(COUNTIFS(X$6:X976,X976,AB$6:AB976,AB976)=1,1,0))</f>
        <v/>
      </c>
      <c r="AF976" s="34">
        <f>IF(C976="","",YEAR(C976-WEEKDAY(C976,2)+4)&amp;"-S"&amp;TEXT(INT((C976-DATE(YEAR(C976-WEEKDAY(C976,2)+4),1,3)+WEEKDAY(DATE(YEAR(C976-WEEKDAY(C976,2)+4),1,3),2)+5)/7),"00"))</f>
        <v/>
      </c>
    </row>
    <row r="977" ht="18" customHeight="1">
      <c r="A977" s="39" t="n">
        <v>972</v>
      </c>
      <c r="B977" s="33">
        <f>IF(C977="","",IF(P977="À RENSEIGNER","GIC",P977)&amp;"-C"&amp;TEXT(A977,"00000"))</f>
        <v/>
      </c>
      <c r="C977" s="32" t="n"/>
      <c r="D977" s="36" t="n"/>
      <c r="E977" s="36" t="n"/>
      <c r="F977" s="36" t="n"/>
      <c r="G977" s="42" t="n"/>
      <c r="H977" s="37" t="n"/>
      <c r="I977" s="37" t="n"/>
      <c r="J977" s="32" t="n"/>
      <c r="K977" s="32" t="n"/>
      <c r="L977" s="43" t="n"/>
      <c r="M977" s="36" t="n"/>
      <c r="N977" s="44" t="n"/>
      <c r="O977" s="36" t="n"/>
      <c r="P977" s="33">
        <f>IF(C977="","",Commercial_Id)</f>
        <v/>
      </c>
      <c r="Q977" s="34">
        <f>IF(AC977="","",IF(AD977=1,"C"&amp;TEXT(SUM(AD$6:AD977),"0000"),INDEX(Q$6:Q976,MATCH(AC977,AC$6:AC976,0))))</f>
        <v/>
      </c>
      <c r="R977" s="34">
        <f>IF(C977="","",IF(L977="☑ Oui","Annulée",IF(OR(E977="Vente directe",K977&lt;&gt;""),"Livrée",IF(J977&lt;&gt;"","Confirmée","En attente"))))</f>
        <v/>
      </c>
      <c r="S977" s="34">
        <f>IF(F977="","",IFERROR(VLOOKUP(F977,T_Produits,2,FALSE),""))</f>
        <v/>
      </c>
      <c r="T977" s="40">
        <f>IF(F977="","",IFERROR(1/(1/VLOOKUP(F977,T_Produits,3,FALSE)),""))</f>
        <v/>
      </c>
      <c r="U977" s="40">
        <f>IF(H977&lt;&gt;"",H977,T977)</f>
        <v/>
      </c>
      <c r="V977" s="40">
        <f>IF(OR(G977="",U977=""),"",G977*U977-N(I977))</f>
        <v/>
      </c>
      <c r="W977" s="39">
        <f>IF(D977="","",IFERROR(VALUE(MID(D977,LEN(D977)-3,3)),""))</f>
        <v/>
      </c>
      <c r="X977" s="33">
        <f>IF(W977="","",P977&amp;"|"&amp;W977)</f>
        <v/>
      </c>
      <c r="Y977" s="33">
        <f>IF(W977="","",IF(P977="À RENSEIGNER","GIC",P977)&amp;"-"&amp;TEXT(W977,"000"))</f>
        <v/>
      </c>
      <c r="Z977" s="33">
        <f>IF(X977="","",IFERROR(INDEX(Cl_nom,MATCH(X977,Cl_cle,0)),"(client introuvable)"))</f>
        <v/>
      </c>
      <c r="AA977" s="33">
        <f>IF(X977="","",IFERROR(INDEX(Cl_quartier,MATCH(X977,Cl_cle,0))&amp;"",""))</f>
        <v/>
      </c>
      <c r="AB977" s="45">
        <f>IF(R977&lt;&gt;"Livrée",0,IF(K977&lt;&gt;"",K977,C977))</f>
        <v/>
      </c>
      <c r="AC977" s="33">
        <f>IF(OR(C977="",W977=""),"",P977&amp;"|"&amp;W977&amp;"|"&amp;C977&amp;"|"&amp;E977)</f>
        <v/>
      </c>
      <c r="AD977" s="39">
        <f>IF(AC977="","",IF(COUNTIF(AC$6:AC977,AC977)=1,1,0))</f>
        <v/>
      </c>
      <c r="AE977" s="39">
        <f>IF(AB977=0,"",IF(COUNTIFS(X$6:X977,X977,AB$6:AB977,AB977)=1,1,0))</f>
        <v/>
      </c>
      <c r="AF977" s="34">
        <f>IF(C977="","",YEAR(C977-WEEKDAY(C977,2)+4)&amp;"-S"&amp;TEXT(INT((C977-DATE(YEAR(C977-WEEKDAY(C977,2)+4),1,3)+WEEKDAY(DATE(YEAR(C977-WEEKDAY(C977,2)+4),1,3),2)+5)/7),"00"))</f>
        <v/>
      </c>
    </row>
    <row r="978" ht="18" customHeight="1">
      <c r="A978" s="39" t="n">
        <v>973</v>
      </c>
      <c r="B978" s="33">
        <f>IF(C978="","",IF(P978="À RENSEIGNER","GIC",P978)&amp;"-C"&amp;TEXT(A978,"00000"))</f>
        <v/>
      </c>
      <c r="C978" s="32" t="n"/>
      <c r="D978" s="36" t="n"/>
      <c r="E978" s="36" t="n"/>
      <c r="F978" s="36" t="n"/>
      <c r="G978" s="42" t="n"/>
      <c r="H978" s="37" t="n"/>
      <c r="I978" s="37" t="n"/>
      <c r="J978" s="32" t="n"/>
      <c r="K978" s="32" t="n"/>
      <c r="L978" s="43" t="n"/>
      <c r="M978" s="36" t="n"/>
      <c r="N978" s="44" t="n"/>
      <c r="O978" s="36" t="n"/>
      <c r="P978" s="33">
        <f>IF(C978="","",Commercial_Id)</f>
        <v/>
      </c>
      <c r="Q978" s="34">
        <f>IF(AC978="","",IF(AD978=1,"C"&amp;TEXT(SUM(AD$6:AD978),"0000"),INDEX(Q$6:Q977,MATCH(AC978,AC$6:AC977,0))))</f>
        <v/>
      </c>
      <c r="R978" s="34">
        <f>IF(C978="","",IF(L978="☑ Oui","Annulée",IF(OR(E978="Vente directe",K978&lt;&gt;""),"Livrée",IF(J978&lt;&gt;"","Confirmée","En attente"))))</f>
        <v/>
      </c>
      <c r="S978" s="34">
        <f>IF(F978="","",IFERROR(VLOOKUP(F978,T_Produits,2,FALSE),""))</f>
        <v/>
      </c>
      <c r="T978" s="40">
        <f>IF(F978="","",IFERROR(1/(1/VLOOKUP(F978,T_Produits,3,FALSE)),""))</f>
        <v/>
      </c>
      <c r="U978" s="40">
        <f>IF(H978&lt;&gt;"",H978,T978)</f>
        <v/>
      </c>
      <c r="V978" s="40">
        <f>IF(OR(G978="",U978=""),"",G978*U978-N(I978))</f>
        <v/>
      </c>
      <c r="W978" s="39">
        <f>IF(D978="","",IFERROR(VALUE(MID(D978,LEN(D978)-3,3)),""))</f>
        <v/>
      </c>
      <c r="X978" s="33">
        <f>IF(W978="","",P978&amp;"|"&amp;W978)</f>
        <v/>
      </c>
      <c r="Y978" s="33">
        <f>IF(W978="","",IF(P978="À RENSEIGNER","GIC",P978)&amp;"-"&amp;TEXT(W978,"000"))</f>
        <v/>
      </c>
      <c r="Z978" s="33">
        <f>IF(X978="","",IFERROR(INDEX(Cl_nom,MATCH(X978,Cl_cle,0)),"(client introuvable)"))</f>
        <v/>
      </c>
      <c r="AA978" s="33">
        <f>IF(X978="","",IFERROR(INDEX(Cl_quartier,MATCH(X978,Cl_cle,0))&amp;"",""))</f>
        <v/>
      </c>
      <c r="AB978" s="45">
        <f>IF(R978&lt;&gt;"Livrée",0,IF(K978&lt;&gt;"",K978,C978))</f>
        <v/>
      </c>
      <c r="AC978" s="33">
        <f>IF(OR(C978="",W978=""),"",P978&amp;"|"&amp;W978&amp;"|"&amp;C978&amp;"|"&amp;E978)</f>
        <v/>
      </c>
      <c r="AD978" s="39">
        <f>IF(AC978="","",IF(COUNTIF(AC$6:AC978,AC978)=1,1,0))</f>
        <v/>
      </c>
      <c r="AE978" s="39">
        <f>IF(AB978=0,"",IF(COUNTIFS(X$6:X978,X978,AB$6:AB978,AB978)=1,1,0))</f>
        <v/>
      </c>
      <c r="AF978" s="34">
        <f>IF(C978="","",YEAR(C978-WEEKDAY(C978,2)+4)&amp;"-S"&amp;TEXT(INT((C978-DATE(YEAR(C978-WEEKDAY(C978,2)+4),1,3)+WEEKDAY(DATE(YEAR(C978-WEEKDAY(C978,2)+4),1,3),2)+5)/7),"00"))</f>
        <v/>
      </c>
    </row>
    <row r="979" ht="18" customHeight="1">
      <c r="A979" s="39" t="n">
        <v>974</v>
      </c>
      <c r="B979" s="33">
        <f>IF(C979="","",IF(P979="À RENSEIGNER","GIC",P979)&amp;"-C"&amp;TEXT(A979,"00000"))</f>
        <v/>
      </c>
      <c r="C979" s="32" t="n"/>
      <c r="D979" s="36" t="n"/>
      <c r="E979" s="36" t="n"/>
      <c r="F979" s="36" t="n"/>
      <c r="G979" s="42" t="n"/>
      <c r="H979" s="37" t="n"/>
      <c r="I979" s="37" t="n"/>
      <c r="J979" s="32" t="n"/>
      <c r="K979" s="32" t="n"/>
      <c r="L979" s="43" t="n"/>
      <c r="M979" s="36" t="n"/>
      <c r="N979" s="44" t="n"/>
      <c r="O979" s="36" t="n"/>
      <c r="P979" s="33">
        <f>IF(C979="","",Commercial_Id)</f>
        <v/>
      </c>
      <c r="Q979" s="34">
        <f>IF(AC979="","",IF(AD979=1,"C"&amp;TEXT(SUM(AD$6:AD979),"0000"),INDEX(Q$6:Q978,MATCH(AC979,AC$6:AC978,0))))</f>
        <v/>
      </c>
      <c r="R979" s="34">
        <f>IF(C979="","",IF(L979="☑ Oui","Annulée",IF(OR(E979="Vente directe",K979&lt;&gt;""),"Livrée",IF(J979&lt;&gt;"","Confirmée","En attente"))))</f>
        <v/>
      </c>
      <c r="S979" s="34">
        <f>IF(F979="","",IFERROR(VLOOKUP(F979,T_Produits,2,FALSE),""))</f>
        <v/>
      </c>
      <c r="T979" s="40">
        <f>IF(F979="","",IFERROR(1/(1/VLOOKUP(F979,T_Produits,3,FALSE)),""))</f>
        <v/>
      </c>
      <c r="U979" s="40">
        <f>IF(H979&lt;&gt;"",H979,T979)</f>
        <v/>
      </c>
      <c r="V979" s="40">
        <f>IF(OR(G979="",U979=""),"",G979*U979-N(I979))</f>
        <v/>
      </c>
      <c r="W979" s="39">
        <f>IF(D979="","",IFERROR(VALUE(MID(D979,LEN(D979)-3,3)),""))</f>
        <v/>
      </c>
      <c r="X979" s="33">
        <f>IF(W979="","",P979&amp;"|"&amp;W979)</f>
        <v/>
      </c>
      <c r="Y979" s="33">
        <f>IF(W979="","",IF(P979="À RENSEIGNER","GIC",P979)&amp;"-"&amp;TEXT(W979,"000"))</f>
        <v/>
      </c>
      <c r="Z979" s="33">
        <f>IF(X979="","",IFERROR(INDEX(Cl_nom,MATCH(X979,Cl_cle,0)),"(client introuvable)"))</f>
        <v/>
      </c>
      <c r="AA979" s="33">
        <f>IF(X979="","",IFERROR(INDEX(Cl_quartier,MATCH(X979,Cl_cle,0))&amp;"",""))</f>
        <v/>
      </c>
      <c r="AB979" s="45">
        <f>IF(R979&lt;&gt;"Livrée",0,IF(K979&lt;&gt;"",K979,C979))</f>
        <v/>
      </c>
      <c r="AC979" s="33">
        <f>IF(OR(C979="",W979=""),"",P979&amp;"|"&amp;W979&amp;"|"&amp;C979&amp;"|"&amp;E979)</f>
        <v/>
      </c>
      <c r="AD979" s="39">
        <f>IF(AC979="","",IF(COUNTIF(AC$6:AC979,AC979)=1,1,0))</f>
        <v/>
      </c>
      <c r="AE979" s="39">
        <f>IF(AB979=0,"",IF(COUNTIFS(X$6:X979,X979,AB$6:AB979,AB979)=1,1,0))</f>
        <v/>
      </c>
      <c r="AF979" s="34">
        <f>IF(C979="","",YEAR(C979-WEEKDAY(C979,2)+4)&amp;"-S"&amp;TEXT(INT((C979-DATE(YEAR(C979-WEEKDAY(C979,2)+4),1,3)+WEEKDAY(DATE(YEAR(C979-WEEKDAY(C979,2)+4),1,3),2)+5)/7),"00"))</f>
        <v/>
      </c>
    </row>
    <row r="980" ht="18" customHeight="1">
      <c r="A980" s="39" t="n">
        <v>975</v>
      </c>
      <c r="B980" s="33">
        <f>IF(C980="","",IF(P980="À RENSEIGNER","GIC",P980)&amp;"-C"&amp;TEXT(A980,"00000"))</f>
        <v/>
      </c>
      <c r="C980" s="32" t="n"/>
      <c r="D980" s="36" t="n"/>
      <c r="E980" s="36" t="n"/>
      <c r="F980" s="36" t="n"/>
      <c r="G980" s="42" t="n"/>
      <c r="H980" s="37" t="n"/>
      <c r="I980" s="37" t="n"/>
      <c r="J980" s="32" t="n"/>
      <c r="K980" s="32" t="n"/>
      <c r="L980" s="43" t="n"/>
      <c r="M980" s="36" t="n"/>
      <c r="N980" s="44" t="n"/>
      <c r="O980" s="36" t="n"/>
      <c r="P980" s="33">
        <f>IF(C980="","",Commercial_Id)</f>
        <v/>
      </c>
      <c r="Q980" s="34">
        <f>IF(AC980="","",IF(AD980=1,"C"&amp;TEXT(SUM(AD$6:AD980),"0000"),INDEX(Q$6:Q979,MATCH(AC980,AC$6:AC979,0))))</f>
        <v/>
      </c>
      <c r="R980" s="34">
        <f>IF(C980="","",IF(L980="☑ Oui","Annulée",IF(OR(E980="Vente directe",K980&lt;&gt;""),"Livrée",IF(J980&lt;&gt;"","Confirmée","En attente"))))</f>
        <v/>
      </c>
      <c r="S980" s="34">
        <f>IF(F980="","",IFERROR(VLOOKUP(F980,T_Produits,2,FALSE),""))</f>
        <v/>
      </c>
      <c r="T980" s="40">
        <f>IF(F980="","",IFERROR(1/(1/VLOOKUP(F980,T_Produits,3,FALSE)),""))</f>
        <v/>
      </c>
      <c r="U980" s="40">
        <f>IF(H980&lt;&gt;"",H980,T980)</f>
        <v/>
      </c>
      <c r="V980" s="40">
        <f>IF(OR(G980="",U980=""),"",G980*U980-N(I980))</f>
        <v/>
      </c>
      <c r="W980" s="39">
        <f>IF(D980="","",IFERROR(VALUE(MID(D980,LEN(D980)-3,3)),""))</f>
        <v/>
      </c>
      <c r="X980" s="33">
        <f>IF(W980="","",P980&amp;"|"&amp;W980)</f>
        <v/>
      </c>
      <c r="Y980" s="33">
        <f>IF(W980="","",IF(P980="À RENSEIGNER","GIC",P980)&amp;"-"&amp;TEXT(W980,"000"))</f>
        <v/>
      </c>
      <c r="Z980" s="33">
        <f>IF(X980="","",IFERROR(INDEX(Cl_nom,MATCH(X980,Cl_cle,0)),"(client introuvable)"))</f>
        <v/>
      </c>
      <c r="AA980" s="33">
        <f>IF(X980="","",IFERROR(INDEX(Cl_quartier,MATCH(X980,Cl_cle,0))&amp;"",""))</f>
        <v/>
      </c>
      <c r="AB980" s="45">
        <f>IF(R980&lt;&gt;"Livrée",0,IF(K980&lt;&gt;"",K980,C980))</f>
        <v/>
      </c>
      <c r="AC980" s="33">
        <f>IF(OR(C980="",W980=""),"",P980&amp;"|"&amp;W980&amp;"|"&amp;C980&amp;"|"&amp;E980)</f>
        <v/>
      </c>
      <c r="AD980" s="39">
        <f>IF(AC980="","",IF(COUNTIF(AC$6:AC980,AC980)=1,1,0))</f>
        <v/>
      </c>
      <c r="AE980" s="39">
        <f>IF(AB980=0,"",IF(COUNTIFS(X$6:X980,X980,AB$6:AB980,AB980)=1,1,0))</f>
        <v/>
      </c>
      <c r="AF980" s="34">
        <f>IF(C980="","",YEAR(C980-WEEKDAY(C980,2)+4)&amp;"-S"&amp;TEXT(INT((C980-DATE(YEAR(C980-WEEKDAY(C980,2)+4),1,3)+WEEKDAY(DATE(YEAR(C980-WEEKDAY(C980,2)+4),1,3),2)+5)/7),"00"))</f>
        <v/>
      </c>
    </row>
    <row r="981" ht="18" customHeight="1">
      <c r="A981" s="39" t="n">
        <v>976</v>
      </c>
      <c r="B981" s="33">
        <f>IF(C981="","",IF(P981="À RENSEIGNER","GIC",P981)&amp;"-C"&amp;TEXT(A981,"00000"))</f>
        <v/>
      </c>
      <c r="C981" s="32" t="n"/>
      <c r="D981" s="36" t="n"/>
      <c r="E981" s="36" t="n"/>
      <c r="F981" s="36" t="n"/>
      <c r="G981" s="42" t="n"/>
      <c r="H981" s="37" t="n"/>
      <c r="I981" s="37" t="n"/>
      <c r="J981" s="32" t="n"/>
      <c r="K981" s="32" t="n"/>
      <c r="L981" s="43" t="n"/>
      <c r="M981" s="36" t="n"/>
      <c r="N981" s="44" t="n"/>
      <c r="O981" s="36" t="n"/>
      <c r="P981" s="33">
        <f>IF(C981="","",Commercial_Id)</f>
        <v/>
      </c>
      <c r="Q981" s="34">
        <f>IF(AC981="","",IF(AD981=1,"C"&amp;TEXT(SUM(AD$6:AD981),"0000"),INDEX(Q$6:Q980,MATCH(AC981,AC$6:AC980,0))))</f>
        <v/>
      </c>
      <c r="R981" s="34">
        <f>IF(C981="","",IF(L981="☑ Oui","Annulée",IF(OR(E981="Vente directe",K981&lt;&gt;""),"Livrée",IF(J981&lt;&gt;"","Confirmée","En attente"))))</f>
        <v/>
      </c>
      <c r="S981" s="34">
        <f>IF(F981="","",IFERROR(VLOOKUP(F981,T_Produits,2,FALSE),""))</f>
        <v/>
      </c>
      <c r="T981" s="40">
        <f>IF(F981="","",IFERROR(1/(1/VLOOKUP(F981,T_Produits,3,FALSE)),""))</f>
        <v/>
      </c>
      <c r="U981" s="40">
        <f>IF(H981&lt;&gt;"",H981,T981)</f>
        <v/>
      </c>
      <c r="V981" s="40">
        <f>IF(OR(G981="",U981=""),"",G981*U981-N(I981))</f>
        <v/>
      </c>
      <c r="W981" s="39">
        <f>IF(D981="","",IFERROR(VALUE(MID(D981,LEN(D981)-3,3)),""))</f>
        <v/>
      </c>
      <c r="X981" s="33">
        <f>IF(W981="","",P981&amp;"|"&amp;W981)</f>
        <v/>
      </c>
      <c r="Y981" s="33">
        <f>IF(W981="","",IF(P981="À RENSEIGNER","GIC",P981)&amp;"-"&amp;TEXT(W981,"000"))</f>
        <v/>
      </c>
      <c r="Z981" s="33">
        <f>IF(X981="","",IFERROR(INDEX(Cl_nom,MATCH(X981,Cl_cle,0)),"(client introuvable)"))</f>
        <v/>
      </c>
      <c r="AA981" s="33">
        <f>IF(X981="","",IFERROR(INDEX(Cl_quartier,MATCH(X981,Cl_cle,0))&amp;"",""))</f>
        <v/>
      </c>
      <c r="AB981" s="45">
        <f>IF(R981&lt;&gt;"Livrée",0,IF(K981&lt;&gt;"",K981,C981))</f>
        <v/>
      </c>
      <c r="AC981" s="33">
        <f>IF(OR(C981="",W981=""),"",P981&amp;"|"&amp;W981&amp;"|"&amp;C981&amp;"|"&amp;E981)</f>
        <v/>
      </c>
      <c r="AD981" s="39">
        <f>IF(AC981="","",IF(COUNTIF(AC$6:AC981,AC981)=1,1,0))</f>
        <v/>
      </c>
      <c r="AE981" s="39">
        <f>IF(AB981=0,"",IF(COUNTIFS(X$6:X981,X981,AB$6:AB981,AB981)=1,1,0))</f>
        <v/>
      </c>
      <c r="AF981" s="34">
        <f>IF(C981="","",YEAR(C981-WEEKDAY(C981,2)+4)&amp;"-S"&amp;TEXT(INT((C981-DATE(YEAR(C981-WEEKDAY(C981,2)+4),1,3)+WEEKDAY(DATE(YEAR(C981-WEEKDAY(C981,2)+4),1,3),2)+5)/7),"00"))</f>
        <v/>
      </c>
    </row>
    <row r="982" ht="18" customHeight="1">
      <c r="A982" s="39" t="n">
        <v>977</v>
      </c>
      <c r="B982" s="33">
        <f>IF(C982="","",IF(P982="À RENSEIGNER","GIC",P982)&amp;"-C"&amp;TEXT(A982,"00000"))</f>
        <v/>
      </c>
      <c r="C982" s="32" t="n"/>
      <c r="D982" s="36" t="n"/>
      <c r="E982" s="36" t="n"/>
      <c r="F982" s="36" t="n"/>
      <c r="G982" s="42" t="n"/>
      <c r="H982" s="37" t="n"/>
      <c r="I982" s="37" t="n"/>
      <c r="J982" s="32" t="n"/>
      <c r="K982" s="32" t="n"/>
      <c r="L982" s="43" t="n"/>
      <c r="M982" s="36" t="n"/>
      <c r="N982" s="44" t="n"/>
      <c r="O982" s="36" t="n"/>
      <c r="P982" s="33">
        <f>IF(C982="","",Commercial_Id)</f>
        <v/>
      </c>
      <c r="Q982" s="34">
        <f>IF(AC982="","",IF(AD982=1,"C"&amp;TEXT(SUM(AD$6:AD982),"0000"),INDEX(Q$6:Q981,MATCH(AC982,AC$6:AC981,0))))</f>
        <v/>
      </c>
      <c r="R982" s="34">
        <f>IF(C982="","",IF(L982="☑ Oui","Annulée",IF(OR(E982="Vente directe",K982&lt;&gt;""),"Livrée",IF(J982&lt;&gt;"","Confirmée","En attente"))))</f>
        <v/>
      </c>
      <c r="S982" s="34">
        <f>IF(F982="","",IFERROR(VLOOKUP(F982,T_Produits,2,FALSE),""))</f>
        <v/>
      </c>
      <c r="T982" s="40">
        <f>IF(F982="","",IFERROR(1/(1/VLOOKUP(F982,T_Produits,3,FALSE)),""))</f>
        <v/>
      </c>
      <c r="U982" s="40">
        <f>IF(H982&lt;&gt;"",H982,T982)</f>
        <v/>
      </c>
      <c r="V982" s="40">
        <f>IF(OR(G982="",U982=""),"",G982*U982-N(I982))</f>
        <v/>
      </c>
      <c r="W982" s="39">
        <f>IF(D982="","",IFERROR(VALUE(MID(D982,LEN(D982)-3,3)),""))</f>
        <v/>
      </c>
      <c r="X982" s="33">
        <f>IF(W982="","",P982&amp;"|"&amp;W982)</f>
        <v/>
      </c>
      <c r="Y982" s="33">
        <f>IF(W982="","",IF(P982="À RENSEIGNER","GIC",P982)&amp;"-"&amp;TEXT(W982,"000"))</f>
        <v/>
      </c>
      <c r="Z982" s="33">
        <f>IF(X982="","",IFERROR(INDEX(Cl_nom,MATCH(X982,Cl_cle,0)),"(client introuvable)"))</f>
        <v/>
      </c>
      <c r="AA982" s="33">
        <f>IF(X982="","",IFERROR(INDEX(Cl_quartier,MATCH(X982,Cl_cle,0))&amp;"",""))</f>
        <v/>
      </c>
      <c r="AB982" s="45">
        <f>IF(R982&lt;&gt;"Livrée",0,IF(K982&lt;&gt;"",K982,C982))</f>
        <v/>
      </c>
      <c r="AC982" s="33">
        <f>IF(OR(C982="",W982=""),"",P982&amp;"|"&amp;W982&amp;"|"&amp;C982&amp;"|"&amp;E982)</f>
        <v/>
      </c>
      <c r="AD982" s="39">
        <f>IF(AC982="","",IF(COUNTIF(AC$6:AC982,AC982)=1,1,0))</f>
        <v/>
      </c>
      <c r="AE982" s="39">
        <f>IF(AB982=0,"",IF(COUNTIFS(X$6:X982,X982,AB$6:AB982,AB982)=1,1,0))</f>
        <v/>
      </c>
      <c r="AF982" s="34">
        <f>IF(C982="","",YEAR(C982-WEEKDAY(C982,2)+4)&amp;"-S"&amp;TEXT(INT((C982-DATE(YEAR(C982-WEEKDAY(C982,2)+4),1,3)+WEEKDAY(DATE(YEAR(C982-WEEKDAY(C982,2)+4),1,3),2)+5)/7),"00"))</f>
        <v/>
      </c>
    </row>
    <row r="983" ht="18" customHeight="1">
      <c r="A983" s="39" t="n">
        <v>978</v>
      </c>
      <c r="B983" s="33">
        <f>IF(C983="","",IF(P983="À RENSEIGNER","GIC",P983)&amp;"-C"&amp;TEXT(A983,"00000"))</f>
        <v/>
      </c>
      <c r="C983" s="32" t="n"/>
      <c r="D983" s="36" t="n"/>
      <c r="E983" s="36" t="n"/>
      <c r="F983" s="36" t="n"/>
      <c r="G983" s="42" t="n"/>
      <c r="H983" s="37" t="n"/>
      <c r="I983" s="37" t="n"/>
      <c r="J983" s="32" t="n"/>
      <c r="K983" s="32" t="n"/>
      <c r="L983" s="43" t="n"/>
      <c r="M983" s="36" t="n"/>
      <c r="N983" s="44" t="n"/>
      <c r="O983" s="36" t="n"/>
      <c r="P983" s="33">
        <f>IF(C983="","",Commercial_Id)</f>
        <v/>
      </c>
      <c r="Q983" s="34">
        <f>IF(AC983="","",IF(AD983=1,"C"&amp;TEXT(SUM(AD$6:AD983),"0000"),INDEX(Q$6:Q982,MATCH(AC983,AC$6:AC982,0))))</f>
        <v/>
      </c>
      <c r="R983" s="34">
        <f>IF(C983="","",IF(L983="☑ Oui","Annulée",IF(OR(E983="Vente directe",K983&lt;&gt;""),"Livrée",IF(J983&lt;&gt;"","Confirmée","En attente"))))</f>
        <v/>
      </c>
      <c r="S983" s="34">
        <f>IF(F983="","",IFERROR(VLOOKUP(F983,T_Produits,2,FALSE),""))</f>
        <v/>
      </c>
      <c r="T983" s="40">
        <f>IF(F983="","",IFERROR(1/(1/VLOOKUP(F983,T_Produits,3,FALSE)),""))</f>
        <v/>
      </c>
      <c r="U983" s="40">
        <f>IF(H983&lt;&gt;"",H983,T983)</f>
        <v/>
      </c>
      <c r="V983" s="40">
        <f>IF(OR(G983="",U983=""),"",G983*U983-N(I983))</f>
        <v/>
      </c>
      <c r="W983" s="39">
        <f>IF(D983="","",IFERROR(VALUE(MID(D983,LEN(D983)-3,3)),""))</f>
        <v/>
      </c>
      <c r="X983" s="33">
        <f>IF(W983="","",P983&amp;"|"&amp;W983)</f>
        <v/>
      </c>
      <c r="Y983" s="33">
        <f>IF(W983="","",IF(P983="À RENSEIGNER","GIC",P983)&amp;"-"&amp;TEXT(W983,"000"))</f>
        <v/>
      </c>
      <c r="Z983" s="33">
        <f>IF(X983="","",IFERROR(INDEX(Cl_nom,MATCH(X983,Cl_cle,0)),"(client introuvable)"))</f>
        <v/>
      </c>
      <c r="AA983" s="33">
        <f>IF(X983="","",IFERROR(INDEX(Cl_quartier,MATCH(X983,Cl_cle,0))&amp;"",""))</f>
        <v/>
      </c>
      <c r="AB983" s="45">
        <f>IF(R983&lt;&gt;"Livrée",0,IF(K983&lt;&gt;"",K983,C983))</f>
        <v/>
      </c>
      <c r="AC983" s="33">
        <f>IF(OR(C983="",W983=""),"",P983&amp;"|"&amp;W983&amp;"|"&amp;C983&amp;"|"&amp;E983)</f>
        <v/>
      </c>
      <c r="AD983" s="39">
        <f>IF(AC983="","",IF(COUNTIF(AC$6:AC983,AC983)=1,1,0))</f>
        <v/>
      </c>
      <c r="AE983" s="39">
        <f>IF(AB983=0,"",IF(COUNTIFS(X$6:X983,X983,AB$6:AB983,AB983)=1,1,0))</f>
        <v/>
      </c>
      <c r="AF983" s="34">
        <f>IF(C983="","",YEAR(C983-WEEKDAY(C983,2)+4)&amp;"-S"&amp;TEXT(INT((C983-DATE(YEAR(C983-WEEKDAY(C983,2)+4),1,3)+WEEKDAY(DATE(YEAR(C983-WEEKDAY(C983,2)+4),1,3),2)+5)/7),"00"))</f>
        <v/>
      </c>
    </row>
    <row r="984" ht="18" customHeight="1">
      <c r="A984" s="39" t="n">
        <v>979</v>
      </c>
      <c r="B984" s="33">
        <f>IF(C984="","",IF(P984="À RENSEIGNER","GIC",P984)&amp;"-C"&amp;TEXT(A984,"00000"))</f>
        <v/>
      </c>
      <c r="C984" s="32" t="n"/>
      <c r="D984" s="36" t="n"/>
      <c r="E984" s="36" t="n"/>
      <c r="F984" s="36" t="n"/>
      <c r="G984" s="42" t="n"/>
      <c r="H984" s="37" t="n"/>
      <c r="I984" s="37" t="n"/>
      <c r="J984" s="32" t="n"/>
      <c r="K984" s="32" t="n"/>
      <c r="L984" s="43" t="n"/>
      <c r="M984" s="36" t="n"/>
      <c r="N984" s="44" t="n"/>
      <c r="O984" s="36" t="n"/>
      <c r="P984" s="33">
        <f>IF(C984="","",Commercial_Id)</f>
        <v/>
      </c>
      <c r="Q984" s="34">
        <f>IF(AC984="","",IF(AD984=1,"C"&amp;TEXT(SUM(AD$6:AD984),"0000"),INDEX(Q$6:Q983,MATCH(AC984,AC$6:AC983,0))))</f>
        <v/>
      </c>
      <c r="R984" s="34">
        <f>IF(C984="","",IF(L984="☑ Oui","Annulée",IF(OR(E984="Vente directe",K984&lt;&gt;""),"Livrée",IF(J984&lt;&gt;"","Confirmée","En attente"))))</f>
        <v/>
      </c>
      <c r="S984" s="34">
        <f>IF(F984="","",IFERROR(VLOOKUP(F984,T_Produits,2,FALSE),""))</f>
        <v/>
      </c>
      <c r="T984" s="40">
        <f>IF(F984="","",IFERROR(1/(1/VLOOKUP(F984,T_Produits,3,FALSE)),""))</f>
        <v/>
      </c>
      <c r="U984" s="40">
        <f>IF(H984&lt;&gt;"",H984,T984)</f>
        <v/>
      </c>
      <c r="V984" s="40">
        <f>IF(OR(G984="",U984=""),"",G984*U984-N(I984))</f>
        <v/>
      </c>
      <c r="W984" s="39">
        <f>IF(D984="","",IFERROR(VALUE(MID(D984,LEN(D984)-3,3)),""))</f>
        <v/>
      </c>
      <c r="X984" s="33">
        <f>IF(W984="","",P984&amp;"|"&amp;W984)</f>
        <v/>
      </c>
      <c r="Y984" s="33">
        <f>IF(W984="","",IF(P984="À RENSEIGNER","GIC",P984)&amp;"-"&amp;TEXT(W984,"000"))</f>
        <v/>
      </c>
      <c r="Z984" s="33">
        <f>IF(X984="","",IFERROR(INDEX(Cl_nom,MATCH(X984,Cl_cle,0)),"(client introuvable)"))</f>
        <v/>
      </c>
      <c r="AA984" s="33">
        <f>IF(X984="","",IFERROR(INDEX(Cl_quartier,MATCH(X984,Cl_cle,0))&amp;"",""))</f>
        <v/>
      </c>
      <c r="AB984" s="45">
        <f>IF(R984&lt;&gt;"Livrée",0,IF(K984&lt;&gt;"",K984,C984))</f>
        <v/>
      </c>
      <c r="AC984" s="33">
        <f>IF(OR(C984="",W984=""),"",P984&amp;"|"&amp;W984&amp;"|"&amp;C984&amp;"|"&amp;E984)</f>
        <v/>
      </c>
      <c r="AD984" s="39">
        <f>IF(AC984="","",IF(COUNTIF(AC$6:AC984,AC984)=1,1,0))</f>
        <v/>
      </c>
      <c r="AE984" s="39">
        <f>IF(AB984=0,"",IF(COUNTIFS(X$6:X984,X984,AB$6:AB984,AB984)=1,1,0))</f>
        <v/>
      </c>
      <c r="AF984" s="34">
        <f>IF(C984="","",YEAR(C984-WEEKDAY(C984,2)+4)&amp;"-S"&amp;TEXT(INT((C984-DATE(YEAR(C984-WEEKDAY(C984,2)+4),1,3)+WEEKDAY(DATE(YEAR(C984-WEEKDAY(C984,2)+4),1,3),2)+5)/7),"00"))</f>
        <v/>
      </c>
    </row>
    <row r="985" ht="18" customHeight="1">
      <c r="A985" s="39" t="n">
        <v>980</v>
      </c>
      <c r="B985" s="33">
        <f>IF(C985="","",IF(P985="À RENSEIGNER","GIC",P985)&amp;"-C"&amp;TEXT(A985,"00000"))</f>
        <v/>
      </c>
      <c r="C985" s="32" t="n"/>
      <c r="D985" s="36" t="n"/>
      <c r="E985" s="36" t="n"/>
      <c r="F985" s="36" t="n"/>
      <c r="G985" s="42" t="n"/>
      <c r="H985" s="37" t="n"/>
      <c r="I985" s="37" t="n"/>
      <c r="J985" s="32" t="n"/>
      <c r="K985" s="32" t="n"/>
      <c r="L985" s="43" t="n"/>
      <c r="M985" s="36" t="n"/>
      <c r="N985" s="44" t="n"/>
      <c r="O985" s="36" t="n"/>
      <c r="P985" s="33">
        <f>IF(C985="","",Commercial_Id)</f>
        <v/>
      </c>
      <c r="Q985" s="34">
        <f>IF(AC985="","",IF(AD985=1,"C"&amp;TEXT(SUM(AD$6:AD985),"0000"),INDEX(Q$6:Q984,MATCH(AC985,AC$6:AC984,0))))</f>
        <v/>
      </c>
      <c r="R985" s="34">
        <f>IF(C985="","",IF(L985="☑ Oui","Annulée",IF(OR(E985="Vente directe",K985&lt;&gt;""),"Livrée",IF(J985&lt;&gt;"","Confirmée","En attente"))))</f>
        <v/>
      </c>
      <c r="S985" s="34">
        <f>IF(F985="","",IFERROR(VLOOKUP(F985,T_Produits,2,FALSE),""))</f>
        <v/>
      </c>
      <c r="T985" s="40">
        <f>IF(F985="","",IFERROR(1/(1/VLOOKUP(F985,T_Produits,3,FALSE)),""))</f>
        <v/>
      </c>
      <c r="U985" s="40">
        <f>IF(H985&lt;&gt;"",H985,T985)</f>
        <v/>
      </c>
      <c r="V985" s="40">
        <f>IF(OR(G985="",U985=""),"",G985*U985-N(I985))</f>
        <v/>
      </c>
      <c r="W985" s="39">
        <f>IF(D985="","",IFERROR(VALUE(MID(D985,LEN(D985)-3,3)),""))</f>
        <v/>
      </c>
      <c r="X985" s="33">
        <f>IF(W985="","",P985&amp;"|"&amp;W985)</f>
        <v/>
      </c>
      <c r="Y985" s="33">
        <f>IF(W985="","",IF(P985="À RENSEIGNER","GIC",P985)&amp;"-"&amp;TEXT(W985,"000"))</f>
        <v/>
      </c>
      <c r="Z985" s="33">
        <f>IF(X985="","",IFERROR(INDEX(Cl_nom,MATCH(X985,Cl_cle,0)),"(client introuvable)"))</f>
        <v/>
      </c>
      <c r="AA985" s="33">
        <f>IF(X985="","",IFERROR(INDEX(Cl_quartier,MATCH(X985,Cl_cle,0))&amp;"",""))</f>
        <v/>
      </c>
      <c r="AB985" s="45">
        <f>IF(R985&lt;&gt;"Livrée",0,IF(K985&lt;&gt;"",K985,C985))</f>
        <v/>
      </c>
      <c r="AC985" s="33">
        <f>IF(OR(C985="",W985=""),"",P985&amp;"|"&amp;W985&amp;"|"&amp;C985&amp;"|"&amp;E985)</f>
        <v/>
      </c>
      <c r="AD985" s="39">
        <f>IF(AC985="","",IF(COUNTIF(AC$6:AC985,AC985)=1,1,0))</f>
        <v/>
      </c>
      <c r="AE985" s="39">
        <f>IF(AB985=0,"",IF(COUNTIFS(X$6:X985,X985,AB$6:AB985,AB985)=1,1,0))</f>
        <v/>
      </c>
      <c r="AF985" s="34">
        <f>IF(C985="","",YEAR(C985-WEEKDAY(C985,2)+4)&amp;"-S"&amp;TEXT(INT((C985-DATE(YEAR(C985-WEEKDAY(C985,2)+4),1,3)+WEEKDAY(DATE(YEAR(C985-WEEKDAY(C985,2)+4),1,3),2)+5)/7),"00"))</f>
        <v/>
      </c>
    </row>
    <row r="986" ht="18" customHeight="1">
      <c r="A986" s="39" t="n">
        <v>981</v>
      </c>
      <c r="B986" s="33">
        <f>IF(C986="","",IF(P986="À RENSEIGNER","GIC",P986)&amp;"-C"&amp;TEXT(A986,"00000"))</f>
        <v/>
      </c>
      <c r="C986" s="32" t="n"/>
      <c r="D986" s="36" t="n"/>
      <c r="E986" s="36" t="n"/>
      <c r="F986" s="36" t="n"/>
      <c r="G986" s="42" t="n"/>
      <c r="H986" s="37" t="n"/>
      <c r="I986" s="37" t="n"/>
      <c r="J986" s="32" t="n"/>
      <c r="K986" s="32" t="n"/>
      <c r="L986" s="43" t="n"/>
      <c r="M986" s="36" t="n"/>
      <c r="N986" s="44" t="n"/>
      <c r="O986" s="36" t="n"/>
      <c r="P986" s="33">
        <f>IF(C986="","",Commercial_Id)</f>
        <v/>
      </c>
      <c r="Q986" s="34">
        <f>IF(AC986="","",IF(AD986=1,"C"&amp;TEXT(SUM(AD$6:AD986),"0000"),INDEX(Q$6:Q985,MATCH(AC986,AC$6:AC985,0))))</f>
        <v/>
      </c>
      <c r="R986" s="34">
        <f>IF(C986="","",IF(L986="☑ Oui","Annulée",IF(OR(E986="Vente directe",K986&lt;&gt;""),"Livrée",IF(J986&lt;&gt;"","Confirmée","En attente"))))</f>
        <v/>
      </c>
      <c r="S986" s="34">
        <f>IF(F986="","",IFERROR(VLOOKUP(F986,T_Produits,2,FALSE),""))</f>
        <v/>
      </c>
      <c r="T986" s="40">
        <f>IF(F986="","",IFERROR(1/(1/VLOOKUP(F986,T_Produits,3,FALSE)),""))</f>
        <v/>
      </c>
      <c r="U986" s="40">
        <f>IF(H986&lt;&gt;"",H986,T986)</f>
        <v/>
      </c>
      <c r="V986" s="40">
        <f>IF(OR(G986="",U986=""),"",G986*U986-N(I986))</f>
        <v/>
      </c>
      <c r="W986" s="39">
        <f>IF(D986="","",IFERROR(VALUE(MID(D986,LEN(D986)-3,3)),""))</f>
        <v/>
      </c>
      <c r="X986" s="33">
        <f>IF(W986="","",P986&amp;"|"&amp;W986)</f>
        <v/>
      </c>
      <c r="Y986" s="33">
        <f>IF(W986="","",IF(P986="À RENSEIGNER","GIC",P986)&amp;"-"&amp;TEXT(W986,"000"))</f>
        <v/>
      </c>
      <c r="Z986" s="33">
        <f>IF(X986="","",IFERROR(INDEX(Cl_nom,MATCH(X986,Cl_cle,0)),"(client introuvable)"))</f>
        <v/>
      </c>
      <c r="AA986" s="33">
        <f>IF(X986="","",IFERROR(INDEX(Cl_quartier,MATCH(X986,Cl_cle,0))&amp;"",""))</f>
        <v/>
      </c>
      <c r="AB986" s="45">
        <f>IF(R986&lt;&gt;"Livrée",0,IF(K986&lt;&gt;"",K986,C986))</f>
        <v/>
      </c>
      <c r="AC986" s="33">
        <f>IF(OR(C986="",W986=""),"",P986&amp;"|"&amp;W986&amp;"|"&amp;C986&amp;"|"&amp;E986)</f>
        <v/>
      </c>
      <c r="AD986" s="39">
        <f>IF(AC986="","",IF(COUNTIF(AC$6:AC986,AC986)=1,1,0))</f>
        <v/>
      </c>
      <c r="AE986" s="39">
        <f>IF(AB986=0,"",IF(COUNTIFS(X$6:X986,X986,AB$6:AB986,AB986)=1,1,0))</f>
        <v/>
      </c>
      <c r="AF986" s="34">
        <f>IF(C986="","",YEAR(C986-WEEKDAY(C986,2)+4)&amp;"-S"&amp;TEXT(INT((C986-DATE(YEAR(C986-WEEKDAY(C986,2)+4),1,3)+WEEKDAY(DATE(YEAR(C986-WEEKDAY(C986,2)+4),1,3),2)+5)/7),"00"))</f>
        <v/>
      </c>
    </row>
    <row r="987" ht="18" customHeight="1">
      <c r="A987" s="39" t="n">
        <v>982</v>
      </c>
      <c r="B987" s="33">
        <f>IF(C987="","",IF(P987="À RENSEIGNER","GIC",P987)&amp;"-C"&amp;TEXT(A987,"00000"))</f>
        <v/>
      </c>
      <c r="C987" s="32" t="n"/>
      <c r="D987" s="36" t="n"/>
      <c r="E987" s="36" t="n"/>
      <c r="F987" s="36" t="n"/>
      <c r="G987" s="42" t="n"/>
      <c r="H987" s="37" t="n"/>
      <c r="I987" s="37" t="n"/>
      <c r="J987" s="32" t="n"/>
      <c r="K987" s="32" t="n"/>
      <c r="L987" s="43" t="n"/>
      <c r="M987" s="36" t="n"/>
      <c r="N987" s="44" t="n"/>
      <c r="O987" s="36" t="n"/>
      <c r="P987" s="33">
        <f>IF(C987="","",Commercial_Id)</f>
        <v/>
      </c>
      <c r="Q987" s="34">
        <f>IF(AC987="","",IF(AD987=1,"C"&amp;TEXT(SUM(AD$6:AD987),"0000"),INDEX(Q$6:Q986,MATCH(AC987,AC$6:AC986,0))))</f>
        <v/>
      </c>
      <c r="R987" s="34">
        <f>IF(C987="","",IF(L987="☑ Oui","Annulée",IF(OR(E987="Vente directe",K987&lt;&gt;""),"Livrée",IF(J987&lt;&gt;"","Confirmée","En attente"))))</f>
        <v/>
      </c>
      <c r="S987" s="34">
        <f>IF(F987="","",IFERROR(VLOOKUP(F987,T_Produits,2,FALSE),""))</f>
        <v/>
      </c>
      <c r="T987" s="40">
        <f>IF(F987="","",IFERROR(1/(1/VLOOKUP(F987,T_Produits,3,FALSE)),""))</f>
        <v/>
      </c>
      <c r="U987" s="40">
        <f>IF(H987&lt;&gt;"",H987,T987)</f>
        <v/>
      </c>
      <c r="V987" s="40">
        <f>IF(OR(G987="",U987=""),"",G987*U987-N(I987))</f>
        <v/>
      </c>
      <c r="W987" s="39">
        <f>IF(D987="","",IFERROR(VALUE(MID(D987,LEN(D987)-3,3)),""))</f>
        <v/>
      </c>
      <c r="X987" s="33">
        <f>IF(W987="","",P987&amp;"|"&amp;W987)</f>
        <v/>
      </c>
      <c r="Y987" s="33">
        <f>IF(W987="","",IF(P987="À RENSEIGNER","GIC",P987)&amp;"-"&amp;TEXT(W987,"000"))</f>
        <v/>
      </c>
      <c r="Z987" s="33">
        <f>IF(X987="","",IFERROR(INDEX(Cl_nom,MATCH(X987,Cl_cle,0)),"(client introuvable)"))</f>
        <v/>
      </c>
      <c r="AA987" s="33">
        <f>IF(X987="","",IFERROR(INDEX(Cl_quartier,MATCH(X987,Cl_cle,0))&amp;"",""))</f>
        <v/>
      </c>
      <c r="AB987" s="45">
        <f>IF(R987&lt;&gt;"Livrée",0,IF(K987&lt;&gt;"",K987,C987))</f>
        <v/>
      </c>
      <c r="AC987" s="33">
        <f>IF(OR(C987="",W987=""),"",P987&amp;"|"&amp;W987&amp;"|"&amp;C987&amp;"|"&amp;E987)</f>
        <v/>
      </c>
      <c r="AD987" s="39">
        <f>IF(AC987="","",IF(COUNTIF(AC$6:AC987,AC987)=1,1,0))</f>
        <v/>
      </c>
      <c r="AE987" s="39">
        <f>IF(AB987=0,"",IF(COUNTIFS(X$6:X987,X987,AB$6:AB987,AB987)=1,1,0))</f>
        <v/>
      </c>
      <c r="AF987" s="34">
        <f>IF(C987="","",YEAR(C987-WEEKDAY(C987,2)+4)&amp;"-S"&amp;TEXT(INT((C987-DATE(YEAR(C987-WEEKDAY(C987,2)+4),1,3)+WEEKDAY(DATE(YEAR(C987-WEEKDAY(C987,2)+4),1,3),2)+5)/7),"00"))</f>
        <v/>
      </c>
    </row>
    <row r="988" ht="18" customHeight="1">
      <c r="A988" s="39" t="n">
        <v>983</v>
      </c>
      <c r="B988" s="33">
        <f>IF(C988="","",IF(P988="À RENSEIGNER","GIC",P988)&amp;"-C"&amp;TEXT(A988,"00000"))</f>
        <v/>
      </c>
      <c r="C988" s="32" t="n"/>
      <c r="D988" s="36" t="n"/>
      <c r="E988" s="36" t="n"/>
      <c r="F988" s="36" t="n"/>
      <c r="G988" s="42" t="n"/>
      <c r="H988" s="37" t="n"/>
      <c r="I988" s="37" t="n"/>
      <c r="J988" s="32" t="n"/>
      <c r="K988" s="32" t="n"/>
      <c r="L988" s="43" t="n"/>
      <c r="M988" s="36" t="n"/>
      <c r="N988" s="44" t="n"/>
      <c r="O988" s="36" t="n"/>
      <c r="P988" s="33">
        <f>IF(C988="","",Commercial_Id)</f>
        <v/>
      </c>
      <c r="Q988" s="34">
        <f>IF(AC988="","",IF(AD988=1,"C"&amp;TEXT(SUM(AD$6:AD988),"0000"),INDEX(Q$6:Q987,MATCH(AC988,AC$6:AC987,0))))</f>
        <v/>
      </c>
      <c r="R988" s="34">
        <f>IF(C988="","",IF(L988="☑ Oui","Annulée",IF(OR(E988="Vente directe",K988&lt;&gt;""),"Livrée",IF(J988&lt;&gt;"","Confirmée","En attente"))))</f>
        <v/>
      </c>
      <c r="S988" s="34">
        <f>IF(F988="","",IFERROR(VLOOKUP(F988,T_Produits,2,FALSE),""))</f>
        <v/>
      </c>
      <c r="T988" s="40">
        <f>IF(F988="","",IFERROR(1/(1/VLOOKUP(F988,T_Produits,3,FALSE)),""))</f>
        <v/>
      </c>
      <c r="U988" s="40">
        <f>IF(H988&lt;&gt;"",H988,T988)</f>
        <v/>
      </c>
      <c r="V988" s="40">
        <f>IF(OR(G988="",U988=""),"",G988*U988-N(I988))</f>
        <v/>
      </c>
      <c r="W988" s="39">
        <f>IF(D988="","",IFERROR(VALUE(MID(D988,LEN(D988)-3,3)),""))</f>
        <v/>
      </c>
      <c r="X988" s="33">
        <f>IF(W988="","",P988&amp;"|"&amp;W988)</f>
        <v/>
      </c>
      <c r="Y988" s="33">
        <f>IF(W988="","",IF(P988="À RENSEIGNER","GIC",P988)&amp;"-"&amp;TEXT(W988,"000"))</f>
        <v/>
      </c>
      <c r="Z988" s="33">
        <f>IF(X988="","",IFERROR(INDEX(Cl_nom,MATCH(X988,Cl_cle,0)),"(client introuvable)"))</f>
        <v/>
      </c>
      <c r="AA988" s="33">
        <f>IF(X988="","",IFERROR(INDEX(Cl_quartier,MATCH(X988,Cl_cle,0))&amp;"",""))</f>
        <v/>
      </c>
      <c r="AB988" s="45">
        <f>IF(R988&lt;&gt;"Livrée",0,IF(K988&lt;&gt;"",K988,C988))</f>
        <v/>
      </c>
      <c r="AC988" s="33">
        <f>IF(OR(C988="",W988=""),"",P988&amp;"|"&amp;W988&amp;"|"&amp;C988&amp;"|"&amp;E988)</f>
        <v/>
      </c>
      <c r="AD988" s="39">
        <f>IF(AC988="","",IF(COUNTIF(AC$6:AC988,AC988)=1,1,0))</f>
        <v/>
      </c>
      <c r="AE988" s="39">
        <f>IF(AB988=0,"",IF(COUNTIFS(X$6:X988,X988,AB$6:AB988,AB988)=1,1,0))</f>
        <v/>
      </c>
      <c r="AF988" s="34">
        <f>IF(C988="","",YEAR(C988-WEEKDAY(C988,2)+4)&amp;"-S"&amp;TEXT(INT((C988-DATE(YEAR(C988-WEEKDAY(C988,2)+4),1,3)+WEEKDAY(DATE(YEAR(C988-WEEKDAY(C988,2)+4),1,3),2)+5)/7),"00"))</f>
        <v/>
      </c>
    </row>
    <row r="989" ht="18" customHeight="1">
      <c r="A989" s="39" t="n">
        <v>984</v>
      </c>
      <c r="B989" s="33">
        <f>IF(C989="","",IF(P989="À RENSEIGNER","GIC",P989)&amp;"-C"&amp;TEXT(A989,"00000"))</f>
        <v/>
      </c>
      <c r="C989" s="32" t="n"/>
      <c r="D989" s="36" t="n"/>
      <c r="E989" s="36" t="n"/>
      <c r="F989" s="36" t="n"/>
      <c r="G989" s="42" t="n"/>
      <c r="H989" s="37" t="n"/>
      <c r="I989" s="37" t="n"/>
      <c r="J989" s="32" t="n"/>
      <c r="K989" s="32" t="n"/>
      <c r="L989" s="43" t="n"/>
      <c r="M989" s="36" t="n"/>
      <c r="N989" s="44" t="n"/>
      <c r="O989" s="36" t="n"/>
      <c r="P989" s="33">
        <f>IF(C989="","",Commercial_Id)</f>
        <v/>
      </c>
      <c r="Q989" s="34">
        <f>IF(AC989="","",IF(AD989=1,"C"&amp;TEXT(SUM(AD$6:AD989),"0000"),INDEX(Q$6:Q988,MATCH(AC989,AC$6:AC988,0))))</f>
        <v/>
      </c>
      <c r="R989" s="34">
        <f>IF(C989="","",IF(L989="☑ Oui","Annulée",IF(OR(E989="Vente directe",K989&lt;&gt;""),"Livrée",IF(J989&lt;&gt;"","Confirmée","En attente"))))</f>
        <v/>
      </c>
      <c r="S989" s="34">
        <f>IF(F989="","",IFERROR(VLOOKUP(F989,T_Produits,2,FALSE),""))</f>
        <v/>
      </c>
      <c r="T989" s="40">
        <f>IF(F989="","",IFERROR(1/(1/VLOOKUP(F989,T_Produits,3,FALSE)),""))</f>
        <v/>
      </c>
      <c r="U989" s="40">
        <f>IF(H989&lt;&gt;"",H989,T989)</f>
        <v/>
      </c>
      <c r="V989" s="40">
        <f>IF(OR(G989="",U989=""),"",G989*U989-N(I989))</f>
        <v/>
      </c>
      <c r="W989" s="39">
        <f>IF(D989="","",IFERROR(VALUE(MID(D989,LEN(D989)-3,3)),""))</f>
        <v/>
      </c>
      <c r="X989" s="33">
        <f>IF(W989="","",P989&amp;"|"&amp;W989)</f>
        <v/>
      </c>
      <c r="Y989" s="33">
        <f>IF(W989="","",IF(P989="À RENSEIGNER","GIC",P989)&amp;"-"&amp;TEXT(W989,"000"))</f>
        <v/>
      </c>
      <c r="Z989" s="33">
        <f>IF(X989="","",IFERROR(INDEX(Cl_nom,MATCH(X989,Cl_cle,0)),"(client introuvable)"))</f>
        <v/>
      </c>
      <c r="AA989" s="33">
        <f>IF(X989="","",IFERROR(INDEX(Cl_quartier,MATCH(X989,Cl_cle,0))&amp;"",""))</f>
        <v/>
      </c>
      <c r="AB989" s="45">
        <f>IF(R989&lt;&gt;"Livrée",0,IF(K989&lt;&gt;"",K989,C989))</f>
        <v/>
      </c>
      <c r="AC989" s="33">
        <f>IF(OR(C989="",W989=""),"",P989&amp;"|"&amp;W989&amp;"|"&amp;C989&amp;"|"&amp;E989)</f>
        <v/>
      </c>
      <c r="AD989" s="39">
        <f>IF(AC989="","",IF(COUNTIF(AC$6:AC989,AC989)=1,1,0))</f>
        <v/>
      </c>
      <c r="AE989" s="39">
        <f>IF(AB989=0,"",IF(COUNTIFS(X$6:X989,X989,AB$6:AB989,AB989)=1,1,0))</f>
        <v/>
      </c>
      <c r="AF989" s="34">
        <f>IF(C989="","",YEAR(C989-WEEKDAY(C989,2)+4)&amp;"-S"&amp;TEXT(INT((C989-DATE(YEAR(C989-WEEKDAY(C989,2)+4),1,3)+WEEKDAY(DATE(YEAR(C989-WEEKDAY(C989,2)+4),1,3),2)+5)/7),"00"))</f>
        <v/>
      </c>
    </row>
    <row r="990" ht="18" customHeight="1">
      <c r="A990" s="39" t="n">
        <v>985</v>
      </c>
      <c r="B990" s="33">
        <f>IF(C990="","",IF(P990="À RENSEIGNER","GIC",P990)&amp;"-C"&amp;TEXT(A990,"00000"))</f>
        <v/>
      </c>
      <c r="C990" s="32" t="n"/>
      <c r="D990" s="36" t="n"/>
      <c r="E990" s="36" t="n"/>
      <c r="F990" s="36" t="n"/>
      <c r="G990" s="42" t="n"/>
      <c r="H990" s="37" t="n"/>
      <c r="I990" s="37" t="n"/>
      <c r="J990" s="32" t="n"/>
      <c r="K990" s="32" t="n"/>
      <c r="L990" s="43" t="n"/>
      <c r="M990" s="36" t="n"/>
      <c r="N990" s="44" t="n"/>
      <c r="O990" s="36" t="n"/>
      <c r="P990" s="33">
        <f>IF(C990="","",Commercial_Id)</f>
        <v/>
      </c>
      <c r="Q990" s="34">
        <f>IF(AC990="","",IF(AD990=1,"C"&amp;TEXT(SUM(AD$6:AD990),"0000"),INDEX(Q$6:Q989,MATCH(AC990,AC$6:AC989,0))))</f>
        <v/>
      </c>
      <c r="R990" s="34">
        <f>IF(C990="","",IF(L990="☑ Oui","Annulée",IF(OR(E990="Vente directe",K990&lt;&gt;""),"Livrée",IF(J990&lt;&gt;"","Confirmée","En attente"))))</f>
        <v/>
      </c>
      <c r="S990" s="34">
        <f>IF(F990="","",IFERROR(VLOOKUP(F990,T_Produits,2,FALSE),""))</f>
        <v/>
      </c>
      <c r="T990" s="40">
        <f>IF(F990="","",IFERROR(1/(1/VLOOKUP(F990,T_Produits,3,FALSE)),""))</f>
        <v/>
      </c>
      <c r="U990" s="40">
        <f>IF(H990&lt;&gt;"",H990,T990)</f>
        <v/>
      </c>
      <c r="V990" s="40">
        <f>IF(OR(G990="",U990=""),"",G990*U990-N(I990))</f>
        <v/>
      </c>
      <c r="W990" s="39">
        <f>IF(D990="","",IFERROR(VALUE(MID(D990,LEN(D990)-3,3)),""))</f>
        <v/>
      </c>
      <c r="X990" s="33">
        <f>IF(W990="","",P990&amp;"|"&amp;W990)</f>
        <v/>
      </c>
      <c r="Y990" s="33">
        <f>IF(W990="","",IF(P990="À RENSEIGNER","GIC",P990)&amp;"-"&amp;TEXT(W990,"000"))</f>
        <v/>
      </c>
      <c r="Z990" s="33">
        <f>IF(X990="","",IFERROR(INDEX(Cl_nom,MATCH(X990,Cl_cle,0)),"(client introuvable)"))</f>
        <v/>
      </c>
      <c r="AA990" s="33">
        <f>IF(X990="","",IFERROR(INDEX(Cl_quartier,MATCH(X990,Cl_cle,0))&amp;"",""))</f>
        <v/>
      </c>
      <c r="AB990" s="45">
        <f>IF(R990&lt;&gt;"Livrée",0,IF(K990&lt;&gt;"",K990,C990))</f>
        <v/>
      </c>
      <c r="AC990" s="33">
        <f>IF(OR(C990="",W990=""),"",P990&amp;"|"&amp;W990&amp;"|"&amp;C990&amp;"|"&amp;E990)</f>
        <v/>
      </c>
      <c r="AD990" s="39">
        <f>IF(AC990="","",IF(COUNTIF(AC$6:AC990,AC990)=1,1,0))</f>
        <v/>
      </c>
      <c r="AE990" s="39">
        <f>IF(AB990=0,"",IF(COUNTIFS(X$6:X990,X990,AB$6:AB990,AB990)=1,1,0))</f>
        <v/>
      </c>
      <c r="AF990" s="34">
        <f>IF(C990="","",YEAR(C990-WEEKDAY(C990,2)+4)&amp;"-S"&amp;TEXT(INT((C990-DATE(YEAR(C990-WEEKDAY(C990,2)+4),1,3)+WEEKDAY(DATE(YEAR(C990-WEEKDAY(C990,2)+4),1,3),2)+5)/7),"00"))</f>
        <v/>
      </c>
    </row>
    <row r="991" ht="18" customHeight="1">
      <c r="A991" s="39" t="n">
        <v>986</v>
      </c>
      <c r="B991" s="33">
        <f>IF(C991="","",IF(P991="À RENSEIGNER","GIC",P991)&amp;"-C"&amp;TEXT(A991,"00000"))</f>
        <v/>
      </c>
      <c r="C991" s="32" t="n"/>
      <c r="D991" s="36" t="n"/>
      <c r="E991" s="36" t="n"/>
      <c r="F991" s="36" t="n"/>
      <c r="G991" s="42" t="n"/>
      <c r="H991" s="37" t="n"/>
      <c r="I991" s="37" t="n"/>
      <c r="J991" s="32" t="n"/>
      <c r="K991" s="32" t="n"/>
      <c r="L991" s="43" t="n"/>
      <c r="M991" s="36" t="n"/>
      <c r="N991" s="44" t="n"/>
      <c r="O991" s="36" t="n"/>
      <c r="P991" s="33">
        <f>IF(C991="","",Commercial_Id)</f>
        <v/>
      </c>
      <c r="Q991" s="34">
        <f>IF(AC991="","",IF(AD991=1,"C"&amp;TEXT(SUM(AD$6:AD991),"0000"),INDEX(Q$6:Q990,MATCH(AC991,AC$6:AC990,0))))</f>
        <v/>
      </c>
      <c r="R991" s="34">
        <f>IF(C991="","",IF(L991="☑ Oui","Annulée",IF(OR(E991="Vente directe",K991&lt;&gt;""),"Livrée",IF(J991&lt;&gt;"","Confirmée","En attente"))))</f>
        <v/>
      </c>
      <c r="S991" s="34">
        <f>IF(F991="","",IFERROR(VLOOKUP(F991,T_Produits,2,FALSE),""))</f>
        <v/>
      </c>
      <c r="T991" s="40">
        <f>IF(F991="","",IFERROR(1/(1/VLOOKUP(F991,T_Produits,3,FALSE)),""))</f>
        <v/>
      </c>
      <c r="U991" s="40">
        <f>IF(H991&lt;&gt;"",H991,T991)</f>
        <v/>
      </c>
      <c r="V991" s="40">
        <f>IF(OR(G991="",U991=""),"",G991*U991-N(I991))</f>
        <v/>
      </c>
      <c r="W991" s="39">
        <f>IF(D991="","",IFERROR(VALUE(MID(D991,LEN(D991)-3,3)),""))</f>
        <v/>
      </c>
      <c r="X991" s="33">
        <f>IF(W991="","",P991&amp;"|"&amp;W991)</f>
        <v/>
      </c>
      <c r="Y991" s="33">
        <f>IF(W991="","",IF(P991="À RENSEIGNER","GIC",P991)&amp;"-"&amp;TEXT(W991,"000"))</f>
        <v/>
      </c>
      <c r="Z991" s="33">
        <f>IF(X991="","",IFERROR(INDEX(Cl_nom,MATCH(X991,Cl_cle,0)),"(client introuvable)"))</f>
        <v/>
      </c>
      <c r="AA991" s="33">
        <f>IF(X991="","",IFERROR(INDEX(Cl_quartier,MATCH(X991,Cl_cle,0))&amp;"",""))</f>
        <v/>
      </c>
      <c r="AB991" s="45">
        <f>IF(R991&lt;&gt;"Livrée",0,IF(K991&lt;&gt;"",K991,C991))</f>
        <v/>
      </c>
      <c r="AC991" s="33">
        <f>IF(OR(C991="",W991=""),"",P991&amp;"|"&amp;W991&amp;"|"&amp;C991&amp;"|"&amp;E991)</f>
        <v/>
      </c>
      <c r="AD991" s="39">
        <f>IF(AC991="","",IF(COUNTIF(AC$6:AC991,AC991)=1,1,0))</f>
        <v/>
      </c>
      <c r="AE991" s="39">
        <f>IF(AB991=0,"",IF(COUNTIFS(X$6:X991,X991,AB$6:AB991,AB991)=1,1,0))</f>
        <v/>
      </c>
      <c r="AF991" s="34">
        <f>IF(C991="","",YEAR(C991-WEEKDAY(C991,2)+4)&amp;"-S"&amp;TEXT(INT((C991-DATE(YEAR(C991-WEEKDAY(C991,2)+4),1,3)+WEEKDAY(DATE(YEAR(C991-WEEKDAY(C991,2)+4),1,3),2)+5)/7),"00"))</f>
        <v/>
      </c>
    </row>
    <row r="992" ht="18" customHeight="1">
      <c r="A992" s="39" t="n">
        <v>987</v>
      </c>
      <c r="B992" s="33">
        <f>IF(C992="","",IF(P992="À RENSEIGNER","GIC",P992)&amp;"-C"&amp;TEXT(A992,"00000"))</f>
        <v/>
      </c>
      <c r="C992" s="32" t="n"/>
      <c r="D992" s="36" t="n"/>
      <c r="E992" s="36" t="n"/>
      <c r="F992" s="36" t="n"/>
      <c r="G992" s="42" t="n"/>
      <c r="H992" s="37" t="n"/>
      <c r="I992" s="37" t="n"/>
      <c r="J992" s="32" t="n"/>
      <c r="K992" s="32" t="n"/>
      <c r="L992" s="43" t="n"/>
      <c r="M992" s="36" t="n"/>
      <c r="N992" s="44" t="n"/>
      <c r="O992" s="36" t="n"/>
      <c r="P992" s="33">
        <f>IF(C992="","",Commercial_Id)</f>
        <v/>
      </c>
      <c r="Q992" s="34">
        <f>IF(AC992="","",IF(AD992=1,"C"&amp;TEXT(SUM(AD$6:AD992),"0000"),INDEX(Q$6:Q991,MATCH(AC992,AC$6:AC991,0))))</f>
        <v/>
      </c>
      <c r="R992" s="34">
        <f>IF(C992="","",IF(L992="☑ Oui","Annulée",IF(OR(E992="Vente directe",K992&lt;&gt;""),"Livrée",IF(J992&lt;&gt;"","Confirmée","En attente"))))</f>
        <v/>
      </c>
      <c r="S992" s="34">
        <f>IF(F992="","",IFERROR(VLOOKUP(F992,T_Produits,2,FALSE),""))</f>
        <v/>
      </c>
      <c r="T992" s="40">
        <f>IF(F992="","",IFERROR(1/(1/VLOOKUP(F992,T_Produits,3,FALSE)),""))</f>
        <v/>
      </c>
      <c r="U992" s="40">
        <f>IF(H992&lt;&gt;"",H992,T992)</f>
        <v/>
      </c>
      <c r="V992" s="40">
        <f>IF(OR(G992="",U992=""),"",G992*U992-N(I992))</f>
        <v/>
      </c>
      <c r="W992" s="39">
        <f>IF(D992="","",IFERROR(VALUE(MID(D992,LEN(D992)-3,3)),""))</f>
        <v/>
      </c>
      <c r="X992" s="33">
        <f>IF(W992="","",P992&amp;"|"&amp;W992)</f>
        <v/>
      </c>
      <c r="Y992" s="33">
        <f>IF(W992="","",IF(P992="À RENSEIGNER","GIC",P992)&amp;"-"&amp;TEXT(W992,"000"))</f>
        <v/>
      </c>
      <c r="Z992" s="33">
        <f>IF(X992="","",IFERROR(INDEX(Cl_nom,MATCH(X992,Cl_cle,0)),"(client introuvable)"))</f>
        <v/>
      </c>
      <c r="AA992" s="33">
        <f>IF(X992="","",IFERROR(INDEX(Cl_quartier,MATCH(X992,Cl_cle,0))&amp;"",""))</f>
        <v/>
      </c>
      <c r="AB992" s="45">
        <f>IF(R992&lt;&gt;"Livrée",0,IF(K992&lt;&gt;"",K992,C992))</f>
        <v/>
      </c>
      <c r="AC992" s="33">
        <f>IF(OR(C992="",W992=""),"",P992&amp;"|"&amp;W992&amp;"|"&amp;C992&amp;"|"&amp;E992)</f>
        <v/>
      </c>
      <c r="AD992" s="39">
        <f>IF(AC992="","",IF(COUNTIF(AC$6:AC992,AC992)=1,1,0))</f>
        <v/>
      </c>
      <c r="AE992" s="39">
        <f>IF(AB992=0,"",IF(COUNTIFS(X$6:X992,X992,AB$6:AB992,AB992)=1,1,0))</f>
        <v/>
      </c>
      <c r="AF992" s="34">
        <f>IF(C992="","",YEAR(C992-WEEKDAY(C992,2)+4)&amp;"-S"&amp;TEXT(INT((C992-DATE(YEAR(C992-WEEKDAY(C992,2)+4),1,3)+WEEKDAY(DATE(YEAR(C992-WEEKDAY(C992,2)+4),1,3),2)+5)/7),"00"))</f>
        <v/>
      </c>
    </row>
    <row r="993" ht="18" customHeight="1">
      <c r="A993" s="39" t="n">
        <v>988</v>
      </c>
      <c r="B993" s="33">
        <f>IF(C993="","",IF(P993="À RENSEIGNER","GIC",P993)&amp;"-C"&amp;TEXT(A993,"00000"))</f>
        <v/>
      </c>
      <c r="C993" s="32" t="n"/>
      <c r="D993" s="36" t="n"/>
      <c r="E993" s="36" t="n"/>
      <c r="F993" s="36" t="n"/>
      <c r="G993" s="42" t="n"/>
      <c r="H993" s="37" t="n"/>
      <c r="I993" s="37" t="n"/>
      <c r="J993" s="32" t="n"/>
      <c r="K993" s="32" t="n"/>
      <c r="L993" s="43" t="n"/>
      <c r="M993" s="36" t="n"/>
      <c r="N993" s="44" t="n"/>
      <c r="O993" s="36" t="n"/>
      <c r="P993" s="33">
        <f>IF(C993="","",Commercial_Id)</f>
        <v/>
      </c>
      <c r="Q993" s="34">
        <f>IF(AC993="","",IF(AD993=1,"C"&amp;TEXT(SUM(AD$6:AD993),"0000"),INDEX(Q$6:Q992,MATCH(AC993,AC$6:AC992,0))))</f>
        <v/>
      </c>
      <c r="R993" s="34">
        <f>IF(C993="","",IF(L993="☑ Oui","Annulée",IF(OR(E993="Vente directe",K993&lt;&gt;""),"Livrée",IF(J993&lt;&gt;"","Confirmée","En attente"))))</f>
        <v/>
      </c>
      <c r="S993" s="34">
        <f>IF(F993="","",IFERROR(VLOOKUP(F993,T_Produits,2,FALSE),""))</f>
        <v/>
      </c>
      <c r="T993" s="40">
        <f>IF(F993="","",IFERROR(1/(1/VLOOKUP(F993,T_Produits,3,FALSE)),""))</f>
        <v/>
      </c>
      <c r="U993" s="40">
        <f>IF(H993&lt;&gt;"",H993,T993)</f>
        <v/>
      </c>
      <c r="V993" s="40">
        <f>IF(OR(G993="",U993=""),"",G993*U993-N(I993))</f>
        <v/>
      </c>
      <c r="W993" s="39">
        <f>IF(D993="","",IFERROR(VALUE(MID(D993,LEN(D993)-3,3)),""))</f>
        <v/>
      </c>
      <c r="X993" s="33">
        <f>IF(W993="","",P993&amp;"|"&amp;W993)</f>
        <v/>
      </c>
      <c r="Y993" s="33">
        <f>IF(W993="","",IF(P993="À RENSEIGNER","GIC",P993)&amp;"-"&amp;TEXT(W993,"000"))</f>
        <v/>
      </c>
      <c r="Z993" s="33">
        <f>IF(X993="","",IFERROR(INDEX(Cl_nom,MATCH(X993,Cl_cle,0)),"(client introuvable)"))</f>
        <v/>
      </c>
      <c r="AA993" s="33">
        <f>IF(X993="","",IFERROR(INDEX(Cl_quartier,MATCH(X993,Cl_cle,0))&amp;"",""))</f>
        <v/>
      </c>
      <c r="AB993" s="45">
        <f>IF(R993&lt;&gt;"Livrée",0,IF(K993&lt;&gt;"",K993,C993))</f>
        <v/>
      </c>
      <c r="AC993" s="33">
        <f>IF(OR(C993="",W993=""),"",P993&amp;"|"&amp;W993&amp;"|"&amp;C993&amp;"|"&amp;E993)</f>
        <v/>
      </c>
      <c r="AD993" s="39">
        <f>IF(AC993="","",IF(COUNTIF(AC$6:AC993,AC993)=1,1,0))</f>
        <v/>
      </c>
      <c r="AE993" s="39">
        <f>IF(AB993=0,"",IF(COUNTIFS(X$6:X993,X993,AB$6:AB993,AB993)=1,1,0))</f>
        <v/>
      </c>
      <c r="AF993" s="34">
        <f>IF(C993="","",YEAR(C993-WEEKDAY(C993,2)+4)&amp;"-S"&amp;TEXT(INT((C993-DATE(YEAR(C993-WEEKDAY(C993,2)+4),1,3)+WEEKDAY(DATE(YEAR(C993-WEEKDAY(C993,2)+4),1,3),2)+5)/7),"00"))</f>
        <v/>
      </c>
    </row>
    <row r="994" ht="18" customHeight="1">
      <c r="A994" s="39" t="n">
        <v>989</v>
      </c>
      <c r="B994" s="33">
        <f>IF(C994="","",IF(P994="À RENSEIGNER","GIC",P994)&amp;"-C"&amp;TEXT(A994,"00000"))</f>
        <v/>
      </c>
      <c r="C994" s="32" t="n"/>
      <c r="D994" s="36" t="n"/>
      <c r="E994" s="36" t="n"/>
      <c r="F994" s="36" t="n"/>
      <c r="G994" s="42" t="n"/>
      <c r="H994" s="37" t="n"/>
      <c r="I994" s="37" t="n"/>
      <c r="J994" s="32" t="n"/>
      <c r="K994" s="32" t="n"/>
      <c r="L994" s="43" t="n"/>
      <c r="M994" s="36" t="n"/>
      <c r="N994" s="44" t="n"/>
      <c r="O994" s="36" t="n"/>
      <c r="P994" s="33">
        <f>IF(C994="","",Commercial_Id)</f>
        <v/>
      </c>
      <c r="Q994" s="34">
        <f>IF(AC994="","",IF(AD994=1,"C"&amp;TEXT(SUM(AD$6:AD994),"0000"),INDEX(Q$6:Q993,MATCH(AC994,AC$6:AC993,0))))</f>
        <v/>
      </c>
      <c r="R994" s="34">
        <f>IF(C994="","",IF(L994="☑ Oui","Annulée",IF(OR(E994="Vente directe",K994&lt;&gt;""),"Livrée",IF(J994&lt;&gt;"","Confirmée","En attente"))))</f>
        <v/>
      </c>
      <c r="S994" s="34">
        <f>IF(F994="","",IFERROR(VLOOKUP(F994,T_Produits,2,FALSE),""))</f>
        <v/>
      </c>
      <c r="T994" s="40">
        <f>IF(F994="","",IFERROR(1/(1/VLOOKUP(F994,T_Produits,3,FALSE)),""))</f>
        <v/>
      </c>
      <c r="U994" s="40">
        <f>IF(H994&lt;&gt;"",H994,T994)</f>
        <v/>
      </c>
      <c r="V994" s="40">
        <f>IF(OR(G994="",U994=""),"",G994*U994-N(I994))</f>
        <v/>
      </c>
      <c r="W994" s="39">
        <f>IF(D994="","",IFERROR(VALUE(MID(D994,LEN(D994)-3,3)),""))</f>
        <v/>
      </c>
      <c r="X994" s="33">
        <f>IF(W994="","",P994&amp;"|"&amp;W994)</f>
        <v/>
      </c>
      <c r="Y994" s="33">
        <f>IF(W994="","",IF(P994="À RENSEIGNER","GIC",P994)&amp;"-"&amp;TEXT(W994,"000"))</f>
        <v/>
      </c>
      <c r="Z994" s="33">
        <f>IF(X994="","",IFERROR(INDEX(Cl_nom,MATCH(X994,Cl_cle,0)),"(client introuvable)"))</f>
        <v/>
      </c>
      <c r="AA994" s="33">
        <f>IF(X994="","",IFERROR(INDEX(Cl_quartier,MATCH(X994,Cl_cle,0))&amp;"",""))</f>
        <v/>
      </c>
      <c r="AB994" s="45">
        <f>IF(R994&lt;&gt;"Livrée",0,IF(K994&lt;&gt;"",K994,C994))</f>
        <v/>
      </c>
      <c r="AC994" s="33">
        <f>IF(OR(C994="",W994=""),"",P994&amp;"|"&amp;W994&amp;"|"&amp;C994&amp;"|"&amp;E994)</f>
        <v/>
      </c>
      <c r="AD994" s="39">
        <f>IF(AC994="","",IF(COUNTIF(AC$6:AC994,AC994)=1,1,0))</f>
        <v/>
      </c>
      <c r="AE994" s="39">
        <f>IF(AB994=0,"",IF(COUNTIFS(X$6:X994,X994,AB$6:AB994,AB994)=1,1,0))</f>
        <v/>
      </c>
      <c r="AF994" s="34">
        <f>IF(C994="","",YEAR(C994-WEEKDAY(C994,2)+4)&amp;"-S"&amp;TEXT(INT((C994-DATE(YEAR(C994-WEEKDAY(C994,2)+4),1,3)+WEEKDAY(DATE(YEAR(C994-WEEKDAY(C994,2)+4),1,3),2)+5)/7),"00"))</f>
        <v/>
      </c>
    </row>
    <row r="995" ht="18" customHeight="1">
      <c r="A995" s="39" t="n">
        <v>990</v>
      </c>
      <c r="B995" s="33">
        <f>IF(C995="","",IF(P995="À RENSEIGNER","GIC",P995)&amp;"-C"&amp;TEXT(A995,"00000"))</f>
        <v/>
      </c>
      <c r="C995" s="32" t="n"/>
      <c r="D995" s="36" t="n"/>
      <c r="E995" s="36" t="n"/>
      <c r="F995" s="36" t="n"/>
      <c r="G995" s="42" t="n"/>
      <c r="H995" s="37" t="n"/>
      <c r="I995" s="37" t="n"/>
      <c r="J995" s="32" t="n"/>
      <c r="K995" s="32" t="n"/>
      <c r="L995" s="43" t="n"/>
      <c r="M995" s="36" t="n"/>
      <c r="N995" s="44" t="n"/>
      <c r="O995" s="36" t="n"/>
      <c r="P995" s="33">
        <f>IF(C995="","",Commercial_Id)</f>
        <v/>
      </c>
      <c r="Q995" s="34">
        <f>IF(AC995="","",IF(AD995=1,"C"&amp;TEXT(SUM(AD$6:AD995),"0000"),INDEX(Q$6:Q994,MATCH(AC995,AC$6:AC994,0))))</f>
        <v/>
      </c>
      <c r="R995" s="34">
        <f>IF(C995="","",IF(L995="☑ Oui","Annulée",IF(OR(E995="Vente directe",K995&lt;&gt;""),"Livrée",IF(J995&lt;&gt;"","Confirmée","En attente"))))</f>
        <v/>
      </c>
      <c r="S995" s="34">
        <f>IF(F995="","",IFERROR(VLOOKUP(F995,T_Produits,2,FALSE),""))</f>
        <v/>
      </c>
      <c r="T995" s="40">
        <f>IF(F995="","",IFERROR(1/(1/VLOOKUP(F995,T_Produits,3,FALSE)),""))</f>
        <v/>
      </c>
      <c r="U995" s="40">
        <f>IF(H995&lt;&gt;"",H995,T995)</f>
        <v/>
      </c>
      <c r="V995" s="40">
        <f>IF(OR(G995="",U995=""),"",G995*U995-N(I995))</f>
        <v/>
      </c>
      <c r="W995" s="39">
        <f>IF(D995="","",IFERROR(VALUE(MID(D995,LEN(D995)-3,3)),""))</f>
        <v/>
      </c>
      <c r="X995" s="33">
        <f>IF(W995="","",P995&amp;"|"&amp;W995)</f>
        <v/>
      </c>
      <c r="Y995" s="33">
        <f>IF(W995="","",IF(P995="À RENSEIGNER","GIC",P995)&amp;"-"&amp;TEXT(W995,"000"))</f>
        <v/>
      </c>
      <c r="Z995" s="33">
        <f>IF(X995="","",IFERROR(INDEX(Cl_nom,MATCH(X995,Cl_cle,0)),"(client introuvable)"))</f>
        <v/>
      </c>
      <c r="AA995" s="33">
        <f>IF(X995="","",IFERROR(INDEX(Cl_quartier,MATCH(X995,Cl_cle,0))&amp;"",""))</f>
        <v/>
      </c>
      <c r="AB995" s="45">
        <f>IF(R995&lt;&gt;"Livrée",0,IF(K995&lt;&gt;"",K995,C995))</f>
        <v/>
      </c>
      <c r="AC995" s="33">
        <f>IF(OR(C995="",W995=""),"",P995&amp;"|"&amp;W995&amp;"|"&amp;C995&amp;"|"&amp;E995)</f>
        <v/>
      </c>
      <c r="AD995" s="39">
        <f>IF(AC995="","",IF(COUNTIF(AC$6:AC995,AC995)=1,1,0))</f>
        <v/>
      </c>
      <c r="AE995" s="39">
        <f>IF(AB995=0,"",IF(COUNTIFS(X$6:X995,X995,AB$6:AB995,AB995)=1,1,0))</f>
        <v/>
      </c>
      <c r="AF995" s="34">
        <f>IF(C995="","",YEAR(C995-WEEKDAY(C995,2)+4)&amp;"-S"&amp;TEXT(INT((C995-DATE(YEAR(C995-WEEKDAY(C995,2)+4),1,3)+WEEKDAY(DATE(YEAR(C995-WEEKDAY(C995,2)+4),1,3),2)+5)/7),"00"))</f>
        <v/>
      </c>
    </row>
    <row r="996" ht="18" customHeight="1">
      <c r="A996" s="39" t="n">
        <v>991</v>
      </c>
      <c r="B996" s="33">
        <f>IF(C996="","",IF(P996="À RENSEIGNER","GIC",P996)&amp;"-C"&amp;TEXT(A996,"00000"))</f>
        <v/>
      </c>
      <c r="C996" s="32" t="n"/>
      <c r="D996" s="36" t="n"/>
      <c r="E996" s="36" t="n"/>
      <c r="F996" s="36" t="n"/>
      <c r="G996" s="42" t="n"/>
      <c r="H996" s="37" t="n"/>
      <c r="I996" s="37" t="n"/>
      <c r="J996" s="32" t="n"/>
      <c r="K996" s="32" t="n"/>
      <c r="L996" s="43" t="n"/>
      <c r="M996" s="36" t="n"/>
      <c r="N996" s="44" t="n"/>
      <c r="O996" s="36" t="n"/>
      <c r="P996" s="33">
        <f>IF(C996="","",Commercial_Id)</f>
        <v/>
      </c>
      <c r="Q996" s="34">
        <f>IF(AC996="","",IF(AD996=1,"C"&amp;TEXT(SUM(AD$6:AD996),"0000"),INDEX(Q$6:Q995,MATCH(AC996,AC$6:AC995,0))))</f>
        <v/>
      </c>
      <c r="R996" s="34">
        <f>IF(C996="","",IF(L996="☑ Oui","Annulée",IF(OR(E996="Vente directe",K996&lt;&gt;""),"Livrée",IF(J996&lt;&gt;"","Confirmée","En attente"))))</f>
        <v/>
      </c>
      <c r="S996" s="34">
        <f>IF(F996="","",IFERROR(VLOOKUP(F996,T_Produits,2,FALSE),""))</f>
        <v/>
      </c>
      <c r="T996" s="40">
        <f>IF(F996="","",IFERROR(1/(1/VLOOKUP(F996,T_Produits,3,FALSE)),""))</f>
        <v/>
      </c>
      <c r="U996" s="40">
        <f>IF(H996&lt;&gt;"",H996,T996)</f>
        <v/>
      </c>
      <c r="V996" s="40">
        <f>IF(OR(G996="",U996=""),"",G996*U996-N(I996))</f>
        <v/>
      </c>
      <c r="W996" s="39">
        <f>IF(D996="","",IFERROR(VALUE(MID(D996,LEN(D996)-3,3)),""))</f>
        <v/>
      </c>
      <c r="X996" s="33">
        <f>IF(W996="","",P996&amp;"|"&amp;W996)</f>
        <v/>
      </c>
      <c r="Y996" s="33">
        <f>IF(W996="","",IF(P996="À RENSEIGNER","GIC",P996)&amp;"-"&amp;TEXT(W996,"000"))</f>
        <v/>
      </c>
      <c r="Z996" s="33">
        <f>IF(X996="","",IFERROR(INDEX(Cl_nom,MATCH(X996,Cl_cle,0)),"(client introuvable)"))</f>
        <v/>
      </c>
      <c r="AA996" s="33">
        <f>IF(X996="","",IFERROR(INDEX(Cl_quartier,MATCH(X996,Cl_cle,0))&amp;"",""))</f>
        <v/>
      </c>
      <c r="AB996" s="45">
        <f>IF(R996&lt;&gt;"Livrée",0,IF(K996&lt;&gt;"",K996,C996))</f>
        <v/>
      </c>
      <c r="AC996" s="33">
        <f>IF(OR(C996="",W996=""),"",P996&amp;"|"&amp;W996&amp;"|"&amp;C996&amp;"|"&amp;E996)</f>
        <v/>
      </c>
      <c r="AD996" s="39">
        <f>IF(AC996="","",IF(COUNTIF(AC$6:AC996,AC996)=1,1,0))</f>
        <v/>
      </c>
      <c r="AE996" s="39">
        <f>IF(AB996=0,"",IF(COUNTIFS(X$6:X996,X996,AB$6:AB996,AB996)=1,1,0))</f>
        <v/>
      </c>
      <c r="AF996" s="34">
        <f>IF(C996="","",YEAR(C996-WEEKDAY(C996,2)+4)&amp;"-S"&amp;TEXT(INT((C996-DATE(YEAR(C996-WEEKDAY(C996,2)+4),1,3)+WEEKDAY(DATE(YEAR(C996-WEEKDAY(C996,2)+4),1,3),2)+5)/7),"00"))</f>
        <v/>
      </c>
    </row>
    <row r="997" ht="18" customHeight="1">
      <c r="A997" s="39" t="n">
        <v>992</v>
      </c>
      <c r="B997" s="33">
        <f>IF(C997="","",IF(P997="À RENSEIGNER","GIC",P997)&amp;"-C"&amp;TEXT(A997,"00000"))</f>
        <v/>
      </c>
      <c r="C997" s="32" t="n"/>
      <c r="D997" s="36" t="n"/>
      <c r="E997" s="36" t="n"/>
      <c r="F997" s="36" t="n"/>
      <c r="G997" s="42" t="n"/>
      <c r="H997" s="37" t="n"/>
      <c r="I997" s="37" t="n"/>
      <c r="J997" s="32" t="n"/>
      <c r="K997" s="32" t="n"/>
      <c r="L997" s="43" t="n"/>
      <c r="M997" s="36" t="n"/>
      <c r="N997" s="44" t="n"/>
      <c r="O997" s="36" t="n"/>
      <c r="P997" s="33">
        <f>IF(C997="","",Commercial_Id)</f>
        <v/>
      </c>
      <c r="Q997" s="34">
        <f>IF(AC997="","",IF(AD997=1,"C"&amp;TEXT(SUM(AD$6:AD997),"0000"),INDEX(Q$6:Q996,MATCH(AC997,AC$6:AC996,0))))</f>
        <v/>
      </c>
      <c r="R997" s="34">
        <f>IF(C997="","",IF(L997="☑ Oui","Annulée",IF(OR(E997="Vente directe",K997&lt;&gt;""),"Livrée",IF(J997&lt;&gt;"","Confirmée","En attente"))))</f>
        <v/>
      </c>
      <c r="S997" s="34">
        <f>IF(F997="","",IFERROR(VLOOKUP(F997,T_Produits,2,FALSE),""))</f>
        <v/>
      </c>
      <c r="T997" s="40">
        <f>IF(F997="","",IFERROR(1/(1/VLOOKUP(F997,T_Produits,3,FALSE)),""))</f>
        <v/>
      </c>
      <c r="U997" s="40">
        <f>IF(H997&lt;&gt;"",H997,T997)</f>
        <v/>
      </c>
      <c r="V997" s="40">
        <f>IF(OR(G997="",U997=""),"",G997*U997-N(I997))</f>
        <v/>
      </c>
      <c r="W997" s="39">
        <f>IF(D997="","",IFERROR(VALUE(MID(D997,LEN(D997)-3,3)),""))</f>
        <v/>
      </c>
      <c r="X997" s="33">
        <f>IF(W997="","",P997&amp;"|"&amp;W997)</f>
        <v/>
      </c>
      <c r="Y997" s="33">
        <f>IF(W997="","",IF(P997="À RENSEIGNER","GIC",P997)&amp;"-"&amp;TEXT(W997,"000"))</f>
        <v/>
      </c>
      <c r="Z997" s="33">
        <f>IF(X997="","",IFERROR(INDEX(Cl_nom,MATCH(X997,Cl_cle,0)),"(client introuvable)"))</f>
        <v/>
      </c>
      <c r="AA997" s="33">
        <f>IF(X997="","",IFERROR(INDEX(Cl_quartier,MATCH(X997,Cl_cle,0))&amp;"",""))</f>
        <v/>
      </c>
      <c r="AB997" s="45">
        <f>IF(R997&lt;&gt;"Livrée",0,IF(K997&lt;&gt;"",K997,C997))</f>
        <v/>
      </c>
      <c r="AC997" s="33">
        <f>IF(OR(C997="",W997=""),"",P997&amp;"|"&amp;W997&amp;"|"&amp;C997&amp;"|"&amp;E997)</f>
        <v/>
      </c>
      <c r="AD997" s="39">
        <f>IF(AC997="","",IF(COUNTIF(AC$6:AC997,AC997)=1,1,0))</f>
        <v/>
      </c>
      <c r="AE997" s="39">
        <f>IF(AB997=0,"",IF(COUNTIFS(X$6:X997,X997,AB$6:AB997,AB997)=1,1,0))</f>
        <v/>
      </c>
      <c r="AF997" s="34">
        <f>IF(C997="","",YEAR(C997-WEEKDAY(C997,2)+4)&amp;"-S"&amp;TEXT(INT((C997-DATE(YEAR(C997-WEEKDAY(C997,2)+4),1,3)+WEEKDAY(DATE(YEAR(C997-WEEKDAY(C997,2)+4),1,3),2)+5)/7),"00"))</f>
        <v/>
      </c>
    </row>
    <row r="998" ht="18" customHeight="1">
      <c r="A998" s="39" t="n">
        <v>993</v>
      </c>
      <c r="B998" s="33">
        <f>IF(C998="","",IF(P998="À RENSEIGNER","GIC",P998)&amp;"-C"&amp;TEXT(A998,"00000"))</f>
        <v/>
      </c>
      <c r="C998" s="32" t="n"/>
      <c r="D998" s="36" t="n"/>
      <c r="E998" s="36" t="n"/>
      <c r="F998" s="36" t="n"/>
      <c r="G998" s="42" t="n"/>
      <c r="H998" s="37" t="n"/>
      <c r="I998" s="37" t="n"/>
      <c r="J998" s="32" t="n"/>
      <c r="K998" s="32" t="n"/>
      <c r="L998" s="43" t="n"/>
      <c r="M998" s="36" t="n"/>
      <c r="N998" s="44" t="n"/>
      <c r="O998" s="36" t="n"/>
      <c r="P998" s="33">
        <f>IF(C998="","",Commercial_Id)</f>
        <v/>
      </c>
      <c r="Q998" s="34">
        <f>IF(AC998="","",IF(AD998=1,"C"&amp;TEXT(SUM(AD$6:AD998),"0000"),INDEX(Q$6:Q997,MATCH(AC998,AC$6:AC997,0))))</f>
        <v/>
      </c>
      <c r="R998" s="34">
        <f>IF(C998="","",IF(L998="☑ Oui","Annulée",IF(OR(E998="Vente directe",K998&lt;&gt;""),"Livrée",IF(J998&lt;&gt;"","Confirmée","En attente"))))</f>
        <v/>
      </c>
      <c r="S998" s="34">
        <f>IF(F998="","",IFERROR(VLOOKUP(F998,T_Produits,2,FALSE),""))</f>
        <v/>
      </c>
      <c r="T998" s="40">
        <f>IF(F998="","",IFERROR(1/(1/VLOOKUP(F998,T_Produits,3,FALSE)),""))</f>
        <v/>
      </c>
      <c r="U998" s="40">
        <f>IF(H998&lt;&gt;"",H998,T998)</f>
        <v/>
      </c>
      <c r="V998" s="40">
        <f>IF(OR(G998="",U998=""),"",G998*U998-N(I998))</f>
        <v/>
      </c>
      <c r="W998" s="39">
        <f>IF(D998="","",IFERROR(VALUE(MID(D998,LEN(D998)-3,3)),""))</f>
        <v/>
      </c>
      <c r="X998" s="33">
        <f>IF(W998="","",P998&amp;"|"&amp;W998)</f>
        <v/>
      </c>
      <c r="Y998" s="33">
        <f>IF(W998="","",IF(P998="À RENSEIGNER","GIC",P998)&amp;"-"&amp;TEXT(W998,"000"))</f>
        <v/>
      </c>
      <c r="Z998" s="33">
        <f>IF(X998="","",IFERROR(INDEX(Cl_nom,MATCH(X998,Cl_cle,0)),"(client introuvable)"))</f>
        <v/>
      </c>
      <c r="AA998" s="33">
        <f>IF(X998="","",IFERROR(INDEX(Cl_quartier,MATCH(X998,Cl_cle,0))&amp;"",""))</f>
        <v/>
      </c>
      <c r="AB998" s="45">
        <f>IF(R998&lt;&gt;"Livrée",0,IF(K998&lt;&gt;"",K998,C998))</f>
        <v/>
      </c>
      <c r="AC998" s="33">
        <f>IF(OR(C998="",W998=""),"",P998&amp;"|"&amp;W998&amp;"|"&amp;C998&amp;"|"&amp;E998)</f>
        <v/>
      </c>
      <c r="AD998" s="39">
        <f>IF(AC998="","",IF(COUNTIF(AC$6:AC998,AC998)=1,1,0))</f>
        <v/>
      </c>
      <c r="AE998" s="39">
        <f>IF(AB998=0,"",IF(COUNTIFS(X$6:X998,X998,AB$6:AB998,AB998)=1,1,0))</f>
        <v/>
      </c>
      <c r="AF998" s="34">
        <f>IF(C998="","",YEAR(C998-WEEKDAY(C998,2)+4)&amp;"-S"&amp;TEXT(INT((C998-DATE(YEAR(C998-WEEKDAY(C998,2)+4),1,3)+WEEKDAY(DATE(YEAR(C998-WEEKDAY(C998,2)+4),1,3),2)+5)/7),"00"))</f>
        <v/>
      </c>
    </row>
    <row r="999" ht="18" customHeight="1">
      <c r="A999" s="39" t="n">
        <v>994</v>
      </c>
      <c r="B999" s="33">
        <f>IF(C999="","",IF(P999="À RENSEIGNER","GIC",P999)&amp;"-C"&amp;TEXT(A999,"00000"))</f>
        <v/>
      </c>
      <c r="C999" s="32" t="n"/>
      <c r="D999" s="36" t="n"/>
      <c r="E999" s="36" t="n"/>
      <c r="F999" s="36" t="n"/>
      <c r="G999" s="42" t="n"/>
      <c r="H999" s="37" t="n"/>
      <c r="I999" s="37" t="n"/>
      <c r="J999" s="32" t="n"/>
      <c r="K999" s="32" t="n"/>
      <c r="L999" s="43" t="n"/>
      <c r="M999" s="36" t="n"/>
      <c r="N999" s="44" t="n"/>
      <c r="O999" s="36" t="n"/>
      <c r="P999" s="33">
        <f>IF(C999="","",Commercial_Id)</f>
        <v/>
      </c>
      <c r="Q999" s="34">
        <f>IF(AC999="","",IF(AD999=1,"C"&amp;TEXT(SUM(AD$6:AD999),"0000"),INDEX(Q$6:Q998,MATCH(AC999,AC$6:AC998,0))))</f>
        <v/>
      </c>
      <c r="R999" s="34">
        <f>IF(C999="","",IF(L999="☑ Oui","Annulée",IF(OR(E999="Vente directe",K999&lt;&gt;""),"Livrée",IF(J999&lt;&gt;"","Confirmée","En attente"))))</f>
        <v/>
      </c>
      <c r="S999" s="34">
        <f>IF(F999="","",IFERROR(VLOOKUP(F999,T_Produits,2,FALSE),""))</f>
        <v/>
      </c>
      <c r="T999" s="40">
        <f>IF(F999="","",IFERROR(1/(1/VLOOKUP(F999,T_Produits,3,FALSE)),""))</f>
        <v/>
      </c>
      <c r="U999" s="40">
        <f>IF(H999&lt;&gt;"",H999,T999)</f>
        <v/>
      </c>
      <c r="V999" s="40">
        <f>IF(OR(G999="",U999=""),"",G999*U999-N(I999))</f>
        <v/>
      </c>
      <c r="W999" s="39">
        <f>IF(D999="","",IFERROR(VALUE(MID(D999,LEN(D999)-3,3)),""))</f>
        <v/>
      </c>
      <c r="X999" s="33">
        <f>IF(W999="","",P999&amp;"|"&amp;W999)</f>
        <v/>
      </c>
      <c r="Y999" s="33">
        <f>IF(W999="","",IF(P999="À RENSEIGNER","GIC",P999)&amp;"-"&amp;TEXT(W999,"000"))</f>
        <v/>
      </c>
      <c r="Z999" s="33">
        <f>IF(X999="","",IFERROR(INDEX(Cl_nom,MATCH(X999,Cl_cle,0)),"(client introuvable)"))</f>
        <v/>
      </c>
      <c r="AA999" s="33">
        <f>IF(X999="","",IFERROR(INDEX(Cl_quartier,MATCH(X999,Cl_cle,0))&amp;"",""))</f>
        <v/>
      </c>
      <c r="AB999" s="45">
        <f>IF(R999&lt;&gt;"Livrée",0,IF(K999&lt;&gt;"",K999,C999))</f>
        <v/>
      </c>
      <c r="AC999" s="33">
        <f>IF(OR(C999="",W999=""),"",P999&amp;"|"&amp;W999&amp;"|"&amp;C999&amp;"|"&amp;E999)</f>
        <v/>
      </c>
      <c r="AD999" s="39">
        <f>IF(AC999="","",IF(COUNTIF(AC$6:AC999,AC999)=1,1,0))</f>
        <v/>
      </c>
      <c r="AE999" s="39">
        <f>IF(AB999=0,"",IF(COUNTIFS(X$6:X999,X999,AB$6:AB999,AB999)=1,1,0))</f>
        <v/>
      </c>
      <c r="AF999" s="34">
        <f>IF(C999="","",YEAR(C999-WEEKDAY(C999,2)+4)&amp;"-S"&amp;TEXT(INT((C999-DATE(YEAR(C999-WEEKDAY(C999,2)+4),1,3)+WEEKDAY(DATE(YEAR(C999-WEEKDAY(C999,2)+4),1,3),2)+5)/7),"00"))</f>
        <v/>
      </c>
    </row>
    <row r="1000" ht="18" customHeight="1">
      <c r="A1000" s="39" t="n">
        <v>995</v>
      </c>
      <c r="B1000" s="33">
        <f>IF(C1000="","",IF(P1000="À RENSEIGNER","GIC",P1000)&amp;"-C"&amp;TEXT(A1000,"00000"))</f>
        <v/>
      </c>
      <c r="C1000" s="32" t="n"/>
      <c r="D1000" s="36" t="n"/>
      <c r="E1000" s="36" t="n"/>
      <c r="F1000" s="36" t="n"/>
      <c r="G1000" s="42" t="n"/>
      <c r="H1000" s="37" t="n"/>
      <c r="I1000" s="37" t="n"/>
      <c r="J1000" s="32" t="n"/>
      <c r="K1000" s="32" t="n"/>
      <c r="L1000" s="43" t="n"/>
      <c r="M1000" s="36" t="n"/>
      <c r="N1000" s="44" t="n"/>
      <c r="O1000" s="36" t="n"/>
      <c r="P1000" s="33">
        <f>IF(C1000="","",Commercial_Id)</f>
        <v/>
      </c>
      <c r="Q1000" s="34">
        <f>IF(AC1000="","",IF(AD1000=1,"C"&amp;TEXT(SUM(AD$6:AD1000),"0000"),INDEX(Q$6:Q999,MATCH(AC1000,AC$6:AC999,0))))</f>
        <v/>
      </c>
      <c r="R1000" s="34">
        <f>IF(C1000="","",IF(L1000="☑ Oui","Annulée",IF(OR(E1000="Vente directe",K1000&lt;&gt;""),"Livrée",IF(J1000&lt;&gt;"","Confirmée","En attente"))))</f>
        <v/>
      </c>
      <c r="S1000" s="34">
        <f>IF(F1000="","",IFERROR(VLOOKUP(F1000,T_Produits,2,FALSE),""))</f>
        <v/>
      </c>
      <c r="T1000" s="40">
        <f>IF(F1000="","",IFERROR(1/(1/VLOOKUP(F1000,T_Produits,3,FALSE)),""))</f>
        <v/>
      </c>
      <c r="U1000" s="40">
        <f>IF(H1000&lt;&gt;"",H1000,T1000)</f>
        <v/>
      </c>
      <c r="V1000" s="40">
        <f>IF(OR(G1000="",U1000=""),"",G1000*U1000-N(I1000))</f>
        <v/>
      </c>
      <c r="W1000" s="39">
        <f>IF(D1000="","",IFERROR(VALUE(MID(D1000,LEN(D1000)-3,3)),""))</f>
        <v/>
      </c>
      <c r="X1000" s="33">
        <f>IF(W1000="","",P1000&amp;"|"&amp;W1000)</f>
        <v/>
      </c>
      <c r="Y1000" s="33">
        <f>IF(W1000="","",IF(P1000="À RENSEIGNER","GIC",P1000)&amp;"-"&amp;TEXT(W1000,"000"))</f>
        <v/>
      </c>
      <c r="Z1000" s="33">
        <f>IF(X1000="","",IFERROR(INDEX(Cl_nom,MATCH(X1000,Cl_cle,0)),"(client introuvable)"))</f>
        <v/>
      </c>
      <c r="AA1000" s="33">
        <f>IF(X1000="","",IFERROR(INDEX(Cl_quartier,MATCH(X1000,Cl_cle,0))&amp;"",""))</f>
        <v/>
      </c>
      <c r="AB1000" s="45">
        <f>IF(R1000&lt;&gt;"Livrée",0,IF(K1000&lt;&gt;"",K1000,C1000))</f>
        <v/>
      </c>
      <c r="AC1000" s="33">
        <f>IF(OR(C1000="",W1000=""),"",P1000&amp;"|"&amp;W1000&amp;"|"&amp;C1000&amp;"|"&amp;E1000)</f>
        <v/>
      </c>
      <c r="AD1000" s="39">
        <f>IF(AC1000="","",IF(COUNTIF(AC$6:AC1000,AC1000)=1,1,0))</f>
        <v/>
      </c>
      <c r="AE1000" s="39">
        <f>IF(AB1000=0,"",IF(COUNTIFS(X$6:X1000,X1000,AB$6:AB1000,AB1000)=1,1,0))</f>
        <v/>
      </c>
      <c r="AF1000" s="34">
        <f>IF(C1000="","",YEAR(C1000-WEEKDAY(C1000,2)+4)&amp;"-S"&amp;TEXT(INT((C1000-DATE(YEAR(C1000-WEEKDAY(C1000,2)+4),1,3)+WEEKDAY(DATE(YEAR(C1000-WEEKDAY(C1000,2)+4),1,3),2)+5)/7),"00"))</f>
        <v/>
      </c>
    </row>
    <row r="1001" ht="18" customHeight="1">
      <c r="A1001" s="39" t="n">
        <v>996</v>
      </c>
      <c r="B1001" s="33">
        <f>IF(C1001="","",IF(P1001="À RENSEIGNER","GIC",P1001)&amp;"-C"&amp;TEXT(A1001,"00000"))</f>
        <v/>
      </c>
      <c r="C1001" s="32" t="n"/>
      <c r="D1001" s="36" t="n"/>
      <c r="E1001" s="36" t="n"/>
      <c r="F1001" s="36" t="n"/>
      <c r="G1001" s="42" t="n"/>
      <c r="H1001" s="37" t="n"/>
      <c r="I1001" s="37" t="n"/>
      <c r="J1001" s="32" t="n"/>
      <c r="K1001" s="32" t="n"/>
      <c r="L1001" s="43" t="n"/>
      <c r="M1001" s="36" t="n"/>
      <c r="N1001" s="44" t="n"/>
      <c r="O1001" s="36" t="n"/>
      <c r="P1001" s="33">
        <f>IF(C1001="","",Commercial_Id)</f>
        <v/>
      </c>
      <c r="Q1001" s="34">
        <f>IF(AC1001="","",IF(AD1001=1,"C"&amp;TEXT(SUM(AD$6:AD1001),"0000"),INDEX(Q$6:Q1000,MATCH(AC1001,AC$6:AC1000,0))))</f>
        <v/>
      </c>
      <c r="R1001" s="34">
        <f>IF(C1001="","",IF(L1001="☑ Oui","Annulée",IF(OR(E1001="Vente directe",K1001&lt;&gt;""),"Livrée",IF(J1001&lt;&gt;"","Confirmée","En attente"))))</f>
        <v/>
      </c>
      <c r="S1001" s="34">
        <f>IF(F1001="","",IFERROR(VLOOKUP(F1001,T_Produits,2,FALSE),""))</f>
        <v/>
      </c>
      <c r="T1001" s="40">
        <f>IF(F1001="","",IFERROR(1/(1/VLOOKUP(F1001,T_Produits,3,FALSE)),""))</f>
        <v/>
      </c>
      <c r="U1001" s="40">
        <f>IF(H1001&lt;&gt;"",H1001,T1001)</f>
        <v/>
      </c>
      <c r="V1001" s="40">
        <f>IF(OR(G1001="",U1001=""),"",G1001*U1001-N(I1001))</f>
        <v/>
      </c>
      <c r="W1001" s="39">
        <f>IF(D1001="","",IFERROR(VALUE(MID(D1001,LEN(D1001)-3,3)),""))</f>
        <v/>
      </c>
      <c r="X1001" s="33">
        <f>IF(W1001="","",P1001&amp;"|"&amp;W1001)</f>
        <v/>
      </c>
      <c r="Y1001" s="33">
        <f>IF(W1001="","",IF(P1001="À RENSEIGNER","GIC",P1001)&amp;"-"&amp;TEXT(W1001,"000"))</f>
        <v/>
      </c>
      <c r="Z1001" s="33">
        <f>IF(X1001="","",IFERROR(INDEX(Cl_nom,MATCH(X1001,Cl_cle,0)),"(client introuvable)"))</f>
        <v/>
      </c>
      <c r="AA1001" s="33">
        <f>IF(X1001="","",IFERROR(INDEX(Cl_quartier,MATCH(X1001,Cl_cle,0))&amp;"",""))</f>
        <v/>
      </c>
      <c r="AB1001" s="45">
        <f>IF(R1001&lt;&gt;"Livrée",0,IF(K1001&lt;&gt;"",K1001,C1001))</f>
        <v/>
      </c>
      <c r="AC1001" s="33">
        <f>IF(OR(C1001="",W1001=""),"",P1001&amp;"|"&amp;W1001&amp;"|"&amp;C1001&amp;"|"&amp;E1001)</f>
        <v/>
      </c>
      <c r="AD1001" s="39">
        <f>IF(AC1001="","",IF(COUNTIF(AC$6:AC1001,AC1001)=1,1,0))</f>
        <v/>
      </c>
      <c r="AE1001" s="39">
        <f>IF(AB1001=0,"",IF(COUNTIFS(X$6:X1001,X1001,AB$6:AB1001,AB1001)=1,1,0))</f>
        <v/>
      </c>
      <c r="AF1001" s="34">
        <f>IF(C1001="","",YEAR(C1001-WEEKDAY(C1001,2)+4)&amp;"-S"&amp;TEXT(INT((C1001-DATE(YEAR(C1001-WEEKDAY(C1001,2)+4),1,3)+WEEKDAY(DATE(YEAR(C1001-WEEKDAY(C1001,2)+4),1,3),2)+5)/7),"00"))</f>
        <v/>
      </c>
    </row>
    <row r="1002" ht="18" customHeight="1">
      <c r="A1002" s="39" t="n">
        <v>997</v>
      </c>
      <c r="B1002" s="33">
        <f>IF(C1002="","",IF(P1002="À RENSEIGNER","GIC",P1002)&amp;"-C"&amp;TEXT(A1002,"00000"))</f>
        <v/>
      </c>
      <c r="C1002" s="32" t="n"/>
      <c r="D1002" s="36" t="n"/>
      <c r="E1002" s="36" t="n"/>
      <c r="F1002" s="36" t="n"/>
      <c r="G1002" s="42" t="n"/>
      <c r="H1002" s="37" t="n"/>
      <c r="I1002" s="37" t="n"/>
      <c r="J1002" s="32" t="n"/>
      <c r="K1002" s="32" t="n"/>
      <c r="L1002" s="43" t="n"/>
      <c r="M1002" s="36" t="n"/>
      <c r="N1002" s="44" t="n"/>
      <c r="O1002" s="36" t="n"/>
      <c r="P1002" s="33">
        <f>IF(C1002="","",Commercial_Id)</f>
        <v/>
      </c>
      <c r="Q1002" s="34">
        <f>IF(AC1002="","",IF(AD1002=1,"C"&amp;TEXT(SUM(AD$6:AD1002),"0000"),INDEX(Q$6:Q1001,MATCH(AC1002,AC$6:AC1001,0))))</f>
        <v/>
      </c>
      <c r="R1002" s="34">
        <f>IF(C1002="","",IF(L1002="☑ Oui","Annulée",IF(OR(E1002="Vente directe",K1002&lt;&gt;""),"Livrée",IF(J1002&lt;&gt;"","Confirmée","En attente"))))</f>
        <v/>
      </c>
      <c r="S1002" s="34">
        <f>IF(F1002="","",IFERROR(VLOOKUP(F1002,T_Produits,2,FALSE),""))</f>
        <v/>
      </c>
      <c r="T1002" s="40">
        <f>IF(F1002="","",IFERROR(1/(1/VLOOKUP(F1002,T_Produits,3,FALSE)),""))</f>
        <v/>
      </c>
      <c r="U1002" s="40">
        <f>IF(H1002&lt;&gt;"",H1002,T1002)</f>
        <v/>
      </c>
      <c r="V1002" s="40">
        <f>IF(OR(G1002="",U1002=""),"",G1002*U1002-N(I1002))</f>
        <v/>
      </c>
      <c r="W1002" s="39">
        <f>IF(D1002="","",IFERROR(VALUE(MID(D1002,LEN(D1002)-3,3)),""))</f>
        <v/>
      </c>
      <c r="X1002" s="33">
        <f>IF(W1002="","",P1002&amp;"|"&amp;W1002)</f>
        <v/>
      </c>
      <c r="Y1002" s="33">
        <f>IF(W1002="","",IF(P1002="À RENSEIGNER","GIC",P1002)&amp;"-"&amp;TEXT(W1002,"000"))</f>
        <v/>
      </c>
      <c r="Z1002" s="33">
        <f>IF(X1002="","",IFERROR(INDEX(Cl_nom,MATCH(X1002,Cl_cle,0)),"(client introuvable)"))</f>
        <v/>
      </c>
      <c r="AA1002" s="33">
        <f>IF(X1002="","",IFERROR(INDEX(Cl_quartier,MATCH(X1002,Cl_cle,0))&amp;"",""))</f>
        <v/>
      </c>
      <c r="AB1002" s="45">
        <f>IF(R1002&lt;&gt;"Livrée",0,IF(K1002&lt;&gt;"",K1002,C1002))</f>
        <v/>
      </c>
      <c r="AC1002" s="33">
        <f>IF(OR(C1002="",W1002=""),"",P1002&amp;"|"&amp;W1002&amp;"|"&amp;C1002&amp;"|"&amp;E1002)</f>
        <v/>
      </c>
      <c r="AD1002" s="39">
        <f>IF(AC1002="","",IF(COUNTIF(AC$6:AC1002,AC1002)=1,1,0))</f>
        <v/>
      </c>
      <c r="AE1002" s="39">
        <f>IF(AB1002=0,"",IF(COUNTIFS(X$6:X1002,X1002,AB$6:AB1002,AB1002)=1,1,0))</f>
        <v/>
      </c>
      <c r="AF1002" s="34">
        <f>IF(C1002="","",YEAR(C1002-WEEKDAY(C1002,2)+4)&amp;"-S"&amp;TEXT(INT((C1002-DATE(YEAR(C1002-WEEKDAY(C1002,2)+4),1,3)+WEEKDAY(DATE(YEAR(C1002-WEEKDAY(C1002,2)+4),1,3),2)+5)/7),"00"))</f>
        <v/>
      </c>
    </row>
    <row r="1003" ht="18" customHeight="1">
      <c r="A1003" s="39" t="n">
        <v>998</v>
      </c>
      <c r="B1003" s="33">
        <f>IF(C1003="","",IF(P1003="À RENSEIGNER","GIC",P1003)&amp;"-C"&amp;TEXT(A1003,"00000"))</f>
        <v/>
      </c>
      <c r="C1003" s="32" t="n"/>
      <c r="D1003" s="36" t="n"/>
      <c r="E1003" s="36" t="n"/>
      <c r="F1003" s="36" t="n"/>
      <c r="G1003" s="42" t="n"/>
      <c r="H1003" s="37" t="n"/>
      <c r="I1003" s="37" t="n"/>
      <c r="J1003" s="32" t="n"/>
      <c r="K1003" s="32" t="n"/>
      <c r="L1003" s="43" t="n"/>
      <c r="M1003" s="36" t="n"/>
      <c r="N1003" s="44" t="n"/>
      <c r="O1003" s="36" t="n"/>
      <c r="P1003" s="33">
        <f>IF(C1003="","",Commercial_Id)</f>
        <v/>
      </c>
      <c r="Q1003" s="34">
        <f>IF(AC1003="","",IF(AD1003=1,"C"&amp;TEXT(SUM(AD$6:AD1003),"0000"),INDEX(Q$6:Q1002,MATCH(AC1003,AC$6:AC1002,0))))</f>
        <v/>
      </c>
      <c r="R1003" s="34">
        <f>IF(C1003="","",IF(L1003="☑ Oui","Annulée",IF(OR(E1003="Vente directe",K1003&lt;&gt;""),"Livrée",IF(J1003&lt;&gt;"","Confirmée","En attente"))))</f>
        <v/>
      </c>
      <c r="S1003" s="34">
        <f>IF(F1003="","",IFERROR(VLOOKUP(F1003,T_Produits,2,FALSE),""))</f>
        <v/>
      </c>
      <c r="T1003" s="40">
        <f>IF(F1003="","",IFERROR(1/(1/VLOOKUP(F1003,T_Produits,3,FALSE)),""))</f>
        <v/>
      </c>
      <c r="U1003" s="40">
        <f>IF(H1003&lt;&gt;"",H1003,T1003)</f>
        <v/>
      </c>
      <c r="V1003" s="40">
        <f>IF(OR(G1003="",U1003=""),"",G1003*U1003-N(I1003))</f>
        <v/>
      </c>
      <c r="W1003" s="39">
        <f>IF(D1003="","",IFERROR(VALUE(MID(D1003,LEN(D1003)-3,3)),""))</f>
        <v/>
      </c>
      <c r="X1003" s="33">
        <f>IF(W1003="","",P1003&amp;"|"&amp;W1003)</f>
        <v/>
      </c>
      <c r="Y1003" s="33">
        <f>IF(W1003="","",IF(P1003="À RENSEIGNER","GIC",P1003)&amp;"-"&amp;TEXT(W1003,"000"))</f>
        <v/>
      </c>
      <c r="Z1003" s="33">
        <f>IF(X1003="","",IFERROR(INDEX(Cl_nom,MATCH(X1003,Cl_cle,0)),"(client introuvable)"))</f>
        <v/>
      </c>
      <c r="AA1003" s="33">
        <f>IF(X1003="","",IFERROR(INDEX(Cl_quartier,MATCH(X1003,Cl_cle,0))&amp;"",""))</f>
        <v/>
      </c>
      <c r="AB1003" s="45">
        <f>IF(R1003&lt;&gt;"Livrée",0,IF(K1003&lt;&gt;"",K1003,C1003))</f>
        <v/>
      </c>
      <c r="AC1003" s="33">
        <f>IF(OR(C1003="",W1003=""),"",P1003&amp;"|"&amp;W1003&amp;"|"&amp;C1003&amp;"|"&amp;E1003)</f>
        <v/>
      </c>
      <c r="AD1003" s="39">
        <f>IF(AC1003="","",IF(COUNTIF(AC$6:AC1003,AC1003)=1,1,0))</f>
        <v/>
      </c>
      <c r="AE1003" s="39">
        <f>IF(AB1003=0,"",IF(COUNTIFS(X$6:X1003,X1003,AB$6:AB1003,AB1003)=1,1,0))</f>
        <v/>
      </c>
      <c r="AF1003" s="34">
        <f>IF(C1003="","",YEAR(C1003-WEEKDAY(C1003,2)+4)&amp;"-S"&amp;TEXT(INT((C1003-DATE(YEAR(C1003-WEEKDAY(C1003,2)+4),1,3)+WEEKDAY(DATE(YEAR(C1003-WEEKDAY(C1003,2)+4),1,3),2)+5)/7),"00"))</f>
        <v/>
      </c>
    </row>
    <row r="1004" ht="18" customHeight="1">
      <c r="A1004" s="39" t="n">
        <v>999</v>
      </c>
      <c r="B1004" s="33">
        <f>IF(C1004="","",IF(P1004="À RENSEIGNER","GIC",P1004)&amp;"-C"&amp;TEXT(A1004,"00000"))</f>
        <v/>
      </c>
      <c r="C1004" s="32" t="n"/>
      <c r="D1004" s="36" t="n"/>
      <c r="E1004" s="36" t="n"/>
      <c r="F1004" s="36" t="n"/>
      <c r="G1004" s="42" t="n"/>
      <c r="H1004" s="37" t="n"/>
      <c r="I1004" s="37" t="n"/>
      <c r="J1004" s="32" t="n"/>
      <c r="K1004" s="32" t="n"/>
      <c r="L1004" s="43" t="n"/>
      <c r="M1004" s="36" t="n"/>
      <c r="N1004" s="44" t="n"/>
      <c r="O1004" s="36" t="n"/>
      <c r="P1004" s="33">
        <f>IF(C1004="","",Commercial_Id)</f>
        <v/>
      </c>
      <c r="Q1004" s="34">
        <f>IF(AC1004="","",IF(AD1004=1,"C"&amp;TEXT(SUM(AD$6:AD1004),"0000"),INDEX(Q$6:Q1003,MATCH(AC1004,AC$6:AC1003,0))))</f>
        <v/>
      </c>
      <c r="R1004" s="34">
        <f>IF(C1004="","",IF(L1004="☑ Oui","Annulée",IF(OR(E1004="Vente directe",K1004&lt;&gt;""),"Livrée",IF(J1004&lt;&gt;"","Confirmée","En attente"))))</f>
        <v/>
      </c>
      <c r="S1004" s="34">
        <f>IF(F1004="","",IFERROR(VLOOKUP(F1004,T_Produits,2,FALSE),""))</f>
        <v/>
      </c>
      <c r="T1004" s="40">
        <f>IF(F1004="","",IFERROR(1/(1/VLOOKUP(F1004,T_Produits,3,FALSE)),""))</f>
        <v/>
      </c>
      <c r="U1004" s="40">
        <f>IF(H1004&lt;&gt;"",H1004,T1004)</f>
        <v/>
      </c>
      <c r="V1004" s="40">
        <f>IF(OR(G1004="",U1004=""),"",G1004*U1004-N(I1004))</f>
        <v/>
      </c>
      <c r="W1004" s="39">
        <f>IF(D1004="","",IFERROR(VALUE(MID(D1004,LEN(D1004)-3,3)),""))</f>
        <v/>
      </c>
      <c r="X1004" s="33">
        <f>IF(W1004="","",P1004&amp;"|"&amp;W1004)</f>
        <v/>
      </c>
      <c r="Y1004" s="33">
        <f>IF(W1004="","",IF(P1004="À RENSEIGNER","GIC",P1004)&amp;"-"&amp;TEXT(W1004,"000"))</f>
        <v/>
      </c>
      <c r="Z1004" s="33">
        <f>IF(X1004="","",IFERROR(INDEX(Cl_nom,MATCH(X1004,Cl_cle,0)),"(client introuvable)"))</f>
        <v/>
      </c>
      <c r="AA1004" s="33">
        <f>IF(X1004="","",IFERROR(INDEX(Cl_quartier,MATCH(X1004,Cl_cle,0))&amp;"",""))</f>
        <v/>
      </c>
      <c r="AB1004" s="45">
        <f>IF(R1004&lt;&gt;"Livrée",0,IF(K1004&lt;&gt;"",K1004,C1004))</f>
        <v/>
      </c>
      <c r="AC1004" s="33">
        <f>IF(OR(C1004="",W1004=""),"",P1004&amp;"|"&amp;W1004&amp;"|"&amp;C1004&amp;"|"&amp;E1004)</f>
        <v/>
      </c>
      <c r="AD1004" s="39">
        <f>IF(AC1004="","",IF(COUNTIF(AC$6:AC1004,AC1004)=1,1,0))</f>
        <v/>
      </c>
      <c r="AE1004" s="39">
        <f>IF(AB1004=0,"",IF(COUNTIFS(X$6:X1004,X1004,AB$6:AB1004,AB1004)=1,1,0))</f>
        <v/>
      </c>
      <c r="AF1004" s="34">
        <f>IF(C1004="","",YEAR(C1004-WEEKDAY(C1004,2)+4)&amp;"-S"&amp;TEXT(INT((C1004-DATE(YEAR(C1004-WEEKDAY(C1004,2)+4),1,3)+WEEKDAY(DATE(YEAR(C1004-WEEKDAY(C1004,2)+4),1,3),2)+5)/7),"00"))</f>
        <v/>
      </c>
    </row>
    <row r="1005" ht="18" customHeight="1">
      <c r="A1005" s="39" t="n">
        <v>1000</v>
      </c>
      <c r="B1005" s="33">
        <f>IF(C1005="","",IF(P1005="À RENSEIGNER","GIC",P1005)&amp;"-C"&amp;TEXT(A1005,"00000"))</f>
        <v/>
      </c>
      <c r="C1005" s="32" t="n"/>
      <c r="D1005" s="36" t="n"/>
      <c r="E1005" s="36" t="n"/>
      <c r="F1005" s="36" t="n"/>
      <c r="G1005" s="42" t="n"/>
      <c r="H1005" s="37" t="n"/>
      <c r="I1005" s="37" t="n"/>
      <c r="J1005" s="32" t="n"/>
      <c r="K1005" s="32" t="n"/>
      <c r="L1005" s="43" t="n"/>
      <c r="M1005" s="36" t="n"/>
      <c r="N1005" s="44" t="n"/>
      <c r="O1005" s="36" t="n"/>
      <c r="P1005" s="33">
        <f>IF(C1005="","",Commercial_Id)</f>
        <v/>
      </c>
      <c r="Q1005" s="34">
        <f>IF(AC1005="","",IF(AD1005=1,"C"&amp;TEXT(SUM(AD$6:AD1005),"0000"),INDEX(Q$6:Q1004,MATCH(AC1005,AC$6:AC1004,0))))</f>
        <v/>
      </c>
      <c r="R1005" s="34">
        <f>IF(C1005="","",IF(L1005="☑ Oui","Annulée",IF(OR(E1005="Vente directe",K1005&lt;&gt;""),"Livrée",IF(J1005&lt;&gt;"","Confirmée","En attente"))))</f>
        <v/>
      </c>
      <c r="S1005" s="34">
        <f>IF(F1005="","",IFERROR(VLOOKUP(F1005,T_Produits,2,FALSE),""))</f>
        <v/>
      </c>
      <c r="T1005" s="40">
        <f>IF(F1005="","",IFERROR(1/(1/VLOOKUP(F1005,T_Produits,3,FALSE)),""))</f>
        <v/>
      </c>
      <c r="U1005" s="40">
        <f>IF(H1005&lt;&gt;"",H1005,T1005)</f>
        <v/>
      </c>
      <c r="V1005" s="40">
        <f>IF(OR(G1005="",U1005=""),"",G1005*U1005-N(I1005))</f>
        <v/>
      </c>
      <c r="W1005" s="39">
        <f>IF(D1005="","",IFERROR(VALUE(MID(D1005,LEN(D1005)-3,3)),""))</f>
        <v/>
      </c>
      <c r="X1005" s="33">
        <f>IF(W1005="","",P1005&amp;"|"&amp;W1005)</f>
        <v/>
      </c>
      <c r="Y1005" s="33">
        <f>IF(W1005="","",IF(P1005="À RENSEIGNER","GIC",P1005)&amp;"-"&amp;TEXT(W1005,"000"))</f>
        <v/>
      </c>
      <c r="Z1005" s="33">
        <f>IF(X1005="","",IFERROR(INDEX(Cl_nom,MATCH(X1005,Cl_cle,0)),"(client introuvable)"))</f>
        <v/>
      </c>
      <c r="AA1005" s="33">
        <f>IF(X1005="","",IFERROR(INDEX(Cl_quartier,MATCH(X1005,Cl_cle,0))&amp;"",""))</f>
        <v/>
      </c>
      <c r="AB1005" s="45">
        <f>IF(R1005&lt;&gt;"Livrée",0,IF(K1005&lt;&gt;"",K1005,C1005))</f>
        <v/>
      </c>
      <c r="AC1005" s="33">
        <f>IF(OR(C1005="",W1005=""),"",P1005&amp;"|"&amp;W1005&amp;"|"&amp;C1005&amp;"|"&amp;E1005)</f>
        <v/>
      </c>
      <c r="AD1005" s="39">
        <f>IF(AC1005="","",IF(COUNTIF(AC$6:AC1005,AC1005)=1,1,0))</f>
        <v/>
      </c>
      <c r="AE1005" s="39">
        <f>IF(AB1005=0,"",IF(COUNTIFS(X$6:X1005,X1005,AB$6:AB1005,AB1005)=1,1,0))</f>
        <v/>
      </c>
      <c r="AF1005" s="34">
        <f>IF(C1005="","",YEAR(C1005-WEEKDAY(C1005,2)+4)&amp;"-S"&amp;TEXT(INT((C1005-DATE(YEAR(C1005-WEEKDAY(C1005,2)+4),1,3)+WEEKDAY(DATE(YEAR(C1005-WEEKDAY(C1005,2)+4),1,3),2)+5)/7),"00"))</f>
        <v/>
      </c>
    </row>
    <row r="1006" ht="18" customHeight="1">
      <c r="A1006" s="39" t="n">
        <v>1001</v>
      </c>
      <c r="B1006" s="33">
        <f>IF(C1006="","",IF(P1006="À RENSEIGNER","GIC",P1006)&amp;"-C"&amp;TEXT(A1006,"00000"))</f>
        <v/>
      </c>
      <c r="C1006" s="32" t="n"/>
      <c r="D1006" s="36" t="n"/>
      <c r="E1006" s="36" t="n"/>
      <c r="F1006" s="36" t="n"/>
      <c r="G1006" s="42" t="n"/>
      <c r="H1006" s="37" t="n"/>
      <c r="I1006" s="37" t="n"/>
      <c r="J1006" s="32" t="n"/>
      <c r="K1006" s="32" t="n"/>
      <c r="L1006" s="43" t="n"/>
      <c r="M1006" s="36" t="n"/>
      <c r="N1006" s="44" t="n"/>
      <c r="O1006" s="36" t="n"/>
      <c r="P1006" s="33">
        <f>IF(C1006="","",Commercial_Id)</f>
        <v/>
      </c>
      <c r="Q1006" s="34">
        <f>IF(AC1006="","",IF(AD1006=1,"C"&amp;TEXT(SUM(AD$6:AD1006),"0000"),INDEX(Q$6:Q1005,MATCH(AC1006,AC$6:AC1005,0))))</f>
        <v/>
      </c>
      <c r="R1006" s="34">
        <f>IF(C1006="","",IF(L1006="☑ Oui","Annulée",IF(OR(E1006="Vente directe",K1006&lt;&gt;""),"Livrée",IF(J1006&lt;&gt;"","Confirmée","En attente"))))</f>
        <v/>
      </c>
      <c r="S1006" s="34">
        <f>IF(F1006="","",IFERROR(VLOOKUP(F1006,T_Produits,2,FALSE),""))</f>
        <v/>
      </c>
      <c r="T1006" s="40">
        <f>IF(F1006="","",IFERROR(1/(1/VLOOKUP(F1006,T_Produits,3,FALSE)),""))</f>
        <v/>
      </c>
      <c r="U1006" s="40">
        <f>IF(H1006&lt;&gt;"",H1006,T1006)</f>
        <v/>
      </c>
      <c r="V1006" s="40">
        <f>IF(OR(G1006="",U1006=""),"",G1006*U1006-N(I1006))</f>
        <v/>
      </c>
      <c r="W1006" s="39">
        <f>IF(D1006="","",IFERROR(VALUE(MID(D1006,LEN(D1006)-3,3)),""))</f>
        <v/>
      </c>
      <c r="X1006" s="33">
        <f>IF(W1006="","",P1006&amp;"|"&amp;W1006)</f>
        <v/>
      </c>
      <c r="Y1006" s="33">
        <f>IF(W1006="","",IF(P1006="À RENSEIGNER","GIC",P1006)&amp;"-"&amp;TEXT(W1006,"000"))</f>
        <v/>
      </c>
      <c r="Z1006" s="33">
        <f>IF(X1006="","",IFERROR(INDEX(Cl_nom,MATCH(X1006,Cl_cle,0)),"(client introuvable)"))</f>
        <v/>
      </c>
      <c r="AA1006" s="33">
        <f>IF(X1006="","",IFERROR(INDEX(Cl_quartier,MATCH(X1006,Cl_cle,0))&amp;"",""))</f>
        <v/>
      </c>
      <c r="AB1006" s="45">
        <f>IF(R1006&lt;&gt;"Livrée",0,IF(K1006&lt;&gt;"",K1006,C1006))</f>
        <v/>
      </c>
      <c r="AC1006" s="33">
        <f>IF(OR(C1006="",W1006=""),"",P1006&amp;"|"&amp;W1006&amp;"|"&amp;C1006&amp;"|"&amp;E1006)</f>
        <v/>
      </c>
      <c r="AD1006" s="39">
        <f>IF(AC1006="","",IF(COUNTIF(AC$6:AC1006,AC1006)=1,1,0))</f>
        <v/>
      </c>
      <c r="AE1006" s="39">
        <f>IF(AB1006=0,"",IF(COUNTIFS(X$6:X1006,X1006,AB$6:AB1006,AB1006)=1,1,0))</f>
        <v/>
      </c>
      <c r="AF1006" s="34">
        <f>IF(C1006="","",YEAR(C1006-WEEKDAY(C1006,2)+4)&amp;"-S"&amp;TEXT(INT((C1006-DATE(YEAR(C1006-WEEKDAY(C1006,2)+4),1,3)+WEEKDAY(DATE(YEAR(C1006-WEEKDAY(C1006,2)+4),1,3),2)+5)/7),"00"))</f>
        <v/>
      </c>
    </row>
    <row r="1007" ht="18" customHeight="1">
      <c r="A1007" s="39" t="n">
        <v>1002</v>
      </c>
      <c r="B1007" s="33">
        <f>IF(C1007="","",IF(P1007="À RENSEIGNER","GIC",P1007)&amp;"-C"&amp;TEXT(A1007,"00000"))</f>
        <v/>
      </c>
      <c r="C1007" s="32" t="n"/>
      <c r="D1007" s="36" t="n"/>
      <c r="E1007" s="36" t="n"/>
      <c r="F1007" s="36" t="n"/>
      <c r="G1007" s="42" t="n"/>
      <c r="H1007" s="37" t="n"/>
      <c r="I1007" s="37" t="n"/>
      <c r="J1007" s="32" t="n"/>
      <c r="K1007" s="32" t="n"/>
      <c r="L1007" s="43" t="n"/>
      <c r="M1007" s="36" t="n"/>
      <c r="N1007" s="44" t="n"/>
      <c r="O1007" s="36" t="n"/>
      <c r="P1007" s="33">
        <f>IF(C1007="","",Commercial_Id)</f>
        <v/>
      </c>
      <c r="Q1007" s="34">
        <f>IF(AC1007="","",IF(AD1007=1,"C"&amp;TEXT(SUM(AD$6:AD1007),"0000"),INDEX(Q$6:Q1006,MATCH(AC1007,AC$6:AC1006,0))))</f>
        <v/>
      </c>
      <c r="R1007" s="34">
        <f>IF(C1007="","",IF(L1007="☑ Oui","Annulée",IF(OR(E1007="Vente directe",K1007&lt;&gt;""),"Livrée",IF(J1007&lt;&gt;"","Confirmée","En attente"))))</f>
        <v/>
      </c>
      <c r="S1007" s="34">
        <f>IF(F1007="","",IFERROR(VLOOKUP(F1007,T_Produits,2,FALSE),""))</f>
        <v/>
      </c>
      <c r="T1007" s="40">
        <f>IF(F1007="","",IFERROR(1/(1/VLOOKUP(F1007,T_Produits,3,FALSE)),""))</f>
        <v/>
      </c>
      <c r="U1007" s="40">
        <f>IF(H1007&lt;&gt;"",H1007,T1007)</f>
        <v/>
      </c>
      <c r="V1007" s="40">
        <f>IF(OR(G1007="",U1007=""),"",G1007*U1007-N(I1007))</f>
        <v/>
      </c>
      <c r="W1007" s="39">
        <f>IF(D1007="","",IFERROR(VALUE(MID(D1007,LEN(D1007)-3,3)),""))</f>
        <v/>
      </c>
      <c r="X1007" s="33">
        <f>IF(W1007="","",P1007&amp;"|"&amp;W1007)</f>
        <v/>
      </c>
      <c r="Y1007" s="33">
        <f>IF(W1007="","",IF(P1007="À RENSEIGNER","GIC",P1007)&amp;"-"&amp;TEXT(W1007,"000"))</f>
        <v/>
      </c>
      <c r="Z1007" s="33">
        <f>IF(X1007="","",IFERROR(INDEX(Cl_nom,MATCH(X1007,Cl_cle,0)),"(client introuvable)"))</f>
        <v/>
      </c>
      <c r="AA1007" s="33">
        <f>IF(X1007="","",IFERROR(INDEX(Cl_quartier,MATCH(X1007,Cl_cle,0))&amp;"",""))</f>
        <v/>
      </c>
      <c r="AB1007" s="45">
        <f>IF(R1007&lt;&gt;"Livrée",0,IF(K1007&lt;&gt;"",K1007,C1007))</f>
        <v/>
      </c>
      <c r="AC1007" s="33">
        <f>IF(OR(C1007="",W1007=""),"",P1007&amp;"|"&amp;W1007&amp;"|"&amp;C1007&amp;"|"&amp;E1007)</f>
        <v/>
      </c>
      <c r="AD1007" s="39">
        <f>IF(AC1007="","",IF(COUNTIF(AC$6:AC1007,AC1007)=1,1,0))</f>
        <v/>
      </c>
      <c r="AE1007" s="39">
        <f>IF(AB1007=0,"",IF(COUNTIFS(X$6:X1007,X1007,AB$6:AB1007,AB1007)=1,1,0))</f>
        <v/>
      </c>
      <c r="AF1007" s="34">
        <f>IF(C1007="","",YEAR(C1007-WEEKDAY(C1007,2)+4)&amp;"-S"&amp;TEXT(INT((C1007-DATE(YEAR(C1007-WEEKDAY(C1007,2)+4),1,3)+WEEKDAY(DATE(YEAR(C1007-WEEKDAY(C1007,2)+4),1,3),2)+5)/7),"00"))</f>
        <v/>
      </c>
    </row>
    <row r="1008" ht="18" customHeight="1">
      <c r="A1008" s="39" t="n">
        <v>1003</v>
      </c>
      <c r="B1008" s="33">
        <f>IF(C1008="","",IF(P1008="À RENSEIGNER","GIC",P1008)&amp;"-C"&amp;TEXT(A1008,"00000"))</f>
        <v/>
      </c>
      <c r="C1008" s="32" t="n"/>
      <c r="D1008" s="36" t="n"/>
      <c r="E1008" s="36" t="n"/>
      <c r="F1008" s="36" t="n"/>
      <c r="G1008" s="42" t="n"/>
      <c r="H1008" s="37" t="n"/>
      <c r="I1008" s="37" t="n"/>
      <c r="J1008" s="32" t="n"/>
      <c r="K1008" s="32" t="n"/>
      <c r="L1008" s="43" t="n"/>
      <c r="M1008" s="36" t="n"/>
      <c r="N1008" s="44" t="n"/>
      <c r="O1008" s="36" t="n"/>
      <c r="P1008" s="33">
        <f>IF(C1008="","",Commercial_Id)</f>
        <v/>
      </c>
      <c r="Q1008" s="34">
        <f>IF(AC1008="","",IF(AD1008=1,"C"&amp;TEXT(SUM(AD$6:AD1008),"0000"),INDEX(Q$6:Q1007,MATCH(AC1008,AC$6:AC1007,0))))</f>
        <v/>
      </c>
      <c r="R1008" s="34">
        <f>IF(C1008="","",IF(L1008="☑ Oui","Annulée",IF(OR(E1008="Vente directe",K1008&lt;&gt;""),"Livrée",IF(J1008&lt;&gt;"","Confirmée","En attente"))))</f>
        <v/>
      </c>
      <c r="S1008" s="34">
        <f>IF(F1008="","",IFERROR(VLOOKUP(F1008,T_Produits,2,FALSE),""))</f>
        <v/>
      </c>
      <c r="T1008" s="40">
        <f>IF(F1008="","",IFERROR(1/(1/VLOOKUP(F1008,T_Produits,3,FALSE)),""))</f>
        <v/>
      </c>
      <c r="U1008" s="40">
        <f>IF(H1008&lt;&gt;"",H1008,T1008)</f>
        <v/>
      </c>
      <c r="V1008" s="40">
        <f>IF(OR(G1008="",U1008=""),"",G1008*U1008-N(I1008))</f>
        <v/>
      </c>
      <c r="W1008" s="39">
        <f>IF(D1008="","",IFERROR(VALUE(MID(D1008,LEN(D1008)-3,3)),""))</f>
        <v/>
      </c>
      <c r="X1008" s="33">
        <f>IF(W1008="","",P1008&amp;"|"&amp;W1008)</f>
        <v/>
      </c>
      <c r="Y1008" s="33">
        <f>IF(W1008="","",IF(P1008="À RENSEIGNER","GIC",P1008)&amp;"-"&amp;TEXT(W1008,"000"))</f>
        <v/>
      </c>
      <c r="Z1008" s="33">
        <f>IF(X1008="","",IFERROR(INDEX(Cl_nom,MATCH(X1008,Cl_cle,0)),"(client introuvable)"))</f>
        <v/>
      </c>
      <c r="AA1008" s="33">
        <f>IF(X1008="","",IFERROR(INDEX(Cl_quartier,MATCH(X1008,Cl_cle,0))&amp;"",""))</f>
        <v/>
      </c>
      <c r="AB1008" s="45">
        <f>IF(R1008&lt;&gt;"Livrée",0,IF(K1008&lt;&gt;"",K1008,C1008))</f>
        <v/>
      </c>
      <c r="AC1008" s="33">
        <f>IF(OR(C1008="",W1008=""),"",P1008&amp;"|"&amp;W1008&amp;"|"&amp;C1008&amp;"|"&amp;E1008)</f>
        <v/>
      </c>
      <c r="AD1008" s="39">
        <f>IF(AC1008="","",IF(COUNTIF(AC$6:AC1008,AC1008)=1,1,0))</f>
        <v/>
      </c>
      <c r="AE1008" s="39">
        <f>IF(AB1008=0,"",IF(COUNTIFS(X$6:X1008,X1008,AB$6:AB1008,AB1008)=1,1,0))</f>
        <v/>
      </c>
      <c r="AF1008" s="34">
        <f>IF(C1008="","",YEAR(C1008-WEEKDAY(C1008,2)+4)&amp;"-S"&amp;TEXT(INT((C1008-DATE(YEAR(C1008-WEEKDAY(C1008,2)+4),1,3)+WEEKDAY(DATE(YEAR(C1008-WEEKDAY(C1008,2)+4),1,3),2)+5)/7),"00"))</f>
        <v/>
      </c>
    </row>
    <row r="1009" ht="18" customHeight="1">
      <c r="A1009" s="39" t="n">
        <v>1004</v>
      </c>
      <c r="B1009" s="33">
        <f>IF(C1009="","",IF(P1009="À RENSEIGNER","GIC",P1009)&amp;"-C"&amp;TEXT(A1009,"00000"))</f>
        <v/>
      </c>
      <c r="C1009" s="32" t="n"/>
      <c r="D1009" s="36" t="n"/>
      <c r="E1009" s="36" t="n"/>
      <c r="F1009" s="36" t="n"/>
      <c r="G1009" s="42" t="n"/>
      <c r="H1009" s="37" t="n"/>
      <c r="I1009" s="37" t="n"/>
      <c r="J1009" s="32" t="n"/>
      <c r="K1009" s="32" t="n"/>
      <c r="L1009" s="43" t="n"/>
      <c r="M1009" s="36" t="n"/>
      <c r="N1009" s="44" t="n"/>
      <c r="O1009" s="36" t="n"/>
      <c r="P1009" s="33">
        <f>IF(C1009="","",Commercial_Id)</f>
        <v/>
      </c>
      <c r="Q1009" s="34">
        <f>IF(AC1009="","",IF(AD1009=1,"C"&amp;TEXT(SUM(AD$6:AD1009),"0000"),INDEX(Q$6:Q1008,MATCH(AC1009,AC$6:AC1008,0))))</f>
        <v/>
      </c>
      <c r="R1009" s="34">
        <f>IF(C1009="","",IF(L1009="☑ Oui","Annulée",IF(OR(E1009="Vente directe",K1009&lt;&gt;""),"Livrée",IF(J1009&lt;&gt;"","Confirmée","En attente"))))</f>
        <v/>
      </c>
      <c r="S1009" s="34">
        <f>IF(F1009="","",IFERROR(VLOOKUP(F1009,T_Produits,2,FALSE),""))</f>
        <v/>
      </c>
      <c r="T1009" s="40">
        <f>IF(F1009="","",IFERROR(1/(1/VLOOKUP(F1009,T_Produits,3,FALSE)),""))</f>
        <v/>
      </c>
      <c r="U1009" s="40">
        <f>IF(H1009&lt;&gt;"",H1009,T1009)</f>
        <v/>
      </c>
      <c r="V1009" s="40">
        <f>IF(OR(G1009="",U1009=""),"",G1009*U1009-N(I1009))</f>
        <v/>
      </c>
      <c r="W1009" s="39">
        <f>IF(D1009="","",IFERROR(VALUE(MID(D1009,LEN(D1009)-3,3)),""))</f>
        <v/>
      </c>
      <c r="X1009" s="33">
        <f>IF(W1009="","",P1009&amp;"|"&amp;W1009)</f>
        <v/>
      </c>
      <c r="Y1009" s="33">
        <f>IF(W1009="","",IF(P1009="À RENSEIGNER","GIC",P1009)&amp;"-"&amp;TEXT(W1009,"000"))</f>
        <v/>
      </c>
      <c r="Z1009" s="33">
        <f>IF(X1009="","",IFERROR(INDEX(Cl_nom,MATCH(X1009,Cl_cle,0)),"(client introuvable)"))</f>
        <v/>
      </c>
      <c r="AA1009" s="33">
        <f>IF(X1009="","",IFERROR(INDEX(Cl_quartier,MATCH(X1009,Cl_cle,0))&amp;"",""))</f>
        <v/>
      </c>
      <c r="AB1009" s="45">
        <f>IF(R1009&lt;&gt;"Livrée",0,IF(K1009&lt;&gt;"",K1009,C1009))</f>
        <v/>
      </c>
      <c r="AC1009" s="33">
        <f>IF(OR(C1009="",W1009=""),"",P1009&amp;"|"&amp;W1009&amp;"|"&amp;C1009&amp;"|"&amp;E1009)</f>
        <v/>
      </c>
      <c r="AD1009" s="39">
        <f>IF(AC1009="","",IF(COUNTIF(AC$6:AC1009,AC1009)=1,1,0))</f>
        <v/>
      </c>
      <c r="AE1009" s="39">
        <f>IF(AB1009=0,"",IF(COUNTIFS(X$6:X1009,X1009,AB$6:AB1009,AB1009)=1,1,0))</f>
        <v/>
      </c>
      <c r="AF1009" s="34">
        <f>IF(C1009="","",YEAR(C1009-WEEKDAY(C1009,2)+4)&amp;"-S"&amp;TEXT(INT((C1009-DATE(YEAR(C1009-WEEKDAY(C1009,2)+4),1,3)+WEEKDAY(DATE(YEAR(C1009-WEEKDAY(C1009,2)+4),1,3),2)+5)/7),"00"))</f>
        <v/>
      </c>
    </row>
    <row r="1010" ht="18" customHeight="1">
      <c r="A1010" s="39" t="n">
        <v>1005</v>
      </c>
      <c r="B1010" s="33">
        <f>IF(C1010="","",IF(P1010="À RENSEIGNER","GIC",P1010)&amp;"-C"&amp;TEXT(A1010,"00000"))</f>
        <v/>
      </c>
      <c r="C1010" s="32" t="n"/>
      <c r="D1010" s="36" t="n"/>
      <c r="E1010" s="36" t="n"/>
      <c r="F1010" s="36" t="n"/>
      <c r="G1010" s="42" t="n"/>
      <c r="H1010" s="37" t="n"/>
      <c r="I1010" s="37" t="n"/>
      <c r="J1010" s="32" t="n"/>
      <c r="K1010" s="32" t="n"/>
      <c r="L1010" s="43" t="n"/>
      <c r="M1010" s="36" t="n"/>
      <c r="N1010" s="44" t="n"/>
      <c r="O1010" s="36" t="n"/>
      <c r="P1010" s="33">
        <f>IF(C1010="","",Commercial_Id)</f>
        <v/>
      </c>
      <c r="Q1010" s="34">
        <f>IF(AC1010="","",IF(AD1010=1,"C"&amp;TEXT(SUM(AD$6:AD1010),"0000"),INDEX(Q$6:Q1009,MATCH(AC1010,AC$6:AC1009,0))))</f>
        <v/>
      </c>
      <c r="R1010" s="34">
        <f>IF(C1010="","",IF(L1010="☑ Oui","Annulée",IF(OR(E1010="Vente directe",K1010&lt;&gt;""),"Livrée",IF(J1010&lt;&gt;"","Confirmée","En attente"))))</f>
        <v/>
      </c>
      <c r="S1010" s="34">
        <f>IF(F1010="","",IFERROR(VLOOKUP(F1010,T_Produits,2,FALSE),""))</f>
        <v/>
      </c>
      <c r="T1010" s="40">
        <f>IF(F1010="","",IFERROR(1/(1/VLOOKUP(F1010,T_Produits,3,FALSE)),""))</f>
        <v/>
      </c>
      <c r="U1010" s="40">
        <f>IF(H1010&lt;&gt;"",H1010,T1010)</f>
        <v/>
      </c>
      <c r="V1010" s="40">
        <f>IF(OR(G1010="",U1010=""),"",G1010*U1010-N(I1010))</f>
        <v/>
      </c>
      <c r="W1010" s="39">
        <f>IF(D1010="","",IFERROR(VALUE(MID(D1010,LEN(D1010)-3,3)),""))</f>
        <v/>
      </c>
      <c r="X1010" s="33">
        <f>IF(W1010="","",P1010&amp;"|"&amp;W1010)</f>
        <v/>
      </c>
      <c r="Y1010" s="33">
        <f>IF(W1010="","",IF(P1010="À RENSEIGNER","GIC",P1010)&amp;"-"&amp;TEXT(W1010,"000"))</f>
        <v/>
      </c>
      <c r="Z1010" s="33">
        <f>IF(X1010="","",IFERROR(INDEX(Cl_nom,MATCH(X1010,Cl_cle,0)),"(client introuvable)"))</f>
        <v/>
      </c>
      <c r="AA1010" s="33">
        <f>IF(X1010="","",IFERROR(INDEX(Cl_quartier,MATCH(X1010,Cl_cle,0))&amp;"",""))</f>
        <v/>
      </c>
      <c r="AB1010" s="45">
        <f>IF(R1010&lt;&gt;"Livrée",0,IF(K1010&lt;&gt;"",K1010,C1010))</f>
        <v/>
      </c>
      <c r="AC1010" s="33">
        <f>IF(OR(C1010="",W1010=""),"",P1010&amp;"|"&amp;W1010&amp;"|"&amp;C1010&amp;"|"&amp;E1010)</f>
        <v/>
      </c>
      <c r="AD1010" s="39">
        <f>IF(AC1010="","",IF(COUNTIF(AC$6:AC1010,AC1010)=1,1,0))</f>
        <v/>
      </c>
      <c r="AE1010" s="39">
        <f>IF(AB1010=0,"",IF(COUNTIFS(X$6:X1010,X1010,AB$6:AB1010,AB1010)=1,1,0))</f>
        <v/>
      </c>
      <c r="AF1010" s="34">
        <f>IF(C1010="","",YEAR(C1010-WEEKDAY(C1010,2)+4)&amp;"-S"&amp;TEXT(INT((C1010-DATE(YEAR(C1010-WEEKDAY(C1010,2)+4),1,3)+WEEKDAY(DATE(YEAR(C1010-WEEKDAY(C1010,2)+4),1,3),2)+5)/7),"00"))</f>
        <v/>
      </c>
    </row>
    <row r="1011" ht="18" customHeight="1">
      <c r="A1011" s="39" t="n">
        <v>1006</v>
      </c>
      <c r="B1011" s="33">
        <f>IF(C1011="","",IF(P1011="À RENSEIGNER","GIC",P1011)&amp;"-C"&amp;TEXT(A1011,"00000"))</f>
        <v/>
      </c>
      <c r="C1011" s="32" t="n"/>
      <c r="D1011" s="36" t="n"/>
      <c r="E1011" s="36" t="n"/>
      <c r="F1011" s="36" t="n"/>
      <c r="G1011" s="42" t="n"/>
      <c r="H1011" s="37" t="n"/>
      <c r="I1011" s="37" t="n"/>
      <c r="J1011" s="32" t="n"/>
      <c r="K1011" s="32" t="n"/>
      <c r="L1011" s="43" t="n"/>
      <c r="M1011" s="36" t="n"/>
      <c r="N1011" s="44" t="n"/>
      <c r="O1011" s="36" t="n"/>
      <c r="P1011" s="33">
        <f>IF(C1011="","",Commercial_Id)</f>
        <v/>
      </c>
      <c r="Q1011" s="34">
        <f>IF(AC1011="","",IF(AD1011=1,"C"&amp;TEXT(SUM(AD$6:AD1011),"0000"),INDEX(Q$6:Q1010,MATCH(AC1011,AC$6:AC1010,0))))</f>
        <v/>
      </c>
      <c r="R1011" s="34">
        <f>IF(C1011="","",IF(L1011="☑ Oui","Annulée",IF(OR(E1011="Vente directe",K1011&lt;&gt;""),"Livrée",IF(J1011&lt;&gt;"","Confirmée","En attente"))))</f>
        <v/>
      </c>
      <c r="S1011" s="34">
        <f>IF(F1011="","",IFERROR(VLOOKUP(F1011,T_Produits,2,FALSE),""))</f>
        <v/>
      </c>
      <c r="T1011" s="40">
        <f>IF(F1011="","",IFERROR(1/(1/VLOOKUP(F1011,T_Produits,3,FALSE)),""))</f>
        <v/>
      </c>
      <c r="U1011" s="40">
        <f>IF(H1011&lt;&gt;"",H1011,T1011)</f>
        <v/>
      </c>
      <c r="V1011" s="40">
        <f>IF(OR(G1011="",U1011=""),"",G1011*U1011-N(I1011))</f>
        <v/>
      </c>
      <c r="W1011" s="39">
        <f>IF(D1011="","",IFERROR(VALUE(MID(D1011,LEN(D1011)-3,3)),""))</f>
        <v/>
      </c>
      <c r="X1011" s="33">
        <f>IF(W1011="","",P1011&amp;"|"&amp;W1011)</f>
        <v/>
      </c>
      <c r="Y1011" s="33">
        <f>IF(W1011="","",IF(P1011="À RENSEIGNER","GIC",P1011)&amp;"-"&amp;TEXT(W1011,"000"))</f>
        <v/>
      </c>
      <c r="Z1011" s="33">
        <f>IF(X1011="","",IFERROR(INDEX(Cl_nom,MATCH(X1011,Cl_cle,0)),"(client introuvable)"))</f>
        <v/>
      </c>
      <c r="AA1011" s="33">
        <f>IF(X1011="","",IFERROR(INDEX(Cl_quartier,MATCH(X1011,Cl_cle,0))&amp;"",""))</f>
        <v/>
      </c>
      <c r="AB1011" s="45">
        <f>IF(R1011&lt;&gt;"Livrée",0,IF(K1011&lt;&gt;"",K1011,C1011))</f>
        <v/>
      </c>
      <c r="AC1011" s="33">
        <f>IF(OR(C1011="",W1011=""),"",P1011&amp;"|"&amp;W1011&amp;"|"&amp;C1011&amp;"|"&amp;E1011)</f>
        <v/>
      </c>
      <c r="AD1011" s="39">
        <f>IF(AC1011="","",IF(COUNTIF(AC$6:AC1011,AC1011)=1,1,0))</f>
        <v/>
      </c>
      <c r="AE1011" s="39">
        <f>IF(AB1011=0,"",IF(COUNTIFS(X$6:X1011,X1011,AB$6:AB1011,AB1011)=1,1,0))</f>
        <v/>
      </c>
      <c r="AF1011" s="34">
        <f>IF(C1011="","",YEAR(C1011-WEEKDAY(C1011,2)+4)&amp;"-S"&amp;TEXT(INT((C1011-DATE(YEAR(C1011-WEEKDAY(C1011,2)+4),1,3)+WEEKDAY(DATE(YEAR(C1011-WEEKDAY(C1011,2)+4),1,3),2)+5)/7),"00"))</f>
        <v/>
      </c>
    </row>
    <row r="1012" ht="18" customHeight="1">
      <c r="A1012" s="39" t="n">
        <v>1007</v>
      </c>
      <c r="B1012" s="33">
        <f>IF(C1012="","",IF(P1012="À RENSEIGNER","GIC",P1012)&amp;"-C"&amp;TEXT(A1012,"00000"))</f>
        <v/>
      </c>
      <c r="C1012" s="32" t="n"/>
      <c r="D1012" s="36" t="n"/>
      <c r="E1012" s="36" t="n"/>
      <c r="F1012" s="36" t="n"/>
      <c r="G1012" s="42" t="n"/>
      <c r="H1012" s="37" t="n"/>
      <c r="I1012" s="37" t="n"/>
      <c r="J1012" s="32" t="n"/>
      <c r="K1012" s="32" t="n"/>
      <c r="L1012" s="43" t="n"/>
      <c r="M1012" s="36" t="n"/>
      <c r="N1012" s="44" t="n"/>
      <c r="O1012" s="36" t="n"/>
      <c r="P1012" s="33">
        <f>IF(C1012="","",Commercial_Id)</f>
        <v/>
      </c>
      <c r="Q1012" s="34">
        <f>IF(AC1012="","",IF(AD1012=1,"C"&amp;TEXT(SUM(AD$6:AD1012),"0000"),INDEX(Q$6:Q1011,MATCH(AC1012,AC$6:AC1011,0))))</f>
        <v/>
      </c>
      <c r="R1012" s="34">
        <f>IF(C1012="","",IF(L1012="☑ Oui","Annulée",IF(OR(E1012="Vente directe",K1012&lt;&gt;""),"Livrée",IF(J1012&lt;&gt;"","Confirmée","En attente"))))</f>
        <v/>
      </c>
      <c r="S1012" s="34">
        <f>IF(F1012="","",IFERROR(VLOOKUP(F1012,T_Produits,2,FALSE),""))</f>
        <v/>
      </c>
      <c r="T1012" s="40">
        <f>IF(F1012="","",IFERROR(1/(1/VLOOKUP(F1012,T_Produits,3,FALSE)),""))</f>
        <v/>
      </c>
      <c r="U1012" s="40">
        <f>IF(H1012&lt;&gt;"",H1012,T1012)</f>
        <v/>
      </c>
      <c r="V1012" s="40">
        <f>IF(OR(G1012="",U1012=""),"",G1012*U1012-N(I1012))</f>
        <v/>
      </c>
      <c r="W1012" s="39">
        <f>IF(D1012="","",IFERROR(VALUE(MID(D1012,LEN(D1012)-3,3)),""))</f>
        <v/>
      </c>
      <c r="X1012" s="33">
        <f>IF(W1012="","",P1012&amp;"|"&amp;W1012)</f>
        <v/>
      </c>
      <c r="Y1012" s="33">
        <f>IF(W1012="","",IF(P1012="À RENSEIGNER","GIC",P1012)&amp;"-"&amp;TEXT(W1012,"000"))</f>
        <v/>
      </c>
      <c r="Z1012" s="33">
        <f>IF(X1012="","",IFERROR(INDEX(Cl_nom,MATCH(X1012,Cl_cle,0)),"(client introuvable)"))</f>
        <v/>
      </c>
      <c r="AA1012" s="33">
        <f>IF(X1012="","",IFERROR(INDEX(Cl_quartier,MATCH(X1012,Cl_cle,0))&amp;"",""))</f>
        <v/>
      </c>
      <c r="AB1012" s="45">
        <f>IF(R1012&lt;&gt;"Livrée",0,IF(K1012&lt;&gt;"",K1012,C1012))</f>
        <v/>
      </c>
      <c r="AC1012" s="33">
        <f>IF(OR(C1012="",W1012=""),"",P1012&amp;"|"&amp;W1012&amp;"|"&amp;C1012&amp;"|"&amp;E1012)</f>
        <v/>
      </c>
      <c r="AD1012" s="39">
        <f>IF(AC1012="","",IF(COUNTIF(AC$6:AC1012,AC1012)=1,1,0))</f>
        <v/>
      </c>
      <c r="AE1012" s="39">
        <f>IF(AB1012=0,"",IF(COUNTIFS(X$6:X1012,X1012,AB$6:AB1012,AB1012)=1,1,0))</f>
        <v/>
      </c>
      <c r="AF1012" s="34">
        <f>IF(C1012="","",YEAR(C1012-WEEKDAY(C1012,2)+4)&amp;"-S"&amp;TEXT(INT((C1012-DATE(YEAR(C1012-WEEKDAY(C1012,2)+4),1,3)+WEEKDAY(DATE(YEAR(C1012-WEEKDAY(C1012,2)+4),1,3),2)+5)/7),"00"))</f>
        <v/>
      </c>
    </row>
    <row r="1013" ht="18" customHeight="1">
      <c r="A1013" s="39" t="n">
        <v>1008</v>
      </c>
      <c r="B1013" s="33">
        <f>IF(C1013="","",IF(P1013="À RENSEIGNER","GIC",P1013)&amp;"-C"&amp;TEXT(A1013,"00000"))</f>
        <v/>
      </c>
      <c r="C1013" s="32" t="n"/>
      <c r="D1013" s="36" t="n"/>
      <c r="E1013" s="36" t="n"/>
      <c r="F1013" s="36" t="n"/>
      <c r="G1013" s="42" t="n"/>
      <c r="H1013" s="37" t="n"/>
      <c r="I1013" s="37" t="n"/>
      <c r="J1013" s="32" t="n"/>
      <c r="K1013" s="32" t="n"/>
      <c r="L1013" s="43" t="n"/>
      <c r="M1013" s="36" t="n"/>
      <c r="N1013" s="44" t="n"/>
      <c r="O1013" s="36" t="n"/>
      <c r="P1013" s="33">
        <f>IF(C1013="","",Commercial_Id)</f>
        <v/>
      </c>
      <c r="Q1013" s="34">
        <f>IF(AC1013="","",IF(AD1013=1,"C"&amp;TEXT(SUM(AD$6:AD1013),"0000"),INDEX(Q$6:Q1012,MATCH(AC1013,AC$6:AC1012,0))))</f>
        <v/>
      </c>
      <c r="R1013" s="34">
        <f>IF(C1013="","",IF(L1013="☑ Oui","Annulée",IF(OR(E1013="Vente directe",K1013&lt;&gt;""),"Livrée",IF(J1013&lt;&gt;"","Confirmée","En attente"))))</f>
        <v/>
      </c>
      <c r="S1013" s="34">
        <f>IF(F1013="","",IFERROR(VLOOKUP(F1013,T_Produits,2,FALSE),""))</f>
        <v/>
      </c>
      <c r="T1013" s="40">
        <f>IF(F1013="","",IFERROR(1/(1/VLOOKUP(F1013,T_Produits,3,FALSE)),""))</f>
        <v/>
      </c>
      <c r="U1013" s="40">
        <f>IF(H1013&lt;&gt;"",H1013,T1013)</f>
        <v/>
      </c>
      <c r="V1013" s="40">
        <f>IF(OR(G1013="",U1013=""),"",G1013*U1013-N(I1013))</f>
        <v/>
      </c>
      <c r="W1013" s="39">
        <f>IF(D1013="","",IFERROR(VALUE(MID(D1013,LEN(D1013)-3,3)),""))</f>
        <v/>
      </c>
      <c r="X1013" s="33">
        <f>IF(W1013="","",P1013&amp;"|"&amp;W1013)</f>
        <v/>
      </c>
      <c r="Y1013" s="33">
        <f>IF(W1013="","",IF(P1013="À RENSEIGNER","GIC",P1013)&amp;"-"&amp;TEXT(W1013,"000"))</f>
        <v/>
      </c>
      <c r="Z1013" s="33">
        <f>IF(X1013="","",IFERROR(INDEX(Cl_nom,MATCH(X1013,Cl_cle,0)),"(client introuvable)"))</f>
        <v/>
      </c>
      <c r="AA1013" s="33">
        <f>IF(X1013="","",IFERROR(INDEX(Cl_quartier,MATCH(X1013,Cl_cle,0))&amp;"",""))</f>
        <v/>
      </c>
      <c r="AB1013" s="45">
        <f>IF(R1013&lt;&gt;"Livrée",0,IF(K1013&lt;&gt;"",K1013,C1013))</f>
        <v/>
      </c>
      <c r="AC1013" s="33">
        <f>IF(OR(C1013="",W1013=""),"",P1013&amp;"|"&amp;W1013&amp;"|"&amp;C1013&amp;"|"&amp;E1013)</f>
        <v/>
      </c>
      <c r="AD1013" s="39">
        <f>IF(AC1013="","",IF(COUNTIF(AC$6:AC1013,AC1013)=1,1,0))</f>
        <v/>
      </c>
      <c r="AE1013" s="39">
        <f>IF(AB1013=0,"",IF(COUNTIFS(X$6:X1013,X1013,AB$6:AB1013,AB1013)=1,1,0))</f>
        <v/>
      </c>
      <c r="AF1013" s="34">
        <f>IF(C1013="","",YEAR(C1013-WEEKDAY(C1013,2)+4)&amp;"-S"&amp;TEXT(INT((C1013-DATE(YEAR(C1013-WEEKDAY(C1013,2)+4),1,3)+WEEKDAY(DATE(YEAR(C1013-WEEKDAY(C1013,2)+4),1,3),2)+5)/7),"00"))</f>
        <v/>
      </c>
    </row>
    <row r="1014" ht="18" customHeight="1">
      <c r="A1014" s="39" t="n">
        <v>1009</v>
      </c>
      <c r="B1014" s="33">
        <f>IF(C1014="","",IF(P1014="À RENSEIGNER","GIC",P1014)&amp;"-C"&amp;TEXT(A1014,"00000"))</f>
        <v/>
      </c>
      <c r="C1014" s="32" t="n"/>
      <c r="D1014" s="36" t="n"/>
      <c r="E1014" s="36" t="n"/>
      <c r="F1014" s="36" t="n"/>
      <c r="G1014" s="42" t="n"/>
      <c r="H1014" s="37" t="n"/>
      <c r="I1014" s="37" t="n"/>
      <c r="J1014" s="32" t="n"/>
      <c r="K1014" s="32" t="n"/>
      <c r="L1014" s="43" t="n"/>
      <c r="M1014" s="36" t="n"/>
      <c r="N1014" s="44" t="n"/>
      <c r="O1014" s="36" t="n"/>
      <c r="P1014" s="33">
        <f>IF(C1014="","",Commercial_Id)</f>
        <v/>
      </c>
      <c r="Q1014" s="34">
        <f>IF(AC1014="","",IF(AD1014=1,"C"&amp;TEXT(SUM(AD$6:AD1014),"0000"),INDEX(Q$6:Q1013,MATCH(AC1014,AC$6:AC1013,0))))</f>
        <v/>
      </c>
      <c r="R1014" s="34">
        <f>IF(C1014="","",IF(L1014="☑ Oui","Annulée",IF(OR(E1014="Vente directe",K1014&lt;&gt;""),"Livrée",IF(J1014&lt;&gt;"","Confirmée","En attente"))))</f>
        <v/>
      </c>
      <c r="S1014" s="34">
        <f>IF(F1014="","",IFERROR(VLOOKUP(F1014,T_Produits,2,FALSE),""))</f>
        <v/>
      </c>
      <c r="T1014" s="40">
        <f>IF(F1014="","",IFERROR(1/(1/VLOOKUP(F1014,T_Produits,3,FALSE)),""))</f>
        <v/>
      </c>
      <c r="U1014" s="40">
        <f>IF(H1014&lt;&gt;"",H1014,T1014)</f>
        <v/>
      </c>
      <c r="V1014" s="40">
        <f>IF(OR(G1014="",U1014=""),"",G1014*U1014-N(I1014))</f>
        <v/>
      </c>
      <c r="W1014" s="39">
        <f>IF(D1014="","",IFERROR(VALUE(MID(D1014,LEN(D1014)-3,3)),""))</f>
        <v/>
      </c>
      <c r="X1014" s="33">
        <f>IF(W1014="","",P1014&amp;"|"&amp;W1014)</f>
        <v/>
      </c>
      <c r="Y1014" s="33">
        <f>IF(W1014="","",IF(P1014="À RENSEIGNER","GIC",P1014)&amp;"-"&amp;TEXT(W1014,"000"))</f>
        <v/>
      </c>
      <c r="Z1014" s="33">
        <f>IF(X1014="","",IFERROR(INDEX(Cl_nom,MATCH(X1014,Cl_cle,0)),"(client introuvable)"))</f>
        <v/>
      </c>
      <c r="AA1014" s="33">
        <f>IF(X1014="","",IFERROR(INDEX(Cl_quartier,MATCH(X1014,Cl_cle,0))&amp;"",""))</f>
        <v/>
      </c>
      <c r="AB1014" s="45">
        <f>IF(R1014&lt;&gt;"Livrée",0,IF(K1014&lt;&gt;"",K1014,C1014))</f>
        <v/>
      </c>
      <c r="AC1014" s="33">
        <f>IF(OR(C1014="",W1014=""),"",P1014&amp;"|"&amp;W1014&amp;"|"&amp;C1014&amp;"|"&amp;E1014)</f>
        <v/>
      </c>
      <c r="AD1014" s="39">
        <f>IF(AC1014="","",IF(COUNTIF(AC$6:AC1014,AC1014)=1,1,0))</f>
        <v/>
      </c>
      <c r="AE1014" s="39">
        <f>IF(AB1014=0,"",IF(COUNTIFS(X$6:X1014,X1014,AB$6:AB1014,AB1014)=1,1,0))</f>
        <v/>
      </c>
      <c r="AF1014" s="34">
        <f>IF(C1014="","",YEAR(C1014-WEEKDAY(C1014,2)+4)&amp;"-S"&amp;TEXT(INT((C1014-DATE(YEAR(C1014-WEEKDAY(C1014,2)+4),1,3)+WEEKDAY(DATE(YEAR(C1014-WEEKDAY(C1014,2)+4),1,3),2)+5)/7),"00"))</f>
        <v/>
      </c>
    </row>
    <row r="1015" ht="18" customHeight="1">
      <c r="A1015" s="39" t="n">
        <v>1010</v>
      </c>
      <c r="B1015" s="33">
        <f>IF(C1015="","",IF(P1015="À RENSEIGNER","GIC",P1015)&amp;"-C"&amp;TEXT(A1015,"00000"))</f>
        <v/>
      </c>
      <c r="C1015" s="32" t="n"/>
      <c r="D1015" s="36" t="n"/>
      <c r="E1015" s="36" t="n"/>
      <c r="F1015" s="36" t="n"/>
      <c r="G1015" s="42" t="n"/>
      <c r="H1015" s="37" t="n"/>
      <c r="I1015" s="37" t="n"/>
      <c r="J1015" s="32" t="n"/>
      <c r="K1015" s="32" t="n"/>
      <c r="L1015" s="43" t="n"/>
      <c r="M1015" s="36" t="n"/>
      <c r="N1015" s="44" t="n"/>
      <c r="O1015" s="36" t="n"/>
      <c r="P1015" s="33">
        <f>IF(C1015="","",Commercial_Id)</f>
        <v/>
      </c>
      <c r="Q1015" s="34">
        <f>IF(AC1015="","",IF(AD1015=1,"C"&amp;TEXT(SUM(AD$6:AD1015),"0000"),INDEX(Q$6:Q1014,MATCH(AC1015,AC$6:AC1014,0))))</f>
        <v/>
      </c>
      <c r="R1015" s="34">
        <f>IF(C1015="","",IF(L1015="☑ Oui","Annulée",IF(OR(E1015="Vente directe",K1015&lt;&gt;""),"Livrée",IF(J1015&lt;&gt;"","Confirmée","En attente"))))</f>
        <v/>
      </c>
      <c r="S1015" s="34">
        <f>IF(F1015="","",IFERROR(VLOOKUP(F1015,T_Produits,2,FALSE),""))</f>
        <v/>
      </c>
      <c r="T1015" s="40">
        <f>IF(F1015="","",IFERROR(1/(1/VLOOKUP(F1015,T_Produits,3,FALSE)),""))</f>
        <v/>
      </c>
      <c r="U1015" s="40">
        <f>IF(H1015&lt;&gt;"",H1015,T1015)</f>
        <v/>
      </c>
      <c r="V1015" s="40">
        <f>IF(OR(G1015="",U1015=""),"",G1015*U1015-N(I1015))</f>
        <v/>
      </c>
      <c r="W1015" s="39">
        <f>IF(D1015="","",IFERROR(VALUE(MID(D1015,LEN(D1015)-3,3)),""))</f>
        <v/>
      </c>
      <c r="X1015" s="33">
        <f>IF(W1015="","",P1015&amp;"|"&amp;W1015)</f>
        <v/>
      </c>
      <c r="Y1015" s="33">
        <f>IF(W1015="","",IF(P1015="À RENSEIGNER","GIC",P1015)&amp;"-"&amp;TEXT(W1015,"000"))</f>
        <v/>
      </c>
      <c r="Z1015" s="33">
        <f>IF(X1015="","",IFERROR(INDEX(Cl_nom,MATCH(X1015,Cl_cle,0)),"(client introuvable)"))</f>
        <v/>
      </c>
      <c r="AA1015" s="33">
        <f>IF(X1015="","",IFERROR(INDEX(Cl_quartier,MATCH(X1015,Cl_cle,0))&amp;"",""))</f>
        <v/>
      </c>
      <c r="AB1015" s="45">
        <f>IF(R1015&lt;&gt;"Livrée",0,IF(K1015&lt;&gt;"",K1015,C1015))</f>
        <v/>
      </c>
      <c r="AC1015" s="33">
        <f>IF(OR(C1015="",W1015=""),"",P1015&amp;"|"&amp;W1015&amp;"|"&amp;C1015&amp;"|"&amp;E1015)</f>
        <v/>
      </c>
      <c r="AD1015" s="39">
        <f>IF(AC1015="","",IF(COUNTIF(AC$6:AC1015,AC1015)=1,1,0))</f>
        <v/>
      </c>
      <c r="AE1015" s="39">
        <f>IF(AB1015=0,"",IF(COUNTIFS(X$6:X1015,X1015,AB$6:AB1015,AB1015)=1,1,0))</f>
        <v/>
      </c>
      <c r="AF1015" s="34">
        <f>IF(C1015="","",YEAR(C1015-WEEKDAY(C1015,2)+4)&amp;"-S"&amp;TEXT(INT((C1015-DATE(YEAR(C1015-WEEKDAY(C1015,2)+4),1,3)+WEEKDAY(DATE(YEAR(C1015-WEEKDAY(C1015,2)+4),1,3),2)+5)/7),"00"))</f>
        <v/>
      </c>
    </row>
    <row r="1016" ht="18" customHeight="1">
      <c r="A1016" s="39" t="n">
        <v>1011</v>
      </c>
      <c r="B1016" s="33">
        <f>IF(C1016="","",IF(P1016="À RENSEIGNER","GIC",P1016)&amp;"-C"&amp;TEXT(A1016,"00000"))</f>
        <v/>
      </c>
      <c r="C1016" s="32" t="n"/>
      <c r="D1016" s="36" t="n"/>
      <c r="E1016" s="36" t="n"/>
      <c r="F1016" s="36" t="n"/>
      <c r="G1016" s="42" t="n"/>
      <c r="H1016" s="37" t="n"/>
      <c r="I1016" s="37" t="n"/>
      <c r="J1016" s="32" t="n"/>
      <c r="K1016" s="32" t="n"/>
      <c r="L1016" s="43" t="n"/>
      <c r="M1016" s="36" t="n"/>
      <c r="N1016" s="44" t="n"/>
      <c r="O1016" s="36" t="n"/>
      <c r="P1016" s="33">
        <f>IF(C1016="","",Commercial_Id)</f>
        <v/>
      </c>
      <c r="Q1016" s="34">
        <f>IF(AC1016="","",IF(AD1016=1,"C"&amp;TEXT(SUM(AD$6:AD1016),"0000"),INDEX(Q$6:Q1015,MATCH(AC1016,AC$6:AC1015,0))))</f>
        <v/>
      </c>
      <c r="R1016" s="34">
        <f>IF(C1016="","",IF(L1016="☑ Oui","Annulée",IF(OR(E1016="Vente directe",K1016&lt;&gt;""),"Livrée",IF(J1016&lt;&gt;"","Confirmée","En attente"))))</f>
        <v/>
      </c>
      <c r="S1016" s="34">
        <f>IF(F1016="","",IFERROR(VLOOKUP(F1016,T_Produits,2,FALSE),""))</f>
        <v/>
      </c>
      <c r="T1016" s="40">
        <f>IF(F1016="","",IFERROR(1/(1/VLOOKUP(F1016,T_Produits,3,FALSE)),""))</f>
        <v/>
      </c>
      <c r="U1016" s="40">
        <f>IF(H1016&lt;&gt;"",H1016,T1016)</f>
        <v/>
      </c>
      <c r="V1016" s="40">
        <f>IF(OR(G1016="",U1016=""),"",G1016*U1016-N(I1016))</f>
        <v/>
      </c>
      <c r="W1016" s="39">
        <f>IF(D1016="","",IFERROR(VALUE(MID(D1016,LEN(D1016)-3,3)),""))</f>
        <v/>
      </c>
      <c r="X1016" s="33">
        <f>IF(W1016="","",P1016&amp;"|"&amp;W1016)</f>
        <v/>
      </c>
      <c r="Y1016" s="33">
        <f>IF(W1016="","",IF(P1016="À RENSEIGNER","GIC",P1016)&amp;"-"&amp;TEXT(W1016,"000"))</f>
        <v/>
      </c>
      <c r="Z1016" s="33">
        <f>IF(X1016="","",IFERROR(INDEX(Cl_nom,MATCH(X1016,Cl_cle,0)),"(client introuvable)"))</f>
        <v/>
      </c>
      <c r="AA1016" s="33">
        <f>IF(X1016="","",IFERROR(INDEX(Cl_quartier,MATCH(X1016,Cl_cle,0))&amp;"",""))</f>
        <v/>
      </c>
      <c r="AB1016" s="45">
        <f>IF(R1016&lt;&gt;"Livrée",0,IF(K1016&lt;&gt;"",K1016,C1016))</f>
        <v/>
      </c>
      <c r="AC1016" s="33">
        <f>IF(OR(C1016="",W1016=""),"",P1016&amp;"|"&amp;W1016&amp;"|"&amp;C1016&amp;"|"&amp;E1016)</f>
        <v/>
      </c>
      <c r="AD1016" s="39">
        <f>IF(AC1016="","",IF(COUNTIF(AC$6:AC1016,AC1016)=1,1,0))</f>
        <v/>
      </c>
      <c r="AE1016" s="39">
        <f>IF(AB1016=0,"",IF(COUNTIFS(X$6:X1016,X1016,AB$6:AB1016,AB1016)=1,1,0))</f>
        <v/>
      </c>
      <c r="AF1016" s="34">
        <f>IF(C1016="","",YEAR(C1016-WEEKDAY(C1016,2)+4)&amp;"-S"&amp;TEXT(INT((C1016-DATE(YEAR(C1016-WEEKDAY(C1016,2)+4),1,3)+WEEKDAY(DATE(YEAR(C1016-WEEKDAY(C1016,2)+4),1,3),2)+5)/7),"00"))</f>
        <v/>
      </c>
    </row>
    <row r="1017" ht="18" customHeight="1">
      <c r="A1017" s="39" t="n">
        <v>1012</v>
      </c>
      <c r="B1017" s="33">
        <f>IF(C1017="","",IF(P1017="À RENSEIGNER","GIC",P1017)&amp;"-C"&amp;TEXT(A1017,"00000"))</f>
        <v/>
      </c>
      <c r="C1017" s="32" t="n"/>
      <c r="D1017" s="36" t="n"/>
      <c r="E1017" s="36" t="n"/>
      <c r="F1017" s="36" t="n"/>
      <c r="G1017" s="42" t="n"/>
      <c r="H1017" s="37" t="n"/>
      <c r="I1017" s="37" t="n"/>
      <c r="J1017" s="32" t="n"/>
      <c r="K1017" s="32" t="n"/>
      <c r="L1017" s="43" t="n"/>
      <c r="M1017" s="36" t="n"/>
      <c r="N1017" s="44" t="n"/>
      <c r="O1017" s="36" t="n"/>
      <c r="P1017" s="33">
        <f>IF(C1017="","",Commercial_Id)</f>
        <v/>
      </c>
      <c r="Q1017" s="34">
        <f>IF(AC1017="","",IF(AD1017=1,"C"&amp;TEXT(SUM(AD$6:AD1017),"0000"),INDEX(Q$6:Q1016,MATCH(AC1017,AC$6:AC1016,0))))</f>
        <v/>
      </c>
      <c r="R1017" s="34">
        <f>IF(C1017="","",IF(L1017="☑ Oui","Annulée",IF(OR(E1017="Vente directe",K1017&lt;&gt;""),"Livrée",IF(J1017&lt;&gt;"","Confirmée","En attente"))))</f>
        <v/>
      </c>
      <c r="S1017" s="34">
        <f>IF(F1017="","",IFERROR(VLOOKUP(F1017,T_Produits,2,FALSE),""))</f>
        <v/>
      </c>
      <c r="T1017" s="40">
        <f>IF(F1017="","",IFERROR(1/(1/VLOOKUP(F1017,T_Produits,3,FALSE)),""))</f>
        <v/>
      </c>
      <c r="U1017" s="40">
        <f>IF(H1017&lt;&gt;"",H1017,T1017)</f>
        <v/>
      </c>
      <c r="V1017" s="40">
        <f>IF(OR(G1017="",U1017=""),"",G1017*U1017-N(I1017))</f>
        <v/>
      </c>
      <c r="W1017" s="39">
        <f>IF(D1017="","",IFERROR(VALUE(MID(D1017,LEN(D1017)-3,3)),""))</f>
        <v/>
      </c>
      <c r="X1017" s="33">
        <f>IF(W1017="","",P1017&amp;"|"&amp;W1017)</f>
        <v/>
      </c>
      <c r="Y1017" s="33">
        <f>IF(W1017="","",IF(P1017="À RENSEIGNER","GIC",P1017)&amp;"-"&amp;TEXT(W1017,"000"))</f>
        <v/>
      </c>
      <c r="Z1017" s="33">
        <f>IF(X1017="","",IFERROR(INDEX(Cl_nom,MATCH(X1017,Cl_cle,0)),"(client introuvable)"))</f>
        <v/>
      </c>
      <c r="AA1017" s="33">
        <f>IF(X1017="","",IFERROR(INDEX(Cl_quartier,MATCH(X1017,Cl_cle,0))&amp;"",""))</f>
        <v/>
      </c>
      <c r="AB1017" s="45">
        <f>IF(R1017&lt;&gt;"Livrée",0,IF(K1017&lt;&gt;"",K1017,C1017))</f>
        <v/>
      </c>
      <c r="AC1017" s="33">
        <f>IF(OR(C1017="",W1017=""),"",P1017&amp;"|"&amp;W1017&amp;"|"&amp;C1017&amp;"|"&amp;E1017)</f>
        <v/>
      </c>
      <c r="AD1017" s="39">
        <f>IF(AC1017="","",IF(COUNTIF(AC$6:AC1017,AC1017)=1,1,0))</f>
        <v/>
      </c>
      <c r="AE1017" s="39">
        <f>IF(AB1017=0,"",IF(COUNTIFS(X$6:X1017,X1017,AB$6:AB1017,AB1017)=1,1,0))</f>
        <v/>
      </c>
      <c r="AF1017" s="34">
        <f>IF(C1017="","",YEAR(C1017-WEEKDAY(C1017,2)+4)&amp;"-S"&amp;TEXT(INT((C1017-DATE(YEAR(C1017-WEEKDAY(C1017,2)+4),1,3)+WEEKDAY(DATE(YEAR(C1017-WEEKDAY(C1017,2)+4),1,3),2)+5)/7),"00"))</f>
        <v/>
      </c>
    </row>
    <row r="1018" ht="18" customHeight="1">
      <c r="A1018" s="39" t="n">
        <v>1013</v>
      </c>
      <c r="B1018" s="33">
        <f>IF(C1018="","",IF(P1018="À RENSEIGNER","GIC",P1018)&amp;"-C"&amp;TEXT(A1018,"00000"))</f>
        <v/>
      </c>
      <c r="C1018" s="32" t="n"/>
      <c r="D1018" s="36" t="n"/>
      <c r="E1018" s="36" t="n"/>
      <c r="F1018" s="36" t="n"/>
      <c r="G1018" s="42" t="n"/>
      <c r="H1018" s="37" t="n"/>
      <c r="I1018" s="37" t="n"/>
      <c r="J1018" s="32" t="n"/>
      <c r="K1018" s="32" t="n"/>
      <c r="L1018" s="43" t="n"/>
      <c r="M1018" s="36" t="n"/>
      <c r="N1018" s="44" t="n"/>
      <c r="O1018" s="36" t="n"/>
      <c r="P1018" s="33">
        <f>IF(C1018="","",Commercial_Id)</f>
        <v/>
      </c>
      <c r="Q1018" s="34">
        <f>IF(AC1018="","",IF(AD1018=1,"C"&amp;TEXT(SUM(AD$6:AD1018),"0000"),INDEX(Q$6:Q1017,MATCH(AC1018,AC$6:AC1017,0))))</f>
        <v/>
      </c>
      <c r="R1018" s="34">
        <f>IF(C1018="","",IF(L1018="☑ Oui","Annulée",IF(OR(E1018="Vente directe",K1018&lt;&gt;""),"Livrée",IF(J1018&lt;&gt;"","Confirmée","En attente"))))</f>
        <v/>
      </c>
      <c r="S1018" s="34">
        <f>IF(F1018="","",IFERROR(VLOOKUP(F1018,T_Produits,2,FALSE),""))</f>
        <v/>
      </c>
      <c r="T1018" s="40">
        <f>IF(F1018="","",IFERROR(1/(1/VLOOKUP(F1018,T_Produits,3,FALSE)),""))</f>
        <v/>
      </c>
      <c r="U1018" s="40">
        <f>IF(H1018&lt;&gt;"",H1018,T1018)</f>
        <v/>
      </c>
      <c r="V1018" s="40">
        <f>IF(OR(G1018="",U1018=""),"",G1018*U1018-N(I1018))</f>
        <v/>
      </c>
      <c r="W1018" s="39">
        <f>IF(D1018="","",IFERROR(VALUE(MID(D1018,LEN(D1018)-3,3)),""))</f>
        <v/>
      </c>
      <c r="X1018" s="33">
        <f>IF(W1018="","",P1018&amp;"|"&amp;W1018)</f>
        <v/>
      </c>
      <c r="Y1018" s="33">
        <f>IF(W1018="","",IF(P1018="À RENSEIGNER","GIC",P1018)&amp;"-"&amp;TEXT(W1018,"000"))</f>
        <v/>
      </c>
      <c r="Z1018" s="33">
        <f>IF(X1018="","",IFERROR(INDEX(Cl_nom,MATCH(X1018,Cl_cle,0)),"(client introuvable)"))</f>
        <v/>
      </c>
      <c r="AA1018" s="33">
        <f>IF(X1018="","",IFERROR(INDEX(Cl_quartier,MATCH(X1018,Cl_cle,0))&amp;"",""))</f>
        <v/>
      </c>
      <c r="AB1018" s="45">
        <f>IF(R1018&lt;&gt;"Livrée",0,IF(K1018&lt;&gt;"",K1018,C1018))</f>
        <v/>
      </c>
      <c r="AC1018" s="33">
        <f>IF(OR(C1018="",W1018=""),"",P1018&amp;"|"&amp;W1018&amp;"|"&amp;C1018&amp;"|"&amp;E1018)</f>
        <v/>
      </c>
      <c r="AD1018" s="39">
        <f>IF(AC1018="","",IF(COUNTIF(AC$6:AC1018,AC1018)=1,1,0))</f>
        <v/>
      </c>
      <c r="AE1018" s="39">
        <f>IF(AB1018=0,"",IF(COUNTIFS(X$6:X1018,X1018,AB$6:AB1018,AB1018)=1,1,0))</f>
        <v/>
      </c>
      <c r="AF1018" s="34">
        <f>IF(C1018="","",YEAR(C1018-WEEKDAY(C1018,2)+4)&amp;"-S"&amp;TEXT(INT((C1018-DATE(YEAR(C1018-WEEKDAY(C1018,2)+4),1,3)+WEEKDAY(DATE(YEAR(C1018-WEEKDAY(C1018,2)+4),1,3),2)+5)/7),"00"))</f>
        <v/>
      </c>
    </row>
    <row r="1019" ht="18" customHeight="1">
      <c r="A1019" s="39" t="n">
        <v>1014</v>
      </c>
      <c r="B1019" s="33">
        <f>IF(C1019="","",IF(P1019="À RENSEIGNER","GIC",P1019)&amp;"-C"&amp;TEXT(A1019,"00000"))</f>
        <v/>
      </c>
      <c r="C1019" s="32" t="n"/>
      <c r="D1019" s="36" t="n"/>
      <c r="E1019" s="36" t="n"/>
      <c r="F1019" s="36" t="n"/>
      <c r="G1019" s="42" t="n"/>
      <c r="H1019" s="37" t="n"/>
      <c r="I1019" s="37" t="n"/>
      <c r="J1019" s="32" t="n"/>
      <c r="K1019" s="32" t="n"/>
      <c r="L1019" s="43" t="n"/>
      <c r="M1019" s="36" t="n"/>
      <c r="N1019" s="44" t="n"/>
      <c r="O1019" s="36" t="n"/>
      <c r="P1019" s="33">
        <f>IF(C1019="","",Commercial_Id)</f>
        <v/>
      </c>
      <c r="Q1019" s="34">
        <f>IF(AC1019="","",IF(AD1019=1,"C"&amp;TEXT(SUM(AD$6:AD1019),"0000"),INDEX(Q$6:Q1018,MATCH(AC1019,AC$6:AC1018,0))))</f>
        <v/>
      </c>
      <c r="R1019" s="34">
        <f>IF(C1019="","",IF(L1019="☑ Oui","Annulée",IF(OR(E1019="Vente directe",K1019&lt;&gt;""),"Livrée",IF(J1019&lt;&gt;"","Confirmée","En attente"))))</f>
        <v/>
      </c>
      <c r="S1019" s="34">
        <f>IF(F1019="","",IFERROR(VLOOKUP(F1019,T_Produits,2,FALSE),""))</f>
        <v/>
      </c>
      <c r="T1019" s="40">
        <f>IF(F1019="","",IFERROR(1/(1/VLOOKUP(F1019,T_Produits,3,FALSE)),""))</f>
        <v/>
      </c>
      <c r="U1019" s="40">
        <f>IF(H1019&lt;&gt;"",H1019,T1019)</f>
        <v/>
      </c>
      <c r="V1019" s="40">
        <f>IF(OR(G1019="",U1019=""),"",G1019*U1019-N(I1019))</f>
        <v/>
      </c>
      <c r="W1019" s="39">
        <f>IF(D1019="","",IFERROR(VALUE(MID(D1019,LEN(D1019)-3,3)),""))</f>
        <v/>
      </c>
      <c r="X1019" s="33">
        <f>IF(W1019="","",P1019&amp;"|"&amp;W1019)</f>
        <v/>
      </c>
      <c r="Y1019" s="33">
        <f>IF(W1019="","",IF(P1019="À RENSEIGNER","GIC",P1019)&amp;"-"&amp;TEXT(W1019,"000"))</f>
        <v/>
      </c>
      <c r="Z1019" s="33">
        <f>IF(X1019="","",IFERROR(INDEX(Cl_nom,MATCH(X1019,Cl_cle,0)),"(client introuvable)"))</f>
        <v/>
      </c>
      <c r="AA1019" s="33">
        <f>IF(X1019="","",IFERROR(INDEX(Cl_quartier,MATCH(X1019,Cl_cle,0))&amp;"",""))</f>
        <v/>
      </c>
      <c r="AB1019" s="45">
        <f>IF(R1019&lt;&gt;"Livrée",0,IF(K1019&lt;&gt;"",K1019,C1019))</f>
        <v/>
      </c>
      <c r="AC1019" s="33">
        <f>IF(OR(C1019="",W1019=""),"",P1019&amp;"|"&amp;W1019&amp;"|"&amp;C1019&amp;"|"&amp;E1019)</f>
        <v/>
      </c>
      <c r="AD1019" s="39">
        <f>IF(AC1019="","",IF(COUNTIF(AC$6:AC1019,AC1019)=1,1,0))</f>
        <v/>
      </c>
      <c r="AE1019" s="39">
        <f>IF(AB1019=0,"",IF(COUNTIFS(X$6:X1019,X1019,AB$6:AB1019,AB1019)=1,1,0))</f>
        <v/>
      </c>
      <c r="AF1019" s="34">
        <f>IF(C1019="","",YEAR(C1019-WEEKDAY(C1019,2)+4)&amp;"-S"&amp;TEXT(INT((C1019-DATE(YEAR(C1019-WEEKDAY(C1019,2)+4),1,3)+WEEKDAY(DATE(YEAR(C1019-WEEKDAY(C1019,2)+4),1,3),2)+5)/7),"00"))</f>
        <v/>
      </c>
    </row>
    <row r="1020" ht="18" customHeight="1">
      <c r="A1020" s="39" t="n">
        <v>1015</v>
      </c>
      <c r="B1020" s="33">
        <f>IF(C1020="","",IF(P1020="À RENSEIGNER","GIC",P1020)&amp;"-C"&amp;TEXT(A1020,"00000"))</f>
        <v/>
      </c>
      <c r="C1020" s="32" t="n"/>
      <c r="D1020" s="36" t="n"/>
      <c r="E1020" s="36" t="n"/>
      <c r="F1020" s="36" t="n"/>
      <c r="G1020" s="42" t="n"/>
      <c r="H1020" s="37" t="n"/>
      <c r="I1020" s="37" t="n"/>
      <c r="J1020" s="32" t="n"/>
      <c r="K1020" s="32" t="n"/>
      <c r="L1020" s="43" t="n"/>
      <c r="M1020" s="36" t="n"/>
      <c r="N1020" s="44" t="n"/>
      <c r="O1020" s="36" t="n"/>
      <c r="P1020" s="33">
        <f>IF(C1020="","",Commercial_Id)</f>
        <v/>
      </c>
      <c r="Q1020" s="34">
        <f>IF(AC1020="","",IF(AD1020=1,"C"&amp;TEXT(SUM(AD$6:AD1020),"0000"),INDEX(Q$6:Q1019,MATCH(AC1020,AC$6:AC1019,0))))</f>
        <v/>
      </c>
      <c r="R1020" s="34">
        <f>IF(C1020="","",IF(L1020="☑ Oui","Annulée",IF(OR(E1020="Vente directe",K1020&lt;&gt;""),"Livrée",IF(J1020&lt;&gt;"","Confirmée","En attente"))))</f>
        <v/>
      </c>
      <c r="S1020" s="34">
        <f>IF(F1020="","",IFERROR(VLOOKUP(F1020,T_Produits,2,FALSE),""))</f>
        <v/>
      </c>
      <c r="T1020" s="40">
        <f>IF(F1020="","",IFERROR(1/(1/VLOOKUP(F1020,T_Produits,3,FALSE)),""))</f>
        <v/>
      </c>
      <c r="U1020" s="40">
        <f>IF(H1020&lt;&gt;"",H1020,T1020)</f>
        <v/>
      </c>
      <c r="V1020" s="40">
        <f>IF(OR(G1020="",U1020=""),"",G1020*U1020-N(I1020))</f>
        <v/>
      </c>
      <c r="W1020" s="39">
        <f>IF(D1020="","",IFERROR(VALUE(MID(D1020,LEN(D1020)-3,3)),""))</f>
        <v/>
      </c>
      <c r="X1020" s="33">
        <f>IF(W1020="","",P1020&amp;"|"&amp;W1020)</f>
        <v/>
      </c>
      <c r="Y1020" s="33">
        <f>IF(W1020="","",IF(P1020="À RENSEIGNER","GIC",P1020)&amp;"-"&amp;TEXT(W1020,"000"))</f>
        <v/>
      </c>
      <c r="Z1020" s="33">
        <f>IF(X1020="","",IFERROR(INDEX(Cl_nom,MATCH(X1020,Cl_cle,0)),"(client introuvable)"))</f>
        <v/>
      </c>
      <c r="AA1020" s="33">
        <f>IF(X1020="","",IFERROR(INDEX(Cl_quartier,MATCH(X1020,Cl_cle,0))&amp;"",""))</f>
        <v/>
      </c>
      <c r="AB1020" s="45">
        <f>IF(R1020&lt;&gt;"Livrée",0,IF(K1020&lt;&gt;"",K1020,C1020))</f>
        <v/>
      </c>
      <c r="AC1020" s="33">
        <f>IF(OR(C1020="",W1020=""),"",P1020&amp;"|"&amp;W1020&amp;"|"&amp;C1020&amp;"|"&amp;E1020)</f>
        <v/>
      </c>
      <c r="AD1020" s="39">
        <f>IF(AC1020="","",IF(COUNTIF(AC$6:AC1020,AC1020)=1,1,0))</f>
        <v/>
      </c>
      <c r="AE1020" s="39">
        <f>IF(AB1020=0,"",IF(COUNTIFS(X$6:X1020,X1020,AB$6:AB1020,AB1020)=1,1,0))</f>
        <v/>
      </c>
      <c r="AF1020" s="34">
        <f>IF(C1020="","",YEAR(C1020-WEEKDAY(C1020,2)+4)&amp;"-S"&amp;TEXT(INT((C1020-DATE(YEAR(C1020-WEEKDAY(C1020,2)+4),1,3)+WEEKDAY(DATE(YEAR(C1020-WEEKDAY(C1020,2)+4),1,3),2)+5)/7),"00"))</f>
        <v/>
      </c>
    </row>
    <row r="1021" ht="18" customHeight="1">
      <c r="A1021" s="39" t="n">
        <v>1016</v>
      </c>
      <c r="B1021" s="33">
        <f>IF(C1021="","",IF(P1021="À RENSEIGNER","GIC",P1021)&amp;"-C"&amp;TEXT(A1021,"00000"))</f>
        <v/>
      </c>
      <c r="C1021" s="32" t="n"/>
      <c r="D1021" s="36" t="n"/>
      <c r="E1021" s="36" t="n"/>
      <c r="F1021" s="36" t="n"/>
      <c r="G1021" s="42" t="n"/>
      <c r="H1021" s="37" t="n"/>
      <c r="I1021" s="37" t="n"/>
      <c r="J1021" s="32" t="n"/>
      <c r="K1021" s="32" t="n"/>
      <c r="L1021" s="43" t="n"/>
      <c r="M1021" s="36" t="n"/>
      <c r="N1021" s="44" t="n"/>
      <c r="O1021" s="36" t="n"/>
      <c r="P1021" s="33">
        <f>IF(C1021="","",Commercial_Id)</f>
        <v/>
      </c>
      <c r="Q1021" s="34">
        <f>IF(AC1021="","",IF(AD1021=1,"C"&amp;TEXT(SUM(AD$6:AD1021),"0000"),INDEX(Q$6:Q1020,MATCH(AC1021,AC$6:AC1020,0))))</f>
        <v/>
      </c>
      <c r="R1021" s="34">
        <f>IF(C1021="","",IF(L1021="☑ Oui","Annulée",IF(OR(E1021="Vente directe",K1021&lt;&gt;""),"Livrée",IF(J1021&lt;&gt;"","Confirmée","En attente"))))</f>
        <v/>
      </c>
      <c r="S1021" s="34">
        <f>IF(F1021="","",IFERROR(VLOOKUP(F1021,T_Produits,2,FALSE),""))</f>
        <v/>
      </c>
      <c r="T1021" s="40">
        <f>IF(F1021="","",IFERROR(1/(1/VLOOKUP(F1021,T_Produits,3,FALSE)),""))</f>
        <v/>
      </c>
      <c r="U1021" s="40">
        <f>IF(H1021&lt;&gt;"",H1021,T1021)</f>
        <v/>
      </c>
      <c r="V1021" s="40">
        <f>IF(OR(G1021="",U1021=""),"",G1021*U1021-N(I1021))</f>
        <v/>
      </c>
      <c r="W1021" s="39">
        <f>IF(D1021="","",IFERROR(VALUE(MID(D1021,LEN(D1021)-3,3)),""))</f>
        <v/>
      </c>
      <c r="X1021" s="33">
        <f>IF(W1021="","",P1021&amp;"|"&amp;W1021)</f>
        <v/>
      </c>
      <c r="Y1021" s="33">
        <f>IF(W1021="","",IF(P1021="À RENSEIGNER","GIC",P1021)&amp;"-"&amp;TEXT(W1021,"000"))</f>
        <v/>
      </c>
      <c r="Z1021" s="33">
        <f>IF(X1021="","",IFERROR(INDEX(Cl_nom,MATCH(X1021,Cl_cle,0)),"(client introuvable)"))</f>
        <v/>
      </c>
      <c r="AA1021" s="33">
        <f>IF(X1021="","",IFERROR(INDEX(Cl_quartier,MATCH(X1021,Cl_cle,0))&amp;"",""))</f>
        <v/>
      </c>
      <c r="AB1021" s="45">
        <f>IF(R1021&lt;&gt;"Livrée",0,IF(K1021&lt;&gt;"",K1021,C1021))</f>
        <v/>
      </c>
      <c r="AC1021" s="33">
        <f>IF(OR(C1021="",W1021=""),"",P1021&amp;"|"&amp;W1021&amp;"|"&amp;C1021&amp;"|"&amp;E1021)</f>
        <v/>
      </c>
      <c r="AD1021" s="39">
        <f>IF(AC1021="","",IF(COUNTIF(AC$6:AC1021,AC1021)=1,1,0))</f>
        <v/>
      </c>
      <c r="AE1021" s="39">
        <f>IF(AB1021=0,"",IF(COUNTIFS(X$6:X1021,X1021,AB$6:AB1021,AB1021)=1,1,0))</f>
        <v/>
      </c>
      <c r="AF1021" s="34">
        <f>IF(C1021="","",YEAR(C1021-WEEKDAY(C1021,2)+4)&amp;"-S"&amp;TEXT(INT((C1021-DATE(YEAR(C1021-WEEKDAY(C1021,2)+4),1,3)+WEEKDAY(DATE(YEAR(C1021-WEEKDAY(C1021,2)+4),1,3),2)+5)/7),"00"))</f>
        <v/>
      </c>
    </row>
    <row r="1022" ht="18" customHeight="1">
      <c r="A1022" s="39" t="n">
        <v>1017</v>
      </c>
      <c r="B1022" s="33">
        <f>IF(C1022="","",IF(P1022="À RENSEIGNER","GIC",P1022)&amp;"-C"&amp;TEXT(A1022,"00000"))</f>
        <v/>
      </c>
      <c r="C1022" s="32" t="n"/>
      <c r="D1022" s="36" t="n"/>
      <c r="E1022" s="36" t="n"/>
      <c r="F1022" s="36" t="n"/>
      <c r="G1022" s="42" t="n"/>
      <c r="H1022" s="37" t="n"/>
      <c r="I1022" s="37" t="n"/>
      <c r="J1022" s="32" t="n"/>
      <c r="K1022" s="32" t="n"/>
      <c r="L1022" s="43" t="n"/>
      <c r="M1022" s="36" t="n"/>
      <c r="N1022" s="44" t="n"/>
      <c r="O1022" s="36" t="n"/>
      <c r="P1022" s="33">
        <f>IF(C1022="","",Commercial_Id)</f>
        <v/>
      </c>
      <c r="Q1022" s="34">
        <f>IF(AC1022="","",IF(AD1022=1,"C"&amp;TEXT(SUM(AD$6:AD1022),"0000"),INDEX(Q$6:Q1021,MATCH(AC1022,AC$6:AC1021,0))))</f>
        <v/>
      </c>
      <c r="R1022" s="34">
        <f>IF(C1022="","",IF(L1022="☑ Oui","Annulée",IF(OR(E1022="Vente directe",K1022&lt;&gt;""),"Livrée",IF(J1022&lt;&gt;"","Confirmée","En attente"))))</f>
        <v/>
      </c>
      <c r="S1022" s="34">
        <f>IF(F1022="","",IFERROR(VLOOKUP(F1022,T_Produits,2,FALSE),""))</f>
        <v/>
      </c>
      <c r="T1022" s="40">
        <f>IF(F1022="","",IFERROR(1/(1/VLOOKUP(F1022,T_Produits,3,FALSE)),""))</f>
        <v/>
      </c>
      <c r="U1022" s="40">
        <f>IF(H1022&lt;&gt;"",H1022,T1022)</f>
        <v/>
      </c>
      <c r="V1022" s="40">
        <f>IF(OR(G1022="",U1022=""),"",G1022*U1022-N(I1022))</f>
        <v/>
      </c>
      <c r="W1022" s="39">
        <f>IF(D1022="","",IFERROR(VALUE(MID(D1022,LEN(D1022)-3,3)),""))</f>
        <v/>
      </c>
      <c r="X1022" s="33">
        <f>IF(W1022="","",P1022&amp;"|"&amp;W1022)</f>
        <v/>
      </c>
      <c r="Y1022" s="33">
        <f>IF(W1022="","",IF(P1022="À RENSEIGNER","GIC",P1022)&amp;"-"&amp;TEXT(W1022,"000"))</f>
        <v/>
      </c>
      <c r="Z1022" s="33">
        <f>IF(X1022="","",IFERROR(INDEX(Cl_nom,MATCH(X1022,Cl_cle,0)),"(client introuvable)"))</f>
        <v/>
      </c>
      <c r="AA1022" s="33">
        <f>IF(X1022="","",IFERROR(INDEX(Cl_quartier,MATCH(X1022,Cl_cle,0))&amp;"",""))</f>
        <v/>
      </c>
      <c r="AB1022" s="45">
        <f>IF(R1022&lt;&gt;"Livrée",0,IF(K1022&lt;&gt;"",K1022,C1022))</f>
        <v/>
      </c>
      <c r="AC1022" s="33">
        <f>IF(OR(C1022="",W1022=""),"",P1022&amp;"|"&amp;W1022&amp;"|"&amp;C1022&amp;"|"&amp;E1022)</f>
        <v/>
      </c>
      <c r="AD1022" s="39">
        <f>IF(AC1022="","",IF(COUNTIF(AC$6:AC1022,AC1022)=1,1,0))</f>
        <v/>
      </c>
      <c r="AE1022" s="39">
        <f>IF(AB1022=0,"",IF(COUNTIFS(X$6:X1022,X1022,AB$6:AB1022,AB1022)=1,1,0))</f>
        <v/>
      </c>
      <c r="AF1022" s="34">
        <f>IF(C1022="","",YEAR(C1022-WEEKDAY(C1022,2)+4)&amp;"-S"&amp;TEXT(INT((C1022-DATE(YEAR(C1022-WEEKDAY(C1022,2)+4),1,3)+WEEKDAY(DATE(YEAR(C1022-WEEKDAY(C1022,2)+4),1,3),2)+5)/7),"00"))</f>
        <v/>
      </c>
    </row>
    <row r="1023" ht="18" customHeight="1">
      <c r="A1023" s="39" t="n">
        <v>1018</v>
      </c>
      <c r="B1023" s="33">
        <f>IF(C1023="","",IF(P1023="À RENSEIGNER","GIC",P1023)&amp;"-C"&amp;TEXT(A1023,"00000"))</f>
        <v/>
      </c>
      <c r="C1023" s="32" t="n"/>
      <c r="D1023" s="36" t="n"/>
      <c r="E1023" s="36" t="n"/>
      <c r="F1023" s="36" t="n"/>
      <c r="G1023" s="42" t="n"/>
      <c r="H1023" s="37" t="n"/>
      <c r="I1023" s="37" t="n"/>
      <c r="J1023" s="32" t="n"/>
      <c r="K1023" s="32" t="n"/>
      <c r="L1023" s="43" t="n"/>
      <c r="M1023" s="36" t="n"/>
      <c r="N1023" s="44" t="n"/>
      <c r="O1023" s="36" t="n"/>
      <c r="P1023" s="33">
        <f>IF(C1023="","",Commercial_Id)</f>
        <v/>
      </c>
      <c r="Q1023" s="34">
        <f>IF(AC1023="","",IF(AD1023=1,"C"&amp;TEXT(SUM(AD$6:AD1023),"0000"),INDEX(Q$6:Q1022,MATCH(AC1023,AC$6:AC1022,0))))</f>
        <v/>
      </c>
      <c r="R1023" s="34">
        <f>IF(C1023="","",IF(L1023="☑ Oui","Annulée",IF(OR(E1023="Vente directe",K1023&lt;&gt;""),"Livrée",IF(J1023&lt;&gt;"","Confirmée","En attente"))))</f>
        <v/>
      </c>
      <c r="S1023" s="34">
        <f>IF(F1023="","",IFERROR(VLOOKUP(F1023,T_Produits,2,FALSE),""))</f>
        <v/>
      </c>
      <c r="T1023" s="40">
        <f>IF(F1023="","",IFERROR(1/(1/VLOOKUP(F1023,T_Produits,3,FALSE)),""))</f>
        <v/>
      </c>
      <c r="U1023" s="40">
        <f>IF(H1023&lt;&gt;"",H1023,T1023)</f>
        <v/>
      </c>
      <c r="V1023" s="40">
        <f>IF(OR(G1023="",U1023=""),"",G1023*U1023-N(I1023))</f>
        <v/>
      </c>
      <c r="W1023" s="39">
        <f>IF(D1023="","",IFERROR(VALUE(MID(D1023,LEN(D1023)-3,3)),""))</f>
        <v/>
      </c>
      <c r="X1023" s="33">
        <f>IF(W1023="","",P1023&amp;"|"&amp;W1023)</f>
        <v/>
      </c>
      <c r="Y1023" s="33">
        <f>IF(W1023="","",IF(P1023="À RENSEIGNER","GIC",P1023)&amp;"-"&amp;TEXT(W1023,"000"))</f>
        <v/>
      </c>
      <c r="Z1023" s="33">
        <f>IF(X1023="","",IFERROR(INDEX(Cl_nom,MATCH(X1023,Cl_cle,0)),"(client introuvable)"))</f>
        <v/>
      </c>
      <c r="AA1023" s="33">
        <f>IF(X1023="","",IFERROR(INDEX(Cl_quartier,MATCH(X1023,Cl_cle,0))&amp;"",""))</f>
        <v/>
      </c>
      <c r="AB1023" s="45">
        <f>IF(R1023&lt;&gt;"Livrée",0,IF(K1023&lt;&gt;"",K1023,C1023))</f>
        <v/>
      </c>
      <c r="AC1023" s="33">
        <f>IF(OR(C1023="",W1023=""),"",P1023&amp;"|"&amp;W1023&amp;"|"&amp;C1023&amp;"|"&amp;E1023)</f>
        <v/>
      </c>
      <c r="AD1023" s="39">
        <f>IF(AC1023="","",IF(COUNTIF(AC$6:AC1023,AC1023)=1,1,0))</f>
        <v/>
      </c>
      <c r="AE1023" s="39">
        <f>IF(AB1023=0,"",IF(COUNTIFS(X$6:X1023,X1023,AB$6:AB1023,AB1023)=1,1,0))</f>
        <v/>
      </c>
      <c r="AF1023" s="34">
        <f>IF(C1023="","",YEAR(C1023-WEEKDAY(C1023,2)+4)&amp;"-S"&amp;TEXT(INT((C1023-DATE(YEAR(C1023-WEEKDAY(C1023,2)+4),1,3)+WEEKDAY(DATE(YEAR(C1023-WEEKDAY(C1023,2)+4),1,3),2)+5)/7),"00"))</f>
        <v/>
      </c>
    </row>
    <row r="1024" ht="18" customHeight="1">
      <c r="A1024" s="39" t="n">
        <v>1019</v>
      </c>
      <c r="B1024" s="33">
        <f>IF(C1024="","",IF(P1024="À RENSEIGNER","GIC",P1024)&amp;"-C"&amp;TEXT(A1024,"00000"))</f>
        <v/>
      </c>
      <c r="C1024" s="32" t="n"/>
      <c r="D1024" s="36" t="n"/>
      <c r="E1024" s="36" t="n"/>
      <c r="F1024" s="36" t="n"/>
      <c r="G1024" s="42" t="n"/>
      <c r="H1024" s="37" t="n"/>
      <c r="I1024" s="37" t="n"/>
      <c r="J1024" s="32" t="n"/>
      <c r="K1024" s="32" t="n"/>
      <c r="L1024" s="43" t="n"/>
      <c r="M1024" s="36" t="n"/>
      <c r="N1024" s="44" t="n"/>
      <c r="O1024" s="36" t="n"/>
      <c r="P1024" s="33">
        <f>IF(C1024="","",Commercial_Id)</f>
        <v/>
      </c>
      <c r="Q1024" s="34">
        <f>IF(AC1024="","",IF(AD1024=1,"C"&amp;TEXT(SUM(AD$6:AD1024),"0000"),INDEX(Q$6:Q1023,MATCH(AC1024,AC$6:AC1023,0))))</f>
        <v/>
      </c>
      <c r="R1024" s="34">
        <f>IF(C1024="","",IF(L1024="☑ Oui","Annulée",IF(OR(E1024="Vente directe",K1024&lt;&gt;""),"Livrée",IF(J1024&lt;&gt;"","Confirmée","En attente"))))</f>
        <v/>
      </c>
      <c r="S1024" s="34">
        <f>IF(F1024="","",IFERROR(VLOOKUP(F1024,T_Produits,2,FALSE),""))</f>
        <v/>
      </c>
      <c r="T1024" s="40">
        <f>IF(F1024="","",IFERROR(1/(1/VLOOKUP(F1024,T_Produits,3,FALSE)),""))</f>
        <v/>
      </c>
      <c r="U1024" s="40">
        <f>IF(H1024&lt;&gt;"",H1024,T1024)</f>
        <v/>
      </c>
      <c r="V1024" s="40">
        <f>IF(OR(G1024="",U1024=""),"",G1024*U1024-N(I1024))</f>
        <v/>
      </c>
      <c r="W1024" s="39">
        <f>IF(D1024="","",IFERROR(VALUE(MID(D1024,LEN(D1024)-3,3)),""))</f>
        <v/>
      </c>
      <c r="X1024" s="33">
        <f>IF(W1024="","",P1024&amp;"|"&amp;W1024)</f>
        <v/>
      </c>
      <c r="Y1024" s="33">
        <f>IF(W1024="","",IF(P1024="À RENSEIGNER","GIC",P1024)&amp;"-"&amp;TEXT(W1024,"000"))</f>
        <v/>
      </c>
      <c r="Z1024" s="33">
        <f>IF(X1024="","",IFERROR(INDEX(Cl_nom,MATCH(X1024,Cl_cle,0)),"(client introuvable)"))</f>
        <v/>
      </c>
      <c r="AA1024" s="33">
        <f>IF(X1024="","",IFERROR(INDEX(Cl_quartier,MATCH(X1024,Cl_cle,0))&amp;"",""))</f>
        <v/>
      </c>
      <c r="AB1024" s="45">
        <f>IF(R1024&lt;&gt;"Livrée",0,IF(K1024&lt;&gt;"",K1024,C1024))</f>
        <v/>
      </c>
      <c r="AC1024" s="33">
        <f>IF(OR(C1024="",W1024=""),"",P1024&amp;"|"&amp;W1024&amp;"|"&amp;C1024&amp;"|"&amp;E1024)</f>
        <v/>
      </c>
      <c r="AD1024" s="39">
        <f>IF(AC1024="","",IF(COUNTIF(AC$6:AC1024,AC1024)=1,1,0))</f>
        <v/>
      </c>
      <c r="AE1024" s="39">
        <f>IF(AB1024=0,"",IF(COUNTIFS(X$6:X1024,X1024,AB$6:AB1024,AB1024)=1,1,0))</f>
        <v/>
      </c>
      <c r="AF1024" s="34">
        <f>IF(C1024="","",YEAR(C1024-WEEKDAY(C1024,2)+4)&amp;"-S"&amp;TEXT(INT((C1024-DATE(YEAR(C1024-WEEKDAY(C1024,2)+4),1,3)+WEEKDAY(DATE(YEAR(C1024-WEEKDAY(C1024,2)+4),1,3),2)+5)/7),"00"))</f>
        <v/>
      </c>
    </row>
    <row r="1025" ht="18" customHeight="1">
      <c r="A1025" s="39" t="n">
        <v>1020</v>
      </c>
      <c r="B1025" s="33">
        <f>IF(C1025="","",IF(P1025="À RENSEIGNER","GIC",P1025)&amp;"-C"&amp;TEXT(A1025,"00000"))</f>
        <v/>
      </c>
      <c r="C1025" s="32" t="n"/>
      <c r="D1025" s="36" t="n"/>
      <c r="E1025" s="36" t="n"/>
      <c r="F1025" s="36" t="n"/>
      <c r="G1025" s="42" t="n"/>
      <c r="H1025" s="37" t="n"/>
      <c r="I1025" s="37" t="n"/>
      <c r="J1025" s="32" t="n"/>
      <c r="K1025" s="32" t="n"/>
      <c r="L1025" s="43" t="n"/>
      <c r="M1025" s="36" t="n"/>
      <c r="N1025" s="44" t="n"/>
      <c r="O1025" s="36" t="n"/>
      <c r="P1025" s="33">
        <f>IF(C1025="","",Commercial_Id)</f>
        <v/>
      </c>
      <c r="Q1025" s="34">
        <f>IF(AC1025="","",IF(AD1025=1,"C"&amp;TEXT(SUM(AD$6:AD1025),"0000"),INDEX(Q$6:Q1024,MATCH(AC1025,AC$6:AC1024,0))))</f>
        <v/>
      </c>
      <c r="R1025" s="34">
        <f>IF(C1025="","",IF(L1025="☑ Oui","Annulée",IF(OR(E1025="Vente directe",K1025&lt;&gt;""),"Livrée",IF(J1025&lt;&gt;"","Confirmée","En attente"))))</f>
        <v/>
      </c>
      <c r="S1025" s="34">
        <f>IF(F1025="","",IFERROR(VLOOKUP(F1025,T_Produits,2,FALSE),""))</f>
        <v/>
      </c>
      <c r="T1025" s="40">
        <f>IF(F1025="","",IFERROR(1/(1/VLOOKUP(F1025,T_Produits,3,FALSE)),""))</f>
        <v/>
      </c>
      <c r="U1025" s="40">
        <f>IF(H1025&lt;&gt;"",H1025,T1025)</f>
        <v/>
      </c>
      <c r="V1025" s="40">
        <f>IF(OR(G1025="",U1025=""),"",G1025*U1025-N(I1025))</f>
        <v/>
      </c>
      <c r="W1025" s="39">
        <f>IF(D1025="","",IFERROR(VALUE(MID(D1025,LEN(D1025)-3,3)),""))</f>
        <v/>
      </c>
      <c r="X1025" s="33">
        <f>IF(W1025="","",P1025&amp;"|"&amp;W1025)</f>
        <v/>
      </c>
      <c r="Y1025" s="33">
        <f>IF(W1025="","",IF(P1025="À RENSEIGNER","GIC",P1025)&amp;"-"&amp;TEXT(W1025,"000"))</f>
        <v/>
      </c>
      <c r="Z1025" s="33">
        <f>IF(X1025="","",IFERROR(INDEX(Cl_nom,MATCH(X1025,Cl_cle,0)),"(client introuvable)"))</f>
        <v/>
      </c>
      <c r="AA1025" s="33">
        <f>IF(X1025="","",IFERROR(INDEX(Cl_quartier,MATCH(X1025,Cl_cle,0))&amp;"",""))</f>
        <v/>
      </c>
      <c r="AB1025" s="45">
        <f>IF(R1025&lt;&gt;"Livrée",0,IF(K1025&lt;&gt;"",K1025,C1025))</f>
        <v/>
      </c>
      <c r="AC1025" s="33">
        <f>IF(OR(C1025="",W1025=""),"",P1025&amp;"|"&amp;W1025&amp;"|"&amp;C1025&amp;"|"&amp;E1025)</f>
        <v/>
      </c>
      <c r="AD1025" s="39">
        <f>IF(AC1025="","",IF(COUNTIF(AC$6:AC1025,AC1025)=1,1,0))</f>
        <v/>
      </c>
      <c r="AE1025" s="39">
        <f>IF(AB1025=0,"",IF(COUNTIFS(X$6:X1025,X1025,AB$6:AB1025,AB1025)=1,1,0))</f>
        <v/>
      </c>
      <c r="AF1025" s="34">
        <f>IF(C1025="","",YEAR(C1025-WEEKDAY(C1025,2)+4)&amp;"-S"&amp;TEXT(INT((C1025-DATE(YEAR(C1025-WEEKDAY(C1025,2)+4),1,3)+WEEKDAY(DATE(YEAR(C1025-WEEKDAY(C1025,2)+4),1,3),2)+5)/7),"00"))</f>
        <v/>
      </c>
    </row>
    <row r="1026" ht="18" customHeight="1">
      <c r="A1026" s="39" t="n">
        <v>1021</v>
      </c>
      <c r="B1026" s="33">
        <f>IF(C1026="","",IF(P1026="À RENSEIGNER","GIC",P1026)&amp;"-C"&amp;TEXT(A1026,"00000"))</f>
        <v/>
      </c>
      <c r="C1026" s="32" t="n"/>
      <c r="D1026" s="36" t="n"/>
      <c r="E1026" s="36" t="n"/>
      <c r="F1026" s="36" t="n"/>
      <c r="G1026" s="42" t="n"/>
      <c r="H1026" s="37" t="n"/>
      <c r="I1026" s="37" t="n"/>
      <c r="J1026" s="32" t="n"/>
      <c r="K1026" s="32" t="n"/>
      <c r="L1026" s="43" t="n"/>
      <c r="M1026" s="36" t="n"/>
      <c r="N1026" s="44" t="n"/>
      <c r="O1026" s="36" t="n"/>
      <c r="P1026" s="33">
        <f>IF(C1026="","",Commercial_Id)</f>
        <v/>
      </c>
      <c r="Q1026" s="34">
        <f>IF(AC1026="","",IF(AD1026=1,"C"&amp;TEXT(SUM(AD$6:AD1026),"0000"),INDEX(Q$6:Q1025,MATCH(AC1026,AC$6:AC1025,0))))</f>
        <v/>
      </c>
      <c r="R1026" s="34">
        <f>IF(C1026="","",IF(L1026="☑ Oui","Annulée",IF(OR(E1026="Vente directe",K1026&lt;&gt;""),"Livrée",IF(J1026&lt;&gt;"","Confirmée","En attente"))))</f>
        <v/>
      </c>
      <c r="S1026" s="34">
        <f>IF(F1026="","",IFERROR(VLOOKUP(F1026,T_Produits,2,FALSE),""))</f>
        <v/>
      </c>
      <c r="T1026" s="40">
        <f>IF(F1026="","",IFERROR(1/(1/VLOOKUP(F1026,T_Produits,3,FALSE)),""))</f>
        <v/>
      </c>
      <c r="U1026" s="40">
        <f>IF(H1026&lt;&gt;"",H1026,T1026)</f>
        <v/>
      </c>
      <c r="V1026" s="40">
        <f>IF(OR(G1026="",U1026=""),"",G1026*U1026-N(I1026))</f>
        <v/>
      </c>
      <c r="W1026" s="39">
        <f>IF(D1026="","",IFERROR(VALUE(MID(D1026,LEN(D1026)-3,3)),""))</f>
        <v/>
      </c>
      <c r="X1026" s="33">
        <f>IF(W1026="","",P1026&amp;"|"&amp;W1026)</f>
        <v/>
      </c>
      <c r="Y1026" s="33">
        <f>IF(W1026="","",IF(P1026="À RENSEIGNER","GIC",P1026)&amp;"-"&amp;TEXT(W1026,"000"))</f>
        <v/>
      </c>
      <c r="Z1026" s="33">
        <f>IF(X1026="","",IFERROR(INDEX(Cl_nom,MATCH(X1026,Cl_cle,0)),"(client introuvable)"))</f>
        <v/>
      </c>
      <c r="AA1026" s="33">
        <f>IF(X1026="","",IFERROR(INDEX(Cl_quartier,MATCH(X1026,Cl_cle,0))&amp;"",""))</f>
        <v/>
      </c>
      <c r="AB1026" s="45">
        <f>IF(R1026&lt;&gt;"Livrée",0,IF(K1026&lt;&gt;"",K1026,C1026))</f>
        <v/>
      </c>
      <c r="AC1026" s="33">
        <f>IF(OR(C1026="",W1026=""),"",P1026&amp;"|"&amp;W1026&amp;"|"&amp;C1026&amp;"|"&amp;E1026)</f>
        <v/>
      </c>
      <c r="AD1026" s="39">
        <f>IF(AC1026="","",IF(COUNTIF(AC$6:AC1026,AC1026)=1,1,0))</f>
        <v/>
      </c>
      <c r="AE1026" s="39">
        <f>IF(AB1026=0,"",IF(COUNTIFS(X$6:X1026,X1026,AB$6:AB1026,AB1026)=1,1,0))</f>
        <v/>
      </c>
      <c r="AF1026" s="34">
        <f>IF(C1026="","",YEAR(C1026-WEEKDAY(C1026,2)+4)&amp;"-S"&amp;TEXT(INT((C1026-DATE(YEAR(C1026-WEEKDAY(C1026,2)+4),1,3)+WEEKDAY(DATE(YEAR(C1026-WEEKDAY(C1026,2)+4),1,3),2)+5)/7),"00"))</f>
        <v/>
      </c>
    </row>
    <row r="1027" ht="18" customHeight="1">
      <c r="A1027" s="39" t="n">
        <v>1022</v>
      </c>
      <c r="B1027" s="33">
        <f>IF(C1027="","",IF(P1027="À RENSEIGNER","GIC",P1027)&amp;"-C"&amp;TEXT(A1027,"00000"))</f>
        <v/>
      </c>
      <c r="C1027" s="32" t="n"/>
      <c r="D1027" s="36" t="n"/>
      <c r="E1027" s="36" t="n"/>
      <c r="F1027" s="36" t="n"/>
      <c r="G1027" s="42" t="n"/>
      <c r="H1027" s="37" t="n"/>
      <c r="I1027" s="37" t="n"/>
      <c r="J1027" s="32" t="n"/>
      <c r="K1027" s="32" t="n"/>
      <c r="L1027" s="43" t="n"/>
      <c r="M1027" s="36" t="n"/>
      <c r="N1027" s="44" t="n"/>
      <c r="O1027" s="36" t="n"/>
      <c r="P1027" s="33">
        <f>IF(C1027="","",Commercial_Id)</f>
        <v/>
      </c>
      <c r="Q1027" s="34">
        <f>IF(AC1027="","",IF(AD1027=1,"C"&amp;TEXT(SUM(AD$6:AD1027),"0000"),INDEX(Q$6:Q1026,MATCH(AC1027,AC$6:AC1026,0))))</f>
        <v/>
      </c>
      <c r="R1027" s="34">
        <f>IF(C1027="","",IF(L1027="☑ Oui","Annulée",IF(OR(E1027="Vente directe",K1027&lt;&gt;""),"Livrée",IF(J1027&lt;&gt;"","Confirmée","En attente"))))</f>
        <v/>
      </c>
      <c r="S1027" s="34">
        <f>IF(F1027="","",IFERROR(VLOOKUP(F1027,T_Produits,2,FALSE),""))</f>
        <v/>
      </c>
      <c r="T1027" s="40">
        <f>IF(F1027="","",IFERROR(1/(1/VLOOKUP(F1027,T_Produits,3,FALSE)),""))</f>
        <v/>
      </c>
      <c r="U1027" s="40">
        <f>IF(H1027&lt;&gt;"",H1027,T1027)</f>
        <v/>
      </c>
      <c r="V1027" s="40">
        <f>IF(OR(G1027="",U1027=""),"",G1027*U1027-N(I1027))</f>
        <v/>
      </c>
      <c r="W1027" s="39">
        <f>IF(D1027="","",IFERROR(VALUE(MID(D1027,LEN(D1027)-3,3)),""))</f>
        <v/>
      </c>
      <c r="X1027" s="33">
        <f>IF(W1027="","",P1027&amp;"|"&amp;W1027)</f>
        <v/>
      </c>
      <c r="Y1027" s="33">
        <f>IF(W1027="","",IF(P1027="À RENSEIGNER","GIC",P1027)&amp;"-"&amp;TEXT(W1027,"000"))</f>
        <v/>
      </c>
      <c r="Z1027" s="33">
        <f>IF(X1027="","",IFERROR(INDEX(Cl_nom,MATCH(X1027,Cl_cle,0)),"(client introuvable)"))</f>
        <v/>
      </c>
      <c r="AA1027" s="33">
        <f>IF(X1027="","",IFERROR(INDEX(Cl_quartier,MATCH(X1027,Cl_cle,0))&amp;"",""))</f>
        <v/>
      </c>
      <c r="AB1027" s="45">
        <f>IF(R1027&lt;&gt;"Livrée",0,IF(K1027&lt;&gt;"",K1027,C1027))</f>
        <v/>
      </c>
      <c r="AC1027" s="33">
        <f>IF(OR(C1027="",W1027=""),"",P1027&amp;"|"&amp;W1027&amp;"|"&amp;C1027&amp;"|"&amp;E1027)</f>
        <v/>
      </c>
      <c r="AD1027" s="39">
        <f>IF(AC1027="","",IF(COUNTIF(AC$6:AC1027,AC1027)=1,1,0))</f>
        <v/>
      </c>
      <c r="AE1027" s="39">
        <f>IF(AB1027=0,"",IF(COUNTIFS(X$6:X1027,X1027,AB$6:AB1027,AB1027)=1,1,0))</f>
        <v/>
      </c>
      <c r="AF1027" s="34">
        <f>IF(C1027="","",YEAR(C1027-WEEKDAY(C1027,2)+4)&amp;"-S"&amp;TEXT(INT((C1027-DATE(YEAR(C1027-WEEKDAY(C1027,2)+4),1,3)+WEEKDAY(DATE(YEAR(C1027-WEEKDAY(C1027,2)+4),1,3),2)+5)/7),"00"))</f>
        <v/>
      </c>
    </row>
    <row r="1028" ht="18" customHeight="1">
      <c r="A1028" s="39" t="n">
        <v>1023</v>
      </c>
      <c r="B1028" s="33">
        <f>IF(C1028="","",IF(P1028="À RENSEIGNER","GIC",P1028)&amp;"-C"&amp;TEXT(A1028,"00000"))</f>
        <v/>
      </c>
      <c r="C1028" s="32" t="n"/>
      <c r="D1028" s="36" t="n"/>
      <c r="E1028" s="36" t="n"/>
      <c r="F1028" s="36" t="n"/>
      <c r="G1028" s="42" t="n"/>
      <c r="H1028" s="37" t="n"/>
      <c r="I1028" s="37" t="n"/>
      <c r="J1028" s="32" t="n"/>
      <c r="K1028" s="32" t="n"/>
      <c r="L1028" s="43" t="n"/>
      <c r="M1028" s="36" t="n"/>
      <c r="N1028" s="44" t="n"/>
      <c r="O1028" s="36" t="n"/>
      <c r="P1028" s="33">
        <f>IF(C1028="","",Commercial_Id)</f>
        <v/>
      </c>
      <c r="Q1028" s="34">
        <f>IF(AC1028="","",IF(AD1028=1,"C"&amp;TEXT(SUM(AD$6:AD1028),"0000"),INDEX(Q$6:Q1027,MATCH(AC1028,AC$6:AC1027,0))))</f>
        <v/>
      </c>
      <c r="R1028" s="34">
        <f>IF(C1028="","",IF(L1028="☑ Oui","Annulée",IF(OR(E1028="Vente directe",K1028&lt;&gt;""),"Livrée",IF(J1028&lt;&gt;"","Confirmée","En attente"))))</f>
        <v/>
      </c>
      <c r="S1028" s="34">
        <f>IF(F1028="","",IFERROR(VLOOKUP(F1028,T_Produits,2,FALSE),""))</f>
        <v/>
      </c>
      <c r="T1028" s="40">
        <f>IF(F1028="","",IFERROR(1/(1/VLOOKUP(F1028,T_Produits,3,FALSE)),""))</f>
        <v/>
      </c>
      <c r="U1028" s="40">
        <f>IF(H1028&lt;&gt;"",H1028,T1028)</f>
        <v/>
      </c>
      <c r="V1028" s="40">
        <f>IF(OR(G1028="",U1028=""),"",G1028*U1028-N(I1028))</f>
        <v/>
      </c>
      <c r="W1028" s="39">
        <f>IF(D1028="","",IFERROR(VALUE(MID(D1028,LEN(D1028)-3,3)),""))</f>
        <v/>
      </c>
      <c r="X1028" s="33">
        <f>IF(W1028="","",P1028&amp;"|"&amp;W1028)</f>
        <v/>
      </c>
      <c r="Y1028" s="33">
        <f>IF(W1028="","",IF(P1028="À RENSEIGNER","GIC",P1028)&amp;"-"&amp;TEXT(W1028,"000"))</f>
        <v/>
      </c>
      <c r="Z1028" s="33">
        <f>IF(X1028="","",IFERROR(INDEX(Cl_nom,MATCH(X1028,Cl_cle,0)),"(client introuvable)"))</f>
        <v/>
      </c>
      <c r="AA1028" s="33">
        <f>IF(X1028="","",IFERROR(INDEX(Cl_quartier,MATCH(X1028,Cl_cle,0))&amp;"",""))</f>
        <v/>
      </c>
      <c r="AB1028" s="45">
        <f>IF(R1028&lt;&gt;"Livrée",0,IF(K1028&lt;&gt;"",K1028,C1028))</f>
        <v/>
      </c>
      <c r="AC1028" s="33">
        <f>IF(OR(C1028="",W1028=""),"",P1028&amp;"|"&amp;W1028&amp;"|"&amp;C1028&amp;"|"&amp;E1028)</f>
        <v/>
      </c>
      <c r="AD1028" s="39">
        <f>IF(AC1028="","",IF(COUNTIF(AC$6:AC1028,AC1028)=1,1,0))</f>
        <v/>
      </c>
      <c r="AE1028" s="39">
        <f>IF(AB1028=0,"",IF(COUNTIFS(X$6:X1028,X1028,AB$6:AB1028,AB1028)=1,1,0))</f>
        <v/>
      </c>
      <c r="AF1028" s="34">
        <f>IF(C1028="","",YEAR(C1028-WEEKDAY(C1028,2)+4)&amp;"-S"&amp;TEXT(INT((C1028-DATE(YEAR(C1028-WEEKDAY(C1028,2)+4),1,3)+WEEKDAY(DATE(YEAR(C1028-WEEKDAY(C1028,2)+4),1,3),2)+5)/7),"00"))</f>
        <v/>
      </c>
    </row>
    <row r="1029" ht="18" customHeight="1">
      <c r="A1029" s="39" t="n">
        <v>1024</v>
      </c>
      <c r="B1029" s="33">
        <f>IF(C1029="","",IF(P1029="À RENSEIGNER","GIC",P1029)&amp;"-C"&amp;TEXT(A1029,"00000"))</f>
        <v/>
      </c>
      <c r="C1029" s="32" t="n"/>
      <c r="D1029" s="36" t="n"/>
      <c r="E1029" s="36" t="n"/>
      <c r="F1029" s="36" t="n"/>
      <c r="G1029" s="42" t="n"/>
      <c r="H1029" s="37" t="n"/>
      <c r="I1029" s="37" t="n"/>
      <c r="J1029" s="32" t="n"/>
      <c r="K1029" s="32" t="n"/>
      <c r="L1029" s="43" t="n"/>
      <c r="M1029" s="36" t="n"/>
      <c r="N1029" s="44" t="n"/>
      <c r="O1029" s="36" t="n"/>
      <c r="P1029" s="33">
        <f>IF(C1029="","",Commercial_Id)</f>
        <v/>
      </c>
      <c r="Q1029" s="34">
        <f>IF(AC1029="","",IF(AD1029=1,"C"&amp;TEXT(SUM(AD$6:AD1029),"0000"),INDEX(Q$6:Q1028,MATCH(AC1029,AC$6:AC1028,0))))</f>
        <v/>
      </c>
      <c r="R1029" s="34">
        <f>IF(C1029="","",IF(L1029="☑ Oui","Annulée",IF(OR(E1029="Vente directe",K1029&lt;&gt;""),"Livrée",IF(J1029&lt;&gt;"","Confirmée","En attente"))))</f>
        <v/>
      </c>
      <c r="S1029" s="34">
        <f>IF(F1029="","",IFERROR(VLOOKUP(F1029,T_Produits,2,FALSE),""))</f>
        <v/>
      </c>
      <c r="T1029" s="40">
        <f>IF(F1029="","",IFERROR(1/(1/VLOOKUP(F1029,T_Produits,3,FALSE)),""))</f>
        <v/>
      </c>
      <c r="U1029" s="40">
        <f>IF(H1029&lt;&gt;"",H1029,T1029)</f>
        <v/>
      </c>
      <c r="V1029" s="40">
        <f>IF(OR(G1029="",U1029=""),"",G1029*U1029-N(I1029))</f>
        <v/>
      </c>
      <c r="W1029" s="39">
        <f>IF(D1029="","",IFERROR(VALUE(MID(D1029,LEN(D1029)-3,3)),""))</f>
        <v/>
      </c>
      <c r="X1029" s="33">
        <f>IF(W1029="","",P1029&amp;"|"&amp;W1029)</f>
        <v/>
      </c>
      <c r="Y1029" s="33">
        <f>IF(W1029="","",IF(P1029="À RENSEIGNER","GIC",P1029)&amp;"-"&amp;TEXT(W1029,"000"))</f>
        <v/>
      </c>
      <c r="Z1029" s="33">
        <f>IF(X1029="","",IFERROR(INDEX(Cl_nom,MATCH(X1029,Cl_cle,0)),"(client introuvable)"))</f>
        <v/>
      </c>
      <c r="AA1029" s="33">
        <f>IF(X1029="","",IFERROR(INDEX(Cl_quartier,MATCH(X1029,Cl_cle,0))&amp;"",""))</f>
        <v/>
      </c>
      <c r="AB1029" s="45">
        <f>IF(R1029&lt;&gt;"Livrée",0,IF(K1029&lt;&gt;"",K1029,C1029))</f>
        <v/>
      </c>
      <c r="AC1029" s="33">
        <f>IF(OR(C1029="",W1029=""),"",P1029&amp;"|"&amp;W1029&amp;"|"&amp;C1029&amp;"|"&amp;E1029)</f>
        <v/>
      </c>
      <c r="AD1029" s="39">
        <f>IF(AC1029="","",IF(COUNTIF(AC$6:AC1029,AC1029)=1,1,0))</f>
        <v/>
      </c>
      <c r="AE1029" s="39">
        <f>IF(AB1029=0,"",IF(COUNTIFS(X$6:X1029,X1029,AB$6:AB1029,AB1029)=1,1,0))</f>
        <v/>
      </c>
      <c r="AF1029" s="34">
        <f>IF(C1029="","",YEAR(C1029-WEEKDAY(C1029,2)+4)&amp;"-S"&amp;TEXT(INT((C1029-DATE(YEAR(C1029-WEEKDAY(C1029,2)+4),1,3)+WEEKDAY(DATE(YEAR(C1029-WEEKDAY(C1029,2)+4),1,3),2)+5)/7),"00"))</f>
        <v/>
      </c>
    </row>
    <row r="1030" ht="18" customHeight="1">
      <c r="A1030" s="39" t="n">
        <v>1025</v>
      </c>
      <c r="B1030" s="33">
        <f>IF(C1030="","",IF(P1030="À RENSEIGNER","GIC",P1030)&amp;"-C"&amp;TEXT(A1030,"00000"))</f>
        <v/>
      </c>
      <c r="C1030" s="32" t="n"/>
      <c r="D1030" s="36" t="n"/>
      <c r="E1030" s="36" t="n"/>
      <c r="F1030" s="36" t="n"/>
      <c r="G1030" s="42" t="n"/>
      <c r="H1030" s="37" t="n"/>
      <c r="I1030" s="37" t="n"/>
      <c r="J1030" s="32" t="n"/>
      <c r="K1030" s="32" t="n"/>
      <c r="L1030" s="43" t="n"/>
      <c r="M1030" s="36" t="n"/>
      <c r="N1030" s="44" t="n"/>
      <c r="O1030" s="36" t="n"/>
      <c r="P1030" s="33">
        <f>IF(C1030="","",Commercial_Id)</f>
        <v/>
      </c>
      <c r="Q1030" s="34">
        <f>IF(AC1030="","",IF(AD1030=1,"C"&amp;TEXT(SUM(AD$6:AD1030),"0000"),INDEX(Q$6:Q1029,MATCH(AC1030,AC$6:AC1029,0))))</f>
        <v/>
      </c>
      <c r="R1030" s="34">
        <f>IF(C1030="","",IF(L1030="☑ Oui","Annulée",IF(OR(E1030="Vente directe",K1030&lt;&gt;""),"Livrée",IF(J1030&lt;&gt;"","Confirmée","En attente"))))</f>
        <v/>
      </c>
      <c r="S1030" s="34">
        <f>IF(F1030="","",IFERROR(VLOOKUP(F1030,T_Produits,2,FALSE),""))</f>
        <v/>
      </c>
      <c r="T1030" s="40">
        <f>IF(F1030="","",IFERROR(1/(1/VLOOKUP(F1030,T_Produits,3,FALSE)),""))</f>
        <v/>
      </c>
      <c r="U1030" s="40">
        <f>IF(H1030&lt;&gt;"",H1030,T1030)</f>
        <v/>
      </c>
      <c r="V1030" s="40">
        <f>IF(OR(G1030="",U1030=""),"",G1030*U1030-N(I1030))</f>
        <v/>
      </c>
      <c r="W1030" s="39">
        <f>IF(D1030="","",IFERROR(VALUE(MID(D1030,LEN(D1030)-3,3)),""))</f>
        <v/>
      </c>
      <c r="X1030" s="33">
        <f>IF(W1030="","",P1030&amp;"|"&amp;W1030)</f>
        <v/>
      </c>
      <c r="Y1030" s="33">
        <f>IF(W1030="","",IF(P1030="À RENSEIGNER","GIC",P1030)&amp;"-"&amp;TEXT(W1030,"000"))</f>
        <v/>
      </c>
      <c r="Z1030" s="33">
        <f>IF(X1030="","",IFERROR(INDEX(Cl_nom,MATCH(X1030,Cl_cle,0)),"(client introuvable)"))</f>
        <v/>
      </c>
      <c r="AA1030" s="33">
        <f>IF(X1030="","",IFERROR(INDEX(Cl_quartier,MATCH(X1030,Cl_cle,0))&amp;"",""))</f>
        <v/>
      </c>
      <c r="AB1030" s="45">
        <f>IF(R1030&lt;&gt;"Livrée",0,IF(K1030&lt;&gt;"",K1030,C1030))</f>
        <v/>
      </c>
      <c r="AC1030" s="33">
        <f>IF(OR(C1030="",W1030=""),"",P1030&amp;"|"&amp;W1030&amp;"|"&amp;C1030&amp;"|"&amp;E1030)</f>
        <v/>
      </c>
      <c r="AD1030" s="39">
        <f>IF(AC1030="","",IF(COUNTIF(AC$6:AC1030,AC1030)=1,1,0))</f>
        <v/>
      </c>
      <c r="AE1030" s="39">
        <f>IF(AB1030=0,"",IF(COUNTIFS(X$6:X1030,X1030,AB$6:AB1030,AB1030)=1,1,0))</f>
        <v/>
      </c>
      <c r="AF1030" s="34">
        <f>IF(C1030="","",YEAR(C1030-WEEKDAY(C1030,2)+4)&amp;"-S"&amp;TEXT(INT((C1030-DATE(YEAR(C1030-WEEKDAY(C1030,2)+4),1,3)+WEEKDAY(DATE(YEAR(C1030-WEEKDAY(C1030,2)+4),1,3),2)+5)/7),"00"))</f>
        <v/>
      </c>
    </row>
    <row r="1031" ht="18" customHeight="1">
      <c r="A1031" s="39" t="n">
        <v>1026</v>
      </c>
      <c r="B1031" s="33">
        <f>IF(C1031="","",IF(P1031="À RENSEIGNER","GIC",P1031)&amp;"-C"&amp;TEXT(A1031,"00000"))</f>
        <v/>
      </c>
      <c r="C1031" s="32" t="n"/>
      <c r="D1031" s="36" t="n"/>
      <c r="E1031" s="36" t="n"/>
      <c r="F1031" s="36" t="n"/>
      <c r="G1031" s="42" t="n"/>
      <c r="H1031" s="37" t="n"/>
      <c r="I1031" s="37" t="n"/>
      <c r="J1031" s="32" t="n"/>
      <c r="K1031" s="32" t="n"/>
      <c r="L1031" s="43" t="n"/>
      <c r="M1031" s="36" t="n"/>
      <c r="N1031" s="44" t="n"/>
      <c r="O1031" s="36" t="n"/>
      <c r="P1031" s="33">
        <f>IF(C1031="","",Commercial_Id)</f>
        <v/>
      </c>
      <c r="Q1031" s="34">
        <f>IF(AC1031="","",IF(AD1031=1,"C"&amp;TEXT(SUM(AD$6:AD1031),"0000"),INDEX(Q$6:Q1030,MATCH(AC1031,AC$6:AC1030,0))))</f>
        <v/>
      </c>
      <c r="R1031" s="34">
        <f>IF(C1031="","",IF(L1031="☑ Oui","Annulée",IF(OR(E1031="Vente directe",K1031&lt;&gt;""),"Livrée",IF(J1031&lt;&gt;"","Confirmée","En attente"))))</f>
        <v/>
      </c>
      <c r="S1031" s="34">
        <f>IF(F1031="","",IFERROR(VLOOKUP(F1031,T_Produits,2,FALSE),""))</f>
        <v/>
      </c>
      <c r="T1031" s="40">
        <f>IF(F1031="","",IFERROR(1/(1/VLOOKUP(F1031,T_Produits,3,FALSE)),""))</f>
        <v/>
      </c>
      <c r="U1031" s="40">
        <f>IF(H1031&lt;&gt;"",H1031,T1031)</f>
        <v/>
      </c>
      <c r="V1031" s="40">
        <f>IF(OR(G1031="",U1031=""),"",G1031*U1031-N(I1031))</f>
        <v/>
      </c>
      <c r="W1031" s="39">
        <f>IF(D1031="","",IFERROR(VALUE(MID(D1031,LEN(D1031)-3,3)),""))</f>
        <v/>
      </c>
      <c r="X1031" s="33">
        <f>IF(W1031="","",P1031&amp;"|"&amp;W1031)</f>
        <v/>
      </c>
      <c r="Y1031" s="33">
        <f>IF(W1031="","",IF(P1031="À RENSEIGNER","GIC",P1031)&amp;"-"&amp;TEXT(W1031,"000"))</f>
        <v/>
      </c>
      <c r="Z1031" s="33">
        <f>IF(X1031="","",IFERROR(INDEX(Cl_nom,MATCH(X1031,Cl_cle,0)),"(client introuvable)"))</f>
        <v/>
      </c>
      <c r="AA1031" s="33">
        <f>IF(X1031="","",IFERROR(INDEX(Cl_quartier,MATCH(X1031,Cl_cle,0))&amp;"",""))</f>
        <v/>
      </c>
      <c r="AB1031" s="45">
        <f>IF(R1031&lt;&gt;"Livrée",0,IF(K1031&lt;&gt;"",K1031,C1031))</f>
        <v/>
      </c>
      <c r="AC1031" s="33">
        <f>IF(OR(C1031="",W1031=""),"",P1031&amp;"|"&amp;W1031&amp;"|"&amp;C1031&amp;"|"&amp;E1031)</f>
        <v/>
      </c>
      <c r="AD1031" s="39">
        <f>IF(AC1031="","",IF(COUNTIF(AC$6:AC1031,AC1031)=1,1,0))</f>
        <v/>
      </c>
      <c r="AE1031" s="39">
        <f>IF(AB1031=0,"",IF(COUNTIFS(X$6:X1031,X1031,AB$6:AB1031,AB1031)=1,1,0))</f>
        <v/>
      </c>
      <c r="AF1031" s="34">
        <f>IF(C1031="","",YEAR(C1031-WEEKDAY(C1031,2)+4)&amp;"-S"&amp;TEXT(INT((C1031-DATE(YEAR(C1031-WEEKDAY(C1031,2)+4),1,3)+WEEKDAY(DATE(YEAR(C1031-WEEKDAY(C1031,2)+4),1,3),2)+5)/7),"00"))</f>
        <v/>
      </c>
    </row>
    <row r="1032" ht="18" customHeight="1">
      <c r="A1032" s="39" t="n">
        <v>1027</v>
      </c>
      <c r="B1032" s="33">
        <f>IF(C1032="","",IF(P1032="À RENSEIGNER","GIC",P1032)&amp;"-C"&amp;TEXT(A1032,"00000"))</f>
        <v/>
      </c>
      <c r="C1032" s="32" t="n"/>
      <c r="D1032" s="36" t="n"/>
      <c r="E1032" s="36" t="n"/>
      <c r="F1032" s="36" t="n"/>
      <c r="G1032" s="42" t="n"/>
      <c r="H1032" s="37" t="n"/>
      <c r="I1032" s="37" t="n"/>
      <c r="J1032" s="32" t="n"/>
      <c r="K1032" s="32" t="n"/>
      <c r="L1032" s="43" t="n"/>
      <c r="M1032" s="36" t="n"/>
      <c r="N1032" s="44" t="n"/>
      <c r="O1032" s="36" t="n"/>
      <c r="P1032" s="33">
        <f>IF(C1032="","",Commercial_Id)</f>
        <v/>
      </c>
      <c r="Q1032" s="34">
        <f>IF(AC1032="","",IF(AD1032=1,"C"&amp;TEXT(SUM(AD$6:AD1032),"0000"),INDEX(Q$6:Q1031,MATCH(AC1032,AC$6:AC1031,0))))</f>
        <v/>
      </c>
      <c r="R1032" s="34">
        <f>IF(C1032="","",IF(L1032="☑ Oui","Annulée",IF(OR(E1032="Vente directe",K1032&lt;&gt;""),"Livrée",IF(J1032&lt;&gt;"","Confirmée","En attente"))))</f>
        <v/>
      </c>
      <c r="S1032" s="34">
        <f>IF(F1032="","",IFERROR(VLOOKUP(F1032,T_Produits,2,FALSE),""))</f>
        <v/>
      </c>
      <c r="T1032" s="40">
        <f>IF(F1032="","",IFERROR(1/(1/VLOOKUP(F1032,T_Produits,3,FALSE)),""))</f>
        <v/>
      </c>
      <c r="U1032" s="40">
        <f>IF(H1032&lt;&gt;"",H1032,T1032)</f>
        <v/>
      </c>
      <c r="V1032" s="40">
        <f>IF(OR(G1032="",U1032=""),"",G1032*U1032-N(I1032))</f>
        <v/>
      </c>
      <c r="W1032" s="39">
        <f>IF(D1032="","",IFERROR(VALUE(MID(D1032,LEN(D1032)-3,3)),""))</f>
        <v/>
      </c>
      <c r="X1032" s="33">
        <f>IF(W1032="","",P1032&amp;"|"&amp;W1032)</f>
        <v/>
      </c>
      <c r="Y1032" s="33">
        <f>IF(W1032="","",IF(P1032="À RENSEIGNER","GIC",P1032)&amp;"-"&amp;TEXT(W1032,"000"))</f>
        <v/>
      </c>
      <c r="Z1032" s="33">
        <f>IF(X1032="","",IFERROR(INDEX(Cl_nom,MATCH(X1032,Cl_cle,0)),"(client introuvable)"))</f>
        <v/>
      </c>
      <c r="AA1032" s="33">
        <f>IF(X1032="","",IFERROR(INDEX(Cl_quartier,MATCH(X1032,Cl_cle,0))&amp;"",""))</f>
        <v/>
      </c>
      <c r="AB1032" s="45">
        <f>IF(R1032&lt;&gt;"Livrée",0,IF(K1032&lt;&gt;"",K1032,C1032))</f>
        <v/>
      </c>
      <c r="AC1032" s="33">
        <f>IF(OR(C1032="",W1032=""),"",P1032&amp;"|"&amp;W1032&amp;"|"&amp;C1032&amp;"|"&amp;E1032)</f>
        <v/>
      </c>
      <c r="AD1032" s="39">
        <f>IF(AC1032="","",IF(COUNTIF(AC$6:AC1032,AC1032)=1,1,0))</f>
        <v/>
      </c>
      <c r="AE1032" s="39">
        <f>IF(AB1032=0,"",IF(COUNTIFS(X$6:X1032,X1032,AB$6:AB1032,AB1032)=1,1,0))</f>
        <v/>
      </c>
      <c r="AF1032" s="34">
        <f>IF(C1032="","",YEAR(C1032-WEEKDAY(C1032,2)+4)&amp;"-S"&amp;TEXT(INT((C1032-DATE(YEAR(C1032-WEEKDAY(C1032,2)+4),1,3)+WEEKDAY(DATE(YEAR(C1032-WEEKDAY(C1032,2)+4),1,3),2)+5)/7),"00"))</f>
        <v/>
      </c>
    </row>
    <row r="1033" ht="18" customHeight="1">
      <c r="A1033" s="39" t="n">
        <v>1028</v>
      </c>
      <c r="B1033" s="33">
        <f>IF(C1033="","",IF(P1033="À RENSEIGNER","GIC",P1033)&amp;"-C"&amp;TEXT(A1033,"00000"))</f>
        <v/>
      </c>
      <c r="C1033" s="32" t="n"/>
      <c r="D1033" s="36" t="n"/>
      <c r="E1033" s="36" t="n"/>
      <c r="F1033" s="36" t="n"/>
      <c r="G1033" s="42" t="n"/>
      <c r="H1033" s="37" t="n"/>
      <c r="I1033" s="37" t="n"/>
      <c r="J1033" s="32" t="n"/>
      <c r="K1033" s="32" t="n"/>
      <c r="L1033" s="43" t="n"/>
      <c r="M1033" s="36" t="n"/>
      <c r="N1033" s="44" t="n"/>
      <c r="O1033" s="36" t="n"/>
      <c r="P1033" s="33">
        <f>IF(C1033="","",Commercial_Id)</f>
        <v/>
      </c>
      <c r="Q1033" s="34">
        <f>IF(AC1033="","",IF(AD1033=1,"C"&amp;TEXT(SUM(AD$6:AD1033),"0000"),INDEX(Q$6:Q1032,MATCH(AC1033,AC$6:AC1032,0))))</f>
        <v/>
      </c>
      <c r="R1033" s="34">
        <f>IF(C1033="","",IF(L1033="☑ Oui","Annulée",IF(OR(E1033="Vente directe",K1033&lt;&gt;""),"Livrée",IF(J1033&lt;&gt;"","Confirmée","En attente"))))</f>
        <v/>
      </c>
      <c r="S1033" s="34">
        <f>IF(F1033="","",IFERROR(VLOOKUP(F1033,T_Produits,2,FALSE),""))</f>
        <v/>
      </c>
      <c r="T1033" s="40">
        <f>IF(F1033="","",IFERROR(1/(1/VLOOKUP(F1033,T_Produits,3,FALSE)),""))</f>
        <v/>
      </c>
      <c r="U1033" s="40">
        <f>IF(H1033&lt;&gt;"",H1033,T1033)</f>
        <v/>
      </c>
      <c r="V1033" s="40">
        <f>IF(OR(G1033="",U1033=""),"",G1033*U1033-N(I1033))</f>
        <v/>
      </c>
      <c r="W1033" s="39">
        <f>IF(D1033="","",IFERROR(VALUE(MID(D1033,LEN(D1033)-3,3)),""))</f>
        <v/>
      </c>
      <c r="X1033" s="33">
        <f>IF(W1033="","",P1033&amp;"|"&amp;W1033)</f>
        <v/>
      </c>
      <c r="Y1033" s="33">
        <f>IF(W1033="","",IF(P1033="À RENSEIGNER","GIC",P1033)&amp;"-"&amp;TEXT(W1033,"000"))</f>
        <v/>
      </c>
      <c r="Z1033" s="33">
        <f>IF(X1033="","",IFERROR(INDEX(Cl_nom,MATCH(X1033,Cl_cle,0)),"(client introuvable)"))</f>
        <v/>
      </c>
      <c r="AA1033" s="33">
        <f>IF(X1033="","",IFERROR(INDEX(Cl_quartier,MATCH(X1033,Cl_cle,0))&amp;"",""))</f>
        <v/>
      </c>
      <c r="AB1033" s="45">
        <f>IF(R1033&lt;&gt;"Livrée",0,IF(K1033&lt;&gt;"",K1033,C1033))</f>
        <v/>
      </c>
      <c r="AC1033" s="33">
        <f>IF(OR(C1033="",W1033=""),"",P1033&amp;"|"&amp;W1033&amp;"|"&amp;C1033&amp;"|"&amp;E1033)</f>
        <v/>
      </c>
      <c r="AD1033" s="39">
        <f>IF(AC1033="","",IF(COUNTIF(AC$6:AC1033,AC1033)=1,1,0))</f>
        <v/>
      </c>
      <c r="AE1033" s="39">
        <f>IF(AB1033=0,"",IF(COUNTIFS(X$6:X1033,X1033,AB$6:AB1033,AB1033)=1,1,0))</f>
        <v/>
      </c>
      <c r="AF1033" s="34">
        <f>IF(C1033="","",YEAR(C1033-WEEKDAY(C1033,2)+4)&amp;"-S"&amp;TEXT(INT((C1033-DATE(YEAR(C1033-WEEKDAY(C1033,2)+4),1,3)+WEEKDAY(DATE(YEAR(C1033-WEEKDAY(C1033,2)+4),1,3),2)+5)/7),"00"))</f>
        <v/>
      </c>
    </row>
    <row r="1034" ht="18" customHeight="1">
      <c r="A1034" s="39" t="n">
        <v>1029</v>
      </c>
      <c r="B1034" s="33">
        <f>IF(C1034="","",IF(P1034="À RENSEIGNER","GIC",P1034)&amp;"-C"&amp;TEXT(A1034,"00000"))</f>
        <v/>
      </c>
      <c r="C1034" s="32" t="n"/>
      <c r="D1034" s="36" t="n"/>
      <c r="E1034" s="36" t="n"/>
      <c r="F1034" s="36" t="n"/>
      <c r="G1034" s="42" t="n"/>
      <c r="H1034" s="37" t="n"/>
      <c r="I1034" s="37" t="n"/>
      <c r="J1034" s="32" t="n"/>
      <c r="K1034" s="32" t="n"/>
      <c r="L1034" s="43" t="n"/>
      <c r="M1034" s="36" t="n"/>
      <c r="N1034" s="44" t="n"/>
      <c r="O1034" s="36" t="n"/>
      <c r="P1034" s="33">
        <f>IF(C1034="","",Commercial_Id)</f>
        <v/>
      </c>
      <c r="Q1034" s="34">
        <f>IF(AC1034="","",IF(AD1034=1,"C"&amp;TEXT(SUM(AD$6:AD1034),"0000"),INDEX(Q$6:Q1033,MATCH(AC1034,AC$6:AC1033,0))))</f>
        <v/>
      </c>
      <c r="R1034" s="34">
        <f>IF(C1034="","",IF(L1034="☑ Oui","Annulée",IF(OR(E1034="Vente directe",K1034&lt;&gt;""),"Livrée",IF(J1034&lt;&gt;"","Confirmée","En attente"))))</f>
        <v/>
      </c>
      <c r="S1034" s="34">
        <f>IF(F1034="","",IFERROR(VLOOKUP(F1034,T_Produits,2,FALSE),""))</f>
        <v/>
      </c>
      <c r="T1034" s="40">
        <f>IF(F1034="","",IFERROR(1/(1/VLOOKUP(F1034,T_Produits,3,FALSE)),""))</f>
        <v/>
      </c>
      <c r="U1034" s="40">
        <f>IF(H1034&lt;&gt;"",H1034,T1034)</f>
        <v/>
      </c>
      <c r="V1034" s="40">
        <f>IF(OR(G1034="",U1034=""),"",G1034*U1034-N(I1034))</f>
        <v/>
      </c>
      <c r="W1034" s="39">
        <f>IF(D1034="","",IFERROR(VALUE(MID(D1034,LEN(D1034)-3,3)),""))</f>
        <v/>
      </c>
      <c r="X1034" s="33">
        <f>IF(W1034="","",P1034&amp;"|"&amp;W1034)</f>
        <v/>
      </c>
      <c r="Y1034" s="33">
        <f>IF(W1034="","",IF(P1034="À RENSEIGNER","GIC",P1034)&amp;"-"&amp;TEXT(W1034,"000"))</f>
        <v/>
      </c>
      <c r="Z1034" s="33">
        <f>IF(X1034="","",IFERROR(INDEX(Cl_nom,MATCH(X1034,Cl_cle,0)),"(client introuvable)"))</f>
        <v/>
      </c>
      <c r="AA1034" s="33">
        <f>IF(X1034="","",IFERROR(INDEX(Cl_quartier,MATCH(X1034,Cl_cle,0))&amp;"",""))</f>
        <v/>
      </c>
      <c r="AB1034" s="45">
        <f>IF(R1034&lt;&gt;"Livrée",0,IF(K1034&lt;&gt;"",K1034,C1034))</f>
        <v/>
      </c>
      <c r="AC1034" s="33">
        <f>IF(OR(C1034="",W1034=""),"",P1034&amp;"|"&amp;W1034&amp;"|"&amp;C1034&amp;"|"&amp;E1034)</f>
        <v/>
      </c>
      <c r="AD1034" s="39">
        <f>IF(AC1034="","",IF(COUNTIF(AC$6:AC1034,AC1034)=1,1,0))</f>
        <v/>
      </c>
      <c r="AE1034" s="39">
        <f>IF(AB1034=0,"",IF(COUNTIFS(X$6:X1034,X1034,AB$6:AB1034,AB1034)=1,1,0))</f>
        <v/>
      </c>
      <c r="AF1034" s="34">
        <f>IF(C1034="","",YEAR(C1034-WEEKDAY(C1034,2)+4)&amp;"-S"&amp;TEXT(INT((C1034-DATE(YEAR(C1034-WEEKDAY(C1034,2)+4),1,3)+WEEKDAY(DATE(YEAR(C1034-WEEKDAY(C1034,2)+4),1,3),2)+5)/7),"00"))</f>
        <v/>
      </c>
    </row>
    <row r="1035" ht="18" customHeight="1">
      <c r="A1035" s="39" t="n">
        <v>1030</v>
      </c>
      <c r="B1035" s="33">
        <f>IF(C1035="","",IF(P1035="À RENSEIGNER","GIC",P1035)&amp;"-C"&amp;TEXT(A1035,"00000"))</f>
        <v/>
      </c>
      <c r="C1035" s="32" t="n"/>
      <c r="D1035" s="36" t="n"/>
      <c r="E1035" s="36" t="n"/>
      <c r="F1035" s="36" t="n"/>
      <c r="G1035" s="42" t="n"/>
      <c r="H1035" s="37" t="n"/>
      <c r="I1035" s="37" t="n"/>
      <c r="J1035" s="32" t="n"/>
      <c r="K1035" s="32" t="n"/>
      <c r="L1035" s="43" t="n"/>
      <c r="M1035" s="36" t="n"/>
      <c r="N1035" s="44" t="n"/>
      <c r="O1035" s="36" t="n"/>
      <c r="P1035" s="33">
        <f>IF(C1035="","",Commercial_Id)</f>
        <v/>
      </c>
      <c r="Q1035" s="34">
        <f>IF(AC1035="","",IF(AD1035=1,"C"&amp;TEXT(SUM(AD$6:AD1035),"0000"),INDEX(Q$6:Q1034,MATCH(AC1035,AC$6:AC1034,0))))</f>
        <v/>
      </c>
      <c r="R1035" s="34">
        <f>IF(C1035="","",IF(L1035="☑ Oui","Annulée",IF(OR(E1035="Vente directe",K1035&lt;&gt;""),"Livrée",IF(J1035&lt;&gt;"","Confirmée","En attente"))))</f>
        <v/>
      </c>
      <c r="S1035" s="34">
        <f>IF(F1035="","",IFERROR(VLOOKUP(F1035,T_Produits,2,FALSE),""))</f>
        <v/>
      </c>
      <c r="T1035" s="40">
        <f>IF(F1035="","",IFERROR(1/(1/VLOOKUP(F1035,T_Produits,3,FALSE)),""))</f>
        <v/>
      </c>
      <c r="U1035" s="40">
        <f>IF(H1035&lt;&gt;"",H1035,T1035)</f>
        <v/>
      </c>
      <c r="V1035" s="40">
        <f>IF(OR(G1035="",U1035=""),"",G1035*U1035-N(I1035))</f>
        <v/>
      </c>
      <c r="W1035" s="39">
        <f>IF(D1035="","",IFERROR(VALUE(MID(D1035,LEN(D1035)-3,3)),""))</f>
        <v/>
      </c>
      <c r="X1035" s="33">
        <f>IF(W1035="","",P1035&amp;"|"&amp;W1035)</f>
        <v/>
      </c>
      <c r="Y1035" s="33">
        <f>IF(W1035="","",IF(P1035="À RENSEIGNER","GIC",P1035)&amp;"-"&amp;TEXT(W1035,"000"))</f>
        <v/>
      </c>
      <c r="Z1035" s="33">
        <f>IF(X1035="","",IFERROR(INDEX(Cl_nom,MATCH(X1035,Cl_cle,0)),"(client introuvable)"))</f>
        <v/>
      </c>
      <c r="AA1035" s="33">
        <f>IF(X1035="","",IFERROR(INDEX(Cl_quartier,MATCH(X1035,Cl_cle,0))&amp;"",""))</f>
        <v/>
      </c>
      <c r="AB1035" s="45">
        <f>IF(R1035&lt;&gt;"Livrée",0,IF(K1035&lt;&gt;"",K1035,C1035))</f>
        <v/>
      </c>
      <c r="AC1035" s="33">
        <f>IF(OR(C1035="",W1035=""),"",P1035&amp;"|"&amp;W1035&amp;"|"&amp;C1035&amp;"|"&amp;E1035)</f>
        <v/>
      </c>
      <c r="AD1035" s="39">
        <f>IF(AC1035="","",IF(COUNTIF(AC$6:AC1035,AC1035)=1,1,0))</f>
        <v/>
      </c>
      <c r="AE1035" s="39">
        <f>IF(AB1035=0,"",IF(COUNTIFS(X$6:X1035,X1035,AB$6:AB1035,AB1035)=1,1,0))</f>
        <v/>
      </c>
      <c r="AF1035" s="34">
        <f>IF(C1035="","",YEAR(C1035-WEEKDAY(C1035,2)+4)&amp;"-S"&amp;TEXT(INT((C1035-DATE(YEAR(C1035-WEEKDAY(C1035,2)+4),1,3)+WEEKDAY(DATE(YEAR(C1035-WEEKDAY(C1035,2)+4),1,3),2)+5)/7),"00"))</f>
        <v/>
      </c>
    </row>
    <row r="1036" ht="18" customHeight="1">
      <c r="A1036" s="39" t="n">
        <v>1031</v>
      </c>
      <c r="B1036" s="33">
        <f>IF(C1036="","",IF(P1036="À RENSEIGNER","GIC",P1036)&amp;"-C"&amp;TEXT(A1036,"00000"))</f>
        <v/>
      </c>
      <c r="C1036" s="32" t="n"/>
      <c r="D1036" s="36" t="n"/>
      <c r="E1036" s="36" t="n"/>
      <c r="F1036" s="36" t="n"/>
      <c r="G1036" s="42" t="n"/>
      <c r="H1036" s="37" t="n"/>
      <c r="I1036" s="37" t="n"/>
      <c r="J1036" s="32" t="n"/>
      <c r="K1036" s="32" t="n"/>
      <c r="L1036" s="43" t="n"/>
      <c r="M1036" s="36" t="n"/>
      <c r="N1036" s="44" t="n"/>
      <c r="O1036" s="36" t="n"/>
      <c r="P1036" s="33">
        <f>IF(C1036="","",Commercial_Id)</f>
        <v/>
      </c>
      <c r="Q1036" s="34">
        <f>IF(AC1036="","",IF(AD1036=1,"C"&amp;TEXT(SUM(AD$6:AD1036),"0000"),INDEX(Q$6:Q1035,MATCH(AC1036,AC$6:AC1035,0))))</f>
        <v/>
      </c>
      <c r="R1036" s="34">
        <f>IF(C1036="","",IF(L1036="☑ Oui","Annulée",IF(OR(E1036="Vente directe",K1036&lt;&gt;""),"Livrée",IF(J1036&lt;&gt;"","Confirmée","En attente"))))</f>
        <v/>
      </c>
      <c r="S1036" s="34">
        <f>IF(F1036="","",IFERROR(VLOOKUP(F1036,T_Produits,2,FALSE),""))</f>
        <v/>
      </c>
      <c r="T1036" s="40">
        <f>IF(F1036="","",IFERROR(1/(1/VLOOKUP(F1036,T_Produits,3,FALSE)),""))</f>
        <v/>
      </c>
      <c r="U1036" s="40">
        <f>IF(H1036&lt;&gt;"",H1036,T1036)</f>
        <v/>
      </c>
      <c r="V1036" s="40">
        <f>IF(OR(G1036="",U1036=""),"",G1036*U1036-N(I1036))</f>
        <v/>
      </c>
      <c r="W1036" s="39">
        <f>IF(D1036="","",IFERROR(VALUE(MID(D1036,LEN(D1036)-3,3)),""))</f>
        <v/>
      </c>
      <c r="X1036" s="33">
        <f>IF(W1036="","",P1036&amp;"|"&amp;W1036)</f>
        <v/>
      </c>
      <c r="Y1036" s="33">
        <f>IF(W1036="","",IF(P1036="À RENSEIGNER","GIC",P1036)&amp;"-"&amp;TEXT(W1036,"000"))</f>
        <v/>
      </c>
      <c r="Z1036" s="33">
        <f>IF(X1036="","",IFERROR(INDEX(Cl_nom,MATCH(X1036,Cl_cle,0)),"(client introuvable)"))</f>
        <v/>
      </c>
      <c r="AA1036" s="33">
        <f>IF(X1036="","",IFERROR(INDEX(Cl_quartier,MATCH(X1036,Cl_cle,0))&amp;"",""))</f>
        <v/>
      </c>
      <c r="AB1036" s="45">
        <f>IF(R1036&lt;&gt;"Livrée",0,IF(K1036&lt;&gt;"",K1036,C1036))</f>
        <v/>
      </c>
      <c r="AC1036" s="33">
        <f>IF(OR(C1036="",W1036=""),"",P1036&amp;"|"&amp;W1036&amp;"|"&amp;C1036&amp;"|"&amp;E1036)</f>
        <v/>
      </c>
      <c r="AD1036" s="39">
        <f>IF(AC1036="","",IF(COUNTIF(AC$6:AC1036,AC1036)=1,1,0))</f>
        <v/>
      </c>
      <c r="AE1036" s="39">
        <f>IF(AB1036=0,"",IF(COUNTIFS(X$6:X1036,X1036,AB$6:AB1036,AB1036)=1,1,0))</f>
        <v/>
      </c>
      <c r="AF1036" s="34">
        <f>IF(C1036="","",YEAR(C1036-WEEKDAY(C1036,2)+4)&amp;"-S"&amp;TEXT(INT((C1036-DATE(YEAR(C1036-WEEKDAY(C1036,2)+4),1,3)+WEEKDAY(DATE(YEAR(C1036-WEEKDAY(C1036,2)+4),1,3),2)+5)/7),"00"))</f>
        <v/>
      </c>
    </row>
    <row r="1037" ht="18" customHeight="1">
      <c r="A1037" s="39" t="n">
        <v>1032</v>
      </c>
      <c r="B1037" s="33">
        <f>IF(C1037="","",IF(P1037="À RENSEIGNER","GIC",P1037)&amp;"-C"&amp;TEXT(A1037,"00000"))</f>
        <v/>
      </c>
      <c r="C1037" s="32" t="n"/>
      <c r="D1037" s="36" t="n"/>
      <c r="E1037" s="36" t="n"/>
      <c r="F1037" s="36" t="n"/>
      <c r="G1037" s="42" t="n"/>
      <c r="H1037" s="37" t="n"/>
      <c r="I1037" s="37" t="n"/>
      <c r="J1037" s="32" t="n"/>
      <c r="K1037" s="32" t="n"/>
      <c r="L1037" s="43" t="n"/>
      <c r="M1037" s="36" t="n"/>
      <c r="N1037" s="44" t="n"/>
      <c r="O1037" s="36" t="n"/>
      <c r="P1037" s="33">
        <f>IF(C1037="","",Commercial_Id)</f>
        <v/>
      </c>
      <c r="Q1037" s="34">
        <f>IF(AC1037="","",IF(AD1037=1,"C"&amp;TEXT(SUM(AD$6:AD1037),"0000"),INDEX(Q$6:Q1036,MATCH(AC1037,AC$6:AC1036,0))))</f>
        <v/>
      </c>
      <c r="R1037" s="34">
        <f>IF(C1037="","",IF(L1037="☑ Oui","Annulée",IF(OR(E1037="Vente directe",K1037&lt;&gt;""),"Livrée",IF(J1037&lt;&gt;"","Confirmée","En attente"))))</f>
        <v/>
      </c>
      <c r="S1037" s="34">
        <f>IF(F1037="","",IFERROR(VLOOKUP(F1037,T_Produits,2,FALSE),""))</f>
        <v/>
      </c>
      <c r="T1037" s="40">
        <f>IF(F1037="","",IFERROR(1/(1/VLOOKUP(F1037,T_Produits,3,FALSE)),""))</f>
        <v/>
      </c>
      <c r="U1037" s="40">
        <f>IF(H1037&lt;&gt;"",H1037,T1037)</f>
        <v/>
      </c>
      <c r="V1037" s="40">
        <f>IF(OR(G1037="",U1037=""),"",G1037*U1037-N(I1037))</f>
        <v/>
      </c>
      <c r="W1037" s="39">
        <f>IF(D1037="","",IFERROR(VALUE(MID(D1037,LEN(D1037)-3,3)),""))</f>
        <v/>
      </c>
      <c r="X1037" s="33">
        <f>IF(W1037="","",P1037&amp;"|"&amp;W1037)</f>
        <v/>
      </c>
      <c r="Y1037" s="33">
        <f>IF(W1037="","",IF(P1037="À RENSEIGNER","GIC",P1037)&amp;"-"&amp;TEXT(W1037,"000"))</f>
        <v/>
      </c>
      <c r="Z1037" s="33">
        <f>IF(X1037="","",IFERROR(INDEX(Cl_nom,MATCH(X1037,Cl_cle,0)),"(client introuvable)"))</f>
        <v/>
      </c>
      <c r="AA1037" s="33">
        <f>IF(X1037="","",IFERROR(INDEX(Cl_quartier,MATCH(X1037,Cl_cle,0))&amp;"",""))</f>
        <v/>
      </c>
      <c r="AB1037" s="45">
        <f>IF(R1037&lt;&gt;"Livrée",0,IF(K1037&lt;&gt;"",K1037,C1037))</f>
        <v/>
      </c>
      <c r="AC1037" s="33">
        <f>IF(OR(C1037="",W1037=""),"",P1037&amp;"|"&amp;W1037&amp;"|"&amp;C1037&amp;"|"&amp;E1037)</f>
        <v/>
      </c>
      <c r="AD1037" s="39">
        <f>IF(AC1037="","",IF(COUNTIF(AC$6:AC1037,AC1037)=1,1,0))</f>
        <v/>
      </c>
      <c r="AE1037" s="39">
        <f>IF(AB1037=0,"",IF(COUNTIFS(X$6:X1037,X1037,AB$6:AB1037,AB1037)=1,1,0))</f>
        <v/>
      </c>
      <c r="AF1037" s="34">
        <f>IF(C1037="","",YEAR(C1037-WEEKDAY(C1037,2)+4)&amp;"-S"&amp;TEXT(INT((C1037-DATE(YEAR(C1037-WEEKDAY(C1037,2)+4),1,3)+WEEKDAY(DATE(YEAR(C1037-WEEKDAY(C1037,2)+4),1,3),2)+5)/7),"00"))</f>
        <v/>
      </c>
    </row>
    <row r="1038" ht="18" customHeight="1">
      <c r="A1038" s="39" t="n">
        <v>1033</v>
      </c>
      <c r="B1038" s="33">
        <f>IF(C1038="","",IF(P1038="À RENSEIGNER","GIC",P1038)&amp;"-C"&amp;TEXT(A1038,"00000"))</f>
        <v/>
      </c>
      <c r="C1038" s="32" t="n"/>
      <c r="D1038" s="36" t="n"/>
      <c r="E1038" s="36" t="n"/>
      <c r="F1038" s="36" t="n"/>
      <c r="G1038" s="42" t="n"/>
      <c r="H1038" s="37" t="n"/>
      <c r="I1038" s="37" t="n"/>
      <c r="J1038" s="32" t="n"/>
      <c r="K1038" s="32" t="n"/>
      <c r="L1038" s="43" t="n"/>
      <c r="M1038" s="36" t="n"/>
      <c r="N1038" s="44" t="n"/>
      <c r="O1038" s="36" t="n"/>
      <c r="P1038" s="33">
        <f>IF(C1038="","",Commercial_Id)</f>
        <v/>
      </c>
      <c r="Q1038" s="34">
        <f>IF(AC1038="","",IF(AD1038=1,"C"&amp;TEXT(SUM(AD$6:AD1038),"0000"),INDEX(Q$6:Q1037,MATCH(AC1038,AC$6:AC1037,0))))</f>
        <v/>
      </c>
      <c r="R1038" s="34">
        <f>IF(C1038="","",IF(L1038="☑ Oui","Annulée",IF(OR(E1038="Vente directe",K1038&lt;&gt;""),"Livrée",IF(J1038&lt;&gt;"","Confirmée","En attente"))))</f>
        <v/>
      </c>
      <c r="S1038" s="34">
        <f>IF(F1038="","",IFERROR(VLOOKUP(F1038,T_Produits,2,FALSE),""))</f>
        <v/>
      </c>
      <c r="T1038" s="40">
        <f>IF(F1038="","",IFERROR(1/(1/VLOOKUP(F1038,T_Produits,3,FALSE)),""))</f>
        <v/>
      </c>
      <c r="U1038" s="40">
        <f>IF(H1038&lt;&gt;"",H1038,T1038)</f>
        <v/>
      </c>
      <c r="V1038" s="40">
        <f>IF(OR(G1038="",U1038=""),"",G1038*U1038-N(I1038))</f>
        <v/>
      </c>
      <c r="W1038" s="39">
        <f>IF(D1038="","",IFERROR(VALUE(MID(D1038,LEN(D1038)-3,3)),""))</f>
        <v/>
      </c>
      <c r="X1038" s="33">
        <f>IF(W1038="","",P1038&amp;"|"&amp;W1038)</f>
        <v/>
      </c>
      <c r="Y1038" s="33">
        <f>IF(W1038="","",IF(P1038="À RENSEIGNER","GIC",P1038)&amp;"-"&amp;TEXT(W1038,"000"))</f>
        <v/>
      </c>
      <c r="Z1038" s="33">
        <f>IF(X1038="","",IFERROR(INDEX(Cl_nom,MATCH(X1038,Cl_cle,0)),"(client introuvable)"))</f>
        <v/>
      </c>
      <c r="AA1038" s="33">
        <f>IF(X1038="","",IFERROR(INDEX(Cl_quartier,MATCH(X1038,Cl_cle,0))&amp;"",""))</f>
        <v/>
      </c>
      <c r="AB1038" s="45">
        <f>IF(R1038&lt;&gt;"Livrée",0,IF(K1038&lt;&gt;"",K1038,C1038))</f>
        <v/>
      </c>
      <c r="AC1038" s="33">
        <f>IF(OR(C1038="",W1038=""),"",P1038&amp;"|"&amp;W1038&amp;"|"&amp;C1038&amp;"|"&amp;E1038)</f>
        <v/>
      </c>
      <c r="AD1038" s="39">
        <f>IF(AC1038="","",IF(COUNTIF(AC$6:AC1038,AC1038)=1,1,0))</f>
        <v/>
      </c>
      <c r="AE1038" s="39">
        <f>IF(AB1038=0,"",IF(COUNTIFS(X$6:X1038,X1038,AB$6:AB1038,AB1038)=1,1,0))</f>
        <v/>
      </c>
      <c r="AF1038" s="34">
        <f>IF(C1038="","",YEAR(C1038-WEEKDAY(C1038,2)+4)&amp;"-S"&amp;TEXT(INT((C1038-DATE(YEAR(C1038-WEEKDAY(C1038,2)+4),1,3)+WEEKDAY(DATE(YEAR(C1038-WEEKDAY(C1038,2)+4),1,3),2)+5)/7),"00"))</f>
        <v/>
      </c>
    </row>
    <row r="1039" ht="18" customHeight="1">
      <c r="A1039" s="39" t="n">
        <v>1034</v>
      </c>
      <c r="B1039" s="33">
        <f>IF(C1039="","",IF(P1039="À RENSEIGNER","GIC",P1039)&amp;"-C"&amp;TEXT(A1039,"00000"))</f>
        <v/>
      </c>
      <c r="C1039" s="32" t="n"/>
      <c r="D1039" s="36" t="n"/>
      <c r="E1039" s="36" t="n"/>
      <c r="F1039" s="36" t="n"/>
      <c r="G1039" s="42" t="n"/>
      <c r="H1039" s="37" t="n"/>
      <c r="I1039" s="37" t="n"/>
      <c r="J1039" s="32" t="n"/>
      <c r="K1039" s="32" t="n"/>
      <c r="L1039" s="43" t="n"/>
      <c r="M1039" s="36" t="n"/>
      <c r="N1039" s="44" t="n"/>
      <c r="O1039" s="36" t="n"/>
      <c r="P1039" s="33">
        <f>IF(C1039="","",Commercial_Id)</f>
        <v/>
      </c>
      <c r="Q1039" s="34">
        <f>IF(AC1039="","",IF(AD1039=1,"C"&amp;TEXT(SUM(AD$6:AD1039),"0000"),INDEX(Q$6:Q1038,MATCH(AC1039,AC$6:AC1038,0))))</f>
        <v/>
      </c>
      <c r="R1039" s="34">
        <f>IF(C1039="","",IF(L1039="☑ Oui","Annulée",IF(OR(E1039="Vente directe",K1039&lt;&gt;""),"Livrée",IF(J1039&lt;&gt;"","Confirmée","En attente"))))</f>
        <v/>
      </c>
      <c r="S1039" s="34">
        <f>IF(F1039="","",IFERROR(VLOOKUP(F1039,T_Produits,2,FALSE),""))</f>
        <v/>
      </c>
      <c r="T1039" s="40">
        <f>IF(F1039="","",IFERROR(1/(1/VLOOKUP(F1039,T_Produits,3,FALSE)),""))</f>
        <v/>
      </c>
      <c r="U1039" s="40">
        <f>IF(H1039&lt;&gt;"",H1039,T1039)</f>
        <v/>
      </c>
      <c r="V1039" s="40">
        <f>IF(OR(G1039="",U1039=""),"",G1039*U1039-N(I1039))</f>
        <v/>
      </c>
      <c r="W1039" s="39">
        <f>IF(D1039="","",IFERROR(VALUE(MID(D1039,LEN(D1039)-3,3)),""))</f>
        <v/>
      </c>
      <c r="X1039" s="33">
        <f>IF(W1039="","",P1039&amp;"|"&amp;W1039)</f>
        <v/>
      </c>
      <c r="Y1039" s="33">
        <f>IF(W1039="","",IF(P1039="À RENSEIGNER","GIC",P1039)&amp;"-"&amp;TEXT(W1039,"000"))</f>
        <v/>
      </c>
      <c r="Z1039" s="33">
        <f>IF(X1039="","",IFERROR(INDEX(Cl_nom,MATCH(X1039,Cl_cle,0)),"(client introuvable)"))</f>
        <v/>
      </c>
      <c r="AA1039" s="33">
        <f>IF(X1039="","",IFERROR(INDEX(Cl_quartier,MATCH(X1039,Cl_cle,0))&amp;"",""))</f>
        <v/>
      </c>
      <c r="AB1039" s="45">
        <f>IF(R1039&lt;&gt;"Livrée",0,IF(K1039&lt;&gt;"",K1039,C1039))</f>
        <v/>
      </c>
      <c r="AC1039" s="33">
        <f>IF(OR(C1039="",W1039=""),"",P1039&amp;"|"&amp;W1039&amp;"|"&amp;C1039&amp;"|"&amp;E1039)</f>
        <v/>
      </c>
      <c r="AD1039" s="39">
        <f>IF(AC1039="","",IF(COUNTIF(AC$6:AC1039,AC1039)=1,1,0))</f>
        <v/>
      </c>
      <c r="AE1039" s="39">
        <f>IF(AB1039=0,"",IF(COUNTIFS(X$6:X1039,X1039,AB$6:AB1039,AB1039)=1,1,0))</f>
        <v/>
      </c>
      <c r="AF1039" s="34">
        <f>IF(C1039="","",YEAR(C1039-WEEKDAY(C1039,2)+4)&amp;"-S"&amp;TEXT(INT((C1039-DATE(YEAR(C1039-WEEKDAY(C1039,2)+4),1,3)+WEEKDAY(DATE(YEAR(C1039-WEEKDAY(C1039,2)+4),1,3),2)+5)/7),"00"))</f>
        <v/>
      </c>
    </row>
    <row r="1040" ht="18" customHeight="1">
      <c r="A1040" s="39" t="n">
        <v>1035</v>
      </c>
      <c r="B1040" s="33">
        <f>IF(C1040="","",IF(P1040="À RENSEIGNER","GIC",P1040)&amp;"-C"&amp;TEXT(A1040,"00000"))</f>
        <v/>
      </c>
      <c r="C1040" s="32" t="n"/>
      <c r="D1040" s="36" t="n"/>
      <c r="E1040" s="36" t="n"/>
      <c r="F1040" s="36" t="n"/>
      <c r="G1040" s="42" t="n"/>
      <c r="H1040" s="37" t="n"/>
      <c r="I1040" s="37" t="n"/>
      <c r="J1040" s="32" t="n"/>
      <c r="K1040" s="32" t="n"/>
      <c r="L1040" s="43" t="n"/>
      <c r="M1040" s="36" t="n"/>
      <c r="N1040" s="44" t="n"/>
      <c r="O1040" s="36" t="n"/>
      <c r="P1040" s="33">
        <f>IF(C1040="","",Commercial_Id)</f>
        <v/>
      </c>
      <c r="Q1040" s="34">
        <f>IF(AC1040="","",IF(AD1040=1,"C"&amp;TEXT(SUM(AD$6:AD1040),"0000"),INDEX(Q$6:Q1039,MATCH(AC1040,AC$6:AC1039,0))))</f>
        <v/>
      </c>
      <c r="R1040" s="34">
        <f>IF(C1040="","",IF(L1040="☑ Oui","Annulée",IF(OR(E1040="Vente directe",K1040&lt;&gt;""),"Livrée",IF(J1040&lt;&gt;"","Confirmée","En attente"))))</f>
        <v/>
      </c>
      <c r="S1040" s="34">
        <f>IF(F1040="","",IFERROR(VLOOKUP(F1040,T_Produits,2,FALSE),""))</f>
        <v/>
      </c>
      <c r="T1040" s="40">
        <f>IF(F1040="","",IFERROR(1/(1/VLOOKUP(F1040,T_Produits,3,FALSE)),""))</f>
        <v/>
      </c>
      <c r="U1040" s="40">
        <f>IF(H1040&lt;&gt;"",H1040,T1040)</f>
        <v/>
      </c>
      <c r="V1040" s="40">
        <f>IF(OR(G1040="",U1040=""),"",G1040*U1040-N(I1040))</f>
        <v/>
      </c>
      <c r="W1040" s="39">
        <f>IF(D1040="","",IFERROR(VALUE(MID(D1040,LEN(D1040)-3,3)),""))</f>
        <v/>
      </c>
      <c r="X1040" s="33">
        <f>IF(W1040="","",P1040&amp;"|"&amp;W1040)</f>
        <v/>
      </c>
      <c r="Y1040" s="33">
        <f>IF(W1040="","",IF(P1040="À RENSEIGNER","GIC",P1040)&amp;"-"&amp;TEXT(W1040,"000"))</f>
        <v/>
      </c>
      <c r="Z1040" s="33">
        <f>IF(X1040="","",IFERROR(INDEX(Cl_nom,MATCH(X1040,Cl_cle,0)),"(client introuvable)"))</f>
        <v/>
      </c>
      <c r="AA1040" s="33">
        <f>IF(X1040="","",IFERROR(INDEX(Cl_quartier,MATCH(X1040,Cl_cle,0))&amp;"",""))</f>
        <v/>
      </c>
      <c r="AB1040" s="45">
        <f>IF(R1040&lt;&gt;"Livrée",0,IF(K1040&lt;&gt;"",K1040,C1040))</f>
        <v/>
      </c>
      <c r="AC1040" s="33">
        <f>IF(OR(C1040="",W1040=""),"",P1040&amp;"|"&amp;W1040&amp;"|"&amp;C1040&amp;"|"&amp;E1040)</f>
        <v/>
      </c>
      <c r="AD1040" s="39">
        <f>IF(AC1040="","",IF(COUNTIF(AC$6:AC1040,AC1040)=1,1,0))</f>
        <v/>
      </c>
      <c r="AE1040" s="39">
        <f>IF(AB1040=0,"",IF(COUNTIFS(X$6:X1040,X1040,AB$6:AB1040,AB1040)=1,1,0))</f>
        <v/>
      </c>
      <c r="AF1040" s="34">
        <f>IF(C1040="","",YEAR(C1040-WEEKDAY(C1040,2)+4)&amp;"-S"&amp;TEXT(INT((C1040-DATE(YEAR(C1040-WEEKDAY(C1040,2)+4),1,3)+WEEKDAY(DATE(YEAR(C1040-WEEKDAY(C1040,2)+4),1,3),2)+5)/7),"00"))</f>
        <v/>
      </c>
    </row>
    <row r="1041" ht="18" customHeight="1">
      <c r="A1041" s="39" t="n">
        <v>1036</v>
      </c>
      <c r="B1041" s="33">
        <f>IF(C1041="","",IF(P1041="À RENSEIGNER","GIC",P1041)&amp;"-C"&amp;TEXT(A1041,"00000"))</f>
        <v/>
      </c>
      <c r="C1041" s="32" t="n"/>
      <c r="D1041" s="36" t="n"/>
      <c r="E1041" s="36" t="n"/>
      <c r="F1041" s="36" t="n"/>
      <c r="G1041" s="42" t="n"/>
      <c r="H1041" s="37" t="n"/>
      <c r="I1041" s="37" t="n"/>
      <c r="J1041" s="32" t="n"/>
      <c r="K1041" s="32" t="n"/>
      <c r="L1041" s="43" t="n"/>
      <c r="M1041" s="36" t="n"/>
      <c r="N1041" s="44" t="n"/>
      <c r="O1041" s="36" t="n"/>
      <c r="P1041" s="33">
        <f>IF(C1041="","",Commercial_Id)</f>
        <v/>
      </c>
      <c r="Q1041" s="34">
        <f>IF(AC1041="","",IF(AD1041=1,"C"&amp;TEXT(SUM(AD$6:AD1041),"0000"),INDEX(Q$6:Q1040,MATCH(AC1041,AC$6:AC1040,0))))</f>
        <v/>
      </c>
      <c r="R1041" s="34">
        <f>IF(C1041="","",IF(L1041="☑ Oui","Annulée",IF(OR(E1041="Vente directe",K1041&lt;&gt;""),"Livrée",IF(J1041&lt;&gt;"","Confirmée","En attente"))))</f>
        <v/>
      </c>
      <c r="S1041" s="34">
        <f>IF(F1041="","",IFERROR(VLOOKUP(F1041,T_Produits,2,FALSE),""))</f>
        <v/>
      </c>
      <c r="T1041" s="40">
        <f>IF(F1041="","",IFERROR(1/(1/VLOOKUP(F1041,T_Produits,3,FALSE)),""))</f>
        <v/>
      </c>
      <c r="U1041" s="40">
        <f>IF(H1041&lt;&gt;"",H1041,T1041)</f>
        <v/>
      </c>
      <c r="V1041" s="40">
        <f>IF(OR(G1041="",U1041=""),"",G1041*U1041-N(I1041))</f>
        <v/>
      </c>
      <c r="W1041" s="39">
        <f>IF(D1041="","",IFERROR(VALUE(MID(D1041,LEN(D1041)-3,3)),""))</f>
        <v/>
      </c>
      <c r="X1041" s="33">
        <f>IF(W1041="","",P1041&amp;"|"&amp;W1041)</f>
        <v/>
      </c>
      <c r="Y1041" s="33">
        <f>IF(W1041="","",IF(P1041="À RENSEIGNER","GIC",P1041)&amp;"-"&amp;TEXT(W1041,"000"))</f>
        <v/>
      </c>
      <c r="Z1041" s="33">
        <f>IF(X1041="","",IFERROR(INDEX(Cl_nom,MATCH(X1041,Cl_cle,0)),"(client introuvable)"))</f>
        <v/>
      </c>
      <c r="AA1041" s="33">
        <f>IF(X1041="","",IFERROR(INDEX(Cl_quartier,MATCH(X1041,Cl_cle,0))&amp;"",""))</f>
        <v/>
      </c>
      <c r="AB1041" s="45">
        <f>IF(R1041&lt;&gt;"Livrée",0,IF(K1041&lt;&gt;"",K1041,C1041))</f>
        <v/>
      </c>
      <c r="AC1041" s="33">
        <f>IF(OR(C1041="",W1041=""),"",P1041&amp;"|"&amp;W1041&amp;"|"&amp;C1041&amp;"|"&amp;E1041)</f>
        <v/>
      </c>
      <c r="AD1041" s="39">
        <f>IF(AC1041="","",IF(COUNTIF(AC$6:AC1041,AC1041)=1,1,0))</f>
        <v/>
      </c>
      <c r="AE1041" s="39">
        <f>IF(AB1041=0,"",IF(COUNTIFS(X$6:X1041,X1041,AB$6:AB1041,AB1041)=1,1,0))</f>
        <v/>
      </c>
      <c r="AF1041" s="34">
        <f>IF(C1041="","",YEAR(C1041-WEEKDAY(C1041,2)+4)&amp;"-S"&amp;TEXT(INT((C1041-DATE(YEAR(C1041-WEEKDAY(C1041,2)+4),1,3)+WEEKDAY(DATE(YEAR(C1041-WEEKDAY(C1041,2)+4),1,3),2)+5)/7),"00"))</f>
        <v/>
      </c>
    </row>
    <row r="1042" ht="18" customHeight="1">
      <c r="A1042" s="39" t="n">
        <v>1037</v>
      </c>
      <c r="B1042" s="33">
        <f>IF(C1042="","",IF(P1042="À RENSEIGNER","GIC",P1042)&amp;"-C"&amp;TEXT(A1042,"00000"))</f>
        <v/>
      </c>
      <c r="C1042" s="32" t="n"/>
      <c r="D1042" s="36" t="n"/>
      <c r="E1042" s="36" t="n"/>
      <c r="F1042" s="36" t="n"/>
      <c r="G1042" s="42" t="n"/>
      <c r="H1042" s="37" t="n"/>
      <c r="I1042" s="37" t="n"/>
      <c r="J1042" s="32" t="n"/>
      <c r="K1042" s="32" t="n"/>
      <c r="L1042" s="43" t="n"/>
      <c r="M1042" s="36" t="n"/>
      <c r="N1042" s="44" t="n"/>
      <c r="O1042" s="36" t="n"/>
      <c r="P1042" s="33">
        <f>IF(C1042="","",Commercial_Id)</f>
        <v/>
      </c>
      <c r="Q1042" s="34">
        <f>IF(AC1042="","",IF(AD1042=1,"C"&amp;TEXT(SUM(AD$6:AD1042),"0000"),INDEX(Q$6:Q1041,MATCH(AC1042,AC$6:AC1041,0))))</f>
        <v/>
      </c>
      <c r="R1042" s="34">
        <f>IF(C1042="","",IF(L1042="☑ Oui","Annulée",IF(OR(E1042="Vente directe",K1042&lt;&gt;""),"Livrée",IF(J1042&lt;&gt;"","Confirmée","En attente"))))</f>
        <v/>
      </c>
      <c r="S1042" s="34">
        <f>IF(F1042="","",IFERROR(VLOOKUP(F1042,T_Produits,2,FALSE),""))</f>
        <v/>
      </c>
      <c r="T1042" s="40">
        <f>IF(F1042="","",IFERROR(1/(1/VLOOKUP(F1042,T_Produits,3,FALSE)),""))</f>
        <v/>
      </c>
      <c r="U1042" s="40">
        <f>IF(H1042&lt;&gt;"",H1042,T1042)</f>
        <v/>
      </c>
      <c r="V1042" s="40">
        <f>IF(OR(G1042="",U1042=""),"",G1042*U1042-N(I1042))</f>
        <v/>
      </c>
      <c r="W1042" s="39">
        <f>IF(D1042="","",IFERROR(VALUE(MID(D1042,LEN(D1042)-3,3)),""))</f>
        <v/>
      </c>
      <c r="X1042" s="33">
        <f>IF(W1042="","",P1042&amp;"|"&amp;W1042)</f>
        <v/>
      </c>
      <c r="Y1042" s="33">
        <f>IF(W1042="","",IF(P1042="À RENSEIGNER","GIC",P1042)&amp;"-"&amp;TEXT(W1042,"000"))</f>
        <v/>
      </c>
      <c r="Z1042" s="33">
        <f>IF(X1042="","",IFERROR(INDEX(Cl_nom,MATCH(X1042,Cl_cle,0)),"(client introuvable)"))</f>
        <v/>
      </c>
      <c r="AA1042" s="33">
        <f>IF(X1042="","",IFERROR(INDEX(Cl_quartier,MATCH(X1042,Cl_cle,0))&amp;"",""))</f>
        <v/>
      </c>
      <c r="AB1042" s="45">
        <f>IF(R1042&lt;&gt;"Livrée",0,IF(K1042&lt;&gt;"",K1042,C1042))</f>
        <v/>
      </c>
      <c r="AC1042" s="33">
        <f>IF(OR(C1042="",W1042=""),"",P1042&amp;"|"&amp;W1042&amp;"|"&amp;C1042&amp;"|"&amp;E1042)</f>
        <v/>
      </c>
      <c r="AD1042" s="39">
        <f>IF(AC1042="","",IF(COUNTIF(AC$6:AC1042,AC1042)=1,1,0))</f>
        <v/>
      </c>
      <c r="AE1042" s="39">
        <f>IF(AB1042=0,"",IF(COUNTIFS(X$6:X1042,X1042,AB$6:AB1042,AB1042)=1,1,0))</f>
        <v/>
      </c>
      <c r="AF1042" s="34">
        <f>IF(C1042="","",YEAR(C1042-WEEKDAY(C1042,2)+4)&amp;"-S"&amp;TEXT(INT((C1042-DATE(YEAR(C1042-WEEKDAY(C1042,2)+4),1,3)+WEEKDAY(DATE(YEAR(C1042-WEEKDAY(C1042,2)+4),1,3),2)+5)/7),"00"))</f>
        <v/>
      </c>
    </row>
    <row r="1043" ht="18" customHeight="1">
      <c r="A1043" s="39" t="n">
        <v>1038</v>
      </c>
      <c r="B1043" s="33">
        <f>IF(C1043="","",IF(P1043="À RENSEIGNER","GIC",P1043)&amp;"-C"&amp;TEXT(A1043,"00000"))</f>
        <v/>
      </c>
      <c r="C1043" s="32" t="n"/>
      <c r="D1043" s="36" t="n"/>
      <c r="E1043" s="36" t="n"/>
      <c r="F1043" s="36" t="n"/>
      <c r="G1043" s="42" t="n"/>
      <c r="H1043" s="37" t="n"/>
      <c r="I1043" s="37" t="n"/>
      <c r="J1043" s="32" t="n"/>
      <c r="K1043" s="32" t="n"/>
      <c r="L1043" s="43" t="n"/>
      <c r="M1043" s="36" t="n"/>
      <c r="N1043" s="44" t="n"/>
      <c r="O1043" s="36" t="n"/>
      <c r="P1043" s="33">
        <f>IF(C1043="","",Commercial_Id)</f>
        <v/>
      </c>
      <c r="Q1043" s="34">
        <f>IF(AC1043="","",IF(AD1043=1,"C"&amp;TEXT(SUM(AD$6:AD1043),"0000"),INDEX(Q$6:Q1042,MATCH(AC1043,AC$6:AC1042,0))))</f>
        <v/>
      </c>
      <c r="R1043" s="34">
        <f>IF(C1043="","",IF(L1043="☑ Oui","Annulée",IF(OR(E1043="Vente directe",K1043&lt;&gt;""),"Livrée",IF(J1043&lt;&gt;"","Confirmée","En attente"))))</f>
        <v/>
      </c>
      <c r="S1043" s="34">
        <f>IF(F1043="","",IFERROR(VLOOKUP(F1043,T_Produits,2,FALSE),""))</f>
        <v/>
      </c>
      <c r="T1043" s="40">
        <f>IF(F1043="","",IFERROR(1/(1/VLOOKUP(F1043,T_Produits,3,FALSE)),""))</f>
        <v/>
      </c>
      <c r="U1043" s="40">
        <f>IF(H1043&lt;&gt;"",H1043,T1043)</f>
        <v/>
      </c>
      <c r="V1043" s="40">
        <f>IF(OR(G1043="",U1043=""),"",G1043*U1043-N(I1043))</f>
        <v/>
      </c>
      <c r="W1043" s="39">
        <f>IF(D1043="","",IFERROR(VALUE(MID(D1043,LEN(D1043)-3,3)),""))</f>
        <v/>
      </c>
      <c r="X1043" s="33">
        <f>IF(W1043="","",P1043&amp;"|"&amp;W1043)</f>
        <v/>
      </c>
      <c r="Y1043" s="33">
        <f>IF(W1043="","",IF(P1043="À RENSEIGNER","GIC",P1043)&amp;"-"&amp;TEXT(W1043,"000"))</f>
        <v/>
      </c>
      <c r="Z1043" s="33">
        <f>IF(X1043="","",IFERROR(INDEX(Cl_nom,MATCH(X1043,Cl_cle,0)),"(client introuvable)"))</f>
        <v/>
      </c>
      <c r="AA1043" s="33">
        <f>IF(X1043="","",IFERROR(INDEX(Cl_quartier,MATCH(X1043,Cl_cle,0))&amp;"",""))</f>
        <v/>
      </c>
      <c r="AB1043" s="45">
        <f>IF(R1043&lt;&gt;"Livrée",0,IF(K1043&lt;&gt;"",K1043,C1043))</f>
        <v/>
      </c>
      <c r="AC1043" s="33">
        <f>IF(OR(C1043="",W1043=""),"",P1043&amp;"|"&amp;W1043&amp;"|"&amp;C1043&amp;"|"&amp;E1043)</f>
        <v/>
      </c>
      <c r="AD1043" s="39">
        <f>IF(AC1043="","",IF(COUNTIF(AC$6:AC1043,AC1043)=1,1,0))</f>
        <v/>
      </c>
      <c r="AE1043" s="39">
        <f>IF(AB1043=0,"",IF(COUNTIFS(X$6:X1043,X1043,AB$6:AB1043,AB1043)=1,1,0))</f>
        <v/>
      </c>
      <c r="AF1043" s="34">
        <f>IF(C1043="","",YEAR(C1043-WEEKDAY(C1043,2)+4)&amp;"-S"&amp;TEXT(INT((C1043-DATE(YEAR(C1043-WEEKDAY(C1043,2)+4),1,3)+WEEKDAY(DATE(YEAR(C1043-WEEKDAY(C1043,2)+4),1,3),2)+5)/7),"00"))</f>
        <v/>
      </c>
    </row>
    <row r="1044" ht="18" customHeight="1">
      <c r="A1044" s="39" t="n">
        <v>1039</v>
      </c>
      <c r="B1044" s="33">
        <f>IF(C1044="","",IF(P1044="À RENSEIGNER","GIC",P1044)&amp;"-C"&amp;TEXT(A1044,"00000"))</f>
        <v/>
      </c>
      <c r="C1044" s="32" t="n"/>
      <c r="D1044" s="36" t="n"/>
      <c r="E1044" s="36" t="n"/>
      <c r="F1044" s="36" t="n"/>
      <c r="G1044" s="42" t="n"/>
      <c r="H1044" s="37" t="n"/>
      <c r="I1044" s="37" t="n"/>
      <c r="J1044" s="32" t="n"/>
      <c r="K1044" s="32" t="n"/>
      <c r="L1044" s="43" t="n"/>
      <c r="M1044" s="36" t="n"/>
      <c r="N1044" s="44" t="n"/>
      <c r="O1044" s="36" t="n"/>
      <c r="P1044" s="33">
        <f>IF(C1044="","",Commercial_Id)</f>
        <v/>
      </c>
      <c r="Q1044" s="34">
        <f>IF(AC1044="","",IF(AD1044=1,"C"&amp;TEXT(SUM(AD$6:AD1044),"0000"),INDEX(Q$6:Q1043,MATCH(AC1044,AC$6:AC1043,0))))</f>
        <v/>
      </c>
      <c r="R1044" s="34">
        <f>IF(C1044="","",IF(L1044="☑ Oui","Annulée",IF(OR(E1044="Vente directe",K1044&lt;&gt;""),"Livrée",IF(J1044&lt;&gt;"","Confirmée","En attente"))))</f>
        <v/>
      </c>
      <c r="S1044" s="34">
        <f>IF(F1044="","",IFERROR(VLOOKUP(F1044,T_Produits,2,FALSE),""))</f>
        <v/>
      </c>
      <c r="T1044" s="40">
        <f>IF(F1044="","",IFERROR(1/(1/VLOOKUP(F1044,T_Produits,3,FALSE)),""))</f>
        <v/>
      </c>
      <c r="U1044" s="40">
        <f>IF(H1044&lt;&gt;"",H1044,T1044)</f>
        <v/>
      </c>
      <c r="V1044" s="40">
        <f>IF(OR(G1044="",U1044=""),"",G1044*U1044-N(I1044))</f>
        <v/>
      </c>
      <c r="W1044" s="39">
        <f>IF(D1044="","",IFERROR(VALUE(MID(D1044,LEN(D1044)-3,3)),""))</f>
        <v/>
      </c>
      <c r="X1044" s="33">
        <f>IF(W1044="","",P1044&amp;"|"&amp;W1044)</f>
        <v/>
      </c>
      <c r="Y1044" s="33">
        <f>IF(W1044="","",IF(P1044="À RENSEIGNER","GIC",P1044)&amp;"-"&amp;TEXT(W1044,"000"))</f>
        <v/>
      </c>
      <c r="Z1044" s="33">
        <f>IF(X1044="","",IFERROR(INDEX(Cl_nom,MATCH(X1044,Cl_cle,0)),"(client introuvable)"))</f>
        <v/>
      </c>
      <c r="AA1044" s="33">
        <f>IF(X1044="","",IFERROR(INDEX(Cl_quartier,MATCH(X1044,Cl_cle,0))&amp;"",""))</f>
        <v/>
      </c>
      <c r="AB1044" s="45">
        <f>IF(R1044&lt;&gt;"Livrée",0,IF(K1044&lt;&gt;"",K1044,C1044))</f>
        <v/>
      </c>
      <c r="AC1044" s="33">
        <f>IF(OR(C1044="",W1044=""),"",P1044&amp;"|"&amp;W1044&amp;"|"&amp;C1044&amp;"|"&amp;E1044)</f>
        <v/>
      </c>
      <c r="AD1044" s="39">
        <f>IF(AC1044="","",IF(COUNTIF(AC$6:AC1044,AC1044)=1,1,0))</f>
        <v/>
      </c>
      <c r="AE1044" s="39">
        <f>IF(AB1044=0,"",IF(COUNTIFS(X$6:X1044,X1044,AB$6:AB1044,AB1044)=1,1,0))</f>
        <v/>
      </c>
      <c r="AF1044" s="34">
        <f>IF(C1044="","",YEAR(C1044-WEEKDAY(C1044,2)+4)&amp;"-S"&amp;TEXT(INT((C1044-DATE(YEAR(C1044-WEEKDAY(C1044,2)+4),1,3)+WEEKDAY(DATE(YEAR(C1044-WEEKDAY(C1044,2)+4),1,3),2)+5)/7),"00"))</f>
        <v/>
      </c>
    </row>
    <row r="1045" ht="18" customHeight="1">
      <c r="A1045" s="39" t="n">
        <v>1040</v>
      </c>
      <c r="B1045" s="33">
        <f>IF(C1045="","",IF(P1045="À RENSEIGNER","GIC",P1045)&amp;"-C"&amp;TEXT(A1045,"00000"))</f>
        <v/>
      </c>
      <c r="C1045" s="32" t="n"/>
      <c r="D1045" s="36" t="n"/>
      <c r="E1045" s="36" t="n"/>
      <c r="F1045" s="36" t="n"/>
      <c r="G1045" s="42" t="n"/>
      <c r="H1045" s="37" t="n"/>
      <c r="I1045" s="37" t="n"/>
      <c r="J1045" s="32" t="n"/>
      <c r="K1045" s="32" t="n"/>
      <c r="L1045" s="43" t="n"/>
      <c r="M1045" s="36" t="n"/>
      <c r="N1045" s="44" t="n"/>
      <c r="O1045" s="36" t="n"/>
      <c r="P1045" s="33">
        <f>IF(C1045="","",Commercial_Id)</f>
        <v/>
      </c>
      <c r="Q1045" s="34">
        <f>IF(AC1045="","",IF(AD1045=1,"C"&amp;TEXT(SUM(AD$6:AD1045),"0000"),INDEX(Q$6:Q1044,MATCH(AC1045,AC$6:AC1044,0))))</f>
        <v/>
      </c>
      <c r="R1045" s="34">
        <f>IF(C1045="","",IF(L1045="☑ Oui","Annulée",IF(OR(E1045="Vente directe",K1045&lt;&gt;""),"Livrée",IF(J1045&lt;&gt;"","Confirmée","En attente"))))</f>
        <v/>
      </c>
      <c r="S1045" s="34">
        <f>IF(F1045="","",IFERROR(VLOOKUP(F1045,T_Produits,2,FALSE),""))</f>
        <v/>
      </c>
      <c r="T1045" s="40">
        <f>IF(F1045="","",IFERROR(1/(1/VLOOKUP(F1045,T_Produits,3,FALSE)),""))</f>
        <v/>
      </c>
      <c r="U1045" s="40">
        <f>IF(H1045&lt;&gt;"",H1045,T1045)</f>
        <v/>
      </c>
      <c r="V1045" s="40">
        <f>IF(OR(G1045="",U1045=""),"",G1045*U1045-N(I1045))</f>
        <v/>
      </c>
      <c r="W1045" s="39">
        <f>IF(D1045="","",IFERROR(VALUE(MID(D1045,LEN(D1045)-3,3)),""))</f>
        <v/>
      </c>
      <c r="X1045" s="33">
        <f>IF(W1045="","",P1045&amp;"|"&amp;W1045)</f>
        <v/>
      </c>
      <c r="Y1045" s="33">
        <f>IF(W1045="","",IF(P1045="À RENSEIGNER","GIC",P1045)&amp;"-"&amp;TEXT(W1045,"000"))</f>
        <v/>
      </c>
      <c r="Z1045" s="33">
        <f>IF(X1045="","",IFERROR(INDEX(Cl_nom,MATCH(X1045,Cl_cle,0)),"(client introuvable)"))</f>
        <v/>
      </c>
      <c r="AA1045" s="33">
        <f>IF(X1045="","",IFERROR(INDEX(Cl_quartier,MATCH(X1045,Cl_cle,0))&amp;"",""))</f>
        <v/>
      </c>
      <c r="AB1045" s="45">
        <f>IF(R1045&lt;&gt;"Livrée",0,IF(K1045&lt;&gt;"",K1045,C1045))</f>
        <v/>
      </c>
      <c r="AC1045" s="33">
        <f>IF(OR(C1045="",W1045=""),"",P1045&amp;"|"&amp;W1045&amp;"|"&amp;C1045&amp;"|"&amp;E1045)</f>
        <v/>
      </c>
      <c r="AD1045" s="39">
        <f>IF(AC1045="","",IF(COUNTIF(AC$6:AC1045,AC1045)=1,1,0))</f>
        <v/>
      </c>
      <c r="AE1045" s="39">
        <f>IF(AB1045=0,"",IF(COUNTIFS(X$6:X1045,X1045,AB$6:AB1045,AB1045)=1,1,0))</f>
        <v/>
      </c>
      <c r="AF1045" s="34">
        <f>IF(C1045="","",YEAR(C1045-WEEKDAY(C1045,2)+4)&amp;"-S"&amp;TEXT(INT((C1045-DATE(YEAR(C1045-WEEKDAY(C1045,2)+4),1,3)+WEEKDAY(DATE(YEAR(C1045-WEEKDAY(C1045,2)+4),1,3),2)+5)/7),"00"))</f>
        <v/>
      </c>
    </row>
    <row r="1046" ht="18" customHeight="1">
      <c r="A1046" s="39" t="n">
        <v>1041</v>
      </c>
      <c r="B1046" s="33">
        <f>IF(C1046="","",IF(P1046="À RENSEIGNER","GIC",P1046)&amp;"-C"&amp;TEXT(A1046,"00000"))</f>
        <v/>
      </c>
      <c r="C1046" s="32" t="n"/>
      <c r="D1046" s="36" t="n"/>
      <c r="E1046" s="36" t="n"/>
      <c r="F1046" s="36" t="n"/>
      <c r="G1046" s="42" t="n"/>
      <c r="H1046" s="37" t="n"/>
      <c r="I1046" s="37" t="n"/>
      <c r="J1046" s="32" t="n"/>
      <c r="K1046" s="32" t="n"/>
      <c r="L1046" s="43" t="n"/>
      <c r="M1046" s="36" t="n"/>
      <c r="N1046" s="44" t="n"/>
      <c r="O1046" s="36" t="n"/>
      <c r="P1046" s="33">
        <f>IF(C1046="","",Commercial_Id)</f>
        <v/>
      </c>
      <c r="Q1046" s="34">
        <f>IF(AC1046="","",IF(AD1046=1,"C"&amp;TEXT(SUM(AD$6:AD1046),"0000"),INDEX(Q$6:Q1045,MATCH(AC1046,AC$6:AC1045,0))))</f>
        <v/>
      </c>
      <c r="R1046" s="34">
        <f>IF(C1046="","",IF(L1046="☑ Oui","Annulée",IF(OR(E1046="Vente directe",K1046&lt;&gt;""),"Livrée",IF(J1046&lt;&gt;"","Confirmée","En attente"))))</f>
        <v/>
      </c>
      <c r="S1046" s="34">
        <f>IF(F1046="","",IFERROR(VLOOKUP(F1046,T_Produits,2,FALSE),""))</f>
        <v/>
      </c>
      <c r="T1046" s="40">
        <f>IF(F1046="","",IFERROR(1/(1/VLOOKUP(F1046,T_Produits,3,FALSE)),""))</f>
        <v/>
      </c>
      <c r="U1046" s="40">
        <f>IF(H1046&lt;&gt;"",H1046,T1046)</f>
        <v/>
      </c>
      <c r="V1046" s="40">
        <f>IF(OR(G1046="",U1046=""),"",G1046*U1046-N(I1046))</f>
        <v/>
      </c>
      <c r="W1046" s="39">
        <f>IF(D1046="","",IFERROR(VALUE(MID(D1046,LEN(D1046)-3,3)),""))</f>
        <v/>
      </c>
      <c r="X1046" s="33">
        <f>IF(W1046="","",P1046&amp;"|"&amp;W1046)</f>
        <v/>
      </c>
      <c r="Y1046" s="33">
        <f>IF(W1046="","",IF(P1046="À RENSEIGNER","GIC",P1046)&amp;"-"&amp;TEXT(W1046,"000"))</f>
        <v/>
      </c>
      <c r="Z1046" s="33">
        <f>IF(X1046="","",IFERROR(INDEX(Cl_nom,MATCH(X1046,Cl_cle,0)),"(client introuvable)"))</f>
        <v/>
      </c>
      <c r="AA1046" s="33">
        <f>IF(X1046="","",IFERROR(INDEX(Cl_quartier,MATCH(X1046,Cl_cle,0))&amp;"",""))</f>
        <v/>
      </c>
      <c r="AB1046" s="45">
        <f>IF(R1046&lt;&gt;"Livrée",0,IF(K1046&lt;&gt;"",K1046,C1046))</f>
        <v/>
      </c>
      <c r="AC1046" s="33">
        <f>IF(OR(C1046="",W1046=""),"",P1046&amp;"|"&amp;W1046&amp;"|"&amp;C1046&amp;"|"&amp;E1046)</f>
        <v/>
      </c>
      <c r="AD1046" s="39">
        <f>IF(AC1046="","",IF(COUNTIF(AC$6:AC1046,AC1046)=1,1,0))</f>
        <v/>
      </c>
      <c r="AE1046" s="39">
        <f>IF(AB1046=0,"",IF(COUNTIFS(X$6:X1046,X1046,AB$6:AB1046,AB1046)=1,1,0))</f>
        <v/>
      </c>
      <c r="AF1046" s="34">
        <f>IF(C1046="","",YEAR(C1046-WEEKDAY(C1046,2)+4)&amp;"-S"&amp;TEXT(INT((C1046-DATE(YEAR(C1046-WEEKDAY(C1046,2)+4),1,3)+WEEKDAY(DATE(YEAR(C1046-WEEKDAY(C1046,2)+4),1,3),2)+5)/7),"00"))</f>
        <v/>
      </c>
    </row>
    <row r="1047" ht="18" customHeight="1">
      <c r="A1047" s="39" t="n">
        <v>1042</v>
      </c>
      <c r="B1047" s="33">
        <f>IF(C1047="","",IF(P1047="À RENSEIGNER","GIC",P1047)&amp;"-C"&amp;TEXT(A1047,"00000"))</f>
        <v/>
      </c>
      <c r="C1047" s="32" t="n"/>
      <c r="D1047" s="36" t="n"/>
      <c r="E1047" s="36" t="n"/>
      <c r="F1047" s="36" t="n"/>
      <c r="G1047" s="42" t="n"/>
      <c r="H1047" s="37" t="n"/>
      <c r="I1047" s="37" t="n"/>
      <c r="J1047" s="32" t="n"/>
      <c r="K1047" s="32" t="n"/>
      <c r="L1047" s="43" t="n"/>
      <c r="M1047" s="36" t="n"/>
      <c r="N1047" s="44" t="n"/>
      <c r="O1047" s="36" t="n"/>
      <c r="P1047" s="33">
        <f>IF(C1047="","",Commercial_Id)</f>
        <v/>
      </c>
      <c r="Q1047" s="34">
        <f>IF(AC1047="","",IF(AD1047=1,"C"&amp;TEXT(SUM(AD$6:AD1047),"0000"),INDEX(Q$6:Q1046,MATCH(AC1047,AC$6:AC1046,0))))</f>
        <v/>
      </c>
      <c r="R1047" s="34">
        <f>IF(C1047="","",IF(L1047="☑ Oui","Annulée",IF(OR(E1047="Vente directe",K1047&lt;&gt;""),"Livrée",IF(J1047&lt;&gt;"","Confirmée","En attente"))))</f>
        <v/>
      </c>
      <c r="S1047" s="34">
        <f>IF(F1047="","",IFERROR(VLOOKUP(F1047,T_Produits,2,FALSE),""))</f>
        <v/>
      </c>
      <c r="T1047" s="40">
        <f>IF(F1047="","",IFERROR(1/(1/VLOOKUP(F1047,T_Produits,3,FALSE)),""))</f>
        <v/>
      </c>
      <c r="U1047" s="40">
        <f>IF(H1047&lt;&gt;"",H1047,T1047)</f>
        <v/>
      </c>
      <c r="V1047" s="40">
        <f>IF(OR(G1047="",U1047=""),"",G1047*U1047-N(I1047))</f>
        <v/>
      </c>
      <c r="W1047" s="39">
        <f>IF(D1047="","",IFERROR(VALUE(MID(D1047,LEN(D1047)-3,3)),""))</f>
        <v/>
      </c>
      <c r="X1047" s="33">
        <f>IF(W1047="","",P1047&amp;"|"&amp;W1047)</f>
        <v/>
      </c>
      <c r="Y1047" s="33">
        <f>IF(W1047="","",IF(P1047="À RENSEIGNER","GIC",P1047)&amp;"-"&amp;TEXT(W1047,"000"))</f>
        <v/>
      </c>
      <c r="Z1047" s="33">
        <f>IF(X1047="","",IFERROR(INDEX(Cl_nom,MATCH(X1047,Cl_cle,0)),"(client introuvable)"))</f>
        <v/>
      </c>
      <c r="AA1047" s="33">
        <f>IF(X1047="","",IFERROR(INDEX(Cl_quartier,MATCH(X1047,Cl_cle,0))&amp;"",""))</f>
        <v/>
      </c>
      <c r="AB1047" s="45">
        <f>IF(R1047&lt;&gt;"Livrée",0,IF(K1047&lt;&gt;"",K1047,C1047))</f>
        <v/>
      </c>
      <c r="AC1047" s="33">
        <f>IF(OR(C1047="",W1047=""),"",P1047&amp;"|"&amp;W1047&amp;"|"&amp;C1047&amp;"|"&amp;E1047)</f>
        <v/>
      </c>
      <c r="AD1047" s="39">
        <f>IF(AC1047="","",IF(COUNTIF(AC$6:AC1047,AC1047)=1,1,0))</f>
        <v/>
      </c>
      <c r="AE1047" s="39">
        <f>IF(AB1047=0,"",IF(COUNTIFS(X$6:X1047,X1047,AB$6:AB1047,AB1047)=1,1,0))</f>
        <v/>
      </c>
      <c r="AF1047" s="34">
        <f>IF(C1047="","",YEAR(C1047-WEEKDAY(C1047,2)+4)&amp;"-S"&amp;TEXT(INT((C1047-DATE(YEAR(C1047-WEEKDAY(C1047,2)+4),1,3)+WEEKDAY(DATE(YEAR(C1047-WEEKDAY(C1047,2)+4),1,3),2)+5)/7),"00"))</f>
        <v/>
      </c>
    </row>
    <row r="1048" ht="18" customHeight="1">
      <c r="A1048" s="39" t="n">
        <v>1043</v>
      </c>
      <c r="B1048" s="33">
        <f>IF(C1048="","",IF(P1048="À RENSEIGNER","GIC",P1048)&amp;"-C"&amp;TEXT(A1048,"00000"))</f>
        <v/>
      </c>
      <c r="C1048" s="32" t="n"/>
      <c r="D1048" s="36" t="n"/>
      <c r="E1048" s="36" t="n"/>
      <c r="F1048" s="36" t="n"/>
      <c r="G1048" s="42" t="n"/>
      <c r="H1048" s="37" t="n"/>
      <c r="I1048" s="37" t="n"/>
      <c r="J1048" s="32" t="n"/>
      <c r="K1048" s="32" t="n"/>
      <c r="L1048" s="43" t="n"/>
      <c r="M1048" s="36" t="n"/>
      <c r="N1048" s="44" t="n"/>
      <c r="O1048" s="36" t="n"/>
      <c r="P1048" s="33">
        <f>IF(C1048="","",Commercial_Id)</f>
        <v/>
      </c>
      <c r="Q1048" s="34">
        <f>IF(AC1048="","",IF(AD1048=1,"C"&amp;TEXT(SUM(AD$6:AD1048),"0000"),INDEX(Q$6:Q1047,MATCH(AC1048,AC$6:AC1047,0))))</f>
        <v/>
      </c>
      <c r="R1048" s="34">
        <f>IF(C1048="","",IF(L1048="☑ Oui","Annulée",IF(OR(E1048="Vente directe",K1048&lt;&gt;""),"Livrée",IF(J1048&lt;&gt;"","Confirmée","En attente"))))</f>
        <v/>
      </c>
      <c r="S1048" s="34">
        <f>IF(F1048="","",IFERROR(VLOOKUP(F1048,T_Produits,2,FALSE),""))</f>
        <v/>
      </c>
      <c r="T1048" s="40">
        <f>IF(F1048="","",IFERROR(1/(1/VLOOKUP(F1048,T_Produits,3,FALSE)),""))</f>
        <v/>
      </c>
      <c r="U1048" s="40">
        <f>IF(H1048&lt;&gt;"",H1048,T1048)</f>
        <v/>
      </c>
      <c r="V1048" s="40">
        <f>IF(OR(G1048="",U1048=""),"",G1048*U1048-N(I1048))</f>
        <v/>
      </c>
      <c r="W1048" s="39">
        <f>IF(D1048="","",IFERROR(VALUE(MID(D1048,LEN(D1048)-3,3)),""))</f>
        <v/>
      </c>
      <c r="X1048" s="33">
        <f>IF(W1048="","",P1048&amp;"|"&amp;W1048)</f>
        <v/>
      </c>
      <c r="Y1048" s="33">
        <f>IF(W1048="","",IF(P1048="À RENSEIGNER","GIC",P1048)&amp;"-"&amp;TEXT(W1048,"000"))</f>
        <v/>
      </c>
      <c r="Z1048" s="33">
        <f>IF(X1048="","",IFERROR(INDEX(Cl_nom,MATCH(X1048,Cl_cle,0)),"(client introuvable)"))</f>
        <v/>
      </c>
      <c r="AA1048" s="33">
        <f>IF(X1048="","",IFERROR(INDEX(Cl_quartier,MATCH(X1048,Cl_cle,0))&amp;"",""))</f>
        <v/>
      </c>
      <c r="AB1048" s="45">
        <f>IF(R1048&lt;&gt;"Livrée",0,IF(K1048&lt;&gt;"",K1048,C1048))</f>
        <v/>
      </c>
      <c r="AC1048" s="33">
        <f>IF(OR(C1048="",W1048=""),"",P1048&amp;"|"&amp;W1048&amp;"|"&amp;C1048&amp;"|"&amp;E1048)</f>
        <v/>
      </c>
      <c r="AD1048" s="39">
        <f>IF(AC1048="","",IF(COUNTIF(AC$6:AC1048,AC1048)=1,1,0))</f>
        <v/>
      </c>
      <c r="AE1048" s="39">
        <f>IF(AB1048=0,"",IF(COUNTIFS(X$6:X1048,X1048,AB$6:AB1048,AB1048)=1,1,0))</f>
        <v/>
      </c>
      <c r="AF1048" s="34">
        <f>IF(C1048="","",YEAR(C1048-WEEKDAY(C1048,2)+4)&amp;"-S"&amp;TEXT(INT((C1048-DATE(YEAR(C1048-WEEKDAY(C1048,2)+4),1,3)+WEEKDAY(DATE(YEAR(C1048-WEEKDAY(C1048,2)+4),1,3),2)+5)/7),"00"))</f>
        <v/>
      </c>
    </row>
    <row r="1049" ht="18" customHeight="1">
      <c r="A1049" s="39" t="n">
        <v>1044</v>
      </c>
      <c r="B1049" s="33">
        <f>IF(C1049="","",IF(P1049="À RENSEIGNER","GIC",P1049)&amp;"-C"&amp;TEXT(A1049,"00000"))</f>
        <v/>
      </c>
      <c r="C1049" s="32" t="n"/>
      <c r="D1049" s="36" t="n"/>
      <c r="E1049" s="36" t="n"/>
      <c r="F1049" s="36" t="n"/>
      <c r="G1049" s="42" t="n"/>
      <c r="H1049" s="37" t="n"/>
      <c r="I1049" s="37" t="n"/>
      <c r="J1049" s="32" t="n"/>
      <c r="K1049" s="32" t="n"/>
      <c r="L1049" s="43" t="n"/>
      <c r="M1049" s="36" t="n"/>
      <c r="N1049" s="44" t="n"/>
      <c r="O1049" s="36" t="n"/>
      <c r="P1049" s="33">
        <f>IF(C1049="","",Commercial_Id)</f>
        <v/>
      </c>
      <c r="Q1049" s="34">
        <f>IF(AC1049="","",IF(AD1049=1,"C"&amp;TEXT(SUM(AD$6:AD1049),"0000"),INDEX(Q$6:Q1048,MATCH(AC1049,AC$6:AC1048,0))))</f>
        <v/>
      </c>
      <c r="R1049" s="34">
        <f>IF(C1049="","",IF(L1049="☑ Oui","Annulée",IF(OR(E1049="Vente directe",K1049&lt;&gt;""),"Livrée",IF(J1049&lt;&gt;"","Confirmée","En attente"))))</f>
        <v/>
      </c>
      <c r="S1049" s="34">
        <f>IF(F1049="","",IFERROR(VLOOKUP(F1049,T_Produits,2,FALSE),""))</f>
        <v/>
      </c>
      <c r="T1049" s="40">
        <f>IF(F1049="","",IFERROR(1/(1/VLOOKUP(F1049,T_Produits,3,FALSE)),""))</f>
        <v/>
      </c>
      <c r="U1049" s="40">
        <f>IF(H1049&lt;&gt;"",H1049,T1049)</f>
        <v/>
      </c>
      <c r="V1049" s="40">
        <f>IF(OR(G1049="",U1049=""),"",G1049*U1049-N(I1049))</f>
        <v/>
      </c>
      <c r="W1049" s="39">
        <f>IF(D1049="","",IFERROR(VALUE(MID(D1049,LEN(D1049)-3,3)),""))</f>
        <v/>
      </c>
      <c r="X1049" s="33">
        <f>IF(W1049="","",P1049&amp;"|"&amp;W1049)</f>
        <v/>
      </c>
      <c r="Y1049" s="33">
        <f>IF(W1049="","",IF(P1049="À RENSEIGNER","GIC",P1049)&amp;"-"&amp;TEXT(W1049,"000"))</f>
        <v/>
      </c>
      <c r="Z1049" s="33">
        <f>IF(X1049="","",IFERROR(INDEX(Cl_nom,MATCH(X1049,Cl_cle,0)),"(client introuvable)"))</f>
        <v/>
      </c>
      <c r="AA1049" s="33">
        <f>IF(X1049="","",IFERROR(INDEX(Cl_quartier,MATCH(X1049,Cl_cle,0))&amp;"",""))</f>
        <v/>
      </c>
      <c r="AB1049" s="45">
        <f>IF(R1049&lt;&gt;"Livrée",0,IF(K1049&lt;&gt;"",K1049,C1049))</f>
        <v/>
      </c>
      <c r="AC1049" s="33">
        <f>IF(OR(C1049="",W1049=""),"",P1049&amp;"|"&amp;W1049&amp;"|"&amp;C1049&amp;"|"&amp;E1049)</f>
        <v/>
      </c>
      <c r="AD1049" s="39">
        <f>IF(AC1049="","",IF(COUNTIF(AC$6:AC1049,AC1049)=1,1,0))</f>
        <v/>
      </c>
      <c r="AE1049" s="39">
        <f>IF(AB1049=0,"",IF(COUNTIFS(X$6:X1049,X1049,AB$6:AB1049,AB1049)=1,1,0))</f>
        <v/>
      </c>
      <c r="AF1049" s="34">
        <f>IF(C1049="","",YEAR(C1049-WEEKDAY(C1049,2)+4)&amp;"-S"&amp;TEXT(INT((C1049-DATE(YEAR(C1049-WEEKDAY(C1049,2)+4),1,3)+WEEKDAY(DATE(YEAR(C1049-WEEKDAY(C1049,2)+4),1,3),2)+5)/7),"00"))</f>
        <v/>
      </c>
    </row>
    <row r="1050" ht="18" customHeight="1">
      <c r="A1050" s="39" t="n">
        <v>1045</v>
      </c>
      <c r="B1050" s="33">
        <f>IF(C1050="","",IF(P1050="À RENSEIGNER","GIC",P1050)&amp;"-C"&amp;TEXT(A1050,"00000"))</f>
        <v/>
      </c>
      <c r="C1050" s="32" t="n"/>
      <c r="D1050" s="36" t="n"/>
      <c r="E1050" s="36" t="n"/>
      <c r="F1050" s="36" t="n"/>
      <c r="G1050" s="42" t="n"/>
      <c r="H1050" s="37" t="n"/>
      <c r="I1050" s="37" t="n"/>
      <c r="J1050" s="32" t="n"/>
      <c r="K1050" s="32" t="n"/>
      <c r="L1050" s="43" t="n"/>
      <c r="M1050" s="36" t="n"/>
      <c r="N1050" s="44" t="n"/>
      <c r="O1050" s="36" t="n"/>
      <c r="P1050" s="33">
        <f>IF(C1050="","",Commercial_Id)</f>
        <v/>
      </c>
      <c r="Q1050" s="34">
        <f>IF(AC1050="","",IF(AD1050=1,"C"&amp;TEXT(SUM(AD$6:AD1050),"0000"),INDEX(Q$6:Q1049,MATCH(AC1050,AC$6:AC1049,0))))</f>
        <v/>
      </c>
      <c r="R1050" s="34">
        <f>IF(C1050="","",IF(L1050="☑ Oui","Annulée",IF(OR(E1050="Vente directe",K1050&lt;&gt;""),"Livrée",IF(J1050&lt;&gt;"","Confirmée","En attente"))))</f>
        <v/>
      </c>
      <c r="S1050" s="34">
        <f>IF(F1050="","",IFERROR(VLOOKUP(F1050,T_Produits,2,FALSE),""))</f>
        <v/>
      </c>
      <c r="T1050" s="40">
        <f>IF(F1050="","",IFERROR(1/(1/VLOOKUP(F1050,T_Produits,3,FALSE)),""))</f>
        <v/>
      </c>
      <c r="U1050" s="40">
        <f>IF(H1050&lt;&gt;"",H1050,T1050)</f>
        <v/>
      </c>
      <c r="V1050" s="40">
        <f>IF(OR(G1050="",U1050=""),"",G1050*U1050-N(I1050))</f>
        <v/>
      </c>
      <c r="W1050" s="39">
        <f>IF(D1050="","",IFERROR(VALUE(MID(D1050,LEN(D1050)-3,3)),""))</f>
        <v/>
      </c>
      <c r="X1050" s="33">
        <f>IF(W1050="","",P1050&amp;"|"&amp;W1050)</f>
        <v/>
      </c>
      <c r="Y1050" s="33">
        <f>IF(W1050="","",IF(P1050="À RENSEIGNER","GIC",P1050)&amp;"-"&amp;TEXT(W1050,"000"))</f>
        <v/>
      </c>
      <c r="Z1050" s="33">
        <f>IF(X1050="","",IFERROR(INDEX(Cl_nom,MATCH(X1050,Cl_cle,0)),"(client introuvable)"))</f>
        <v/>
      </c>
      <c r="AA1050" s="33">
        <f>IF(X1050="","",IFERROR(INDEX(Cl_quartier,MATCH(X1050,Cl_cle,0))&amp;"",""))</f>
        <v/>
      </c>
      <c r="AB1050" s="45">
        <f>IF(R1050&lt;&gt;"Livrée",0,IF(K1050&lt;&gt;"",K1050,C1050))</f>
        <v/>
      </c>
      <c r="AC1050" s="33">
        <f>IF(OR(C1050="",W1050=""),"",P1050&amp;"|"&amp;W1050&amp;"|"&amp;C1050&amp;"|"&amp;E1050)</f>
        <v/>
      </c>
      <c r="AD1050" s="39">
        <f>IF(AC1050="","",IF(COUNTIF(AC$6:AC1050,AC1050)=1,1,0))</f>
        <v/>
      </c>
      <c r="AE1050" s="39">
        <f>IF(AB1050=0,"",IF(COUNTIFS(X$6:X1050,X1050,AB$6:AB1050,AB1050)=1,1,0))</f>
        <v/>
      </c>
      <c r="AF1050" s="34">
        <f>IF(C1050="","",YEAR(C1050-WEEKDAY(C1050,2)+4)&amp;"-S"&amp;TEXT(INT((C1050-DATE(YEAR(C1050-WEEKDAY(C1050,2)+4),1,3)+WEEKDAY(DATE(YEAR(C1050-WEEKDAY(C1050,2)+4),1,3),2)+5)/7),"00"))</f>
        <v/>
      </c>
    </row>
    <row r="1051" ht="18" customHeight="1">
      <c r="A1051" s="39" t="n">
        <v>1046</v>
      </c>
      <c r="B1051" s="33">
        <f>IF(C1051="","",IF(P1051="À RENSEIGNER","GIC",P1051)&amp;"-C"&amp;TEXT(A1051,"00000"))</f>
        <v/>
      </c>
      <c r="C1051" s="32" t="n"/>
      <c r="D1051" s="36" t="n"/>
      <c r="E1051" s="36" t="n"/>
      <c r="F1051" s="36" t="n"/>
      <c r="G1051" s="42" t="n"/>
      <c r="H1051" s="37" t="n"/>
      <c r="I1051" s="37" t="n"/>
      <c r="J1051" s="32" t="n"/>
      <c r="K1051" s="32" t="n"/>
      <c r="L1051" s="43" t="n"/>
      <c r="M1051" s="36" t="n"/>
      <c r="N1051" s="44" t="n"/>
      <c r="O1051" s="36" t="n"/>
      <c r="P1051" s="33">
        <f>IF(C1051="","",Commercial_Id)</f>
        <v/>
      </c>
      <c r="Q1051" s="34">
        <f>IF(AC1051="","",IF(AD1051=1,"C"&amp;TEXT(SUM(AD$6:AD1051),"0000"),INDEX(Q$6:Q1050,MATCH(AC1051,AC$6:AC1050,0))))</f>
        <v/>
      </c>
      <c r="R1051" s="34">
        <f>IF(C1051="","",IF(L1051="☑ Oui","Annulée",IF(OR(E1051="Vente directe",K1051&lt;&gt;""),"Livrée",IF(J1051&lt;&gt;"","Confirmée","En attente"))))</f>
        <v/>
      </c>
      <c r="S1051" s="34">
        <f>IF(F1051="","",IFERROR(VLOOKUP(F1051,T_Produits,2,FALSE),""))</f>
        <v/>
      </c>
      <c r="T1051" s="40">
        <f>IF(F1051="","",IFERROR(1/(1/VLOOKUP(F1051,T_Produits,3,FALSE)),""))</f>
        <v/>
      </c>
      <c r="U1051" s="40">
        <f>IF(H1051&lt;&gt;"",H1051,T1051)</f>
        <v/>
      </c>
      <c r="V1051" s="40">
        <f>IF(OR(G1051="",U1051=""),"",G1051*U1051-N(I1051))</f>
        <v/>
      </c>
      <c r="W1051" s="39">
        <f>IF(D1051="","",IFERROR(VALUE(MID(D1051,LEN(D1051)-3,3)),""))</f>
        <v/>
      </c>
      <c r="X1051" s="33">
        <f>IF(W1051="","",P1051&amp;"|"&amp;W1051)</f>
        <v/>
      </c>
      <c r="Y1051" s="33">
        <f>IF(W1051="","",IF(P1051="À RENSEIGNER","GIC",P1051)&amp;"-"&amp;TEXT(W1051,"000"))</f>
        <v/>
      </c>
      <c r="Z1051" s="33">
        <f>IF(X1051="","",IFERROR(INDEX(Cl_nom,MATCH(X1051,Cl_cle,0)),"(client introuvable)"))</f>
        <v/>
      </c>
      <c r="AA1051" s="33">
        <f>IF(X1051="","",IFERROR(INDEX(Cl_quartier,MATCH(X1051,Cl_cle,0))&amp;"",""))</f>
        <v/>
      </c>
      <c r="AB1051" s="45">
        <f>IF(R1051&lt;&gt;"Livrée",0,IF(K1051&lt;&gt;"",K1051,C1051))</f>
        <v/>
      </c>
      <c r="AC1051" s="33">
        <f>IF(OR(C1051="",W1051=""),"",P1051&amp;"|"&amp;W1051&amp;"|"&amp;C1051&amp;"|"&amp;E1051)</f>
        <v/>
      </c>
      <c r="AD1051" s="39">
        <f>IF(AC1051="","",IF(COUNTIF(AC$6:AC1051,AC1051)=1,1,0))</f>
        <v/>
      </c>
      <c r="AE1051" s="39">
        <f>IF(AB1051=0,"",IF(COUNTIFS(X$6:X1051,X1051,AB$6:AB1051,AB1051)=1,1,0))</f>
        <v/>
      </c>
      <c r="AF1051" s="34">
        <f>IF(C1051="","",YEAR(C1051-WEEKDAY(C1051,2)+4)&amp;"-S"&amp;TEXT(INT((C1051-DATE(YEAR(C1051-WEEKDAY(C1051,2)+4),1,3)+WEEKDAY(DATE(YEAR(C1051-WEEKDAY(C1051,2)+4),1,3),2)+5)/7),"00"))</f>
        <v/>
      </c>
    </row>
    <row r="1052" ht="18" customHeight="1">
      <c r="A1052" s="39" t="n">
        <v>1047</v>
      </c>
      <c r="B1052" s="33">
        <f>IF(C1052="","",IF(P1052="À RENSEIGNER","GIC",P1052)&amp;"-C"&amp;TEXT(A1052,"00000"))</f>
        <v/>
      </c>
      <c r="C1052" s="32" t="n"/>
      <c r="D1052" s="36" t="n"/>
      <c r="E1052" s="36" t="n"/>
      <c r="F1052" s="36" t="n"/>
      <c r="G1052" s="42" t="n"/>
      <c r="H1052" s="37" t="n"/>
      <c r="I1052" s="37" t="n"/>
      <c r="J1052" s="32" t="n"/>
      <c r="K1052" s="32" t="n"/>
      <c r="L1052" s="43" t="n"/>
      <c r="M1052" s="36" t="n"/>
      <c r="N1052" s="44" t="n"/>
      <c r="O1052" s="36" t="n"/>
      <c r="P1052" s="33">
        <f>IF(C1052="","",Commercial_Id)</f>
        <v/>
      </c>
      <c r="Q1052" s="34">
        <f>IF(AC1052="","",IF(AD1052=1,"C"&amp;TEXT(SUM(AD$6:AD1052),"0000"),INDEX(Q$6:Q1051,MATCH(AC1052,AC$6:AC1051,0))))</f>
        <v/>
      </c>
      <c r="R1052" s="34">
        <f>IF(C1052="","",IF(L1052="☑ Oui","Annulée",IF(OR(E1052="Vente directe",K1052&lt;&gt;""),"Livrée",IF(J1052&lt;&gt;"","Confirmée","En attente"))))</f>
        <v/>
      </c>
      <c r="S1052" s="34">
        <f>IF(F1052="","",IFERROR(VLOOKUP(F1052,T_Produits,2,FALSE),""))</f>
        <v/>
      </c>
      <c r="T1052" s="40">
        <f>IF(F1052="","",IFERROR(1/(1/VLOOKUP(F1052,T_Produits,3,FALSE)),""))</f>
        <v/>
      </c>
      <c r="U1052" s="40">
        <f>IF(H1052&lt;&gt;"",H1052,T1052)</f>
        <v/>
      </c>
      <c r="V1052" s="40">
        <f>IF(OR(G1052="",U1052=""),"",G1052*U1052-N(I1052))</f>
        <v/>
      </c>
      <c r="W1052" s="39">
        <f>IF(D1052="","",IFERROR(VALUE(MID(D1052,LEN(D1052)-3,3)),""))</f>
        <v/>
      </c>
      <c r="X1052" s="33">
        <f>IF(W1052="","",P1052&amp;"|"&amp;W1052)</f>
        <v/>
      </c>
      <c r="Y1052" s="33">
        <f>IF(W1052="","",IF(P1052="À RENSEIGNER","GIC",P1052)&amp;"-"&amp;TEXT(W1052,"000"))</f>
        <v/>
      </c>
      <c r="Z1052" s="33">
        <f>IF(X1052="","",IFERROR(INDEX(Cl_nom,MATCH(X1052,Cl_cle,0)),"(client introuvable)"))</f>
        <v/>
      </c>
      <c r="AA1052" s="33">
        <f>IF(X1052="","",IFERROR(INDEX(Cl_quartier,MATCH(X1052,Cl_cle,0))&amp;"",""))</f>
        <v/>
      </c>
      <c r="AB1052" s="45">
        <f>IF(R1052&lt;&gt;"Livrée",0,IF(K1052&lt;&gt;"",K1052,C1052))</f>
        <v/>
      </c>
      <c r="AC1052" s="33">
        <f>IF(OR(C1052="",W1052=""),"",P1052&amp;"|"&amp;W1052&amp;"|"&amp;C1052&amp;"|"&amp;E1052)</f>
        <v/>
      </c>
      <c r="AD1052" s="39">
        <f>IF(AC1052="","",IF(COUNTIF(AC$6:AC1052,AC1052)=1,1,0))</f>
        <v/>
      </c>
      <c r="AE1052" s="39">
        <f>IF(AB1052=0,"",IF(COUNTIFS(X$6:X1052,X1052,AB$6:AB1052,AB1052)=1,1,0))</f>
        <v/>
      </c>
      <c r="AF1052" s="34">
        <f>IF(C1052="","",YEAR(C1052-WEEKDAY(C1052,2)+4)&amp;"-S"&amp;TEXT(INT((C1052-DATE(YEAR(C1052-WEEKDAY(C1052,2)+4),1,3)+WEEKDAY(DATE(YEAR(C1052-WEEKDAY(C1052,2)+4),1,3),2)+5)/7),"00"))</f>
        <v/>
      </c>
    </row>
    <row r="1053" ht="18" customHeight="1">
      <c r="A1053" s="39" t="n">
        <v>1048</v>
      </c>
      <c r="B1053" s="33">
        <f>IF(C1053="","",IF(P1053="À RENSEIGNER","GIC",P1053)&amp;"-C"&amp;TEXT(A1053,"00000"))</f>
        <v/>
      </c>
      <c r="C1053" s="32" t="n"/>
      <c r="D1053" s="36" t="n"/>
      <c r="E1053" s="36" t="n"/>
      <c r="F1053" s="36" t="n"/>
      <c r="G1053" s="42" t="n"/>
      <c r="H1053" s="37" t="n"/>
      <c r="I1053" s="37" t="n"/>
      <c r="J1053" s="32" t="n"/>
      <c r="K1053" s="32" t="n"/>
      <c r="L1053" s="43" t="n"/>
      <c r="M1053" s="36" t="n"/>
      <c r="N1053" s="44" t="n"/>
      <c r="O1053" s="36" t="n"/>
      <c r="P1053" s="33">
        <f>IF(C1053="","",Commercial_Id)</f>
        <v/>
      </c>
      <c r="Q1053" s="34">
        <f>IF(AC1053="","",IF(AD1053=1,"C"&amp;TEXT(SUM(AD$6:AD1053),"0000"),INDEX(Q$6:Q1052,MATCH(AC1053,AC$6:AC1052,0))))</f>
        <v/>
      </c>
      <c r="R1053" s="34">
        <f>IF(C1053="","",IF(L1053="☑ Oui","Annulée",IF(OR(E1053="Vente directe",K1053&lt;&gt;""),"Livrée",IF(J1053&lt;&gt;"","Confirmée","En attente"))))</f>
        <v/>
      </c>
      <c r="S1053" s="34">
        <f>IF(F1053="","",IFERROR(VLOOKUP(F1053,T_Produits,2,FALSE),""))</f>
        <v/>
      </c>
      <c r="T1053" s="40">
        <f>IF(F1053="","",IFERROR(1/(1/VLOOKUP(F1053,T_Produits,3,FALSE)),""))</f>
        <v/>
      </c>
      <c r="U1053" s="40">
        <f>IF(H1053&lt;&gt;"",H1053,T1053)</f>
        <v/>
      </c>
      <c r="V1053" s="40">
        <f>IF(OR(G1053="",U1053=""),"",G1053*U1053-N(I1053))</f>
        <v/>
      </c>
      <c r="W1053" s="39">
        <f>IF(D1053="","",IFERROR(VALUE(MID(D1053,LEN(D1053)-3,3)),""))</f>
        <v/>
      </c>
      <c r="X1053" s="33">
        <f>IF(W1053="","",P1053&amp;"|"&amp;W1053)</f>
        <v/>
      </c>
      <c r="Y1053" s="33">
        <f>IF(W1053="","",IF(P1053="À RENSEIGNER","GIC",P1053)&amp;"-"&amp;TEXT(W1053,"000"))</f>
        <v/>
      </c>
      <c r="Z1053" s="33">
        <f>IF(X1053="","",IFERROR(INDEX(Cl_nom,MATCH(X1053,Cl_cle,0)),"(client introuvable)"))</f>
        <v/>
      </c>
      <c r="AA1053" s="33">
        <f>IF(X1053="","",IFERROR(INDEX(Cl_quartier,MATCH(X1053,Cl_cle,0))&amp;"",""))</f>
        <v/>
      </c>
      <c r="AB1053" s="45">
        <f>IF(R1053&lt;&gt;"Livrée",0,IF(K1053&lt;&gt;"",K1053,C1053))</f>
        <v/>
      </c>
      <c r="AC1053" s="33">
        <f>IF(OR(C1053="",W1053=""),"",P1053&amp;"|"&amp;W1053&amp;"|"&amp;C1053&amp;"|"&amp;E1053)</f>
        <v/>
      </c>
      <c r="AD1053" s="39">
        <f>IF(AC1053="","",IF(COUNTIF(AC$6:AC1053,AC1053)=1,1,0))</f>
        <v/>
      </c>
      <c r="AE1053" s="39">
        <f>IF(AB1053=0,"",IF(COUNTIFS(X$6:X1053,X1053,AB$6:AB1053,AB1053)=1,1,0))</f>
        <v/>
      </c>
      <c r="AF1053" s="34">
        <f>IF(C1053="","",YEAR(C1053-WEEKDAY(C1053,2)+4)&amp;"-S"&amp;TEXT(INT((C1053-DATE(YEAR(C1053-WEEKDAY(C1053,2)+4),1,3)+WEEKDAY(DATE(YEAR(C1053-WEEKDAY(C1053,2)+4),1,3),2)+5)/7),"00"))</f>
        <v/>
      </c>
    </row>
    <row r="1054" ht="18" customHeight="1">
      <c r="A1054" s="39" t="n">
        <v>1049</v>
      </c>
      <c r="B1054" s="33">
        <f>IF(C1054="","",IF(P1054="À RENSEIGNER","GIC",P1054)&amp;"-C"&amp;TEXT(A1054,"00000"))</f>
        <v/>
      </c>
      <c r="C1054" s="32" t="n"/>
      <c r="D1054" s="36" t="n"/>
      <c r="E1054" s="36" t="n"/>
      <c r="F1054" s="36" t="n"/>
      <c r="G1054" s="42" t="n"/>
      <c r="H1054" s="37" t="n"/>
      <c r="I1054" s="37" t="n"/>
      <c r="J1054" s="32" t="n"/>
      <c r="K1054" s="32" t="n"/>
      <c r="L1054" s="43" t="n"/>
      <c r="M1054" s="36" t="n"/>
      <c r="N1054" s="44" t="n"/>
      <c r="O1054" s="36" t="n"/>
      <c r="P1054" s="33">
        <f>IF(C1054="","",Commercial_Id)</f>
        <v/>
      </c>
      <c r="Q1054" s="34">
        <f>IF(AC1054="","",IF(AD1054=1,"C"&amp;TEXT(SUM(AD$6:AD1054),"0000"),INDEX(Q$6:Q1053,MATCH(AC1054,AC$6:AC1053,0))))</f>
        <v/>
      </c>
      <c r="R1054" s="34">
        <f>IF(C1054="","",IF(L1054="☑ Oui","Annulée",IF(OR(E1054="Vente directe",K1054&lt;&gt;""),"Livrée",IF(J1054&lt;&gt;"","Confirmée","En attente"))))</f>
        <v/>
      </c>
      <c r="S1054" s="34">
        <f>IF(F1054="","",IFERROR(VLOOKUP(F1054,T_Produits,2,FALSE),""))</f>
        <v/>
      </c>
      <c r="T1054" s="40">
        <f>IF(F1054="","",IFERROR(1/(1/VLOOKUP(F1054,T_Produits,3,FALSE)),""))</f>
        <v/>
      </c>
      <c r="U1054" s="40">
        <f>IF(H1054&lt;&gt;"",H1054,T1054)</f>
        <v/>
      </c>
      <c r="V1054" s="40">
        <f>IF(OR(G1054="",U1054=""),"",G1054*U1054-N(I1054))</f>
        <v/>
      </c>
      <c r="W1054" s="39">
        <f>IF(D1054="","",IFERROR(VALUE(MID(D1054,LEN(D1054)-3,3)),""))</f>
        <v/>
      </c>
      <c r="X1054" s="33">
        <f>IF(W1054="","",P1054&amp;"|"&amp;W1054)</f>
        <v/>
      </c>
      <c r="Y1054" s="33">
        <f>IF(W1054="","",IF(P1054="À RENSEIGNER","GIC",P1054)&amp;"-"&amp;TEXT(W1054,"000"))</f>
        <v/>
      </c>
      <c r="Z1054" s="33">
        <f>IF(X1054="","",IFERROR(INDEX(Cl_nom,MATCH(X1054,Cl_cle,0)),"(client introuvable)"))</f>
        <v/>
      </c>
      <c r="AA1054" s="33">
        <f>IF(X1054="","",IFERROR(INDEX(Cl_quartier,MATCH(X1054,Cl_cle,0))&amp;"",""))</f>
        <v/>
      </c>
      <c r="AB1054" s="45">
        <f>IF(R1054&lt;&gt;"Livrée",0,IF(K1054&lt;&gt;"",K1054,C1054))</f>
        <v/>
      </c>
      <c r="AC1054" s="33">
        <f>IF(OR(C1054="",W1054=""),"",P1054&amp;"|"&amp;W1054&amp;"|"&amp;C1054&amp;"|"&amp;E1054)</f>
        <v/>
      </c>
      <c r="AD1054" s="39">
        <f>IF(AC1054="","",IF(COUNTIF(AC$6:AC1054,AC1054)=1,1,0))</f>
        <v/>
      </c>
      <c r="AE1054" s="39">
        <f>IF(AB1054=0,"",IF(COUNTIFS(X$6:X1054,X1054,AB$6:AB1054,AB1054)=1,1,0))</f>
        <v/>
      </c>
      <c r="AF1054" s="34">
        <f>IF(C1054="","",YEAR(C1054-WEEKDAY(C1054,2)+4)&amp;"-S"&amp;TEXT(INT((C1054-DATE(YEAR(C1054-WEEKDAY(C1054,2)+4),1,3)+WEEKDAY(DATE(YEAR(C1054-WEEKDAY(C1054,2)+4),1,3),2)+5)/7),"00"))</f>
        <v/>
      </c>
    </row>
    <row r="1055" ht="18" customHeight="1">
      <c r="A1055" s="39" t="n">
        <v>1050</v>
      </c>
      <c r="B1055" s="33">
        <f>IF(C1055="","",IF(P1055="À RENSEIGNER","GIC",P1055)&amp;"-C"&amp;TEXT(A1055,"00000"))</f>
        <v/>
      </c>
      <c r="C1055" s="32" t="n"/>
      <c r="D1055" s="36" t="n"/>
      <c r="E1055" s="36" t="n"/>
      <c r="F1055" s="36" t="n"/>
      <c r="G1055" s="42" t="n"/>
      <c r="H1055" s="37" t="n"/>
      <c r="I1055" s="37" t="n"/>
      <c r="J1055" s="32" t="n"/>
      <c r="K1055" s="32" t="n"/>
      <c r="L1055" s="43" t="n"/>
      <c r="M1055" s="36" t="n"/>
      <c r="N1055" s="44" t="n"/>
      <c r="O1055" s="36" t="n"/>
      <c r="P1055" s="33">
        <f>IF(C1055="","",Commercial_Id)</f>
        <v/>
      </c>
      <c r="Q1055" s="34">
        <f>IF(AC1055="","",IF(AD1055=1,"C"&amp;TEXT(SUM(AD$6:AD1055),"0000"),INDEX(Q$6:Q1054,MATCH(AC1055,AC$6:AC1054,0))))</f>
        <v/>
      </c>
      <c r="R1055" s="34">
        <f>IF(C1055="","",IF(L1055="☑ Oui","Annulée",IF(OR(E1055="Vente directe",K1055&lt;&gt;""),"Livrée",IF(J1055&lt;&gt;"","Confirmée","En attente"))))</f>
        <v/>
      </c>
      <c r="S1055" s="34">
        <f>IF(F1055="","",IFERROR(VLOOKUP(F1055,T_Produits,2,FALSE),""))</f>
        <v/>
      </c>
      <c r="T1055" s="40">
        <f>IF(F1055="","",IFERROR(1/(1/VLOOKUP(F1055,T_Produits,3,FALSE)),""))</f>
        <v/>
      </c>
      <c r="U1055" s="40">
        <f>IF(H1055&lt;&gt;"",H1055,T1055)</f>
        <v/>
      </c>
      <c r="V1055" s="40">
        <f>IF(OR(G1055="",U1055=""),"",G1055*U1055-N(I1055))</f>
        <v/>
      </c>
      <c r="W1055" s="39">
        <f>IF(D1055="","",IFERROR(VALUE(MID(D1055,LEN(D1055)-3,3)),""))</f>
        <v/>
      </c>
      <c r="X1055" s="33">
        <f>IF(W1055="","",P1055&amp;"|"&amp;W1055)</f>
        <v/>
      </c>
      <c r="Y1055" s="33">
        <f>IF(W1055="","",IF(P1055="À RENSEIGNER","GIC",P1055)&amp;"-"&amp;TEXT(W1055,"000"))</f>
        <v/>
      </c>
      <c r="Z1055" s="33">
        <f>IF(X1055="","",IFERROR(INDEX(Cl_nom,MATCH(X1055,Cl_cle,0)),"(client introuvable)"))</f>
        <v/>
      </c>
      <c r="AA1055" s="33">
        <f>IF(X1055="","",IFERROR(INDEX(Cl_quartier,MATCH(X1055,Cl_cle,0))&amp;"",""))</f>
        <v/>
      </c>
      <c r="AB1055" s="45">
        <f>IF(R1055&lt;&gt;"Livrée",0,IF(K1055&lt;&gt;"",K1055,C1055))</f>
        <v/>
      </c>
      <c r="AC1055" s="33">
        <f>IF(OR(C1055="",W1055=""),"",P1055&amp;"|"&amp;W1055&amp;"|"&amp;C1055&amp;"|"&amp;E1055)</f>
        <v/>
      </c>
      <c r="AD1055" s="39">
        <f>IF(AC1055="","",IF(COUNTIF(AC$6:AC1055,AC1055)=1,1,0))</f>
        <v/>
      </c>
      <c r="AE1055" s="39">
        <f>IF(AB1055=0,"",IF(COUNTIFS(X$6:X1055,X1055,AB$6:AB1055,AB1055)=1,1,0))</f>
        <v/>
      </c>
      <c r="AF1055" s="34">
        <f>IF(C1055="","",YEAR(C1055-WEEKDAY(C1055,2)+4)&amp;"-S"&amp;TEXT(INT((C1055-DATE(YEAR(C1055-WEEKDAY(C1055,2)+4),1,3)+WEEKDAY(DATE(YEAR(C1055-WEEKDAY(C1055,2)+4),1,3),2)+5)/7),"00"))</f>
        <v/>
      </c>
    </row>
    <row r="1056" ht="18" customHeight="1">
      <c r="A1056" s="39" t="n">
        <v>1051</v>
      </c>
      <c r="B1056" s="33">
        <f>IF(C1056="","",IF(P1056="À RENSEIGNER","GIC",P1056)&amp;"-C"&amp;TEXT(A1056,"00000"))</f>
        <v/>
      </c>
      <c r="C1056" s="32" t="n"/>
      <c r="D1056" s="36" t="n"/>
      <c r="E1056" s="36" t="n"/>
      <c r="F1056" s="36" t="n"/>
      <c r="G1056" s="42" t="n"/>
      <c r="H1056" s="37" t="n"/>
      <c r="I1056" s="37" t="n"/>
      <c r="J1056" s="32" t="n"/>
      <c r="K1056" s="32" t="n"/>
      <c r="L1056" s="43" t="n"/>
      <c r="M1056" s="36" t="n"/>
      <c r="N1056" s="44" t="n"/>
      <c r="O1056" s="36" t="n"/>
      <c r="P1056" s="33">
        <f>IF(C1056="","",Commercial_Id)</f>
        <v/>
      </c>
      <c r="Q1056" s="34">
        <f>IF(AC1056="","",IF(AD1056=1,"C"&amp;TEXT(SUM(AD$6:AD1056),"0000"),INDEX(Q$6:Q1055,MATCH(AC1056,AC$6:AC1055,0))))</f>
        <v/>
      </c>
      <c r="R1056" s="34">
        <f>IF(C1056="","",IF(L1056="☑ Oui","Annulée",IF(OR(E1056="Vente directe",K1056&lt;&gt;""),"Livrée",IF(J1056&lt;&gt;"","Confirmée","En attente"))))</f>
        <v/>
      </c>
      <c r="S1056" s="34">
        <f>IF(F1056="","",IFERROR(VLOOKUP(F1056,T_Produits,2,FALSE),""))</f>
        <v/>
      </c>
      <c r="T1056" s="40">
        <f>IF(F1056="","",IFERROR(1/(1/VLOOKUP(F1056,T_Produits,3,FALSE)),""))</f>
        <v/>
      </c>
      <c r="U1056" s="40">
        <f>IF(H1056&lt;&gt;"",H1056,T1056)</f>
        <v/>
      </c>
      <c r="V1056" s="40">
        <f>IF(OR(G1056="",U1056=""),"",G1056*U1056-N(I1056))</f>
        <v/>
      </c>
      <c r="W1056" s="39">
        <f>IF(D1056="","",IFERROR(VALUE(MID(D1056,LEN(D1056)-3,3)),""))</f>
        <v/>
      </c>
      <c r="X1056" s="33">
        <f>IF(W1056="","",P1056&amp;"|"&amp;W1056)</f>
        <v/>
      </c>
      <c r="Y1056" s="33">
        <f>IF(W1056="","",IF(P1056="À RENSEIGNER","GIC",P1056)&amp;"-"&amp;TEXT(W1056,"000"))</f>
        <v/>
      </c>
      <c r="Z1056" s="33">
        <f>IF(X1056="","",IFERROR(INDEX(Cl_nom,MATCH(X1056,Cl_cle,0)),"(client introuvable)"))</f>
        <v/>
      </c>
      <c r="AA1056" s="33">
        <f>IF(X1056="","",IFERROR(INDEX(Cl_quartier,MATCH(X1056,Cl_cle,0))&amp;"",""))</f>
        <v/>
      </c>
      <c r="AB1056" s="45">
        <f>IF(R1056&lt;&gt;"Livrée",0,IF(K1056&lt;&gt;"",K1056,C1056))</f>
        <v/>
      </c>
      <c r="AC1056" s="33">
        <f>IF(OR(C1056="",W1056=""),"",P1056&amp;"|"&amp;W1056&amp;"|"&amp;C1056&amp;"|"&amp;E1056)</f>
        <v/>
      </c>
      <c r="AD1056" s="39">
        <f>IF(AC1056="","",IF(COUNTIF(AC$6:AC1056,AC1056)=1,1,0))</f>
        <v/>
      </c>
      <c r="AE1056" s="39">
        <f>IF(AB1056=0,"",IF(COUNTIFS(X$6:X1056,X1056,AB$6:AB1056,AB1056)=1,1,0))</f>
        <v/>
      </c>
      <c r="AF1056" s="34">
        <f>IF(C1056="","",YEAR(C1056-WEEKDAY(C1056,2)+4)&amp;"-S"&amp;TEXT(INT((C1056-DATE(YEAR(C1056-WEEKDAY(C1056,2)+4),1,3)+WEEKDAY(DATE(YEAR(C1056-WEEKDAY(C1056,2)+4),1,3),2)+5)/7),"00"))</f>
        <v/>
      </c>
    </row>
    <row r="1057" ht="18" customHeight="1">
      <c r="A1057" s="39" t="n">
        <v>1052</v>
      </c>
      <c r="B1057" s="33">
        <f>IF(C1057="","",IF(P1057="À RENSEIGNER","GIC",P1057)&amp;"-C"&amp;TEXT(A1057,"00000"))</f>
        <v/>
      </c>
      <c r="C1057" s="32" t="n"/>
      <c r="D1057" s="36" t="n"/>
      <c r="E1057" s="36" t="n"/>
      <c r="F1057" s="36" t="n"/>
      <c r="G1057" s="42" t="n"/>
      <c r="H1057" s="37" t="n"/>
      <c r="I1057" s="37" t="n"/>
      <c r="J1057" s="32" t="n"/>
      <c r="K1057" s="32" t="n"/>
      <c r="L1057" s="43" t="n"/>
      <c r="M1057" s="36" t="n"/>
      <c r="N1057" s="44" t="n"/>
      <c r="O1057" s="36" t="n"/>
      <c r="P1057" s="33">
        <f>IF(C1057="","",Commercial_Id)</f>
        <v/>
      </c>
      <c r="Q1057" s="34">
        <f>IF(AC1057="","",IF(AD1057=1,"C"&amp;TEXT(SUM(AD$6:AD1057),"0000"),INDEX(Q$6:Q1056,MATCH(AC1057,AC$6:AC1056,0))))</f>
        <v/>
      </c>
      <c r="R1057" s="34">
        <f>IF(C1057="","",IF(L1057="☑ Oui","Annulée",IF(OR(E1057="Vente directe",K1057&lt;&gt;""),"Livrée",IF(J1057&lt;&gt;"","Confirmée","En attente"))))</f>
        <v/>
      </c>
      <c r="S1057" s="34">
        <f>IF(F1057="","",IFERROR(VLOOKUP(F1057,T_Produits,2,FALSE),""))</f>
        <v/>
      </c>
      <c r="T1057" s="40">
        <f>IF(F1057="","",IFERROR(1/(1/VLOOKUP(F1057,T_Produits,3,FALSE)),""))</f>
        <v/>
      </c>
      <c r="U1057" s="40">
        <f>IF(H1057&lt;&gt;"",H1057,T1057)</f>
        <v/>
      </c>
      <c r="V1057" s="40">
        <f>IF(OR(G1057="",U1057=""),"",G1057*U1057-N(I1057))</f>
        <v/>
      </c>
      <c r="W1057" s="39">
        <f>IF(D1057="","",IFERROR(VALUE(MID(D1057,LEN(D1057)-3,3)),""))</f>
        <v/>
      </c>
      <c r="X1057" s="33">
        <f>IF(W1057="","",P1057&amp;"|"&amp;W1057)</f>
        <v/>
      </c>
      <c r="Y1057" s="33">
        <f>IF(W1057="","",IF(P1057="À RENSEIGNER","GIC",P1057)&amp;"-"&amp;TEXT(W1057,"000"))</f>
        <v/>
      </c>
      <c r="Z1057" s="33">
        <f>IF(X1057="","",IFERROR(INDEX(Cl_nom,MATCH(X1057,Cl_cle,0)),"(client introuvable)"))</f>
        <v/>
      </c>
      <c r="AA1057" s="33">
        <f>IF(X1057="","",IFERROR(INDEX(Cl_quartier,MATCH(X1057,Cl_cle,0))&amp;"",""))</f>
        <v/>
      </c>
      <c r="AB1057" s="45">
        <f>IF(R1057&lt;&gt;"Livrée",0,IF(K1057&lt;&gt;"",K1057,C1057))</f>
        <v/>
      </c>
      <c r="AC1057" s="33">
        <f>IF(OR(C1057="",W1057=""),"",P1057&amp;"|"&amp;W1057&amp;"|"&amp;C1057&amp;"|"&amp;E1057)</f>
        <v/>
      </c>
      <c r="AD1057" s="39">
        <f>IF(AC1057="","",IF(COUNTIF(AC$6:AC1057,AC1057)=1,1,0))</f>
        <v/>
      </c>
      <c r="AE1057" s="39">
        <f>IF(AB1057=0,"",IF(COUNTIFS(X$6:X1057,X1057,AB$6:AB1057,AB1057)=1,1,0))</f>
        <v/>
      </c>
      <c r="AF1057" s="34">
        <f>IF(C1057="","",YEAR(C1057-WEEKDAY(C1057,2)+4)&amp;"-S"&amp;TEXT(INT((C1057-DATE(YEAR(C1057-WEEKDAY(C1057,2)+4),1,3)+WEEKDAY(DATE(YEAR(C1057-WEEKDAY(C1057,2)+4),1,3),2)+5)/7),"00"))</f>
        <v/>
      </c>
    </row>
    <row r="1058" ht="18" customHeight="1">
      <c r="A1058" s="39" t="n">
        <v>1053</v>
      </c>
      <c r="B1058" s="33">
        <f>IF(C1058="","",IF(P1058="À RENSEIGNER","GIC",P1058)&amp;"-C"&amp;TEXT(A1058,"00000"))</f>
        <v/>
      </c>
      <c r="C1058" s="32" t="n"/>
      <c r="D1058" s="36" t="n"/>
      <c r="E1058" s="36" t="n"/>
      <c r="F1058" s="36" t="n"/>
      <c r="G1058" s="42" t="n"/>
      <c r="H1058" s="37" t="n"/>
      <c r="I1058" s="37" t="n"/>
      <c r="J1058" s="32" t="n"/>
      <c r="K1058" s="32" t="n"/>
      <c r="L1058" s="43" t="n"/>
      <c r="M1058" s="36" t="n"/>
      <c r="N1058" s="44" t="n"/>
      <c r="O1058" s="36" t="n"/>
      <c r="P1058" s="33">
        <f>IF(C1058="","",Commercial_Id)</f>
        <v/>
      </c>
      <c r="Q1058" s="34">
        <f>IF(AC1058="","",IF(AD1058=1,"C"&amp;TEXT(SUM(AD$6:AD1058),"0000"),INDEX(Q$6:Q1057,MATCH(AC1058,AC$6:AC1057,0))))</f>
        <v/>
      </c>
      <c r="R1058" s="34">
        <f>IF(C1058="","",IF(L1058="☑ Oui","Annulée",IF(OR(E1058="Vente directe",K1058&lt;&gt;""),"Livrée",IF(J1058&lt;&gt;"","Confirmée","En attente"))))</f>
        <v/>
      </c>
      <c r="S1058" s="34">
        <f>IF(F1058="","",IFERROR(VLOOKUP(F1058,T_Produits,2,FALSE),""))</f>
        <v/>
      </c>
      <c r="T1058" s="40">
        <f>IF(F1058="","",IFERROR(1/(1/VLOOKUP(F1058,T_Produits,3,FALSE)),""))</f>
        <v/>
      </c>
      <c r="U1058" s="40">
        <f>IF(H1058&lt;&gt;"",H1058,T1058)</f>
        <v/>
      </c>
      <c r="V1058" s="40">
        <f>IF(OR(G1058="",U1058=""),"",G1058*U1058-N(I1058))</f>
        <v/>
      </c>
      <c r="W1058" s="39">
        <f>IF(D1058="","",IFERROR(VALUE(MID(D1058,LEN(D1058)-3,3)),""))</f>
        <v/>
      </c>
      <c r="X1058" s="33">
        <f>IF(W1058="","",P1058&amp;"|"&amp;W1058)</f>
        <v/>
      </c>
      <c r="Y1058" s="33">
        <f>IF(W1058="","",IF(P1058="À RENSEIGNER","GIC",P1058)&amp;"-"&amp;TEXT(W1058,"000"))</f>
        <v/>
      </c>
      <c r="Z1058" s="33">
        <f>IF(X1058="","",IFERROR(INDEX(Cl_nom,MATCH(X1058,Cl_cle,0)),"(client introuvable)"))</f>
        <v/>
      </c>
      <c r="AA1058" s="33">
        <f>IF(X1058="","",IFERROR(INDEX(Cl_quartier,MATCH(X1058,Cl_cle,0))&amp;"",""))</f>
        <v/>
      </c>
      <c r="AB1058" s="45">
        <f>IF(R1058&lt;&gt;"Livrée",0,IF(K1058&lt;&gt;"",K1058,C1058))</f>
        <v/>
      </c>
      <c r="AC1058" s="33">
        <f>IF(OR(C1058="",W1058=""),"",P1058&amp;"|"&amp;W1058&amp;"|"&amp;C1058&amp;"|"&amp;E1058)</f>
        <v/>
      </c>
      <c r="AD1058" s="39">
        <f>IF(AC1058="","",IF(COUNTIF(AC$6:AC1058,AC1058)=1,1,0))</f>
        <v/>
      </c>
      <c r="AE1058" s="39">
        <f>IF(AB1058=0,"",IF(COUNTIFS(X$6:X1058,X1058,AB$6:AB1058,AB1058)=1,1,0))</f>
        <v/>
      </c>
      <c r="AF1058" s="34">
        <f>IF(C1058="","",YEAR(C1058-WEEKDAY(C1058,2)+4)&amp;"-S"&amp;TEXT(INT((C1058-DATE(YEAR(C1058-WEEKDAY(C1058,2)+4),1,3)+WEEKDAY(DATE(YEAR(C1058-WEEKDAY(C1058,2)+4),1,3),2)+5)/7),"00"))</f>
        <v/>
      </c>
    </row>
    <row r="1059" ht="18" customHeight="1">
      <c r="A1059" s="39" t="n">
        <v>1054</v>
      </c>
      <c r="B1059" s="33">
        <f>IF(C1059="","",IF(P1059="À RENSEIGNER","GIC",P1059)&amp;"-C"&amp;TEXT(A1059,"00000"))</f>
        <v/>
      </c>
      <c r="C1059" s="32" t="n"/>
      <c r="D1059" s="36" t="n"/>
      <c r="E1059" s="36" t="n"/>
      <c r="F1059" s="36" t="n"/>
      <c r="G1059" s="42" t="n"/>
      <c r="H1059" s="37" t="n"/>
      <c r="I1059" s="37" t="n"/>
      <c r="J1059" s="32" t="n"/>
      <c r="K1059" s="32" t="n"/>
      <c r="L1059" s="43" t="n"/>
      <c r="M1059" s="36" t="n"/>
      <c r="N1059" s="44" t="n"/>
      <c r="O1059" s="36" t="n"/>
      <c r="P1059" s="33">
        <f>IF(C1059="","",Commercial_Id)</f>
        <v/>
      </c>
      <c r="Q1059" s="34">
        <f>IF(AC1059="","",IF(AD1059=1,"C"&amp;TEXT(SUM(AD$6:AD1059),"0000"),INDEX(Q$6:Q1058,MATCH(AC1059,AC$6:AC1058,0))))</f>
        <v/>
      </c>
      <c r="R1059" s="34">
        <f>IF(C1059="","",IF(L1059="☑ Oui","Annulée",IF(OR(E1059="Vente directe",K1059&lt;&gt;""),"Livrée",IF(J1059&lt;&gt;"","Confirmée","En attente"))))</f>
        <v/>
      </c>
      <c r="S1059" s="34">
        <f>IF(F1059="","",IFERROR(VLOOKUP(F1059,T_Produits,2,FALSE),""))</f>
        <v/>
      </c>
      <c r="T1059" s="40">
        <f>IF(F1059="","",IFERROR(1/(1/VLOOKUP(F1059,T_Produits,3,FALSE)),""))</f>
        <v/>
      </c>
      <c r="U1059" s="40">
        <f>IF(H1059&lt;&gt;"",H1059,T1059)</f>
        <v/>
      </c>
      <c r="V1059" s="40">
        <f>IF(OR(G1059="",U1059=""),"",G1059*U1059-N(I1059))</f>
        <v/>
      </c>
      <c r="W1059" s="39">
        <f>IF(D1059="","",IFERROR(VALUE(MID(D1059,LEN(D1059)-3,3)),""))</f>
        <v/>
      </c>
      <c r="X1059" s="33">
        <f>IF(W1059="","",P1059&amp;"|"&amp;W1059)</f>
        <v/>
      </c>
      <c r="Y1059" s="33">
        <f>IF(W1059="","",IF(P1059="À RENSEIGNER","GIC",P1059)&amp;"-"&amp;TEXT(W1059,"000"))</f>
        <v/>
      </c>
      <c r="Z1059" s="33">
        <f>IF(X1059="","",IFERROR(INDEX(Cl_nom,MATCH(X1059,Cl_cle,0)),"(client introuvable)"))</f>
        <v/>
      </c>
      <c r="AA1059" s="33">
        <f>IF(X1059="","",IFERROR(INDEX(Cl_quartier,MATCH(X1059,Cl_cle,0))&amp;"",""))</f>
        <v/>
      </c>
      <c r="AB1059" s="45">
        <f>IF(R1059&lt;&gt;"Livrée",0,IF(K1059&lt;&gt;"",K1059,C1059))</f>
        <v/>
      </c>
      <c r="AC1059" s="33">
        <f>IF(OR(C1059="",W1059=""),"",P1059&amp;"|"&amp;W1059&amp;"|"&amp;C1059&amp;"|"&amp;E1059)</f>
        <v/>
      </c>
      <c r="AD1059" s="39">
        <f>IF(AC1059="","",IF(COUNTIF(AC$6:AC1059,AC1059)=1,1,0))</f>
        <v/>
      </c>
      <c r="AE1059" s="39">
        <f>IF(AB1059=0,"",IF(COUNTIFS(X$6:X1059,X1059,AB$6:AB1059,AB1059)=1,1,0))</f>
        <v/>
      </c>
      <c r="AF1059" s="34">
        <f>IF(C1059="","",YEAR(C1059-WEEKDAY(C1059,2)+4)&amp;"-S"&amp;TEXT(INT((C1059-DATE(YEAR(C1059-WEEKDAY(C1059,2)+4),1,3)+WEEKDAY(DATE(YEAR(C1059-WEEKDAY(C1059,2)+4),1,3),2)+5)/7),"00"))</f>
        <v/>
      </c>
    </row>
    <row r="1060" ht="18" customHeight="1">
      <c r="A1060" s="39" t="n">
        <v>1055</v>
      </c>
      <c r="B1060" s="33">
        <f>IF(C1060="","",IF(P1060="À RENSEIGNER","GIC",P1060)&amp;"-C"&amp;TEXT(A1060,"00000"))</f>
        <v/>
      </c>
      <c r="C1060" s="32" t="n"/>
      <c r="D1060" s="36" t="n"/>
      <c r="E1060" s="36" t="n"/>
      <c r="F1060" s="36" t="n"/>
      <c r="G1060" s="42" t="n"/>
      <c r="H1060" s="37" t="n"/>
      <c r="I1060" s="37" t="n"/>
      <c r="J1060" s="32" t="n"/>
      <c r="K1060" s="32" t="n"/>
      <c r="L1060" s="43" t="n"/>
      <c r="M1060" s="36" t="n"/>
      <c r="N1060" s="44" t="n"/>
      <c r="O1060" s="36" t="n"/>
      <c r="P1060" s="33">
        <f>IF(C1060="","",Commercial_Id)</f>
        <v/>
      </c>
      <c r="Q1060" s="34">
        <f>IF(AC1060="","",IF(AD1060=1,"C"&amp;TEXT(SUM(AD$6:AD1060),"0000"),INDEX(Q$6:Q1059,MATCH(AC1060,AC$6:AC1059,0))))</f>
        <v/>
      </c>
      <c r="R1060" s="34">
        <f>IF(C1060="","",IF(L1060="☑ Oui","Annulée",IF(OR(E1060="Vente directe",K1060&lt;&gt;""),"Livrée",IF(J1060&lt;&gt;"","Confirmée","En attente"))))</f>
        <v/>
      </c>
      <c r="S1060" s="34">
        <f>IF(F1060="","",IFERROR(VLOOKUP(F1060,T_Produits,2,FALSE),""))</f>
        <v/>
      </c>
      <c r="T1060" s="40">
        <f>IF(F1060="","",IFERROR(1/(1/VLOOKUP(F1060,T_Produits,3,FALSE)),""))</f>
        <v/>
      </c>
      <c r="U1060" s="40">
        <f>IF(H1060&lt;&gt;"",H1060,T1060)</f>
        <v/>
      </c>
      <c r="V1060" s="40">
        <f>IF(OR(G1060="",U1060=""),"",G1060*U1060-N(I1060))</f>
        <v/>
      </c>
      <c r="W1060" s="39">
        <f>IF(D1060="","",IFERROR(VALUE(MID(D1060,LEN(D1060)-3,3)),""))</f>
        <v/>
      </c>
      <c r="X1060" s="33">
        <f>IF(W1060="","",P1060&amp;"|"&amp;W1060)</f>
        <v/>
      </c>
      <c r="Y1060" s="33">
        <f>IF(W1060="","",IF(P1060="À RENSEIGNER","GIC",P1060)&amp;"-"&amp;TEXT(W1060,"000"))</f>
        <v/>
      </c>
      <c r="Z1060" s="33">
        <f>IF(X1060="","",IFERROR(INDEX(Cl_nom,MATCH(X1060,Cl_cle,0)),"(client introuvable)"))</f>
        <v/>
      </c>
      <c r="AA1060" s="33">
        <f>IF(X1060="","",IFERROR(INDEX(Cl_quartier,MATCH(X1060,Cl_cle,0))&amp;"",""))</f>
        <v/>
      </c>
      <c r="AB1060" s="45">
        <f>IF(R1060&lt;&gt;"Livrée",0,IF(K1060&lt;&gt;"",K1060,C1060))</f>
        <v/>
      </c>
      <c r="AC1060" s="33">
        <f>IF(OR(C1060="",W1060=""),"",P1060&amp;"|"&amp;W1060&amp;"|"&amp;C1060&amp;"|"&amp;E1060)</f>
        <v/>
      </c>
      <c r="AD1060" s="39">
        <f>IF(AC1060="","",IF(COUNTIF(AC$6:AC1060,AC1060)=1,1,0))</f>
        <v/>
      </c>
      <c r="AE1060" s="39">
        <f>IF(AB1060=0,"",IF(COUNTIFS(X$6:X1060,X1060,AB$6:AB1060,AB1060)=1,1,0))</f>
        <v/>
      </c>
      <c r="AF1060" s="34">
        <f>IF(C1060="","",YEAR(C1060-WEEKDAY(C1060,2)+4)&amp;"-S"&amp;TEXT(INT((C1060-DATE(YEAR(C1060-WEEKDAY(C1060,2)+4),1,3)+WEEKDAY(DATE(YEAR(C1060-WEEKDAY(C1060,2)+4),1,3),2)+5)/7),"00"))</f>
        <v/>
      </c>
    </row>
    <row r="1061" ht="18" customHeight="1">
      <c r="A1061" s="39" t="n">
        <v>1056</v>
      </c>
      <c r="B1061" s="33">
        <f>IF(C1061="","",IF(P1061="À RENSEIGNER","GIC",P1061)&amp;"-C"&amp;TEXT(A1061,"00000"))</f>
        <v/>
      </c>
      <c r="C1061" s="32" t="n"/>
      <c r="D1061" s="36" t="n"/>
      <c r="E1061" s="36" t="n"/>
      <c r="F1061" s="36" t="n"/>
      <c r="G1061" s="42" t="n"/>
      <c r="H1061" s="37" t="n"/>
      <c r="I1061" s="37" t="n"/>
      <c r="J1061" s="32" t="n"/>
      <c r="K1061" s="32" t="n"/>
      <c r="L1061" s="43" t="n"/>
      <c r="M1061" s="36" t="n"/>
      <c r="N1061" s="44" t="n"/>
      <c r="O1061" s="36" t="n"/>
      <c r="P1061" s="33">
        <f>IF(C1061="","",Commercial_Id)</f>
        <v/>
      </c>
      <c r="Q1061" s="34">
        <f>IF(AC1061="","",IF(AD1061=1,"C"&amp;TEXT(SUM(AD$6:AD1061),"0000"),INDEX(Q$6:Q1060,MATCH(AC1061,AC$6:AC1060,0))))</f>
        <v/>
      </c>
      <c r="R1061" s="34">
        <f>IF(C1061="","",IF(L1061="☑ Oui","Annulée",IF(OR(E1061="Vente directe",K1061&lt;&gt;""),"Livrée",IF(J1061&lt;&gt;"","Confirmée","En attente"))))</f>
        <v/>
      </c>
      <c r="S1061" s="34">
        <f>IF(F1061="","",IFERROR(VLOOKUP(F1061,T_Produits,2,FALSE),""))</f>
        <v/>
      </c>
      <c r="T1061" s="40">
        <f>IF(F1061="","",IFERROR(1/(1/VLOOKUP(F1061,T_Produits,3,FALSE)),""))</f>
        <v/>
      </c>
      <c r="U1061" s="40">
        <f>IF(H1061&lt;&gt;"",H1061,T1061)</f>
        <v/>
      </c>
      <c r="V1061" s="40">
        <f>IF(OR(G1061="",U1061=""),"",G1061*U1061-N(I1061))</f>
        <v/>
      </c>
      <c r="W1061" s="39">
        <f>IF(D1061="","",IFERROR(VALUE(MID(D1061,LEN(D1061)-3,3)),""))</f>
        <v/>
      </c>
      <c r="X1061" s="33">
        <f>IF(W1061="","",P1061&amp;"|"&amp;W1061)</f>
        <v/>
      </c>
      <c r="Y1061" s="33">
        <f>IF(W1061="","",IF(P1061="À RENSEIGNER","GIC",P1061)&amp;"-"&amp;TEXT(W1061,"000"))</f>
        <v/>
      </c>
      <c r="Z1061" s="33">
        <f>IF(X1061="","",IFERROR(INDEX(Cl_nom,MATCH(X1061,Cl_cle,0)),"(client introuvable)"))</f>
        <v/>
      </c>
      <c r="AA1061" s="33">
        <f>IF(X1061="","",IFERROR(INDEX(Cl_quartier,MATCH(X1061,Cl_cle,0))&amp;"",""))</f>
        <v/>
      </c>
      <c r="AB1061" s="45">
        <f>IF(R1061&lt;&gt;"Livrée",0,IF(K1061&lt;&gt;"",K1061,C1061))</f>
        <v/>
      </c>
      <c r="AC1061" s="33">
        <f>IF(OR(C1061="",W1061=""),"",P1061&amp;"|"&amp;W1061&amp;"|"&amp;C1061&amp;"|"&amp;E1061)</f>
        <v/>
      </c>
      <c r="AD1061" s="39">
        <f>IF(AC1061="","",IF(COUNTIF(AC$6:AC1061,AC1061)=1,1,0))</f>
        <v/>
      </c>
      <c r="AE1061" s="39">
        <f>IF(AB1061=0,"",IF(COUNTIFS(X$6:X1061,X1061,AB$6:AB1061,AB1061)=1,1,0))</f>
        <v/>
      </c>
      <c r="AF1061" s="34">
        <f>IF(C1061="","",YEAR(C1061-WEEKDAY(C1061,2)+4)&amp;"-S"&amp;TEXT(INT((C1061-DATE(YEAR(C1061-WEEKDAY(C1061,2)+4),1,3)+WEEKDAY(DATE(YEAR(C1061-WEEKDAY(C1061,2)+4),1,3),2)+5)/7),"00"))</f>
        <v/>
      </c>
    </row>
    <row r="1062" ht="18" customHeight="1">
      <c r="A1062" s="39" t="n">
        <v>1057</v>
      </c>
      <c r="B1062" s="33">
        <f>IF(C1062="","",IF(P1062="À RENSEIGNER","GIC",P1062)&amp;"-C"&amp;TEXT(A1062,"00000"))</f>
        <v/>
      </c>
      <c r="C1062" s="32" t="n"/>
      <c r="D1062" s="36" t="n"/>
      <c r="E1062" s="36" t="n"/>
      <c r="F1062" s="36" t="n"/>
      <c r="G1062" s="42" t="n"/>
      <c r="H1062" s="37" t="n"/>
      <c r="I1062" s="37" t="n"/>
      <c r="J1062" s="32" t="n"/>
      <c r="K1062" s="32" t="n"/>
      <c r="L1062" s="43" t="n"/>
      <c r="M1062" s="36" t="n"/>
      <c r="N1062" s="44" t="n"/>
      <c r="O1062" s="36" t="n"/>
      <c r="P1062" s="33">
        <f>IF(C1062="","",Commercial_Id)</f>
        <v/>
      </c>
      <c r="Q1062" s="34">
        <f>IF(AC1062="","",IF(AD1062=1,"C"&amp;TEXT(SUM(AD$6:AD1062),"0000"),INDEX(Q$6:Q1061,MATCH(AC1062,AC$6:AC1061,0))))</f>
        <v/>
      </c>
      <c r="R1062" s="34">
        <f>IF(C1062="","",IF(L1062="☑ Oui","Annulée",IF(OR(E1062="Vente directe",K1062&lt;&gt;""),"Livrée",IF(J1062&lt;&gt;"","Confirmée","En attente"))))</f>
        <v/>
      </c>
      <c r="S1062" s="34">
        <f>IF(F1062="","",IFERROR(VLOOKUP(F1062,T_Produits,2,FALSE),""))</f>
        <v/>
      </c>
      <c r="T1062" s="40">
        <f>IF(F1062="","",IFERROR(1/(1/VLOOKUP(F1062,T_Produits,3,FALSE)),""))</f>
        <v/>
      </c>
      <c r="U1062" s="40">
        <f>IF(H1062&lt;&gt;"",H1062,T1062)</f>
        <v/>
      </c>
      <c r="V1062" s="40">
        <f>IF(OR(G1062="",U1062=""),"",G1062*U1062-N(I1062))</f>
        <v/>
      </c>
      <c r="W1062" s="39">
        <f>IF(D1062="","",IFERROR(VALUE(MID(D1062,LEN(D1062)-3,3)),""))</f>
        <v/>
      </c>
      <c r="X1062" s="33">
        <f>IF(W1062="","",P1062&amp;"|"&amp;W1062)</f>
        <v/>
      </c>
      <c r="Y1062" s="33">
        <f>IF(W1062="","",IF(P1062="À RENSEIGNER","GIC",P1062)&amp;"-"&amp;TEXT(W1062,"000"))</f>
        <v/>
      </c>
      <c r="Z1062" s="33">
        <f>IF(X1062="","",IFERROR(INDEX(Cl_nom,MATCH(X1062,Cl_cle,0)),"(client introuvable)"))</f>
        <v/>
      </c>
      <c r="AA1062" s="33">
        <f>IF(X1062="","",IFERROR(INDEX(Cl_quartier,MATCH(X1062,Cl_cle,0))&amp;"",""))</f>
        <v/>
      </c>
      <c r="AB1062" s="45">
        <f>IF(R1062&lt;&gt;"Livrée",0,IF(K1062&lt;&gt;"",K1062,C1062))</f>
        <v/>
      </c>
      <c r="AC1062" s="33">
        <f>IF(OR(C1062="",W1062=""),"",P1062&amp;"|"&amp;W1062&amp;"|"&amp;C1062&amp;"|"&amp;E1062)</f>
        <v/>
      </c>
      <c r="AD1062" s="39">
        <f>IF(AC1062="","",IF(COUNTIF(AC$6:AC1062,AC1062)=1,1,0))</f>
        <v/>
      </c>
      <c r="AE1062" s="39">
        <f>IF(AB1062=0,"",IF(COUNTIFS(X$6:X1062,X1062,AB$6:AB1062,AB1062)=1,1,0))</f>
        <v/>
      </c>
      <c r="AF1062" s="34">
        <f>IF(C1062="","",YEAR(C1062-WEEKDAY(C1062,2)+4)&amp;"-S"&amp;TEXT(INT((C1062-DATE(YEAR(C1062-WEEKDAY(C1062,2)+4),1,3)+WEEKDAY(DATE(YEAR(C1062-WEEKDAY(C1062,2)+4),1,3),2)+5)/7),"00"))</f>
        <v/>
      </c>
    </row>
    <row r="1063" ht="18" customHeight="1">
      <c r="A1063" s="39" t="n">
        <v>1058</v>
      </c>
      <c r="B1063" s="33">
        <f>IF(C1063="","",IF(P1063="À RENSEIGNER","GIC",P1063)&amp;"-C"&amp;TEXT(A1063,"00000"))</f>
        <v/>
      </c>
      <c r="C1063" s="32" t="n"/>
      <c r="D1063" s="36" t="n"/>
      <c r="E1063" s="36" t="n"/>
      <c r="F1063" s="36" t="n"/>
      <c r="G1063" s="42" t="n"/>
      <c r="H1063" s="37" t="n"/>
      <c r="I1063" s="37" t="n"/>
      <c r="J1063" s="32" t="n"/>
      <c r="K1063" s="32" t="n"/>
      <c r="L1063" s="43" t="n"/>
      <c r="M1063" s="36" t="n"/>
      <c r="N1063" s="44" t="n"/>
      <c r="O1063" s="36" t="n"/>
      <c r="P1063" s="33">
        <f>IF(C1063="","",Commercial_Id)</f>
        <v/>
      </c>
      <c r="Q1063" s="34">
        <f>IF(AC1063="","",IF(AD1063=1,"C"&amp;TEXT(SUM(AD$6:AD1063),"0000"),INDEX(Q$6:Q1062,MATCH(AC1063,AC$6:AC1062,0))))</f>
        <v/>
      </c>
      <c r="R1063" s="34">
        <f>IF(C1063="","",IF(L1063="☑ Oui","Annulée",IF(OR(E1063="Vente directe",K1063&lt;&gt;""),"Livrée",IF(J1063&lt;&gt;"","Confirmée","En attente"))))</f>
        <v/>
      </c>
      <c r="S1063" s="34">
        <f>IF(F1063="","",IFERROR(VLOOKUP(F1063,T_Produits,2,FALSE),""))</f>
        <v/>
      </c>
      <c r="T1063" s="40">
        <f>IF(F1063="","",IFERROR(1/(1/VLOOKUP(F1063,T_Produits,3,FALSE)),""))</f>
        <v/>
      </c>
      <c r="U1063" s="40">
        <f>IF(H1063&lt;&gt;"",H1063,T1063)</f>
        <v/>
      </c>
      <c r="V1063" s="40">
        <f>IF(OR(G1063="",U1063=""),"",G1063*U1063-N(I1063))</f>
        <v/>
      </c>
      <c r="W1063" s="39">
        <f>IF(D1063="","",IFERROR(VALUE(MID(D1063,LEN(D1063)-3,3)),""))</f>
        <v/>
      </c>
      <c r="X1063" s="33">
        <f>IF(W1063="","",P1063&amp;"|"&amp;W1063)</f>
        <v/>
      </c>
      <c r="Y1063" s="33">
        <f>IF(W1063="","",IF(P1063="À RENSEIGNER","GIC",P1063)&amp;"-"&amp;TEXT(W1063,"000"))</f>
        <v/>
      </c>
      <c r="Z1063" s="33">
        <f>IF(X1063="","",IFERROR(INDEX(Cl_nom,MATCH(X1063,Cl_cle,0)),"(client introuvable)"))</f>
        <v/>
      </c>
      <c r="AA1063" s="33">
        <f>IF(X1063="","",IFERROR(INDEX(Cl_quartier,MATCH(X1063,Cl_cle,0))&amp;"",""))</f>
        <v/>
      </c>
      <c r="AB1063" s="45">
        <f>IF(R1063&lt;&gt;"Livrée",0,IF(K1063&lt;&gt;"",K1063,C1063))</f>
        <v/>
      </c>
      <c r="AC1063" s="33">
        <f>IF(OR(C1063="",W1063=""),"",P1063&amp;"|"&amp;W1063&amp;"|"&amp;C1063&amp;"|"&amp;E1063)</f>
        <v/>
      </c>
      <c r="AD1063" s="39">
        <f>IF(AC1063="","",IF(COUNTIF(AC$6:AC1063,AC1063)=1,1,0))</f>
        <v/>
      </c>
      <c r="AE1063" s="39">
        <f>IF(AB1063=0,"",IF(COUNTIFS(X$6:X1063,X1063,AB$6:AB1063,AB1063)=1,1,0))</f>
        <v/>
      </c>
      <c r="AF1063" s="34">
        <f>IF(C1063="","",YEAR(C1063-WEEKDAY(C1063,2)+4)&amp;"-S"&amp;TEXT(INT((C1063-DATE(YEAR(C1063-WEEKDAY(C1063,2)+4),1,3)+WEEKDAY(DATE(YEAR(C1063-WEEKDAY(C1063,2)+4),1,3),2)+5)/7),"00"))</f>
        <v/>
      </c>
    </row>
    <row r="1064" ht="18" customHeight="1">
      <c r="A1064" s="39" t="n">
        <v>1059</v>
      </c>
      <c r="B1064" s="33">
        <f>IF(C1064="","",IF(P1064="À RENSEIGNER","GIC",P1064)&amp;"-C"&amp;TEXT(A1064,"00000"))</f>
        <v/>
      </c>
      <c r="C1064" s="32" t="n"/>
      <c r="D1064" s="36" t="n"/>
      <c r="E1064" s="36" t="n"/>
      <c r="F1064" s="36" t="n"/>
      <c r="G1064" s="42" t="n"/>
      <c r="H1064" s="37" t="n"/>
      <c r="I1064" s="37" t="n"/>
      <c r="J1064" s="32" t="n"/>
      <c r="K1064" s="32" t="n"/>
      <c r="L1064" s="43" t="n"/>
      <c r="M1064" s="36" t="n"/>
      <c r="N1064" s="44" t="n"/>
      <c r="O1064" s="36" t="n"/>
      <c r="P1064" s="33">
        <f>IF(C1064="","",Commercial_Id)</f>
        <v/>
      </c>
      <c r="Q1064" s="34">
        <f>IF(AC1064="","",IF(AD1064=1,"C"&amp;TEXT(SUM(AD$6:AD1064),"0000"),INDEX(Q$6:Q1063,MATCH(AC1064,AC$6:AC1063,0))))</f>
        <v/>
      </c>
      <c r="R1064" s="34">
        <f>IF(C1064="","",IF(L1064="☑ Oui","Annulée",IF(OR(E1064="Vente directe",K1064&lt;&gt;""),"Livrée",IF(J1064&lt;&gt;"","Confirmée","En attente"))))</f>
        <v/>
      </c>
      <c r="S1064" s="34">
        <f>IF(F1064="","",IFERROR(VLOOKUP(F1064,T_Produits,2,FALSE),""))</f>
        <v/>
      </c>
      <c r="T1064" s="40">
        <f>IF(F1064="","",IFERROR(1/(1/VLOOKUP(F1064,T_Produits,3,FALSE)),""))</f>
        <v/>
      </c>
      <c r="U1064" s="40">
        <f>IF(H1064&lt;&gt;"",H1064,T1064)</f>
        <v/>
      </c>
      <c r="V1064" s="40">
        <f>IF(OR(G1064="",U1064=""),"",G1064*U1064-N(I1064))</f>
        <v/>
      </c>
      <c r="W1064" s="39">
        <f>IF(D1064="","",IFERROR(VALUE(MID(D1064,LEN(D1064)-3,3)),""))</f>
        <v/>
      </c>
      <c r="X1064" s="33">
        <f>IF(W1064="","",P1064&amp;"|"&amp;W1064)</f>
        <v/>
      </c>
      <c r="Y1064" s="33">
        <f>IF(W1064="","",IF(P1064="À RENSEIGNER","GIC",P1064)&amp;"-"&amp;TEXT(W1064,"000"))</f>
        <v/>
      </c>
      <c r="Z1064" s="33">
        <f>IF(X1064="","",IFERROR(INDEX(Cl_nom,MATCH(X1064,Cl_cle,0)),"(client introuvable)"))</f>
        <v/>
      </c>
      <c r="AA1064" s="33">
        <f>IF(X1064="","",IFERROR(INDEX(Cl_quartier,MATCH(X1064,Cl_cle,0))&amp;"",""))</f>
        <v/>
      </c>
      <c r="AB1064" s="45">
        <f>IF(R1064&lt;&gt;"Livrée",0,IF(K1064&lt;&gt;"",K1064,C1064))</f>
        <v/>
      </c>
      <c r="AC1064" s="33">
        <f>IF(OR(C1064="",W1064=""),"",P1064&amp;"|"&amp;W1064&amp;"|"&amp;C1064&amp;"|"&amp;E1064)</f>
        <v/>
      </c>
      <c r="AD1064" s="39">
        <f>IF(AC1064="","",IF(COUNTIF(AC$6:AC1064,AC1064)=1,1,0))</f>
        <v/>
      </c>
      <c r="AE1064" s="39">
        <f>IF(AB1064=0,"",IF(COUNTIFS(X$6:X1064,X1064,AB$6:AB1064,AB1064)=1,1,0))</f>
        <v/>
      </c>
      <c r="AF1064" s="34">
        <f>IF(C1064="","",YEAR(C1064-WEEKDAY(C1064,2)+4)&amp;"-S"&amp;TEXT(INT((C1064-DATE(YEAR(C1064-WEEKDAY(C1064,2)+4),1,3)+WEEKDAY(DATE(YEAR(C1064-WEEKDAY(C1064,2)+4),1,3),2)+5)/7),"00"))</f>
        <v/>
      </c>
    </row>
    <row r="1065" ht="18" customHeight="1">
      <c r="A1065" s="39" t="n">
        <v>1060</v>
      </c>
      <c r="B1065" s="33">
        <f>IF(C1065="","",IF(P1065="À RENSEIGNER","GIC",P1065)&amp;"-C"&amp;TEXT(A1065,"00000"))</f>
        <v/>
      </c>
      <c r="C1065" s="32" t="n"/>
      <c r="D1065" s="36" t="n"/>
      <c r="E1065" s="36" t="n"/>
      <c r="F1065" s="36" t="n"/>
      <c r="G1065" s="42" t="n"/>
      <c r="H1065" s="37" t="n"/>
      <c r="I1065" s="37" t="n"/>
      <c r="J1065" s="32" t="n"/>
      <c r="K1065" s="32" t="n"/>
      <c r="L1065" s="43" t="n"/>
      <c r="M1065" s="36" t="n"/>
      <c r="N1065" s="44" t="n"/>
      <c r="O1065" s="36" t="n"/>
      <c r="P1065" s="33">
        <f>IF(C1065="","",Commercial_Id)</f>
        <v/>
      </c>
      <c r="Q1065" s="34">
        <f>IF(AC1065="","",IF(AD1065=1,"C"&amp;TEXT(SUM(AD$6:AD1065),"0000"),INDEX(Q$6:Q1064,MATCH(AC1065,AC$6:AC1064,0))))</f>
        <v/>
      </c>
      <c r="R1065" s="34">
        <f>IF(C1065="","",IF(L1065="☑ Oui","Annulée",IF(OR(E1065="Vente directe",K1065&lt;&gt;""),"Livrée",IF(J1065&lt;&gt;"","Confirmée","En attente"))))</f>
        <v/>
      </c>
      <c r="S1065" s="34">
        <f>IF(F1065="","",IFERROR(VLOOKUP(F1065,T_Produits,2,FALSE),""))</f>
        <v/>
      </c>
      <c r="T1065" s="40">
        <f>IF(F1065="","",IFERROR(1/(1/VLOOKUP(F1065,T_Produits,3,FALSE)),""))</f>
        <v/>
      </c>
      <c r="U1065" s="40">
        <f>IF(H1065&lt;&gt;"",H1065,T1065)</f>
        <v/>
      </c>
      <c r="V1065" s="40">
        <f>IF(OR(G1065="",U1065=""),"",G1065*U1065-N(I1065))</f>
        <v/>
      </c>
      <c r="W1065" s="39">
        <f>IF(D1065="","",IFERROR(VALUE(MID(D1065,LEN(D1065)-3,3)),""))</f>
        <v/>
      </c>
      <c r="X1065" s="33">
        <f>IF(W1065="","",P1065&amp;"|"&amp;W1065)</f>
        <v/>
      </c>
      <c r="Y1065" s="33">
        <f>IF(W1065="","",IF(P1065="À RENSEIGNER","GIC",P1065)&amp;"-"&amp;TEXT(W1065,"000"))</f>
        <v/>
      </c>
      <c r="Z1065" s="33">
        <f>IF(X1065="","",IFERROR(INDEX(Cl_nom,MATCH(X1065,Cl_cle,0)),"(client introuvable)"))</f>
        <v/>
      </c>
      <c r="AA1065" s="33">
        <f>IF(X1065="","",IFERROR(INDEX(Cl_quartier,MATCH(X1065,Cl_cle,0))&amp;"",""))</f>
        <v/>
      </c>
      <c r="AB1065" s="45">
        <f>IF(R1065&lt;&gt;"Livrée",0,IF(K1065&lt;&gt;"",K1065,C1065))</f>
        <v/>
      </c>
      <c r="AC1065" s="33">
        <f>IF(OR(C1065="",W1065=""),"",P1065&amp;"|"&amp;W1065&amp;"|"&amp;C1065&amp;"|"&amp;E1065)</f>
        <v/>
      </c>
      <c r="AD1065" s="39">
        <f>IF(AC1065="","",IF(COUNTIF(AC$6:AC1065,AC1065)=1,1,0))</f>
        <v/>
      </c>
      <c r="AE1065" s="39">
        <f>IF(AB1065=0,"",IF(COUNTIFS(X$6:X1065,X1065,AB$6:AB1065,AB1065)=1,1,0))</f>
        <v/>
      </c>
      <c r="AF1065" s="34">
        <f>IF(C1065="","",YEAR(C1065-WEEKDAY(C1065,2)+4)&amp;"-S"&amp;TEXT(INT((C1065-DATE(YEAR(C1065-WEEKDAY(C1065,2)+4),1,3)+WEEKDAY(DATE(YEAR(C1065-WEEKDAY(C1065,2)+4),1,3),2)+5)/7),"00"))</f>
        <v/>
      </c>
    </row>
    <row r="1066" ht="18" customHeight="1">
      <c r="A1066" s="39" t="n">
        <v>1061</v>
      </c>
      <c r="B1066" s="33">
        <f>IF(C1066="","",IF(P1066="À RENSEIGNER","GIC",P1066)&amp;"-C"&amp;TEXT(A1066,"00000"))</f>
        <v/>
      </c>
      <c r="C1066" s="32" t="n"/>
      <c r="D1066" s="36" t="n"/>
      <c r="E1066" s="36" t="n"/>
      <c r="F1066" s="36" t="n"/>
      <c r="G1066" s="42" t="n"/>
      <c r="H1066" s="37" t="n"/>
      <c r="I1066" s="37" t="n"/>
      <c r="J1066" s="32" t="n"/>
      <c r="K1066" s="32" t="n"/>
      <c r="L1066" s="43" t="n"/>
      <c r="M1066" s="36" t="n"/>
      <c r="N1066" s="44" t="n"/>
      <c r="O1066" s="36" t="n"/>
      <c r="P1066" s="33">
        <f>IF(C1066="","",Commercial_Id)</f>
        <v/>
      </c>
      <c r="Q1066" s="34">
        <f>IF(AC1066="","",IF(AD1066=1,"C"&amp;TEXT(SUM(AD$6:AD1066),"0000"),INDEX(Q$6:Q1065,MATCH(AC1066,AC$6:AC1065,0))))</f>
        <v/>
      </c>
      <c r="R1066" s="34">
        <f>IF(C1066="","",IF(L1066="☑ Oui","Annulée",IF(OR(E1066="Vente directe",K1066&lt;&gt;""),"Livrée",IF(J1066&lt;&gt;"","Confirmée","En attente"))))</f>
        <v/>
      </c>
      <c r="S1066" s="34">
        <f>IF(F1066="","",IFERROR(VLOOKUP(F1066,T_Produits,2,FALSE),""))</f>
        <v/>
      </c>
      <c r="T1066" s="40">
        <f>IF(F1066="","",IFERROR(1/(1/VLOOKUP(F1066,T_Produits,3,FALSE)),""))</f>
        <v/>
      </c>
      <c r="U1066" s="40">
        <f>IF(H1066&lt;&gt;"",H1066,T1066)</f>
        <v/>
      </c>
      <c r="V1066" s="40">
        <f>IF(OR(G1066="",U1066=""),"",G1066*U1066-N(I1066))</f>
        <v/>
      </c>
      <c r="W1066" s="39">
        <f>IF(D1066="","",IFERROR(VALUE(MID(D1066,LEN(D1066)-3,3)),""))</f>
        <v/>
      </c>
      <c r="X1066" s="33">
        <f>IF(W1066="","",P1066&amp;"|"&amp;W1066)</f>
        <v/>
      </c>
      <c r="Y1066" s="33">
        <f>IF(W1066="","",IF(P1066="À RENSEIGNER","GIC",P1066)&amp;"-"&amp;TEXT(W1066,"000"))</f>
        <v/>
      </c>
      <c r="Z1066" s="33">
        <f>IF(X1066="","",IFERROR(INDEX(Cl_nom,MATCH(X1066,Cl_cle,0)),"(client introuvable)"))</f>
        <v/>
      </c>
      <c r="AA1066" s="33">
        <f>IF(X1066="","",IFERROR(INDEX(Cl_quartier,MATCH(X1066,Cl_cle,0))&amp;"",""))</f>
        <v/>
      </c>
      <c r="AB1066" s="45">
        <f>IF(R1066&lt;&gt;"Livrée",0,IF(K1066&lt;&gt;"",K1066,C1066))</f>
        <v/>
      </c>
      <c r="AC1066" s="33">
        <f>IF(OR(C1066="",W1066=""),"",P1066&amp;"|"&amp;W1066&amp;"|"&amp;C1066&amp;"|"&amp;E1066)</f>
        <v/>
      </c>
      <c r="AD1066" s="39">
        <f>IF(AC1066="","",IF(COUNTIF(AC$6:AC1066,AC1066)=1,1,0))</f>
        <v/>
      </c>
      <c r="AE1066" s="39">
        <f>IF(AB1066=0,"",IF(COUNTIFS(X$6:X1066,X1066,AB$6:AB1066,AB1066)=1,1,0))</f>
        <v/>
      </c>
      <c r="AF1066" s="34">
        <f>IF(C1066="","",YEAR(C1066-WEEKDAY(C1066,2)+4)&amp;"-S"&amp;TEXT(INT((C1066-DATE(YEAR(C1066-WEEKDAY(C1066,2)+4),1,3)+WEEKDAY(DATE(YEAR(C1066-WEEKDAY(C1066,2)+4),1,3),2)+5)/7),"00"))</f>
        <v/>
      </c>
    </row>
    <row r="1067" ht="18" customHeight="1">
      <c r="A1067" s="39" t="n">
        <v>1062</v>
      </c>
      <c r="B1067" s="33">
        <f>IF(C1067="","",IF(P1067="À RENSEIGNER","GIC",P1067)&amp;"-C"&amp;TEXT(A1067,"00000"))</f>
        <v/>
      </c>
      <c r="C1067" s="32" t="n"/>
      <c r="D1067" s="36" t="n"/>
      <c r="E1067" s="36" t="n"/>
      <c r="F1067" s="36" t="n"/>
      <c r="G1067" s="42" t="n"/>
      <c r="H1067" s="37" t="n"/>
      <c r="I1067" s="37" t="n"/>
      <c r="J1067" s="32" t="n"/>
      <c r="K1067" s="32" t="n"/>
      <c r="L1067" s="43" t="n"/>
      <c r="M1067" s="36" t="n"/>
      <c r="N1067" s="44" t="n"/>
      <c r="O1067" s="36" t="n"/>
      <c r="P1067" s="33">
        <f>IF(C1067="","",Commercial_Id)</f>
        <v/>
      </c>
      <c r="Q1067" s="34">
        <f>IF(AC1067="","",IF(AD1067=1,"C"&amp;TEXT(SUM(AD$6:AD1067),"0000"),INDEX(Q$6:Q1066,MATCH(AC1067,AC$6:AC1066,0))))</f>
        <v/>
      </c>
      <c r="R1067" s="34">
        <f>IF(C1067="","",IF(L1067="☑ Oui","Annulée",IF(OR(E1067="Vente directe",K1067&lt;&gt;""),"Livrée",IF(J1067&lt;&gt;"","Confirmée","En attente"))))</f>
        <v/>
      </c>
      <c r="S1067" s="34">
        <f>IF(F1067="","",IFERROR(VLOOKUP(F1067,T_Produits,2,FALSE),""))</f>
        <v/>
      </c>
      <c r="T1067" s="40">
        <f>IF(F1067="","",IFERROR(1/(1/VLOOKUP(F1067,T_Produits,3,FALSE)),""))</f>
        <v/>
      </c>
      <c r="U1067" s="40">
        <f>IF(H1067&lt;&gt;"",H1067,T1067)</f>
        <v/>
      </c>
      <c r="V1067" s="40">
        <f>IF(OR(G1067="",U1067=""),"",G1067*U1067-N(I1067))</f>
        <v/>
      </c>
      <c r="W1067" s="39">
        <f>IF(D1067="","",IFERROR(VALUE(MID(D1067,LEN(D1067)-3,3)),""))</f>
        <v/>
      </c>
      <c r="X1067" s="33">
        <f>IF(W1067="","",P1067&amp;"|"&amp;W1067)</f>
        <v/>
      </c>
      <c r="Y1067" s="33">
        <f>IF(W1067="","",IF(P1067="À RENSEIGNER","GIC",P1067)&amp;"-"&amp;TEXT(W1067,"000"))</f>
        <v/>
      </c>
      <c r="Z1067" s="33">
        <f>IF(X1067="","",IFERROR(INDEX(Cl_nom,MATCH(X1067,Cl_cle,0)),"(client introuvable)"))</f>
        <v/>
      </c>
      <c r="AA1067" s="33">
        <f>IF(X1067="","",IFERROR(INDEX(Cl_quartier,MATCH(X1067,Cl_cle,0))&amp;"",""))</f>
        <v/>
      </c>
      <c r="AB1067" s="45">
        <f>IF(R1067&lt;&gt;"Livrée",0,IF(K1067&lt;&gt;"",K1067,C1067))</f>
        <v/>
      </c>
      <c r="AC1067" s="33">
        <f>IF(OR(C1067="",W1067=""),"",P1067&amp;"|"&amp;W1067&amp;"|"&amp;C1067&amp;"|"&amp;E1067)</f>
        <v/>
      </c>
      <c r="AD1067" s="39">
        <f>IF(AC1067="","",IF(COUNTIF(AC$6:AC1067,AC1067)=1,1,0))</f>
        <v/>
      </c>
      <c r="AE1067" s="39">
        <f>IF(AB1067=0,"",IF(COUNTIFS(X$6:X1067,X1067,AB$6:AB1067,AB1067)=1,1,0))</f>
        <v/>
      </c>
      <c r="AF1067" s="34">
        <f>IF(C1067="","",YEAR(C1067-WEEKDAY(C1067,2)+4)&amp;"-S"&amp;TEXT(INT((C1067-DATE(YEAR(C1067-WEEKDAY(C1067,2)+4),1,3)+WEEKDAY(DATE(YEAR(C1067-WEEKDAY(C1067,2)+4),1,3),2)+5)/7),"00"))</f>
        <v/>
      </c>
    </row>
    <row r="1068" ht="18" customHeight="1">
      <c r="A1068" s="39" t="n">
        <v>1063</v>
      </c>
      <c r="B1068" s="33">
        <f>IF(C1068="","",IF(P1068="À RENSEIGNER","GIC",P1068)&amp;"-C"&amp;TEXT(A1068,"00000"))</f>
        <v/>
      </c>
      <c r="C1068" s="32" t="n"/>
      <c r="D1068" s="36" t="n"/>
      <c r="E1068" s="36" t="n"/>
      <c r="F1068" s="36" t="n"/>
      <c r="G1068" s="42" t="n"/>
      <c r="H1068" s="37" t="n"/>
      <c r="I1068" s="37" t="n"/>
      <c r="J1068" s="32" t="n"/>
      <c r="K1068" s="32" t="n"/>
      <c r="L1068" s="43" t="n"/>
      <c r="M1068" s="36" t="n"/>
      <c r="N1068" s="44" t="n"/>
      <c r="O1068" s="36" t="n"/>
      <c r="P1068" s="33">
        <f>IF(C1068="","",Commercial_Id)</f>
        <v/>
      </c>
      <c r="Q1068" s="34">
        <f>IF(AC1068="","",IF(AD1068=1,"C"&amp;TEXT(SUM(AD$6:AD1068),"0000"),INDEX(Q$6:Q1067,MATCH(AC1068,AC$6:AC1067,0))))</f>
        <v/>
      </c>
      <c r="R1068" s="34">
        <f>IF(C1068="","",IF(L1068="☑ Oui","Annulée",IF(OR(E1068="Vente directe",K1068&lt;&gt;""),"Livrée",IF(J1068&lt;&gt;"","Confirmée","En attente"))))</f>
        <v/>
      </c>
      <c r="S1068" s="34">
        <f>IF(F1068="","",IFERROR(VLOOKUP(F1068,T_Produits,2,FALSE),""))</f>
        <v/>
      </c>
      <c r="T1068" s="40">
        <f>IF(F1068="","",IFERROR(1/(1/VLOOKUP(F1068,T_Produits,3,FALSE)),""))</f>
        <v/>
      </c>
      <c r="U1068" s="40">
        <f>IF(H1068&lt;&gt;"",H1068,T1068)</f>
        <v/>
      </c>
      <c r="V1068" s="40">
        <f>IF(OR(G1068="",U1068=""),"",G1068*U1068-N(I1068))</f>
        <v/>
      </c>
      <c r="W1068" s="39">
        <f>IF(D1068="","",IFERROR(VALUE(MID(D1068,LEN(D1068)-3,3)),""))</f>
        <v/>
      </c>
      <c r="X1068" s="33">
        <f>IF(W1068="","",P1068&amp;"|"&amp;W1068)</f>
        <v/>
      </c>
      <c r="Y1068" s="33">
        <f>IF(W1068="","",IF(P1068="À RENSEIGNER","GIC",P1068)&amp;"-"&amp;TEXT(W1068,"000"))</f>
        <v/>
      </c>
      <c r="Z1068" s="33">
        <f>IF(X1068="","",IFERROR(INDEX(Cl_nom,MATCH(X1068,Cl_cle,0)),"(client introuvable)"))</f>
        <v/>
      </c>
      <c r="AA1068" s="33">
        <f>IF(X1068="","",IFERROR(INDEX(Cl_quartier,MATCH(X1068,Cl_cle,0))&amp;"",""))</f>
        <v/>
      </c>
      <c r="AB1068" s="45">
        <f>IF(R1068&lt;&gt;"Livrée",0,IF(K1068&lt;&gt;"",K1068,C1068))</f>
        <v/>
      </c>
      <c r="AC1068" s="33">
        <f>IF(OR(C1068="",W1068=""),"",P1068&amp;"|"&amp;W1068&amp;"|"&amp;C1068&amp;"|"&amp;E1068)</f>
        <v/>
      </c>
      <c r="AD1068" s="39">
        <f>IF(AC1068="","",IF(COUNTIF(AC$6:AC1068,AC1068)=1,1,0))</f>
        <v/>
      </c>
      <c r="AE1068" s="39">
        <f>IF(AB1068=0,"",IF(COUNTIFS(X$6:X1068,X1068,AB$6:AB1068,AB1068)=1,1,0))</f>
        <v/>
      </c>
      <c r="AF1068" s="34">
        <f>IF(C1068="","",YEAR(C1068-WEEKDAY(C1068,2)+4)&amp;"-S"&amp;TEXT(INT((C1068-DATE(YEAR(C1068-WEEKDAY(C1068,2)+4),1,3)+WEEKDAY(DATE(YEAR(C1068-WEEKDAY(C1068,2)+4),1,3),2)+5)/7),"00"))</f>
        <v/>
      </c>
    </row>
    <row r="1069" ht="18" customHeight="1">
      <c r="A1069" s="39" t="n">
        <v>1064</v>
      </c>
      <c r="B1069" s="33">
        <f>IF(C1069="","",IF(P1069="À RENSEIGNER","GIC",P1069)&amp;"-C"&amp;TEXT(A1069,"00000"))</f>
        <v/>
      </c>
      <c r="C1069" s="32" t="n"/>
      <c r="D1069" s="36" t="n"/>
      <c r="E1069" s="36" t="n"/>
      <c r="F1069" s="36" t="n"/>
      <c r="G1069" s="42" t="n"/>
      <c r="H1069" s="37" t="n"/>
      <c r="I1069" s="37" t="n"/>
      <c r="J1069" s="32" t="n"/>
      <c r="K1069" s="32" t="n"/>
      <c r="L1069" s="43" t="n"/>
      <c r="M1069" s="36" t="n"/>
      <c r="N1069" s="44" t="n"/>
      <c r="O1069" s="36" t="n"/>
      <c r="P1069" s="33">
        <f>IF(C1069="","",Commercial_Id)</f>
        <v/>
      </c>
      <c r="Q1069" s="34">
        <f>IF(AC1069="","",IF(AD1069=1,"C"&amp;TEXT(SUM(AD$6:AD1069),"0000"),INDEX(Q$6:Q1068,MATCH(AC1069,AC$6:AC1068,0))))</f>
        <v/>
      </c>
      <c r="R1069" s="34">
        <f>IF(C1069="","",IF(L1069="☑ Oui","Annulée",IF(OR(E1069="Vente directe",K1069&lt;&gt;""),"Livrée",IF(J1069&lt;&gt;"","Confirmée","En attente"))))</f>
        <v/>
      </c>
      <c r="S1069" s="34">
        <f>IF(F1069="","",IFERROR(VLOOKUP(F1069,T_Produits,2,FALSE),""))</f>
        <v/>
      </c>
      <c r="T1069" s="40">
        <f>IF(F1069="","",IFERROR(1/(1/VLOOKUP(F1069,T_Produits,3,FALSE)),""))</f>
        <v/>
      </c>
      <c r="U1069" s="40">
        <f>IF(H1069&lt;&gt;"",H1069,T1069)</f>
        <v/>
      </c>
      <c r="V1069" s="40">
        <f>IF(OR(G1069="",U1069=""),"",G1069*U1069-N(I1069))</f>
        <v/>
      </c>
      <c r="W1069" s="39">
        <f>IF(D1069="","",IFERROR(VALUE(MID(D1069,LEN(D1069)-3,3)),""))</f>
        <v/>
      </c>
      <c r="X1069" s="33">
        <f>IF(W1069="","",P1069&amp;"|"&amp;W1069)</f>
        <v/>
      </c>
      <c r="Y1069" s="33">
        <f>IF(W1069="","",IF(P1069="À RENSEIGNER","GIC",P1069)&amp;"-"&amp;TEXT(W1069,"000"))</f>
        <v/>
      </c>
      <c r="Z1069" s="33">
        <f>IF(X1069="","",IFERROR(INDEX(Cl_nom,MATCH(X1069,Cl_cle,0)),"(client introuvable)"))</f>
        <v/>
      </c>
      <c r="AA1069" s="33">
        <f>IF(X1069="","",IFERROR(INDEX(Cl_quartier,MATCH(X1069,Cl_cle,0))&amp;"",""))</f>
        <v/>
      </c>
      <c r="AB1069" s="45">
        <f>IF(R1069&lt;&gt;"Livrée",0,IF(K1069&lt;&gt;"",K1069,C1069))</f>
        <v/>
      </c>
      <c r="AC1069" s="33">
        <f>IF(OR(C1069="",W1069=""),"",P1069&amp;"|"&amp;W1069&amp;"|"&amp;C1069&amp;"|"&amp;E1069)</f>
        <v/>
      </c>
      <c r="AD1069" s="39">
        <f>IF(AC1069="","",IF(COUNTIF(AC$6:AC1069,AC1069)=1,1,0))</f>
        <v/>
      </c>
      <c r="AE1069" s="39">
        <f>IF(AB1069=0,"",IF(COUNTIFS(X$6:X1069,X1069,AB$6:AB1069,AB1069)=1,1,0))</f>
        <v/>
      </c>
      <c r="AF1069" s="34">
        <f>IF(C1069="","",YEAR(C1069-WEEKDAY(C1069,2)+4)&amp;"-S"&amp;TEXT(INT((C1069-DATE(YEAR(C1069-WEEKDAY(C1069,2)+4),1,3)+WEEKDAY(DATE(YEAR(C1069-WEEKDAY(C1069,2)+4),1,3),2)+5)/7),"00"))</f>
        <v/>
      </c>
    </row>
    <row r="1070" ht="18" customHeight="1">
      <c r="A1070" s="39" t="n">
        <v>1065</v>
      </c>
      <c r="B1070" s="33">
        <f>IF(C1070="","",IF(P1070="À RENSEIGNER","GIC",P1070)&amp;"-C"&amp;TEXT(A1070,"00000"))</f>
        <v/>
      </c>
      <c r="C1070" s="32" t="n"/>
      <c r="D1070" s="36" t="n"/>
      <c r="E1070" s="36" t="n"/>
      <c r="F1070" s="36" t="n"/>
      <c r="G1070" s="42" t="n"/>
      <c r="H1070" s="37" t="n"/>
      <c r="I1070" s="37" t="n"/>
      <c r="J1070" s="32" t="n"/>
      <c r="K1070" s="32" t="n"/>
      <c r="L1070" s="43" t="n"/>
      <c r="M1070" s="36" t="n"/>
      <c r="N1070" s="44" t="n"/>
      <c r="O1070" s="36" t="n"/>
      <c r="P1070" s="33">
        <f>IF(C1070="","",Commercial_Id)</f>
        <v/>
      </c>
      <c r="Q1070" s="34">
        <f>IF(AC1070="","",IF(AD1070=1,"C"&amp;TEXT(SUM(AD$6:AD1070),"0000"),INDEX(Q$6:Q1069,MATCH(AC1070,AC$6:AC1069,0))))</f>
        <v/>
      </c>
      <c r="R1070" s="34">
        <f>IF(C1070="","",IF(L1070="☑ Oui","Annulée",IF(OR(E1070="Vente directe",K1070&lt;&gt;""),"Livrée",IF(J1070&lt;&gt;"","Confirmée","En attente"))))</f>
        <v/>
      </c>
      <c r="S1070" s="34">
        <f>IF(F1070="","",IFERROR(VLOOKUP(F1070,T_Produits,2,FALSE),""))</f>
        <v/>
      </c>
      <c r="T1070" s="40">
        <f>IF(F1070="","",IFERROR(1/(1/VLOOKUP(F1070,T_Produits,3,FALSE)),""))</f>
        <v/>
      </c>
      <c r="U1070" s="40">
        <f>IF(H1070&lt;&gt;"",H1070,T1070)</f>
        <v/>
      </c>
      <c r="V1070" s="40">
        <f>IF(OR(G1070="",U1070=""),"",G1070*U1070-N(I1070))</f>
        <v/>
      </c>
      <c r="W1070" s="39">
        <f>IF(D1070="","",IFERROR(VALUE(MID(D1070,LEN(D1070)-3,3)),""))</f>
        <v/>
      </c>
      <c r="X1070" s="33">
        <f>IF(W1070="","",P1070&amp;"|"&amp;W1070)</f>
        <v/>
      </c>
      <c r="Y1070" s="33">
        <f>IF(W1070="","",IF(P1070="À RENSEIGNER","GIC",P1070)&amp;"-"&amp;TEXT(W1070,"000"))</f>
        <v/>
      </c>
      <c r="Z1070" s="33">
        <f>IF(X1070="","",IFERROR(INDEX(Cl_nom,MATCH(X1070,Cl_cle,0)),"(client introuvable)"))</f>
        <v/>
      </c>
      <c r="AA1070" s="33">
        <f>IF(X1070="","",IFERROR(INDEX(Cl_quartier,MATCH(X1070,Cl_cle,0))&amp;"",""))</f>
        <v/>
      </c>
      <c r="AB1070" s="45">
        <f>IF(R1070&lt;&gt;"Livrée",0,IF(K1070&lt;&gt;"",K1070,C1070))</f>
        <v/>
      </c>
      <c r="AC1070" s="33">
        <f>IF(OR(C1070="",W1070=""),"",P1070&amp;"|"&amp;W1070&amp;"|"&amp;C1070&amp;"|"&amp;E1070)</f>
        <v/>
      </c>
      <c r="AD1070" s="39">
        <f>IF(AC1070="","",IF(COUNTIF(AC$6:AC1070,AC1070)=1,1,0))</f>
        <v/>
      </c>
      <c r="AE1070" s="39">
        <f>IF(AB1070=0,"",IF(COUNTIFS(X$6:X1070,X1070,AB$6:AB1070,AB1070)=1,1,0))</f>
        <v/>
      </c>
      <c r="AF1070" s="34">
        <f>IF(C1070="","",YEAR(C1070-WEEKDAY(C1070,2)+4)&amp;"-S"&amp;TEXT(INT((C1070-DATE(YEAR(C1070-WEEKDAY(C1070,2)+4),1,3)+WEEKDAY(DATE(YEAR(C1070-WEEKDAY(C1070,2)+4),1,3),2)+5)/7),"00"))</f>
        <v/>
      </c>
    </row>
    <row r="1071" ht="18" customHeight="1">
      <c r="A1071" s="39" t="n">
        <v>1066</v>
      </c>
      <c r="B1071" s="33">
        <f>IF(C1071="","",IF(P1071="À RENSEIGNER","GIC",P1071)&amp;"-C"&amp;TEXT(A1071,"00000"))</f>
        <v/>
      </c>
      <c r="C1071" s="32" t="n"/>
      <c r="D1071" s="36" t="n"/>
      <c r="E1071" s="36" t="n"/>
      <c r="F1071" s="36" t="n"/>
      <c r="G1071" s="42" t="n"/>
      <c r="H1071" s="37" t="n"/>
      <c r="I1071" s="37" t="n"/>
      <c r="J1071" s="32" t="n"/>
      <c r="K1071" s="32" t="n"/>
      <c r="L1071" s="43" t="n"/>
      <c r="M1071" s="36" t="n"/>
      <c r="N1071" s="44" t="n"/>
      <c r="O1071" s="36" t="n"/>
      <c r="P1071" s="33">
        <f>IF(C1071="","",Commercial_Id)</f>
        <v/>
      </c>
      <c r="Q1071" s="34">
        <f>IF(AC1071="","",IF(AD1071=1,"C"&amp;TEXT(SUM(AD$6:AD1071),"0000"),INDEX(Q$6:Q1070,MATCH(AC1071,AC$6:AC1070,0))))</f>
        <v/>
      </c>
      <c r="R1071" s="34">
        <f>IF(C1071="","",IF(L1071="☑ Oui","Annulée",IF(OR(E1071="Vente directe",K1071&lt;&gt;""),"Livrée",IF(J1071&lt;&gt;"","Confirmée","En attente"))))</f>
        <v/>
      </c>
      <c r="S1071" s="34">
        <f>IF(F1071="","",IFERROR(VLOOKUP(F1071,T_Produits,2,FALSE),""))</f>
        <v/>
      </c>
      <c r="T1071" s="40">
        <f>IF(F1071="","",IFERROR(1/(1/VLOOKUP(F1071,T_Produits,3,FALSE)),""))</f>
        <v/>
      </c>
      <c r="U1071" s="40">
        <f>IF(H1071&lt;&gt;"",H1071,T1071)</f>
        <v/>
      </c>
      <c r="V1071" s="40">
        <f>IF(OR(G1071="",U1071=""),"",G1071*U1071-N(I1071))</f>
        <v/>
      </c>
      <c r="W1071" s="39">
        <f>IF(D1071="","",IFERROR(VALUE(MID(D1071,LEN(D1071)-3,3)),""))</f>
        <v/>
      </c>
      <c r="X1071" s="33">
        <f>IF(W1071="","",P1071&amp;"|"&amp;W1071)</f>
        <v/>
      </c>
      <c r="Y1071" s="33">
        <f>IF(W1071="","",IF(P1071="À RENSEIGNER","GIC",P1071)&amp;"-"&amp;TEXT(W1071,"000"))</f>
        <v/>
      </c>
      <c r="Z1071" s="33">
        <f>IF(X1071="","",IFERROR(INDEX(Cl_nom,MATCH(X1071,Cl_cle,0)),"(client introuvable)"))</f>
        <v/>
      </c>
      <c r="AA1071" s="33">
        <f>IF(X1071="","",IFERROR(INDEX(Cl_quartier,MATCH(X1071,Cl_cle,0))&amp;"",""))</f>
        <v/>
      </c>
      <c r="AB1071" s="45">
        <f>IF(R1071&lt;&gt;"Livrée",0,IF(K1071&lt;&gt;"",K1071,C1071))</f>
        <v/>
      </c>
      <c r="AC1071" s="33">
        <f>IF(OR(C1071="",W1071=""),"",P1071&amp;"|"&amp;W1071&amp;"|"&amp;C1071&amp;"|"&amp;E1071)</f>
        <v/>
      </c>
      <c r="AD1071" s="39">
        <f>IF(AC1071="","",IF(COUNTIF(AC$6:AC1071,AC1071)=1,1,0))</f>
        <v/>
      </c>
      <c r="AE1071" s="39">
        <f>IF(AB1071=0,"",IF(COUNTIFS(X$6:X1071,X1071,AB$6:AB1071,AB1071)=1,1,0))</f>
        <v/>
      </c>
      <c r="AF1071" s="34">
        <f>IF(C1071="","",YEAR(C1071-WEEKDAY(C1071,2)+4)&amp;"-S"&amp;TEXT(INT((C1071-DATE(YEAR(C1071-WEEKDAY(C1071,2)+4),1,3)+WEEKDAY(DATE(YEAR(C1071-WEEKDAY(C1071,2)+4),1,3),2)+5)/7),"00"))</f>
        <v/>
      </c>
    </row>
    <row r="1072" ht="18" customHeight="1">
      <c r="A1072" s="39" t="n">
        <v>1067</v>
      </c>
      <c r="B1072" s="33">
        <f>IF(C1072="","",IF(P1072="À RENSEIGNER","GIC",P1072)&amp;"-C"&amp;TEXT(A1072,"00000"))</f>
        <v/>
      </c>
      <c r="C1072" s="32" t="n"/>
      <c r="D1072" s="36" t="n"/>
      <c r="E1072" s="36" t="n"/>
      <c r="F1072" s="36" t="n"/>
      <c r="G1072" s="42" t="n"/>
      <c r="H1072" s="37" t="n"/>
      <c r="I1072" s="37" t="n"/>
      <c r="J1072" s="32" t="n"/>
      <c r="K1072" s="32" t="n"/>
      <c r="L1072" s="43" t="n"/>
      <c r="M1072" s="36" t="n"/>
      <c r="N1072" s="44" t="n"/>
      <c r="O1072" s="36" t="n"/>
      <c r="P1072" s="33">
        <f>IF(C1072="","",Commercial_Id)</f>
        <v/>
      </c>
      <c r="Q1072" s="34">
        <f>IF(AC1072="","",IF(AD1072=1,"C"&amp;TEXT(SUM(AD$6:AD1072),"0000"),INDEX(Q$6:Q1071,MATCH(AC1072,AC$6:AC1071,0))))</f>
        <v/>
      </c>
      <c r="R1072" s="34">
        <f>IF(C1072="","",IF(L1072="☑ Oui","Annulée",IF(OR(E1072="Vente directe",K1072&lt;&gt;""),"Livrée",IF(J1072&lt;&gt;"","Confirmée","En attente"))))</f>
        <v/>
      </c>
      <c r="S1072" s="34">
        <f>IF(F1072="","",IFERROR(VLOOKUP(F1072,T_Produits,2,FALSE),""))</f>
        <v/>
      </c>
      <c r="T1072" s="40">
        <f>IF(F1072="","",IFERROR(1/(1/VLOOKUP(F1072,T_Produits,3,FALSE)),""))</f>
        <v/>
      </c>
      <c r="U1072" s="40">
        <f>IF(H1072&lt;&gt;"",H1072,T1072)</f>
        <v/>
      </c>
      <c r="V1072" s="40">
        <f>IF(OR(G1072="",U1072=""),"",G1072*U1072-N(I1072))</f>
        <v/>
      </c>
      <c r="W1072" s="39">
        <f>IF(D1072="","",IFERROR(VALUE(MID(D1072,LEN(D1072)-3,3)),""))</f>
        <v/>
      </c>
      <c r="X1072" s="33">
        <f>IF(W1072="","",P1072&amp;"|"&amp;W1072)</f>
        <v/>
      </c>
      <c r="Y1072" s="33">
        <f>IF(W1072="","",IF(P1072="À RENSEIGNER","GIC",P1072)&amp;"-"&amp;TEXT(W1072,"000"))</f>
        <v/>
      </c>
      <c r="Z1072" s="33">
        <f>IF(X1072="","",IFERROR(INDEX(Cl_nom,MATCH(X1072,Cl_cle,0)),"(client introuvable)"))</f>
        <v/>
      </c>
      <c r="AA1072" s="33">
        <f>IF(X1072="","",IFERROR(INDEX(Cl_quartier,MATCH(X1072,Cl_cle,0))&amp;"",""))</f>
        <v/>
      </c>
      <c r="AB1072" s="45">
        <f>IF(R1072&lt;&gt;"Livrée",0,IF(K1072&lt;&gt;"",K1072,C1072))</f>
        <v/>
      </c>
      <c r="AC1072" s="33">
        <f>IF(OR(C1072="",W1072=""),"",P1072&amp;"|"&amp;W1072&amp;"|"&amp;C1072&amp;"|"&amp;E1072)</f>
        <v/>
      </c>
      <c r="AD1072" s="39">
        <f>IF(AC1072="","",IF(COUNTIF(AC$6:AC1072,AC1072)=1,1,0))</f>
        <v/>
      </c>
      <c r="AE1072" s="39">
        <f>IF(AB1072=0,"",IF(COUNTIFS(X$6:X1072,X1072,AB$6:AB1072,AB1072)=1,1,0))</f>
        <v/>
      </c>
      <c r="AF1072" s="34">
        <f>IF(C1072="","",YEAR(C1072-WEEKDAY(C1072,2)+4)&amp;"-S"&amp;TEXT(INT((C1072-DATE(YEAR(C1072-WEEKDAY(C1072,2)+4),1,3)+WEEKDAY(DATE(YEAR(C1072-WEEKDAY(C1072,2)+4),1,3),2)+5)/7),"00"))</f>
        <v/>
      </c>
    </row>
    <row r="1073" ht="18" customHeight="1">
      <c r="A1073" s="39" t="n">
        <v>1068</v>
      </c>
      <c r="B1073" s="33">
        <f>IF(C1073="","",IF(P1073="À RENSEIGNER","GIC",P1073)&amp;"-C"&amp;TEXT(A1073,"00000"))</f>
        <v/>
      </c>
      <c r="C1073" s="32" t="n"/>
      <c r="D1073" s="36" t="n"/>
      <c r="E1073" s="36" t="n"/>
      <c r="F1073" s="36" t="n"/>
      <c r="G1073" s="42" t="n"/>
      <c r="H1073" s="37" t="n"/>
      <c r="I1073" s="37" t="n"/>
      <c r="J1073" s="32" t="n"/>
      <c r="K1073" s="32" t="n"/>
      <c r="L1073" s="43" t="n"/>
      <c r="M1073" s="36" t="n"/>
      <c r="N1073" s="44" t="n"/>
      <c r="O1073" s="36" t="n"/>
      <c r="P1073" s="33">
        <f>IF(C1073="","",Commercial_Id)</f>
        <v/>
      </c>
      <c r="Q1073" s="34">
        <f>IF(AC1073="","",IF(AD1073=1,"C"&amp;TEXT(SUM(AD$6:AD1073),"0000"),INDEX(Q$6:Q1072,MATCH(AC1073,AC$6:AC1072,0))))</f>
        <v/>
      </c>
      <c r="R1073" s="34">
        <f>IF(C1073="","",IF(L1073="☑ Oui","Annulée",IF(OR(E1073="Vente directe",K1073&lt;&gt;""),"Livrée",IF(J1073&lt;&gt;"","Confirmée","En attente"))))</f>
        <v/>
      </c>
      <c r="S1073" s="34">
        <f>IF(F1073="","",IFERROR(VLOOKUP(F1073,T_Produits,2,FALSE),""))</f>
        <v/>
      </c>
      <c r="T1073" s="40">
        <f>IF(F1073="","",IFERROR(1/(1/VLOOKUP(F1073,T_Produits,3,FALSE)),""))</f>
        <v/>
      </c>
      <c r="U1073" s="40">
        <f>IF(H1073&lt;&gt;"",H1073,T1073)</f>
        <v/>
      </c>
      <c r="V1073" s="40">
        <f>IF(OR(G1073="",U1073=""),"",G1073*U1073-N(I1073))</f>
        <v/>
      </c>
      <c r="W1073" s="39">
        <f>IF(D1073="","",IFERROR(VALUE(MID(D1073,LEN(D1073)-3,3)),""))</f>
        <v/>
      </c>
      <c r="X1073" s="33">
        <f>IF(W1073="","",P1073&amp;"|"&amp;W1073)</f>
        <v/>
      </c>
      <c r="Y1073" s="33">
        <f>IF(W1073="","",IF(P1073="À RENSEIGNER","GIC",P1073)&amp;"-"&amp;TEXT(W1073,"000"))</f>
        <v/>
      </c>
      <c r="Z1073" s="33">
        <f>IF(X1073="","",IFERROR(INDEX(Cl_nom,MATCH(X1073,Cl_cle,0)),"(client introuvable)"))</f>
        <v/>
      </c>
      <c r="AA1073" s="33">
        <f>IF(X1073="","",IFERROR(INDEX(Cl_quartier,MATCH(X1073,Cl_cle,0))&amp;"",""))</f>
        <v/>
      </c>
      <c r="AB1073" s="45">
        <f>IF(R1073&lt;&gt;"Livrée",0,IF(K1073&lt;&gt;"",K1073,C1073))</f>
        <v/>
      </c>
      <c r="AC1073" s="33">
        <f>IF(OR(C1073="",W1073=""),"",P1073&amp;"|"&amp;W1073&amp;"|"&amp;C1073&amp;"|"&amp;E1073)</f>
        <v/>
      </c>
      <c r="AD1073" s="39">
        <f>IF(AC1073="","",IF(COUNTIF(AC$6:AC1073,AC1073)=1,1,0))</f>
        <v/>
      </c>
      <c r="AE1073" s="39">
        <f>IF(AB1073=0,"",IF(COUNTIFS(X$6:X1073,X1073,AB$6:AB1073,AB1073)=1,1,0))</f>
        <v/>
      </c>
      <c r="AF1073" s="34">
        <f>IF(C1073="","",YEAR(C1073-WEEKDAY(C1073,2)+4)&amp;"-S"&amp;TEXT(INT((C1073-DATE(YEAR(C1073-WEEKDAY(C1073,2)+4),1,3)+WEEKDAY(DATE(YEAR(C1073-WEEKDAY(C1073,2)+4),1,3),2)+5)/7),"00"))</f>
        <v/>
      </c>
    </row>
    <row r="1074" ht="18" customHeight="1">
      <c r="A1074" s="39" t="n">
        <v>1069</v>
      </c>
      <c r="B1074" s="33">
        <f>IF(C1074="","",IF(P1074="À RENSEIGNER","GIC",P1074)&amp;"-C"&amp;TEXT(A1074,"00000"))</f>
        <v/>
      </c>
      <c r="C1074" s="32" t="n"/>
      <c r="D1074" s="36" t="n"/>
      <c r="E1074" s="36" t="n"/>
      <c r="F1074" s="36" t="n"/>
      <c r="G1074" s="42" t="n"/>
      <c r="H1074" s="37" t="n"/>
      <c r="I1074" s="37" t="n"/>
      <c r="J1074" s="32" t="n"/>
      <c r="K1074" s="32" t="n"/>
      <c r="L1074" s="43" t="n"/>
      <c r="M1074" s="36" t="n"/>
      <c r="N1074" s="44" t="n"/>
      <c r="O1074" s="36" t="n"/>
      <c r="P1074" s="33">
        <f>IF(C1074="","",Commercial_Id)</f>
        <v/>
      </c>
      <c r="Q1074" s="34">
        <f>IF(AC1074="","",IF(AD1074=1,"C"&amp;TEXT(SUM(AD$6:AD1074),"0000"),INDEX(Q$6:Q1073,MATCH(AC1074,AC$6:AC1073,0))))</f>
        <v/>
      </c>
      <c r="R1074" s="34">
        <f>IF(C1074="","",IF(L1074="☑ Oui","Annulée",IF(OR(E1074="Vente directe",K1074&lt;&gt;""),"Livrée",IF(J1074&lt;&gt;"","Confirmée","En attente"))))</f>
        <v/>
      </c>
      <c r="S1074" s="34">
        <f>IF(F1074="","",IFERROR(VLOOKUP(F1074,T_Produits,2,FALSE),""))</f>
        <v/>
      </c>
      <c r="T1074" s="40">
        <f>IF(F1074="","",IFERROR(1/(1/VLOOKUP(F1074,T_Produits,3,FALSE)),""))</f>
        <v/>
      </c>
      <c r="U1074" s="40">
        <f>IF(H1074&lt;&gt;"",H1074,T1074)</f>
        <v/>
      </c>
      <c r="V1074" s="40">
        <f>IF(OR(G1074="",U1074=""),"",G1074*U1074-N(I1074))</f>
        <v/>
      </c>
      <c r="W1074" s="39">
        <f>IF(D1074="","",IFERROR(VALUE(MID(D1074,LEN(D1074)-3,3)),""))</f>
        <v/>
      </c>
      <c r="X1074" s="33">
        <f>IF(W1074="","",P1074&amp;"|"&amp;W1074)</f>
        <v/>
      </c>
      <c r="Y1074" s="33">
        <f>IF(W1074="","",IF(P1074="À RENSEIGNER","GIC",P1074)&amp;"-"&amp;TEXT(W1074,"000"))</f>
        <v/>
      </c>
      <c r="Z1074" s="33">
        <f>IF(X1074="","",IFERROR(INDEX(Cl_nom,MATCH(X1074,Cl_cle,0)),"(client introuvable)"))</f>
        <v/>
      </c>
      <c r="AA1074" s="33">
        <f>IF(X1074="","",IFERROR(INDEX(Cl_quartier,MATCH(X1074,Cl_cle,0))&amp;"",""))</f>
        <v/>
      </c>
      <c r="AB1074" s="45">
        <f>IF(R1074&lt;&gt;"Livrée",0,IF(K1074&lt;&gt;"",K1074,C1074))</f>
        <v/>
      </c>
      <c r="AC1074" s="33">
        <f>IF(OR(C1074="",W1074=""),"",P1074&amp;"|"&amp;W1074&amp;"|"&amp;C1074&amp;"|"&amp;E1074)</f>
        <v/>
      </c>
      <c r="AD1074" s="39">
        <f>IF(AC1074="","",IF(COUNTIF(AC$6:AC1074,AC1074)=1,1,0))</f>
        <v/>
      </c>
      <c r="AE1074" s="39">
        <f>IF(AB1074=0,"",IF(COUNTIFS(X$6:X1074,X1074,AB$6:AB1074,AB1074)=1,1,0))</f>
        <v/>
      </c>
      <c r="AF1074" s="34">
        <f>IF(C1074="","",YEAR(C1074-WEEKDAY(C1074,2)+4)&amp;"-S"&amp;TEXT(INT((C1074-DATE(YEAR(C1074-WEEKDAY(C1074,2)+4),1,3)+WEEKDAY(DATE(YEAR(C1074-WEEKDAY(C1074,2)+4),1,3),2)+5)/7),"00"))</f>
        <v/>
      </c>
    </row>
    <row r="1075" ht="18" customHeight="1">
      <c r="A1075" s="39" t="n">
        <v>1070</v>
      </c>
      <c r="B1075" s="33">
        <f>IF(C1075="","",IF(P1075="À RENSEIGNER","GIC",P1075)&amp;"-C"&amp;TEXT(A1075,"00000"))</f>
        <v/>
      </c>
      <c r="C1075" s="32" t="n"/>
      <c r="D1075" s="36" t="n"/>
      <c r="E1075" s="36" t="n"/>
      <c r="F1075" s="36" t="n"/>
      <c r="G1075" s="42" t="n"/>
      <c r="H1075" s="37" t="n"/>
      <c r="I1075" s="37" t="n"/>
      <c r="J1075" s="32" t="n"/>
      <c r="K1075" s="32" t="n"/>
      <c r="L1075" s="43" t="n"/>
      <c r="M1075" s="36" t="n"/>
      <c r="N1075" s="44" t="n"/>
      <c r="O1075" s="36" t="n"/>
      <c r="P1075" s="33">
        <f>IF(C1075="","",Commercial_Id)</f>
        <v/>
      </c>
      <c r="Q1075" s="34">
        <f>IF(AC1075="","",IF(AD1075=1,"C"&amp;TEXT(SUM(AD$6:AD1075),"0000"),INDEX(Q$6:Q1074,MATCH(AC1075,AC$6:AC1074,0))))</f>
        <v/>
      </c>
      <c r="R1075" s="34">
        <f>IF(C1075="","",IF(L1075="☑ Oui","Annulée",IF(OR(E1075="Vente directe",K1075&lt;&gt;""),"Livrée",IF(J1075&lt;&gt;"","Confirmée","En attente"))))</f>
        <v/>
      </c>
      <c r="S1075" s="34">
        <f>IF(F1075="","",IFERROR(VLOOKUP(F1075,T_Produits,2,FALSE),""))</f>
        <v/>
      </c>
      <c r="T1075" s="40">
        <f>IF(F1075="","",IFERROR(1/(1/VLOOKUP(F1075,T_Produits,3,FALSE)),""))</f>
        <v/>
      </c>
      <c r="U1075" s="40">
        <f>IF(H1075&lt;&gt;"",H1075,T1075)</f>
        <v/>
      </c>
      <c r="V1075" s="40">
        <f>IF(OR(G1075="",U1075=""),"",G1075*U1075-N(I1075))</f>
        <v/>
      </c>
      <c r="W1075" s="39">
        <f>IF(D1075="","",IFERROR(VALUE(MID(D1075,LEN(D1075)-3,3)),""))</f>
        <v/>
      </c>
      <c r="X1075" s="33">
        <f>IF(W1075="","",P1075&amp;"|"&amp;W1075)</f>
        <v/>
      </c>
      <c r="Y1075" s="33">
        <f>IF(W1075="","",IF(P1075="À RENSEIGNER","GIC",P1075)&amp;"-"&amp;TEXT(W1075,"000"))</f>
        <v/>
      </c>
      <c r="Z1075" s="33">
        <f>IF(X1075="","",IFERROR(INDEX(Cl_nom,MATCH(X1075,Cl_cle,0)),"(client introuvable)"))</f>
        <v/>
      </c>
      <c r="AA1075" s="33">
        <f>IF(X1075="","",IFERROR(INDEX(Cl_quartier,MATCH(X1075,Cl_cle,0))&amp;"",""))</f>
        <v/>
      </c>
      <c r="AB1075" s="45">
        <f>IF(R1075&lt;&gt;"Livrée",0,IF(K1075&lt;&gt;"",K1075,C1075))</f>
        <v/>
      </c>
      <c r="AC1075" s="33">
        <f>IF(OR(C1075="",W1075=""),"",P1075&amp;"|"&amp;W1075&amp;"|"&amp;C1075&amp;"|"&amp;E1075)</f>
        <v/>
      </c>
      <c r="AD1075" s="39">
        <f>IF(AC1075="","",IF(COUNTIF(AC$6:AC1075,AC1075)=1,1,0))</f>
        <v/>
      </c>
      <c r="AE1075" s="39">
        <f>IF(AB1075=0,"",IF(COUNTIFS(X$6:X1075,X1075,AB$6:AB1075,AB1075)=1,1,0))</f>
        <v/>
      </c>
      <c r="AF1075" s="34">
        <f>IF(C1075="","",YEAR(C1075-WEEKDAY(C1075,2)+4)&amp;"-S"&amp;TEXT(INT((C1075-DATE(YEAR(C1075-WEEKDAY(C1075,2)+4),1,3)+WEEKDAY(DATE(YEAR(C1075-WEEKDAY(C1075,2)+4),1,3),2)+5)/7),"00"))</f>
        <v/>
      </c>
    </row>
    <row r="1076" ht="18" customHeight="1">
      <c r="A1076" s="39" t="n">
        <v>1071</v>
      </c>
      <c r="B1076" s="33">
        <f>IF(C1076="","",IF(P1076="À RENSEIGNER","GIC",P1076)&amp;"-C"&amp;TEXT(A1076,"00000"))</f>
        <v/>
      </c>
      <c r="C1076" s="32" t="n"/>
      <c r="D1076" s="36" t="n"/>
      <c r="E1076" s="36" t="n"/>
      <c r="F1076" s="36" t="n"/>
      <c r="G1076" s="42" t="n"/>
      <c r="H1076" s="37" t="n"/>
      <c r="I1076" s="37" t="n"/>
      <c r="J1076" s="32" t="n"/>
      <c r="K1076" s="32" t="n"/>
      <c r="L1076" s="43" t="n"/>
      <c r="M1076" s="36" t="n"/>
      <c r="N1076" s="44" t="n"/>
      <c r="O1076" s="36" t="n"/>
      <c r="P1076" s="33">
        <f>IF(C1076="","",Commercial_Id)</f>
        <v/>
      </c>
      <c r="Q1076" s="34">
        <f>IF(AC1076="","",IF(AD1076=1,"C"&amp;TEXT(SUM(AD$6:AD1076),"0000"),INDEX(Q$6:Q1075,MATCH(AC1076,AC$6:AC1075,0))))</f>
        <v/>
      </c>
      <c r="R1076" s="34">
        <f>IF(C1076="","",IF(L1076="☑ Oui","Annulée",IF(OR(E1076="Vente directe",K1076&lt;&gt;""),"Livrée",IF(J1076&lt;&gt;"","Confirmée","En attente"))))</f>
        <v/>
      </c>
      <c r="S1076" s="34">
        <f>IF(F1076="","",IFERROR(VLOOKUP(F1076,T_Produits,2,FALSE),""))</f>
        <v/>
      </c>
      <c r="T1076" s="40">
        <f>IF(F1076="","",IFERROR(1/(1/VLOOKUP(F1076,T_Produits,3,FALSE)),""))</f>
        <v/>
      </c>
      <c r="U1076" s="40">
        <f>IF(H1076&lt;&gt;"",H1076,T1076)</f>
        <v/>
      </c>
      <c r="V1076" s="40">
        <f>IF(OR(G1076="",U1076=""),"",G1076*U1076-N(I1076))</f>
        <v/>
      </c>
      <c r="W1076" s="39">
        <f>IF(D1076="","",IFERROR(VALUE(MID(D1076,LEN(D1076)-3,3)),""))</f>
        <v/>
      </c>
      <c r="X1076" s="33">
        <f>IF(W1076="","",P1076&amp;"|"&amp;W1076)</f>
        <v/>
      </c>
      <c r="Y1076" s="33">
        <f>IF(W1076="","",IF(P1076="À RENSEIGNER","GIC",P1076)&amp;"-"&amp;TEXT(W1076,"000"))</f>
        <v/>
      </c>
      <c r="Z1076" s="33">
        <f>IF(X1076="","",IFERROR(INDEX(Cl_nom,MATCH(X1076,Cl_cle,0)),"(client introuvable)"))</f>
        <v/>
      </c>
      <c r="AA1076" s="33">
        <f>IF(X1076="","",IFERROR(INDEX(Cl_quartier,MATCH(X1076,Cl_cle,0))&amp;"",""))</f>
        <v/>
      </c>
      <c r="AB1076" s="45">
        <f>IF(R1076&lt;&gt;"Livrée",0,IF(K1076&lt;&gt;"",K1076,C1076))</f>
        <v/>
      </c>
      <c r="AC1076" s="33">
        <f>IF(OR(C1076="",W1076=""),"",P1076&amp;"|"&amp;W1076&amp;"|"&amp;C1076&amp;"|"&amp;E1076)</f>
        <v/>
      </c>
      <c r="AD1076" s="39">
        <f>IF(AC1076="","",IF(COUNTIF(AC$6:AC1076,AC1076)=1,1,0))</f>
        <v/>
      </c>
      <c r="AE1076" s="39">
        <f>IF(AB1076=0,"",IF(COUNTIFS(X$6:X1076,X1076,AB$6:AB1076,AB1076)=1,1,0))</f>
        <v/>
      </c>
      <c r="AF1076" s="34">
        <f>IF(C1076="","",YEAR(C1076-WEEKDAY(C1076,2)+4)&amp;"-S"&amp;TEXT(INT((C1076-DATE(YEAR(C1076-WEEKDAY(C1076,2)+4),1,3)+WEEKDAY(DATE(YEAR(C1076-WEEKDAY(C1076,2)+4),1,3),2)+5)/7),"00"))</f>
        <v/>
      </c>
    </row>
    <row r="1077" ht="18" customHeight="1">
      <c r="A1077" s="39" t="n">
        <v>1072</v>
      </c>
      <c r="B1077" s="33">
        <f>IF(C1077="","",IF(P1077="À RENSEIGNER","GIC",P1077)&amp;"-C"&amp;TEXT(A1077,"00000"))</f>
        <v/>
      </c>
      <c r="C1077" s="32" t="n"/>
      <c r="D1077" s="36" t="n"/>
      <c r="E1077" s="36" t="n"/>
      <c r="F1077" s="36" t="n"/>
      <c r="G1077" s="42" t="n"/>
      <c r="H1077" s="37" t="n"/>
      <c r="I1077" s="37" t="n"/>
      <c r="J1077" s="32" t="n"/>
      <c r="K1077" s="32" t="n"/>
      <c r="L1077" s="43" t="n"/>
      <c r="M1077" s="36" t="n"/>
      <c r="N1077" s="44" t="n"/>
      <c r="O1077" s="36" t="n"/>
      <c r="P1077" s="33">
        <f>IF(C1077="","",Commercial_Id)</f>
        <v/>
      </c>
      <c r="Q1077" s="34">
        <f>IF(AC1077="","",IF(AD1077=1,"C"&amp;TEXT(SUM(AD$6:AD1077),"0000"),INDEX(Q$6:Q1076,MATCH(AC1077,AC$6:AC1076,0))))</f>
        <v/>
      </c>
      <c r="R1077" s="34">
        <f>IF(C1077="","",IF(L1077="☑ Oui","Annulée",IF(OR(E1077="Vente directe",K1077&lt;&gt;""),"Livrée",IF(J1077&lt;&gt;"","Confirmée","En attente"))))</f>
        <v/>
      </c>
      <c r="S1077" s="34">
        <f>IF(F1077="","",IFERROR(VLOOKUP(F1077,T_Produits,2,FALSE),""))</f>
        <v/>
      </c>
      <c r="T1077" s="40">
        <f>IF(F1077="","",IFERROR(1/(1/VLOOKUP(F1077,T_Produits,3,FALSE)),""))</f>
        <v/>
      </c>
      <c r="U1077" s="40">
        <f>IF(H1077&lt;&gt;"",H1077,T1077)</f>
        <v/>
      </c>
      <c r="V1077" s="40">
        <f>IF(OR(G1077="",U1077=""),"",G1077*U1077-N(I1077))</f>
        <v/>
      </c>
      <c r="W1077" s="39">
        <f>IF(D1077="","",IFERROR(VALUE(MID(D1077,LEN(D1077)-3,3)),""))</f>
        <v/>
      </c>
      <c r="X1077" s="33">
        <f>IF(W1077="","",P1077&amp;"|"&amp;W1077)</f>
        <v/>
      </c>
      <c r="Y1077" s="33">
        <f>IF(W1077="","",IF(P1077="À RENSEIGNER","GIC",P1077)&amp;"-"&amp;TEXT(W1077,"000"))</f>
        <v/>
      </c>
      <c r="Z1077" s="33">
        <f>IF(X1077="","",IFERROR(INDEX(Cl_nom,MATCH(X1077,Cl_cle,0)),"(client introuvable)"))</f>
        <v/>
      </c>
      <c r="AA1077" s="33">
        <f>IF(X1077="","",IFERROR(INDEX(Cl_quartier,MATCH(X1077,Cl_cle,0))&amp;"",""))</f>
        <v/>
      </c>
      <c r="AB1077" s="45">
        <f>IF(R1077&lt;&gt;"Livrée",0,IF(K1077&lt;&gt;"",K1077,C1077))</f>
        <v/>
      </c>
      <c r="AC1077" s="33">
        <f>IF(OR(C1077="",W1077=""),"",P1077&amp;"|"&amp;W1077&amp;"|"&amp;C1077&amp;"|"&amp;E1077)</f>
        <v/>
      </c>
      <c r="AD1077" s="39">
        <f>IF(AC1077="","",IF(COUNTIF(AC$6:AC1077,AC1077)=1,1,0))</f>
        <v/>
      </c>
      <c r="AE1077" s="39">
        <f>IF(AB1077=0,"",IF(COUNTIFS(X$6:X1077,X1077,AB$6:AB1077,AB1077)=1,1,0))</f>
        <v/>
      </c>
      <c r="AF1077" s="34">
        <f>IF(C1077="","",YEAR(C1077-WEEKDAY(C1077,2)+4)&amp;"-S"&amp;TEXT(INT((C1077-DATE(YEAR(C1077-WEEKDAY(C1077,2)+4),1,3)+WEEKDAY(DATE(YEAR(C1077-WEEKDAY(C1077,2)+4),1,3),2)+5)/7),"00"))</f>
        <v/>
      </c>
    </row>
    <row r="1078" ht="18" customHeight="1">
      <c r="A1078" s="39" t="n">
        <v>1073</v>
      </c>
      <c r="B1078" s="33">
        <f>IF(C1078="","",IF(P1078="À RENSEIGNER","GIC",P1078)&amp;"-C"&amp;TEXT(A1078,"00000"))</f>
        <v/>
      </c>
      <c r="C1078" s="32" t="n"/>
      <c r="D1078" s="36" t="n"/>
      <c r="E1078" s="36" t="n"/>
      <c r="F1078" s="36" t="n"/>
      <c r="G1078" s="42" t="n"/>
      <c r="H1078" s="37" t="n"/>
      <c r="I1078" s="37" t="n"/>
      <c r="J1078" s="32" t="n"/>
      <c r="K1078" s="32" t="n"/>
      <c r="L1078" s="43" t="n"/>
      <c r="M1078" s="36" t="n"/>
      <c r="N1078" s="44" t="n"/>
      <c r="O1078" s="36" t="n"/>
      <c r="P1078" s="33">
        <f>IF(C1078="","",Commercial_Id)</f>
        <v/>
      </c>
      <c r="Q1078" s="34">
        <f>IF(AC1078="","",IF(AD1078=1,"C"&amp;TEXT(SUM(AD$6:AD1078),"0000"),INDEX(Q$6:Q1077,MATCH(AC1078,AC$6:AC1077,0))))</f>
        <v/>
      </c>
      <c r="R1078" s="34">
        <f>IF(C1078="","",IF(L1078="☑ Oui","Annulée",IF(OR(E1078="Vente directe",K1078&lt;&gt;""),"Livrée",IF(J1078&lt;&gt;"","Confirmée","En attente"))))</f>
        <v/>
      </c>
      <c r="S1078" s="34">
        <f>IF(F1078="","",IFERROR(VLOOKUP(F1078,T_Produits,2,FALSE),""))</f>
        <v/>
      </c>
      <c r="T1078" s="40">
        <f>IF(F1078="","",IFERROR(1/(1/VLOOKUP(F1078,T_Produits,3,FALSE)),""))</f>
        <v/>
      </c>
      <c r="U1078" s="40">
        <f>IF(H1078&lt;&gt;"",H1078,T1078)</f>
        <v/>
      </c>
      <c r="V1078" s="40">
        <f>IF(OR(G1078="",U1078=""),"",G1078*U1078-N(I1078))</f>
        <v/>
      </c>
      <c r="W1078" s="39">
        <f>IF(D1078="","",IFERROR(VALUE(MID(D1078,LEN(D1078)-3,3)),""))</f>
        <v/>
      </c>
      <c r="X1078" s="33">
        <f>IF(W1078="","",P1078&amp;"|"&amp;W1078)</f>
        <v/>
      </c>
      <c r="Y1078" s="33">
        <f>IF(W1078="","",IF(P1078="À RENSEIGNER","GIC",P1078)&amp;"-"&amp;TEXT(W1078,"000"))</f>
        <v/>
      </c>
      <c r="Z1078" s="33">
        <f>IF(X1078="","",IFERROR(INDEX(Cl_nom,MATCH(X1078,Cl_cle,0)),"(client introuvable)"))</f>
        <v/>
      </c>
      <c r="AA1078" s="33">
        <f>IF(X1078="","",IFERROR(INDEX(Cl_quartier,MATCH(X1078,Cl_cle,0))&amp;"",""))</f>
        <v/>
      </c>
      <c r="AB1078" s="45">
        <f>IF(R1078&lt;&gt;"Livrée",0,IF(K1078&lt;&gt;"",K1078,C1078))</f>
        <v/>
      </c>
      <c r="AC1078" s="33">
        <f>IF(OR(C1078="",W1078=""),"",P1078&amp;"|"&amp;W1078&amp;"|"&amp;C1078&amp;"|"&amp;E1078)</f>
        <v/>
      </c>
      <c r="AD1078" s="39">
        <f>IF(AC1078="","",IF(COUNTIF(AC$6:AC1078,AC1078)=1,1,0))</f>
        <v/>
      </c>
      <c r="AE1078" s="39">
        <f>IF(AB1078=0,"",IF(COUNTIFS(X$6:X1078,X1078,AB$6:AB1078,AB1078)=1,1,0))</f>
        <v/>
      </c>
      <c r="AF1078" s="34">
        <f>IF(C1078="","",YEAR(C1078-WEEKDAY(C1078,2)+4)&amp;"-S"&amp;TEXT(INT((C1078-DATE(YEAR(C1078-WEEKDAY(C1078,2)+4),1,3)+WEEKDAY(DATE(YEAR(C1078-WEEKDAY(C1078,2)+4),1,3),2)+5)/7),"00"))</f>
        <v/>
      </c>
    </row>
    <row r="1079" ht="18" customHeight="1">
      <c r="A1079" s="39" t="n">
        <v>1074</v>
      </c>
      <c r="B1079" s="33">
        <f>IF(C1079="","",IF(P1079="À RENSEIGNER","GIC",P1079)&amp;"-C"&amp;TEXT(A1079,"00000"))</f>
        <v/>
      </c>
      <c r="C1079" s="32" t="n"/>
      <c r="D1079" s="36" t="n"/>
      <c r="E1079" s="36" t="n"/>
      <c r="F1079" s="36" t="n"/>
      <c r="G1079" s="42" t="n"/>
      <c r="H1079" s="37" t="n"/>
      <c r="I1079" s="37" t="n"/>
      <c r="J1079" s="32" t="n"/>
      <c r="K1079" s="32" t="n"/>
      <c r="L1079" s="43" t="n"/>
      <c r="M1079" s="36" t="n"/>
      <c r="N1079" s="44" t="n"/>
      <c r="O1079" s="36" t="n"/>
      <c r="P1079" s="33">
        <f>IF(C1079="","",Commercial_Id)</f>
        <v/>
      </c>
      <c r="Q1079" s="34">
        <f>IF(AC1079="","",IF(AD1079=1,"C"&amp;TEXT(SUM(AD$6:AD1079),"0000"),INDEX(Q$6:Q1078,MATCH(AC1079,AC$6:AC1078,0))))</f>
        <v/>
      </c>
      <c r="R1079" s="34">
        <f>IF(C1079="","",IF(L1079="☑ Oui","Annulée",IF(OR(E1079="Vente directe",K1079&lt;&gt;""),"Livrée",IF(J1079&lt;&gt;"","Confirmée","En attente"))))</f>
        <v/>
      </c>
      <c r="S1079" s="34">
        <f>IF(F1079="","",IFERROR(VLOOKUP(F1079,T_Produits,2,FALSE),""))</f>
        <v/>
      </c>
      <c r="T1079" s="40">
        <f>IF(F1079="","",IFERROR(1/(1/VLOOKUP(F1079,T_Produits,3,FALSE)),""))</f>
        <v/>
      </c>
      <c r="U1079" s="40">
        <f>IF(H1079&lt;&gt;"",H1079,T1079)</f>
        <v/>
      </c>
      <c r="V1079" s="40">
        <f>IF(OR(G1079="",U1079=""),"",G1079*U1079-N(I1079))</f>
        <v/>
      </c>
      <c r="W1079" s="39">
        <f>IF(D1079="","",IFERROR(VALUE(MID(D1079,LEN(D1079)-3,3)),""))</f>
        <v/>
      </c>
      <c r="X1079" s="33">
        <f>IF(W1079="","",P1079&amp;"|"&amp;W1079)</f>
        <v/>
      </c>
      <c r="Y1079" s="33">
        <f>IF(W1079="","",IF(P1079="À RENSEIGNER","GIC",P1079)&amp;"-"&amp;TEXT(W1079,"000"))</f>
        <v/>
      </c>
      <c r="Z1079" s="33">
        <f>IF(X1079="","",IFERROR(INDEX(Cl_nom,MATCH(X1079,Cl_cle,0)),"(client introuvable)"))</f>
        <v/>
      </c>
      <c r="AA1079" s="33">
        <f>IF(X1079="","",IFERROR(INDEX(Cl_quartier,MATCH(X1079,Cl_cle,0))&amp;"",""))</f>
        <v/>
      </c>
      <c r="AB1079" s="45">
        <f>IF(R1079&lt;&gt;"Livrée",0,IF(K1079&lt;&gt;"",K1079,C1079))</f>
        <v/>
      </c>
      <c r="AC1079" s="33">
        <f>IF(OR(C1079="",W1079=""),"",P1079&amp;"|"&amp;W1079&amp;"|"&amp;C1079&amp;"|"&amp;E1079)</f>
        <v/>
      </c>
      <c r="AD1079" s="39">
        <f>IF(AC1079="","",IF(COUNTIF(AC$6:AC1079,AC1079)=1,1,0))</f>
        <v/>
      </c>
      <c r="AE1079" s="39">
        <f>IF(AB1079=0,"",IF(COUNTIFS(X$6:X1079,X1079,AB$6:AB1079,AB1079)=1,1,0))</f>
        <v/>
      </c>
      <c r="AF1079" s="34">
        <f>IF(C1079="","",YEAR(C1079-WEEKDAY(C1079,2)+4)&amp;"-S"&amp;TEXT(INT((C1079-DATE(YEAR(C1079-WEEKDAY(C1079,2)+4),1,3)+WEEKDAY(DATE(YEAR(C1079-WEEKDAY(C1079,2)+4),1,3),2)+5)/7),"00"))</f>
        <v/>
      </c>
    </row>
    <row r="1080" ht="18" customHeight="1">
      <c r="A1080" s="39" t="n">
        <v>1075</v>
      </c>
      <c r="B1080" s="33">
        <f>IF(C1080="","",IF(P1080="À RENSEIGNER","GIC",P1080)&amp;"-C"&amp;TEXT(A1080,"00000"))</f>
        <v/>
      </c>
      <c r="C1080" s="32" t="n"/>
      <c r="D1080" s="36" t="n"/>
      <c r="E1080" s="36" t="n"/>
      <c r="F1080" s="36" t="n"/>
      <c r="G1080" s="42" t="n"/>
      <c r="H1080" s="37" t="n"/>
      <c r="I1080" s="37" t="n"/>
      <c r="J1080" s="32" t="n"/>
      <c r="K1080" s="32" t="n"/>
      <c r="L1080" s="43" t="n"/>
      <c r="M1080" s="36" t="n"/>
      <c r="N1080" s="44" t="n"/>
      <c r="O1080" s="36" t="n"/>
      <c r="P1080" s="33">
        <f>IF(C1080="","",Commercial_Id)</f>
        <v/>
      </c>
      <c r="Q1080" s="34">
        <f>IF(AC1080="","",IF(AD1080=1,"C"&amp;TEXT(SUM(AD$6:AD1080),"0000"),INDEX(Q$6:Q1079,MATCH(AC1080,AC$6:AC1079,0))))</f>
        <v/>
      </c>
      <c r="R1080" s="34">
        <f>IF(C1080="","",IF(L1080="☑ Oui","Annulée",IF(OR(E1080="Vente directe",K1080&lt;&gt;""),"Livrée",IF(J1080&lt;&gt;"","Confirmée","En attente"))))</f>
        <v/>
      </c>
      <c r="S1080" s="34">
        <f>IF(F1080="","",IFERROR(VLOOKUP(F1080,T_Produits,2,FALSE),""))</f>
        <v/>
      </c>
      <c r="T1080" s="40">
        <f>IF(F1080="","",IFERROR(1/(1/VLOOKUP(F1080,T_Produits,3,FALSE)),""))</f>
        <v/>
      </c>
      <c r="U1080" s="40">
        <f>IF(H1080&lt;&gt;"",H1080,T1080)</f>
        <v/>
      </c>
      <c r="V1080" s="40">
        <f>IF(OR(G1080="",U1080=""),"",G1080*U1080-N(I1080))</f>
        <v/>
      </c>
      <c r="W1080" s="39">
        <f>IF(D1080="","",IFERROR(VALUE(MID(D1080,LEN(D1080)-3,3)),""))</f>
        <v/>
      </c>
      <c r="X1080" s="33">
        <f>IF(W1080="","",P1080&amp;"|"&amp;W1080)</f>
        <v/>
      </c>
      <c r="Y1080" s="33">
        <f>IF(W1080="","",IF(P1080="À RENSEIGNER","GIC",P1080)&amp;"-"&amp;TEXT(W1080,"000"))</f>
        <v/>
      </c>
      <c r="Z1080" s="33">
        <f>IF(X1080="","",IFERROR(INDEX(Cl_nom,MATCH(X1080,Cl_cle,0)),"(client introuvable)"))</f>
        <v/>
      </c>
      <c r="AA1080" s="33">
        <f>IF(X1080="","",IFERROR(INDEX(Cl_quartier,MATCH(X1080,Cl_cle,0))&amp;"",""))</f>
        <v/>
      </c>
      <c r="AB1080" s="45">
        <f>IF(R1080&lt;&gt;"Livrée",0,IF(K1080&lt;&gt;"",K1080,C1080))</f>
        <v/>
      </c>
      <c r="AC1080" s="33">
        <f>IF(OR(C1080="",W1080=""),"",P1080&amp;"|"&amp;W1080&amp;"|"&amp;C1080&amp;"|"&amp;E1080)</f>
        <v/>
      </c>
      <c r="AD1080" s="39">
        <f>IF(AC1080="","",IF(COUNTIF(AC$6:AC1080,AC1080)=1,1,0))</f>
        <v/>
      </c>
      <c r="AE1080" s="39">
        <f>IF(AB1080=0,"",IF(COUNTIFS(X$6:X1080,X1080,AB$6:AB1080,AB1080)=1,1,0))</f>
        <v/>
      </c>
      <c r="AF1080" s="34">
        <f>IF(C1080="","",YEAR(C1080-WEEKDAY(C1080,2)+4)&amp;"-S"&amp;TEXT(INT((C1080-DATE(YEAR(C1080-WEEKDAY(C1080,2)+4),1,3)+WEEKDAY(DATE(YEAR(C1080-WEEKDAY(C1080,2)+4),1,3),2)+5)/7),"00"))</f>
        <v/>
      </c>
    </row>
    <row r="1081" ht="18" customHeight="1">
      <c r="A1081" s="39" t="n">
        <v>1076</v>
      </c>
      <c r="B1081" s="33">
        <f>IF(C1081="","",IF(P1081="À RENSEIGNER","GIC",P1081)&amp;"-C"&amp;TEXT(A1081,"00000"))</f>
        <v/>
      </c>
      <c r="C1081" s="32" t="n"/>
      <c r="D1081" s="36" t="n"/>
      <c r="E1081" s="36" t="n"/>
      <c r="F1081" s="36" t="n"/>
      <c r="G1081" s="42" t="n"/>
      <c r="H1081" s="37" t="n"/>
      <c r="I1081" s="37" t="n"/>
      <c r="J1081" s="32" t="n"/>
      <c r="K1081" s="32" t="n"/>
      <c r="L1081" s="43" t="n"/>
      <c r="M1081" s="36" t="n"/>
      <c r="N1081" s="44" t="n"/>
      <c r="O1081" s="36" t="n"/>
      <c r="P1081" s="33">
        <f>IF(C1081="","",Commercial_Id)</f>
        <v/>
      </c>
      <c r="Q1081" s="34">
        <f>IF(AC1081="","",IF(AD1081=1,"C"&amp;TEXT(SUM(AD$6:AD1081),"0000"),INDEX(Q$6:Q1080,MATCH(AC1081,AC$6:AC1080,0))))</f>
        <v/>
      </c>
      <c r="R1081" s="34">
        <f>IF(C1081="","",IF(L1081="☑ Oui","Annulée",IF(OR(E1081="Vente directe",K1081&lt;&gt;""),"Livrée",IF(J1081&lt;&gt;"","Confirmée","En attente"))))</f>
        <v/>
      </c>
      <c r="S1081" s="34">
        <f>IF(F1081="","",IFERROR(VLOOKUP(F1081,T_Produits,2,FALSE),""))</f>
        <v/>
      </c>
      <c r="T1081" s="40">
        <f>IF(F1081="","",IFERROR(1/(1/VLOOKUP(F1081,T_Produits,3,FALSE)),""))</f>
        <v/>
      </c>
      <c r="U1081" s="40">
        <f>IF(H1081&lt;&gt;"",H1081,T1081)</f>
        <v/>
      </c>
      <c r="V1081" s="40">
        <f>IF(OR(G1081="",U1081=""),"",G1081*U1081-N(I1081))</f>
        <v/>
      </c>
      <c r="W1081" s="39">
        <f>IF(D1081="","",IFERROR(VALUE(MID(D1081,LEN(D1081)-3,3)),""))</f>
        <v/>
      </c>
      <c r="X1081" s="33">
        <f>IF(W1081="","",P1081&amp;"|"&amp;W1081)</f>
        <v/>
      </c>
      <c r="Y1081" s="33">
        <f>IF(W1081="","",IF(P1081="À RENSEIGNER","GIC",P1081)&amp;"-"&amp;TEXT(W1081,"000"))</f>
        <v/>
      </c>
      <c r="Z1081" s="33">
        <f>IF(X1081="","",IFERROR(INDEX(Cl_nom,MATCH(X1081,Cl_cle,0)),"(client introuvable)"))</f>
        <v/>
      </c>
      <c r="AA1081" s="33">
        <f>IF(X1081="","",IFERROR(INDEX(Cl_quartier,MATCH(X1081,Cl_cle,0))&amp;"",""))</f>
        <v/>
      </c>
      <c r="AB1081" s="45">
        <f>IF(R1081&lt;&gt;"Livrée",0,IF(K1081&lt;&gt;"",K1081,C1081))</f>
        <v/>
      </c>
      <c r="AC1081" s="33">
        <f>IF(OR(C1081="",W1081=""),"",P1081&amp;"|"&amp;W1081&amp;"|"&amp;C1081&amp;"|"&amp;E1081)</f>
        <v/>
      </c>
      <c r="AD1081" s="39">
        <f>IF(AC1081="","",IF(COUNTIF(AC$6:AC1081,AC1081)=1,1,0))</f>
        <v/>
      </c>
      <c r="AE1081" s="39">
        <f>IF(AB1081=0,"",IF(COUNTIFS(X$6:X1081,X1081,AB$6:AB1081,AB1081)=1,1,0))</f>
        <v/>
      </c>
      <c r="AF1081" s="34">
        <f>IF(C1081="","",YEAR(C1081-WEEKDAY(C1081,2)+4)&amp;"-S"&amp;TEXT(INT((C1081-DATE(YEAR(C1081-WEEKDAY(C1081,2)+4),1,3)+WEEKDAY(DATE(YEAR(C1081-WEEKDAY(C1081,2)+4),1,3),2)+5)/7),"00"))</f>
        <v/>
      </c>
    </row>
    <row r="1082" ht="18" customHeight="1">
      <c r="A1082" s="39" t="n">
        <v>1077</v>
      </c>
      <c r="B1082" s="33">
        <f>IF(C1082="","",IF(P1082="À RENSEIGNER","GIC",P1082)&amp;"-C"&amp;TEXT(A1082,"00000"))</f>
        <v/>
      </c>
      <c r="C1082" s="32" t="n"/>
      <c r="D1082" s="36" t="n"/>
      <c r="E1082" s="36" t="n"/>
      <c r="F1082" s="36" t="n"/>
      <c r="G1082" s="42" t="n"/>
      <c r="H1082" s="37" t="n"/>
      <c r="I1082" s="37" t="n"/>
      <c r="J1082" s="32" t="n"/>
      <c r="K1082" s="32" t="n"/>
      <c r="L1082" s="43" t="n"/>
      <c r="M1082" s="36" t="n"/>
      <c r="N1082" s="44" t="n"/>
      <c r="O1082" s="36" t="n"/>
      <c r="P1082" s="33">
        <f>IF(C1082="","",Commercial_Id)</f>
        <v/>
      </c>
      <c r="Q1082" s="34">
        <f>IF(AC1082="","",IF(AD1082=1,"C"&amp;TEXT(SUM(AD$6:AD1082),"0000"),INDEX(Q$6:Q1081,MATCH(AC1082,AC$6:AC1081,0))))</f>
        <v/>
      </c>
      <c r="R1082" s="34">
        <f>IF(C1082="","",IF(L1082="☑ Oui","Annulée",IF(OR(E1082="Vente directe",K1082&lt;&gt;""),"Livrée",IF(J1082&lt;&gt;"","Confirmée","En attente"))))</f>
        <v/>
      </c>
      <c r="S1082" s="34">
        <f>IF(F1082="","",IFERROR(VLOOKUP(F1082,T_Produits,2,FALSE),""))</f>
        <v/>
      </c>
      <c r="T1082" s="40">
        <f>IF(F1082="","",IFERROR(1/(1/VLOOKUP(F1082,T_Produits,3,FALSE)),""))</f>
        <v/>
      </c>
      <c r="U1082" s="40">
        <f>IF(H1082&lt;&gt;"",H1082,T1082)</f>
        <v/>
      </c>
      <c r="V1082" s="40">
        <f>IF(OR(G1082="",U1082=""),"",G1082*U1082-N(I1082))</f>
        <v/>
      </c>
      <c r="W1082" s="39">
        <f>IF(D1082="","",IFERROR(VALUE(MID(D1082,LEN(D1082)-3,3)),""))</f>
        <v/>
      </c>
      <c r="X1082" s="33">
        <f>IF(W1082="","",P1082&amp;"|"&amp;W1082)</f>
        <v/>
      </c>
      <c r="Y1082" s="33">
        <f>IF(W1082="","",IF(P1082="À RENSEIGNER","GIC",P1082)&amp;"-"&amp;TEXT(W1082,"000"))</f>
        <v/>
      </c>
      <c r="Z1082" s="33">
        <f>IF(X1082="","",IFERROR(INDEX(Cl_nom,MATCH(X1082,Cl_cle,0)),"(client introuvable)"))</f>
        <v/>
      </c>
      <c r="AA1082" s="33">
        <f>IF(X1082="","",IFERROR(INDEX(Cl_quartier,MATCH(X1082,Cl_cle,0))&amp;"",""))</f>
        <v/>
      </c>
      <c r="AB1082" s="45">
        <f>IF(R1082&lt;&gt;"Livrée",0,IF(K1082&lt;&gt;"",K1082,C1082))</f>
        <v/>
      </c>
      <c r="AC1082" s="33">
        <f>IF(OR(C1082="",W1082=""),"",P1082&amp;"|"&amp;W1082&amp;"|"&amp;C1082&amp;"|"&amp;E1082)</f>
        <v/>
      </c>
      <c r="AD1082" s="39">
        <f>IF(AC1082="","",IF(COUNTIF(AC$6:AC1082,AC1082)=1,1,0))</f>
        <v/>
      </c>
      <c r="AE1082" s="39">
        <f>IF(AB1082=0,"",IF(COUNTIFS(X$6:X1082,X1082,AB$6:AB1082,AB1082)=1,1,0))</f>
        <v/>
      </c>
      <c r="AF1082" s="34">
        <f>IF(C1082="","",YEAR(C1082-WEEKDAY(C1082,2)+4)&amp;"-S"&amp;TEXT(INT((C1082-DATE(YEAR(C1082-WEEKDAY(C1082,2)+4),1,3)+WEEKDAY(DATE(YEAR(C1082-WEEKDAY(C1082,2)+4),1,3),2)+5)/7),"00"))</f>
        <v/>
      </c>
    </row>
    <row r="1083" ht="18" customHeight="1">
      <c r="A1083" s="39" t="n">
        <v>1078</v>
      </c>
      <c r="B1083" s="33">
        <f>IF(C1083="","",IF(P1083="À RENSEIGNER","GIC",P1083)&amp;"-C"&amp;TEXT(A1083,"00000"))</f>
        <v/>
      </c>
      <c r="C1083" s="32" t="n"/>
      <c r="D1083" s="36" t="n"/>
      <c r="E1083" s="36" t="n"/>
      <c r="F1083" s="36" t="n"/>
      <c r="G1083" s="42" t="n"/>
      <c r="H1083" s="37" t="n"/>
      <c r="I1083" s="37" t="n"/>
      <c r="J1083" s="32" t="n"/>
      <c r="K1083" s="32" t="n"/>
      <c r="L1083" s="43" t="n"/>
      <c r="M1083" s="36" t="n"/>
      <c r="N1083" s="44" t="n"/>
      <c r="O1083" s="36" t="n"/>
      <c r="P1083" s="33">
        <f>IF(C1083="","",Commercial_Id)</f>
        <v/>
      </c>
      <c r="Q1083" s="34">
        <f>IF(AC1083="","",IF(AD1083=1,"C"&amp;TEXT(SUM(AD$6:AD1083),"0000"),INDEX(Q$6:Q1082,MATCH(AC1083,AC$6:AC1082,0))))</f>
        <v/>
      </c>
      <c r="R1083" s="34">
        <f>IF(C1083="","",IF(L1083="☑ Oui","Annulée",IF(OR(E1083="Vente directe",K1083&lt;&gt;""),"Livrée",IF(J1083&lt;&gt;"","Confirmée","En attente"))))</f>
        <v/>
      </c>
      <c r="S1083" s="34">
        <f>IF(F1083="","",IFERROR(VLOOKUP(F1083,T_Produits,2,FALSE),""))</f>
        <v/>
      </c>
      <c r="T1083" s="40">
        <f>IF(F1083="","",IFERROR(1/(1/VLOOKUP(F1083,T_Produits,3,FALSE)),""))</f>
        <v/>
      </c>
      <c r="U1083" s="40">
        <f>IF(H1083&lt;&gt;"",H1083,T1083)</f>
        <v/>
      </c>
      <c r="V1083" s="40">
        <f>IF(OR(G1083="",U1083=""),"",G1083*U1083-N(I1083))</f>
        <v/>
      </c>
      <c r="W1083" s="39">
        <f>IF(D1083="","",IFERROR(VALUE(MID(D1083,LEN(D1083)-3,3)),""))</f>
        <v/>
      </c>
      <c r="X1083" s="33">
        <f>IF(W1083="","",P1083&amp;"|"&amp;W1083)</f>
        <v/>
      </c>
      <c r="Y1083" s="33">
        <f>IF(W1083="","",IF(P1083="À RENSEIGNER","GIC",P1083)&amp;"-"&amp;TEXT(W1083,"000"))</f>
        <v/>
      </c>
      <c r="Z1083" s="33">
        <f>IF(X1083="","",IFERROR(INDEX(Cl_nom,MATCH(X1083,Cl_cle,0)),"(client introuvable)"))</f>
        <v/>
      </c>
      <c r="AA1083" s="33">
        <f>IF(X1083="","",IFERROR(INDEX(Cl_quartier,MATCH(X1083,Cl_cle,0))&amp;"",""))</f>
        <v/>
      </c>
      <c r="AB1083" s="45">
        <f>IF(R1083&lt;&gt;"Livrée",0,IF(K1083&lt;&gt;"",K1083,C1083))</f>
        <v/>
      </c>
      <c r="AC1083" s="33">
        <f>IF(OR(C1083="",W1083=""),"",P1083&amp;"|"&amp;W1083&amp;"|"&amp;C1083&amp;"|"&amp;E1083)</f>
        <v/>
      </c>
      <c r="AD1083" s="39">
        <f>IF(AC1083="","",IF(COUNTIF(AC$6:AC1083,AC1083)=1,1,0))</f>
        <v/>
      </c>
      <c r="AE1083" s="39">
        <f>IF(AB1083=0,"",IF(COUNTIFS(X$6:X1083,X1083,AB$6:AB1083,AB1083)=1,1,0))</f>
        <v/>
      </c>
      <c r="AF1083" s="34">
        <f>IF(C1083="","",YEAR(C1083-WEEKDAY(C1083,2)+4)&amp;"-S"&amp;TEXT(INT((C1083-DATE(YEAR(C1083-WEEKDAY(C1083,2)+4),1,3)+WEEKDAY(DATE(YEAR(C1083-WEEKDAY(C1083,2)+4),1,3),2)+5)/7),"00"))</f>
        <v/>
      </c>
    </row>
    <row r="1084" ht="18" customHeight="1">
      <c r="A1084" s="39" t="n">
        <v>1079</v>
      </c>
      <c r="B1084" s="33">
        <f>IF(C1084="","",IF(P1084="À RENSEIGNER","GIC",P1084)&amp;"-C"&amp;TEXT(A1084,"00000"))</f>
        <v/>
      </c>
      <c r="C1084" s="32" t="n"/>
      <c r="D1084" s="36" t="n"/>
      <c r="E1084" s="36" t="n"/>
      <c r="F1084" s="36" t="n"/>
      <c r="G1084" s="42" t="n"/>
      <c r="H1084" s="37" t="n"/>
      <c r="I1084" s="37" t="n"/>
      <c r="J1084" s="32" t="n"/>
      <c r="K1084" s="32" t="n"/>
      <c r="L1084" s="43" t="n"/>
      <c r="M1084" s="36" t="n"/>
      <c r="N1084" s="44" t="n"/>
      <c r="O1084" s="36" t="n"/>
      <c r="P1084" s="33">
        <f>IF(C1084="","",Commercial_Id)</f>
        <v/>
      </c>
      <c r="Q1084" s="34">
        <f>IF(AC1084="","",IF(AD1084=1,"C"&amp;TEXT(SUM(AD$6:AD1084),"0000"),INDEX(Q$6:Q1083,MATCH(AC1084,AC$6:AC1083,0))))</f>
        <v/>
      </c>
      <c r="R1084" s="34">
        <f>IF(C1084="","",IF(L1084="☑ Oui","Annulée",IF(OR(E1084="Vente directe",K1084&lt;&gt;""),"Livrée",IF(J1084&lt;&gt;"","Confirmée","En attente"))))</f>
        <v/>
      </c>
      <c r="S1084" s="34">
        <f>IF(F1084="","",IFERROR(VLOOKUP(F1084,T_Produits,2,FALSE),""))</f>
        <v/>
      </c>
      <c r="T1084" s="40">
        <f>IF(F1084="","",IFERROR(1/(1/VLOOKUP(F1084,T_Produits,3,FALSE)),""))</f>
        <v/>
      </c>
      <c r="U1084" s="40">
        <f>IF(H1084&lt;&gt;"",H1084,T1084)</f>
        <v/>
      </c>
      <c r="V1084" s="40">
        <f>IF(OR(G1084="",U1084=""),"",G1084*U1084-N(I1084))</f>
        <v/>
      </c>
      <c r="W1084" s="39">
        <f>IF(D1084="","",IFERROR(VALUE(MID(D1084,LEN(D1084)-3,3)),""))</f>
        <v/>
      </c>
      <c r="X1084" s="33">
        <f>IF(W1084="","",P1084&amp;"|"&amp;W1084)</f>
        <v/>
      </c>
      <c r="Y1084" s="33">
        <f>IF(W1084="","",IF(P1084="À RENSEIGNER","GIC",P1084)&amp;"-"&amp;TEXT(W1084,"000"))</f>
        <v/>
      </c>
      <c r="Z1084" s="33">
        <f>IF(X1084="","",IFERROR(INDEX(Cl_nom,MATCH(X1084,Cl_cle,0)),"(client introuvable)"))</f>
        <v/>
      </c>
      <c r="AA1084" s="33">
        <f>IF(X1084="","",IFERROR(INDEX(Cl_quartier,MATCH(X1084,Cl_cle,0))&amp;"",""))</f>
        <v/>
      </c>
      <c r="AB1084" s="45">
        <f>IF(R1084&lt;&gt;"Livrée",0,IF(K1084&lt;&gt;"",K1084,C1084))</f>
        <v/>
      </c>
      <c r="AC1084" s="33">
        <f>IF(OR(C1084="",W1084=""),"",P1084&amp;"|"&amp;W1084&amp;"|"&amp;C1084&amp;"|"&amp;E1084)</f>
        <v/>
      </c>
      <c r="AD1084" s="39">
        <f>IF(AC1084="","",IF(COUNTIF(AC$6:AC1084,AC1084)=1,1,0))</f>
        <v/>
      </c>
      <c r="AE1084" s="39">
        <f>IF(AB1084=0,"",IF(COUNTIFS(X$6:X1084,X1084,AB$6:AB1084,AB1084)=1,1,0))</f>
        <v/>
      </c>
      <c r="AF1084" s="34">
        <f>IF(C1084="","",YEAR(C1084-WEEKDAY(C1084,2)+4)&amp;"-S"&amp;TEXT(INT((C1084-DATE(YEAR(C1084-WEEKDAY(C1084,2)+4),1,3)+WEEKDAY(DATE(YEAR(C1084-WEEKDAY(C1084,2)+4),1,3),2)+5)/7),"00"))</f>
        <v/>
      </c>
    </row>
    <row r="1085" ht="18" customHeight="1">
      <c r="A1085" s="39" t="n">
        <v>1080</v>
      </c>
      <c r="B1085" s="33">
        <f>IF(C1085="","",IF(P1085="À RENSEIGNER","GIC",P1085)&amp;"-C"&amp;TEXT(A1085,"00000"))</f>
        <v/>
      </c>
      <c r="C1085" s="32" t="n"/>
      <c r="D1085" s="36" t="n"/>
      <c r="E1085" s="36" t="n"/>
      <c r="F1085" s="36" t="n"/>
      <c r="G1085" s="42" t="n"/>
      <c r="H1085" s="37" t="n"/>
      <c r="I1085" s="37" t="n"/>
      <c r="J1085" s="32" t="n"/>
      <c r="K1085" s="32" t="n"/>
      <c r="L1085" s="43" t="n"/>
      <c r="M1085" s="36" t="n"/>
      <c r="N1085" s="44" t="n"/>
      <c r="O1085" s="36" t="n"/>
      <c r="P1085" s="33">
        <f>IF(C1085="","",Commercial_Id)</f>
        <v/>
      </c>
      <c r="Q1085" s="34">
        <f>IF(AC1085="","",IF(AD1085=1,"C"&amp;TEXT(SUM(AD$6:AD1085),"0000"),INDEX(Q$6:Q1084,MATCH(AC1085,AC$6:AC1084,0))))</f>
        <v/>
      </c>
      <c r="R1085" s="34">
        <f>IF(C1085="","",IF(L1085="☑ Oui","Annulée",IF(OR(E1085="Vente directe",K1085&lt;&gt;""),"Livrée",IF(J1085&lt;&gt;"","Confirmée","En attente"))))</f>
        <v/>
      </c>
      <c r="S1085" s="34">
        <f>IF(F1085="","",IFERROR(VLOOKUP(F1085,T_Produits,2,FALSE),""))</f>
        <v/>
      </c>
      <c r="T1085" s="40">
        <f>IF(F1085="","",IFERROR(1/(1/VLOOKUP(F1085,T_Produits,3,FALSE)),""))</f>
        <v/>
      </c>
      <c r="U1085" s="40">
        <f>IF(H1085&lt;&gt;"",H1085,T1085)</f>
        <v/>
      </c>
      <c r="V1085" s="40">
        <f>IF(OR(G1085="",U1085=""),"",G1085*U1085-N(I1085))</f>
        <v/>
      </c>
      <c r="W1085" s="39">
        <f>IF(D1085="","",IFERROR(VALUE(MID(D1085,LEN(D1085)-3,3)),""))</f>
        <v/>
      </c>
      <c r="X1085" s="33">
        <f>IF(W1085="","",P1085&amp;"|"&amp;W1085)</f>
        <v/>
      </c>
      <c r="Y1085" s="33">
        <f>IF(W1085="","",IF(P1085="À RENSEIGNER","GIC",P1085)&amp;"-"&amp;TEXT(W1085,"000"))</f>
        <v/>
      </c>
      <c r="Z1085" s="33">
        <f>IF(X1085="","",IFERROR(INDEX(Cl_nom,MATCH(X1085,Cl_cle,0)),"(client introuvable)"))</f>
        <v/>
      </c>
      <c r="AA1085" s="33">
        <f>IF(X1085="","",IFERROR(INDEX(Cl_quartier,MATCH(X1085,Cl_cle,0))&amp;"",""))</f>
        <v/>
      </c>
      <c r="AB1085" s="45">
        <f>IF(R1085&lt;&gt;"Livrée",0,IF(K1085&lt;&gt;"",K1085,C1085))</f>
        <v/>
      </c>
      <c r="AC1085" s="33">
        <f>IF(OR(C1085="",W1085=""),"",P1085&amp;"|"&amp;W1085&amp;"|"&amp;C1085&amp;"|"&amp;E1085)</f>
        <v/>
      </c>
      <c r="AD1085" s="39">
        <f>IF(AC1085="","",IF(COUNTIF(AC$6:AC1085,AC1085)=1,1,0))</f>
        <v/>
      </c>
      <c r="AE1085" s="39">
        <f>IF(AB1085=0,"",IF(COUNTIFS(X$6:X1085,X1085,AB$6:AB1085,AB1085)=1,1,0))</f>
        <v/>
      </c>
      <c r="AF1085" s="34">
        <f>IF(C1085="","",YEAR(C1085-WEEKDAY(C1085,2)+4)&amp;"-S"&amp;TEXT(INT((C1085-DATE(YEAR(C1085-WEEKDAY(C1085,2)+4),1,3)+WEEKDAY(DATE(YEAR(C1085-WEEKDAY(C1085,2)+4),1,3),2)+5)/7),"00"))</f>
        <v/>
      </c>
    </row>
    <row r="1086" ht="18" customHeight="1">
      <c r="A1086" s="39" t="n">
        <v>1081</v>
      </c>
      <c r="B1086" s="33">
        <f>IF(C1086="","",IF(P1086="À RENSEIGNER","GIC",P1086)&amp;"-C"&amp;TEXT(A1086,"00000"))</f>
        <v/>
      </c>
      <c r="C1086" s="32" t="n"/>
      <c r="D1086" s="36" t="n"/>
      <c r="E1086" s="36" t="n"/>
      <c r="F1086" s="36" t="n"/>
      <c r="G1086" s="42" t="n"/>
      <c r="H1086" s="37" t="n"/>
      <c r="I1086" s="37" t="n"/>
      <c r="J1086" s="32" t="n"/>
      <c r="K1086" s="32" t="n"/>
      <c r="L1086" s="43" t="n"/>
      <c r="M1086" s="36" t="n"/>
      <c r="N1086" s="44" t="n"/>
      <c r="O1086" s="36" t="n"/>
      <c r="P1086" s="33">
        <f>IF(C1086="","",Commercial_Id)</f>
        <v/>
      </c>
      <c r="Q1086" s="34">
        <f>IF(AC1086="","",IF(AD1086=1,"C"&amp;TEXT(SUM(AD$6:AD1086),"0000"),INDEX(Q$6:Q1085,MATCH(AC1086,AC$6:AC1085,0))))</f>
        <v/>
      </c>
      <c r="R1086" s="34">
        <f>IF(C1086="","",IF(L1086="☑ Oui","Annulée",IF(OR(E1086="Vente directe",K1086&lt;&gt;""),"Livrée",IF(J1086&lt;&gt;"","Confirmée","En attente"))))</f>
        <v/>
      </c>
      <c r="S1086" s="34">
        <f>IF(F1086="","",IFERROR(VLOOKUP(F1086,T_Produits,2,FALSE),""))</f>
        <v/>
      </c>
      <c r="T1086" s="40">
        <f>IF(F1086="","",IFERROR(1/(1/VLOOKUP(F1086,T_Produits,3,FALSE)),""))</f>
        <v/>
      </c>
      <c r="U1086" s="40">
        <f>IF(H1086&lt;&gt;"",H1086,T1086)</f>
        <v/>
      </c>
      <c r="V1086" s="40">
        <f>IF(OR(G1086="",U1086=""),"",G1086*U1086-N(I1086))</f>
        <v/>
      </c>
      <c r="W1086" s="39">
        <f>IF(D1086="","",IFERROR(VALUE(MID(D1086,LEN(D1086)-3,3)),""))</f>
        <v/>
      </c>
      <c r="X1086" s="33">
        <f>IF(W1086="","",P1086&amp;"|"&amp;W1086)</f>
        <v/>
      </c>
      <c r="Y1086" s="33">
        <f>IF(W1086="","",IF(P1086="À RENSEIGNER","GIC",P1086)&amp;"-"&amp;TEXT(W1086,"000"))</f>
        <v/>
      </c>
      <c r="Z1086" s="33">
        <f>IF(X1086="","",IFERROR(INDEX(Cl_nom,MATCH(X1086,Cl_cle,0)),"(client introuvable)"))</f>
        <v/>
      </c>
      <c r="AA1086" s="33">
        <f>IF(X1086="","",IFERROR(INDEX(Cl_quartier,MATCH(X1086,Cl_cle,0))&amp;"",""))</f>
        <v/>
      </c>
      <c r="AB1086" s="45">
        <f>IF(R1086&lt;&gt;"Livrée",0,IF(K1086&lt;&gt;"",K1086,C1086))</f>
        <v/>
      </c>
      <c r="AC1086" s="33">
        <f>IF(OR(C1086="",W1086=""),"",P1086&amp;"|"&amp;W1086&amp;"|"&amp;C1086&amp;"|"&amp;E1086)</f>
        <v/>
      </c>
      <c r="AD1086" s="39">
        <f>IF(AC1086="","",IF(COUNTIF(AC$6:AC1086,AC1086)=1,1,0))</f>
        <v/>
      </c>
      <c r="AE1086" s="39">
        <f>IF(AB1086=0,"",IF(COUNTIFS(X$6:X1086,X1086,AB$6:AB1086,AB1086)=1,1,0))</f>
        <v/>
      </c>
      <c r="AF1086" s="34">
        <f>IF(C1086="","",YEAR(C1086-WEEKDAY(C1086,2)+4)&amp;"-S"&amp;TEXT(INT((C1086-DATE(YEAR(C1086-WEEKDAY(C1086,2)+4),1,3)+WEEKDAY(DATE(YEAR(C1086-WEEKDAY(C1086,2)+4),1,3),2)+5)/7),"00"))</f>
        <v/>
      </c>
    </row>
    <row r="1087" ht="18" customHeight="1">
      <c r="A1087" s="39" t="n">
        <v>1082</v>
      </c>
      <c r="B1087" s="33">
        <f>IF(C1087="","",IF(P1087="À RENSEIGNER","GIC",P1087)&amp;"-C"&amp;TEXT(A1087,"00000"))</f>
        <v/>
      </c>
      <c r="C1087" s="32" t="n"/>
      <c r="D1087" s="36" t="n"/>
      <c r="E1087" s="36" t="n"/>
      <c r="F1087" s="36" t="n"/>
      <c r="G1087" s="42" t="n"/>
      <c r="H1087" s="37" t="n"/>
      <c r="I1087" s="37" t="n"/>
      <c r="J1087" s="32" t="n"/>
      <c r="K1087" s="32" t="n"/>
      <c r="L1087" s="43" t="n"/>
      <c r="M1087" s="36" t="n"/>
      <c r="N1087" s="44" t="n"/>
      <c r="O1087" s="36" t="n"/>
      <c r="P1087" s="33">
        <f>IF(C1087="","",Commercial_Id)</f>
        <v/>
      </c>
      <c r="Q1087" s="34">
        <f>IF(AC1087="","",IF(AD1087=1,"C"&amp;TEXT(SUM(AD$6:AD1087),"0000"),INDEX(Q$6:Q1086,MATCH(AC1087,AC$6:AC1086,0))))</f>
        <v/>
      </c>
      <c r="R1087" s="34">
        <f>IF(C1087="","",IF(L1087="☑ Oui","Annulée",IF(OR(E1087="Vente directe",K1087&lt;&gt;""),"Livrée",IF(J1087&lt;&gt;"","Confirmée","En attente"))))</f>
        <v/>
      </c>
      <c r="S1087" s="34">
        <f>IF(F1087="","",IFERROR(VLOOKUP(F1087,T_Produits,2,FALSE),""))</f>
        <v/>
      </c>
      <c r="T1087" s="40">
        <f>IF(F1087="","",IFERROR(1/(1/VLOOKUP(F1087,T_Produits,3,FALSE)),""))</f>
        <v/>
      </c>
      <c r="U1087" s="40">
        <f>IF(H1087&lt;&gt;"",H1087,T1087)</f>
        <v/>
      </c>
      <c r="V1087" s="40">
        <f>IF(OR(G1087="",U1087=""),"",G1087*U1087-N(I1087))</f>
        <v/>
      </c>
      <c r="W1087" s="39">
        <f>IF(D1087="","",IFERROR(VALUE(MID(D1087,LEN(D1087)-3,3)),""))</f>
        <v/>
      </c>
      <c r="X1087" s="33">
        <f>IF(W1087="","",P1087&amp;"|"&amp;W1087)</f>
        <v/>
      </c>
      <c r="Y1087" s="33">
        <f>IF(W1087="","",IF(P1087="À RENSEIGNER","GIC",P1087)&amp;"-"&amp;TEXT(W1087,"000"))</f>
        <v/>
      </c>
      <c r="Z1087" s="33">
        <f>IF(X1087="","",IFERROR(INDEX(Cl_nom,MATCH(X1087,Cl_cle,0)),"(client introuvable)"))</f>
        <v/>
      </c>
      <c r="AA1087" s="33">
        <f>IF(X1087="","",IFERROR(INDEX(Cl_quartier,MATCH(X1087,Cl_cle,0))&amp;"",""))</f>
        <v/>
      </c>
      <c r="AB1087" s="45">
        <f>IF(R1087&lt;&gt;"Livrée",0,IF(K1087&lt;&gt;"",K1087,C1087))</f>
        <v/>
      </c>
      <c r="AC1087" s="33">
        <f>IF(OR(C1087="",W1087=""),"",P1087&amp;"|"&amp;W1087&amp;"|"&amp;C1087&amp;"|"&amp;E1087)</f>
        <v/>
      </c>
      <c r="AD1087" s="39">
        <f>IF(AC1087="","",IF(COUNTIF(AC$6:AC1087,AC1087)=1,1,0))</f>
        <v/>
      </c>
      <c r="AE1087" s="39">
        <f>IF(AB1087=0,"",IF(COUNTIFS(X$6:X1087,X1087,AB$6:AB1087,AB1087)=1,1,0))</f>
        <v/>
      </c>
      <c r="AF1087" s="34">
        <f>IF(C1087="","",YEAR(C1087-WEEKDAY(C1087,2)+4)&amp;"-S"&amp;TEXT(INT((C1087-DATE(YEAR(C1087-WEEKDAY(C1087,2)+4),1,3)+WEEKDAY(DATE(YEAR(C1087-WEEKDAY(C1087,2)+4),1,3),2)+5)/7),"00"))</f>
        <v/>
      </c>
    </row>
    <row r="1088" ht="18" customHeight="1">
      <c r="A1088" s="39" t="n">
        <v>1083</v>
      </c>
      <c r="B1088" s="33">
        <f>IF(C1088="","",IF(P1088="À RENSEIGNER","GIC",P1088)&amp;"-C"&amp;TEXT(A1088,"00000"))</f>
        <v/>
      </c>
      <c r="C1088" s="32" t="n"/>
      <c r="D1088" s="36" t="n"/>
      <c r="E1088" s="36" t="n"/>
      <c r="F1088" s="36" t="n"/>
      <c r="G1088" s="42" t="n"/>
      <c r="H1088" s="37" t="n"/>
      <c r="I1088" s="37" t="n"/>
      <c r="J1088" s="32" t="n"/>
      <c r="K1088" s="32" t="n"/>
      <c r="L1088" s="43" t="n"/>
      <c r="M1088" s="36" t="n"/>
      <c r="N1088" s="44" t="n"/>
      <c r="O1088" s="36" t="n"/>
      <c r="P1088" s="33">
        <f>IF(C1088="","",Commercial_Id)</f>
        <v/>
      </c>
      <c r="Q1088" s="34">
        <f>IF(AC1088="","",IF(AD1088=1,"C"&amp;TEXT(SUM(AD$6:AD1088),"0000"),INDEX(Q$6:Q1087,MATCH(AC1088,AC$6:AC1087,0))))</f>
        <v/>
      </c>
      <c r="R1088" s="34">
        <f>IF(C1088="","",IF(L1088="☑ Oui","Annulée",IF(OR(E1088="Vente directe",K1088&lt;&gt;""),"Livrée",IF(J1088&lt;&gt;"","Confirmée","En attente"))))</f>
        <v/>
      </c>
      <c r="S1088" s="34">
        <f>IF(F1088="","",IFERROR(VLOOKUP(F1088,T_Produits,2,FALSE),""))</f>
        <v/>
      </c>
      <c r="T1088" s="40">
        <f>IF(F1088="","",IFERROR(1/(1/VLOOKUP(F1088,T_Produits,3,FALSE)),""))</f>
        <v/>
      </c>
      <c r="U1088" s="40">
        <f>IF(H1088&lt;&gt;"",H1088,T1088)</f>
        <v/>
      </c>
      <c r="V1088" s="40">
        <f>IF(OR(G1088="",U1088=""),"",G1088*U1088-N(I1088))</f>
        <v/>
      </c>
      <c r="W1088" s="39">
        <f>IF(D1088="","",IFERROR(VALUE(MID(D1088,LEN(D1088)-3,3)),""))</f>
        <v/>
      </c>
      <c r="X1088" s="33">
        <f>IF(W1088="","",P1088&amp;"|"&amp;W1088)</f>
        <v/>
      </c>
      <c r="Y1088" s="33">
        <f>IF(W1088="","",IF(P1088="À RENSEIGNER","GIC",P1088)&amp;"-"&amp;TEXT(W1088,"000"))</f>
        <v/>
      </c>
      <c r="Z1088" s="33">
        <f>IF(X1088="","",IFERROR(INDEX(Cl_nom,MATCH(X1088,Cl_cle,0)),"(client introuvable)"))</f>
        <v/>
      </c>
      <c r="AA1088" s="33">
        <f>IF(X1088="","",IFERROR(INDEX(Cl_quartier,MATCH(X1088,Cl_cle,0))&amp;"",""))</f>
        <v/>
      </c>
      <c r="AB1088" s="45">
        <f>IF(R1088&lt;&gt;"Livrée",0,IF(K1088&lt;&gt;"",K1088,C1088))</f>
        <v/>
      </c>
      <c r="AC1088" s="33">
        <f>IF(OR(C1088="",W1088=""),"",P1088&amp;"|"&amp;W1088&amp;"|"&amp;C1088&amp;"|"&amp;E1088)</f>
        <v/>
      </c>
      <c r="AD1088" s="39">
        <f>IF(AC1088="","",IF(COUNTIF(AC$6:AC1088,AC1088)=1,1,0))</f>
        <v/>
      </c>
      <c r="AE1088" s="39">
        <f>IF(AB1088=0,"",IF(COUNTIFS(X$6:X1088,X1088,AB$6:AB1088,AB1088)=1,1,0))</f>
        <v/>
      </c>
      <c r="AF1088" s="34">
        <f>IF(C1088="","",YEAR(C1088-WEEKDAY(C1088,2)+4)&amp;"-S"&amp;TEXT(INT((C1088-DATE(YEAR(C1088-WEEKDAY(C1088,2)+4),1,3)+WEEKDAY(DATE(YEAR(C1088-WEEKDAY(C1088,2)+4),1,3),2)+5)/7),"00"))</f>
        <v/>
      </c>
    </row>
    <row r="1089" ht="18" customHeight="1">
      <c r="A1089" s="39" t="n">
        <v>1084</v>
      </c>
      <c r="B1089" s="33">
        <f>IF(C1089="","",IF(P1089="À RENSEIGNER","GIC",P1089)&amp;"-C"&amp;TEXT(A1089,"00000"))</f>
        <v/>
      </c>
      <c r="C1089" s="32" t="n"/>
      <c r="D1089" s="36" t="n"/>
      <c r="E1089" s="36" t="n"/>
      <c r="F1089" s="36" t="n"/>
      <c r="G1089" s="42" t="n"/>
      <c r="H1089" s="37" t="n"/>
      <c r="I1089" s="37" t="n"/>
      <c r="J1089" s="32" t="n"/>
      <c r="K1089" s="32" t="n"/>
      <c r="L1089" s="43" t="n"/>
      <c r="M1089" s="36" t="n"/>
      <c r="N1089" s="44" t="n"/>
      <c r="O1089" s="36" t="n"/>
      <c r="P1089" s="33">
        <f>IF(C1089="","",Commercial_Id)</f>
        <v/>
      </c>
      <c r="Q1089" s="34">
        <f>IF(AC1089="","",IF(AD1089=1,"C"&amp;TEXT(SUM(AD$6:AD1089),"0000"),INDEX(Q$6:Q1088,MATCH(AC1089,AC$6:AC1088,0))))</f>
        <v/>
      </c>
      <c r="R1089" s="34">
        <f>IF(C1089="","",IF(L1089="☑ Oui","Annulée",IF(OR(E1089="Vente directe",K1089&lt;&gt;""),"Livrée",IF(J1089&lt;&gt;"","Confirmée","En attente"))))</f>
        <v/>
      </c>
      <c r="S1089" s="34">
        <f>IF(F1089="","",IFERROR(VLOOKUP(F1089,T_Produits,2,FALSE),""))</f>
        <v/>
      </c>
      <c r="T1089" s="40">
        <f>IF(F1089="","",IFERROR(1/(1/VLOOKUP(F1089,T_Produits,3,FALSE)),""))</f>
        <v/>
      </c>
      <c r="U1089" s="40">
        <f>IF(H1089&lt;&gt;"",H1089,T1089)</f>
        <v/>
      </c>
      <c r="V1089" s="40">
        <f>IF(OR(G1089="",U1089=""),"",G1089*U1089-N(I1089))</f>
        <v/>
      </c>
      <c r="W1089" s="39">
        <f>IF(D1089="","",IFERROR(VALUE(MID(D1089,LEN(D1089)-3,3)),""))</f>
        <v/>
      </c>
      <c r="X1089" s="33">
        <f>IF(W1089="","",P1089&amp;"|"&amp;W1089)</f>
        <v/>
      </c>
      <c r="Y1089" s="33">
        <f>IF(W1089="","",IF(P1089="À RENSEIGNER","GIC",P1089)&amp;"-"&amp;TEXT(W1089,"000"))</f>
        <v/>
      </c>
      <c r="Z1089" s="33">
        <f>IF(X1089="","",IFERROR(INDEX(Cl_nom,MATCH(X1089,Cl_cle,0)),"(client introuvable)"))</f>
        <v/>
      </c>
      <c r="AA1089" s="33">
        <f>IF(X1089="","",IFERROR(INDEX(Cl_quartier,MATCH(X1089,Cl_cle,0))&amp;"",""))</f>
        <v/>
      </c>
      <c r="AB1089" s="45">
        <f>IF(R1089&lt;&gt;"Livrée",0,IF(K1089&lt;&gt;"",K1089,C1089))</f>
        <v/>
      </c>
      <c r="AC1089" s="33">
        <f>IF(OR(C1089="",W1089=""),"",P1089&amp;"|"&amp;W1089&amp;"|"&amp;C1089&amp;"|"&amp;E1089)</f>
        <v/>
      </c>
      <c r="AD1089" s="39">
        <f>IF(AC1089="","",IF(COUNTIF(AC$6:AC1089,AC1089)=1,1,0))</f>
        <v/>
      </c>
      <c r="AE1089" s="39">
        <f>IF(AB1089=0,"",IF(COUNTIFS(X$6:X1089,X1089,AB$6:AB1089,AB1089)=1,1,0))</f>
        <v/>
      </c>
      <c r="AF1089" s="34">
        <f>IF(C1089="","",YEAR(C1089-WEEKDAY(C1089,2)+4)&amp;"-S"&amp;TEXT(INT((C1089-DATE(YEAR(C1089-WEEKDAY(C1089,2)+4),1,3)+WEEKDAY(DATE(YEAR(C1089-WEEKDAY(C1089,2)+4),1,3),2)+5)/7),"00"))</f>
        <v/>
      </c>
    </row>
    <row r="1090" ht="18" customHeight="1">
      <c r="A1090" s="39" t="n">
        <v>1085</v>
      </c>
      <c r="B1090" s="33">
        <f>IF(C1090="","",IF(P1090="À RENSEIGNER","GIC",P1090)&amp;"-C"&amp;TEXT(A1090,"00000"))</f>
        <v/>
      </c>
      <c r="C1090" s="32" t="n"/>
      <c r="D1090" s="36" t="n"/>
      <c r="E1090" s="36" t="n"/>
      <c r="F1090" s="36" t="n"/>
      <c r="G1090" s="42" t="n"/>
      <c r="H1090" s="37" t="n"/>
      <c r="I1090" s="37" t="n"/>
      <c r="J1090" s="32" t="n"/>
      <c r="K1090" s="32" t="n"/>
      <c r="L1090" s="43" t="n"/>
      <c r="M1090" s="36" t="n"/>
      <c r="N1090" s="44" t="n"/>
      <c r="O1090" s="36" t="n"/>
      <c r="P1090" s="33">
        <f>IF(C1090="","",Commercial_Id)</f>
        <v/>
      </c>
      <c r="Q1090" s="34">
        <f>IF(AC1090="","",IF(AD1090=1,"C"&amp;TEXT(SUM(AD$6:AD1090),"0000"),INDEX(Q$6:Q1089,MATCH(AC1090,AC$6:AC1089,0))))</f>
        <v/>
      </c>
      <c r="R1090" s="34">
        <f>IF(C1090="","",IF(L1090="☑ Oui","Annulée",IF(OR(E1090="Vente directe",K1090&lt;&gt;""),"Livrée",IF(J1090&lt;&gt;"","Confirmée","En attente"))))</f>
        <v/>
      </c>
      <c r="S1090" s="34">
        <f>IF(F1090="","",IFERROR(VLOOKUP(F1090,T_Produits,2,FALSE),""))</f>
        <v/>
      </c>
      <c r="T1090" s="40">
        <f>IF(F1090="","",IFERROR(1/(1/VLOOKUP(F1090,T_Produits,3,FALSE)),""))</f>
        <v/>
      </c>
      <c r="U1090" s="40">
        <f>IF(H1090&lt;&gt;"",H1090,T1090)</f>
        <v/>
      </c>
      <c r="V1090" s="40">
        <f>IF(OR(G1090="",U1090=""),"",G1090*U1090-N(I1090))</f>
        <v/>
      </c>
      <c r="W1090" s="39">
        <f>IF(D1090="","",IFERROR(VALUE(MID(D1090,LEN(D1090)-3,3)),""))</f>
        <v/>
      </c>
      <c r="X1090" s="33">
        <f>IF(W1090="","",P1090&amp;"|"&amp;W1090)</f>
        <v/>
      </c>
      <c r="Y1090" s="33">
        <f>IF(W1090="","",IF(P1090="À RENSEIGNER","GIC",P1090)&amp;"-"&amp;TEXT(W1090,"000"))</f>
        <v/>
      </c>
      <c r="Z1090" s="33">
        <f>IF(X1090="","",IFERROR(INDEX(Cl_nom,MATCH(X1090,Cl_cle,0)),"(client introuvable)"))</f>
        <v/>
      </c>
      <c r="AA1090" s="33">
        <f>IF(X1090="","",IFERROR(INDEX(Cl_quartier,MATCH(X1090,Cl_cle,0))&amp;"",""))</f>
        <v/>
      </c>
      <c r="AB1090" s="45">
        <f>IF(R1090&lt;&gt;"Livrée",0,IF(K1090&lt;&gt;"",K1090,C1090))</f>
        <v/>
      </c>
      <c r="AC1090" s="33">
        <f>IF(OR(C1090="",W1090=""),"",P1090&amp;"|"&amp;W1090&amp;"|"&amp;C1090&amp;"|"&amp;E1090)</f>
        <v/>
      </c>
      <c r="AD1090" s="39">
        <f>IF(AC1090="","",IF(COUNTIF(AC$6:AC1090,AC1090)=1,1,0))</f>
        <v/>
      </c>
      <c r="AE1090" s="39">
        <f>IF(AB1090=0,"",IF(COUNTIFS(X$6:X1090,X1090,AB$6:AB1090,AB1090)=1,1,0))</f>
        <v/>
      </c>
      <c r="AF1090" s="34">
        <f>IF(C1090="","",YEAR(C1090-WEEKDAY(C1090,2)+4)&amp;"-S"&amp;TEXT(INT((C1090-DATE(YEAR(C1090-WEEKDAY(C1090,2)+4),1,3)+WEEKDAY(DATE(YEAR(C1090-WEEKDAY(C1090,2)+4),1,3),2)+5)/7),"00"))</f>
        <v/>
      </c>
    </row>
    <row r="1091" ht="18" customHeight="1">
      <c r="A1091" s="39" t="n">
        <v>1086</v>
      </c>
      <c r="B1091" s="33">
        <f>IF(C1091="","",IF(P1091="À RENSEIGNER","GIC",P1091)&amp;"-C"&amp;TEXT(A1091,"00000"))</f>
        <v/>
      </c>
      <c r="C1091" s="32" t="n"/>
      <c r="D1091" s="36" t="n"/>
      <c r="E1091" s="36" t="n"/>
      <c r="F1091" s="36" t="n"/>
      <c r="G1091" s="42" t="n"/>
      <c r="H1091" s="37" t="n"/>
      <c r="I1091" s="37" t="n"/>
      <c r="J1091" s="32" t="n"/>
      <c r="K1091" s="32" t="n"/>
      <c r="L1091" s="43" t="n"/>
      <c r="M1091" s="36" t="n"/>
      <c r="N1091" s="44" t="n"/>
      <c r="O1091" s="36" t="n"/>
      <c r="P1091" s="33">
        <f>IF(C1091="","",Commercial_Id)</f>
        <v/>
      </c>
      <c r="Q1091" s="34">
        <f>IF(AC1091="","",IF(AD1091=1,"C"&amp;TEXT(SUM(AD$6:AD1091),"0000"),INDEX(Q$6:Q1090,MATCH(AC1091,AC$6:AC1090,0))))</f>
        <v/>
      </c>
      <c r="R1091" s="34">
        <f>IF(C1091="","",IF(L1091="☑ Oui","Annulée",IF(OR(E1091="Vente directe",K1091&lt;&gt;""),"Livrée",IF(J1091&lt;&gt;"","Confirmée","En attente"))))</f>
        <v/>
      </c>
      <c r="S1091" s="34">
        <f>IF(F1091="","",IFERROR(VLOOKUP(F1091,T_Produits,2,FALSE),""))</f>
        <v/>
      </c>
      <c r="T1091" s="40">
        <f>IF(F1091="","",IFERROR(1/(1/VLOOKUP(F1091,T_Produits,3,FALSE)),""))</f>
        <v/>
      </c>
      <c r="U1091" s="40">
        <f>IF(H1091&lt;&gt;"",H1091,T1091)</f>
        <v/>
      </c>
      <c r="V1091" s="40">
        <f>IF(OR(G1091="",U1091=""),"",G1091*U1091-N(I1091))</f>
        <v/>
      </c>
      <c r="W1091" s="39">
        <f>IF(D1091="","",IFERROR(VALUE(MID(D1091,LEN(D1091)-3,3)),""))</f>
        <v/>
      </c>
      <c r="X1091" s="33">
        <f>IF(W1091="","",P1091&amp;"|"&amp;W1091)</f>
        <v/>
      </c>
      <c r="Y1091" s="33">
        <f>IF(W1091="","",IF(P1091="À RENSEIGNER","GIC",P1091)&amp;"-"&amp;TEXT(W1091,"000"))</f>
        <v/>
      </c>
      <c r="Z1091" s="33">
        <f>IF(X1091="","",IFERROR(INDEX(Cl_nom,MATCH(X1091,Cl_cle,0)),"(client introuvable)"))</f>
        <v/>
      </c>
      <c r="AA1091" s="33">
        <f>IF(X1091="","",IFERROR(INDEX(Cl_quartier,MATCH(X1091,Cl_cle,0))&amp;"",""))</f>
        <v/>
      </c>
      <c r="AB1091" s="45">
        <f>IF(R1091&lt;&gt;"Livrée",0,IF(K1091&lt;&gt;"",K1091,C1091))</f>
        <v/>
      </c>
      <c r="AC1091" s="33">
        <f>IF(OR(C1091="",W1091=""),"",P1091&amp;"|"&amp;W1091&amp;"|"&amp;C1091&amp;"|"&amp;E1091)</f>
        <v/>
      </c>
      <c r="AD1091" s="39">
        <f>IF(AC1091="","",IF(COUNTIF(AC$6:AC1091,AC1091)=1,1,0))</f>
        <v/>
      </c>
      <c r="AE1091" s="39">
        <f>IF(AB1091=0,"",IF(COUNTIFS(X$6:X1091,X1091,AB$6:AB1091,AB1091)=1,1,0))</f>
        <v/>
      </c>
      <c r="AF1091" s="34">
        <f>IF(C1091="","",YEAR(C1091-WEEKDAY(C1091,2)+4)&amp;"-S"&amp;TEXT(INT((C1091-DATE(YEAR(C1091-WEEKDAY(C1091,2)+4),1,3)+WEEKDAY(DATE(YEAR(C1091-WEEKDAY(C1091,2)+4),1,3),2)+5)/7),"00"))</f>
        <v/>
      </c>
    </row>
    <row r="1092" ht="18" customHeight="1">
      <c r="A1092" s="39" t="n">
        <v>1087</v>
      </c>
      <c r="B1092" s="33">
        <f>IF(C1092="","",IF(P1092="À RENSEIGNER","GIC",P1092)&amp;"-C"&amp;TEXT(A1092,"00000"))</f>
        <v/>
      </c>
      <c r="C1092" s="32" t="n"/>
      <c r="D1092" s="36" t="n"/>
      <c r="E1092" s="36" t="n"/>
      <c r="F1092" s="36" t="n"/>
      <c r="G1092" s="42" t="n"/>
      <c r="H1092" s="37" t="n"/>
      <c r="I1092" s="37" t="n"/>
      <c r="J1092" s="32" t="n"/>
      <c r="K1092" s="32" t="n"/>
      <c r="L1092" s="43" t="n"/>
      <c r="M1092" s="36" t="n"/>
      <c r="N1092" s="44" t="n"/>
      <c r="O1092" s="36" t="n"/>
      <c r="P1092" s="33">
        <f>IF(C1092="","",Commercial_Id)</f>
        <v/>
      </c>
      <c r="Q1092" s="34">
        <f>IF(AC1092="","",IF(AD1092=1,"C"&amp;TEXT(SUM(AD$6:AD1092),"0000"),INDEX(Q$6:Q1091,MATCH(AC1092,AC$6:AC1091,0))))</f>
        <v/>
      </c>
      <c r="R1092" s="34">
        <f>IF(C1092="","",IF(L1092="☑ Oui","Annulée",IF(OR(E1092="Vente directe",K1092&lt;&gt;""),"Livrée",IF(J1092&lt;&gt;"","Confirmée","En attente"))))</f>
        <v/>
      </c>
      <c r="S1092" s="34">
        <f>IF(F1092="","",IFERROR(VLOOKUP(F1092,T_Produits,2,FALSE),""))</f>
        <v/>
      </c>
      <c r="T1092" s="40">
        <f>IF(F1092="","",IFERROR(1/(1/VLOOKUP(F1092,T_Produits,3,FALSE)),""))</f>
        <v/>
      </c>
      <c r="U1092" s="40">
        <f>IF(H1092&lt;&gt;"",H1092,T1092)</f>
        <v/>
      </c>
      <c r="V1092" s="40">
        <f>IF(OR(G1092="",U1092=""),"",G1092*U1092-N(I1092))</f>
        <v/>
      </c>
      <c r="W1092" s="39">
        <f>IF(D1092="","",IFERROR(VALUE(MID(D1092,LEN(D1092)-3,3)),""))</f>
        <v/>
      </c>
      <c r="X1092" s="33">
        <f>IF(W1092="","",P1092&amp;"|"&amp;W1092)</f>
        <v/>
      </c>
      <c r="Y1092" s="33">
        <f>IF(W1092="","",IF(P1092="À RENSEIGNER","GIC",P1092)&amp;"-"&amp;TEXT(W1092,"000"))</f>
        <v/>
      </c>
      <c r="Z1092" s="33">
        <f>IF(X1092="","",IFERROR(INDEX(Cl_nom,MATCH(X1092,Cl_cle,0)),"(client introuvable)"))</f>
        <v/>
      </c>
      <c r="AA1092" s="33">
        <f>IF(X1092="","",IFERROR(INDEX(Cl_quartier,MATCH(X1092,Cl_cle,0))&amp;"",""))</f>
        <v/>
      </c>
      <c r="AB1092" s="45">
        <f>IF(R1092&lt;&gt;"Livrée",0,IF(K1092&lt;&gt;"",K1092,C1092))</f>
        <v/>
      </c>
      <c r="AC1092" s="33">
        <f>IF(OR(C1092="",W1092=""),"",P1092&amp;"|"&amp;W1092&amp;"|"&amp;C1092&amp;"|"&amp;E1092)</f>
        <v/>
      </c>
      <c r="AD1092" s="39">
        <f>IF(AC1092="","",IF(COUNTIF(AC$6:AC1092,AC1092)=1,1,0))</f>
        <v/>
      </c>
      <c r="AE1092" s="39">
        <f>IF(AB1092=0,"",IF(COUNTIFS(X$6:X1092,X1092,AB$6:AB1092,AB1092)=1,1,0))</f>
        <v/>
      </c>
      <c r="AF1092" s="34">
        <f>IF(C1092="","",YEAR(C1092-WEEKDAY(C1092,2)+4)&amp;"-S"&amp;TEXT(INT((C1092-DATE(YEAR(C1092-WEEKDAY(C1092,2)+4),1,3)+WEEKDAY(DATE(YEAR(C1092-WEEKDAY(C1092,2)+4),1,3),2)+5)/7),"00"))</f>
        <v/>
      </c>
    </row>
    <row r="1093" ht="18" customHeight="1">
      <c r="A1093" s="39" t="n">
        <v>1088</v>
      </c>
      <c r="B1093" s="33">
        <f>IF(C1093="","",IF(P1093="À RENSEIGNER","GIC",P1093)&amp;"-C"&amp;TEXT(A1093,"00000"))</f>
        <v/>
      </c>
      <c r="C1093" s="32" t="n"/>
      <c r="D1093" s="36" t="n"/>
      <c r="E1093" s="36" t="n"/>
      <c r="F1093" s="36" t="n"/>
      <c r="G1093" s="42" t="n"/>
      <c r="H1093" s="37" t="n"/>
      <c r="I1093" s="37" t="n"/>
      <c r="J1093" s="32" t="n"/>
      <c r="K1093" s="32" t="n"/>
      <c r="L1093" s="43" t="n"/>
      <c r="M1093" s="36" t="n"/>
      <c r="N1093" s="44" t="n"/>
      <c r="O1093" s="36" t="n"/>
      <c r="P1093" s="33">
        <f>IF(C1093="","",Commercial_Id)</f>
        <v/>
      </c>
      <c r="Q1093" s="34">
        <f>IF(AC1093="","",IF(AD1093=1,"C"&amp;TEXT(SUM(AD$6:AD1093),"0000"),INDEX(Q$6:Q1092,MATCH(AC1093,AC$6:AC1092,0))))</f>
        <v/>
      </c>
      <c r="R1093" s="34">
        <f>IF(C1093="","",IF(L1093="☑ Oui","Annulée",IF(OR(E1093="Vente directe",K1093&lt;&gt;""),"Livrée",IF(J1093&lt;&gt;"","Confirmée","En attente"))))</f>
        <v/>
      </c>
      <c r="S1093" s="34">
        <f>IF(F1093="","",IFERROR(VLOOKUP(F1093,T_Produits,2,FALSE),""))</f>
        <v/>
      </c>
      <c r="T1093" s="40">
        <f>IF(F1093="","",IFERROR(1/(1/VLOOKUP(F1093,T_Produits,3,FALSE)),""))</f>
        <v/>
      </c>
      <c r="U1093" s="40">
        <f>IF(H1093&lt;&gt;"",H1093,T1093)</f>
        <v/>
      </c>
      <c r="V1093" s="40">
        <f>IF(OR(G1093="",U1093=""),"",G1093*U1093-N(I1093))</f>
        <v/>
      </c>
      <c r="W1093" s="39">
        <f>IF(D1093="","",IFERROR(VALUE(MID(D1093,LEN(D1093)-3,3)),""))</f>
        <v/>
      </c>
      <c r="X1093" s="33">
        <f>IF(W1093="","",P1093&amp;"|"&amp;W1093)</f>
        <v/>
      </c>
      <c r="Y1093" s="33">
        <f>IF(W1093="","",IF(P1093="À RENSEIGNER","GIC",P1093)&amp;"-"&amp;TEXT(W1093,"000"))</f>
        <v/>
      </c>
      <c r="Z1093" s="33">
        <f>IF(X1093="","",IFERROR(INDEX(Cl_nom,MATCH(X1093,Cl_cle,0)),"(client introuvable)"))</f>
        <v/>
      </c>
      <c r="AA1093" s="33">
        <f>IF(X1093="","",IFERROR(INDEX(Cl_quartier,MATCH(X1093,Cl_cle,0))&amp;"",""))</f>
        <v/>
      </c>
      <c r="AB1093" s="45">
        <f>IF(R1093&lt;&gt;"Livrée",0,IF(K1093&lt;&gt;"",K1093,C1093))</f>
        <v/>
      </c>
      <c r="AC1093" s="33">
        <f>IF(OR(C1093="",W1093=""),"",P1093&amp;"|"&amp;W1093&amp;"|"&amp;C1093&amp;"|"&amp;E1093)</f>
        <v/>
      </c>
      <c r="AD1093" s="39">
        <f>IF(AC1093="","",IF(COUNTIF(AC$6:AC1093,AC1093)=1,1,0))</f>
        <v/>
      </c>
      <c r="AE1093" s="39">
        <f>IF(AB1093=0,"",IF(COUNTIFS(X$6:X1093,X1093,AB$6:AB1093,AB1093)=1,1,0))</f>
        <v/>
      </c>
      <c r="AF1093" s="34">
        <f>IF(C1093="","",YEAR(C1093-WEEKDAY(C1093,2)+4)&amp;"-S"&amp;TEXT(INT((C1093-DATE(YEAR(C1093-WEEKDAY(C1093,2)+4),1,3)+WEEKDAY(DATE(YEAR(C1093-WEEKDAY(C1093,2)+4),1,3),2)+5)/7),"00"))</f>
        <v/>
      </c>
    </row>
    <row r="1094" ht="18" customHeight="1">
      <c r="A1094" s="39" t="n">
        <v>1089</v>
      </c>
      <c r="B1094" s="33">
        <f>IF(C1094="","",IF(P1094="À RENSEIGNER","GIC",P1094)&amp;"-C"&amp;TEXT(A1094,"00000"))</f>
        <v/>
      </c>
      <c r="C1094" s="32" t="n"/>
      <c r="D1094" s="36" t="n"/>
      <c r="E1094" s="36" t="n"/>
      <c r="F1094" s="36" t="n"/>
      <c r="G1094" s="42" t="n"/>
      <c r="H1094" s="37" t="n"/>
      <c r="I1094" s="37" t="n"/>
      <c r="J1094" s="32" t="n"/>
      <c r="K1094" s="32" t="n"/>
      <c r="L1094" s="43" t="n"/>
      <c r="M1094" s="36" t="n"/>
      <c r="N1094" s="44" t="n"/>
      <c r="O1094" s="36" t="n"/>
      <c r="P1094" s="33">
        <f>IF(C1094="","",Commercial_Id)</f>
        <v/>
      </c>
      <c r="Q1094" s="34">
        <f>IF(AC1094="","",IF(AD1094=1,"C"&amp;TEXT(SUM(AD$6:AD1094),"0000"),INDEX(Q$6:Q1093,MATCH(AC1094,AC$6:AC1093,0))))</f>
        <v/>
      </c>
      <c r="R1094" s="34">
        <f>IF(C1094="","",IF(L1094="☑ Oui","Annulée",IF(OR(E1094="Vente directe",K1094&lt;&gt;""),"Livrée",IF(J1094&lt;&gt;"","Confirmée","En attente"))))</f>
        <v/>
      </c>
      <c r="S1094" s="34">
        <f>IF(F1094="","",IFERROR(VLOOKUP(F1094,T_Produits,2,FALSE),""))</f>
        <v/>
      </c>
      <c r="T1094" s="40">
        <f>IF(F1094="","",IFERROR(1/(1/VLOOKUP(F1094,T_Produits,3,FALSE)),""))</f>
        <v/>
      </c>
      <c r="U1094" s="40">
        <f>IF(H1094&lt;&gt;"",H1094,T1094)</f>
        <v/>
      </c>
      <c r="V1094" s="40">
        <f>IF(OR(G1094="",U1094=""),"",G1094*U1094-N(I1094))</f>
        <v/>
      </c>
      <c r="W1094" s="39">
        <f>IF(D1094="","",IFERROR(VALUE(MID(D1094,LEN(D1094)-3,3)),""))</f>
        <v/>
      </c>
      <c r="X1094" s="33">
        <f>IF(W1094="","",P1094&amp;"|"&amp;W1094)</f>
        <v/>
      </c>
      <c r="Y1094" s="33">
        <f>IF(W1094="","",IF(P1094="À RENSEIGNER","GIC",P1094)&amp;"-"&amp;TEXT(W1094,"000"))</f>
        <v/>
      </c>
      <c r="Z1094" s="33">
        <f>IF(X1094="","",IFERROR(INDEX(Cl_nom,MATCH(X1094,Cl_cle,0)),"(client introuvable)"))</f>
        <v/>
      </c>
      <c r="AA1094" s="33">
        <f>IF(X1094="","",IFERROR(INDEX(Cl_quartier,MATCH(X1094,Cl_cle,0))&amp;"",""))</f>
        <v/>
      </c>
      <c r="AB1094" s="45">
        <f>IF(R1094&lt;&gt;"Livrée",0,IF(K1094&lt;&gt;"",K1094,C1094))</f>
        <v/>
      </c>
      <c r="AC1094" s="33">
        <f>IF(OR(C1094="",W1094=""),"",P1094&amp;"|"&amp;W1094&amp;"|"&amp;C1094&amp;"|"&amp;E1094)</f>
        <v/>
      </c>
      <c r="AD1094" s="39">
        <f>IF(AC1094="","",IF(COUNTIF(AC$6:AC1094,AC1094)=1,1,0))</f>
        <v/>
      </c>
      <c r="AE1094" s="39">
        <f>IF(AB1094=0,"",IF(COUNTIFS(X$6:X1094,X1094,AB$6:AB1094,AB1094)=1,1,0))</f>
        <v/>
      </c>
      <c r="AF1094" s="34">
        <f>IF(C1094="","",YEAR(C1094-WEEKDAY(C1094,2)+4)&amp;"-S"&amp;TEXT(INT((C1094-DATE(YEAR(C1094-WEEKDAY(C1094,2)+4),1,3)+WEEKDAY(DATE(YEAR(C1094-WEEKDAY(C1094,2)+4),1,3),2)+5)/7),"00"))</f>
        <v/>
      </c>
    </row>
    <row r="1095" ht="18" customHeight="1">
      <c r="A1095" s="39" t="n">
        <v>1090</v>
      </c>
      <c r="B1095" s="33">
        <f>IF(C1095="","",IF(P1095="À RENSEIGNER","GIC",P1095)&amp;"-C"&amp;TEXT(A1095,"00000"))</f>
        <v/>
      </c>
      <c r="C1095" s="32" t="n"/>
      <c r="D1095" s="36" t="n"/>
      <c r="E1095" s="36" t="n"/>
      <c r="F1095" s="36" t="n"/>
      <c r="G1095" s="42" t="n"/>
      <c r="H1095" s="37" t="n"/>
      <c r="I1095" s="37" t="n"/>
      <c r="J1095" s="32" t="n"/>
      <c r="K1095" s="32" t="n"/>
      <c r="L1095" s="43" t="n"/>
      <c r="M1095" s="36" t="n"/>
      <c r="N1095" s="44" t="n"/>
      <c r="O1095" s="36" t="n"/>
      <c r="P1095" s="33">
        <f>IF(C1095="","",Commercial_Id)</f>
        <v/>
      </c>
      <c r="Q1095" s="34">
        <f>IF(AC1095="","",IF(AD1095=1,"C"&amp;TEXT(SUM(AD$6:AD1095),"0000"),INDEX(Q$6:Q1094,MATCH(AC1095,AC$6:AC1094,0))))</f>
        <v/>
      </c>
      <c r="R1095" s="34">
        <f>IF(C1095="","",IF(L1095="☑ Oui","Annulée",IF(OR(E1095="Vente directe",K1095&lt;&gt;""),"Livrée",IF(J1095&lt;&gt;"","Confirmée","En attente"))))</f>
        <v/>
      </c>
      <c r="S1095" s="34">
        <f>IF(F1095="","",IFERROR(VLOOKUP(F1095,T_Produits,2,FALSE),""))</f>
        <v/>
      </c>
      <c r="T1095" s="40">
        <f>IF(F1095="","",IFERROR(1/(1/VLOOKUP(F1095,T_Produits,3,FALSE)),""))</f>
        <v/>
      </c>
      <c r="U1095" s="40">
        <f>IF(H1095&lt;&gt;"",H1095,T1095)</f>
        <v/>
      </c>
      <c r="V1095" s="40">
        <f>IF(OR(G1095="",U1095=""),"",G1095*U1095-N(I1095))</f>
        <v/>
      </c>
      <c r="W1095" s="39">
        <f>IF(D1095="","",IFERROR(VALUE(MID(D1095,LEN(D1095)-3,3)),""))</f>
        <v/>
      </c>
      <c r="X1095" s="33">
        <f>IF(W1095="","",P1095&amp;"|"&amp;W1095)</f>
        <v/>
      </c>
      <c r="Y1095" s="33">
        <f>IF(W1095="","",IF(P1095="À RENSEIGNER","GIC",P1095)&amp;"-"&amp;TEXT(W1095,"000"))</f>
        <v/>
      </c>
      <c r="Z1095" s="33">
        <f>IF(X1095="","",IFERROR(INDEX(Cl_nom,MATCH(X1095,Cl_cle,0)),"(client introuvable)"))</f>
        <v/>
      </c>
      <c r="AA1095" s="33">
        <f>IF(X1095="","",IFERROR(INDEX(Cl_quartier,MATCH(X1095,Cl_cle,0))&amp;"",""))</f>
        <v/>
      </c>
      <c r="AB1095" s="45">
        <f>IF(R1095&lt;&gt;"Livrée",0,IF(K1095&lt;&gt;"",K1095,C1095))</f>
        <v/>
      </c>
      <c r="AC1095" s="33">
        <f>IF(OR(C1095="",W1095=""),"",P1095&amp;"|"&amp;W1095&amp;"|"&amp;C1095&amp;"|"&amp;E1095)</f>
        <v/>
      </c>
      <c r="AD1095" s="39">
        <f>IF(AC1095="","",IF(COUNTIF(AC$6:AC1095,AC1095)=1,1,0))</f>
        <v/>
      </c>
      <c r="AE1095" s="39">
        <f>IF(AB1095=0,"",IF(COUNTIFS(X$6:X1095,X1095,AB$6:AB1095,AB1095)=1,1,0))</f>
        <v/>
      </c>
      <c r="AF1095" s="34">
        <f>IF(C1095="","",YEAR(C1095-WEEKDAY(C1095,2)+4)&amp;"-S"&amp;TEXT(INT((C1095-DATE(YEAR(C1095-WEEKDAY(C1095,2)+4),1,3)+WEEKDAY(DATE(YEAR(C1095-WEEKDAY(C1095,2)+4),1,3),2)+5)/7),"00"))</f>
        <v/>
      </c>
    </row>
    <row r="1096" ht="18" customHeight="1">
      <c r="A1096" s="39" t="n">
        <v>1091</v>
      </c>
      <c r="B1096" s="33">
        <f>IF(C1096="","",IF(P1096="À RENSEIGNER","GIC",P1096)&amp;"-C"&amp;TEXT(A1096,"00000"))</f>
        <v/>
      </c>
      <c r="C1096" s="32" t="n"/>
      <c r="D1096" s="36" t="n"/>
      <c r="E1096" s="36" t="n"/>
      <c r="F1096" s="36" t="n"/>
      <c r="G1096" s="42" t="n"/>
      <c r="H1096" s="37" t="n"/>
      <c r="I1096" s="37" t="n"/>
      <c r="J1096" s="32" t="n"/>
      <c r="K1096" s="32" t="n"/>
      <c r="L1096" s="43" t="n"/>
      <c r="M1096" s="36" t="n"/>
      <c r="N1096" s="44" t="n"/>
      <c r="O1096" s="36" t="n"/>
      <c r="P1096" s="33">
        <f>IF(C1096="","",Commercial_Id)</f>
        <v/>
      </c>
      <c r="Q1096" s="34">
        <f>IF(AC1096="","",IF(AD1096=1,"C"&amp;TEXT(SUM(AD$6:AD1096),"0000"),INDEX(Q$6:Q1095,MATCH(AC1096,AC$6:AC1095,0))))</f>
        <v/>
      </c>
      <c r="R1096" s="34">
        <f>IF(C1096="","",IF(L1096="☑ Oui","Annulée",IF(OR(E1096="Vente directe",K1096&lt;&gt;""),"Livrée",IF(J1096&lt;&gt;"","Confirmée","En attente"))))</f>
        <v/>
      </c>
      <c r="S1096" s="34">
        <f>IF(F1096="","",IFERROR(VLOOKUP(F1096,T_Produits,2,FALSE),""))</f>
        <v/>
      </c>
      <c r="T1096" s="40">
        <f>IF(F1096="","",IFERROR(1/(1/VLOOKUP(F1096,T_Produits,3,FALSE)),""))</f>
        <v/>
      </c>
      <c r="U1096" s="40">
        <f>IF(H1096&lt;&gt;"",H1096,T1096)</f>
        <v/>
      </c>
      <c r="V1096" s="40">
        <f>IF(OR(G1096="",U1096=""),"",G1096*U1096-N(I1096))</f>
        <v/>
      </c>
      <c r="W1096" s="39">
        <f>IF(D1096="","",IFERROR(VALUE(MID(D1096,LEN(D1096)-3,3)),""))</f>
        <v/>
      </c>
      <c r="X1096" s="33">
        <f>IF(W1096="","",P1096&amp;"|"&amp;W1096)</f>
        <v/>
      </c>
      <c r="Y1096" s="33">
        <f>IF(W1096="","",IF(P1096="À RENSEIGNER","GIC",P1096)&amp;"-"&amp;TEXT(W1096,"000"))</f>
        <v/>
      </c>
      <c r="Z1096" s="33">
        <f>IF(X1096="","",IFERROR(INDEX(Cl_nom,MATCH(X1096,Cl_cle,0)),"(client introuvable)"))</f>
        <v/>
      </c>
      <c r="AA1096" s="33">
        <f>IF(X1096="","",IFERROR(INDEX(Cl_quartier,MATCH(X1096,Cl_cle,0))&amp;"",""))</f>
        <v/>
      </c>
      <c r="AB1096" s="45">
        <f>IF(R1096&lt;&gt;"Livrée",0,IF(K1096&lt;&gt;"",K1096,C1096))</f>
        <v/>
      </c>
      <c r="AC1096" s="33">
        <f>IF(OR(C1096="",W1096=""),"",P1096&amp;"|"&amp;W1096&amp;"|"&amp;C1096&amp;"|"&amp;E1096)</f>
        <v/>
      </c>
      <c r="AD1096" s="39">
        <f>IF(AC1096="","",IF(COUNTIF(AC$6:AC1096,AC1096)=1,1,0))</f>
        <v/>
      </c>
      <c r="AE1096" s="39">
        <f>IF(AB1096=0,"",IF(COUNTIFS(X$6:X1096,X1096,AB$6:AB1096,AB1096)=1,1,0))</f>
        <v/>
      </c>
      <c r="AF1096" s="34">
        <f>IF(C1096="","",YEAR(C1096-WEEKDAY(C1096,2)+4)&amp;"-S"&amp;TEXT(INT((C1096-DATE(YEAR(C1096-WEEKDAY(C1096,2)+4),1,3)+WEEKDAY(DATE(YEAR(C1096-WEEKDAY(C1096,2)+4),1,3),2)+5)/7),"00"))</f>
        <v/>
      </c>
    </row>
    <row r="1097" ht="18" customHeight="1">
      <c r="A1097" s="39" t="n">
        <v>1092</v>
      </c>
      <c r="B1097" s="33">
        <f>IF(C1097="","",IF(P1097="À RENSEIGNER","GIC",P1097)&amp;"-C"&amp;TEXT(A1097,"00000"))</f>
        <v/>
      </c>
      <c r="C1097" s="32" t="n"/>
      <c r="D1097" s="36" t="n"/>
      <c r="E1097" s="36" t="n"/>
      <c r="F1097" s="36" t="n"/>
      <c r="G1097" s="42" t="n"/>
      <c r="H1097" s="37" t="n"/>
      <c r="I1097" s="37" t="n"/>
      <c r="J1097" s="32" t="n"/>
      <c r="K1097" s="32" t="n"/>
      <c r="L1097" s="43" t="n"/>
      <c r="M1097" s="36" t="n"/>
      <c r="N1097" s="44" t="n"/>
      <c r="O1097" s="36" t="n"/>
      <c r="P1097" s="33">
        <f>IF(C1097="","",Commercial_Id)</f>
        <v/>
      </c>
      <c r="Q1097" s="34">
        <f>IF(AC1097="","",IF(AD1097=1,"C"&amp;TEXT(SUM(AD$6:AD1097),"0000"),INDEX(Q$6:Q1096,MATCH(AC1097,AC$6:AC1096,0))))</f>
        <v/>
      </c>
      <c r="R1097" s="34">
        <f>IF(C1097="","",IF(L1097="☑ Oui","Annulée",IF(OR(E1097="Vente directe",K1097&lt;&gt;""),"Livrée",IF(J1097&lt;&gt;"","Confirmée","En attente"))))</f>
        <v/>
      </c>
      <c r="S1097" s="34">
        <f>IF(F1097="","",IFERROR(VLOOKUP(F1097,T_Produits,2,FALSE),""))</f>
        <v/>
      </c>
      <c r="T1097" s="40">
        <f>IF(F1097="","",IFERROR(1/(1/VLOOKUP(F1097,T_Produits,3,FALSE)),""))</f>
        <v/>
      </c>
      <c r="U1097" s="40">
        <f>IF(H1097&lt;&gt;"",H1097,T1097)</f>
        <v/>
      </c>
      <c r="V1097" s="40">
        <f>IF(OR(G1097="",U1097=""),"",G1097*U1097-N(I1097))</f>
        <v/>
      </c>
      <c r="W1097" s="39">
        <f>IF(D1097="","",IFERROR(VALUE(MID(D1097,LEN(D1097)-3,3)),""))</f>
        <v/>
      </c>
      <c r="X1097" s="33">
        <f>IF(W1097="","",P1097&amp;"|"&amp;W1097)</f>
        <v/>
      </c>
      <c r="Y1097" s="33">
        <f>IF(W1097="","",IF(P1097="À RENSEIGNER","GIC",P1097)&amp;"-"&amp;TEXT(W1097,"000"))</f>
        <v/>
      </c>
      <c r="Z1097" s="33">
        <f>IF(X1097="","",IFERROR(INDEX(Cl_nom,MATCH(X1097,Cl_cle,0)),"(client introuvable)"))</f>
        <v/>
      </c>
      <c r="AA1097" s="33">
        <f>IF(X1097="","",IFERROR(INDEX(Cl_quartier,MATCH(X1097,Cl_cle,0))&amp;"",""))</f>
        <v/>
      </c>
      <c r="AB1097" s="45">
        <f>IF(R1097&lt;&gt;"Livrée",0,IF(K1097&lt;&gt;"",K1097,C1097))</f>
        <v/>
      </c>
      <c r="AC1097" s="33">
        <f>IF(OR(C1097="",W1097=""),"",P1097&amp;"|"&amp;W1097&amp;"|"&amp;C1097&amp;"|"&amp;E1097)</f>
        <v/>
      </c>
      <c r="AD1097" s="39">
        <f>IF(AC1097="","",IF(COUNTIF(AC$6:AC1097,AC1097)=1,1,0))</f>
        <v/>
      </c>
      <c r="AE1097" s="39">
        <f>IF(AB1097=0,"",IF(COUNTIFS(X$6:X1097,X1097,AB$6:AB1097,AB1097)=1,1,0))</f>
        <v/>
      </c>
      <c r="AF1097" s="34">
        <f>IF(C1097="","",YEAR(C1097-WEEKDAY(C1097,2)+4)&amp;"-S"&amp;TEXT(INT((C1097-DATE(YEAR(C1097-WEEKDAY(C1097,2)+4),1,3)+WEEKDAY(DATE(YEAR(C1097-WEEKDAY(C1097,2)+4),1,3),2)+5)/7),"00"))</f>
        <v/>
      </c>
    </row>
    <row r="1098" ht="18" customHeight="1">
      <c r="A1098" s="39" t="n">
        <v>1093</v>
      </c>
      <c r="B1098" s="33">
        <f>IF(C1098="","",IF(P1098="À RENSEIGNER","GIC",P1098)&amp;"-C"&amp;TEXT(A1098,"00000"))</f>
        <v/>
      </c>
      <c r="C1098" s="32" t="n"/>
      <c r="D1098" s="36" t="n"/>
      <c r="E1098" s="36" t="n"/>
      <c r="F1098" s="36" t="n"/>
      <c r="G1098" s="42" t="n"/>
      <c r="H1098" s="37" t="n"/>
      <c r="I1098" s="37" t="n"/>
      <c r="J1098" s="32" t="n"/>
      <c r="K1098" s="32" t="n"/>
      <c r="L1098" s="43" t="n"/>
      <c r="M1098" s="36" t="n"/>
      <c r="N1098" s="44" t="n"/>
      <c r="O1098" s="36" t="n"/>
      <c r="P1098" s="33">
        <f>IF(C1098="","",Commercial_Id)</f>
        <v/>
      </c>
      <c r="Q1098" s="34">
        <f>IF(AC1098="","",IF(AD1098=1,"C"&amp;TEXT(SUM(AD$6:AD1098),"0000"),INDEX(Q$6:Q1097,MATCH(AC1098,AC$6:AC1097,0))))</f>
        <v/>
      </c>
      <c r="R1098" s="34">
        <f>IF(C1098="","",IF(L1098="☑ Oui","Annulée",IF(OR(E1098="Vente directe",K1098&lt;&gt;""),"Livrée",IF(J1098&lt;&gt;"","Confirmée","En attente"))))</f>
        <v/>
      </c>
      <c r="S1098" s="34">
        <f>IF(F1098="","",IFERROR(VLOOKUP(F1098,T_Produits,2,FALSE),""))</f>
        <v/>
      </c>
      <c r="T1098" s="40">
        <f>IF(F1098="","",IFERROR(1/(1/VLOOKUP(F1098,T_Produits,3,FALSE)),""))</f>
        <v/>
      </c>
      <c r="U1098" s="40">
        <f>IF(H1098&lt;&gt;"",H1098,T1098)</f>
        <v/>
      </c>
      <c r="V1098" s="40">
        <f>IF(OR(G1098="",U1098=""),"",G1098*U1098-N(I1098))</f>
        <v/>
      </c>
      <c r="W1098" s="39">
        <f>IF(D1098="","",IFERROR(VALUE(MID(D1098,LEN(D1098)-3,3)),""))</f>
        <v/>
      </c>
      <c r="X1098" s="33">
        <f>IF(W1098="","",P1098&amp;"|"&amp;W1098)</f>
        <v/>
      </c>
      <c r="Y1098" s="33">
        <f>IF(W1098="","",IF(P1098="À RENSEIGNER","GIC",P1098)&amp;"-"&amp;TEXT(W1098,"000"))</f>
        <v/>
      </c>
      <c r="Z1098" s="33">
        <f>IF(X1098="","",IFERROR(INDEX(Cl_nom,MATCH(X1098,Cl_cle,0)),"(client introuvable)"))</f>
        <v/>
      </c>
      <c r="AA1098" s="33">
        <f>IF(X1098="","",IFERROR(INDEX(Cl_quartier,MATCH(X1098,Cl_cle,0))&amp;"",""))</f>
        <v/>
      </c>
      <c r="AB1098" s="45">
        <f>IF(R1098&lt;&gt;"Livrée",0,IF(K1098&lt;&gt;"",K1098,C1098))</f>
        <v/>
      </c>
      <c r="AC1098" s="33">
        <f>IF(OR(C1098="",W1098=""),"",P1098&amp;"|"&amp;W1098&amp;"|"&amp;C1098&amp;"|"&amp;E1098)</f>
        <v/>
      </c>
      <c r="AD1098" s="39">
        <f>IF(AC1098="","",IF(COUNTIF(AC$6:AC1098,AC1098)=1,1,0))</f>
        <v/>
      </c>
      <c r="AE1098" s="39">
        <f>IF(AB1098=0,"",IF(COUNTIFS(X$6:X1098,X1098,AB$6:AB1098,AB1098)=1,1,0))</f>
        <v/>
      </c>
      <c r="AF1098" s="34">
        <f>IF(C1098="","",YEAR(C1098-WEEKDAY(C1098,2)+4)&amp;"-S"&amp;TEXT(INT((C1098-DATE(YEAR(C1098-WEEKDAY(C1098,2)+4),1,3)+WEEKDAY(DATE(YEAR(C1098-WEEKDAY(C1098,2)+4),1,3),2)+5)/7),"00"))</f>
        <v/>
      </c>
    </row>
    <row r="1099" ht="18" customHeight="1">
      <c r="A1099" s="39" t="n">
        <v>1094</v>
      </c>
      <c r="B1099" s="33">
        <f>IF(C1099="","",IF(P1099="À RENSEIGNER","GIC",P1099)&amp;"-C"&amp;TEXT(A1099,"00000"))</f>
        <v/>
      </c>
      <c r="C1099" s="32" t="n"/>
      <c r="D1099" s="36" t="n"/>
      <c r="E1099" s="36" t="n"/>
      <c r="F1099" s="36" t="n"/>
      <c r="G1099" s="42" t="n"/>
      <c r="H1099" s="37" t="n"/>
      <c r="I1099" s="37" t="n"/>
      <c r="J1099" s="32" t="n"/>
      <c r="K1099" s="32" t="n"/>
      <c r="L1099" s="43" t="n"/>
      <c r="M1099" s="36" t="n"/>
      <c r="N1099" s="44" t="n"/>
      <c r="O1099" s="36" t="n"/>
      <c r="P1099" s="33">
        <f>IF(C1099="","",Commercial_Id)</f>
        <v/>
      </c>
      <c r="Q1099" s="34">
        <f>IF(AC1099="","",IF(AD1099=1,"C"&amp;TEXT(SUM(AD$6:AD1099),"0000"),INDEX(Q$6:Q1098,MATCH(AC1099,AC$6:AC1098,0))))</f>
        <v/>
      </c>
      <c r="R1099" s="34">
        <f>IF(C1099="","",IF(L1099="☑ Oui","Annulée",IF(OR(E1099="Vente directe",K1099&lt;&gt;""),"Livrée",IF(J1099&lt;&gt;"","Confirmée","En attente"))))</f>
        <v/>
      </c>
      <c r="S1099" s="34">
        <f>IF(F1099="","",IFERROR(VLOOKUP(F1099,T_Produits,2,FALSE),""))</f>
        <v/>
      </c>
      <c r="T1099" s="40">
        <f>IF(F1099="","",IFERROR(1/(1/VLOOKUP(F1099,T_Produits,3,FALSE)),""))</f>
        <v/>
      </c>
      <c r="U1099" s="40">
        <f>IF(H1099&lt;&gt;"",H1099,T1099)</f>
        <v/>
      </c>
      <c r="V1099" s="40">
        <f>IF(OR(G1099="",U1099=""),"",G1099*U1099-N(I1099))</f>
        <v/>
      </c>
      <c r="W1099" s="39">
        <f>IF(D1099="","",IFERROR(VALUE(MID(D1099,LEN(D1099)-3,3)),""))</f>
        <v/>
      </c>
      <c r="X1099" s="33">
        <f>IF(W1099="","",P1099&amp;"|"&amp;W1099)</f>
        <v/>
      </c>
      <c r="Y1099" s="33">
        <f>IF(W1099="","",IF(P1099="À RENSEIGNER","GIC",P1099)&amp;"-"&amp;TEXT(W1099,"000"))</f>
        <v/>
      </c>
      <c r="Z1099" s="33">
        <f>IF(X1099="","",IFERROR(INDEX(Cl_nom,MATCH(X1099,Cl_cle,0)),"(client introuvable)"))</f>
        <v/>
      </c>
      <c r="AA1099" s="33">
        <f>IF(X1099="","",IFERROR(INDEX(Cl_quartier,MATCH(X1099,Cl_cle,0))&amp;"",""))</f>
        <v/>
      </c>
      <c r="AB1099" s="45">
        <f>IF(R1099&lt;&gt;"Livrée",0,IF(K1099&lt;&gt;"",K1099,C1099))</f>
        <v/>
      </c>
      <c r="AC1099" s="33">
        <f>IF(OR(C1099="",W1099=""),"",P1099&amp;"|"&amp;W1099&amp;"|"&amp;C1099&amp;"|"&amp;E1099)</f>
        <v/>
      </c>
      <c r="AD1099" s="39">
        <f>IF(AC1099="","",IF(COUNTIF(AC$6:AC1099,AC1099)=1,1,0))</f>
        <v/>
      </c>
      <c r="AE1099" s="39">
        <f>IF(AB1099=0,"",IF(COUNTIFS(X$6:X1099,X1099,AB$6:AB1099,AB1099)=1,1,0))</f>
        <v/>
      </c>
      <c r="AF1099" s="34">
        <f>IF(C1099="","",YEAR(C1099-WEEKDAY(C1099,2)+4)&amp;"-S"&amp;TEXT(INT((C1099-DATE(YEAR(C1099-WEEKDAY(C1099,2)+4),1,3)+WEEKDAY(DATE(YEAR(C1099-WEEKDAY(C1099,2)+4),1,3),2)+5)/7),"00"))</f>
        <v/>
      </c>
    </row>
    <row r="1100" ht="18" customHeight="1">
      <c r="A1100" s="39" t="n">
        <v>1095</v>
      </c>
      <c r="B1100" s="33">
        <f>IF(C1100="","",IF(P1100="À RENSEIGNER","GIC",P1100)&amp;"-C"&amp;TEXT(A1100,"00000"))</f>
        <v/>
      </c>
      <c r="C1100" s="32" t="n"/>
      <c r="D1100" s="36" t="n"/>
      <c r="E1100" s="36" t="n"/>
      <c r="F1100" s="36" t="n"/>
      <c r="G1100" s="42" t="n"/>
      <c r="H1100" s="37" t="n"/>
      <c r="I1100" s="37" t="n"/>
      <c r="J1100" s="32" t="n"/>
      <c r="K1100" s="32" t="n"/>
      <c r="L1100" s="43" t="n"/>
      <c r="M1100" s="36" t="n"/>
      <c r="N1100" s="44" t="n"/>
      <c r="O1100" s="36" t="n"/>
      <c r="P1100" s="33">
        <f>IF(C1100="","",Commercial_Id)</f>
        <v/>
      </c>
      <c r="Q1100" s="34">
        <f>IF(AC1100="","",IF(AD1100=1,"C"&amp;TEXT(SUM(AD$6:AD1100),"0000"),INDEX(Q$6:Q1099,MATCH(AC1100,AC$6:AC1099,0))))</f>
        <v/>
      </c>
      <c r="R1100" s="34">
        <f>IF(C1100="","",IF(L1100="☑ Oui","Annulée",IF(OR(E1100="Vente directe",K1100&lt;&gt;""),"Livrée",IF(J1100&lt;&gt;"","Confirmée","En attente"))))</f>
        <v/>
      </c>
      <c r="S1100" s="34">
        <f>IF(F1100="","",IFERROR(VLOOKUP(F1100,T_Produits,2,FALSE),""))</f>
        <v/>
      </c>
      <c r="T1100" s="40">
        <f>IF(F1100="","",IFERROR(1/(1/VLOOKUP(F1100,T_Produits,3,FALSE)),""))</f>
        <v/>
      </c>
      <c r="U1100" s="40">
        <f>IF(H1100&lt;&gt;"",H1100,T1100)</f>
        <v/>
      </c>
      <c r="V1100" s="40">
        <f>IF(OR(G1100="",U1100=""),"",G1100*U1100-N(I1100))</f>
        <v/>
      </c>
      <c r="W1100" s="39">
        <f>IF(D1100="","",IFERROR(VALUE(MID(D1100,LEN(D1100)-3,3)),""))</f>
        <v/>
      </c>
      <c r="X1100" s="33">
        <f>IF(W1100="","",P1100&amp;"|"&amp;W1100)</f>
        <v/>
      </c>
      <c r="Y1100" s="33">
        <f>IF(W1100="","",IF(P1100="À RENSEIGNER","GIC",P1100)&amp;"-"&amp;TEXT(W1100,"000"))</f>
        <v/>
      </c>
      <c r="Z1100" s="33">
        <f>IF(X1100="","",IFERROR(INDEX(Cl_nom,MATCH(X1100,Cl_cle,0)),"(client introuvable)"))</f>
        <v/>
      </c>
      <c r="AA1100" s="33">
        <f>IF(X1100="","",IFERROR(INDEX(Cl_quartier,MATCH(X1100,Cl_cle,0))&amp;"",""))</f>
        <v/>
      </c>
      <c r="AB1100" s="45">
        <f>IF(R1100&lt;&gt;"Livrée",0,IF(K1100&lt;&gt;"",K1100,C1100))</f>
        <v/>
      </c>
      <c r="AC1100" s="33">
        <f>IF(OR(C1100="",W1100=""),"",P1100&amp;"|"&amp;W1100&amp;"|"&amp;C1100&amp;"|"&amp;E1100)</f>
        <v/>
      </c>
      <c r="AD1100" s="39">
        <f>IF(AC1100="","",IF(COUNTIF(AC$6:AC1100,AC1100)=1,1,0))</f>
        <v/>
      </c>
      <c r="AE1100" s="39">
        <f>IF(AB1100=0,"",IF(COUNTIFS(X$6:X1100,X1100,AB$6:AB1100,AB1100)=1,1,0))</f>
        <v/>
      </c>
      <c r="AF1100" s="34">
        <f>IF(C1100="","",YEAR(C1100-WEEKDAY(C1100,2)+4)&amp;"-S"&amp;TEXT(INT((C1100-DATE(YEAR(C1100-WEEKDAY(C1100,2)+4),1,3)+WEEKDAY(DATE(YEAR(C1100-WEEKDAY(C1100,2)+4),1,3),2)+5)/7),"00"))</f>
        <v/>
      </c>
    </row>
    <row r="1101" ht="18" customHeight="1">
      <c r="A1101" s="39" t="n">
        <v>1096</v>
      </c>
      <c r="B1101" s="33">
        <f>IF(C1101="","",IF(P1101="À RENSEIGNER","GIC",P1101)&amp;"-C"&amp;TEXT(A1101,"00000"))</f>
        <v/>
      </c>
      <c r="C1101" s="32" t="n"/>
      <c r="D1101" s="36" t="n"/>
      <c r="E1101" s="36" t="n"/>
      <c r="F1101" s="36" t="n"/>
      <c r="G1101" s="42" t="n"/>
      <c r="H1101" s="37" t="n"/>
      <c r="I1101" s="37" t="n"/>
      <c r="J1101" s="32" t="n"/>
      <c r="K1101" s="32" t="n"/>
      <c r="L1101" s="43" t="n"/>
      <c r="M1101" s="36" t="n"/>
      <c r="N1101" s="44" t="n"/>
      <c r="O1101" s="36" t="n"/>
      <c r="P1101" s="33">
        <f>IF(C1101="","",Commercial_Id)</f>
        <v/>
      </c>
      <c r="Q1101" s="34">
        <f>IF(AC1101="","",IF(AD1101=1,"C"&amp;TEXT(SUM(AD$6:AD1101),"0000"),INDEX(Q$6:Q1100,MATCH(AC1101,AC$6:AC1100,0))))</f>
        <v/>
      </c>
      <c r="R1101" s="34">
        <f>IF(C1101="","",IF(L1101="☑ Oui","Annulée",IF(OR(E1101="Vente directe",K1101&lt;&gt;""),"Livrée",IF(J1101&lt;&gt;"","Confirmée","En attente"))))</f>
        <v/>
      </c>
      <c r="S1101" s="34">
        <f>IF(F1101="","",IFERROR(VLOOKUP(F1101,T_Produits,2,FALSE),""))</f>
        <v/>
      </c>
      <c r="T1101" s="40">
        <f>IF(F1101="","",IFERROR(1/(1/VLOOKUP(F1101,T_Produits,3,FALSE)),""))</f>
        <v/>
      </c>
      <c r="U1101" s="40">
        <f>IF(H1101&lt;&gt;"",H1101,T1101)</f>
        <v/>
      </c>
      <c r="V1101" s="40">
        <f>IF(OR(G1101="",U1101=""),"",G1101*U1101-N(I1101))</f>
        <v/>
      </c>
      <c r="W1101" s="39">
        <f>IF(D1101="","",IFERROR(VALUE(MID(D1101,LEN(D1101)-3,3)),""))</f>
        <v/>
      </c>
      <c r="X1101" s="33">
        <f>IF(W1101="","",P1101&amp;"|"&amp;W1101)</f>
        <v/>
      </c>
      <c r="Y1101" s="33">
        <f>IF(W1101="","",IF(P1101="À RENSEIGNER","GIC",P1101)&amp;"-"&amp;TEXT(W1101,"000"))</f>
        <v/>
      </c>
      <c r="Z1101" s="33">
        <f>IF(X1101="","",IFERROR(INDEX(Cl_nom,MATCH(X1101,Cl_cle,0)),"(client introuvable)"))</f>
        <v/>
      </c>
      <c r="AA1101" s="33">
        <f>IF(X1101="","",IFERROR(INDEX(Cl_quartier,MATCH(X1101,Cl_cle,0))&amp;"",""))</f>
        <v/>
      </c>
      <c r="AB1101" s="45">
        <f>IF(R1101&lt;&gt;"Livrée",0,IF(K1101&lt;&gt;"",K1101,C1101))</f>
        <v/>
      </c>
      <c r="AC1101" s="33">
        <f>IF(OR(C1101="",W1101=""),"",P1101&amp;"|"&amp;W1101&amp;"|"&amp;C1101&amp;"|"&amp;E1101)</f>
        <v/>
      </c>
      <c r="AD1101" s="39">
        <f>IF(AC1101="","",IF(COUNTIF(AC$6:AC1101,AC1101)=1,1,0))</f>
        <v/>
      </c>
      <c r="AE1101" s="39">
        <f>IF(AB1101=0,"",IF(COUNTIFS(X$6:X1101,X1101,AB$6:AB1101,AB1101)=1,1,0))</f>
        <v/>
      </c>
      <c r="AF1101" s="34">
        <f>IF(C1101="","",YEAR(C1101-WEEKDAY(C1101,2)+4)&amp;"-S"&amp;TEXT(INT((C1101-DATE(YEAR(C1101-WEEKDAY(C1101,2)+4),1,3)+WEEKDAY(DATE(YEAR(C1101-WEEKDAY(C1101,2)+4),1,3),2)+5)/7),"00"))</f>
        <v/>
      </c>
    </row>
    <row r="1102" ht="18" customHeight="1">
      <c r="A1102" s="39" t="n">
        <v>1097</v>
      </c>
      <c r="B1102" s="33">
        <f>IF(C1102="","",IF(P1102="À RENSEIGNER","GIC",P1102)&amp;"-C"&amp;TEXT(A1102,"00000"))</f>
        <v/>
      </c>
      <c r="C1102" s="32" t="n"/>
      <c r="D1102" s="36" t="n"/>
      <c r="E1102" s="36" t="n"/>
      <c r="F1102" s="36" t="n"/>
      <c r="G1102" s="42" t="n"/>
      <c r="H1102" s="37" t="n"/>
      <c r="I1102" s="37" t="n"/>
      <c r="J1102" s="32" t="n"/>
      <c r="K1102" s="32" t="n"/>
      <c r="L1102" s="43" t="n"/>
      <c r="M1102" s="36" t="n"/>
      <c r="N1102" s="44" t="n"/>
      <c r="O1102" s="36" t="n"/>
      <c r="P1102" s="33">
        <f>IF(C1102="","",Commercial_Id)</f>
        <v/>
      </c>
      <c r="Q1102" s="34">
        <f>IF(AC1102="","",IF(AD1102=1,"C"&amp;TEXT(SUM(AD$6:AD1102),"0000"),INDEX(Q$6:Q1101,MATCH(AC1102,AC$6:AC1101,0))))</f>
        <v/>
      </c>
      <c r="R1102" s="34">
        <f>IF(C1102="","",IF(L1102="☑ Oui","Annulée",IF(OR(E1102="Vente directe",K1102&lt;&gt;""),"Livrée",IF(J1102&lt;&gt;"","Confirmée","En attente"))))</f>
        <v/>
      </c>
      <c r="S1102" s="34">
        <f>IF(F1102="","",IFERROR(VLOOKUP(F1102,T_Produits,2,FALSE),""))</f>
        <v/>
      </c>
      <c r="T1102" s="40">
        <f>IF(F1102="","",IFERROR(1/(1/VLOOKUP(F1102,T_Produits,3,FALSE)),""))</f>
        <v/>
      </c>
      <c r="U1102" s="40">
        <f>IF(H1102&lt;&gt;"",H1102,T1102)</f>
        <v/>
      </c>
      <c r="V1102" s="40">
        <f>IF(OR(G1102="",U1102=""),"",G1102*U1102-N(I1102))</f>
        <v/>
      </c>
      <c r="W1102" s="39">
        <f>IF(D1102="","",IFERROR(VALUE(MID(D1102,LEN(D1102)-3,3)),""))</f>
        <v/>
      </c>
      <c r="X1102" s="33">
        <f>IF(W1102="","",P1102&amp;"|"&amp;W1102)</f>
        <v/>
      </c>
      <c r="Y1102" s="33">
        <f>IF(W1102="","",IF(P1102="À RENSEIGNER","GIC",P1102)&amp;"-"&amp;TEXT(W1102,"000"))</f>
        <v/>
      </c>
      <c r="Z1102" s="33">
        <f>IF(X1102="","",IFERROR(INDEX(Cl_nom,MATCH(X1102,Cl_cle,0)),"(client introuvable)"))</f>
        <v/>
      </c>
      <c r="AA1102" s="33">
        <f>IF(X1102="","",IFERROR(INDEX(Cl_quartier,MATCH(X1102,Cl_cle,0))&amp;"",""))</f>
        <v/>
      </c>
      <c r="AB1102" s="45">
        <f>IF(R1102&lt;&gt;"Livrée",0,IF(K1102&lt;&gt;"",K1102,C1102))</f>
        <v/>
      </c>
      <c r="AC1102" s="33">
        <f>IF(OR(C1102="",W1102=""),"",P1102&amp;"|"&amp;W1102&amp;"|"&amp;C1102&amp;"|"&amp;E1102)</f>
        <v/>
      </c>
      <c r="AD1102" s="39">
        <f>IF(AC1102="","",IF(COUNTIF(AC$6:AC1102,AC1102)=1,1,0))</f>
        <v/>
      </c>
      <c r="AE1102" s="39">
        <f>IF(AB1102=0,"",IF(COUNTIFS(X$6:X1102,X1102,AB$6:AB1102,AB1102)=1,1,0))</f>
        <v/>
      </c>
      <c r="AF1102" s="34">
        <f>IF(C1102="","",YEAR(C1102-WEEKDAY(C1102,2)+4)&amp;"-S"&amp;TEXT(INT((C1102-DATE(YEAR(C1102-WEEKDAY(C1102,2)+4),1,3)+WEEKDAY(DATE(YEAR(C1102-WEEKDAY(C1102,2)+4),1,3),2)+5)/7),"00"))</f>
        <v/>
      </c>
    </row>
    <row r="1103" ht="18" customHeight="1">
      <c r="A1103" s="39" t="n">
        <v>1098</v>
      </c>
      <c r="B1103" s="33">
        <f>IF(C1103="","",IF(P1103="À RENSEIGNER","GIC",P1103)&amp;"-C"&amp;TEXT(A1103,"00000"))</f>
        <v/>
      </c>
      <c r="C1103" s="32" t="n"/>
      <c r="D1103" s="36" t="n"/>
      <c r="E1103" s="36" t="n"/>
      <c r="F1103" s="36" t="n"/>
      <c r="G1103" s="42" t="n"/>
      <c r="H1103" s="37" t="n"/>
      <c r="I1103" s="37" t="n"/>
      <c r="J1103" s="32" t="n"/>
      <c r="K1103" s="32" t="n"/>
      <c r="L1103" s="43" t="n"/>
      <c r="M1103" s="36" t="n"/>
      <c r="N1103" s="44" t="n"/>
      <c r="O1103" s="36" t="n"/>
      <c r="P1103" s="33">
        <f>IF(C1103="","",Commercial_Id)</f>
        <v/>
      </c>
      <c r="Q1103" s="34">
        <f>IF(AC1103="","",IF(AD1103=1,"C"&amp;TEXT(SUM(AD$6:AD1103),"0000"),INDEX(Q$6:Q1102,MATCH(AC1103,AC$6:AC1102,0))))</f>
        <v/>
      </c>
      <c r="R1103" s="34">
        <f>IF(C1103="","",IF(L1103="☑ Oui","Annulée",IF(OR(E1103="Vente directe",K1103&lt;&gt;""),"Livrée",IF(J1103&lt;&gt;"","Confirmée","En attente"))))</f>
        <v/>
      </c>
      <c r="S1103" s="34">
        <f>IF(F1103="","",IFERROR(VLOOKUP(F1103,T_Produits,2,FALSE),""))</f>
        <v/>
      </c>
      <c r="T1103" s="40">
        <f>IF(F1103="","",IFERROR(1/(1/VLOOKUP(F1103,T_Produits,3,FALSE)),""))</f>
        <v/>
      </c>
      <c r="U1103" s="40">
        <f>IF(H1103&lt;&gt;"",H1103,T1103)</f>
        <v/>
      </c>
      <c r="V1103" s="40">
        <f>IF(OR(G1103="",U1103=""),"",G1103*U1103-N(I1103))</f>
        <v/>
      </c>
      <c r="W1103" s="39">
        <f>IF(D1103="","",IFERROR(VALUE(MID(D1103,LEN(D1103)-3,3)),""))</f>
        <v/>
      </c>
      <c r="X1103" s="33">
        <f>IF(W1103="","",P1103&amp;"|"&amp;W1103)</f>
        <v/>
      </c>
      <c r="Y1103" s="33">
        <f>IF(W1103="","",IF(P1103="À RENSEIGNER","GIC",P1103)&amp;"-"&amp;TEXT(W1103,"000"))</f>
        <v/>
      </c>
      <c r="Z1103" s="33">
        <f>IF(X1103="","",IFERROR(INDEX(Cl_nom,MATCH(X1103,Cl_cle,0)),"(client introuvable)"))</f>
        <v/>
      </c>
      <c r="AA1103" s="33">
        <f>IF(X1103="","",IFERROR(INDEX(Cl_quartier,MATCH(X1103,Cl_cle,0))&amp;"",""))</f>
        <v/>
      </c>
      <c r="AB1103" s="45">
        <f>IF(R1103&lt;&gt;"Livrée",0,IF(K1103&lt;&gt;"",K1103,C1103))</f>
        <v/>
      </c>
      <c r="AC1103" s="33">
        <f>IF(OR(C1103="",W1103=""),"",P1103&amp;"|"&amp;W1103&amp;"|"&amp;C1103&amp;"|"&amp;E1103)</f>
        <v/>
      </c>
      <c r="AD1103" s="39">
        <f>IF(AC1103="","",IF(COUNTIF(AC$6:AC1103,AC1103)=1,1,0))</f>
        <v/>
      </c>
      <c r="AE1103" s="39">
        <f>IF(AB1103=0,"",IF(COUNTIFS(X$6:X1103,X1103,AB$6:AB1103,AB1103)=1,1,0))</f>
        <v/>
      </c>
      <c r="AF1103" s="34">
        <f>IF(C1103="","",YEAR(C1103-WEEKDAY(C1103,2)+4)&amp;"-S"&amp;TEXT(INT((C1103-DATE(YEAR(C1103-WEEKDAY(C1103,2)+4),1,3)+WEEKDAY(DATE(YEAR(C1103-WEEKDAY(C1103,2)+4),1,3),2)+5)/7),"00"))</f>
        <v/>
      </c>
    </row>
    <row r="1104" ht="18" customHeight="1">
      <c r="A1104" s="39" t="n">
        <v>1099</v>
      </c>
      <c r="B1104" s="33">
        <f>IF(C1104="","",IF(P1104="À RENSEIGNER","GIC",P1104)&amp;"-C"&amp;TEXT(A1104,"00000"))</f>
        <v/>
      </c>
      <c r="C1104" s="32" t="n"/>
      <c r="D1104" s="36" t="n"/>
      <c r="E1104" s="36" t="n"/>
      <c r="F1104" s="36" t="n"/>
      <c r="G1104" s="42" t="n"/>
      <c r="H1104" s="37" t="n"/>
      <c r="I1104" s="37" t="n"/>
      <c r="J1104" s="32" t="n"/>
      <c r="K1104" s="32" t="n"/>
      <c r="L1104" s="43" t="n"/>
      <c r="M1104" s="36" t="n"/>
      <c r="N1104" s="44" t="n"/>
      <c r="O1104" s="36" t="n"/>
      <c r="P1104" s="33">
        <f>IF(C1104="","",Commercial_Id)</f>
        <v/>
      </c>
      <c r="Q1104" s="34">
        <f>IF(AC1104="","",IF(AD1104=1,"C"&amp;TEXT(SUM(AD$6:AD1104),"0000"),INDEX(Q$6:Q1103,MATCH(AC1104,AC$6:AC1103,0))))</f>
        <v/>
      </c>
      <c r="R1104" s="34">
        <f>IF(C1104="","",IF(L1104="☑ Oui","Annulée",IF(OR(E1104="Vente directe",K1104&lt;&gt;""),"Livrée",IF(J1104&lt;&gt;"","Confirmée","En attente"))))</f>
        <v/>
      </c>
      <c r="S1104" s="34">
        <f>IF(F1104="","",IFERROR(VLOOKUP(F1104,T_Produits,2,FALSE),""))</f>
        <v/>
      </c>
      <c r="T1104" s="40">
        <f>IF(F1104="","",IFERROR(1/(1/VLOOKUP(F1104,T_Produits,3,FALSE)),""))</f>
        <v/>
      </c>
      <c r="U1104" s="40">
        <f>IF(H1104&lt;&gt;"",H1104,T1104)</f>
        <v/>
      </c>
      <c r="V1104" s="40">
        <f>IF(OR(G1104="",U1104=""),"",G1104*U1104-N(I1104))</f>
        <v/>
      </c>
      <c r="W1104" s="39">
        <f>IF(D1104="","",IFERROR(VALUE(MID(D1104,LEN(D1104)-3,3)),""))</f>
        <v/>
      </c>
      <c r="X1104" s="33">
        <f>IF(W1104="","",P1104&amp;"|"&amp;W1104)</f>
        <v/>
      </c>
      <c r="Y1104" s="33">
        <f>IF(W1104="","",IF(P1104="À RENSEIGNER","GIC",P1104)&amp;"-"&amp;TEXT(W1104,"000"))</f>
        <v/>
      </c>
      <c r="Z1104" s="33">
        <f>IF(X1104="","",IFERROR(INDEX(Cl_nom,MATCH(X1104,Cl_cle,0)),"(client introuvable)"))</f>
        <v/>
      </c>
      <c r="AA1104" s="33">
        <f>IF(X1104="","",IFERROR(INDEX(Cl_quartier,MATCH(X1104,Cl_cle,0))&amp;"",""))</f>
        <v/>
      </c>
      <c r="AB1104" s="45">
        <f>IF(R1104&lt;&gt;"Livrée",0,IF(K1104&lt;&gt;"",K1104,C1104))</f>
        <v/>
      </c>
      <c r="AC1104" s="33">
        <f>IF(OR(C1104="",W1104=""),"",P1104&amp;"|"&amp;W1104&amp;"|"&amp;C1104&amp;"|"&amp;E1104)</f>
        <v/>
      </c>
      <c r="AD1104" s="39">
        <f>IF(AC1104="","",IF(COUNTIF(AC$6:AC1104,AC1104)=1,1,0))</f>
        <v/>
      </c>
      <c r="AE1104" s="39">
        <f>IF(AB1104=0,"",IF(COUNTIFS(X$6:X1104,X1104,AB$6:AB1104,AB1104)=1,1,0))</f>
        <v/>
      </c>
      <c r="AF1104" s="34">
        <f>IF(C1104="","",YEAR(C1104-WEEKDAY(C1104,2)+4)&amp;"-S"&amp;TEXT(INT((C1104-DATE(YEAR(C1104-WEEKDAY(C1104,2)+4),1,3)+WEEKDAY(DATE(YEAR(C1104-WEEKDAY(C1104,2)+4),1,3),2)+5)/7),"00"))</f>
        <v/>
      </c>
    </row>
    <row r="1105" ht="18" customHeight="1">
      <c r="A1105" s="39" t="n">
        <v>1100</v>
      </c>
      <c r="B1105" s="33">
        <f>IF(C1105="","",IF(P1105="À RENSEIGNER","GIC",P1105)&amp;"-C"&amp;TEXT(A1105,"00000"))</f>
        <v/>
      </c>
      <c r="C1105" s="32" t="n"/>
      <c r="D1105" s="36" t="n"/>
      <c r="E1105" s="36" t="n"/>
      <c r="F1105" s="36" t="n"/>
      <c r="G1105" s="42" t="n"/>
      <c r="H1105" s="37" t="n"/>
      <c r="I1105" s="37" t="n"/>
      <c r="J1105" s="32" t="n"/>
      <c r="K1105" s="32" t="n"/>
      <c r="L1105" s="43" t="n"/>
      <c r="M1105" s="36" t="n"/>
      <c r="N1105" s="44" t="n"/>
      <c r="O1105" s="36" t="n"/>
      <c r="P1105" s="33">
        <f>IF(C1105="","",Commercial_Id)</f>
        <v/>
      </c>
      <c r="Q1105" s="34">
        <f>IF(AC1105="","",IF(AD1105=1,"C"&amp;TEXT(SUM(AD$6:AD1105),"0000"),INDEX(Q$6:Q1104,MATCH(AC1105,AC$6:AC1104,0))))</f>
        <v/>
      </c>
      <c r="R1105" s="34">
        <f>IF(C1105="","",IF(L1105="☑ Oui","Annulée",IF(OR(E1105="Vente directe",K1105&lt;&gt;""),"Livrée",IF(J1105&lt;&gt;"","Confirmée","En attente"))))</f>
        <v/>
      </c>
      <c r="S1105" s="34">
        <f>IF(F1105="","",IFERROR(VLOOKUP(F1105,T_Produits,2,FALSE),""))</f>
        <v/>
      </c>
      <c r="T1105" s="40">
        <f>IF(F1105="","",IFERROR(1/(1/VLOOKUP(F1105,T_Produits,3,FALSE)),""))</f>
        <v/>
      </c>
      <c r="U1105" s="40">
        <f>IF(H1105&lt;&gt;"",H1105,T1105)</f>
        <v/>
      </c>
      <c r="V1105" s="40">
        <f>IF(OR(G1105="",U1105=""),"",G1105*U1105-N(I1105))</f>
        <v/>
      </c>
      <c r="W1105" s="39">
        <f>IF(D1105="","",IFERROR(VALUE(MID(D1105,LEN(D1105)-3,3)),""))</f>
        <v/>
      </c>
      <c r="X1105" s="33">
        <f>IF(W1105="","",P1105&amp;"|"&amp;W1105)</f>
        <v/>
      </c>
      <c r="Y1105" s="33">
        <f>IF(W1105="","",IF(P1105="À RENSEIGNER","GIC",P1105)&amp;"-"&amp;TEXT(W1105,"000"))</f>
        <v/>
      </c>
      <c r="Z1105" s="33">
        <f>IF(X1105="","",IFERROR(INDEX(Cl_nom,MATCH(X1105,Cl_cle,0)),"(client introuvable)"))</f>
        <v/>
      </c>
      <c r="AA1105" s="33">
        <f>IF(X1105="","",IFERROR(INDEX(Cl_quartier,MATCH(X1105,Cl_cle,0))&amp;"",""))</f>
        <v/>
      </c>
      <c r="AB1105" s="45">
        <f>IF(R1105&lt;&gt;"Livrée",0,IF(K1105&lt;&gt;"",K1105,C1105))</f>
        <v/>
      </c>
      <c r="AC1105" s="33">
        <f>IF(OR(C1105="",W1105=""),"",P1105&amp;"|"&amp;W1105&amp;"|"&amp;C1105&amp;"|"&amp;E1105)</f>
        <v/>
      </c>
      <c r="AD1105" s="39">
        <f>IF(AC1105="","",IF(COUNTIF(AC$6:AC1105,AC1105)=1,1,0))</f>
        <v/>
      </c>
      <c r="AE1105" s="39">
        <f>IF(AB1105=0,"",IF(COUNTIFS(X$6:X1105,X1105,AB$6:AB1105,AB1105)=1,1,0))</f>
        <v/>
      </c>
      <c r="AF1105" s="34">
        <f>IF(C1105="","",YEAR(C1105-WEEKDAY(C1105,2)+4)&amp;"-S"&amp;TEXT(INT((C1105-DATE(YEAR(C1105-WEEKDAY(C1105,2)+4),1,3)+WEEKDAY(DATE(YEAR(C1105-WEEKDAY(C1105,2)+4),1,3),2)+5)/7),"00"))</f>
        <v/>
      </c>
    </row>
    <row r="1106" ht="18" customHeight="1">
      <c r="A1106" s="39" t="n">
        <v>1101</v>
      </c>
      <c r="B1106" s="33">
        <f>IF(C1106="","",IF(P1106="À RENSEIGNER","GIC",P1106)&amp;"-C"&amp;TEXT(A1106,"00000"))</f>
        <v/>
      </c>
      <c r="C1106" s="32" t="n"/>
      <c r="D1106" s="36" t="n"/>
      <c r="E1106" s="36" t="n"/>
      <c r="F1106" s="36" t="n"/>
      <c r="G1106" s="42" t="n"/>
      <c r="H1106" s="37" t="n"/>
      <c r="I1106" s="37" t="n"/>
      <c r="J1106" s="32" t="n"/>
      <c r="K1106" s="32" t="n"/>
      <c r="L1106" s="43" t="n"/>
      <c r="M1106" s="36" t="n"/>
      <c r="N1106" s="44" t="n"/>
      <c r="O1106" s="36" t="n"/>
      <c r="P1106" s="33">
        <f>IF(C1106="","",Commercial_Id)</f>
        <v/>
      </c>
      <c r="Q1106" s="34">
        <f>IF(AC1106="","",IF(AD1106=1,"C"&amp;TEXT(SUM(AD$6:AD1106),"0000"),INDEX(Q$6:Q1105,MATCH(AC1106,AC$6:AC1105,0))))</f>
        <v/>
      </c>
      <c r="R1106" s="34">
        <f>IF(C1106="","",IF(L1106="☑ Oui","Annulée",IF(OR(E1106="Vente directe",K1106&lt;&gt;""),"Livrée",IF(J1106&lt;&gt;"","Confirmée","En attente"))))</f>
        <v/>
      </c>
      <c r="S1106" s="34">
        <f>IF(F1106="","",IFERROR(VLOOKUP(F1106,T_Produits,2,FALSE),""))</f>
        <v/>
      </c>
      <c r="T1106" s="40">
        <f>IF(F1106="","",IFERROR(1/(1/VLOOKUP(F1106,T_Produits,3,FALSE)),""))</f>
        <v/>
      </c>
      <c r="U1106" s="40">
        <f>IF(H1106&lt;&gt;"",H1106,T1106)</f>
        <v/>
      </c>
      <c r="V1106" s="40">
        <f>IF(OR(G1106="",U1106=""),"",G1106*U1106-N(I1106))</f>
        <v/>
      </c>
      <c r="W1106" s="39">
        <f>IF(D1106="","",IFERROR(VALUE(MID(D1106,LEN(D1106)-3,3)),""))</f>
        <v/>
      </c>
      <c r="X1106" s="33">
        <f>IF(W1106="","",P1106&amp;"|"&amp;W1106)</f>
        <v/>
      </c>
      <c r="Y1106" s="33">
        <f>IF(W1106="","",IF(P1106="À RENSEIGNER","GIC",P1106)&amp;"-"&amp;TEXT(W1106,"000"))</f>
        <v/>
      </c>
      <c r="Z1106" s="33">
        <f>IF(X1106="","",IFERROR(INDEX(Cl_nom,MATCH(X1106,Cl_cle,0)),"(client introuvable)"))</f>
        <v/>
      </c>
      <c r="AA1106" s="33">
        <f>IF(X1106="","",IFERROR(INDEX(Cl_quartier,MATCH(X1106,Cl_cle,0))&amp;"",""))</f>
        <v/>
      </c>
      <c r="AB1106" s="45">
        <f>IF(R1106&lt;&gt;"Livrée",0,IF(K1106&lt;&gt;"",K1106,C1106))</f>
        <v/>
      </c>
      <c r="AC1106" s="33">
        <f>IF(OR(C1106="",W1106=""),"",P1106&amp;"|"&amp;W1106&amp;"|"&amp;C1106&amp;"|"&amp;E1106)</f>
        <v/>
      </c>
      <c r="AD1106" s="39">
        <f>IF(AC1106="","",IF(COUNTIF(AC$6:AC1106,AC1106)=1,1,0))</f>
        <v/>
      </c>
      <c r="AE1106" s="39">
        <f>IF(AB1106=0,"",IF(COUNTIFS(X$6:X1106,X1106,AB$6:AB1106,AB1106)=1,1,0))</f>
        <v/>
      </c>
      <c r="AF1106" s="34">
        <f>IF(C1106="","",YEAR(C1106-WEEKDAY(C1106,2)+4)&amp;"-S"&amp;TEXT(INT((C1106-DATE(YEAR(C1106-WEEKDAY(C1106,2)+4),1,3)+WEEKDAY(DATE(YEAR(C1106-WEEKDAY(C1106,2)+4),1,3),2)+5)/7),"00"))</f>
        <v/>
      </c>
    </row>
    <row r="1107" ht="18" customHeight="1">
      <c r="A1107" s="39" t="n">
        <v>1102</v>
      </c>
      <c r="B1107" s="33">
        <f>IF(C1107="","",IF(P1107="À RENSEIGNER","GIC",P1107)&amp;"-C"&amp;TEXT(A1107,"00000"))</f>
        <v/>
      </c>
      <c r="C1107" s="32" t="n"/>
      <c r="D1107" s="36" t="n"/>
      <c r="E1107" s="36" t="n"/>
      <c r="F1107" s="36" t="n"/>
      <c r="G1107" s="42" t="n"/>
      <c r="H1107" s="37" t="n"/>
      <c r="I1107" s="37" t="n"/>
      <c r="J1107" s="32" t="n"/>
      <c r="K1107" s="32" t="n"/>
      <c r="L1107" s="43" t="n"/>
      <c r="M1107" s="36" t="n"/>
      <c r="N1107" s="44" t="n"/>
      <c r="O1107" s="36" t="n"/>
      <c r="P1107" s="33">
        <f>IF(C1107="","",Commercial_Id)</f>
        <v/>
      </c>
      <c r="Q1107" s="34">
        <f>IF(AC1107="","",IF(AD1107=1,"C"&amp;TEXT(SUM(AD$6:AD1107),"0000"),INDEX(Q$6:Q1106,MATCH(AC1107,AC$6:AC1106,0))))</f>
        <v/>
      </c>
      <c r="R1107" s="34">
        <f>IF(C1107="","",IF(L1107="☑ Oui","Annulée",IF(OR(E1107="Vente directe",K1107&lt;&gt;""),"Livrée",IF(J1107&lt;&gt;"","Confirmée","En attente"))))</f>
        <v/>
      </c>
      <c r="S1107" s="34">
        <f>IF(F1107="","",IFERROR(VLOOKUP(F1107,T_Produits,2,FALSE),""))</f>
        <v/>
      </c>
      <c r="T1107" s="40">
        <f>IF(F1107="","",IFERROR(1/(1/VLOOKUP(F1107,T_Produits,3,FALSE)),""))</f>
        <v/>
      </c>
      <c r="U1107" s="40">
        <f>IF(H1107&lt;&gt;"",H1107,T1107)</f>
        <v/>
      </c>
      <c r="V1107" s="40">
        <f>IF(OR(G1107="",U1107=""),"",G1107*U1107-N(I1107))</f>
        <v/>
      </c>
      <c r="W1107" s="39">
        <f>IF(D1107="","",IFERROR(VALUE(MID(D1107,LEN(D1107)-3,3)),""))</f>
        <v/>
      </c>
      <c r="X1107" s="33">
        <f>IF(W1107="","",P1107&amp;"|"&amp;W1107)</f>
        <v/>
      </c>
      <c r="Y1107" s="33">
        <f>IF(W1107="","",IF(P1107="À RENSEIGNER","GIC",P1107)&amp;"-"&amp;TEXT(W1107,"000"))</f>
        <v/>
      </c>
      <c r="Z1107" s="33">
        <f>IF(X1107="","",IFERROR(INDEX(Cl_nom,MATCH(X1107,Cl_cle,0)),"(client introuvable)"))</f>
        <v/>
      </c>
      <c r="AA1107" s="33">
        <f>IF(X1107="","",IFERROR(INDEX(Cl_quartier,MATCH(X1107,Cl_cle,0))&amp;"",""))</f>
        <v/>
      </c>
      <c r="AB1107" s="45">
        <f>IF(R1107&lt;&gt;"Livrée",0,IF(K1107&lt;&gt;"",K1107,C1107))</f>
        <v/>
      </c>
      <c r="AC1107" s="33">
        <f>IF(OR(C1107="",W1107=""),"",P1107&amp;"|"&amp;W1107&amp;"|"&amp;C1107&amp;"|"&amp;E1107)</f>
        <v/>
      </c>
      <c r="AD1107" s="39">
        <f>IF(AC1107="","",IF(COUNTIF(AC$6:AC1107,AC1107)=1,1,0))</f>
        <v/>
      </c>
      <c r="AE1107" s="39">
        <f>IF(AB1107=0,"",IF(COUNTIFS(X$6:X1107,X1107,AB$6:AB1107,AB1107)=1,1,0))</f>
        <v/>
      </c>
      <c r="AF1107" s="34">
        <f>IF(C1107="","",YEAR(C1107-WEEKDAY(C1107,2)+4)&amp;"-S"&amp;TEXT(INT((C1107-DATE(YEAR(C1107-WEEKDAY(C1107,2)+4),1,3)+WEEKDAY(DATE(YEAR(C1107-WEEKDAY(C1107,2)+4),1,3),2)+5)/7),"00"))</f>
        <v/>
      </c>
    </row>
    <row r="1108" ht="18" customHeight="1">
      <c r="A1108" s="39" t="n">
        <v>1103</v>
      </c>
      <c r="B1108" s="33">
        <f>IF(C1108="","",IF(P1108="À RENSEIGNER","GIC",P1108)&amp;"-C"&amp;TEXT(A1108,"00000"))</f>
        <v/>
      </c>
      <c r="C1108" s="32" t="n"/>
      <c r="D1108" s="36" t="n"/>
      <c r="E1108" s="36" t="n"/>
      <c r="F1108" s="36" t="n"/>
      <c r="G1108" s="42" t="n"/>
      <c r="H1108" s="37" t="n"/>
      <c r="I1108" s="37" t="n"/>
      <c r="J1108" s="32" t="n"/>
      <c r="K1108" s="32" t="n"/>
      <c r="L1108" s="43" t="n"/>
      <c r="M1108" s="36" t="n"/>
      <c r="N1108" s="44" t="n"/>
      <c r="O1108" s="36" t="n"/>
      <c r="P1108" s="33">
        <f>IF(C1108="","",Commercial_Id)</f>
        <v/>
      </c>
      <c r="Q1108" s="34">
        <f>IF(AC1108="","",IF(AD1108=1,"C"&amp;TEXT(SUM(AD$6:AD1108),"0000"),INDEX(Q$6:Q1107,MATCH(AC1108,AC$6:AC1107,0))))</f>
        <v/>
      </c>
      <c r="R1108" s="34">
        <f>IF(C1108="","",IF(L1108="☑ Oui","Annulée",IF(OR(E1108="Vente directe",K1108&lt;&gt;""),"Livrée",IF(J1108&lt;&gt;"","Confirmée","En attente"))))</f>
        <v/>
      </c>
      <c r="S1108" s="34">
        <f>IF(F1108="","",IFERROR(VLOOKUP(F1108,T_Produits,2,FALSE),""))</f>
        <v/>
      </c>
      <c r="T1108" s="40">
        <f>IF(F1108="","",IFERROR(1/(1/VLOOKUP(F1108,T_Produits,3,FALSE)),""))</f>
        <v/>
      </c>
      <c r="U1108" s="40">
        <f>IF(H1108&lt;&gt;"",H1108,T1108)</f>
        <v/>
      </c>
      <c r="V1108" s="40">
        <f>IF(OR(G1108="",U1108=""),"",G1108*U1108-N(I1108))</f>
        <v/>
      </c>
      <c r="W1108" s="39">
        <f>IF(D1108="","",IFERROR(VALUE(MID(D1108,LEN(D1108)-3,3)),""))</f>
        <v/>
      </c>
      <c r="X1108" s="33">
        <f>IF(W1108="","",P1108&amp;"|"&amp;W1108)</f>
        <v/>
      </c>
      <c r="Y1108" s="33">
        <f>IF(W1108="","",IF(P1108="À RENSEIGNER","GIC",P1108)&amp;"-"&amp;TEXT(W1108,"000"))</f>
        <v/>
      </c>
      <c r="Z1108" s="33">
        <f>IF(X1108="","",IFERROR(INDEX(Cl_nom,MATCH(X1108,Cl_cle,0)),"(client introuvable)"))</f>
        <v/>
      </c>
      <c r="AA1108" s="33">
        <f>IF(X1108="","",IFERROR(INDEX(Cl_quartier,MATCH(X1108,Cl_cle,0))&amp;"",""))</f>
        <v/>
      </c>
      <c r="AB1108" s="45">
        <f>IF(R1108&lt;&gt;"Livrée",0,IF(K1108&lt;&gt;"",K1108,C1108))</f>
        <v/>
      </c>
      <c r="AC1108" s="33">
        <f>IF(OR(C1108="",W1108=""),"",P1108&amp;"|"&amp;W1108&amp;"|"&amp;C1108&amp;"|"&amp;E1108)</f>
        <v/>
      </c>
      <c r="AD1108" s="39">
        <f>IF(AC1108="","",IF(COUNTIF(AC$6:AC1108,AC1108)=1,1,0))</f>
        <v/>
      </c>
      <c r="AE1108" s="39">
        <f>IF(AB1108=0,"",IF(COUNTIFS(X$6:X1108,X1108,AB$6:AB1108,AB1108)=1,1,0))</f>
        <v/>
      </c>
      <c r="AF1108" s="34">
        <f>IF(C1108="","",YEAR(C1108-WEEKDAY(C1108,2)+4)&amp;"-S"&amp;TEXT(INT((C1108-DATE(YEAR(C1108-WEEKDAY(C1108,2)+4),1,3)+WEEKDAY(DATE(YEAR(C1108-WEEKDAY(C1108,2)+4),1,3),2)+5)/7),"00"))</f>
        <v/>
      </c>
    </row>
    <row r="1109" ht="18" customHeight="1">
      <c r="A1109" s="39" t="n">
        <v>1104</v>
      </c>
      <c r="B1109" s="33">
        <f>IF(C1109="","",IF(P1109="À RENSEIGNER","GIC",P1109)&amp;"-C"&amp;TEXT(A1109,"00000"))</f>
        <v/>
      </c>
      <c r="C1109" s="32" t="n"/>
      <c r="D1109" s="36" t="n"/>
      <c r="E1109" s="36" t="n"/>
      <c r="F1109" s="36" t="n"/>
      <c r="G1109" s="42" t="n"/>
      <c r="H1109" s="37" t="n"/>
      <c r="I1109" s="37" t="n"/>
      <c r="J1109" s="32" t="n"/>
      <c r="K1109" s="32" t="n"/>
      <c r="L1109" s="43" t="n"/>
      <c r="M1109" s="36" t="n"/>
      <c r="N1109" s="44" t="n"/>
      <c r="O1109" s="36" t="n"/>
      <c r="P1109" s="33">
        <f>IF(C1109="","",Commercial_Id)</f>
        <v/>
      </c>
      <c r="Q1109" s="34">
        <f>IF(AC1109="","",IF(AD1109=1,"C"&amp;TEXT(SUM(AD$6:AD1109),"0000"),INDEX(Q$6:Q1108,MATCH(AC1109,AC$6:AC1108,0))))</f>
        <v/>
      </c>
      <c r="R1109" s="34">
        <f>IF(C1109="","",IF(L1109="☑ Oui","Annulée",IF(OR(E1109="Vente directe",K1109&lt;&gt;""),"Livrée",IF(J1109&lt;&gt;"","Confirmée","En attente"))))</f>
        <v/>
      </c>
      <c r="S1109" s="34">
        <f>IF(F1109="","",IFERROR(VLOOKUP(F1109,T_Produits,2,FALSE),""))</f>
        <v/>
      </c>
      <c r="T1109" s="40">
        <f>IF(F1109="","",IFERROR(1/(1/VLOOKUP(F1109,T_Produits,3,FALSE)),""))</f>
        <v/>
      </c>
      <c r="U1109" s="40">
        <f>IF(H1109&lt;&gt;"",H1109,T1109)</f>
        <v/>
      </c>
      <c r="V1109" s="40">
        <f>IF(OR(G1109="",U1109=""),"",G1109*U1109-N(I1109))</f>
        <v/>
      </c>
      <c r="W1109" s="39">
        <f>IF(D1109="","",IFERROR(VALUE(MID(D1109,LEN(D1109)-3,3)),""))</f>
        <v/>
      </c>
      <c r="X1109" s="33">
        <f>IF(W1109="","",P1109&amp;"|"&amp;W1109)</f>
        <v/>
      </c>
      <c r="Y1109" s="33">
        <f>IF(W1109="","",IF(P1109="À RENSEIGNER","GIC",P1109)&amp;"-"&amp;TEXT(W1109,"000"))</f>
        <v/>
      </c>
      <c r="Z1109" s="33">
        <f>IF(X1109="","",IFERROR(INDEX(Cl_nom,MATCH(X1109,Cl_cle,0)),"(client introuvable)"))</f>
        <v/>
      </c>
      <c r="AA1109" s="33">
        <f>IF(X1109="","",IFERROR(INDEX(Cl_quartier,MATCH(X1109,Cl_cle,0))&amp;"",""))</f>
        <v/>
      </c>
      <c r="AB1109" s="45">
        <f>IF(R1109&lt;&gt;"Livrée",0,IF(K1109&lt;&gt;"",K1109,C1109))</f>
        <v/>
      </c>
      <c r="AC1109" s="33">
        <f>IF(OR(C1109="",W1109=""),"",P1109&amp;"|"&amp;W1109&amp;"|"&amp;C1109&amp;"|"&amp;E1109)</f>
        <v/>
      </c>
      <c r="AD1109" s="39">
        <f>IF(AC1109="","",IF(COUNTIF(AC$6:AC1109,AC1109)=1,1,0))</f>
        <v/>
      </c>
      <c r="AE1109" s="39">
        <f>IF(AB1109=0,"",IF(COUNTIFS(X$6:X1109,X1109,AB$6:AB1109,AB1109)=1,1,0))</f>
        <v/>
      </c>
      <c r="AF1109" s="34">
        <f>IF(C1109="","",YEAR(C1109-WEEKDAY(C1109,2)+4)&amp;"-S"&amp;TEXT(INT((C1109-DATE(YEAR(C1109-WEEKDAY(C1109,2)+4),1,3)+WEEKDAY(DATE(YEAR(C1109-WEEKDAY(C1109,2)+4),1,3),2)+5)/7),"00"))</f>
        <v/>
      </c>
    </row>
    <row r="1110" ht="18" customHeight="1">
      <c r="A1110" s="39" t="n">
        <v>1105</v>
      </c>
      <c r="B1110" s="33">
        <f>IF(C1110="","",IF(P1110="À RENSEIGNER","GIC",P1110)&amp;"-C"&amp;TEXT(A1110,"00000"))</f>
        <v/>
      </c>
      <c r="C1110" s="32" t="n"/>
      <c r="D1110" s="36" t="n"/>
      <c r="E1110" s="36" t="n"/>
      <c r="F1110" s="36" t="n"/>
      <c r="G1110" s="42" t="n"/>
      <c r="H1110" s="37" t="n"/>
      <c r="I1110" s="37" t="n"/>
      <c r="J1110" s="32" t="n"/>
      <c r="K1110" s="32" t="n"/>
      <c r="L1110" s="43" t="n"/>
      <c r="M1110" s="36" t="n"/>
      <c r="N1110" s="44" t="n"/>
      <c r="O1110" s="36" t="n"/>
      <c r="P1110" s="33">
        <f>IF(C1110="","",Commercial_Id)</f>
        <v/>
      </c>
      <c r="Q1110" s="34">
        <f>IF(AC1110="","",IF(AD1110=1,"C"&amp;TEXT(SUM(AD$6:AD1110),"0000"),INDEX(Q$6:Q1109,MATCH(AC1110,AC$6:AC1109,0))))</f>
        <v/>
      </c>
      <c r="R1110" s="34">
        <f>IF(C1110="","",IF(L1110="☑ Oui","Annulée",IF(OR(E1110="Vente directe",K1110&lt;&gt;""),"Livrée",IF(J1110&lt;&gt;"","Confirmée","En attente"))))</f>
        <v/>
      </c>
      <c r="S1110" s="34">
        <f>IF(F1110="","",IFERROR(VLOOKUP(F1110,T_Produits,2,FALSE),""))</f>
        <v/>
      </c>
      <c r="T1110" s="40">
        <f>IF(F1110="","",IFERROR(1/(1/VLOOKUP(F1110,T_Produits,3,FALSE)),""))</f>
        <v/>
      </c>
      <c r="U1110" s="40">
        <f>IF(H1110&lt;&gt;"",H1110,T1110)</f>
        <v/>
      </c>
      <c r="V1110" s="40">
        <f>IF(OR(G1110="",U1110=""),"",G1110*U1110-N(I1110))</f>
        <v/>
      </c>
      <c r="W1110" s="39">
        <f>IF(D1110="","",IFERROR(VALUE(MID(D1110,LEN(D1110)-3,3)),""))</f>
        <v/>
      </c>
      <c r="X1110" s="33">
        <f>IF(W1110="","",P1110&amp;"|"&amp;W1110)</f>
        <v/>
      </c>
      <c r="Y1110" s="33">
        <f>IF(W1110="","",IF(P1110="À RENSEIGNER","GIC",P1110)&amp;"-"&amp;TEXT(W1110,"000"))</f>
        <v/>
      </c>
      <c r="Z1110" s="33">
        <f>IF(X1110="","",IFERROR(INDEX(Cl_nom,MATCH(X1110,Cl_cle,0)),"(client introuvable)"))</f>
        <v/>
      </c>
      <c r="AA1110" s="33">
        <f>IF(X1110="","",IFERROR(INDEX(Cl_quartier,MATCH(X1110,Cl_cle,0))&amp;"",""))</f>
        <v/>
      </c>
      <c r="AB1110" s="45">
        <f>IF(R1110&lt;&gt;"Livrée",0,IF(K1110&lt;&gt;"",K1110,C1110))</f>
        <v/>
      </c>
      <c r="AC1110" s="33">
        <f>IF(OR(C1110="",W1110=""),"",P1110&amp;"|"&amp;W1110&amp;"|"&amp;C1110&amp;"|"&amp;E1110)</f>
        <v/>
      </c>
      <c r="AD1110" s="39">
        <f>IF(AC1110="","",IF(COUNTIF(AC$6:AC1110,AC1110)=1,1,0))</f>
        <v/>
      </c>
      <c r="AE1110" s="39">
        <f>IF(AB1110=0,"",IF(COUNTIFS(X$6:X1110,X1110,AB$6:AB1110,AB1110)=1,1,0))</f>
        <v/>
      </c>
      <c r="AF1110" s="34">
        <f>IF(C1110="","",YEAR(C1110-WEEKDAY(C1110,2)+4)&amp;"-S"&amp;TEXT(INT((C1110-DATE(YEAR(C1110-WEEKDAY(C1110,2)+4),1,3)+WEEKDAY(DATE(YEAR(C1110-WEEKDAY(C1110,2)+4),1,3),2)+5)/7),"00"))</f>
        <v/>
      </c>
    </row>
    <row r="1111" ht="18" customHeight="1">
      <c r="A1111" s="39" t="n">
        <v>1106</v>
      </c>
      <c r="B1111" s="33">
        <f>IF(C1111="","",IF(P1111="À RENSEIGNER","GIC",P1111)&amp;"-C"&amp;TEXT(A1111,"00000"))</f>
        <v/>
      </c>
      <c r="C1111" s="32" t="n"/>
      <c r="D1111" s="36" t="n"/>
      <c r="E1111" s="36" t="n"/>
      <c r="F1111" s="36" t="n"/>
      <c r="G1111" s="42" t="n"/>
      <c r="H1111" s="37" t="n"/>
      <c r="I1111" s="37" t="n"/>
      <c r="J1111" s="32" t="n"/>
      <c r="K1111" s="32" t="n"/>
      <c r="L1111" s="43" t="n"/>
      <c r="M1111" s="36" t="n"/>
      <c r="N1111" s="44" t="n"/>
      <c r="O1111" s="36" t="n"/>
      <c r="P1111" s="33">
        <f>IF(C1111="","",Commercial_Id)</f>
        <v/>
      </c>
      <c r="Q1111" s="34">
        <f>IF(AC1111="","",IF(AD1111=1,"C"&amp;TEXT(SUM(AD$6:AD1111),"0000"),INDEX(Q$6:Q1110,MATCH(AC1111,AC$6:AC1110,0))))</f>
        <v/>
      </c>
      <c r="R1111" s="34">
        <f>IF(C1111="","",IF(L1111="☑ Oui","Annulée",IF(OR(E1111="Vente directe",K1111&lt;&gt;""),"Livrée",IF(J1111&lt;&gt;"","Confirmée","En attente"))))</f>
        <v/>
      </c>
      <c r="S1111" s="34">
        <f>IF(F1111="","",IFERROR(VLOOKUP(F1111,T_Produits,2,FALSE),""))</f>
        <v/>
      </c>
      <c r="T1111" s="40">
        <f>IF(F1111="","",IFERROR(1/(1/VLOOKUP(F1111,T_Produits,3,FALSE)),""))</f>
        <v/>
      </c>
      <c r="U1111" s="40">
        <f>IF(H1111&lt;&gt;"",H1111,T1111)</f>
        <v/>
      </c>
      <c r="V1111" s="40">
        <f>IF(OR(G1111="",U1111=""),"",G1111*U1111-N(I1111))</f>
        <v/>
      </c>
      <c r="W1111" s="39">
        <f>IF(D1111="","",IFERROR(VALUE(MID(D1111,LEN(D1111)-3,3)),""))</f>
        <v/>
      </c>
      <c r="X1111" s="33">
        <f>IF(W1111="","",P1111&amp;"|"&amp;W1111)</f>
        <v/>
      </c>
      <c r="Y1111" s="33">
        <f>IF(W1111="","",IF(P1111="À RENSEIGNER","GIC",P1111)&amp;"-"&amp;TEXT(W1111,"000"))</f>
        <v/>
      </c>
      <c r="Z1111" s="33">
        <f>IF(X1111="","",IFERROR(INDEX(Cl_nom,MATCH(X1111,Cl_cle,0)),"(client introuvable)"))</f>
        <v/>
      </c>
      <c r="AA1111" s="33">
        <f>IF(X1111="","",IFERROR(INDEX(Cl_quartier,MATCH(X1111,Cl_cle,0))&amp;"",""))</f>
        <v/>
      </c>
      <c r="AB1111" s="45">
        <f>IF(R1111&lt;&gt;"Livrée",0,IF(K1111&lt;&gt;"",K1111,C1111))</f>
        <v/>
      </c>
      <c r="AC1111" s="33">
        <f>IF(OR(C1111="",W1111=""),"",P1111&amp;"|"&amp;W1111&amp;"|"&amp;C1111&amp;"|"&amp;E1111)</f>
        <v/>
      </c>
      <c r="AD1111" s="39">
        <f>IF(AC1111="","",IF(COUNTIF(AC$6:AC1111,AC1111)=1,1,0))</f>
        <v/>
      </c>
      <c r="AE1111" s="39">
        <f>IF(AB1111=0,"",IF(COUNTIFS(X$6:X1111,X1111,AB$6:AB1111,AB1111)=1,1,0))</f>
        <v/>
      </c>
      <c r="AF1111" s="34">
        <f>IF(C1111="","",YEAR(C1111-WEEKDAY(C1111,2)+4)&amp;"-S"&amp;TEXT(INT((C1111-DATE(YEAR(C1111-WEEKDAY(C1111,2)+4),1,3)+WEEKDAY(DATE(YEAR(C1111-WEEKDAY(C1111,2)+4),1,3),2)+5)/7),"00"))</f>
        <v/>
      </c>
    </row>
    <row r="1112" ht="18" customHeight="1">
      <c r="A1112" s="39" t="n">
        <v>1107</v>
      </c>
      <c r="B1112" s="33">
        <f>IF(C1112="","",IF(P1112="À RENSEIGNER","GIC",P1112)&amp;"-C"&amp;TEXT(A1112,"00000"))</f>
        <v/>
      </c>
      <c r="C1112" s="32" t="n"/>
      <c r="D1112" s="36" t="n"/>
      <c r="E1112" s="36" t="n"/>
      <c r="F1112" s="36" t="n"/>
      <c r="G1112" s="42" t="n"/>
      <c r="H1112" s="37" t="n"/>
      <c r="I1112" s="37" t="n"/>
      <c r="J1112" s="32" t="n"/>
      <c r="K1112" s="32" t="n"/>
      <c r="L1112" s="43" t="n"/>
      <c r="M1112" s="36" t="n"/>
      <c r="N1112" s="44" t="n"/>
      <c r="O1112" s="36" t="n"/>
      <c r="P1112" s="33">
        <f>IF(C1112="","",Commercial_Id)</f>
        <v/>
      </c>
      <c r="Q1112" s="34">
        <f>IF(AC1112="","",IF(AD1112=1,"C"&amp;TEXT(SUM(AD$6:AD1112),"0000"),INDEX(Q$6:Q1111,MATCH(AC1112,AC$6:AC1111,0))))</f>
        <v/>
      </c>
      <c r="R1112" s="34">
        <f>IF(C1112="","",IF(L1112="☑ Oui","Annulée",IF(OR(E1112="Vente directe",K1112&lt;&gt;""),"Livrée",IF(J1112&lt;&gt;"","Confirmée","En attente"))))</f>
        <v/>
      </c>
      <c r="S1112" s="34">
        <f>IF(F1112="","",IFERROR(VLOOKUP(F1112,T_Produits,2,FALSE),""))</f>
        <v/>
      </c>
      <c r="T1112" s="40">
        <f>IF(F1112="","",IFERROR(1/(1/VLOOKUP(F1112,T_Produits,3,FALSE)),""))</f>
        <v/>
      </c>
      <c r="U1112" s="40">
        <f>IF(H1112&lt;&gt;"",H1112,T1112)</f>
        <v/>
      </c>
      <c r="V1112" s="40">
        <f>IF(OR(G1112="",U1112=""),"",G1112*U1112-N(I1112))</f>
        <v/>
      </c>
      <c r="W1112" s="39">
        <f>IF(D1112="","",IFERROR(VALUE(MID(D1112,LEN(D1112)-3,3)),""))</f>
        <v/>
      </c>
      <c r="X1112" s="33">
        <f>IF(W1112="","",P1112&amp;"|"&amp;W1112)</f>
        <v/>
      </c>
      <c r="Y1112" s="33">
        <f>IF(W1112="","",IF(P1112="À RENSEIGNER","GIC",P1112)&amp;"-"&amp;TEXT(W1112,"000"))</f>
        <v/>
      </c>
      <c r="Z1112" s="33">
        <f>IF(X1112="","",IFERROR(INDEX(Cl_nom,MATCH(X1112,Cl_cle,0)),"(client introuvable)"))</f>
        <v/>
      </c>
      <c r="AA1112" s="33">
        <f>IF(X1112="","",IFERROR(INDEX(Cl_quartier,MATCH(X1112,Cl_cle,0))&amp;"",""))</f>
        <v/>
      </c>
      <c r="AB1112" s="45">
        <f>IF(R1112&lt;&gt;"Livrée",0,IF(K1112&lt;&gt;"",K1112,C1112))</f>
        <v/>
      </c>
      <c r="AC1112" s="33">
        <f>IF(OR(C1112="",W1112=""),"",P1112&amp;"|"&amp;W1112&amp;"|"&amp;C1112&amp;"|"&amp;E1112)</f>
        <v/>
      </c>
      <c r="AD1112" s="39">
        <f>IF(AC1112="","",IF(COUNTIF(AC$6:AC1112,AC1112)=1,1,0))</f>
        <v/>
      </c>
      <c r="AE1112" s="39">
        <f>IF(AB1112=0,"",IF(COUNTIFS(X$6:X1112,X1112,AB$6:AB1112,AB1112)=1,1,0))</f>
        <v/>
      </c>
      <c r="AF1112" s="34">
        <f>IF(C1112="","",YEAR(C1112-WEEKDAY(C1112,2)+4)&amp;"-S"&amp;TEXT(INT((C1112-DATE(YEAR(C1112-WEEKDAY(C1112,2)+4),1,3)+WEEKDAY(DATE(YEAR(C1112-WEEKDAY(C1112,2)+4),1,3),2)+5)/7),"00"))</f>
        <v/>
      </c>
    </row>
    <row r="1113" ht="18" customHeight="1">
      <c r="A1113" s="39" t="n">
        <v>1108</v>
      </c>
      <c r="B1113" s="33">
        <f>IF(C1113="","",IF(P1113="À RENSEIGNER","GIC",P1113)&amp;"-C"&amp;TEXT(A1113,"00000"))</f>
        <v/>
      </c>
      <c r="C1113" s="32" t="n"/>
      <c r="D1113" s="36" t="n"/>
      <c r="E1113" s="36" t="n"/>
      <c r="F1113" s="36" t="n"/>
      <c r="G1113" s="42" t="n"/>
      <c r="H1113" s="37" t="n"/>
      <c r="I1113" s="37" t="n"/>
      <c r="J1113" s="32" t="n"/>
      <c r="K1113" s="32" t="n"/>
      <c r="L1113" s="43" t="n"/>
      <c r="M1113" s="36" t="n"/>
      <c r="N1113" s="44" t="n"/>
      <c r="O1113" s="36" t="n"/>
      <c r="P1113" s="33">
        <f>IF(C1113="","",Commercial_Id)</f>
        <v/>
      </c>
      <c r="Q1113" s="34">
        <f>IF(AC1113="","",IF(AD1113=1,"C"&amp;TEXT(SUM(AD$6:AD1113),"0000"),INDEX(Q$6:Q1112,MATCH(AC1113,AC$6:AC1112,0))))</f>
        <v/>
      </c>
      <c r="R1113" s="34">
        <f>IF(C1113="","",IF(L1113="☑ Oui","Annulée",IF(OR(E1113="Vente directe",K1113&lt;&gt;""),"Livrée",IF(J1113&lt;&gt;"","Confirmée","En attente"))))</f>
        <v/>
      </c>
      <c r="S1113" s="34">
        <f>IF(F1113="","",IFERROR(VLOOKUP(F1113,T_Produits,2,FALSE),""))</f>
        <v/>
      </c>
      <c r="T1113" s="40">
        <f>IF(F1113="","",IFERROR(1/(1/VLOOKUP(F1113,T_Produits,3,FALSE)),""))</f>
        <v/>
      </c>
      <c r="U1113" s="40">
        <f>IF(H1113&lt;&gt;"",H1113,T1113)</f>
        <v/>
      </c>
      <c r="V1113" s="40">
        <f>IF(OR(G1113="",U1113=""),"",G1113*U1113-N(I1113))</f>
        <v/>
      </c>
      <c r="W1113" s="39">
        <f>IF(D1113="","",IFERROR(VALUE(MID(D1113,LEN(D1113)-3,3)),""))</f>
        <v/>
      </c>
      <c r="X1113" s="33">
        <f>IF(W1113="","",P1113&amp;"|"&amp;W1113)</f>
        <v/>
      </c>
      <c r="Y1113" s="33">
        <f>IF(W1113="","",IF(P1113="À RENSEIGNER","GIC",P1113)&amp;"-"&amp;TEXT(W1113,"000"))</f>
        <v/>
      </c>
      <c r="Z1113" s="33">
        <f>IF(X1113="","",IFERROR(INDEX(Cl_nom,MATCH(X1113,Cl_cle,0)),"(client introuvable)"))</f>
        <v/>
      </c>
      <c r="AA1113" s="33">
        <f>IF(X1113="","",IFERROR(INDEX(Cl_quartier,MATCH(X1113,Cl_cle,0))&amp;"",""))</f>
        <v/>
      </c>
      <c r="AB1113" s="45">
        <f>IF(R1113&lt;&gt;"Livrée",0,IF(K1113&lt;&gt;"",K1113,C1113))</f>
        <v/>
      </c>
      <c r="AC1113" s="33">
        <f>IF(OR(C1113="",W1113=""),"",P1113&amp;"|"&amp;W1113&amp;"|"&amp;C1113&amp;"|"&amp;E1113)</f>
        <v/>
      </c>
      <c r="AD1113" s="39">
        <f>IF(AC1113="","",IF(COUNTIF(AC$6:AC1113,AC1113)=1,1,0))</f>
        <v/>
      </c>
      <c r="AE1113" s="39">
        <f>IF(AB1113=0,"",IF(COUNTIFS(X$6:X1113,X1113,AB$6:AB1113,AB1113)=1,1,0))</f>
        <v/>
      </c>
      <c r="AF1113" s="34">
        <f>IF(C1113="","",YEAR(C1113-WEEKDAY(C1113,2)+4)&amp;"-S"&amp;TEXT(INT((C1113-DATE(YEAR(C1113-WEEKDAY(C1113,2)+4),1,3)+WEEKDAY(DATE(YEAR(C1113-WEEKDAY(C1113,2)+4),1,3),2)+5)/7),"00"))</f>
        <v/>
      </c>
    </row>
    <row r="1114" ht="18" customHeight="1">
      <c r="A1114" s="39" t="n">
        <v>1109</v>
      </c>
      <c r="B1114" s="33">
        <f>IF(C1114="","",IF(P1114="À RENSEIGNER","GIC",P1114)&amp;"-C"&amp;TEXT(A1114,"00000"))</f>
        <v/>
      </c>
      <c r="C1114" s="32" t="n"/>
      <c r="D1114" s="36" t="n"/>
      <c r="E1114" s="36" t="n"/>
      <c r="F1114" s="36" t="n"/>
      <c r="G1114" s="42" t="n"/>
      <c r="H1114" s="37" t="n"/>
      <c r="I1114" s="37" t="n"/>
      <c r="J1114" s="32" t="n"/>
      <c r="K1114" s="32" t="n"/>
      <c r="L1114" s="43" t="n"/>
      <c r="M1114" s="36" t="n"/>
      <c r="N1114" s="44" t="n"/>
      <c r="O1114" s="36" t="n"/>
      <c r="P1114" s="33">
        <f>IF(C1114="","",Commercial_Id)</f>
        <v/>
      </c>
      <c r="Q1114" s="34">
        <f>IF(AC1114="","",IF(AD1114=1,"C"&amp;TEXT(SUM(AD$6:AD1114),"0000"),INDEX(Q$6:Q1113,MATCH(AC1114,AC$6:AC1113,0))))</f>
        <v/>
      </c>
      <c r="R1114" s="34">
        <f>IF(C1114="","",IF(L1114="☑ Oui","Annulée",IF(OR(E1114="Vente directe",K1114&lt;&gt;""),"Livrée",IF(J1114&lt;&gt;"","Confirmée","En attente"))))</f>
        <v/>
      </c>
      <c r="S1114" s="34">
        <f>IF(F1114="","",IFERROR(VLOOKUP(F1114,T_Produits,2,FALSE),""))</f>
        <v/>
      </c>
      <c r="T1114" s="40">
        <f>IF(F1114="","",IFERROR(1/(1/VLOOKUP(F1114,T_Produits,3,FALSE)),""))</f>
        <v/>
      </c>
      <c r="U1114" s="40">
        <f>IF(H1114&lt;&gt;"",H1114,T1114)</f>
        <v/>
      </c>
      <c r="V1114" s="40">
        <f>IF(OR(G1114="",U1114=""),"",G1114*U1114-N(I1114))</f>
        <v/>
      </c>
      <c r="W1114" s="39">
        <f>IF(D1114="","",IFERROR(VALUE(MID(D1114,LEN(D1114)-3,3)),""))</f>
        <v/>
      </c>
      <c r="X1114" s="33">
        <f>IF(W1114="","",P1114&amp;"|"&amp;W1114)</f>
        <v/>
      </c>
      <c r="Y1114" s="33">
        <f>IF(W1114="","",IF(P1114="À RENSEIGNER","GIC",P1114)&amp;"-"&amp;TEXT(W1114,"000"))</f>
        <v/>
      </c>
      <c r="Z1114" s="33">
        <f>IF(X1114="","",IFERROR(INDEX(Cl_nom,MATCH(X1114,Cl_cle,0)),"(client introuvable)"))</f>
        <v/>
      </c>
      <c r="AA1114" s="33">
        <f>IF(X1114="","",IFERROR(INDEX(Cl_quartier,MATCH(X1114,Cl_cle,0))&amp;"",""))</f>
        <v/>
      </c>
      <c r="AB1114" s="45">
        <f>IF(R1114&lt;&gt;"Livrée",0,IF(K1114&lt;&gt;"",K1114,C1114))</f>
        <v/>
      </c>
      <c r="AC1114" s="33">
        <f>IF(OR(C1114="",W1114=""),"",P1114&amp;"|"&amp;W1114&amp;"|"&amp;C1114&amp;"|"&amp;E1114)</f>
        <v/>
      </c>
      <c r="AD1114" s="39">
        <f>IF(AC1114="","",IF(COUNTIF(AC$6:AC1114,AC1114)=1,1,0))</f>
        <v/>
      </c>
      <c r="AE1114" s="39">
        <f>IF(AB1114=0,"",IF(COUNTIFS(X$6:X1114,X1114,AB$6:AB1114,AB1114)=1,1,0))</f>
        <v/>
      </c>
      <c r="AF1114" s="34">
        <f>IF(C1114="","",YEAR(C1114-WEEKDAY(C1114,2)+4)&amp;"-S"&amp;TEXT(INT((C1114-DATE(YEAR(C1114-WEEKDAY(C1114,2)+4),1,3)+WEEKDAY(DATE(YEAR(C1114-WEEKDAY(C1114,2)+4),1,3),2)+5)/7),"00"))</f>
        <v/>
      </c>
    </row>
    <row r="1115" ht="18" customHeight="1">
      <c r="A1115" s="39" t="n">
        <v>1110</v>
      </c>
      <c r="B1115" s="33">
        <f>IF(C1115="","",IF(P1115="À RENSEIGNER","GIC",P1115)&amp;"-C"&amp;TEXT(A1115,"00000"))</f>
        <v/>
      </c>
      <c r="C1115" s="32" t="n"/>
      <c r="D1115" s="36" t="n"/>
      <c r="E1115" s="36" t="n"/>
      <c r="F1115" s="36" t="n"/>
      <c r="G1115" s="42" t="n"/>
      <c r="H1115" s="37" t="n"/>
      <c r="I1115" s="37" t="n"/>
      <c r="J1115" s="32" t="n"/>
      <c r="K1115" s="32" t="n"/>
      <c r="L1115" s="43" t="n"/>
      <c r="M1115" s="36" t="n"/>
      <c r="N1115" s="44" t="n"/>
      <c r="O1115" s="36" t="n"/>
      <c r="P1115" s="33">
        <f>IF(C1115="","",Commercial_Id)</f>
        <v/>
      </c>
      <c r="Q1115" s="34">
        <f>IF(AC1115="","",IF(AD1115=1,"C"&amp;TEXT(SUM(AD$6:AD1115),"0000"),INDEX(Q$6:Q1114,MATCH(AC1115,AC$6:AC1114,0))))</f>
        <v/>
      </c>
      <c r="R1115" s="34">
        <f>IF(C1115="","",IF(L1115="☑ Oui","Annulée",IF(OR(E1115="Vente directe",K1115&lt;&gt;""),"Livrée",IF(J1115&lt;&gt;"","Confirmée","En attente"))))</f>
        <v/>
      </c>
      <c r="S1115" s="34">
        <f>IF(F1115="","",IFERROR(VLOOKUP(F1115,T_Produits,2,FALSE),""))</f>
        <v/>
      </c>
      <c r="T1115" s="40">
        <f>IF(F1115="","",IFERROR(1/(1/VLOOKUP(F1115,T_Produits,3,FALSE)),""))</f>
        <v/>
      </c>
      <c r="U1115" s="40">
        <f>IF(H1115&lt;&gt;"",H1115,T1115)</f>
        <v/>
      </c>
      <c r="V1115" s="40">
        <f>IF(OR(G1115="",U1115=""),"",G1115*U1115-N(I1115))</f>
        <v/>
      </c>
      <c r="W1115" s="39">
        <f>IF(D1115="","",IFERROR(VALUE(MID(D1115,LEN(D1115)-3,3)),""))</f>
        <v/>
      </c>
      <c r="X1115" s="33">
        <f>IF(W1115="","",P1115&amp;"|"&amp;W1115)</f>
        <v/>
      </c>
      <c r="Y1115" s="33">
        <f>IF(W1115="","",IF(P1115="À RENSEIGNER","GIC",P1115)&amp;"-"&amp;TEXT(W1115,"000"))</f>
        <v/>
      </c>
      <c r="Z1115" s="33">
        <f>IF(X1115="","",IFERROR(INDEX(Cl_nom,MATCH(X1115,Cl_cle,0)),"(client introuvable)"))</f>
        <v/>
      </c>
      <c r="AA1115" s="33">
        <f>IF(X1115="","",IFERROR(INDEX(Cl_quartier,MATCH(X1115,Cl_cle,0))&amp;"",""))</f>
        <v/>
      </c>
      <c r="AB1115" s="45">
        <f>IF(R1115&lt;&gt;"Livrée",0,IF(K1115&lt;&gt;"",K1115,C1115))</f>
        <v/>
      </c>
      <c r="AC1115" s="33">
        <f>IF(OR(C1115="",W1115=""),"",P1115&amp;"|"&amp;W1115&amp;"|"&amp;C1115&amp;"|"&amp;E1115)</f>
        <v/>
      </c>
      <c r="AD1115" s="39">
        <f>IF(AC1115="","",IF(COUNTIF(AC$6:AC1115,AC1115)=1,1,0))</f>
        <v/>
      </c>
      <c r="AE1115" s="39">
        <f>IF(AB1115=0,"",IF(COUNTIFS(X$6:X1115,X1115,AB$6:AB1115,AB1115)=1,1,0))</f>
        <v/>
      </c>
      <c r="AF1115" s="34">
        <f>IF(C1115="","",YEAR(C1115-WEEKDAY(C1115,2)+4)&amp;"-S"&amp;TEXT(INT((C1115-DATE(YEAR(C1115-WEEKDAY(C1115,2)+4),1,3)+WEEKDAY(DATE(YEAR(C1115-WEEKDAY(C1115,2)+4),1,3),2)+5)/7),"00"))</f>
        <v/>
      </c>
    </row>
    <row r="1116" ht="18" customHeight="1">
      <c r="A1116" s="39" t="n">
        <v>1111</v>
      </c>
      <c r="B1116" s="33">
        <f>IF(C1116="","",IF(P1116="À RENSEIGNER","GIC",P1116)&amp;"-C"&amp;TEXT(A1116,"00000"))</f>
        <v/>
      </c>
      <c r="C1116" s="32" t="n"/>
      <c r="D1116" s="36" t="n"/>
      <c r="E1116" s="36" t="n"/>
      <c r="F1116" s="36" t="n"/>
      <c r="G1116" s="42" t="n"/>
      <c r="H1116" s="37" t="n"/>
      <c r="I1116" s="37" t="n"/>
      <c r="J1116" s="32" t="n"/>
      <c r="K1116" s="32" t="n"/>
      <c r="L1116" s="43" t="n"/>
      <c r="M1116" s="36" t="n"/>
      <c r="N1116" s="44" t="n"/>
      <c r="O1116" s="36" t="n"/>
      <c r="P1116" s="33">
        <f>IF(C1116="","",Commercial_Id)</f>
        <v/>
      </c>
      <c r="Q1116" s="34">
        <f>IF(AC1116="","",IF(AD1116=1,"C"&amp;TEXT(SUM(AD$6:AD1116),"0000"),INDEX(Q$6:Q1115,MATCH(AC1116,AC$6:AC1115,0))))</f>
        <v/>
      </c>
      <c r="R1116" s="34">
        <f>IF(C1116="","",IF(L1116="☑ Oui","Annulée",IF(OR(E1116="Vente directe",K1116&lt;&gt;""),"Livrée",IF(J1116&lt;&gt;"","Confirmée","En attente"))))</f>
        <v/>
      </c>
      <c r="S1116" s="34">
        <f>IF(F1116="","",IFERROR(VLOOKUP(F1116,T_Produits,2,FALSE),""))</f>
        <v/>
      </c>
      <c r="T1116" s="40">
        <f>IF(F1116="","",IFERROR(1/(1/VLOOKUP(F1116,T_Produits,3,FALSE)),""))</f>
        <v/>
      </c>
      <c r="U1116" s="40">
        <f>IF(H1116&lt;&gt;"",H1116,T1116)</f>
        <v/>
      </c>
      <c r="V1116" s="40">
        <f>IF(OR(G1116="",U1116=""),"",G1116*U1116-N(I1116))</f>
        <v/>
      </c>
      <c r="W1116" s="39">
        <f>IF(D1116="","",IFERROR(VALUE(MID(D1116,LEN(D1116)-3,3)),""))</f>
        <v/>
      </c>
      <c r="X1116" s="33">
        <f>IF(W1116="","",P1116&amp;"|"&amp;W1116)</f>
        <v/>
      </c>
      <c r="Y1116" s="33">
        <f>IF(W1116="","",IF(P1116="À RENSEIGNER","GIC",P1116)&amp;"-"&amp;TEXT(W1116,"000"))</f>
        <v/>
      </c>
      <c r="Z1116" s="33">
        <f>IF(X1116="","",IFERROR(INDEX(Cl_nom,MATCH(X1116,Cl_cle,0)),"(client introuvable)"))</f>
        <v/>
      </c>
      <c r="AA1116" s="33">
        <f>IF(X1116="","",IFERROR(INDEX(Cl_quartier,MATCH(X1116,Cl_cle,0))&amp;"",""))</f>
        <v/>
      </c>
      <c r="AB1116" s="45">
        <f>IF(R1116&lt;&gt;"Livrée",0,IF(K1116&lt;&gt;"",K1116,C1116))</f>
        <v/>
      </c>
      <c r="AC1116" s="33">
        <f>IF(OR(C1116="",W1116=""),"",P1116&amp;"|"&amp;W1116&amp;"|"&amp;C1116&amp;"|"&amp;E1116)</f>
        <v/>
      </c>
      <c r="AD1116" s="39">
        <f>IF(AC1116="","",IF(COUNTIF(AC$6:AC1116,AC1116)=1,1,0))</f>
        <v/>
      </c>
      <c r="AE1116" s="39">
        <f>IF(AB1116=0,"",IF(COUNTIFS(X$6:X1116,X1116,AB$6:AB1116,AB1116)=1,1,0))</f>
        <v/>
      </c>
      <c r="AF1116" s="34">
        <f>IF(C1116="","",YEAR(C1116-WEEKDAY(C1116,2)+4)&amp;"-S"&amp;TEXT(INT((C1116-DATE(YEAR(C1116-WEEKDAY(C1116,2)+4),1,3)+WEEKDAY(DATE(YEAR(C1116-WEEKDAY(C1116,2)+4),1,3),2)+5)/7),"00"))</f>
        <v/>
      </c>
    </row>
    <row r="1117" ht="18" customHeight="1">
      <c r="A1117" s="39" t="n">
        <v>1112</v>
      </c>
      <c r="B1117" s="33">
        <f>IF(C1117="","",IF(P1117="À RENSEIGNER","GIC",P1117)&amp;"-C"&amp;TEXT(A1117,"00000"))</f>
        <v/>
      </c>
      <c r="C1117" s="32" t="n"/>
      <c r="D1117" s="36" t="n"/>
      <c r="E1117" s="36" t="n"/>
      <c r="F1117" s="36" t="n"/>
      <c r="G1117" s="42" t="n"/>
      <c r="H1117" s="37" t="n"/>
      <c r="I1117" s="37" t="n"/>
      <c r="J1117" s="32" t="n"/>
      <c r="K1117" s="32" t="n"/>
      <c r="L1117" s="43" t="n"/>
      <c r="M1117" s="36" t="n"/>
      <c r="N1117" s="44" t="n"/>
      <c r="O1117" s="36" t="n"/>
      <c r="P1117" s="33">
        <f>IF(C1117="","",Commercial_Id)</f>
        <v/>
      </c>
      <c r="Q1117" s="34">
        <f>IF(AC1117="","",IF(AD1117=1,"C"&amp;TEXT(SUM(AD$6:AD1117),"0000"),INDEX(Q$6:Q1116,MATCH(AC1117,AC$6:AC1116,0))))</f>
        <v/>
      </c>
      <c r="R1117" s="34">
        <f>IF(C1117="","",IF(L1117="☑ Oui","Annulée",IF(OR(E1117="Vente directe",K1117&lt;&gt;""),"Livrée",IF(J1117&lt;&gt;"","Confirmée","En attente"))))</f>
        <v/>
      </c>
      <c r="S1117" s="34">
        <f>IF(F1117="","",IFERROR(VLOOKUP(F1117,T_Produits,2,FALSE),""))</f>
        <v/>
      </c>
      <c r="T1117" s="40">
        <f>IF(F1117="","",IFERROR(1/(1/VLOOKUP(F1117,T_Produits,3,FALSE)),""))</f>
        <v/>
      </c>
      <c r="U1117" s="40">
        <f>IF(H1117&lt;&gt;"",H1117,T1117)</f>
        <v/>
      </c>
      <c r="V1117" s="40">
        <f>IF(OR(G1117="",U1117=""),"",G1117*U1117-N(I1117))</f>
        <v/>
      </c>
      <c r="W1117" s="39">
        <f>IF(D1117="","",IFERROR(VALUE(MID(D1117,LEN(D1117)-3,3)),""))</f>
        <v/>
      </c>
      <c r="X1117" s="33">
        <f>IF(W1117="","",P1117&amp;"|"&amp;W1117)</f>
        <v/>
      </c>
      <c r="Y1117" s="33">
        <f>IF(W1117="","",IF(P1117="À RENSEIGNER","GIC",P1117)&amp;"-"&amp;TEXT(W1117,"000"))</f>
        <v/>
      </c>
      <c r="Z1117" s="33">
        <f>IF(X1117="","",IFERROR(INDEX(Cl_nom,MATCH(X1117,Cl_cle,0)),"(client introuvable)"))</f>
        <v/>
      </c>
      <c r="AA1117" s="33">
        <f>IF(X1117="","",IFERROR(INDEX(Cl_quartier,MATCH(X1117,Cl_cle,0))&amp;"",""))</f>
        <v/>
      </c>
      <c r="AB1117" s="45">
        <f>IF(R1117&lt;&gt;"Livrée",0,IF(K1117&lt;&gt;"",K1117,C1117))</f>
        <v/>
      </c>
      <c r="AC1117" s="33">
        <f>IF(OR(C1117="",W1117=""),"",P1117&amp;"|"&amp;W1117&amp;"|"&amp;C1117&amp;"|"&amp;E1117)</f>
        <v/>
      </c>
      <c r="AD1117" s="39">
        <f>IF(AC1117="","",IF(COUNTIF(AC$6:AC1117,AC1117)=1,1,0))</f>
        <v/>
      </c>
      <c r="AE1117" s="39">
        <f>IF(AB1117=0,"",IF(COUNTIFS(X$6:X1117,X1117,AB$6:AB1117,AB1117)=1,1,0))</f>
        <v/>
      </c>
      <c r="AF1117" s="34">
        <f>IF(C1117="","",YEAR(C1117-WEEKDAY(C1117,2)+4)&amp;"-S"&amp;TEXT(INT((C1117-DATE(YEAR(C1117-WEEKDAY(C1117,2)+4),1,3)+WEEKDAY(DATE(YEAR(C1117-WEEKDAY(C1117,2)+4),1,3),2)+5)/7),"00"))</f>
        <v/>
      </c>
    </row>
    <row r="1118" ht="18" customHeight="1">
      <c r="A1118" s="39" t="n">
        <v>1113</v>
      </c>
      <c r="B1118" s="33">
        <f>IF(C1118="","",IF(P1118="À RENSEIGNER","GIC",P1118)&amp;"-C"&amp;TEXT(A1118,"00000"))</f>
        <v/>
      </c>
      <c r="C1118" s="32" t="n"/>
      <c r="D1118" s="36" t="n"/>
      <c r="E1118" s="36" t="n"/>
      <c r="F1118" s="36" t="n"/>
      <c r="G1118" s="42" t="n"/>
      <c r="H1118" s="37" t="n"/>
      <c r="I1118" s="37" t="n"/>
      <c r="J1118" s="32" t="n"/>
      <c r="K1118" s="32" t="n"/>
      <c r="L1118" s="43" t="n"/>
      <c r="M1118" s="36" t="n"/>
      <c r="N1118" s="44" t="n"/>
      <c r="O1118" s="36" t="n"/>
      <c r="P1118" s="33">
        <f>IF(C1118="","",Commercial_Id)</f>
        <v/>
      </c>
      <c r="Q1118" s="34">
        <f>IF(AC1118="","",IF(AD1118=1,"C"&amp;TEXT(SUM(AD$6:AD1118),"0000"),INDEX(Q$6:Q1117,MATCH(AC1118,AC$6:AC1117,0))))</f>
        <v/>
      </c>
      <c r="R1118" s="34">
        <f>IF(C1118="","",IF(L1118="☑ Oui","Annulée",IF(OR(E1118="Vente directe",K1118&lt;&gt;""),"Livrée",IF(J1118&lt;&gt;"","Confirmée","En attente"))))</f>
        <v/>
      </c>
      <c r="S1118" s="34">
        <f>IF(F1118="","",IFERROR(VLOOKUP(F1118,T_Produits,2,FALSE),""))</f>
        <v/>
      </c>
      <c r="T1118" s="40">
        <f>IF(F1118="","",IFERROR(1/(1/VLOOKUP(F1118,T_Produits,3,FALSE)),""))</f>
        <v/>
      </c>
      <c r="U1118" s="40">
        <f>IF(H1118&lt;&gt;"",H1118,T1118)</f>
        <v/>
      </c>
      <c r="V1118" s="40">
        <f>IF(OR(G1118="",U1118=""),"",G1118*U1118-N(I1118))</f>
        <v/>
      </c>
      <c r="W1118" s="39">
        <f>IF(D1118="","",IFERROR(VALUE(MID(D1118,LEN(D1118)-3,3)),""))</f>
        <v/>
      </c>
      <c r="X1118" s="33">
        <f>IF(W1118="","",P1118&amp;"|"&amp;W1118)</f>
        <v/>
      </c>
      <c r="Y1118" s="33">
        <f>IF(W1118="","",IF(P1118="À RENSEIGNER","GIC",P1118)&amp;"-"&amp;TEXT(W1118,"000"))</f>
        <v/>
      </c>
      <c r="Z1118" s="33">
        <f>IF(X1118="","",IFERROR(INDEX(Cl_nom,MATCH(X1118,Cl_cle,0)),"(client introuvable)"))</f>
        <v/>
      </c>
      <c r="AA1118" s="33">
        <f>IF(X1118="","",IFERROR(INDEX(Cl_quartier,MATCH(X1118,Cl_cle,0))&amp;"",""))</f>
        <v/>
      </c>
      <c r="AB1118" s="45">
        <f>IF(R1118&lt;&gt;"Livrée",0,IF(K1118&lt;&gt;"",K1118,C1118))</f>
        <v/>
      </c>
      <c r="AC1118" s="33">
        <f>IF(OR(C1118="",W1118=""),"",P1118&amp;"|"&amp;W1118&amp;"|"&amp;C1118&amp;"|"&amp;E1118)</f>
        <v/>
      </c>
      <c r="AD1118" s="39">
        <f>IF(AC1118="","",IF(COUNTIF(AC$6:AC1118,AC1118)=1,1,0))</f>
        <v/>
      </c>
      <c r="AE1118" s="39">
        <f>IF(AB1118=0,"",IF(COUNTIFS(X$6:X1118,X1118,AB$6:AB1118,AB1118)=1,1,0))</f>
        <v/>
      </c>
      <c r="AF1118" s="34">
        <f>IF(C1118="","",YEAR(C1118-WEEKDAY(C1118,2)+4)&amp;"-S"&amp;TEXT(INT((C1118-DATE(YEAR(C1118-WEEKDAY(C1118,2)+4),1,3)+WEEKDAY(DATE(YEAR(C1118-WEEKDAY(C1118,2)+4),1,3),2)+5)/7),"00"))</f>
        <v/>
      </c>
    </row>
    <row r="1119" ht="18" customHeight="1">
      <c r="A1119" s="39" t="n">
        <v>1114</v>
      </c>
      <c r="B1119" s="33">
        <f>IF(C1119="","",IF(P1119="À RENSEIGNER","GIC",P1119)&amp;"-C"&amp;TEXT(A1119,"00000"))</f>
        <v/>
      </c>
      <c r="C1119" s="32" t="n"/>
      <c r="D1119" s="36" t="n"/>
      <c r="E1119" s="36" t="n"/>
      <c r="F1119" s="36" t="n"/>
      <c r="G1119" s="42" t="n"/>
      <c r="H1119" s="37" t="n"/>
      <c r="I1119" s="37" t="n"/>
      <c r="J1119" s="32" t="n"/>
      <c r="K1119" s="32" t="n"/>
      <c r="L1119" s="43" t="n"/>
      <c r="M1119" s="36" t="n"/>
      <c r="N1119" s="44" t="n"/>
      <c r="O1119" s="36" t="n"/>
      <c r="P1119" s="33">
        <f>IF(C1119="","",Commercial_Id)</f>
        <v/>
      </c>
      <c r="Q1119" s="34">
        <f>IF(AC1119="","",IF(AD1119=1,"C"&amp;TEXT(SUM(AD$6:AD1119),"0000"),INDEX(Q$6:Q1118,MATCH(AC1119,AC$6:AC1118,0))))</f>
        <v/>
      </c>
      <c r="R1119" s="34">
        <f>IF(C1119="","",IF(L1119="☑ Oui","Annulée",IF(OR(E1119="Vente directe",K1119&lt;&gt;""),"Livrée",IF(J1119&lt;&gt;"","Confirmée","En attente"))))</f>
        <v/>
      </c>
      <c r="S1119" s="34">
        <f>IF(F1119="","",IFERROR(VLOOKUP(F1119,T_Produits,2,FALSE),""))</f>
        <v/>
      </c>
      <c r="T1119" s="40">
        <f>IF(F1119="","",IFERROR(1/(1/VLOOKUP(F1119,T_Produits,3,FALSE)),""))</f>
        <v/>
      </c>
      <c r="U1119" s="40">
        <f>IF(H1119&lt;&gt;"",H1119,T1119)</f>
        <v/>
      </c>
      <c r="V1119" s="40">
        <f>IF(OR(G1119="",U1119=""),"",G1119*U1119-N(I1119))</f>
        <v/>
      </c>
      <c r="W1119" s="39">
        <f>IF(D1119="","",IFERROR(VALUE(MID(D1119,LEN(D1119)-3,3)),""))</f>
        <v/>
      </c>
      <c r="X1119" s="33">
        <f>IF(W1119="","",P1119&amp;"|"&amp;W1119)</f>
        <v/>
      </c>
      <c r="Y1119" s="33">
        <f>IF(W1119="","",IF(P1119="À RENSEIGNER","GIC",P1119)&amp;"-"&amp;TEXT(W1119,"000"))</f>
        <v/>
      </c>
      <c r="Z1119" s="33">
        <f>IF(X1119="","",IFERROR(INDEX(Cl_nom,MATCH(X1119,Cl_cle,0)),"(client introuvable)"))</f>
        <v/>
      </c>
      <c r="AA1119" s="33">
        <f>IF(X1119="","",IFERROR(INDEX(Cl_quartier,MATCH(X1119,Cl_cle,0))&amp;"",""))</f>
        <v/>
      </c>
      <c r="AB1119" s="45">
        <f>IF(R1119&lt;&gt;"Livrée",0,IF(K1119&lt;&gt;"",K1119,C1119))</f>
        <v/>
      </c>
      <c r="AC1119" s="33">
        <f>IF(OR(C1119="",W1119=""),"",P1119&amp;"|"&amp;W1119&amp;"|"&amp;C1119&amp;"|"&amp;E1119)</f>
        <v/>
      </c>
      <c r="AD1119" s="39">
        <f>IF(AC1119="","",IF(COUNTIF(AC$6:AC1119,AC1119)=1,1,0))</f>
        <v/>
      </c>
      <c r="AE1119" s="39">
        <f>IF(AB1119=0,"",IF(COUNTIFS(X$6:X1119,X1119,AB$6:AB1119,AB1119)=1,1,0))</f>
        <v/>
      </c>
      <c r="AF1119" s="34">
        <f>IF(C1119="","",YEAR(C1119-WEEKDAY(C1119,2)+4)&amp;"-S"&amp;TEXT(INT((C1119-DATE(YEAR(C1119-WEEKDAY(C1119,2)+4),1,3)+WEEKDAY(DATE(YEAR(C1119-WEEKDAY(C1119,2)+4),1,3),2)+5)/7),"00"))</f>
        <v/>
      </c>
    </row>
    <row r="1120" ht="18" customHeight="1">
      <c r="A1120" s="39" t="n">
        <v>1115</v>
      </c>
      <c r="B1120" s="33">
        <f>IF(C1120="","",IF(P1120="À RENSEIGNER","GIC",P1120)&amp;"-C"&amp;TEXT(A1120,"00000"))</f>
        <v/>
      </c>
      <c r="C1120" s="32" t="n"/>
      <c r="D1120" s="36" t="n"/>
      <c r="E1120" s="36" t="n"/>
      <c r="F1120" s="36" t="n"/>
      <c r="G1120" s="42" t="n"/>
      <c r="H1120" s="37" t="n"/>
      <c r="I1120" s="37" t="n"/>
      <c r="J1120" s="32" t="n"/>
      <c r="K1120" s="32" t="n"/>
      <c r="L1120" s="43" t="n"/>
      <c r="M1120" s="36" t="n"/>
      <c r="N1120" s="44" t="n"/>
      <c r="O1120" s="36" t="n"/>
      <c r="P1120" s="33">
        <f>IF(C1120="","",Commercial_Id)</f>
        <v/>
      </c>
      <c r="Q1120" s="34">
        <f>IF(AC1120="","",IF(AD1120=1,"C"&amp;TEXT(SUM(AD$6:AD1120),"0000"),INDEX(Q$6:Q1119,MATCH(AC1120,AC$6:AC1119,0))))</f>
        <v/>
      </c>
      <c r="R1120" s="34">
        <f>IF(C1120="","",IF(L1120="☑ Oui","Annulée",IF(OR(E1120="Vente directe",K1120&lt;&gt;""),"Livrée",IF(J1120&lt;&gt;"","Confirmée","En attente"))))</f>
        <v/>
      </c>
      <c r="S1120" s="34">
        <f>IF(F1120="","",IFERROR(VLOOKUP(F1120,T_Produits,2,FALSE),""))</f>
        <v/>
      </c>
      <c r="T1120" s="40">
        <f>IF(F1120="","",IFERROR(1/(1/VLOOKUP(F1120,T_Produits,3,FALSE)),""))</f>
        <v/>
      </c>
      <c r="U1120" s="40">
        <f>IF(H1120&lt;&gt;"",H1120,T1120)</f>
        <v/>
      </c>
      <c r="V1120" s="40">
        <f>IF(OR(G1120="",U1120=""),"",G1120*U1120-N(I1120))</f>
        <v/>
      </c>
      <c r="W1120" s="39">
        <f>IF(D1120="","",IFERROR(VALUE(MID(D1120,LEN(D1120)-3,3)),""))</f>
        <v/>
      </c>
      <c r="X1120" s="33">
        <f>IF(W1120="","",P1120&amp;"|"&amp;W1120)</f>
        <v/>
      </c>
      <c r="Y1120" s="33">
        <f>IF(W1120="","",IF(P1120="À RENSEIGNER","GIC",P1120)&amp;"-"&amp;TEXT(W1120,"000"))</f>
        <v/>
      </c>
      <c r="Z1120" s="33">
        <f>IF(X1120="","",IFERROR(INDEX(Cl_nom,MATCH(X1120,Cl_cle,0)),"(client introuvable)"))</f>
        <v/>
      </c>
      <c r="AA1120" s="33">
        <f>IF(X1120="","",IFERROR(INDEX(Cl_quartier,MATCH(X1120,Cl_cle,0))&amp;"",""))</f>
        <v/>
      </c>
      <c r="AB1120" s="45">
        <f>IF(R1120&lt;&gt;"Livrée",0,IF(K1120&lt;&gt;"",K1120,C1120))</f>
        <v/>
      </c>
      <c r="AC1120" s="33">
        <f>IF(OR(C1120="",W1120=""),"",P1120&amp;"|"&amp;W1120&amp;"|"&amp;C1120&amp;"|"&amp;E1120)</f>
        <v/>
      </c>
      <c r="AD1120" s="39">
        <f>IF(AC1120="","",IF(COUNTIF(AC$6:AC1120,AC1120)=1,1,0))</f>
        <v/>
      </c>
      <c r="AE1120" s="39">
        <f>IF(AB1120=0,"",IF(COUNTIFS(X$6:X1120,X1120,AB$6:AB1120,AB1120)=1,1,0))</f>
        <v/>
      </c>
      <c r="AF1120" s="34">
        <f>IF(C1120="","",YEAR(C1120-WEEKDAY(C1120,2)+4)&amp;"-S"&amp;TEXT(INT((C1120-DATE(YEAR(C1120-WEEKDAY(C1120,2)+4),1,3)+WEEKDAY(DATE(YEAR(C1120-WEEKDAY(C1120,2)+4),1,3),2)+5)/7),"00"))</f>
        <v/>
      </c>
    </row>
    <row r="1121" ht="18" customHeight="1">
      <c r="A1121" s="39" t="n">
        <v>1116</v>
      </c>
      <c r="B1121" s="33">
        <f>IF(C1121="","",IF(P1121="À RENSEIGNER","GIC",P1121)&amp;"-C"&amp;TEXT(A1121,"00000"))</f>
        <v/>
      </c>
      <c r="C1121" s="32" t="n"/>
      <c r="D1121" s="36" t="n"/>
      <c r="E1121" s="36" t="n"/>
      <c r="F1121" s="36" t="n"/>
      <c r="G1121" s="42" t="n"/>
      <c r="H1121" s="37" t="n"/>
      <c r="I1121" s="37" t="n"/>
      <c r="J1121" s="32" t="n"/>
      <c r="K1121" s="32" t="n"/>
      <c r="L1121" s="43" t="n"/>
      <c r="M1121" s="36" t="n"/>
      <c r="N1121" s="44" t="n"/>
      <c r="O1121" s="36" t="n"/>
      <c r="P1121" s="33">
        <f>IF(C1121="","",Commercial_Id)</f>
        <v/>
      </c>
      <c r="Q1121" s="34">
        <f>IF(AC1121="","",IF(AD1121=1,"C"&amp;TEXT(SUM(AD$6:AD1121),"0000"),INDEX(Q$6:Q1120,MATCH(AC1121,AC$6:AC1120,0))))</f>
        <v/>
      </c>
      <c r="R1121" s="34">
        <f>IF(C1121="","",IF(L1121="☑ Oui","Annulée",IF(OR(E1121="Vente directe",K1121&lt;&gt;""),"Livrée",IF(J1121&lt;&gt;"","Confirmée","En attente"))))</f>
        <v/>
      </c>
      <c r="S1121" s="34">
        <f>IF(F1121="","",IFERROR(VLOOKUP(F1121,T_Produits,2,FALSE),""))</f>
        <v/>
      </c>
      <c r="T1121" s="40">
        <f>IF(F1121="","",IFERROR(1/(1/VLOOKUP(F1121,T_Produits,3,FALSE)),""))</f>
        <v/>
      </c>
      <c r="U1121" s="40">
        <f>IF(H1121&lt;&gt;"",H1121,T1121)</f>
        <v/>
      </c>
      <c r="V1121" s="40">
        <f>IF(OR(G1121="",U1121=""),"",G1121*U1121-N(I1121))</f>
        <v/>
      </c>
      <c r="W1121" s="39">
        <f>IF(D1121="","",IFERROR(VALUE(MID(D1121,LEN(D1121)-3,3)),""))</f>
        <v/>
      </c>
      <c r="X1121" s="33">
        <f>IF(W1121="","",P1121&amp;"|"&amp;W1121)</f>
        <v/>
      </c>
      <c r="Y1121" s="33">
        <f>IF(W1121="","",IF(P1121="À RENSEIGNER","GIC",P1121)&amp;"-"&amp;TEXT(W1121,"000"))</f>
        <v/>
      </c>
      <c r="Z1121" s="33">
        <f>IF(X1121="","",IFERROR(INDEX(Cl_nom,MATCH(X1121,Cl_cle,0)),"(client introuvable)"))</f>
        <v/>
      </c>
      <c r="AA1121" s="33">
        <f>IF(X1121="","",IFERROR(INDEX(Cl_quartier,MATCH(X1121,Cl_cle,0))&amp;"",""))</f>
        <v/>
      </c>
      <c r="AB1121" s="45">
        <f>IF(R1121&lt;&gt;"Livrée",0,IF(K1121&lt;&gt;"",K1121,C1121))</f>
        <v/>
      </c>
      <c r="AC1121" s="33">
        <f>IF(OR(C1121="",W1121=""),"",P1121&amp;"|"&amp;W1121&amp;"|"&amp;C1121&amp;"|"&amp;E1121)</f>
        <v/>
      </c>
      <c r="AD1121" s="39">
        <f>IF(AC1121="","",IF(COUNTIF(AC$6:AC1121,AC1121)=1,1,0))</f>
        <v/>
      </c>
      <c r="AE1121" s="39">
        <f>IF(AB1121=0,"",IF(COUNTIFS(X$6:X1121,X1121,AB$6:AB1121,AB1121)=1,1,0))</f>
        <v/>
      </c>
      <c r="AF1121" s="34">
        <f>IF(C1121="","",YEAR(C1121-WEEKDAY(C1121,2)+4)&amp;"-S"&amp;TEXT(INT((C1121-DATE(YEAR(C1121-WEEKDAY(C1121,2)+4),1,3)+WEEKDAY(DATE(YEAR(C1121-WEEKDAY(C1121,2)+4),1,3),2)+5)/7),"00"))</f>
        <v/>
      </c>
    </row>
    <row r="1122" ht="18" customHeight="1">
      <c r="A1122" s="39" t="n">
        <v>1117</v>
      </c>
      <c r="B1122" s="33">
        <f>IF(C1122="","",IF(P1122="À RENSEIGNER","GIC",P1122)&amp;"-C"&amp;TEXT(A1122,"00000"))</f>
        <v/>
      </c>
      <c r="C1122" s="32" t="n"/>
      <c r="D1122" s="36" t="n"/>
      <c r="E1122" s="36" t="n"/>
      <c r="F1122" s="36" t="n"/>
      <c r="G1122" s="42" t="n"/>
      <c r="H1122" s="37" t="n"/>
      <c r="I1122" s="37" t="n"/>
      <c r="J1122" s="32" t="n"/>
      <c r="K1122" s="32" t="n"/>
      <c r="L1122" s="43" t="n"/>
      <c r="M1122" s="36" t="n"/>
      <c r="N1122" s="44" t="n"/>
      <c r="O1122" s="36" t="n"/>
      <c r="P1122" s="33">
        <f>IF(C1122="","",Commercial_Id)</f>
        <v/>
      </c>
      <c r="Q1122" s="34">
        <f>IF(AC1122="","",IF(AD1122=1,"C"&amp;TEXT(SUM(AD$6:AD1122),"0000"),INDEX(Q$6:Q1121,MATCH(AC1122,AC$6:AC1121,0))))</f>
        <v/>
      </c>
      <c r="R1122" s="34">
        <f>IF(C1122="","",IF(L1122="☑ Oui","Annulée",IF(OR(E1122="Vente directe",K1122&lt;&gt;""),"Livrée",IF(J1122&lt;&gt;"","Confirmée","En attente"))))</f>
        <v/>
      </c>
      <c r="S1122" s="34">
        <f>IF(F1122="","",IFERROR(VLOOKUP(F1122,T_Produits,2,FALSE),""))</f>
        <v/>
      </c>
      <c r="T1122" s="40">
        <f>IF(F1122="","",IFERROR(1/(1/VLOOKUP(F1122,T_Produits,3,FALSE)),""))</f>
        <v/>
      </c>
      <c r="U1122" s="40">
        <f>IF(H1122&lt;&gt;"",H1122,T1122)</f>
        <v/>
      </c>
      <c r="V1122" s="40">
        <f>IF(OR(G1122="",U1122=""),"",G1122*U1122-N(I1122))</f>
        <v/>
      </c>
      <c r="W1122" s="39">
        <f>IF(D1122="","",IFERROR(VALUE(MID(D1122,LEN(D1122)-3,3)),""))</f>
        <v/>
      </c>
      <c r="X1122" s="33">
        <f>IF(W1122="","",P1122&amp;"|"&amp;W1122)</f>
        <v/>
      </c>
      <c r="Y1122" s="33">
        <f>IF(W1122="","",IF(P1122="À RENSEIGNER","GIC",P1122)&amp;"-"&amp;TEXT(W1122,"000"))</f>
        <v/>
      </c>
      <c r="Z1122" s="33">
        <f>IF(X1122="","",IFERROR(INDEX(Cl_nom,MATCH(X1122,Cl_cle,0)),"(client introuvable)"))</f>
        <v/>
      </c>
      <c r="AA1122" s="33">
        <f>IF(X1122="","",IFERROR(INDEX(Cl_quartier,MATCH(X1122,Cl_cle,0))&amp;"",""))</f>
        <v/>
      </c>
      <c r="AB1122" s="45">
        <f>IF(R1122&lt;&gt;"Livrée",0,IF(K1122&lt;&gt;"",K1122,C1122))</f>
        <v/>
      </c>
      <c r="AC1122" s="33">
        <f>IF(OR(C1122="",W1122=""),"",P1122&amp;"|"&amp;W1122&amp;"|"&amp;C1122&amp;"|"&amp;E1122)</f>
        <v/>
      </c>
      <c r="AD1122" s="39">
        <f>IF(AC1122="","",IF(COUNTIF(AC$6:AC1122,AC1122)=1,1,0))</f>
        <v/>
      </c>
      <c r="AE1122" s="39">
        <f>IF(AB1122=0,"",IF(COUNTIFS(X$6:X1122,X1122,AB$6:AB1122,AB1122)=1,1,0))</f>
        <v/>
      </c>
      <c r="AF1122" s="34">
        <f>IF(C1122="","",YEAR(C1122-WEEKDAY(C1122,2)+4)&amp;"-S"&amp;TEXT(INT((C1122-DATE(YEAR(C1122-WEEKDAY(C1122,2)+4),1,3)+WEEKDAY(DATE(YEAR(C1122-WEEKDAY(C1122,2)+4),1,3),2)+5)/7),"00"))</f>
        <v/>
      </c>
    </row>
    <row r="1123" ht="18" customHeight="1">
      <c r="A1123" s="39" t="n">
        <v>1118</v>
      </c>
      <c r="B1123" s="33">
        <f>IF(C1123="","",IF(P1123="À RENSEIGNER","GIC",P1123)&amp;"-C"&amp;TEXT(A1123,"00000"))</f>
        <v/>
      </c>
      <c r="C1123" s="32" t="n"/>
      <c r="D1123" s="36" t="n"/>
      <c r="E1123" s="36" t="n"/>
      <c r="F1123" s="36" t="n"/>
      <c r="G1123" s="42" t="n"/>
      <c r="H1123" s="37" t="n"/>
      <c r="I1123" s="37" t="n"/>
      <c r="J1123" s="32" t="n"/>
      <c r="K1123" s="32" t="n"/>
      <c r="L1123" s="43" t="n"/>
      <c r="M1123" s="36" t="n"/>
      <c r="N1123" s="44" t="n"/>
      <c r="O1123" s="36" t="n"/>
      <c r="P1123" s="33">
        <f>IF(C1123="","",Commercial_Id)</f>
        <v/>
      </c>
      <c r="Q1123" s="34">
        <f>IF(AC1123="","",IF(AD1123=1,"C"&amp;TEXT(SUM(AD$6:AD1123),"0000"),INDEX(Q$6:Q1122,MATCH(AC1123,AC$6:AC1122,0))))</f>
        <v/>
      </c>
      <c r="R1123" s="34">
        <f>IF(C1123="","",IF(L1123="☑ Oui","Annulée",IF(OR(E1123="Vente directe",K1123&lt;&gt;""),"Livrée",IF(J1123&lt;&gt;"","Confirmée","En attente"))))</f>
        <v/>
      </c>
      <c r="S1123" s="34">
        <f>IF(F1123="","",IFERROR(VLOOKUP(F1123,T_Produits,2,FALSE),""))</f>
        <v/>
      </c>
      <c r="T1123" s="40">
        <f>IF(F1123="","",IFERROR(1/(1/VLOOKUP(F1123,T_Produits,3,FALSE)),""))</f>
        <v/>
      </c>
      <c r="U1123" s="40">
        <f>IF(H1123&lt;&gt;"",H1123,T1123)</f>
        <v/>
      </c>
      <c r="V1123" s="40">
        <f>IF(OR(G1123="",U1123=""),"",G1123*U1123-N(I1123))</f>
        <v/>
      </c>
      <c r="W1123" s="39">
        <f>IF(D1123="","",IFERROR(VALUE(MID(D1123,LEN(D1123)-3,3)),""))</f>
        <v/>
      </c>
      <c r="X1123" s="33">
        <f>IF(W1123="","",P1123&amp;"|"&amp;W1123)</f>
        <v/>
      </c>
      <c r="Y1123" s="33">
        <f>IF(W1123="","",IF(P1123="À RENSEIGNER","GIC",P1123)&amp;"-"&amp;TEXT(W1123,"000"))</f>
        <v/>
      </c>
      <c r="Z1123" s="33">
        <f>IF(X1123="","",IFERROR(INDEX(Cl_nom,MATCH(X1123,Cl_cle,0)),"(client introuvable)"))</f>
        <v/>
      </c>
      <c r="AA1123" s="33">
        <f>IF(X1123="","",IFERROR(INDEX(Cl_quartier,MATCH(X1123,Cl_cle,0))&amp;"",""))</f>
        <v/>
      </c>
      <c r="AB1123" s="45">
        <f>IF(R1123&lt;&gt;"Livrée",0,IF(K1123&lt;&gt;"",K1123,C1123))</f>
        <v/>
      </c>
      <c r="AC1123" s="33">
        <f>IF(OR(C1123="",W1123=""),"",P1123&amp;"|"&amp;W1123&amp;"|"&amp;C1123&amp;"|"&amp;E1123)</f>
        <v/>
      </c>
      <c r="AD1123" s="39">
        <f>IF(AC1123="","",IF(COUNTIF(AC$6:AC1123,AC1123)=1,1,0))</f>
        <v/>
      </c>
      <c r="AE1123" s="39">
        <f>IF(AB1123=0,"",IF(COUNTIFS(X$6:X1123,X1123,AB$6:AB1123,AB1123)=1,1,0))</f>
        <v/>
      </c>
      <c r="AF1123" s="34">
        <f>IF(C1123="","",YEAR(C1123-WEEKDAY(C1123,2)+4)&amp;"-S"&amp;TEXT(INT((C1123-DATE(YEAR(C1123-WEEKDAY(C1123,2)+4),1,3)+WEEKDAY(DATE(YEAR(C1123-WEEKDAY(C1123,2)+4),1,3),2)+5)/7),"00"))</f>
        <v/>
      </c>
    </row>
    <row r="1124" ht="18" customHeight="1">
      <c r="A1124" s="39" t="n">
        <v>1119</v>
      </c>
      <c r="B1124" s="33">
        <f>IF(C1124="","",IF(P1124="À RENSEIGNER","GIC",P1124)&amp;"-C"&amp;TEXT(A1124,"00000"))</f>
        <v/>
      </c>
      <c r="C1124" s="32" t="n"/>
      <c r="D1124" s="36" t="n"/>
      <c r="E1124" s="36" t="n"/>
      <c r="F1124" s="36" t="n"/>
      <c r="G1124" s="42" t="n"/>
      <c r="H1124" s="37" t="n"/>
      <c r="I1124" s="37" t="n"/>
      <c r="J1124" s="32" t="n"/>
      <c r="K1124" s="32" t="n"/>
      <c r="L1124" s="43" t="n"/>
      <c r="M1124" s="36" t="n"/>
      <c r="N1124" s="44" t="n"/>
      <c r="O1124" s="36" t="n"/>
      <c r="P1124" s="33">
        <f>IF(C1124="","",Commercial_Id)</f>
        <v/>
      </c>
      <c r="Q1124" s="34">
        <f>IF(AC1124="","",IF(AD1124=1,"C"&amp;TEXT(SUM(AD$6:AD1124),"0000"),INDEX(Q$6:Q1123,MATCH(AC1124,AC$6:AC1123,0))))</f>
        <v/>
      </c>
      <c r="R1124" s="34">
        <f>IF(C1124="","",IF(L1124="☑ Oui","Annulée",IF(OR(E1124="Vente directe",K1124&lt;&gt;""),"Livrée",IF(J1124&lt;&gt;"","Confirmée","En attente"))))</f>
        <v/>
      </c>
      <c r="S1124" s="34">
        <f>IF(F1124="","",IFERROR(VLOOKUP(F1124,T_Produits,2,FALSE),""))</f>
        <v/>
      </c>
      <c r="T1124" s="40">
        <f>IF(F1124="","",IFERROR(1/(1/VLOOKUP(F1124,T_Produits,3,FALSE)),""))</f>
        <v/>
      </c>
      <c r="U1124" s="40">
        <f>IF(H1124&lt;&gt;"",H1124,T1124)</f>
        <v/>
      </c>
      <c r="V1124" s="40">
        <f>IF(OR(G1124="",U1124=""),"",G1124*U1124-N(I1124))</f>
        <v/>
      </c>
      <c r="W1124" s="39">
        <f>IF(D1124="","",IFERROR(VALUE(MID(D1124,LEN(D1124)-3,3)),""))</f>
        <v/>
      </c>
      <c r="X1124" s="33">
        <f>IF(W1124="","",P1124&amp;"|"&amp;W1124)</f>
        <v/>
      </c>
      <c r="Y1124" s="33">
        <f>IF(W1124="","",IF(P1124="À RENSEIGNER","GIC",P1124)&amp;"-"&amp;TEXT(W1124,"000"))</f>
        <v/>
      </c>
      <c r="Z1124" s="33">
        <f>IF(X1124="","",IFERROR(INDEX(Cl_nom,MATCH(X1124,Cl_cle,0)),"(client introuvable)"))</f>
        <v/>
      </c>
      <c r="AA1124" s="33">
        <f>IF(X1124="","",IFERROR(INDEX(Cl_quartier,MATCH(X1124,Cl_cle,0))&amp;"",""))</f>
        <v/>
      </c>
      <c r="AB1124" s="45">
        <f>IF(R1124&lt;&gt;"Livrée",0,IF(K1124&lt;&gt;"",K1124,C1124))</f>
        <v/>
      </c>
      <c r="AC1124" s="33">
        <f>IF(OR(C1124="",W1124=""),"",P1124&amp;"|"&amp;W1124&amp;"|"&amp;C1124&amp;"|"&amp;E1124)</f>
        <v/>
      </c>
      <c r="AD1124" s="39">
        <f>IF(AC1124="","",IF(COUNTIF(AC$6:AC1124,AC1124)=1,1,0))</f>
        <v/>
      </c>
      <c r="AE1124" s="39">
        <f>IF(AB1124=0,"",IF(COUNTIFS(X$6:X1124,X1124,AB$6:AB1124,AB1124)=1,1,0))</f>
        <v/>
      </c>
      <c r="AF1124" s="34">
        <f>IF(C1124="","",YEAR(C1124-WEEKDAY(C1124,2)+4)&amp;"-S"&amp;TEXT(INT((C1124-DATE(YEAR(C1124-WEEKDAY(C1124,2)+4),1,3)+WEEKDAY(DATE(YEAR(C1124-WEEKDAY(C1124,2)+4),1,3),2)+5)/7),"00"))</f>
        <v/>
      </c>
    </row>
    <row r="1125" ht="18" customHeight="1">
      <c r="A1125" s="39" t="n">
        <v>1120</v>
      </c>
      <c r="B1125" s="33">
        <f>IF(C1125="","",IF(P1125="À RENSEIGNER","GIC",P1125)&amp;"-C"&amp;TEXT(A1125,"00000"))</f>
        <v/>
      </c>
      <c r="C1125" s="32" t="n"/>
      <c r="D1125" s="36" t="n"/>
      <c r="E1125" s="36" t="n"/>
      <c r="F1125" s="36" t="n"/>
      <c r="G1125" s="42" t="n"/>
      <c r="H1125" s="37" t="n"/>
      <c r="I1125" s="37" t="n"/>
      <c r="J1125" s="32" t="n"/>
      <c r="K1125" s="32" t="n"/>
      <c r="L1125" s="43" t="n"/>
      <c r="M1125" s="36" t="n"/>
      <c r="N1125" s="44" t="n"/>
      <c r="O1125" s="36" t="n"/>
      <c r="P1125" s="33">
        <f>IF(C1125="","",Commercial_Id)</f>
        <v/>
      </c>
      <c r="Q1125" s="34">
        <f>IF(AC1125="","",IF(AD1125=1,"C"&amp;TEXT(SUM(AD$6:AD1125),"0000"),INDEX(Q$6:Q1124,MATCH(AC1125,AC$6:AC1124,0))))</f>
        <v/>
      </c>
      <c r="R1125" s="34">
        <f>IF(C1125="","",IF(L1125="☑ Oui","Annulée",IF(OR(E1125="Vente directe",K1125&lt;&gt;""),"Livrée",IF(J1125&lt;&gt;"","Confirmée","En attente"))))</f>
        <v/>
      </c>
      <c r="S1125" s="34">
        <f>IF(F1125="","",IFERROR(VLOOKUP(F1125,T_Produits,2,FALSE),""))</f>
        <v/>
      </c>
      <c r="T1125" s="40">
        <f>IF(F1125="","",IFERROR(1/(1/VLOOKUP(F1125,T_Produits,3,FALSE)),""))</f>
        <v/>
      </c>
      <c r="U1125" s="40">
        <f>IF(H1125&lt;&gt;"",H1125,T1125)</f>
        <v/>
      </c>
      <c r="V1125" s="40">
        <f>IF(OR(G1125="",U1125=""),"",G1125*U1125-N(I1125))</f>
        <v/>
      </c>
      <c r="W1125" s="39">
        <f>IF(D1125="","",IFERROR(VALUE(MID(D1125,LEN(D1125)-3,3)),""))</f>
        <v/>
      </c>
      <c r="X1125" s="33">
        <f>IF(W1125="","",P1125&amp;"|"&amp;W1125)</f>
        <v/>
      </c>
      <c r="Y1125" s="33">
        <f>IF(W1125="","",IF(P1125="À RENSEIGNER","GIC",P1125)&amp;"-"&amp;TEXT(W1125,"000"))</f>
        <v/>
      </c>
      <c r="Z1125" s="33">
        <f>IF(X1125="","",IFERROR(INDEX(Cl_nom,MATCH(X1125,Cl_cle,0)),"(client introuvable)"))</f>
        <v/>
      </c>
      <c r="AA1125" s="33">
        <f>IF(X1125="","",IFERROR(INDEX(Cl_quartier,MATCH(X1125,Cl_cle,0))&amp;"",""))</f>
        <v/>
      </c>
      <c r="AB1125" s="45">
        <f>IF(R1125&lt;&gt;"Livrée",0,IF(K1125&lt;&gt;"",K1125,C1125))</f>
        <v/>
      </c>
      <c r="AC1125" s="33">
        <f>IF(OR(C1125="",W1125=""),"",P1125&amp;"|"&amp;W1125&amp;"|"&amp;C1125&amp;"|"&amp;E1125)</f>
        <v/>
      </c>
      <c r="AD1125" s="39">
        <f>IF(AC1125="","",IF(COUNTIF(AC$6:AC1125,AC1125)=1,1,0))</f>
        <v/>
      </c>
      <c r="AE1125" s="39">
        <f>IF(AB1125=0,"",IF(COUNTIFS(X$6:X1125,X1125,AB$6:AB1125,AB1125)=1,1,0))</f>
        <v/>
      </c>
      <c r="AF1125" s="34">
        <f>IF(C1125="","",YEAR(C1125-WEEKDAY(C1125,2)+4)&amp;"-S"&amp;TEXT(INT((C1125-DATE(YEAR(C1125-WEEKDAY(C1125,2)+4),1,3)+WEEKDAY(DATE(YEAR(C1125-WEEKDAY(C1125,2)+4),1,3),2)+5)/7),"00"))</f>
        <v/>
      </c>
    </row>
    <row r="1126" ht="18" customHeight="1">
      <c r="A1126" s="39" t="n">
        <v>1121</v>
      </c>
      <c r="B1126" s="33">
        <f>IF(C1126="","",IF(P1126="À RENSEIGNER","GIC",P1126)&amp;"-C"&amp;TEXT(A1126,"00000"))</f>
        <v/>
      </c>
      <c r="C1126" s="32" t="n"/>
      <c r="D1126" s="36" t="n"/>
      <c r="E1126" s="36" t="n"/>
      <c r="F1126" s="36" t="n"/>
      <c r="G1126" s="42" t="n"/>
      <c r="H1126" s="37" t="n"/>
      <c r="I1126" s="37" t="n"/>
      <c r="J1126" s="32" t="n"/>
      <c r="K1126" s="32" t="n"/>
      <c r="L1126" s="43" t="n"/>
      <c r="M1126" s="36" t="n"/>
      <c r="N1126" s="44" t="n"/>
      <c r="O1126" s="36" t="n"/>
      <c r="P1126" s="33">
        <f>IF(C1126="","",Commercial_Id)</f>
        <v/>
      </c>
      <c r="Q1126" s="34">
        <f>IF(AC1126="","",IF(AD1126=1,"C"&amp;TEXT(SUM(AD$6:AD1126),"0000"),INDEX(Q$6:Q1125,MATCH(AC1126,AC$6:AC1125,0))))</f>
        <v/>
      </c>
      <c r="R1126" s="34">
        <f>IF(C1126="","",IF(L1126="☑ Oui","Annulée",IF(OR(E1126="Vente directe",K1126&lt;&gt;""),"Livrée",IF(J1126&lt;&gt;"","Confirmée","En attente"))))</f>
        <v/>
      </c>
      <c r="S1126" s="34">
        <f>IF(F1126="","",IFERROR(VLOOKUP(F1126,T_Produits,2,FALSE),""))</f>
        <v/>
      </c>
      <c r="T1126" s="40">
        <f>IF(F1126="","",IFERROR(1/(1/VLOOKUP(F1126,T_Produits,3,FALSE)),""))</f>
        <v/>
      </c>
      <c r="U1126" s="40">
        <f>IF(H1126&lt;&gt;"",H1126,T1126)</f>
        <v/>
      </c>
      <c r="V1126" s="40">
        <f>IF(OR(G1126="",U1126=""),"",G1126*U1126-N(I1126))</f>
        <v/>
      </c>
      <c r="W1126" s="39">
        <f>IF(D1126="","",IFERROR(VALUE(MID(D1126,LEN(D1126)-3,3)),""))</f>
        <v/>
      </c>
      <c r="X1126" s="33">
        <f>IF(W1126="","",P1126&amp;"|"&amp;W1126)</f>
        <v/>
      </c>
      <c r="Y1126" s="33">
        <f>IF(W1126="","",IF(P1126="À RENSEIGNER","GIC",P1126)&amp;"-"&amp;TEXT(W1126,"000"))</f>
        <v/>
      </c>
      <c r="Z1126" s="33">
        <f>IF(X1126="","",IFERROR(INDEX(Cl_nom,MATCH(X1126,Cl_cle,0)),"(client introuvable)"))</f>
        <v/>
      </c>
      <c r="AA1126" s="33">
        <f>IF(X1126="","",IFERROR(INDEX(Cl_quartier,MATCH(X1126,Cl_cle,0))&amp;"",""))</f>
        <v/>
      </c>
      <c r="AB1126" s="45">
        <f>IF(R1126&lt;&gt;"Livrée",0,IF(K1126&lt;&gt;"",K1126,C1126))</f>
        <v/>
      </c>
      <c r="AC1126" s="33">
        <f>IF(OR(C1126="",W1126=""),"",P1126&amp;"|"&amp;W1126&amp;"|"&amp;C1126&amp;"|"&amp;E1126)</f>
        <v/>
      </c>
      <c r="AD1126" s="39">
        <f>IF(AC1126="","",IF(COUNTIF(AC$6:AC1126,AC1126)=1,1,0))</f>
        <v/>
      </c>
      <c r="AE1126" s="39">
        <f>IF(AB1126=0,"",IF(COUNTIFS(X$6:X1126,X1126,AB$6:AB1126,AB1126)=1,1,0))</f>
        <v/>
      </c>
      <c r="AF1126" s="34">
        <f>IF(C1126="","",YEAR(C1126-WEEKDAY(C1126,2)+4)&amp;"-S"&amp;TEXT(INT((C1126-DATE(YEAR(C1126-WEEKDAY(C1126,2)+4),1,3)+WEEKDAY(DATE(YEAR(C1126-WEEKDAY(C1126,2)+4),1,3),2)+5)/7),"00"))</f>
        <v/>
      </c>
    </row>
    <row r="1127" ht="18" customHeight="1">
      <c r="A1127" s="39" t="n">
        <v>1122</v>
      </c>
      <c r="B1127" s="33">
        <f>IF(C1127="","",IF(P1127="À RENSEIGNER","GIC",P1127)&amp;"-C"&amp;TEXT(A1127,"00000"))</f>
        <v/>
      </c>
      <c r="C1127" s="32" t="n"/>
      <c r="D1127" s="36" t="n"/>
      <c r="E1127" s="36" t="n"/>
      <c r="F1127" s="36" t="n"/>
      <c r="G1127" s="42" t="n"/>
      <c r="H1127" s="37" t="n"/>
      <c r="I1127" s="37" t="n"/>
      <c r="J1127" s="32" t="n"/>
      <c r="K1127" s="32" t="n"/>
      <c r="L1127" s="43" t="n"/>
      <c r="M1127" s="36" t="n"/>
      <c r="N1127" s="44" t="n"/>
      <c r="O1127" s="36" t="n"/>
      <c r="P1127" s="33">
        <f>IF(C1127="","",Commercial_Id)</f>
        <v/>
      </c>
      <c r="Q1127" s="34">
        <f>IF(AC1127="","",IF(AD1127=1,"C"&amp;TEXT(SUM(AD$6:AD1127),"0000"),INDEX(Q$6:Q1126,MATCH(AC1127,AC$6:AC1126,0))))</f>
        <v/>
      </c>
      <c r="R1127" s="34">
        <f>IF(C1127="","",IF(L1127="☑ Oui","Annulée",IF(OR(E1127="Vente directe",K1127&lt;&gt;""),"Livrée",IF(J1127&lt;&gt;"","Confirmée","En attente"))))</f>
        <v/>
      </c>
      <c r="S1127" s="34">
        <f>IF(F1127="","",IFERROR(VLOOKUP(F1127,T_Produits,2,FALSE),""))</f>
        <v/>
      </c>
      <c r="T1127" s="40">
        <f>IF(F1127="","",IFERROR(1/(1/VLOOKUP(F1127,T_Produits,3,FALSE)),""))</f>
        <v/>
      </c>
      <c r="U1127" s="40">
        <f>IF(H1127&lt;&gt;"",H1127,T1127)</f>
        <v/>
      </c>
      <c r="V1127" s="40">
        <f>IF(OR(G1127="",U1127=""),"",G1127*U1127-N(I1127))</f>
        <v/>
      </c>
      <c r="W1127" s="39">
        <f>IF(D1127="","",IFERROR(VALUE(MID(D1127,LEN(D1127)-3,3)),""))</f>
        <v/>
      </c>
      <c r="X1127" s="33">
        <f>IF(W1127="","",P1127&amp;"|"&amp;W1127)</f>
        <v/>
      </c>
      <c r="Y1127" s="33">
        <f>IF(W1127="","",IF(P1127="À RENSEIGNER","GIC",P1127)&amp;"-"&amp;TEXT(W1127,"000"))</f>
        <v/>
      </c>
      <c r="Z1127" s="33">
        <f>IF(X1127="","",IFERROR(INDEX(Cl_nom,MATCH(X1127,Cl_cle,0)),"(client introuvable)"))</f>
        <v/>
      </c>
      <c r="AA1127" s="33">
        <f>IF(X1127="","",IFERROR(INDEX(Cl_quartier,MATCH(X1127,Cl_cle,0))&amp;"",""))</f>
        <v/>
      </c>
      <c r="AB1127" s="45">
        <f>IF(R1127&lt;&gt;"Livrée",0,IF(K1127&lt;&gt;"",K1127,C1127))</f>
        <v/>
      </c>
      <c r="AC1127" s="33">
        <f>IF(OR(C1127="",W1127=""),"",P1127&amp;"|"&amp;W1127&amp;"|"&amp;C1127&amp;"|"&amp;E1127)</f>
        <v/>
      </c>
      <c r="AD1127" s="39">
        <f>IF(AC1127="","",IF(COUNTIF(AC$6:AC1127,AC1127)=1,1,0))</f>
        <v/>
      </c>
      <c r="AE1127" s="39">
        <f>IF(AB1127=0,"",IF(COUNTIFS(X$6:X1127,X1127,AB$6:AB1127,AB1127)=1,1,0))</f>
        <v/>
      </c>
      <c r="AF1127" s="34">
        <f>IF(C1127="","",YEAR(C1127-WEEKDAY(C1127,2)+4)&amp;"-S"&amp;TEXT(INT((C1127-DATE(YEAR(C1127-WEEKDAY(C1127,2)+4),1,3)+WEEKDAY(DATE(YEAR(C1127-WEEKDAY(C1127,2)+4),1,3),2)+5)/7),"00"))</f>
        <v/>
      </c>
    </row>
    <row r="1128" ht="18" customHeight="1">
      <c r="A1128" s="39" t="n">
        <v>1123</v>
      </c>
      <c r="B1128" s="33">
        <f>IF(C1128="","",IF(P1128="À RENSEIGNER","GIC",P1128)&amp;"-C"&amp;TEXT(A1128,"00000"))</f>
        <v/>
      </c>
      <c r="C1128" s="32" t="n"/>
      <c r="D1128" s="36" t="n"/>
      <c r="E1128" s="36" t="n"/>
      <c r="F1128" s="36" t="n"/>
      <c r="G1128" s="42" t="n"/>
      <c r="H1128" s="37" t="n"/>
      <c r="I1128" s="37" t="n"/>
      <c r="J1128" s="32" t="n"/>
      <c r="K1128" s="32" t="n"/>
      <c r="L1128" s="43" t="n"/>
      <c r="M1128" s="36" t="n"/>
      <c r="N1128" s="44" t="n"/>
      <c r="O1128" s="36" t="n"/>
      <c r="P1128" s="33">
        <f>IF(C1128="","",Commercial_Id)</f>
        <v/>
      </c>
      <c r="Q1128" s="34">
        <f>IF(AC1128="","",IF(AD1128=1,"C"&amp;TEXT(SUM(AD$6:AD1128),"0000"),INDEX(Q$6:Q1127,MATCH(AC1128,AC$6:AC1127,0))))</f>
        <v/>
      </c>
      <c r="R1128" s="34">
        <f>IF(C1128="","",IF(L1128="☑ Oui","Annulée",IF(OR(E1128="Vente directe",K1128&lt;&gt;""),"Livrée",IF(J1128&lt;&gt;"","Confirmée","En attente"))))</f>
        <v/>
      </c>
      <c r="S1128" s="34">
        <f>IF(F1128="","",IFERROR(VLOOKUP(F1128,T_Produits,2,FALSE),""))</f>
        <v/>
      </c>
      <c r="T1128" s="40">
        <f>IF(F1128="","",IFERROR(1/(1/VLOOKUP(F1128,T_Produits,3,FALSE)),""))</f>
        <v/>
      </c>
      <c r="U1128" s="40">
        <f>IF(H1128&lt;&gt;"",H1128,T1128)</f>
        <v/>
      </c>
      <c r="V1128" s="40">
        <f>IF(OR(G1128="",U1128=""),"",G1128*U1128-N(I1128))</f>
        <v/>
      </c>
      <c r="W1128" s="39">
        <f>IF(D1128="","",IFERROR(VALUE(MID(D1128,LEN(D1128)-3,3)),""))</f>
        <v/>
      </c>
      <c r="X1128" s="33">
        <f>IF(W1128="","",P1128&amp;"|"&amp;W1128)</f>
        <v/>
      </c>
      <c r="Y1128" s="33">
        <f>IF(W1128="","",IF(P1128="À RENSEIGNER","GIC",P1128)&amp;"-"&amp;TEXT(W1128,"000"))</f>
        <v/>
      </c>
      <c r="Z1128" s="33">
        <f>IF(X1128="","",IFERROR(INDEX(Cl_nom,MATCH(X1128,Cl_cle,0)),"(client introuvable)"))</f>
        <v/>
      </c>
      <c r="AA1128" s="33">
        <f>IF(X1128="","",IFERROR(INDEX(Cl_quartier,MATCH(X1128,Cl_cle,0))&amp;"",""))</f>
        <v/>
      </c>
      <c r="AB1128" s="45">
        <f>IF(R1128&lt;&gt;"Livrée",0,IF(K1128&lt;&gt;"",K1128,C1128))</f>
        <v/>
      </c>
      <c r="AC1128" s="33">
        <f>IF(OR(C1128="",W1128=""),"",P1128&amp;"|"&amp;W1128&amp;"|"&amp;C1128&amp;"|"&amp;E1128)</f>
        <v/>
      </c>
      <c r="AD1128" s="39">
        <f>IF(AC1128="","",IF(COUNTIF(AC$6:AC1128,AC1128)=1,1,0))</f>
        <v/>
      </c>
      <c r="AE1128" s="39">
        <f>IF(AB1128=0,"",IF(COUNTIFS(X$6:X1128,X1128,AB$6:AB1128,AB1128)=1,1,0))</f>
        <v/>
      </c>
      <c r="AF1128" s="34">
        <f>IF(C1128="","",YEAR(C1128-WEEKDAY(C1128,2)+4)&amp;"-S"&amp;TEXT(INT((C1128-DATE(YEAR(C1128-WEEKDAY(C1128,2)+4),1,3)+WEEKDAY(DATE(YEAR(C1128-WEEKDAY(C1128,2)+4),1,3),2)+5)/7),"00"))</f>
        <v/>
      </c>
    </row>
    <row r="1129" ht="18" customHeight="1">
      <c r="A1129" s="39" t="n">
        <v>1124</v>
      </c>
      <c r="B1129" s="33">
        <f>IF(C1129="","",IF(P1129="À RENSEIGNER","GIC",P1129)&amp;"-C"&amp;TEXT(A1129,"00000"))</f>
        <v/>
      </c>
      <c r="C1129" s="32" t="n"/>
      <c r="D1129" s="36" t="n"/>
      <c r="E1129" s="36" t="n"/>
      <c r="F1129" s="36" t="n"/>
      <c r="G1129" s="42" t="n"/>
      <c r="H1129" s="37" t="n"/>
      <c r="I1129" s="37" t="n"/>
      <c r="J1129" s="32" t="n"/>
      <c r="K1129" s="32" t="n"/>
      <c r="L1129" s="43" t="n"/>
      <c r="M1129" s="36" t="n"/>
      <c r="N1129" s="44" t="n"/>
      <c r="O1129" s="36" t="n"/>
      <c r="P1129" s="33">
        <f>IF(C1129="","",Commercial_Id)</f>
        <v/>
      </c>
      <c r="Q1129" s="34">
        <f>IF(AC1129="","",IF(AD1129=1,"C"&amp;TEXT(SUM(AD$6:AD1129),"0000"),INDEX(Q$6:Q1128,MATCH(AC1129,AC$6:AC1128,0))))</f>
        <v/>
      </c>
      <c r="R1129" s="34">
        <f>IF(C1129="","",IF(L1129="☑ Oui","Annulée",IF(OR(E1129="Vente directe",K1129&lt;&gt;""),"Livrée",IF(J1129&lt;&gt;"","Confirmée","En attente"))))</f>
        <v/>
      </c>
      <c r="S1129" s="34">
        <f>IF(F1129="","",IFERROR(VLOOKUP(F1129,T_Produits,2,FALSE),""))</f>
        <v/>
      </c>
      <c r="T1129" s="40">
        <f>IF(F1129="","",IFERROR(1/(1/VLOOKUP(F1129,T_Produits,3,FALSE)),""))</f>
        <v/>
      </c>
      <c r="U1129" s="40">
        <f>IF(H1129&lt;&gt;"",H1129,T1129)</f>
        <v/>
      </c>
      <c r="V1129" s="40">
        <f>IF(OR(G1129="",U1129=""),"",G1129*U1129-N(I1129))</f>
        <v/>
      </c>
      <c r="W1129" s="39">
        <f>IF(D1129="","",IFERROR(VALUE(MID(D1129,LEN(D1129)-3,3)),""))</f>
        <v/>
      </c>
      <c r="X1129" s="33">
        <f>IF(W1129="","",P1129&amp;"|"&amp;W1129)</f>
        <v/>
      </c>
      <c r="Y1129" s="33">
        <f>IF(W1129="","",IF(P1129="À RENSEIGNER","GIC",P1129)&amp;"-"&amp;TEXT(W1129,"000"))</f>
        <v/>
      </c>
      <c r="Z1129" s="33">
        <f>IF(X1129="","",IFERROR(INDEX(Cl_nom,MATCH(X1129,Cl_cle,0)),"(client introuvable)"))</f>
        <v/>
      </c>
      <c r="AA1129" s="33">
        <f>IF(X1129="","",IFERROR(INDEX(Cl_quartier,MATCH(X1129,Cl_cle,0))&amp;"",""))</f>
        <v/>
      </c>
      <c r="AB1129" s="45">
        <f>IF(R1129&lt;&gt;"Livrée",0,IF(K1129&lt;&gt;"",K1129,C1129))</f>
        <v/>
      </c>
      <c r="AC1129" s="33">
        <f>IF(OR(C1129="",W1129=""),"",P1129&amp;"|"&amp;W1129&amp;"|"&amp;C1129&amp;"|"&amp;E1129)</f>
        <v/>
      </c>
      <c r="AD1129" s="39">
        <f>IF(AC1129="","",IF(COUNTIF(AC$6:AC1129,AC1129)=1,1,0))</f>
        <v/>
      </c>
      <c r="AE1129" s="39">
        <f>IF(AB1129=0,"",IF(COUNTIFS(X$6:X1129,X1129,AB$6:AB1129,AB1129)=1,1,0))</f>
        <v/>
      </c>
      <c r="AF1129" s="34">
        <f>IF(C1129="","",YEAR(C1129-WEEKDAY(C1129,2)+4)&amp;"-S"&amp;TEXT(INT((C1129-DATE(YEAR(C1129-WEEKDAY(C1129,2)+4),1,3)+WEEKDAY(DATE(YEAR(C1129-WEEKDAY(C1129,2)+4),1,3),2)+5)/7),"00"))</f>
        <v/>
      </c>
    </row>
    <row r="1130" ht="18" customHeight="1">
      <c r="A1130" s="39" t="n">
        <v>1125</v>
      </c>
      <c r="B1130" s="33">
        <f>IF(C1130="","",IF(P1130="À RENSEIGNER","GIC",P1130)&amp;"-C"&amp;TEXT(A1130,"00000"))</f>
        <v/>
      </c>
      <c r="C1130" s="32" t="n"/>
      <c r="D1130" s="36" t="n"/>
      <c r="E1130" s="36" t="n"/>
      <c r="F1130" s="36" t="n"/>
      <c r="G1130" s="42" t="n"/>
      <c r="H1130" s="37" t="n"/>
      <c r="I1130" s="37" t="n"/>
      <c r="J1130" s="32" t="n"/>
      <c r="K1130" s="32" t="n"/>
      <c r="L1130" s="43" t="n"/>
      <c r="M1130" s="36" t="n"/>
      <c r="N1130" s="44" t="n"/>
      <c r="O1130" s="36" t="n"/>
      <c r="P1130" s="33">
        <f>IF(C1130="","",Commercial_Id)</f>
        <v/>
      </c>
      <c r="Q1130" s="34">
        <f>IF(AC1130="","",IF(AD1130=1,"C"&amp;TEXT(SUM(AD$6:AD1130),"0000"),INDEX(Q$6:Q1129,MATCH(AC1130,AC$6:AC1129,0))))</f>
        <v/>
      </c>
      <c r="R1130" s="34">
        <f>IF(C1130="","",IF(L1130="☑ Oui","Annulée",IF(OR(E1130="Vente directe",K1130&lt;&gt;""),"Livrée",IF(J1130&lt;&gt;"","Confirmée","En attente"))))</f>
        <v/>
      </c>
      <c r="S1130" s="34">
        <f>IF(F1130="","",IFERROR(VLOOKUP(F1130,T_Produits,2,FALSE),""))</f>
        <v/>
      </c>
      <c r="T1130" s="40">
        <f>IF(F1130="","",IFERROR(1/(1/VLOOKUP(F1130,T_Produits,3,FALSE)),""))</f>
        <v/>
      </c>
      <c r="U1130" s="40">
        <f>IF(H1130&lt;&gt;"",H1130,T1130)</f>
        <v/>
      </c>
      <c r="V1130" s="40">
        <f>IF(OR(G1130="",U1130=""),"",G1130*U1130-N(I1130))</f>
        <v/>
      </c>
      <c r="W1130" s="39">
        <f>IF(D1130="","",IFERROR(VALUE(MID(D1130,LEN(D1130)-3,3)),""))</f>
        <v/>
      </c>
      <c r="X1130" s="33">
        <f>IF(W1130="","",P1130&amp;"|"&amp;W1130)</f>
        <v/>
      </c>
      <c r="Y1130" s="33">
        <f>IF(W1130="","",IF(P1130="À RENSEIGNER","GIC",P1130)&amp;"-"&amp;TEXT(W1130,"000"))</f>
        <v/>
      </c>
      <c r="Z1130" s="33">
        <f>IF(X1130="","",IFERROR(INDEX(Cl_nom,MATCH(X1130,Cl_cle,0)),"(client introuvable)"))</f>
        <v/>
      </c>
      <c r="AA1130" s="33">
        <f>IF(X1130="","",IFERROR(INDEX(Cl_quartier,MATCH(X1130,Cl_cle,0))&amp;"",""))</f>
        <v/>
      </c>
      <c r="AB1130" s="45">
        <f>IF(R1130&lt;&gt;"Livrée",0,IF(K1130&lt;&gt;"",K1130,C1130))</f>
        <v/>
      </c>
      <c r="AC1130" s="33">
        <f>IF(OR(C1130="",W1130=""),"",P1130&amp;"|"&amp;W1130&amp;"|"&amp;C1130&amp;"|"&amp;E1130)</f>
        <v/>
      </c>
      <c r="AD1130" s="39">
        <f>IF(AC1130="","",IF(COUNTIF(AC$6:AC1130,AC1130)=1,1,0))</f>
        <v/>
      </c>
      <c r="AE1130" s="39">
        <f>IF(AB1130=0,"",IF(COUNTIFS(X$6:X1130,X1130,AB$6:AB1130,AB1130)=1,1,0))</f>
        <v/>
      </c>
      <c r="AF1130" s="34">
        <f>IF(C1130="","",YEAR(C1130-WEEKDAY(C1130,2)+4)&amp;"-S"&amp;TEXT(INT((C1130-DATE(YEAR(C1130-WEEKDAY(C1130,2)+4),1,3)+WEEKDAY(DATE(YEAR(C1130-WEEKDAY(C1130,2)+4),1,3),2)+5)/7),"00"))</f>
        <v/>
      </c>
    </row>
    <row r="1131" ht="18" customHeight="1">
      <c r="A1131" s="39" t="n">
        <v>1126</v>
      </c>
      <c r="B1131" s="33">
        <f>IF(C1131="","",IF(P1131="À RENSEIGNER","GIC",P1131)&amp;"-C"&amp;TEXT(A1131,"00000"))</f>
        <v/>
      </c>
      <c r="C1131" s="32" t="n"/>
      <c r="D1131" s="36" t="n"/>
      <c r="E1131" s="36" t="n"/>
      <c r="F1131" s="36" t="n"/>
      <c r="G1131" s="42" t="n"/>
      <c r="H1131" s="37" t="n"/>
      <c r="I1131" s="37" t="n"/>
      <c r="J1131" s="32" t="n"/>
      <c r="K1131" s="32" t="n"/>
      <c r="L1131" s="43" t="n"/>
      <c r="M1131" s="36" t="n"/>
      <c r="N1131" s="44" t="n"/>
      <c r="O1131" s="36" t="n"/>
      <c r="P1131" s="33">
        <f>IF(C1131="","",Commercial_Id)</f>
        <v/>
      </c>
      <c r="Q1131" s="34">
        <f>IF(AC1131="","",IF(AD1131=1,"C"&amp;TEXT(SUM(AD$6:AD1131),"0000"),INDEX(Q$6:Q1130,MATCH(AC1131,AC$6:AC1130,0))))</f>
        <v/>
      </c>
      <c r="R1131" s="34">
        <f>IF(C1131="","",IF(L1131="☑ Oui","Annulée",IF(OR(E1131="Vente directe",K1131&lt;&gt;""),"Livrée",IF(J1131&lt;&gt;"","Confirmée","En attente"))))</f>
        <v/>
      </c>
      <c r="S1131" s="34">
        <f>IF(F1131="","",IFERROR(VLOOKUP(F1131,T_Produits,2,FALSE),""))</f>
        <v/>
      </c>
      <c r="T1131" s="40">
        <f>IF(F1131="","",IFERROR(1/(1/VLOOKUP(F1131,T_Produits,3,FALSE)),""))</f>
        <v/>
      </c>
      <c r="U1131" s="40">
        <f>IF(H1131&lt;&gt;"",H1131,T1131)</f>
        <v/>
      </c>
      <c r="V1131" s="40">
        <f>IF(OR(G1131="",U1131=""),"",G1131*U1131-N(I1131))</f>
        <v/>
      </c>
      <c r="W1131" s="39">
        <f>IF(D1131="","",IFERROR(VALUE(MID(D1131,LEN(D1131)-3,3)),""))</f>
        <v/>
      </c>
      <c r="X1131" s="33">
        <f>IF(W1131="","",P1131&amp;"|"&amp;W1131)</f>
        <v/>
      </c>
      <c r="Y1131" s="33">
        <f>IF(W1131="","",IF(P1131="À RENSEIGNER","GIC",P1131)&amp;"-"&amp;TEXT(W1131,"000"))</f>
        <v/>
      </c>
      <c r="Z1131" s="33">
        <f>IF(X1131="","",IFERROR(INDEX(Cl_nom,MATCH(X1131,Cl_cle,0)),"(client introuvable)"))</f>
        <v/>
      </c>
      <c r="AA1131" s="33">
        <f>IF(X1131="","",IFERROR(INDEX(Cl_quartier,MATCH(X1131,Cl_cle,0))&amp;"",""))</f>
        <v/>
      </c>
      <c r="AB1131" s="45">
        <f>IF(R1131&lt;&gt;"Livrée",0,IF(K1131&lt;&gt;"",K1131,C1131))</f>
        <v/>
      </c>
      <c r="AC1131" s="33">
        <f>IF(OR(C1131="",W1131=""),"",P1131&amp;"|"&amp;W1131&amp;"|"&amp;C1131&amp;"|"&amp;E1131)</f>
        <v/>
      </c>
      <c r="AD1131" s="39">
        <f>IF(AC1131="","",IF(COUNTIF(AC$6:AC1131,AC1131)=1,1,0))</f>
        <v/>
      </c>
      <c r="AE1131" s="39">
        <f>IF(AB1131=0,"",IF(COUNTIFS(X$6:X1131,X1131,AB$6:AB1131,AB1131)=1,1,0))</f>
        <v/>
      </c>
      <c r="AF1131" s="34">
        <f>IF(C1131="","",YEAR(C1131-WEEKDAY(C1131,2)+4)&amp;"-S"&amp;TEXT(INT((C1131-DATE(YEAR(C1131-WEEKDAY(C1131,2)+4),1,3)+WEEKDAY(DATE(YEAR(C1131-WEEKDAY(C1131,2)+4),1,3),2)+5)/7),"00"))</f>
        <v/>
      </c>
    </row>
    <row r="1132" ht="18" customHeight="1">
      <c r="A1132" s="39" t="n">
        <v>1127</v>
      </c>
      <c r="B1132" s="33">
        <f>IF(C1132="","",IF(P1132="À RENSEIGNER","GIC",P1132)&amp;"-C"&amp;TEXT(A1132,"00000"))</f>
        <v/>
      </c>
      <c r="C1132" s="32" t="n"/>
      <c r="D1132" s="36" t="n"/>
      <c r="E1132" s="36" t="n"/>
      <c r="F1132" s="36" t="n"/>
      <c r="G1132" s="42" t="n"/>
      <c r="H1132" s="37" t="n"/>
      <c r="I1132" s="37" t="n"/>
      <c r="J1132" s="32" t="n"/>
      <c r="K1132" s="32" t="n"/>
      <c r="L1132" s="43" t="n"/>
      <c r="M1132" s="36" t="n"/>
      <c r="N1132" s="44" t="n"/>
      <c r="O1132" s="36" t="n"/>
      <c r="P1132" s="33">
        <f>IF(C1132="","",Commercial_Id)</f>
        <v/>
      </c>
      <c r="Q1132" s="34">
        <f>IF(AC1132="","",IF(AD1132=1,"C"&amp;TEXT(SUM(AD$6:AD1132),"0000"),INDEX(Q$6:Q1131,MATCH(AC1132,AC$6:AC1131,0))))</f>
        <v/>
      </c>
      <c r="R1132" s="34">
        <f>IF(C1132="","",IF(L1132="☑ Oui","Annulée",IF(OR(E1132="Vente directe",K1132&lt;&gt;""),"Livrée",IF(J1132&lt;&gt;"","Confirmée","En attente"))))</f>
        <v/>
      </c>
      <c r="S1132" s="34">
        <f>IF(F1132="","",IFERROR(VLOOKUP(F1132,T_Produits,2,FALSE),""))</f>
        <v/>
      </c>
      <c r="T1132" s="40">
        <f>IF(F1132="","",IFERROR(1/(1/VLOOKUP(F1132,T_Produits,3,FALSE)),""))</f>
        <v/>
      </c>
      <c r="U1132" s="40">
        <f>IF(H1132&lt;&gt;"",H1132,T1132)</f>
        <v/>
      </c>
      <c r="V1132" s="40">
        <f>IF(OR(G1132="",U1132=""),"",G1132*U1132-N(I1132))</f>
        <v/>
      </c>
      <c r="W1132" s="39">
        <f>IF(D1132="","",IFERROR(VALUE(MID(D1132,LEN(D1132)-3,3)),""))</f>
        <v/>
      </c>
      <c r="X1132" s="33">
        <f>IF(W1132="","",P1132&amp;"|"&amp;W1132)</f>
        <v/>
      </c>
      <c r="Y1132" s="33">
        <f>IF(W1132="","",IF(P1132="À RENSEIGNER","GIC",P1132)&amp;"-"&amp;TEXT(W1132,"000"))</f>
        <v/>
      </c>
      <c r="Z1132" s="33">
        <f>IF(X1132="","",IFERROR(INDEX(Cl_nom,MATCH(X1132,Cl_cle,0)),"(client introuvable)"))</f>
        <v/>
      </c>
      <c r="AA1132" s="33">
        <f>IF(X1132="","",IFERROR(INDEX(Cl_quartier,MATCH(X1132,Cl_cle,0))&amp;"",""))</f>
        <v/>
      </c>
      <c r="AB1132" s="45">
        <f>IF(R1132&lt;&gt;"Livrée",0,IF(K1132&lt;&gt;"",K1132,C1132))</f>
        <v/>
      </c>
      <c r="AC1132" s="33">
        <f>IF(OR(C1132="",W1132=""),"",P1132&amp;"|"&amp;W1132&amp;"|"&amp;C1132&amp;"|"&amp;E1132)</f>
        <v/>
      </c>
      <c r="AD1132" s="39">
        <f>IF(AC1132="","",IF(COUNTIF(AC$6:AC1132,AC1132)=1,1,0))</f>
        <v/>
      </c>
      <c r="AE1132" s="39">
        <f>IF(AB1132=0,"",IF(COUNTIFS(X$6:X1132,X1132,AB$6:AB1132,AB1132)=1,1,0))</f>
        <v/>
      </c>
      <c r="AF1132" s="34">
        <f>IF(C1132="","",YEAR(C1132-WEEKDAY(C1132,2)+4)&amp;"-S"&amp;TEXT(INT((C1132-DATE(YEAR(C1132-WEEKDAY(C1132,2)+4),1,3)+WEEKDAY(DATE(YEAR(C1132-WEEKDAY(C1132,2)+4),1,3),2)+5)/7),"00"))</f>
        <v/>
      </c>
    </row>
    <row r="1133" ht="18" customHeight="1">
      <c r="A1133" s="39" t="n">
        <v>1128</v>
      </c>
      <c r="B1133" s="33">
        <f>IF(C1133="","",IF(P1133="À RENSEIGNER","GIC",P1133)&amp;"-C"&amp;TEXT(A1133,"00000"))</f>
        <v/>
      </c>
      <c r="C1133" s="32" t="n"/>
      <c r="D1133" s="36" t="n"/>
      <c r="E1133" s="36" t="n"/>
      <c r="F1133" s="36" t="n"/>
      <c r="G1133" s="42" t="n"/>
      <c r="H1133" s="37" t="n"/>
      <c r="I1133" s="37" t="n"/>
      <c r="J1133" s="32" t="n"/>
      <c r="K1133" s="32" t="n"/>
      <c r="L1133" s="43" t="n"/>
      <c r="M1133" s="36" t="n"/>
      <c r="N1133" s="44" t="n"/>
      <c r="O1133" s="36" t="n"/>
      <c r="P1133" s="33">
        <f>IF(C1133="","",Commercial_Id)</f>
        <v/>
      </c>
      <c r="Q1133" s="34">
        <f>IF(AC1133="","",IF(AD1133=1,"C"&amp;TEXT(SUM(AD$6:AD1133),"0000"),INDEX(Q$6:Q1132,MATCH(AC1133,AC$6:AC1132,0))))</f>
        <v/>
      </c>
      <c r="R1133" s="34">
        <f>IF(C1133="","",IF(L1133="☑ Oui","Annulée",IF(OR(E1133="Vente directe",K1133&lt;&gt;""),"Livrée",IF(J1133&lt;&gt;"","Confirmée","En attente"))))</f>
        <v/>
      </c>
      <c r="S1133" s="34">
        <f>IF(F1133="","",IFERROR(VLOOKUP(F1133,T_Produits,2,FALSE),""))</f>
        <v/>
      </c>
      <c r="T1133" s="40">
        <f>IF(F1133="","",IFERROR(1/(1/VLOOKUP(F1133,T_Produits,3,FALSE)),""))</f>
        <v/>
      </c>
      <c r="U1133" s="40">
        <f>IF(H1133&lt;&gt;"",H1133,T1133)</f>
        <v/>
      </c>
      <c r="V1133" s="40">
        <f>IF(OR(G1133="",U1133=""),"",G1133*U1133-N(I1133))</f>
        <v/>
      </c>
      <c r="W1133" s="39">
        <f>IF(D1133="","",IFERROR(VALUE(MID(D1133,LEN(D1133)-3,3)),""))</f>
        <v/>
      </c>
      <c r="X1133" s="33">
        <f>IF(W1133="","",P1133&amp;"|"&amp;W1133)</f>
        <v/>
      </c>
      <c r="Y1133" s="33">
        <f>IF(W1133="","",IF(P1133="À RENSEIGNER","GIC",P1133)&amp;"-"&amp;TEXT(W1133,"000"))</f>
        <v/>
      </c>
      <c r="Z1133" s="33">
        <f>IF(X1133="","",IFERROR(INDEX(Cl_nom,MATCH(X1133,Cl_cle,0)),"(client introuvable)"))</f>
        <v/>
      </c>
      <c r="AA1133" s="33">
        <f>IF(X1133="","",IFERROR(INDEX(Cl_quartier,MATCH(X1133,Cl_cle,0))&amp;"",""))</f>
        <v/>
      </c>
      <c r="AB1133" s="45">
        <f>IF(R1133&lt;&gt;"Livrée",0,IF(K1133&lt;&gt;"",K1133,C1133))</f>
        <v/>
      </c>
      <c r="AC1133" s="33">
        <f>IF(OR(C1133="",W1133=""),"",P1133&amp;"|"&amp;W1133&amp;"|"&amp;C1133&amp;"|"&amp;E1133)</f>
        <v/>
      </c>
      <c r="AD1133" s="39">
        <f>IF(AC1133="","",IF(COUNTIF(AC$6:AC1133,AC1133)=1,1,0))</f>
        <v/>
      </c>
      <c r="AE1133" s="39">
        <f>IF(AB1133=0,"",IF(COUNTIFS(X$6:X1133,X1133,AB$6:AB1133,AB1133)=1,1,0))</f>
        <v/>
      </c>
      <c r="AF1133" s="34">
        <f>IF(C1133="","",YEAR(C1133-WEEKDAY(C1133,2)+4)&amp;"-S"&amp;TEXT(INT((C1133-DATE(YEAR(C1133-WEEKDAY(C1133,2)+4),1,3)+WEEKDAY(DATE(YEAR(C1133-WEEKDAY(C1133,2)+4),1,3),2)+5)/7),"00"))</f>
        <v/>
      </c>
    </row>
    <row r="1134" ht="18" customHeight="1">
      <c r="A1134" s="39" t="n">
        <v>1129</v>
      </c>
      <c r="B1134" s="33">
        <f>IF(C1134="","",IF(P1134="À RENSEIGNER","GIC",P1134)&amp;"-C"&amp;TEXT(A1134,"00000"))</f>
        <v/>
      </c>
      <c r="C1134" s="32" t="n"/>
      <c r="D1134" s="36" t="n"/>
      <c r="E1134" s="36" t="n"/>
      <c r="F1134" s="36" t="n"/>
      <c r="G1134" s="42" t="n"/>
      <c r="H1134" s="37" t="n"/>
      <c r="I1134" s="37" t="n"/>
      <c r="J1134" s="32" t="n"/>
      <c r="K1134" s="32" t="n"/>
      <c r="L1134" s="43" t="n"/>
      <c r="M1134" s="36" t="n"/>
      <c r="N1134" s="44" t="n"/>
      <c r="O1134" s="36" t="n"/>
      <c r="P1134" s="33">
        <f>IF(C1134="","",Commercial_Id)</f>
        <v/>
      </c>
      <c r="Q1134" s="34">
        <f>IF(AC1134="","",IF(AD1134=1,"C"&amp;TEXT(SUM(AD$6:AD1134),"0000"),INDEX(Q$6:Q1133,MATCH(AC1134,AC$6:AC1133,0))))</f>
        <v/>
      </c>
      <c r="R1134" s="34">
        <f>IF(C1134="","",IF(L1134="☑ Oui","Annulée",IF(OR(E1134="Vente directe",K1134&lt;&gt;""),"Livrée",IF(J1134&lt;&gt;"","Confirmée","En attente"))))</f>
        <v/>
      </c>
      <c r="S1134" s="34">
        <f>IF(F1134="","",IFERROR(VLOOKUP(F1134,T_Produits,2,FALSE),""))</f>
        <v/>
      </c>
      <c r="T1134" s="40">
        <f>IF(F1134="","",IFERROR(1/(1/VLOOKUP(F1134,T_Produits,3,FALSE)),""))</f>
        <v/>
      </c>
      <c r="U1134" s="40">
        <f>IF(H1134&lt;&gt;"",H1134,T1134)</f>
        <v/>
      </c>
      <c r="V1134" s="40">
        <f>IF(OR(G1134="",U1134=""),"",G1134*U1134-N(I1134))</f>
        <v/>
      </c>
      <c r="W1134" s="39">
        <f>IF(D1134="","",IFERROR(VALUE(MID(D1134,LEN(D1134)-3,3)),""))</f>
        <v/>
      </c>
      <c r="X1134" s="33">
        <f>IF(W1134="","",P1134&amp;"|"&amp;W1134)</f>
        <v/>
      </c>
      <c r="Y1134" s="33">
        <f>IF(W1134="","",IF(P1134="À RENSEIGNER","GIC",P1134)&amp;"-"&amp;TEXT(W1134,"000"))</f>
        <v/>
      </c>
      <c r="Z1134" s="33">
        <f>IF(X1134="","",IFERROR(INDEX(Cl_nom,MATCH(X1134,Cl_cle,0)),"(client introuvable)"))</f>
        <v/>
      </c>
      <c r="AA1134" s="33">
        <f>IF(X1134="","",IFERROR(INDEX(Cl_quartier,MATCH(X1134,Cl_cle,0))&amp;"",""))</f>
        <v/>
      </c>
      <c r="AB1134" s="45">
        <f>IF(R1134&lt;&gt;"Livrée",0,IF(K1134&lt;&gt;"",K1134,C1134))</f>
        <v/>
      </c>
      <c r="AC1134" s="33">
        <f>IF(OR(C1134="",W1134=""),"",P1134&amp;"|"&amp;W1134&amp;"|"&amp;C1134&amp;"|"&amp;E1134)</f>
        <v/>
      </c>
      <c r="AD1134" s="39">
        <f>IF(AC1134="","",IF(COUNTIF(AC$6:AC1134,AC1134)=1,1,0))</f>
        <v/>
      </c>
      <c r="AE1134" s="39">
        <f>IF(AB1134=0,"",IF(COUNTIFS(X$6:X1134,X1134,AB$6:AB1134,AB1134)=1,1,0))</f>
        <v/>
      </c>
      <c r="AF1134" s="34">
        <f>IF(C1134="","",YEAR(C1134-WEEKDAY(C1134,2)+4)&amp;"-S"&amp;TEXT(INT((C1134-DATE(YEAR(C1134-WEEKDAY(C1134,2)+4),1,3)+WEEKDAY(DATE(YEAR(C1134-WEEKDAY(C1134,2)+4),1,3),2)+5)/7),"00"))</f>
        <v/>
      </c>
    </row>
    <row r="1135" ht="18" customHeight="1">
      <c r="A1135" s="39" t="n">
        <v>1130</v>
      </c>
      <c r="B1135" s="33">
        <f>IF(C1135="","",IF(P1135="À RENSEIGNER","GIC",P1135)&amp;"-C"&amp;TEXT(A1135,"00000"))</f>
        <v/>
      </c>
      <c r="C1135" s="32" t="n"/>
      <c r="D1135" s="36" t="n"/>
      <c r="E1135" s="36" t="n"/>
      <c r="F1135" s="36" t="n"/>
      <c r="G1135" s="42" t="n"/>
      <c r="H1135" s="37" t="n"/>
      <c r="I1135" s="37" t="n"/>
      <c r="J1135" s="32" t="n"/>
      <c r="K1135" s="32" t="n"/>
      <c r="L1135" s="43" t="n"/>
      <c r="M1135" s="36" t="n"/>
      <c r="N1135" s="44" t="n"/>
      <c r="O1135" s="36" t="n"/>
      <c r="P1135" s="33">
        <f>IF(C1135="","",Commercial_Id)</f>
        <v/>
      </c>
      <c r="Q1135" s="34">
        <f>IF(AC1135="","",IF(AD1135=1,"C"&amp;TEXT(SUM(AD$6:AD1135),"0000"),INDEX(Q$6:Q1134,MATCH(AC1135,AC$6:AC1134,0))))</f>
        <v/>
      </c>
      <c r="R1135" s="34">
        <f>IF(C1135="","",IF(L1135="☑ Oui","Annulée",IF(OR(E1135="Vente directe",K1135&lt;&gt;""),"Livrée",IF(J1135&lt;&gt;"","Confirmée","En attente"))))</f>
        <v/>
      </c>
      <c r="S1135" s="34">
        <f>IF(F1135="","",IFERROR(VLOOKUP(F1135,T_Produits,2,FALSE),""))</f>
        <v/>
      </c>
      <c r="T1135" s="40">
        <f>IF(F1135="","",IFERROR(1/(1/VLOOKUP(F1135,T_Produits,3,FALSE)),""))</f>
        <v/>
      </c>
      <c r="U1135" s="40">
        <f>IF(H1135&lt;&gt;"",H1135,T1135)</f>
        <v/>
      </c>
      <c r="V1135" s="40">
        <f>IF(OR(G1135="",U1135=""),"",G1135*U1135-N(I1135))</f>
        <v/>
      </c>
      <c r="W1135" s="39">
        <f>IF(D1135="","",IFERROR(VALUE(MID(D1135,LEN(D1135)-3,3)),""))</f>
        <v/>
      </c>
      <c r="X1135" s="33">
        <f>IF(W1135="","",P1135&amp;"|"&amp;W1135)</f>
        <v/>
      </c>
      <c r="Y1135" s="33">
        <f>IF(W1135="","",IF(P1135="À RENSEIGNER","GIC",P1135)&amp;"-"&amp;TEXT(W1135,"000"))</f>
        <v/>
      </c>
      <c r="Z1135" s="33">
        <f>IF(X1135="","",IFERROR(INDEX(Cl_nom,MATCH(X1135,Cl_cle,0)),"(client introuvable)"))</f>
        <v/>
      </c>
      <c r="AA1135" s="33">
        <f>IF(X1135="","",IFERROR(INDEX(Cl_quartier,MATCH(X1135,Cl_cle,0))&amp;"",""))</f>
        <v/>
      </c>
      <c r="AB1135" s="45">
        <f>IF(R1135&lt;&gt;"Livrée",0,IF(K1135&lt;&gt;"",K1135,C1135))</f>
        <v/>
      </c>
      <c r="AC1135" s="33">
        <f>IF(OR(C1135="",W1135=""),"",P1135&amp;"|"&amp;W1135&amp;"|"&amp;C1135&amp;"|"&amp;E1135)</f>
        <v/>
      </c>
      <c r="AD1135" s="39">
        <f>IF(AC1135="","",IF(COUNTIF(AC$6:AC1135,AC1135)=1,1,0))</f>
        <v/>
      </c>
      <c r="AE1135" s="39">
        <f>IF(AB1135=0,"",IF(COUNTIFS(X$6:X1135,X1135,AB$6:AB1135,AB1135)=1,1,0))</f>
        <v/>
      </c>
      <c r="AF1135" s="34">
        <f>IF(C1135="","",YEAR(C1135-WEEKDAY(C1135,2)+4)&amp;"-S"&amp;TEXT(INT((C1135-DATE(YEAR(C1135-WEEKDAY(C1135,2)+4),1,3)+WEEKDAY(DATE(YEAR(C1135-WEEKDAY(C1135,2)+4),1,3),2)+5)/7),"00"))</f>
        <v/>
      </c>
    </row>
    <row r="1136" ht="18" customHeight="1">
      <c r="A1136" s="39" t="n">
        <v>1131</v>
      </c>
      <c r="B1136" s="33">
        <f>IF(C1136="","",IF(P1136="À RENSEIGNER","GIC",P1136)&amp;"-C"&amp;TEXT(A1136,"00000"))</f>
        <v/>
      </c>
      <c r="C1136" s="32" t="n"/>
      <c r="D1136" s="36" t="n"/>
      <c r="E1136" s="36" t="n"/>
      <c r="F1136" s="36" t="n"/>
      <c r="G1136" s="42" t="n"/>
      <c r="H1136" s="37" t="n"/>
      <c r="I1136" s="37" t="n"/>
      <c r="J1136" s="32" t="n"/>
      <c r="K1136" s="32" t="n"/>
      <c r="L1136" s="43" t="n"/>
      <c r="M1136" s="36" t="n"/>
      <c r="N1136" s="44" t="n"/>
      <c r="O1136" s="36" t="n"/>
      <c r="P1136" s="33">
        <f>IF(C1136="","",Commercial_Id)</f>
        <v/>
      </c>
      <c r="Q1136" s="34">
        <f>IF(AC1136="","",IF(AD1136=1,"C"&amp;TEXT(SUM(AD$6:AD1136),"0000"),INDEX(Q$6:Q1135,MATCH(AC1136,AC$6:AC1135,0))))</f>
        <v/>
      </c>
      <c r="R1136" s="34">
        <f>IF(C1136="","",IF(L1136="☑ Oui","Annulée",IF(OR(E1136="Vente directe",K1136&lt;&gt;""),"Livrée",IF(J1136&lt;&gt;"","Confirmée","En attente"))))</f>
        <v/>
      </c>
      <c r="S1136" s="34">
        <f>IF(F1136="","",IFERROR(VLOOKUP(F1136,T_Produits,2,FALSE),""))</f>
        <v/>
      </c>
      <c r="T1136" s="40">
        <f>IF(F1136="","",IFERROR(1/(1/VLOOKUP(F1136,T_Produits,3,FALSE)),""))</f>
        <v/>
      </c>
      <c r="U1136" s="40">
        <f>IF(H1136&lt;&gt;"",H1136,T1136)</f>
        <v/>
      </c>
      <c r="V1136" s="40">
        <f>IF(OR(G1136="",U1136=""),"",G1136*U1136-N(I1136))</f>
        <v/>
      </c>
      <c r="W1136" s="39">
        <f>IF(D1136="","",IFERROR(VALUE(MID(D1136,LEN(D1136)-3,3)),""))</f>
        <v/>
      </c>
      <c r="X1136" s="33">
        <f>IF(W1136="","",P1136&amp;"|"&amp;W1136)</f>
        <v/>
      </c>
      <c r="Y1136" s="33">
        <f>IF(W1136="","",IF(P1136="À RENSEIGNER","GIC",P1136)&amp;"-"&amp;TEXT(W1136,"000"))</f>
        <v/>
      </c>
      <c r="Z1136" s="33">
        <f>IF(X1136="","",IFERROR(INDEX(Cl_nom,MATCH(X1136,Cl_cle,0)),"(client introuvable)"))</f>
        <v/>
      </c>
      <c r="AA1136" s="33">
        <f>IF(X1136="","",IFERROR(INDEX(Cl_quartier,MATCH(X1136,Cl_cle,0))&amp;"",""))</f>
        <v/>
      </c>
      <c r="AB1136" s="45">
        <f>IF(R1136&lt;&gt;"Livrée",0,IF(K1136&lt;&gt;"",K1136,C1136))</f>
        <v/>
      </c>
      <c r="AC1136" s="33">
        <f>IF(OR(C1136="",W1136=""),"",P1136&amp;"|"&amp;W1136&amp;"|"&amp;C1136&amp;"|"&amp;E1136)</f>
        <v/>
      </c>
      <c r="AD1136" s="39">
        <f>IF(AC1136="","",IF(COUNTIF(AC$6:AC1136,AC1136)=1,1,0))</f>
        <v/>
      </c>
      <c r="AE1136" s="39">
        <f>IF(AB1136=0,"",IF(COUNTIFS(X$6:X1136,X1136,AB$6:AB1136,AB1136)=1,1,0))</f>
        <v/>
      </c>
      <c r="AF1136" s="34">
        <f>IF(C1136="","",YEAR(C1136-WEEKDAY(C1136,2)+4)&amp;"-S"&amp;TEXT(INT((C1136-DATE(YEAR(C1136-WEEKDAY(C1136,2)+4),1,3)+WEEKDAY(DATE(YEAR(C1136-WEEKDAY(C1136,2)+4),1,3),2)+5)/7),"00"))</f>
        <v/>
      </c>
    </row>
    <row r="1137" ht="18" customHeight="1">
      <c r="A1137" s="39" t="n">
        <v>1132</v>
      </c>
      <c r="B1137" s="33">
        <f>IF(C1137="","",IF(P1137="À RENSEIGNER","GIC",P1137)&amp;"-C"&amp;TEXT(A1137,"00000"))</f>
        <v/>
      </c>
      <c r="C1137" s="32" t="n"/>
      <c r="D1137" s="36" t="n"/>
      <c r="E1137" s="36" t="n"/>
      <c r="F1137" s="36" t="n"/>
      <c r="G1137" s="42" t="n"/>
      <c r="H1137" s="37" t="n"/>
      <c r="I1137" s="37" t="n"/>
      <c r="J1137" s="32" t="n"/>
      <c r="K1137" s="32" t="n"/>
      <c r="L1137" s="43" t="n"/>
      <c r="M1137" s="36" t="n"/>
      <c r="N1137" s="44" t="n"/>
      <c r="O1137" s="36" t="n"/>
      <c r="P1137" s="33">
        <f>IF(C1137="","",Commercial_Id)</f>
        <v/>
      </c>
      <c r="Q1137" s="34">
        <f>IF(AC1137="","",IF(AD1137=1,"C"&amp;TEXT(SUM(AD$6:AD1137),"0000"),INDEX(Q$6:Q1136,MATCH(AC1137,AC$6:AC1136,0))))</f>
        <v/>
      </c>
      <c r="R1137" s="34">
        <f>IF(C1137="","",IF(L1137="☑ Oui","Annulée",IF(OR(E1137="Vente directe",K1137&lt;&gt;""),"Livrée",IF(J1137&lt;&gt;"","Confirmée","En attente"))))</f>
        <v/>
      </c>
      <c r="S1137" s="34">
        <f>IF(F1137="","",IFERROR(VLOOKUP(F1137,T_Produits,2,FALSE),""))</f>
        <v/>
      </c>
      <c r="T1137" s="40">
        <f>IF(F1137="","",IFERROR(1/(1/VLOOKUP(F1137,T_Produits,3,FALSE)),""))</f>
        <v/>
      </c>
      <c r="U1137" s="40">
        <f>IF(H1137&lt;&gt;"",H1137,T1137)</f>
        <v/>
      </c>
      <c r="V1137" s="40">
        <f>IF(OR(G1137="",U1137=""),"",G1137*U1137-N(I1137))</f>
        <v/>
      </c>
      <c r="W1137" s="39">
        <f>IF(D1137="","",IFERROR(VALUE(MID(D1137,LEN(D1137)-3,3)),""))</f>
        <v/>
      </c>
      <c r="X1137" s="33">
        <f>IF(W1137="","",P1137&amp;"|"&amp;W1137)</f>
        <v/>
      </c>
      <c r="Y1137" s="33">
        <f>IF(W1137="","",IF(P1137="À RENSEIGNER","GIC",P1137)&amp;"-"&amp;TEXT(W1137,"000"))</f>
        <v/>
      </c>
      <c r="Z1137" s="33">
        <f>IF(X1137="","",IFERROR(INDEX(Cl_nom,MATCH(X1137,Cl_cle,0)),"(client introuvable)"))</f>
        <v/>
      </c>
      <c r="AA1137" s="33">
        <f>IF(X1137="","",IFERROR(INDEX(Cl_quartier,MATCH(X1137,Cl_cle,0))&amp;"",""))</f>
        <v/>
      </c>
      <c r="AB1137" s="45">
        <f>IF(R1137&lt;&gt;"Livrée",0,IF(K1137&lt;&gt;"",K1137,C1137))</f>
        <v/>
      </c>
      <c r="AC1137" s="33">
        <f>IF(OR(C1137="",W1137=""),"",P1137&amp;"|"&amp;W1137&amp;"|"&amp;C1137&amp;"|"&amp;E1137)</f>
        <v/>
      </c>
      <c r="AD1137" s="39">
        <f>IF(AC1137="","",IF(COUNTIF(AC$6:AC1137,AC1137)=1,1,0))</f>
        <v/>
      </c>
      <c r="AE1137" s="39">
        <f>IF(AB1137=0,"",IF(COUNTIFS(X$6:X1137,X1137,AB$6:AB1137,AB1137)=1,1,0))</f>
        <v/>
      </c>
      <c r="AF1137" s="34">
        <f>IF(C1137="","",YEAR(C1137-WEEKDAY(C1137,2)+4)&amp;"-S"&amp;TEXT(INT((C1137-DATE(YEAR(C1137-WEEKDAY(C1137,2)+4),1,3)+WEEKDAY(DATE(YEAR(C1137-WEEKDAY(C1137,2)+4),1,3),2)+5)/7),"00"))</f>
        <v/>
      </c>
    </row>
    <row r="1138" ht="18" customHeight="1">
      <c r="A1138" s="39" t="n">
        <v>1133</v>
      </c>
      <c r="B1138" s="33">
        <f>IF(C1138="","",IF(P1138="À RENSEIGNER","GIC",P1138)&amp;"-C"&amp;TEXT(A1138,"00000"))</f>
        <v/>
      </c>
      <c r="C1138" s="32" t="n"/>
      <c r="D1138" s="36" t="n"/>
      <c r="E1138" s="36" t="n"/>
      <c r="F1138" s="36" t="n"/>
      <c r="G1138" s="42" t="n"/>
      <c r="H1138" s="37" t="n"/>
      <c r="I1138" s="37" t="n"/>
      <c r="J1138" s="32" t="n"/>
      <c r="K1138" s="32" t="n"/>
      <c r="L1138" s="43" t="n"/>
      <c r="M1138" s="36" t="n"/>
      <c r="N1138" s="44" t="n"/>
      <c r="O1138" s="36" t="n"/>
      <c r="P1138" s="33">
        <f>IF(C1138="","",Commercial_Id)</f>
        <v/>
      </c>
      <c r="Q1138" s="34">
        <f>IF(AC1138="","",IF(AD1138=1,"C"&amp;TEXT(SUM(AD$6:AD1138),"0000"),INDEX(Q$6:Q1137,MATCH(AC1138,AC$6:AC1137,0))))</f>
        <v/>
      </c>
      <c r="R1138" s="34">
        <f>IF(C1138="","",IF(L1138="☑ Oui","Annulée",IF(OR(E1138="Vente directe",K1138&lt;&gt;""),"Livrée",IF(J1138&lt;&gt;"","Confirmée","En attente"))))</f>
        <v/>
      </c>
      <c r="S1138" s="34">
        <f>IF(F1138="","",IFERROR(VLOOKUP(F1138,T_Produits,2,FALSE),""))</f>
        <v/>
      </c>
      <c r="T1138" s="40">
        <f>IF(F1138="","",IFERROR(1/(1/VLOOKUP(F1138,T_Produits,3,FALSE)),""))</f>
        <v/>
      </c>
      <c r="U1138" s="40">
        <f>IF(H1138&lt;&gt;"",H1138,T1138)</f>
        <v/>
      </c>
      <c r="V1138" s="40">
        <f>IF(OR(G1138="",U1138=""),"",G1138*U1138-N(I1138))</f>
        <v/>
      </c>
      <c r="W1138" s="39">
        <f>IF(D1138="","",IFERROR(VALUE(MID(D1138,LEN(D1138)-3,3)),""))</f>
        <v/>
      </c>
      <c r="X1138" s="33">
        <f>IF(W1138="","",P1138&amp;"|"&amp;W1138)</f>
        <v/>
      </c>
      <c r="Y1138" s="33">
        <f>IF(W1138="","",IF(P1138="À RENSEIGNER","GIC",P1138)&amp;"-"&amp;TEXT(W1138,"000"))</f>
        <v/>
      </c>
      <c r="Z1138" s="33">
        <f>IF(X1138="","",IFERROR(INDEX(Cl_nom,MATCH(X1138,Cl_cle,0)),"(client introuvable)"))</f>
        <v/>
      </c>
      <c r="AA1138" s="33">
        <f>IF(X1138="","",IFERROR(INDEX(Cl_quartier,MATCH(X1138,Cl_cle,0))&amp;"",""))</f>
        <v/>
      </c>
      <c r="AB1138" s="45">
        <f>IF(R1138&lt;&gt;"Livrée",0,IF(K1138&lt;&gt;"",K1138,C1138))</f>
        <v/>
      </c>
      <c r="AC1138" s="33">
        <f>IF(OR(C1138="",W1138=""),"",P1138&amp;"|"&amp;W1138&amp;"|"&amp;C1138&amp;"|"&amp;E1138)</f>
        <v/>
      </c>
      <c r="AD1138" s="39">
        <f>IF(AC1138="","",IF(COUNTIF(AC$6:AC1138,AC1138)=1,1,0))</f>
        <v/>
      </c>
      <c r="AE1138" s="39">
        <f>IF(AB1138=0,"",IF(COUNTIFS(X$6:X1138,X1138,AB$6:AB1138,AB1138)=1,1,0))</f>
        <v/>
      </c>
      <c r="AF1138" s="34">
        <f>IF(C1138="","",YEAR(C1138-WEEKDAY(C1138,2)+4)&amp;"-S"&amp;TEXT(INT((C1138-DATE(YEAR(C1138-WEEKDAY(C1138,2)+4),1,3)+WEEKDAY(DATE(YEAR(C1138-WEEKDAY(C1138,2)+4),1,3),2)+5)/7),"00"))</f>
        <v/>
      </c>
    </row>
    <row r="1139" ht="18" customHeight="1">
      <c r="A1139" s="39" t="n">
        <v>1134</v>
      </c>
      <c r="B1139" s="33">
        <f>IF(C1139="","",IF(P1139="À RENSEIGNER","GIC",P1139)&amp;"-C"&amp;TEXT(A1139,"00000"))</f>
        <v/>
      </c>
      <c r="C1139" s="32" t="n"/>
      <c r="D1139" s="36" t="n"/>
      <c r="E1139" s="36" t="n"/>
      <c r="F1139" s="36" t="n"/>
      <c r="G1139" s="42" t="n"/>
      <c r="H1139" s="37" t="n"/>
      <c r="I1139" s="37" t="n"/>
      <c r="J1139" s="32" t="n"/>
      <c r="K1139" s="32" t="n"/>
      <c r="L1139" s="43" t="n"/>
      <c r="M1139" s="36" t="n"/>
      <c r="N1139" s="44" t="n"/>
      <c r="O1139" s="36" t="n"/>
      <c r="P1139" s="33">
        <f>IF(C1139="","",Commercial_Id)</f>
        <v/>
      </c>
      <c r="Q1139" s="34">
        <f>IF(AC1139="","",IF(AD1139=1,"C"&amp;TEXT(SUM(AD$6:AD1139),"0000"),INDEX(Q$6:Q1138,MATCH(AC1139,AC$6:AC1138,0))))</f>
        <v/>
      </c>
      <c r="R1139" s="34">
        <f>IF(C1139="","",IF(L1139="☑ Oui","Annulée",IF(OR(E1139="Vente directe",K1139&lt;&gt;""),"Livrée",IF(J1139&lt;&gt;"","Confirmée","En attente"))))</f>
        <v/>
      </c>
      <c r="S1139" s="34">
        <f>IF(F1139="","",IFERROR(VLOOKUP(F1139,T_Produits,2,FALSE),""))</f>
        <v/>
      </c>
      <c r="T1139" s="40">
        <f>IF(F1139="","",IFERROR(1/(1/VLOOKUP(F1139,T_Produits,3,FALSE)),""))</f>
        <v/>
      </c>
      <c r="U1139" s="40">
        <f>IF(H1139&lt;&gt;"",H1139,T1139)</f>
        <v/>
      </c>
      <c r="V1139" s="40">
        <f>IF(OR(G1139="",U1139=""),"",G1139*U1139-N(I1139))</f>
        <v/>
      </c>
      <c r="W1139" s="39">
        <f>IF(D1139="","",IFERROR(VALUE(MID(D1139,LEN(D1139)-3,3)),""))</f>
        <v/>
      </c>
      <c r="X1139" s="33">
        <f>IF(W1139="","",P1139&amp;"|"&amp;W1139)</f>
        <v/>
      </c>
      <c r="Y1139" s="33">
        <f>IF(W1139="","",IF(P1139="À RENSEIGNER","GIC",P1139)&amp;"-"&amp;TEXT(W1139,"000"))</f>
        <v/>
      </c>
      <c r="Z1139" s="33">
        <f>IF(X1139="","",IFERROR(INDEX(Cl_nom,MATCH(X1139,Cl_cle,0)),"(client introuvable)"))</f>
        <v/>
      </c>
      <c r="AA1139" s="33">
        <f>IF(X1139="","",IFERROR(INDEX(Cl_quartier,MATCH(X1139,Cl_cle,0))&amp;"",""))</f>
        <v/>
      </c>
      <c r="AB1139" s="45">
        <f>IF(R1139&lt;&gt;"Livrée",0,IF(K1139&lt;&gt;"",K1139,C1139))</f>
        <v/>
      </c>
      <c r="AC1139" s="33">
        <f>IF(OR(C1139="",W1139=""),"",P1139&amp;"|"&amp;W1139&amp;"|"&amp;C1139&amp;"|"&amp;E1139)</f>
        <v/>
      </c>
      <c r="AD1139" s="39">
        <f>IF(AC1139="","",IF(COUNTIF(AC$6:AC1139,AC1139)=1,1,0))</f>
        <v/>
      </c>
      <c r="AE1139" s="39">
        <f>IF(AB1139=0,"",IF(COUNTIFS(X$6:X1139,X1139,AB$6:AB1139,AB1139)=1,1,0))</f>
        <v/>
      </c>
      <c r="AF1139" s="34">
        <f>IF(C1139="","",YEAR(C1139-WEEKDAY(C1139,2)+4)&amp;"-S"&amp;TEXT(INT((C1139-DATE(YEAR(C1139-WEEKDAY(C1139,2)+4),1,3)+WEEKDAY(DATE(YEAR(C1139-WEEKDAY(C1139,2)+4),1,3),2)+5)/7),"00"))</f>
        <v/>
      </c>
    </row>
    <row r="1140" ht="18" customHeight="1">
      <c r="A1140" s="39" t="n">
        <v>1135</v>
      </c>
      <c r="B1140" s="33">
        <f>IF(C1140="","",IF(P1140="À RENSEIGNER","GIC",P1140)&amp;"-C"&amp;TEXT(A1140,"00000"))</f>
        <v/>
      </c>
      <c r="C1140" s="32" t="n"/>
      <c r="D1140" s="36" t="n"/>
      <c r="E1140" s="36" t="n"/>
      <c r="F1140" s="36" t="n"/>
      <c r="G1140" s="42" t="n"/>
      <c r="H1140" s="37" t="n"/>
      <c r="I1140" s="37" t="n"/>
      <c r="J1140" s="32" t="n"/>
      <c r="K1140" s="32" t="n"/>
      <c r="L1140" s="43" t="n"/>
      <c r="M1140" s="36" t="n"/>
      <c r="N1140" s="44" t="n"/>
      <c r="O1140" s="36" t="n"/>
      <c r="P1140" s="33">
        <f>IF(C1140="","",Commercial_Id)</f>
        <v/>
      </c>
      <c r="Q1140" s="34">
        <f>IF(AC1140="","",IF(AD1140=1,"C"&amp;TEXT(SUM(AD$6:AD1140),"0000"),INDEX(Q$6:Q1139,MATCH(AC1140,AC$6:AC1139,0))))</f>
        <v/>
      </c>
      <c r="R1140" s="34">
        <f>IF(C1140="","",IF(L1140="☑ Oui","Annulée",IF(OR(E1140="Vente directe",K1140&lt;&gt;""),"Livrée",IF(J1140&lt;&gt;"","Confirmée","En attente"))))</f>
        <v/>
      </c>
      <c r="S1140" s="34">
        <f>IF(F1140="","",IFERROR(VLOOKUP(F1140,T_Produits,2,FALSE),""))</f>
        <v/>
      </c>
      <c r="T1140" s="40">
        <f>IF(F1140="","",IFERROR(1/(1/VLOOKUP(F1140,T_Produits,3,FALSE)),""))</f>
        <v/>
      </c>
      <c r="U1140" s="40">
        <f>IF(H1140&lt;&gt;"",H1140,T1140)</f>
        <v/>
      </c>
      <c r="V1140" s="40">
        <f>IF(OR(G1140="",U1140=""),"",G1140*U1140-N(I1140))</f>
        <v/>
      </c>
      <c r="W1140" s="39">
        <f>IF(D1140="","",IFERROR(VALUE(MID(D1140,LEN(D1140)-3,3)),""))</f>
        <v/>
      </c>
      <c r="X1140" s="33">
        <f>IF(W1140="","",P1140&amp;"|"&amp;W1140)</f>
        <v/>
      </c>
      <c r="Y1140" s="33">
        <f>IF(W1140="","",IF(P1140="À RENSEIGNER","GIC",P1140)&amp;"-"&amp;TEXT(W1140,"000"))</f>
        <v/>
      </c>
      <c r="Z1140" s="33">
        <f>IF(X1140="","",IFERROR(INDEX(Cl_nom,MATCH(X1140,Cl_cle,0)),"(client introuvable)"))</f>
        <v/>
      </c>
      <c r="AA1140" s="33">
        <f>IF(X1140="","",IFERROR(INDEX(Cl_quartier,MATCH(X1140,Cl_cle,0))&amp;"",""))</f>
        <v/>
      </c>
      <c r="AB1140" s="45">
        <f>IF(R1140&lt;&gt;"Livrée",0,IF(K1140&lt;&gt;"",K1140,C1140))</f>
        <v/>
      </c>
      <c r="AC1140" s="33">
        <f>IF(OR(C1140="",W1140=""),"",P1140&amp;"|"&amp;W1140&amp;"|"&amp;C1140&amp;"|"&amp;E1140)</f>
        <v/>
      </c>
      <c r="AD1140" s="39">
        <f>IF(AC1140="","",IF(COUNTIF(AC$6:AC1140,AC1140)=1,1,0))</f>
        <v/>
      </c>
      <c r="AE1140" s="39">
        <f>IF(AB1140=0,"",IF(COUNTIFS(X$6:X1140,X1140,AB$6:AB1140,AB1140)=1,1,0))</f>
        <v/>
      </c>
      <c r="AF1140" s="34">
        <f>IF(C1140="","",YEAR(C1140-WEEKDAY(C1140,2)+4)&amp;"-S"&amp;TEXT(INT((C1140-DATE(YEAR(C1140-WEEKDAY(C1140,2)+4),1,3)+WEEKDAY(DATE(YEAR(C1140-WEEKDAY(C1140,2)+4),1,3),2)+5)/7),"00"))</f>
        <v/>
      </c>
    </row>
    <row r="1141" ht="18" customHeight="1">
      <c r="A1141" s="39" t="n">
        <v>1136</v>
      </c>
      <c r="B1141" s="33">
        <f>IF(C1141="","",IF(P1141="À RENSEIGNER","GIC",P1141)&amp;"-C"&amp;TEXT(A1141,"00000"))</f>
        <v/>
      </c>
      <c r="C1141" s="32" t="n"/>
      <c r="D1141" s="36" t="n"/>
      <c r="E1141" s="36" t="n"/>
      <c r="F1141" s="36" t="n"/>
      <c r="G1141" s="42" t="n"/>
      <c r="H1141" s="37" t="n"/>
      <c r="I1141" s="37" t="n"/>
      <c r="J1141" s="32" t="n"/>
      <c r="K1141" s="32" t="n"/>
      <c r="L1141" s="43" t="n"/>
      <c r="M1141" s="36" t="n"/>
      <c r="N1141" s="44" t="n"/>
      <c r="O1141" s="36" t="n"/>
      <c r="P1141" s="33">
        <f>IF(C1141="","",Commercial_Id)</f>
        <v/>
      </c>
      <c r="Q1141" s="34">
        <f>IF(AC1141="","",IF(AD1141=1,"C"&amp;TEXT(SUM(AD$6:AD1141),"0000"),INDEX(Q$6:Q1140,MATCH(AC1141,AC$6:AC1140,0))))</f>
        <v/>
      </c>
      <c r="R1141" s="34">
        <f>IF(C1141="","",IF(L1141="☑ Oui","Annulée",IF(OR(E1141="Vente directe",K1141&lt;&gt;""),"Livrée",IF(J1141&lt;&gt;"","Confirmée","En attente"))))</f>
        <v/>
      </c>
      <c r="S1141" s="34">
        <f>IF(F1141="","",IFERROR(VLOOKUP(F1141,T_Produits,2,FALSE),""))</f>
        <v/>
      </c>
      <c r="T1141" s="40">
        <f>IF(F1141="","",IFERROR(1/(1/VLOOKUP(F1141,T_Produits,3,FALSE)),""))</f>
        <v/>
      </c>
      <c r="U1141" s="40">
        <f>IF(H1141&lt;&gt;"",H1141,T1141)</f>
        <v/>
      </c>
      <c r="V1141" s="40">
        <f>IF(OR(G1141="",U1141=""),"",G1141*U1141-N(I1141))</f>
        <v/>
      </c>
      <c r="W1141" s="39">
        <f>IF(D1141="","",IFERROR(VALUE(MID(D1141,LEN(D1141)-3,3)),""))</f>
        <v/>
      </c>
      <c r="X1141" s="33">
        <f>IF(W1141="","",P1141&amp;"|"&amp;W1141)</f>
        <v/>
      </c>
      <c r="Y1141" s="33">
        <f>IF(W1141="","",IF(P1141="À RENSEIGNER","GIC",P1141)&amp;"-"&amp;TEXT(W1141,"000"))</f>
        <v/>
      </c>
      <c r="Z1141" s="33">
        <f>IF(X1141="","",IFERROR(INDEX(Cl_nom,MATCH(X1141,Cl_cle,0)),"(client introuvable)"))</f>
        <v/>
      </c>
      <c r="AA1141" s="33">
        <f>IF(X1141="","",IFERROR(INDEX(Cl_quartier,MATCH(X1141,Cl_cle,0))&amp;"",""))</f>
        <v/>
      </c>
      <c r="AB1141" s="45">
        <f>IF(R1141&lt;&gt;"Livrée",0,IF(K1141&lt;&gt;"",K1141,C1141))</f>
        <v/>
      </c>
      <c r="AC1141" s="33">
        <f>IF(OR(C1141="",W1141=""),"",P1141&amp;"|"&amp;W1141&amp;"|"&amp;C1141&amp;"|"&amp;E1141)</f>
        <v/>
      </c>
      <c r="AD1141" s="39">
        <f>IF(AC1141="","",IF(COUNTIF(AC$6:AC1141,AC1141)=1,1,0))</f>
        <v/>
      </c>
      <c r="AE1141" s="39">
        <f>IF(AB1141=0,"",IF(COUNTIFS(X$6:X1141,X1141,AB$6:AB1141,AB1141)=1,1,0))</f>
        <v/>
      </c>
      <c r="AF1141" s="34">
        <f>IF(C1141="","",YEAR(C1141-WEEKDAY(C1141,2)+4)&amp;"-S"&amp;TEXT(INT((C1141-DATE(YEAR(C1141-WEEKDAY(C1141,2)+4),1,3)+WEEKDAY(DATE(YEAR(C1141-WEEKDAY(C1141,2)+4),1,3),2)+5)/7),"00"))</f>
        <v/>
      </c>
    </row>
    <row r="1142" ht="18" customHeight="1">
      <c r="A1142" s="39" t="n">
        <v>1137</v>
      </c>
      <c r="B1142" s="33">
        <f>IF(C1142="","",IF(P1142="À RENSEIGNER","GIC",P1142)&amp;"-C"&amp;TEXT(A1142,"00000"))</f>
        <v/>
      </c>
      <c r="C1142" s="32" t="n"/>
      <c r="D1142" s="36" t="n"/>
      <c r="E1142" s="36" t="n"/>
      <c r="F1142" s="36" t="n"/>
      <c r="G1142" s="42" t="n"/>
      <c r="H1142" s="37" t="n"/>
      <c r="I1142" s="37" t="n"/>
      <c r="J1142" s="32" t="n"/>
      <c r="K1142" s="32" t="n"/>
      <c r="L1142" s="43" t="n"/>
      <c r="M1142" s="36" t="n"/>
      <c r="N1142" s="44" t="n"/>
      <c r="O1142" s="36" t="n"/>
      <c r="P1142" s="33">
        <f>IF(C1142="","",Commercial_Id)</f>
        <v/>
      </c>
      <c r="Q1142" s="34">
        <f>IF(AC1142="","",IF(AD1142=1,"C"&amp;TEXT(SUM(AD$6:AD1142),"0000"),INDEX(Q$6:Q1141,MATCH(AC1142,AC$6:AC1141,0))))</f>
        <v/>
      </c>
      <c r="R1142" s="34">
        <f>IF(C1142="","",IF(L1142="☑ Oui","Annulée",IF(OR(E1142="Vente directe",K1142&lt;&gt;""),"Livrée",IF(J1142&lt;&gt;"","Confirmée","En attente"))))</f>
        <v/>
      </c>
      <c r="S1142" s="34">
        <f>IF(F1142="","",IFERROR(VLOOKUP(F1142,T_Produits,2,FALSE),""))</f>
        <v/>
      </c>
      <c r="T1142" s="40">
        <f>IF(F1142="","",IFERROR(1/(1/VLOOKUP(F1142,T_Produits,3,FALSE)),""))</f>
        <v/>
      </c>
      <c r="U1142" s="40">
        <f>IF(H1142&lt;&gt;"",H1142,T1142)</f>
        <v/>
      </c>
      <c r="V1142" s="40">
        <f>IF(OR(G1142="",U1142=""),"",G1142*U1142-N(I1142))</f>
        <v/>
      </c>
      <c r="W1142" s="39">
        <f>IF(D1142="","",IFERROR(VALUE(MID(D1142,LEN(D1142)-3,3)),""))</f>
        <v/>
      </c>
      <c r="X1142" s="33">
        <f>IF(W1142="","",P1142&amp;"|"&amp;W1142)</f>
        <v/>
      </c>
      <c r="Y1142" s="33">
        <f>IF(W1142="","",IF(P1142="À RENSEIGNER","GIC",P1142)&amp;"-"&amp;TEXT(W1142,"000"))</f>
        <v/>
      </c>
      <c r="Z1142" s="33">
        <f>IF(X1142="","",IFERROR(INDEX(Cl_nom,MATCH(X1142,Cl_cle,0)),"(client introuvable)"))</f>
        <v/>
      </c>
      <c r="AA1142" s="33">
        <f>IF(X1142="","",IFERROR(INDEX(Cl_quartier,MATCH(X1142,Cl_cle,0))&amp;"",""))</f>
        <v/>
      </c>
      <c r="AB1142" s="45">
        <f>IF(R1142&lt;&gt;"Livrée",0,IF(K1142&lt;&gt;"",K1142,C1142))</f>
        <v/>
      </c>
      <c r="AC1142" s="33">
        <f>IF(OR(C1142="",W1142=""),"",P1142&amp;"|"&amp;W1142&amp;"|"&amp;C1142&amp;"|"&amp;E1142)</f>
        <v/>
      </c>
      <c r="AD1142" s="39">
        <f>IF(AC1142="","",IF(COUNTIF(AC$6:AC1142,AC1142)=1,1,0))</f>
        <v/>
      </c>
      <c r="AE1142" s="39">
        <f>IF(AB1142=0,"",IF(COUNTIFS(X$6:X1142,X1142,AB$6:AB1142,AB1142)=1,1,0))</f>
        <v/>
      </c>
      <c r="AF1142" s="34">
        <f>IF(C1142="","",YEAR(C1142-WEEKDAY(C1142,2)+4)&amp;"-S"&amp;TEXT(INT((C1142-DATE(YEAR(C1142-WEEKDAY(C1142,2)+4),1,3)+WEEKDAY(DATE(YEAR(C1142-WEEKDAY(C1142,2)+4),1,3),2)+5)/7),"00"))</f>
        <v/>
      </c>
    </row>
    <row r="1143" ht="18" customHeight="1">
      <c r="A1143" s="39" t="n">
        <v>1138</v>
      </c>
      <c r="B1143" s="33">
        <f>IF(C1143="","",IF(P1143="À RENSEIGNER","GIC",P1143)&amp;"-C"&amp;TEXT(A1143,"00000"))</f>
        <v/>
      </c>
      <c r="C1143" s="32" t="n"/>
      <c r="D1143" s="36" t="n"/>
      <c r="E1143" s="36" t="n"/>
      <c r="F1143" s="36" t="n"/>
      <c r="G1143" s="42" t="n"/>
      <c r="H1143" s="37" t="n"/>
      <c r="I1143" s="37" t="n"/>
      <c r="J1143" s="32" t="n"/>
      <c r="K1143" s="32" t="n"/>
      <c r="L1143" s="43" t="n"/>
      <c r="M1143" s="36" t="n"/>
      <c r="N1143" s="44" t="n"/>
      <c r="O1143" s="36" t="n"/>
      <c r="P1143" s="33">
        <f>IF(C1143="","",Commercial_Id)</f>
        <v/>
      </c>
      <c r="Q1143" s="34">
        <f>IF(AC1143="","",IF(AD1143=1,"C"&amp;TEXT(SUM(AD$6:AD1143),"0000"),INDEX(Q$6:Q1142,MATCH(AC1143,AC$6:AC1142,0))))</f>
        <v/>
      </c>
      <c r="R1143" s="34">
        <f>IF(C1143="","",IF(L1143="☑ Oui","Annulée",IF(OR(E1143="Vente directe",K1143&lt;&gt;""),"Livrée",IF(J1143&lt;&gt;"","Confirmée","En attente"))))</f>
        <v/>
      </c>
      <c r="S1143" s="34">
        <f>IF(F1143="","",IFERROR(VLOOKUP(F1143,T_Produits,2,FALSE),""))</f>
        <v/>
      </c>
      <c r="T1143" s="40">
        <f>IF(F1143="","",IFERROR(1/(1/VLOOKUP(F1143,T_Produits,3,FALSE)),""))</f>
        <v/>
      </c>
      <c r="U1143" s="40">
        <f>IF(H1143&lt;&gt;"",H1143,T1143)</f>
        <v/>
      </c>
      <c r="V1143" s="40">
        <f>IF(OR(G1143="",U1143=""),"",G1143*U1143-N(I1143))</f>
        <v/>
      </c>
      <c r="W1143" s="39">
        <f>IF(D1143="","",IFERROR(VALUE(MID(D1143,LEN(D1143)-3,3)),""))</f>
        <v/>
      </c>
      <c r="X1143" s="33">
        <f>IF(W1143="","",P1143&amp;"|"&amp;W1143)</f>
        <v/>
      </c>
      <c r="Y1143" s="33">
        <f>IF(W1143="","",IF(P1143="À RENSEIGNER","GIC",P1143)&amp;"-"&amp;TEXT(W1143,"000"))</f>
        <v/>
      </c>
      <c r="Z1143" s="33">
        <f>IF(X1143="","",IFERROR(INDEX(Cl_nom,MATCH(X1143,Cl_cle,0)),"(client introuvable)"))</f>
        <v/>
      </c>
      <c r="AA1143" s="33">
        <f>IF(X1143="","",IFERROR(INDEX(Cl_quartier,MATCH(X1143,Cl_cle,0))&amp;"",""))</f>
        <v/>
      </c>
      <c r="AB1143" s="45">
        <f>IF(R1143&lt;&gt;"Livrée",0,IF(K1143&lt;&gt;"",K1143,C1143))</f>
        <v/>
      </c>
      <c r="AC1143" s="33">
        <f>IF(OR(C1143="",W1143=""),"",P1143&amp;"|"&amp;W1143&amp;"|"&amp;C1143&amp;"|"&amp;E1143)</f>
        <v/>
      </c>
      <c r="AD1143" s="39">
        <f>IF(AC1143="","",IF(COUNTIF(AC$6:AC1143,AC1143)=1,1,0))</f>
        <v/>
      </c>
      <c r="AE1143" s="39">
        <f>IF(AB1143=0,"",IF(COUNTIFS(X$6:X1143,X1143,AB$6:AB1143,AB1143)=1,1,0))</f>
        <v/>
      </c>
      <c r="AF1143" s="34">
        <f>IF(C1143="","",YEAR(C1143-WEEKDAY(C1143,2)+4)&amp;"-S"&amp;TEXT(INT((C1143-DATE(YEAR(C1143-WEEKDAY(C1143,2)+4),1,3)+WEEKDAY(DATE(YEAR(C1143-WEEKDAY(C1143,2)+4),1,3),2)+5)/7),"00"))</f>
        <v/>
      </c>
    </row>
    <row r="1144" ht="18" customHeight="1">
      <c r="A1144" s="39" t="n">
        <v>1139</v>
      </c>
      <c r="B1144" s="33">
        <f>IF(C1144="","",IF(P1144="À RENSEIGNER","GIC",P1144)&amp;"-C"&amp;TEXT(A1144,"00000"))</f>
        <v/>
      </c>
      <c r="C1144" s="32" t="n"/>
      <c r="D1144" s="36" t="n"/>
      <c r="E1144" s="36" t="n"/>
      <c r="F1144" s="36" t="n"/>
      <c r="G1144" s="42" t="n"/>
      <c r="H1144" s="37" t="n"/>
      <c r="I1144" s="37" t="n"/>
      <c r="J1144" s="32" t="n"/>
      <c r="K1144" s="32" t="n"/>
      <c r="L1144" s="43" t="n"/>
      <c r="M1144" s="36" t="n"/>
      <c r="N1144" s="44" t="n"/>
      <c r="O1144" s="36" t="n"/>
      <c r="P1144" s="33">
        <f>IF(C1144="","",Commercial_Id)</f>
        <v/>
      </c>
      <c r="Q1144" s="34">
        <f>IF(AC1144="","",IF(AD1144=1,"C"&amp;TEXT(SUM(AD$6:AD1144),"0000"),INDEX(Q$6:Q1143,MATCH(AC1144,AC$6:AC1143,0))))</f>
        <v/>
      </c>
      <c r="R1144" s="34">
        <f>IF(C1144="","",IF(L1144="☑ Oui","Annulée",IF(OR(E1144="Vente directe",K1144&lt;&gt;""),"Livrée",IF(J1144&lt;&gt;"","Confirmée","En attente"))))</f>
        <v/>
      </c>
      <c r="S1144" s="34">
        <f>IF(F1144="","",IFERROR(VLOOKUP(F1144,T_Produits,2,FALSE),""))</f>
        <v/>
      </c>
      <c r="T1144" s="40">
        <f>IF(F1144="","",IFERROR(1/(1/VLOOKUP(F1144,T_Produits,3,FALSE)),""))</f>
        <v/>
      </c>
      <c r="U1144" s="40">
        <f>IF(H1144&lt;&gt;"",H1144,T1144)</f>
        <v/>
      </c>
      <c r="V1144" s="40">
        <f>IF(OR(G1144="",U1144=""),"",G1144*U1144-N(I1144))</f>
        <v/>
      </c>
      <c r="W1144" s="39">
        <f>IF(D1144="","",IFERROR(VALUE(MID(D1144,LEN(D1144)-3,3)),""))</f>
        <v/>
      </c>
      <c r="X1144" s="33">
        <f>IF(W1144="","",P1144&amp;"|"&amp;W1144)</f>
        <v/>
      </c>
      <c r="Y1144" s="33">
        <f>IF(W1144="","",IF(P1144="À RENSEIGNER","GIC",P1144)&amp;"-"&amp;TEXT(W1144,"000"))</f>
        <v/>
      </c>
      <c r="Z1144" s="33">
        <f>IF(X1144="","",IFERROR(INDEX(Cl_nom,MATCH(X1144,Cl_cle,0)),"(client introuvable)"))</f>
        <v/>
      </c>
      <c r="AA1144" s="33">
        <f>IF(X1144="","",IFERROR(INDEX(Cl_quartier,MATCH(X1144,Cl_cle,0))&amp;"",""))</f>
        <v/>
      </c>
      <c r="AB1144" s="45">
        <f>IF(R1144&lt;&gt;"Livrée",0,IF(K1144&lt;&gt;"",K1144,C1144))</f>
        <v/>
      </c>
      <c r="AC1144" s="33">
        <f>IF(OR(C1144="",W1144=""),"",P1144&amp;"|"&amp;W1144&amp;"|"&amp;C1144&amp;"|"&amp;E1144)</f>
        <v/>
      </c>
      <c r="AD1144" s="39">
        <f>IF(AC1144="","",IF(COUNTIF(AC$6:AC1144,AC1144)=1,1,0))</f>
        <v/>
      </c>
      <c r="AE1144" s="39">
        <f>IF(AB1144=0,"",IF(COUNTIFS(X$6:X1144,X1144,AB$6:AB1144,AB1144)=1,1,0))</f>
        <v/>
      </c>
      <c r="AF1144" s="34">
        <f>IF(C1144="","",YEAR(C1144-WEEKDAY(C1144,2)+4)&amp;"-S"&amp;TEXT(INT((C1144-DATE(YEAR(C1144-WEEKDAY(C1144,2)+4),1,3)+WEEKDAY(DATE(YEAR(C1144-WEEKDAY(C1144,2)+4),1,3),2)+5)/7),"00"))</f>
        <v/>
      </c>
    </row>
    <row r="1145" ht="18" customHeight="1">
      <c r="A1145" s="39" t="n">
        <v>1140</v>
      </c>
      <c r="B1145" s="33">
        <f>IF(C1145="","",IF(P1145="À RENSEIGNER","GIC",P1145)&amp;"-C"&amp;TEXT(A1145,"00000"))</f>
        <v/>
      </c>
      <c r="C1145" s="32" t="n"/>
      <c r="D1145" s="36" t="n"/>
      <c r="E1145" s="36" t="n"/>
      <c r="F1145" s="36" t="n"/>
      <c r="G1145" s="42" t="n"/>
      <c r="H1145" s="37" t="n"/>
      <c r="I1145" s="37" t="n"/>
      <c r="J1145" s="32" t="n"/>
      <c r="K1145" s="32" t="n"/>
      <c r="L1145" s="43" t="n"/>
      <c r="M1145" s="36" t="n"/>
      <c r="N1145" s="44" t="n"/>
      <c r="O1145" s="36" t="n"/>
      <c r="P1145" s="33">
        <f>IF(C1145="","",Commercial_Id)</f>
        <v/>
      </c>
      <c r="Q1145" s="34">
        <f>IF(AC1145="","",IF(AD1145=1,"C"&amp;TEXT(SUM(AD$6:AD1145),"0000"),INDEX(Q$6:Q1144,MATCH(AC1145,AC$6:AC1144,0))))</f>
        <v/>
      </c>
      <c r="R1145" s="34">
        <f>IF(C1145="","",IF(L1145="☑ Oui","Annulée",IF(OR(E1145="Vente directe",K1145&lt;&gt;""),"Livrée",IF(J1145&lt;&gt;"","Confirmée","En attente"))))</f>
        <v/>
      </c>
      <c r="S1145" s="34">
        <f>IF(F1145="","",IFERROR(VLOOKUP(F1145,T_Produits,2,FALSE),""))</f>
        <v/>
      </c>
      <c r="T1145" s="40">
        <f>IF(F1145="","",IFERROR(1/(1/VLOOKUP(F1145,T_Produits,3,FALSE)),""))</f>
        <v/>
      </c>
      <c r="U1145" s="40">
        <f>IF(H1145&lt;&gt;"",H1145,T1145)</f>
        <v/>
      </c>
      <c r="V1145" s="40">
        <f>IF(OR(G1145="",U1145=""),"",G1145*U1145-N(I1145))</f>
        <v/>
      </c>
      <c r="W1145" s="39">
        <f>IF(D1145="","",IFERROR(VALUE(MID(D1145,LEN(D1145)-3,3)),""))</f>
        <v/>
      </c>
      <c r="X1145" s="33">
        <f>IF(W1145="","",P1145&amp;"|"&amp;W1145)</f>
        <v/>
      </c>
      <c r="Y1145" s="33">
        <f>IF(W1145="","",IF(P1145="À RENSEIGNER","GIC",P1145)&amp;"-"&amp;TEXT(W1145,"000"))</f>
        <v/>
      </c>
      <c r="Z1145" s="33">
        <f>IF(X1145="","",IFERROR(INDEX(Cl_nom,MATCH(X1145,Cl_cle,0)),"(client introuvable)"))</f>
        <v/>
      </c>
      <c r="AA1145" s="33">
        <f>IF(X1145="","",IFERROR(INDEX(Cl_quartier,MATCH(X1145,Cl_cle,0))&amp;"",""))</f>
        <v/>
      </c>
      <c r="AB1145" s="45">
        <f>IF(R1145&lt;&gt;"Livrée",0,IF(K1145&lt;&gt;"",K1145,C1145))</f>
        <v/>
      </c>
      <c r="AC1145" s="33">
        <f>IF(OR(C1145="",W1145=""),"",P1145&amp;"|"&amp;W1145&amp;"|"&amp;C1145&amp;"|"&amp;E1145)</f>
        <v/>
      </c>
      <c r="AD1145" s="39">
        <f>IF(AC1145="","",IF(COUNTIF(AC$6:AC1145,AC1145)=1,1,0))</f>
        <v/>
      </c>
      <c r="AE1145" s="39">
        <f>IF(AB1145=0,"",IF(COUNTIFS(X$6:X1145,X1145,AB$6:AB1145,AB1145)=1,1,0))</f>
        <v/>
      </c>
      <c r="AF1145" s="34">
        <f>IF(C1145="","",YEAR(C1145-WEEKDAY(C1145,2)+4)&amp;"-S"&amp;TEXT(INT((C1145-DATE(YEAR(C1145-WEEKDAY(C1145,2)+4),1,3)+WEEKDAY(DATE(YEAR(C1145-WEEKDAY(C1145,2)+4),1,3),2)+5)/7),"00"))</f>
        <v/>
      </c>
    </row>
    <row r="1146" ht="18" customHeight="1">
      <c r="A1146" s="39" t="n">
        <v>1141</v>
      </c>
      <c r="B1146" s="33">
        <f>IF(C1146="","",IF(P1146="À RENSEIGNER","GIC",P1146)&amp;"-C"&amp;TEXT(A1146,"00000"))</f>
        <v/>
      </c>
      <c r="C1146" s="32" t="n"/>
      <c r="D1146" s="36" t="n"/>
      <c r="E1146" s="36" t="n"/>
      <c r="F1146" s="36" t="n"/>
      <c r="G1146" s="42" t="n"/>
      <c r="H1146" s="37" t="n"/>
      <c r="I1146" s="37" t="n"/>
      <c r="J1146" s="32" t="n"/>
      <c r="K1146" s="32" t="n"/>
      <c r="L1146" s="43" t="n"/>
      <c r="M1146" s="36" t="n"/>
      <c r="N1146" s="44" t="n"/>
      <c r="O1146" s="36" t="n"/>
      <c r="P1146" s="33">
        <f>IF(C1146="","",Commercial_Id)</f>
        <v/>
      </c>
      <c r="Q1146" s="34">
        <f>IF(AC1146="","",IF(AD1146=1,"C"&amp;TEXT(SUM(AD$6:AD1146),"0000"),INDEX(Q$6:Q1145,MATCH(AC1146,AC$6:AC1145,0))))</f>
        <v/>
      </c>
      <c r="R1146" s="34">
        <f>IF(C1146="","",IF(L1146="☑ Oui","Annulée",IF(OR(E1146="Vente directe",K1146&lt;&gt;""),"Livrée",IF(J1146&lt;&gt;"","Confirmée","En attente"))))</f>
        <v/>
      </c>
      <c r="S1146" s="34">
        <f>IF(F1146="","",IFERROR(VLOOKUP(F1146,T_Produits,2,FALSE),""))</f>
        <v/>
      </c>
      <c r="T1146" s="40">
        <f>IF(F1146="","",IFERROR(1/(1/VLOOKUP(F1146,T_Produits,3,FALSE)),""))</f>
        <v/>
      </c>
      <c r="U1146" s="40">
        <f>IF(H1146&lt;&gt;"",H1146,T1146)</f>
        <v/>
      </c>
      <c r="V1146" s="40">
        <f>IF(OR(G1146="",U1146=""),"",G1146*U1146-N(I1146))</f>
        <v/>
      </c>
      <c r="W1146" s="39">
        <f>IF(D1146="","",IFERROR(VALUE(MID(D1146,LEN(D1146)-3,3)),""))</f>
        <v/>
      </c>
      <c r="X1146" s="33">
        <f>IF(W1146="","",P1146&amp;"|"&amp;W1146)</f>
        <v/>
      </c>
      <c r="Y1146" s="33">
        <f>IF(W1146="","",IF(P1146="À RENSEIGNER","GIC",P1146)&amp;"-"&amp;TEXT(W1146,"000"))</f>
        <v/>
      </c>
      <c r="Z1146" s="33">
        <f>IF(X1146="","",IFERROR(INDEX(Cl_nom,MATCH(X1146,Cl_cle,0)),"(client introuvable)"))</f>
        <v/>
      </c>
      <c r="AA1146" s="33">
        <f>IF(X1146="","",IFERROR(INDEX(Cl_quartier,MATCH(X1146,Cl_cle,0))&amp;"",""))</f>
        <v/>
      </c>
      <c r="AB1146" s="45">
        <f>IF(R1146&lt;&gt;"Livrée",0,IF(K1146&lt;&gt;"",K1146,C1146))</f>
        <v/>
      </c>
      <c r="AC1146" s="33">
        <f>IF(OR(C1146="",W1146=""),"",P1146&amp;"|"&amp;W1146&amp;"|"&amp;C1146&amp;"|"&amp;E1146)</f>
        <v/>
      </c>
      <c r="AD1146" s="39">
        <f>IF(AC1146="","",IF(COUNTIF(AC$6:AC1146,AC1146)=1,1,0))</f>
        <v/>
      </c>
      <c r="AE1146" s="39">
        <f>IF(AB1146=0,"",IF(COUNTIFS(X$6:X1146,X1146,AB$6:AB1146,AB1146)=1,1,0))</f>
        <v/>
      </c>
      <c r="AF1146" s="34">
        <f>IF(C1146="","",YEAR(C1146-WEEKDAY(C1146,2)+4)&amp;"-S"&amp;TEXT(INT((C1146-DATE(YEAR(C1146-WEEKDAY(C1146,2)+4),1,3)+WEEKDAY(DATE(YEAR(C1146-WEEKDAY(C1146,2)+4),1,3),2)+5)/7),"00"))</f>
        <v/>
      </c>
    </row>
    <row r="1147" ht="18" customHeight="1">
      <c r="A1147" s="39" t="n">
        <v>1142</v>
      </c>
      <c r="B1147" s="33">
        <f>IF(C1147="","",IF(P1147="À RENSEIGNER","GIC",P1147)&amp;"-C"&amp;TEXT(A1147,"00000"))</f>
        <v/>
      </c>
      <c r="C1147" s="32" t="n"/>
      <c r="D1147" s="36" t="n"/>
      <c r="E1147" s="36" t="n"/>
      <c r="F1147" s="36" t="n"/>
      <c r="G1147" s="42" t="n"/>
      <c r="H1147" s="37" t="n"/>
      <c r="I1147" s="37" t="n"/>
      <c r="J1147" s="32" t="n"/>
      <c r="K1147" s="32" t="n"/>
      <c r="L1147" s="43" t="n"/>
      <c r="M1147" s="36" t="n"/>
      <c r="N1147" s="44" t="n"/>
      <c r="O1147" s="36" t="n"/>
      <c r="P1147" s="33">
        <f>IF(C1147="","",Commercial_Id)</f>
        <v/>
      </c>
      <c r="Q1147" s="34">
        <f>IF(AC1147="","",IF(AD1147=1,"C"&amp;TEXT(SUM(AD$6:AD1147),"0000"),INDEX(Q$6:Q1146,MATCH(AC1147,AC$6:AC1146,0))))</f>
        <v/>
      </c>
      <c r="R1147" s="34">
        <f>IF(C1147="","",IF(L1147="☑ Oui","Annulée",IF(OR(E1147="Vente directe",K1147&lt;&gt;""),"Livrée",IF(J1147&lt;&gt;"","Confirmée","En attente"))))</f>
        <v/>
      </c>
      <c r="S1147" s="34">
        <f>IF(F1147="","",IFERROR(VLOOKUP(F1147,T_Produits,2,FALSE),""))</f>
        <v/>
      </c>
      <c r="T1147" s="40">
        <f>IF(F1147="","",IFERROR(1/(1/VLOOKUP(F1147,T_Produits,3,FALSE)),""))</f>
        <v/>
      </c>
      <c r="U1147" s="40">
        <f>IF(H1147&lt;&gt;"",H1147,T1147)</f>
        <v/>
      </c>
      <c r="V1147" s="40">
        <f>IF(OR(G1147="",U1147=""),"",G1147*U1147-N(I1147))</f>
        <v/>
      </c>
      <c r="W1147" s="39">
        <f>IF(D1147="","",IFERROR(VALUE(MID(D1147,LEN(D1147)-3,3)),""))</f>
        <v/>
      </c>
      <c r="X1147" s="33">
        <f>IF(W1147="","",P1147&amp;"|"&amp;W1147)</f>
        <v/>
      </c>
      <c r="Y1147" s="33">
        <f>IF(W1147="","",IF(P1147="À RENSEIGNER","GIC",P1147)&amp;"-"&amp;TEXT(W1147,"000"))</f>
        <v/>
      </c>
      <c r="Z1147" s="33">
        <f>IF(X1147="","",IFERROR(INDEX(Cl_nom,MATCH(X1147,Cl_cle,0)),"(client introuvable)"))</f>
        <v/>
      </c>
      <c r="AA1147" s="33">
        <f>IF(X1147="","",IFERROR(INDEX(Cl_quartier,MATCH(X1147,Cl_cle,0))&amp;"",""))</f>
        <v/>
      </c>
      <c r="AB1147" s="45">
        <f>IF(R1147&lt;&gt;"Livrée",0,IF(K1147&lt;&gt;"",K1147,C1147))</f>
        <v/>
      </c>
      <c r="AC1147" s="33">
        <f>IF(OR(C1147="",W1147=""),"",P1147&amp;"|"&amp;W1147&amp;"|"&amp;C1147&amp;"|"&amp;E1147)</f>
        <v/>
      </c>
      <c r="AD1147" s="39">
        <f>IF(AC1147="","",IF(COUNTIF(AC$6:AC1147,AC1147)=1,1,0))</f>
        <v/>
      </c>
      <c r="AE1147" s="39">
        <f>IF(AB1147=0,"",IF(COUNTIFS(X$6:X1147,X1147,AB$6:AB1147,AB1147)=1,1,0))</f>
        <v/>
      </c>
      <c r="AF1147" s="34">
        <f>IF(C1147="","",YEAR(C1147-WEEKDAY(C1147,2)+4)&amp;"-S"&amp;TEXT(INT((C1147-DATE(YEAR(C1147-WEEKDAY(C1147,2)+4),1,3)+WEEKDAY(DATE(YEAR(C1147-WEEKDAY(C1147,2)+4),1,3),2)+5)/7),"00"))</f>
        <v/>
      </c>
    </row>
    <row r="1148" ht="18" customHeight="1">
      <c r="A1148" s="39" t="n">
        <v>1143</v>
      </c>
      <c r="B1148" s="33">
        <f>IF(C1148="","",IF(P1148="À RENSEIGNER","GIC",P1148)&amp;"-C"&amp;TEXT(A1148,"00000"))</f>
        <v/>
      </c>
      <c r="C1148" s="32" t="n"/>
      <c r="D1148" s="36" t="n"/>
      <c r="E1148" s="36" t="n"/>
      <c r="F1148" s="36" t="n"/>
      <c r="G1148" s="42" t="n"/>
      <c r="H1148" s="37" t="n"/>
      <c r="I1148" s="37" t="n"/>
      <c r="J1148" s="32" t="n"/>
      <c r="K1148" s="32" t="n"/>
      <c r="L1148" s="43" t="n"/>
      <c r="M1148" s="36" t="n"/>
      <c r="N1148" s="44" t="n"/>
      <c r="O1148" s="36" t="n"/>
      <c r="P1148" s="33">
        <f>IF(C1148="","",Commercial_Id)</f>
        <v/>
      </c>
      <c r="Q1148" s="34">
        <f>IF(AC1148="","",IF(AD1148=1,"C"&amp;TEXT(SUM(AD$6:AD1148),"0000"),INDEX(Q$6:Q1147,MATCH(AC1148,AC$6:AC1147,0))))</f>
        <v/>
      </c>
      <c r="R1148" s="34">
        <f>IF(C1148="","",IF(L1148="☑ Oui","Annulée",IF(OR(E1148="Vente directe",K1148&lt;&gt;""),"Livrée",IF(J1148&lt;&gt;"","Confirmée","En attente"))))</f>
        <v/>
      </c>
      <c r="S1148" s="34">
        <f>IF(F1148="","",IFERROR(VLOOKUP(F1148,T_Produits,2,FALSE),""))</f>
        <v/>
      </c>
      <c r="T1148" s="40">
        <f>IF(F1148="","",IFERROR(1/(1/VLOOKUP(F1148,T_Produits,3,FALSE)),""))</f>
        <v/>
      </c>
      <c r="U1148" s="40">
        <f>IF(H1148&lt;&gt;"",H1148,T1148)</f>
        <v/>
      </c>
      <c r="V1148" s="40">
        <f>IF(OR(G1148="",U1148=""),"",G1148*U1148-N(I1148))</f>
        <v/>
      </c>
      <c r="W1148" s="39">
        <f>IF(D1148="","",IFERROR(VALUE(MID(D1148,LEN(D1148)-3,3)),""))</f>
        <v/>
      </c>
      <c r="X1148" s="33">
        <f>IF(W1148="","",P1148&amp;"|"&amp;W1148)</f>
        <v/>
      </c>
      <c r="Y1148" s="33">
        <f>IF(W1148="","",IF(P1148="À RENSEIGNER","GIC",P1148)&amp;"-"&amp;TEXT(W1148,"000"))</f>
        <v/>
      </c>
      <c r="Z1148" s="33">
        <f>IF(X1148="","",IFERROR(INDEX(Cl_nom,MATCH(X1148,Cl_cle,0)),"(client introuvable)"))</f>
        <v/>
      </c>
      <c r="AA1148" s="33">
        <f>IF(X1148="","",IFERROR(INDEX(Cl_quartier,MATCH(X1148,Cl_cle,0))&amp;"",""))</f>
        <v/>
      </c>
      <c r="AB1148" s="45">
        <f>IF(R1148&lt;&gt;"Livrée",0,IF(K1148&lt;&gt;"",K1148,C1148))</f>
        <v/>
      </c>
      <c r="AC1148" s="33">
        <f>IF(OR(C1148="",W1148=""),"",P1148&amp;"|"&amp;W1148&amp;"|"&amp;C1148&amp;"|"&amp;E1148)</f>
        <v/>
      </c>
      <c r="AD1148" s="39">
        <f>IF(AC1148="","",IF(COUNTIF(AC$6:AC1148,AC1148)=1,1,0))</f>
        <v/>
      </c>
      <c r="AE1148" s="39">
        <f>IF(AB1148=0,"",IF(COUNTIFS(X$6:X1148,X1148,AB$6:AB1148,AB1148)=1,1,0))</f>
        <v/>
      </c>
      <c r="AF1148" s="34">
        <f>IF(C1148="","",YEAR(C1148-WEEKDAY(C1148,2)+4)&amp;"-S"&amp;TEXT(INT((C1148-DATE(YEAR(C1148-WEEKDAY(C1148,2)+4),1,3)+WEEKDAY(DATE(YEAR(C1148-WEEKDAY(C1148,2)+4),1,3),2)+5)/7),"00"))</f>
        <v/>
      </c>
    </row>
    <row r="1149" ht="18" customHeight="1">
      <c r="A1149" s="39" t="n">
        <v>1144</v>
      </c>
      <c r="B1149" s="33">
        <f>IF(C1149="","",IF(P1149="À RENSEIGNER","GIC",P1149)&amp;"-C"&amp;TEXT(A1149,"00000"))</f>
        <v/>
      </c>
      <c r="C1149" s="32" t="n"/>
      <c r="D1149" s="36" t="n"/>
      <c r="E1149" s="36" t="n"/>
      <c r="F1149" s="36" t="n"/>
      <c r="G1149" s="42" t="n"/>
      <c r="H1149" s="37" t="n"/>
      <c r="I1149" s="37" t="n"/>
      <c r="J1149" s="32" t="n"/>
      <c r="K1149" s="32" t="n"/>
      <c r="L1149" s="43" t="n"/>
      <c r="M1149" s="36" t="n"/>
      <c r="N1149" s="44" t="n"/>
      <c r="O1149" s="36" t="n"/>
      <c r="P1149" s="33">
        <f>IF(C1149="","",Commercial_Id)</f>
        <v/>
      </c>
      <c r="Q1149" s="34">
        <f>IF(AC1149="","",IF(AD1149=1,"C"&amp;TEXT(SUM(AD$6:AD1149),"0000"),INDEX(Q$6:Q1148,MATCH(AC1149,AC$6:AC1148,0))))</f>
        <v/>
      </c>
      <c r="R1149" s="34">
        <f>IF(C1149="","",IF(L1149="☑ Oui","Annulée",IF(OR(E1149="Vente directe",K1149&lt;&gt;""),"Livrée",IF(J1149&lt;&gt;"","Confirmée","En attente"))))</f>
        <v/>
      </c>
      <c r="S1149" s="34">
        <f>IF(F1149="","",IFERROR(VLOOKUP(F1149,T_Produits,2,FALSE),""))</f>
        <v/>
      </c>
      <c r="T1149" s="40">
        <f>IF(F1149="","",IFERROR(1/(1/VLOOKUP(F1149,T_Produits,3,FALSE)),""))</f>
        <v/>
      </c>
      <c r="U1149" s="40">
        <f>IF(H1149&lt;&gt;"",H1149,T1149)</f>
        <v/>
      </c>
      <c r="V1149" s="40">
        <f>IF(OR(G1149="",U1149=""),"",G1149*U1149-N(I1149))</f>
        <v/>
      </c>
      <c r="W1149" s="39">
        <f>IF(D1149="","",IFERROR(VALUE(MID(D1149,LEN(D1149)-3,3)),""))</f>
        <v/>
      </c>
      <c r="X1149" s="33">
        <f>IF(W1149="","",P1149&amp;"|"&amp;W1149)</f>
        <v/>
      </c>
      <c r="Y1149" s="33">
        <f>IF(W1149="","",IF(P1149="À RENSEIGNER","GIC",P1149)&amp;"-"&amp;TEXT(W1149,"000"))</f>
        <v/>
      </c>
      <c r="Z1149" s="33">
        <f>IF(X1149="","",IFERROR(INDEX(Cl_nom,MATCH(X1149,Cl_cle,0)),"(client introuvable)"))</f>
        <v/>
      </c>
      <c r="AA1149" s="33">
        <f>IF(X1149="","",IFERROR(INDEX(Cl_quartier,MATCH(X1149,Cl_cle,0))&amp;"",""))</f>
        <v/>
      </c>
      <c r="AB1149" s="45">
        <f>IF(R1149&lt;&gt;"Livrée",0,IF(K1149&lt;&gt;"",K1149,C1149))</f>
        <v/>
      </c>
      <c r="AC1149" s="33">
        <f>IF(OR(C1149="",W1149=""),"",P1149&amp;"|"&amp;W1149&amp;"|"&amp;C1149&amp;"|"&amp;E1149)</f>
        <v/>
      </c>
      <c r="AD1149" s="39">
        <f>IF(AC1149="","",IF(COUNTIF(AC$6:AC1149,AC1149)=1,1,0))</f>
        <v/>
      </c>
      <c r="AE1149" s="39">
        <f>IF(AB1149=0,"",IF(COUNTIFS(X$6:X1149,X1149,AB$6:AB1149,AB1149)=1,1,0))</f>
        <v/>
      </c>
      <c r="AF1149" s="34">
        <f>IF(C1149="","",YEAR(C1149-WEEKDAY(C1149,2)+4)&amp;"-S"&amp;TEXT(INT((C1149-DATE(YEAR(C1149-WEEKDAY(C1149,2)+4),1,3)+WEEKDAY(DATE(YEAR(C1149-WEEKDAY(C1149,2)+4),1,3),2)+5)/7),"00"))</f>
        <v/>
      </c>
    </row>
    <row r="1150" ht="18" customHeight="1">
      <c r="A1150" s="39" t="n">
        <v>1145</v>
      </c>
      <c r="B1150" s="33">
        <f>IF(C1150="","",IF(P1150="À RENSEIGNER","GIC",P1150)&amp;"-C"&amp;TEXT(A1150,"00000"))</f>
        <v/>
      </c>
      <c r="C1150" s="32" t="n"/>
      <c r="D1150" s="36" t="n"/>
      <c r="E1150" s="36" t="n"/>
      <c r="F1150" s="36" t="n"/>
      <c r="G1150" s="42" t="n"/>
      <c r="H1150" s="37" t="n"/>
      <c r="I1150" s="37" t="n"/>
      <c r="J1150" s="32" t="n"/>
      <c r="K1150" s="32" t="n"/>
      <c r="L1150" s="43" t="n"/>
      <c r="M1150" s="36" t="n"/>
      <c r="N1150" s="44" t="n"/>
      <c r="O1150" s="36" t="n"/>
      <c r="P1150" s="33">
        <f>IF(C1150="","",Commercial_Id)</f>
        <v/>
      </c>
      <c r="Q1150" s="34">
        <f>IF(AC1150="","",IF(AD1150=1,"C"&amp;TEXT(SUM(AD$6:AD1150),"0000"),INDEX(Q$6:Q1149,MATCH(AC1150,AC$6:AC1149,0))))</f>
        <v/>
      </c>
      <c r="R1150" s="34">
        <f>IF(C1150="","",IF(L1150="☑ Oui","Annulée",IF(OR(E1150="Vente directe",K1150&lt;&gt;""),"Livrée",IF(J1150&lt;&gt;"","Confirmée","En attente"))))</f>
        <v/>
      </c>
      <c r="S1150" s="34">
        <f>IF(F1150="","",IFERROR(VLOOKUP(F1150,T_Produits,2,FALSE),""))</f>
        <v/>
      </c>
      <c r="T1150" s="40">
        <f>IF(F1150="","",IFERROR(1/(1/VLOOKUP(F1150,T_Produits,3,FALSE)),""))</f>
        <v/>
      </c>
      <c r="U1150" s="40">
        <f>IF(H1150&lt;&gt;"",H1150,T1150)</f>
        <v/>
      </c>
      <c r="V1150" s="40">
        <f>IF(OR(G1150="",U1150=""),"",G1150*U1150-N(I1150))</f>
        <v/>
      </c>
      <c r="W1150" s="39">
        <f>IF(D1150="","",IFERROR(VALUE(MID(D1150,LEN(D1150)-3,3)),""))</f>
        <v/>
      </c>
      <c r="X1150" s="33">
        <f>IF(W1150="","",P1150&amp;"|"&amp;W1150)</f>
        <v/>
      </c>
      <c r="Y1150" s="33">
        <f>IF(W1150="","",IF(P1150="À RENSEIGNER","GIC",P1150)&amp;"-"&amp;TEXT(W1150,"000"))</f>
        <v/>
      </c>
      <c r="Z1150" s="33">
        <f>IF(X1150="","",IFERROR(INDEX(Cl_nom,MATCH(X1150,Cl_cle,0)),"(client introuvable)"))</f>
        <v/>
      </c>
      <c r="AA1150" s="33">
        <f>IF(X1150="","",IFERROR(INDEX(Cl_quartier,MATCH(X1150,Cl_cle,0))&amp;"",""))</f>
        <v/>
      </c>
      <c r="AB1150" s="45">
        <f>IF(R1150&lt;&gt;"Livrée",0,IF(K1150&lt;&gt;"",K1150,C1150))</f>
        <v/>
      </c>
      <c r="AC1150" s="33">
        <f>IF(OR(C1150="",W1150=""),"",P1150&amp;"|"&amp;W1150&amp;"|"&amp;C1150&amp;"|"&amp;E1150)</f>
        <v/>
      </c>
      <c r="AD1150" s="39">
        <f>IF(AC1150="","",IF(COUNTIF(AC$6:AC1150,AC1150)=1,1,0))</f>
        <v/>
      </c>
      <c r="AE1150" s="39">
        <f>IF(AB1150=0,"",IF(COUNTIFS(X$6:X1150,X1150,AB$6:AB1150,AB1150)=1,1,0))</f>
        <v/>
      </c>
      <c r="AF1150" s="34">
        <f>IF(C1150="","",YEAR(C1150-WEEKDAY(C1150,2)+4)&amp;"-S"&amp;TEXT(INT((C1150-DATE(YEAR(C1150-WEEKDAY(C1150,2)+4),1,3)+WEEKDAY(DATE(YEAR(C1150-WEEKDAY(C1150,2)+4),1,3),2)+5)/7),"00"))</f>
        <v/>
      </c>
    </row>
    <row r="1151" ht="18" customHeight="1">
      <c r="A1151" s="39" t="n">
        <v>1146</v>
      </c>
      <c r="B1151" s="33">
        <f>IF(C1151="","",IF(P1151="À RENSEIGNER","GIC",P1151)&amp;"-C"&amp;TEXT(A1151,"00000"))</f>
        <v/>
      </c>
      <c r="C1151" s="32" t="n"/>
      <c r="D1151" s="36" t="n"/>
      <c r="E1151" s="36" t="n"/>
      <c r="F1151" s="36" t="n"/>
      <c r="G1151" s="42" t="n"/>
      <c r="H1151" s="37" t="n"/>
      <c r="I1151" s="37" t="n"/>
      <c r="J1151" s="32" t="n"/>
      <c r="K1151" s="32" t="n"/>
      <c r="L1151" s="43" t="n"/>
      <c r="M1151" s="36" t="n"/>
      <c r="N1151" s="44" t="n"/>
      <c r="O1151" s="36" t="n"/>
      <c r="P1151" s="33">
        <f>IF(C1151="","",Commercial_Id)</f>
        <v/>
      </c>
      <c r="Q1151" s="34">
        <f>IF(AC1151="","",IF(AD1151=1,"C"&amp;TEXT(SUM(AD$6:AD1151),"0000"),INDEX(Q$6:Q1150,MATCH(AC1151,AC$6:AC1150,0))))</f>
        <v/>
      </c>
      <c r="R1151" s="34">
        <f>IF(C1151="","",IF(L1151="☑ Oui","Annulée",IF(OR(E1151="Vente directe",K1151&lt;&gt;""),"Livrée",IF(J1151&lt;&gt;"","Confirmée","En attente"))))</f>
        <v/>
      </c>
      <c r="S1151" s="34">
        <f>IF(F1151="","",IFERROR(VLOOKUP(F1151,T_Produits,2,FALSE),""))</f>
        <v/>
      </c>
      <c r="T1151" s="40">
        <f>IF(F1151="","",IFERROR(1/(1/VLOOKUP(F1151,T_Produits,3,FALSE)),""))</f>
        <v/>
      </c>
      <c r="U1151" s="40">
        <f>IF(H1151&lt;&gt;"",H1151,T1151)</f>
        <v/>
      </c>
      <c r="V1151" s="40">
        <f>IF(OR(G1151="",U1151=""),"",G1151*U1151-N(I1151))</f>
        <v/>
      </c>
      <c r="W1151" s="39">
        <f>IF(D1151="","",IFERROR(VALUE(MID(D1151,LEN(D1151)-3,3)),""))</f>
        <v/>
      </c>
      <c r="X1151" s="33">
        <f>IF(W1151="","",P1151&amp;"|"&amp;W1151)</f>
        <v/>
      </c>
      <c r="Y1151" s="33">
        <f>IF(W1151="","",IF(P1151="À RENSEIGNER","GIC",P1151)&amp;"-"&amp;TEXT(W1151,"000"))</f>
        <v/>
      </c>
      <c r="Z1151" s="33">
        <f>IF(X1151="","",IFERROR(INDEX(Cl_nom,MATCH(X1151,Cl_cle,0)),"(client introuvable)"))</f>
        <v/>
      </c>
      <c r="AA1151" s="33">
        <f>IF(X1151="","",IFERROR(INDEX(Cl_quartier,MATCH(X1151,Cl_cle,0))&amp;"",""))</f>
        <v/>
      </c>
      <c r="AB1151" s="45">
        <f>IF(R1151&lt;&gt;"Livrée",0,IF(K1151&lt;&gt;"",K1151,C1151))</f>
        <v/>
      </c>
      <c r="AC1151" s="33">
        <f>IF(OR(C1151="",W1151=""),"",P1151&amp;"|"&amp;W1151&amp;"|"&amp;C1151&amp;"|"&amp;E1151)</f>
        <v/>
      </c>
      <c r="AD1151" s="39">
        <f>IF(AC1151="","",IF(COUNTIF(AC$6:AC1151,AC1151)=1,1,0))</f>
        <v/>
      </c>
      <c r="AE1151" s="39">
        <f>IF(AB1151=0,"",IF(COUNTIFS(X$6:X1151,X1151,AB$6:AB1151,AB1151)=1,1,0))</f>
        <v/>
      </c>
      <c r="AF1151" s="34">
        <f>IF(C1151="","",YEAR(C1151-WEEKDAY(C1151,2)+4)&amp;"-S"&amp;TEXT(INT((C1151-DATE(YEAR(C1151-WEEKDAY(C1151,2)+4),1,3)+WEEKDAY(DATE(YEAR(C1151-WEEKDAY(C1151,2)+4),1,3),2)+5)/7),"00"))</f>
        <v/>
      </c>
    </row>
    <row r="1152" ht="18" customHeight="1">
      <c r="A1152" s="39" t="n">
        <v>1147</v>
      </c>
      <c r="B1152" s="33">
        <f>IF(C1152="","",IF(P1152="À RENSEIGNER","GIC",P1152)&amp;"-C"&amp;TEXT(A1152,"00000"))</f>
        <v/>
      </c>
      <c r="C1152" s="32" t="n"/>
      <c r="D1152" s="36" t="n"/>
      <c r="E1152" s="36" t="n"/>
      <c r="F1152" s="36" t="n"/>
      <c r="G1152" s="42" t="n"/>
      <c r="H1152" s="37" t="n"/>
      <c r="I1152" s="37" t="n"/>
      <c r="J1152" s="32" t="n"/>
      <c r="K1152" s="32" t="n"/>
      <c r="L1152" s="43" t="n"/>
      <c r="M1152" s="36" t="n"/>
      <c r="N1152" s="44" t="n"/>
      <c r="O1152" s="36" t="n"/>
      <c r="P1152" s="33">
        <f>IF(C1152="","",Commercial_Id)</f>
        <v/>
      </c>
      <c r="Q1152" s="34">
        <f>IF(AC1152="","",IF(AD1152=1,"C"&amp;TEXT(SUM(AD$6:AD1152),"0000"),INDEX(Q$6:Q1151,MATCH(AC1152,AC$6:AC1151,0))))</f>
        <v/>
      </c>
      <c r="R1152" s="34">
        <f>IF(C1152="","",IF(L1152="☑ Oui","Annulée",IF(OR(E1152="Vente directe",K1152&lt;&gt;""),"Livrée",IF(J1152&lt;&gt;"","Confirmée","En attente"))))</f>
        <v/>
      </c>
      <c r="S1152" s="34">
        <f>IF(F1152="","",IFERROR(VLOOKUP(F1152,T_Produits,2,FALSE),""))</f>
        <v/>
      </c>
      <c r="T1152" s="40">
        <f>IF(F1152="","",IFERROR(1/(1/VLOOKUP(F1152,T_Produits,3,FALSE)),""))</f>
        <v/>
      </c>
      <c r="U1152" s="40">
        <f>IF(H1152&lt;&gt;"",H1152,T1152)</f>
        <v/>
      </c>
      <c r="V1152" s="40">
        <f>IF(OR(G1152="",U1152=""),"",G1152*U1152-N(I1152))</f>
        <v/>
      </c>
      <c r="W1152" s="39">
        <f>IF(D1152="","",IFERROR(VALUE(MID(D1152,LEN(D1152)-3,3)),""))</f>
        <v/>
      </c>
      <c r="X1152" s="33">
        <f>IF(W1152="","",P1152&amp;"|"&amp;W1152)</f>
        <v/>
      </c>
      <c r="Y1152" s="33">
        <f>IF(W1152="","",IF(P1152="À RENSEIGNER","GIC",P1152)&amp;"-"&amp;TEXT(W1152,"000"))</f>
        <v/>
      </c>
      <c r="Z1152" s="33">
        <f>IF(X1152="","",IFERROR(INDEX(Cl_nom,MATCH(X1152,Cl_cle,0)),"(client introuvable)"))</f>
        <v/>
      </c>
      <c r="AA1152" s="33">
        <f>IF(X1152="","",IFERROR(INDEX(Cl_quartier,MATCH(X1152,Cl_cle,0))&amp;"",""))</f>
        <v/>
      </c>
      <c r="AB1152" s="45">
        <f>IF(R1152&lt;&gt;"Livrée",0,IF(K1152&lt;&gt;"",K1152,C1152))</f>
        <v/>
      </c>
      <c r="AC1152" s="33">
        <f>IF(OR(C1152="",W1152=""),"",P1152&amp;"|"&amp;W1152&amp;"|"&amp;C1152&amp;"|"&amp;E1152)</f>
        <v/>
      </c>
      <c r="AD1152" s="39">
        <f>IF(AC1152="","",IF(COUNTIF(AC$6:AC1152,AC1152)=1,1,0))</f>
        <v/>
      </c>
      <c r="AE1152" s="39">
        <f>IF(AB1152=0,"",IF(COUNTIFS(X$6:X1152,X1152,AB$6:AB1152,AB1152)=1,1,0))</f>
        <v/>
      </c>
      <c r="AF1152" s="34">
        <f>IF(C1152="","",YEAR(C1152-WEEKDAY(C1152,2)+4)&amp;"-S"&amp;TEXT(INT((C1152-DATE(YEAR(C1152-WEEKDAY(C1152,2)+4),1,3)+WEEKDAY(DATE(YEAR(C1152-WEEKDAY(C1152,2)+4),1,3),2)+5)/7),"00"))</f>
        <v/>
      </c>
    </row>
    <row r="1153" ht="18" customHeight="1">
      <c r="A1153" s="39" t="n">
        <v>1148</v>
      </c>
      <c r="B1153" s="33">
        <f>IF(C1153="","",IF(P1153="À RENSEIGNER","GIC",P1153)&amp;"-C"&amp;TEXT(A1153,"00000"))</f>
        <v/>
      </c>
      <c r="C1153" s="32" t="n"/>
      <c r="D1153" s="36" t="n"/>
      <c r="E1153" s="36" t="n"/>
      <c r="F1153" s="36" t="n"/>
      <c r="G1153" s="42" t="n"/>
      <c r="H1153" s="37" t="n"/>
      <c r="I1153" s="37" t="n"/>
      <c r="J1153" s="32" t="n"/>
      <c r="K1153" s="32" t="n"/>
      <c r="L1153" s="43" t="n"/>
      <c r="M1153" s="36" t="n"/>
      <c r="N1153" s="44" t="n"/>
      <c r="O1153" s="36" t="n"/>
      <c r="P1153" s="33">
        <f>IF(C1153="","",Commercial_Id)</f>
        <v/>
      </c>
      <c r="Q1153" s="34">
        <f>IF(AC1153="","",IF(AD1153=1,"C"&amp;TEXT(SUM(AD$6:AD1153),"0000"),INDEX(Q$6:Q1152,MATCH(AC1153,AC$6:AC1152,0))))</f>
        <v/>
      </c>
      <c r="R1153" s="34">
        <f>IF(C1153="","",IF(L1153="☑ Oui","Annulée",IF(OR(E1153="Vente directe",K1153&lt;&gt;""),"Livrée",IF(J1153&lt;&gt;"","Confirmée","En attente"))))</f>
        <v/>
      </c>
      <c r="S1153" s="34">
        <f>IF(F1153="","",IFERROR(VLOOKUP(F1153,T_Produits,2,FALSE),""))</f>
        <v/>
      </c>
      <c r="T1153" s="40">
        <f>IF(F1153="","",IFERROR(1/(1/VLOOKUP(F1153,T_Produits,3,FALSE)),""))</f>
        <v/>
      </c>
      <c r="U1153" s="40">
        <f>IF(H1153&lt;&gt;"",H1153,T1153)</f>
        <v/>
      </c>
      <c r="V1153" s="40">
        <f>IF(OR(G1153="",U1153=""),"",G1153*U1153-N(I1153))</f>
        <v/>
      </c>
      <c r="W1153" s="39">
        <f>IF(D1153="","",IFERROR(VALUE(MID(D1153,LEN(D1153)-3,3)),""))</f>
        <v/>
      </c>
      <c r="X1153" s="33">
        <f>IF(W1153="","",P1153&amp;"|"&amp;W1153)</f>
        <v/>
      </c>
      <c r="Y1153" s="33">
        <f>IF(W1153="","",IF(P1153="À RENSEIGNER","GIC",P1153)&amp;"-"&amp;TEXT(W1153,"000"))</f>
        <v/>
      </c>
      <c r="Z1153" s="33">
        <f>IF(X1153="","",IFERROR(INDEX(Cl_nom,MATCH(X1153,Cl_cle,0)),"(client introuvable)"))</f>
        <v/>
      </c>
      <c r="AA1153" s="33">
        <f>IF(X1153="","",IFERROR(INDEX(Cl_quartier,MATCH(X1153,Cl_cle,0))&amp;"",""))</f>
        <v/>
      </c>
      <c r="AB1153" s="45">
        <f>IF(R1153&lt;&gt;"Livrée",0,IF(K1153&lt;&gt;"",K1153,C1153))</f>
        <v/>
      </c>
      <c r="AC1153" s="33">
        <f>IF(OR(C1153="",W1153=""),"",P1153&amp;"|"&amp;W1153&amp;"|"&amp;C1153&amp;"|"&amp;E1153)</f>
        <v/>
      </c>
      <c r="AD1153" s="39">
        <f>IF(AC1153="","",IF(COUNTIF(AC$6:AC1153,AC1153)=1,1,0))</f>
        <v/>
      </c>
      <c r="AE1153" s="39">
        <f>IF(AB1153=0,"",IF(COUNTIFS(X$6:X1153,X1153,AB$6:AB1153,AB1153)=1,1,0))</f>
        <v/>
      </c>
      <c r="AF1153" s="34">
        <f>IF(C1153="","",YEAR(C1153-WEEKDAY(C1153,2)+4)&amp;"-S"&amp;TEXT(INT((C1153-DATE(YEAR(C1153-WEEKDAY(C1153,2)+4),1,3)+WEEKDAY(DATE(YEAR(C1153-WEEKDAY(C1153,2)+4),1,3),2)+5)/7),"00"))</f>
        <v/>
      </c>
    </row>
    <row r="1154" ht="18" customHeight="1">
      <c r="A1154" s="39" t="n">
        <v>1149</v>
      </c>
      <c r="B1154" s="33">
        <f>IF(C1154="","",IF(P1154="À RENSEIGNER","GIC",P1154)&amp;"-C"&amp;TEXT(A1154,"00000"))</f>
        <v/>
      </c>
      <c r="C1154" s="32" t="n"/>
      <c r="D1154" s="36" t="n"/>
      <c r="E1154" s="36" t="n"/>
      <c r="F1154" s="36" t="n"/>
      <c r="G1154" s="42" t="n"/>
      <c r="H1154" s="37" t="n"/>
      <c r="I1154" s="37" t="n"/>
      <c r="J1154" s="32" t="n"/>
      <c r="K1154" s="32" t="n"/>
      <c r="L1154" s="43" t="n"/>
      <c r="M1154" s="36" t="n"/>
      <c r="N1154" s="44" t="n"/>
      <c r="O1154" s="36" t="n"/>
      <c r="P1154" s="33">
        <f>IF(C1154="","",Commercial_Id)</f>
        <v/>
      </c>
      <c r="Q1154" s="34">
        <f>IF(AC1154="","",IF(AD1154=1,"C"&amp;TEXT(SUM(AD$6:AD1154),"0000"),INDEX(Q$6:Q1153,MATCH(AC1154,AC$6:AC1153,0))))</f>
        <v/>
      </c>
      <c r="R1154" s="34">
        <f>IF(C1154="","",IF(L1154="☑ Oui","Annulée",IF(OR(E1154="Vente directe",K1154&lt;&gt;""),"Livrée",IF(J1154&lt;&gt;"","Confirmée","En attente"))))</f>
        <v/>
      </c>
      <c r="S1154" s="34">
        <f>IF(F1154="","",IFERROR(VLOOKUP(F1154,T_Produits,2,FALSE),""))</f>
        <v/>
      </c>
      <c r="T1154" s="40">
        <f>IF(F1154="","",IFERROR(1/(1/VLOOKUP(F1154,T_Produits,3,FALSE)),""))</f>
        <v/>
      </c>
      <c r="U1154" s="40">
        <f>IF(H1154&lt;&gt;"",H1154,T1154)</f>
        <v/>
      </c>
      <c r="V1154" s="40">
        <f>IF(OR(G1154="",U1154=""),"",G1154*U1154-N(I1154))</f>
        <v/>
      </c>
      <c r="W1154" s="39">
        <f>IF(D1154="","",IFERROR(VALUE(MID(D1154,LEN(D1154)-3,3)),""))</f>
        <v/>
      </c>
      <c r="X1154" s="33">
        <f>IF(W1154="","",P1154&amp;"|"&amp;W1154)</f>
        <v/>
      </c>
      <c r="Y1154" s="33">
        <f>IF(W1154="","",IF(P1154="À RENSEIGNER","GIC",P1154)&amp;"-"&amp;TEXT(W1154,"000"))</f>
        <v/>
      </c>
      <c r="Z1154" s="33">
        <f>IF(X1154="","",IFERROR(INDEX(Cl_nom,MATCH(X1154,Cl_cle,0)),"(client introuvable)"))</f>
        <v/>
      </c>
      <c r="AA1154" s="33">
        <f>IF(X1154="","",IFERROR(INDEX(Cl_quartier,MATCH(X1154,Cl_cle,0))&amp;"",""))</f>
        <v/>
      </c>
      <c r="AB1154" s="45">
        <f>IF(R1154&lt;&gt;"Livrée",0,IF(K1154&lt;&gt;"",K1154,C1154))</f>
        <v/>
      </c>
      <c r="AC1154" s="33">
        <f>IF(OR(C1154="",W1154=""),"",P1154&amp;"|"&amp;W1154&amp;"|"&amp;C1154&amp;"|"&amp;E1154)</f>
        <v/>
      </c>
      <c r="AD1154" s="39">
        <f>IF(AC1154="","",IF(COUNTIF(AC$6:AC1154,AC1154)=1,1,0))</f>
        <v/>
      </c>
      <c r="AE1154" s="39">
        <f>IF(AB1154=0,"",IF(COUNTIFS(X$6:X1154,X1154,AB$6:AB1154,AB1154)=1,1,0))</f>
        <v/>
      </c>
      <c r="AF1154" s="34">
        <f>IF(C1154="","",YEAR(C1154-WEEKDAY(C1154,2)+4)&amp;"-S"&amp;TEXT(INT((C1154-DATE(YEAR(C1154-WEEKDAY(C1154,2)+4),1,3)+WEEKDAY(DATE(YEAR(C1154-WEEKDAY(C1154,2)+4),1,3),2)+5)/7),"00"))</f>
        <v/>
      </c>
    </row>
    <row r="1155" ht="18" customHeight="1">
      <c r="A1155" s="39" t="n">
        <v>1150</v>
      </c>
      <c r="B1155" s="33">
        <f>IF(C1155="","",IF(P1155="À RENSEIGNER","GIC",P1155)&amp;"-C"&amp;TEXT(A1155,"00000"))</f>
        <v/>
      </c>
      <c r="C1155" s="32" t="n"/>
      <c r="D1155" s="36" t="n"/>
      <c r="E1155" s="36" t="n"/>
      <c r="F1155" s="36" t="n"/>
      <c r="G1155" s="42" t="n"/>
      <c r="H1155" s="37" t="n"/>
      <c r="I1155" s="37" t="n"/>
      <c r="J1155" s="32" t="n"/>
      <c r="K1155" s="32" t="n"/>
      <c r="L1155" s="43" t="n"/>
      <c r="M1155" s="36" t="n"/>
      <c r="N1155" s="44" t="n"/>
      <c r="O1155" s="36" t="n"/>
      <c r="P1155" s="33">
        <f>IF(C1155="","",Commercial_Id)</f>
        <v/>
      </c>
      <c r="Q1155" s="34">
        <f>IF(AC1155="","",IF(AD1155=1,"C"&amp;TEXT(SUM(AD$6:AD1155),"0000"),INDEX(Q$6:Q1154,MATCH(AC1155,AC$6:AC1154,0))))</f>
        <v/>
      </c>
      <c r="R1155" s="34">
        <f>IF(C1155="","",IF(L1155="☑ Oui","Annulée",IF(OR(E1155="Vente directe",K1155&lt;&gt;""),"Livrée",IF(J1155&lt;&gt;"","Confirmée","En attente"))))</f>
        <v/>
      </c>
      <c r="S1155" s="34">
        <f>IF(F1155="","",IFERROR(VLOOKUP(F1155,T_Produits,2,FALSE),""))</f>
        <v/>
      </c>
      <c r="T1155" s="40">
        <f>IF(F1155="","",IFERROR(1/(1/VLOOKUP(F1155,T_Produits,3,FALSE)),""))</f>
        <v/>
      </c>
      <c r="U1155" s="40">
        <f>IF(H1155&lt;&gt;"",H1155,T1155)</f>
        <v/>
      </c>
      <c r="V1155" s="40">
        <f>IF(OR(G1155="",U1155=""),"",G1155*U1155-N(I1155))</f>
        <v/>
      </c>
      <c r="W1155" s="39">
        <f>IF(D1155="","",IFERROR(VALUE(MID(D1155,LEN(D1155)-3,3)),""))</f>
        <v/>
      </c>
      <c r="X1155" s="33">
        <f>IF(W1155="","",P1155&amp;"|"&amp;W1155)</f>
        <v/>
      </c>
      <c r="Y1155" s="33">
        <f>IF(W1155="","",IF(P1155="À RENSEIGNER","GIC",P1155)&amp;"-"&amp;TEXT(W1155,"000"))</f>
        <v/>
      </c>
      <c r="Z1155" s="33">
        <f>IF(X1155="","",IFERROR(INDEX(Cl_nom,MATCH(X1155,Cl_cle,0)),"(client introuvable)"))</f>
        <v/>
      </c>
      <c r="AA1155" s="33">
        <f>IF(X1155="","",IFERROR(INDEX(Cl_quartier,MATCH(X1155,Cl_cle,0))&amp;"",""))</f>
        <v/>
      </c>
      <c r="AB1155" s="45">
        <f>IF(R1155&lt;&gt;"Livrée",0,IF(K1155&lt;&gt;"",K1155,C1155))</f>
        <v/>
      </c>
      <c r="AC1155" s="33">
        <f>IF(OR(C1155="",W1155=""),"",P1155&amp;"|"&amp;W1155&amp;"|"&amp;C1155&amp;"|"&amp;E1155)</f>
        <v/>
      </c>
      <c r="AD1155" s="39">
        <f>IF(AC1155="","",IF(COUNTIF(AC$6:AC1155,AC1155)=1,1,0))</f>
        <v/>
      </c>
      <c r="AE1155" s="39">
        <f>IF(AB1155=0,"",IF(COUNTIFS(X$6:X1155,X1155,AB$6:AB1155,AB1155)=1,1,0))</f>
        <v/>
      </c>
      <c r="AF1155" s="34">
        <f>IF(C1155="","",YEAR(C1155-WEEKDAY(C1155,2)+4)&amp;"-S"&amp;TEXT(INT((C1155-DATE(YEAR(C1155-WEEKDAY(C1155,2)+4),1,3)+WEEKDAY(DATE(YEAR(C1155-WEEKDAY(C1155,2)+4),1,3),2)+5)/7),"00"))</f>
        <v/>
      </c>
    </row>
    <row r="1156" ht="18" customHeight="1">
      <c r="A1156" s="39" t="n">
        <v>1151</v>
      </c>
      <c r="B1156" s="33">
        <f>IF(C1156="","",IF(P1156="À RENSEIGNER","GIC",P1156)&amp;"-C"&amp;TEXT(A1156,"00000"))</f>
        <v/>
      </c>
      <c r="C1156" s="32" t="n"/>
      <c r="D1156" s="36" t="n"/>
      <c r="E1156" s="36" t="n"/>
      <c r="F1156" s="36" t="n"/>
      <c r="G1156" s="42" t="n"/>
      <c r="H1156" s="37" t="n"/>
      <c r="I1156" s="37" t="n"/>
      <c r="J1156" s="32" t="n"/>
      <c r="K1156" s="32" t="n"/>
      <c r="L1156" s="43" t="n"/>
      <c r="M1156" s="36" t="n"/>
      <c r="N1156" s="44" t="n"/>
      <c r="O1156" s="36" t="n"/>
      <c r="P1156" s="33">
        <f>IF(C1156="","",Commercial_Id)</f>
        <v/>
      </c>
      <c r="Q1156" s="34">
        <f>IF(AC1156="","",IF(AD1156=1,"C"&amp;TEXT(SUM(AD$6:AD1156),"0000"),INDEX(Q$6:Q1155,MATCH(AC1156,AC$6:AC1155,0))))</f>
        <v/>
      </c>
      <c r="R1156" s="34">
        <f>IF(C1156="","",IF(L1156="☑ Oui","Annulée",IF(OR(E1156="Vente directe",K1156&lt;&gt;""),"Livrée",IF(J1156&lt;&gt;"","Confirmée","En attente"))))</f>
        <v/>
      </c>
      <c r="S1156" s="34">
        <f>IF(F1156="","",IFERROR(VLOOKUP(F1156,T_Produits,2,FALSE),""))</f>
        <v/>
      </c>
      <c r="T1156" s="40">
        <f>IF(F1156="","",IFERROR(1/(1/VLOOKUP(F1156,T_Produits,3,FALSE)),""))</f>
        <v/>
      </c>
      <c r="U1156" s="40">
        <f>IF(H1156&lt;&gt;"",H1156,T1156)</f>
        <v/>
      </c>
      <c r="V1156" s="40">
        <f>IF(OR(G1156="",U1156=""),"",G1156*U1156-N(I1156))</f>
        <v/>
      </c>
      <c r="W1156" s="39">
        <f>IF(D1156="","",IFERROR(VALUE(MID(D1156,LEN(D1156)-3,3)),""))</f>
        <v/>
      </c>
      <c r="X1156" s="33">
        <f>IF(W1156="","",P1156&amp;"|"&amp;W1156)</f>
        <v/>
      </c>
      <c r="Y1156" s="33">
        <f>IF(W1156="","",IF(P1156="À RENSEIGNER","GIC",P1156)&amp;"-"&amp;TEXT(W1156,"000"))</f>
        <v/>
      </c>
      <c r="Z1156" s="33">
        <f>IF(X1156="","",IFERROR(INDEX(Cl_nom,MATCH(X1156,Cl_cle,0)),"(client introuvable)"))</f>
        <v/>
      </c>
      <c r="AA1156" s="33">
        <f>IF(X1156="","",IFERROR(INDEX(Cl_quartier,MATCH(X1156,Cl_cle,0))&amp;"",""))</f>
        <v/>
      </c>
      <c r="AB1156" s="45">
        <f>IF(R1156&lt;&gt;"Livrée",0,IF(K1156&lt;&gt;"",K1156,C1156))</f>
        <v/>
      </c>
      <c r="AC1156" s="33">
        <f>IF(OR(C1156="",W1156=""),"",P1156&amp;"|"&amp;W1156&amp;"|"&amp;C1156&amp;"|"&amp;E1156)</f>
        <v/>
      </c>
      <c r="AD1156" s="39">
        <f>IF(AC1156="","",IF(COUNTIF(AC$6:AC1156,AC1156)=1,1,0))</f>
        <v/>
      </c>
      <c r="AE1156" s="39">
        <f>IF(AB1156=0,"",IF(COUNTIFS(X$6:X1156,X1156,AB$6:AB1156,AB1156)=1,1,0))</f>
        <v/>
      </c>
      <c r="AF1156" s="34">
        <f>IF(C1156="","",YEAR(C1156-WEEKDAY(C1156,2)+4)&amp;"-S"&amp;TEXT(INT((C1156-DATE(YEAR(C1156-WEEKDAY(C1156,2)+4),1,3)+WEEKDAY(DATE(YEAR(C1156-WEEKDAY(C1156,2)+4),1,3),2)+5)/7),"00"))</f>
        <v/>
      </c>
    </row>
    <row r="1157" ht="18" customHeight="1">
      <c r="A1157" s="39" t="n">
        <v>1152</v>
      </c>
      <c r="B1157" s="33">
        <f>IF(C1157="","",IF(P1157="À RENSEIGNER","GIC",P1157)&amp;"-C"&amp;TEXT(A1157,"00000"))</f>
        <v/>
      </c>
      <c r="C1157" s="32" t="n"/>
      <c r="D1157" s="36" t="n"/>
      <c r="E1157" s="36" t="n"/>
      <c r="F1157" s="36" t="n"/>
      <c r="G1157" s="42" t="n"/>
      <c r="H1157" s="37" t="n"/>
      <c r="I1157" s="37" t="n"/>
      <c r="J1157" s="32" t="n"/>
      <c r="K1157" s="32" t="n"/>
      <c r="L1157" s="43" t="n"/>
      <c r="M1157" s="36" t="n"/>
      <c r="N1157" s="44" t="n"/>
      <c r="O1157" s="36" t="n"/>
      <c r="P1157" s="33">
        <f>IF(C1157="","",Commercial_Id)</f>
        <v/>
      </c>
      <c r="Q1157" s="34">
        <f>IF(AC1157="","",IF(AD1157=1,"C"&amp;TEXT(SUM(AD$6:AD1157),"0000"),INDEX(Q$6:Q1156,MATCH(AC1157,AC$6:AC1156,0))))</f>
        <v/>
      </c>
      <c r="R1157" s="34">
        <f>IF(C1157="","",IF(L1157="☑ Oui","Annulée",IF(OR(E1157="Vente directe",K1157&lt;&gt;""),"Livrée",IF(J1157&lt;&gt;"","Confirmée","En attente"))))</f>
        <v/>
      </c>
      <c r="S1157" s="34">
        <f>IF(F1157="","",IFERROR(VLOOKUP(F1157,T_Produits,2,FALSE),""))</f>
        <v/>
      </c>
      <c r="T1157" s="40">
        <f>IF(F1157="","",IFERROR(1/(1/VLOOKUP(F1157,T_Produits,3,FALSE)),""))</f>
        <v/>
      </c>
      <c r="U1157" s="40">
        <f>IF(H1157&lt;&gt;"",H1157,T1157)</f>
        <v/>
      </c>
      <c r="V1157" s="40">
        <f>IF(OR(G1157="",U1157=""),"",G1157*U1157-N(I1157))</f>
        <v/>
      </c>
      <c r="W1157" s="39">
        <f>IF(D1157="","",IFERROR(VALUE(MID(D1157,LEN(D1157)-3,3)),""))</f>
        <v/>
      </c>
      <c r="X1157" s="33">
        <f>IF(W1157="","",P1157&amp;"|"&amp;W1157)</f>
        <v/>
      </c>
      <c r="Y1157" s="33">
        <f>IF(W1157="","",IF(P1157="À RENSEIGNER","GIC",P1157)&amp;"-"&amp;TEXT(W1157,"000"))</f>
        <v/>
      </c>
      <c r="Z1157" s="33">
        <f>IF(X1157="","",IFERROR(INDEX(Cl_nom,MATCH(X1157,Cl_cle,0)),"(client introuvable)"))</f>
        <v/>
      </c>
      <c r="AA1157" s="33">
        <f>IF(X1157="","",IFERROR(INDEX(Cl_quartier,MATCH(X1157,Cl_cle,0))&amp;"",""))</f>
        <v/>
      </c>
      <c r="AB1157" s="45">
        <f>IF(R1157&lt;&gt;"Livrée",0,IF(K1157&lt;&gt;"",K1157,C1157))</f>
        <v/>
      </c>
      <c r="AC1157" s="33">
        <f>IF(OR(C1157="",W1157=""),"",P1157&amp;"|"&amp;W1157&amp;"|"&amp;C1157&amp;"|"&amp;E1157)</f>
        <v/>
      </c>
      <c r="AD1157" s="39">
        <f>IF(AC1157="","",IF(COUNTIF(AC$6:AC1157,AC1157)=1,1,0))</f>
        <v/>
      </c>
      <c r="AE1157" s="39">
        <f>IF(AB1157=0,"",IF(COUNTIFS(X$6:X1157,X1157,AB$6:AB1157,AB1157)=1,1,0))</f>
        <v/>
      </c>
      <c r="AF1157" s="34">
        <f>IF(C1157="","",YEAR(C1157-WEEKDAY(C1157,2)+4)&amp;"-S"&amp;TEXT(INT((C1157-DATE(YEAR(C1157-WEEKDAY(C1157,2)+4),1,3)+WEEKDAY(DATE(YEAR(C1157-WEEKDAY(C1157,2)+4),1,3),2)+5)/7),"00"))</f>
        <v/>
      </c>
    </row>
    <row r="1158" ht="18" customHeight="1">
      <c r="A1158" s="39" t="n">
        <v>1153</v>
      </c>
      <c r="B1158" s="33">
        <f>IF(C1158="","",IF(P1158="À RENSEIGNER","GIC",P1158)&amp;"-C"&amp;TEXT(A1158,"00000"))</f>
        <v/>
      </c>
      <c r="C1158" s="32" t="n"/>
      <c r="D1158" s="36" t="n"/>
      <c r="E1158" s="36" t="n"/>
      <c r="F1158" s="36" t="n"/>
      <c r="G1158" s="42" t="n"/>
      <c r="H1158" s="37" t="n"/>
      <c r="I1158" s="37" t="n"/>
      <c r="J1158" s="32" t="n"/>
      <c r="K1158" s="32" t="n"/>
      <c r="L1158" s="43" t="n"/>
      <c r="M1158" s="36" t="n"/>
      <c r="N1158" s="44" t="n"/>
      <c r="O1158" s="36" t="n"/>
      <c r="P1158" s="33">
        <f>IF(C1158="","",Commercial_Id)</f>
        <v/>
      </c>
      <c r="Q1158" s="34">
        <f>IF(AC1158="","",IF(AD1158=1,"C"&amp;TEXT(SUM(AD$6:AD1158),"0000"),INDEX(Q$6:Q1157,MATCH(AC1158,AC$6:AC1157,0))))</f>
        <v/>
      </c>
      <c r="R1158" s="34">
        <f>IF(C1158="","",IF(L1158="☑ Oui","Annulée",IF(OR(E1158="Vente directe",K1158&lt;&gt;""),"Livrée",IF(J1158&lt;&gt;"","Confirmée","En attente"))))</f>
        <v/>
      </c>
      <c r="S1158" s="34">
        <f>IF(F1158="","",IFERROR(VLOOKUP(F1158,T_Produits,2,FALSE),""))</f>
        <v/>
      </c>
      <c r="T1158" s="40">
        <f>IF(F1158="","",IFERROR(1/(1/VLOOKUP(F1158,T_Produits,3,FALSE)),""))</f>
        <v/>
      </c>
      <c r="U1158" s="40">
        <f>IF(H1158&lt;&gt;"",H1158,T1158)</f>
        <v/>
      </c>
      <c r="V1158" s="40">
        <f>IF(OR(G1158="",U1158=""),"",G1158*U1158-N(I1158))</f>
        <v/>
      </c>
      <c r="W1158" s="39">
        <f>IF(D1158="","",IFERROR(VALUE(MID(D1158,LEN(D1158)-3,3)),""))</f>
        <v/>
      </c>
      <c r="X1158" s="33">
        <f>IF(W1158="","",P1158&amp;"|"&amp;W1158)</f>
        <v/>
      </c>
      <c r="Y1158" s="33">
        <f>IF(W1158="","",IF(P1158="À RENSEIGNER","GIC",P1158)&amp;"-"&amp;TEXT(W1158,"000"))</f>
        <v/>
      </c>
      <c r="Z1158" s="33">
        <f>IF(X1158="","",IFERROR(INDEX(Cl_nom,MATCH(X1158,Cl_cle,0)),"(client introuvable)"))</f>
        <v/>
      </c>
      <c r="AA1158" s="33">
        <f>IF(X1158="","",IFERROR(INDEX(Cl_quartier,MATCH(X1158,Cl_cle,0))&amp;"",""))</f>
        <v/>
      </c>
      <c r="AB1158" s="45">
        <f>IF(R1158&lt;&gt;"Livrée",0,IF(K1158&lt;&gt;"",K1158,C1158))</f>
        <v/>
      </c>
      <c r="AC1158" s="33">
        <f>IF(OR(C1158="",W1158=""),"",P1158&amp;"|"&amp;W1158&amp;"|"&amp;C1158&amp;"|"&amp;E1158)</f>
        <v/>
      </c>
      <c r="AD1158" s="39">
        <f>IF(AC1158="","",IF(COUNTIF(AC$6:AC1158,AC1158)=1,1,0))</f>
        <v/>
      </c>
      <c r="AE1158" s="39">
        <f>IF(AB1158=0,"",IF(COUNTIFS(X$6:X1158,X1158,AB$6:AB1158,AB1158)=1,1,0))</f>
        <v/>
      </c>
      <c r="AF1158" s="34">
        <f>IF(C1158="","",YEAR(C1158-WEEKDAY(C1158,2)+4)&amp;"-S"&amp;TEXT(INT((C1158-DATE(YEAR(C1158-WEEKDAY(C1158,2)+4),1,3)+WEEKDAY(DATE(YEAR(C1158-WEEKDAY(C1158,2)+4),1,3),2)+5)/7),"00"))</f>
        <v/>
      </c>
    </row>
    <row r="1159" ht="18" customHeight="1">
      <c r="A1159" s="39" t="n">
        <v>1154</v>
      </c>
      <c r="B1159" s="33">
        <f>IF(C1159="","",IF(P1159="À RENSEIGNER","GIC",P1159)&amp;"-C"&amp;TEXT(A1159,"00000"))</f>
        <v/>
      </c>
      <c r="C1159" s="32" t="n"/>
      <c r="D1159" s="36" t="n"/>
      <c r="E1159" s="36" t="n"/>
      <c r="F1159" s="36" t="n"/>
      <c r="G1159" s="42" t="n"/>
      <c r="H1159" s="37" t="n"/>
      <c r="I1159" s="37" t="n"/>
      <c r="J1159" s="32" t="n"/>
      <c r="K1159" s="32" t="n"/>
      <c r="L1159" s="43" t="n"/>
      <c r="M1159" s="36" t="n"/>
      <c r="N1159" s="44" t="n"/>
      <c r="O1159" s="36" t="n"/>
      <c r="P1159" s="33">
        <f>IF(C1159="","",Commercial_Id)</f>
        <v/>
      </c>
      <c r="Q1159" s="34">
        <f>IF(AC1159="","",IF(AD1159=1,"C"&amp;TEXT(SUM(AD$6:AD1159),"0000"),INDEX(Q$6:Q1158,MATCH(AC1159,AC$6:AC1158,0))))</f>
        <v/>
      </c>
      <c r="R1159" s="34">
        <f>IF(C1159="","",IF(L1159="☑ Oui","Annulée",IF(OR(E1159="Vente directe",K1159&lt;&gt;""),"Livrée",IF(J1159&lt;&gt;"","Confirmée","En attente"))))</f>
        <v/>
      </c>
      <c r="S1159" s="34">
        <f>IF(F1159="","",IFERROR(VLOOKUP(F1159,T_Produits,2,FALSE),""))</f>
        <v/>
      </c>
      <c r="T1159" s="40">
        <f>IF(F1159="","",IFERROR(1/(1/VLOOKUP(F1159,T_Produits,3,FALSE)),""))</f>
        <v/>
      </c>
      <c r="U1159" s="40">
        <f>IF(H1159&lt;&gt;"",H1159,T1159)</f>
        <v/>
      </c>
      <c r="V1159" s="40">
        <f>IF(OR(G1159="",U1159=""),"",G1159*U1159-N(I1159))</f>
        <v/>
      </c>
      <c r="W1159" s="39">
        <f>IF(D1159="","",IFERROR(VALUE(MID(D1159,LEN(D1159)-3,3)),""))</f>
        <v/>
      </c>
      <c r="X1159" s="33">
        <f>IF(W1159="","",P1159&amp;"|"&amp;W1159)</f>
        <v/>
      </c>
      <c r="Y1159" s="33">
        <f>IF(W1159="","",IF(P1159="À RENSEIGNER","GIC",P1159)&amp;"-"&amp;TEXT(W1159,"000"))</f>
        <v/>
      </c>
      <c r="Z1159" s="33">
        <f>IF(X1159="","",IFERROR(INDEX(Cl_nom,MATCH(X1159,Cl_cle,0)),"(client introuvable)"))</f>
        <v/>
      </c>
      <c r="AA1159" s="33">
        <f>IF(X1159="","",IFERROR(INDEX(Cl_quartier,MATCH(X1159,Cl_cle,0))&amp;"",""))</f>
        <v/>
      </c>
      <c r="AB1159" s="45">
        <f>IF(R1159&lt;&gt;"Livrée",0,IF(K1159&lt;&gt;"",K1159,C1159))</f>
        <v/>
      </c>
      <c r="AC1159" s="33">
        <f>IF(OR(C1159="",W1159=""),"",P1159&amp;"|"&amp;W1159&amp;"|"&amp;C1159&amp;"|"&amp;E1159)</f>
        <v/>
      </c>
      <c r="AD1159" s="39">
        <f>IF(AC1159="","",IF(COUNTIF(AC$6:AC1159,AC1159)=1,1,0))</f>
        <v/>
      </c>
      <c r="AE1159" s="39">
        <f>IF(AB1159=0,"",IF(COUNTIFS(X$6:X1159,X1159,AB$6:AB1159,AB1159)=1,1,0))</f>
        <v/>
      </c>
      <c r="AF1159" s="34">
        <f>IF(C1159="","",YEAR(C1159-WEEKDAY(C1159,2)+4)&amp;"-S"&amp;TEXT(INT((C1159-DATE(YEAR(C1159-WEEKDAY(C1159,2)+4),1,3)+WEEKDAY(DATE(YEAR(C1159-WEEKDAY(C1159,2)+4),1,3),2)+5)/7),"00"))</f>
        <v/>
      </c>
    </row>
    <row r="1160" ht="18" customHeight="1">
      <c r="A1160" s="39" t="n">
        <v>1155</v>
      </c>
      <c r="B1160" s="33">
        <f>IF(C1160="","",IF(P1160="À RENSEIGNER","GIC",P1160)&amp;"-C"&amp;TEXT(A1160,"00000"))</f>
        <v/>
      </c>
      <c r="C1160" s="32" t="n"/>
      <c r="D1160" s="36" t="n"/>
      <c r="E1160" s="36" t="n"/>
      <c r="F1160" s="36" t="n"/>
      <c r="G1160" s="42" t="n"/>
      <c r="H1160" s="37" t="n"/>
      <c r="I1160" s="37" t="n"/>
      <c r="J1160" s="32" t="n"/>
      <c r="K1160" s="32" t="n"/>
      <c r="L1160" s="43" t="n"/>
      <c r="M1160" s="36" t="n"/>
      <c r="N1160" s="44" t="n"/>
      <c r="O1160" s="36" t="n"/>
      <c r="P1160" s="33">
        <f>IF(C1160="","",Commercial_Id)</f>
        <v/>
      </c>
      <c r="Q1160" s="34">
        <f>IF(AC1160="","",IF(AD1160=1,"C"&amp;TEXT(SUM(AD$6:AD1160),"0000"),INDEX(Q$6:Q1159,MATCH(AC1160,AC$6:AC1159,0))))</f>
        <v/>
      </c>
      <c r="R1160" s="34">
        <f>IF(C1160="","",IF(L1160="☑ Oui","Annulée",IF(OR(E1160="Vente directe",K1160&lt;&gt;""),"Livrée",IF(J1160&lt;&gt;"","Confirmée","En attente"))))</f>
        <v/>
      </c>
      <c r="S1160" s="34">
        <f>IF(F1160="","",IFERROR(VLOOKUP(F1160,T_Produits,2,FALSE),""))</f>
        <v/>
      </c>
      <c r="T1160" s="40">
        <f>IF(F1160="","",IFERROR(1/(1/VLOOKUP(F1160,T_Produits,3,FALSE)),""))</f>
        <v/>
      </c>
      <c r="U1160" s="40">
        <f>IF(H1160&lt;&gt;"",H1160,T1160)</f>
        <v/>
      </c>
      <c r="V1160" s="40">
        <f>IF(OR(G1160="",U1160=""),"",G1160*U1160-N(I1160))</f>
        <v/>
      </c>
      <c r="W1160" s="39">
        <f>IF(D1160="","",IFERROR(VALUE(MID(D1160,LEN(D1160)-3,3)),""))</f>
        <v/>
      </c>
      <c r="X1160" s="33">
        <f>IF(W1160="","",P1160&amp;"|"&amp;W1160)</f>
        <v/>
      </c>
      <c r="Y1160" s="33">
        <f>IF(W1160="","",IF(P1160="À RENSEIGNER","GIC",P1160)&amp;"-"&amp;TEXT(W1160,"000"))</f>
        <v/>
      </c>
      <c r="Z1160" s="33">
        <f>IF(X1160="","",IFERROR(INDEX(Cl_nom,MATCH(X1160,Cl_cle,0)),"(client introuvable)"))</f>
        <v/>
      </c>
      <c r="AA1160" s="33">
        <f>IF(X1160="","",IFERROR(INDEX(Cl_quartier,MATCH(X1160,Cl_cle,0))&amp;"",""))</f>
        <v/>
      </c>
      <c r="AB1160" s="45">
        <f>IF(R1160&lt;&gt;"Livrée",0,IF(K1160&lt;&gt;"",K1160,C1160))</f>
        <v/>
      </c>
      <c r="AC1160" s="33">
        <f>IF(OR(C1160="",W1160=""),"",P1160&amp;"|"&amp;W1160&amp;"|"&amp;C1160&amp;"|"&amp;E1160)</f>
        <v/>
      </c>
      <c r="AD1160" s="39">
        <f>IF(AC1160="","",IF(COUNTIF(AC$6:AC1160,AC1160)=1,1,0))</f>
        <v/>
      </c>
      <c r="AE1160" s="39">
        <f>IF(AB1160=0,"",IF(COUNTIFS(X$6:X1160,X1160,AB$6:AB1160,AB1160)=1,1,0))</f>
        <v/>
      </c>
      <c r="AF1160" s="34">
        <f>IF(C1160="","",YEAR(C1160-WEEKDAY(C1160,2)+4)&amp;"-S"&amp;TEXT(INT((C1160-DATE(YEAR(C1160-WEEKDAY(C1160,2)+4),1,3)+WEEKDAY(DATE(YEAR(C1160-WEEKDAY(C1160,2)+4),1,3),2)+5)/7),"00"))</f>
        <v/>
      </c>
    </row>
    <row r="1161" ht="18" customHeight="1">
      <c r="A1161" s="39" t="n">
        <v>1156</v>
      </c>
      <c r="B1161" s="33">
        <f>IF(C1161="","",IF(P1161="À RENSEIGNER","GIC",P1161)&amp;"-C"&amp;TEXT(A1161,"00000"))</f>
        <v/>
      </c>
      <c r="C1161" s="32" t="n"/>
      <c r="D1161" s="36" t="n"/>
      <c r="E1161" s="36" t="n"/>
      <c r="F1161" s="36" t="n"/>
      <c r="G1161" s="42" t="n"/>
      <c r="H1161" s="37" t="n"/>
      <c r="I1161" s="37" t="n"/>
      <c r="J1161" s="32" t="n"/>
      <c r="K1161" s="32" t="n"/>
      <c r="L1161" s="43" t="n"/>
      <c r="M1161" s="36" t="n"/>
      <c r="N1161" s="44" t="n"/>
      <c r="O1161" s="36" t="n"/>
      <c r="P1161" s="33">
        <f>IF(C1161="","",Commercial_Id)</f>
        <v/>
      </c>
      <c r="Q1161" s="34">
        <f>IF(AC1161="","",IF(AD1161=1,"C"&amp;TEXT(SUM(AD$6:AD1161),"0000"),INDEX(Q$6:Q1160,MATCH(AC1161,AC$6:AC1160,0))))</f>
        <v/>
      </c>
      <c r="R1161" s="34">
        <f>IF(C1161="","",IF(L1161="☑ Oui","Annulée",IF(OR(E1161="Vente directe",K1161&lt;&gt;""),"Livrée",IF(J1161&lt;&gt;"","Confirmée","En attente"))))</f>
        <v/>
      </c>
      <c r="S1161" s="34">
        <f>IF(F1161="","",IFERROR(VLOOKUP(F1161,T_Produits,2,FALSE),""))</f>
        <v/>
      </c>
      <c r="T1161" s="40">
        <f>IF(F1161="","",IFERROR(1/(1/VLOOKUP(F1161,T_Produits,3,FALSE)),""))</f>
        <v/>
      </c>
      <c r="U1161" s="40">
        <f>IF(H1161&lt;&gt;"",H1161,T1161)</f>
        <v/>
      </c>
      <c r="V1161" s="40">
        <f>IF(OR(G1161="",U1161=""),"",G1161*U1161-N(I1161))</f>
        <v/>
      </c>
      <c r="W1161" s="39">
        <f>IF(D1161="","",IFERROR(VALUE(MID(D1161,LEN(D1161)-3,3)),""))</f>
        <v/>
      </c>
      <c r="X1161" s="33">
        <f>IF(W1161="","",P1161&amp;"|"&amp;W1161)</f>
        <v/>
      </c>
      <c r="Y1161" s="33">
        <f>IF(W1161="","",IF(P1161="À RENSEIGNER","GIC",P1161)&amp;"-"&amp;TEXT(W1161,"000"))</f>
        <v/>
      </c>
      <c r="Z1161" s="33">
        <f>IF(X1161="","",IFERROR(INDEX(Cl_nom,MATCH(X1161,Cl_cle,0)),"(client introuvable)"))</f>
        <v/>
      </c>
      <c r="AA1161" s="33">
        <f>IF(X1161="","",IFERROR(INDEX(Cl_quartier,MATCH(X1161,Cl_cle,0))&amp;"",""))</f>
        <v/>
      </c>
      <c r="AB1161" s="45">
        <f>IF(R1161&lt;&gt;"Livrée",0,IF(K1161&lt;&gt;"",K1161,C1161))</f>
        <v/>
      </c>
      <c r="AC1161" s="33">
        <f>IF(OR(C1161="",W1161=""),"",P1161&amp;"|"&amp;W1161&amp;"|"&amp;C1161&amp;"|"&amp;E1161)</f>
        <v/>
      </c>
      <c r="AD1161" s="39">
        <f>IF(AC1161="","",IF(COUNTIF(AC$6:AC1161,AC1161)=1,1,0))</f>
        <v/>
      </c>
      <c r="AE1161" s="39">
        <f>IF(AB1161=0,"",IF(COUNTIFS(X$6:X1161,X1161,AB$6:AB1161,AB1161)=1,1,0))</f>
        <v/>
      </c>
      <c r="AF1161" s="34">
        <f>IF(C1161="","",YEAR(C1161-WEEKDAY(C1161,2)+4)&amp;"-S"&amp;TEXT(INT((C1161-DATE(YEAR(C1161-WEEKDAY(C1161,2)+4),1,3)+WEEKDAY(DATE(YEAR(C1161-WEEKDAY(C1161,2)+4),1,3),2)+5)/7),"00"))</f>
        <v/>
      </c>
    </row>
    <row r="1162" ht="18" customHeight="1">
      <c r="A1162" s="39" t="n">
        <v>1157</v>
      </c>
      <c r="B1162" s="33">
        <f>IF(C1162="","",IF(P1162="À RENSEIGNER","GIC",P1162)&amp;"-C"&amp;TEXT(A1162,"00000"))</f>
        <v/>
      </c>
      <c r="C1162" s="32" t="n"/>
      <c r="D1162" s="36" t="n"/>
      <c r="E1162" s="36" t="n"/>
      <c r="F1162" s="36" t="n"/>
      <c r="G1162" s="42" t="n"/>
      <c r="H1162" s="37" t="n"/>
      <c r="I1162" s="37" t="n"/>
      <c r="J1162" s="32" t="n"/>
      <c r="K1162" s="32" t="n"/>
      <c r="L1162" s="43" t="n"/>
      <c r="M1162" s="36" t="n"/>
      <c r="N1162" s="44" t="n"/>
      <c r="O1162" s="36" t="n"/>
      <c r="P1162" s="33">
        <f>IF(C1162="","",Commercial_Id)</f>
        <v/>
      </c>
      <c r="Q1162" s="34">
        <f>IF(AC1162="","",IF(AD1162=1,"C"&amp;TEXT(SUM(AD$6:AD1162),"0000"),INDEX(Q$6:Q1161,MATCH(AC1162,AC$6:AC1161,0))))</f>
        <v/>
      </c>
      <c r="R1162" s="34">
        <f>IF(C1162="","",IF(L1162="☑ Oui","Annulée",IF(OR(E1162="Vente directe",K1162&lt;&gt;""),"Livrée",IF(J1162&lt;&gt;"","Confirmée","En attente"))))</f>
        <v/>
      </c>
      <c r="S1162" s="34">
        <f>IF(F1162="","",IFERROR(VLOOKUP(F1162,T_Produits,2,FALSE),""))</f>
        <v/>
      </c>
      <c r="T1162" s="40">
        <f>IF(F1162="","",IFERROR(1/(1/VLOOKUP(F1162,T_Produits,3,FALSE)),""))</f>
        <v/>
      </c>
      <c r="U1162" s="40">
        <f>IF(H1162&lt;&gt;"",H1162,T1162)</f>
        <v/>
      </c>
      <c r="V1162" s="40">
        <f>IF(OR(G1162="",U1162=""),"",G1162*U1162-N(I1162))</f>
        <v/>
      </c>
      <c r="W1162" s="39">
        <f>IF(D1162="","",IFERROR(VALUE(MID(D1162,LEN(D1162)-3,3)),""))</f>
        <v/>
      </c>
      <c r="X1162" s="33">
        <f>IF(W1162="","",P1162&amp;"|"&amp;W1162)</f>
        <v/>
      </c>
      <c r="Y1162" s="33">
        <f>IF(W1162="","",IF(P1162="À RENSEIGNER","GIC",P1162)&amp;"-"&amp;TEXT(W1162,"000"))</f>
        <v/>
      </c>
      <c r="Z1162" s="33">
        <f>IF(X1162="","",IFERROR(INDEX(Cl_nom,MATCH(X1162,Cl_cle,0)),"(client introuvable)"))</f>
        <v/>
      </c>
      <c r="AA1162" s="33">
        <f>IF(X1162="","",IFERROR(INDEX(Cl_quartier,MATCH(X1162,Cl_cle,0))&amp;"",""))</f>
        <v/>
      </c>
      <c r="AB1162" s="45">
        <f>IF(R1162&lt;&gt;"Livrée",0,IF(K1162&lt;&gt;"",K1162,C1162))</f>
        <v/>
      </c>
      <c r="AC1162" s="33">
        <f>IF(OR(C1162="",W1162=""),"",P1162&amp;"|"&amp;W1162&amp;"|"&amp;C1162&amp;"|"&amp;E1162)</f>
        <v/>
      </c>
      <c r="AD1162" s="39">
        <f>IF(AC1162="","",IF(COUNTIF(AC$6:AC1162,AC1162)=1,1,0))</f>
        <v/>
      </c>
      <c r="AE1162" s="39">
        <f>IF(AB1162=0,"",IF(COUNTIFS(X$6:X1162,X1162,AB$6:AB1162,AB1162)=1,1,0))</f>
        <v/>
      </c>
      <c r="AF1162" s="34">
        <f>IF(C1162="","",YEAR(C1162-WEEKDAY(C1162,2)+4)&amp;"-S"&amp;TEXT(INT((C1162-DATE(YEAR(C1162-WEEKDAY(C1162,2)+4),1,3)+WEEKDAY(DATE(YEAR(C1162-WEEKDAY(C1162,2)+4),1,3),2)+5)/7),"00"))</f>
        <v/>
      </c>
    </row>
    <row r="1163" ht="18" customHeight="1">
      <c r="A1163" s="39" t="n">
        <v>1158</v>
      </c>
      <c r="B1163" s="33">
        <f>IF(C1163="","",IF(P1163="À RENSEIGNER","GIC",P1163)&amp;"-C"&amp;TEXT(A1163,"00000"))</f>
        <v/>
      </c>
      <c r="C1163" s="32" t="n"/>
      <c r="D1163" s="36" t="n"/>
      <c r="E1163" s="36" t="n"/>
      <c r="F1163" s="36" t="n"/>
      <c r="G1163" s="42" t="n"/>
      <c r="H1163" s="37" t="n"/>
      <c r="I1163" s="37" t="n"/>
      <c r="J1163" s="32" t="n"/>
      <c r="K1163" s="32" t="n"/>
      <c r="L1163" s="43" t="n"/>
      <c r="M1163" s="36" t="n"/>
      <c r="N1163" s="44" t="n"/>
      <c r="O1163" s="36" t="n"/>
      <c r="P1163" s="33">
        <f>IF(C1163="","",Commercial_Id)</f>
        <v/>
      </c>
      <c r="Q1163" s="34">
        <f>IF(AC1163="","",IF(AD1163=1,"C"&amp;TEXT(SUM(AD$6:AD1163),"0000"),INDEX(Q$6:Q1162,MATCH(AC1163,AC$6:AC1162,0))))</f>
        <v/>
      </c>
      <c r="R1163" s="34">
        <f>IF(C1163="","",IF(L1163="☑ Oui","Annulée",IF(OR(E1163="Vente directe",K1163&lt;&gt;""),"Livrée",IF(J1163&lt;&gt;"","Confirmée","En attente"))))</f>
        <v/>
      </c>
      <c r="S1163" s="34">
        <f>IF(F1163="","",IFERROR(VLOOKUP(F1163,T_Produits,2,FALSE),""))</f>
        <v/>
      </c>
      <c r="T1163" s="40">
        <f>IF(F1163="","",IFERROR(1/(1/VLOOKUP(F1163,T_Produits,3,FALSE)),""))</f>
        <v/>
      </c>
      <c r="U1163" s="40">
        <f>IF(H1163&lt;&gt;"",H1163,T1163)</f>
        <v/>
      </c>
      <c r="V1163" s="40">
        <f>IF(OR(G1163="",U1163=""),"",G1163*U1163-N(I1163))</f>
        <v/>
      </c>
      <c r="W1163" s="39">
        <f>IF(D1163="","",IFERROR(VALUE(MID(D1163,LEN(D1163)-3,3)),""))</f>
        <v/>
      </c>
      <c r="X1163" s="33">
        <f>IF(W1163="","",P1163&amp;"|"&amp;W1163)</f>
        <v/>
      </c>
      <c r="Y1163" s="33">
        <f>IF(W1163="","",IF(P1163="À RENSEIGNER","GIC",P1163)&amp;"-"&amp;TEXT(W1163,"000"))</f>
        <v/>
      </c>
      <c r="Z1163" s="33">
        <f>IF(X1163="","",IFERROR(INDEX(Cl_nom,MATCH(X1163,Cl_cle,0)),"(client introuvable)"))</f>
        <v/>
      </c>
      <c r="AA1163" s="33">
        <f>IF(X1163="","",IFERROR(INDEX(Cl_quartier,MATCH(X1163,Cl_cle,0))&amp;"",""))</f>
        <v/>
      </c>
      <c r="AB1163" s="45">
        <f>IF(R1163&lt;&gt;"Livrée",0,IF(K1163&lt;&gt;"",K1163,C1163))</f>
        <v/>
      </c>
      <c r="AC1163" s="33">
        <f>IF(OR(C1163="",W1163=""),"",P1163&amp;"|"&amp;W1163&amp;"|"&amp;C1163&amp;"|"&amp;E1163)</f>
        <v/>
      </c>
      <c r="AD1163" s="39">
        <f>IF(AC1163="","",IF(COUNTIF(AC$6:AC1163,AC1163)=1,1,0))</f>
        <v/>
      </c>
      <c r="AE1163" s="39">
        <f>IF(AB1163=0,"",IF(COUNTIFS(X$6:X1163,X1163,AB$6:AB1163,AB1163)=1,1,0))</f>
        <v/>
      </c>
      <c r="AF1163" s="34">
        <f>IF(C1163="","",YEAR(C1163-WEEKDAY(C1163,2)+4)&amp;"-S"&amp;TEXT(INT((C1163-DATE(YEAR(C1163-WEEKDAY(C1163,2)+4),1,3)+WEEKDAY(DATE(YEAR(C1163-WEEKDAY(C1163,2)+4),1,3),2)+5)/7),"00"))</f>
        <v/>
      </c>
    </row>
    <row r="1164" ht="18" customHeight="1">
      <c r="A1164" s="39" t="n">
        <v>1159</v>
      </c>
      <c r="B1164" s="33">
        <f>IF(C1164="","",IF(P1164="À RENSEIGNER","GIC",P1164)&amp;"-C"&amp;TEXT(A1164,"00000"))</f>
        <v/>
      </c>
      <c r="C1164" s="32" t="n"/>
      <c r="D1164" s="36" t="n"/>
      <c r="E1164" s="36" t="n"/>
      <c r="F1164" s="36" t="n"/>
      <c r="G1164" s="42" t="n"/>
      <c r="H1164" s="37" t="n"/>
      <c r="I1164" s="37" t="n"/>
      <c r="J1164" s="32" t="n"/>
      <c r="K1164" s="32" t="n"/>
      <c r="L1164" s="43" t="n"/>
      <c r="M1164" s="36" t="n"/>
      <c r="N1164" s="44" t="n"/>
      <c r="O1164" s="36" t="n"/>
      <c r="P1164" s="33">
        <f>IF(C1164="","",Commercial_Id)</f>
        <v/>
      </c>
      <c r="Q1164" s="34">
        <f>IF(AC1164="","",IF(AD1164=1,"C"&amp;TEXT(SUM(AD$6:AD1164),"0000"),INDEX(Q$6:Q1163,MATCH(AC1164,AC$6:AC1163,0))))</f>
        <v/>
      </c>
      <c r="R1164" s="34">
        <f>IF(C1164="","",IF(L1164="☑ Oui","Annulée",IF(OR(E1164="Vente directe",K1164&lt;&gt;""),"Livrée",IF(J1164&lt;&gt;"","Confirmée","En attente"))))</f>
        <v/>
      </c>
      <c r="S1164" s="34">
        <f>IF(F1164="","",IFERROR(VLOOKUP(F1164,T_Produits,2,FALSE),""))</f>
        <v/>
      </c>
      <c r="T1164" s="40">
        <f>IF(F1164="","",IFERROR(1/(1/VLOOKUP(F1164,T_Produits,3,FALSE)),""))</f>
        <v/>
      </c>
      <c r="U1164" s="40">
        <f>IF(H1164&lt;&gt;"",H1164,T1164)</f>
        <v/>
      </c>
      <c r="V1164" s="40">
        <f>IF(OR(G1164="",U1164=""),"",G1164*U1164-N(I1164))</f>
        <v/>
      </c>
      <c r="W1164" s="39">
        <f>IF(D1164="","",IFERROR(VALUE(MID(D1164,LEN(D1164)-3,3)),""))</f>
        <v/>
      </c>
      <c r="X1164" s="33">
        <f>IF(W1164="","",P1164&amp;"|"&amp;W1164)</f>
        <v/>
      </c>
      <c r="Y1164" s="33">
        <f>IF(W1164="","",IF(P1164="À RENSEIGNER","GIC",P1164)&amp;"-"&amp;TEXT(W1164,"000"))</f>
        <v/>
      </c>
      <c r="Z1164" s="33">
        <f>IF(X1164="","",IFERROR(INDEX(Cl_nom,MATCH(X1164,Cl_cle,0)),"(client introuvable)"))</f>
        <v/>
      </c>
      <c r="AA1164" s="33">
        <f>IF(X1164="","",IFERROR(INDEX(Cl_quartier,MATCH(X1164,Cl_cle,0))&amp;"",""))</f>
        <v/>
      </c>
      <c r="AB1164" s="45">
        <f>IF(R1164&lt;&gt;"Livrée",0,IF(K1164&lt;&gt;"",K1164,C1164))</f>
        <v/>
      </c>
      <c r="AC1164" s="33">
        <f>IF(OR(C1164="",W1164=""),"",P1164&amp;"|"&amp;W1164&amp;"|"&amp;C1164&amp;"|"&amp;E1164)</f>
        <v/>
      </c>
      <c r="AD1164" s="39">
        <f>IF(AC1164="","",IF(COUNTIF(AC$6:AC1164,AC1164)=1,1,0))</f>
        <v/>
      </c>
      <c r="AE1164" s="39">
        <f>IF(AB1164=0,"",IF(COUNTIFS(X$6:X1164,X1164,AB$6:AB1164,AB1164)=1,1,0))</f>
        <v/>
      </c>
      <c r="AF1164" s="34">
        <f>IF(C1164="","",YEAR(C1164-WEEKDAY(C1164,2)+4)&amp;"-S"&amp;TEXT(INT((C1164-DATE(YEAR(C1164-WEEKDAY(C1164,2)+4),1,3)+WEEKDAY(DATE(YEAR(C1164-WEEKDAY(C1164,2)+4),1,3),2)+5)/7),"00"))</f>
        <v/>
      </c>
    </row>
    <row r="1165" ht="18" customHeight="1">
      <c r="A1165" s="39" t="n">
        <v>1160</v>
      </c>
      <c r="B1165" s="33">
        <f>IF(C1165="","",IF(P1165="À RENSEIGNER","GIC",P1165)&amp;"-C"&amp;TEXT(A1165,"00000"))</f>
        <v/>
      </c>
      <c r="C1165" s="32" t="n"/>
      <c r="D1165" s="36" t="n"/>
      <c r="E1165" s="36" t="n"/>
      <c r="F1165" s="36" t="n"/>
      <c r="G1165" s="42" t="n"/>
      <c r="H1165" s="37" t="n"/>
      <c r="I1165" s="37" t="n"/>
      <c r="J1165" s="32" t="n"/>
      <c r="K1165" s="32" t="n"/>
      <c r="L1165" s="43" t="n"/>
      <c r="M1165" s="36" t="n"/>
      <c r="N1165" s="44" t="n"/>
      <c r="O1165" s="36" t="n"/>
      <c r="P1165" s="33">
        <f>IF(C1165="","",Commercial_Id)</f>
        <v/>
      </c>
      <c r="Q1165" s="34">
        <f>IF(AC1165="","",IF(AD1165=1,"C"&amp;TEXT(SUM(AD$6:AD1165),"0000"),INDEX(Q$6:Q1164,MATCH(AC1165,AC$6:AC1164,0))))</f>
        <v/>
      </c>
      <c r="R1165" s="34">
        <f>IF(C1165="","",IF(L1165="☑ Oui","Annulée",IF(OR(E1165="Vente directe",K1165&lt;&gt;""),"Livrée",IF(J1165&lt;&gt;"","Confirmée","En attente"))))</f>
        <v/>
      </c>
      <c r="S1165" s="34">
        <f>IF(F1165="","",IFERROR(VLOOKUP(F1165,T_Produits,2,FALSE),""))</f>
        <v/>
      </c>
      <c r="T1165" s="40">
        <f>IF(F1165="","",IFERROR(1/(1/VLOOKUP(F1165,T_Produits,3,FALSE)),""))</f>
        <v/>
      </c>
      <c r="U1165" s="40">
        <f>IF(H1165&lt;&gt;"",H1165,T1165)</f>
        <v/>
      </c>
      <c r="V1165" s="40">
        <f>IF(OR(G1165="",U1165=""),"",G1165*U1165-N(I1165))</f>
        <v/>
      </c>
      <c r="W1165" s="39">
        <f>IF(D1165="","",IFERROR(VALUE(MID(D1165,LEN(D1165)-3,3)),""))</f>
        <v/>
      </c>
      <c r="X1165" s="33">
        <f>IF(W1165="","",P1165&amp;"|"&amp;W1165)</f>
        <v/>
      </c>
      <c r="Y1165" s="33">
        <f>IF(W1165="","",IF(P1165="À RENSEIGNER","GIC",P1165)&amp;"-"&amp;TEXT(W1165,"000"))</f>
        <v/>
      </c>
      <c r="Z1165" s="33">
        <f>IF(X1165="","",IFERROR(INDEX(Cl_nom,MATCH(X1165,Cl_cle,0)),"(client introuvable)"))</f>
        <v/>
      </c>
      <c r="AA1165" s="33">
        <f>IF(X1165="","",IFERROR(INDEX(Cl_quartier,MATCH(X1165,Cl_cle,0))&amp;"",""))</f>
        <v/>
      </c>
      <c r="AB1165" s="45">
        <f>IF(R1165&lt;&gt;"Livrée",0,IF(K1165&lt;&gt;"",K1165,C1165))</f>
        <v/>
      </c>
      <c r="AC1165" s="33">
        <f>IF(OR(C1165="",W1165=""),"",P1165&amp;"|"&amp;W1165&amp;"|"&amp;C1165&amp;"|"&amp;E1165)</f>
        <v/>
      </c>
      <c r="AD1165" s="39">
        <f>IF(AC1165="","",IF(COUNTIF(AC$6:AC1165,AC1165)=1,1,0))</f>
        <v/>
      </c>
      <c r="AE1165" s="39">
        <f>IF(AB1165=0,"",IF(COUNTIFS(X$6:X1165,X1165,AB$6:AB1165,AB1165)=1,1,0))</f>
        <v/>
      </c>
      <c r="AF1165" s="34">
        <f>IF(C1165="","",YEAR(C1165-WEEKDAY(C1165,2)+4)&amp;"-S"&amp;TEXT(INT((C1165-DATE(YEAR(C1165-WEEKDAY(C1165,2)+4),1,3)+WEEKDAY(DATE(YEAR(C1165-WEEKDAY(C1165,2)+4),1,3),2)+5)/7),"00"))</f>
        <v/>
      </c>
    </row>
    <row r="1166" ht="18" customHeight="1">
      <c r="A1166" s="39" t="n">
        <v>1161</v>
      </c>
      <c r="B1166" s="33">
        <f>IF(C1166="","",IF(P1166="À RENSEIGNER","GIC",P1166)&amp;"-C"&amp;TEXT(A1166,"00000"))</f>
        <v/>
      </c>
      <c r="C1166" s="32" t="n"/>
      <c r="D1166" s="36" t="n"/>
      <c r="E1166" s="36" t="n"/>
      <c r="F1166" s="36" t="n"/>
      <c r="G1166" s="42" t="n"/>
      <c r="H1166" s="37" t="n"/>
      <c r="I1166" s="37" t="n"/>
      <c r="J1166" s="32" t="n"/>
      <c r="K1166" s="32" t="n"/>
      <c r="L1166" s="43" t="n"/>
      <c r="M1166" s="36" t="n"/>
      <c r="N1166" s="44" t="n"/>
      <c r="O1166" s="36" t="n"/>
      <c r="P1166" s="33">
        <f>IF(C1166="","",Commercial_Id)</f>
        <v/>
      </c>
      <c r="Q1166" s="34">
        <f>IF(AC1166="","",IF(AD1166=1,"C"&amp;TEXT(SUM(AD$6:AD1166),"0000"),INDEX(Q$6:Q1165,MATCH(AC1166,AC$6:AC1165,0))))</f>
        <v/>
      </c>
      <c r="R1166" s="34">
        <f>IF(C1166="","",IF(L1166="☑ Oui","Annulée",IF(OR(E1166="Vente directe",K1166&lt;&gt;""),"Livrée",IF(J1166&lt;&gt;"","Confirmée","En attente"))))</f>
        <v/>
      </c>
      <c r="S1166" s="34">
        <f>IF(F1166="","",IFERROR(VLOOKUP(F1166,T_Produits,2,FALSE),""))</f>
        <v/>
      </c>
      <c r="T1166" s="40">
        <f>IF(F1166="","",IFERROR(1/(1/VLOOKUP(F1166,T_Produits,3,FALSE)),""))</f>
        <v/>
      </c>
      <c r="U1166" s="40">
        <f>IF(H1166&lt;&gt;"",H1166,T1166)</f>
        <v/>
      </c>
      <c r="V1166" s="40">
        <f>IF(OR(G1166="",U1166=""),"",G1166*U1166-N(I1166))</f>
        <v/>
      </c>
      <c r="W1166" s="39">
        <f>IF(D1166="","",IFERROR(VALUE(MID(D1166,LEN(D1166)-3,3)),""))</f>
        <v/>
      </c>
      <c r="X1166" s="33">
        <f>IF(W1166="","",P1166&amp;"|"&amp;W1166)</f>
        <v/>
      </c>
      <c r="Y1166" s="33">
        <f>IF(W1166="","",IF(P1166="À RENSEIGNER","GIC",P1166)&amp;"-"&amp;TEXT(W1166,"000"))</f>
        <v/>
      </c>
      <c r="Z1166" s="33">
        <f>IF(X1166="","",IFERROR(INDEX(Cl_nom,MATCH(X1166,Cl_cle,0)),"(client introuvable)"))</f>
        <v/>
      </c>
      <c r="AA1166" s="33">
        <f>IF(X1166="","",IFERROR(INDEX(Cl_quartier,MATCH(X1166,Cl_cle,0))&amp;"",""))</f>
        <v/>
      </c>
      <c r="AB1166" s="45">
        <f>IF(R1166&lt;&gt;"Livrée",0,IF(K1166&lt;&gt;"",K1166,C1166))</f>
        <v/>
      </c>
      <c r="AC1166" s="33">
        <f>IF(OR(C1166="",W1166=""),"",P1166&amp;"|"&amp;W1166&amp;"|"&amp;C1166&amp;"|"&amp;E1166)</f>
        <v/>
      </c>
      <c r="AD1166" s="39">
        <f>IF(AC1166="","",IF(COUNTIF(AC$6:AC1166,AC1166)=1,1,0))</f>
        <v/>
      </c>
      <c r="AE1166" s="39">
        <f>IF(AB1166=0,"",IF(COUNTIFS(X$6:X1166,X1166,AB$6:AB1166,AB1166)=1,1,0))</f>
        <v/>
      </c>
      <c r="AF1166" s="34">
        <f>IF(C1166="","",YEAR(C1166-WEEKDAY(C1166,2)+4)&amp;"-S"&amp;TEXT(INT((C1166-DATE(YEAR(C1166-WEEKDAY(C1166,2)+4),1,3)+WEEKDAY(DATE(YEAR(C1166-WEEKDAY(C1166,2)+4),1,3),2)+5)/7),"00"))</f>
        <v/>
      </c>
    </row>
    <row r="1167" ht="18" customHeight="1">
      <c r="A1167" s="39" t="n">
        <v>1162</v>
      </c>
      <c r="B1167" s="33">
        <f>IF(C1167="","",IF(P1167="À RENSEIGNER","GIC",P1167)&amp;"-C"&amp;TEXT(A1167,"00000"))</f>
        <v/>
      </c>
      <c r="C1167" s="32" t="n"/>
      <c r="D1167" s="36" t="n"/>
      <c r="E1167" s="36" t="n"/>
      <c r="F1167" s="36" t="n"/>
      <c r="G1167" s="42" t="n"/>
      <c r="H1167" s="37" t="n"/>
      <c r="I1167" s="37" t="n"/>
      <c r="J1167" s="32" t="n"/>
      <c r="K1167" s="32" t="n"/>
      <c r="L1167" s="43" t="n"/>
      <c r="M1167" s="36" t="n"/>
      <c r="N1167" s="44" t="n"/>
      <c r="O1167" s="36" t="n"/>
      <c r="P1167" s="33">
        <f>IF(C1167="","",Commercial_Id)</f>
        <v/>
      </c>
      <c r="Q1167" s="34">
        <f>IF(AC1167="","",IF(AD1167=1,"C"&amp;TEXT(SUM(AD$6:AD1167),"0000"),INDEX(Q$6:Q1166,MATCH(AC1167,AC$6:AC1166,0))))</f>
        <v/>
      </c>
      <c r="R1167" s="34">
        <f>IF(C1167="","",IF(L1167="☑ Oui","Annulée",IF(OR(E1167="Vente directe",K1167&lt;&gt;""),"Livrée",IF(J1167&lt;&gt;"","Confirmée","En attente"))))</f>
        <v/>
      </c>
      <c r="S1167" s="34">
        <f>IF(F1167="","",IFERROR(VLOOKUP(F1167,T_Produits,2,FALSE),""))</f>
        <v/>
      </c>
      <c r="T1167" s="40">
        <f>IF(F1167="","",IFERROR(1/(1/VLOOKUP(F1167,T_Produits,3,FALSE)),""))</f>
        <v/>
      </c>
      <c r="U1167" s="40">
        <f>IF(H1167&lt;&gt;"",H1167,T1167)</f>
        <v/>
      </c>
      <c r="V1167" s="40">
        <f>IF(OR(G1167="",U1167=""),"",G1167*U1167-N(I1167))</f>
        <v/>
      </c>
      <c r="W1167" s="39">
        <f>IF(D1167="","",IFERROR(VALUE(MID(D1167,LEN(D1167)-3,3)),""))</f>
        <v/>
      </c>
      <c r="X1167" s="33">
        <f>IF(W1167="","",P1167&amp;"|"&amp;W1167)</f>
        <v/>
      </c>
      <c r="Y1167" s="33">
        <f>IF(W1167="","",IF(P1167="À RENSEIGNER","GIC",P1167)&amp;"-"&amp;TEXT(W1167,"000"))</f>
        <v/>
      </c>
      <c r="Z1167" s="33">
        <f>IF(X1167="","",IFERROR(INDEX(Cl_nom,MATCH(X1167,Cl_cle,0)),"(client introuvable)"))</f>
        <v/>
      </c>
      <c r="AA1167" s="33">
        <f>IF(X1167="","",IFERROR(INDEX(Cl_quartier,MATCH(X1167,Cl_cle,0))&amp;"",""))</f>
        <v/>
      </c>
      <c r="AB1167" s="45">
        <f>IF(R1167&lt;&gt;"Livrée",0,IF(K1167&lt;&gt;"",K1167,C1167))</f>
        <v/>
      </c>
      <c r="AC1167" s="33">
        <f>IF(OR(C1167="",W1167=""),"",P1167&amp;"|"&amp;W1167&amp;"|"&amp;C1167&amp;"|"&amp;E1167)</f>
        <v/>
      </c>
      <c r="AD1167" s="39">
        <f>IF(AC1167="","",IF(COUNTIF(AC$6:AC1167,AC1167)=1,1,0))</f>
        <v/>
      </c>
      <c r="AE1167" s="39">
        <f>IF(AB1167=0,"",IF(COUNTIFS(X$6:X1167,X1167,AB$6:AB1167,AB1167)=1,1,0))</f>
        <v/>
      </c>
      <c r="AF1167" s="34">
        <f>IF(C1167="","",YEAR(C1167-WEEKDAY(C1167,2)+4)&amp;"-S"&amp;TEXT(INT((C1167-DATE(YEAR(C1167-WEEKDAY(C1167,2)+4),1,3)+WEEKDAY(DATE(YEAR(C1167-WEEKDAY(C1167,2)+4),1,3),2)+5)/7),"00"))</f>
        <v/>
      </c>
    </row>
    <row r="1168" ht="18" customHeight="1">
      <c r="A1168" s="39" t="n">
        <v>1163</v>
      </c>
      <c r="B1168" s="33">
        <f>IF(C1168="","",IF(P1168="À RENSEIGNER","GIC",P1168)&amp;"-C"&amp;TEXT(A1168,"00000"))</f>
        <v/>
      </c>
      <c r="C1168" s="32" t="n"/>
      <c r="D1168" s="36" t="n"/>
      <c r="E1168" s="36" t="n"/>
      <c r="F1168" s="36" t="n"/>
      <c r="G1168" s="42" t="n"/>
      <c r="H1168" s="37" t="n"/>
      <c r="I1168" s="37" t="n"/>
      <c r="J1168" s="32" t="n"/>
      <c r="K1168" s="32" t="n"/>
      <c r="L1168" s="43" t="n"/>
      <c r="M1168" s="36" t="n"/>
      <c r="N1168" s="44" t="n"/>
      <c r="O1168" s="36" t="n"/>
      <c r="P1168" s="33">
        <f>IF(C1168="","",Commercial_Id)</f>
        <v/>
      </c>
      <c r="Q1168" s="34">
        <f>IF(AC1168="","",IF(AD1168=1,"C"&amp;TEXT(SUM(AD$6:AD1168),"0000"),INDEX(Q$6:Q1167,MATCH(AC1168,AC$6:AC1167,0))))</f>
        <v/>
      </c>
      <c r="R1168" s="34">
        <f>IF(C1168="","",IF(L1168="☑ Oui","Annulée",IF(OR(E1168="Vente directe",K1168&lt;&gt;""),"Livrée",IF(J1168&lt;&gt;"","Confirmée","En attente"))))</f>
        <v/>
      </c>
      <c r="S1168" s="34">
        <f>IF(F1168="","",IFERROR(VLOOKUP(F1168,T_Produits,2,FALSE),""))</f>
        <v/>
      </c>
      <c r="T1168" s="40">
        <f>IF(F1168="","",IFERROR(1/(1/VLOOKUP(F1168,T_Produits,3,FALSE)),""))</f>
        <v/>
      </c>
      <c r="U1168" s="40">
        <f>IF(H1168&lt;&gt;"",H1168,T1168)</f>
        <v/>
      </c>
      <c r="V1168" s="40">
        <f>IF(OR(G1168="",U1168=""),"",G1168*U1168-N(I1168))</f>
        <v/>
      </c>
      <c r="W1168" s="39">
        <f>IF(D1168="","",IFERROR(VALUE(MID(D1168,LEN(D1168)-3,3)),""))</f>
        <v/>
      </c>
      <c r="X1168" s="33">
        <f>IF(W1168="","",P1168&amp;"|"&amp;W1168)</f>
        <v/>
      </c>
      <c r="Y1168" s="33">
        <f>IF(W1168="","",IF(P1168="À RENSEIGNER","GIC",P1168)&amp;"-"&amp;TEXT(W1168,"000"))</f>
        <v/>
      </c>
      <c r="Z1168" s="33">
        <f>IF(X1168="","",IFERROR(INDEX(Cl_nom,MATCH(X1168,Cl_cle,0)),"(client introuvable)"))</f>
        <v/>
      </c>
      <c r="AA1168" s="33">
        <f>IF(X1168="","",IFERROR(INDEX(Cl_quartier,MATCH(X1168,Cl_cle,0))&amp;"",""))</f>
        <v/>
      </c>
      <c r="AB1168" s="45">
        <f>IF(R1168&lt;&gt;"Livrée",0,IF(K1168&lt;&gt;"",K1168,C1168))</f>
        <v/>
      </c>
      <c r="AC1168" s="33">
        <f>IF(OR(C1168="",W1168=""),"",P1168&amp;"|"&amp;W1168&amp;"|"&amp;C1168&amp;"|"&amp;E1168)</f>
        <v/>
      </c>
      <c r="AD1168" s="39">
        <f>IF(AC1168="","",IF(COUNTIF(AC$6:AC1168,AC1168)=1,1,0))</f>
        <v/>
      </c>
      <c r="AE1168" s="39">
        <f>IF(AB1168=0,"",IF(COUNTIFS(X$6:X1168,X1168,AB$6:AB1168,AB1168)=1,1,0))</f>
        <v/>
      </c>
      <c r="AF1168" s="34">
        <f>IF(C1168="","",YEAR(C1168-WEEKDAY(C1168,2)+4)&amp;"-S"&amp;TEXT(INT((C1168-DATE(YEAR(C1168-WEEKDAY(C1168,2)+4),1,3)+WEEKDAY(DATE(YEAR(C1168-WEEKDAY(C1168,2)+4),1,3),2)+5)/7),"00"))</f>
        <v/>
      </c>
    </row>
    <row r="1169" ht="18" customHeight="1">
      <c r="A1169" s="39" t="n">
        <v>1164</v>
      </c>
      <c r="B1169" s="33">
        <f>IF(C1169="","",IF(P1169="À RENSEIGNER","GIC",P1169)&amp;"-C"&amp;TEXT(A1169,"00000"))</f>
        <v/>
      </c>
      <c r="C1169" s="32" t="n"/>
      <c r="D1169" s="36" t="n"/>
      <c r="E1169" s="36" t="n"/>
      <c r="F1169" s="36" t="n"/>
      <c r="G1169" s="42" t="n"/>
      <c r="H1169" s="37" t="n"/>
      <c r="I1169" s="37" t="n"/>
      <c r="J1169" s="32" t="n"/>
      <c r="K1169" s="32" t="n"/>
      <c r="L1169" s="43" t="n"/>
      <c r="M1169" s="36" t="n"/>
      <c r="N1169" s="44" t="n"/>
      <c r="O1169" s="36" t="n"/>
      <c r="P1169" s="33">
        <f>IF(C1169="","",Commercial_Id)</f>
        <v/>
      </c>
      <c r="Q1169" s="34">
        <f>IF(AC1169="","",IF(AD1169=1,"C"&amp;TEXT(SUM(AD$6:AD1169),"0000"),INDEX(Q$6:Q1168,MATCH(AC1169,AC$6:AC1168,0))))</f>
        <v/>
      </c>
      <c r="R1169" s="34">
        <f>IF(C1169="","",IF(L1169="☑ Oui","Annulée",IF(OR(E1169="Vente directe",K1169&lt;&gt;""),"Livrée",IF(J1169&lt;&gt;"","Confirmée","En attente"))))</f>
        <v/>
      </c>
      <c r="S1169" s="34">
        <f>IF(F1169="","",IFERROR(VLOOKUP(F1169,T_Produits,2,FALSE),""))</f>
        <v/>
      </c>
      <c r="T1169" s="40">
        <f>IF(F1169="","",IFERROR(1/(1/VLOOKUP(F1169,T_Produits,3,FALSE)),""))</f>
        <v/>
      </c>
      <c r="U1169" s="40">
        <f>IF(H1169&lt;&gt;"",H1169,T1169)</f>
        <v/>
      </c>
      <c r="V1169" s="40">
        <f>IF(OR(G1169="",U1169=""),"",G1169*U1169-N(I1169))</f>
        <v/>
      </c>
      <c r="W1169" s="39">
        <f>IF(D1169="","",IFERROR(VALUE(MID(D1169,LEN(D1169)-3,3)),""))</f>
        <v/>
      </c>
      <c r="X1169" s="33">
        <f>IF(W1169="","",P1169&amp;"|"&amp;W1169)</f>
        <v/>
      </c>
      <c r="Y1169" s="33">
        <f>IF(W1169="","",IF(P1169="À RENSEIGNER","GIC",P1169)&amp;"-"&amp;TEXT(W1169,"000"))</f>
        <v/>
      </c>
      <c r="Z1169" s="33">
        <f>IF(X1169="","",IFERROR(INDEX(Cl_nom,MATCH(X1169,Cl_cle,0)),"(client introuvable)"))</f>
        <v/>
      </c>
      <c r="AA1169" s="33">
        <f>IF(X1169="","",IFERROR(INDEX(Cl_quartier,MATCH(X1169,Cl_cle,0))&amp;"",""))</f>
        <v/>
      </c>
      <c r="AB1169" s="45">
        <f>IF(R1169&lt;&gt;"Livrée",0,IF(K1169&lt;&gt;"",K1169,C1169))</f>
        <v/>
      </c>
      <c r="AC1169" s="33">
        <f>IF(OR(C1169="",W1169=""),"",P1169&amp;"|"&amp;W1169&amp;"|"&amp;C1169&amp;"|"&amp;E1169)</f>
        <v/>
      </c>
      <c r="AD1169" s="39">
        <f>IF(AC1169="","",IF(COUNTIF(AC$6:AC1169,AC1169)=1,1,0))</f>
        <v/>
      </c>
      <c r="AE1169" s="39">
        <f>IF(AB1169=0,"",IF(COUNTIFS(X$6:X1169,X1169,AB$6:AB1169,AB1169)=1,1,0))</f>
        <v/>
      </c>
      <c r="AF1169" s="34">
        <f>IF(C1169="","",YEAR(C1169-WEEKDAY(C1169,2)+4)&amp;"-S"&amp;TEXT(INT((C1169-DATE(YEAR(C1169-WEEKDAY(C1169,2)+4),1,3)+WEEKDAY(DATE(YEAR(C1169-WEEKDAY(C1169,2)+4),1,3),2)+5)/7),"00"))</f>
        <v/>
      </c>
    </row>
    <row r="1170" ht="18" customHeight="1">
      <c r="A1170" s="39" t="n">
        <v>1165</v>
      </c>
      <c r="B1170" s="33">
        <f>IF(C1170="","",IF(P1170="À RENSEIGNER","GIC",P1170)&amp;"-C"&amp;TEXT(A1170,"00000"))</f>
        <v/>
      </c>
      <c r="C1170" s="32" t="n"/>
      <c r="D1170" s="36" t="n"/>
      <c r="E1170" s="36" t="n"/>
      <c r="F1170" s="36" t="n"/>
      <c r="G1170" s="42" t="n"/>
      <c r="H1170" s="37" t="n"/>
      <c r="I1170" s="37" t="n"/>
      <c r="J1170" s="32" t="n"/>
      <c r="K1170" s="32" t="n"/>
      <c r="L1170" s="43" t="n"/>
      <c r="M1170" s="36" t="n"/>
      <c r="N1170" s="44" t="n"/>
      <c r="O1170" s="36" t="n"/>
      <c r="P1170" s="33">
        <f>IF(C1170="","",Commercial_Id)</f>
        <v/>
      </c>
      <c r="Q1170" s="34">
        <f>IF(AC1170="","",IF(AD1170=1,"C"&amp;TEXT(SUM(AD$6:AD1170),"0000"),INDEX(Q$6:Q1169,MATCH(AC1170,AC$6:AC1169,0))))</f>
        <v/>
      </c>
      <c r="R1170" s="34">
        <f>IF(C1170="","",IF(L1170="☑ Oui","Annulée",IF(OR(E1170="Vente directe",K1170&lt;&gt;""),"Livrée",IF(J1170&lt;&gt;"","Confirmée","En attente"))))</f>
        <v/>
      </c>
      <c r="S1170" s="34">
        <f>IF(F1170="","",IFERROR(VLOOKUP(F1170,T_Produits,2,FALSE),""))</f>
        <v/>
      </c>
      <c r="T1170" s="40">
        <f>IF(F1170="","",IFERROR(1/(1/VLOOKUP(F1170,T_Produits,3,FALSE)),""))</f>
        <v/>
      </c>
      <c r="U1170" s="40">
        <f>IF(H1170&lt;&gt;"",H1170,T1170)</f>
        <v/>
      </c>
      <c r="V1170" s="40">
        <f>IF(OR(G1170="",U1170=""),"",G1170*U1170-N(I1170))</f>
        <v/>
      </c>
      <c r="W1170" s="39">
        <f>IF(D1170="","",IFERROR(VALUE(MID(D1170,LEN(D1170)-3,3)),""))</f>
        <v/>
      </c>
      <c r="X1170" s="33">
        <f>IF(W1170="","",P1170&amp;"|"&amp;W1170)</f>
        <v/>
      </c>
      <c r="Y1170" s="33">
        <f>IF(W1170="","",IF(P1170="À RENSEIGNER","GIC",P1170)&amp;"-"&amp;TEXT(W1170,"000"))</f>
        <v/>
      </c>
      <c r="Z1170" s="33">
        <f>IF(X1170="","",IFERROR(INDEX(Cl_nom,MATCH(X1170,Cl_cle,0)),"(client introuvable)"))</f>
        <v/>
      </c>
      <c r="AA1170" s="33">
        <f>IF(X1170="","",IFERROR(INDEX(Cl_quartier,MATCH(X1170,Cl_cle,0))&amp;"",""))</f>
        <v/>
      </c>
      <c r="AB1170" s="45">
        <f>IF(R1170&lt;&gt;"Livrée",0,IF(K1170&lt;&gt;"",K1170,C1170))</f>
        <v/>
      </c>
      <c r="AC1170" s="33">
        <f>IF(OR(C1170="",W1170=""),"",P1170&amp;"|"&amp;W1170&amp;"|"&amp;C1170&amp;"|"&amp;E1170)</f>
        <v/>
      </c>
      <c r="AD1170" s="39">
        <f>IF(AC1170="","",IF(COUNTIF(AC$6:AC1170,AC1170)=1,1,0))</f>
        <v/>
      </c>
      <c r="AE1170" s="39">
        <f>IF(AB1170=0,"",IF(COUNTIFS(X$6:X1170,X1170,AB$6:AB1170,AB1170)=1,1,0))</f>
        <v/>
      </c>
      <c r="AF1170" s="34">
        <f>IF(C1170="","",YEAR(C1170-WEEKDAY(C1170,2)+4)&amp;"-S"&amp;TEXT(INT((C1170-DATE(YEAR(C1170-WEEKDAY(C1170,2)+4),1,3)+WEEKDAY(DATE(YEAR(C1170-WEEKDAY(C1170,2)+4),1,3),2)+5)/7),"00"))</f>
        <v/>
      </c>
    </row>
    <row r="1171" ht="18" customHeight="1">
      <c r="A1171" s="39" t="n">
        <v>1166</v>
      </c>
      <c r="B1171" s="33">
        <f>IF(C1171="","",IF(P1171="À RENSEIGNER","GIC",P1171)&amp;"-C"&amp;TEXT(A1171,"00000"))</f>
        <v/>
      </c>
      <c r="C1171" s="32" t="n"/>
      <c r="D1171" s="36" t="n"/>
      <c r="E1171" s="36" t="n"/>
      <c r="F1171" s="36" t="n"/>
      <c r="G1171" s="42" t="n"/>
      <c r="H1171" s="37" t="n"/>
      <c r="I1171" s="37" t="n"/>
      <c r="J1171" s="32" t="n"/>
      <c r="K1171" s="32" t="n"/>
      <c r="L1171" s="43" t="n"/>
      <c r="M1171" s="36" t="n"/>
      <c r="N1171" s="44" t="n"/>
      <c r="O1171" s="36" t="n"/>
      <c r="P1171" s="33">
        <f>IF(C1171="","",Commercial_Id)</f>
        <v/>
      </c>
      <c r="Q1171" s="34">
        <f>IF(AC1171="","",IF(AD1171=1,"C"&amp;TEXT(SUM(AD$6:AD1171),"0000"),INDEX(Q$6:Q1170,MATCH(AC1171,AC$6:AC1170,0))))</f>
        <v/>
      </c>
      <c r="R1171" s="34">
        <f>IF(C1171="","",IF(L1171="☑ Oui","Annulée",IF(OR(E1171="Vente directe",K1171&lt;&gt;""),"Livrée",IF(J1171&lt;&gt;"","Confirmée","En attente"))))</f>
        <v/>
      </c>
      <c r="S1171" s="34">
        <f>IF(F1171="","",IFERROR(VLOOKUP(F1171,T_Produits,2,FALSE),""))</f>
        <v/>
      </c>
      <c r="T1171" s="40">
        <f>IF(F1171="","",IFERROR(1/(1/VLOOKUP(F1171,T_Produits,3,FALSE)),""))</f>
        <v/>
      </c>
      <c r="U1171" s="40">
        <f>IF(H1171&lt;&gt;"",H1171,T1171)</f>
        <v/>
      </c>
      <c r="V1171" s="40">
        <f>IF(OR(G1171="",U1171=""),"",G1171*U1171-N(I1171))</f>
        <v/>
      </c>
      <c r="W1171" s="39">
        <f>IF(D1171="","",IFERROR(VALUE(MID(D1171,LEN(D1171)-3,3)),""))</f>
        <v/>
      </c>
      <c r="X1171" s="33">
        <f>IF(W1171="","",P1171&amp;"|"&amp;W1171)</f>
        <v/>
      </c>
      <c r="Y1171" s="33">
        <f>IF(W1171="","",IF(P1171="À RENSEIGNER","GIC",P1171)&amp;"-"&amp;TEXT(W1171,"000"))</f>
        <v/>
      </c>
      <c r="Z1171" s="33">
        <f>IF(X1171="","",IFERROR(INDEX(Cl_nom,MATCH(X1171,Cl_cle,0)),"(client introuvable)"))</f>
        <v/>
      </c>
      <c r="AA1171" s="33">
        <f>IF(X1171="","",IFERROR(INDEX(Cl_quartier,MATCH(X1171,Cl_cle,0))&amp;"",""))</f>
        <v/>
      </c>
      <c r="AB1171" s="45">
        <f>IF(R1171&lt;&gt;"Livrée",0,IF(K1171&lt;&gt;"",K1171,C1171))</f>
        <v/>
      </c>
      <c r="AC1171" s="33">
        <f>IF(OR(C1171="",W1171=""),"",P1171&amp;"|"&amp;W1171&amp;"|"&amp;C1171&amp;"|"&amp;E1171)</f>
        <v/>
      </c>
      <c r="AD1171" s="39">
        <f>IF(AC1171="","",IF(COUNTIF(AC$6:AC1171,AC1171)=1,1,0))</f>
        <v/>
      </c>
      <c r="AE1171" s="39">
        <f>IF(AB1171=0,"",IF(COUNTIFS(X$6:X1171,X1171,AB$6:AB1171,AB1171)=1,1,0))</f>
        <v/>
      </c>
      <c r="AF1171" s="34">
        <f>IF(C1171="","",YEAR(C1171-WEEKDAY(C1171,2)+4)&amp;"-S"&amp;TEXT(INT((C1171-DATE(YEAR(C1171-WEEKDAY(C1171,2)+4),1,3)+WEEKDAY(DATE(YEAR(C1171-WEEKDAY(C1171,2)+4),1,3),2)+5)/7),"00"))</f>
        <v/>
      </c>
    </row>
    <row r="1172" ht="18" customHeight="1">
      <c r="A1172" s="39" t="n">
        <v>1167</v>
      </c>
      <c r="B1172" s="33">
        <f>IF(C1172="","",IF(P1172="À RENSEIGNER","GIC",P1172)&amp;"-C"&amp;TEXT(A1172,"00000"))</f>
        <v/>
      </c>
      <c r="C1172" s="32" t="n"/>
      <c r="D1172" s="36" t="n"/>
      <c r="E1172" s="36" t="n"/>
      <c r="F1172" s="36" t="n"/>
      <c r="G1172" s="42" t="n"/>
      <c r="H1172" s="37" t="n"/>
      <c r="I1172" s="37" t="n"/>
      <c r="J1172" s="32" t="n"/>
      <c r="K1172" s="32" t="n"/>
      <c r="L1172" s="43" t="n"/>
      <c r="M1172" s="36" t="n"/>
      <c r="N1172" s="44" t="n"/>
      <c r="O1172" s="36" t="n"/>
      <c r="P1172" s="33">
        <f>IF(C1172="","",Commercial_Id)</f>
        <v/>
      </c>
      <c r="Q1172" s="34">
        <f>IF(AC1172="","",IF(AD1172=1,"C"&amp;TEXT(SUM(AD$6:AD1172),"0000"),INDEX(Q$6:Q1171,MATCH(AC1172,AC$6:AC1171,0))))</f>
        <v/>
      </c>
      <c r="R1172" s="34">
        <f>IF(C1172="","",IF(L1172="☑ Oui","Annulée",IF(OR(E1172="Vente directe",K1172&lt;&gt;""),"Livrée",IF(J1172&lt;&gt;"","Confirmée","En attente"))))</f>
        <v/>
      </c>
      <c r="S1172" s="34">
        <f>IF(F1172="","",IFERROR(VLOOKUP(F1172,T_Produits,2,FALSE),""))</f>
        <v/>
      </c>
      <c r="T1172" s="40">
        <f>IF(F1172="","",IFERROR(1/(1/VLOOKUP(F1172,T_Produits,3,FALSE)),""))</f>
        <v/>
      </c>
      <c r="U1172" s="40">
        <f>IF(H1172&lt;&gt;"",H1172,T1172)</f>
        <v/>
      </c>
      <c r="V1172" s="40">
        <f>IF(OR(G1172="",U1172=""),"",G1172*U1172-N(I1172))</f>
        <v/>
      </c>
      <c r="W1172" s="39">
        <f>IF(D1172="","",IFERROR(VALUE(MID(D1172,LEN(D1172)-3,3)),""))</f>
        <v/>
      </c>
      <c r="X1172" s="33">
        <f>IF(W1172="","",P1172&amp;"|"&amp;W1172)</f>
        <v/>
      </c>
      <c r="Y1172" s="33">
        <f>IF(W1172="","",IF(P1172="À RENSEIGNER","GIC",P1172)&amp;"-"&amp;TEXT(W1172,"000"))</f>
        <v/>
      </c>
      <c r="Z1172" s="33">
        <f>IF(X1172="","",IFERROR(INDEX(Cl_nom,MATCH(X1172,Cl_cle,0)),"(client introuvable)"))</f>
        <v/>
      </c>
      <c r="AA1172" s="33">
        <f>IF(X1172="","",IFERROR(INDEX(Cl_quartier,MATCH(X1172,Cl_cle,0))&amp;"",""))</f>
        <v/>
      </c>
      <c r="AB1172" s="45">
        <f>IF(R1172&lt;&gt;"Livrée",0,IF(K1172&lt;&gt;"",K1172,C1172))</f>
        <v/>
      </c>
      <c r="AC1172" s="33">
        <f>IF(OR(C1172="",W1172=""),"",P1172&amp;"|"&amp;W1172&amp;"|"&amp;C1172&amp;"|"&amp;E1172)</f>
        <v/>
      </c>
      <c r="AD1172" s="39">
        <f>IF(AC1172="","",IF(COUNTIF(AC$6:AC1172,AC1172)=1,1,0))</f>
        <v/>
      </c>
      <c r="AE1172" s="39">
        <f>IF(AB1172=0,"",IF(COUNTIFS(X$6:X1172,X1172,AB$6:AB1172,AB1172)=1,1,0))</f>
        <v/>
      </c>
      <c r="AF1172" s="34">
        <f>IF(C1172="","",YEAR(C1172-WEEKDAY(C1172,2)+4)&amp;"-S"&amp;TEXT(INT((C1172-DATE(YEAR(C1172-WEEKDAY(C1172,2)+4),1,3)+WEEKDAY(DATE(YEAR(C1172-WEEKDAY(C1172,2)+4),1,3),2)+5)/7),"00"))</f>
        <v/>
      </c>
    </row>
    <row r="1173" ht="18" customHeight="1">
      <c r="A1173" s="39" t="n">
        <v>1168</v>
      </c>
      <c r="B1173" s="33">
        <f>IF(C1173="","",IF(P1173="À RENSEIGNER","GIC",P1173)&amp;"-C"&amp;TEXT(A1173,"00000"))</f>
        <v/>
      </c>
      <c r="C1173" s="32" t="n"/>
      <c r="D1173" s="36" t="n"/>
      <c r="E1173" s="36" t="n"/>
      <c r="F1173" s="36" t="n"/>
      <c r="G1173" s="42" t="n"/>
      <c r="H1173" s="37" t="n"/>
      <c r="I1173" s="37" t="n"/>
      <c r="J1173" s="32" t="n"/>
      <c r="K1173" s="32" t="n"/>
      <c r="L1173" s="43" t="n"/>
      <c r="M1173" s="36" t="n"/>
      <c r="N1173" s="44" t="n"/>
      <c r="O1173" s="36" t="n"/>
      <c r="P1173" s="33">
        <f>IF(C1173="","",Commercial_Id)</f>
        <v/>
      </c>
      <c r="Q1173" s="34">
        <f>IF(AC1173="","",IF(AD1173=1,"C"&amp;TEXT(SUM(AD$6:AD1173),"0000"),INDEX(Q$6:Q1172,MATCH(AC1173,AC$6:AC1172,0))))</f>
        <v/>
      </c>
      <c r="R1173" s="34">
        <f>IF(C1173="","",IF(L1173="☑ Oui","Annulée",IF(OR(E1173="Vente directe",K1173&lt;&gt;""),"Livrée",IF(J1173&lt;&gt;"","Confirmée","En attente"))))</f>
        <v/>
      </c>
      <c r="S1173" s="34">
        <f>IF(F1173="","",IFERROR(VLOOKUP(F1173,T_Produits,2,FALSE),""))</f>
        <v/>
      </c>
      <c r="T1173" s="40">
        <f>IF(F1173="","",IFERROR(1/(1/VLOOKUP(F1173,T_Produits,3,FALSE)),""))</f>
        <v/>
      </c>
      <c r="U1173" s="40">
        <f>IF(H1173&lt;&gt;"",H1173,T1173)</f>
        <v/>
      </c>
      <c r="V1173" s="40">
        <f>IF(OR(G1173="",U1173=""),"",G1173*U1173-N(I1173))</f>
        <v/>
      </c>
      <c r="W1173" s="39">
        <f>IF(D1173="","",IFERROR(VALUE(MID(D1173,LEN(D1173)-3,3)),""))</f>
        <v/>
      </c>
      <c r="X1173" s="33">
        <f>IF(W1173="","",P1173&amp;"|"&amp;W1173)</f>
        <v/>
      </c>
      <c r="Y1173" s="33">
        <f>IF(W1173="","",IF(P1173="À RENSEIGNER","GIC",P1173)&amp;"-"&amp;TEXT(W1173,"000"))</f>
        <v/>
      </c>
      <c r="Z1173" s="33">
        <f>IF(X1173="","",IFERROR(INDEX(Cl_nom,MATCH(X1173,Cl_cle,0)),"(client introuvable)"))</f>
        <v/>
      </c>
      <c r="AA1173" s="33">
        <f>IF(X1173="","",IFERROR(INDEX(Cl_quartier,MATCH(X1173,Cl_cle,0))&amp;"",""))</f>
        <v/>
      </c>
      <c r="AB1173" s="45">
        <f>IF(R1173&lt;&gt;"Livrée",0,IF(K1173&lt;&gt;"",K1173,C1173))</f>
        <v/>
      </c>
      <c r="AC1173" s="33">
        <f>IF(OR(C1173="",W1173=""),"",P1173&amp;"|"&amp;W1173&amp;"|"&amp;C1173&amp;"|"&amp;E1173)</f>
        <v/>
      </c>
      <c r="AD1173" s="39">
        <f>IF(AC1173="","",IF(COUNTIF(AC$6:AC1173,AC1173)=1,1,0))</f>
        <v/>
      </c>
      <c r="AE1173" s="39">
        <f>IF(AB1173=0,"",IF(COUNTIFS(X$6:X1173,X1173,AB$6:AB1173,AB1173)=1,1,0))</f>
        <v/>
      </c>
      <c r="AF1173" s="34">
        <f>IF(C1173="","",YEAR(C1173-WEEKDAY(C1173,2)+4)&amp;"-S"&amp;TEXT(INT((C1173-DATE(YEAR(C1173-WEEKDAY(C1173,2)+4),1,3)+WEEKDAY(DATE(YEAR(C1173-WEEKDAY(C1173,2)+4),1,3),2)+5)/7),"00"))</f>
        <v/>
      </c>
    </row>
    <row r="1174" ht="18" customHeight="1">
      <c r="A1174" s="39" t="n">
        <v>1169</v>
      </c>
      <c r="B1174" s="33">
        <f>IF(C1174="","",IF(P1174="À RENSEIGNER","GIC",P1174)&amp;"-C"&amp;TEXT(A1174,"00000"))</f>
        <v/>
      </c>
      <c r="C1174" s="32" t="n"/>
      <c r="D1174" s="36" t="n"/>
      <c r="E1174" s="36" t="n"/>
      <c r="F1174" s="36" t="n"/>
      <c r="G1174" s="42" t="n"/>
      <c r="H1174" s="37" t="n"/>
      <c r="I1174" s="37" t="n"/>
      <c r="J1174" s="32" t="n"/>
      <c r="K1174" s="32" t="n"/>
      <c r="L1174" s="43" t="n"/>
      <c r="M1174" s="36" t="n"/>
      <c r="N1174" s="44" t="n"/>
      <c r="O1174" s="36" t="n"/>
      <c r="P1174" s="33">
        <f>IF(C1174="","",Commercial_Id)</f>
        <v/>
      </c>
      <c r="Q1174" s="34">
        <f>IF(AC1174="","",IF(AD1174=1,"C"&amp;TEXT(SUM(AD$6:AD1174),"0000"),INDEX(Q$6:Q1173,MATCH(AC1174,AC$6:AC1173,0))))</f>
        <v/>
      </c>
      <c r="R1174" s="34">
        <f>IF(C1174="","",IF(L1174="☑ Oui","Annulée",IF(OR(E1174="Vente directe",K1174&lt;&gt;""),"Livrée",IF(J1174&lt;&gt;"","Confirmée","En attente"))))</f>
        <v/>
      </c>
      <c r="S1174" s="34">
        <f>IF(F1174="","",IFERROR(VLOOKUP(F1174,T_Produits,2,FALSE),""))</f>
        <v/>
      </c>
      <c r="T1174" s="40">
        <f>IF(F1174="","",IFERROR(1/(1/VLOOKUP(F1174,T_Produits,3,FALSE)),""))</f>
        <v/>
      </c>
      <c r="U1174" s="40">
        <f>IF(H1174&lt;&gt;"",H1174,T1174)</f>
        <v/>
      </c>
      <c r="V1174" s="40">
        <f>IF(OR(G1174="",U1174=""),"",G1174*U1174-N(I1174))</f>
        <v/>
      </c>
      <c r="W1174" s="39">
        <f>IF(D1174="","",IFERROR(VALUE(MID(D1174,LEN(D1174)-3,3)),""))</f>
        <v/>
      </c>
      <c r="X1174" s="33">
        <f>IF(W1174="","",P1174&amp;"|"&amp;W1174)</f>
        <v/>
      </c>
      <c r="Y1174" s="33">
        <f>IF(W1174="","",IF(P1174="À RENSEIGNER","GIC",P1174)&amp;"-"&amp;TEXT(W1174,"000"))</f>
        <v/>
      </c>
      <c r="Z1174" s="33">
        <f>IF(X1174="","",IFERROR(INDEX(Cl_nom,MATCH(X1174,Cl_cle,0)),"(client introuvable)"))</f>
        <v/>
      </c>
      <c r="AA1174" s="33">
        <f>IF(X1174="","",IFERROR(INDEX(Cl_quartier,MATCH(X1174,Cl_cle,0))&amp;"",""))</f>
        <v/>
      </c>
      <c r="AB1174" s="45">
        <f>IF(R1174&lt;&gt;"Livrée",0,IF(K1174&lt;&gt;"",K1174,C1174))</f>
        <v/>
      </c>
      <c r="AC1174" s="33">
        <f>IF(OR(C1174="",W1174=""),"",P1174&amp;"|"&amp;W1174&amp;"|"&amp;C1174&amp;"|"&amp;E1174)</f>
        <v/>
      </c>
      <c r="AD1174" s="39">
        <f>IF(AC1174="","",IF(COUNTIF(AC$6:AC1174,AC1174)=1,1,0))</f>
        <v/>
      </c>
      <c r="AE1174" s="39">
        <f>IF(AB1174=0,"",IF(COUNTIFS(X$6:X1174,X1174,AB$6:AB1174,AB1174)=1,1,0))</f>
        <v/>
      </c>
      <c r="AF1174" s="34">
        <f>IF(C1174="","",YEAR(C1174-WEEKDAY(C1174,2)+4)&amp;"-S"&amp;TEXT(INT((C1174-DATE(YEAR(C1174-WEEKDAY(C1174,2)+4),1,3)+WEEKDAY(DATE(YEAR(C1174-WEEKDAY(C1174,2)+4),1,3),2)+5)/7),"00"))</f>
        <v/>
      </c>
    </row>
    <row r="1175" ht="18" customHeight="1">
      <c r="A1175" s="39" t="n">
        <v>1170</v>
      </c>
      <c r="B1175" s="33">
        <f>IF(C1175="","",IF(P1175="À RENSEIGNER","GIC",P1175)&amp;"-C"&amp;TEXT(A1175,"00000"))</f>
        <v/>
      </c>
      <c r="C1175" s="32" t="n"/>
      <c r="D1175" s="36" t="n"/>
      <c r="E1175" s="36" t="n"/>
      <c r="F1175" s="36" t="n"/>
      <c r="G1175" s="42" t="n"/>
      <c r="H1175" s="37" t="n"/>
      <c r="I1175" s="37" t="n"/>
      <c r="J1175" s="32" t="n"/>
      <c r="K1175" s="32" t="n"/>
      <c r="L1175" s="43" t="n"/>
      <c r="M1175" s="36" t="n"/>
      <c r="N1175" s="44" t="n"/>
      <c r="O1175" s="36" t="n"/>
      <c r="P1175" s="33">
        <f>IF(C1175="","",Commercial_Id)</f>
        <v/>
      </c>
      <c r="Q1175" s="34">
        <f>IF(AC1175="","",IF(AD1175=1,"C"&amp;TEXT(SUM(AD$6:AD1175),"0000"),INDEX(Q$6:Q1174,MATCH(AC1175,AC$6:AC1174,0))))</f>
        <v/>
      </c>
      <c r="R1175" s="34">
        <f>IF(C1175="","",IF(L1175="☑ Oui","Annulée",IF(OR(E1175="Vente directe",K1175&lt;&gt;""),"Livrée",IF(J1175&lt;&gt;"","Confirmée","En attente"))))</f>
        <v/>
      </c>
      <c r="S1175" s="34">
        <f>IF(F1175="","",IFERROR(VLOOKUP(F1175,T_Produits,2,FALSE),""))</f>
        <v/>
      </c>
      <c r="T1175" s="40">
        <f>IF(F1175="","",IFERROR(1/(1/VLOOKUP(F1175,T_Produits,3,FALSE)),""))</f>
        <v/>
      </c>
      <c r="U1175" s="40">
        <f>IF(H1175&lt;&gt;"",H1175,T1175)</f>
        <v/>
      </c>
      <c r="V1175" s="40">
        <f>IF(OR(G1175="",U1175=""),"",G1175*U1175-N(I1175))</f>
        <v/>
      </c>
      <c r="W1175" s="39">
        <f>IF(D1175="","",IFERROR(VALUE(MID(D1175,LEN(D1175)-3,3)),""))</f>
        <v/>
      </c>
      <c r="X1175" s="33">
        <f>IF(W1175="","",P1175&amp;"|"&amp;W1175)</f>
        <v/>
      </c>
      <c r="Y1175" s="33">
        <f>IF(W1175="","",IF(P1175="À RENSEIGNER","GIC",P1175)&amp;"-"&amp;TEXT(W1175,"000"))</f>
        <v/>
      </c>
      <c r="Z1175" s="33">
        <f>IF(X1175="","",IFERROR(INDEX(Cl_nom,MATCH(X1175,Cl_cle,0)),"(client introuvable)"))</f>
        <v/>
      </c>
      <c r="AA1175" s="33">
        <f>IF(X1175="","",IFERROR(INDEX(Cl_quartier,MATCH(X1175,Cl_cle,0))&amp;"",""))</f>
        <v/>
      </c>
      <c r="AB1175" s="45">
        <f>IF(R1175&lt;&gt;"Livrée",0,IF(K1175&lt;&gt;"",K1175,C1175))</f>
        <v/>
      </c>
      <c r="AC1175" s="33">
        <f>IF(OR(C1175="",W1175=""),"",P1175&amp;"|"&amp;W1175&amp;"|"&amp;C1175&amp;"|"&amp;E1175)</f>
        <v/>
      </c>
      <c r="AD1175" s="39">
        <f>IF(AC1175="","",IF(COUNTIF(AC$6:AC1175,AC1175)=1,1,0))</f>
        <v/>
      </c>
      <c r="AE1175" s="39">
        <f>IF(AB1175=0,"",IF(COUNTIFS(X$6:X1175,X1175,AB$6:AB1175,AB1175)=1,1,0))</f>
        <v/>
      </c>
      <c r="AF1175" s="34">
        <f>IF(C1175="","",YEAR(C1175-WEEKDAY(C1175,2)+4)&amp;"-S"&amp;TEXT(INT((C1175-DATE(YEAR(C1175-WEEKDAY(C1175,2)+4),1,3)+WEEKDAY(DATE(YEAR(C1175-WEEKDAY(C1175,2)+4),1,3),2)+5)/7),"00"))</f>
        <v/>
      </c>
    </row>
    <row r="1176" ht="18" customHeight="1">
      <c r="A1176" s="39" t="n">
        <v>1171</v>
      </c>
      <c r="B1176" s="33">
        <f>IF(C1176="","",IF(P1176="À RENSEIGNER","GIC",P1176)&amp;"-C"&amp;TEXT(A1176,"00000"))</f>
        <v/>
      </c>
      <c r="C1176" s="32" t="n"/>
      <c r="D1176" s="36" t="n"/>
      <c r="E1176" s="36" t="n"/>
      <c r="F1176" s="36" t="n"/>
      <c r="G1176" s="42" t="n"/>
      <c r="H1176" s="37" t="n"/>
      <c r="I1176" s="37" t="n"/>
      <c r="J1176" s="32" t="n"/>
      <c r="K1176" s="32" t="n"/>
      <c r="L1176" s="43" t="n"/>
      <c r="M1176" s="36" t="n"/>
      <c r="N1176" s="44" t="n"/>
      <c r="O1176" s="36" t="n"/>
      <c r="P1176" s="33">
        <f>IF(C1176="","",Commercial_Id)</f>
        <v/>
      </c>
      <c r="Q1176" s="34">
        <f>IF(AC1176="","",IF(AD1176=1,"C"&amp;TEXT(SUM(AD$6:AD1176),"0000"),INDEX(Q$6:Q1175,MATCH(AC1176,AC$6:AC1175,0))))</f>
        <v/>
      </c>
      <c r="R1176" s="34">
        <f>IF(C1176="","",IF(L1176="☑ Oui","Annulée",IF(OR(E1176="Vente directe",K1176&lt;&gt;""),"Livrée",IF(J1176&lt;&gt;"","Confirmée","En attente"))))</f>
        <v/>
      </c>
      <c r="S1176" s="34">
        <f>IF(F1176="","",IFERROR(VLOOKUP(F1176,T_Produits,2,FALSE),""))</f>
        <v/>
      </c>
      <c r="T1176" s="40">
        <f>IF(F1176="","",IFERROR(1/(1/VLOOKUP(F1176,T_Produits,3,FALSE)),""))</f>
        <v/>
      </c>
      <c r="U1176" s="40">
        <f>IF(H1176&lt;&gt;"",H1176,T1176)</f>
        <v/>
      </c>
      <c r="V1176" s="40">
        <f>IF(OR(G1176="",U1176=""),"",G1176*U1176-N(I1176))</f>
        <v/>
      </c>
      <c r="W1176" s="39">
        <f>IF(D1176="","",IFERROR(VALUE(MID(D1176,LEN(D1176)-3,3)),""))</f>
        <v/>
      </c>
      <c r="X1176" s="33">
        <f>IF(W1176="","",P1176&amp;"|"&amp;W1176)</f>
        <v/>
      </c>
      <c r="Y1176" s="33">
        <f>IF(W1176="","",IF(P1176="À RENSEIGNER","GIC",P1176)&amp;"-"&amp;TEXT(W1176,"000"))</f>
        <v/>
      </c>
      <c r="Z1176" s="33">
        <f>IF(X1176="","",IFERROR(INDEX(Cl_nom,MATCH(X1176,Cl_cle,0)),"(client introuvable)"))</f>
        <v/>
      </c>
      <c r="AA1176" s="33">
        <f>IF(X1176="","",IFERROR(INDEX(Cl_quartier,MATCH(X1176,Cl_cle,0))&amp;"",""))</f>
        <v/>
      </c>
      <c r="AB1176" s="45">
        <f>IF(R1176&lt;&gt;"Livrée",0,IF(K1176&lt;&gt;"",K1176,C1176))</f>
        <v/>
      </c>
      <c r="AC1176" s="33">
        <f>IF(OR(C1176="",W1176=""),"",P1176&amp;"|"&amp;W1176&amp;"|"&amp;C1176&amp;"|"&amp;E1176)</f>
        <v/>
      </c>
      <c r="AD1176" s="39">
        <f>IF(AC1176="","",IF(COUNTIF(AC$6:AC1176,AC1176)=1,1,0))</f>
        <v/>
      </c>
      <c r="AE1176" s="39">
        <f>IF(AB1176=0,"",IF(COUNTIFS(X$6:X1176,X1176,AB$6:AB1176,AB1176)=1,1,0))</f>
        <v/>
      </c>
      <c r="AF1176" s="34">
        <f>IF(C1176="","",YEAR(C1176-WEEKDAY(C1176,2)+4)&amp;"-S"&amp;TEXT(INT((C1176-DATE(YEAR(C1176-WEEKDAY(C1176,2)+4),1,3)+WEEKDAY(DATE(YEAR(C1176-WEEKDAY(C1176,2)+4),1,3),2)+5)/7),"00"))</f>
        <v/>
      </c>
    </row>
    <row r="1177" ht="18" customHeight="1">
      <c r="A1177" s="39" t="n">
        <v>1172</v>
      </c>
      <c r="B1177" s="33">
        <f>IF(C1177="","",IF(P1177="À RENSEIGNER","GIC",P1177)&amp;"-C"&amp;TEXT(A1177,"00000"))</f>
        <v/>
      </c>
      <c r="C1177" s="32" t="n"/>
      <c r="D1177" s="36" t="n"/>
      <c r="E1177" s="36" t="n"/>
      <c r="F1177" s="36" t="n"/>
      <c r="G1177" s="42" t="n"/>
      <c r="H1177" s="37" t="n"/>
      <c r="I1177" s="37" t="n"/>
      <c r="J1177" s="32" t="n"/>
      <c r="K1177" s="32" t="n"/>
      <c r="L1177" s="43" t="n"/>
      <c r="M1177" s="36" t="n"/>
      <c r="N1177" s="44" t="n"/>
      <c r="O1177" s="36" t="n"/>
      <c r="P1177" s="33">
        <f>IF(C1177="","",Commercial_Id)</f>
        <v/>
      </c>
      <c r="Q1177" s="34">
        <f>IF(AC1177="","",IF(AD1177=1,"C"&amp;TEXT(SUM(AD$6:AD1177),"0000"),INDEX(Q$6:Q1176,MATCH(AC1177,AC$6:AC1176,0))))</f>
        <v/>
      </c>
      <c r="R1177" s="34">
        <f>IF(C1177="","",IF(L1177="☑ Oui","Annulée",IF(OR(E1177="Vente directe",K1177&lt;&gt;""),"Livrée",IF(J1177&lt;&gt;"","Confirmée","En attente"))))</f>
        <v/>
      </c>
      <c r="S1177" s="34">
        <f>IF(F1177="","",IFERROR(VLOOKUP(F1177,T_Produits,2,FALSE),""))</f>
        <v/>
      </c>
      <c r="T1177" s="40">
        <f>IF(F1177="","",IFERROR(1/(1/VLOOKUP(F1177,T_Produits,3,FALSE)),""))</f>
        <v/>
      </c>
      <c r="U1177" s="40">
        <f>IF(H1177&lt;&gt;"",H1177,T1177)</f>
        <v/>
      </c>
      <c r="V1177" s="40">
        <f>IF(OR(G1177="",U1177=""),"",G1177*U1177-N(I1177))</f>
        <v/>
      </c>
      <c r="W1177" s="39">
        <f>IF(D1177="","",IFERROR(VALUE(MID(D1177,LEN(D1177)-3,3)),""))</f>
        <v/>
      </c>
      <c r="X1177" s="33">
        <f>IF(W1177="","",P1177&amp;"|"&amp;W1177)</f>
        <v/>
      </c>
      <c r="Y1177" s="33">
        <f>IF(W1177="","",IF(P1177="À RENSEIGNER","GIC",P1177)&amp;"-"&amp;TEXT(W1177,"000"))</f>
        <v/>
      </c>
      <c r="Z1177" s="33">
        <f>IF(X1177="","",IFERROR(INDEX(Cl_nom,MATCH(X1177,Cl_cle,0)),"(client introuvable)"))</f>
        <v/>
      </c>
      <c r="AA1177" s="33">
        <f>IF(X1177="","",IFERROR(INDEX(Cl_quartier,MATCH(X1177,Cl_cle,0))&amp;"",""))</f>
        <v/>
      </c>
      <c r="AB1177" s="45">
        <f>IF(R1177&lt;&gt;"Livrée",0,IF(K1177&lt;&gt;"",K1177,C1177))</f>
        <v/>
      </c>
      <c r="AC1177" s="33">
        <f>IF(OR(C1177="",W1177=""),"",P1177&amp;"|"&amp;W1177&amp;"|"&amp;C1177&amp;"|"&amp;E1177)</f>
        <v/>
      </c>
      <c r="AD1177" s="39">
        <f>IF(AC1177="","",IF(COUNTIF(AC$6:AC1177,AC1177)=1,1,0))</f>
        <v/>
      </c>
      <c r="AE1177" s="39">
        <f>IF(AB1177=0,"",IF(COUNTIFS(X$6:X1177,X1177,AB$6:AB1177,AB1177)=1,1,0))</f>
        <v/>
      </c>
      <c r="AF1177" s="34">
        <f>IF(C1177="","",YEAR(C1177-WEEKDAY(C1177,2)+4)&amp;"-S"&amp;TEXT(INT((C1177-DATE(YEAR(C1177-WEEKDAY(C1177,2)+4),1,3)+WEEKDAY(DATE(YEAR(C1177-WEEKDAY(C1177,2)+4),1,3),2)+5)/7),"00"))</f>
        <v/>
      </c>
    </row>
    <row r="1178" ht="18" customHeight="1">
      <c r="A1178" s="39" t="n">
        <v>1173</v>
      </c>
      <c r="B1178" s="33">
        <f>IF(C1178="","",IF(P1178="À RENSEIGNER","GIC",P1178)&amp;"-C"&amp;TEXT(A1178,"00000"))</f>
        <v/>
      </c>
      <c r="C1178" s="32" t="n"/>
      <c r="D1178" s="36" t="n"/>
      <c r="E1178" s="36" t="n"/>
      <c r="F1178" s="36" t="n"/>
      <c r="G1178" s="42" t="n"/>
      <c r="H1178" s="37" t="n"/>
      <c r="I1178" s="37" t="n"/>
      <c r="J1178" s="32" t="n"/>
      <c r="K1178" s="32" t="n"/>
      <c r="L1178" s="43" t="n"/>
      <c r="M1178" s="36" t="n"/>
      <c r="N1178" s="44" t="n"/>
      <c r="O1178" s="36" t="n"/>
      <c r="P1178" s="33">
        <f>IF(C1178="","",Commercial_Id)</f>
        <v/>
      </c>
      <c r="Q1178" s="34">
        <f>IF(AC1178="","",IF(AD1178=1,"C"&amp;TEXT(SUM(AD$6:AD1178),"0000"),INDEX(Q$6:Q1177,MATCH(AC1178,AC$6:AC1177,0))))</f>
        <v/>
      </c>
      <c r="R1178" s="34">
        <f>IF(C1178="","",IF(L1178="☑ Oui","Annulée",IF(OR(E1178="Vente directe",K1178&lt;&gt;""),"Livrée",IF(J1178&lt;&gt;"","Confirmée","En attente"))))</f>
        <v/>
      </c>
      <c r="S1178" s="34">
        <f>IF(F1178="","",IFERROR(VLOOKUP(F1178,T_Produits,2,FALSE),""))</f>
        <v/>
      </c>
      <c r="T1178" s="40">
        <f>IF(F1178="","",IFERROR(1/(1/VLOOKUP(F1178,T_Produits,3,FALSE)),""))</f>
        <v/>
      </c>
      <c r="U1178" s="40">
        <f>IF(H1178&lt;&gt;"",H1178,T1178)</f>
        <v/>
      </c>
      <c r="V1178" s="40">
        <f>IF(OR(G1178="",U1178=""),"",G1178*U1178-N(I1178))</f>
        <v/>
      </c>
      <c r="W1178" s="39">
        <f>IF(D1178="","",IFERROR(VALUE(MID(D1178,LEN(D1178)-3,3)),""))</f>
        <v/>
      </c>
      <c r="X1178" s="33">
        <f>IF(W1178="","",P1178&amp;"|"&amp;W1178)</f>
        <v/>
      </c>
      <c r="Y1178" s="33">
        <f>IF(W1178="","",IF(P1178="À RENSEIGNER","GIC",P1178)&amp;"-"&amp;TEXT(W1178,"000"))</f>
        <v/>
      </c>
      <c r="Z1178" s="33">
        <f>IF(X1178="","",IFERROR(INDEX(Cl_nom,MATCH(X1178,Cl_cle,0)),"(client introuvable)"))</f>
        <v/>
      </c>
      <c r="AA1178" s="33">
        <f>IF(X1178="","",IFERROR(INDEX(Cl_quartier,MATCH(X1178,Cl_cle,0))&amp;"",""))</f>
        <v/>
      </c>
      <c r="AB1178" s="45">
        <f>IF(R1178&lt;&gt;"Livrée",0,IF(K1178&lt;&gt;"",K1178,C1178))</f>
        <v/>
      </c>
      <c r="AC1178" s="33">
        <f>IF(OR(C1178="",W1178=""),"",P1178&amp;"|"&amp;W1178&amp;"|"&amp;C1178&amp;"|"&amp;E1178)</f>
        <v/>
      </c>
      <c r="AD1178" s="39">
        <f>IF(AC1178="","",IF(COUNTIF(AC$6:AC1178,AC1178)=1,1,0))</f>
        <v/>
      </c>
      <c r="AE1178" s="39">
        <f>IF(AB1178=0,"",IF(COUNTIFS(X$6:X1178,X1178,AB$6:AB1178,AB1178)=1,1,0))</f>
        <v/>
      </c>
      <c r="AF1178" s="34">
        <f>IF(C1178="","",YEAR(C1178-WEEKDAY(C1178,2)+4)&amp;"-S"&amp;TEXT(INT((C1178-DATE(YEAR(C1178-WEEKDAY(C1178,2)+4),1,3)+WEEKDAY(DATE(YEAR(C1178-WEEKDAY(C1178,2)+4),1,3),2)+5)/7),"00"))</f>
        <v/>
      </c>
    </row>
    <row r="1179" ht="18" customHeight="1">
      <c r="A1179" s="39" t="n">
        <v>1174</v>
      </c>
      <c r="B1179" s="33">
        <f>IF(C1179="","",IF(P1179="À RENSEIGNER","GIC",P1179)&amp;"-C"&amp;TEXT(A1179,"00000"))</f>
        <v/>
      </c>
      <c r="C1179" s="32" t="n"/>
      <c r="D1179" s="36" t="n"/>
      <c r="E1179" s="36" t="n"/>
      <c r="F1179" s="36" t="n"/>
      <c r="G1179" s="42" t="n"/>
      <c r="H1179" s="37" t="n"/>
      <c r="I1179" s="37" t="n"/>
      <c r="J1179" s="32" t="n"/>
      <c r="K1179" s="32" t="n"/>
      <c r="L1179" s="43" t="n"/>
      <c r="M1179" s="36" t="n"/>
      <c r="N1179" s="44" t="n"/>
      <c r="O1179" s="36" t="n"/>
      <c r="P1179" s="33">
        <f>IF(C1179="","",Commercial_Id)</f>
        <v/>
      </c>
      <c r="Q1179" s="34">
        <f>IF(AC1179="","",IF(AD1179=1,"C"&amp;TEXT(SUM(AD$6:AD1179),"0000"),INDEX(Q$6:Q1178,MATCH(AC1179,AC$6:AC1178,0))))</f>
        <v/>
      </c>
      <c r="R1179" s="34">
        <f>IF(C1179="","",IF(L1179="☑ Oui","Annulée",IF(OR(E1179="Vente directe",K1179&lt;&gt;""),"Livrée",IF(J1179&lt;&gt;"","Confirmée","En attente"))))</f>
        <v/>
      </c>
      <c r="S1179" s="34">
        <f>IF(F1179="","",IFERROR(VLOOKUP(F1179,T_Produits,2,FALSE),""))</f>
        <v/>
      </c>
      <c r="T1179" s="40">
        <f>IF(F1179="","",IFERROR(1/(1/VLOOKUP(F1179,T_Produits,3,FALSE)),""))</f>
        <v/>
      </c>
      <c r="U1179" s="40">
        <f>IF(H1179&lt;&gt;"",H1179,T1179)</f>
        <v/>
      </c>
      <c r="V1179" s="40">
        <f>IF(OR(G1179="",U1179=""),"",G1179*U1179-N(I1179))</f>
        <v/>
      </c>
      <c r="W1179" s="39">
        <f>IF(D1179="","",IFERROR(VALUE(MID(D1179,LEN(D1179)-3,3)),""))</f>
        <v/>
      </c>
      <c r="X1179" s="33">
        <f>IF(W1179="","",P1179&amp;"|"&amp;W1179)</f>
        <v/>
      </c>
      <c r="Y1179" s="33">
        <f>IF(W1179="","",IF(P1179="À RENSEIGNER","GIC",P1179)&amp;"-"&amp;TEXT(W1179,"000"))</f>
        <v/>
      </c>
      <c r="Z1179" s="33">
        <f>IF(X1179="","",IFERROR(INDEX(Cl_nom,MATCH(X1179,Cl_cle,0)),"(client introuvable)"))</f>
        <v/>
      </c>
      <c r="AA1179" s="33">
        <f>IF(X1179="","",IFERROR(INDEX(Cl_quartier,MATCH(X1179,Cl_cle,0))&amp;"",""))</f>
        <v/>
      </c>
      <c r="AB1179" s="45">
        <f>IF(R1179&lt;&gt;"Livrée",0,IF(K1179&lt;&gt;"",K1179,C1179))</f>
        <v/>
      </c>
      <c r="AC1179" s="33">
        <f>IF(OR(C1179="",W1179=""),"",P1179&amp;"|"&amp;W1179&amp;"|"&amp;C1179&amp;"|"&amp;E1179)</f>
        <v/>
      </c>
      <c r="AD1179" s="39">
        <f>IF(AC1179="","",IF(COUNTIF(AC$6:AC1179,AC1179)=1,1,0))</f>
        <v/>
      </c>
      <c r="AE1179" s="39">
        <f>IF(AB1179=0,"",IF(COUNTIFS(X$6:X1179,X1179,AB$6:AB1179,AB1179)=1,1,0))</f>
        <v/>
      </c>
      <c r="AF1179" s="34">
        <f>IF(C1179="","",YEAR(C1179-WEEKDAY(C1179,2)+4)&amp;"-S"&amp;TEXT(INT((C1179-DATE(YEAR(C1179-WEEKDAY(C1179,2)+4),1,3)+WEEKDAY(DATE(YEAR(C1179-WEEKDAY(C1179,2)+4),1,3),2)+5)/7),"00"))</f>
        <v/>
      </c>
    </row>
    <row r="1180" ht="18" customHeight="1">
      <c r="A1180" s="39" t="n">
        <v>1175</v>
      </c>
      <c r="B1180" s="33">
        <f>IF(C1180="","",IF(P1180="À RENSEIGNER","GIC",P1180)&amp;"-C"&amp;TEXT(A1180,"00000"))</f>
        <v/>
      </c>
      <c r="C1180" s="32" t="n"/>
      <c r="D1180" s="36" t="n"/>
      <c r="E1180" s="36" t="n"/>
      <c r="F1180" s="36" t="n"/>
      <c r="G1180" s="42" t="n"/>
      <c r="H1180" s="37" t="n"/>
      <c r="I1180" s="37" t="n"/>
      <c r="J1180" s="32" t="n"/>
      <c r="K1180" s="32" t="n"/>
      <c r="L1180" s="43" t="n"/>
      <c r="M1180" s="36" t="n"/>
      <c r="N1180" s="44" t="n"/>
      <c r="O1180" s="36" t="n"/>
      <c r="P1180" s="33">
        <f>IF(C1180="","",Commercial_Id)</f>
        <v/>
      </c>
      <c r="Q1180" s="34">
        <f>IF(AC1180="","",IF(AD1180=1,"C"&amp;TEXT(SUM(AD$6:AD1180),"0000"),INDEX(Q$6:Q1179,MATCH(AC1180,AC$6:AC1179,0))))</f>
        <v/>
      </c>
      <c r="R1180" s="34">
        <f>IF(C1180="","",IF(L1180="☑ Oui","Annulée",IF(OR(E1180="Vente directe",K1180&lt;&gt;""),"Livrée",IF(J1180&lt;&gt;"","Confirmée","En attente"))))</f>
        <v/>
      </c>
      <c r="S1180" s="34">
        <f>IF(F1180="","",IFERROR(VLOOKUP(F1180,T_Produits,2,FALSE),""))</f>
        <v/>
      </c>
      <c r="T1180" s="40">
        <f>IF(F1180="","",IFERROR(1/(1/VLOOKUP(F1180,T_Produits,3,FALSE)),""))</f>
        <v/>
      </c>
      <c r="U1180" s="40">
        <f>IF(H1180&lt;&gt;"",H1180,T1180)</f>
        <v/>
      </c>
      <c r="V1180" s="40">
        <f>IF(OR(G1180="",U1180=""),"",G1180*U1180-N(I1180))</f>
        <v/>
      </c>
      <c r="W1180" s="39">
        <f>IF(D1180="","",IFERROR(VALUE(MID(D1180,LEN(D1180)-3,3)),""))</f>
        <v/>
      </c>
      <c r="X1180" s="33">
        <f>IF(W1180="","",P1180&amp;"|"&amp;W1180)</f>
        <v/>
      </c>
      <c r="Y1180" s="33">
        <f>IF(W1180="","",IF(P1180="À RENSEIGNER","GIC",P1180)&amp;"-"&amp;TEXT(W1180,"000"))</f>
        <v/>
      </c>
      <c r="Z1180" s="33">
        <f>IF(X1180="","",IFERROR(INDEX(Cl_nom,MATCH(X1180,Cl_cle,0)),"(client introuvable)"))</f>
        <v/>
      </c>
      <c r="AA1180" s="33">
        <f>IF(X1180="","",IFERROR(INDEX(Cl_quartier,MATCH(X1180,Cl_cle,0))&amp;"",""))</f>
        <v/>
      </c>
      <c r="AB1180" s="45">
        <f>IF(R1180&lt;&gt;"Livrée",0,IF(K1180&lt;&gt;"",K1180,C1180))</f>
        <v/>
      </c>
      <c r="AC1180" s="33">
        <f>IF(OR(C1180="",W1180=""),"",P1180&amp;"|"&amp;W1180&amp;"|"&amp;C1180&amp;"|"&amp;E1180)</f>
        <v/>
      </c>
      <c r="AD1180" s="39">
        <f>IF(AC1180="","",IF(COUNTIF(AC$6:AC1180,AC1180)=1,1,0))</f>
        <v/>
      </c>
      <c r="AE1180" s="39">
        <f>IF(AB1180=0,"",IF(COUNTIFS(X$6:X1180,X1180,AB$6:AB1180,AB1180)=1,1,0))</f>
        <v/>
      </c>
      <c r="AF1180" s="34">
        <f>IF(C1180="","",YEAR(C1180-WEEKDAY(C1180,2)+4)&amp;"-S"&amp;TEXT(INT((C1180-DATE(YEAR(C1180-WEEKDAY(C1180,2)+4),1,3)+WEEKDAY(DATE(YEAR(C1180-WEEKDAY(C1180,2)+4),1,3),2)+5)/7),"00"))</f>
        <v/>
      </c>
    </row>
    <row r="1181" ht="18" customHeight="1">
      <c r="A1181" s="39" t="n">
        <v>1176</v>
      </c>
      <c r="B1181" s="33">
        <f>IF(C1181="","",IF(P1181="À RENSEIGNER","GIC",P1181)&amp;"-C"&amp;TEXT(A1181,"00000"))</f>
        <v/>
      </c>
      <c r="C1181" s="32" t="n"/>
      <c r="D1181" s="36" t="n"/>
      <c r="E1181" s="36" t="n"/>
      <c r="F1181" s="36" t="n"/>
      <c r="G1181" s="42" t="n"/>
      <c r="H1181" s="37" t="n"/>
      <c r="I1181" s="37" t="n"/>
      <c r="J1181" s="32" t="n"/>
      <c r="K1181" s="32" t="n"/>
      <c r="L1181" s="43" t="n"/>
      <c r="M1181" s="36" t="n"/>
      <c r="N1181" s="44" t="n"/>
      <c r="O1181" s="36" t="n"/>
      <c r="P1181" s="33">
        <f>IF(C1181="","",Commercial_Id)</f>
        <v/>
      </c>
      <c r="Q1181" s="34">
        <f>IF(AC1181="","",IF(AD1181=1,"C"&amp;TEXT(SUM(AD$6:AD1181),"0000"),INDEX(Q$6:Q1180,MATCH(AC1181,AC$6:AC1180,0))))</f>
        <v/>
      </c>
      <c r="R1181" s="34">
        <f>IF(C1181="","",IF(L1181="☑ Oui","Annulée",IF(OR(E1181="Vente directe",K1181&lt;&gt;""),"Livrée",IF(J1181&lt;&gt;"","Confirmée","En attente"))))</f>
        <v/>
      </c>
      <c r="S1181" s="34">
        <f>IF(F1181="","",IFERROR(VLOOKUP(F1181,T_Produits,2,FALSE),""))</f>
        <v/>
      </c>
      <c r="T1181" s="40">
        <f>IF(F1181="","",IFERROR(1/(1/VLOOKUP(F1181,T_Produits,3,FALSE)),""))</f>
        <v/>
      </c>
      <c r="U1181" s="40">
        <f>IF(H1181&lt;&gt;"",H1181,T1181)</f>
        <v/>
      </c>
      <c r="V1181" s="40">
        <f>IF(OR(G1181="",U1181=""),"",G1181*U1181-N(I1181))</f>
        <v/>
      </c>
      <c r="W1181" s="39">
        <f>IF(D1181="","",IFERROR(VALUE(MID(D1181,LEN(D1181)-3,3)),""))</f>
        <v/>
      </c>
      <c r="X1181" s="33">
        <f>IF(W1181="","",P1181&amp;"|"&amp;W1181)</f>
        <v/>
      </c>
      <c r="Y1181" s="33">
        <f>IF(W1181="","",IF(P1181="À RENSEIGNER","GIC",P1181)&amp;"-"&amp;TEXT(W1181,"000"))</f>
        <v/>
      </c>
      <c r="Z1181" s="33">
        <f>IF(X1181="","",IFERROR(INDEX(Cl_nom,MATCH(X1181,Cl_cle,0)),"(client introuvable)"))</f>
        <v/>
      </c>
      <c r="AA1181" s="33">
        <f>IF(X1181="","",IFERROR(INDEX(Cl_quartier,MATCH(X1181,Cl_cle,0))&amp;"",""))</f>
        <v/>
      </c>
      <c r="AB1181" s="45">
        <f>IF(R1181&lt;&gt;"Livrée",0,IF(K1181&lt;&gt;"",K1181,C1181))</f>
        <v/>
      </c>
      <c r="AC1181" s="33">
        <f>IF(OR(C1181="",W1181=""),"",P1181&amp;"|"&amp;W1181&amp;"|"&amp;C1181&amp;"|"&amp;E1181)</f>
        <v/>
      </c>
      <c r="AD1181" s="39">
        <f>IF(AC1181="","",IF(COUNTIF(AC$6:AC1181,AC1181)=1,1,0))</f>
        <v/>
      </c>
      <c r="AE1181" s="39">
        <f>IF(AB1181=0,"",IF(COUNTIFS(X$6:X1181,X1181,AB$6:AB1181,AB1181)=1,1,0))</f>
        <v/>
      </c>
      <c r="AF1181" s="34">
        <f>IF(C1181="","",YEAR(C1181-WEEKDAY(C1181,2)+4)&amp;"-S"&amp;TEXT(INT((C1181-DATE(YEAR(C1181-WEEKDAY(C1181,2)+4),1,3)+WEEKDAY(DATE(YEAR(C1181-WEEKDAY(C1181,2)+4),1,3),2)+5)/7),"00"))</f>
        <v/>
      </c>
    </row>
    <row r="1182" ht="18" customHeight="1">
      <c r="A1182" s="39" t="n">
        <v>1177</v>
      </c>
      <c r="B1182" s="33">
        <f>IF(C1182="","",IF(P1182="À RENSEIGNER","GIC",P1182)&amp;"-C"&amp;TEXT(A1182,"00000"))</f>
        <v/>
      </c>
      <c r="C1182" s="32" t="n"/>
      <c r="D1182" s="36" t="n"/>
      <c r="E1182" s="36" t="n"/>
      <c r="F1182" s="36" t="n"/>
      <c r="G1182" s="42" t="n"/>
      <c r="H1182" s="37" t="n"/>
      <c r="I1182" s="37" t="n"/>
      <c r="J1182" s="32" t="n"/>
      <c r="K1182" s="32" t="n"/>
      <c r="L1182" s="43" t="n"/>
      <c r="M1182" s="36" t="n"/>
      <c r="N1182" s="44" t="n"/>
      <c r="O1182" s="36" t="n"/>
      <c r="P1182" s="33">
        <f>IF(C1182="","",Commercial_Id)</f>
        <v/>
      </c>
      <c r="Q1182" s="34">
        <f>IF(AC1182="","",IF(AD1182=1,"C"&amp;TEXT(SUM(AD$6:AD1182),"0000"),INDEX(Q$6:Q1181,MATCH(AC1182,AC$6:AC1181,0))))</f>
        <v/>
      </c>
      <c r="R1182" s="34">
        <f>IF(C1182="","",IF(L1182="☑ Oui","Annulée",IF(OR(E1182="Vente directe",K1182&lt;&gt;""),"Livrée",IF(J1182&lt;&gt;"","Confirmée","En attente"))))</f>
        <v/>
      </c>
      <c r="S1182" s="34">
        <f>IF(F1182="","",IFERROR(VLOOKUP(F1182,T_Produits,2,FALSE),""))</f>
        <v/>
      </c>
      <c r="T1182" s="40">
        <f>IF(F1182="","",IFERROR(1/(1/VLOOKUP(F1182,T_Produits,3,FALSE)),""))</f>
        <v/>
      </c>
      <c r="U1182" s="40">
        <f>IF(H1182&lt;&gt;"",H1182,T1182)</f>
        <v/>
      </c>
      <c r="V1182" s="40">
        <f>IF(OR(G1182="",U1182=""),"",G1182*U1182-N(I1182))</f>
        <v/>
      </c>
      <c r="W1182" s="39">
        <f>IF(D1182="","",IFERROR(VALUE(MID(D1182,LEN(D1182)-3,3)),""))</f>
        <v/>
      </c>
      <c r="X1182" s="33">
        <f>IF(W1182="","",P1182&amp;"|"&amp;W1182)</f>
        <v/>
      </c>
      <c r="Y1182" s="33">
        <f>IF(W1182="","",IF(P1182="À RENSEIGNER","GIC",P1182)&amp;"-"&amp;TEXT(W1182,"000"))</f>
        <v/>
      </c>
      <c r="Z1182" s="33">
        <f>IF(X1182="","",IFERROR(INDEX(Cl_nom,MATCH(X1182,Cl_cle,0)),"(client introuvable)"))</f>
        <v/>
      </c>
      <c r="AA1182" s="33">
        <f>IF(X1182="","",IFERROR(INDEX(Cl_quartier,MATCH(X1182,Cl_cle,0))&amp;"",""))</f>
        <v/>
      </c>
      <c r="AB1182" s="45">
        <f>IF(R1182&lt;&gt;"Livrée",0,IF(K1182&lt;&gt;"",K1182,C1182))</f>
        <v/>
      </c>
      <c r="AC1182" s="33">
        <f>IF(OR(C1182="",W1182=""),"",P1182&amp;"|"&amp;W1182&amp;"|"&amp;C1182&amp;"|"&amp;E1182)</f>
        <v/>
      </c>
      <c r="AD1182" s="39">
        <f>IF(AC1182="","",IF(COUNTIF(AC$6:AC1182,AC1182)=1,1,0))</f>
        <v/>
      </c>
      <c r="AE1182" s="39">
        <f>IF(AB1182=0,"",IF(COUNTIFS(X$6:X1182,X1182,AB$6:AB1182,AB1182)=1,1,0))</f>
        <v/>
      </c>
      <c r="AF1182" s="34">
        <f>IF(C1182="","",YEAR(C1182-WEEKDAY(C1182,2)+4)&amp;"-S"&amp;TEXT(INT((C1182-DATE(YEAR(C1182-WEEKDAY(C1182,2)+4),1,3)+WEEKDAY(DATE(YEAR(C1182-WEEKDAY(C1182,2)+4),1,3),2)+5)/7),"00"))</f>
        <v/>
      </c>
    </row>
    <row r="1183" ht="18" customHeight="1">
      <c r="A1183" s="39" t="n">
        <v>1178</v>
      </c>
      <c r="B1183" s="33">
        <f>IF(C1183="","",IF(P1183="À RENSEIGNER","GIC",P1183)&amp;"-C"&amp;TEXT(A1183,"00000"))</f>
        <v/>
      </c>
      <c r="C1183" s="32" t="n"/>
      <c r="D1183" s="36" t="n"/>
      <c r="E1183" s="36" t="n"/>
      <c r="F1183" s="36" t="n"/>
      <c r="G1183" s="42" t="n"/>
      <c r="H1183" s="37" t="n"/>
      <c r="I1183" s="37" t="n"/>
      <c r="J1183" s="32" t="n"/>
      <c r="K1183" s="32" t="n"/>
      <c r="L1183" s="43" t="n"/>
      <c r="M1183" s="36" t="n"/>
      <c r="N1183" s="44" t="n"/>
      <c r="O1183" s="36" t="n"/>
      <c r="P1183" s="33">
        <f>IF(C1183="","",Commercial_Id)</f>
        <v/>
      </c>
      <c r="Q1183" s="34">
        <f>IF(AC1183="","",IF(AD1183=1,"C"&amp;TEXT(SUM(AD$6:AD1183),"0000"),INDEX(Q$6:Q1182,MATCH(AC1183,AC$6:AC1182,0))))</f>
        <v/>
      </c>
      <c r="R1183" s="34">
        <f>IF(C1183="","",IF(L1183="☑ Oui","Annulée",IF(OR(E1183="Vente directe",K1183&lt;&gt;""),"Livrée",IF(J1183&lt;&gt;"","Confirmée","En attente"))))</f>
        <v/>
      </c>
      <c r="S1183" s="34">
        <f>IF(F1183="","",IFERROR(VLOOKUP(F1183,T_Produits,2,FALSE),""))</f>
        <v/>
      </c>
      <c r="T1183" s="40">
        <f>IF(F1183="","",IFERROR(1/(1/VLOOKUP(F1183,T_Produits,3,FALSE)),""))</f>
        <v/>
      </c>
      <c r="U1183" s="40">
        <f>IF(H1183&lt;&gt;"",H1183,T1183)</f>
        <v/>
      </c>
      <c r="V1183" s="40">
        <f>IF(OR(G1183="",U1183=""),"",G1183*U1183-N(I1183))</f>
        <v/>
      </c>
      <c r="W1183" s="39">
        <f>IF(D1183="","",IFERROR(VALUE(MID(D1183,LEN(D1183)-3,3)),""))</f>
        <v/>
      </c>
      <c r="X1183" s="33">
        <f>IF(W1183="","",P1183&amp;"|"&amp;W1183)</f>
        <v/>
      </c>
      <c r="Y1183" s="33">
        <f>IF(W1183="","",IF(P1183="À RENSEIGNER","GIC",P1183)&amp;"-"&amp;TEXT(W1183,"000"))</f>
        <v/>
      </c>
      <c r="Z1183" s="33">
        <f>IF(X1183="","",IFERROR(INDEX(Cl_nom,MATCH(X1183,Cl_cle,0)),"(client introuvable)"))</f>
        <v/>
      </c>
      <c r="AA1183" s="33">
        <f>IF(X1183="","",IFERROR(INDEX(Cl_quartier,MATCH(X1183,Cl_cle,0))&amp;"",""))</f>
        <v/>
      </c>
      <c r="AB1183" s="45">
        <f>IF(R1183&lt;&gt;"Livrée",0,IF(K1183&lt;&gt;"",K1183,C1183))</f>
        <v/>
      </c>
      <c r="AC1183" s="33">
        <f>IF(OR(C1183="",W1183=""),"",P1183&amp;"|"&amp;W1183&amp;"|"&amp;C1183&amp;"|"&amp;E1183)</f>
        <v/>
      </c>
      <c r="AD1183" s="39">
        <f>IF(AC1183="","",IF(COUNTIF(AC$6:AC1183,AC1183)=1,1,0))</f>
        <v/>
      </c>
      <c r="AE1183" s="39">
        <f>IF(AB1183=0,"",IF(COUNTIFS(X$6:X1183,X1183,AB$6:AB1183,AB1183)=1,1,0))</f>
        <v/>
      </c>
      <c r="AF1183" s="34">
        <f>IF(C1183="","",YEAR(C1183-WEEKDAY(C1183,2)+4)&amp;"-S"&amp;TEXT(INT((C1183-DATE(YEAR(C1183-WEEKDAY(C1183,2)+4),1,3)+WEEKDAY(DATE(YEAR(C1183-WEEKDAY(C1183,2)+4),1,3),2)+5)/7),"00"))</f>
        <v/>
      </c>
    </row>
    <row r="1184" ht="18" customHeight="1">
      <c r="A1184" s="39" t="n">
        <v>1179</v>
      </c>
      <c r="B1184" s="33">
        <f>IF(C1184="","",IF(P1184="À RENSEIGNER","GIC",P1184)&amp;"-C"&amp;TEXT(A1184,"00000"))</f>
        <v/>
      </c>
      <c r="C1184" s="32" t="n"/>
      <c r="D1184" s="36" t="n"/>
      <c r="E1184" s="36" t="n"/>
      <c r="F1184" s="36" t="n"/>
      <c r="G1184" s="42" t="n"/>
      <c r="H1184" s="37" t="n"/>
      <c r="I1184" s="37" t="n"/>
      <c r="J1184" s="32" t="n"/>
      <c r="K1184" s="32" t="n"/>
      <c r="L1184" s="43" t="n"/>
      <c r="M1184" s="36" t="n"/>
      <c r="N1184" s="44" t="n"/>
      <c r="O1184" s="36" t="n"/>
      <c r="P1184" s="33">
        <f>IF(C1184="","",Commercial_Id)</f>
        <v/>
      </c>
      <c r="Q1184" s="34">
        <f>IF(AC1184="","",IF(AD1184=1,"C"&amp;TEXT(SUM(AD$6:AD1184),"0000"),INDEX(Q$6:Q1183,MATCH(AC1184,AC$6:AC1183,0))))</f>
        <v/>
      </c>
      <c r="R1184" s="34">
        <f>IF(C1184="","",IF(L1184="☑ Oui","Annulée",IF(OR(E1184="Vente directe",K1184&lt;&gt;""),"Livrée",IF(J1184&lt;&gt;"","Confirmée","En attente"))))</f>
        <v/>
      </c>
      <c r="S1184" s="34">
        <f>IF(F1184="","",IFERROR(VLOOKUP(F1184,T_Produits,2,FALSE),""))</f>
        <v/>
      </c>
      <c r="T1184" s="40">
        <f>IF(F1184="","",IFERROR(1/(1/VLOOKUP(F1184,T_Produits,3,FALSE)),""))</f>
        <v/>
      </c>
      <c r="U1184" s="40">
        <f>IF(H1184&lt;&gt;"",H1184,T1184)</f>
        <v/>
      </c>
      <c r="V1184" s="40">
        <f>IF(OR(G1184="",U1184=""),"",G1184*U1184-N(I1184))</f>
        <v/>
      </c>
      <c r="W1184" s="39">
        <f>IF(D1184="","",IFERROR(VALUE(MID(D1184,LEN(D1184)-3,3)),""))</f>
        <v/>
      </c>
      <c r="X1184" s="33">
        <f>IF(W1184="","",P1184&amp;"|"&amp;W1184)</f>
        <v/>
      </c>
      <c r="Y1184" s="33">
        <f>IF(W1184="","",IF(P1184="À RENSEIGNER","GIC",P1184)&amp;"-"&amp;TEXT(W1184,"000"))</f>
        <v/>
      </c>
      <c r="Z1184" s="33">
        <f>IF(X1184="","",IFERROR(INDEX(Cl_nom,MATCH(X1184,Cl_cle,0)),"(client introuvable)"))</f>
        <v/>
      </c>
      <c r="AA1184" s="33">
        <f>IF(X1184="","",IFERROR(INDEX(Cl_quartier,MATCH(X1184,Cl_cle,0))&amp;"",""))</f>
        <v/>
      </c>
      <c r="AB1184" s="45">
        <f>IF(R1184&lt;&gt;"Livrée",0,IF(K1184&lt;&gt;"",K1184,C1184))</f>
        <v/>
      </c>
      <c r="AC1184" s="33">
        <f>IF(OR(C1184="",W1184=""),"",P1184&amp;"|"&amp;W1184&amp;"|"&amp;C1184&amp;"|"&amp;E1184)</f>
        <v/>
      </c>
      <c r="AD1184" s="39">
        <f>IF(AC1184="","",IF(COUNTIF(AC$6:AC1184,AC1184)=1,1,0))</f>
        <v/>
      </c>
      <c r="AE1184" s="39">
        <f>IF(AB1184=0,"",IF(COUNTIFS(X$6:X1184,X1184,AB$6:AB1184,AB1184)=1,1,0))</f>
        <v/>
      </c>
      <c r="AF1184" s="34">
        <f>IF(C1184="","",YEAR(C1184-WEEKDAY(C1184,2)+4)&amp;"-S"&amp;TEXT(INT((C1184-DATE(YEAR(C1184-WEEKDAY(C1184,2)+4),1,3)+WEEKDAY(DATE(YEAR(C1184-WEEKDAY(C1184,2)+4),1,3),2)+5)/7),"00"))</f>
        <v/>
      </c>
    </row>
    <row r="1185" ht="18" customHeight="1">
      <c r="A1185" s="39" t="n">
        <v>1180</v>
      </c>
      <c r="B1185" s="33">
        <f>IF(C1185="","",IF(P1185="À RENSEIGNER","GIC",P1185)&amp;"-C"&amp;TEXT(A1185,"00000"))</f>
        <v/>
      </c>
      <c r="C1185" s="32" t="n"/>
      <c r="D1185" s="36" t="n"/>
      <c r="E1185" s="36" t="n"/>
      <c r="F1185" s="36" t="n"/>
      <c r="G1185" s="42" t="n"/>
      <c r="H1185" s="37" t="n"/>
      <c r="I1185" s="37" t="n"/>
      <c r="J1185" s="32" t="n"/>
      <c r="K1185" s="32" t="n"/>
      <c r="L1185" s="43" t="n"/>
      <c r="M1185" s="36" t="n"/>
      <c r="N1185" s="44" t="n"/>
      <c r="O1185" s="36" t="n"/>
      <c r="P1185" s="33">
        <f>IF(C1185="","",Commercial_Id)</f>
        <v/>
      </c>
      <c r="Q1185" s="34">
        <f>IF(AC1185="","",IF(AD1185=1,"C"&amp;TEXT(SUM(AD$6:AD1185),"0000"),INDEX(Q$6:Q1184,MATCH(AC1185,AC$6:AC1184,0))))</f>
        <v/>
      </c>
      <c r="R1185" s="34">
        <f>IF(C1185="","",IF(L1185="☑ Oui","Annulée",IF(OR(E1185="Vente directe",K1185&lt;&gt;""),"Livrée",IF(J1185&lt;&gt;"","Confirmée","En attente"))))</f>
        <v/>
      </c>
      <c r="S1185" s="34">
        <f>IF(F1185="","",IFERROR(VLOOKUP(F1185,T_Produits,2,FALSE),""))</f>
        <v/>
      </c>
      <c r="T1185" s="40">
        <f>IF(F1185="","",IFERROR(1/(1/VLOOKUP(F1185,T_Produits,3,FALSE)),""))</f>
        <v/>
      </c>
      <c r="U1185" s="40">
        <f>IF(H1185&lt;&gt;"",H1185,T1185)</f>
        <v/>
      </c>
      <c r="V1185" s="40">
        <f>IF(OR(G1185="",U1185=""),"",G1185*U1185-N(I1185))</f>
        <v/>
      </c>
      <c r="W1185" s="39">
        <f>IF(D1185="","",IFERROR(VALUE(MID(D1185,LEN(D1185)-3,3)),""))</f>
        <v/>
      </c>
      <c r="X1185" s="33">
        <f>IF(W1185="","",P1185&amp;"|"&amp;W1185)</f>
        <v/>
      </c>
      <c r="Y1185" s="33">
        <f>IF(W1185="","",IF(P1185="À RENSEIGNER","GIC",P1185)&amp;"-"&amp;TEXT(W1185,"000"))</f>
        <v/>
      </c>
      <c r="Z1185" s="33">
        <f>IF(X1185="","",IFERROR(INDEX(Cl_nom,MATCH(X1185,Cl_cle,0)),"(client introuvable)"))</f>
        <v/>
      </c>
      <c r="AA1185" s="33">
        <f>IF(X1185="","",IFERROR(INDEX(Cl_quartier,MATCH(X1185,Cl_cle,0))&amp;"",""))</f>
        <v/>
      </c>
      <c r="AB1185" s="45">
        <f>IF(R1185&lt;&gt;"Livrée",0,IF(K1185&lt;&gt;"",K1185,C1185))</f>
        <v/>
      </c>
      <c r="AC1185" s="33">
        <f>IF(OR(C1185="",W1185=""),"",P1185&amp;"|"&amp;W1185&amp;"|"&amp;C1185&amp;"|"&amp;E1185)</f>
        <v/>
      </c>
      <c r="AD1185" s="39">
        <f>IF(AC1185="","",IF(COUNTIF(AC$6:AC1185,AC1185)=1,1,0))</f>
        <v/>
      </c>
      <c r="AE1185" s="39">
        <f>IF(AB1185=0,"",IF(COUNTIFS(X$6:X1185,X1185,AB$6:AB1185,AB1185)=1,1,0))</f>
        <v/>
      </c>
      <c r="AF1185" s="34">
        <f>IF(C1185="","",YEAR(C1185-WEEKDAY(C1185,2)+4)&amp;"-S"&amp;TEXT(INT((C1185-DATE(YEAR(C1185-WEEKDAY(C1185,2)+4),1,3)+WEEKDAY(DATE(YEAR(C1185-WEEKDAY(C1185,2)+4),1,3),2)+5)/7),"00"))</f>
        <v/>
      </c>
    </row>
    <row r="1186" ht="18" customHeight="1">
      <c r="A1186" s="39" t="n">
        <v>1181</v>
      </c>
      <c r="B1186" s="33">
        <f>IF(C1186="","",IF(P1186="À RENSEIGNER","GIC",P1186)&amp;"-C"&amp;TEXT(A1186,"00000"))</f>
        <v/>
      </c>
      <c r="C1186" s="32" t="n"/>
      <c r="D1186" s="36" t="n"/>
      <c r="E1186" s="36" t="n"/>
      <c r="F1186" s="36" t="n"/>
      <c r="G1186" s="42" t="n"/>
      <c r="H1186" s="37" t="n"/>
      <c r="I1186" s="37" t="n"/>
      <c r="J1186" s="32" t="n"/>
      <c r="K1186" s="32" t="n"/>
      <c r="L1186" s="43" t="n"/>
      <c r="M1186" s="36" t="n"/>
      <c r="N1186" s="44" t="n"/>
      <c r="O1186" s="36" t="n"/>
      <c r="P1186" s="33">
        <f>IF(C1186="","",Commercial_Id)</f>
        <v/>
      </c>
      <c r="Q1186" s="34">
        <f>IF(AC1186="","",IF(AD1186=1,"C"&amp;TEXT(SUM(AD$6:AD1186),"0000"),INDEX(Q$6:Q1185,MATCH(AC1186,AC$6:AC1185,0))))</f>
        <v/>
      </c>
      <c r="R1186" s="34">
        <f>IF(C1186="","",IF(L1186="☑ Oui","Annulée",IF(OR(E1186="Vente directe",K1186&lt;&gt;""),"Livrée",IF(J1186&lt;&gt;"","Confirmée","En attente"))))</f>
        <v/>
      </c>
      <c r="S1186" s="34">
        <f>IF(F1186="","",IFERROR(VLOOKUP(F1186,T_Produits,2,FALSE),""))</f>
        <v/>
      </c>
      <c r="T1186" s="40">
        <f>IF(F1186="","",IFERROR(1/(1/VLOOKUP(F1186,T_Produits,3,FALSE)),""))</f>
        <v/>
      </c>
      <c r="U1186" s="40">
        <f>IF(H1186&lt;&gt;"",H1186,T1186)</f>
        <v/>
      </c>
      <c r="V1186" s="40">
        <f>IF(OR(G1186="",U1186=""),"",G1186*U1186-N(I1186))</f>
        <v/>
      </c>
      <c r="W1186" s="39">
        <f>IF(D1186="","",IFERROR(VALUE(MID(D1186,LEN(D1186)-3,3)),""))</f>
        <v/>
      </c>
      <c r="X1186" s="33">
        <f>IF(W1186="","",P1186&amp;"|"&amp;W1186)</f>
        <v/>
      </c>
      <c r="Y1186" s="33">
        <f>IF(W1186="","",IF(P1186="À RENSEIGNER","GIC",P1186)&amp;"-"&amp;TEXT(W1186,"000"))</f>
        <v/>
      </c>
      <c r="Z1186" s="33">
        <f>IF(X1186="","",IFERROR(INDEX(Cl_nom,MATCH(X1186,Cl_cle,0)),"(client introuvable)"))</f>
        <v/>
      </c>
      <c r="AA1186" s="33">
        <f>IF(X1186="","",IFERROR(INDEX(Cl_quartier,MATCH(X1186,Cl_cle,0))&amp;"",""))</f>
        <v/>
      </c>
      <c r="AB1186" s="45">
        <f>IF(R1186&lt;&gt;"Livrée",0,IF(K1186&lt;&gt;"",K1186,C1186))</f>
        <v/>
      </c>
      <c r="AC1186" s="33">
        <f>IF(OR(C1186="",W1186=""),"",P1186&amp;"|"&amp;W1186&amp;"|"&amp;C1186&amp;"|"&amp;E1186)</f>
        <v/>
      </c>
      <c r="AD1186" s="39">
        <f>IF(AC1186="","",IF(COUNTIF(AC$6:AC1186,AC1186)=1,1,0))</f>
        <v/>
      </c>
      <c r="AE1186" s="39">
        <f>IF(AB1186=0,"",IF(COUNTIFS(X$6:X1186,X1186,AB$6:AB1186,AB1186)=1,1,0))</f>
        <v/>
      </c>
      <c r="AF1186" s="34">
        <f>IF(C1186="","",YEAR(C1186-WEEKDAY(C1186,2)+4)&amp;"-S"&amp;TEXT(INT((C1186-DATE(YEAR(C1186-WEEKDAY(C1186,2)+4),1,3)+WEEKDAY(DATE(YEAR(C1186-WEEKDAY(C1186,2)+4),1,3),2)+5)/7),"00"))</f>
        <v/>
      </c>
    </row>
    <row r="1187" ht="18" customHeight="1">
      <c r="A1187" s="39" t="n">
        <v>1182</v>
      </c>
      <c r="B1187" s="33">
        <f>IF(C1187="","",IF(P1187="À RENSEIGNER","GIC",P1187)&amp;"-C"&amp;TEXT(A1187,"00000"))</f>
        <v/>
      </c>
      <c r="C1187" s="32" t="n"/>
      <c r="D1187" s="36" t="n"/>
      <c r="E1187" s="36" t="n"/>
      <c r="F1187" s="36" t="n"/>
      <c r="G1187" s="42" t="n"/>
      <c r="H1187" s="37" t="n"/>
      <c r="I1187" s="37" t="n"/>
      <c r="J1187" s="32" t="n"/>
      <c r="K1187" s="32" t="n"/>
      <c r="L1187" s="43" t="n"/>
      <c r="M1187" s="36" t="n"/>
      <c r="N1187" s="44" t="n"/>
      <c r="O1187" s="36" t="n"/>
      <c r="P1187" s="33">
        <f>IF(C1187="","",Commercial_Id)</f>
        <v/>
      </c>
      <c r="Q1187" s="34">
        <f>IF(AC1187="","",IF(AD1187=1,"C"&amp;TEXT(SUM(AD$6:AD1187),"0000"),INDEX(Q$6:Q1186,MATCH(AC1187,AC$6:AC1186,0))))</f>
        <v/>
      </c>
      <c r="R1187" s="34">
        <f>IF(C1187="","",IF(L1187="☑ Oui","Annulée",IF(OR(E1187="Vente directe",K1187&lt;&gt;""),"Livrée",IF(J1187&lt;&gt;"","Confirmée","En attente"))))</f>
        <v/>
      </c>
      <c r="S1187" s="34">
        <f>IF(F1187="","",IFERROR(VLOOKUP(F1187,T_Produits,2,FALSE),""))</f>
        <v/>
      </c>
      <c r="T1187" s="40">
        <f>IF(F1187="","",IFERROR(1/(1/VLOOKUP(F1187,T_Produits,3,FALSE)),""))</f>
        <v/>
      </c>
      <c r="U1187" s="40">
        <f>IF(H1187&lt;&gt;"",H1187,T1187)</f>
        <v/>
      </c>
      <c r="V1187" s="40">
        <f>IF(OR(G1187="",U1187=""),"",G1187*U1187-N(I1187))</f>
        <v/>
      </c>
      <c r="W1187" s="39">
        <f>IF(D1187="","",IFERROR(VALUE(MID(D1187,LEN(D1187)-3,3)),""))</f>
        <v/>
      </c>
      <c r="X1187" s="33">
        <f>IF(W1187="","",P1187&amp;"|"&amp;W1187)</f>
        <v/>
      </c>
      <c r="Y1187" s="33">
        <f>IF(W1187="","",IF(P1187="À RENSEIGNER","GIC",P1187)&amp;"-"&amp;TEXT(W1187,"000"))</f>
        <v/>
      </c>
      <c r="Z1187" s="33">
        <f>IF(X1187="","",IFERROR(INDEX(Cl_nom,MATCH(X1187,Cl_cle,0)),"(client introuvable)"))</f>
        <v/>
      </c>
      <c r="AA1187" s="33">
        <f>IF(X1187="","",IFERROR(INDEX(Cl_quartier,MATCH(X1187,Cl_cle,0))&amp;"",""))</f>
        <v/>
      </c>
      <c r="AB1187" s="45">
        <f>IF(R1187&lt;&gt;"Livrée",0,IF(K1187&lt;&gt;"",K1187,C1187))</f>
        <v/>
      </c>
      <c r="AC1187" s="33">
        <f>IF(OR(C1187="",W1187=""),"",P1187&amp;"|"&amp;W1187&amp;"|"&amp;C1187&amp;"|"&amp;E1187)</f>
        <v/>
      </c>
      <c r="AD1187" s="39">
        <f>IF(AC1187="","",IF(COUNTIF(AC$6:AC1187,AC1187)=1,1,0))</f>
        <v/>
      </c>
      <c r="AE1187" s="39">
        <f>IF(AB1187=0,"",IF(COUNTIFS(X$6:X1187,X1187,AB$6:AB1187,AB1187)=1,1,0))</f>
        <v/>
      </c>
      <c r="AF1187" s="34">
        <f>IF(C1187="","",YEAR(C1187-WEEKDAY(C1187,2)+4)&amp;"-S"&amp;TEXT(INT((C1187-DATE(YEAR(C1187-WEEKDAY(C1187,2)+4),1,3)+WEEKDAY(DATE(YEAR(C1187-WEEKDAY(C1187,2)+4),1,3),2)+5)/7),"00"))</f>
        <v/>
      </c>
    </row>
    <row r="1188" ht="18" customHeight="1">
      <c r="A1188" s="39" t="n">
        <v>1183</v>
      </c>
      <c r="B1188" s="33">
        <f>IF(C1188="","",IF(P1188="À RENSEIGNER","GIC",P1188)&amp;"-C"&amp;TEXT(A1188,"00000"))</f>
        <v/>
      </c>
      <c r="C1188" s="32" t="n"/>
      <c r="D1188" s="36" t="n"/>
      <c r="E1188" s="36" t="n"/>
      <c r="F1188" s="36" t="n"/>
      <c r="G1188" s="42" t="n"/>
      <c r="H1188" s="37" t="n"/>
      <c r="I1188" s="37" t="n"/>
      <c r="J1188" s="32" t="n"/>
      <c r="K1188" s="32" t="n"/>
      <c r="L1188" s="43" t="n"/>
      <c r="M1188" s="36" t="n"/>
      <c r="N1188" s="44" t="n"/>
      <c r="O1188" s="36" t="n"/>
      <c r="P1188" s="33">
        <f>IF(C1188="","",Commercial_Id)</f>
        <v/>
      </c>
      <c r="Q1188" s="34">
        <f>IF(AC1188="","",IF(AD1188=1,"C"&amp;TEXT(SUM(AD$6:AD1188),"0000"),INDEX(Q$6:Q1187,MATCH(AC1188,AC$6:AC1187,0))))</f>
        <v/>
      </c>
      <c r="R1188" s="34">
        <f>IF(C1188="","",IF(L1188="☑ Oui","Annulée",IF(OR(E1188="Vente directe",K1188&lt;&gt;""),"Livrée",IF(J1188&lt;&gt;"","Confirmée","En attente"))))</f>
        <v/>
      </c>
      <c r="S1188" s="34">
        <f>IF(F1188="","",IFERROR(VLOOKUP(F1188,T_Produits,2,FALSE),""))</f>
        <v/>
      </c>
      <c r="T1188" s="40">
        <f>IF(F1188="","",IFERROR(1/(1/VLOOKUP(F1188,T_Produits,3,FALSE)),""))</f>
        <v/>
      </c>
      <c r="U1188" s="40">
        <f>IF(H1188&lt;&gt;"",H1188,T1188)</f>
        <v/>
      </c>
      <c r="V1188" s="40">
        <f>IF(OR(G1188="",U1188=""),"",G1188*U1188-N(I1188))</f>
        <v/>
      </c>
      <c r="W1188" s="39">
        <f>IF(D1188="","",IFERROR(VALUE(MID(D1188,LEN(D1188)-3,3)),""))</f>
        <v/>
      </c>
      <c r="X1188" s="33">
        <f>IF(W1188="","",P1188&amp;"|"&amp;W1188)</f>
        <v/>
      </c>
      <c r="Y1188" s="33">
        <f>IF(W1188="","",IF(P1188="À RENSEIGNER","GIC",P1188)&amp;"-"&amp;TEXT(W1188,"000"))</f>
        <v/>
      </c>
      <c r="Z1188" s="33">
        <f>IF(X1188="","",IFERROR(INDEX(Cl_nom,MATCH(X1188,Cl_cle,0)),"(client introuvable)"))</f>
        <v/>
      </c>
      <c r="AA1188" s="33">
        <f>IF(X1188="","",IFERROR(INDEX(Cl_quartier,MATCH(X1188,Cl_cle,0))&amp;"",""))</f>
        <v/>
      </c>
      <c r="AB1188" s="45">
        <f>IF(R1188&lt;&gt;"Livrée",0,IF(K1188&lt;&gt;"",K1188,C1188))</f>
        <v/>
      </c>
      <c r="AC1188" s="33">
        <f>IF(OR(C1188="",W1188=""),"",P1188&amp;"|"&amp;W1188&amp;"|"&amp;C1188&amp;"|"&amp;E1188)</f>
        <v/>
      </c>
      <c r="AD1188" s="39">
        <f>IF(AC1188="","",IF(COUNTIF(AC$6:AC1188,AC1188)=1,1,0))</f>
        <v/>
      </c>
      <c r="AE1188" s="39">
        <f>IF(AB1188=0,"",IF(COUNTIFS(X$6:X1188,X1188,AB$6:AB1188,AB1188)=1,1,0))</f>
        <v/>
      </c>
      <c r="AF1188" s="34">
        <f>IF(C1188="","",YEAR(C1188-WEEKDAY(C1188,2)+4)&amp;"-S"&amp;TEXT(INT((C1188-DATE(YEAR(C1188-WEEKDAY(C1188,2)+4),1,3)+WEEKDAY(DATE(YEAR(C1188-WEEKDAY(C1188,2)+4),1,3),2)+5)/7),"00"))</f>
        <v/>
      </c>
    </row>
    <row r="1189" ht="18" customHeight="1">
      <c r="A1189" s="39" t="n">
        <v>1184</v>
      </c>
      <c r="B1189" s="33">
        <f>IF(C1189="","",IF(P1189="À RENSEIGNER","GIC",P1189)&amp;"-C"&amp;TEXT(A1189,"00000"))</f>
        <v/>
      </c>
      <c r="C1189" s="32" t="n"/>
      <c r="D1189" s="36" t="n"/>
      <c r="E1189" s="36" t="n"/>
      <c r="F1189" s="36" t="n"/>
      <c r="G1189" s="42" t="n"/>
      <c r="H1189" s="37" t="n"/>
      <c r="I1189" s="37" t="n"/>
      <c r="J1189" s="32" t="n"/>
      <c r="K1189" s="32" t="n"/>
      <c r="L1189" s="43" t="n"/>
      <c r="M1189" s="36" t="n"/>
      <c r="N1189" s="44" t="n"/>
      <c r="O1189" s="36" t="n"/>
      <c r="P1189" s="33">
        <f>IF(C1189="","",Commercial_Id)</f>
        <v/>
      </c>
      <c r="Q1189" s="34">
        <f>IF(AC1189="","",IF(AD1189=1,"C"&amp;TEXT(SUM(AD$6:AD1189),"0000"),INDEX(Q$6:Q1188,MATCH(AC1189,AC$6:AC1188,0))))</f>
        <v/>
      </c>
      <c r="R1189" s="34">
        <f>IF(C1189="","",IF(L1189="☑ Oui","Annulée",IF(OR(E1189="Vente directe",K1189&lt;&gt;""),"Livrée",IF(J1189&lt;&gt;"","Confirmée","En attente"))))</f>
        <v/>
      </c>
      <c r="S1189" s="34">
        <f>IF(F1189="","",IFERROR(VLOOKUP(F1189,T_Produits,2,FALSE),""))</f>
        <v/>
      </c>
      <c r="T1189" s="40">
        <f>IF(F1189="","",IFERROR(1/(1/VLOOKUP(F1189,T_Produits,3,FALSE)),""))</f>
        <v/>
      </c>
      <c r="U1189" s="40">
        <f>IF(H1189&lt;&gt;"",H1189,T1189)</f>
        <v/>
      </c>
      <c r="V1189" s="40">
        <f>IF(OR(G1189="",U1189=""),"",G1189*U1189-N(I1189))</f>
        <v/>
      </c>
      <c r="W1189" s="39">
        <f>IF(D1189="","",IFERROR(VALUE(MID(D1189,LEN(D1189)-3,3)),""))</f>
        <v/>
      </c>
      <c r="X1189" s="33">
        <f>IF(W1189="","",P1189&amp;"|"&amp;W1189)</f>
        <v/>
      </c>
      <c r="Y1189" s="33">
        <f>IF(W1189="","",IF(P1189="À RENSEIGNER","GIC",P1189)&amp;"-"&amp;TEXT(W1189,"000"))</f>
        <v/>
      </c>
      <c r="Z1189" s="33">
        <f>IF(X1189="","",IFERROR(INDEX(Cl_nom,MATCH(X1189,Cl_cle,0)),"(client introuvable)"))</f>
        <v/>
      </c>
      <c r="AA1189" s="33">
        <f>IF(X1189="","",IFERROR(INDEX(Cl_quartier,MATCH(X1189,Cl_cle,0))&amp;"",""))</f>
        <v/>
      </c>
      <c r="AB1189" s="45">
        <f>IF(R1189&lt;&gt;"Livrée",0,IF(K1189&lt;&gt;"",K1189,C1189))</f>
        <v/>
      </c>
      <c r="AC1189" s="33">
        <f>IF(OR(C1189="",W1189=""),"",P1189&amp;"|"&amp;W1189&amp;"|"&amp;C1189&amp;"|"&amp;E1189)</f>
        <v/>
      </c>
      <c r="AD1189" s="39">
        <f>IF(AC1189="","",IF(COUNTIF(AC$6:AC1189,AC1189)=1,1,0))</f>
        <v/>
      </c>
      <c r="AE1189" s="39">
        <f>IF(AB1189=0,"",IF(COUNTIFS(X$6:X1189,X1189,AB$6:AB1189,AB1189)=1,1,0))</f>
        <v/>
      </c>
      <c r="AF1189" s="34">
        <f>IF(C1189="","",YEAR(C1189-WEEKDAY(C1189,2)+4)&amp;"-S"&amp;TEXT(INT((C1189-DATE(YEAR(C1189-WEEKDAY(C1189,2)+4),1,3)+WEEKDAY(DATE(YEAR(C1189-WEEKDAY(C1189,2)+4),1,3),2)+5)/7),"00"))</f>
        <v/>
      </c>
    </row>
    <row r="1190" ht="18" customHeight="1">
      <c r="A1190" s="39" t="n">
        <v>1185</v>
      </c>
      <c r="B1190" s="33">
        <f>IF(C1190="","",IF(P1190="À RENSEIGNER","GIC",P1190)&amp;"-C"&amp;TEXT(A1190,"00000"))</f>
        <v/>
      </c>
      <c r="C1190" s="32" t="n"/>
      <c r="D1190" s="36" t="n"/>
      <c r="E1190" s="36" t="n"/>
      <c r="F1190" s="36" t="n"/>
      <c r="G1190" s="42" t="n"/>
      <c r="H1190" s="37" t="n"/>
      <c r="I1190" s="37" t="n"/>
      <c r="J1190" s="32" t="n"/>
      <c r="K1190" s="32" t="n"/>
      <c r="L1190" s="43" t="n"/>
      <c r="M1190" s="36" t="n"/>
      <c r="N1190" s="44" t="n"/>
      <c r="O1190" s="36" t="n"/>
      <c r="P1190" s="33">
        <f>IF(C1190="","",Commercial_Id)</f>
        <v/>
      </c>
      <c r="Q1190" s="34">
        <f>IF(AC1190="","",IF(AD1190=1,"C"&amp;TEXT(SUM(AD$6:AD1190),"0000"),INDEX(Q$6:Q1189,MATCH(AC1190,AC$6:AC1189,0))))</f>
        <v/>
      </c>
      <c r="R1190" s="34">
        <f>IF(C1190="","",IF(L1190="☑ Oui","Annulée",IF(OR(E1190="Vente directe",K1190&lt;&gt;""),"Livrée",IF(J1190&lt;&gt;"","Confirmée","En attente"))))</f>
        <v/>
      </c>
      <c r="S1190" s="34">
        <f>IF(F1190="","",IFERROR(VLOOKUP(F1190,T_Produits,2,FALSE),""))</f>
        <v/>
      </c>
      <c r="T1190" s="40">
        <f>IF(F1190="","",IFERROR(1/(1/VLOOKUP(F1190,T_Produits,3,FALSE)),""))</f>
        <v/>
      </c>
      <c r="U1190" s="40">
        <f>IF(H1190&lt;&gt;"",H1190,T1190)</f>
        <v/>
      </c>
      <c r="V1190" s="40">
        <f>IF(OR(G1190="",U1190=""),"",G1190*U1190-N(I1190))</f>
        <v/>
      </c>
      <c r="W1190" s="39">
        <f>IF(D1190="","",IFERROR(VALUE(MID(D1190,LEN(D1190)-3,3)),""))</f>
        <v/>
      </c>
      <c r="X1190" s="33">
        <f>IF(W1190="","",P1190&amp;"|"&amp;W1190)</f>
        <v/>
      </c>
      <c r="Y1190" s="33">
        <f>IF(W1190="","",IF(P1190="À RENSEIGNER","GIC",P1190)&amp;"-"&amp;TEXT(W1190,"000"))</f>
        <v/>
      </c>
      <c r="Z1190" s="33">
        <f>IF(X1190="","",IFERROR(INDEX(Cl_nom,MATCH(X1190,Cl_cle,0)),"(client introuvable)"))</f>
        <v/>
      </c>
      <c r="AA1190" s="33">
        <f>IF(X1190="","",IFERROR(INDEX(Cl_quartier,MATCH(X1190,Cl_cle,0))&amp;"",""))</f>
        <v/>
      </c>
      <c r="AB1190" s="45">
        <f>IF(R1190&lt;&gt;"Livrée",0,IF(K1190&lt;&gt;"",K1190,C1190))</f>
        <v/>
      </c>
      <c r="AC1190" s="33">
        <f>IF(OR(C1190="",W1190=""),"",P1190&amp;"|"&amp;W1190&amp;"|"&amp;C1190&amp;"|"&amp;E1190)</f>
        <v/>
      </c>
      <c r="AD1190" s="39">
        <f>IF(AC1190="","",IF(COUNTIF(AC$6:AC1190,AC1190)=1,1,0))</f>
        <v/>
      </c>
      <c r="AE1190" s="39">
        <f>IF(AB1190=0,"",IF(COUNTIFS(X$6:X1190,X1190,AB$6:AB1190,AB1190)=1,1,0))</f>
        <v/>
      </c>
      <c r="AF1190" s="34">
        <f>IF(C1190="","",YEAR(C1190-WEEKDAY(C1190,2)+4)&amp;"-S"&amp;TEXT(INT((C1190-DATE(YEAR(C1190-WEEKDAY(C1190,2)+4),1,3)+WEEKDAY(DATE(YEAR(C1190-WEEKDAY(C1190,2)+4),1,3),2)+5)/7),"00"))</f>
        <v/>
      </c>
    </row>
    <row r="1191" ht="18" customHeight="1">
      <c r="A1191" s="39" t="n">
        <v>1186</v>
      </c>
      <c r="B1191" s="33">
        <f>IF(C1191="","",IF(P1191="À RENSEIGNER","GIC",P1191)&amp;"-C"&amp;TEXT(A1191,"00000"))</f>
        <v/>
      </c>
      <c r="C1191" s="32" t="n"/>
      <c r="D1191" s="36" t="n"/>
      <c r="E1191" s="36" t="n"/>
      <c r="F1191" s="36" t="n"/>
      <c r="G1191" s="42" t="n"/>
      <c r="H1191" s="37" t="n"/>
      <c r="I1191" s="37" t="n"/>
      <c r="J1191" s="32" t="n"/>
      <c r="K1191" s="32" t="n"/>
      <c r="L1191" s="43" t="n"/>
      <c r="M1191" s="36" t="n"/>
      <c r="N1191" s="44" t="n"/>
      <c r="O1191" s="36" t="n"/>
      <c r="P1191" s="33">
        <f>IF(C1191="","",Commercial_Id)</f>
        <v/>
      </c>
      <c r="Q1191" s="34">
        <f>IF(AC1191="","",IF(AD1191=1,"C"&amp;TEXT(SUM(AD$6:AD1191),"0000"),INDEX(Q$6:Q1190,MATCH(AC1191,AC$6:AC1190,0))))</f>
        <v/>
      </c>
      <c r="R1191" s="34">
        <f>IF(C1191="","",IF(L1191="☑ Oui","Annulée",IF(OR(E1191="Vente directe",K1191&lt;&gt;""),"Livrée",IF(J1191&lt;&gt;"","Confirmée","En attente"))))</f>
        <v/>
      </c>
      <c r="S1191" s="34">
        <f>IF(F1191="","",IFERROR(VLOOKUP(F1191,T_Produits,2,FALSE),""))</f>
        <v/>
      </c>
      <c r="T1191" s="40">
        <f>IF(F1191="","",IFERROR(1/(1/VLOOKUP(F1191,T_Produits,3,FALSE)),""))</f>
        <v/>
      </c>
      <c r="U1191" s="40">
        <f>IF(H1191&lt;&gt;"",H1191,T1191)</f>
        <v/>
      </c>
      <c r="V1191" s="40">
        <f>IF(OR(G1191="",U1191=""),"",G1191*U1191-N(I1191))</f>
        <v/>
      </c>
      <c r="W1191" s="39">
        <f>IF(D1191="","",IFERROR(VALUE(MID(D1191,LEN(D1191)-3,3)),""))</f>
        <v/>
      </c>
      <c r="X1191" s="33">
        <f>IF(W1191="","",P1191&amp;"|"&amp;W1191)</f>
        <v/>
      </c>
      <c r="Y1191" s="33">
        <f>IF(W1191="","",IF(P1191="À RENSEIGNER","GIC",P1191)&amp;"-"&amp;TEXT(W1191,"000"))</f>
        <v/>
      </c>
      <c r="Z1191" s="33">
        <f>IF(X1191="","",IFERROR(INDEX(Cl_nom,MATCH(X1191,Cl_cle,0)),"(client introuvable)"))</f>
        <v/>
      </c>
      <c r="AA1191" s="33">
        <f>IF(X1191="","",IFERROR(INDEX(Cl_quartier,MATCH(X1191,Cl_cle,0))&amp;"",""))</f>
        <v/>
      </c>
      <c r="AB1191" s="45">
        <f>IF(R1191&lt;&gt;"Livrée",0,IF(K1191&lt;&gt;"",K1191,C1191))</f>
        <v/>
      </c>
      <c r="AC1191" s="33">
        <f>IF(OR(C1191="",W1191=""),"",P1191&amp;"|"&amp;W1191&amp;"|"&amp;C1191&amp;"|"&amp;E1191)</f>
        <v/>
      </c>
      <c r="AD1191" s="39">
        <f>IF(AC1191="","",IF(COUNTIF(AC$6:AC1191,AC1191)=1,1,0))</f>
        <v/>
      </c>
      <c r="AE1191" s="39">
        <f>IF(AB1191=0,"",IF(COUNTIFS(X$6:X1191,X1191,AB$6:AB1191,AB1191)=1,1,0))</f>
        <v/>
      </c>
      <c r="AF1191" s="34">
        <f>IF(C1191="","",YEAR(C1191-WEEKDAY(C1191,2)+4)&amp;"-S"&amp;TEXT(INT((C1191-DATE(YEAR(C1191-WEEKDAY(C1191,2)+4),1,3)+WEEKDAY(DATE(YEAR(C1191-WEEKDAY(C1191,2)+4),1,3),2)+5)/7),"00"))</f>
        <v/>
      </c>
    </row>
    <row r="1192" ht="18" customHeight="1">
      <c r="A1192" s="39" t="n">
        <v>1187</v>
      </c>
      <c r="B1192" s="33">
        <f>IF(C1192="","",IF(P1192="À RENSEIGNER","GIC",P1192)&amp;"-C"&amp;TEXT(A1192,"00000"))</f>
        <v/>
      </c>
      <c r="C1192" s="32" t="n"/>
      <c r="D1192" s="36" t="n"/>
      <c r="E1192" s="36" t="n"/>
      <c r="F1192" s="36" t="n"/>
      <c r="G1192" s="42" t="n"/>
      <c r="H1192" s="37" t="n"/>
      <c r="I1192" s="37" t="n"/>
      <c r="J1192" s="32" t="n"/>
      <c r="K1192" s="32" t="n"/>
      <c r="L1192" s="43" t="n"/>
      <c r="M1192" s="36" t="n"/>
      <c r="N1192" s="44" t="n"/>
      <c r="O1192" s="36" t="n"/>
      <c r="P1192" s="33">
        <f>IF(C1192="","",Commercial_Id)</f>
        <v/>
      </c>
      <c r="Q1192" s="34">
        <f>IF(AC1192="","",IF(AD1192=1,"C"&amp;TEXT(SUM(AD$6:AD1192),"0000"),INDEX(Q$6:Q1191,MATCH(AC1192,AC$6:AC1191,0))))</f>
        <v/>
      </c>
      <c r="R1192" s="34">
        <f>IF(C1192="","",IF(L1192="☑ Oui","Annulée",IF(OR(E1192="Vente directe",K1192&lt;&gt;""),"Livrée",IF(J1192&lt;&gt;"","Confirmée","En attente"))))</f>
        <v/>
      </c>
      <c r="S1192" s="34">
        <f>IF(F1192="","",IFERROR(VLOOKUP(F1192,T_Produits,2,FALSE),""))</f>
        <v/>
      </c>
      <c r="T1192" s="40">
        <f>IF(F1192="","",IFERROR(1/(1/VLOOKUP(F1192,T_Produits,3,FALSE)),""))</f>
        <v/>
      </c>
      <c r="U1192" s="40">
        <f>IF(H1192&lt;&gt;"",H1192,T1192)</f>
        <v/>
      </c>
      <c r="V1192" s="40">
        <f>IF(OR(G1192="",U1192=""),"",G1192*U1192-N(I1192))</f>
        <v/>
      </c>
      <c r="W1192" s="39">
        <f>IF(D1192="","",IFERROR(VALUE(MID(D1192,LEN(D1192)-3,3)),""))</f>
        <v/>
      </c>
      <c r="X1192" s="33">
        <f>IF(W1192="","",P1192&amp;"|"&amp;W1192)</f>
        <v/>
      </c>
      <c r="Y1192" s="33">
        <f>IF(W1192="","",IF(P1192="À RENSEIGNER","GIC",P1192)&amp;"-"&amp;TEXT(W1192,"000"))</f>
        <v/>
      </c>
      <c r="Z1192" s="33">
        <f>IF(X1192="","",IFERROR(INDEX(Cl_nom,MATCH(X1192,Cl_cle,0)),"(client introuvable)"))</f>
        <v/>
      </c>
      <c r="AA1192" s="33">
        <f>IF(X1192="","",IFERROR(INDEX(Cl_quartier,MATCH(X1192,Cl_cle,0))&amp;"",""))</f>
        <v/>
      </c>
      <c r="AB1192" s="45">
        <f>IF(R1192&lt;&gt;"Livrée",0,IF(K1192&lt;&gt;"",K1192,C1192))</f>
        <v/>
      </c>
      <c r="AC1192" s="33">
        <f>IF(OR(C1192="",W1192=""),"",P1192&amp;"|"&amp;W1192&amp;"|"&amp;C1192&amp;"|"&amp;E1192)</f>
        <v/>
      </c>
      <c r="AD1192" s="39">
        <f>IF(AC1192="","",IF(COUNTIF(AC$6:AC1192,AC1192)=1,1,0))</f>
        <v/>
      </c>
      <c r="AE1192" s="39">
        <f>IF(AB1192=0,"",IF(COUNTIFS(X$6:X1192,X1192,AB$6:AB1192,AB1192)=1,1,0))</f>
        <v/>
      </c>
      <c r="AF1192" s="34">
        <f>IF(C1192="","",YEAR(C1192-WEEKDAY(C1192,2)+4)&amp;"-S"&amp;TEXT(INT((C1192-DATE(YEAR(C1192-WEEKDAY(C1192,2)+4),1,3)+WEEKDAY(DATE(YEAR(C1192-WEEKDAY(C1192,2)+4),1,3),2)+5)/7),"00"))</f>
        <v/>
      </c>
    </row>
    <row r="1193" ht="18" customHeight="1">
      <c r="A1193" s="39" t="n">
        <v>1188</v>
      </c>
      <c r="B1193" s="33">
        <f>IF(C1193="","",IF(P1193="À RENSEIGNER","GIC",P1193)&amp;"-C"&amp;TEXT(A1193,"00000"))</f>
        <v/>
      </c>
      <c r="C1193" s="32" t="n"/>
      <c r="D1193" s="36" t="n"/>
      <c r="E1193" s="36" t="n"/>
      <c r="F1193" s="36" t="n"/>
      <c r="G1193" s="42" t="n"/>
      <c r="H1193" s="37" t="n"/>
      <c r="I1193" s="37" t="n"/>
      <c r="J1193" s="32" t="n"/>
      <c r="K1193" s="32" t="n"/>
      <c r="L1193" s="43" t="n"/>
      <c r="M1193" s="36" t="n"/>
      <c r="N1193" s="44" t="n"/>
      <c r="O1193" s="36" t="n"/>
      <c r="P1193" s="33">
        <f>IF(C1193="","",Commercial_Id)</f>
        <v/>
      </c>
      <c r="Q1193" s="34">
        <f>IF(AC1193="","",IF(AD1193=1,"C"&amp;TEXT(SUM(AD$6:AD1193),"0000"),INDEX(Q$6:Q1192,MATCH(AC1193,AC$6:AC1192,0))))</f>
        <v/>
      </c>
      <c r="R1193" s="34">
        <f>IF(C1193="","",IF(L1193="☑ Oui","Annulée",IF(OR(E1193="Vente directe",K1193&lt;&gt;""),"Livrée",IF(J1193&lt;&gt;"","Confirmée","En attente"))))</f>
        <v/>
      </c>
      <c r="S1193" s="34">
        <f>IF(F1193="","",IFERROR(VLOOKUP(F1193,T_Produits,2,FALSE),""))</f>
        <v/>
      </c>
      <c r="T1193" s="40">
        <f>IF(F1193="","",IFERROR(1/(1/VLOOKUP(F1193,T_Produits,3,FALSE)),""))</f>
        <v/>
      </c>
      <c r="U1193" s="40">
        <f>IF(H1193&lt;&gt;"",H1193,T1193)</f>
        <v/>
      </c>
      <c r="V1193" s="40">
        <f>IF(OR(G1193="",U1193=""),"",G1193*U1193-N(I1193))</f>
        <v/>
      </c>
      <c r="W1193" s="39">
        <f>IF(D1193="","",IFERROR(VALUE(MID(D1193,LEN(D1193)-3,3)),""))</f>
        <v/>
      </c>
      <c r="X1193" s="33">
        <f>IF(W1193="","",P1193&amp;"|"&amp;W1193)</f>
        <v/>
      </c>
      <c r="Y1193" s="33">
        <f>IF(W1193="","",IF(P1193="À RENSEIGNER","GIC",P1193)&amp;"-"&amp;TEXT(W1193,"000"))</f>
        <v/>
      </c>
      <c r="Z1193" s="33">
        <f>IF(X1193="","",IFERROR(INDEX(Cl_nom,MATCH(X1193,Cl_cle,0)),"(client introuvable)"))</f>
        <v/>
      </c>
      <c r="AA1193" s="33">
        <f>IF(X1193="","",IFERROR(INDEX(Cl_quartier,MATCH(X1193,Cl_cle,0))&amp;"",""))</f>
        <v/>
      </c>
      <c r="AB1193" s="45">
        <f>IF(R1193&lt;&gt;"Livrée",0,IF(K1193&lt;&gt;"",K1193,C1193))</f>
        <v/>
      </c>
      <c r="AC1193" s="33">
        <f>IF(OR(C1193="",W1193=""),"",P1193&amp;"|"&amp;W1193&amp;"|"&amp;C1193&amp;"|"&amp;E1193)</f>
        <v/>
      </c>
      <c r="AD1193" s="39">
        <f>IF(AC1193="","",IF(COUNTIF(AC$6:AC1193,AC1193)=1,1,0))</f>
        <v/>
      </c>
      <c r="AE1193" s="39">
        <f>IF(AB1193=0,"",IF(COUNTIFS(X$6:X1193,X1193,AB$6:AB1193,AB1193)=1,1,0))</f>
        <v/>
      </c>
      <c r="AF1193" s="34">
        <f>IF(C1193="","",YEAR(C1193-WEEKDAY(C1193,2)+4)&amp;"-S"&amp;TEXT(INT((C1193-DATE(YEAR(C1193-WEEKDAY(C1193,2)+4),1,3)+WEEKDAY(DATE(YEAR(C1193-WEEKDAY(C1193,2)+4),1,3),2)+5)/7),"00"))</f>
        <v/>
      </c>
    </row>
    <row r="1194" ht="18" customHeight="1">
      <c r="A1194" s="39" t="n">
        <v>1189</v>
      </c>
      <c r="B1194" s="33">
        <f>IF(C1194="","",IF(P1194="À RENSEIGNER","GIC",P1194)&amp;"-C"&amp;TEXT(A1194,"00000"))</f>
        <v/>
      </c>
      <c r="C1194" s="32" t="n"/>
      <c r="D1194" s="36" t="n"/>
      <c r="E1194" s="36" t="n"/>
      <c r="F1194" s="36" t="n"/>
      <c r="G1194" s="42" t="n"/>
      <c r="H1194" s="37" t="n"/>
      <c r="I1194" s="37" t="n"/>
      <c r="J1194" s="32" t="n"/>
      <c r="K1194" s="32" t="n"/>
      <c r="L1194" s="43" t="n"/>
      <c r="M1194" s="36" t="n"/>
      <c r="N1194" s="44" t="n"/>
      <c r="O1194" s="36" t="n"/>
      <c r="P1194" s="33">
        <f>IF(C1194="","",Commercial_Id)</f>
        <v/>
      </c>
      <c r="Q1194" s="34">
        <f>IF(AC1194="","",IF(AD1194=1,"C"&amp;TEXT(SUM(AD$6:AD1194),"0000"),INDEX(Q$6:Q1193,MATCH(AC1194,AC$6:AC1193,0))))</f>
        <v/>
      </c>
      <c r="R1194" s="34">
        <f>IF(C1194="","",IF(L1194="☑ Oui","Annulée",IF(OR(E1194="Vente directe",K1194&lt;&gt;""),"Livrée",IF(J1194&lt;&gt;"","Confirmée","En attente"))))</f>
        <v/>
      </c>
      <c r="S1194" s="34">
        <f>IF(F1194="","",IFERROR(VLOOKUP(F1194,T_Produits,2,FALSE),""))</f>
        <v/>
      </c>
      <c r="T1194" s="40">
        <f>IF(F1194="","",IFERROR(1/(1/VLOOKUP(F1194,T_Produits,3,FALSE)),""))</f>
        <v/>
      </c>
      <c r="U1194" s="40">
        <f>IF(H1194&lt;&gt;"",H1194,T1194)</f>
        <v/>
      </c>
      <c r="V1194" s="40">
        <f>IF(OR(G1194="",U1194=""),"",G1194*U1194-N(I1194))</f>
        <v/>
      </c>
      <c r="W1194" s="39">
        <f>IF(D1194="","",IFERROR(VALUE(MID(D1194,LEN(D1194)-3,3)),""))</f>
        <v/>
      </c>
      <c r="X1194" s="33">
        <f>IF(W1194="","",P1194&amp;"|"&amp;W1194)</f>
        <v/>
      </c>
      <c r="Y1194" s="33">
        <f>IF(W1194="","",IF(P1194="À RENSEIGNER","GIC",P1194)&amp;"-"&amp;TEXT(W1194,"000"))</f>
        <v/>
      </c>
      <c r="Z1194" s="33">
        <f>IF(X1194="","",IFERROR(INDEX(Cl_nom,MATCH(X1194,Cl_cle,0)),"(client introuvable)"))</f>
        <v/>
      </c>
      <c r="AA1194" s="33">
        <f>IF(X1194="","",IFERROR(INDEX(Cl_quartier,MATCH(X1194,Cl_cle,0))&amp;"",""))</f>
        <v/>
      </c>
      <c r="AB1194" s="45">
        <f>IF(R1194&lt;&gt;"Livrée",0,IF(K1194&lt;&gt;"",K1194,C1194))</f>
        <v/>
      </c>
      <c r="AC1194" s="33">
        <f>IF(OR(C1194="",W1194=""),"",P1194&amp;"|"&amp;W1194&amp;"|"&amp;C1194&amp;"|"&amp;E1194)</f>
        <v/>
      </c>
      <c r="AD1194" s="39">
        <f>IF(AC1194="","",IF(COUNTIF(AC$6:AC1194,AC1194)=1,1,0))</f>
        <v/>
      </c>
      <c r="AE1194" s="39">
        <f>IF(AB1194=0,"",IF(COUNTIFS(X$6:X1194,X1194,AB$6:AB1194,AB1194)=1,1,0))</f>
        <v/>
      </c>
      <c r="AF1194" s="34">
        <f>IF(C1194="","",YEAR(C1194-WEEKDAY(C1194,2)+4)&amp;"-S"&amp;TEXT(INT((C1194-DATE(YEAR(C1194-WEEKDAY(C1194,2)+4),1,3)+WEEKDAY(DATE(YEAR(C1194-WEEKDAY(C1194,2)+4),1,3),2)+5)/7),"00"))</f>
        <v/>
      </c>
    </row>
    <row r="1195" ht="18" customHeight="1">
      <c r="A1195" s="39" t="n">
        <v>1190</v>
      </c>
      <c r="B1195" s="33">
        <f>IF(C1195="","",IF(P1195="À RENSEIGNER","GIC",P1195)&amp;"-C"&amp;TEXT(A1195,"00000"))</f>
        <v/>
      </c>
      <c r="C1195" s="32" t="n"/>
      <c r="D1195" s="36" t="n"/>
      <c r="E1195" s="36" t="n"/>
      <c r="F1195" s="36" t="n"/>
      <c r="G1195" s="42" t="n"/>
      <c r="H1195" s="37" t="n"/>
      <c r="I1195" s="37" t="n"/>
      <c r="J1195" s="32" t="n"/>
      <c r="K1195" s="32" t="n"/>
      <c r="L1195" s="43" t="n"/>
      <c r="M1195" s="36" t="n"/>
      <c r="N1195" s="44" t="n"/>
      <c r="O1195" s="36" t="n"/>
      <c r="P1195" s="33">
        <f>IF(C1195="","",Commercial_Id)</f>
        <v/>
      </c>
      <c r="Q1195" s="34">
        <f>IF(AC1195="","",IF(AD1195=1,"C"&amp;TEXT(SUM(AD$6:AD1195),"0000"),INDEX(Q$6:Q1194,MATCH(AC1195,AC$6:AC1194,0))))</f>
        <v/>
      </c>
      <c r="R1195" s="34">
        <f>IF(C1195="","",IF(L1195="☑ Oui","Annulée",IF(OR(E1195="Vente directe",K1195&lt;&gt;""),"Livrée",IF(J1195&lt;&gt;"","Confirmée","En attente"))))</f>
        <v/>
      </c>
      <c r="S1195" s="34">
        <f>IF(F1195="","",IFERROR(VLOOKUP(F1195,T_Produits,2,FALSE),""))</f>
        <v/>
      </c>
      <c r="T1195" s="40">
        <f>IF(F1195="","",IFERROR(1/(1/VLOOKUP(F1195,T_Produits,3,FALSE)),""))</f>
        <v/>
      </c>
      <c r="U1195" s="40">
        <f>IF(H1195&lt;&gt;"",H1195,T1195)</f>
        <v/>
      </c>
      <c r="V1195" s="40">
        <f>IF(OR(G1195="",U1195=""),"",G1195*U1195-N(I1195))</f>
        <v/>
      </c>
      <c r="W1195" s="39">
        <f>IF(D1195="","",IFERROR(VALUE(MID(D1195,LEN(D1195)-3,3)),""))</f>
        <v/>
      </c>
      <c r="X1195" s="33">
        <f>IF(W1195="","",P1195&amp;"|"&amp;W1195)</f>
        <v/>
      </c>
      <c r="Y1195" s="33">
        <f>IF(W1195="","",IF(P1195="À RENSEIGNER","GIC",P1195)&amp;"-"&amp;TEXT(W1195,"000"))</f>
        <v/>
      </c>
      <c r="Z1195" s="33">
        <f>IF(X1195="","",IFERROR(INDEX(Cl_nom,MATCH(X1195,Cl_cle,0)),"(client introuvable)"))</f>
        <v/>
      </c>
      <c r="AA1195" s="33">
        <f>IF(X1195="","",IFERROR(INDEX(Cl_quartier,MATCH(X1195,Cl_cle,0))&amp;"",""))</f>
        <v/>
      </c>
      <c r="AB1195" s="45">
        <f>IF(R1195&lt;&gt;"Livrée",0,IF(K1195&lt;&gt;"",K1195,C1195))</f>
        <v/>
      </c>
      <c r="AC1195" s="33">
        <f>IF(OR(C1195="",W1195=""),"",P1195&amp;"|"&amp;W1195&amp;"|"&amp;C1195&amp;"|"&amp;E1195)</f>
        <v/>
      </c>
      <c r="AD1195" s="39">
        <f>IF(AC1195="","",IF(COUNTIF(AC$6:AC1195,AC1195)=1,1,0))</f>
        <v/>
      </c>
      <c r="AE1195" s="39">
        <f>IF(AB1195=0,"",IF(COUNTIFS(X$6:X1195,X1195,AB$6:AB1195,AB1195)=1,1,0))</f>
        <v/>
      </c>
      <c r="AF1195" s="34">
        <f>IF(C1195="","",YEAR(C1195-WEEKDAY(C1195,2)+4)&amp;"-S"&amp;TEXT(INT((C1195-DATE(YEAR(C1195-WEEKDAY(C1195,2)+4),1,3)+WEEKDAY(DATE(YEAR(C1195-WEEKDAY(C1195,2)+4),1,3),2)+5)/7),"00"))</f>
        <v/>
      </c>
    </row>
    <row r="1196" ht="18" customHeight="1">
      <c r="A1196" s="39" t="n">
        <v>1191</v>
      </c>
      <c r="B1196" s="33">
        <f>IF(C1196="","",IF(P1196="À RENSEIGNER","GIC",P1196)&amp;"-C"&amp;TEXT(A1196,"00000"))</f>
        <v/>
      </c>
      <c r="C1196" s="32" t="n"/>
      <c r="D1196" s="36" t="n"/>
      <c r="E1196" s="36" t="n"/>
      <c r="F1196" s="36" t="n"/>
      <c r="G1196" s="42" t="n"/>
      <c r="H1196" s="37" t="n"/>
      <c r="I1196" s="37" t="n"/>
      <c r="J1196" s="32" t="n"/>
      <c r="K1196" s="32" t="n"/>
      <c r="L1196" s="43" t="n"/>
      <c r="M1196" s="36" t="n"/>
      <c r="N1196" s="44" t="n"/>
      <c r="O1196" s="36" t="n"/>
      <c r="P1196" s="33">
        <f>IF(C1196="","",Commercial_Id)</f>
        <v/>
      </c>
      <c r="Q1196" s="34">
        <f>IF(AC1196="","",IF(AD1196=1,"C"&amp;TEXT(SUM(AD$6:AD1196),"0000"),INDEX(Q$6:Q1195,MATCH(AC1196,AC$6:AC1195,0))))</f>
        <v/>
      </c>
      <c r="R1196" s="34">
        <f>IF(C1196="","",IF(L1196="☑ Oui","Annulée",IF(OR(E1196="Vente directe",K1196&lt;&gt;""),"Livrée",IF(J1196&lt;&gt;"","Confirmée","En attente"))))</f>
        <v/>
      </c>
      <c r="S1196" s="34">
        <f>IF(F1196="","",IFERROR(VLOOKUP(F1196,T_Produits,2,FALSE),""))</f>
        <v/>
      </c>
      <c r="T1196" s="40">
        <f>IF(F1196="","",IFERROR(1/(1/VLOOKUP(F1196,T_Produits,3,FALSE)),""))</f>
        <v/>
      </c>
      <c r="U1196" s="40">
        <f>IF(H1196&lt;&gt;"",H1196,T1196)</f>
        <v/>
      </c>
      <c r="V1196" s="40">
        <f>IF(OR(G1196="",U1196=""),"",G1196*U1196-N(I1196))</f>
        <v/>
      </c>
      <c r="W1196" s="39">
        <f>IF(D1196="","",IFERROR(VALUE(MID(D1196,LEN(D1196)-3,3)),""))</f>
        <v/>
      </c>
      <c r="X1196" s="33">
        <f>IF(W1196="","",P1196&amp;"|"&amp;W1196)</f>
        <v/>
      </c>
      <c r="Y1196" s="33">
        <f>IF(W1196="","",IF(P1196="À RENSEIGNER","GIC",P1196)&amp;"-"&amp;TEXT(W1196,"000"))</f>
        <v/>
      </c>
      <c r="Z1196" s="33">
        <f>IF(X1196="","",IFERROR(INDEX(Cl_nom,MATCH(X1196,Cl_cle,0)),"(client introuvable)"))</f>
        <v/>
      </c>
      <c r="AA1196" s="33">
        <f>IF(X1196="","",IFERROR(INDEX(Cl_quartier,MATCH(X1196,Cl_cle,0))&amp;"",""))</f>
        <v/>
      </c>
      <c r="AB1196" s="45">
        <f>IF(R1196&lt;&gt;"Livrée",0,IF(K1196&lt;&gt;"",K1196,C1196))</f>
        <v/>
      </c>
      <c r="AC1196" s="33">
        <f>IF(OR(C1196="",W1196=""),"",P1196&amp;"|"&amp;W1196&amp;"|"&amp;C1196&amp;"|"&amp;E1196)</f>
        <v/>
      </c>
      <c r="AD1196" s="39">
        <f>IF(AC1196="","",IF(COUNTIF(AC$6:AC1196,AC1196)=1,1,0))</f>
        <v/>
      </c>
      <c r="AE1196" s="39">
        <f>IF(AB1196=0,"",IF(COUNTIFS(X$6:X1196,X1196,AB$6:AB1196,AB1196)=1,1,0))</f>
        <v/>
      </c>
      <c r="AF1196" s="34">
        <f>IF(C1196="","",YEAR(C1196-WEEKDAY(C1196,2)+4)&amp;"-S"&amp;TEXT(INT((C1196-DATE(YEAR(C1196-WEEKDAY(C1196,2)+4),1,3)+WEEKDAY(DATE(YEAR(C1196-WEEKDAY(C1196,2)+4),1,3),2)+5)/7),"00"))</f>
        <v/>
      </c>
    </row>
    <row r="1197" ht="18" customHeight="1">
      <c r="A1197" s="39" t="n">
        <v>1192</v>
      </c>
      <c r="B1197" s="33">
        <f>IF(C1197="","",IF(P1197="À RENSEIGNER","GIC",P1197)&amp;"-C"&amp;TEXT(A1197,"00000"))</f>
        <v/>
      </c>
      <c r="C1197" s="32" t="n"/>
      <c r="D1197" s="36" t="n"/>
      <c r="E1197" s="36" t="n"/>
      <c r="F1197" s="36" t="n"/>
      <c r="G1197" s="42" t="n"/>
      <c r="H1197" s="37" t="n"/>
      <c r="I1197" s="37" t="n"/>
      <c r="J1197" s="32" t="n"/>
      <c r="K1197" s="32" t="n"/>
      <c r="L1197" s="43" t="n"/>
      <c r="M1197" s="36" t="n"/>
      <c r="N1197" s="44" t="n"/>
      <c r="O1197" s="36" t="n"/>
      <c r="P1197" s="33">
        <f>IF(C1197="","",Commercial_Id)</f>
        <v/>
      </c>
      <c r="Q1197" s="34">
        <f>IF(AC1197="","",IF(AD1197=1,"C"&amp;TEXT(SUM(AD$6:AD1197),"0000"),INDEX(Q$6:Q1196,MATCH(AC1197,AC$6:AC1196,0))))</f>
        <v/>
      </c>
      <c r="R1197" s="34">
        <f>IF(C1197="","",IF(L1197="☑ Oui","Annulée",IF(OR(E1197="Vente directe",K1197&lt;&gt;""),"Livrée",IF(J1197&lt;&gt;"","Confirmée","En attente"))))</f>
        <v/>
      </c>
      <c r="S1197" s="34">
        <f>IF(F1197="","",IFERROR(VLOOKUP(F1197,T_Produits,2,FALSE),""))</f>
        <v/>
      </c>
      <c r="T1197" s="40">
        <f>IF(F1197="","",IFERROR(1/(1/VLOOKUP(F1197,T_Produits,3,FALSE)),""))</f>
        <v/>
      </c>
      <c r="U1197" s="40">
        <f>IF(H1197&lt;&gt;"",H1197,T1197)</f>
        <v/>
      </c>
      <c r="V1197" s="40">
        <f>IF(OR(G1197="",U1197=""),"",G1197*U1197-N(I1197))</f>
        <v/>
      </c>
      <c r="W1197" s="39">
        <f>IF(D1197="","",IFERROR(VALUE(MID(D1197,LEN(D1197)-3,3)),""))</f>
        <v/>
      </c>
      <c r="X1197" s="33">
        <f>IF(W1197="","",P1197&amp;"|"&amp;W1197)</f>
        <v/>
      </c>
      <c r="Y1197" s="33">
        <f>IF(W1197="","",IF(P1197="À RENSEIGNER","GIC",P1197)&amp;"-"&amp;TEXT(W1197,"000"))</f>
        <v/>
      </c>
      <c r="Z1197" s="33">
        <f>IF(X1197="","",IFERROR(INDEX(Cl_nom,MATCH(X1197,Cl_cle,0)),"(client introuvable)"))</f>
        <v/>
      </c>
      <c r="AA1197" s="33">
        <f>IF(X1197="","",IFERROR(INDEX(Cl_quartier,MATCH(X1197,Cl_cle,0))&amp;"",""))</f>
        <v/>
      </c>
      <c r="AB1197" s="45">
        <f>IF(R1197&lt;&gt;"Livrée",0,IF(K1197&lt;&gt;"",K1197,C1197))</f>
        <v/>
      </c>
      <c r="AC1197" s="33">
        <f>IF(OR(C1197="",W1197=""),"",P1197&amp;"|"&amp;W1197&amp;"|"&amp;C1197&amp;"|"&amp;E1197)</f>
        <v/>
      </c>
      <c r="AD1197" s="39">
        <f>IF(AC1197="","",IF(COUNTIF(AC$6:AC1197,AC1197)=1,1,0))</f>
        <v/>
      </c>
      <c r="AE1197" s="39">
        <f>IF(AB1197=0,"",IF(COUNTIFS(X$6:X1197,X1197,AB$6:AB1197,AB1197)=1,1,0))</f>
        <v/>
      </c>
      <c r="AF1197" s="34">
        <f>IF(C1197="","",YEAR(C1197-WEEKDAY(C1197,2)+4)&amp;"-S"&amp;TEXT(INT((C1197-DATE(YEAR(C1197-WEEKDAY(C1197,2)+4),1,3)+WEEKDAY(DATE(YEAR(C1197-WEEKDAY(C1197,2)+4),1,3),2)+5)/7),"00"))</f>
        <v/>
      </c>
    </row>
    <row r="1198" ht="18" customHeight="1">
      <c r="A1198" s="39" t="n">
        <v>1193</v>
      </c>
      <c r="B1198" s="33">
        <f>IF(C1198="","",IF(P1198="À RENSEIGNER","GIC",P1198)&amp;"-C"&amp;TEXT(A1198,"00000"))</f>
        <v/>
      </c>
      <c r="C1198" s="32" t="n"/>
      <c r="D1198" s="36" t="n"/>
      <c r="E1198" s="36" t="n"/>
      <c r="F1198" s="36" t="n"/>
      <c r="G1198" s="42" t="n"/>
      <c r="H1198" s="37" t="n"/>
      <c r="I1198" s="37" t="n"/>
      <c r="J1198" s="32" t="n"/>
      <c r="K1198" s="32" t="n"/>
      <c r="L1198" s="43" t="n"/>
      <c r="M1198" s="36" t="n"/>
      <c r="N1198" s="44" t="n"/>
      <c r="O1198" s="36" t="n"/>
      <c r="P1198" s="33">
        <f>IF(C1198="","",Commercial_Id)</f>
        <v/>
      </c>
      <c r="Q1198" s="34">
        <f>IF(AC1198="","",IF(AD1198=1,"C"&amp;TEXT(SUM(AD$6:AD1198),"0000"),INDEX(Q$6:Q1197,MATCH(AC1198,AC$6:AC1197,0))))</f>
        <v/>
      </c>
      <c r="R1198" s="34">
        <f>IF(C1198="","",IF(L1198="☑ Oui","Annulée",IF(OR(E1198="Vente directe",K1198&lt;&gt;""),"Livrée",IF(J1198&lt;&gt;"","Confirmée","En attente"))))</f>
        <v/>
      </c>
      <c r="S1198" s="34">
        <f>IF(F1198="","",IFERROR(VLOOKUP(F1198,T_Produits,2,FALSE),""))</f>
        <v/>
      </c>
      <c r="T1198" s="40">
        <f>IF(F1198="","",IFERROR(1/(1/VLOOKUP(F1198,T_Produits,3,FALSE)),""))</f>
        <v/>
      </c>
      <c r="U1198" s="40">
        <f>IF(H1198&lt;&gt;"",H1198,T1198)</f>
        <v/>
      </c>
      <c r="V1198" s="40">
        <f>IF(OR(G1198="",U1198=""),"",G1198*U1198-N(I1198))</f>
        <v/>
      </c>
      <c r="W1198" s="39">
        <f>IF(D1198="","",IFERROR(VALUE(MID(D1198,LEN(D1198)-3,3)),""))</f>
        <v/>
      </c>
      <c r="X1198" s="33">
        <f>IF(W1198="","",P1198&amp;"|"&amp;W1198)</f>
        <v/>
      </c>
      <c r="Y1198" s="33">
        <f>IF(W1198="","",IF(P1198="À RENSEIGNER","GIC",P1198)&amp;"-"&amp;TEXT(W1198,"000"))</f>
        <v/>
      </c>
      <c r="Z1198" s="33">
        <f>IF(X1198="","",IFERROR(INDEX(Cl_nom,MATCH(X1198,Cl_cle,0)),"(client introuvable)"))</f>
        <v/>
      </c>
      <c r="AA1198" s="33">
        <f>IF(X1198="","",IFERROR(INDEX(Cl_quartier,MATCH(X1198,Cl_cle,0))&amp;"",""))</f>
        <v/>
      </c>
      <c r="AB1198" s="45">
        <f>IF(R1198&lt;&gt;"Livrée",0,IF(K1198&lt;&gt;"",K1198,C1198))</f>
        <v/>
      </c>
      <c r="AC1198" s="33">
        <f>IF(OR(C1198="",W1198=""),"",P1198&amp;"|"&amp;W1198&amp;"|"&amp;C1198&amp;"|"&amp;E1198)</f>
        <v/>
      </c>
      <c r="AD1198" s="39">
        <f>IF(AC1198="","",IF(COUNTIF(AC$6:AC1198,AC1198)=1,1,0))</f>
        <v/>
      </c>
      <c r="AE1198" s="39">
        <f>IF(AB1198=0,"",IF(COUNTIFS(X$6:X1198,X1198,AB$6:AB1198,AB1198)=1,1,0))</f>
        <v/>
      </c>
      <c r="AF1198" s="34">
        <f>IF(C1198="","",YEAR(C1198-WEEKDAY(C1198,2)+4)&amp;"-S"&amp;TEXT(INT((C1198-DATE(YEAR(C1198-WEEKDAY(C1198,2)+4),1,3)+WEEKDAY(DATE(YEAR(C1198-WEEKDAY(C1198,2)+4),1,3),2)+5)/7),"00"))</f>
        <v/>
      </c>
    </row>
    <row r="1199" ht="18" customHeight="1">
      <c r="A1199" s="39" t="n">
        <v>1194</v>
      </c>
      <c r="B1199" s="33">
        <f>IF(C1199="","",IF(P1199="À RENSEIGNER","GIC",P1199)&amp;"-C"&amp;TEXT(A1199,"00000"))</f>
        <v/>
      </c>
      <c r="C1199" s="32" t="n"/>
      <c r="D1199" s="36" t="n"/>
      <c r="E1199" s="36" t="n"/>
      <c r="F1199" s="36" t="n"/>
      <c r="G1199" s="42" t="n"/>
      <c r="H1199" s="37" t="n"/>
      <c r="I1199" s="37" t="n"/>
      <c r="J1199" s="32" t="n"/>
      <c r="K1199" s="32" t="n"/>
      <c r="L1199" s="43" t="n"/>
      <c r="M1199" s="36" t="n"/>
      <c r="N1199" s="44" t="n"/>
      <c r="O1199" s="36" t="n"/>
      <c r="P1199" s="33">
        <f>IF(C1199="","",Commercial_Id)</f>
        <v/>
      </c>
      <c r="Q1199" s="34">
        <f>IF(AC1199="","",IF(AD1199=1,"C"&amp;TEXT(SUM(AD$6:AD1199),"0000"),INDEX(Q$6:Q1198,MATCH(AC1199,AC$6:AC1198,0))))</f>
        <v/>
      </c>
      <c r="R1199" s="34">
        <f>IF(C1199="","",IF(L1199="☑ Oui","Annulée",IF(OR(E1199="Vente directe",K1199&lt;&gt;""),"Livrée",IF(J1199&lt;&gt;"","Confirmée","En attente"))))</f>
        <v/>
      </c>
      <c r="S1199" s="34">
        <f>IF(F1199="","",IFERROR(VLOOKUP(F1199,T_Produits,2,FALSE),""))</f>
        <v/>
      </c>
      <c r="T1199" s="40">
        <f>IF(F1199="","",IFERROR(1/(1/VLOOKUP(F1199,T_Produits,3,FALSE)),""))</f>
        <v/>
      </c>
      <c r="U1199" s="40">
        <f>IF(H1199&lt;&gt;"",H1199,T1199)</f>
        <v/>
      </c>
      <c r="V1199" s="40">
        <f>IF(OR(G1199="",U1199=""),"",G1199*U1199-N(I1199))</f>
        <v/>
      </c>
      <c r="W1199" s="39">
        <f>IF(D1199="","",IFERROR(VALUE(MID(D1199,LEN(D1199)-3,3)),""))</f>
        <v/>
      </c>
      <c r="X1199" s="33">
        <f>IF(W1199="","",P1199&amp;"|"&amp;W1199)</f>
        <v/>
      </c>
      <c r="Y1199" s="33">
        <f>IF(W1199="","",IF(P1199="À RENSEIGNER","GIC",P1199)&amp;"-"&amp;TEXT(W1199,"000"))</f>
        <v/>
      </c>
      <c r="Z1199" s="33">
        <f>IF(X1199="","",IFERROR(INDEX(Cl_nom,MATCH(X1199,Cl_cle,0)),"(client introuvable)"))</f>
        <v/>
      </c>
      <c r="AA1199" s="33">
        <f>IF(X1199="","",IFERROR(INDEX(Cl_quartier,MATCH(X1199,Cl_cle,0))&amp;"",""))</f>
        <v/>
      </c>
      <c r="AB1199" s="45">
        <f>IF(R1199&lt;&gt;"Livrée",0,IF(K1199&lt;&gt;"",K1199,C1199))</f>
        <v/>
      </c>
      <c r="AC1199" s="33">
        <f>IF(OR(C1199="",W1199=""),"",P1199&amp;"|"&amp;W1199&amp;"|"&amp;C1199&amp;"|"&amp;E1199)</f>
        <v/>
      </c>
      <c r="AD1199" s="39">
        <f>IF(AC1199="","",IF(COUNTIF(AC$6:AC1199,AC1199)=1,1,0))</f>
        <v/>
      </c>
      <c r="AE1199" s="39">
        <f>IF(AB1199=0,"",IF(COUNTIFS(X$6:X1199,X1199,AB$6:AB1199,AB1199)=1,1,0))</f>
        <v/>
      </c>
      <c r="AF1199" s="34">
        <f>IF(C1199="","",YEAR(C1199-WEEKDAY(C1199,2)+4)&amp;"-S"&amp;TEXT(INT((C1199-DATE(YEAR(C1199-WEEKDAY(C1199,2)+4),1,3)+WEEKDAY(DATE(YEAR(C1199-WEEKDAY(C1199,2)+4),1,3),2)+5)/7),"00"))</f>
        <v/>
      </c>
    </row>
    <row r="1200" ht="18" customHeight="1">
      <c r="A1200" s="39" t="n">
        <v>1195</v>
      </c>
      <c r="B1200" s="33">
        <f>IF(C1200="","",IF(P1200="À RENSEIGNER","GIC",P1200)&amp;"-C"&amp;TEXT(A1200,"00000"))</f>
        <v/>
      </c>
      <c r="C1200" s="32" t="n"/>
      <c r="D1200" s="36" t="n"/>
      <c r="E1200" s="36" t="n"/>
      <c r="F1200" s="36" t="n"/>
      <c r="G1200" s="42" t="n"/>
      <c r="H1200" s="37" t="n"/>
      <c r="I1200" s="37" t="n"/>
      <c r="J1200" s="32" t="n"/>
      <c r="K1200" s="32" t="n"/>
      <c r="L1200" s="43" t="n"/>
      <c r="M1200" s="36" t="n"/>
      <c r="N1200" s="44" t="n"/>
      <c r="O1200" s="36" t="n"/>
      <c r="P1200" s="33">
        <f>IF(C1200="","",Commercial_Id)</f>
        <v/>
      </c>
      <c r="Q1200" s="34">
        <f>IF(AC1200="","",IF(AD1200=1,"C"&amp;TEXT(SUM(AD$6:AD1200),"0000"),INDEX(Q$6:Q1199,MATCH(AC1200,AC$6:AC1199,0))))</f>
        <v/>
      </c>
      <c r="R1200" s="34">
        <f>IF(C1200="","",IF(L1200="☑ Oui","Annulée",IF(OR(E1200="Vente directe",K1200&lt;&gt;""),"Livrée",IF(J1200&lt;&gt;"","Confirmée","En attente"))))</f>
        <v/>
      </c>
      <c r="S1200" s="34">
        <f>IF(F1200="","",IFERROR(VLOOKUP(F1200,T_Produits,2,FALSE),""))</f>
        <v/>
      </c>
      <c r="T1200" s="40">
        <f>IF(F1200="","",IFERROR(1/(1/VLOOKUP(F1200,T_Produits,3,FALSE)),""))</f>
        <v/>
      </c>
      <c r="U1200" s="40">
        <f>IF(H1200&lt;&gt;"",H1200,T1200)</f>
        <v/>
      </c>
      <c r="V1200" s="40">
        <f>IF(OR(G1200="",U1200=""),"",G1200*U1200-N(I1200))</f>
        <v/>
      </c>
      <c r="W1200" s="39">
        <f>IF(D1200="","",IFERROR(VALUE(MID(D1200,LEN(D1200)-3,3)),""))</f>
        <v/>
      </c>
      <c r="X1200" s="33">
        <f>IF(W1200="","",P1200&amp;"|"&amp;W1200)</f>
        <v/>
      </c>
      <c r="Y1200" s="33">
        <f>IF(W1200="","",IF(P1200="À RENSEIGNER","GIC",P1200)&amp;"-"&amp;TEXT(W1200,"000"))</f>
        <v/>
      </c>
      <c r="Z1200" s="33">
        <f>IF(X1200="","",IFERROR(INDEX(Cl_nom,MATCH(X1200,Cl_cle,0)),"(client introuvable)"))</f>
        <v/>
      </c>
      <c r="AA1200" s="33">
        <f>IF(X1200="","",IFERROR(INDEX(Cl_quartier,MATCH(X1200,Cl_cle,0))&amp;"",""))</f>
        <v/>
      </c>
      <c r="AB1200" s="45">
        <f>IF(R1200&lt;&gt;"Livrée",0,IF(K1200&lt;&gt;"",K1200,C1200))</f>
        <v/>
      </c>
      <c r="AC1200" s="33">
        <f>IF(OR(C1200="",W1200=""),"",P1200&amp;"|"&amp;W1200&amp;"|"&amp;C1200&amp;"|"&amp;E1200)</f>
        <v/>
      </c>
      <c r="AD1200" s="39">
        <f>IF(AC1200="","",IF(COUNTIF(AC$6:AC1200,AC1200)=1,1,0))</f>
        <v/>
      </c>
      <c r="AE1200" s="39">
        <f>IF(AB1200=0,"",IF(COUNTIFS(X$6:X1200,X1200,AB$6:AB1200,AB1200)=1,1,0))</f>
        <v/>
      </c>
      <c r="AF1200" s="34">
        <f>IF(C1200="","",YEAR(C1200-WEEKDAY(C1200,2)+4)&amp;"-S"&amp;TEXT(INT((C1200-DATE(YEAR(C1200-WEEKDAY(C1200,2)+4),1,3)+WEEKDAY(DATE(YEAR(C1200-WEEKDAY(C1200,2)+4),1,3),2)+5)/7),"00"))</f>
        <v/>
      </c>
    </row>
    <row r="1201" ht="18" customHeight="1">
      <c r="A1201" s="39" t="n">
        <v>1196</v>
      </c>
      <c r="B1201" s="33">
        <f>IF(C1201="","",IF(P1201="À RENSEIGNER","GIC",P1201)&amp;"-C"&amp;TEXT(A1201,"00000"))</f>
        <v/>
      </c>
      <c r="C1201" s="32" t="n"/>
      <c r="D1201" s="36" t="n"/>
      <c r="E1201" s="36" t="n"/>
      <c r="F1201" s="36" t="n"/>
      <c r="G1201" s="42" t="n"/>
      <c r="H1201" s="37" t="n"/>
      <c r="I1201" s="37" t="n"/>
      <c r="J1201" s="32" t="n"/>
      <c r="K1201" s="32" t="n"/>
      <c r="L1201" s="43" t="n"/>
      <c r="M1201" s="36" t="n"/>
      <c r="N1201" s="44" t="n"/>
      <c r="O1201" s="36" t="n"/>
      <c r="P1201" s="33">
        <f>IF(C1201="","",Commercial_Id)</f>
        <v/>
      </c>
      <c r="Q1201" s="34">
        <f>IF(AC1201="","",IF(AD1201=1,"C"&amp;TEXT(SUM(AD$6:AD1201),"0000"),INDEX(Q$6:Q1200,MATCH(AC1201,AC$6:AC1200,0))))</f>
        <v/>
      </c>
      <c r="R1201" s="34">
        <f>IF(C1201="","",IF(L1201="☑ Oui","Annulée",IF(OR(E1201="Vente directe",K1201&lt;&gt;""),"Livrée",IF(J1201&lt;&gt;"","Confirmée","En attente"))))</f>
        <v/>
      </c>
      <c r="S1201" s="34">
        <f>IF(F1201="","",IFERROR(VLOOKUP(F1201,T_Produits,2,FALSE),""))</f>
        <v/>
      </c>
      <c r="T1201" s="40">
        <f>IF(F1201="","",IFERROR(1/(1/VLOOKUP(F1201,T_Produits,3,FALSE)),""))</f>
        <v/>
      </c>
      <c r="U1201" s="40">
        <f>IF(H1201&lt;&gt;"",H1201,T1201)</f>
        <v/>
      </c>
      <c r="V1201" s="40">
        <f>IF(OR(G1201="",U1201=""),"",G1201*U1201-N(I1201))</f>
        <v/>
      </c>
      <c r="W1201" s="39">
        <f>IF(D1201="","",IFERROR(VALUE(MID(D1201,LEN(D1201)-3,3)),""))</f>
        <v/>
      </c>
      <c r="X1201" s="33">
        <f>IF(W1201="","",P1201&amp;"|"&amp;W1201)</f>
        <v/>
      </c>
      <c r="Y1201" s="33">
        <f>IF(W1201="","",IF(P1201="À RENSEIGNER","GIC",P1201)&amp;"-"&amp;TEXT(W1201,"000"))</f>
        <v/>
      </c>
      <c r="Z1201" s="33">
        <f>IF(X1201="","",IFERROR(INDEX(Cl_nom,MATCH(X1201,Cl_cle,0)),"(client introuvable)"))</f>
        <v/>
      </c>
      <c r="AA1201" s="33">
        <f>IF(X1201="","",IFERROR(INDEX(Cl_quartier,MATCH(X1201,Cl_cle,0))&amp;"",""))</f>
        <v/>
      </c>
      <c r="AB1201" s="45">
        <f>IF(R1201&lt;&gt;"Livrée",0,IF(K1201&lt;&gt;"",K1201,C1201))</f>
        <v/>
      </c>
      <c r="AC1201" s="33">
        <f>IF(OR(C1201="",W1201=""),"",P1201&amp;"|"&amp;W1201&amp;"|"&amp;C1201&amp;"|"&amp;E1201)</f>
        <v/>
      </c>
      <c r="AD1201" s="39">
        <f>IF(AC1201="","",IF(COUNTIF(AC$6:AC1201,AC1201)=1,1,0))</f>
        <v/>
      </c>
      <c r="AE1201" s="39">
        <f>IF(AB1201=0,"",IF(COUNTIFS(X$6:X1201,X1201,AB$6:AB1201,AB1201)=1,1,0))</f>
        <v/>
      </c>
      <c r="AF1201" s="34">
        <f>IF(C1201="","",YEAR(C1201-WEEKDAY(C1201,2)+4)&amp;"-S"&amp;TEXT(INT((C1201-DATE(YEAR(C1201-WEEKDAY(C1201,2)+4),1,3)+WEEKDAY(DATE(YEAR(C1201-WEEKDAY(C1201,2)+4),1,3),2)+5)/7),"00"))</f>
        <v/>
      </c>
    </row>
    <row r="1202" ht="18" customHeight="1">
      <c r="A1202" s="39" t="n">
        <v>1197</v>
      </c>
      <c r="B1202" s="33">
        <f>IF(C1202="","",IF(P1202="À RENSEIGNER","GIC",P1202)&amp;"-C"&amp;TEXT(A1202,"00000"))</f>
        <v/>
      </c>
      <c r="C1202" s="32" t="n"/>
      <c r="D1202" s="36" t="n"/>
      <c r="E1202" s="36" t="n"/>
      <c r="F1202" s="36" t="n"/>
      <c r="G1202" s="42" t="n"/>
      <c r="H1202" s="37" t="n"/>
      <c r="I1202" s="37" t="n"/>
      <c r="J1202" s="32" t="n"/>
      <c r="K1202" s="32" t="n"/>
      <c r="L1202" s="43" t="n"/>
      <c r="M1202" s="36" t="n"/>
      <c r="N1202" s="44" t="n"/>
      <c r="O1202" s="36" t="n"/>
      <c r="P1202" s="33">
        <f>IF(C1202="","",Commercial_Id)</f>
        <v/>
      </c>
      <c r="Q1202" s="34">
        <f>IF(AC1202="","",IF(AD1202=1,"C"&amp;TEXT(SUM(AD$6:AD1202),"0000"),INDEX(Q$6:Q1201,MATCH(AC1202,AC$6:AC1201,0))))</f>
        <v/>
      </c>
      <c r="R1202" s="34">
        <f>IF(C1202="","",IF(L1202="☑ Oui","Annulée",IF(OR(E1202="Vente directe",K1202&lt;&gt;""),"Livrée",IF(J1202&lt;&gt;"","Confirmée","En attente"))))</f>
        <v/>
      </c>
      <c r="S1202" s="34">
        <f>IF(F1202="","",IFERROR(VLOOKUP(F1202,T_Produits,2,FALSE),""))</f>
        <v/>
      </c>
      <c r="T1202" s="40">
        <f>IF(F1202="","",IFERROR(1/(1/VLOOKUP(F1202,T_Produits,3,FALSE)),""))</f>
        <v/>
      </c>
      <c r="U1202" s="40">
        <f>IF(H1202&lt;&gt;"",H1202,T1202)</f>
        <v/>
      </c>
      <c r="V1202" s="40">
        <f>IF(OR(G1202="",U1202=""),"",G1202*U1202-N(I1202))</f>
        <v/>
      </c>
      <c r="W1202" s="39">
        <f>IF(D1202="","",IFERROR(VALUE(MID(D1202,LEN(D1202)-3,3)),""))</f>
        <v/>
      </c>
      <c r="X1202" s="33">
        <f>IF(W1202="","",P1202&amp;"|"&amp;W1202)</f>
        <v/>
      </c>
      <c r="Y1202" s="33">
        <f>IF(W1202="","",IF(P1202="À RENSEIGNER","GIC",P1202)&amp;"-"&amp;TEXT(W1202,"000"))</f>
        <v/>
      </c>
      <c r="Z1202" s="33">
        <f>IF(X1202="","",IFERROR(INDEX(Cl_nom,MATCH(X1202,Cl_cle,0)),"(client introuvable)"))</f>
        <v/>
      </c>
      <c r="AA1202" s="33">
        <f>IF(X1202="","",IFERROR(INDEX(Cl_quartier,MATCH(X1202,Cl_cle,0))&amp;"",""))</f>
        <v/>
      </c>
      <c r="AB1202" s="45">
        <f>IF(R1202&lt;&gt;"Livrée",0,IF(K1202&lt;&gt;"",K1202,C1202))</f>
        <v/>
      </c>
      <c r="AC1202" s="33">
        <f>IF(OR(C1202="",W1202=""),"",P1202&amp;"|"&amp;W1202&amp;"|"&amp;C1202&amp;"|"&amp;E1202)</f>
        <v/>
      </c>
      <c r="AD1202" s="39">
        <f>IF(AC1202="","",IF(COUNTIF(AC$6:AC1202,AC1202)=1,1,0))</f>
        <v/>
      </c>
      <c r="AE1202" s="39">
        <f>IF(AB1202=0,"",IF(COUNTIFS(X$6:X1202,X1202,AB$6:AB1202,AB1202)=1,1,0))</f>
        <v/>
      </c>
      <c r="AF1202" s="34">
        <f>IF(C1202="","",YEAR(C1202-WEEKDAY(C1202,2)+4)&amp;"-S"&amp;TEXT(INT((C1202-DATE(YEAR(C1202-WEEKDAY(C1202,2)+4),1,3)+WEEKDAY(DATE(YEAR(C1202-WEEKDAY(C1202,2)+4),1,3),2)+5)/7),"00"))</f>
        <v/>
      </c>
    </row>
    <row r="1203" ht="18" customHeight="1">
      <c r="A1203" s="39" t="n">
        <v>1198</v>
      </c>
      <c r="B1203" s="33">
        <f>IF(C1203="","",IF(P1203="À RENSEIGNER","GIC",P1203)&amp;"-C"&amp;TEXT(A1203,"00000"))</f>
        <v/>
      </c>
      <c r="C1203" s="32" t="n"/>
      <c r="D1203" s="36" t="n"/>
      <c r="E1203" s="36" t="n"/>
      <c r="F1203" s="36" t="n"/>
      <c r="G1203" s="42" t="n"/>
      <c r="H1203" s="37" t="n"/>
      <c r="I1203" s="37" t="n"/>
      <c r="J1203" s="32" t="n"/>
      <c r="K1203" s="32" t="n"/>
      <c r="L1203" s="43" t="n"/>
      <c r="M1203" s="36" t="n"/>
      <c r="N1203" s="44" t="n"/>
      <c r="O1203" s="36" t="n"/>
      <c r="P1203" s="33">
        <f>IF(C1203="","",Commercial_Id)</f>
        <v/>
      </c>
      <c r="Q1203" s="34">
        <f>IF(AC1203="","",IF(AD1203=1,"C"&amp;TEXT(SUM(AD$6:AD1203),"0000"),INDEX(Q$6:Q1202,MATCH(AC1203,AC$6:AC1202,0))))</f>
        <v/>
      </c>
      <c r="R1203" s="34">
        <f>IF(C1203="","",IF(L1203="☑ Oui","Annulée",IF(OR(E1203="Vente directe",K1203&lt;&gt;""),"Livrée",IF(J1203&lt;&gt;"","Confirmée","En attente"))))</f>
        <v/>
      </c>
      <c r="S1203" s="34">
        <f>IF(F1203="","",IFERROR(VLOOKUP(F1203,T_Produits,2,FALSE),""))</f>
        <v/>
      </c>
      <c r="T1203" s="40">
        <f>IF(F1203="","",IFERROR(1/(1/VLOOKUP(F1203,T_Produits,3,FALSE)),""))</f>
        <v/>
      </c>
      <c r="U1203" s="40">
        <f>IF(H1203&lt;&gt;"",H1203,T1203)</f>
        <v/>
      </c>
      <c r="V1203" s="40">
        <f>IF(OR(G1203="",U1203=""),"",G1203*U1203-N(I1203))</f>
        <v/>
      </c>
      <c r="W1203" s="39">
        <f>IF(D1203="","",IFERROR(VALUE(MID(D1203,LEN(D1203)-3,3)),""))</f>
        <v/>
      </c>
      <c r="X1203" s="33">
        <f>IF(W1203="","",P1203&amp;"|"&amp;W1203)</f>
        <v/>
      </c>
      <c r="Y1203" s="33">
        <f>IF(W1203="","",IF(P1203="À RENSEIGNER","GIC",P1203)&amp;"-"&amp;TEXT(W1203,"000"))</f>
        <v/>
      </c>
      <c r="Z1203" s="33">
        <f>IF(X1203="","",IFERROR(INDEX(Cl_nom,MATCH(X1203,Cl_cle,0)),"(client introuvable)"))</f>
        <v/>
      </c>
      <c r="AA1203" s="33">
        <f>IF(X1203="","",IFERROR(INDEX(Cl_quartier,MATCH(X1203,Cl_cle,0))&amp;"",""))</f>
        <v/>
      </c>
      <c r="AB1203" s="45">
        <f>IF(R1203&lt;&gt;"Livrée",0,IF(K1203&lt;&gt;"",K1203,C1203))</f>
        <v/>
      </c>
      <c r="AC1203" s="33">
        <f>IF(OR(C1203="",W1203=""),"",P1203&amp;"|"&amp;W1203&amp;"|"&amp;C1203&amp;"|"&amp;E1203)</f>
        <v/>
      </c>
      <c r="AD1203" s="39">
        <f>IF(AC1203="","",IF(COUNTIF(AC$6:AC1203,AC1203)=1,1,0))</f>
        <v/>
      </c>
      <c r="AE1203" s="39">
        <f>IF(AB1203=0,"",IF(COUNTIFS(X$6:X1203,X1203,AB$6:AB1203,AB1203)=1,1,0))</f>
        <v/>
      </c>
      <c r="AF1203" s="34">
        <f>IF(C1203="","",YEAR(C1203-WEEKDAY(C1203,2)+4)&amp;"-S"&amp;TEXT(INT((C1203-DATE(YEAR(C1203-WEEKDAY(C1203,2)+4),1,3)+WEEKDAY(DATE(YEAR(C1203-WEEKDAY(C1203,2)+4),1,3),2)+5)/7),"00"))</f>
        <v/>
      </c>
    </row>
    <row r="1204" ht="18" customHeight="1">
      <c r="A1204" s="39" t="n">
        <v>1199</v>
      </c>
      <c r="B1204" s="33">
        <f>IF(C1204="","",IF(P1204="À RENSEIGNER","GIC",P1204)&amp;"-C"&amp;TEXT(A1204,"00000"))</f>
        <v/>
      </c>
      <c r="C1204" s="32" t="n"/>
      <c r="D1204" s="36" t="n"/>
      <c r="E1204" s="36" t="n"/>
      <c r="F1204" s="36" t="n"/>
      <c r="G1204" s="42" t="n"/>
      <c r="H1204" s="37" t="n"/>
      <c r="I1204" s="37" t="n"/>
      <c r="J1204" s="32" t="n"/>
      <c r="K1204" s="32" t="n"/>
      <c r="L1204" s="43" t="n"/>
      <c r="M1204" s="36" t="n"/>
      <c r="N1204" s="44" t="n"/>
      <c r="O1204" s="36" t="n"/>
      <c r="P1204" s="33">
        <f>IF(C1204="","",Commercial_Id)</f>
        <v/>
      </c>
      <c r="Q1204" s="34">
        <f>IF(AC1204="","",IF(AD1204=1,"C"&amp;TEXT(SUM(AD$6:AD1204),"0000"),INDEX(Q$6:Q1203,MATCH(AC1204,AC$6:AC1203,0))))</f>
        <v/>
      </c>
      <c r="R1204" s="34">
        <f>IF(C1204="","",IF(L1204="☑ Oui","Annulée",IF(OR(E1204="Vente directe",K1204&lt;&gt;""),"Livrée",IF(J1204&lt;&gt;"","Confirmée","En attente"))))</f>
        <v/>
      </c>
      <c r="S1204" s="34">
        <f>IF(F1204="","",IFERROR(VLOOKUP(F1204,T_Produits,2,FALSE),""))</f>
        <v/>
      </c>
      <c r="T1204" s="40">
        <f>IF(F1204="","",IFERROR(1/(1/VLOOKUP(F1204,T_Produits,3,FALSE)),""))</f>
        <v/>
      </c>
      <c r="U1204" s="40">
        <f>IF(H1204&lt;&gt;"",H1204,T1204)</f>
        <v/>
      </c>
      <c r="V1204" s="40">
        <f>IF(OR(G1204="",U1204=""),"",G1204*U1204-N(I1204))</f>
        <v/>
      </c>
      <c r="W1204" s="39">
        <f>IF(D1204="","",IFERROR(VALUE(MID(D1204,LEN(D1204)-3,3)),""))</f>
        <v/>
      </c>
      <c r="X1204" s="33">
        <f>IF(W1204="","",P1204&amp;"|"&amp;W1204)</f>
        <v/>
      </c>
      <c r="Y1204" s="33">
        <f>IF(W1204="","",IF(P1204="À RENSEIGNER","GIC",P1204)&amp;"-"&amp;TEXT(W1204,"000"))</f>
        <v/>
      </c>
      <c r="Z1204" s="33">
        <f>IF(X1204="","",IFERROR(INDEX(Cl_nom,MATCH(X1204,Cl_cle,0)),"(client introuvable)"))</f>
        <v/>
      </c>
      <c r="AA1204" s="33">
        <f>IF(X1204="","",IFERROR(INDEX(Cl_quartier,MATCH(X1204,Cl_cle,0))&amp;"",""))</f>
        <v/>
      </c>
      <c r="AB1204" s="45">
        <f>IF(R1204&lt;&gt;"Livrée",0,IF(K1204&lt;&gt;"",K1204,C1204))</f>
        <v/>
      </c>
      <c r="AC1204" s="33">
        <f>IF(OR(C1204="",W1204=""),"",P1204&amp;"|"&amp;W1204&amp;"|"&amp;C1204&amp;"|"&amp;E1204)</f>
        <v/>
      </c>
      <c r="AD1204" s="39">
        <f>IF(AC1204="","",IF(COUNTIF(AC$6:AC1204,AC1204)=1,1,0))</f>
        <v/>
      </c>
      <c r="AE1204" s="39">
        <f>IF(AB1204=0,"",IF(COUNTIFS(X$6:X1204,X1204,AB$6:AB1204,AB1204)=1,1,0))</f>
        <v/>
      </c>
      <c r="AF1204" s="34">
        <f>IF(C1204="","",YEAR(C1204-WEEKDAY(C1204,2)+4)&amp;"-S"&amp;TEXT(INT((C1204-DATE(YEAR(C1204-WEEKDAY(C1204,2)+4),1,3)+WEEKDAY(DATE(YEAR(C1204-WEEKDAY(C1204,2)+4),1,3),2)+5)/7),"00"))</f>
        <v/>
      </c>
    </row>
    <row r="1205" ht="18" customHeight="1">
      <c r="A1205" s="39" t="n">
        <v>1200</v>
      </c>
      <c r="B1205" s="33">
        <f>IF(C1205="","",IF(P1205="À RENSEIGNER","GIC",P1205)&amp;"-C"&amp;TEXT(A1205,"00000"))</f>
        <v/>
      </c>
      <c r="C1205" s="32" t="n"/>
      <c r="D1205" s="36" t="n"/>
      <c r="E1205" s="36" t="n"/>
      <c r="F1205" s="36" t="n"/>
      <c r="G1205" s="42" t="n"/>
      <c r="H1205" s="37" t="n"/>
      <c r="I1205" s="37" t="n"/>
      <c r="J1205" s="32" t="n"/>
      <c r="K1205" s="32" t="n"/>
      <c r="L1205" s="43" t="n"/>
      <c r="M1205" s="36" t="n"/>
      <c r="N1205" s="44" t="n"/>
      <c r="O1205" s="36" t="n"/>
      <c r="P1205" s="33">
        <f>IF(C1205="","",Commercial_Id)</f>
        <v/>
      </c>
      <c r="Q1205" s="34">
        <f>IF(AC1205="","",IF(AD1205=1,"C"&amp;TEXT(SUM(AD$6:AD1205),"0000"),INDEX(Q$6:Q1204,MATCH(AC1205,AC$6:AC1204,0))))</f>
        <v/>
      </c>
      <c r="R1205" s="34">
        <f>IF(C1205="","",IF(L1205="☑ Oui","Annulée",IF(OR(E1205="Vente directe",K1205&lt;&gt;""),"Livrée",IF(J1205&lt;&gt;"","Confirmée","En attente"))))</f>
        <v/>
      </c>
      <c r="S1205" s="34">
        <f>IF(F1205="","",IFERROR(VLOOKUP(F1205,T_Produits,2,FALSE),""))</f>
        <v/>
      </c>
      <c r="T1205" s="40">
        <f>IF(F1205="","",IFERROR(1/(1/VLOOKUP(F1205,T_Produits,3,FALSE)),""))</f>
        <v/>
      </c>
      <c r="U1205" s="40">
        <f>IF(H1205&lt;&gt;"",H1205,T1205)</f>
        <v/>
      </c>
      <c r="V1205" s="40">
        <f>IF(OR(G1205="",U1205=""),"",G1205*U1205-N(I1205))</f>
        <v/>
      </c>
      <c r="W1205" s="39">
        <f>IF(D1205="","",IFERROR(VALUE(MID(D1205,LEN(D1205)-3,3)),""))</f>
        <v/>
      </c>
      <c r="X1205" s="33">
        <f>IF(W1205="","",P1205&amp;"|"&amp;W1205)</f>
        <v/>
      </c>
      <c r="Y1205" s="33">
        <f>IF(W1205="","",IF(P1205="À RENSEIGNER","GIC",P1205)&amp;"-"&amp;TEXT(W1205,"000"))</f>
        <v/>
      </c>
      <c r="Z1205" s="33">
        <f>IF(X1205="","",IFERROR(INDEX(Cl_nom,MATCH(X1205,Cl_cle,0)),"(client introuvable)"))</f>
        <v/>
      </c>
      <c r="AA1205" s="33">
        <f>IF(X1205="","",IFERROR(INDEX(Cl_quartier,MATCH(X1205,Cl_cle,0))&amp;"",""))</f>
        <v/>
      </c>
      <c r="AB1205" s="45">
        <f>IF(R1205&lt;&gt;"Livrée",0,IF(K1205&lt;&gt;"",K1205,C1205))</f>
        <v/>
      </c>
      <c r="AC1205" s="33">
        <f>IF(OR(C1205="",W1205=""),"",P1205&amp;"|"&amp;W1205&amp;"|"&amp;C1205&amp;"|"&amp;E1205)</f>
        <v/>
      </c>
      <c r="AD1205" s="39">
        <f>IF(AC1205="","",IF(COUNTIF(AC$6:AC1205,AC1205)=1,1,0))</f>
        <v/>
      </c>
      <c r="AE1205" s="39">
        <f>IF(AB1205=0,"",IF(COUNTIFS(X$6:X1205,X1205,AB$6:AB1205,AB1205)=1,1,0))</f>
        <v/>
      </c>
      <c r="AF1205" s="34">
        <f>IF(C1205="","",YEAR(C1205-WEEKDAY(C1205,2)+4)&amp;"-S"&amp;TEXT(INT((C1205-DATE(YEAR(C1205-WEEKDAY(C1205,2)+4),1,3)+WEEKDAY(DATE(YEAR(C1205-WEEKDAY(C1205,2)+4),1,3),2)+5)/7),"00"))</f>
        <v/>
      </c>
    </row>
    <row r="1206" ht="18" customHeight="1">
      <c r="A1206" s="39" t="n">
        <v>1201</v>
      </c>
      <c r="B1206" s="33">
        <f>IF(C1206="","",IF(P1206="À RENSEIGNER","GIC",P1206)&amp;"-C"&amp;TEXT(A1206,"00000"))</f>
        <v/>
      </c>
      <c r="C1206" s="32" t="n"/>
      <c r="D1206" s="36" t="n"/>
      <c r="E1206" s="36" t="n"/>
      <c r="F1206" s="36" t="n"/>
      <c r="G1206" s="42" t="n"/>
      <c r="H1206" s="37" t="n"/>
      <c r="I1206" s="37" t="n"/>
      <c r="J1206" s="32" t="n"/>
      <c r="K1206" s="32" t="n"/>
      <c r="L1206" s="43" t="n"/>
      <c r="M1206" s="36" t="n"/>
      <c r="N1206" s="44" t="n"/>
      <c r="O1206" s="36" t="n"/>
      <c r="P1206" s="33">
        <f>IF(C1206="","",Commercial_Id)</f>
        <v/>
      </c>
      <c r="Q1206" s="34">
        <f>IF(AC1206="","",IF(AD1206=1,"C"&amp;TEXT(SUM(AD$6:AD1206),"0000"),INDEX(Q$6:Q1205,MATCH(AC1206,AC$6:AC1205,0))))</f>
        <v/>
      </c>
      <c r="R1206" s="34">
        <f>IF(C1206="","",IF(L1206="☑ Oui","Annulée",IF(OR(E1206="Vente directe",K1206&lt;&gt;""),"Livrée",IF(J1206&lt;&gt;"","Confirmée","En attente"))))</f>
        <v/>
      </c>
      <c r="S1206" s="34">
        <f>IF(F1206="","",IFERROR(VLOOKUP(F1206,T_Produits,2,FALSE),""))</f>
        <v/>
      </c>
      <c r="T1206" s="40">
        <f>IF(F1206="","",IFERROR(1/(1/VLOOKUP(F1206,T_Produits,3,FALSE)),""))</f>
        <v/>
      </c>
      <c r="U1206" s="40">
        <f>IF(H1206&lt;&gt;"",H1206,T1206)</f>
        <v/>
      </c>
      <c r="V1206" s="40">
        <f>IF(OR(G1206="",U1206=""),"",G1206*U1206-N(I1206))</f>
        <v/>
      </c>
      <c r="W1206" s="39">
        <f>IF(D1206="","",IFERROR(VALUE(MID(D1206,LEN(D1206)-3,3)),""))</f>
        <v/>
      </c>
      <c r="X1206" s="33">
        <f>IF(W1206="","",P1206&amp;"|"&amp;W1206)</f>
        <v/>
      </c>
      <c r="Y1206" s="33">
        <f>IF(W1206="","",IF(P1206="À RENSEIGNER","GIC",P1206)&amp;"-"&amp;TEXT(W1206,"000"))</f>
        <v/>
      </c>
      <c r="Z1206" s="33">
        <f>IF(X1206="","",IFERROR(INDEX(Cl_nom,MATCH(X1206,Cl_cle,0)),"(client introuvable)"))</f>
        <v/>
      </c>
      <c r="AA1206" s="33">
        <f>IF(X1206="","",IFERROR(INDEX(Cl_quartier,MATCH(X1206,Cl_cle,0))&amp;"",""))</f>
        <v/>
      </c>
      <c r="AB1206" s="45">
        <f>IF(R1206&lt;&gt;"Livrée",0,IF(K1206&lt;&gt;"",K1206,C1206))</f>
        <v/>
      </c>
      <c r="AC1206" s="33">
        <f>IF(OR(C1206="",W1206=""),"",P1206&amp;"|"&amp;W1206&amp;"|"&amp;C1206&amp;"|"&amp;E1206)</f>
        <v/>
      </c>
      <c r="AD1206" s="39">
        <f>IF(AC1206="","",IF(COUNTIF(AC$6:AC1206,AC1206)=1,1,0))</f>
        <v/>
      </c>
      <c r="AE1206" s="39">
        <f>IF(AB1206=0,"",IF(COUNTIFS(X$6:X1206,X1206,AB$6:AB1206,AB1206)=1,1,0))</f>
        <v/>
      </c>
      <c r="AF1206" s="34">
        <f>IF(C1206="","",YEAR(C1206-WEEKDAY(C1206,2)+4)&amp;"-S"&amp;TEXT(INT((C1206-DATE(YEAR(C1206-WEEKDAY(C1206,2)+4),1,3)+WEEKDAY(DATE(YEAR(C1206-WEEKDAY(C1206,2)+4),1,3),2)+5)/7),"00"))</f>
        <v/>
      </c>
    </row>
    <row r="1207" ht="18" customHeight="1">
      <c r="A1207" s="39" t="n">
        <v>1202</v>
      </c>
      <c r="B1207" s="33">
        <f>IF(C1207="","",IF(P1207="À RENSEIGNER","GIC",P1207)&amp;"-C"&amp;TEXT(A1207,"00000"))</f>
        <v/>
      </c>
      <c r="C1207" s="32" t="n"/>
      <c r="D1207" s="36" t="n"/>
      <c r="E1207" s="36" t="n"/>
      <c r="F1207" s="36" t="n"/>
      <c r="G1207" s="42" t="n"/>
      <c r="H1207" s="37" t="n"/>
      <c r="I1207" s="37" t="n"/>
      <c r="J1207" s="32" t="n"/>
      <c r="K1207" s="32" t="n"/>
      <c r="L1207" s="43" t="n"/>
      <c r="M1207" s="36" t="n"/>
      <c r="N1207" s="44" t="n"/>
      <c r="O1207" s="36" t="n"/>
      <c r="P1207" s="33">
        <f>IF(C1207="","",Commercial_Id)</f>
        <v/>
      </c>
      <c r="Q1207" s="34">
        <f>IF(AC1207="","",IF(AD1207=1,"C"&amp;TEXT(SUM(AD$6:AD1207),"0000"),INDEX(Q$6:Q1206,MATCH(AC1207,AC$6:AC1206,0))))</f>
        <v/>
      </c>
      <c r="R1207" s="34">
        <f>IF(C1207="","",IF(L1207="☑ Oui","Annulée",IF(OR(E1207="Vente directe",K1207&lt;&gt;""),"Livrée",IF(J1207&lt;&gt;"","Confirmée","En attente"))))</f>
        <v/>
      </c>
      <c r="S1207" s="34">
        <f>IF(F1207="","",IFERROR(VLOOKUP(F1207,T_Produits,2,FALSE),""))</f>
        <v/>
      </c>
      <c r="T1207" s="40">
        <f>IF(F1207="","",IFERROR(1/(1/VLOOKUP(F1207,T_Produits,3,FALSE)),""))</f>
        <v/>
      </c>
      <c r="U1207" s="40">
        <f>IF(H1207&lt;&gt;"",H1207,T1207)</f>
        <v/>
      </c>
      <c r="V1207" s="40">
        <f>IF(OR(G1207="",U1207=""),"",G1207*U1207-N(I1207))</f>
        <v/>
      </c>
      <c r="W1207" s="39">
        <f>IF(D1207="","",IFERROR(VALUE(MID(D1207,LEN(D1207)-3,3)),""))</f>
        <v/>
      </c>
      <c r="X1207" s="33">
        <f>IF(W1207="","",P1207&amp;"|"&amp;W1207)</f>
        <v/>
      </c>
      <c r="Y1207" s="33">
        <f>IF(W1207="","",IF(P1207="À RENSEIGNER","GIC",P1207)&amp;"-"&amp;TEXT(W1207,"000"))</f>
        <v/>
      </c>
      <c r="Z1207" s="33">
        <f>IF(X1207="","",IFERROR(INDEX(Cl_nom,MATCH(X1207,Cl_cle,0)),"(client introuvable)"))</f>
        <v/>
      </c>
      <c r="AA1207" s="33">
        <f>IF(X1207="","",IFERROR(INDEX(Cl_quartier,MATCH(X1207,Cl_cle,0))&amp;"",""))</f>
        <v/>
      </c>
      <c r="AB1207" s="45">
        <f>IF(R1207&lt;&gt;"Livrée",0,IF(K1207&lt;&gt;"",K1207,C1207))</f>
        <v/>
      </c>
      <c r="AC1207" s="33">
        <f>IF(OR(C1207="",W1207=""),"",P1207&amp;"|"&amp;W1207&amp;"|"&amp;C1207&amp;"|"&amp;E1207)</f>
        <v/>
      </c>
      <c r="AD1207" s="39">
        <f>IF(AC1207="","",IF(COUNTIF(AC$6:AC1207,AC1207)=1,1,0))</f>
        <v/>
      </c>
      <c r="AE1207" s="39">
        <f>IF(AB1207=0,"",IF(COUNTIFS(X$6:X1207,X1207,AB$6:AB1207,AB1207)=1,1,0))</f>
        <v/>
      </c>
      <c r="AF1207" s="34">
        <f>IF(C1207="","",YEAR(C1207-WEEKDAY(C1207,2)+4)&amp;"-S"&amp;TEXT(INT((C1207-DATE(YEAR(C1207-WEEKDAY(C1207,2)+4),1,3)+WEEKDAY(DATE(YEAR(C1207-WEEKDAY(C1207,2)+4),1,3),2)+5)/7),"00"))</f>
        <v/>
      </c>
    </row>
    <row r="1208" ht="18" customHeight="1">
      <c r="A1208" s="39" t="n">
        <v>1203</v>
      </c>
      <c r="B1208" s="33">
        <f>IF(C1208="","",IF(P1208="À RENSEIGNER","GIC",P1208)&amp;"-C"&amp;TEXT(A1208,"00000"))</f>
        <v/>
      </c>
      <c r="C1208" s="32" t="n"/>
      <c r="D1208" s="36" t="n"/>
      <c r="E1208" s="36" t="n"/>
      <c r="F1208" s="36" t="n"/>
      <c r="G1208" s="42" t="n"/>
      <c r="H1208" s="37" t="n"/>
      <c r="I1208" s="37" t="n"/>
      <c r="J1208" s="32" t="n"/>
      <c r="K1208" s="32" t="n"/>
      <c r="L1208" s="43" t="n"/>
      <c r="M1208" s="36" t="n"/>
      <c r="N1208" s="44" t="n"/>
      <c r="O1208" s="36" t="n"/>
      <c r="P1208" s="33">
        <f>IF(C1208="","",Commercial_Id)</f>
        <v/>
      </c>
      <c r="Q1208" s="34">
        <f>IF(AC1208="","",IF(AD1208=1,"C"&amp;TEXT(SUM(AD$6:AD1208),"0000"),INDEX(Q$6:Q1207,MATCH(AC1208,AC$6:AC1207,0))))</f>
        <v/>
      </c>
      <c r="R1208" s="34">
        <f>IF(C1208="","",IF(L1208="☑ Oui","Annulée",IF(OR(E1208="Vente directe",K1208&lt;&gt;""),"Livrée",IF(J1208&lt;&gt;"","Confirmée","En attente"))))</f>
        <v/>
      </c>
      <c r="S1208" s="34">
        <f>IF(F1208="","",IFERROR(VLOOKUP(F1208,T_Produits,2,FALSE),""))</f>
        <v/>
      </c>
      <c r="T1208" s="40">
        <f>IF(F1208="","",IFERROR(1/(1/VLOOKUP(F1208,T_Produits,3,FALSE)),""))</f>
        <v/>
      </c>
      <c r="U1208" s="40">
        <f>IF(H1208&lt;&gt;"",H1208,T1208)</f>
        <v/>
      </c>
      <c r="V1208" s="40">
        <f>IF(OR(G1208="",U1208=""),"",G1208*U1208-N(I1208))</f>
        <v/>
      </c>
      <c r="W1208" s="39">
        <f>IF(D1208="","",IFERROR(VALUE(MID(D1208,LEN(D1208)-3,3)),""))</f>
        <v/>
      </c>
      <c r="X1208" s="33">
        <f>IF(W1208="","",P1208&amp;"|"&amp;W1208)</f>
        <v/>
      </c>
      <c r="Y1208" s="33">
        <f>IF(W1208="","",IF(P1208="À RENSEIGNER","GIC",P1208)&amp;"-"&amp;TEXT(W1208,"000"))</f>
        <v/>
      </c>
      <c r="Z1208" s="33">
        <f>IF(X1208="","",IFERROR(INDEX(Cl_nom,MATCH(X1208,Cl_cle,0)),"(client introuvable)"))</f>
        <v/>
      </c>
      <c r="AA1208" s="33">
        <f>IF(X1208="","",IFERROR(INDEX(Cl_quartier,MATCH(X1208,Cl_cle,0))&amp;"",""))</f>
        <v/>
      </c>
      <c r="AB1208" s="45">
        <f>IF(R1208&lt;&gt;"Livrée",0,IF(K1208&lt;&gt;"",K1208,C1208))</f>
        <v/>
      </c>
      <c r="AC1208" s="33">
        <f>IF(OR(C1208="",W1208=""),"",P1208&amp;"|"&amp;W1208&amp;"|"&amp;C1208&amp;"|"&amp;E1208)</f>
        <v/>
      </c>
      <c r="AD1208" s="39">
        <f>IF(AC1208="","",IF(COUNTIF(AC$6:AC1208,AC1208)=1,1,0))</f>
        <v/>
      </c>
      <c r="AE1208" s="39">
        <f>IF(AB1208=0,"",IF(COUNTIFS(X$6:X1208,X1208,AB$6:AB1208,AB1208)=1,1,0))</f>
        <v/>
      </c>
      <c r="AF1208" s="34">
        <f>IF(C1208="","",YEAR(C1208-WEEKDAY(C1208,2)+4)&amp;"-S"&amp;TEXT(INT((C1208-DATE(YEAR(C1208-WEEKDAY(C1208,2)+4),1,3)+WEEKDAY(DATE(YEAR(C1208-WEEKDAY(C1208,2)+4),1,3),2)+5)/7),"00"))</f>
        <v/>
      </c>
    </row>
    <row r="1209" ht="18" customHeight="1">
      <c r="A1209" s="39" t="n">
        <v>1204</v>
      </c>
      <c r="B1209" s="33">
        <f>IF(C1209="","",IF(P1209="À RENSEIGNER","GIC",P1209)&amp;"-C"&amp;TEXT(A1209,"00000"))</f>
        <v/>
      </c>
      <c r="C1209" s="32" t="n"/>
      <c r="D1209" s="36" t="n"/>
      <c r="E1209" s="36" t="n"/>
      <c r="F1209" s="36" t="n"/>
      <c r="G1209" s="42" t="n"/>
      <c r="H1209" s="37" t="n"/>
      <c r="I1209" s="37" t="n"/>
      <c r="J1209" s="32" t="n"/>
      <c r="K1209" s="32" t="n"/>
      <c r="L1209" s="43" t="n"/>
      <c r="M1209" s="36" t="n"/>
      <c r="N1209" s="44" t="n"/>
      <c r="O1209" s="36" t="n"/>
      <c r="P1209" s="33">
        <f>IF(C1209="","",Commercial_Id)</f>
        <v/>
      </c>
      <c r="Q1209" s="34">
        <f>IF(AC1209="","",IF(AD1209=1,"C"&amp;TEXT(SUM(AD$6:AD1209),"0000"),INDEX(Q$6:Q1208,MATCH(AC1209,AC$6:AC1208,0))))</f>
        <v/>
      </c>
      <c r="R1209" s="34">
        <f>IF(C1209="","",IF(L1209="☑ Oui","Annulée",IF(OR(E1209="Vente directe",K1209&lt;&gt;""),"Livrée",IF(J1209&lt;&gt;"","Confirmée","En attente"))))</f>
        <v/>
      </c>
      <c r="S1209" s="34">
        <f>IF(F1209="","",IFERROR(VLOOKUP(F1209,T_Produits,2,FALSE),""))</f>
        <v/>
      </c>
      <c r="T1209" s="40">
        <f>IF(F1209="","",IFERROR(1/(1/VLOOKUP(F1209,T_Produits,3,FALSE)),""))</f>
        <v/>
      </c>
      <c r="U1209" s="40">
        <f>IF(H1209&lt;&gt;"",H1209,T1209)</f>
        <v/>
      </c>
      <c r="V1209" s="40">
        <f>IF(OR(G1209="",U1209=""),"",G1209*U1209-N(I1209))</f>
        <v/>
      </c>
      <c r="W1209" s="39">
        <f>IF(D1209="","",IFERROR(VALUE(MID(D1209,LEN(D1209)-3,3)),""))</f>
        <v/>
      </c>
      <c r="X1209" s="33">
        <f>IF(W1209="","",P1209&amp;"|"&amp;W1209)</f>
        <v/>
      </c>
      <c r="Y1209" s="33">
        <f>IF(W1209="","",IF(P1209="À RENSEIGNER","GIC",P1209)&amp;"-"&amp;TEXT(W1209,"000"))</f>
        <v/>
      </c>
      <c r="Z1209" s="33">
        <f>IF(X1209="","",IFERROR(INDEX(Cl_nom,MATCH(X1209,Cl_cle,0)),"(client introuvable)"))</f>
        <v/>
      </c>
      <c r="AA1209" s="33">
        <f>IF(X1209="","",IFERROR(INDEX(Cl_quartier,MATCH(X1209,Cl_cle,0))&amp;"",""))</f>
        <v/>
      </c>
      <c r="AB1209" s="45">
        <f>IF(R1209&lt;&gt;"Livrée",0,IF(K1209&lt;&gt;"",K1209,C1209))</f>
        <v/>
      </c>
      <c r="AC1209" s="33">
        <f>IF(OR(C1209="",W1209=""),"",P1209&amp;"|"&amp;W1209&amp;"|"&amp;C1209&amp;"|"&amp;E1209)</f>
        <v/>
      </c>
      <c r="AD1209" s="39">
        <f>IF(AC1209="","",IF(COUNTIF(AC$6:AC1209,AC1209)=1,1,0))</f>
        <v/>
      </c>
      <c r="AE1209" s="39">
        <f>IF(AB1209=0,"",IF(COUNTIFS(X$6:X1209,X1209,AB$6:AB1209,AB1209)=1,1,0))</f>
        <v/>
      </c>
      <c r="AF1209" s="34">
        <f>IF(C1209="","",YEAR(C1209-WEEKDAY(C1209,2)+4)&amp;"-S"&amp;TEXT(INT((C1209-DATE(YEAR(C1209-WEEKDAY(C1209,2)+4),1,3)+WEEKDAY(DATE(YEAR(C1209-WEEKDAY(C1209,2)+4),1,3),2)+5)/7),"00"))</f>
        <v/>
      </c>
    </row>
    <row r="1210" ht="18" customHeight="1">
      <c r="A1210" s="39" t="n">
        <v>1205</v>
      </c>
      <c r="B1210" s="33">
        <f>IF(C1210="","",IF(P1210="À RENSEIGNER","GIC",P1210)&amp;"-C"&amp;TEXT(A1210,"00000"))</f>
        <v/>
      </c>
      <c r="C1210" s="32" t="n"/>
      <c r="D1210" s="36" t="n"/>
      <c r="E1210" s="36" t="n"/>
      <c r="F1210" s="36" t="n"/>
      <c r="G1210" s="42" t="n"/>
      <c r="H1210" s="37" t="n"/>
      <c r="I1210" s="37" t="n"/>
      <c r="J1210" s="32" t="n"/>
      <c r="K1210" s="32" t="n"/>
      <c r="L1210" s="43" t="n"/>
      <c r="M1210" s="36" t="n"/>
      <c r="N1210" s="44" t="n"/>
      <c r="O1210" s="36" t="n"/>
      <c r="P1210" s="33">
        <f>IF(C1210="","",Commercial_Id)</f>
        <v/>
      </c>
      <c r="Q1210" s="34">
        <f>IF(AC1210="","",IF(AD1210=1,"C"&amp;TEXT(SUM(AD$6:AD1210),"0000"),INDEX(Q$6:Q1209,MATCH(AC1210,AC$6:AC1209,0))))</f>
        <v/>
      </c>
      <c r="R1210" s="34">
        <f>IF(C1210="","",IF(L1210="☑ Oui","Annulée",IF(OR(E1210="Vente directe",K1210&lt;&gt;""),"Livrée",IF(J1210&lt;&gt;"","Confirmée","En attente"))))</f>
        <v/>
      </c>
      <c r="S1210" s="34">
        <f>IF(F1210="","",IFERROR(VLOOKUP(F1210,T_Produits,2,FALSE),""))</f>
        <v/>
      </c>
      <c r="T1210" s="40">
        <f>IF(F1210="","",IFERROR(1/(1/VLOOKUP(F1210,T_Produits,3,FALSE)),""))</f>
        <v/>
      </c>
      <c r="U1210" s="40">
        <f>IF(H1210&lt;&gt;"",H1210,T1210)</f>
        <v/>
      </c>
      <c r="V1210" s="40">
        <f>IF(OR(G1210="",U1210=""),"",G1210*U1210-N(I1210))</f>
        <v/>
      </c>
      <c r="W1210" s="39">
        <f>IF(D1210="","",IFERROR(VALUE(MID(D1210,LEN(D1210)-3,3)),""))</f>
        <v/>
      </c>
      <c r="X1210" s="33">
        <f>IF(W1210="","",P1210&amp;"|"&amp;W1210)</f>
        <v/>
      </c>
      <c r="Y1210" s="33">
        <f>IF(W1210="","",IF(P1210="À RENSEIGNER","GIC",P1210)&amp;"-"&amp;TEXT(W1210,"000"))</f>
        <v/>
      </c>
      <c r="Z1210" s="33">
        <f>IF(X1210="","",IFERROR(INDEX(Cl_nom,MATCH(X1210,Cl_cle,0)),"(client introuvable)"))</f>
        <v/>
      </c>
      <c r="AA1210" s="33">
        <f>IF(X1210="","",IFERROR(INDEX(Cl_quartier,MATCH(X1210,Cl_cle,0))&amp;"",""))</f>
        <v/>
      </c>
      <c r="AB1210" s="45">
        <f>IF(R1210&lt;&gt;"Livrée",0,IF(K1210&lt;&gt;"",K1210,C1210))</f>
        <v/>
      </c>
      <c r="AC1210" s="33">
        <f>IF(OR(C1210="",W1210=""),"",P1210&amp;"|"&amp;W1210&amp;"|"&amp;C1210&amp;"|"&amp;E1210)</f>
        <v/>
      </c>
      <c r="AD1210" s="39">
        <f>IF(AC1210="","",IF(COUNTIF(AC$6:AC1210,AC1210)=1,1,0))</f>
        <v/>
      </c>
      <c r="AE1210" s="39">
        <f>IF(AB1210=0,"",IF(COUNTIFS(X$6:X1210,X1210,AB$6:AB1210,AB1210)=1,1,0))</f>
        <v/>
      </c>
      <c r="AF1210" s="34">
        <f>IF(C1210="","",YEAR(C1210-WEEKDAY(C1210,2)+4)&amp;"-S"&amp;TEXT(INT((C1210-DATE(YEAR(C1210-WEEKDAY(C1210,2)+4),1,3)+WEEKDAY(DATE(YEAR(C1210-WEEKDAY(C1210,2)+4),1,3),2)+5)/7),"00"))</f>
        <v/>
      </c>
    </row>
    <row r="1211" ht="18" customHeight="1">
      <c r="A1211" s="39" t="n">
        <v>1206</v>
      </c>
      <c r="B1211" s="33">
        <f>IF(C1211="","",IF(P1211="À RENSEIGNER","GIC",P1211)&amp;"-C"&amp;TEXT(A1211,"00000"))</f>
        <v/>
      </c>
      <c r="C1211" s="32" t="n"/>
      <c r="D1211" s="36" t="n"/>
      <c r="E1211" s="36" t="n"/>
      <c r="F1211" s="36" t="n"/>
      <c r="G1211" s="42" t="n"/>
      <c r="H1211" s="37" t="n"/>
      <c r="I1211" s="37" t="n"/>
      <c r="J1211" s="32" t="n"/>
      <c r="K1211" s="32" t="n"/>
      <c r="L1211" s="43" t="n"/>
      <c r="M1211" s="36" t="n"/>
      <c r="N1211" s="44" t="n"/>
      <c r="O1211" s="36" t="n"/>
      <c r="P1211" s="33">
        <f>IF(C1211="","",Commercial_Id)</f>
        <v/>
      </c>
      <c r="Q1211" s="34">
        <f>IF(AC1211="","",IF(AD1211=1,"C"&amp;TEXT(SUM(AD$6:AD1211),"0000"),INDEX(Q$6:Q1210,MATCH(AC1211,AC$6:AC1210,0))))</f>
        <v/>
      </c>
      <c r="R1211" s="34">
        <f>IF(C1211="","",IF(L1211="☑ Oui","Annulée",IF(OR(E1211="Vente directe",K1211&lt;&gt;""),"Livrée",IF(J1211&lt;&gt;"","Confirmée","En attente"))))</f>
        <v/>
      </c>
      <c r="S1211" s="34">
        <f>IF(F1211="","",IFERROR(VLOOKUP(F1211,T_Produits,2,FALSE),""))</f>
        <v/>
      </c>
      <c r="T1211" s="40">
        <f>IF(F1211="","",IFERROR(1/(1/VLOOKUP(F1211,T_Produits,3,FALSE)),""))</f>
        <v/>
      </c>
      <c r="U1211" s="40">
        <f>IF(H1211&lt;&gt;"",H1211,T1211)</f>
        <v/>
      </c>
      <c r="V1211" s="40">
        <f>IF(OR(G1211="",U1211=""),"",G1211*U1211-N(I1211))</f>
        <v/>
      </c>
      <c r="W1211" s="39">
        <f>IF(D1211="","",IFERROR(VALUE(MID(D1211,LEN(D1211)-3,3)),""))</f>
        <v/>
      </c>
      <c r="X1211" s="33">
        <f>IF(W1211="","",P1211&amp;"|"&amp;W1211)</f>
        <v/>
      </c>
      <c r="Y1211" s="33">
        <f>IF(W1211="","",IF(P1211="À RENSEIGNER","GIC",P1211)&amp;"-"&amp;TEXT(W1211,"000"))</f>
        <v/>
      </c>
      <c r="Z1211" s="33">
        <f>IF(X1211="","",IFERROR(INDEX(Cl_nom,MATCH(X1211,Cl_cle,0)),"(client introuvable)"))</f>
        <v/>
      </c>
      <c r="AA1211" s="33">
        <f>IF(X1211="","",IFERROR(INDEX(Cl_quartier,MATCH(X1211,Cl_cle,0))&amp;"",""))</f>
        <v/>
      </c>
      <c r="AB1211" s="45">
        <f>IF(R1211&lt;&gt;"Livrée",0,IF(K1211&lt;&gt;"",K1211,C1211))</f>
        <v/>
      </c>
      <c r="AC1211" s="33">
        <f>IF(OR(C1211="",W1211=""),"",P1211&amp;"|"&amp;W1211&amp;"|"&amp;C1211&amp;"|"&amp;E1211)</f>
        <v/>
      </c>
      <c r="AD1211" s="39">
        <f>IF(AC1211="","",IF(COUNTIF(AC$6:AC1211,AC1211)=1,1,0))</f>
        <v/>
      </c>
      <c r="AE1211" s="39">
        <f>IF(AB1211=0,"",IF(COUNTIFS(X$6:X1211,X1211,AB$6:AB1211,AB1211)=1,1,0))</f>
        <v/>
      </c>
      <c r="AF1211" s="34">
        <f>IF(C1211="","",YEAR(C1211-WEEKDAY(C1211,2)+4)&amp;"-S"&amp;TEXT(INT((C1211-DATE(YEAR(C1211-WEEKDAY(C1211,2)+4),1,3)+WEEKDAY(DATE(YEAR(C1211-WEEKDAY(C1211,2)+4),1,3),2)+5)/7),"00"))</f>
        <v/>
      </c>
    </row>
    <row r="1212" ht="18" customHeight="1">
      <c r="A1212" s="39" t="n">
        <v>1207</v>
      </c>
      <c r="B1212" s="33">
        <f>IF(C1212="","",IF(P1212="À RENSEIGNER","GIC",P1212)&amp;"-C"&amp;TEXT(A1212,"00000"))</f>
        <v/>
      </c>
      <c r="C1212" s="32" t="n"/>
      <c r="D1212" s="36" t="n"/>
      <c r="E1212" s="36" t="n"/>
      <c r="F1212" s="36" t="n"/>
      <c r="G1212" s="42" t="n"/>
      <c r="H1212" s="37" t="n"/>
      <c r="I1212" s="37" t="n"/>
      <c r="J1212" s="32" t="n"/>
      <c r="K1212" s="32" t="n"/>
      <c r="L1212" s="43" t="n"/>
      <c r="M1212" s="36" t="n"/>
      <c r="N1212" s="44" t="n"/>
      <c r="O1212" s="36" t="n"/>
      <c r="P1212" s="33">
        <f>IF(C1212="","",Commercial_Id)</f>
        <v/>
      </c>
      <c r="Q1212" s="34">
        <f>IF(AC1212="","",IF(AD1212=1,"C"&amp;TEXT(SUM(AD$6:AD1212),"0000"),INDEX(Q$6:Q1211,MATCH(AC1212,AC$6:AC1211,0))))</f>
        <v/>
      </c>
      <c r="R1212" s="34">
        <f>IF(C1212="","",IF(L1212="☑ Oui","Annulée",IF(OR(E1212="Vente directe",K1212&lt;&gt;""),"Livrée",IF(J1212&lt;&gt;"","Confirmée","En attente"))))</f>
        <v/>
      </c>
      <c r="S1212" s="34">
        <f>IF(F1212="","",IFERROR(VLOOKUP(F1212,T_Produits,2,FALSE),""))</f>
        <v/>
      </c>
      <c r="T1212" s="40">
        <f>IF(F1212="","",IFERROR(1/(1/VLOOKUP(F1212,T_Produits,3,FALSE)),""))</f>
        <v/>
      </c>
      <c r="U1212" s="40">
        <f>IF(H1212&lt;&gt;"",H1212,T1212)</f>
        <v/>
      </c>
      <c r="V1212" s="40">
        <f>IF(OR(G1212="",U1212=""),"",G1212*U1212-N(I1212))</f>
        <v/>
      </c>
      <c r="W1212" s="39">
        <f>IF(D1212="","",IFERROR(VALUE(MID(D1212,LEN(D1212)-3,3)),""))</f>
        <v/>
      </c>
      <c r="X1212" s="33">
        <f>IF(W1212="","",P1212&amp;"|"&amp;W1212)</f>
        <v/>
      </c>
      <c r="Y1212" s="33">
        <f>IF(W1212="","",IF(P1212="À RENSEIGNER","GIC",P1212)&amp;"-"&amp;TEXT(W1212,"000"))</f>
        <v/>
      </c>
      <c r="Z1212" s="33">
        <f>IF(X1212="","",IFERROR(INDEX(Cl_nom,MATCH(X1212,Cl_cle,0)),"(client introuvable)"))</f>
        <v/>
      </c>
      <c r="AA1212" s="33">
        <f>IF(X1212="","",IFERROR(INDEX(Cl_quartier,MATCH(X1212,Cl_cle,0))&amp;"",""))</f>
        <v/>
      </c>
      <c r="AB1212" s="45">
        <f>IF(R1212&lt;&gt;"Livrée",0,IF(K1212&lt;&gt;"",K1212,C1212))</f>
        <v/>
      </c>
      <c r="AC1212" s="33">
        <f>IF(OR(C1212="",W1212=""),"",P1212&amp;"|"&amp;W1212&amp;"|"&amp;C1212&amp;"|"&amp;E1212)</f>
        <v/>
      </c>
      <c r="AD1212" s="39">
        <f>IF(AC1212="","",IF(COUNTIF(AC$6:AC1212,AC1212)=1,1,0))</f>
        <v/>
      </c>
      <c r="AE1212" s="39">
        <f>IF(AB1212=0,"",IF(COUNTIFS(X$6:X1212,X1212,AB$6:AB1212,AB1212)=1,1,0))</f>
        <v/>
      </c>
      <c r="AF1212" s="34">
        <f>IF(C1212="","",YEAR(C1212-WEEKDAY(C1212,2)+4)&amp;"-S"&amp;TEXT(INT((C1212-DATE(YEAR(C1212-WEEKDAY(C1212,2)+4),1,3)+WEEKDAY(DATE(YEAR(C1212-WEEKDAY(C1212,2)+4),1,3),2)+5)/7),"00"))</f>
        <v/>
      </c>
    </row>
    <row r="1213" ht="18" customHeight="1">
      <c r="A1213" s="39" t="n">
        <v>1208</v>
      </c>
      <c r="B1213" s="33">
        <f>IF(C1213="","",IF(P1213="À RENSEIGNER","GIC",P1213)&amp;"-C"&amp;TEXT(A1213,"00000"))</f>
        <v/>
      </c>
      <c r="C1213" s="32" t="n"/>
      <c r="D1213" s="36" t="n"/>
      <c r="E1213" s="36" t="n"/>
      <c r="F1213" s="36" t="n"/>
      <c r="G1213" s="42" t="n"/>
      <c r="H1213" s="37" t="n"/>
      <c r="I1213" s="37" t="n"/>
      <c r="J1213" s="32" t="n"/>
      <c r="K1213" s="32" t="n"/>
      <c r="L1213" s="43" t="n"/>
      <c r="M1213" s="36" t="n"/>
      <c r="N1213" s="44" t="n"/>
      <c r="O1213" s="36" t="n"/>
      <c r="P1213" s="33">
        <f>IF(C1213="","",Commercial_Id)</f>
        <v/>
      </c>
      <c r="Q1213" s="34">
        <f>IF(AC1213="","",IF(AD1213=1,"C"&amp;TEXT(SUM(AD$6:AD1213),"0000"),INDEX(Q$6:Q1212,MATCH(AC1213,AC$6:AC1212,0))))</f>
        <v/>
      </c>
      <c r="R1213" s="34">
        <f>IF(C1213="","",IF(L1213="☑ Oui","Annulée",IF(OR(E1213="Vente directe",K1213&lt;&gt;""),"Livrée",IF(J1213&lt;&gt;"","Confirmée","En attente"))))</f>
        <v/>
      </c>
      <c r="S1213" s="34">
        <f>IF(F1213="","",IFERROR(VLOOKUP(F1213,T_Produits,2,FALSE),""))</f>
        <v/>
      </c>
      <c r="T1213" s="40">
        <f>IF(F1213="","",IFERROR(1/(1/VLOOKUP(F1213,T_Produits,3,FALSE)),""))</f>
        <v/>
      </c>
      <c r="U1213" s="40">
        <f>IF(H1213&lt;&gt;"",H1213,T1213)</f>
        <v/>
      </c>
      <c r="V1213" s="40">
        <f>IF(OR(G1213="",U1213=""),"",G1213*U1213-N(I1213))</f>
        <v/>
      </c>
      <c r="W1213" s="39">
        <f>IF(D1213="","",IFERROR(VALUE(MID(D1213,LEN(D1213)-3,3)),""))</f>
        <v/>
      </c>
      <c r="X1213" s="33">
        <f>IF(W1213="","",P1213&amp;"|"&amp;W1213)</f>
        <v/>
      </c>
      <c r="Y1213" s="33">
        <f>IF(W1213="","",IF(P1213="À RENSEIGNER","GIC",P1213)&amp;"-"&amp;TEXT(W1213,"000"))</f>
        <v/>
      </c>
      <c r="Z1213" s="33">
        <f>IF(X1213="","",IFERROR(INDEX(Cl_nom,MATCH(X1213,Cl_cle,0)),"(client introuvable)"))</f>
        <v/>
      </c>
      <c r="AA1213" s="33">
        <f>IF(X1213="","",IFERROR(INDEX(Cl_quartier,MATCH(X1213,Cl_cle,0))&amp;"",""))</f>
        <v/>
      </c>
      <c r="AB1213" s="45">
        <f>IF(R1213&lt;&gt;"Livrée",0,IF(K1213&lt;&gt;"",K1213,C1213))</f>
        <v/>
      </c>
      <c r="AC1213" s="33">
        <f>IF(OR(C1213="",W1213=""),"",P1213&amp;"|"&amp;W1213&amp;"|"&amp;C1213&amp;"|"&amp;E1213)</f>
        <v/>
      </c>
      <c r="AD1213" s="39">
        <f>IF(AC1213="","",IF(COUNTIF(AC$6:AC1213,AC1213)=1,1,0))</f>
        <v/>
      </c>
      <c r="AE1213" s="39">
        <f>IF(AB1213=0,"",IF(COUNTIFS(X$6:X1213,X1213,AB$6:AB1213,AB1213)=1,1,0))</f>
        <v/>
      </c>
      <c r="AF1213" s="34">
        <f>IF(C1213="","",YEAR(C1213-WEEKDAY(C1213,2)+4)&amp;"-S"&amp;TEXT(INT((C1213-DATE(YEAR(C1213-WEEKDAY(C1213,2)+4),1,3)+WEEKDAY(DATE(YEAR(C1213-WEEKDAY(C1213,2)+4),1,3),2)+5)/7),"00"))</f>
        <v/>
      </c>
    </row>
    <row r="1214" ht="18" customHeight="1">
      <c r="A1214" s="39" t="n">
        <v>1209</v>
      </c>
      <c r="B1214" s="33">
        <f>IF(C1214="","",IF(P1214="À RENSEIGNER","GIC",P1214)&amp;"-C"&amp;TEXT(A1214,"00000"))</f>
        <v/>
      </c>
      <c r="C1214" s="32" t="n"/>
      <c r="D1214" s="36" t="n"/>
      <c r="E1214" s="36" t="n"/>
      <c r="F1214" s="36" t="n"/>
      <c r="G1214" s="42" t="n"/>
      <c r="H1214" s="37" t="n"/>
      <c r="I1214" s="37" t="n"/>
      <c r="J1214" s="32" t="n"/>
      <c r="K1214" s="32" t="n"/>
      <c r="L1214" s="43" t="n"/>
      <c r="M1214" s="36" t="n"/>
      <c r="N1214" s="44" t="n"/>
      <c r="O1214" s="36" t="n"/>
      <c r="P1214" s="33">
        <f>IF(C1214="","",Commercial_Id)</f>
        <v/>
      </c>
      <c r="Q1214" s="34">
        <f>IF(AC1214="","",IF(AD1214=1,"C"&amp;TEXT(SUM(AD$6:AD1214),"0000"),INDEX(Q$6:Q1213,MATCH(AC1214,AC$6:AC1213,0))))</f>
        <v/>
      </c>
      <c r="R1214" s="34">
        <f>IF(C1214="","",IF(L1214="☑ Oui","Annulée",IF(OR(E1214="Vente directe",K1214&lt;&gt;""),"Livrée",IF(J1214&lt;&gt;"","Confirmée","En attente"))))</f>
        <v/>
      </c>
      <c r="S1214" s="34">
        <f>IF(F1214="","",IFERROR(VLOOKUP(F1214,T_Produits,2,FALSE),""))</f>
        <v/>
      </c>
      <c r="T1214" s="40">
        <f>IF(F1214="","",IFERROR(1/(1/VLOOKUP(F1214,T_Produits,3,FALSE)),""))</f>
        <v/>
      </c>
      <c r="U1214" s="40">
        <f>IF(H1214&lt;&gt;"",H1214,T1214)</f>
        <v/>
      </c>
      <c r="V1214" s="40">
        <f>IF(OR(G1214="",U1214=""),"",G1214*U1214-N(I1214))</f>
        <v/>
      </c>
      <c r="W1214" s="39">
        <f>IF(D1214="","",IFERROR(VALUE(MID(D1214,LEN(D1214)-3,3)),""))</f>
        <v/>
      </c>
      <c r="X1214" s="33">
        <f>IF(W1214="","",P1214&amp;"|"&amp;W1214)</f>
        <v/>
      </c>
      <c r="Y1214" s="33">
        <f>IF(W1214="","",IF(P1214="À RENSEIGNER","GIC",P1214)&amp;"-"&amp;TEXT(W1214,"000"))</f>
        <v/>
      </c>
      <c r="Z1214" s="33">
        <f>IF(X1214="","",IFERROR(INDEX(Cl_nom,MATCH(X1214,Cl_cle,0)),"(client introuvable)"))</f>
        <v/>
      </c>
      <c r="AA1214" s="33">
        <f>IF(X1214="","",IFERROR(INDEX(Cl_quartier,MATCH(X1214,Cl_cle,0))&amp;"",""))</f>
        <v/>
      </c>
      <c r="AB1214" s="45">
        <f>IF(R1214&lt;&gt;"Livrée",0,IF(K1214&lt;&gt;"",K1214,C1214))</f>
        <v/>
      </c>
      <c r="AC1214" s="33">
        <f>IF(OR(C1214="",W1214=""),"",P1214&amp;"|"&amp;W1214&amp;"|"&amp;C1214&amp;"|"&amp;E1214)</f>
        <v/>
      </c>
      <c r="AD1214" s="39">
        <f>IF(AC1214="","",IF(COUNTIF(AC$6:AC1214,AC1214)=1,1,0))</f>
        <v/>
      </c>
      <c r="AE1214" s="39">
        <f>IF(AB1214=0,"",IF(COUNTIFS(X$6:X1214,X1214,AB$6:AB1214,AB1214)=1,1,0))</f>
        <v/>
      </c>
      <c r="AF1214" s="34">
        <f>IF(C1214="","",YEAR(C1214-WEEKDAY(C1214,2)+4)&amp;"-S"&amp;TEXT(INT((C1214-DATE(YEAR(C1214-WEEKDAY(C1214,2)+4),1,3)+WEEKDAY(DATE(YEAR(C1214-WEEKDAY(C1214,2)+4),1,3),2)+5)/7),"00"))</f>
        <v/>
      </c>
    </row>
    <row r="1215" ht="18" customHeight="1">
      <c r="A1215" s="39" t="n">
        <v>1210</v>
      </c>
      <c r="B1215" s="33">
        <f>IF(C1215="","",IF(P1215="À RENSEIGNER","GIC",P1215)&amp;"-C"&amp;TEXT(A1215,"00000"))</f>
        <v/>
      </c>
      <c r="C1215" s="32" t="n"/>
      <c r="D1215" s="36" t="n"/>
      <c r="E1215" s="36" t="n"/>
      <c r="F1215" s="36" t="n"/>
      <c r="G1215" s="42" t="n"/>
      <c r="H1215" s="37" t="n"/>
      <c r="I1215" s="37" t="n"/>
      <c r="J1215" s="32" t="n"/>
      <c r="K1215" s="32" t="n"/>
      <c r="L1215" s="43" t="n"/>
      <c r="M1215" s="36" t="n"/>
      <c r="N1215" s="44" t="n"/>
      <c r="O1215" s="36" t="n"/>
      <c r="P1215" s="33">
        <f>IF(C1215="","",Commercial_Id)</f>
        <v/>
      </c>
      <c r="Q1215" s="34">
        <f>IF(AC1215="","",IF(AD1215=1,"C"&amp;TEXT(SUM(AD$6:AD1215),"0000"),INDEX(Q$6:Q1214,MATCH(AC1215,AC$6:AC1214,0))))</f>
        <v/>
      </c>
      <c r="R1215" s="34">
        <f>IF(C1215="","",IF(L1215="☑ Oui","Annulée",IF(OR(E1215="Vente directe",K1215&lt;&gt;""),"Livrée",IF(J1215&lt;&gt;"","Confirmée","En attente"))))</f>
        <v/>
      </c>
      <c r="S1215" s="34">
        <f>IF(F1215="","",IFERROR(VLOOKUP(F1215,T_Produits,2,FALSE),""))</f>
        <v/>
      </c>
      <c r="T1215" s="40">
        <f>IF(F1215="","",IFERROR(1/(1/VLOOKUP(F1215,T_Produits,3,FALSE)),""))</f>
        <v/>
      </c>
      <c r="U1215" s="40">
        <f>IF(H1215&lt;&gt;"",H1215,T1215)</f>
        <v/>
      </c>
      <c r="V1215" s="40">
        <f>IF(OR(G1215="",U1215=""),"",G1215*U1215-N(I1215))</f>
        <v/>
      </c>
      <c r="W1215" s="39">
        <f>IF(D1215="","",IFERROR(VALUE(MID(D1215,LEN(D1215)-3,3)),""))</f>
        <v/>
      </c>
      <c r="X1215" s="33">
        <f>IF(W1215="","",P1215&amp;"|"&amp;W1215)</f>
        <v/>
      </c>
      <c r="Y1215" s="33">
        <f>IF(W1215="","",IF(P1215="À RENSEIGNER","GIC",P1215)&amp;"-"&amp;TEXT(W1215,"000"))</f>
        <v/>
      </c>
      <c r="Z1215" s="33">
        <f>IF(X1215="","",IFERROR(INDEX(Cl_nom,MATCH(X1215,Cl_cle,0)),"(client introuvable)"))</f>
        <v/>
      </c>
      <c r="AA1215" s="33">
        <f>IF(X1215="","",IFERROR(INDEX(Cl_quartier,MATCH(X1215,Cl_cle,0))&amp;"",""))</f>
        <v/>
      </c>
      <c r="AB1215" s="45">
        <f>IF(R1215&lt;&gt;"Livrée",0,IF(K1215&lt;&gt;"",K1215,C1215))</f>
        <v/>
      </c>
      <c r="AC1215" s="33">
        <f>IF(OR(C1215="",W1215=""),"",P1215&amp;"|"&amp;W1215&amp;"|"&amp;C1215&amp;"|"&amp;E1215)</f>
        <v/>
      </c>
      <c r="AD1215" s="39">
        <f>IF(AC1215="","",IF(COUNTIF(AC$6:AC1215,AC1215)=1,1,0))</f>
        <v/>
      </c>
      <c r="AE1215" s="39">
        <f>IF(AB1215=0,"",IF(COUNTIFS(X$6:X1215,X1215,AB$6:AB1215,AB1215)=1,1,0))</f>
        <v/>
      </c>
      <c r="AF1215" s="34">
        <f>IF(C1215="","",YEAR(C1215-WEEKDAY(C1215,2)+4)&amp;"-S"&amp;TEXT(INT((C1215-DATE(YEAR(C1215-WEEKDAY(C1215,2)+4),1,3)+WEEKDAY(DATE(YEAR(C1215-WEEKDAY(C1215,2)+4),1,3),2)+5)/7),"00"))</f>
        <v/>
      </c>
    </row>
    <row r="1216" ht="18" customHeight="1">
      <c r="A1216" s="39" t="n">
        <v>1211</v>
      </c>
      <c r="B1216" s="33">
        <f>IF(C1216="","",IF(P1216="À RENSEIGNER","GIC",P1216)&amp;"-C"&amp;TEXT(A1216,"00000"))</f>
        <v/>
      </c>
      <c r="C1216" s="32" t="n"/>
      <c r="D1216" s="36" t="n"/>
      <c r="E1216" s="36" t="n"/>
      <c r="F1216" s="36" t="n"/>
      <c r="G1216" s="42" t="n"/>
      <c r="H1216" s="37" t="n"/>
      <c r="I1216" s="37" t="n"/>
      <c r="J1216" s="32" t="n"/>
      <c r="K1216" s="32" t="n"/>
      <c r="L1216" s="43" t="n"/>
      <c r="M1216" s="36" t="n"/>
      <c r="N1216" s="44" t="n"/>
      <c r="O1216" s="36" t="n"/>
      <c r="P1216" s="33">
        <f>IF(C1216="","",Commercial_Id)</f>
        <v/>
      </c>
      <c r="Q1216" s="34">
        <f>IF(AC1216="","",IF(AD1216=1,"C"&amp;TEXT(SUM(AD$6:AD1216),"0000"),INDEX(Q$6:Q1215,MATCH(AC1216,AC$6:AC1215,0))))</f>
        <v/>
      </c>
      <c r="R1216" s="34">
        <f>IF(C1216="","",IF(L1216="☑ Oui","Annulée",IF(OR(E1216="Vente directe",K1216&lt;&gt;""),"Livrée",IF(J1216&lt;&gt;"","Confirmée","En attente"))))</f>
        <v/>
      </c>
      <c r="S1216" s="34">
        <f>IF(F1216="","",IFERROR(VLOOKUP(F1216,T_Produits,2,FALSE),""))</f>
        <v/>
      </c>
      <c r="T1216" s="40">
        <f>IF(F1216="","",IFERROR(1/(1/VLOOKUP(F1216,T_Produits,3,FALSE)),""))</f>
        <v/>
      </c>
      <c r="U1216" s="40">
        <f>IF(H1216&lt;&gt;"",H1216,T1216)</f>
        <v/>
      </c>
      <c r="V1216" s="40">
        <f>IF(OR(G1216="",U1216=""),"",G1216*U1216-N(I1216))</f>
        <v/>
      </c>
      <c r="W1216" s="39">
        <f>IF(D1216="","",IFERROR(VALUE(MID(D1216,LEN(D1216)-3,3)),""))</f>
        <v/>
      </c>
      <c r="X1216" s="33">
        <f>IF(W1216="","",P1216&amp;"|"&amp;W1216)</f>
        <v/>
      </c>
      <c r="Y1216" s="33">
        <f>IF(W1216="","",IF(P1216="À RENSEIGNER","GIC",P1216)&amp;"-"&amp;TEXT(W1216,"000"))</f>
        <v/>
      </c>
      <c r="Z1216" s="33">
        <f>IF(X1216="","",IFERROR(INDEX(Cl_nom,MATCH(X1216,Cl_cle,0)),"(client introuvable)"))</f>
        <v/>
      </c>
      <c r="AA1216" s="33">
        <f>IF(X1216="","",IFERROR(INDEX(Cl_quartier,MATCH(X1216,Cl_cle,0))&amp;"",""))</f>
        <v/>
      </c>
      <c r="AB1216" s="45">
        <f>IF(R1216&lt;&gt;"Livrée",0,IF(K1216&lt;&gt;"",K1216,C1216))</f>
        <v/>
      </c>
      <c r="AC1216" s="33">
        <f>IF(OR(C1216="",W1216=""),"",P1216&amp;"|"&amp;W1216&amp;"|"&amp;C1216&amp;"|"&amp;E1216)</f>
        <v/>
      </c>
      <c r="AD1216" s="39">
        <f>IF(AC1216="","",IF(COUNTIF(AC$6:AC1216,AC1216)=1,1,0))</f>
        <v/>
      </c>
      <c r="AE1216" s="39">
        <f>IF(AB1216=0,"",IF(COUNTIFS(X$6:X1216,X1216,AB$6:AB1216,AB1216)=1,1,0))</f>
        <v/>
      </c>
      <c r="AF1216" s="34">
        <f>IF(C1216="","",YEAR(C1216-WEEKDAY(C1216,2)+4)&amp;"-S"&amp;TEXT(INT((C1216-DATE(YEAR(C1216-WEEKDAY(C1216,2)+4),1,3)+WEEKDAY(DATE(YEAR(C1216-WEEKDAY(C1216,2)+4),1,3),2)+5)/7),"00"))</f>
        <v/>
      </c>
    </row>
    <row r="1217" ht="18" customHeight="1">
      <c r="A1217" s="39" t="n">
        <v>1212</v>
      </c>
      <c r="B1217" s="33">
        <f>IF(C1217="","",IF(P1217="À RENSEIGNER","GIC",P1217)&amp;"-C"&amp;TEXT(A1217,"00000"))</f>
        <v/>
      </c>
      <c r="C1217" s="32" t="n"/>
      <c r="D1217" s="36" t="n"/>
      <c r="E1217" s="36" t="n"/>
      <c r="F1217" s="36" t="n"/>
      <c r="G1217" s="42" t="n"/>
      <c r="H1217" s="37" t="n"/>
      <c r="I1217" s="37" t="n"/>
      <c r="J1217" s="32" t="n"/>
      <c r="K1217" s="32" t="n"/>
      <c r="L1217" s="43" t="n"/>
      <c r="M1217" s="36" t="n"/>
      <c r="N1217" s="44" t="n"/>
      <c r="O1217" s="36" t="n"/>
      <c r="P1217" s="33">
        <f>IF(C1217="","",Commercial_Id)</f>
        <v/>
      </c>
      <c r="Q1217" s="34">
        <f>IF(AC1217="","",IF(AD1217=1,"C"&amp;TEXT(SUM(AD$6:AD1217),"0000"),INDEX(Q$6:Q1216,MATCH(AC1217,AC$6:AC1216,0))))</f>
        <v/>
      </c>
      <c r="R1217" s="34">
        <f>IF(C1217="","",IF(L1217="☑ Oui","Annulée",IF(OR(E1217="Vente directe",K1217&lt;&gt;""),"Livrée",IF(J1217&lt;&gt;"","Confirmée","En attente"))))</f>
        <v/>
      </c>
      <c r="S1217" s="34">
        <f>IF(F1217="","",IFERROR(VLOOKUP(F1217,T_Produits,2,FALSE),""))</f>
        <v/>
      </c>
      <c r="T1217" s="40">
        <f>IF(F1217="","",IFERROR(1/(1/VLOOKUP(F1217,T_Produits,3,FALSE)),""))</f>
        <v/>
      </c>
      <c r="U1217" s="40">
        <f>IF(H1217&lt;&gt;"",H1217,T1217)</f>
        <v/>
      </c>
      <c r="V1217" s="40">
        <f>IF(OR(G1217="",U1217=""),"",G1217*U1217-N(I1217))</f>
        <v/>
      </c>
      <c r="W1217" s="39">
        <f>IF(D1217="","",IFERROR(VALUE(MID(D1217,LEN(D1217)-3,3)),""))</f>
        <v/>
      </c>
      <c r="X1217" s="33">
        <f>IF(W1217="","",P1217&amp;"|"&amp;W1217)</f>
        <v/>
      </c>
      <c r="Y1217" s="33">
        <f>IF(W1217="","",IF(P1217="À RENSEIGNER","GIC",P1217)&amp;"-"&amp;TEXT(W1217,"000"))</f>
        <v/>
      </c>
      <c r="Z1217" s="33">
        <f>IF(X1217="","",IFERROR(INDEX(Cl_nom,MATCH(X1217,Cl_cle,0)),"(client introuvable)"))</f>
        <v/>
      </c>
      <c r="AA1217" s="33">
        <f>IF(X1217="","",IFERROR(INDEX(Cl_quartier,MATCH(X1217,Cl_cle,0))&amp;"",""))</f>
        <v/>
      </c>
      <c r="AB1217" s="45">
        <f>IF(R1217&lt;&gt;"Livrée",0,IF(K1217&lt;&gt;"",K1217,C1217))</f>
        <v/>
      </c>
      <c r="AC1217" s="33">
        <f>IF(OR(C1217="",W1217=""),"",P1217&amp;"|"&amp;W1217&amp;"|"&amp;C1217&amp;"|"&amp;E1217)</f>
        <v/>
      </c>
      <c r="AD1217" s="39">
        <f>IF(AC1217="","",IF(COUNTIF(AC$6:AC1217,AC1217)=1,1,0))</f>
        <v/>
      </c>
      <c r="AE1217" s="39">
        <f>IF(AB1217=0,"",IF(COUNTIFS(X$6:X1217,X1217,AB$6:AB1217,AB1217)=1,1,0))</f>
        <v/>
      </c>
      <c r="AF1217" s="34">
        <f>IF(C1217="","",YEAR(C1217-WEEKDAY(C1217,2)+4)&amp;"-S"&amp;TEXT(INT((C1217-DATE(YEAR(C1217-WEEKDAY(C1217,2)+4),1,3)+WEEKDAY(DATE(YEAR(C1217-WEEKDAY(C1217,2)+4),1,3),2)+5)/7),"00"))</f>
        <v/>
      </c>
    </row>
    <row r="1218" ht="18" customHeight="1">
      <c r="A1218" s="39" t="n">
        <v>1213</v>
      </c>
      <c r="B1218" s="33">
        <f>IF(C1218="","",IF(P1218="À RENSEIGNER","GIC",P1218)&amp;"-C"&amp;TEXT(A1218,"00000"))</f>
        <v/>
      </c>
      <c r="C1218" s="32" t="n"/>
      <c r="D1218" s="36" t="n"/>
      <c r="E1218" s="36" t="n"/>
      <c r="F1218" s="36" t="n"/>
      <c r="G1218" s="42" t="n"/>
      <c r="H1218" s="37" t="n"/>
      <c r="I1218" s="37" t="n"/>
      <c r="J1218" s="32" t="n"/>
      <c r="K1218" s="32" t="n"/>
      <c r="L1218" s="43" t="n"/>
      <c r="M1218" s="36" t="n"/>
      <c r="N1218" s="44" t="n"/>
      <c r="O1218" s="36" t="n"/>
      <c r="P1218" s="33">
        <f>IF(C1218="","",Commercial_Id)</f>
        <v/>
      </c>
      <c r="Q1218" s="34">
        <f>IF(AC1218="","",IF(AD1218=1,"C"&amp;TEXT(SUM(AD$6:AD1218),"0000"),INDEX(Q$6:Q1217,MATCH(AC1218,AC$6:AC1217,0))))</f>
        <v/>
      </c>
      <c r="R1218" s="34">
        <f>IF(C1218="","",IF(L1218="☑ Oui","Annulée",IF(OR(E1218="Vente directe",K1218&lt;&gt;""),"Livrée",IF(J1218&lt;&gt;"","Confirmée","En attente"))))</f>
        <v/>
      </c>
      <c r="S1218" s="34">
        <f>IF(F1218="","",IFERROR(VLOOKUP(F1218,T_Produits,2,FALSE),""))</f>
        <v/>
      </c>
      <c r="T1218" s="40">
        <f>IF(F1218="","",IFERROR(1/(1/VLOOKUP(F1218,T_Produits,3,FALSE)),""))</f>
        <v/>
      </c>
      <c r="U1218" s="40">
        <f>IF(H1218&lt;&gt;"",H1218,T1218)</f>
        <v/>
      </c>
      <c r="V1218" s="40">
        <f>IF(OR(G1218="",U1218=""),"",G1218*U1218-N(I1218))</f>
        <v/>
      </c>
      <c r="W1218" s="39">
        <f>IF(D1218="","",IFERROR(VALUE(MID(D1218,LEN(D1218)-3,3)),""))</f>
        <v/>
      </c>
      <c r="X1218" s="33">
        <f>IF(W1218="","",P1218&amp;"|"&amp;W1218)</f>
        <v/>
      </c>
      <c r="Y1218" s="33">
        <f>IF(W1218="","",IF(P1218="À RENSEIGNER","GIC",P1218)&amp;"-"&amp;TEXT(W1218,"000"))</f>
        <v/>
      </c>
      <c r="Z1218" s="33">
        <f>IF(X1218="","",IFERROR(INDEX(Cl_nom,MATCH(X1218,Cl_cle,0)),"(client introuvable)"))</f>
        <v/>
      </c>
      <c r="AA1218" s="33">
        <f>IF(X1218="","",IFERROR(INDEX(Cl_quartier,MATCH(X1218,Cl_cle,0))&amp;"",""))</f>
        <v/>
      </c>
      <c r="AB1218" s="45">
        <f>IF(R1218&lt;&gt;"Livrée",0,IF(K1218&lt;&gt;"",K1218,C1218))</f>
        <v/>
      </c>
      <c r="AC1218" s="33">
        <f>IF(OR(C1218="",W1218=""),"",P1218&amp;"|"&amp;W1218&amp;"|"&amp;C1218&amp;"|"&amp;E1218)</f>
        <v/>
      </c>
      <c r="AD1218" s="39">
        <f>IF(AC1218="","",IF(COUNTIF(AC$6:AC1218,AC1218)=1,1,0))</f>
        <v/>
      </c>
      <c r="AE1218" s="39">
        <f>IF(AB1218=0,"",IF(COUNTIFS(X$6:X1218,X1218,AB$6:AB1218,AB1218)=1,1,0))</f>
        <v/>
      </c>
      <c r="AF1218" s="34">
        <f>IF(C1218="","",YEAR(C1218-WEEKDAY(C1218,2)+4)&amp;"-S"&amp;TEXT(INT((C1218-DATE(YEAR(C1218-WEEKDAY(C1218,2)+4),1,3)+WEEKDAY(DATE(YEAR(C1218-WEEKDAY(C1218,2)+4),1,3),2)+5)/7),"00"))</f>
        <v/>
      </c>
    </row>
    <row r="1219" ht="18" customHeight="1">
      <c r="A1219" s="39" t="n">
        <v>1214</v>
      </c>
      <c r="B1219" s="33">
        <f>IF(C1219="","",IF(P1219="À RENSEIGNER","GIC",P1219)&amp;"-C"&amp;TEXT(A1219,"00000"))</f>
        <v/>
      </c>
      <c r="C1219" s="32" t="n"/>
      <c r="D1219" s="36" t="n"/>
      <c r="E1219" s="36" t="n"/>
      <c r="F1219" s="36" t="n"/>
      <c r="G1219" s="42" t="n"/>
      <c r="H1219" s="37" t="n"/>
      <c r="I1219" s="37" t="n"/>
      <c r="J1219" s="32" t="n"/>
      <c r="K1219" s="32" t="n"/>
      <c r="L1219" s="43" t="n"/>
      <c r="M1219" s="36" t="n"/>
      <c r="N1219" s="44" t="n"/>
      <c r="O1219" s="36" t="n"/>
      <c r="P1219" s="33">
        <f>IF(C1219="","",Commercial_Id)</f>
        <v/>
      </c>
      <c r="Q1219" s="34">
        <f>IF(AC1219="","",IF(AD1219=1,"C"&amp;TEXT(SUM(AD$6:AD1219),"0000"),INDEX(Q$6:Q1218,MATCH(AC1219,AC$6:AC1218,0))))</f>
        <v/>
      </c>
      <c r="R1219" s="34">
        <f>IF(C1219="","",IF(L1219="☑ Oui","Annulée",IF(OR(E1219="Vente directe",K1219&lt;&gt;""),"Livrée",IF(J1219&lt;&gt;"","Confirmée","En attente"))))</f>
        <v/>
      </c>
      <c r="S1219" s="34">
        <f>IF(F1219="","",IFERROR(VLOOKUP(F1219,T_Produits,2,FALSE),""))</f>
        <v/>
      </c>
      <c r="T1219" s="40">
        <f>IF(F1219="","",IFERROR(1/(1/VLOOKUP(F1219,T_Produits,3,FALSE)),""))</f>
        <v/>
      </c>
      <c r="U1219" s="40">
        <f>IF(H1219&lt;&gt;"",H1219,T1219)</f>
        <v/>
      </c>
      <c r="V1219" s="40">
        <f>IF(OR(G1219="",U1219=""),"",G1219*U1219-N(I1219))</f>
        <v/>
      </c>
      <c r="W1219" s="39">
        <f>IF(D1219="","",IFERROR(VALUE(MID(D1219,LEN(D1219)-3,3)),""))</f>
        <v/>
      </c>
      <c r="X1219" s="33">
        <f>IF(W1219="","",P1219&amp;"|"&amp;W1219)</f>
        <v/>
      </c>
      <c r="Y1219" s="33">
        <f>IF(W1219="","",IF(P1219="À RENSEIGNER","GIC",P1219)&amp;"-"&amp;TEXT(W1219,"000"))</f>
        <v/>
      </c>
      <c r="Z1219" s="33">
        <f>IF(X1219="","",IFERROR(INDEX(Cl_nom,MATCH(X1219,Cl_cle,0)),"(client introuvable)"))</f>
        <v/>
      </c>
      <c r="AA1219" s="33">
        <f>IF(X1219="","",IFERROR(INDEX(Cl_quartier,MATCH(X1219,Cl_cle,0))&amp;"",""))</f>
        <v/>
      </c>
      <c r="AB1219" s="45">
        <f>IF(R1219&lt;&gt;"Livrée",0,IF(K1219&lt;&gt;"",K1219,C1219))</f>
        <v/>
      </c>
      <c r="AC1219" s="33">
        <f>IF(OR(C1219="",W1219=""),"",P1219&amp;"|"&amp;W1219&amp;"|"&amp;C1219&amp;"|"&amp;E1219)</f>
        <v/>
      </c>
      <c r="AD1219" s="39">
        <f>IF(AC1219="","",IF(COUNTIF(AC$6:AC1219,AC1219)=1,1,0))</f>
        <v/>
      </c>
      <c r="AE1219" s="39">
        <f>IF(AB1219=0,"",IF(COUNTIFS(X$6:X1219,X1219,AB$6:AB1219,AB1219)=1,1,0))</f>
        <v/>
      </c>
      <c r="AF1219" s="34">
        <f>IF(C1219="","",YEAR(C1219-WEEKDAY(C1219,2)+4)&amp;"-S"&amp;TEXT(INT((C1219-DATE(YEAR(C1219-WEEKDAY(C1219,2)+4),1,3)+WEEKDAY(DATE(YEAR(C1219-WEEKDAY(C1219,2)+4),1,3),2)+5)/7),"00"))</f>
        <v/>
      </c>
    </row>
    <row r="1220" ht="18" customHeight="1">
      <c r="A1220" s="39" t="n">
        <v>1215</v>
      </c>
      <c r="B1220" s="33">
        <f>IF(C1220="","",IF(P1220="À RENSEIGNER","GIC",P1220)&amp;"-C"&amp;TEXT(A1220,"00000"))</f>
        <v/>
      </c>
      <c r="C1220" s="32" t="n"/>
      <c r="D1220" s="36" t="n"/>
      <c r="E1220" s="36" t="n"/>
      <c r="F1220" s="36" t="n"/>
      <c r="G1220" s="42" t="n"/>
      <c r="H1220" s="37" t="n"/>
      <c r="I1220" s="37" t="n"/>
      <c r="J1220" s="32" t="n"/>
      <c r="K1220" s="32" t="n"/>
      <c r="L1220" s="43" t="n"/>
      <c r="M1220" s="36" t="n"/>
      <c r="N1220" s="44" t="n"/>
      <c r="O1220" s="36" t="n"/>
      <c r="P1220" s="33">
        <f>IF(C1220="","",Commercial_Id)</f>
        <v/>
      </c>
      <c r="Q1220" s="34">
        <f>IF(AC1220="","",IF(AD1220=1,"C"&amp;TEXT(SUM(AD$6:AD1220),"0000"),INDEX(Q$6:Q1219,MATCH(AC1220,AC$6:AC1219,0))))</f>
        <v/>
      </c>
      <c r="R1220" s="34">
        <f>IF(C1220="","",IF(L1220="☑ Oui","Annulée",IF(OR(E1220="Vente directe",K1220&lt;&gt;""),"Livrée",IF(J1220&lt;&gt;"","Confirmée","En attente"))))</f>
        <v/>
      </c>
      <c r="S1220" s="34">
        <f>IF(F1220="","",IFERROR(VLOOKUP(F1220,T_Produits,2,FALSE),""))</f>
        <v/>
      </c>
      <c r="T1220" s="40">
        <f>IF(F1220="","",IFERROR(1/(1/VLOOKUP(F1220,T_Produits,3,FALSE)),""))</f>
        <v/>
      </c>
      <c r="U1220" s="40">
        <f>IF(H1220&lt;&gt;"",H1220,T1220)</f>
        <v/>
      </c>
      <c r="V1220" s="40">
        <f>IF(OR(G1220="",U1220=""),"",G1220*U1220-N(I1220))</f>
        <v/>
      </c>
      <c r="W1220" s="39">
        <f>IF(D1220="","",IFERROR(VALUE(MID(D1220,LEN(D1220)-3,3)),""))</f>
        <v/>
      </c>
      <c r="X1220" s="33">
        <f>IF(W1220="","",P1220&amp;"|"&amp;W1220)</f>
        <v/>
      </c>
      <c r="Y1220" s="33">
        <f>IF(W1220="","",IF(P1220="À RENSEIGNER","GIC",P1220)&amp;"-"&amp;TEXT(W1220,"000"))</f>
        <v/>
      </c>
      <c r="Z1220" s="33">
        <f>IF(X1220="","",IFERROR(INDEX(Cl_nom,MATCH(X1220,Cl_cle,0)),"(client introuvable)"))</f>
        <v/>
      </c>
      <c r="AA1220" s="33">
        <f>IF(X1220="","",IFERROR(INDEX(Cl_quartier,MATCH(X1220,Cl_cle,0))&amp;"",""))</f>
        <v/>
      </c>
      <c r="AB1220" s="45">
        <f>IF(R1220&lt;&gt;"Livrée",0,IF(K1220&lt;&gt;"",K1220,C1220))</f>
        <v/>
      </c>
      <c r="AC1220" s="33">
        <f>IF(OR(C1220="",W1220=""),"",P1220&amp;"|"&amp;W1220&amp;"|"&amp;C1220&amp;"|"&amp;E1220)</f>
        <v/>
      </c>
      <c r="AD1220" s="39">
        <f>IF(AC1220="","",IF(COUNTIF(AC$6:AC1220,AC1220)=1,1,0))</f>
        <v/>
      </c>
      <c r="AE1220" s="39">
        <f>IF(AB1220=0,"",IF(COUNTIFS(X$6:X1220,X1220,AB$6:AB1220,AB1220)=1,1,0))</f>
        <v/>
      </c>
      <c r="AF1220" s="34">
        <f>IF(C1220="","",YEAR(C1220-WEEKDAY(C1220,2)+4)&amp;"-S"&amp;TEXT(INT((C1220-DATE(YEAR(C1220-WEEKDAY(C1220,2)+4),1,3)+WEEKDAY(DATE(YEAR(C1220-WEEKDAY(C1220,2)+4),1,3),2)+5)/7),"00"))</f>
        <v/>
      </c>
    </row>
    <row r="1221" ht="18" customHeight="1">
      <c r="A1221" s="39" t="n">
        <v>1216</v>
      </c>
      <c r="B1221" s="33">
        <f>IF(C1221="","",IF(P1221="À RENSEIGNER","GIC",P1221)&amp;"-C"&amp;TEXT(A1221,"00000"))</f>
        <v/>
      </c>
      <c r="C1221" s="32" t="n"/>
      <c r="D1221" s="36" t="n"/>
      <c r="E1221" s="36" t="n"/>
      <c r="F1221" s="36" t="n"/>
      <c r="G1221" s="42" t="n"/>
      <c r="H1221" s="37" t="n"/>
      <c r="I1221" s="37" t="n"/>
      <c r="J1221" s="32" t="n"/>
      <c r="K1221" s="32" t="n"/>
      <c r="L1221" s="43" t="n"/>
      <c r="M1221" s="36" t="n"/>
      <c r="N1221" s="44" t="n"/>
      <c r="O1221" s="36" t="n"/>
      <c r="P1221" s="33">
        <f>IF(C1221="","",Commercial_Id)</f>
        <v/>
      </c>
      <c r="Q1221" s="34">
        <f>IF(AC1221="","",IF(AD1221=1,"C"&amp;TEXT(SUM(AD$6:AD1221),"0000"),INDEX(Q$6:Q1220,MATCH(AC1221,AC$6:AC1220,0))))</f>
        <v/>
      </c>
      <c r="R1221" s="34">
        <f>IF(C1221="","",IF(L1221="☑ Oui","Annulée",IF(OR(E1221="Vente directe",K1221&lt;&gt;""),"Livrée",IF(J1221&lt;&gt;"","Confirmée","En attente"))))</f>
        <v/>
      </c>
      <c r="S1221" s="34">
        <f>IF(F1221="","",IFERROR(VLOOKUP(F1221,T_Produits,2,FALSE),""))</f>
        <v/>
      </c>
      <c r="T1221" s="40">
        <f>IF(F1221="","",IFERROR(1/(1/VLOOKUP(F1221,T_Produits,3,FALSE)),""))</f>
        <v/>
      </c>
      <c r="U1221" s="40">
        <f>IF(H1221&lt;&gt;"",H1221,T1221)</f>
        <v/>
      </c>
      <c r="V1221" s="40">
        <f>IF(OR(G1221="",U1221=""),"",G1221*U1221-N(I1221))</f>
        <v/>
      </c>
      <c r="W1221" s="39">
        <f>IF(D1221="","",IFERROR(VALUE(MID(D1221,LEN(D1221)-3,3)),""))</f>
        <v/>
      </c>
      <c r="X1221" s="33">
        <f>IF(W1221="","",P1221&amp;"|"&amp;W1221)</f>
        <v/>
      </c>
      <c r="Y1221" s="33">
        <f>IF(W1221="","",IF(P1221="À RENSEIGNER","GIC",P1221)&amp;"-"&amp;TEXT(W1221,"000"))</f>
        <v/>
      </c>
      <c r="Z1221" s="33">
        <f>IF(X1221="","",IFERROR(INDEX(Cl_nom,MATCH(X1221,Cl_cle,0)),"(client introuvable)"))</f>
        <v/>
      </c>
      <c r="AA1221" s="33">
        <f>IF(X1221="","",IFERROR(INDEX(Cl_quartier,MATCH(X1221,Cl_cle,0))&amp;"",""))</f>
        <v/>
      </c>
      <c r="AB1221" s="45">
        <f>IF(R1221&lt;&gt;"Livrée",0,IF(K1221&lt;&gt;"",K1221,C1221))</f>
        <v/>
      </c>
      <c r="AC1221" s="33">
        <f>IF(OR(C1221="",W1221=""),"",P1221&amp;"|"&amp;W1221&amp;"|"&amp;C1221&amp;"|"&amp;E1221)</f>
        <v/>
      </c>
      <c r="AD1221" s="39">
        <f>IF(AC1221="","",IF(COUNTIF(AC$6:AC1221,AC1221)=1,1,0))</f>
        <v/>
      </c>
      <c r="AE1221" s="39">
        <f>IF(AB1221=0,"",IF(COUNTIFS(X$6:X1221,X1221,AB$6:AB1221,AB1221)=1,1,0))</f>
        <v/>
      </c>
      <c r="AF1221" s="34">
        <f>IF(C1221="","",YEAR(C1221-WEEKDAY(C1221,2)+4)&amp;"-S"&amp;TEXT(INT((C1221-DATE(YEAR(C1221-WEEKDAY(C1221,2)+4),1,3)+WEEKDAY(DATE(YEAR(C1221-WEEKDAY(C1221,2)+4),1,3),2)+5)/7),"00"))</f>
        <v/>
      </c>
    </row>
    <row r="1222" ht="18" customHeight="1">
      <c r="A1222" s="39" t="n">
        <v>1217</v>
      </c>
      <c r="B1222" s="33">
        <f>IF(C1222="","",IF(P1222="À RENSEIGNER","GIC",P1222)&amp;"-C"&amp;TEXT(A1222,"00000"))</f>
        <v/>
      </c>
      <c r="C1222" s="32" t="n"/>
      <c r="D1222" s="36" t="n"/>
      <c r="E1222" s="36" t="n"/>
      <c r="F1222" s="36" t="n"/>
      <c r="G1222" s="42" t="n"/>
      <c r="H1222" s="37" t="n"/>
      <c r="I1222" s="37" t="n"/>
      <c r="J1222" s="32" t="n"/>
      <c r="K1222" s="32" t="n"/>
      <c r="L1222" s="43" t="n"/>
      <c r="M1222" s="36" t="n"/>
      <c r="N1222" s="44" t="n"/>
      <c r="O1222" s="36" t="n"/>
      <c r="P1222" s="33">
        <f>IF(C1222="","",Commercial_Id)</f>
        <v/>
      </c>
      <c r="Q1222" s="34">
        <f>IF(AC1222="","",IF(AD1222=1,"C"&amp;TEXT(SUM(AD$6:AD1222),"0000"),INDEX(Q$6:Q1221,MATCH(AC1222,AC$6:AC1221,0))))</f>
        <v/>
      </c>
      <c r="R1222" s="34">
        <f>IF(C1222="","",IF(L1222="☑ Oui","Annulée",IF(OR(E1222="Vente directe",K1222&lt;&gt;""),"Livrée",IF(J1222&lt;&gt;"","Confirmée","En attente"))))</f>
        <v/>
      </c>
      <c r="S1222" s="34">
        <f>IF(F1222="","",IFERROR(VLOOKUP(F1222,T_Produits,2,FALSE),""))</f>
        <v/>
      </c>
      <c r="T1222" s="40">
        <f>IF(F1222="","",IFERROR(1/(1/VLOOKUP(F1222,T_Produits,3,FALSE)),""))</f>
        <v/>
      </c>
      <c r="U1222" s="40">
        <f>IF(H1222&lt;&gt;"",H1222,T1222)</f>
        <v/>
      </c>
      <c r="V1222" s="40">
        <f>IF(OR(G1222="",U1222=""),"",G1222*U1222-N(I1222))</f>
        <v/>
      </c>
      <c r="W1222" s="39">
        <f>IF(D1222="","",IFERROR(VALUE(MID(D1222,LEN(D1222)-3,3)),""))</f>
        <v/>
      </c>
      <c r="X1222" s="33">
        <f>IF(W1222="","",P1222&amp;"|"&amp;W1222)</f>
        <v/>
      </c>
      <c r="Y1222" s="33">
        <f>IF(W1222="","",IF(P1222="À RENSEIGNER","GIC",P1222)&amp;"-"&amp;TEXT(W1222,"000"))</f>
        <v/>
      </c>
      <c r="Z1222" s="33">
        <f>IF(X1222="","",IFERROR(INDEX(Cl_nom,MATCH(X1222,Cl_cle,0)),"(client introuvable)"))</f>
        <v/>
      </c>
      <c r="AA1222" s="33">
        <f>IF(X1222="","",IFERROR(INDEX(Cl_quartier,MATCH(X1222,Cl_cle,0))&amp;"",""))</f>
        <v/>
      </c>
      <c r="AB1222" s="45">
        <f>IF(R1222&lt;&gt;"Livrée",0,IF(K1222&lt;&gt;"",K1222,C1222))</f>
        <v/>
      </c>
      <c r="AC1222" s="33">
        <f>IF(OR(C1222="",W1222=""),"",P1222&amp;"|"&amp;W1222&amp;"|"&amp;C1222&amp;"|"&amp;E1222)</f>
        <v/>
      </c>
      <c r="AD1222" s="39">
        <f>IF(AC1222="","",IF(COUNTIF(AC$6:AC1222,AC1222)=1,1,0))</f>
        <v/>
      </c>
      <c r="AE1222" s="39">
        <f>IF(AB1222=0,"",IF(COUNTIFS(X$6:X1222,X1222,AB$6:AB1222,AB1222)=1,1,0))</f>
        <v/>
      </c>
      <c r="AF1222" s="34">
        <f>IF(C1222="","",YEAR(C1222-WEEKDAY(C1222,2)+4)&amp;"-S"&amp;TEXT(INT((C1222-DATE(YEAR(C1222-WEEKDAY(C1222,2)+4),1,3)+WEEKDAY(DATE(YEAR(C1222-WEEKDAY(C1222,2)+4),1,3),2)+5)/7),"00"))</f>
        <v/>
      </c>
    </row>
    <row r="1223" ht="18" customHeight="1">
      <c r="A1223" s="39" t="n">
        <v>1218</v>
      </c>
      <c r="B1223" s="33">
        <f>IF(C1223="","",IF(P1223="À RENSEIGNER","GIC",P1223)&amp;"-C"&amp;TEXT(A1223,"00000"))</f>
        <v/>
      </c>
      <c r="C1223" s="32" t="n"/>
      <c r="D1223" s="36" t="n"/>
      <c r="E1223" s="36" t="n"/>
      <c r="F1223" s="36" t="n"/>
      <c r="G1223" s="42" t="n"/>
      <c r="H1223" s="37" t="n"/>
      <c r="I1223" s="37" t="n"/>
      <c r="J1223" s="32" t="n"/>
      <c r="K1223" s="32" t="n"/>
      <c r="L1223" s="43" t="n"/>
      <c r="M1223" s="36" t="n"/>
      <c r="N1223" s="44" t="n"/>
      <c r="O1223" s="36" t="n"/>
      <c r="P1223" s="33">
        <f>IF(C1223="","",Commercial_Id)</f>
        <v/>
      </c>
      <c r="Q1223" s="34">
        <f>IF(AC1223="","",IF(AD1223=1,"C"&amp;TEXT(SUM(AD$6:AD1223),"0000"),INDEX(Q$6:Q1222,MATCH(AC1223,AC$6:AC1222,0))))</f>
        <v/>
      </c>
      <c r="R1223" s="34">
        <f>IF(C1223="","",IF(L1223="☑ Oui","Annulée",IF(OR(E1223="Vente directe",K1223&lt;&gt;""),"Livrée",IF(J1223&lt;&gt;"","Confirmée","En attente"))))</f>
        <v/>
      </c>
      <c r="S1223" s="34">
        <f>IF(F1223="","",IFERROR(VLOOKUP(F1223,T_Produits,2,FALSE),""))</f>
        <v/>
      </c>
      <c r="T1223" s="40">
        <f>IF(F1223="","",IFERROR(1/(1/VLOOKUP(F1223,T_Produits,3,FALSE)),""))</f>
        <v/>
      </c>
      <c r="U1223" s="40">
        <f>IF(H1223&lt;&gt;"",H1223,T1223)</f>
        <v/>
      </c>
      <c r="V1223" s="40">
        <f>IF(OR(G1223="",U1223=""),"",G1223*U1223-N(I1223))</f>
        <v/>
      </c>
      <c r="W1223" s="39">
        <f>IF(D1223="","",IFERROR(VALUE(MID(D1223,LEN(D1223)-3,3)),""))</f>
        <v/>
      </c>
      <c r="X1223" s="33">
        <f>IF(W1223="","",P1223&amp;"|"&amp;W1223)</f>
        <v/>
      </c>
      <c r="Y1223" s="33">
        <f>IF(W1223="","",IF(P1223="À RENSEIGNER","GIC",P1223)&amp;"-"&amp;TEXT(W1223,"000"))</f>
        <v/>
      </c>
      <c r="Z1223" s="33">
        <f>IF(X1223="","",IFERROR(INDEX(Cl_nom,MATCH(X1223,Cl_cle,0)),"(client introuvable)"))</f>
        <v/>
      </c>
      <c r="AA1223" s="33">
        <f>IF(X1223="","",IFERROR(INDEX(Cl_quartier,MATCH(X1223,Cl_cle,0))&amp;"",""))</f>
        <v/>
      </c>
      <c r="AB1223" s="45">
        <f>IF(R1223&lt;&gt;"Livrée",0,IF(K1223&lt;&gt;"",K1223,C1223))</f>
        <v/>
      </c>
      <c r="AC1223" s="33">
        <f>IF(OR(C1223="",W1223=""),"",P1223&amp;"|"&amp;W1223&amp;"|"&amp;C1223&amp;"|"&amp;E1223)</f>
        <v/>
      </c>
      <c r="AD1223" s="39">
        <f>IF(AC1223="","",IF(COUNTIF(AC$6:AC1223,AC1223)=1,1,0))</f>
        <v/>
      </c>
      <c r="AE1223" s="39">
        <f>IF(AB1223=0,"",IF(COUNTIFS(X$6:X1223,X1223,AB$6:AB1223,AB1223)=1,1,0))</f>
        <v/>
      </c>
      <c r="AF1223" s="34">
        <f>IF(C1223="","",YEAR(C1223-WEEKDAY(C1223,2)+4)&amp;"-S"&amp;TEXT(INT((C1223-DATE(YEAR(C1223-WEEKDAY(C1223,2)+4),1,3)+WEEKDAY(DATE(YEAR(C1223-WEEKDAY(C1223,2)+4),1,3),2)+5)/7),"00"))</f>
        <v/>
      </c>
    </row>
    <row r="1224" ht="18" customHeight="1">
      <c r="A1224" s="39" t="n">
        <v>1219</v>
      </c>
      <c r="B1224" s="33">
        <f>IF(C1224="","",IF(P1224="À RENSEIGNER","GIC",P1224)&amp;"-C"&amp;TEXT(A1224,"00000"))</f>
        <v/>
      </c>
      <c r="C1224" s="32" t="n"/>
      <c r="D1224" s="36" t="n"/>
      <c r="E1224" s="36" t="n"/>
      <c r="F1224" s="36" t="n"/>
      <c r="G1224" s="42" t="n"/>
      <c r="H1224" s="37" t="n"/>
      <c r="I1224" s="37" t="n"/>
      <c r="J1224" s="32" t="n"/>
      <c r="K1224" s="32" t="n"/>
      <c r="L1224" s="43" t="n"/>
      <c r="M1224" s="36" t="n"/>
      <c r="N1224" s="44" t="n"/>
      <c r="O1224" s="36" t="n"/>
      <c r="P1224" s="33">
        <f>IF(C1224="","",Commercial_Id)</f>
        <v/>
      </c>
      <c r="Q1224" s="34">
        <f>IF(AC1224="","",IF(AD1224=1,"C"&amp;TEXT(SUM(AD$6:AD1224),"0000"),INDEX(Q$6:Q1223,MATCH(AC1224,AC$6:AC1223,0))))</f>
        <v/>
      </c>
      <c r="R1224" s="34">
        <f>IF(C1224="","",IF(L1224="☑ Oui","Annulée",IF(OR(E1224="Vente directe",K1224&lt;&gt;""),"Livrée",IF(J1224&lt;&gt;"","Confirmée","En attente"))))</f>
        <v/>
      </c>
      <c r="S1224" s="34">
        <f>IF(F1224="","",IFERROR(VLOOKUP(F1224,T_Produits,2,FALSE),""))</f>
        <v/>
      </c>
      <c r="T1224" s="40">
        <f>IF(F1224="","",IFERROR(1/(1/VLOOKUP(F1224,T_Produits,3,FALSE)),""))</f>
        <v/>
      </c>
      <c r="U1224" s="40">
        <f>IF(H1224&lt;&gt;"",H1224,T1224)</f>
        <v/>
      </c>
      <c r="V1224" s="40">
        <f>IF(OR(G1224="",U1224=""),"",G1224*U1224-N(I1224))</f>
        <v/>
      </c>
      <c r="W1224" s="39">
        <f>IF(D1224="","",IFERROR(VALUE(MID(D1224,LEN(D1224)-3,3)),""))</f>
        <v/>
      </c>
      <c r="X1224" s="33">
        <f>IF(W1224="","",P1224&amp;"|"&amp;W1224)</f>
        <v/>
      </c>
      <c r="Y1224" s="33">
        <f>IF(W1224="","",IF(P1224="À RENSEIGNER","GIC",P1224)&amp;"-"&amp;TEXT(W1224,"000"))</f>
        <v/>
      </c>
      <c r="Z1224" s="33">
        <f>IF(X1224="","",IFERROR(INDEX(Cl_nom,MATCH(X1224,Cl_cle,0)),"(client introuvable)"))</f>
        <v/>
      </c>
      <c r="AA1224" s="33">
        <f>IF(X1224="","",IFERROR(INDEX(Cl_quartier,MATCH(X1224,Cl_cle,0))&amp;"",""))</f>
        <v/>
      </c>
      <c r="AB1224" s="45">
        <f>IF(R1224&lt;&gt;"Livrée",0,IF(K1224&lt;&gt;"",K1224,C1224))</f>
        <v/>
      </c>
      <c r="AC1224" s="33">
        <f>IF(OR(C1224="",W1224=""),"",P1224&amp;"|"&amp;W1224&amp;"|"&amp;C1224&amp;"|"&amp;E1224)</f>
        <v/>
      </c>
      <c r="AD1224" s="39">
        <f>IF(AC1224="","",IF(COUNTIF(AC$6:AC1224,AC1224)=1,1,0))</f>
        <v/>
      </c>
      <c r="AE1224" s="39">
        <f>IF(AB1224=0,"",IF(COUNTIFS(X$6:X1224,X1224,AB$6:AB1224,AB1224)=1,1,0))</f>
        <v/>
      </c>
      <c r="AF1224" s="34">
        <f>IF(C1224="","",YEAR(C1224-WEEKDAY(C1224,2)+4)&amp;"-S"&amp;TEXT(INT((C1224-DATE(YEAR(C1224-WEEKDAY(C1224,2)+4),1,3)+WEEKDAY(DATE(YEAR(C1224-WEEKDAY(C1224,2)+4),1,3),2)+5)/7),"00"))</f>
        <v/>
      </c>
    </row>
    <row r="1225" ht="18" customHeight="1">
      <c r="A1225" s="39" t="n">
        <v>1220</v>
      </c>
      <c r="B1225" s="33">
        <f>IF(C1225="","",IF(P1225="À RENSEIGNER","GIC",P1225)&amp;"-C"&amp;TEXT(A1225,"00000"))</f>
        <v/>
      </c>
      <c r="C1225" s="32" t="n"/>
      <c r="D1225" s="36" t="n"/>
      <c r="E1225" s="36" t="n"/>
      <c r="F1225" s="36" t="n"/>
      <c r="G1225" s="42" t="n"/>
      <c r="H1225" s="37" t="n"/>
      <c r="I1225" s="37" t="n"/>
      <c r="J1225" s="32" t="n"/>
      <c r="K1225" s="32" t="n"/>
      <c r="L1225" s="43" t="n"/>
      <c r="M1225" s="36" t="n"/>
      <c r="N1225" s="44" t="n"/>
      <c r="O1225" s="36" t="n"/>
      <c r="P1225" s="33">
        <f>IF(C1225="","",Commercial_Id)</f>
        <v/>
      </c>
      <c r="Q1225" s="34">
        <f>IF(AC1225="","",IF(AD1225=1,"C"&amp;TEXT(SUM(AD$6:AD1225),"0000"),INDEX(Q$6:Q1224,MATCH(AC1225,AC$6:AC1224,0))))</f>
        <v/>
      </c>
      <c r="R1225" s="34">
        <f>IF(C1225="","",IF(L1225="☑ Oui","Annulée",IF(OR(E1225="Vente directe",K1225&lt;&gt;""),"Livrée",IF(J1225&lt;&gt;"","Confirmée","En attente"))))</f>
        <v/>
      </c>
      <c r="S1225" s="34">
        <f>IF(F1225="","",IFERROR(VLOOKUP(F1225,T_Produits,2,FALSE),""))</f>
        <v/>
      </c>
      <c r="T1225" s="40">
        <f>IF(F1225="","",IFERROR(1/(1/VLOOKUP(F1225,T_Produits,3,FALSE)),""))</f>
        <v/>
      </c>
      <c r="U1225" s="40">
        <f>IF(H1225&lt;&gt;"",H1225,T1225)</f>
        <v/>
      </c>
      <c r="V1225" s="40">
        <f>IF(OR(G1225="",U1225=""),"",G1225*U1225-N(I1225))</f>
        <v/>
      </c>
      <c r="W1225" s="39">
        <f>IF(D1225="","",IFERROR(VALUE(MID(D1225,LEN(D1225)-3,3)),""))</f>
        <v/>
      </c>
      <c r="X1225" s="33">
        <f>IF(W1225="","",P1225&amp;"|"&amp;W1225)</f>
        <v/>
      </c>
      <c r="Y1225" s="33">
        <f>IF(W1225="","",IF(P1225="À RENSEIGNER","GIC",P1225)&amp;"-"&amp;TEXT(W1225,"000"))</f>
        <v/>
      </c>
      <c r="Z1225" s="33">
        <f>IF(X1225="","",IFERROR(INDEX(Cl_nom,MATCH(X1225,Cl_cle,0)),"(client introuvable)"))</f>
        <v/>
      </c>
      <c r="AA1225" s="33">
        <f>IF(X1225="","",IFERROR(INDEX(Cl_quartier,MATCH(X1225,Cl_cle,0))&amp;"",""))</f>
        <v/>
      </c>
      <c r="AB1225" s="45">
        <f>IF(R1225&lt;&gt;"Livrée",0,IF(K1225&lt;&gt;"",K1225,C1225))</f>
        <v/>
      </c>
      <c r="AC1225" s="33">
        <f>IF(OR(C1225="",W1225=""),"",P1225&amp;"|"&amp;W1225&amp;"|"&amp;C1225&amp;"|"&amp;E1225)</f>
        <v/>
      </c>
      <c r="AD1225" s="39">
        <f>IF(AC1225="","",IF(COUNTIF(AC$6:AC1225,AC1225)=1,1,0))</f>
        <v/>
      </c>
      <c r="AE1225" s="39">
        <f>IF(AB1225=0,"",IF(COUNTIFS(X$6:X1225,X1225,AB$6:AB1225,AB1225)=1,1,0))</f>
        <v/>
      </c>
      <c r="AF1225" s="34">
        <f>IF(C1225="","",YEAR(C1225-WEEKDAY(C1225,2)+4)&amp;"-S"&amp;TEXT(INT((C1225-DATE(YEAR(C1225-WEEKDAY(C1225,2)+4),1,3)+WEEKDAY(DATE(YEAR(C1225-WEEKDAY(C1225,2)+4),1,3),2)+5)/7),"00"))</f>
        <v/>
      </c>
    </row>
    <row r="1226" ht="18" customHeight="1">
      <c r="A1226" s="39" t="n">
        <v>1221</v>
      </c>
      <c r="B1226" s="33">
        <f>IF(C1226="","",IF(P1226="À RENSEIGNER","GIC",P1226)&amp;"-C"&amp;TEXT(A1226,"00000"))</f>
        <v/>
      </c>
      <c r="C1226" s="32" t="n"/>
      <c r="D1226" s="36" t="n"/>
      <c r="E1226" s="36" t="n"/>
      <c r="F1226" s="36" t="n"/>
      <c r="G1226" s="42" t="n"/>
      <c r="H1226" s="37" t="n"/>
      <c r="I1226" s="37" t="n"/>
      <c r="J1226" s="32" t="n"/>
      <c r="K1226" s="32" t="n"/>
      <c r="L1226" s="43" t="n"/>
      <c r="M1226" s="36" t="n"/>
      <c r="N1226" s="44" t="n"/>
      <c r="O1226" s="36" t="n"/>
      <c r="P1226" s="33">
        <f>IF(C1226="","",Commercial_Id)</f>
        <v/>
      </c>
      <c r="Q1226" s="34">
        <f>IF(AC1226="","",IF(AD1226=1,"C"&amp;TEXT(SUM(AD$6:AD1226),"0000"),INDEX(Q$6:Q1225,MATCH(AC1226,AC$6:AC1225,0))))</f>
        <v/>
      </c>
      <c r="R1226" s="34">
        <f>IF(C1226="","",IF(L1226="☑ Oui","Annulée",IF(OR(E1226="Vente directe",K1226&lt;&gt;""),"Livrée",IF(J1226&lt;&gt;"","Confirmée","En attente"))))</f>
        <v/>
      </c>
      <c r="S1226" s="34">
        <f>IF(F1226="","",IFERROR(VLOOKUP(F1226,T_Produits,2,FALSE),""))</f>
        <v/>
      </c>
      <c r="T1226" s="40">
        <f>IF(F1226="","",IFERROR(1/(1/VLOOKUP(F1226,T_Produits,3,FALSE)),""))</f>
        <v/>
      </c>
      <c r="U1226" s="40">
        <f>IF(H1226&lt;&gt;"",H1226,T1226)</f>
        <v/>
      </c>
      <c r="V1226" s="40">
        <f>IF(OR(G1226="",U1226=""),"",G1226*U1226-N(I1226))</f>
        <v/>
      </c>
      <c r="W1226" s="39">
        <f>IF(D1226="","",IFERROR(VALUE(MID(D1226,LEN(D1226)-3,3)),""))</f>
        <v/>
      </c>
      <c r="X1226" s="33">
        <f>IF(W1226="","",P1226&amp;"|"&amp;W1226)</f>
        <v/>
      </c>
      <c r="Y1226" s="33">
        <f>IF(W1226="","",IF(P1226="À RENSEIGNER","GIC",P1226)&amp;"-"&amp;TEXT(W1226,"000"))</f>
        <v/>
      </c>
      <c r="Z1226" s="33">
        <f>IF(X1226="","",IFERROR(INDEX(Cl_nom,MATCH(X1226,Cl_cle,0)),"(client introuvable)"))</f>
        <v/>
      </c>
      <c r="AA1226" s="33">
        <f>IF(X1226="","",IFERROR(INDEX(Cl_quartier,MATCH(X1226,Cl_cle,0))&amp;"",""))</f>
        <v/>
      </c>
      <c r="AB1226" s="45">
        <f>IF(R1226&lt;&gt;"Livrée",0,IF(K1226&lt;&gt;"",K1226,C1226))</f>
        <v/>
      </c>
      <c r="AC1226" s="33">
        <f>IF(OR(C1226="",W1226=""),"",P1226&amp;"|"&amp;W1226&amp;"|"&amp;C1226&amp;"|"&amp;E1226)</f>
        <v/>
      </c>
      <c r="AD1226" s="39">
        <f>IF(AC1226="","",IF(COUNTIF(AC$6:AC1226,AC1226)=1,1,0))</f>
        <v/>
      </c>
      <c r="AE1226" s="39">
        <f>IF(AB1226=0,"",IF(COUNTIFS(X$6:X1226,X1226,AB$6:AB1226,AB1226)=1,1,0))</f>
        <v/>
      </c>
      <c r="AF1226" s="34">
        <f>IF(C1226="","",YEAR(C1226-WEEKDAY(C1226,2)+4)&amp;"-S"&amp;TEXT(INT((C1226-DATE(YEAR(C1226-WEEKDAY(C1226,2)+4),1,3)+WEEKDAY(DATE(YEAR(C1226-WEEKDAY(C1226,2)+4),1,3),2)+5)/7),"00"))</f>
        <v/>
      </c>
    </row>
    <row r="1227" ht="18" customHeight="1">
      <c r="A1227" s="39" t="n">
        <v>1222</v>
      </c>
      <c r="B1227" s="33">
        <f>IF(C1227="","",IF(P1227="À RENSEIGNER","GIC",P1227)&amp;"-C"&amp;TEXT(A1227,"00000"))</f>
        <v/>
      </c>
      <c r="C1227" s="32" t="n"/>
      <c r="D1227" s="36" t="n"/>
      <c r="E1227" s="36" t="n"/>
      <c r="F1227" s="36" t="n"/>
      <c r="G1227" s="42" t="n"/>
      <c r="H1227" s="37" t="n"/>
      <c r="I1227" s="37" t="n"/>
      <c r="J1227" s="32" t="n"/>
      <c r="K1227" s="32" t="n"/>
      <c r="L1227" s="43" t="n"/>
      <c r="M1227" s="36" t="n"/>
      <c r="N1227" s="44" t="n"/>
      <c r="O1227" s="36" t="n"/>
      <c r="P1227" s="33">
        <f>IF(C1227="","",Commercial_Id)</f>
        <v/>
      </c>
      <c r="Q1227" s="34">
        <f>IF(AC1227="","",IF(AD1227=1,"C"&amp;TEXT(SUM(AD$6:AD1227),"0000"),INDEX(Q$6:Q1226,MATCH(AC1227,AC$6:AC1226,0))))</f>
        <v/>
      </c>
      <c r="R1227" s="34">
        <f>IF(C1227="","",IF(L1227="☑ Oui","Annulée",IF(OR(E1227="Vente directe",K1227&lt;&gt;""),"Livrée",IF(J1227&lt;&gt;"","Confirmée","En attente"))))</f>
        <v/>
      </c>
      <c r="S1227" s="34">
        <f>IF(F1227="","",IFERROR(VLOOKUP(F1227,T_Produits,2,FALSE),""))</f>
        <v/>
      </c>
      <c r="T1227" s="40">
        <f>IF(F1227="","",IFERROR(1/(1/VLOOKUP(F1227,T_Produits,3,FALSE)),""))</f>
        <v/>
      </c>
      <c r="U1227" s="40">
        <f>IF(H1227&lt;&gt;"",H1227,T1227)</f>
        <v/>
      </c>
      <c r="V1227" s="40">
        <f>IF(OR(G1227="",U1227=""),"",G1227*U1227-N(I1227))</f>
        <v/>
      </c>
      <c r="W1227" s="39">
        <f>IF(D1227="","",IFERROR(VALUE(MID(D1227,LEN(D1227)-3,3)),""))</f>
        <v/>
      </c>
      <c r="X1227" s="33">
        <f>IF(W1227="","",P1227&amp;"|"&amp;W1227)</f>
        <v/>
      </c>
      <c r="Y1227" s="33">
        <f>IF(W1227="","",IF(P1227="À RENSEIGNER","GIC",P1227)&amp;"-"&amp;TEXT(W1227,"000"))</f>
        <v/>
      </c>
      <c r="Z1227" s="33">
        <f>IF(X1227="","",IFERROR(INDEX(Cl_nom,MATCH(X1227,Cl_cle,0)),"(client introuvable)"))</f>
        <v/>
      </c>
      <c r="AA1227" s="33">
        <f>IF(X1227="","",IFERROR(INDEX(Cl_quartier,MATCH(X1227,Cl_cle,0))&amp;"",""))</f>
        <v/>
      </c>
      <c r="AB1227" s="45">
        <f>IF(R1227&lt;&gt;"Livrée",0,IF(K1227&lt;&gt;"",K1227,C1227))</f>
        <v/>
      </c>
      <c r="AC1227" s="33">
        <f>IF(OR(C1227="",W1227=""),"",P1227&amp;"|"&amp;W1227&amp;"|"&amp;C1227&amp;"|"&amp;E1227)</f>
        <v/>
      </c>
      <c r="AD1227" s="39">
        <f>IF(AC1227="","",IF(COUNTIF(AC$6:AC1227,AC1227)=1,1,0))</f>
        <v/>
      </c>
      <c r="AE1227" s="39">
        <f>IF(AB1227=0,"",IF(COUNTIFS(X$6:X1227,X1227,AB$6:AB1227,AB1227)=1,1,0))</f>
        <v/>
      </c>
      <c r="AF1227" s="34">
        <f>IF(C1227="","",YEAR(C1227-WEEKDAY(C1227,2)+4)&amp;"-S"&amp;TEXT(INT((C1227-DATE(YEAR(C1227-WEEKDAY(C1227,2)+4),1,3)+WEEKDAY(DATE(YEAR(C1227-WEEKDAY(C1227,2)+4),1,3),2)+5)/7),"00"))</f>
        <v/>
      </c>
    </row>
    <row r="1228" ht="18" customHeight="1">
      <c r="A1228" s="39" t="n">
        <v>1223</v>
      </c>
      <c r="B1228" s="33">
        <f>IF(C1228="","",IF(P1228="À RENSEIGNER","GIC",P1228)&amp;"-C"&amp;TEXT(A1228,"00000"))</f>
        <v/>
      </c>
      <c r="C1228" s="32" t="n"/>
      <c r="D1228" s="36" t="n"/>
      <c r="E1228" s="36" t="n"/>
      <c r="F1228" s="36" t="n"/>
      <c r="G1228" s="42" t="n"/>
      <c r="H1228" s="37" t="n"/>
      <c r="I1228" s="37" t="n"/>
      <c r="J1228" s="32" t="n"/>
      <c r="K1228" s="32" t="n"/>
      <c r="L1228" s="43" t="n"/>
      <c r="M1228" s="36" t="n"/>
      <c r="N1228" s="44" t="n"/>
      <c r="O1228" s="36" t="n"/>
      <c r="P1228" s="33">
        <f>IF(C1228="","",Commercial_Id)</f>
        <v/>
      </c>
      <c r="Q1228" s="34">
        <f>IF(AC1228="","",IF(AD1228=1,"C"&amp;TEXT(SUM(AD$6:AD1228),"0000"),INDEX(Q$6:Q1227,MATCH(AC1228,AC$6:AC1227,0))))</f>
        <v/>
      </c>
      <c r="R1228" s="34">
        <f>IF(C1228="","",IF(L1228="☑ Oui","Annulée",IF(OR(E1228="Vente directe",K1228&lt;&gt;""),"Livrée",IF(J1228&lt;&gt;"","Confirmée","En attente"))))</f>
        <v/>
      </c>
      <c r="S1228" s="34">
        <f>IF(F1228="","",IFERROR(VLOOKUP(F1228,T_Produits,2,FALSE),""))</f>
        <v/>
      </c>
      <c r="T1228" s="40">
        <f>IF(F1228="","",IFERROR(1/(1/VLOOKUP(F1228,T_Produits,3,FALSE)),""))</f>
        <v/>
      </c>
      <c r="U1228" s="40">
        <f>IF(H1228&lt;&gt;"",H1228,T1228)</f>
        <v/>
      </c>
      <c r="V1228" s="40">
        <f>IF(OR(G1228="",U1228=""),"",G1228*U1228-N(I1228))</f>
        <v/>
      </c>
      <c r="W1228" s="39">
        <f>IF(D1228="","",IFERROR(VALUE(MID(D1228,LEN(D1228)-3,3)),""))</f>
        <v/>
      </c>
      <c r="X1228" s="33">
        <f>IF(W1228="","",P1228&amp;"|"&amp;W1228)</f>
        <v/>
      </c>
      <c r="Y1228" s="33">
        <f>IF(W1228="","",IF(P1228="À RENSEIGNER","GIC",P1228)&amp;"-"&amp;TEXT(W1228,"000"))</f>
        <v/>
      </c>
      <c r="Z1228" s="33">
        <f>IF(X1228="","",IFERROR(INDEX(Cl_nom,MATCH(X1228,Cl_cle,0)),"(client introuvable)"))</f>
        <v/>
      </c>
      <c r="AA1228" s="33">
        <f>IF(X1228="","",IFERROR(INDEX(Cl_quartier,MATCH(X1228,Cl_cle,0))&amp;"",""))</f>
        <v/>
      </c>
      <c r="AB1228" s="45">
        <f>IF(R1228&lt;&gt;"Livrée",0,IF(K1228&lt;&gt;"",K1228,C1228))</f>
        <v/>
      </c>
      <c r="AC1228" s="33">
        <f>IF(OR(C1228="",W1228=""),"",P1228&amp;"|"&amp;W1228&amp;"|"&amp;C1228&amp;"|"&amp;E1228)</f>
        <v/>
      </c>
      <c r="AD1228" s="39">
        <f>IF(AC1228="","",IF(COUNTIF(AC$6:AC1228,AC1228)=1,1,0))</f>
        <v/>
      </c>
      <c r="AE1228" s="39">
        <f>IF(AB1228=0,"",IF(COUNTIFS(X$6:X1228,X1228,AB$6:AB1228,AB1228)=1,1,0))</f>
        <v/>
      </c>
      <c r="AF1228" s="34">
        <f>IF(C1228="","",YEAR(C1228-WEEKDAY(C1228,2)+4)&amp;"-S"&amp;TEXT(INT((C1228-DATE(YEAR(C1228-WEEKDAY(C1228,2)+4),1,3)+WEEKDAY(DATE(YEAR(C1228-WEEKDAY(C1228,2)+4),1,3),2)+5)/7),"00"))</f>
        <v/>
      </c>
    </row>
    <row r="1229" ht="18" customHeight="1">
      <c r="A1229" s="39" t="n">
        <v>1224</v>
      </c>
      <c r="B1229" s="33">
        <f>IF(C1229="","",IF(P1229="À RENSEIGNER","GIC",P1229)&amp;"-C"&amp;TEXT(A1229,"00000"))</f>
        <v/>
      </c>
      <c r="C1229" s="32" t="n"/>
      <c r="D1229" s="36" t="n"/>
      <c r="E1229" s="36" t="n"/>
      <c r="F1229" s="36" t="n"/>
      <c r="G1229" s="42" t="n"/>
      <c r="H1229" s="37" t="n"/>
      <c r="I1229" s="37" t="n"/>
      <c r="J1229" s="32" t="n"/>
      <c r="K1229" s="32" t="n"/>
      <c r="L1229" s="43" t="n"/>
      <c r="M1229" s="36" t="n"/>
      <c r="N1229" s="44" t="n"/>
      <c r="O1229" s="36" t="n"/>
      <c r="P1229" s="33">
        <f>IF(C1229="","",Commercial_Id)</f>
        <v/>
      </c>
      <c r="Q1229" s="34">
        <f>IF(AC1229="","",IF(AD1229=1,"C"&amp;TEXT(SUM(AD$6:AD1229),"0000"),INDEX(Q$6:Q1228,MATCH(AC1229,AC$6:AC1228,0))))</f>
        <v/>
      </c>
      <c r="R1229" s="34">
        <f>IF(C1229="","",IF(L1229="☑ Oui","Annulée",IF(OR(E1229="Vente directe",K1229&lt;&gt;""),"Livrée",IF(J1229&lt;&gt;"","Confirmée","En attente"))))</f>
        <v/>
      </c>
      <c r="S1229" s="34">
        <f>IF(F1229="","",IFERROR(VLOOKUP(F1229,T_Produits,2,FALSE),""))</f>
        <v/>
      </c>
      <c r="T1229" s="40">
        <f>IF(F1229="","",IFERROR(1/(1/VLOOKUP(F1229,T_Produits,3,FALSE)),""))</f>
        <v/>
      </c>
      <c r="U1229" s="40">
        <f>IF(H1229&lt;&gt;"",H1229,T1229)</f>
        <v/>
      </c>
      <c r="V1229" s="40">
        <f>IF(OR(G1229="",U1229=""),"",G1229*U1229-N(I1229))</f>
        <v/>
      </c>
      <c r="W1229" s="39">
        <f>IF(D1229="","",IFERROR(VALUE(MID(D1229,LEN(D1229)-3,3)),""))</f>
        <v/>
      </c>
      <c r="X1229" s="33">
        <f>IF(W1229="","",P1229&amp;"|"&amp;W1229)</f>
        <v/>
      </c>
      <c r="Y1229" s="33">
        <f>IF(W1229="","",IF(P1229="À RENSEIGNER","GIC",P1229)&amp;"-"&amp;TEXT(W1229,"000"))</f>
        <v/>
      </c>
      <c r="Z1229" s="33">
        <f>IF(X1229="","",IFERROR(INDEX(Cl_nom,MATCH(X1229,Cl_cle,0)),"(client introuvable)"))</f>
        <v/>
      </c>
      <c r="AA1229" s="33">
        <f>IF(X1229="","",IFERROR(INDEX(Cl_quartier,MATCH(X1229,Cl_cle,0))&amp;"",""))</f>
        <v/>
      </c>
      <c r="AB1229" s="45">
        <f>IF(R1229&lt;&gt;"Livrée",0,IF(K1229&lt;&gt;"",K1229,C1229))</f>
        <v/>
      </c>
      <c r="AC1229" s="33">
        <f>IF(OR(C1229="",W1229=""),"",P1229&amp;"|"&amp;W1229&amp;"|"&amp;C1229&amp;"|"&amp;E1229)</f>
        <v/>
      </c>
      <c r="AD1229" s="39">
        <f>IF(AC1229="","",IF(COUNTIF(AC$6:AC1229,AC1229)=1,1,0))</f>
        <v/>
      </c>
      <c r="AE1229" s="39">
        <f>IF(AB1229=0,"",IF(COUNTIFS(X$6:X1229,X1229,AB$6:AB1229,AB1229)=1,1,0))</f>
        <v/>
      </c>
      <c r="AF1229" s="34">
        <f>IF(C1229="","",YEAR(C1229-WEEKDAY(C1229,2)+4)&amp;"-S"&amp;TEXT(INT((C1229-DATE(YEAR(C1229-WEEKDAY(C1229,2)+4),1,3)+WEEKDAY(DATE(YEAR(C1229-WEEKDAY(C1229,2)+4),1,3),2)+5)/7),"00"))</f>
        <v/>
      </c>
    </row>
    <row r="1230" ht="18" customHeight="1">
      <c r="A1230" s="39" t="n">
        <v>1225</v>
      </c>
      <c r="B1230" s="33">
        <f>IF(C1230="","",IF(P1230="À RENSEIGNER","GIC",P1230)&amp;"-C"&amp;TEXT(A1230,"00000"))</f>
        <v/>
      </c>
      <c r="C1230" s="32" t="n"/>
      <c r="D1230" s="36" t="n"/>
      <c r="E1230" s="36" t="n"/>
      <c r="F1230" s="36" t="n"/>
      <c r="G1230" s="42" t="n"/>
      <c r="H1230" s="37" t="n"/>
      <c r="I1230" s="37" t="n"/>
      <c r="J1230" s="32" t="n"/>
      <c r="K1230" s="32" t="n"/>
      <c r="L1230" s="43" t="n"/>
      <c r="M1230" s="36" t="n"/>
      <c r="N1230" s="44" t="n"/>
      <c r="O1230" s="36" t="n"/>
      <c r="P1230" s="33">
        <f>IF(C1230="","",Commercial_Id)</f>
        <v/>
      </c>
      <c r="Q1230" s="34">
        <f>IF(AC1230="","",IF(AD1230=1,"C"&amp;TEXT(SUM(AD$6:AD1230),"0000"),INDEX(Q$6:Q1229,MATCH(AC1230,AC$6:AC1229,0))))</f>
        <v/>
      </c>
      <c r="R1230" s="34">
        <f>IF(C1230="","",IF(L1230="☑ Oui","Annulée",IF(OR(E1230="Vente directe",K1230&lt;&gt;""),"Livrée",IF(J1230&lt;&gt;"","Confirmée","En attente"))))</f>
        <v/>
      </c>
      <c r="S1230" s="34">
        <f>IF(F1230="","",IFERROR(VLOOKUP(F1230,T_Produits,2,FALSE),""))</f>
        <v/>
      </c>
      <c r="T1230" s="40">
        <f>IF(F1230="","",IFERROR(1/(1/VLOOKUP(F1230,T_Produits,3,FALSE)),""))</f>
        <v/>
      </c>
      <c r="U1230" s="40">
        <f>IF(H1230&lt;&gt;"",H1230,T1230)</f>
        <v/>
      </c>
      <c r="V1230" s="40">
        <f>IF(OR(G1230="",U1230=""),"",G1230*U1230-N(I1230))</f>
        <v/>
      </c>
      <c r="W1230" s="39">
        <f>IF(D1230="","",IFERROR(VALUE(MID(D1230,LEN(D1230)-3,3)),""))</f>
        <v/>
      </c>
      <c r="X1230" s="33">
        <f>IF(W1230="","",P1230&amp;"|"&amp;W1230)</f>
        <v/>
      </c>
      <c r="Y1230" s="33">
        <f>IF(W1230="","",IF(P1230="À RENSEIGNER","GIC",P1230)&amp;"-"&amp;TEXT(W1230,"000"))</f>
        <v/>
      </c>
      <c r="Z1230" s="33">
        <f>IF(X1230="","",IFERROR(INDEX(Cl_nom,MATCH(X1230,Cl_cle,0)),"(client introuvable)"))</f>
        <v/>
      </c>
      <c r="AA1230" s="33">
        <f>IF(X1230="","",IFERROR(INDEX(Cl_quartier,MATCH(X1230,Cl_cle,0))&amp;"",""))</f>
        <v/>
      </c>
      <c r="AB1230" s="45">
        <f>IF(R1230&lt;&gt;"Livrée",0,IF(K1230&lt;&gt;"",K1230,C1230))</f>
        <v/>
      </c>
      <c r="AC1230" s="33">
        <f>IF(OR(C1230="",W1230=""),"",P1230&amp;"|"&amp;W1230&amp;"|"&amp;C1230&amp;"|"&amp;E1230)</f>
        <v/>
      </c>
      <c r="AD1230" s="39">
        <f>IF(AC1230="","",IF(COUNTIF(AC$6:AC1230,AC1230)=1,1,0))</f>
        <v/>
      </c>
      <c r="AE1230" s="39">
        <f>IF(AB1230=0,"",IF(COUNTIFS(X$6:X1230,X1230,AB$6:AB1230,AB1230)=1,1,0))</f>
        <v/>
      </c>
      <c r="AF1230" s="34">
        <f>IF(C1230="","",YEAR(C1230-WEEKDAY(C1230,2)+4)&amp;"-S"&amp;TEXT(INT((C1230-DATE(YEAR(C1230-WEEKDAY(C1230,2)+4),1,3)+WEEKDAY(DATE(YEAR(C1230-WEEKDAY(C1230,2)+4),1,3),2)+5)/7),"00"))</f>
        <v/>
      </c>
    </row>
    <row r="1231" ht="18" customHeight="1">
      <c r="A1231" s="39" t="n">
        <v>1226</v>
      </c>
      <c r="B1231" s="33">
        <f>IF(C1231="","",IF(P1231="À RENSEIGNER","GIC",P1231)&amp;"-C"&amp;TEXT(A1231,"00000"))</f>
        <v/>
      </c>
      <c r="C1231" s="32" t="n"/>
      <c r="D1231" s="36" t="n"/>
      <c r="E1231" s="36" t="n"/>
      <c r="F1231" s="36" t="n"/>
      <c r="G1231" s="42" t="n"/>
      <c r="H1231" s="37" t="n"/>
      <c r="I1231" s="37" t="n"/>
      <c r="J1231" s="32" t="n"/>
      <c r="K1231" s="32" t="n"/>
      <c r="L1231" s="43" t="n"/>
      <c r="M1231" s="36" t="n"/>
      <c r="N1231" s="44" t="n"/>
      <c r="O1231" s="36" t="n"/>
      <c r="P1231" s="33">
        <f>IF(C1231="","",Commercial_Id)</f>
        <v/>
      </c>
      <c r="Q1231" s="34">
        <f>IF(AC1231="","",IF(AD1231=1,"C"&amp;TEXT(SUM(AD$6:AD1231),"0000"),INDEX(Q$6:Q1230,MATCH(AC1231,AC$6:AC1230,0))))</f>
        <v/>
      </c>
      <c r="R1231" s="34">
        <f>IF(C1231="","",IF(L1231="☑ Oui","Annulée",IF(OR(E1231="Vente directe",K1231&lt;&gt;""),"Livrée",IF(J1231&lt;&gt;"","Confirmée","En attente"))))</f>
        <v/>
      </c>
      <c r="S1231" s="34">
        <f>IF(F1231="","",IFERROR(VLOOKUP(F1231,T_Produits,2,FALSE),""))</f>
        <v/>
      </c>
      <c r="T1231" s="40">
        <f>IF(F1231="","",IFERROR(1/(1/VLOOKUP(F1231,T_Produits,3,FALSE)),""))</f>
        <v/>
      </c>
      <c r="U1231" s="40">
        <f>IF(H1231&lt;&gt;"",H1231,T1231)</f>
        <v/>
      </c>
      <c r="V1231" s="40">
        <f>IF(OR(G1231="",U1231=""),"",G1231*U1231-N(I1231))</f>
        <v/>
      </c>
      <c r="W1231" s="39">
        <f>IF(D1231="","",IFERROR(VALUE(MID(D1231,LEN(D1231)-3,3)),""))</f>
        <v/>
      </c>
      <c r="X1231" s="33">
        <f>IF(W1231="","",P1231&amp;"|"&amp;W1231)</f>
        <v/>
      </c>
      <c r="Y1231" s="33">
        <f>IF(W1231="","",IF(P1231="À RENSEIGNER","GIC",P1231)&amp;"-"&amp;TEXT(W1231,"000"))</f>
        <v/>
      </c>
      <c r="Z1231" s="33">
        <f>IF(X1231="","",IFERROR(INDEX(Cl_nom,MATCH(X1231,Cl_cle,0)),"(client introuvable)"))</f>
        <v/>
      </c>
      <c r="AA1231" s="33">
        <f>IF(X1231="","",IFERROR(INDEX(Cl_quartier,MATCH(X1231,Cl_cle,0))&amp;"",""))</f>
        <v/>
      </c>
      <c r="AB1231" s="45">
        <f>IF(R1231&lt;&gt;"Livrée",0,IF(K1231&lt;&gt;"",K1231,C1231))</f>
        <v/>
      </c>
      <c r="AC1231" s="33">
        <f>IF(OR(C1231="",W1231=""),"",P1231&amp;"|"&amp;W1231&amp;"|"&amp;C1231&amp;"|"&amp;E1231)</f>
        <v/>
      </c>
      <c r="AD1231" s="39">
        <f>IF(AC1231="","",IF(COUNTIF(AC$6:AC1231,AC1231)=1,1,0))</f>
        <v/>
      </c>
      <c r="AE1231" s="39">
        <f>IF(AB1231=0,"",IF(COUNTIFS(X$6:X1231,X1231,AB$6:AB1231,AB1231)=1,1,0))</f>
        <v/>
      </c>
      <c r="AF1231" s="34">
        <f>IF(C1231="","",YEAR(C1231-WEEKDAY(C1231,2)+4)&amp;"-S"&amp;TEXT(INT((C1231-DATE(YEAR(C1231-WEEKDAY(C1231,2)+4),1,3)+WEEKDAY(DATE(YEAR(C1231-WEEKDAY(C1231,2)+4),1,3),2)+5)/7),"00"))</f>
        <v/>
      </c>
    </row>
    <row r="1232" ht="18" customHeight="1">
      <c r="A1232" s="39" t="n">
        <v>1227</v>
      </c>
      <c r="B1232" s="33">
        <f>IF(C1232="","",IF(P1232="À RENSEIGNER","GIC",P1232)&amp;"-C"&amp;TEXT(A1232,"00000"))</f>
        <v/>
      </c>
      <c r="C1232" s="32" t="n"/>
      <c r="D1232" s="36" t="n"/>
      <c r="E1232" s="36" t="n"/>
      <c r="F1232" s="36" t="n"/>
      <c r="G1232" s="42" t="n"/>
      <c r="H1232" s="37" t="n"/>
      <c r="I1232" s="37" t="n"/>
      <c r="J1232" s="32" t="n"/>
      <c r="K1232" s="32" t="n"/>
      <c r="L1232" s="43" t="n"/>
      <c r="M1232" s="36" t="n"/>
      <c r="N1232" s="44" t="n"/>
      <c r="O1232" s="36" t="n"/>
      <c r="P1232" s="33">
        <f>IF(C1232="","",Commercial_Id)</f>
        <v/>
      </c>
      <c r="Q1232" s="34">
        <f>IF(AC1232="","",IF(AD1232=1,"C"&amp;TEXT(SUM(AD$6:AD1232),"0000"),INDEX(Q$6:Q1231,MATCH(AC1232,AC$6:AC1231,0))))</f>
        <v/>
      </c>
      <c r="R1232" s="34">
        <f>IF(C1232="","",IF(L1232="☑ Oui","Annulée",IF(OR(E1232="Vente directe",K1232&lt;&gt;""),"Livrée",IF(J1232&lt;&gt;"","Confirmée","En attente"))))</f>
        <v/>
      </c>
      <c r="S1232" s="34">
        <f>IF(F1232="","",IFERROR(VLOOKUP(F1232,T_Produits,2,FALSE),""))</f>
        <v/>
      </c>
      <c r="T1232" s="40">
        <f>IF(F1232="","",IFERROR(1/(1/VLOOKUP(F1232,T_Produits,3,FALSE)),""))</f>
        <v/>
      </c>
      <c r="U1232" s="40">
        <f>IF(H1232&lt;&gt;"",H1232,T1232)</f>
        <v/>
      </c>
      <c r="V1232" s="40">
        <f>IF(OR(G1232="",U1232=""),"",G1232*U1232-N(I1232))</f>
        <v/>
      </c>
      <c r="W1232" s="39">
        <f>IF(D1232="","",IFERROR(VALUE(MID(D1232,LEN(D1232)-3,3)),""))</f>
        <v/>
      </c>
      <c r="X1232" s="33">
        <f>IF(W1232="","",P1232&amp;"|"&amp;W1232)</f>
        <v/>
      </c>
      <c r="Y1232" s="33">
        <f>IF(W1232="","",IF(P1232="À RENSEIGNER","GIC",P1232)&amp;"-"&amp;TEXT(W1232,"000"))</f>
        <v/>
      </c>
      <c r="Z1232" s="33">
        <f>IF(X1232="","",IFERROR(INDEX(Cl_nom,MATCH(X1232,Cl_cle,0)),"(client introuvable)"))</f>
        <v/>
      </c>
      <c r="AA1232" s="33">
        <f>IF(X1232="","",IFERROR(INDEX(Cl_quartier,MATCH(X1232,Cl_cle,0))&amp;"",""))</f>
        <v/>
      </c>
      <c r="AB1232" s="45">
        <f>IF(R1232&lt;&gt;"Livrée",0,IF(K1232&lt;&gt;"",K1232,C1232))</f>
        <v/>
      </c>
      <c r="AC1232" s="33">
        <f>IF(OR(C1232="",W1232=""),"",P1232&amp;"|"&amp;W1232&amp;"|"&amp;C1232&amp;"|"&amp;E1232)</f>
        <v/>
      </c>
      <c r="AD1232" s="39">
        <f>IF(AC1232="","",IF(COUNTIF(AC$6:AC1232,AC1232)=1,1,0))</f>
        <v/>
      </c>
      <c r="AE1232" s="39">
        <f>IF(AB1232=0,"",IF(COUNTIFS(X$6:X1232,X1232,AB$6:AB1232,AB1232)=1,1,0))</f>
        <v/>
      </c>
      <c r="AF1232" s="34">
        <f>IF(C1232="","",YEAR(C1232-WEEKDAY(C1232,2)+4)&amp;"-S"&amp;TEXT(INT((C1232-DATE(YEAR(C1232-WEEKDAY(C1232,2)+4),1,3)+WEEKDAY(DATE(YEAR(C1232-WEEKDAY(C1232,2)+4),1,3),2)+5)/7),"00"))</f>
        <v/>
      </c>
    </row>
    <row r="1233" ht="18" customHeight="1">
      <c r="A1233" s="39" t="n">
        <v>1228</v>
      </c>
      <c r="B1233" s="33">
        <f>IF(C1233="","",IF(P1233="À RENSEIGNER","GIC",P1233)&amp;"-C"&amp;TEXT(A1233,"00000"))</f>
        <v/>
      </c>
      <c r="C1233" s="32" t="n"/>
      <c r="D1233" s="36" t="n"/>
      <c r="E1233" s="36" t="n"/>
      <c r="F1233" s="36" t="n"/>
      <c r="G1233" s="42" t="n"/>
      <c r="H1233" s="37" t="n"/>
      <c r="I1233" s="37" t="n"/>
      <c r="J1233" s="32" t="n"/>
      <c r="K1233" s="32" t="n"/>
      <c r="L1233" s="43" t="n"/>
      <c r="M1233" s="36" t="n"/>
      <c r="N1233" s="44" t="n"/>
      <c r="O1233" s="36" t="n"/>
      <c r="P1233" s="33">
        <f>IF(C1233="","",Commercial_Id)</f>
        <v/>
      </c>
      <c r="Q1233" s="34">
        <f>IF(AC1233="","",IF(AD1233=1,"C"&amp;TEXT(SUM(AD$6:AD1233),"0000"),INDEX(Q$6:Q1232,MATCH(AC1233,AC$6:AC1232,0))))</f>
        <v/>
      </c>
      <c r="R1233" s="34">
        <f>IF(C1233="","",IF(L1233="☑ Oui","Annulée",IF(OR(E1233="Vente directe",K1233&lt;&gt;""),"Livrée",IF(J1233&lt;&gt;"","Confirmée","En attente"))))</f>
        <v/>
      </c>
      <c r="S1233" s="34">
        <f>IF(F1233="","",IFERROR(VLOOKUP(F1233,T_Produits,2,FALSE),""))</f>
        <v/>
      </c>
      <c r="T1233" s="40">
        <f>IF(F1233="","",IFERROR(1/(1/VLOOKUP(F1233,T_Produits,3,FALSE)),""))</f>
        <v/>
      </c>
      <c r="U1233" s="40">
        <f>IF(H1233&lt;&gt;"",H1233,T1233)</f>
        <v/>
      </c>
      <c r="V1233" s="40">
        <f>IF(OR(G1233="",U1233=""),"",G1233*U1233-N(I1233))</f>
        <v/>
      </c>
      <c r="W1233" s="39">
        <f>IF(D1233="","",IFERROR(VALUE(MID(D1233,LEN(D1233)-3,3)),""))</f>
        <v/>
      </c>
      <c r="X1233" s="33">
        <f>IF(W1233="","",P1233&amp;"|"&amp;W1233)</f>
        <v/>
      </c>
      <c r="Y1233" s="33">
        <f>IF(W1233="","",IF(P1233="À RENSEIGNER","GIC",P1233)&amp;"-"&amp;TEXT(W1233,"000"))</f>
        <v/>
      </c>
      <c r="Z1233" s="33">
        <f>IF(X1233="","",IFERROR(INDEX(Cl_nom,MATCH(X1233,Cl_cle,0)),"(client introuvable)"))</f>
        <v/>
      </c>
      <c r="AA1233" s="33">
        <f>IF(X1233="","",IFERROR(INDEX(Cl_quartier,MATCH(X1233,Cl_cle,0))&amp;"",""))</f>
        <v/>
      </c>
      <c r="AB1233" s="45">
        <f>IF(R1233&lt;&gt;"Livrée",0,IF(K1233&lt;&gt;"",K1233,C1233))</f>
        <v/>
      </c>
      <c r="AC1233" s="33">
        <f>IF(OR(C1233="",W1233=""),"",P1233&amp;"|"&amp;W1233&amp;"|"&amp;C1233&amp;"|"&amp;E1233)</f>
        <v/>
      </c>
      <c r="AD1233" s="39">
        <f>IF(AC1233="","",IF(COUNTIF(AC$6:AC1233,AC1233)=1,1,0))</f>
        <v/>
      </c>
      <c r="AE1233" s="39">
        <f>IF(AB1233=0,"",IF(COUNTIFS(X$6:X1233,X1233,AB$6:AB1233,AB1233)=1,1,0))</f>
        <v/>
      </c>
      <c r="AF1233" s="34">
        <f>IF(C1233="","",YEAR(C1233-WEEKDAY(C1233,2)+4)&amp;"-S"&amp;TEXT(INT((C1233-DATE(YEAR(C1233-WEEKDAY(C1233,2)+4),1,3)+WEEKDAY(DATE(YEAR(C1233-WEEKDAY(C1233,2)+4),1,3),2)+5)/7),"00"))</f>
        <v/>
      </c>
    </row>
    <row r="1234" ht="18" customHeight="1">
      <c r="A1234" s="39" t="n">
        <v>1229</v>
      </c>
      <c r="B1234" s="33">
        <f>IF(C1234="","",IF(P1234="À RENSEIGNER","GIC",P1234)&amp;"-C"&amp;TEXT(A1234,"00000"))</f>
        <v/>
      </c>
      <c r="C1234" s="32" t="n"/>
      <c r="D1234" s="36" t="n"/>
      <c r="E1234" s="36" t="n"/>
      <c r="F1234" s="36" t="n"/>
      <c r="G1234" s="42" t="n"/>
      <c r="H1234" s="37" t="n"/>
      <c r="I1234" s="37" t="n"/>
      <c r="J1234" s="32" t="n"/>
      <c r="K1234" s="32" t="n"/>
      <c r="L1234" s="43" t="n"/>
      <c r="M1234" s="36" t="n"/>
      <c r="N1234" s="44" t="n"/>
      <c r="O1234" s="36" t="n"/>
      <c r="P1234" s="33">
        <f>IF(C1234="","",Commercial_Id)</f>
        <v/>
      </c>
      <c r="Q1234" s="34">
        <f>IF(AC1234="","",IF(AD1234=1,"C"&amp;TEXT(SUM(AD$6:AD1234),"0000"),INDEX(Q$6:Q1233,MATCH(AC1234,AC$6:AC1233,0))))</f>
        <v/>
      </c>
      <c r="R1234" s="34">
        <f>IF(C1234="","",IF(L1234="☑ Oui","Annulée",IF(OR(E1234="Vente directe",K1234&lt;&gt;""),"Livrée",IF(J1234&lt;&gt;"","Confirmée","En attente"))))</f>
        <v/>
      </c>
      <c r="S1234" s="34">
        <f>IF(F1234="","",IFERROR(VLOOKUP(F1234,T_Produits,2,FALSE),""))</f>
        <v/>
      </c>
      <c r="T1234" s="40">
        <f>IF(F1234="","",IFERROR(1/(1/VLOOKUP(F1234,T_Produits,3,FALSE)),""))</f>
        <v/>
      </c>
      <c r="U1234" s="40">
        <f>IF(H1234&lt;&gt;"",H1234,T1234)</f>
        <v/>
      </c>
      <c r="V1234" s="40">
        <f>IF(OR(G1234="",U1234=""),"",G1234*U1234-N(I1234))</f>
        <v/>
      </c>
      <c r="W1234" s="39">
        <f>IF(D1234="","",IFERROR(VALUE(MID(D1234,LEN(D1234)-3,3)),""))</f>
        <v/>
      </c>
      <c r="X1234" s="33">
        <f>IF(W1234="","",P1234&amp;"|"&amp;W1234)</f>
        <v/>
      </c>
      <c r="Y1234" s="33">
        <f>IF(W1234="","",IF(P1234="À RENSEIGNER","GIC",P1234)&amp;"-"&amp;TEXT(W1234,"000"))</f>
        <v/>
      </c>
      <c r="Z1234" s="33">
        <f>IF(X1234="","",IFERROR(INDEX(Cl_nom,MATCH(X1234,Cl_cle,0)),"(client introuvable)"))</f>
        <v/>
      </c>
      <c r="AA1234" s="33">
        <f>IF(X1234="","",IFERROR(INDEX(Cl_quartier,MATCH(X1234,Cl_cle,0))&amp;"",""))</f>
        <v/>
      </c>
      <c r="AB1234" s="45">
        <f>IF(R1234&lt;&gt;"Livrée",0,IF(K1234&lt;&gt;"",K1234,C1234))</f>
        <v/>
      </c>
      <c r="AC1234" s="33">
        <f>IF(OR(C1234="",W1234=""),"",P1234&amp;"|"&amp;W1234&amp;"|"&amp;C1234&amp;"|"&amp;E1234)</f>
        <v/>
      </c>
      <c r="AD1234" s="39">
        <f>IF(AC1234="","",IF(COUNTIF(AC$6:AC1234,AC1234)=1,1,0))</f>
        <v/>
      </c>
      <c r="AE1234" s="39">
        <f>IF(AB1234=0,"",IF(COUNTIFS(X$6:X1234,X1234,AB$6:AB1234,AB1234)=1,1,0))</f>
        <v/>
      </c>
      <c r="AF1234" s="34">
        <f>IF(C1234="","",YEAR(C1234-WEEKDAY(C1234,2)+4)&amp;"-S"&amp;TEXT(INT((C1234-DATE(YEAR(C1234-WEEKDAY(C1234,2)+4),1,3)+WEEKDAY(DATE(YEAR(C1234-WEEKDAY(C1234,2)+4),1,3),2)+5)/7),"00"))</f>
        <v/>
      </c>
    </row>
    <row r="1235" ht="18" customHeight="1">
      <c r="A1235" s="39" t="n">
        <v>1230</v>
      </c>
      <c r="B1235" s="33">
        <f>IF(C1235="","",IF(P1235="À RENSEIGNER","GIC",P1235)&amp;"-C"&amp;TEXT(A1235,"00000"))</f>
        <v/>
      </c>
      <c r="C1235" s="32" t="n"/>
      <c r="D1235" s="36" t="n"/>
      <c r="E1235" s="36" t="n"/>
      <c r="F1235" s="36" t="n"/>
      <c r="G1235" s="42" t="n"/>
      <c r="H1235" s="37" t="n"/>
      <c r="I1235" s="37" t="n"/>
      <c r="J1235" s="32" t="n"/>
      <c r="K1235" s="32" t="n"/>
      <c r="L1235" s="43" t="n"/>
      <c r="M1235" s="36" t="n"/>
      <c r="N1235" s="44" t="n"/>
      <c r="O1235" s="36" t="n"/>
      <c r="P1235" s="33">
        <f>IF(C1235="","",Commercial_Id)</f>
        <v/>
      </c>
      <c r="Q1235" s="34">
        <f>IF(AC1235="","",IF(AD1235=1,"C"&amp;TEXT(SUM(AD$6:AD1235),"0000"),INDEX(Q$6:Q1234,MATCH(AC1235,AC$6:AC1234,0))))</f>
        <v/>
      </c>
      <c r="R1235" s="34">
        <f>IF(C1235="","",IF(L1235="☑ Oui","Annulée",IF(OR(E1235="Vente directe",K1235&lt;&gt;""),"Livrée",IF(J1235&lt;&gt;"","Confirmée","En attente"))))</f>
        <v/>
      </c>
      <c r="S1235" s="34">
        <f>IF(F1235="","",IFERROR(VLOOKUP(F1235,T_Produits,2,FALSE),""))</f>
        <v/>
      </c>
      <c r="T1235" s="40">
        <f>IF(F1235="","",IFERROR(1/(1/VLOOKUP(F1235,T_Produits,3,FALSE)),""))</f>
        <v/>
      </c>
      <c r="U1235" s="40">
        <f>IF(H1235&lt;&gt;"",H1235,T1235)</f>
        <v/>
      </c>
      <c r="V1235" s="40">
        <f>IF(OR(G1235="",U1235=""),"",G1235*U1235-N(I1235))</f>
        <v/>
      </c>
      <c r="W1235" s="39">
        <f>IF(D1235="","",IFERROR(VALUE(MID(D1235,LEN(D1235)-3,3)),""))</f>
        <v/>
      </c>
      <c r="X1235" s="33">
        <f>IF(W1235="","",P1235&amp;"|"&amp;W1235)</f>
        <v/>
      </c>
      <c r="Y1235" s="33">
        <f>IF(W1235="","",IF(P1235="À RENSEIGNER","GIC",P1235)&amp;"-"&amp;TEXT(W1235,"000"))</f>
        <v/>
      </c>
      <c r="Z1235" s="33">
        <f>IF(X1235="","",IFERROR(INDEX(Cl_nom,MATCH(X1235,Cl_cle,0)),"(client introuvable)"))</f>
        <v/>
      </c>
      <c r="AA1235" s="33">
        <f>IF(X1235="","",IFERROR(INDEX(Cl_quartier,MATCH(X1235,Cl_cle,0))&amp;"",""))</f>
        <v/>
      </c>
      <c r="AB1235" s="45">
        <f>IF(R1235&lt;&gt;"Livrée",0,IF(K1235&lt;&gt;"",K1235,C1235))</f>
        <v/>
      </c>
      <c r="AC1235" s="33">
        <f>IF(OR(C1235="",W1235=""),"",P1235&amp;"|"&amp;W1235&amp;"|"&amp;C1235&amp;"|"&amp;E1235)</f>
        <v/>
      </c>
      <c r="AD1235" s="39">
        <f>IF(AC1235="","",IF(COUNTIF(AC$6:AC1235,AC1235)=1,1,0))</f>
        <v/>
      </c>
      <c r="AE1235" s="39">
        <f>IF(AB1235=0,"",IF(COUNTIFS(X$6:X1235,X1235,AB$6:AB1235,AB1235)=1,1,0))</f>
        <v/>
      </c>
      <c r="AF1235" s="34">
        <f>IF(C1235="","",YEAR(C1235-WEEKDAY(C1235,2)+4)&amp;"-S"&amp;TEXT(INT((C1235-DATE(YEAR(C1235-WEEKDAY(C1235,2)+4),1,3)+WEEKDAY(DATE(YEAR(C1235-WEEKDAY(C1235,2)+4),1,3),2)+5)/7),"00"))</f>
        <v/>
      </c>
    </row>
    <row r="1236" ht="18" customHeight="1">
      <c r="A1236" s="39" t="n">
        <v>1231</v>
      </c>
      <c r="B1236" s="33">
        <f>IF(C1236="","",IF(P1236="À RENSEIGNER","GIC",P1236)&amp;"-C"&amp;TEXT(A1236,"00000"))</f>
        <v/>
      </c>
      <c r="C1236" s="32" t="n"/>
      <c r="D1236" s="36" t="n"/>
      <c r="E1236" s="36" t="n"/>
      <c r="F1236" s="36" t="n"/>
      <c r="G1236" s="42" t="n"/>
      <c r="H1236" s="37" t="n"/>
      <c r="I1236" s="37" t="n"/>
      <c r="J1236" s="32" t="n"/>
      <c r="K1236" s="32" t="n"/>
      <c r="L1236" s="43" t="n"/>
      <c r="M1236" s="36" t="n"/>
      <c r="N1236" s="44" t="n"/>
      <c r="O1236" s="36" t="n"/>
      <c r="P1236" s="33">
        <f>IF(C1236="","",Commercial_Id)</f>
        <v/>
      </c>
      <c r="Q1236" s="34">
        <f>IF(AC1236="","",IF(AD1236=1,"C"&amp;TEXT(SUM(AD$6:AD1236),"0000"),INDEX(Q$6:Q1235,MATCH(AC1236,AC$6:AC1235,0))))</f>
        <v/>
      </c>
      <c r="R1236" s="34">
        <f>IF(C1236="","",IF(L1236="☑ Oui","Annulée",IF(OR(E1236="Vente directe",K1236&lt;&gt;""),"Livrée",IF(J1236&lt;&gt;"","Confirmée","En attente"))))</f>
        <v/>
      </c>
      <c r="S1236" s="34">
        <f>IF(F1236="","",IFERROR(VLOOKUP(F1236,T_Produits,2,FALSE),""))</f>
        <v/>
      </c>
      <c r="T1236" s="40">
        <f>IF(F1236="","",IFERROR(1/(1/VLOOKUP(F1236,T_Produits,3,FALSE)),""))</f>
        <v/>
      </c>
      <c r="U1236" s="40">
        <f>IF(H1236&lt;&gt;"",H1236,T1236)</f>
        <v/>
      </c>
      <c r="V1236" s="40">
        <f>IF(OR(G1236="",U1236=""),"",G1236*U1236-N(I1236))</f>
        <v/>
      </c>
      <c r="W1236" s="39">
        <f>IF(D1236="","",IFERROR(VALUE(MID(D1236,LEN(D1236)-3,3)),""))</f>
        <v/>
      </c>
      <c r="X1236" s="33">
        <f>IF(W1236="","",P1236&amp;"|"&amp;W1236)</f>
        <v/>
      </c>
      <c r="Y1236" s="33">
        <f>IF(W1236="","",IF(P1236="À RENSEIGNER","GIC",P1236)&amp;"-"&amp;TEXT(W1236,"000"))</f>
        <v/>
      </c>
      <c r="Z1236" s="33">
        <f>IF(X1236="","",IFERROR(INDEX(Cl_nom,MATCH(X1236,Cl_cle,0)),"(client introuvable)"))</f>
        <v/>
      </c>
      <c r="AA1236" s="33">
        <f>IF(X1236="","",IFERROR(INDEX(Cl_quartier,MATCH(X1236,Cl_cle,0))&amp;"",""))</f>
        <v/>
      </c>
      <c r="AB1236" s="45">
        <f>IF(R1236&lt;&gt;"Livrée",0,IF(K1236&lt;&gt;"",K1236,C1236))</f>
        <v/>
      </c>
      <c r="AC1236" s="33">
        <f>IF(OR(C1236="",W1236=""),"",P1236&amp;"|"&amp;W1236&amp;"|"&amp;C1236&amp;"|"&amp;E1236)</f>
        <v/>
      </c>
      <c r="AD1236" s="39">
        <f>IF(AC1236="","",IF(COUNTIF(AC$6:AC1236,AC1236)=1,1,0))</f>
        <v/>
      </c>
      <c r="AE1236" s="39">
        <f>IF(AB1236=0,"",IF(COUNTIFS(X$6:X1236,X1236,AB$6:AB1236,AB1236)=1,1,0))</f>
        <v/>
      </c>
      <c r="AF1236" s="34">
        <f>IF(C1236="","",YEAR(C1236-WEEKDAY(C1236,2)+4)&amp;"-S"&amp;TEXT(INT((C1236-DATE(YEAR(C1236-WEEKDAY(C1236,2)+4),1,3)+WEEKDAY(DATE(YEAR(C1236-WEEKDAY(C1236,2)+4),1,3),2)+5)/7),"00"))</f>
        <v/>
      </c>
    </row>
    <row r="1237" ht="18" customHeight="1">
      <c r="A1237" s="39" t="n">
        <v>1232</v>
      </c>
      <c r="B1237" s="33">
        <f>IF(C1237="","",IF(P1237="À RENSEIGNER","GIC",P1237)&amp;"-C"&amp;TEXT(A1237,"00000"))</f>
        <v/>
      </c>
      <c r="C1237" s="32" t="n"/>
      <c r="D1237" s="36" t="n"/>
      <c r="E1237" s="36" t="n"/>
      <c r="F1237" s="36" t="n"/>
      <c r="G1237" s="42" t="n"/>
      <c r="H1237" s="37" t="n"/>
      <c r="I1237" s="37" t="n"/>
      <c r="J1237" s="32" t="n"/>
      <c r="K1237" s="32" t="n"/>
      <c r="L1237" s="43" t="n"/>
      <c r="M1237" s="36" t="n"/>
      <c r="N1237" s="44" t="n"/>
      <c r="O1237" s="36" t="n"/>
      <c r="P1237" s="33">
        <f>IF(C1237="","",Commercial_Id)</f>
        <v/>
      </c>
      <c r="Q1237" s="34">
        <f>IF(AC1237="","",IF(AD1237=1,"C"&amp;TEXT(SUM(AD$6:AD1237),"0000"),INDEX(Q$6:Q1236,MATCH(AC1237,AC$6:AC1236,0))))</f>
        <v/>
      </c>
      <c r="R1237" s="34">
        <f>IF(C1237="","",IF(L1237="☑ Oui","Annulée",IF(OR(E1237="Vente directe",K1237&lt;&gt;""),"Livrée",IF(J1237&lt;&gt;"","Confirmée","En attente"))))</f>
        <v/>
      </c>
      <c r="S1237" s="34">
        <f>IF(F1237="","",IFERROR(VLOOKUP(F1237,T_Produits,2,FALSE),""))</f>
        <v/>
      </c>
      <c r="T1237" s="40">
        <f>IF(F1237="","",IFERROR(1/(1/VLOOKUP(F1237,T_Produits,3,FALSE)),""))</f>
        <v/>
      </c>
      <c r="U1237" s="40">
        <f>IF(H1237&lt;&gt;"",H1237,T1237)</f>
        <v/>
      </c>
      <c r="V1237" s="40">
        <f>IF(OR(G1237="",U1237=""),"",G1237*U1237-N(I1237))</f>
        <v/>
      </c>
      <c r="W1237" s="39">
        <f>IF(D1237="","",IFERROR(VALUE(MID(D1237,LEN(D1237)-3,3)),""))</f>
        <v/>
      </c>
      <c r="X1237" s="33">
        <f>IF(W1237="","",P1237&amp;"|"&amp;W1237)</f>
        <v/>
      </c>
      <c r="Y1237" s="33">
        <f>IF(W1237="","",IF(P1237="À RENSEIGNER","GIC",P1237)&amp;"-"&amp;TEXT(W1237,"000"))</f>
        <v/>
      </c>
      <c r="Z1237" s="33">
        <f>IF(X1237="","",IFERROR(INDEX(Cl_nom,MATCH(X1237,Cl_cle,0)),"(client introuvable)"))</f>
        <v/>
      </c>
      <c r="AA1237" s="33">
        <f>IF(X1237="","",IFERROR(INDEX(Cl_quartier,MATCH(X1237,Cl_cle,0))&amp;"",""))</f>
        <v/>
      </c>
      <c r="AB1237" s="45">
        <f>IF(R1237&lt;&gt;"Livrée",0,IF(K1237&lt;&gt;"",K1237,C1237))</f>
        <v/>
      </c>
      <c r="AC1237" s="33">
        <f>IF(OR(C1237="",W1237=""),"",P1237&amp;"|"&amp;W1237&amp;"|"&amp;C1237&amp;"|"&amp;E1237)</f>
        <v/>
      </c>
      <c r="AD1237" s="39">
        <f>IF(AC1237="","",IF(COUNTIF(AC$6:AC1237,AC1237)=1,1,0))</f>
        <v/>
      </c>
      <c r="AE1237" s="39">
        <f>IF(AB1237=0,"",IF(COUNTIFS(X$6:X1237,X1237,AB$6:AB1237,AB1237)=1,1,0))</f>
        <v/>
      </c>
      <c r="AF1237" s="34">
        <f>IF(C1237="","",YEAR(C1237-WEEKDAY(C1237,2)+4)&amp;"-S"&amp;TEXT(INT((C1237-DATE(YEAR(C1237-WEEKDAY(C1237,2)+4),1,3)+WEEKDAY(DATE(YEAR(C1237-WEEKDAY(C1237,2)+4),1,3),2)+5)/7),"00"))</f>
        <v/>
      </c>
    </row>
    <row r="1238" ht="18" customHeight="1">
      <c r="A1238" s="39" t="n">
        <v>1233</v>
      </c>
      <c r="B1238" s="33">
        <f>IF(C1238="","",IF(P1238="À RENSEIGNER","GIC",P1238)&amp;"-C"&amp;TEXT(A1238,"00000"))</f>
        <v/>
      </c>
      <c r="C1238" s="32" t="n"/>
      <c r="D1238" s="36" t="n"/>
      <c r="E1238" s="36" t="n"/>
      <c r="F1238" s="36" t="n"/>
      <c r="G1238" s="42" t="n"/>
      <c r="H1238" s="37" t="n"/>
      <c r="I1238" s="37" t="n"/>
      <c r="J1238" s="32" t="n"/>
      <c r="K1238" s="32" t="n"/>
      <c r="L1238" s="43" t="n"/>
      <c r="M1238" s="36" t="n"/>
      <c r="N1238" s="44" t="n"/>
      <c r="O1238" s="36" t="n"/>
      <c r="P1238" s="33">
        <f>IF(C1238="","",Commercial_Id)</f>
        <v/>
      </c>
      <c r="Q1238" s="34">
        <f>IF(AC1238="","",IF(AD1238=1,"C"&amp;TEXT(SUM(AD$6:AD1238),"0000"),INDEX(Q$6:Q1237,MATCH(AC1238,AC$6:AC1237,0))))</f>
        <v/>
      </c>
      <c r="R1238" s="34">
        <f>IF(C1238="","",IF(L1238="☑ Oui","Annulée",IF(OR(E1238="Vente directe",K1238&lt;&gt;""),"Livrée",IF(J1238&lt;&gt;"","Confirmée","En attente"))))</f>
        <v/>
      </c>
      <c r="S1238" s="34">
        <f>IF(F1238="","",IFERROR(VLOOKUP(F1238,T_Produits,2,FALSE),""))</f>
        <v/>
      </c>
      <c r="T1238" s="40">
        <f>IF(F1238="","",IFERROR(1/(1/VLOOKUP(F1238,T_Produits,3,FALSE)),""))</f>
        <v/>
      </c>
      <c r="U1238" s="40">
        <f>IF(H1238&lt;&gt;"",H1238,T1238)</f>
        <v/>
      </c>
      <c r="V1238" s="40">
        <f>IF(OR(G1238="",U1238=""),"",G1238*U1238-N(I1238))</f>
        <v/>
      </c>
      <c r="W1238" s="39">
        <f>IF(D1238="","",IFERROR(VALUE(MID(D1238,LEN(D1238)-3,3)),""))</f>
        <v/>
      </c>
      <c r="X1238" s="33">
        <f>IF(W1238="","",P1238&amp;"|"&amp;W1238)</f>
        <v/>
      </c>
      <c r="Y1238" s="33">
        <f>IF(W1238="","",IF(P1238="À RENSEIGNER","GIC",P1238)&amp;"-"&amp;TEXT(W1238,"000"))</f>
        <v/>
      </c>
      <c r="Z1238" s="33">
        <f>IF(X1238="","",IFERROR(INDEX(Cl_nom,MATCH(X1238,Cl_cle,0)),"(client introuvable)"))</f>
        <v/>
      </c>
      <c r="AA1238" s="33">
        <f>IF(X1238="","",IFERROR(INDEX(Cl_quartier,MATCH(X1238,Cl_cle,0))&amp;"",""))</f>
        <v/>
      </c>
      <c r="AB1238" s="45">
        <f>IF(R1238&lt;&gt;"Livrée",0,IF(K1238&lt;&gt;"",K1238,C1238))</f>
        <v/>
      </c>
      <c r="AC1238" s="33">
        <f>IF(OR(C1238="",W1238=""),"",P1238&amp;"|"&amp;W1238&amp;"|"&amp;C1238&amp;"|"&amp;E1238)</f>
        <v/>
      </c>
      <c r="AD1238" s="39">
        <f>IF(AC1238="","",IF(COUNTIF(AC$6:AC1238,AC1238)=1,1,0))</f>
        <v/>
      </c>
      <c r="AE1238" s="39">
        <f>IF(AB1238=0,"",IF(COUNTIFS(X$6:X1238,X1238,AB$6:AB1238,AB1238)=1,1,0))</f>
        <v/>
      </c>
      <c r="AF1238" s="34">
        <f>IF(C1238="","",YEAR(C1238-WEEKDAY(C1238,2)+4)&amp;"-S"&amp;TEXT(INT((C1238-DATE(YEAR(C1238-WEEKDAY(C1238,2)+4),1,3)+WEEKDAY(DATE(YEAR(C1238-WEEKDAY(C1238,2)+4),1,3),2)+5)/7),"00"))</f>
        <v/>
      </c>
    </row>
    <row r="1239" ht="18" customHeight="1">
      <c r="A1239" s="39" t="n">
        <v>1234</v>
      </c>
      <c r="B1239" s="33">
        <f>IF(C1239="","",IF(P1239="À RENSEIGNER","GIC",P1239)&amp;"-C"&amp;TEXT(A1239,"00000"))</f>
        <v/>
      </c>
      <c r="C1239" s="32" t="n"/>
      <c r="D1239" s="36" t="n"/>
      <c r="E1239" s="36" t="n"/>
      <c r="F1239" s="36" t="n"/>
      <c r="G1239" s="42" t="n"/>
      <c r="H1239" s="37" t="n"/>
      <c r="I1239" s="37" t="n"/>
      <c r="J1239" s="32" t="n"/>
      <c r="K1239" s="32" t="n"/>
      <c r="L1239" s="43" t="n"/>
      <c r="M1239" s="36" t="n"/>
      <c r="N1239" s="44" t="n"/>
      <c r="O1239" s="36" t="n"/>
      <c r="P1239" s="33">
        <f>IF(C1239="","",Commercial_Id)</f>
        <v/>
      </c>
      <c r="Q1239" s="34">
        <f>IF(AC1239="","",IF(AD1239=1,"C"&amp;TEXT(SUM(AD$6:AD1239),"0000"),INDEX(Q$6:Q1238,MATCH(AC1239,AC$6:AC1238,0))))</f>
        <v/>
      </c>
      <c r="R1239" s="34">
        <f>IF(C1239="","",IF(L1239="☑ Oui","Annulée",IF(OR(E1239="Vente directe",K1239&lt;&gt;""),"Livrée",IF(J1239&lt;&gt;"","Confirmée","En attente"))))</f>
        <v/>
      </c>
      <c r="S1239" s="34">
        <f>IF(F1239="","",IFERROR(VLOOKUP(F1239,T_Produits,2,FALSE),""))</f>
        <v/>
      </c>
      <c r="T1239" s="40">
        <f>IF(F1239="","",IFERROR(1/(1/VLOOKUP(F1239,T_Produits,3,FALSE)),""))</f>
        <v/>
      </c>
      <c r="U1239" s="40">
        <f>IF(H1239&lt;&gt;"",H1239,T1239)</f>
        <v/>
      </c>
      <c r="V1239" s="40">
        <f>IF(OR(G1239="",U1239=""),"",G1239*U1239-N(I1239))</f>
        <v/>
      </c>
      <c r="W1239" s="39">
        <f>IF(D1239="","",IFERROR(VALUE(MID(D1239,LEN(D1239)-3,3)),""))</f>
        <v/>
      </c>
      <c r="X1239" s="33">
        <f>IF(W1239="","",P1239&amp;"|"&amp;W1239)</f>
        <v/>
      </c>
      <c r="Y1239" s="33">
        <f>IF(W1239="","",IF(P1239="À RENSEIGNER","GIC",P1239)&amp;"-"&amp;TEXT(W1239,"000"))</f>
        <v/>
      </c>
      <c r="Z1239" s="33">
        <f>IF(X1239="","",IFERROR(INDEX(Cl_nom,MATCH(X1239,Cl_cle,0)),"(client introuvable)"))</f>
        <v/>
      </c>
      <c r="AA1239" s="33">
        <f>IF(X1239="","",IFERROR(INDEX(Cl_quartier,MATCH(X1239,Cl_cle,0))&amp;"",""))</f>
        <v/>
      </c>
      <c r="AB1239" s="45">
        <f>IF(R1239&lt;&gt;"Livrée",0,IF(K1239&lt;&gt;"",K1239,C1239))</f>
        <v/>
      </c>
      <c r="AC1239" s="33">
        <f>IF(OR(C1239="",W1239=""),"",P1239&amp;"|"&amp;W1239&amp;"|"&amp;C1239&amp;"|"&amp;E1239)</f>
        <v/>
      </c>
      <c r="AD1239" s="39">
        <f>IF(AC1239="","",IF(COUNTIF(AC$6:AC1239,AC1239)=1,1,0))</f>
        <v/>
      </c>
      <c r="AE1239" s="39">
        <f>IF(AB1239=0,"",IF(COUNTIFS(X$6:X1239,X1239,AB$6:AB1239,AB1239)=1,1,0))</f>
        <v/>
      </c>
      <c r="AF1239" s="34">
        <f>IF(C1239="","",YEAR(C1239-WEEKDAY(C1239,2)+4)&amp;"-S"&amp;TEXT(INT((C1239-DATE(YEAR(C1239-WEEKDAY(C1239,2)+4),1,3)+WEEKDAY(DATE(YEAR(C1239-WEEKDAY(C1239,2)+4),1,3),2)+5)/7),"00"))</f>
        <v/>
      </c>
    </row>
    <row r="1240" ht="18" customHeight="1">
      <c r="A1240" s="39" t="n">
        <v>1235</v>
      </c>
      <c r="B1240" s="33">
        <f>IF(C1240="","",IF(P1240="À RENSEIGNER","GIC",P1240)&amp;"-C"&amp;TEXT(A1240,"00000"))</f>
        <v/>
      </c>
      <c r="C1240" s="32" t="n"/>
      <c r="D1240" s="36" t="n"/>
      <c r="E1240" s="36" t="n"/>
      <c r="F1240" s="36" t="n"/>
      <c r="G1240" s="42" t="n"/>
      <c r="H1240" s="37" t="n"/>
      <c r="I1240" s="37" t="n"/>
      <c r="J1240" s="32" t="n"/>
      <c r="K1240" s="32" t="n"/>
      <c r="L1240" s="43" t="n"/>
      <c r="M1240" s="36" t="n"/>
      <c r="N1240" s="44" t="n"/>
      <c r="O1240" s="36" t="n"/>
      <c r="P1240" s="33">
        <f>IF(C1240="","",Commercial_Id)</f>
        <v/>
      </c>
      <c r="Q1240" s="34">
        <f>IF(AC1240="","",IF(AD1240=1,"C"&amp;TEXT(SUM(AD$6:AD1240),"0000"),INDEX(Q$6:Q1239,MATCH(AC1240,AC$6:AC1239,0))))</f>
        <v/>
      </c>
      <c r="R1240" s="34">
        <f>IF(C1240="","",IF(L1240="☑ Oui","Annulée",IF(OR(E1240="Vente directe",K1240&lt;&gt;""),"Livrée",IF(J1240&lt;&gt;"","Confirmée","En attente"))))</f>
        <v/>
      </c>
      <c r="S1240" s="34">
        <f>IF(F1240="","",IFERROR(VLOOKUP(F1240,T_Produits,2,FALSE),""))</f>
        <v/>
      </c>
      <c r="T1240" s="40">
        <f>IF(F1240="","",IFERROR(1/(1/VLOOKUP(F1240,T_Produits,3,FALSE)),""))</f>
        <v/>
      </c>
      <c r="U1240" s="40">
        <f>IF(H1240&lt;&gt;"",H1240,T1240)</f>
        <v/>
      </c>
      <c r="V1240" s="40">
        <f>IF(OR(G1240="",U1240=""),"",G1240*U1240-N(I1240))</f>
        <v/>
      </c>
      <c r="W1240" s="39">
        <f>IF(D1240="","",IFERROR(VALUE(MID(D1240,LEN(D1240)-3,3)),""))</f>
        <v/>
      </c>
      <c r="X1240" s="33">
        <f>IF(W1240="","",P1240&amp;"|"&amp;W1240)</f>
        <v/>
      </c>
      <c r="Y1240" s="33">
        <f>IF(W1240="","",IF(P1240="À RENSEIGNER","GIC",P1240)&amp;"-"&amp;TEXT(W1240,"000"))</f>
        <v/>
      </c>
      <c r="Z1240" s="33">
        <f>IF(X1240="","",IFERROR(INDEX(Cl_nom,MATCH(X1240,Cl_cle,0)),"(client introuvable)"))</f>
        <v/>
      </c>
      <c r="AA1240" s="33">
        <f>IF(X1240="","",IFERROR(INDEX(Cl_quartier,MATCH(X1240,Cl_cle,0))&amp;"",""))</f>
        <v/>
      </c>
      <c r="AB1240" s="45">
        <f>IF(R1240&lt;&gt;"Livrée",0,IF(K1240&lt;&gt;"",K1240,C1240))</f>
        <v/>
      </c>
      <c r="AC1240" s="33">
        <f>IF(OR(C1240="",W1240=""),"",P1240&amp;"|"&amp;W1240&amp;"|"&amp;C1240&amp;"|"&amp;E1240)</f>
        <v/>
      </c>
      <c r="AD1240" s="39">
        <f>IF(AC1240="","",IF(COUNTIF(AC$6:AC1240,AC1240)=1,1,0))</f>
        <v/>
      </c>
      <c r="AE1240" s="39">
        <f>IF(AB1240=0,"",IF(COUNTIFS(X$6:X1240,X1240,AB$6:AB1240,AB1240)=1,1,0))</f>
        <v/>
      </c>
      <c r="AF1240" s="34">
        <f>IF(C1240="","",YEAR(C1240-WEEKDAY(C1240,2)+4)&amp;"-S"&amp;TEXT(INT((C1240-DATE(YEAR(C1240-WEEKDAY(C1240,2)+4),1,3)+WEEKDAY(DATE(YEAR(C1240-WEEKDAY(C1240,2)+4),1,3),2)+5)/7),"00"))</f>
        <v/>
      </c>
    </row>
    <row r="1241" ht="18" customHeight="1">
      <c r="A1241" s="39" t="n">
        <v>1236</v>
      </c>
      <c r="B1241" s="33">
        <f>IF(C1241="","",IF(P1241="À RENSEIGNER","GIC",P1241)&amp;"-C"&amp;TEXT(A1241,"00000"))</f>
        <v/>
      </c>
      <c r="C1241" s="32" t="n"/>
      <c r="D1241" s="36" t="n"/>
      <c r="E1241" s="36" t="n"/>
      <c r="F1241" s="36" t="n"/>
      <c r="G1241" s="42" t="n"/>
      <c r="H1241" s="37" t="n"/>
      <c r="I1241" s="37" t="n"/>
      <c r="J1241" s="32" t="n"/>
      <c r="K1241" s="32" t="n"/>
      <c r="L1241" s="43" t="n"/>
      <c r="M1241" s="36" t="n"/>
      <c r="N1241" s="44" t="n"/>
      <c r="O1241" s="36" t="n"/>
      <c r="P1241" s="33">
        <f>IF(C1241="","",Commercial_Id)</f>
        <v/>
      </c>
      <c r="Q1241" s="34">
        <f>IF(AC1241="","",IF(AD1241=1,"C"&amp;TEXT(SUM(AD$6:AD1241),"0000"),INDEX(Q$6:Q1240,MATCH(AC1241,AC$6:AC1240,0))))</f>
        <v/>
      </c>
      <c r="R1241" s="34">
        <f>IF(C1241="","",IF(L1241="☑ Oui","Annulée",IF(OR(E1241="Vente directe",K1241&lt;&gt;""),"Livrée",IF(J1241&lt;&gt;"","Confirmée","En attente"))))</f>
        <v/>
      </c>
      <c r="S1241" s="34">
        <f>IF(F1241="","",IFERROR(VLOOKUP(F1241,T_Produits,2,FALSE),""))</f>
        <v/>
      </c>
      <c r="T1241" s="40">
        <f>IF(F1241="","",IFERROR(1/(1/VLOOKUP(F1241,T_Produits,3,FALSE)),""))</f>
        <v/>
      </c>
      <c r="U1241" s="40">
        <f>IF(H1241&lt;&gt;"",H1241,T1241)</f>
        <v/>
      </c>
      <c r="V1241" s="40">
        <f>IF(OR(G1241="",U1241=""),"",G1241*U1241-N(I1241))</f>
        <v/>
      </c>
      <c r="W1241" s="39">
        <f>IF(D1241="","",IFERROR(VALUE(MID(D1241,LEN(D1241)-3,3)),""))</f>
        <v/>
      </c>
      <c r="X1241" s="33">
        <f>IF(W1241="","",P1241&amp;"|"&amp;W1241)</f>
        <v/>
      </c>
      <c r="Y1241" s="33">
        <f>IF(W1241="","",IF(P1241="À RENSEIGNER","GIC",P1241)&amp;"-"&amp;TEXT(W1241,"000"))</f>
        <v/>
      </c>
      <c r="Z1241" s="33">
        <f>IF(X1241="","",IFERROR(INDEX(Cl_nom,MATCH(X1241,Cl_cle,0)),"(client introuvable)"))</f>
        <v/>
      </c>
      <c r="AA1241" s="33">
        <f>IF(X1241="","",IFERROR(INDEX(Cl_quartier,MATCH(X1241,Cl_cle,0))&amp;"",""))</f>
        <v/>
      </c>
      <c r="AB1241" s="45">
        <f>IF(R1241&lt;&gt;"Livrée",0,IF(K1241&lt;&gt;"",K1241,C1241))</f>
        <v/>
      </c>
      <c r="AC1241" s="33">
        <f>IF(OR(C1241="",W1241=""),"",P1241&amp;"|"&amp;W1241&amp;"|"&amp;C1241&amp;"|"&amp;E1241)</f>
        <v/>
      </c>
      <c r="AD1241" s="39">
        <f>IF(AC1241="","",IF(COUNTIF(AC$6:AC1241,AC1241)=1,1,0))</f>
        <v/>
      </c>
      <c r="AE1241" s="39">
        <f>IF(AB1241=0,"",IF(COUNTIFS(X$6:X1241,X1241,AB$6:AB1241,AB1241)=1,1,0))</f>
        <v/>
      </c>
      <c r="AF1241" s="34">
        <f>IF(C1241="","",YEAR(C1241-WEEKDAY(C1241,2)+4)&amp;"-S"&amp;TEXT(INT((C1241-DATE(YEAR(C1241-WEEKDAY(C1241,2)+4),1,3)+WEEKDAY(DATE(YEAR(C1241-WEEKDAY(C1241,2)+4),1,3),2)+5)/7),"00"))</f>
        <v/>
      </c>
    </row>
    <row r="1242" ht="18" customHeight="1">
      <c r="A1242" s="39" t="n">
        <v>1237</v>
      </c>
      <c r="B1242" s="33">
        <f>IF(C1242="","",IF(P1242="À RENSEIGNER","GIC",P1242)&amp;"-C"&amp;TEXT(A1242,"00000"))</f>
        <v/>
      </c>
      <c r="C1242" s="32" t="n"/>
      <c r="D1242" s="36" t="n"/>
      <c r="E1242" s="36" t="n"/>
      <c r="F1242" s="36" t="n"/>
      <c r="G1242" s="42" t="n"/>
      <c r="H1242" s="37" t="n"/>
      <c r="I1242" s="37" t="n"/>
      <c r="J1242" s="32" t="n"/>
      <c r="K1242" s="32" t="n"/>
      <c r="L1242" s="43" t="n"/>
      <c r="M1242" s="36" t="n"/>
      <c r="N1242" s="44" t="n"/>
      <c r="O1242" s="36" t="n"/>
      <c r="P1242" s="33">
        <f>IF(C1242="","",Commercial_Id)</f>
        <v/>
      </c>
      <c r="Q1242" s="34">
        <f>IF(AC1242="","",IF(AD1242=1,"C"&amp;TEXT(SUM(AD$6:AD1242),"0000"),INDEX(Q$6:Q1241,MATCH(AC1242,AC$6:AC1241,0))))</f>
        <v/>
      </c>
      <c r="R1242" s="34">
        <f>IF(C1242="","",IF(L1242="☑ Oui","Annulée",IF(OR(E1242="Vente directe",K1242&lt;&gt;""),"Livrée",IF(J1242&lt;&gt;"","Confirmée","En attente"))))</f>
        <v/>
      </c>
      <c r="S1242" s="34">
        <f>IF(F1242="","",IFERROR(VLOOKUP(F1242,T_Produits,2,FALSE),""))</f>
        <v/>
      </c>
      <c r="T1242" s="40">
        <f>IF(F1242="","",IFERROR(1/(1/VLOOKUP(F1242,T_Produits,3,FALSE)),""))</f>
        <v/>
      </c>
      <c r="U1242" s="40">
        <f>IF(H1242&lt;&gt;"",H1242,T1242)</f>
        <v/>
      </c>
      <c r="V1242" s="40">
        <f>IF(OR(G1242="",U1242=""),"",G1242*U1242-N(I1242))</f>
        <v/>
      </c>
      <c r="W1242" s="39">
        <f>IF(D1242="","",IFERROR(VALUE(MID(D1242,LEN(D1242)-3,3)),""))</f>
        <v/>
      </c>
      <c r="X1242" s="33">
        <f>IF(W1242="","",P1242&amp;"|"&amp;W1242)</f>
        <v/>
      </c>
      <c r="Y1242" s="33">
        <f>IF(W1242="","",IF(P1242="À RENSEIGNER","GIC",P1242)&amp;"-"&amp;TEXT(W1242,"000"))</f>
        <v/>
      </c>
      <c r="Z1242" s="33">
        <f>IF(X1242="","",IFERROR(INDEX(Cl_nom,MATCH(X1242,Cl_cle,0)),"(client introuvable)"))</f>
        <v/>
      </c>
      <c r="AA1242" s="33">
        <f>IF(X1242="","",IFERROR(INDEX(Cl_quartier,MATCH(X1242,Cl_cle,0))&amp;"",""))</f>
        <v/>
      </c>
      <c r="AB1242" s="45">
        <f>IF(R1242&lt;&gt;"Livrée",0,IF(K1242&lt;&gt;"",K1242,C1242))</f>
        <v/>
      </c>
      <c r="AC1242" s="33">
        <f>IF(OR(C1242="",W1242=""),"",P1242&amp;"|"&amp;W1242&amp;"|"&amp;C1242&amp;"|"&amp;E1242)</f>
        <v/>
      </c>
      <c r="AD1242" s="39">
        <f>IF(AC1242="","",IF(COUNTIF(AC$6:AC1242,AC1242)=1,1,0))</f>
        <v/>
      </c>
      <c r="AE1242" s="39">
        <f>IF(AB1242=0,"",IF(COUNTIFS(X$6:X1242,X1242,AB$6:AB1242,AB1242)=1,1,0))</f>
        <v/>
      </c>
      <c r="AF1242" s="34">
        <f>IF(C1242="","",YEAR(C1242-WEEKDAY(C1242,2)+4)&amp;"-S"&amp;TEXT(INT((C1242-DATE(YEAR(C1242-WEEKDAY(C1242,2)+4),1,3)+WEEKDAY(DATE(YEAR(C1242-WEEKDAY(C1242,2)+4),1,3),2)+5)/7),"00"))</f>
        <v/>
      </c>
    </row>
    <row r="1243" ht="18" customHeight="1">
      <c r="A1243" s="39" t="n">
        <v>1238</v>
      </c>
      <c r="B1243" s="33">
        <f>IF(C1243="","",IF(P1243="À RENSEIGNER","GIC",P1243)&amp;"-C"&amp;TEXT(A1243,"00000"))</f>
        <v/>
      </c>
      <c r="C1243" s="32" t="n"/>
      <c r="D1243" s="36" t="n"/>
      <c r="E1243" s="36" t="n"/>
      <c r="F1243" s="36" t="n"/>
      <c r="G1243" s="42" t="n"/>
      <c r="H1243" s="37" t="n"/>
      <c r="I1243" s="37" t="n"/>
      <c r="J1243" s="32" t="n"/>
      <c r="K1243" s="32" t="n"/>
      <c r="L1243" s="43" t="n"/>
      <c r="M1243" s="36" t="n"/>
      <c r="N1243" s="44" t="n"/>
      <c r="O1243" s="36" t="n"/>
      <c r="P1243" s="33">
        <f>IF(C1243="","",Commercial_Id)</f>
        <v/>
      </c>
      <c r="Q1243" s="34">
        <f>IF(AC1243="","",IF(AD1243=1,"C"&amp;TEXT(SUM(AD$6:AD1243),"0000"),INDEX(Q$6:Q1242,MATCH(AC1243,AC$6:AC1242,0))))</f>
        <v/>
      </c>
      <c r="R1243" s="34">
        <f>IF(C1243="","",IF(L1243="☑ Oui","Annulée",IF(OR(E1243="Vente directe",K1243&lt;&gt;""),"Livrée",IF(J1243&lt;&gt;"","Confirmée","En attente"))))</f>
        <v/>
      </c>
      <c r="S1243" s="34">
        <f>IF(F1243="","",IFERROR(VLOOKUP(F1243,T_Produits,2,FALSE),""))</f>
        <v/>
      </c>
      <c r="T1243" s="40">
        <f>IF(F1243="","",IFERROR(1/(1/VLOOKUP(F1243,T_Produits,3,FALSE)),""))</f>
        <v/>
      </c>
      <c r="U1243" s="40">
        <f>IF(H1243&lt;&gt;"",H1243,T1243)</f>
        <v/>
      </c>
      <c r="V1243" s="40">
        <f>IF(OR(G1243="",U1243=""),"",G1243*U1243-N(I1243))</f>
        <v/>
      </c>
      <c r="W1243" s="39">
        <f>IF(D1243="","",IFERROR(VALUE(MID(D1243,LEN(D1243)-3,3)),""))</f>
        <v/>
      </c>
      <c r="X1243" s="33">
        <f>IF(W1243="","",P1243&amp;"|"&amp;W1243)</f>
        <v/>
      </c>
      <c r="Y1243" s="33">
        <f>IF(W1243="","",IF(P1243="À RENSEIGNER","GIC",P1243)&amp;"-"&amp;TEXT(W1243,"000"))</f>
        <v/>
      </c>
      <c r="Z1243" s="33">
        <f>IF(X1243="","",IFERROR(INDEX(Cl_nom,MATCH(X1243,Cl_cle,0)),"(client introuvable)"))</f>
        <v/>
      </c>
      <c r="AA1243" s="33">
        <f>IF(X1243="","",IFERROR(INDEX(Cl_quartier,MATCH(X1243,Cl_cle,0))&amp;"",""))</f>
        <v/>
      </c>
      <c r="AB1243" s="45">
        <f>IF(R1243&lt;&gt;"Livrée",0,IF(K1243&lt;&gt;"",K1243,C1243))</f>
        <v/>
      </c>
      <c r="AC1243" s="33">
        <f>IF(OR(C1243="",W1243=""),"",P1243&amp;"|"&amp;W1243&amp;"|"&amp;C1243&amp;"|"&amp;E1243)</f>
        <v/>
      </c>
      <c r="AD1243" s="39">
        <f>IF(AC1243="","",IF(COUNTIF(AC$6:AC1243,AC1243)=1,1,0))</f>
        <v/>
      </c>
      <c r="AE1243" s="39">
        <f>IF(AB1243=0,"",IF(COUNTIFS(X$6:X1243,X1243,AB$6:AB1243,AB1243)=1,1,0))</f>
        <v/>
      </c>
      <c r="AF1243" s="34">
        <f>IF(C1243="","",YEAR(C1243-WEEKDAY(C1243,2)+4)&amp;"-S"&amp;TEXT(INT((C1243-DATE(YEAR(C1243-WEEKDAY(C1243,2)+4),1,3)+WEEKDAY(DATE(YEAR(C1243-WEEKDAY(C1243,2)+4),1,3),2)+5)/7),"00"))</f>
        <v/>
      </c>
    </row>
    <row r="1244" ht="18" customHeight="1">
      <c r="A1244" s="39" t="n">
        <v>1239</v>
      </c>
      <c r="B1244" s="33">
        <f>IF(C1244="","",IF(P1244="À RENSEIGNER","GIC",P1244)&amp;"-C"&amp;TEXT(A1244,"00000"))</f>
        <v/>
      </c>
      <c r="C1244" s="32" t="n"/>
      <c r="D1244" s="36" t="n"/>
      <c r="E1244" s="36" t="n"/>
      <c r="F1244" s="36" t="n"/>
      <c r="G1244" s="42" t="n"/>
      <c r="H1244" s="37" t="n"/>
      <c r="I1244" s="37" t="n"/>
      <c r="J1244" s="32" t="n"/>
      <c r="K1244" s="32" t="n"/>
      <c r="L1244" s="43" t="n"/>
      <c r="M1244" s="36" t="n"/>
      <c r="N1244" s="44" t="n"/>
      <c r="O1244" s="36" t="n"/>
      <c r="P1244" s="33">
        <f>IF(C1244="","",Commercial_Id)</f>
        <v/>
      </c>
      <c r="Q1244" s="34">
        <f>IF(AC1244="","",IF(AD1244=1,"C"&amp;TEXT(SUM(AD$6:AD1244),"0000"),INDEX(Q$6:Q1243,MATCH(AC1244,AC$6:AC1243,0))))</f>
        <v/>
      </c>
      <c r="R1244" s="34">
        <f>IF(C1244="","",IF(L1244="☑ Oui","Annulée",IF(OR(E1244="Vente directe",K1244&lt;&gt;""),"Livrée",IF(J1244&lt;&gt;"","Confirmée","En attente"))))</f>
        <v/>
      </c>
      <c r="S1244" s="34">
        <f>IF(F1244="","",IFERROR(VLOOKUP(F1244,T_Produits,2,FALSE),""))</f>
        <v/>
      </c>
      <c r="T1244" s="40">
        <f>IF(F1244="","",IFERROR(1/(1/VLOOKUP(F1244,T_Produits,3,FALSE)),""))</f>
        <v/>
      </c>
      <c r="U1244" s="40">
        <f>IF(H1244&lt;&gt;"",H1244,T1244)</f>
        <v/>
      </c>
      <c r="V1244" s="40">
        <f>IF(OR(G1244="",U1244=""),"",G1244*U1244-N(I1244))</f>
        <v/>
      </c>
      <c r="W1244" s="39">
        <f>IF(D1244="","",IFERROR(VALUE(MID(D1244,LEN(D1244)-3,3)),""))</f>
        <v/>
      </c>
      <c r="X1244" s="33">
        <f>IF(W1244="","",P1244&amp;"|"&amp;W1244)</f>
        <v/>
      </c>
      <c r="Y1244" s="33">
        <f>IF(W1244="","",IF(P1244="À RENSEIGNER","GIC",P1244)&amp;"-"&amp;TEXT(W1244,"000"))</f>
        <v/>
      </c>
      <c r="Z1244" s="33">
        <f>IF(X1244="","",IFERROR(INDEX(Cl_nom,MATCH(X1244,Cl_cle,0)),"(client introuvable)"))</f>
        <v/>
      </c>
      <c r="AA1244" s="33">
        <f>IF(X1244="","",IFERROR(INDEX(Cl_quartier,MATCH(X1244,Cl_cle,0))&amp;"",""))</f>
        <v/>
      </c>
      <c r="AB1244" s="45">
        <f>IF(R1244&lt;&gt;"Livrée",0,IF(K1244&lt;&gt;"",K1244,C1244))</f>
        <v/>
      </c>
      <c r="AC1244" s="33">
        <f>IF(OR(C1244="",W1244=""),"",P1244&amp;"|"&amp;W1244&amp;"|"&amp;C1244&amp;"|"&amp;E1244)</f>
        <v/>
      </c>
      <c r="AD1244" s="39">
        <f>IF(AC1244="","",IF(COUNTIF(AC$6:AC1244,AC1244)=1,1,0))</f>
        <v/>
      </c>
      <c r="AE1244" s="39">
        <f>IF(AB1244=0,"",IF(COUNTIFS(X$6:X1244,X1244,AB$6:AB1244,AB1244)=1,1,0))</f>
        <v/>
      </c>
      <c r="AF1244" s="34">
        <f>IF(C1244="","",YEAR(C1244-WEEKDAY(C1244,2)+4)&amp;"-S"&amp;TEXT(INT((C1244-DATE(YEAR(C1244-WEEKDAY(C1244,2)+4),1,3)+WEEKDAY(DATE(YEAR(C1244-WEEKDAY(C1244,2)+4),1,3),2)+5)/7),"00"))</f>
        <v/>
      </c>
    </row>
    <row r="1245" ht="18" customHeight="1">
      <c r="A1245" s="39" t="n">
        <v>1240</v>
      </c>
      <c r="B1245" s="33">
        <f>IF(C1245="","",IF(P1245="À RENSEIGNER","GIC",P1245)&amp;"-C"&amp;TEXT(A1245,"00000"))</f>
        <v/>
      </c>
      <c r="C1245" s="32" t="n"/>
      <c r="D1245" s="36" t="n"/>
      <c r="E1245" s="36" t="n"/>
      <c r="F1245" s="36" t="n"/>
      <c r="G1245" s="42" t="n"/>
      <c r="H1245" s="37" t="n"/>
      <c r="I1245" s="37" t="n"/>
      <c r="J1245" s="32" t="n"/>
      <c r="K1245" s="32" t="n"/>
      <c r="L1245" s="43" t="n"/>
      <c r="M1245" s="36" t="n"/>
      <c r="N1245" s="44" t="n"/>
      <c r="O1245" s="36" t="n"/>
      <c r="P1245" s="33">
        <f>IF(C1245="","",Commercial_Id)</f>
        <v/>
      </c>
      <c r="Q1245" s="34">
        <f>IF(AC1245="","",IF(AD1245=1,"C"&amp;TEXT(SUM(AD$6:AD1245),"0000"),INDEX(Q$6:Q1244,MATCH(AC1245,AC$6:AC1244,0))))</f>
        <v/>
      </c>
      <c r="R1245" s="34">
        <f>IF(C1245="","",IF(L1245="☑ Oui","Annulée",IF(OR(E1245="Vente directe",K1245&lt;&gt;""),"Livrée",IF(J1245&lt;&gt;"","Confirmée","En attente"))))</f>
        <v/>
      </c>
      <c r="S1245" s="34">
        <f>IF(F1245="","",IFERROR(VLOOKUP(F1245,T_Produits,2,FALSE),""))</f>
        <v/>
      </c>
      <c r="T1245" s="40">
        <f>IF(F1245="","",IFERROR(1/(1/VLOOKUP(F1245,T_Produits,3,FALSE)),""))</f>
        <v/>
      </c>
      <c r="U1245" s="40">
        <f>IF(H1245&lt;&gt;"",H1245,T1245)</f>
        <v/>
      </c>
      <c r="V1245" s="40">
        <f>IF(OR(G1245="",U1245=""),"",G1245*U1245-N(I1245))</f>
        <v/>
      </c>
      <c r="W1245" s="39">
        <f>IF(D1245="","",IFERROR(VALUE(MID(D1245,LEN(D1245)-3,3)),""))</f>
        <v/>
      </c>
      <c r="X1245" s="33">
        <f>IF(W1245="","",P1245&amp;"|"&amp;W1245)</f>
        <v/>
      </c>
      <c r="Y1245" s="33">
        <f>IF(W1245="","",IF(P1245="À RENSEIGNER","GIC",P1245)&amp;"-"&amp;TEXT(W1245,"000"))</f>
        <v/>
      </c>
      <c r="Z1245" s="33">
        <f>IF(X1245="","",IFERROR(INDEX(Cl_nom,MATCH(X1245,Cl_cle,0)),"(client introuvable)"))</f>
        <v/>
      </c>
      <c r="AA1245" s="33">
        <f>IF(X1245="","",IFERROR(INDEX(Cl_quartier,MATCH(X1245,Cl_cle,0))&amp;"",""))</f>
        <v/>
      </c>
      <c r="AB1245" s="45">
        <f>IF(R1245&lt;&gt;"Livrée",0,IF(K1245&lt;&gt;"",K1245,C1245))</f>
        <v/>
      </c>
      <c r="AC1245" s="33">
        <f>IF(OR(C1245="",W1245=""),"",P1245&amp;"|"&amp;W1245&amp;"|"&amp;C1245&amp;"|"&amp;E1245)</f>
        <v/>
      </c>
      <c r="AD1245" s="39">
        <f>IF(AC1245="","",IF(COUNTIF(AC$6:AC1245,AC1245)=1,1,0))</f>
        <v/>
      </c>
      <c r="AE1245" s="39">
        <f>IF(AB1245=0,"",IF(COUNTIFS(X$6:X1245,X1245,AB$6:AB1245,AB1245)=1,1,0))</f>
        <v/>
      </c>
      <c r="AF1245" s="34">
        <f>IF(C1245="","",YEAR(C1245-WEEKDAY(C1245,2)+4)&amp;"-S"&amp;TEXT(INT((C1245-DATE(YEAR(C1245-WEEKDAY(C1245,2)+4),1,3)+WEEKDAY(DATE(YEAR(C1245-WEEKDAY(C1245,2)+4),1,3),2)+5)/7),"00"))</f>
        <v/>
      </c>
    </row>
    <row r="1246" ht="18" customHeight="1">
      <c r="A1246" s="39" t="n">
        <v>1241</v>
      </c>
      <c r="B1246" s="33">
        <f>IF(C1246="","",IF(P1246="À RENSEIGNER","GIC",P1246)&amp;"-C"&amp;TEXT(A1246,"00000"))</f>
        <v/>
      </c>
      <c r="C1246" s="32" t="n"/>
      <c r="D1246" s="36" t="n"/>
      <c r="E1246" s="36" t="n"/>
      <c r="F1246" s="36" t="n"/>
      <c r="G1246" s="42" t="n"/>
      <c r="H1246" s="37" t="n"/>
      <c r="I1246" s="37" t="n"/>
      <c r="J1246" s="32" t="n"/>
      <c r="K1246" s="32" t="n"/>
      <c r="L1246" s="43" t="n"/>
      <c r="M1246" s="36" t="n"/>
      <c r="N1246" s="44" t="n"/>
      <c r="O1246" s="36" t="n"/>
      <c r="P1246" s="33">
        <f>IF(C1246="","",Commercial_Id)</f>
        <v/>
      </c>
      <c r="Q1246" s="34">
        <f>IF(AC1246="","",IF(AD1246=1,"C"&amp;TEXT(SUM(AD$6:AD1246),"0000"),INDEX(Q$6:Q1245,MATCH(AC1246,AC$6:AC1245,0))))</f>
        <v/>
      </c>
      <c r="R1246" s="34">
        <f>IF(C1246="","",IF(L1246="☑ Oui","Annulée",IF(OR(E1246="Vente directe",K1246&lt;&gt;""),"Livrée",IF(J1246&lt;&gt;"","Confirmée","En attente"))))</f>
        <v/>
      </c>
      <c r="S1246" s="34">
        <f>IF(F1246="","",IFERROR(VLOOKUP(F1246,T_Produits,2,FALSE),""))</f>
        <v/>
      </c>
      <c r="T1246" s="40">
        <f>IF(F1246="","",IFERROR(1/(1/VLOOKUP(F1246,T_Produits,3,FALSE)),""))</f>
        <v/>
      </c>
      <c r="U1246" s="40">
        <f>IF(H1246&lt;&gt;"",H1246,T1246)</f>
        <v/>
      </c>
      <c r="V1246" s="40">
        <f>IF(OR(G1246="",U1246=""),"",G1246*U1246-N(I1246))</f>
        <v/>
      </c>
      <c r="W1246" s="39">
        <f>IF(D1246="","",IFERROR(VALUE(MID(D1246,LEN(D1246)-3,3)),""))</f>
        <v/>
      </c>
      <c r="X1246" s="33">
        <f>IF(W1246="","",P1246&amp;"|"&amp;W1246)</f>
        <v/>
      </c>
      <c r="Y1246" s="33">
        <f>IF(W1246="","",IF(P1246="À RENSEIGNER","GIC",P1246)&amp;"-"&amp;TEXT(W1246,"000"))</f>
        <v/>
      </c>
      <c r="Z1246" s="33">
        <f>IF(X1246="","",IFERROR(INDEX(Cl_nom,MATCH(X1246,Cl_cle,0)),"(client introuvable)"))</f>
        <v/>
      </c>
      <c r="AA1246" s="33">
        <f>IF(X1246="","",IFERROR(INDEX(Cl_quartier,MATCH(X1246,Cl_cle,0))&amp;"",""))</f>
        <v/>
      </c>
      <c r="AB1246" s="45">
        <f>IF(R1246&lt;&gt;"Livrée",0,IF(K1246&lt;&gt;"",K1246,C1246))</f>
        <v/>
      </c>
      <c r="AC1246" s="33">
        <f>IF(OR(C1246="",W1246=""),"",P1246&amp;"|"&amp;W1246&amp;"|"&amp;C1246&amp;"|"&amp;E1246)</f>
        <v/>
      </c>
      <c r="AD1246" s="39">
        <f>IF(AC1246="","",IF(COUNTIF(AC$6:AC1246,AC1246)=1,1,0))</f>
        <v/>
      </c>
      <c r="AE1246" s="39">
        <f>IF(AB1246=0,"",IF(COUNTIFS(X$6:X1246,X1246,AB$6:AB1246,AB1246)=1,1,0))</f>
        <v/>
      </c>
      <c r="AF1246" s="34">
        <f>IF(C1246="","",YEAR(C1246-WEEKDAY(C1246,2)+4)&amp;"-S"&amp;TEXT(INT((C1246-DATE(YEAR(C1246-WEEKDAY(C1246,2)+4),1,3)+WEEKDAY(DATE(YEAR(C1246-WEEKDAY(C1246,2)+4),1,3),2)+5)/7),"00"))</f>
        <v/>
      </c>
    </row>
    <row r="1247" ht="18" customHeight="1">
      <c r="A1247" s="39" t="n">
        <v>1242</v>
      </c>
      <c r="B1247" s="33">
        <f>IF(C1247="","",IF(P1247="À RENSEIGNER","GIC",P1247)&amp;"-C"&amp;TEXT(A1247,"00000"))</f>
        <v/>
      </c>
      <c r="C1247" s="32" t="n"/>
      <c r="D1247" s="36" t="n"/>
      <c r="E1247" s="36" t="n"/>
      <c r="F1247" s="36" t="n"/>
      <c r="G1247" s="42" t="n"/>
      <c r="H1247" s="37" t="n"/>
      <c r="I1247" s="37" t="n"/>
      <c r="J1247" s="32" t="n"/>
      <c r="K1247" s="32" t="n"/>
      <c r="L1247" s="43" t="n"/>
      <c r="M1247" s="36" t="n"/>
      <c r="N1247" s="44" t="n"/>
      <c r="O1247" s="36" t="n"/>
      <c r="P1247" s="33">
        <f>IF(C1247="","",Commercial_Id)</f>
        <v/>
      </c>
      <c r="Q1247" s="34">
        <f>IF(AC1247="","",IF(AD1247=1,"C"&amp;TEXT(SUM(AD$6:AD1247),"0000"),INDEX(Q$6:Q1246,MATCH(AC1247,AC$6:AC1246,0))))</f>
        <v/>
      </c>
      <c r="R1247" s="34">
        <f>IF(C1247="","",IF(L1247="☑ Oui","Annulée",IF(OR(E1247="Vente directe",K1247&lt;&gt;""),"Livrée",IF(J1247&lt;&gt;"","Confirmée","En attente"))))</f>
        <v/>
      </c>
      <c r="S1247" s="34">
        <f>IF(F1247="","",IFERROR(VLOOKUP(F1247,T_Produits,2,FALSE),""))</f>
        <v/>
      </c>
      <c r="T1247" s="40">
        <f>IF(F1247="","",IFERROR(1/(1/VLOOKUP(F1247,T_Produits,3,FALSE)),""))</f>
        <v/>
      </c>
      <c r="U1247" s="40">
        <f>IF(H1247&lt;&gt;"",H1247,T1247)</f>
        <v/>
      </c>
      <c r="V1247" s="40">
        <f>IF(OR(G1247="",U1247=""),"",G1247*U1247-N(I1247))</f>
        <v/>
      </c>
      <c r="W1247" s="39">
        <f>IF(D1247="","",IFERROR(VALUE(MID(D1247,LEN(D1247)-3,3)),""))</f>
        <v/>
      </c>
      <c r="X1247" s="33">
        <f>IF(W1247="","",P1247&amp;"|"&amp;W1247)</f>
        <v/>
      </c>
      <c r="Y1247" s="33">
        <f>IF(W1247="","",IF(P1247="À RENSEIGNER","GIC",P1247)&amp;"-"&amp;TEXT(W1247,"000"))</f>
        <v/>
      </c>
      <c r="Z1247" s="33">
        <f>IF(X1247="","",IFERROR(INDEX(Cl_nom,MATCH(X1247,Cl_cle,0)),"(client introuvable)"))</f>
        <v/>
      </c>
      <c r="AA1247" s="33">
        <f>IF(X1247="","",IFERROR(INDEX(Cl_quartier,MATCH(X1247,Cl_cle,0))&amp;"",""))</f>
        <v/>
      </c>
      <c r="AB1247" s="45">
        <f>IF(R1247&lt;&gt;"Livrée",0,IF(K1247&lt;&gt;"",K1247,C1247))</f>
        <v/>
      </c>
      <c r="AC1247" s="33">
        <f>IF(OR(C1247="",W1247=""),"",P1247&amp;"|"&amp;W1247&amp;"|"&amp;C1247&amp;"|"&amp;E1247)</f>
        <v/>
      </c>
      <c r="AD1247" s="39">
        <f>IF(AC1247="","",IF(COUNTIF(AC$6:AC1247,AC1247)=1,1,0))</f>
        <v/>
      </c>
      <c r="AE1247" s="39">
        <f>IF(AB1247=0,"",IF(COUNTIFS(X$6:X1247,X1247,AB$6:AB1247,AB1247)=1,1,0))</f>
        <v/>
      </c>
      <c r="AF1247" s="34">
        <f>IF(C1247="","",YEAR(C1247-WEEKDAY(C1247,2)+4)&amp;"-S"&amp;TEXT(INT((C1247-DATE(YEAR(C1247-WEEKDAY(C1247,2)+4),1,3)+WEEKDAY(DATE(YEAR(C1247-WEEKDAY(C1247,2)+4),1,3),2)+5)/7),"00"))</f>
        <v/>
      </c>
    </row>
    <row r="1248" ht="18" customHeight="1">
      <c r="A1248" s="39" t="n">
        <v>1243</v>
      </c>
      <c r="B1248" s="33">
        <f>IF(C1248="","",IF(P1248="À RENSEIGNER","GIC",P1248)&amp;"-C"&amp;TEXT(A1248,"00000"))</f>
        <v/>
      </c>
      <c r="C1248" s="32" t="n"/>
      <c r="D1248" s="36" t="n"/>
      <c r="E1248" s="36" t="n"/>
      <c r="F1248" s="36" t="n"/>
      <c r="G1248" s="42" t="n"/>
      <c r="H1248" s="37" t="n"/>
      <c r="I1248" s="37" t="n"/>
      <c r="J1248" s="32" t="n"/>
      <c r="K1248" s="32" t="n"/>
      <c r="L1248" s="43" t="n"/>
      <c r="M1248" s="36" t="n"/>
      <c r="N1248" s="44" t="n"/>
      <c r="O1248" s="36" t="n"/>
      <c r="P1248" s="33">
        <f>IF(C1248="","",Commercial_Id)</f>
        <v/>
      </c>
      <c r="Q1248" s="34">
        <f>IF(AC1248="","",IF(AD1248=1,"C"&amp;TEXT(SUM(AD$6:AD1248),"0000"),INDEX(Q$6:Q1247,MATCH(AC1248,AC$6:AC1247,0))))</f>
        <v/>
      </c>
      <c r="R1248" s="34">
        <f>IF(C1248="","",IF(L1248="☑ Oui","Annulée",IF(OR(E1248="Vente directe",K1248&lt;&gt;""),"Livrée",IF(J1248&lt;&gt;"","Confirmée","En attente"))))</f>
        <v/>
      </c>
      <c r="S1248" s="34">
        <f>IF(F1248="","",IFERROR(VLOOKUP(F1248,T_Produits,2,FALSE),""))</f>
        <v/>
      </c>
      <c r="T1248" s="40">
        <f>IF(F1248="","",IFERROR(1/(1/VLOOKUP(F1248,T_Produits,3,FALSE)),""))</f>
        <v/>
      </c>
      <c r="U1248" s="40">
        <f>IF(H1248&lt;&gt;"",H1248,T1248)</f>
        <v/>
      </c>
      <c r="V1248" s="40">
        <f>IF(OR(G1248="",U1248=""),"",G1248*U1248-N(I1248))</f>
        <v/>
      </c>
      <c r="W1248" s="39">
        <f>IF(D1248="","",IFERROR(VALUE(MID(D1248,LEN(D1248)-3,3)),""))</f>
        <v/>
      </c>
      <c r="X1248" s="33">
        <f>IF(W1248="","",P1248&amp;"|"&amp;W1248)</f>
        <v/>
      </c>
      <c r="Y1248" s="33">
        <f>IF(W1248="","",IF(P1248="À RENSEIGNER","GIC",P1248)&amp;"-"&amp;TEXT(W1248,"000"))</f>
        <v/>
      </c>
      <c r="Z1248" s="33">
        <f>IF(X1248="","",IFERROR(INDEX(Cl_nom,MATCH(X1248,Cl_cle,0)),"(client introuvable)"))</f>
        <v/>
      </c>
      <c r="AA1248" s="33">
        <f>IF(X1248="","",IFERROR(INDEX(Cl_quartier,MATCH(X1248,Cl_cle,0))&amp;"",""))</f>
        <v/>
      </c>
      <c r="AB1248" s="45">
        <f>IF(R1248&lt;&gt;"Livrée",0,IF(K1248&lt;&gt;"",K1248,C1248))</f>
        <v/>
      </c>
      <c r="AC1248" s="33">
        <f>IF(OR(C1248="",W1248=""),"",P1248&amp;"|"&amp;W1248&amp;"|"&amp;C1248&amp;"|"&amp;E1248)</f>
        <v/>
      </c>
      <c r="AD1248" s="39">
        <f>IF(AC1248="","",IF(COUNTIF(AC$6:AC1248,AC1248)=1,1,0))</f>
        <v/>
      </c>
      <c r="AE1248" s="39">
        <f>IF(AB1248=0,"",IF(COUNTIFS(X$6:X1248,X1248,AB$6:AB1248,AB1248)=1,1,0))</f>
        <v/>
      </c>
      <c r="AF1248" s="34">
        <f>IF(C1248="","",YEAR(C1248-WEEKDAY(C1248,2)+4)&amp;"-S"&amp;TEXT(INT((C1248-DATE(YEAR(C1248-WEEKDAY(C1248,2)+4),1,3)+WEEKDAY(DATE(YEAR(C1248-WEEKDAY(C1248,2)+4),1,3),2)+5)/7),"00"))</f>
        <v/>
      </c>
    </row>
    <row r="1249" ht="18" customHeight="1">
      <c r="A1249" s="39" t="n">
        <v>1244</v>
      </c>
      <c r="B1249" s="33">
        <f>IF(C1249="","",IF(P1249="À RENSEIGNER","GIC",P1249)&amp;"-C"&amp;TEXT(A1249,"00000"))</f>
        <v/>
      </c>
      <c r="C1249" s="32" t="n"/>
      <c r="D1249" s="36" t="n"/>
      <c r="E1249" s="36" t="n"/>
      <c r="F1249" s="36" t="n"/>
      <c r="G1249" s="42" t="n"/>
      <c r="H1249" s="37" t="n"/>
      <c r="I1249" s="37" t="n"/>
      <c r="J1249" s="32" t="n"/>
      <c r="K1249" s="32" t="n"/>
      <c r="L1249" s="43" t="n"/>
      <c r="M1249" s="36" t="n"/>
      <c r="N1249" s="44" t="n"/>
      <c r="O1249" s="36" t="n"/>
      <c r="P1249" s="33">
        <f>IF(C1249="","",Commercial_Id)</f>
        <v/>
      </c>
      <c r="Q1249" s="34">
        <f>IF(AC1249="","",IF(AD1249=1,"C"&amp;TEXT(SUM(AD$6:AD1249),"0000"),INDEX(Q$6:Q1248,MATCH(AC1249,AC$6:AC1248,0))))</f>
        <v/>
      </c>
      <c r="R1249" s="34">
        <f>IF(C1249="","",IF(L1249="☑ Oui","Annulée",IF(OR(E1249="Vente directe",K1249&lt;&gt;""),"Livrée",IF(J1249&lt;&gt;"","Confirmée","En attente"))))</f>
        <v/>
      </c>
      <c r="S1249" s="34">
        <f>IF(F1249="","",IFERROR(VLOOKUP(F1249,T_Produits,2,FALSE),""))</f>
        <v/>
      </c>
      <c r="T1249" s="40">
        <f>IF(F1249="","",IFERROR(1/(1/VLOOKUP(F1249,T_Produits,3,FALSE)),""))</f>
        <v/>
      </c>
      <c r="U1249" s="40">
        <f>IF(H1249&lt;&gt;"",H1249,T1249)</f>
        <v/>
      </c>
      <c r="V1249" s="40">
        <f>IF(OR(G1249="",U1249=""),"",G1249*U1249-N(I1249))</f>
        <v/>
      </c>
      <c r="W1249" s="39">
        <f>IF(D1249="","",IFERROR(VALUE(MID(D1249,LEN(D1249)-3,3)),""))</f>
        <v/>
      </c>
      <c r="X1249" s="33">
        <f>IF(W1249="","",P1249&amp;"|"&amp;W1249)</f>
        <v/>
      </c>
      <c r="Y1249" s="33">
        <f>IF(W1249="","",IF(P1249="À RENSEIGNER","GIC",P1249)&amp;"-"&amp;TEXT(W1249,"000"))</f>
        <v/>
      </c>
      <c r="Z1249" s="33">
        <f>IF(X1249="","",IFERROR(INDEX(Cl_nom,MATCH(X1249,Cl_cle,0)),"(client introuvable)"))</f>
        <v/>
      </c>
      <c r="AA1249" s="33">
        <f>IF(X1249="","",IFERROR(INDEX(Cl_quartier,MATCH(X1249,Cl_cle,0))&amp;"",""))</f>
        <v/>
      </c>
      <c r="AB1249" s="45">
        <f>IF(R1249&lt;&gt;"Livrée",0,IF(K1249&lt;&gt;"",K1249,C1249))</f>
        <v/>
      </c>
      <c r="AC1249" s="33">
        <f>IF(OR(C1249="",W1249=""),"",P1249&amp;"|"&amp;W1249&amp;"|"&amp;C1249&amp;"|"&amp;E1249)</f>
        <v/>
      </c>
      <c r="AD1249" s="39">
        <f>IF(AC1249="","",IF(COUNTIF(AC$6:AC1249,AC1249)=1,1,0))</f>
        <v/>
      </c>
      <c r="AE1249" s="39">
        <f>IF(AB1249=0,"",IF(COUNTIFS(X$6:X1249,X1249,AB$6:AB1249,AB1249)=1,1,0))</f>
        <v/>
      </c>
      <c r="AF1249" s="34">
        <f>IF(C1249="","",YEAR(C1249-WEEKDAY(C1249,2)+4)&amp;"-S"&amp;TEXT(INT((C1249-DATE(YEAR(C1249-WEEKDAY(C1249,2)+4),1,3)+WEEKDAY(DATE(YEAR(C1249-WEEKDAY(C1249,2)+4),1,3),2)+5)/7),"00"))</f>
        <v/>
      </c>
    </row>
    <row r="1250" ht="18" customHeight="1">
      <c r="A1250" s="39" t="n">
        <v>1245</v>
      </c>
      <c r="B1250" s="33">
        <f>IF(C1250="","",IF(P1250="À RENSEIGNER","GIC",P1250)&amp;"-C"&amp;TEXT(A1250,"00000"))</f>
        <v/>
      </c>
      <c r="C1250" s="32" t="n"/>
      <c r="D1250" s="36" t="n"/>
      <c r="E1250" s="36" t="n"/>
      <c r="F1250" s="36" t="n"/>
      <c r="G1250" s="42" t="n"/>
      <c r="H1250" s="37" t="n"/>
      <c r="I1250" s="37" t="n"/>
      <c r="J1250" s="32" t="n"/>
      <c r="K1250" s="32" t="n"/>
      <c r="L1250" s="43" t="n"/>
      <c r="M1250" s="36" t="n"/>
      <c r="N1250" s="44" t="n"/>
      <c r="O1250" s="36" t="n"/>
      <c r="P1250" s="33">
        <f>IF(C1250="","",Commercial_Id)</f>
        <v/>
      </c>
      <c r="Q1250" s="34">
        <f>IF(AC1250="","",IF(AD1250=1,"C"&amp;TEXT(SUM(AD$6:AD1250),"0000"),INDEX(Q$6:Q1249,MATCH(AC1250,AC$6:AC1249,0))))</f>
        <v/>
      </c>
      <c r="R1250" s="34">
        <f>IF(C1250="","",IF(L1250="☑ Oui","Annulée",IF(OR(E1250="Vente directe",K1250&lt;&gt;""),"Livrée",IF(J1250&lt;&gt;"","Confirmée","En attente"))))</f>
        <v/>
      </c>
      <c r="S1250" s="34">
        <f>IF(F1250="","",IFERROR(VLOOKUP(F1250,T_Produits,2,FALSE),""))</f>
        <v/>
      </c>
      <c r="T1250" s="40">
        <f>IF(F1250="","",IFERROR(1/(1/VLOOKUP(F1250,T_Produits,3,FALSE)),""))</f>
        <v/>
      </c>
      <c r="U1250" s="40">
        <f>IF(H1250&lt;&gt;"",H1250,T1250)</f>
        <v/>
      </c>
      <c r="V1250" s="40">
        <f>IF(OR(G1250="",U1250=""),"",G1250*U1250-N(I1250))</f>
        <v/>
      </c>
      <c r="W1250" s="39">
        <f>IF(D1250="","",IFERROR(VALUE(MID(D1250,LEN(D1250)-3,3)),""))</f>
        <v/>
      </c>
      <c r="X1250" s="33">
        <f>IF(W1250="","",P1250&amp;"|"&amp;W1250)</f>
        <v/>
      </c>
      <c r="Y1250" s="33">
        <f>IF(W1250="","",IF(P1250="À RENSEIGNER","GIC",P1250)&amp;"-"&amp;TEXT(W1250,"000"))</f>
        <v/>
      </c>
      <c r="Z1250" s="33">
        <f>IF(X1250="","",IFERROR(INDEX(Cl_nom,MATCH(X1250,Cl_cle,0)),"(client introuvable)"))</f>
        <v/>
      </c>
      <c r="AA1250" s="33">
        <f>IF(X1250="","",IFERROR(INDEX(Cl_quartier,MATCH(X1250,Cl_cle,0))&amp;"",""))</f>
        <v/>
      </c>
      <c r="AB1250" s="45">
        <f>IF(R1250&lt;&gt;"Livrée",0,IF(K1250&lt;&gt;"",K1250,C1250))</f>
        <v/>
      </c>
      <c r="AC1250" s="33">
        <f>IF(OR(C1250="",W1250=""),"",P1250&amp;"|"&amp;W1250&amp;"|"&amp;C1250&amp;"|"&amp;E1250)</f>
        <v/>
      </c>
      <c r="AD1250" s="39">
        <f>IF(AC1250="","",IF(COUNTIF(AC$6:AC1250,AC1250)=1,1,0))</f>
        <v/>
      </c>
      <c r="AE1250" s="39">
        <f>IF(AB1250=0,"",IF(COUNTIFS(X$6:X1250,X1250,AB$6:AB1250,AB1250)=1,1,0))</f>
        <v/>
      </c>
      <c r="AF1250" s="34">
        <f>IF(C1250="","",YEAR(C1250-WEEKDAY(C1250,2)+4)&amp;"-S"&amp;TEXT(INT((C1250-DATE(YEAR(C1250-WEEKDAY(C1250,2)+4),1,3)+WEEKDAY(DATE(YEAR(C1250-WEEKDAY(C1250,2)+4),1,3),2)+5)/7),"00"))</f>
        <v/>
      </c>
    </row>
    <row r="1251" ht="18" customHeight="1">
      <c r="A1251" s="39" t="n">
        <v>1246</v>
      </c>
      <c r="B1251" s="33">
        <f>IF(C1251="","",IF(P1251="À RENSEIGNER","GIC",P1251)&amp;"-C"&amp;TEXT(A1251,"00000"))</f>
        <v/>
      </c>
      <c r="C1251" s="32" t="n"/>
      <c r="D1251" s="36" t="n"/>
      <c r="E1251" s="36" t="n"/>
      <c r="F1251" s="36" t="n"/>
      <c r="G1251" s="42" t="n"/>
      <c r="H1251" s="37" t="n"/>
      <c r="I1251" s="37" t="n"/>
      <c r="J1251" s="32" t="n"/>
      <c r="K1251" s="32" t="n"/>
      <c r="L1251" s="43" t="n"/>
      <c r="M1251" s="36" t="n"/>
      <c r="N1251" s="44" t="n"/>
      <c r="O1251" s="36" t="n"/>
      <c r="P1251" s="33">
        <f>IF(C1251="","",Commercial_Id)</f>
        <v/>
      </c>
      <c r="Q1251" s="34">
        <f>IF(AC1251="","",IF(AD1251=1,"C"&amp;TEXT(SUM(AD$6:AD1251),"0000"),INDEX(Q$6:Q1250,MATCH(AC1251,AC$6:AC1250,0))))</f>
        <v/>
      </c>
      <c r="R1251" s="34">
        <f>IF(C1251="","",IF(L1251="☑ Oui","Annulée",IF(OR(E1251="Vente directe",K1251&lt;&gt;""),"Livrée",IF(J1251&lt;&gt;"","Confirmée","En attente"))))</f>
        <v/>
      </c>
      <c r="S1251" s="34">
        <f>IF(F1251="","",IFERROR(VLOOKUP(F1251,T_Produits,2,FALSE),""))</f>
        <v/>
      </c>
      <c r="T1251" s="40">
        <f>IF(F1251="","",IFERROR(1/(1/VLOOKUP(F1251,T_Produits,3,FALSE)),""))</f>
        <v/>
      </c>
      <c r="U1251" s="40">
        <f>IF(H1251&lt;&gt;"",H1251,T1251)</f>
        <v/>
      </c>
      <c r="V1251" s="40">
        <f>IF(OR(G1251="",U1251=""),"",G1251*U1251-N(I1251))</f>
        <v/>
      </c>
      <c r="W1251" s="39">
        <f>IF(D1251="","",IFERROR(VALUE(MID(D1251,LEN(D1251)-3,3)),""))</f>
        <v/>
      </c>
      <c r="X1251" s="33">
        <f>IF(W1251="","",P1251&amp;"|"&amp;W1251)</f>
        <v/>
      </c>
      <c r="Y1251" s="33">
        <f>IF(W1251="","",IF(P1251="À RENSEIGNER","GIC",P1251)&amp;"-"&amp;TEXT(W1251,"000"))</f>
        <v/>
      </c>
      <c r="Z1251" s="33">
        <f>IF(X1251="","",IFERROR(INDEX(Cl_nom,MATCH(X1251,Cl_cle,0)),"(client introuvable)"))</f>
        <v/>
      </c>
      <c r="AA1251" s="33">
        <f>IF(X1251="","",IFERROR(INDEX(Cl_quartier,MATCH(X1251,Cl_cle,0))&amp;"",""))</f>
        <v/>
      </c>
      <c r="AB1251" s="45">
        <f>IF(R1251&lt;&gt;"Livrée",0,IF(K1251&lt;&gt;"",K1251,C1251))</f>
        <v/>
      </c>
      <c r="AC1251" s="33">
        <f>IF(OR(C1251="",W1251=""),"",P1251&amp;"|"&amp;W1251&amp;"|"&amp;C1251&amp;"|"&amp;E1251)</f>
        <v/>
      </c>
      <c r="AD1251" s="39">
        <f>IF(AC1251="","",IF(COUNTIF(AC$6:AC1251,AC1251)=1,1,0))</f>
        <v/>
      </c>
      <c r="AE1251" s="39">
        <f>IF(AB1251=0,"",IF(COUNTIFS(X$6:X1251,X1251,AB$6:AB1251,AB1251)=1,1,0))</f>
        <v/>
      </c>
      <c r="AF1251" s="34">
        <f>IF(C1251="","",YEAR(C1251-WEEKDAY(C1251,2)+4)&amp;"-S"&amp;TEXT(INT((C1251-DATE(YEAR(C1251-WEEKDAY(C1251,2)+4),1,3)+WEEKDAY(DATE(YEAR(C1251-WEEKDAY(C1251,2)+4),1,3),2)+5)/7),"00"))</f>
        <v/>
      </c>
    </row>
    <row r="1252" ht="18" customHeight="1">
      <c r="A1252" s="39" t="n">
        <v>1247</v>
      </c>
      <c r="B1252" s="33">
        <f>IF(C1252="","",IF(P1252="À RENSEIGNER","GIC",P1252)&amp;"-C"&amp;TEXT(A1252,"00000"))</f>
        <v/>
      </c>
      <c r="C1252" s="32" t="n"/>
      <c r="D1252" s="36" t="n"/>
      <c r="E1252" s="36" t="n"/>
      <c r="F1252" s="36" t="n"/>
      <c r="G1252" s="42" t="n"/>
      <c r="H1252" s="37" t="n"/>
      <c r="I1252" s="37" t="n"/>
      <c r="J1252" s="32" t="n"/>
      <c r="K1252" s="32" t="n"/>
      <c r="L1252" s="43" t="n"/>
      <c r="M1252" s="36" t="n"/>
      <c r="N1252" s="44" t="n"/>
      <c r="O1252" s="36" t="n"/>
      <c r="P1252" s="33">
        <f>IF(C1252="","",Commercial_Id)</f>
        <v/>
      </c>
      <c r="Q1252" s="34">
        <f>IF(AC1252="","",IF(AD1252=1,"C"&amp;TEXT(SUM(AD$6:AD1252),"0000"),INDEX(Q$6:Q1251,MATCH(AC1252,AC$6:AC1251,0))))</f>
        <v/>
      </c>
      <c r="R1252" s="34">
        <f>IF(C1252="","",IF(L1252="☑ Oui","Annulée",IF(OR(E1252="Vente directe",K1252&lt;&gt;""),"Livrée",IF(J1252&lt;&gt;"","Confirmée","En attente"))))</f>
        <v/>
      </c>
      <c r="S1252" s="34">
        <f>IF(F1252="","",IFERROR(VLOOKUP(F1252,T_Produits,2,FALSE),""))</f>
        <v/>
      </c>
      <c r="T1252" s="40">
        <f>IF(F1252="","",IFERROR(1/(1/VLOOKUP(F1252,T_Produits,3,FALSE)),""))</f>
        <v/>
      </c>
      <c r="U1252" s="40">
        <f>IF(H1252&lt;&gt;"",H1252,T1252)</f>
        <v/>
      </c>
      <c r="V1252" s="40">
        <f>IF(OR(G1252="",U1252=""),"",G1252*U1252-N(I1252))</f>
        <v/>
      </c>
      <c r="W1252" s="39">
        <f>IF(D1252="","",IFERROR(VALUE(MID(D1252,LEN(D1252)-3,3)),""))</f>
        <v/>
      </c>
      <c r="X1252" s="33">
        <f>IF(W1252="","",P1252&amp;"|"&amp;W1252)</f>
        <v/>
      </c>
      <c r="Y1252" s="33">
        <f>IF(W1252="","",IF(P1252="À RENSEIGNER","GIC",P1252)&amp;"-"&amp;TEXT(W1252,"000"))</f>
        <v/>
      </c>
      <c r="Z1252" s="33">
        <f>IF(X1252="","",IFERROR(INDEX(Cl_nom,MATCH(X1252,Cl_cle,0)),"(client introuvable)"))</f>
        <v/>
      </c>
      <c r="AA1252" s="33">
        <f>IF(X1252="","",IFERROR(INDEX(Cl_quartier,MATCH(X1252,Cl_cle,0))&amp;"",""))</f>
        <v/>
      </c>
      <c r="AB1252" s="45">
        <f>IF(R1252&lt;&gt;"Livrée",0,IF(K1252&lt;&gt;"",K1252,C1252))</f>
        <v/>
      </c>
      <c r="AC1252" s="33">
        <f>IF(OR(C1252="",W1252=""),"",P1252&amp;"|"&amp;W1252&amp;"|"&amp;C1252&amp;"|"&amp;E1252)</f>
        <v/>
      </c>
      <c r="AD1252" s="39">
        <f>IF(AC1252="","",IF(COUNTIF(AC$6:AC1252,AC1252)=1,1,0))</f>
        <v/>
      </c>
      <c r="AE1252" s="39">
        <f>IF(AB1252=0,"",IF(COUNTIFS(X$6:X1252,X1252,AB$6:AB1252,AB1252)=1,1,0))</f>
        <v/>
      </c>
      <c r="AF1252" s="34">
        <f>IF(C1252="","",YEAR(C1252-WEEKDAY(C1252,2)+4)&amp;"-S"&amp;TEXT(INT((C1252-DATE(YEAR(C1252-WEEKDAY(C1252,2)+4),1,3)+WEEKDAY(DATE(YEAR(C1252-WEEKDAY(C1252,2)+4),1,3),2)+5)/7),"00"))</f>
        <v/>
      </c>
    </row>
    <row r="1253" ht="18" customHeight="1">
      <c r="A1253" s="39" t="n">
        <v>1248</v>
      </c>
      <c r="B1253" s="33">
        <f>IF(C1253="","",IF(P1253="À RENSEIGNER","GIC",P1253)&amp;"-C"&amp;TEXT(A1253,"00000"))</f>
        <v/>
      </c>
      <c r="C1253" s="32" t="n"/>
      <c r="D1253" s="36" t="n"/>
      <c r="E1253" s="36" t="n"/>
      <c r="F1253" s="36" t="n"/>
      <c r="G1253" s="42" t="n"/>
      <c r="H1253" s="37" t="n"/>
      <c r="I1253" s="37" t="n"/>
      <c r="J1253" s="32" t="n"/>
      <c r="K1253" s="32" t="n"/>
      <c r="L1253" s="43" t="n"/>
      <c r="M1253" s="36" t="n"/>
      <c r="N1253" s="44" t="n"/>
      <c r="O1253" s="36" t="n"/>
      <c r="P1253" s="33">
        <f>IF(C1253="","",Commercial_Id)</f>
        <v/>
      </c>
      <c r="Q1253" s="34">
        <f>IF(AC1253="","",IF(AD1253=1,"C"&amp;TEXT(SUM(AD$6:AD1253),"0000"),INDEX(Q$6:Q1252,MATCH(AC1253,AC$6:AC1252,0))))</f>
        <v/>
      </c>
      <c r="R1253" s="34">
        <f>IF(C1253="","",IF(L1253="☑ Oui","Annulée",IF(OR(E1253="Vente directe",K1253&lt;&gt;""),"Livrée",IF(J1253&lt;&gt;"","Confirmée","En attente"))))</f>
        <v/>
      </c>
      <c r="S1253" s="34">
        <f>IF(F1253="","",IFERROR(VLOOKUP(F1253,T_Produits,2,FALSE),""))</f>
        <v/>
      </c>
      <c r="T1253" s="40">
        <f>IF(F1253="","",IFERROR(1/(1/VLOOKUP(F1253,T_Produits,3,FALSE)),""))</f>
        <v/>
      </c>
      <c r="U1253" s="40">
        <f>IF(H1253&lt;&gt;"",H1253,T1253)</f>
        <v/>
      </c>
      <c r="V1253" s="40">
        <f>IF(OR(G1253="",U1253=""),"",G1253*U1253-N(I1253))</f>
        <v/>
      </c>
      <c r="W1253" s="39">
        <f>IF(D1253="","",IFERROR(VALUE(MID(D1253,LEN(D1253)-3,3)),""))</f>
        <v/>
      </c>
      <c r="X1253" s="33">
        <f>IF(W1253="","",P1253&amp;"|"&amp;W1253)</f>
        <v/>
      </c>
      <c r="Y1253" s="33">
        <f>IF(W1253="","",IF(P1253="À RENSEIGNER","GIC",P1253)&amp;"-"&amp;TEXT(W1253,"000"))</f>
        <v/>
      </c>
      <c r="Z1253" s="33">
        <f>IF(X1253="","",IFERROR(INDEX(Cl_nom,MATCH(X1253,Cl_cle,0)),"(client introuvable)"))</f>
        <v/>
      </c>
      <c r="AA1253" s="33">
        <f>IF(X1253="","",IFERROR(INDEX(Cl_quartier,MATCH(X1253,Cl_cle,0))&amp;"",""))</f>
        <v/>
      </c>
      <c r="AB1253" s="45">
        <f>IF(R1253&lt;&gt;"Livrée",0,IF(K1253&lt;&gt;"",K1253,C1253))</f>
        <v/>
      </c>
      <c r="AC1253" s="33">
        <f>IF(OR(C1253="",W1253=""),"",P1253&amp;"|"&amp;W1253&amp;"|"&amp;C1253&amp;"|"&amp;E1253)</f>
        <v/>
      </c>
      <c r="AD1253" s="39">
        <f>IF(AC1253="","",IF(COUNTIF(AC$6:AC1253,AC1253)=1,1,0))</f>
        <v/>
      </c>
      <c r="AE1253" s="39">
        <f>IF(AB1253=0,"",IF(COUNTIFS(X$6:X1253,X1253,AB$6:AB1253,AB1253)=1,1,0))</f>
        <v/>
      </c>
      <c r="AF1253" s="34">
        <f>IF(C1253="","",YEAR(C1253-WEEKDAY(C1253,2)+4)&amp;"-S"&amp;TEXT(INT((C1253-DATE(YEAR(C1253-WEEKDAY(C1253,2)+4),1,3)+WEEKDAY(DATE(YEAR(C1253-WEEKDAY(C1253,2)+4),1,3),2)+5)/7),"00"))</f>
        <v/>
      </c>
    </row>
    <row r="1254" ht="18" customHeight="1">
      <c r="A1254" s="39" t="n">
        <v>1249</v>
      </c>
      <c r="B1254" s="33">
        <f>IF(C1254="","",IF(P1254="À RENSEIGNER","GIC",P1254)&amp;"-C"&amp;TEXT(A1254,"00000"))</f>
        <v/>
      </c>
      <c r="C1254" s="32" t="n"/>
      <c r="D1254" s="36" t="n"/>
      <c r="E1254" s="36" t="n"/>
      <c r="F1254" s="36" t="n"/>
      <c r="G1254" s="42" t="n"/>
      <c r="H1254" s="37" t="n"/>
      <c r="I1254" s="37" t="n"/>
      <c r="J1254" s="32" t="n"/>
      <c r="K1254" s="32" t="n"/>
      <c r="L1254" s="43" t="n"/>
      <c r="M1254" s="36" t="n"/>
      <c r="N1254" s="44" t="n"/>
      <c r="O1254" s="36" t="n"/>
      <c r="P1254" s="33">
        <f>IF(C1254="","",Commercial_Id)</f>
        <v/>
      </c>
      <c r="Q1254" s="34">
        <f>IF(AC1254="","",IF(AD1254=1,"C"&amp;TEXT(SUM(AD$6:AD1254),"0000"),INDEX(Q$6:Q1253,MATCH(AC1254,AC$6:AC1253,0))))</f>
        <v/>
      </c>
      <c r="R1254" s="34">
        <f>IF(C1254="","",IF(L1254="☑ Oui","Annulée",IF(OR(E1254="Vente directe",K1254&lt;&gt;""),"Livrée",IF(J1254&lt;&gt;"","Confirmée","En attente"))))</f>
        <v/>
      </c>
      <c r="S1254" s="34">
        <f>IF(F1254="","",IFERROR(VLOOKUP(F1254,T_Produits,2,FALSE),""))</f>
        <v/>
      </c>
      <c r="T1254" s="40">
        <f>IF(F1254="","",IFERROR(1/(1/VLOOKUP(F1254,T_Produits,3,FALSE)),""))</f>
        <v/>
      </c>
      <c r="U1254" s="40">
        <f>IF(H1254&lt;&gt;"",H1254,T1254)</f>
        <v/>
      </c>
      <c r="V1254" s="40">
        <f>IF(OR(G1254="",U1254=""),"",G1254*U1254-N(I1254))</f>
        <v/>
      </c>
      <c r="W1254" s="39">
        <f>IF(D1254="","",IFERROR(VALUE(MID(D1254,LEN(D1254)-3,3)),""))</f>
        <v/>
      </c>
      <c r="X1254" s="33">
        <f>IF(W1254="","",P1254&amp;"|"&amp;W1254)</f>
        <v/>
      </c>
      <c r="Y1254" s="33">
        <f>IF(W1254="","",IF(P1254="À RENSEIGNER","GIC",P1254)&amp;"-"&amp;TEXT(W1254,"000"))</f>
        <v/>
      </c>
      <c r="Z1254" s="33">
        <f>IF(X1254="","",IFERROR(INDEX(Cl_nom,MATCH(X1254,Cl_cle,0)),"(client introuvable)"))</f>
        <v/>
      </c>
      <c r="AA1254" s="33">
        <f>IF(X1254="","",IFERROR(INDEX(Cl_quartier,MATCH(X1254,Cl_cle,0))&amp;"",""))</f>
        <v/>
      </c>
      <c r="AB1254" s="45">
        <f>IF(R1254&lt;&gt;"Livrée",0,IF(K1254&lt;&gt;"",K1254,C1254))</f>
        <v/>
      </c>
      <c r="AC1254" s="33">
        <f>IF(OR(C1254="",W1254=""),"",P1254&amp;"|"&amp;W1254&amp;"|"&amp;C1254&amp;"|"&amp;E1254)</f>
        <v/>
      </c>
      <c r="AD1254" s="39">
        <f>IF(AC1254="","",IF(COUNTIF(AC$6:AC1254,AC1254)=1,1,0))</f>
        <v/>
      </c>
      <c r="AE1254" s="39">
        <f>IF(AB1254=0,"",IF(COUNTIFS(X$6:X1254,X1254,AB$6:AB1254,AB1254)=1,1,0))</f>
        <v/>
      </c>
      <c r="AF1254" s="34">
        <f>IF(C1254="","",YEAR(C1254-WEEKDAY(C1254,2)+4)&amp;"-S"&amp;TEXT(INT((C1254-DATE(YEAR(C1254-WEEKDAY(C1254,2)+4),1,3)+WEEKDAY(DATE(YEAR(C1254-WEEKDAY(C1254,2)+4),1,3),2)+5)/7),"00"))</f>
        <v/>
      </c>
    </row>
    <row r="1255" ht="18" customHeight="1">
      <c r="A1255" s="39" t="n">
        <v>1250</v>
      </c>
      <c r="B1255" s="33">
        <f>IF(C1255="","",IF(P1255="À RENSEIGNER","GIC",P1255)&amp;"-C"&amp;TEXT(A1255,"00000"))</f>
        <v/>
      </c>
      <c r="C1255" s="32" t="n"/>
      <c r="D1255" s="36" t="n"/>
      <c r="E1255" s="36" t="n"/>
      <c r="F1255" s="36" t="n"/>
      <c r="G1255" s="42" t="n"/>
      <c r="H1255" s="37" t="n"/>
      <c r="I1255" s="37" t="n"/>
      <c r="J1255" s="32" t="n"/>
      <c r="K1255" s="32" t="n"/>
      <c r="L1255" s="43" t="n"/>
      <c r="M1255" s="36" t="n"/>
      <c r="N1255" s="44" t="n"/>
      <c r="O1255" s="36" t="n"/>
      <c r="P1255" s="33">
        <f>IF(C1255="","",Commercial_Id)</f>
        <v/>
      </c>
      <c r="Q1255" s="34">
        <f>IF(AC1255="","",IF(AD1255=1,"C"&amp;TEXT(SUM(AD$6:AD1255),"0000"),INDEX(Q$6:Q1254,MATCH(AC1255,AC$6:AC1254,0))))</f>
        <v/>
      </c>
      <c r="R1255" s="34">
        <f>IF(C1255="","",IF(L1255="☑ Oui","Annulée",IF(OR(E1255="Vente directe",K1255&lt;&gt;""),"Livrée",IF(J1255&lt;&gt;"","Confirmée","En attente"))))</f>
        <v/>
      </c>
      <c r="S1255" s="34">
        <f>IF(F1255="","",IFERROR(VLOOKUP(F1255,T_Produits,2,FALSE),""))</f>
        <v/>
      </c>
      <c r="T1255" s="40">
        <f>IF(F1255="","",IFERROR(1/(1/VLOOKUP(F1255,T_Produits,3,FALSE)),""))</f>
        <v/>
      </c>
      <c r="U1255" s="40">
        <f>IF(H1255&lt;&gt;"",H1255,T1255)</f>
        <v/>
      </c>
      <c r="V1255" s="40">
        <f>IF(OR(G1255="",U1255=""),"",G1255*U1255-N(I1255))</f>
        <v/>
      </c>
      <c r="W1255" s="39">
        <f>IF(D1255="","",IFERROR(VALUE(MID(D1255,LEN(D1255)-3,3)),""))</f>
        <v/>
      </c>
      <c r="X1255" s="33">
        <f>IF(W1255="","",P1255&amp;"|"&amp;W1255)</f>
        <v/>
      </c>
      <c r="Y1255" s="33">
        <f>IF(W1255="","",IF(P1255="À RENSEIGNER","GIC",P1255)&amp;"-"&amp;TEXT(W1255,"000"))</f>
        <v/>
      </c>
      <c r="Z1255" s="33">
        <f>IF(X1255="","",IFERROR(INDEX(Cl_nom,MATCH(X1255,Cl_cle,0)),"(client introuvable)"))</f>
        <v/>
      </c>
      <c r="AA1255" s="33">
        <f>IF(X1255="","",IFERROR(INDEX(Cl_quartier,MATCH(X1255,Cl_cle,0))&amp;"",""))</f>
        <v/>
      </c>
      <c r="AB1255" s="45">
        <f>IF(R1255&lt;&gt;"Livrée",0,IF(K1255&lt;&gt;"",K1255,C1255))</f>
        <v/>
      </c>
      <c r="AC1255" s="33">
        <f>IF(OR(C1255="",W1255=""),"",P1255&amp;"|"&amp;W1255&amp;"|"&amp;C1255&amp;"|"&amp;E1255)</f>
        <v/>
      </c>
      <c r="AD1255" s="39">
        <f>IF(AC1255="","",IF(COUNTIF(AC$6:AC1255,AC1255)=1,1,0))</f>
        <v/>
      </c>
      <c r="AE1255" s="39">
        <f>IF(AB1255=0,"",IF(COUNTIFS(X$6:X1255,X1255,AB$6:AB1255,AB1255)=1,1,0))</f>
        <v/>
      </c>
      <c r="AF1255" s="34">
        <f>IF(C1255="","",YEAR(C1255-WEEKDAY(C1255,2)+4)&amp;"-S"&amp;TEXT(INT((C1255-DATE(YEAR(C1255-WEEKDAY(C1255,2)+4),1,3)+WEEKDAY(DATE(YEAR(C1255-WEEKDAY(C1255,2)+4),1,3),2)+5)/7),"00"))</f>
        <v/>
      </c>
    </row>
    <row r="1256" ht="18" customHeight="1">
      <c r="A1256" s="39" t="n">
        <v>1251</v>
      </c>
      <c r="B1256" s="33">
        <f>IF(C1256="","",IF(P1256="À RENSEIGNER","GIC",P1256)&amp;"-C"&amp;TEXT(A1256,"00000"))</f>
        <v/>
      </c>
      <c r="C1256" s="32" t="n"/>
      <c r="D1256" s="36" t="n"/>
      <c r="E1256" s="36" t="n"/>
      <c r="F1256" s="36" t="n"/>
      <c r="G1256" s="42" t="n"/>
      <c r="H1256" s="37" t="n"/>
      <c r="I1256" s="37" t="n"/>
      <c r="J1256" s="32" t="n"/>
      <c r="K1256" s="32" t="n"/>
      <c r="L1256" s="43" t="n"/>
      <c r="M1256" s="36" t="n"/>
      <c r="N1256" s="44" t="n"/>
      <c r="O1256" s="36" t="n"/>
      <c r="P1256" s="33">
        <f>IF(C1256="","",Commercial_Id)</f>
        <v/>
      </c>
      <c r="Q1256" s="34">
        <f>IF(AC1256="","",IF(AD1256=1,"C"&amp;TEXT(SUM(AD$6:AD1256),"0000"),INDEX(Q$6:Q1255,MATCH(AC1256,AC$6:AC1255,0))))</f>
        <v/>
      </c>
      <c r="R1256" s="34">
        <f>IF(C1256="","",IF(L1256="☑ Oui","Annulée",IF(OR(E1256="Vente directe",K1256&lt;&gt;""),"Livrée",IF(J1256&lt;&gt;"","Confirmée","En attente"))))</f>
        <v/>
      </c>
      <c r="S1256" s="34">
        <f>IF(F1256="","",IFERROR(VLOOKUP(F1256,T_Produits,2,FALSE),""))</f>
        <v/>
      </c>
      <c r="T1256" s="40">
        <f>IF(F1256="","",IFERROR(1/(1/VLOOKUP(F1256,T_Produits,3,FALSE)),""))</f>
        <v/>
      </c>
      <c r="U1256" s="40">
        <f>IF(H1256&lt;&gt;"",H1256,T1256)</f>
        <v/>
      </c>
      <c r="V1256" s="40">
        <f>IF(OR(G1256="",U1256=""),"",G1256*U1256-N(I1256))</f>
        <v/>
      </c>
      <c r="W1256" s="39">
        <f>IF(D1256="","",IFERROR(VALUE(MID(D1256,LEN(D1256)-3,3)),""))</f>
        <v/>
      </c>
      <c r="X1256" s="33">
        <f>IF(W1256="","",P1256&amp;"|"&amp;W1256)</f>
        <v/>
      </c>
      <c r="Y1256" s="33">
        <f>IF(W1256="","",IF(P1256="À RENSEIGNER","GIC",P1256)&amp;"-"&amp;TEXT(W1256,"000"))</f>
        <v/>
      </c>
      <c r="Z1256" s="33">
        <f>IF(X1256="","",IFERROR(INDEX(Cl_nom,MATCH(X1256,Cl_cle,0)),"(client introuvable)"))</f>
        <v/>
      </c>
      <c r="AA1256" s="33">
        <f>IF(X1256="","",IFERROR(INDEX(Cl_quartier,MATCH(X1256,Cl_cle,0))&amp;"",""))</f>
        <v/>
      </c>
      <c r="AB1256" s="45">
        <f>IF(R1256&lt;&gt;"Livrée",0,IF(K1256&lt;&gt;"",K1256,C1256))</f>
        <v/>
      </c>
      <c r="AC1256" s="33">
        <f>IF(OR(C1256="",W1256=""),"",P1256&amp;"|"&amp;W1256&amp;"|"&amp;C1256&amp;"|"&amp;E1256)</f>
        <v/>
      </c>
      <c r="AD1256" s="39">
        <f>IF(AC1256="","",IF(COUNTIF(AC$6:AC1256,AC1256)=1,1,0))</f>
        <v/>
      </c>
      <c r="AE1256" s="39">
        <f>IF(AB1256=0,"",IF(COUNTIFS(X$6:X1256,X1256,AB$6:AB1256,AB1256)=1,1,0))</f>
        <v/>
      </c>
      <c r="AF1256" s="34">
        <f>IF(C1256="","",YEAR(C1256-WEEKDAY(C1256,2)+4)&amp;"-S"&amp;TEXT(INT((C1256-DATE(YEAR(C1256-WEEKDAY(C1256,2)+4),1,3)+WEEKDAY(DATE(YEAR(C1256-WEEKDAY(C1256,2)+4),1,3),2)+5)/7),"00"))</f>
        <v/>
      </c>
    </row>
    <row r="1257" ht="18" customHeight="1">
      <c r="A1257" s="39" t="n">
        <v>1252</v>
      </c>
      <c r="B1257" s="33">
        <f>IF(C1257="","",IF(P1257="À RENSEIGNER","GIC",P1257)&amp;"-C"&amp;TEXT(A1257,"00000"))</f>
        <v/>
      </c>
      <c r="C1257" s="32" t="n"/>
      <c r="D1257" s="36" t="n"/>
      <c r="E1257" s="36" t="n"/>
      <c r="F1257" s="36" t="n"/>
      <c r="G1257" s="42" t="n"/>
      <c r="H1257" s="37" t="n"/>
      <c r="I1257" s="37" t="n"/>
      <c r="J1257" s="32" t="n"/>
      <c r="K1257" s="32" t="n"/>
      <c r="L1257" s="43" t="n"/>
      <c r="M1257" s="36" t="n"/>
      <c r="N1257" s="44" t="n"/>
      <c r="O1257" s="36" t="n"/>
      <c r="P1257" s="33">
        <f>IF(C1257="","",Commercial_Id)</f>
        <v/>
      </c>
      <c r="Q1257" s="34">
        <f>IF(AC1257="","",IF(AD1257=1,"C"&amp;TEXT(SUM(AD$6:AD1257),"0000"),INDEX(Q$6:Q1256,MATCH(AC1257,AC$6:AC1256,0))))</f>
        <v/>
      </c>
      <c r="R1257" s="34">
        <f>IF(C1257="","",IF(L1257="☑ Oui","Annulée",IF(OR(E1257="Vente directe",K1257&lt;&gt;""),"Livrée",IF(J1257&lt;&gt;"","Confirmée","En attente"))))</f>
        <v/>
      </c>
      <c r="S1257" s="34">
        <f>IF(F1257="","",IFERROR(VLOOKUP(F1257,T_Produits,2,FALSE),""))</f>
        <v/>
      </c>
      <c r="T1257" s="40">
        <f>IF(F1257="","",IFERROR(1/(1/VLOOKUP(F1257,T_Produits,3,FALSE)),""))</f>
        <v/>
      </c>
      <c r="U1257" s="40">
        <f>IF(H1257&lt;&gt;"",H1257,T1257)</f>
        <v/>
      </c>
      <c r="V1257" s="40">
        <f>IF(OR(G1257="",U1257=""),"",G1257*U1257-N(I1257))</f>
        <v/>
      </c>
      <c r="W1257" s="39">
        <f>IF(D1257="","",IFERROR(VALUE(MID(D1257,LEN(D1257)-3,3)),""))</f>
        <v/>
      </c>
      <c r="X1257" s="33">
        <f>IF(W1257="","",P1257&amp;"|"&amp;W1257)</f>
        <v/>
      </c>
      <c r="Y1257" s="33">
        <f>IF(W1257="","",IF(P1257="À RENSEIGNER","GIC",P1257)&amp;"-"&amp;TEXT(W1257,"000"))</f>
        <v/>
      </c>
      <c r="Z1257" s="33">
        <f>IF(X1257="","",IFERROR(INDEX(Cl_nom,MATCH(X1257,Cl_cle,0)),"(client introuvable)"))</f>
        <v/>
      </c>
      <c r="AA1257" s="33">
        <f>IF(X1257="","",IFERROR(INDEX(Cl_quartier,MATCH(X1257,Cl_cle,0))&amp;"",""))</f>
        <v/>
      </c>
      <c r="AB1257" s="45">
        <f>IF(R1257&lt;&gt;"Livrée",0,IF(K1257&lt;&gt;"",K1257,C1257))</f>
        <v/>
      </c>
      <c r="AC1257" s="33">
        <f>IF(OR(C1257="",W1257=""),"",P1257&amp;"|"&amp;W1257&amp;"|"&amp;C1257&amp;"|"&amp;E1257)</f>
        <v/>
      </c>
      <c r="AD1257" s="39">
        <f>IF(AC1257="","",IF(COUNTIF(AC$6:AC1257,AC1257)=1,1,0))</f>
        <v/>
      </c>
      <c r="AE1257" s="39">
        <f>IF(AB1257=0,"",IF(COUNTIFS(X$6:X1257,X1257,AB$6:AB1257,AB1257)=1,1,0))</f>
        <v/>
      </c>
      <c r="AF1257" s="34">
        <f>IF(C1257="","",YEAR(C1257-WEEKDAY(C1257,2)+4)&amp;"-S"&amp;TEXT(INT((C1257-DATE(YEAR(C1257-WEEKDAY(C1257,2)+4),1,3)+WEEKDAY(DATE(YEAR(C1257-WEEKDAY(C1257,2)+4),1,3),2)+5)/7),"00"))</f>
        <v/>
      </c>
    </row>
    <row r="1258" ht="18" customHeight="1">
      <c r="A1258" s="39" t="n">
        <v>1253</v>
      </c>
      <c r="B1258" s="33">
        <f>IF(C1258="","",IF(P1258="À RENSEIGNER","GIC",P1258)&amp;"-C"&amp;TEXT(A1258,"00000"))</f>
        <v/>
      </c>
      <c r="C1258" s="32" t="n"/>
      <c r="D1258" s="36" t="n"/>
      <c r="E1258" s="36" t="n"/>
      <c r="F1258" s="36" t="n"/>
      <c r="G1258" s="42" t="n"/>
      <c r="H1258" s="37" t="n"/>
      <c r="I1258" s="37" t="n"/>
      <c r="J1258" s="32" t="n"/>
      <c r="K1258" s="32" t="n"/>
      <c r="L1258" s="43" t="n"/>
      <c r="M1258" s="36" t="n"/>
      <c r="N1258" s="44" t="n"/>
      <c r="O1258" s="36" t="n"/>
      <c r="P1258" s="33">
        <f>IF(C1258="","",Commercial_Id)</f>
        <v/>
      </c>
      <c r="Q1258" s="34">
        <f>IF(AC1258="","",IF(AD1258=1,"C"&amp;TEXT(SUM(AD$6:AD1258),"0000"),INDEX(Q$6:Q1257,MATCH(AC1258,AC$6:AC1257,0))))</f>
        <v/>
      </c>
      <c r="R1258" s="34">
        <f>IF(C1258="","",IF(L1258="☑ Oui","Annulée",IF(OR(E1258="Vente directe",K1258&lt;&gt;""),"Livrée",IF(J1258&lt;&gt;"","Confirmée","En attente"))))</f>
        <v/>
      </c>
      <c r="S1258" s="34">
        <f>IF(F1258="","",IFERROR(VLOOKUP(F1258,T_Produits,2,FALSE),""))</f>
        <v/>
      </c>
      <c r="T1258" s="40">
        <f>IF(F1258="","",IFERROR(1/(1/VLOOKUP(F1258,T_Produits,3,FALSE)),""))</f>
        <v/>
      </c>
      <c r="U1258" s="40">
        <f>IF(H1258&lt;&gt;"",H1258,T1258)</f>
        <v/>
      </c>
      <c r="V1258" s="40">
        <f>IF(OR(G1258="",U1258=""),"",G1258*U1258-N(I1258))</f>
        <v/>
      </c>
      <c r="W1258" s="39">
        <f>IF(D1258="","",IFERROR(VALUE(MID(D1258,LEN(D1258)-3,3)),""))</f>
        <v/>
      </c>
      <c r="X1258" s="33">
        <f>IF(W1258="","",P1258&amp;"|"&amp;W1258)</f>
        <v/>
      </c>
      <c r="Y1258" s="33">
        <f>IF(W1258="","",IF(P1258="À RENSEIGNER","GIC",P1258)&amp;"-"&amp;TEXT(W1258,"000"))</f>
        <v/>
      </c>
      <c r="Z1258" s="33">
        <f>IF(X1258="","",IFERROR(INDEX(Cl_nom,MATCH(X1258,Cl_cle,0)),"(client introuvable)"))</f>
        <v/>
      </c>
      <c r="AA1258" s="33">
        <f>IF(X1258="","",IFERROR(INDEX(Cl_quartier,MATCH(X1258,Cl_cle,0))&amp;"",""))</f>
        <v/>
      </c>
      <c r="AB1258" s="45">
        <f>IF(R1258&lt;&gt;"Livrée",0,IF(K1258&lt;&gt;"",K1258,C1258))</f>
        <v/>
      </c>
      <c r="AC1258" s="33">
        <f>IF(OR(C1258="",W1258=""),"",P1258&amp;"|"&amp;W1258&amp;"|"&amp;C1258&amp;"|"&amp;E1258)</f>
        <v/>
      </c>
      <c r="AD1258" s="39">
        <f>IF(AC1258="","",IF(COUNTIF(AC$6:AC1258,AC1258)=1,1,0))</f>
        <v/>
      </c>
      <c r="AE1258" s="39">
        <f>IF(AB1258=0,"",IF(COUNTIFS(X$6:X1258,X1258,AB$6:AB1258,AB1258)=1,1,0))</f>
        <v/>
      </c>
      <c r="AF1258" s="34">
        <f>IF(C1258="","",YEAR(C1258-WEEKDAY(C1258,2)+4)&amp;"-S"&amp;TEXT(INT((C1258-DATE(YEAR(C1258-WEEKDAY(C1258,2)+4),1,3)+WEEKDAY(DATE(YEAR(C1258-WEEKDAY(C1258,2)+4),1,3),2)+5)/7),"00"))</f>
        <v/>
      </c>
    </row>
    <row r="1259" ht="18" customHeight="1">
      <c r="A1259" s="39" t="n">
        <v>1254</v>
      </c>
      <c r="B1259" s="33">
        <f>IF(C1259="","",IF(P1259="À RENSEIGNER","GIC",P1259)&amp;"-C"&amp;TEXT(A1259,"00000"))</f>
        <v/>
      </c>
      <c r="C1259" s="32" t="n"/>
      <c r="D1259" s="36" t="n"/>
      <c r="E1259" s="36" t="n"/>
      <c r="F1259" s="36" t="n"/>
      <c r="G1259" s="42" t="n"/>
      <c r="H1259" s="37" t="n"/>
      <c r="I1259" s="37" t="n"/>
      <c r="J1259" s="32" t="n"/>
      <c r="K1259" s="32" t="n"/>
      <c r="L1259" s="43" t="n"/>
      <c r="M1259" s="36" t="n"/>
      <c r="N1259" s="44" t="n"/>
      <c r="O1259" s="36" t="n"/>
      <c r="P1259" s="33">
        <f>IF(C1259="","",Commercial_Id)</f>
        <v/>
      </c>
      <c r="Q1259" s="34">
        <f>IF(AC1259="","",IF(AD1259=1,"C"&amp;TEXT(SUM(AD$6:AD1259),"0000"),INDEX(Q$6:Q1258,MATCH(AC1259,AC$6:AC1258,0))))</f>
        <v/>
      </c>
      <c r="R1259" s="34">
        <f>IF(C1259="","",IF(L1259="☑ Oui","Annulée",IF(OR(E1259="Vente directe",K1259&lt;&gt;""),"Livrée",IF(J1259&lt;&gt;"","Confirmée","En attente"))))</f>
        <v/>
      </c>
      <c r="S1259" s="34">
        <f>IF(F1259="","",IFERROR(VLOOKUP(F1259,T_Produits,2,FALSE),""))</f>
        <v/>
      </c>
      <c r="T1259" s="40">
        <f>IF(F1259="","",IFERROR(1/(1/VLOOKUP(F1259,T_Produits,3,FALSE)),""))</f>
        <v/>
      </c>
      <c r="U1259" s="40">
        <f>IF(H1259&lt;&gt;"",H1259,T1259)</f>
        <v/>
      </c>
      <c r="V1259" s="40">
        <f>IF(OR(G1259="",U1259=""),"",G1259*U1259-N(I1259))</f>
        <v/>
      </c>
      <c r="W1259" s="39">
        <f>IF(D1259="","",IFERROR(VALUE(MID(D1259,LEN(D1259)-3,3)),""))</f>
        <v/>
      </c>
      <c r="X1259" s="33">
        <f>IF(W1259="","",P1259&amp;"|"&amp;W1259)</f>
        <v/>
      </c>
      <c r="Y1259" s="33">
        <f>IF(W1259="","",IF(P1259="À RENSEIGNER","GIC",P1259)&amp;"-"&amp;TEXT(W1259,"000"))</f>
        <v/>
      </c>
      <c r="Z1259" s="33">
        <f>IF(X1259="","",IFERROR(INDEX(Cl_nom,MATCH(X1259,Cl_cle,0)),"(client introuvable)"))</f>
        <v/>
      </c>
      <c r="AA1259" s="33">
        <f>IF(X1259="","",IFERROR(INDEX(Cl_quartier,MATCH(X1259,Cl_cle,0))&amp;"",""))</f>
        <v/>
      </c>
      <c r="AB1259" s="45">
        <f>IF(R1259&lt;&gt;"Livrée",0,IF(K1259&lt;&gt;"",K1259,C1259))</f>
        <v/>
      </c>
      <c r="AC1259" s="33">
        <f>IF(OR(C1259="",W1259=""),"",P1259&amp;"|"&amp;W1259&amp;"|"&amp;C1259&amp;"|"&amp;E1259)</f>
        <v/>
      </c>
      <c r="AD1259" s="39">
        <f>IF(AC1259="","",IF(COUNTIF(AC$6:AC1259,AC1259)=1,1,0))</f>
        <v/>
      </c>
      <c r="AE1259" s="39">
        <f>IF(AB1259=0,"",IF(COUNTIFS(X$6:X1259,X1259,AB$6:AB1259,AB1259)=1,1,0))</f>
        <v/>
      </c>
      <c r="AF1259" s="34">
        <f>IF(C1259="","",YEAR(C1259-WEEKDAY(C1259,2)+4)&amp;"-S"&amp;TEXT(INT((C1259-DATE(YEAR(C1259-WEEKDAY(C1259,2)+4),1,3)+WEEKDAY(DATE(YEAR(C1259-WEEKDAY(C1259,2)+4),1,3),2)+5)/7),"00"))</f>
        <v/>
      </c>
    </row>
    <row r="1260" ht="18" customHeight="1">
      <c r="A1260" s="39" t="n">
        <v>1255</v>
      </c>
      <c r="B1260" s="33">
        <f>IF(C1260="","",IF(P1260="À RENSEIGNER","GIC",P1260)&amp;"-C"&amp;TEXT(A1260,"00000"))</f>
        <v/>
      </c>
      <c r="C1260" s="32" t="n"/>
      <c r="D1260" s="36" t="n"/>
      <c r="E1260" s="36" t="n"/>
      <c r="F1260" s="36" t="n"/>
      <c r="G1260" s="42" t="n"/>
      <c r="H1260" s="37" t="n"/>
      <c r="I1260" s="37" t="n"/>
      <c r="J1260" s="32" t="n"/>
      <c r="K1260" s="32" t="n"/>
      <c r="L1260" s="43" t="n"/>
      <c r="M1260" s="36" t="n"/>
      <c r="N1260" s="44" t="n"/>
      <c r="O1260" s="36" t="n"/>
      <c r="P1260" s="33">
        <f>IF(C1260="","",Commercial_Id)</f>
        <v/>
      </c>
      <c r="Q1260" s="34">
        <f>IF(AC1260="","",IF(AD1260=1,"C"&amp;TEXT(SUM(AD$6:AD1260),"0000"),INDEX(Q$6:Q1259,MATCH(AC1260,AC$6:AC1259,0))))</f>
        <v/>
      </c>
      <c r="R1260" s="34">
        <f>IF(C1260="","",IF(L1260="☑ Oui","Annulée",IF(OR(E1260="Vente directe",K1260&lt;&gt;""),"Livrée",IF(J1260&lt;&gt;"","Confirmée","En attente"))))</f>
        <v/>
      </c>
      <c r="S1260" s="34">
        <f>IF(F1260="","",IFERROR(VLOOKUP(F1260,T_Produits,2,FALSE),""))</f>
        <v/>
      </c>
      <c r="T1260" s="40">
        <f>IF(F1260="","",IFERROR(1/(1/VLOOKUP(F1260,T_Produits,3,FALSE)),""))</f>
        <v/>
      </c>
      <c r="U1260" s="40">
        <f>IF(H1260&lt;&gt;"",H1260,T1260)</f>
        <v/>
      </c>
      <c r="V1260" s="40">
        <f>IF(OR(G1260="",U1260=""),"",G1260*U1260-N(I1260))</f>
        <v/>
      </c>
      <c r="W1260" s="39">
        <f>IF(D1260="","",IFERROR(VALUE(MID(D1260,LEN(D1260)-3,3)),""))</f>
        <v/>
      </c>
      <c r="X1260" s="33">
        <f>IF(W1260="","",P1260&amp;"|"&amp;W1260)</f>
        <v/>
      </c>
      <c r="Y1260" s="33">
        <f>IF(W1260="","",IF(P1260="À RENSEIGNER","GIC",P1260)&amp;"-"&amp;TEXT(W1260,"000"))</f>
        <v/>
      </c>
      <c r="Z1260" s="33">
        <f>IF(X1260="","",IFERROR(INDEX(Cl_nom,MATCH(X1260,Cl_cle,0)),"(client introuvable)"))</f>
        <v/>
      </c>
      <c r="AA1260" s="33">
        <f>IF(X1260="","",IFERROR(INDEX(Cl_quartier,MATCH(X1260,Cl_cle,0))&amp;"",""))</f>
        <v/>
      </c>
      <c r="AB1260" s="45">
        <f>IF(R1260&lt;&gt;"Livrée",0,IF(K1260&lt;&gt;"",K1260,C1260))</f>
        <v/>
      </c>
      <c r="AC1260" s="33">
        <f>IF(OR(C1260="",W1260=""),"",P1260&amp;"|"&amp;W1260&amp;"|"&amp;C1260&amp;"|"&amp;E1260)</f>
        <v/>
      </c>
      <c r="AD1260" s="39">
        <f>IF(AC1260="","",IF(COUNTIF(AC$6:AC1260,AC1260)=1,1,0))</f>
        <v/>
      </c>
      <c r="AE1260" s="39">
        <f>IF(AB1260=0,"",IF(COUNTIFS(X$6:X1260,X1260,AB$6:AB1260,AB1260)=1,1,0))</f>
        <v/>
      </c>
      <c r="AF1260" s="34">
        <f>IF(C1260="","",YEAR(C1260-WEEKDAY(C1260,2)+4)&amp;"-S"&amp;TEXT(INT((C1260-DATE(YEAR(C1260-WEEKDAY(C1260,2)+4),1,3)+WEEKDAY(DATE(YEAR(C1260-WEEKDAY(C1260,2)+4),1,3),2)+5)/7),"00"))</f>
        <v/>
      </c>
    </row>
    <row r="1261" ht="18" customHeight="1">
      <c r="A1261" s="39" t="n">
        <v>1256</v>
      </c>
      <c r="B1261" s="33">
        <f>IF(C1261="","",IF(P1261="À RENSEIGNER","GIC",P1261)&amp;"-C"&amp;TEXT(A1261,"00000"))</f>
        <v/>
      </c>
      <c r="C1261" s="32" t="n"/>
      <c r="D1261" s="36" t="n"/>
      <c r="E1261" s="36" t="n"/>
      <c r="F1261" s="36" t="n"/>
      <c r="G1261" s="42" t="n"/>
      <c r="H1261" s="37" t="n"/>
      <c r="I1261" s="37" t="n"/>
      <c r="J1261" s="32" t="n"/>
      <c r="K1261" s="32" t="n"/>
      <c r="L1261" s="43" t="n"/>
      <c r="M1261" s="36" t="n"/>
      <c r="N1261" s="44" t="n"/>
      <c r="O1261" s="36" t="n"/>
      <c r="P1261" s="33">
        <f>IF(C1261="","",Commercial_Id)</f>
        <v/>
      </c>
      <c r="Q1261" s="34">
        <f>IF(AC1261="","",IF(AD1261=1,"C"&amp;TEXT(SUM(AD$6:AD1261),"0000"),INDEX(Q$6:Q1260,MATCH(AC1261,AC$6:AC1260,0))))</f>
        <v/>
      </c>
      <c r="R1261" s="34">
        <f>IF(C1261="","",IF(L1261="☑ Oui","Annulée",IF(OR(E1261="Vente directe",K1261&lt;&gt;""),"Livrée",IF(J1261&lt;&gt;"","Confirmée","En attente"))))</f>
        <v/>
      </c>
      <c r="S1261" s="34">
        <f>IF(F1261="","",IFERROR(VLOOKUP(F1261,T_Produits,2,FALSE),""))</f>
        <v/>
      </c>
      <c r="T1261" s="40">
        <f>IF(F1261="","",IFERROR(1/(1/VLOOKUP(F1261,T_Produits,3,FALSE)),""))</f>
        <v/>
      </c>
      <c r="U1261" s="40">
        <f>IF(H1261&lt;&gt;"",H1261,T1261)</f>
        <v/>
      </c>
      <c r="V1261" s="40">
        <f>IF(OR(G1261="",U1261=""),"",G1261*U1261-N(I1261))</f>
        <v/>
      </c>
      <c r="W1261" s="39">
        <f>IF(D1261="","",IFERROR(VALUE(MID(D1261,LEN(D1261)-3,3)),""))</f>
        <v/>
      </c>
      <c r="X1261" s="33">
        <f>IF(W1261="","",P1261&amp;"|"&amp;W1261)</f>
        <v/>
      </c>
      <c r="Y1261" s="33">
        <f>IF(W1261="","",IF(P1261="À RENSEIGNER","GIC",P1261)&amp;"-"&amp;TEXT(W1261,"000"))</f>
        <v/>
      </c>
      <c r="Z1261" s="33">
        <f>IF(X1261="","",IFERROR(INDEX(Cl_nom,MATCH(X1261,Cl_cle,0)),"(client introuvable)"))</f>
        <v/>
      </c>
      <c r="AA1261" s="33">
        <f>IF(X1261="","",IFERROR(INDEX(Cl_quartier,MATCH(X1261,Cl_cle,0))&amp;"",""))</f>
        <v/>
      </c>
      <c r="AB1261" s="45">
        <f>IF(R1261&lt;&gt;"Livrée",0,IF(K1261&lt;&gt;"",K1261,C1261))</f>
        <v/>
      </c>
      <c r="AC1261" s="33">
        <f>IF(OR(C1261="",W1261=""),"",P1261&amp;"|"&amp;W1261&amp;"|"&amp;C1261&amp;"|"&amp;E1261)</f>
        <v/>
      </c>
      <c r="AD1261" s="39">
        <f>IF(AC1261="","",IF(COUNTIF(AC$6:AC1261,AC1261)=1,1,0))</f>
        <v/>
      </c>
      <c r="AE1261" s="39">
        <f>IF(AB1261=0,"",IF(COUNTIFS(X$6:X1261,X1261,AB$6:AB1261,AB1261)=1,1,0))</f>
        <v/>
      </c>
      <c r="AF1261" s="34">
        <f>IF(C1261="","",YEAR(C1261-WEEKDAY(C1261,2)+4)&amp;"-S"&amp;TEXT(INT((C1261-DATE(YEAR(C1261-WEEKDAY(C1261,2)+4),1,3)+WEEKDAY(DATE(YEAR(C1261-WEEKDAY(C1261,2)+4),1,3),2)+5)/7),"00"))</f>
        <v/>
      </c>
    </row>
    <row r="1262" ht="18" customHeight="1">
      <c r="A1262" s="39" t="n">
        <v>1257</v>
      </c>
      <c r="B1262" s="33">
        <f>IF(C1262="","",IF(P1262="À RENSEIGNER","GIC",P1262)&amp;"-C"&amp;TEXT(A1262,"00000"))</f>
        <v/>
      </c>
      <c r="C1262" s="32" t="n"/>
      <c r="D1262" s="36" t="n"/>
      <c r="E1262" s="36" t="n"/>
      <c r="F1262" s="36" t="n"/>
      <c r="G1262" s="42" t="n"/>
      <c r="H1262" s="37" t="n"/>
      <c r="I1262" s="37" t="n"/>
      <c r="J1262" s="32" t="n"/>
      <c r="K1262" s="32" t="n"/>
      <c r="L1262" s="43" t="n"/>
      <c r="M1262" s="36" t="n"/>
      <c r="N1262" s="44" t="n"/>
      <c r="O1262" s="36" t="n"/>
      <c r="P1262" s="33">
        <f>IF(C1262="","",Commercial_Id)</f>
        <v/>
      </c>
      <c r="Q1262" s="34">
        <f>IF(AC1262="","",IF(AD1262=1,"C"&amp;TEXT(SUM(AD$6:AD1262),"0000"),INDEX(Q$6:Q1261,MATCH(AC1262,AC$6:AC1261,0))))</f>
        <v/>
      </c>
      <c r="R1262" s="34">
        <f>IF(C1262="","",IF(L1262="☑ Oui","Annulée",IF(OR(E1262="Vente directe",K1262&lt;&gt;""),"Livrée",IF(J1262&lt;&gt;"","Confirmée","En attente"))))</f>
        <v/>
      </c>
      <c r="S1262" s="34">
        <f>IF(F1262="","",IFERROR(VLOOKUP(F1262,T_Produits,2,FALSE),""))</f>
        <v/>
      </c>
      <c r="T1262" s="40">
        <f>IF(F1262="","",IFERROR(1/(1/VLOOKUP(F1262,T_Produits,3,FALSE)),""))</f>
        <v/>
      </c>
      <c r="U1262" s="40">
        <f>IF(H1262&lt;&gt;"",H1262,T1262)</f>
        <v/>
      </c>
      <c r="V1262" s="40">
        <f>IF(OR(G1262="",U1262=""),"",G1262*U1262-N(I1262))</f>
        <v/>
      </c>
      <c r="W1262" s="39">
        <f>IF(D1262="","",IFERROR(VALUE(MID(D1262,LEN(D1262)-3,3)),""))</f>
        <v/>
      </c>
      <c r="X1262" s="33">
        <f>IF(W1262="","",P1262&amp;"|"&amp;W1262)</f>
        <v/>
      </c>
      <c r="Y1262" s="33">
        <f>IF(W1262="","",IF(P1262="À RENSEIGNER","GIC",P1262)&amp;"-"&amp;TEXT(W1262,"000"))</f>
        <v/>
      </c>
      <c r="Z1262" s="33">
        <f>IF(X1262="","",IFERROR(INDEX(Cl_nom,MATCH(X1262,Cl_cle,0)),"(client introuvable)"))</f>
        <v/>
      </c>
      <c r="AA1262" s="33">
        <f>IF(X1262="","",IFERROR(INDEX(Cl_quartier,MATCH(X1262,Cl_cle,0))&amp;"",""))</f>
        <v/>
      </c>
      <c r="AB1262" s="45">
        <f>IF(R1262&lt;&gt;"Livrée",0,IF(K1262&lt;&gt;"",K1262,C1262))</f>
        <v/>
      </c>
      <c r="AC1262" s="33">
        <f>IF(OR(C1262="",W1262=""),"",P1262&amp;"|"&amp;W1262&amp;"|"&amp;C1262&amp;"|"&amp;E1262)</f>
        <v/>
      </c>
      <c r="AD1262" s="39">
        <f>IF(AC1262="","",IF(COUNTIF(AC$6:AC1262,AC1262)=1,1,0))</f>
        <v/>
      </c>
      <c r="AE1262" s="39">
        <f>IF(AB1262=0,"",IF(COUNTIFS(X$6:X1262,X1262,AB$6:AB1262,AB1262)=1,1,0))</f>
        <v/>
      </c>
      <c r="AF1262" s="34">
        <f>IF(C1262="","",YEAR(C1262-WEEKDAY(C1262,2)+4)&amp;"-S"&amp;TEXT(INT((C1262-DATE(YEAR(C1262-WEEKDAY(C1262,2)+4),1,3)+WEEKDAY(DATE(YEAR(C1262-WEEKDAY(C1262,2)+4),1,3),2)+5)/7),"00"))</f>
        <v/>
      </c>
    </row>
    <row r="1263" ht="18" customHeight="1">
      <c r="A1263" s="39" t="n">
        <v>1258</v>
      </c>
      <c r="B1263" s="33">
        <f>IF(C1263="","",IF(P1263="À RENSEIGNER","GIC",P1263)&amp;"-C"&amp;TEXT(A1263,"00000"))</f>
        <v/>
      </c>
      <c r="C1263" s="32" t="n"/>
      <c r="D1263" s="36" t="n"/>
      <c r="E1263" s="36" t="n"/>
      <c r="F1263" s="36" t="n"/>
      <c r="G1263" s="42" t="n"/>
      <c r="H1263" s="37" t="n"/>
      <c r="I1263" s="37" t="n"/>
      <c r="J1263" s="32" t="n"/>
      <c r="K1263" s="32" t="n"/>
      <c r="L1263" s="43" t="n"/>
      <c r="M1263" s="36" t="n"/>
      <c r="N1263" s="44" t="n"/>
      <c r="O1263" s="36" t="n"/>
      <c r="P1263" s="33">
        <f>IF(C1263="","",Commercial_Id)</f>
        <v/>
      </c>
      <c r="Q1263" s="34">
        <f>IF(AC1263="","",IF(AD1263=1,"C"&amp;TEXT(SUM(AD$6:AD1263),"0000"),INDEX(Q$6:Q1262,MATCH(AC1263,AC$6:AC1262,0))))</f>
        <v/>
      </c>
      <c r="R1263" s="34">
        <f>IF(C1263="","",IF(L1263="☑ Oui","Annulée",IF(OR(E1263="Vente directe",K1263&lt;&gt;""),"Livrée",IF(J1263&lt;&gt;"","Confirmée","En attente"))))</f>
        <v/>
      </c>
      <c r="S1263" s="34">
        <f>IF(F1263="","",IFERROR(VLOOKUP(F1263,T_Produits,2,FALSE),""))</f>
        <v/>
      </c>
      <c r="T1263" s="40">
        <f>IF(F1263="","",IFERROR(1/(1/VLOOKUP(F1263,T_Produits,3,FALSE)),""))</f>
        <v/>
      </c>
      <c r="U1263" s="40">
        <f>IF(H1263&lt;&gt;"",H1263,T1263)</f>
        <v/>
      </c>
      <c r="V1263" s="40">
        <f>IF(OR(G1263="",U1263=""),"",G1263*U1263-N(I1263))</f>
        <v/>
      </c>
      <c r="W1263" s="39">
        <f>IF(D1263="","",IFERROR(VALUE(MID(D1263,LEN(D1263)-3,3)),""))</f>
        <v/>
      </c>
      <c r="X1263" s="33">
        <f>IF(W1263="","",P1263&amp;"|"&amp;W1263)</f>
        <v/>
      </c>
      <c r="Y1263" s="33">
        <f>IF(W1263="","",IF(P1263="À RENSEIGNER","GIC",P1263)&amp;"-"&amp;TEXT(W1263,"000"))</f>
        <v/>
      </c>
      <c r="Z1263" s="33">
        <f>IF(X1263="","",IFERROR(INDEX(Cl_nom,MATCH(X1263,Cl_cle,0)),"(client introuvable)"))</f>
        <v/>
      </c>
      <c r="AA1263" s="33">
        <f>IF(X1263="","",IFERROR(INDEX(Cl_quartier,MATCH(X1263,Cl_cle,0))&amp;"",""))</f>
        <v/>
      </c>
      <c r="AB1263" s="45">
        <f>IF(R1263&lt;&gt;"Livrée",0,IF(K1263&lt;&gt;"",K1263,C1263))</f>
        <v/>
      </c>
      <c r="AC1263" s="33">
        <f>IF(OR(C1263="",W1263=""),"",P1263&amp;"|"&amp;W1263&amp;"|"&amp;C1263&amp;"|"&amp;E1263)</f>
        <v/>
      </c>
      <c r="AD1263" s="39">
        <f>IF(AC1263="","",IF(COUNTIF(AC$6:AC1263,AC1263)=1,1,0))</f>
        <v/>
      </c>
      <c r="AE1263" s="39">
        <f>IF(AB1263=0,"",IF(COUNTIFS(X$6:X1263,X1263,AB$6:AB1263,AB1263)=1,1,0))</f>
        <v/>
      </c>
      <c r="AF1263" s="34">
        <f>IF(C1263="","",YEAR(C1263-WEEKDAY(C1263,2)+4)&amp;"-S"&amp;TEXT(INT((C1263-DATE(YEAR(C1263-WEEKDAY(C1263,2)+4),1,3)+WEEKDAY(DATE(YEAR(C1263-WEEKDAY(C1263,2)+4),1,3),2)+5)/7),"00"))</f>
        <v/>
      </c>
    </row>
    <row r="1264" ht="18" customHeight="1">
      <c r="A1264" s="39" t="n">
        <v>1259</v>
      </c>
      <c r="B1264" s="33">
        <f>IF(C1264="","",IF(P1264="À RENSEIGNER","GIC",P1264)&amp;"-C"&amp;TEXT(A1264,"00000"))</f>
        <v/>
      </c>
      <c r="C1264" s="32" t="n"/>
      <c r="D1264" s="36" t="n"/>
      <c r="E1264" s="36" t="n"/>
      <c r="F1264" s="36" t="n"/>
      <c r="G1264" s="42" t="n"/>
      <c r="H1264" s="37" t="n"/>
      <c r="I1264" s="37" t="n"/>
      <c r="J1264" s="32" t="n"/>
      <c r="K1264" s="32" t="n"/>
      <c r="L1264" s="43" t="n"/>
      <c r="M1264" s="36" t="n"/>
      <c r="N1264" s="44" t="n"/>
      <c r="O1264" s="36" t="n"/>
      <c r="P1264" s="33">
        <f>IF(C1264="","",Commercial_Id)</f>
        <v/>
      </c>
      <c r="Q1264" s="34">
        <f>IF(AC1264="","",IF(AD1264=1,"C"&amp;TEXT(SUM(AD$6:AD1264),"0000"),INDEX(Q$6:Q1263,MATCH(AC1264,AC$6:AC1263,0))))</f>
        <v/>
      </c>
      <c r="R1264" s="34">
        <f>IF(C1264="","",IF(L1264="☑ Oui","Annulée",IF(OR(E1264="Vente directe",K1264&lt;&gt;""),"Livrée",IF(J1264&lt;&gt;"","Confirmée","En attente"))))</f>
        <v/>
      </c>
      <c r="S1264" s="34">
        <f>IF(F1264="","",IFERROR(VLOOKUP(F1264,T_Produits,2,FALSE),""))</f>
        <v/>
      </c>
      <c r="T1264" s="40">
        <f>IF(F1264="","",IFERROR(1/(1/VLOOKUP(F1264,T_Produits,3,FALSE)),""))</f>
        <v/>
      </c>
      <c r="U1264" s="40">
        <f>IF(H1264&lt;&gt;"",H1264,T1264)</f>
        <v/>
      </c>
      <c r="V1264" s="40">
        <f>IF(OR(G1264="",U1264=""),"",G1264*U1264-N(I1264))</f>
        <v/>
      </c>
      <c r="W1264" s="39">
        <f>IF(D1264="","",IFERROR(VALUE(MID(D1264,LEN(D1264)-3,3)),""))</f>
        <v/>
      </c>
      <c r="X1264" s="33">
        <f>IF(W1264="","",P1264&amp;"|"&amp;W1264)</f>
        <v/>
      </c>
      <c r="Y1264" s="33">
        <f>IF(W1264="","",IF(P1264="À RENSEIGNER","GIC",P1264)&amp;"-"&amp;TEXT(W1264,"000"))</f>
        <v/>
      </c>
      <c r="Z1264" s="33">
        <f>IF(X1264="","",IFERROR(INDEX(Cl_nom,MATCH(X1264,Cl_cle,0)),"(client introuvable)"))</f>
        <v/>
      </c>
      <c r="AA1264" s="33">
        <f>IF(X1264="","",IFERROR(INDEX(Cl_quartier,MATCH(X1264,Cl_cle,0))&amp;"",""))</f>
        <v/>
      </c>
      <c r="AB1264" s="45">
        <f>IF(R1264&lt;&gt;"Livrée",0,IF(K1264&lt;&gt;"",K1264,C1264))</f>
        <v/>
      </c>
      <c r="AC1264" s="33">
        <f>IF(OR(C1264="",W1264=""),"",P1264&amp;"|"&amp;W1264&amp;"|"&amp;C1264&amp;"|"&amp;E1264)</f>
        <v/>
      </c>
      <c r="AD1264" s="39">
        <f>IF(AC1264="","",IF(COUNTIF(AC$6:AC1264,AC1264)=1,1,0))</f>
        <v/>
      </c>
      <c r="AE1264" s="39">
        <f>IF(AB1264=0,"",IF(COUNTIFS(X$6:X1264,X1264,AB$6:AB1264,AB1264)=1,1,0))</f>
        <v/>
      </c>
      <c r="AF1264" s="34">
        <f>IF(C1264="","",YEAR(C1264-WEEKDAY(C1264,2)+4)&amp;"-S"&amp;TEXT(INT((C1264-DATE(YEAR(C1264-WEEKDAY(C1264,2)+4),1,3)+WEEKDAY(DATE(YEAR(C1264-WEEKDAY(C1264,2)+4),1,3),2)+5)/7),"00"))</f>
        <v/>
      </c>
    </row>
    <row r="1265" ht="18" customHeight="1">
      <c r="A1265" s="39" t="n">
        <v>1260</v>
      </c>
      <c r="B1265" s="33">
        <f>IF(C1265="","",IF(P1265="À RENSEIGNER","GIC",P1265)&amp;"-C"&amp;TEXT(A1265,"00000"))</f>
        <v/>
      </c>
      <c r="C1265" s="32" t="n"/>
      <c r="D1265" s="36" t="n"/>
      <c r="E1265" s="36" t="n"/>
      <c r="F1265" s="36" t="n"/>
      <c r="G1265" s="42" t="n"/>
      <c r="H1265" s="37" t="n"/>
      <c r="I1265" s="37" t="n"/>
      <c r="J1265" s="32" t="n"/>
      <c r="K1265" s="32" t="n"/>
      <c r="L1265" s="43" t="n"/>
      <c r="M1265" s="36" t="n"/>
      <c r="N1265" s="44" t="n"/>
      <c r="O1265" s="36" t="n"/>
      <c r="P1265" s="33">
        <f>IF(C1265="","",Commercial_Id)</f>
        <v/>
      </c>
      <c r="Q1265" s="34">
        <f>IF(AC1265="","",IF(AD1265=1,"C"&amp;TEXT(SUM(AD$6:AD1265),"0000"),INDEX(Q$6:Q1264,MATCH(AC1265,AC$6:AC1264,0))))</f>
        <v/>
      </c>
      <c r="R1265" s="34">
        <f>IF(C1265="","",IF(L1265="☑ Oui","Annulée",IF(OR(E1265="Vente directe",K1265&lt;&gt;""),"Livrée",IF(J1265&lt;&gt;"","Confirmée","En attente"))))</f>
        <v/>
      </c>
      <c r="S1265" s="34">
        <f>IF(F1265="","",IFERROR(VLOOKUP(F1265,T_Produits,2,FALSE),""))</f>
        <v/>
      </c>
      <c r="T1265" s="40">
        <f>IF(F1265="","",IFERROR(1/(1/VLOOKUP(F1265,T_Produits,3,FALSE)),""))</f>
        <v/>
      </c>
      <c r="U1265" s="40">
        <f>IF(H1265&lt;&gt;"",H1265,T1265)</f>
        <v/>
      </c>
      <c r="V1265" s="40">
        <f>IF(OR(G1265="",U1265=""),"",G1265*U1265-N(I1265))</f>
        <v/>
      </c>
      <c r="W1265" s="39">
        <f>IF(D1265="","",IFERROR(VALUE(MID(D1265,LEN(D1265)-3,3)),""))</f>
        <v/>
      </c>
      <c r="X1265" s="33">
        <f>IF(W1265="","",P1265&amp;"|"&amp;W1265)</f>
        <v/>
      </c>
      <c r="Y1265" s="33">
        <f>IF(W1265="","",IF(P1265="À RENSEIGNER","GIC",P1265)&amp;"-"&amp;TEXT(W1265,"000"))</f>
        <v/>
      </c>
      <c r="Z1265" s="33">
        <f>IF(X1265="","",IFERROR(INDEX(Cl_nom,MATCH(X1265,Cl_cle,0)),"(client introuvable)"))</f>
        <v/>
      </c>
      <c r="AA1265" s="33">
        <f>IF(X1265="","",IFERROR(INDEX(Cl_quartier,MATCH(X1265,Cl_cle,0))&amp;"",""))</f>
        <v/>
      </c>
      <c r="AB1265" s="45">
        <f>IF(R1265&lt;&gt;"Livrée",0,IF(K1265&lt;&gt;"",K1265,C1265))</f>
        <v/>
      </c>
      <c r="AC1265" s="33">
        <f>IF(OR(C1265="",W1265=""),"",P1265&amp;"|"&amp;W1265&amp;"|"&amp;C1265&amp;"|"&amp;E1265)</f>
        <v/>
      </c>
      <c r="AD1265" s="39">
        <f>IF(AC1265="","",IF(COUNTIF(AC$6:AC1265,AC1265)=1,1,0))</f>
        <v/>
      </c>
      <c r="AE1265" s="39">
        <f>IF(AB1265=0,"",IF(COUNTIFS(X$6:X1265,X1265,AB$6:AB1265,AB1265)=1,1,0))</f>
        <v/>
      </c>
      <c r="AF1265" s="34">
        <f>IF(C1265="","",YEAR(C1265-WEEKDAY(C1265,2)+4)&amp;"-S"&amp;TEXT(INT((C1265-DATE(YEAR(C1265-WEEKDAY(C1265,2)+4),1,3)+WEEKDAY(DATE(YEAR(C1265-WEEKDAY(C1265,2)+4),1,3),2)+5)/7),"00"))</f>
        <v/>
      </c>
    </row>
    <row r="1266" ht="18" customHeight="1">
      <c r="A1266" s="39" t="n">
        <v>1261</v>
      </c>
      <c r="B1266" s="33">
        <f>IF(C1266="","",IF(P1266="À RENSEIGNER","GIC",P1266)&amp;"-C"&amp;TEXT(A1266,"00000"))</f>
        <v/>
      </c>
      <c r="C1266" s="32" t="n"/>
      <c r="D1266" s="36" t="n"/>
      <c r="E1266" s="36" t="n"/>
      <c r="F1266" s="36" t="n"/>
      <c r="G1266" s="42" t="n"/>
      <c r="H1266" s="37" t="n"/>
      <c r="I1266" s="37" t="n"/>
      <c r="J1266" s="32" t="n"/>
      <c r="K1266" s="32" t="n"/>
      <c r="L1266" s="43" t="n"/>
      <c r="M1266" s="36" t="n"/>
      <c r="N1266" s="44" t="n"/>
      <c r="O1266" s="36" t="n"/>
      <c r="P1266" s="33">
        <f>IF(C1266="","",Commercial_Id)</f>
        <v/>
      </c>
      <c r="Q1266" s="34">
        <f>IF(AC1266="","",IF(AD1266=1,"C"&amp;TEXT(SUM(AD$6:AD1266),"0000"),INDEX(Q$6:Q1265,MATCH(AC1266,AC$6:AC1265,0))))</f>
        <v/>
      </c>
      <c r="R1266" s="34">
        <f>IF(C1266="","",IF(L1266="☑ Oui","Annulée",IF(OR(E1266="Vente directe",K1266&lt;&gt;""),"Livrée",IF(J1266&lt;&gt;"","Confirmée","En attente"))))</f>
        <v/>
      </c>
      <c r="S1266" s="34">
        <f>IF(F1266="","",IFERROR(VLOOKUP(F1266,T_Produits,2,FALSE),""))</f>
        <v/>
      </c>
      <c r="T1266" s="40">
        <f>IF(F1266="","",IFERROR(1/(1/VLOOKUP(F1266,T_Produits,3,FALSE)),""))</f>
        <v/>
      </c>
      <c r="U1266" s="40">
        <f>IF(H1266&lt;&gt;"",H1266,T1266)</f>
        <v/>
      </c>
      <c r="V1266" s="40">
        <f>IF(OR(G1266="",U1266=""),"",G1266*U1266-N(I1266))</f>
        <v/>
      </c>
      <c r="W1266" s="39">
        <f>IF(D1266="","",IFERROR(VALUE(MID(D1266,LEN(D1266)-3,3)),""))</f>
        <v/>
      </c>
      <c r="X1266" s="33">
        <f>IF(W1266="","",P1266&amp;"|"&amp;W1266)</f>
        <v/>
      </c>
      <c r="Y1266" s="33">
        <f>IF(W1266="","",IF(P1266="À RENSEIGNER","GIC",P1266)&amp;"-"&amp;TEXT(W1266,"000"))</f>
        <v/>
      </c>
      <c r="Z1266" s="33">
        <f>IF(X1266="","",IFERROR(INDEX(Cl_nom,MATCH(X1266,Cl_cle,0)),"(client introuvable)"))</f>
        <v/>
      </c>
      <c r="AA1266" s="33">
        <f>IF(X1266="","",IFERROR(INDEX(Cl_quartier,MATCH(X1266,Cl_cle,0))&amp;"",""))</f>
        <v/>
      </c>
      <c r="AB1266" s="45">
        <f>IF(R1266&lt;&gt;"Livrée",0,IF(K1266&lt;&gt;"",K1266,C1266))</f>
        <v/>
      </c>
      <c r="AC1266" s="33">
        <f>IF(OR(C1266="",W1266=""),"",P1266&amp;"|"&amp;W1266&amp;"|"&amp;C1266&amp;"|"&amp;E1266)</f>
        <v/>
      </c>
      <c r="AD1266" s="39">
        <f>IF(AC1266="","",IF(COUNTIF(AC$6:AC1266,AC1266)=1,1,0))</f>
        <v/>
      </c>
      <c r="AE1266" s="39">
        <f>IF(AB1266=0,"",IF(COUNTIFS(X$6:X1266,X1266,AB$6:AB1266,AB1266)=1,1,0))</f>
        <v/>
      </c>
      <c r="AF1266" s="34">
        <f>IF(C1266="","",YEAR(C1266-WEEKDAY(C1266,2)+4)&amp;"-S"&amp;TEXT(INT((C1266-DATE(YEAR(C1266-WEEKDAY(C1266,2)+4),1,3)+WEEKDAY(DATE(YEAR(C1266-WEEKDAY(C1266,2)+4),1,3),2)+5)/7),"00"))</f>
        <v/>
      </c>
    </row>
    <row r="1267" ht="18" customHeight="1">
      <c r="A1267" s="39" t="n">
        <v>1262</v>
      </c>
      <c r="B1267" s="33">
        <f>IF(C1267="","",IF(P1267="À RENSEIGNER","GIC",P1267)&amp;"-C"&amp;TEXT(A1267,"00000"))</f>
        <v/>
      </c>
      <c r="C1267" s="32" t="n"/>
      <c r="D1267" s="36" t="n"/>
      <c r="E1267" s="36" t="n"/>
      <c r="F1267" s="36" t="n"/>
      <c r="G1267" s="42" t="n"/>
      <c r="H1267" s="37" t="n"/>
      <c r="I1267" s="37" t="n"/>
      <c r="J1267" s="32" t="n"/>
      <c r="K1267" s="32" t="n"/>
      <c r="L1267" s="43" t="n"/>
      <c r="M1267" s="36" t="n"/>
      <c r="N1267" s="44" t="n"/>
      <c r="O1267" s="36" t="n"/>
      <c r="P1267" s="33">
        <f>IF(C1267="","",Commercial_Id)</f>
        <v/>
      </c>
      <c r="Q1267" s="34">
        <f>IF(AC1267="","",IF(AD1267=1,"C"&amp;TEXT(SUM(AD$6:AD1267),"0000"),INDEX(Q$6:Q1266,MATCH(AC1267,AC$6:AC1266,0))))</f>
        <v/>
      </c>
      <c r="R1267" s="34">
        <f>IF(C1267="","",IF(L1267="☑ Oui","Annulée",IF(OR(E1267="Vente directe",K1267&lt;&gt;""),"Livrée",IF(J1267&lt;&gt;"","Confirmée","En attente"))))</f>
        <v/>
      </c>
      <c r="S1267" s="34">
        <f>IF(F1267="","",IFERROR(VLOOKUP(F1267,T_Produits,2,FALSE),""))</f>
        <v/>
      </c>
      <c r="T1267" s="40">
        <f>IF(F1267="","",IFERROR(1/(1/VLOOKUP(F1267,T_Produits,3,FALSE)),""))</f>
        <v/>
      </c>
      <c r="U1267" s="40">
        <f>IF(H1267&lt;&gt;"",H1267,T1267)</f>
        <v/>
      </c>
      <c r="V1267" s="40">
        <f>IF(OR(G1267="",U1267=""),"",G1267*U1267-N(I1267))</f>
        <v/>
      </c>
      <c r="W1267" s="39">
        <f>IF(D1267="","",IFERROR(VALUE(MID(D1267,LEN(D1267)-3,3)),""))</f>
        <v/>
      </c>
      <c r="X1267" s="33">
        <f>IF(W1267="","",P1267&amp;"|"&amp;W1267)</f>
        <v/>
      </c>
      <c r="Y1267" s="33">
        <f>IF(W1267="","",IF(P1267="À RENSEIGNER","GIC",P1267)&amp;"-"&amp;TEXT(W1267,"000"))</f>
        <v/>
      </c>
      <c r="Z1267" s="33">
        <f>IF(X1267="","",IFERROR(INDEX(Cl_nom,MATCH(X1267,Cl_cle,0)),"(client introuvable)"))</f>
        <v/>
      </c>
      <c r="AA1267" s="33">
        <f>IF(X1267="","",IFERROR(INDEX(Cl_quartier,MATCH(X1267,Cl_cle,0))&amp;"",""))</f>
        <v/>
      </c>
      <c r="AB1267" s="45">
        <f>IF(R1267&lt;&gt;"Livrée",0,IF(K1267&lt;&gt;"",K1267,C1267))</f>
        <v/>
      </c>
      <c r="AC1267" s="33">
        <f>IF(OR(C1267="",W1267=""),"",P1267&amp;"|"&amp;W1267&amp;"|"&amp;C1267&amp;"|"&amp;E1267)</f>
        <v/>
      </c>
      <c r="AD1267" s="39">
        <f>IF(AC1267="","",IF(COUNTIF(AC$6:AC1267,AC1267)=1,1,0))</f>
        <v/>
      </c>
      <c r="AE1267" s="39">
        <f>IF(AB1267=0,"",IF(COUNTIFS(X$6:X1267,X1267,AB$6:AB1267,AB1267)=1,1,0))</f>
        <v/>
      </c>
      <c r="AF1267" s="34">
        <f>IF(C1267="","",YEAR(C1267-WEEKDAY(C1267,2)+4)&amp;"-S"&amp;TEXT(INT((C1267-DATE(YEAR(C1267-WEEKDAY(C1267,2)+4),1,3)+WEEKDAY(DATE(YEAR(C1267-WEEKDAY(C1267,2)+4),1,3),2)+5)/7),"00"))</f>
        <v/>
      </c>
    </row>
    <row r="1268" ht="18" customHeight="1">
      <c r="A1268" s="39" t="n">
        <v>1263</v>
      </c>
      <c r="B1268" s="33">
        <f>IF(C1268="","",IF(P1268="À RENSEIGNER","GIC",P1268)&amp;"-C"&amp;TEXT(A1268,"00000"))</f>
        <v/>
      </c>
      <c r="C1268" s="32" t="n"/>
      <c r="D1268" s="36" t="n"/>
      <c r="E1268" s="36" t="n"/>
      <c r="F1268" s="36" t="n"/>
      <c r="G1268" s="42" t="n"/>
      <c r="H1268" s="37" t="n"/>
      <c r="I1268" s="37" t="n"/>
      <c r="J1268" s="32" t="n"/>
      <c r="K1268" s="32" t="n"/>
      <c r="L1268" s="43" t="n"/>
      <c r="M1268" s="36" t="n"/>
      <c r="N1268" s="44" t="n"/>
      <c r="O1268" s="36" t="n"/>
      <c r="P1268" s="33">
        <f>IF(C1268="","",Commercial_Id)</f>
        <v/>
      </c>
      <c r="Q1268" s="34">
        <f>IF(AC1268="","",IF(AD1268=1,"C"&amp;TEXT(SUM(AD$6:AD1268),"0000"),INDEX(Q$6:Q1267,MATCH(AC1268,AC$6:AC1267,0))))</f>
        <v/>
      </c>
      <c r="R1268" s="34">
        <f>IF(C1268="","",IF(L1268="☑ Oui","Annulée",IF(OR(E1268="Vente directe",K1268&lt;&gt;""),"Livrée",IF(J1268&lt;&gt;"","Confirmée","En attente"))))</f>
        <v/>
      </c>
      <c r="S1268" s="34">
        <f>IF(F1268="","",IFERROR(VLOOKUP(F1268,T_Produits,2,FALSE),""))</f>
        <v/>
      </c>
      <c r="T1268" s="40">
        <f>IF(F1268="","",IFERROR(1/(1/VLOOKUP(F1268,T_Produits,3,FALSE)),""))</f>
        <v/>
      </c>
      <c r="U1268" s="40">
        <f>IF(H1268&lt;&gt;"",H1268,T1268)</f>
        <v/>
      </c>
      <c r="V1268" s="40">
        <f>IF(OR(G1268="",U1268=""),"",G1268*U1268-N(I1268))</f>
        <v/>
      </c>
      <c r="W1268" s="39">
        <f>IF(D1268="","",IFERROR(VALUE(MID(D1268,LEN(D1268)-3,3)),""))</f>
        <v/>
      </c>
      <c r="X1268" s="33">
        <f>IF(W1268="","",P1268&amp;"|"&amp;W1268)</f>
        <v/>
      </c>
      <c r="Y1268" s="33">
        <f>IF(W1268="","",IF(P1268="À RENSEIGNER","GIC",P1268)&amp;"-"&amp;TEXT(W1268,"000"))</f>
        <v/>
      </c>
      <c r="Z1268" s="33">
        <f>IF(X1268="","",IFERROR(INDEX(Cl_nom,MATCH(X1268,Cl_cle,0)),"(client introuvable)"))</f>
        <v/>
      </c>
      <c r="AA1268" s="33">
        <f>IF(X1268="","",IFERROR(INDEX(Cl_quartier,MATCH(X1268,Cl_cle,0))&amp;"",""))</f>
        <v/>
      </c>
      <c r="AB1268" s="45">
        <f>IF(R1268&lt;&gt;"Livrée",0,IF(K1268&lt;&gt;"",K1268,C1268))</f>
        <v/>
      </c>
      <c r="AC1268" s="33">
        <f>IF(OR(C1268="",W1268=""),"",P1268&amp;"|"&amp;W1268&amp;"|"&amp;C1268&amp;"|"&amp;E1268)</f>
        <v/>
      </c>
      <c r="AD1268" s="39">
        <f>IF(AC1268="","",IF(COUNTIF(AC$6:AC1268,AC1268)=1,1,0))</f>
        <v/>
      </c>
      <c r="AE1268" s="39">
        <f>IF(AB1268=0,"",IF(COUNTIFS(X$6:X1268,X1268,AB$6:AB1268,AB1268)=1,1,0))</f>
        <v/>
      </c>
      <c r="AF1268" s="34">
        <f>IF(C1268="","",YEAR(C1268-WEEKDAY(C1268,2)+4)&amp;"-S"&amp;TEXT(INT((C1268-DATE(YEAR(C1268-WEEKDAY(C1268,2)+4),1,3)+WEEKDAY(DATE(YEAR(C1268-WEEKDAY(C1268,2)+4),1,3),2)+5)/7),"00"))</f>
        <v/>
      </c>
    </row>
    <row r="1269" ht="18" customHeight="1">
      <c r="A1269" s="39" t="n">
        <v>1264</v>
      </c>
      <c r="B1269" s="33">
        <f>IF(C1269="","",IF(P1269="À RENSEIGNER","GIC",P1269)&amp;"-C"&amp;TEXT(A1269,"00000"))</f>
        <v/>
      </c>
      <c r="C1269" s="32" t="n"/>
      <c r="D1269" s="36" t="n"/>
      <c r="E1269" s="36" t="n"/>
      <c r="F1269" s="36" t="n"/>
      <c r="G1269" s="42" t="n"/>
      <c r="H1269" s="37" t="n"/>
      <c r="I1269" s="37" t="n"/>
      <c r="J1269" s="32" t="n"/>
      <c r="K1269" s="32" t="n"/>
      <c r="L1269" s="43" t="n"/>
      <c r="M1269" s="36" t="n"/>
      <c r="N1269" s="44" t="n"/>
      <c r="O1269" s="36" t="n"/>
      <c r="P1269" s="33">
        <f>IF(C1269="","",Commercial_Id)</f>
        <v/>
      </c>
      <c r="Q1269" s="34">
        <f>IF(AC1269="","",IF(AD1269=1,"C"&amp;TEXT(SUM(AD$6:AD1269),"0000"),INDEX(Q$6:Q1268,MATCH(AC1269,AC$6:AC1268,0))))</f>
        <v/>
      </c>
      <c r="R1269" s="34">
        <f>IF(C1269="","",IF(L1269="☑ Oui","Annulée",IF(OR(E1269="Vente directe",K1269&lt;&gt;""),"Livrée",IF(J1269&lt;&gt;"","Confirmée","En attente"))))</f>
        <v/>
      </c>
      <c r="S1269" s="34">
        <f>IF(F1269="","",IFERROR(VLOOKUP(F1269,T_Produits,2,FALSE),""))</f>
        <v/>
      </c>
      <c r="T1269" s="40">
        <f>IF(F1269="","",IFERROR(1/(1/VLOOKUP(F1269,T_Produits,3,FALSE)),""))</f>
        <v/>
      </c>
      <c r="U1269" s="40">
        <f>IF(H1269&lt;&gt;"",H1269,T1269)</f>
        <v/>
      </c>
      <c r="V1269" s="40">
        <f>IF(OR(G1269="",U1269=""),"",G1269*U1269-N(I1269))</f>
        <v/>
      </c>
      <c r="W1269" s="39">
        <f>IF(D1269="","",IFERROR(VALUE(MID(D1269,LEN(D1269)-3,3)),""))</f>
        <v/>
      </c>
      <c r="X1269" s="33">
        <f>IF(W1269="","",P1269&amp;"|"&amp;W1269)</f>
        <v/>
      </c>
      <c r="Y1269" s="33">
        <f>IF(W1269="","",IF(P1269="À RENSEIGNER","GIC",P1269)&amp;"-"&amp;TEXT(W1269,"000"))</f>
        <v/>
      </c>
      <c r="Z1269" s="33">
        <f>IF(X1269="","",IFERROR(INDEX(Cl_nom,MATCH(X1269,Cl_cle,0)),"(client introuvable)"))</f>
        <v/>
      </c>
      <c r="AA1269" s="33">
        <f>IF(X1269="","",IFERROR(INDEX(Cl_quartier,MATCH(X1269,Cl_cle,0))&amp;"",""))</f>
        <v/>
      </c>
      <c r="AB1269" s="45">
        <f>IF(R1269&lt;&gt;"Livrée",0,IF(K1269&lt;&gt;"",K1269,C1269))</f>
        <v/>
      </c>
      <c r="AC1269" s="33">
        <f>IF(OR(C1269="",W1269=""),"",P1269&amp;"|"&amp;W1269&amp;"|"&amp;C1269&amp;"|"&amp;E1269)</f>
        <v/>
      </c>
      <c r="AD1269" s="39">
        <f>IF(AC1269="","",IF(COUNTIF(AC$6:AC1269,AC1269)=1,1,0))</f>
        <v/>
      </c>
      <c r="AE1269" s="39">
        <f>IF(AB1269=0,"",IF(COUNTIFS(X$6:X1269,X1269,AB$6:AB1269,AB1269)=1,1,0))</f>
        <v/>
      </c>
      <c r="AF1269" s="34">
        <f>IF(C1269="","",YEAR(C1269-WEEKDAY(C1269,2)+4)&amp;"-S"&amp;TEXT(INT((C1269-DATE(YEAR(C1269-WEEKDAY(C1269,2)+4),1,3)+WEEKDAY(DATE(YEAR(C1269-WEEKDAY(C1269,2)+4),1,3),2)+5)/7),"00"))</f>
        <v/>
      </c>
    </row>
    <row r="1270" ht="18" customHeight="1">
      <c r="A1270" s="39" t="n">
        <v>1265</v>
      </c>
      <c r="B1270" s="33">
        <f>IF(C1270="","",IF(P1270="À RENSEIGNER","GIC",P1270)&amp;"-C"&amp;TEXT(A1270,"00000"))</f>
        <v/>
      </c>
      <c r="C1270" s="32" t="n"/>
      <c r="D1270" s="36" t="n"/>
      <c r="E1270" s="36" t="n"/>
      <c r="F1270" s="36" t="n"/>
      <c r="G1270" s="42" t="n"/>
      <c r="H1270" s="37" t="n"/>
      <c r="I1270" s="37" t="n"/>
      <c r="J1270" s="32" t="n"/>
      <c r="K1270" s="32" t="n"/>
      <c r="L1270" s="43" t="n"/>
      <c r="M1270" s="36" t="n"/>
      <c r="N1270" s="44" t="n"/>
      <c r="O1270" s="36" t="n"/>
      <c r="P1270" s="33">
        <f>IF(C1270="","",Commercial_Id)</f>
        <v/>
      </c>
      <c r="Q1270" s="34">
        <f>IF(AC1270="","",IF(AD1270=1,"C"&amp;TEXT(SUM(AD$6:AD1270),"0000"),INDEX(Q$6:Q1269,MATCH(AC1270,AC$6:AC1269,0))))</f>
        <v/>
      </c>
      <c r="R1270" s="34">
        <f>IF(C1270="","",IF(L1270="☑ Oui","Annulée",IF(OR(E1270="Vente directe",K1270&lt;&gt;""),"Livrée",IF(J1270&lt;&gt;"","Confirmée","En attente"))))</f>
        <v/>
      </c>
      <c r="S1270" s="34">
        <f>IF(F1270="","",IFERROR(VLOOKUP(F1270,T_Produits,2,FALSE),""))</f>
        <v/>
      </c>
      <c r="T1270" s="40">
        <f>IF(F1270="","",IFERROR(1/(1/VLOOKUP(F1270,T_Produits,3,FALSE)),""))</f>
        <v/>
      </c>
      <c r="U1270" s="40">
        <f>IF(H1270&lt;&gt;"",H1270,T1270)</f>
        <v/>
      </c>
      <c r="V1270" s="40">
        <f>IF(OR(G1270="",U1270=""),"",G1270*U1270-N(I1270))</f>
        <v/>
      </c>
      <c r="W1270" s="39">
        <f>IF(D1270="","",IFERROR(VALUE(MID(D1270,LEN(D1270)-3,3)),""))</f>
        <v/>
      </c>
      <c r="X1270" s="33">
        <f>IF(W1270="","",P1270&amp;"|"&amp;W1270)</f>
        <v/>
      </c>
      <c r="Y1270" s="33">
        <f>IF(W1270="","",IF(P1270="À RENSEIGNER","GIC",P1270)&amp;"-"&amp;TEXT(W1270,"000"))</f>
        <v/>
      </c>
      <c r="Z1270" s="33">
        <f>IF(X1270="","",IFERROR(INDEX(Cl_nom,MATCH(X1270,Cl_cle,0)),"(client introuvable)"))</f>
        <v/>
      </c>
      <c r="AA1270" s="33">
        <f>IF(X1270="","",IFERROR(INDEX(Cl_quartier,MATCH(X1270,Cl_cle,0))&amp;"",""))</f>
        <v/>
      </c>
      <c r="AB1270" s="45">
        <f>IF(R1270&lt;&gt;"Livrée",0,IF(K1270&lt;&gt;"",K1270,C1270))</f>
        <v/>
      </c>
      <c r="AC1270" s="33">
        <f>IF(OR(C1270="",W1270=""),"",P1270&amp;"|"&amp;W1270&amp;"|"&amp;C1270&amp;"|"&amp;E1270)</f>
        <v/>
      </c>
      <c r="AD1270" s="39">
        <f>IF(AC1270="","",IF(COUNTIF(AC$6:AC1270,AC1270)=1,1,0))</f>
        <v/>
      </c>
      <c r="AE1270" s="39">
        <f>IF(AB1270=0,"",IF(COUNTIFS(X$6:X1270,X1270,AB$6:AB1270,AB1270)=1,1,0))</f>
        <v/>
      </c>
      <c r="AF1270" s="34">
        <f>IF(C1270="","",YEAR(C1270-WEEKDAY(C1270,2)+4)&amp;"-S"&amp;TEXT(INT((C1270-DATE(YEAR(C1270-WEEKDAY(C1270,2)+4),1,3)+WEEKDAY(DATE(YEAR(C1270-WEEKDAY(C1270,2)+4),1,3),2)+5)/7),"00"))</f>
        <v/>
      </c>
    </row>
    <row r="1271" ht="18" customHeight="1">
      <c r="A1271" s="39" t="n">
        <v>1266</v>
      </c>
      <c r="B1271" s="33">
        <f>IF(C1271="","",IF(P1271="À RENSEIGNER","GIC",P1271)&amp;"-C"&amp;TEXT(A1271,"00000"))</f>
        <v/>
      </c>
      <c r="C1271" s="32" t="n"/>
      <c r="D1271" s="36" t="n"/>
      <c r="E1271" s="36" t="n"/>
      <c r="F1271" s="36" t="n"/>
      <c r="G1271" s="42" t="n"/>
      <c r="H1271" s="37" t="n"/>
      <c r="I1271" s="37" t="n"/>
      <c r="J1271" s="32" t="n"/>
      <c r="K1271" s="32" t="n"/>
      <c r="L1271" s="43" t="n"/>
      <c r="M1271" s="36" t="n"/>
      <c r="N1271" s="44" t="n"/>
      <c r="O1271" s="36" t="n"/>
      <c r="P1271" s="33">
        <f>IF(C1271="","",Commercial_Id)</f>
        <v/>
      </c>
      <c r="Q1271" s="34">
        <f>IF(AC1271="","",IF(AD1271=1,"C"&amp;TEXT(SUM(AD$6:AD1271),"0000"),INDEX(Q$6:Q1270,MATCH(AC1271,AC$6:AC1270,0))))</f>
        <v/>
      </c>
      <c r="R1271" s="34">
        <f>IF(C1271="","",IF(L1271="☑ Oui","Annulée",IF(OR(E1271="Vente directe",K1271&lt;&gt;""),"Livrée",IF(J1271&lt;&gt;"","Confirmée","En attente"))))</f>
        <v/>
      </c>
      <c r="S1271" s="34">
        <f>IF(F1271="","",IFERROR(VLOOKUP(F1271,T_Produits,2,FALSE),""))</f>
        <v/>
      </c>
      <c r="T1271" s="40">
        <f>IF(F1271="","",IFERROR(1/(1/VLOOKUP(F1271,T_Produits,3,FALSE)),""))</f>
        <v/>
      </c>
      <c r="U1271" s="40">
        <f>IF(H1271&lt;&gt;"",H1271,T1271)</f>
        <v/>
      </c>
      <c r="V1271" s="40">
        <f>IF(OR(G1271="",U1271=""),"",G1271*U1271-N(I1271))</f>
        <v/>
      </c>
      <c r="W1271" s="39">
        <f>IF(D1271="","",IFERROR(VALUE(MID(D1271,LEN(D1271)-3,3)),""))</f>
        <v/>
      </c>
      <c r="X1271" s="33">
        <f>IF(W1271="","",P1271&amp;"|"&amp;W1271)</f>
        <v/>
      </c>
      <c r="Y1271" s="33">
        <f>IF(W1271="","",IF(P1271="À RENSEIGNER","GIC",P1271)&amp;"-"&amp;TEXT(W1271,"000"))</f>
        <v/>
      </c>
      <c r="Z1271" s="33">
        <f>IF(X1271="","",IFERROR(INDEX(Cl_nom,MATCH(X1271,Cl_cle,0)),"(client introuvable)"))</f>
        <v/>
      </c>
      <c r="AA1271" s="33">
        <f>IF(X1271="","",IFERROR(INDEX(Cl_quartier,MATCH(X1271,Cl_cle,0))&amp;"",""))</f>
        <v/>
      </c>
      <c r="AB1271" s="45">
        <f>IF(R1271&lt;&gt;"Livrée",0,IF(K1271&lt;&gt;"",K1271,C1271))</f>
        <v/>
      </c>
      <c r="AC1271" s="33">
        <f>IF(OR(C1271="",W1271=""),"",P1271&amp;"|"&amp;W1271&amp;"|"&amp;C1271&amp;"|"&amp;E1271)</f>
        <v/>
      </c>
      <c r="AD1271" s="39">
        <f>IF(AC1271="","",IF(COUNTIF(AC$6:AC1271,AC1271)=1,1,0))</f>
        <v/>
      </c>
      <c r="AE1271" s="39">
        <f>IF(AB1271=0,"",IF(COUNTIFS(X$6:X1271,X1271,AB$6:AB1271,AB1271)=1,1,0))</f>
        <v/>
      </c>
      <c r="AF1271" s="34">
        <f>IF(C1271="","",YEAR(C1271-WEEKDAY(C1271,2)+4)&amp;"-S"&amp;TEXT(INT((C1271-DATE(YEAR(C1271-WEEKDAY(C1271,2)+4),1,3)+WEEKDAY(DATE(YEAR(C1271-WEEKDAY(C1271,2)+4),1,3),2)+5)/7),"00"))</f>
        <v/>
      </c>
    </row>
    <row r="1272" ht="18" customHeight="1">
      <c r="A1272" s="39" t="n">
        <v>1267</v>
      </c>
      <c r="B1272" s="33">
        <f>IF(C1272="","",IF(P1272="À RENSEIGNER","GIC",P1272)&amp;"-C"&amp;TEXT(A1272,"00000"))</f>
        <v/>
      </c>
      <c r="C1272" s="32" t="n"/>
      <c r="D1272" s="36" t="n"/>
      <c r="E1272" s="36" t="n"/>
      <c r="F1272" s="36" t="n"/>
      <c r="G1272" s="42" t="n"/>
      <c r="H1272" s="37" t="n"/>
      <c r="I1272" s="37" t="n"/>
      <c r="J1272" s="32" t="n"/>
      <c r="K1272" s="32" t="n"/>
      <c r="L1272" s="43" t="n"/>
      <c r="M1272" s="36" t="n"/>
      <c r="N1272" s="44" t="n"/>
      <c r="O1272" s="36" t="n"/>
      <c r="P1272" s="33">
        <f>IF(C1272="","",Commercial_Id)</f>
        <v/>
      </c>
      <c r="Q1272" s="34">
        <f>IF(AC1272="","",IF(AD1272=1,"C"&amp;TEXT(SUM(AD$6:AD1272),"0000"),INDEX(Q$6:Q1271,MATCH(AC1272,AC$6:AC1271,0))))</f>
        <v/>
      </c>
      <c r="R1272" s="34">
        <f>IF(C1272="","",IF(L1272="☑ Oui","Annulée",IF(OR(E1272="Vente directe",K1272&lt;&gt;""),"Livrée",IF(J1272&lt;&gt;"","Confirmée","En attente"))))</f>
        <v/>
      </c>
      <c r="S1272" s="34">
        <f>IF(F1272="","",IFERROR(VLOOKUP(F1272,T_Produits,2,FALSE),""))</f>
        <v/>
      </c>
      <c r="T1272" s="40">
        <f>IF(F1272="","",IFERROR(1/(1/VLOOKUP(F1272,T_Produits,3,FALSE)),""))</f>
        <v/>
      </c>
      <c r="U1272" s="40">
        <f>IF(H1272&lt;&gt;"",H1272,T1272)</f>
        <v/>
      </c>
      <c r="V1272" s="40">
        <f>IF(OR(G1272="",U1272=""),"",G1272*U1272-N(I1272))</f>
        <v/>
      </c>
      <c r="W1272" s="39">
        <f>IF(D1272="","",IFERROR(VALUE(MID(D1272,LEN(D1272)-3,3)),""))</f>
        <v/>
      </c>
      <c r="X1272" s="33">
        <f>IF(W1272="","",P1272&amp;"|"&amp;W1272)</f>
        <v/>
      </c>
      <c r="Y1272" s="33">
        <f>IF(W1272="","",IF(P1272="À RENSEIGNER","GIC",P1272)&amp;"-"&amp;TEXT(W1272,"000"))</f>
        <v/>
      </c>
      <c r="Z1272" s="33">
        <f>IF(X1272="","",IFERROR(INDEX(Cl_nom,MATCH(X1272,Cl_cle,0)),"(client introuvable)"))</f>
        <v/>
      </c>
      <c r="AA1272" s="33">
        <f>IF(X1272="","",IFERROR(INDEX(Cl_quartier,MATCH(X1272,Cl_cle,0))&amp;"",""))</f>
        <v/>
      </c>
      <c r="AB1272" s="45">
        <f>IF(R1272&lt;&gt;"Livrée",0,IF(K1272&lt;&gt;"",K1272,C1272))</f>
        <v/>
      </c>
      <c r="AC1272" s="33">
        <f>IF(OR(C1272="",W1272=""),"",P1272&amp;"|"&amp;W1272&amp;"|"&amp;C1272&amp;"|"&amp;E1272)</f>
        <v/>
      </c>
      <c r="AD1272" s="39">
        <f>IF(AC1272="","",IF(COUNTIF(AC$6:AC1272,AC1272)=1,1,0))</f>
        <v/>
      </c>
      <c r="AE1272" s="39">
        <f>IF(AB1272=0,"",IF(COUNTIFS(X$6:X1272,X1272,AB$6:AB1272,AB1272)=1,1,0))</f>
        <v/>
      </c>
      <c r="AF1272" s="34">
        <f>IF(C1272="","",YEAR(C1272-WEEKDAY(C1272,2)+4)&amp;"-S"&amp;TEXT(INT((C1272-DATE(YEAR(C1272-WEEKDAY(C1272,2)+4),1,3)+WEEKDAY(DATE(YEAR(C1272-WEEKDAY(C1272,2)+4),1,3),2)+5)/7),"00"))</f>
        <v/>
      </c>
    </row>
    <row r="1273" ht="18" customHeight="1">
      <c r="A1273" s="39" t="n">
        <v>1268</v>
      </c>
      <c r="B1273" s="33">
        <f>IF(C1273="","",IF(P1273="À RENSEIGNER","GIC",P1273)&amp;"-C"&amp;TEXT(A1273,"00000"))</f>
        <v/>
      </c>
      <c r="C1273" s="32" t="n"/>
      <c r="D1273" s="36" t="n"/>
      <c r="E1273" s="36" t="n"/>
      <c r="F1273" s="36" t="n"/>
      <c r="G1273" s="42" t="n"/>
      <c r="H1273" s="37" t="n"/>
      <c r="I1273" s="37" t="n"/>
      <c r="J1273" s="32" t="n"/>
      <c r="K1273" s="32" t="n"/>
      <c r="L1273" s="43" t="n"/>
      <c r="M1273" s="36" t="n"/>
      <c r="N1273" s="44" t="n"/>
      <c r="O1273" s="36" t="n"/>
      <c r="P1273" s="33">
        <f>IF(C1273="","",Commercial_Id)</f>
        <v/>
      </c>
      <c r="Q1273" s="34">
        <f>IF(AC1273="","",IF(AD1273=1,"C"&amp;TEXT(SUM(AD$6:AD1273),"0000"),INDEX(Q$6:Q1272,MATCH(AC1273,AC$6:AC1272,0))))</f>
        <v/>
      </c>
      <c r="R1273" s="34">
        <f>IF(C1273="","",IF(L1273="☑ Oui","Annulée",IF(OR(E1273="Vente directe",K1273&lt;&gt;""),"Livrée",IF(J1273&lt;&gt;"","Confirmée","En attente"))))</f>
        <v/>
      </c>
      <c r="S1273" s="34">
        <f>IF(F1273="","",IFERROR(VLOOKUP(F1273,T_Produits,2,FALSE),""))</f>
        <v/>
      </c>
      <c r="T1273" s="40">
        <f>IF(F1273="","",IFERROR(1/(1/VLOOKUP(F1273,T_Produits,3,FALSE)),""))</f>
        <v/>
      </c>
      <c r="U1273" s="40">
        <f>IF(H1273&lt;&gt;"",H1273,T1273)</f>
        <v/>
      </c>
      <c r="V1273" s="40">
        <f>IF(OR(G1273="",U1273=""),"",G1273*U1273-N(I1273))</f>
        <v/>
      </c>
      <c r="W1273" s="39">
        <f>IF(D1273="","",IFERROR(VALUE(MID(D1273,LEN(D1273)-3,3)),""))</f>
        <v/>
      </c>
      <c r="X1273" s="33">
        <f>IF(W1273="","",P1273&amp;"|"&amp;W1273)</f>
        <v/>
      </c>
      <c r="Y1273" s="33">
        <f>IF(W1273="","",IF(P1273="À RENSEIGNER","GIC",P1273)&amp;"-"&amp;TEXT(W1273,"000"))</f>
        <v/>
      </c>
      <c r="Z1273" s="33">
        <f>IF(X1273="","",IFERROR(INDEX(Cl_nom,MATCH(X1273,Cl_cle,0)),"(client introuvable)"))</f>
        <v/>
      </c>
      <c r="AA1273" s="33">
        <f>IF(X1273="","",IFERROR(INDEX(Cl_quartier,MATCH(X1273,Cl_cle,0))&amp;"",""))</f>
        <v/>
      </c>
      <c r="AB1273" s="45">
        <f>IF(R1273&lt;&gt;"Livrée",0,IF(K1273&lt;&gt;"",K1273,C1273))</f>
        <v/>
      </c>
      <c r="AC1273" s="33">
        <f>IF(OR(C1273="",W1273=""),"",P1273&amp;"|"&amp;W1273&amp;"|"&amp;C1273&amp;"|"&amp;E1273)</f>
        <v/>
      </c>
      <c r="AD1273" s="39">
        <f>IF(AC1273="","",IF(COUNTIF(AC$6:AC1273,AC1273)=1,1,0))</f>
        <v/>
      </c>
      <c r="AE1273" s="39">
        <f>IF(AB1273=0,"",IF(COUNTIFS(X$6:X1273,X1273,AB$6:AB1273,AB1273)=1,1,0))</f>
        <v/>
      </c>
      <c r="AF1273" s="34">
        <f>IF(C1273="","",YEAR(C1273-WEEKDAY(C1273,2)+4)&amp;"-S"&amp;TEXT(INT((C1273-DATE(YEAR(C1273-WEEKDAY(C1273,2)+4),1,3)+WEEKDAY(DATE(YEAR(C1273-WEEKDAY(C1273,2)+4),1,3),2)+5)/7),"00"))</f>
        <v/>
      </c>
    </row>
    <row r="1274" ht="18" customHeight="1">
      <c r="A1274" s="39" t="n">
        <v>1269</v>
      </c>
      <c r="B1274" s="33">
        <f>IF(C1274="","",IF(P1274="À RENSEIGNER","GIC",P1274)&amp;"-C"&amp;TEXT(A1274,"00000"))</f>
        <v/>
      </c>
      <c r="C1274" s="32" t="n"/>
      <c r="D1274" s="36" t="n"/>
      <c r="E1274" s="36" t="n"/>
      <c r="F1274" s="36" t="n"/>
      <c r="G1274" s="42" t="n"/>
      <c r="H1274" s="37" t="n"/>
      <c r="I1274" s="37" t="n"/>
      <c r="J1274" s="32" t="n"/>
      <c r="K1274" s="32" t="n"/>
      <c r="L1274" s="43" t="n"/>
      <c r="M1274" s="36" t="n"/>
      <c r="N1274" s="44" t="n"/>
      <c r="O1274" s="36" t="n"/>
      <c r="P1274" s="33">
        <f>IF(C1274="","",Commercial_Id)</f>
        <v/>
      </c>
      <c r="Q1274" s="34">
        <f>IF(AC1274="","",IF(AD1274=1,"C"&amp;TEXT(SUM(AD$6:AD1274),"0000"),INDEX(Q$6:Q1273,MATCH(AC1274,AC$6:AC1273,0))))</f>
        <v/>
      </c>
      <c r="R1274" s="34">
        <f>IF(C1274="","",IF(L1274="☑ Oui","Annulée",IF(OR(E1274="Vente directe",K1274&lt;&gt;""),"Livrée",IF(J1274&lt;&gt;"","Confirmée","En attente"))))</f>
        <v/>
      </c>
      <c r="S1274" s="34">
        <f>IF(F1274="","",IFERROR(VLOOKUP(F1274,T_Produits,2,FALSE),""))</f>
        <v/>
      </c>
      <c r="T1274" s="40">
        <f>IF(F1274="","",IFERROR(1/(1/VLOOKUP(F1274,T_Produits,3,FALSE)),""))</f>
        <v/>
      </c>
      <c r="U1274" s="40">
        <f>IF(H1274&lt;&gt;"",H1274,T1274)</f>
        <v/>
      </c>
      <c r="V1274" s="40">
        <f>IF(OR(G1274="",U1274=""),"",G1274*U1274-N(I1274))</f>
        <v/>
      </c>
      <c r="W1274" s="39">
        <f>IF(D1274="","",IFERROR(VALUE(MID(D1274,LEN(D1274)-3,3)),""))</f>
        <v/>
      </c>
      <c r="X1274" s="33">
        <f>IF(W1274="","",P1274&amp;"|"&amp;W1274)</f>
        <v/>
      </c>
      <c r="Y1274" s="33">
        <f>IF(W1274="","",IF(P1274="À RENSEIGNER","GIC",P1274)&amp;"-"&amp;TEXT(W1274,"000"))</f>
        <v/>
      </c>
      <c r="Z1274" s="33">
        <f>IF(X1274="","",IFERROR(INDEX(Cl_nom,MATCH(X1274,Cl_cle,0)),"(client introuvable)"))</f>
        <v/>
      </c>
      <c r="AA1274" s="33">
        <f>IF(X1274="","",IFERROR(INDEX(Cl_quartier,MATCH(X1274,Cl_cle,0))&amp;"",""))</f>
        <v/>
      </c>
      <c r="AB1274" s="45">
        <f>IF(R1274&lt;&gt;"Livrée",0,IF(K1274&lt;&gt;"",K1274,C1274))</f>
        <v/>
      </c>
      <c r="AC1274" s="33">
        <f>IF(OR(C1274="",W1274=""),"",P1274&amp;"|"&amp;W1274&amp;"|"&amp;C1274&amp;"|"&amp;E1274)</f>
        <v/>
      </c>
      <c r="AD1274" s="39">
        <f>IF(AC1274="","",IF(COUNTIF(AC$6:AC1274,AC1274)=1,1,0))</f>
        <v/>
      </c>
      <c r="AE1274" s="39">
        <f>IF(AB1274=0,"",IF(COUNTIFS(X$6:X1274,X1274,AB$6:AB1274,AB1274)=1,1,0))</f>
        <v/>
      </c>
      <c r="AF1274" s="34">
        <f>IF(C1274="","",YEAR(C1274-WEEKDAY(C1274,2)+4)&amp;"-S"&amp;TEXT(INT((C1274-DATE(YEAR(C1274-WEEKDAY(C1274,2)+4),1,3)+WEEKDAY(DATE(YEAR(C1274-WEEKDAY(C1274,2)+4),1,3),2)+5)/7),"00"))</f>
        <v/>
      </c>
    </row>
    <row r="1275" ht="18" customHeight="1">
      <c r="A1275" s="39" t="n">
        <v>1270</v>
      </c>
      <c r="B1275" s="33">
        <f>IF(C1275="","",IF(P1275="À RENSEIGNER","GIC",P1275)&amp;"-C"&amp;TEXT(A1275,"00000"))</f>
        <v/>
      </c>
      <c r="C1275" s="32" t="n"/>
      <c r="D1275" s="36" t="n"/>
      <c r="E1275" s="36" t="n"/>
      <c r="F1275" s="36" t="n"/>
      <c r="G1275" s="42" t="n"/>
      <c r="H1275" s="37" t="n"/>
      <c r="I1275" s="37" t="n"/>
      <c r="J1275" s="32" t="n"/>
      <c r="K1275" s="32" t="n"/>
      <c r="L1275" s="43" t="n"/>
      <c r="M1275" s="36" t="n"/>
      <c r="N1275" s="44" t="n"/>
      <c r="O1275" s="36" t="n"/>
      <c r="P1275" s="33">
        <f>IF(C1275="","",Commercial_Id)</f>
        <v/>
      </c>
      <c r="Q1275" s="34">
        <f>IF(AC1275="","",IF(AD1275=1,"C"&amp;TEXT(SUM(AD$6:AD1275),"0000"),INDEX(Q$6:Q1274,MATCH(AC1275,AC$6:AC1274,0))))</f>
        <v/>
      </c>
      <c r="R1275" s="34">
        <f>IF(C1275="","",IF(L1275="☑ Oui","Annulée",IF(OR(E1275="Vente directe",K1275&lt;&gt;""),"Livrée",IF(J1275&lt;&gt;"","Confirmée","En attente"))))</f>
        <v/>
      </c>
      <c r="S1275" s="34">
        <f>IF(F1275="","",IFERROR(VLOOKUP(F1275,T_Produits,2,FALSE),""))</f>
        <v/>
      </c>
      <c r="T1275" s="40">
        <f>IF(F1275="","",IFERROR(1/(1/VLOOKUP(F1275,T_Produits,3,FALSE)),""))</f>
        <v/>
      </c>
      <c r="U1275" s="40">
        <f>IF(H1275&lt;&gt;"",H1275,T1275)</f>
        <v/>
      </c>
      <c r="V1275" s="40">
        <f>IF(OR(G1275="",U1275=""),"",G1275*U1275-N(I1275))</f>
        <v/>
      </c>
      <c r="W1275" s="39">
        <f>IF(D1275="","",IFERROR(VALUE(MID(D1275,LEN(D1275)-3,3)),""))</f>
        <v/>
      </c>
      <c r="X1275" s="33">
        <f>IF(W1275="","",P1275&amp;"|"&amp;W1275)</f>
        <v/>
      </c>
      <c r="Y1275" s="33">
        <f>IF(W1275="","",IF(P1275="À RENSEIGNER","GIC",P1275)&amp;"-"&amp;TEXT(W1275,"000"))</f>
        <v/>
      </c>
      <c r="Z1275" s="33">
        <f>IF(X1275="","",IFERROR(INDEX(Cl_nom,MATCH(X1275,Cl_cle,0)),"(client introuvable)"))</f>
        <v/>
      </c>
      <c r="AA1275" s="33">
        <f>IF(X1275="","",IFERROR(INDEX(Cl_quartier,MATCH(X1275,Cl_cle,0))&amp;"",""))</f>
        <v/>
      </c>
      <c r="AB1275" s="45">
        <f>IF(R1275&lt;&gt;"Livrée",0,IF(K1275&lt;&gt;"",K1275,C1275))</f>
        <v/>
      </c>
      <c r="AC1275" s="33">
        <f>IF(OR(C1275="",W1275=""),"",P1275&amp;"|"&amp;W1275&amp;"|"&amp;C1275&amp;"|"&amp;E1275)</f>
        <v/>
      </c>
      <c r="AD1275" s="39">
        <f>IF(AC1275="","",IF(COUNTIF(AC$6:AC1275,AC1275)=1,1,0))</f>
        <v/>
      </c>
      <c r="AE1275" s="39">
        <f>IF(AB1275=0,"",IF(COUNTIFS(X$6:X1275,X1275,AB$6:AB1275,AB1275)=1,1,0))</f>
        <v/>
      </c>
      <c r="AF1275" s="34">
        <f>IF(C1275="","",YEAR(C1275-WEEKDAY(C1275,2)+4)&amp;"-S"&amp;TEXT(INT((C1275-DATE(YEAR(C1275-WEEKDAY(C1275,2)+4),1,3)+WEEKDAY(DATE(YEAR(C1275-WEEKDAY(C1275,2)+4),1,3),2)+5)/7),"00"))</f>
        <v/>
      </c>
    </row>
    <row r="1276" ht="18" customHeight="1">
      <c r="A1276" s="39" t="n">
        <v>1271</v>
      </c>
      <c r="B1276" s="33">
        <f>IF(C1276="","",IF(P1276="À RENSEIGNER","GIC",P1276)&amp;"-C"&amp;TEXT(A1276,"00000"))</f>
        <v/>
      </c>
      <c r="C1276" s="32" t="n"/>
      <c r="D1276" s="36" t="n"/>
      <c r="E1276" s="36" t="n"/>
      <c r="F1276" s="36" t="n"/>
      <c r="G1276" s="42" t="n"/>
      <c r="H1276" s="37" t="n"/>
      <c r="I1276" s="37" t="n"/>
      <c r="J1276" s="32" t="n"/>
      <c r="K1276" s="32" t="n"/>
      <c r="L1276" s="43" t="n"/>
      <c r="M1276" s="36" t="n"/>
      <c r="N1276" s="44" t="n"/>
      <c r="O1276" s="36" t="n"/>
      <c r="P1276" s="33">
        <f>IF(C1276="","",Commercial_Id)</f>
        <v/>
      </c>
      <c r="Q1276" s="34">
        <f>IF(AC1276="","",IF(AD1276=1,"C"&amp;TEXT(SUM(AD$6:AD1276),"0000"),INDEX(Q$6:Q1275,MATCH(AC1276,AC$6:AC1275,0))))</f>
        <v/>
      </c>
      <c r="R1276" s="34">
        <f>IF(C1276="","",IF(L1276="☑ Oui","Annulée",IF(OR(E1276="Vente directe",K1276&lt;&gt;""),"Livrée",IF(J1276&lt;&gt;"","Confirmée","En attente"))))</f>
        <v/>
      </c>
      <c r="S1276" s="34">
        <f>IF(F1276="","",IFERROR(VLOOKUP(F1276,T_Produits,2,FALSE),""))</f>
        <v/>
      </c>
      <c r="T1276" s="40">
        <f>IF(F1276="","",IFERROR(1/(1/VLOOKUP(F1276,T_Produits,3,FALSE)),""))</f>
        <v/>
      </c>
      <c r="U1276" s="40">
        <f>IF(H1276&lt;&gt;"",H1276,T1276)</f>
        <v/>
      </c>
      <c r="V1276" s="40">
        <f>IF(OR(G1276="",U1276=""),"",G1276*U1276-N(I1276))</f>
        <v/>
      </c>
      <c r="W1276" s="39">
        <f>IF(D1276="","",IFERROR(VALUE(MID(D1276,LEN(D1276)-3,3)),""))</f>
        <v/>
      </c>
      <c r="X1276" s="33">
        <f>IF(W1276="","",P1276&amp;"|"&amp;W1276)</f>
        <v/>
      </c>
      <c r="Y1276" s="33">
        <f>IF(W1276="","",IF(P1276="À RENSEIGNER","GIC",P1276)&amp;"-"&amp;TEXT(W1276,"000"))</f>
        <v/>
      </c>
      <c r="Z1276" s="33">
        <f>IF(X1276="","",IFERROR(INDEX(Cl_nom,MATCH(X1276,Cl_cle,0)),"(client introuvable)"))</f>
        <v/>
      </c>
      <c r="AA1276" s="33">
        <f>IF(X1276="","",IFERROR(INDEX(Cl_quartier,MATCH(X1276,Cl_cle,0))&amp;"",""))</f>
        <v/>
      </c>
      <c r="AB1276" s="45">
        <f>IF(R1276&lt;&gt;"Livrée",0,IF(K1276&lt;&gt;"",K1276,C1276))</f>
        <v/>
      </c>
      <c r="AC1276" s="33">
        <f>IF(OR(C1276="",W1276=""),"",P1276&amp;"|"&amp;W1276&amp;"|"&amp;C1276&amp;"|"&amp;E1276)</f>
        <v/>
      </c>
      <c r="AD1276" s="39">
        <f>IF(AC1276="","",IF(COUNTIF(AC$6:AC1276,AC1276)=1,1,0))</f>
        <v/>
      </c>
      <c r="AE1276" s="39">
        <f>IF(AB1276=0,"",IF(COUNTIFS(X$6:X1276,X1276,AB$6:AB1276,AB1276)=1,1,0))</f>
        <v/>
      </c>
      <c r="AF1276" s="34">
        <f>IF(C1276="","",YEAR(C1276-WEEKDAY(C1276,2)+4)&amp;"-S"&amp;TEXT(INT((C1276-DATE(YEAR(C1276-WEEKDAY(C1276,2)+4),1,3)+WEEKDAY(DATE(YEAR(C1276-WEEKDAY(C1276,2)+4),1,3),2)+5)/7),"00"))</f>
        <v/>
      </c>
    </row>
    <row r="1277" ht="18" customHeight="1">
      <c r="A1277" s="39" t="n">
        <v>1272</v>
      </c>
      <c r="B1277" s="33">
        <f>IF(C1277="","",IF(P1277="À RENSEIGNER","GIC",P1277)&amp;"-C"&amp;TEXT(A1277,"00000"))</f>
        <v/>
      </c>
      <c r="C1277" s="32" t="n"/>
      <c r="D1277" s="36" t="n"/>
      <c r="E1277" s="36" t="n"/>
      <c r="F1277" s="36" t="n"/>
      <c r="G1277" s="42" t="n"/>
      <c r="H1277" s="37" t="n"/>
      <c r="I1277" s="37" t="n"/>
      <c r="J1277" s="32" t="n"/>
      <c r="K1277" s="32" t="n"/>
      <c r="L1277" s="43" t="n"/>
      <c r="M1277" s="36" t="n"/>
      <c r="N1277" s="44" t="n"/>
      <c r="O1277" s="36" t="n"/>
      <c r="P1277" s="33">
        <f>IF(C1277="","",Commercial_Id)</f>
        <v/>
      </c>
      <c r="Q1277" s="34">
        <f>IF(AC1277="","",IF(AD1277=1,"C"&amp;TEXT(SUM(AD$6:AD1277),"0000"),INDEX(Q$6:Q1276,MATCH(AC1277,AC$6:AC1276,0))))</f>
        <v/>
      </c>
      <c r="R1277" s="34">
        <f>IF(C1277="","",IF(L1277="☑ Oui","Annulée",IF(OR(E1277="Vente directe",K1277&lt;&gt;""),"Livrée",IF(J1277&lt;&gt;"","Confirmée","En attente"))))</f>
        <v/>
      </c>
      <c r="S1277" s="34">
        <f>IF(F1277="","",IFERROR(VLOOKUP(F1277,T_Produits,2,FALSE),""))</f>
        <v/>
      </c>
      <c r="T1277" s="40">
        <f>IF(F1277="","",IFERROR(1/(1/VLOOKUP(F1277,T_Produits,3,FALSE)),""))</f>
        <v/>
      </c>
      <c r="U1277" s="40">
        <f>IF(H1277&lt;&gt;"",H1277,T1277)</f>
        <v/>
      </c>
      <c r="V1277" s="40">
        <f>IF(OR(G1277="",U1277=""),"",G1277*U1277-N(I1277))</f>
        <v/>
      </c>
      <c r="W1277" s="39">
        <f>IF(D1277="","",IFERROR(VALUE(MID(D1277,LEN(D1277)-3,3)),""))</f>
        <v/>
      </c>
      <c r="X1277" s="33">
        <f>IF(W1277="","",P1277&amp;"|"&amp;W1277)</f>
        <v/>
      </c>
      <c r="Y1277" s="33">
        <f>IF(W1277="","",IF(P1277="À RENSEIGNER","GIC",P1277)&amp;"-"&amp;TEXT(W1277,"000"))</f>
        <v/>
      </c>
      <c r="Z1277" s="33">
        <f>IF(X1277="","",IFERROR(INDEX(Cl_nom,MATCH(X1277,Cl_cle,0)),"(client introuvable)"))</f>
        <v/>
      </c>
      <c r="AA1277" s="33">
        <f>IF(X1277="","",IFERROR(INDEX(Cl_quartier,MATCH(X1277,Cl_cle,0))&amp;"",""))</f>
        <v/>
      </c>
      <c r="AB1277" s="45">
        <f>IF(R1277&lt;&gt;"Livrée",0,IF(K1277&lt;&gt;"",K1277,C1277))</f>
        <v/>
      </c>
      <c r="AC1277" s="33">
        <f>IF(OR(C1277="",W1277=""),"",P1277&amp;"|"&amp;W1277&amp;"|"&amp;C1277&amp;"|"&amp;E1277)</f>
        <v/>
      </c>
      <c r="AD1277" s="39">
        <f>IF(AC1277="","",IF(COUNTIF(AC$6:AC1277,AC1277)=1,1,0))</f>
        <v/>
      </c>
      <c r="AE1277" s="39">
        <f>IF(AB1277=0,"",IF(COUNTIFS(X$6:X1277,X1277,AB$6:AB1277,AB1277)=1,1,0))</f>
        <v/>
      </c>
      <c r="AF1277" s="34">
        <f>IF(C1277="","",YEAR(C1277-WEEKDAY(C1277,2)+4)&amp;"-S"&amp;TEXT(INT((C1277-DATE(YEAR(C1277-WEEKDAY(C1277,2)+4),1,3)+WEEKDAY(DATE(YEAR(C1277-WEEKDAY(C1277,2)+4),1,3),2)+5)/7),"00"))</f>
        <v/>
      </c>
    </row>
    <row r="1278" ht="18" customHeight="1">
      <c r="A1278" s="39" t="n">
        <v>1273</v>
      </c>
      <c r="B1278" s="33">
        <f>IF(C1278="","",IF(P1278="À RENSEIGNER","GIC",P1278)&amp;"-C"&amp;TEXT(A1278,"00000"))</f>
        <v/>
      </c>
      <c r="C1278" s="32" t="n"/>
      <c r="D1278" s="36" t="n"/>
      <c r="E1278" s="36" t="n"/>
      <c r="F1278" s="36" t="n"/>
      <c r="G1278" s="42" t="n"/>
      <c r="H1278" s="37" t="n"/>
      <c r="I1278" s="37" t="n"/>
      <c r="J1278" s="32" t="n"/>
      <c r="K1278" s="32" t="n"/>
      <c r="L1278" s="43" t="n"/>
      <c r="M1278" s="36" t="n"/>
      <c r="N1278" s="44" t="n"/>
      <c r="O1278" s="36" t="n"/>
      <c r="P1278" s="33">
        <f>IF(C1278="","",Commercial_Id)</f>
        <v/>
      </c>
      <c r="Q1278" s="34">
        <f>IF(AC1278="","",IF(AD1278=1,"C"&amp;TEXT(SUM(AD$6:AD1278),"0000"),INDEX(Q$6:Q1277,MATCH(AC1278,AC$6:AC1277,0))))</f>
        <v/>
      </c>
      <c r="R1278" s="34">
        <f>IF(C1278="","",IF(L1278="☑ Oui","Annulée",IF(OR(E1278="Vente directe",K1278&lt;&gt;""),"Livrée",IF(J1278&lt;&gt;"","Confirmée","En attente"))))</f>
        <v/>
      </c>
      <c r="S1278" s="34">
        <f>IF(F1278="","",IFERROR(VLOOKUP(F1278,T_Produits,2,FALSE),""))</f>
        <v/>
      </c>
      <c r="T1278" s="40">
        <f>IF(F1278="","",IFERROR(1/(1/VLOOKUP(F1278,T_Produits,3,FALSE)),""))</f>
        <v/>
      </c>
      <c r="U1278" s="40">
        <f>IF(H1278&lt;&gt;"",H1278,T1278)</f>
        <v/>
      </c>
      <c r="V1278" s="40">
        <f>IF(OR(G1278="",U1278=""),"",G1278*U1278-N(I1278))</f>
        <v/>
      </c>
      <c r="W1278" s="39">
        <f>IF(D1278="","",IFERROR(VALUE(MID(D1278,LEN(D1278)-3,3)),""))</f>
        <v/>
      </c>
      <c r="X1278" s="33">
        <f>IF(W1278="","",P1278&amp;"|"&amp;W1278)</f>
        <v/>
      </c>
      <c r="Y1278" s="33">
        <f>IF(W1278="","",IF(P1278="À RENSEIGNER","GIC",P1278)&amp;"-"&amp;TEXT(W1278,"000"))</f>
        <v/>
      </c>
      <c r="Z1278" s="33">
        <f>IF(X1278="","",IFERROR(INDEX(Cl_nom,MATCH(X1278,Cl_cle,0)),"(client introuvable)"))</f>
        <v/>
      </c>
      <c r="AA1278" s="33">
        <f>IF(X1278="","",IFERROR(INDEX(Cl_quartier,MATCH(X1278,Cl_cle,0))&amp;"",""))</f>
        <v/>
      </c>
      <c r="AB1278" s="45">
        <f>IF(R1278&lt;&gt;"Livrée",0,IF(K1278&lt;&gt;"",K1278,C1278))</f>
        <v/>
      </c>
      <c r="AC1278" s="33">
        <f>IF(OR(C1278="",W1278=""),"",P1278&amp;"|"&amp;W1278&amp;"|"&amp;C1278&amp;"|"&amp;E1278)</f>
        <v/>
      </c>
      <c r="AD1278" s="39">
        <f>IF(AC1278="","",IF(COUNTIF(AC$6:AC1278,AC1278)=1,1,0))</f>
        <v/>
      </c>
      <c r="AE1278" s="39">
        <f>IF(AB1278=0,"",IF(COUNTIFS(X$6:X1278,X1278,AB$6:AB1278,AB1278)=1,1,0))</f>
        <v/>
      </c>
      <c r="AF1278" s="34">
        <f>IF(C1278="","",YEAR(C1278-WEEKDAY(C1278,2)+4)&amp;"-S"&amp;TEXT(INT((C1278-DATE(YEAR(C1278-WEEKDAY(C1278,2)+4),1,3)+WEEKDAY(DATE(YEAR(C1278-WEEKDAY(C1278,2)+4),1,3),2)+5)/7),"00"))</f>
        <v/>
      </c>
    </row>
    <row r="1279" ht="18" customHeight="1">
      <c r="A1279" s="39" t="n">
        <v>1274</v>
      </c>
      <c r="B1279" s="33">
        <f>IF(C1279="","",IF(P1279="À RENSEIGNER","GIC",P1279)&amp;"-C"&amp;TEXT(A1279,"00000"))</f>
        <v/>
      </c>
      <c r="C1279" s="32" t="n"/>
      <c r="D1279" s="36" t="n"/>
      <c r="E1279" s="36" t="n"/>
      <c r="F1279" s="36" t="n"/>
      <c r="G1279" s="42" t="n"/>
      <c r="H1279" s="37" t="n"/>
      <c r="I1279" s="37" t="n"/>
      <c r="J1279" s="32" t="n"/>
      <c r="K1279" s="32" t="n"/>
      <c r="L1279" s="43" t="n"/>
      <c r="M1279" s="36" t="n"/>
      <c r="N1279" s="44" t="n"/>
      <c r="O1279" s="36" t="n"/>
      <c r="P1279" s="33">
        <f>IF(C1279="","",Commercial_Id)</f>
        <v/>
      </c>
      <c r="Q1279" s="34">
        <f>IF(AC1279="","",IF(AD1279=1,"C"&amp;TEXT(SUM(AD$6:AD1279),"0000"),INDEX(Q$6:Q1278,MATCH(AC1279,AC$6:AC1278,0))))</f>
        <v/>
      </c>
      <c r="R1279" s="34">
        <f>IF(C1279="","",IF(L1279="☑ Oui","Annulée",IF(OR(E1279="Vente directe",K1279&lt;&gt;""),"Livrée",IF(J1279&lt;&gt;"","Confirmée","En attente"))))</f>
        <v/>
      </c>
      <c r="S1279" s="34">
        <f>IF(F1279="","",IFERROR(VLOOKUP(F1279,T_Produits,2,FALSE),""))</f>
        <v/>
      </c>
      <c r="T1279" s="40">
        <f>IF(F1279="","",IFERROR(1/(1/VLOOKUP(F1279,T_Produits,3,FALSE)),""))</f>
        <v/>
      </c>
      <c r="U1279" s="40">
        <f>IF(H1279&lt;&gt;"",H1279,T1279)</f>
        <v/>
      </c>
      <c r="V1279" s="40">
        <f>IF(OR(G1279="",U1279=""),"",G1279*U1279-N(I1279))</f>
        <v/>
      </c>
      <c r="W1279" s="39">
        <f>IF(D1279="","",IFERROR(VALUE(MID(D1279,LEN(D1279)-3,3)),""))</f>
        <v/>
      </c>
      <c r="X1279" s="33">
        <f>IF(W1279="","",P1279&amp;"|"&amp;W1279)</f>
        <v/>
      </c>
      <c r="Y1279" s="33">
        <f>IF(W1279="","",IF(P1279="À RENSEIGNER","GIC",P1279)&amp;"-"&amp;TEXT(W1279,"000"))</f>
        <v/>
      </c>
      <c r="Z1279" s="33">
        <f>IF(X1279="","",IFERROR(INDEX(Cl_nom,MATCH(X1279,Cl_cle,0)),"(client introuvable)"))</f>
        <v/>
      </c>
      <c r="AA1279" s="33">
        <f>IF(X1279="","",IFERROR(INDEX(Cl_quartier,MATCH(X1279,Cl_cle,0))&amp;"",""))</f>
        <v/>
      </c>
      <c r="AB1279" s="45">
        <f>IF(R1279&lt;&gt;"Livrée",0,IF(K1279&lt;&gt;"",K1279,C1279))</f>
        <v/>
      </c>
      <c r="AC1279" s="33">
        <f>IF(OR(C1279="",W1279=""),"",P1279&amp;"|"&amp;W1279&amp;"|"&amp;C1279&amp;"|"&amp;E1279)</f>
        <v/>
      </c>
      <c r="AD1279" s="39">
        <f>IF(AC1279="","",IF(COUNTIF(AC$6:AC1279,AC1279)=1,1,0))</f>
        <v/>
      </c>
      <c r="AE1279" s="39">
        <f>IF(AB1279=0,"",IF(COUNTIFS(X$6:X1279,X1279,AB$6:AB1279,AB1279)=1,1,0))</f>
        <v/>
      </c>
      <c r="AF1279" s="34">
        <f>IF(C1279="","",YEAR(C1279-WEEKDAY(C1279,2)+4)&amp;"-S"&amp;TEXT(INT((C1279-DATE(YEAR(C1279-WEEKDAY(C1279,2)+4),1,3)+WEEKDAY(DATE(YEAR(C1279-WEEKDAY(C1279,2)+4),1,3),2)+5)/7),"00"))</f>
        <v/>
      </c>
    </row>
    <row r="1280" ht="18" customHeight="1">
      <c r="A1280" s="39" t="n">
        <v>1275</v>
      </c>
      <c r="B1280" s="33">
        <f>IF(C1280="","",IF(P1280="À RENSEIGNER","GIC",P1280)&amp;"-C"&amp;TEXT(A1280,"00000"))</f>
        <v/>
      </c>
      <c r="C1280" s="32" t="n"/>
      <c r="D1280" s="36" t="n"/>
      <c r="E1280" s="36" t="n"/>
      <c r="F1280" s="36" t="n"/>
      <c r="G1280" s="42" t="n"/>
      <c r="H1280" s="37" t="n"/>
      <c r="I1280" s="37" t="n"/>
      <c r="J1280" s="32" t="n"/>
      <c r="K1280" s="32" t="n"/>
      <c r="L1280" s="43" t="n"/>
      <c r="M1280" s="36" t="n"/>
      <c r="N1280" s="44" t="n"/>
      <c r="O1280" s="36" t="n"/>
      <c r="P1280" s="33">
        <f>IF(C1280="","",Commercial_Id)</f>
        <v/>
      </c>
      <c r="Q1280" s="34">
        <f>IF(AC1280="","",IF(AD1280=1,"C"&amp;TEXT(SUM(AD$6:AD1280),"0000"),INDEX(Q$6:Q1279,MATCH(AC1280,AC$6:AC1279,0))))</f>
        <v/>
      </c>
      <c r="R1280" s="34">
        <f>IF(C1280="","",IF(L1280="☑ Oui","Annulée",IF(OR(E1280="Vente directe",K1280&lt;&gt;""),"Livrée",IF(J1280&lt;&gt;"","Confirmée","En attente"))))</f>
        <v/>
      </c>
      <c r="S1280" s="34">
        <f>IF(F1280="","",IFERROR(VLOOKUP(F1280,T_Produits,2,FALSE),""))</f>
        <v/>
      </c>
      <c r="T1280" s="40">
        <f>IF(F1280="","",IFERROR(1/(1/VLOOKUP(F1280,T_Produits,3,FALSE)),""))</f>
        <v/>
      </c>
      <c r="U1280" s="40">
        <f>IF(H1280&lt;&gt;"",H1280,T1280)</f>
        <v/>
      </c>
      <c r="V1280" s="40">
        <f>IF(OR(G1280="",U1280=""),"",G1280*U1280-N(I1280))</f>
        <v/>
      </c>
      <c r="W1280" s="39">
        <f>IF(D1280="","",IFERROR(VALUE(MID(D1280,LEN(D1280)-3,3)),""))</f>
        <v/>
      </c>
      <c r="X1280" s="33">
        <f>IF(W1280="","",P1280&amp;"|"&amp;W1280)</f>
        <v/>
      </c>
      <c r="Y1280" s="33">
        <f>IF(W1280="","",IF(P1280="À RENSEIGNER","GIC",P1280)&amp;"-"&amp;TEXT(W1280,"000"))</f>
        <v/>
      </c>
      <c r="Z1280" s="33">
        <f>IF(X1280="","",IFERROR(INDEX(Cl_nom,MATCH(X1280,Cl_cle,0)),"(client introuvable)"))</f>
        <v/>
      </c>
      <c r="AA1280" s="33">
        <f>IF(X1280="","",IFERROR(INDEX(Cl_quartier,MATCH(X1280,Cl_cle,0))&amp;"",""))</f>
        <v/>
      </c>
      <c r="AB1280" s="45">
        <f>IF(R1280&lt;&gt;"Livrée",0,IF(K1280&lt;&gt;"",K1280,C1280))</f>
        <v/>
      </c>
      <c r="AC1280" s="33">
        <f>IF(OR(C1280="",W1280=""),"",P1280&amp;"|"&amp;W1280&amp;"|"&amp;C1280&amp;"|"&amp;E1280)</f>
        <v/>
      </c>
      <c r="AD1280" s="39">
        <f>IF(AC1280="","",IF(COUNTIF(AC$6:AC1280,AC1280)=1,1,0))</f>
        <v/>
      </c>
      <c r="AE1280" s="39">
        <f>IF(AB1280=0,"",IF(COUNTIFS(X$6:X1280,X1280,AB$6:AB1280,AB1280)=1,1,0))</f>
        <v/>
      </c>
      <c r="AF1280" s="34">
        <f>IF(C1280="","",YEAR(C1280-WEEKDAY(C1280,2)+4)&amp;"-S"&amp;TEXT(INT((C1280-DATE(YEAR(C1280-WEEKDAY(C1280,2)+4),1,3)+WEEKDAY(DATE(YEAR(C1280-WEEKDAY(C1280,2)+4),1,3),2)+5)/7),"00"))</f>
        <v/>
      </c>
    </row>
    <row r="1281" ht="18" customHeight="1">
      <c r="A1281" s="39" t="n">
        <v>1276</v>
      </c>
      <c r="B1281" s="33">
        <f>IF(C1281="","",IF(P1281="À RENSEIGNER","GIC",P1281)&amp;"-C"&amp;TEXT(A1281,"00000"))</f>
        <v/>
      </c>
      <c r="C1281" s="32" t="n"/>
      <c r="D1281" s="36" t="n"/>
      <c r="E1281" s="36" t="n"/>
      <c r="F1281" s="36" t="n"/>
      <c r="G1281" s="42" t="n"/>
      <c r="H1281" s="37" t="n"/>
      <c r="I1281" s="37" t="n"/>
      <c r="J1281" s="32" t="n"/>
      <c r="K1281" s="32" t="n"/>
      <c r="L1281" s="43" t="n"/>
      <c r="M1281" s="36" t="n"/>
      <c r="N1281" s="44" t="n"/>
      <c r="O1281" s="36" t="n"/>
      <c r="P1281" s="33">
        <f>IF(C1281="","",Commercial_Id)</f>
        <v/>
      </c>
      <c r="Q1281" s="34">
        <f>IF(AC1281="","",IF(AD1281=1,"C"&amp;TEXT(SUM(AD$6:AD1281),"0000"),INDEX(Q$6:Q1280,MATCH(AC1281,AC$6:AC1280,0))))</f>
        <v/>
      </c>
      <c r="R1281" s="34">
        <f>IF(C1281="","",IF(L1281="☑ Oui","Annulée",IF(OR(E1281="Vente directe",K1281&lt;&gt;""),"Livrée",IF(J1281&lt;&gt;"","Confirmée","En attente"))))</f>
        <v/>
      </c>
      <c r="S1281" s="34">
        <f>IF(F1281="","",IFERROR(VLOOKUP(F1281,T_Produits,2,FALSE),""))</f>
        <v/>
      </c>
      <c r="T1281" s="40">
        <f>IF(F1281="","",IFERROR(1/(1/VLOOKUP(F1281,T_Produits,3,FALSE)),""))</f>
        <v/>
      </c>
      <c r="U1281" s="40">
        <f>IF(H1281&lt;&gt;"",H1281,T1281)</f>
        <v/>
      </c>
      <c r="V1281" s="40">
        <f>IF(OR(G1281="",U1281=""),"",G1281*U1281-N(I1281))</f>
        <v/>
      </c>
      <c r="W1281" s="39">
        <f>IF(D1281="","",IFERROR(VALUE(MID(D1281,LEN(D1281)-3,3)),""))</f>
        <v/>
      </c>
      <c r="X1281" s="33">
        <f>IF(W1281="","",P1281&amp;"|"&amp;W1281)</f>
        <v/>
      </c>
      <c r="Y1281" s="33">
        <f>IF(W1281="","",IF(P1281="À RENSEIGNER","GIC",P1281)&amp;"-"&amp;TEXT(W1281,"000"))</f>
        <v/>
      </c>
      <c r="Z1281" s="33">
        <f>IF(X1281="","",IFERROR(INDEX(Cl_nom,MATCH(X1281,Cl_cle,0)),"(client introuvable)"))</f>
        <v/>
      </c>
      <c r="AA1281" s="33">
        <f>IF(X1281="","",IFERROR(INDEX(Cl_quartier,MATCH(X1281,Cl_cle,0))&amp;"",""))</f>
        <v/>
      </c>
      <c r="AB1281" s="45">
        <f>IF(R1281&lt;&gt;"Livrée",0,IF(K1281&lt;&gt;"",K1281,C1281))</f>
        <v/>
      </c>
      <c r="AC1281" s="33">
        <f>IF(OR(C1281="",W1281=""),"",P1281&amp;"|"&amp;W1281&amp;"|"&amp;C1281&amp;"|"&amp;E1281)</f>
        <v/>
      </c>
      <c r="AD1281" s="39">
        <f>IF(AC1281="","",IF(COUNTIF(AC$6:AC1281,AC1281)=1,1,0))</f>
        <v/>
      </c>
      <c r="AE1281" s="39">
        <f>IF(AB1281=0,"",IF(COUNTIFS(X$6:X1281,X1281,AB$6:AB1281,AB1281)=1,1,0))</f>
        <v/>
      </c>
      <c r="AF1281" s="34">
        <f>IF(C1281="","",YEAR(C1281-WEEKDAY(C1281,2)+4)&amp;"-S"&amp;TEXT(INT((C1281-DATE(YEAR(C1281-WEEKDAY(C1281,2)+4),1,3)+WEEKDAY(DATE(YEAR(C1281-WEEKDAY(C1281,2)+4),1,3),2)+5)/7),"00"))</f>
        <v/>
      </c>
    </row>
    <row r="1282" ht="18" customHeight="1">
      <c r="A1282" s="39" t="n">
        <v>1277</v>
      </c>
      <c r="B1282" s="33">
        <f>IF(C1282="","",IF(P1282="À RENSEIGNER","GIC",P1282)&amp;"-C"&amp;TEXT(A1282,"00000"))</f>
        <v/>
      </c>
      <c r="C1282" s="32" t="n"/>
      <c r="D1282" s="36" t="n"/>
      <c r="E1282" s="36" t="n"/>
      <c r="F1282" s="36" t="n"/>
      <c r="G1282" s="42" t="n"/>
      <c r="H1282" s="37" t="n"/>
      <c r="I1282" s="37" t="n"/>
      <c r="J1282" s="32" t="n"/>
      <c r="K1282" s="32" t="n"/>
      <c r="L1282" s="43" t="n"/>
      <c r="M1282" s="36" t="n"/>
      <c r="N1282" s="44" t="n"/>
      <c r="O1282" s="36" t="n"/>
      <c r="P1282" s="33">
        <f>IF(C1282="","",Commercial_Id)</f>
        <v/>
      </c>
      <c r="Q1282" s="34">
        <f>IF(AC1282="","",IF(AD1282=1,"C"&amp;TEXT(SUM(AD$6:AD1282),"0000"),INDEX(Q$6:Q1281,MATCH(AC1282,AC$6:AC1281,0))))</f>
        <v/>
      </c>
      <c r="R1282" s="34">
        <f>IF(C1282="","",IF(L1282="☑ Oui","Annulée",IF(OR(E1282="Vente directe",K1282&lt;&gt;""),"Livrée",IF(J1282&lt;&gt;"","Confirmée","En attente"))))</f>
        <v/>
      </c>
      <c r="S1282" s="34">
        <f>IF(F1282="","",IFERROR(VLOOKUP(F1282,T_Produits,2,FALSE),""))</f>
        <v/>
      </c>
      <c r="T1282" s="40">
        <f>IF(F1282="","",IFERROR(1/(1/VLOOKUP(F1282,T_Produits,3,FALSE)),""))</f>
        <v/>
      </c>
      <c r="U1282" s="40">
        <f>IF(H1282&lt;&gt;"",H1282,T1282)</f>
        <v/>
      </c>
      <c r="V1282" s="40">
        <f>IF(OR(G1282="",U1282=""),"",G1282*U1282-N(I1282))</f>
        <v/>
      </c>
      <c r="W1282" s="39">
        <f>IF(D1282="","",IFERROR(VALUE(MID(D1282,LEN(D1282)-3,3)),""))</f>
        <v/>
      </c>
      <c r="X1282" s="33">
        <f>IF(W1282="","",P1282&amp;"|"&amp;W1282)</f>
        <v/>
      </c>
      <c r="Y1282" s="33">
        <f>IF(W1282="","",IF(P1282="À RENSEIGNER","GIC",P1282)&amp;"-"&amp;TEXT(W1282,"000"))</f>
        <v/>
      </c>
      <c r="Z1282" s="33">
        <f>IF(X1282="","",IFERROR(INDEX(Cl_nom,MATCH(X1282,Cl_cle,0)),"(client introuvable)"))</f>
        <v/>
      </c>
      <c r="AA1282" s="33">
        <f>IF(X1282="","",IFERROR(INDEX(Cl_quartier,MATCH(X1282,Cl_cle,0))&amp;"",""))</f>
        <v/>
      </c>
      <c r="AB1282" s="45">
        <f>IF(R1282&lt;&gt;"Livrée",0,IF(K1282&lt;&gt;"",K1282,C1282))</f>
        <v/>
      </c>
      <c r="AC1282" s="33">
        <f>IF(OR(C1282="",W1282=""),"",P1282&amp;"|"&amp;W1282&amp;"|"&amp;C1282&amp;"|"&amp;E1282)</f>
        <v/>
      </c>
      <c r="AD1282" s="39">
        <f>IF(AC1282="","",IF(COUNTIF(AC$6:AC1282,AC1282)=1,1,0))</f>
        <v/>
      </c>
      <c r="AE1282" s="39">
        <f>IF(AB1282=0,"",IF(COUNTIFS(X$6:X1282,X1282,AB$6:AB1282,AB1282)=1,1,0))</f>
        <v/>
      </c>
      <c r="AF1282" s="34">
        <f>IF(C1282="","",YEAR(C1282-WEEKDAY(C1282,2)+4)&amp;"-S"&amp;TEXT(INT((C1282-DATE(YEAR(C1282-WEEKDAY(C1282,2)+4),1,3)+WEEKDAY(DATE(YEAR(C1282-WEEKDAY(C1282,2)+4),1,3),2)+5)/7),"00"))</f>
        <v/>
      </c>
    </row>
    <row r="1283" ht="18" customHeight="1">
      <c r="A1283" s="39" t="n">
        <v>1278</v>
      </c>
      <c r="B1283" s="33">
        <f>IF(C1283="","",IF(P1283="À RENSEIGNER","GIC",P1283)&amp;"-C"&amp;TEXT(A1283,"00000"))</f>
        <v/>
      </c>
      <c r="C1283" s="32" t="n"/>
      <c r="D1283" s="36" t="n"/>
      <c r="E1283" s="36" t="n"/>
      <c r="F1283" s="36" t="n"/>
      <c r="G1283" s="42" t="n"/>
      <c r="H1283" s="37" t="n"/>
      <c r="I1283" s="37" t="n"/>
      <c r="J1283" s="32" t="n"/>
      <c r="K1283" s="32" t="n"/>
      <c r="L1283" s="43" t="n"/>
      <c r="M1283" s="36" t="n"/>
      <c r="N1283" s="44" t="n"/>
      <c r="O1283" s="36" t="n"/>
      <c r="P1283" s="33">
        <f>IF(C1283="","",Commercial_Id)</f>
        <v/>
      </c>
      <c r="Q1283" s="34">
        <f>IF(AC1283="","",IF(AD1283=1,"C"&amp;TEXT(SUM(AD$6:AD1283),"0000"),INDEX(Q$6:Q1282,MATCH(AC1283,AC$6:AC1282,0))))</f>
        <v/>
      </c>
      <c r="R1283" s="34">
        <f>IF(C1283="","",IF(L1283="☑ Oui","Annulée",IF(OR(E1283="Vente directe",K1283&lt;&gt;""),"Livrée",IF(J1283&lt;&gt;"","Confirmée","En attente"))))</f>
        <v/>
      </c>
      <c r="S1283" s="34">
        <f>IF(F1283="","",IFERROR(VLOOKUP(F1283,T_Produits,2,FALSE),""))</f>
        <v/>
      </c>
      <c r="T1283" s="40">
        <f>IF(F1283="","",IFERROR(1/(1/VLOOKUP(F1283,T_Produits,3,FALSE)),""))</f>
        <v/>
      </c>
      <c r="U1283" s="40">
        <f>IF(H1283&lt;&gt;"",H1283,T1283)</f>
        <v/>
      </c>
      <c r="V1283" s="40">
        <f>IF(OR(G1283="",U1283=""),"",G1283*U1283-N(I1283))</f>
        <v/>
      </c>
      <c r="W1283" s="39">
        <f>IF(D1283="","",IFERROR(VALUE(MID(D1283,LEN(D1283)-3,3)),""))</f>
        <v/>
      </c>
      <c r="X1283" s="33">
        <f>IF(W1283="","",P1283&amp;"|"&amp;W1283)</f>
        <v/>
      </c>
      <c r="Y1283" s="33">
        <f>IF(W1283="","",IF(P1283="À RENSEIGNER","GIC",P1283)&amp;"-"&amp;TEXT(W1283,"000"))</f>
        <v/>
      </c>
      <c r="Z1283" s="33">
        <f>IF(X1283="","",IFERROR(INDEX(Cl_nom,MATCH(X1283,Cl_cle,0)),"(client introuvable)"))</f>
        <v/>
      </c>
      <c r="AA1283" s="33">
        <f>IF(X1283="","",IFERROR(INDEX(Cl_quartier,MATCH(X1283,Cl_cle,0))&amp;"",""))</f>
        <v/>
      </c>
      <c r="AB1283" s="45">
        <f>IF(R1283&lt;&gt;"Livrée",0,IF(K1283&lt;&gt;"",K1283,C1283))</f>
        <v/>
      </c>
      <c r="AC1283" s="33">
        <f>IF(OR(C1283="",W1283=""),"",P1283&amp;"|"&amp;W1283&amp;"|"&amp;C1283&amp;"|"&amp;E1283)</f>
        <v/>
      </c>
      <c r="AD1283" s="39">
        <f>IF(AC1283="","",IF(COUNTIF(AC$6:AC1283,AC1283)=1,1,0))</f>
        <v/>
      </c>
      <c r="AE1283" s="39">
        <f>IF(AB1283=0,"",IF(COUNTIFS(X$6:X1283,X1283,AB$6:AB1283,AB1283)=1,1,0))</f>
        <v/>
      </c>
      <c r="AF1283" s="34">
        <f>IF(C1283="","",YEAR(C1283-WEEKDAY(C1283,2)+4)&amp;"-S"&amp;TEXT(INT((C1283-DATE(YEAR(C1283-WEEKDAY(C1283,2)+4),1,3)+WEEKDAY(DATE(YEAR(C1283-WEEKDAY(C1283,2)+4),1,3),2)+5)/7),"00"))</f>
        <v/>
      </c>
    </row>
    <row r="1284" ht="18" customHeight="1">
      <c r="A1284" s="39" t="n">
        <v>1279</v>
      </c>
      <c r="B1284" s="33">
        <f>IF(C1284="","",IF(P1284="À RENSEIGNER","GIC",P1284)&amp;"-C"&amp;TEXT(A1284,"00000"))</f>
        <v/>
      </c>
      <c r="C1284" s="32" t="n"/>
      <c r="D1284" s="36" t="n"/>
      <c r="E1284" s="36" t="n"/>
      <c r="F1284" s="36" t="n"/>
      <c r="G1284" s="42" t="n"/>
      <c r="H1284" s="37" t="n"/>
      <c r="I1284" s="37" t="n"/>
      <c r="J1284" s="32" t="n"/>
      <c r="K1284" s="32" t="n"/>
      <c r="L1284" s="43" t="n"/>
      <c r="M1284" s="36" t="n"/>
      <c r="N1284" s="44" t="n"/>
      <c r="O1284" s="36" t="n"/>
      <c r="P1284" s="33">
        <f>IF(C1284="","",Commercial_Id)</f>
        <v/>
      </c>
      <c r="Q1284" s="34">
        <f>IF(AC1284="","",IF(AD1284=1,"C"&amp;TEXT(SUM(AD$6:AD1284),"0000"),INDEX(Q$6:Q1283,MATCH(AC1284,AC$6:AC1283,0))))</f>
        <v/>
      </c>
      <c r="R1284" s="34">
        <f>IF(C1284="","",IF(L1284="☑ Oui","Annulée",IF(OR(E1284="Vente directe",K1284&lt;&gt;""),"Livrée",IF(J1284&lt;&gt;"","Confirmée","En attente"))))</f>
        <v/>
      </c>
      <c r="S1284" s="34">
        <f>IF(F1284="","",IFERROR(VLOOKUP(F1284,T_Produits,2,FALSE),""))</f>
        <v/>
      </c>
      <c r="T1284" s="40">
        <f>IF(F1284="","",IFERROR(1/(1/VLOOKUP(F1284,T_Produits,3,FALSE)),""))</f>
        <v/>
      </c>
      <c r="U1284" s="40">
        <f>IF(H1284&lt;&gt;"",H1284,T1284)</f>
        <v/>
      </c>
      <c r="V1284" s="40">
        <f>IF(OR(G1284="",U1284=""),"",G1284*U1284-N(I1284))</f>
        <v/>
      </c>
      <c r="W1284" s="39">
        <f>IF(D1284="","",IFERROR(VALUE(MID(D1284,LEN(D1284)-3,3)),""))</f>
        <v/>
      </c>
      <c r="X1284" s="33">
        <f>IF(W1284="","",P1284&amp;"|"&amp;W1284)</f>
        <v/>
      </c>
      <c r="Y1284" s="33">
        <f>IF(W1284="","",IF(P1284="À RENSEIGNER","GIC",P1284)&amp;"-"&amp;TEXT(W1284,"000"))</f>
        <v/>
      </c>
      <c r="Z1284" s="33">
        <f>IF(X1284="","",IFERROR(INDEX(Cl_nom,MATCH(X1284,Cl_cle,0)),"(client introuvable)"))</f>
        <v/>
      </c>
      <c r="AA1284" s="33">
        <f>IF(X1284="","",IFERROR(INDEX(Cl_quartier,MATCH(X1284,Cl_cle,0))&amp;"",""))</f>
        <v/>
      </c>
      <c r="AB1284" s="45">
        <f>IF(R1284&lt;&gt;"Livrée",0,IF(K1284&lt;&gt;"",K1284,C1284))</f>
        <v/>
      </c>
      <c r="AC1284" s="33">
        <f>IF(OR(C1284="",W1284=""),"",P1284&amp;"|"&amp;W1284&amp;"|"&amp;C1284&amp;"|"&amp;E1284)</f>
        <v/>
      </c>
      <c r="AD1284" s="39">
        <f>IF(AC1284="","",IF(COUNTIF(AC$6:AC1284,AC1284)=1,1,0))</f>
        <v/>
      </c>
      <c r="AE1284" s="39">
        <f>IF(AB1284=0,"",IF(COUNTIFS(X$6:X1284,X1284,AB$6:AB1284,AB1284)=1,1,0))</f>
        <v/>
      </c>
      <c r="AF1284" s="34">
        <f>IF(C1284="","",YEAR(C1284-WEEKDAY(C1284,2)+4)&amp;"-S"&amp;TEXT(INT((C1284-DATE(YEAR(C1284-WEEKDAY(C1284,2)+4),1,3)+WEEKDAY(DATE(YEAR(C1284-WEEKDAY(C1284,2)+4),1,3),2)+5)/7),"00"))</f>
        <v/>
      </c>
    </row>
    <row r="1285" ht="18" customHeight="1">
      <c r="A1285" s="39" t="n">
        <v>1280</v>
      </c>
      <c r="B1285" s="33">
        <f>IF(C1285="","",IF(P1285="À RENSEIGNER","GIC",P1285)&amp;"-C"&amp;TEXT(A1285,"00000"))</f>
        <v/>
      </c>
      <c r="C1285" s="32" t="n"/>
      <c r="D1285" s="36" t="n"/>
      <c r="E1285" s="36" t="n"/>
      <c r="F1285" s="36" t="n"/>
      <c r="G1285" s="42" t="n"/>
      <c r="H1285" s="37" t="n"/>
      <c r="I1285" s="37" t="n"/>
      <c r="J1285" s="32" t="n"/>
      <c r="K1285" s="32" t="n"/>
      <c r="L1285" s="43" t="n"/>
      <c r="M1285" s="36" t="n"/>
      <c r="N1285" s="44" t="n"/>
      <c r="O1285" s="36" t="n"/>
      <c r="P1285" s="33">
        <f>IF(C1285="","",Commercial_Id)</f>
        <v/>
      </c>
      <c r="Q1285" s="34">
        <f>IF(AC1285="","",IF(AD1285=1,"C"&amp;TEXT(SUM(AD$6:AD1285),"0000"),INDEX(Q$6:Q1284,MATCH(AC1285,AC$6:AC1284,0))))</f>
        <v/>
      </c>
      <c r="R1285" s="34">
        <f>IF(C1285="","",IF(L1285="☑ Oui","Annulée",IF(OR(E1285="Vente directe",K1285&lt;&gt;""),"Livrée",IF(J1285&lt;&gt;"","Confirmée","En attente"))))</f>
        <v/>
      </c>
      <c r="S1285" s="34">
        <f>IF(F1285="","",IFERROR(VLOOKUP(F1285,T_Produits,2,FALSE),""))</f>
        <v/>
      </c>
      <c r="T1285" s="40">
        <f>IF(F1285="","",IFERROR(1/(1/VLOOKUP(F1285,T_Produits,3,FALSE)),""))</f>
        <v/>
      </c>
      <c r="U1285" s="40">
        <f>IF(H1285&lt;&gt;"",H1285,T1285)</f>
        <v/>
      </c>
      <c r="V1285" s="40">
        <f>IF(OR(G1285="",U1285=""),"",G1285*U1285-N(I1285))</f>
        <v/>
      </c>
      <c r="W1285" s="39">
        <f>IF(D1285="","",IFERROR(VALUE(MID(D1285,LEN(D1285)-3,3)),""))</f>
        <v/>
      </c>
      <c r="X1285" s="33">
        <f>IF(W1285="","",P1285&amp;"|"&amp;W1285)</f>
        <v/>
      </c>
      <c r="Y1285" s="33">
        <f>IF(W1285="","",IF(P1285="À RENSEIGNER","GIC",P1285)&amp;"-"&amp;TEXT(W1285,"000"))</f>
        <v/>
      </c>
      <c r="Z1285" s="33">
        <f>IF(X1285="","",IFERROR(INDEX(Cl_nom,MATCH(X1285,Cl_cle,0)),"(client introuvable)"))</f>
        <v/>
      </c>
      <c r="AA1285" s="33">
        <f>IF(X1285="","",IFERROR(INDEX(Cl_quartier,MATCH(X1285,Cl_cle,0))&amp;"",""))</f>
        <v/>
      </c>
      <c r="AB1285" s="45">
        <f>IF(R1285&lt;&gt;"Livrée",0,IF(K1285&lt;&gt;"",K1285,C1285))</f>
        <v/>
      </c>
      <c r="AC1285" s="33">
        <f>IF(OR(C1285="",W1285=""),"",P1285&amp;"|"&amp;W1285&amp;"|"&amp;C1285&amp;"|"&amp;E1285)</f>
        <v/>
      </c>
      <c r="AD1285" s="39">
        <f>IF(AC1285="","",IF(COUNTIF(AC$6:AC1285,AC1285)=1,1,0))</f>
        <v/>
      </c>
      <c r="AE1285" s="39">
        <f>IF(AB1285=0,"",IF(COUNTIFS(X$6:X1285,X1285,AB$6:AB1285,AB1285)=1,1,0))</f>
        <v/>
      </c>
      <c r="AF1285" s="34">
        <f>IF(C1285="","",YEAR(C1285-WEEKDAY(C1285,2)+4)&amp;"-S"&amp;TEXT(INT((C1285-DATE(YEAR(C1285-WEEKDAY(C1285,2)+4),1,3)+WEEKDAY(DATE(YEAR(C1285-WEEKDAY(C1285,2)+4),1,3),2)+5)/7),"00"))</f>
        <v/>
      </c>
    </row>
    <row r="1286" ht="18" customHeight="1">
      <c r="A1286" s="39" t="n">
        <v>1281</v>
      </c>
      <c r="B1286" s="33">
        <f>IF(C1286="","",IF(P1286="À RENSEIGNER","GIC",P1286)&amp;"-C"&amp;TEXT(A1286,"00000"))</f>
        <v/>
      </c>
      <c r="C1286" s="32" t="n"/>
      <c r="D1286" s="36" t="n"/>
      <c r="E1286" s="36" t="n"/>
      <c r="F1286" s="36" t="n"/>
      <c r="G1286" s="42" t="n"/>
      <c r="H1286" s="37" t="n"/>
      <c r="I1286" s="37" t="n"/>
      <c r="J1286" s="32" t="n"/>
      <c r="K1286" s="32" t="n"/>
      <c r="L1286" s="43" t="n"/>
      <c r="M1286" s="36" t="n"/>
      <c r="N1286" s="44" t="n"/>
      <c r="O1286" s="36" t="n"/>
      <c r="P1286" s="33">
        <f>IF(C1286="","",Commercial_Id)</f>
        <v/>
      </c>
      <c r="Q1286" s="34">
        <f>IF(AC1286="","",IF(AD1286=1,"C"&amp;TEXT(SUM(AD$6:AD1286),"0000"),INDEX(Q$6:Q1285,MATCH(AC1286,AC$6:AC1285,0))))</f>
        <v/>
      </c>
      <c r="R1286" s="34">
        <f>IF(C1286="","",IF(L1286="☑ Oui","Annulée",IF(OR(E1286="Vente directe",K1286&lt;&gt;""),"Livrée",IF(J1286&lt;&gt;"","Confirmée","En attente"))))</f>
        <v/>
      </c>
      <c r="S1286" s="34">
        <f>IF(F1286="","",IFERROR(VLOOKUP(F1286,T_Produits,2,FALSE),""))</f>
        <v/>
      </c>
      <c r="T1286" s="40">
        <f>IF(F1286="","",IFERROR(1/(1/VLOOKUP(F1286,T_Produits,3,FALSE)),""))</f>
        <v/>
      </c>
      <c r="U1286" s="40">
        <f>IF(H1286&lt;&gt;"",H1286,T1286)</f>
        <v/>
      </c>
      <c r="V1286" s="40">
        <f>IF(OR(G1286="",U1286=""),"",G1286*U1286-N(I1286))</f>
        <v/>
      </c>
      <c r="W1286" s="39">
        <f>IF(D1286="","",IFERROR(VALUE(MID(D1286,LEN(D1286)-3,3)),""))</f>
        <v/>
      </c>
      <c r="X1286" s="33">
        <f>IF(W1286="","",P1286&amp;"|"&amp;W1286)</f>
        <v/>
      </c>
      <c r="Y1286" s="33">
        <f>IF(W1286="","",IF(P1286="À RENSEIGNER","GIC",P1286)&amp;"-"&amp;TEXT(W1286,"000"))</f>
        <v/>
      </c>
      <c r="Z1286" s="33">
        <f>IF(X1286="","",IFERROR(INDEX(Cl_nom,MATCH(X1286,Cl_cle,0)),"(client introuvable)"))</f>
        <v/>
      </c>
      <c r="AA1286" s="33">
        <f>IF(X1286="","",IFERROR(INDEX(Cl_quartier,MATCH(X1286,Cl_cle,0))&amp;"",""))</f>
        <v/>
      </c>
      <c r="AB1286" s="45">
        <f>IF(R1286&lt;&gt;"Livrée",0,IF(K1286&lt;&gt;"",K1286,C1286))</f>
        <v/>
      </c>
      <c r="AC1286" s="33">
        <f>IF(OR(C1286="",W1286=""),"",P1286&amp;"|"&amp;W1286&amp;"|"&amp;C1286&amp;"|"&amp;E1286)</f>
        <v/>
      </c>
      <c r="AD1286" s="39">
        <f>IF(AC1286="","",IF(COUNTIF(AC$6:AC1286,AC1286)=1,1,0))</f>
        <v/>
      </c>
      <c r="AE1286" s="39">
        <f>IF(AB1286=0,"",IF(COUNTIFS(X$6:X1286,X1286,AB$6:AB1286,AB1286)=1,1,0))</f>
        <v/>
      </c>
      <c r="AF1286" s="34">
        <f>IF(C1286="","",YEAR(C1286-WEEKDAY(C1286,2)+4)&amp;"-S"&amp;TEXT(INT((C1286-DATE(YEAR(C1286-WEEKDAY(C1286,2)+4),1,3)+WEEKDAY(DATE(YEAR(C1286-WEEKDAY(C1286,2)+4),1,3),2)+5)/7),"00"))</f>
        <v/>
      </c>
    </row>
    <row r="1287" ht="18" customHeight="1">
      <c r="A1287" s="39" t="n">
        <v>1282</v>
      </c>
      <c r="B1287" s="33">
        <f>IF(C1287="","",IF(P1287="À RENSEIGNER","GIC",P1287)&amp;"-C"&amp;TEXT(A1287,"00000"))</f>
        <v/>
      </c>
      <c r="C1287" s="32" t="n"/>
      <c r="D1287" s="36" t="n"/>
      <c r="E1287" s="36" t="n"/>
      <c r="F1287" s="36" t="n"/>
      <c r="G1287" s="42" t="n"/>
      <c r="H1287" s="37" t="n"/>
      <c r="I1287" s="37" t="n"/>
      <c r="J1287" s="32" t="n"/>
      <c r="K1287" s="32" t="n"/>
      <c r="L1287" s="43" t="n"/>
      <c r="M1287" s="36" t="n"/>
      <c r="N1287" s="44" t="n"/>
      <c r="O1287" s="36" t="n"/>
      <c r="P1287" s="33">
        <f>IF(C1287="","",Commercial_Id)</f>
        <v/>
      </c>
      <c r="Q1287" s="34">
        <f>IF(AC1287="","",IF(AD1287=1,"C"&amp;TEXT(SUM(AD$6:AD1287),"0000"),INDEX(Q$6:Q1286,MATCH(AC1287,AC$6:AC1286,0))))</f>
        <v/>
      </c>
      <c r="R1287" s="34">
        <f>IF(C1287="","",IF(L1287="☑ Oui","Annulée",IF(OR(E1287="Vente directe",K1287&lt;&gt;""),"Livrée",IF(J1287&lt;&gt;"","Confirmée","En attente"))))</f>
        <v/>
      </c>
      <c r="S1287" s="34">
        <f>IF(F1287="","",IFERROR(VLOOKUP(F1287,T_Produits,2,FALSE),""))</f>
        <v/>
      </c>
      <c r="T1287" s="40">
        <f>IF(F1287="","",IFERROR(1/(1/VLOOKUP(F1287,T_Produits,3,FALSE)),""))</f>
        <v/>
      </c>
      <c r="U1287" s="40">
        <f>IF(H1287&lt;&gt;"",H1287,T1287)</f>
        <v/>
      </c>
      <c r="V1287" s="40">
        <f>IF(OR(G1287="",U1287=""),"",G1287*U1287-N(I1287))</f>
        <v/>
      </c>
      <c r="W1287" s="39">
        <f>IF(D1287="","",IFERROR(VALUE(MID(D1287,LEN(D1287)-3,3)),""))</f>
        <v/>
      </c>
      <c r="X1287" s="33">
        <f>IF(W1287="","",P1287&amp;"|"&amp;W1287)</f>
        <v/>
      </c>
      <c r="Y1287" s="33">
        <f>IF(W1287="","",IF(P1287="À RENSEIGNER","GIC",P1287)&amp;"-"&amp;TEXT(W1287,"000"))</f>
        <v/>
      </c>
      <c r="Z1287" s="33">
        <f>IF(X1287="","",IFERROR(INDEX(Cl_nom,MATCH(X1287,Cl_cle,0)),"(client introuvable)"))</f>
        <v/>
      </c>
      <c r="AA1287" s="33">
        <f>IF(X1287="","",IFERROR(INDEX(Cl_quartier,MATCH(X1287,Cl_cle,0))&amp;"",""))</f>
        <v/>
      </c>
      <c r="AB1287" s="45">
        <f>IF(R1287&lt;&gt;"Livrée",0,IF(K1287&lt;&gt;"",K1287,C1287))</f>
        <v/>
      </c>
      <c r="AC1287" s="33">
        <f>IF(OR(C1287="",W1287=""),"",P1287&amp;"|"&amp;W1287&amp;"|"&amp;C1287&amp;"|"&amp;E1287)</f>
        <v/>
      </c>
      <c r="AD1287" s="39">
        <f>IF(AC1287="","",IF(COUNTIF(AC$6:AC1287,AC1287)=1,1,0))</f>
        <v/>
      </c>
      <c r="AE1287" s="39">
        <f>IF(AB1287=0,"",IF(COUNTIFS(X$6:X1287,X1287,AB$6:AB1287,AB1287)=1,1,0))</f>
        <v/>
      </c>
      <c r="AF1287" s="34">
        <f>IF(C1287="","",YEAR(C1287-WEEKDAY(C1287,2)+4)&amp;"-S"&amp;TEXT(INT((C1287-DATE(YEAR(C1287-WEEKDAY(C1287,2)+4),1,3)+WEEKDAY(DATE(YEAR(C1287-WEEKDAY(C1287,2)+4),1,3),2)+5)/7),"00"))</f>
        <v/>
      </c>
    </row>
    <row r="1288" ht="18" customHeight="1">
      <c r="A1288" s="39" t="n">
        <v>1283</v>
      </c>
      <c r="B1288" s="33">
        <f>IF(C1288="","",IF(P1288="À RENSEIGNER","GIC",P1288)&amp;"-C"&amp;TEXT(A1288,"00000"))</f>
        <v/>
      </c>
      <c r="C1288" s="32" t="n"/>
      <c r="D1288" s="36" t="n"/>
      <c r="E1288" s="36" t="n"/>
      <c r="F1288" s="36" t="n"/>
      <c r="G1288" s="42" t="n"/>
      <c r="H1288" s="37" t="n"/>
      <c r="I1288" s="37" t="n"/>
      <c r="J1288" s="32" t="n"/>
      <c r="K1288" s="32" t="n"/>
      <c r="L1288" s="43" t="n"/>
      <c r="M1288" s="36" t="n"/>
      <c r="N1288" s="44" t="n"/>
      <c r="O1288" s="36" t="n"/>
      <c r="P1288" s="33">
        <f>IF(C1288="","",Commercial_Id)</f>
        <v/>
      </c>
      <c r="Q1288" s="34">
        <f>IF(AC1288="","",IF(AD1288=1,"C"&amp;TEXT(SUM(AD$6:AD1288),"0000"),INDEX(Q$6:Q1287,MATCH(AC1288,AC$6:AC1287,0))))</f>
        <v/>
      </c>
      <c r="R1288" s="34">
        <f>IF(C1288="","",IF(L1288="☑ Oui","Annulée",IF(OR(E1288="Vente directe",K1288&lt;&gt;""),"Livrée",IF(J1288&lt;&gt;"","Confirmée","En attente"))))</f>
        <v/>
      </c>
      <c r="S1288" s="34">
        <f>IF(F1288="","",IFERROR(VLOOKUP(F1288,T_Produits,2,FALSE),""))</f>
        <v/>
      </c>
      <c r="T1288" s="40">
        <f>IF(F1288="","",IFERROR(1/(1/VLOOKUP(F1288,T_Produits,3,FALSE)),""))</f>
        <v/>
      </c>
      <c r="U1288" s="40">
        <f>IF(H1288&lt;&gt;"",H1288,T1288)</f>
        <v/>
      </c>
      <c r="V1288" s="40">
        <f>IF(OR(G1288="",U1288=""),"",G1288*U1288-N(I1288))</f>
        <v/>
      </c>
      <c r="W1288" s="39">
        <f>IF(D1288="","",IFERROR(VALUE(MID(D1288,LEN(D1288)-3,3)),""))</f>
        <v/>
      </c>
      <c r="X1288" s="33">
        <f>IF(W1288="","",P1288&amp;"|"&amp;W1288)</f>
        <v/>
      </c>
      <c r="Y1288" s="33">
        <f>IF(W1288="","",IF(P1288="À RENSEIGNER","GIC",P1288)&amp;"-"&amp;TEXT(W1288,"000"))</f>
        <v/>
      </c>
      <c r="Z1288" s="33">
        <f>IF(X1288="","",IFERROR(INDEX(Cl_nom,MATCH(X1288,Cl_cle,0)),"(client introuvable)"))</f>
        <v/>
      </c>
      <c r="AA1288" s="33">
        <f>IF(X1288="","",IFERROR(INDEX(Cl_quartier,MATCH(X1288,Cl_cle,0))&amp;"",""))</f>
        <v/>
      </c>
      <c r="AB1288" s="45">
        <f>IF(R1288&lt;&gt;"Livrée",0,IF(K1288&lt;&gt;"",K1288,C1288))</f>
        <v/>
      </c>
      <c r="AC1288" s="33">
        <f>IF(OR(C1288="",W1288=""),"",P1288&amp;"|"&amp;W1288&amp;"|"&amp;C1288&amp;"|"&amp;E1288)</f>
        <v/>
      </c>
      <c r="AD1288" s="39">
        <f>IF(AC1288="","",IF(COUNTIF(AC$6:AC1288,AC1288)=1,1,0))</f>
        <v/>
      </c>
      <c r="AE1288" s="39">
        <f>IF(AB1288=0,"",IF(COUNTIFS(X$6:X1288,X1288,AB$6:AB1288,AB1288)=1,1,0))</f>
        <v/>
      </c>
      <c r="AF1288" s="34">
        <f>IF(C1288="","",YEAR(C1288-WEEKDAY(C1288,2)+4)&amp;"-S"&amp;TEXT(INT((C1288-DATE(YEAR(C1288-WEEKDAY(C1288,2)+4),1,3)+WEEKDAY(DATE(YEAR(C1288-WEEKDAY(C1288,2)+4),1,3),2)+5)/7),"00"))</f>
        <v/>
      </c>
    </row>
    <row r="1289" ht="18" customHeight="1">
      <c r="A1289" s="39" t="n">
        <v>1284</v>
      </c>
      <c r="B1289" s="33">
        <f>IF(C1289="","",IF(P1289="À RENSEIGNER","GIC",P1289)&amp;"-C"&amp;TEXT(A1289,"00000"))</f>
        <v/>
      </c>
      <c r="C1289" s="32" t="n"/>
      <c r="D1289" s="36" t="n"/>
      <c r="E1289" s="36" t="n"/>
      <c r="F1289" s="36" t="n"/>
      <c r="G1289" s="42" t="n"/>
      <c r="H1289" s="37" t="n"/>
      <c r="I1289" s="37" t="n"/>
      <c r="J1289" s="32" t="n"/>
      <c r="K1289" s="32" t="n"/>
      <c r="L1289" s="43" t="n"/>
      <c r="M1289" s="36" t="n"/>
      <c r="N1289" s="44" t="n"/>
      <c r="O1289" s="36" t="n"/>
      <c r="P1289" s="33">
        <f>IF(C1289="","",Commercial_Id)</f>
        <v/>
      </c>
      <c r="Q1289" s="34">
        <f>IF(AC1289="","",IF(AD1289=1,"C"&amp;TEXT(SUM(AD$6:AD1289),"0000"),INDEX(Q$6:Q1288,MATCH(AC1289,AC$6:AC1288,0))))</f>
        <v/>
      </c>
      <c r="R1289" s="34">
        <f>IF(C1289="","",IF(L1289="☑ Oui","Annulée",IF(OR(E1289="Vente directe",K1289&lt;&gt;""),"Livrée",IF(J1289&lt;&gt;"","Confirmée","En attente"))))</f>
        <v/>
      </c>
      <c r="S1289" s="34">
        <f>IF(F1289="","",IFERROR(VLOOKUP(F1289,T_Produits,2,FALSE),""))</f>
        <v/>
      </c>
      <c r="T1289" s="40">
        <f>IF(F1289="","",IFERROR(1/(1/VLOOKUP(F1289,T_Produits,3,FALSE)),""))</f>
        <v/>
      </c>
      <c r="U1289" s="40">
        <f>IF(H1289&lt;&gt;"",H1289,T1289)</f>
        <v/>
      </c>
      <c r="V1289" s="40">
        <f>IF(OR(G1289="",U1289=""),"",G1289*U1289-N(I1289))</f>
        <v/>
      </c>
      <c r="W1289" s="39">
        <f>IF(D1289="","",IFERROR(VALUE(MID(D1289,LEN(D1289)-3,3)),""))</f>
        <v/>
      </c>
      <c r="X1289" s="33">
        <f>IF(W1289="","",P1289&amp;"|"&amp;W1289)</f>
        <v/>
      </c>
      <c r="Y1289" s="33">
        <f>IF(W1289="","",IF(P1289="À RENSEIGNER","GIC",P1289)&amp;"-"&amp;TEXT(W1289,"000"))</f>
        <v/>
      </c>
      <c r="Z1289" s="33">
        <f>IF(X1289="","",IFERROR(INDEX(Cl_nom,MATCH(X1289,Cl_cle,0)),"(client introuvable)"))</f>
        <v/>
      </c>
      <c r="AA1289" s="33">
        <f>IF(X1289="","",IFERROR(INDEX(Cl_quartier,MATCH(X1289,Cl_cle,0))&amp;"",""))</f>
        <v/>
      </c>
      <c r="AB1289" s="45">
        <f>IF(R1289&lt;&gt;"Livrée",0,IF(K1289&lt;&gt;"",K1289,C1289))</f>
        <v/>
      </c>
      <c r="AC1289" s="33">
        <f>IF(OR(C1289="",W1289=""),"",P1289&amp;"|"&amp;W1289&amp;"|"&amp;C1289&amp;"|"&amp;E1289)</f>
        <v/>
      </c>
      <c r="AD1289" s="39">
        <f>IF(AC1289="","",IF(COUNTIF(AC$6:AC1289,AC1289)=1,1,0))</f>
        <v/>
      </c>
      <c r="AE1289" s="39">
        <f>IF(AB1289=0,"",IF(COUNTIFS(X$6:X1289,X1289,AB$6:AB1289,AB1289)=1,1,0))</f>
        <v/>
      </c>
      <c r="AF1289" s="34">
        <f>IF(C1289="","",YEAR(C1289-WEEKDAY(C1289,2)+4)&amp;"-S"&amp;TEXT(INT((C1289-DATE(YEAR(C1289-WEEKDAY(C1289,2)+4),1,3)+WEEKDAY(DATE(YEAR(C1289-WEEKDAY(C1289,2)+4),1,3),2)+5)/7),"00"))</f>
        <v/>
      </c>
    </row>
    <row r="1290" ht="18" customHeight="1">
      <c r="A1290" s="39" t="n">
        <v>1285</v>
      </c>
      <c r="B1290" s="33">
        <f>IF(C1290="","",IF(P1290="À RENSEIGNER","GIC",P1290)&amp;"-C"&amp;TEXT(A1290,"00000"))</f>
        <v/>
      </c>
      <c r="C1290" s="32" t="n"/>
      <c r="D1290" s="36" t="n"/>
      <c r="E1290" s="36" t="n"/>
      <c r="F1290" s="36" t="n"/>
      <c r="G1290" s="42" t="n"/>
      <c r="H1290" s="37" t="n"/>
      <c r="I1290" s="37" t="n"/>
      <c r="J1290" s="32" t="n"/>
      <c r="K1290" s="32" t="n"/>
      <c r="L1290" s="43" t="n"/>
      <c r="M1290" s="36" t="n"/>
      <c r="N1290" s="44" t="n"/>
      <c r="O1290" s="36" t="n"/>
      <c r="P1290" s="33">
        <f>IF(C1290="","",Commercial_Id)</f>
        <v/>
      </c>
      <c r="Q1290" s="34">
        <f>IF(AC1290="","",IF(AD1290=1,"C"&amp;TEXT(SUM(AD$6:AD1290),"0000"),INDEX(Q$6:Q1289,MATCH(AC1290,AC$6:AC1289,0))))</f>
        <v/>
      </c>
      <c r="R1290" s="34">
        <f>IF(C1290="","",IF(L1290="☑ Oui","Annulée",IF(OR(E1290="Vente directe",K1290&lt;&gt;""),"Livrée",IF(J1290&lt;&gt;"","Confirmée","En attente"))))</f>
        <v/>
      </c>
      <c r="S1290" s="34">
        <f>IF(F1290="","",IFERROR(VLOOKUP(F1290,T_Produits,2,FALSE),""))</f>
        <v/>
      </c>
      <c r="T1290" s="40">
        <f>IF(F1290="","",IFERROR(1/(1/VLOOKUP(F1290,T_Produits,3,FALSE)),""))</f>
        <v/>
      </c>
      <c r="U1290" s="40">
        <f>IF(H1290&lt;&gt;"",H1290,T1290)</f>
        <v/>
      </c>
      <c r="V1290" s="40">
        <f>IF(OR(G1290="",U1290=""),"",G1290*U1290-N(I1290))</f>
        <v/>
      </c>
      <c r="W1290" s="39">
        <f>IF(D1290="","",IFERROR(VALUE(MID(D1290,LEN(D1290)-3,3)),""))</f>
        <v/>
      </c>
      <c r="X1290" s="33">
        <f>IF(W1290="","",P1290&amp;"|"&amp;W1290)</f>
        <v/>
      </c>
      <c r="Y1290" s="33">
        <f>IF(W1290="","",IF(P1290="À RENSEIGNER","GIC",P1290)&amp;"-"&amp;TEXT(W1290,"000"))</f>
        <v/>
      </c>
      <c r="Z1290" s="33">
        <f>IF(X1290="","",IFERROR(INDEX(Cl_nom,MATCH(X1290,Cl_cle,0)),"(client introuvable)"))</f>
        <v/>
      </c>
      <c r="AA1290" s="33">
        <f>IF(X1290="","",IFERROR(INDEX(Cl_quartier,MATCH(X1290,Cl_cle,0))&amp;"",""))</f>
        <v/>
      </c>
      <c r="AB1290" s="45">
        <f>IF(R1290&lt;&gt;"Livrée",0,IF(K1290&lt;&gt;"",K1290,C1290))</f>
        <v/>
      </c>
      <c r="AC1290" s="33">
        <f>IF(OR(C1290="",W1290=""),"",P1290&amp;"|"&amp;W1290&amp;"|"&amp;C1290&amp;"|"&amp;E1290)</f>
        <v/>
      </c>
      <c r="AD1290" s="39">
        <f>IF(AC1290="","",IF(COUNTIF(AC$6:AC1290,AC1290)=1,1,0))</f>
        <v/>
      </c>
      <c r="AE1290" s="39">
        <f>IF(AB1290=0,"",IF(COUNTIFS(X$6:X1290,X1290,AB$6:AB1290,AB1290)=1,1,0))</f>
        <v/>
      </c>
      <c r="AF1290" s="34">
        <f>IF(C1290="","",YEAR(C1290-WEEKDAY(C1290,2)+4)&amp;"-S"&amp;TEXT(INT((C1290-DATE(YEAR(C1290-WEEKDAY(C1290,2)+4),1,3)+WEEKDAY(DATE(YEAR(C1290-WEEKDAY(C1290,2)+4),1,3),2)+5)/7),"00"))</f>
        <v/>
      </c>
    </row>
    <row r="1291" ht="18" customHeight="1">
      <c r="A1291" s="39" t="n">
        <v>1286</v>
      </c>
      <c r="B1291" s="33">
        <f>IF(C1291="","",IF(P1291="À RENSEIGNER","GIC",P1291)&amp;"-C"&amp;TEXT(A1291,"00000"))</f>
        <v/>
      </c>
      <c r="C1291" s="32" t="n"/>
      <c r="D1291" s="36" t="n"/>
      <c r="E1291" s="36" t="n"/>
      <c r="F1291" s="36" t="n"/>
      <c r="G1291" s="42" t="n"/>
      <c r="H1291" s="37" t="n"/>
      <c r="I1291" s="37" t="n"/>
      <c r="J1291" s="32" t="n"/>
      <c r="K1291" s="32" t="n"/>
      <c r="L1291" s="43" t="n"/>
      <c r="M1291" s="36" t="n"/>
      <c r="N1291" s="44" t="n"/>
      <c r="O1291" s="36" t="n"/>
      <c r="P1291" s="33">
        <f>IF(C1291="","",Commercial_Id)</f>
        <v/>
      </c>
      <c r="Q1291" s="34">
        <f>IF(AC1291="","",IF(AD1291=1,"C"&amp;TEXT(SUM(AD$6:AD1291),"0000"),INDEX(Q$6:Q1290,MATCH(AC1291,AC$6:AC1290,0))))</f>
        <v/>
      </c>
      <c r="R1291" s="34">
        <f>IF(C1291="","",IF(L1291="☑ Oui","Annulée",IF(OR(E1291="Vente directe",K1291&lt;&gt;""),"Livrée",IF(J1291&lt;&gt;"","Confirmée","En attente"))))</f>
        <v/>
      </c>
      <c r="S1291" s="34">
        <f>IF(F1291="","",IFERROR(VLOOKUP(F1291,T_Produits,2,FALSE),""))</f>
        <v/>
      </c>
      <c r="T1291" s="40">
        <f>IF(F1291="","",IFERROR(1/(1/VLOOKUP(F1291,T_Produits,3,FALSE)),""))</f>
        <v/>
      </c>
      <c r="U1291" s="40">
        <f>IF(H1291&lt;&gt;"",H1291,T1291)</f>
        <v/>
      </c>
      <c r="V1291" s="40">
        <f>IF(OR(G1291="",U1291=""),"",G1291*U1291-N(I1291))</f>
        <v/>
      </c>
      <c r="W1291" s="39">
        <f>IF(D1291="","",IFERROR(VALUE(MID(D1291,LEN(D1291)-3,3)),""))</f>
        <v/>
      </c>
      <c r="X1291" s="33">
        <f>IF(W1291="","",P1291&amp;"|"&amp;W1291)</f>
        <v/>
      </c>
      <c r="Y1291" s="33">
        <f>IF(W1291="","",IF(P1291="À RENSEIGNER","GIC",P1291)&amp;"-"&amp;TEXT(W1291,"000"))</f>
        <v/>
      </c>
      <c r="Z1291" s="33">
        <f>IF(X1291="","",IFERROR(INDEX(Cl_nom,MATCH(X1291,Cl_cle,0)),"(client introuvable)"))</f>
        <v/>
      </c>
      <c r="AA1291" s="33">
        <f>IF(X1291="","",IFERROR(INDEX(Cl_quartier,MATCH(X1291,Cl_cle,0))&amp;"",""))</f>
        <v/>
      </c>
      <c r="AB1291" s="45">
        <f>IF(R1291&lt;&gt;"Livrée",0,IF(K1291&lt;&gt;"",K1291,C1291))</f>
        <v/>
      </c>
      <c r="AC1291" s="33">
        <f>IF(OR(C1291="",W1291=""),"",P1291&amp;"|"&amp;W1291&amp;"|"&amp;C1291&amp;"|"&amp;E1291)</f>
        <v/>
      </c>
      <c r="AD1291" s="39">
        <f>IF(AC1291="","",IF(COUNTIF(AC$6:AC1291,AC1291)=1,1,0))</f>
        <v/>
      </c>
      <c r="AE1291" s="39">
        <f>IF(AB1291=0,"",IF(COUNTIFS(X$6:X1291,X1291,AB$6:AB1291,AB1291)=1,1,0))</f>
        <v/>
      </c>
      <c r="AF1291" s="34">
        <f>IF(C1291="","",YEAR(C1291-WEEKDAY(C1291,2)+4)&amp;"-S"&amp;TEXT(INT((C1291-DATE(YEAR(C1291-WEEKDAY(C1291,2)+4),1,3)+WEEKDAY(DATE(YEAR(C1291-WEEKDAY(C1291,2)+4),1,3),2)+5)/7),"00"))</f>
        <v/>
      </c>
    </row>
    <row r="1292" ht="18" customHeight="1">
      <c r="A1292" s="39" t="n">
        <v>1287</v>
      </c>
      <c r="B1292" s="33">
        <f>IF(C1292="","",IF(P1292="À RENSEIGNER","GIC",P1292)&amp;"-C"&amp;TEXT(A1292,"00000"))</f>
        <v/>
      </c>
      <c r="C1292" s="32" t="n"/>
      <c r="D1292" s="36" t="n"/>
      <c r="E1292" s="36" t="n"/>
      <c r="F1292" s="36" t="n"/>
      <c r="G1292" s="42" t="n"/>
      <c r="H1292" s="37" t="n"/>
      <c r="I1292" s="37" t="n"/>
      <c r="J1292" s="32" t="n"/>
      <c r="K1292" s="32" t="n"/>
      <c r="L1292" s="43" t="n"/>
      <c r="M1292" s="36" t="n"/>
      <c r="N1292" s="44" t="n"/>
      <c r="O1292" s="36" t="n"/>
      <c r="P1292" s="33">
        <f>IF(C1292="","",Commercial_Id)</f>
        <v/>
      </c>
      <c r="Q1292" s="34">
        <f>IF(AC1292="","",IF(AD1292=1,"C"&amp;TEXT(SUM(AD$6:AD1292),"0000"),INDEX(Q$6:Q1291,MATCH(AC1292,AC$6:AC1291,0))))</f>
        <v/>
      </c>
      <c r="R1292" s="34">
        <f>IF(C1292="","",IF(L1292="☑ Oui","Annulée",IF(OR(E1292="Vente directe",K1292&lt;&gt;""),"Livrée",IF(J1292&lt;&gt;"","Confirmée","En attente"))))</f>
        <v/>
      </c>
      <c r="S1292" s="34">
        <f>IF(F1292="","",IFERROR(VLOOKUP(F1292,T_Produits,2,FALSE),""))</f>
        <v/>
      </c>
      <c r="T1292" s="40">
        <f>IF(F1292="","",IFERROR(1/(1/VLOOKUP(F1292,T_Produits,3,FALSE)),""))</f>
        <v/>
      </c>
      <c r="U1292" s="40">
        <f>IF(H1292&lt;&gt;"",H1292,T1292)</f>
        <v/>
      </c>
      <c r="V1292" s="40">
        <f>IF(OR(G1292="",U1292=""),"",G1292*U1292-N(I1292))</f>
        <v/>
      </c>
      <c r="W1292" s="39">
        <f>IF(D1292="","",IFERROR(VALUE(MID(D1292,LEN(D1292)-3,3)),""))</f>
        <v/>
      </c>
      <c r="X1292" s="33">
        <f>IF(W1292="","",P1292&amp;"|"&amp;W1292)</f>
        <v/>
      </c>
      <c r="Y1292" s="33">
        <f>IF(W1292="","",IF(P1292="À RENSEIGNER","GIC",P1292)&amp;"-"&amp;TEXT(W1292,"000"))</f>
        <v/>
      </c>
      <c r="Z1292" s="33">
        <f>IF(X1292="","",IFERROR(INDEX(Cl_nom,MATCH(X1292,Cl_cle,0)),"(client introuvable)"))</f>
        <v/>
      </c>
      <c r="AA1292" s="33">
        <f>IF(X1292="","",IFERROR(INDEX(Cl_quartier,MATCH(X1292,Cl_cle,0))&amp;"",""))</f>
        <v/>
      </c>
      <c r="AB1292" s="45">
        <f>IF(R1292&lt;&gt;"Livrée",0,IF(K1292&lt;&gt;"",K1292,C1292))</f>
        <v/>
      </c>
      <c r="AC1292" s="33">
        <f>IF(OR(C1292="",W1292=""),"",P1292&amp;"|"&amp;W1292&amp;"|"&amp;C1292&amp;"|"&amp;E1292)</f>
        <v/>
      </c>
      <c r="AD1292" s="39">
        <f>IF(AC1292="","",IF(COUNTIF(AC$6:AC1292,AC1292)=1,1,0))</f>
        <v/>
      </c>
      <c r="AE1292" s="39">
        <f>IF(AB1292=0,"",IF(COUNTIFS(X$6:X1292,X1292,AB$6:AB1292,AB1292)=1,1,0))</f>
        <v/>
      </c>
      <c r="AF1292" s="34">
        <f>IF(C1292="","",YEAR(C1292-WEEKDAY(C1292,2)+4)&amp;"-S"&amp;TEXT(INT((C1292-DATE(YEAR(C1292-WEEKDAY(C1292,2)+4),1,3)+WEEKDAY(DATE(YEAR(C1292-WEEKDAY(C1292,2)+4),1,3),2)+5)/7),"00"))</f>
        <v/>
      </c>
    </row>
    <row r="1293" ht="18" customHeight="1">
      <c r="A1293" s="39" t="n">
        <v>1288</v>
      </c>
      <c r="B1293" s="33">
        <f>IF(C1293="","",IF(P1293="À RENSEIGNER","GIC",P1293)&amp;"-C"&amp;TEXT(A1293,"00000"))</f>
        <v/>
      </c>
      <c r="C1293" s="32" t="n"/>
      <c r="D1293" s="36" t="n"/>
      <c r="E1293" s="36" t="n"/>
      <c r="F1293" s="36" t="n"/>
      <c r="G1293" s="42" t="n"/>
      <c r="H1293" s="37" t="n"/>
      <c r="I1293" s="37" t="n"/>
      <c r="J1293" s="32" t="n"/>
      <c r="K1293" s="32" t="n"/>
      <c r="L1293" s="43" t="n"/>
      <c r="M1293" s="36" t="n"/>
      <c r="N1293" s="44" t="n"/>
      <c r="O1293" s="36" t="n"/>
      <c r="P1293" s="33">
        <f>IF(C1293="","",Commercial_Id)</f>
        <v/>
      </c>
      <c r="Q1293" s="34">
        <f>IF(AC1293="","",IF(AD1293=1,"C"&amp;TEXT(SUM(AD$6:AD1293),"0000"),INDEX(Q$6:Q1292,MATCH(AC1293,AC$6:AC1292,0))))</f>
        <v/>
      </c>
      <c r="R1293" s="34">
        <f>IF(C1293="","",IF(L1293="☑ Oui","Annulée",IF(OR(E1293="Vente directe",K1293&lt;&gt;""),"Livrée",IF(J1293&lt;&gt;"","Confirmée","En attente"))))</f>
        <v/>
      </c>
      <c r="S1293" s="34">
        <f>IF(F1293="","",IFERROR(VLOOKUP(F1293,T_Produits,2,FALSE),""))</f>
        <v/>
      </c>
      <c r="T1293" s="40">
        <f>IF(F1293="","",IFERROR(1/(1/VLOOKUP(F1293,T_Produits,3,FALSE)),""))</f>
        <v/>
      </c>
      <c r="U1293" s="40">
        <f>IF(H1293&lt;&gt;"",H1293,T1293)</f>
        <v/>
      </c>
      <c r="V1293" s="40">
        <f>IF(OR(G1293="",U1293=""),"",G1293*U1293-N(I1293))</f>
        <v/>
      </c>
      <c r="W1293" s="39">
        <f>IF(D1293="","",IFERROR(VALUE(MID(D1293,LEN(D1293)-3,3)),""))</f>
        <v/>
      </c>
      <c r="X1293" s="33">
        <f>IF(W1293="","",P1293&amp;"|"&amp;W1293)</f>
        <v/>
      </c>
      <c r="Y1293" s="33">
        <f>IF(W1293="","",IF(P1293="À RENSEIGNER","GIC",P1293)&amp;"-"&amp;TEXT(W1293,"000"))</f>
        <v/>
      </c>
      <c r="Z1293" s="33">
        <f>IF(X1293="","",IFERROR(INDEX(Cl_nom,MATCH(X1293,Cl_cle,0)),"(client introuvable)"))</f>
        <v/>
      </c>
      <c r="AA1293" s="33">
        <f>IF(X1293="","",IFERROR(INDEX(Cl_quartier,MATCH(X1293,Cl_cle,0))&amp;"",""))</f>
        <v/>
      </c>
      <c r="AB1293" s="45">
        <f>IF(R1293&lt;&gt;"Livrée",0,IF(K1293&lt;&gt;"",K1293,C1293))</f>
        <v/>
      </c>
      <c r="AC1293" s="33">
        <f>IF(OR(C1293="",W1293=""),"",P1293&amp;"|"&amp;W1293&amp;"|"&amp;C1293&amp;"|"&amp;E1293)</f>
        <v/>
      </c>
      <c r="AD1293" s="39">
        <f>IF(AC1293="","",IF(COUNTIF(AC$6:AC1293,AC1293)=1,1,0))</f>
        <v/>
      </c>
      <c r="AE1293" s="39">
        <f>IF(AB1293=0,"",IF(COUNTIFS(X$6:X1293,X1293,AB$6:AB1293,AB1293)=1,1,0))</f>
        <v/>
      </c>
      <c r="AF1293" s="34">
        <f>IF(C1293="","",YEAR(C1293-WEEKDAY(C1293,2)+4)&amp;"-S"&amp;TEXT(INT((C1293-DATE(YEAR(C1293-WEEKDAY(C1293,2)+4),1,3)+WEEKDAY(DATE(YEAR(C1293-WEEKDAY(C1293,2)+4),1,3),2)+5)/7),"00"))</f>
        <v/>
      </c>
    </row>
    <row r="1294" ht="18" customHeight="1">
      <c r="A1294" s="39" t="n">
        <v>1289</v>
      </c>
      <c r="B1294" s="33">
        <f>IF(C1294="","",IF(P1294="À RENSEIGNER","GIC",P1294)&amp;"-C"&amp;TEXT(A1294,"00000"))</f>
        <v/>
      </c>
      <c r="C1294" s="32" t="n"/>
      <c r="D1294" s="36" t="n"/>
      <c r="E1294" s="36" t="n"/>
      <c r="F1294" s="36" t="n"/>
      <c r="G1294" s="42" t="n"/>
      <c r="H1294" s="37" t="n"/>
      <c r="I1294" s="37" t="n"/>
      <c r="J1294" s="32" t="n"/>
      <c r="K1294" s="32" t="n"/>
      <c r="L1294" s="43" t="n"/>
      <c r="M1294" s="36" t="n"/>
      <c r="N1294" s="44" t="n"/>
      <c r="O1294" s="36" t="n"/>
      <c r="P1294" s="33">
        <f>IF(C1294="","",Commercial_Id)</f>
        <v/>
      </c>
      <c r="Q1294" s="34">
        <f>IF(AC1294="","",IF(AD1294=1,"C"&amp;TEXT(SUM(AD$6:AD1294),"0000"),INDEX(Q$6:Q1293,MATCH(AC1294,AC$6:AC1293,0))))</f>
        <v/>
      </c>
      <c r="R1294" s="34">
        <f>IF(C1294="","",IF(L1294="☑ Oui","Annulée",IF(OR(E1294="Vente directe",K1294&lt;&gt;""),"Livrée",IF(J1294&lt;&gt;"","Confirmée","En attente"))))</f>
        <v/>
      </c>
      <c r="S1294" s="34">
        <f>IF(F1294="","",IFERROR(VLOOKUP(F1294,T_Produits,2,FALSE),""))</f>
        <v/>
      </c>
      <c r="T1294" s="40">
        <f>IF(F1294="","",IFERROR(1/(1/VLOOKUP(F1294,T_Produits,3,FALSE)),""))</f>
        <v/>
      </c>
      <c r="U1294" s="40">
        <f>IF(H1294&lt;&gt;"",H1294,T1294)</f>
        <v/>
      </c>
      <c r="V1294" s="40">
        <f>IF(OR(G1294="",U1294=""),"",G1294*U1294-N(I1294))</f>
        <v/>
      </c>
      <c r="W1294" s="39">
        <f>IF(D1294="","",IFERROR(VALUE(MID(D1294,LEN(D1294)-3,3)),""))</f>
        <v/>
      </c>
      <c r="X1294" s="33">
        <f>IF(W1294="","",P1294&amp;"|"&amp;W1294)</f>
        <v/>
      </c>
      <c r="Y1294" s="33">
        <f>IF(W1294="","",IF(P1294="À RENSEIGNER","GIC",P1294)&amp;"-"&amp;TEXT(W1294,"000"))</f>
        <v/>
      </c>
      <c r="Z1294" s="33">
        <f>IF(X1294="","",IFERROR(INDEX(Cl_nom,MATCH(X1294,Cl_cle,0)),"(client introuvable)"))</f>
        <v/>
      </c>
      <c r="AA1294" s="33">
        <f>IF(X1294="","",IFERROR(INDEX(Cl_quartier,MATCH(X1294,Cl_cle,0))&amp;"",""))</f>
        <v/>
      </c>
      <c r="AB1294" s="45">
        <f>IF(R1294&lt;&gt;"Livrée",0,IF(K1294&lt;&gt;"",K1294,C1294))</f>
        <v/>
      </c>
      <c r="AC1294" s="33">
        <f>IF(OR(C1294="",W1294=""),"",P1294&amp;"|"&amp;W1294&amp;"|"&amp;C1294&amp;"|"&amp;E1294)</f>
        <v/>
      </c>
      <c r="AD1294" s="39">
        <f>IF(AC1294="","",IF(COUNTIF(AC$6:AC1294,AC1294)=1,1,0))</f>
        <v/>
      </c>
      <c r="AE1294" s="39">
        <f>IF(AB1294=0,"",IF(COUNTIFS(X$6:X1294,X1294,AB$6:AB1294,AB1294)=1,1,0))</f>
        <v/>
      </c>
      <c r="AF1294" s="34">
        <f>IF(C1294="","",YEAR(C1294-WEEKDAY(C1294,2)+4)&amp;"-S"&amp;TEXT(INT((C1294-DATE(YEAR(C1294-WEEKDAY(C1294,2)+4),1,3)+WEEKDAY(DATE(YEAR(C1294-WEEKDAY(C1294,2)+4),1,3),2)+5)/7),"00"))</f>
        <v/>
      </c>
    </row>
    <row r="1295" ht="18" customHeight="1">
      <c r="A1295" s="39" t="n">
        <v>1290</v>
      </c>
      <c r="B1295" s="33">
        <f>IF(C1295="","",IF(P1295="À RENSEIGNER","GIC",P1295)&amp;"-C"&amp;TEXT(A1295,"00000"))</f>
        <v/>
      </c>
      <c r="C1295" s="32" t="n"/>
      <c r="D1295" s="36" t="n"/>
      <c r="E1295" s="36" t="n"/>
      <c r="F1295" s="36" t="n"/>
      <c r="G1295" s="42" t="n"/>
      <c r="H1295" s="37" t="n"/>
      <c r="I1295" s="37" t="n"/>
      <c r="J1295" s="32" t="n"/>
      <c r="K1295" s="32" t="n"/>
      <c r="L1295" s="43" t="n"/>
      <c r="M1295" s="36" t="n"/>
      <c r="N1295" s="44" t="n"/>
      <c r="O1295" s="36" t="n"/>
      <c r="P1295" s="33">
        <f>IF(C1295="","",Commercial_Id)</f>
        <v/>
      </c>
      <c r="Q1295" s="34">
        <f>IF(AC1295="","",IF(AD1295=1,"C"&amp;TEXT(SUM(AD$6:AD1295),"0000"),INDEX(Q$6:Q1294,MATCH(AC1295,AC$6:AC1294,0))))</f>
        <v/>
      </c>
      <c r="R1295" s="34">
        <f>IF(C1295="","",IF(L1295="☑ Oui","Annulée",IF(OR(E1295="Vente directe",K1295&lt;&gt;""),"Livrée",IF(J1295&lt;&gt;"","Confirmée","En attente"))))</f>
        <v/>
      </c>
      <c r="S1295" s="34">
        <f>IF(F1295="","",IFERROR(VLOOKUP(F1295,T_Produits,2,FALSE),""))</f>
        <v/>
      </c>
      <c r="T1295" s="40">
        <f>IF(F1295="","",IFERROR(1/(1/VLOOKUP(F1295,T_Produits,3,FALSE)),""))</f>
        <v/>
      </c>
      <c r="U1295" s="40">
        <f>IF(H1295&lt;&gt;"",H1295,T1295)</f>
        <v/>
      </c>
      <c r="V1295" s="40">
        <f>IF(OR(G1295="",U1295=""),"",G1295*U1295-N(I1295))</f>
        <v/>
      </c>
      <c r="W1295" s="39">
        <f>IF(D1295="","",IFERROR(VALUE(MID(D1295,LEN(D1295)-3,3)),""))</f>
        <v/>
      </c>
      <c r="X1295" s="33">
        <f>IF(W1295="","",P1295&amp;"|"&amp;W1295)</f>
        <v/>
      </c>
      <c r="Y1295" s="33">
        <f>IF(W1295="","",IF(P1295="À RENSEIGNER","GIC",P1295)&amp;"-"&amp;TEXT(W1295,"000"))</f>
        <v/>
      </c>
      <c r="Z1295" s="33">
        <f>IF(X1295="","",IFERROR(INDEX(Cl_nom,MATCH(X1295,Cl_cle,0)),"(client introuvable)"))</f>
        <v/>
      </c>
      <c r="AA1295" s="33">
        <f>IF(X1295="","",IFERROR(INDEX(Cl_quartier,MATCH(X1295,Cl_cle,0))&amp;"",""))</f>
        <v/>
      </c>
      <c r="AB1295" s="45">
        <f>IF(R1295&lt;&gt;"Livrée",0,IF(K1295&lt;&gt;"",K1295,C1295))</f>
        <v/>
      </c>
      <c r="AC1295" s="33">
        <f>IF(OR(C1295="",W1295=""),"",P1295&amp;"|"&amp;W1295&amp;"|"&amp;C1295&amp;"|"&amp;E1295)</f>
        <v/>
      </c>
      <c r="AD1295" s="39">
        <f>IF(AC1295="","",IF(COUNTIF(AC$6:AC1295,AC1295)=1,1,0))</f>
        <v/>
      </c>
      <c r="AE1295" s="39">
        <f>IF(AB1295=0,"",IF(COUNTIFS(X$6:X1295,X1295,AB$6:AB1295,AB1295)=1,1,0))</f>
        <v/>
      </c>
      <c r="AF1295" s="34">
        <f>IF(C1295="","",YEAR(C1295-WEEKDAY(C1295,2)+4)&amp;"-S"&amp;TEXT(INT((C1295-DATE(YEAR(C1295-WEEKDAY(C1295,2)+4),1,3)+WEEKDAY(DATE(YEAR(C1295-WEEKDAY(C1295,2)+4),1,3),2)+5)/7),"00"))</f>
        <v/>
      </c>
    </row>
    <row r="1296" ht="18" customHeight="1">
      <c r="A1296" s="39" t="n">
        <v>1291</v>
      </c>
      <c r="B1296" s="33">
        <f>IF(C1296="","",IF(P1296="À RENSEIGNER","GIC",P1296)&amp;"-C"&amp;TEXT(A1296,"00000"))</f>
        <v/>
      </c>
      <c r="C1296" s="32" t="n"/>
      <c r="D1296" s="36" t="n"/>
      <c r="E1296" s="36" t="n"/>
      <c r="F1296" s="36" t="n"/>
      <c r="G1296" s="42" t="n"/>
      <c r="H1296" s="37" t="n"/>
      <c r="I1296" s="37" t="n"/>
      <c r="J1296" s="32" t="n"/>
      <c r="K1296" s="32" t="n"/>
      <c r="L1296" s="43" t="n"/>
      <c r="M1296" s="36" t="n"/>
      <c r="N1296" s="44" t="n"/>
      <c r="O1296" s="36" t="n"/>
      <c r="P1296" s="33">
        <f>IF(C1296="","",Commercial_Id)</f>
        <v/>
      </c>
      <c r="Q1296" s="34">
        <f>IF(AC1296="","",IF(AD1296=1,"C"&amp;TEXT(SUM(AD$6:AD1296),"0000"),INDEX(Q$6:Q1295,MATCH(AC1296,AC$6:AC1295,0))))</f>
        <v/>
      </c>
      <c r="R1296" s="34">
        <f>IF(C1296="","",IF(L1296="☑ Oui","Annulée",IF(OR(E1296="Vente directe",K1296&lt;&gt;""),"Livrée",IF(J1296&lt;&gt;"","Confirmée","En attente"))))</f>
        <v/>
      </c>
      <c r="S1296" s="34">
        <f>IF(F1296="","",IFERROR(VLOOKUP(F1296,T_Produits,2,FALSE),""))</f>
        <v/>
      </c>
      <c r="T1296" s="40">
        <f>IF(F1296="","",IFERROR(1/(1/VLOOKUP(F1296,T_Produits,3,FALSE)),""))</f>
        <v/>
      </c>
      <c r="U1296" s="40">
        <f>IF(H1296&lt;&gt;"",H1296,T1296)</f>
        <v/>
      </c>
      <c r="V1296" s="40">
        <f>IF(OR(G1296="",U1296=""),"",G1296*U1296-N(I1296))</f>
        <v/>
      </c>
      <c r="W1296" s="39">
        <f>IF(D1296="","",IFERROR(VALUE(MID(D1296,LEN(D1296)-3,3)),""))</f>
        <v/>
      </c>
      <c r="X1296" s="33">
        <f>IF(W1296="","",P1296&amp;"|"&amp;W1296)</f>
        <v/>
      </c>
      <c r="Y1296" s="33">
        <f>IF(W1296="","",IF(P1296="À RENSEIGNER","GIC",P1296)&amp;"-"&amp;TEXT(W1296,"000"))</f>
        <v/>
      </c>
      <c r="Z1296" s="33">
        <f>IF(X1296="","",IFERROR(INDEX(Cl_nom,MATCH(X1296,Cl_cle,0)),"(client introuvable)"))</f>
        <v/>
      </c>
      <c r="AA1296" s="33">
        <f>IF(X1296="","",IFERROR(INDEX(Cl_quartier,MATCH(X1296,Cl_cle,0))&amp;"",""))</f>
        <v/>
      </c>
      <c r="AB1296" s="45">
        <f>IF(R1296&lt;&gt;"Livrée",0,IF(K1296&lt;&gt;"",K1296,C1296))</f>
        <v/>
      </c>
      <c r="AC1296" s="33">
        <f>IF(OR(C1296="",W1296=""),"",P1296&amp;"|"&amp;W1296&amp;"|"&amp;C1296&amp;"|"&amp;E1296)</f>
        <v/>
      </c>
      <c r="AD1296" s="39">
        <f>IF(AC1296="","",IF(COUNTIF(AC$6:AC1296,AC1296)=1,1,0))</f>
        <v/>
      </c>
      <c r="AE1296" s="39">
        <f>IF(AB1296=0,"",IF(COUNTIFS(X$6:X1296,X1296,AB$6:AB1296,AB1296)=1,1,0))</f>
        <v/>
      </c>
      <c r="AF1296" s="34">
        <f>IF(C1296="","",YEAR(C1296-WEEKDAY(C1296,2)+4)&amp;"-S"&amp;TEXT(INT((C1296-DATE(YEAR(C1296-WEEKDAY(C1296,2)+4),1,3)+WEEKDAY(DATE(YEAR(C1296-WEEKDAY(C1296,2)+4),1,3),2)+5)/7),"00"))</f>
        <v/>
      </c>
    </row>
    <row r="1297" ht="18" customHeight="1">
      <c r="A1297" s="39" t="n">
        <v>1292</v>
      </c>
      <c r="B1297" s="33">
        <f>IF(C1297="","",IF(P1297="À RENSEIGNER","GIC",P1297)&amp;"-C"&amp;TEXT(A1297,"00000"))</f>
        <v/>
      </c>
      <c r="C1297" s="32" t="n"/>
      <c r="D1297" s="36" t="n"/>
      <c r="E1297" s="36" t="n"/>
      <c r="F1297" s="36" t="n"/>
      <c r="G1297" s="42" t="n"/>
      <c r="H1297" s="37" t="n"/>
      <c r="I1297" s="37" t="n"/>
      <c r="J1297" s="32" t="n"/>
      <c r="K1297" s="32" t="n"/>
      <c r="L1297" s="43" t="n"/>
      <c r="M1297" s="36" t="n"/>
      <c r="N1297" s="44" t="n"/>
      <c r="O1297" s="36" t="n"/>
      <c r="P1297" s="33">
        <f>IF(C1297="","",Commercial_Id)</f>
        <v/>
      </c>
      <c r="Q1297" s="34">
        <f>IF(AC1297="","",IF(AD1297=1,"C"&amp;TEXT(SUM(AD$6:AD1297),"0000"),INDEX(Q$6:Q1296,MATCH(AC1297,AC$6:AC1296,0))))</f>
        <v/>
      </c>
      <c r="R1297" s="34">
        <f>IF(C1297="","",IF(L1297="☑ Oui","Annulée",IF(OR(E1297="Vente directe",K1297&lt;&gt;""),"Livrée",IF(J1297&lt;&gt;"","Confirmée","En attente"))))</f>
        <v/>
      </c>
      <c r="S1297" s="34">
        <f>IF(F1297="","",IFERROR(VLOOKUP(F1297,T_Produits,2,FALSE),""))</f>
        <v/>
      </c>
      <c r="T1297" s="40">
        <f>IF(F1297="","",IFERROR(1/(1/VLOOKUP(F1297,T_Produits,3,FALSE)),""))</f>
        <v/>
      </c>
      <c r="U1297" s="40">
        <f>IF(H1297&lt;&gt;"",H1297,T1297)</f>
        <v/>
      </c>
      <c r="V1297" s="40">
        <f>IF(OR(G1297="",U1297=""),"",G1297*U1297-N(I1297))</f>
        <v/>
      </c>
      <c r="W1297" s="39">
        <f>IF(D1297="","",IFERROR(VALUE(MID(D1297,LEN(D1297)-3,3)),""))</f>
        <v/>
      </c>
      <c r="X1297" s="33">
        <f>IF(W1297="","",P1297&amp;"|"&amp;W1297)</f>
        <v/>
      </c>
      <c r="Y1297" s="33">
        <f>IF(W1297="","",IF(P1297="À RENSEIGNER","GIC",P1297)&amp;"-"&amp;TEXT(W1297,"000"))</f>
        <v/>
      </c>
      <c r="Z1297" s="33">
        <f>IF(X1297="","",IFERROR(INDEX(Cl_nom,MATCH(X1297,Cl_cle,0)),"(client introuvable)"))</f>
        <v/>
      </c>
      <c r="AA1297" s="33">
        <f>IF(X1297="","",IFERROR(INDEX(Cl_quartier,MATCH(X1297,Cl_cle,0))&amp;"",""))</f>
        <v/>
      </c>
      <c r="AB1297" s="45">
        <f>IF(R1297&lt;&gt;"Livrée",0,IF(K1297&lt;&gt;"",K1297,C1297))</f>
        <v/>
      </c>
      <c r="AC1297" s="33">
        <f>IF(OR(C1297="",W1297=""),"",P1297&amp;"|"&amp;W1297&amp;"|"&amp;C1297&amp;"|"&amp;E1297)</f>
        <v/>
      </c>
      <c r="AD1297" s="39">
        <f>IF(AC1297="","",IF(COUNTIF(AC$6:AC1297,AC1297)=1,1,0))</f>
        <v/>
      </c>
      <c r="AE1297" s="39">
        <f>IF(AB1297=0,"",IF(COUNTIFS(X$6:X1297,X1297,AB$6:AB1297,AB1297)=1,1,0))</f>
        <v/>
      </c>
      <c r="AF1297" s="34">
        <f>IF(C1297="","",YEAR(C1297-WEEKDAY(C1297,2)+4)&amp;"-S"&amp;TEXT(INT((C1297-DATE(YEAR(C1297-WEEKDAY(C1297,2)+4),1,3)+WEEKDAY(DATE(YEAR(C1297-WEEKDAY(C1297,2)+4),1,3),2)+5)/7),"00"))</f>
        <v/>
      </c>
    </row>
    <row r="1298" ht="18" customHeight="1">
      <c r="A1298" s="39" t="n">
        <v>1293</v>
      </c>
      <c r="B1298" s="33">
        <f>IF(C1298="","",IF(P1298="À RENSEIGNER","GIC",P1298)&amp;"-C"&amp;TEXT(A1298,"00000"))</f>
        <v/>
      </c>
      <c r="C1298" s="32" t="n"/>
      <c r="D1298" s="36" t="n"/>
      <c r="E1298" s="36" t="n"/>
      <c r="F1298" s="36" t="n"/>
      <c r="G1298" s="42" t="n"/>
      <c r="H1298" s="37" t="n"/>
      <c r="I1298" s="37" t="n"/>
      <c r="J1298" s="32" t="n"/>
      <c r="K1298" s="32" t="n"/>
      <c r="L1298" s="43" t="n"/>
      <c r="M1298" s="36" t="n"/>
      <c r="N1298" s="44" t="n"/>
      <c r="O1298" s="36" t="n"/>
      <c r="P1298" s="33">
        <f>IF(C1298="","",Commercial_Id)</f>
        <v/>
      </c>
      <c r="Q1298" s="34">
        <f>IF(AC1298="","",IF(AD1298=1,"C"&amp;TEXT(SUM(AD$6:AD1298),"0000"),INDEX(Q$6:Q1297,MATCH(AC1298,AC$6:AC1297,0))))</f>
        <v/>
      </c>
      <c r="R1298" s="34">
        <f>IF(C1298="","",IF(L1298="☑ Oui","Annulée",IF(OR(E1298="Vente directe",K1298&lt;&gt;""),"Livrée",IF(J1298&lt;&gt;"","Confirmée","En attente"))))</f>
        <v/>
      </c>
      <c r="S1298" s="34">
        <f>IF(F1298="","",IFERROR(VLOOKUP(F1298,T_Produits,2,FALSE),""))</f>
        <v/>
      </c>
      <c r="T1298" s="40">
        <f>IF(F1298="","",IFERROR(1/(1/VLOOKUP(F1298,T_Produits,3,FALSE)),""))</f>
        <v/>
      </c>
      <c r="U1298" s="40">
        <f>IF(H1298&lt;&gt;"",H1298,T1298)</f>
        <v/>
      </c>
      <c r="V1298" s="40">
        <f>IF(OR(G1298="",U1298=""),"",G1298*U1298-N(I1298))</f>
        <v/>
      </c>
      <c r="W1298" s="39">
        <f>IF(D1298="","",IFERROR(VALUE(MID(D1298,LEN(D1298)-3,3)),""))</f>
        <v/>
      </c>
      <c r="X1298" s="33">
        <f>IF(W1298="","",P1298&amp;"|"&amp;W1298)</f>
        <v/>
      </c>
      <c r="Y1298" s="33">
        <f>IF(W1298="","",IF(P1298="À RENSEIGNER","GIC",P1298)&amp;"-"&amp;TEXT(W1298,"000"))</f>
        <v/>
      </c>
      <c r="Z1298" s="33">
        <f>IF(X1298="","",IFERROR(INDEX(Cl_nom,MATCH(X1298,Cl_cle,0)),"(client introuvable)"))</f>
        <v/>
      </c>
      <c r="AA1298" s="33">
        <f>IF(X1298="","",IFERROR(INDEX(Cl_quartier,MATCH(X1298,Cl_cle,0))&amp;"",""))</f>
        <v/>
      </c>
      <c r="AB1298" s="45">
        <f>IF(R1298&lt;&gt;"Livrée",0,IF(K1298&lt;&gt;"",K1298,C1298))</f>
        <v/>
      </c>
      <c r="AC1298" s="33">
        <f>IF(OR(C1298="",W1298=""),"",P1298&amp;"|"&amp;W1298&amp;"|"&amp;C1298&amp;"|"&amp;E1298)</f>
        <v/>
      </c>
      <c r="AD1298" s="39">
        <f>IF(AC1298="","",IF(COUNTIF(AC$6:AC1298,AC1298)=1,1,0))</f>
        <v/>
      </c>
      <c r="AE1298" s="39">
        <f>IF(AB1298=0,"",IF(COUNTIFS(X$6:X1298,X1298,AB$6:AB1298,AB1298)=1,1,0))</f>
        <v/>
      </c>
      <c r="AF1298" s="34">
        <f>IF(C1298="","",YEAR(C1298-WEEKDAY(C1298,2)+4)&amp;"-S"&amp;TEXT(INT((C1298-DATE(YEAR(C1298-WEEKDAY(C1298,2)+4),1,3)+WEEKDAY(DATE(YEAR(C1298-WEEKDAY(C1298,2)+4),1,3),2)+5)/7),"00"))</f>
        <v/>
      </c>
    </row>
    <row r="1299" ht="18" customHeight="1">
      <c r="A1299" s="39" t="n">
        <v>1294</v>
      </c>
      <c r="B1299" s="33">
        <f>IF(C1299="","",IF(P1299="À RENSEIGNER","GIC",P1299)&amp;"-C"&amp;TEXT(A1299,"00000"))</f>
        <v/>
      </c>
      <c r="C1299" s="32" t="n"/>
      <c r="D1299" s="36" t="n"/>
      <c r="E1299" s="36" t="n"/>
      <c r="F1299" s="36" t="n"/>
      <c r="G1299" s="42" t="n"/>
      <c r="H1299" s="37" t="n"/>
      <c r="I1299" s="37" t="n"/>
      <c r="J1299" s="32" t="n"/>
      <c r="K1299" s="32" t="n"/>
      <c r="L1299" s="43" t="n"/>
      <c r="M1299" s="36" t="n"/>
      <c r="N1299" s="44" t="n"/>
      <c r="O1299" s="36" t="n"/>
      <c r="P1299" s="33">
        <f>IF(C1299="","",Commercial_Id)</f>
        <v/>
      </c>
      <c r="Q1299" s="34">
        <f>IF(AC1299="","",IF(AD1299=1,"C"&amp;TEXT(SUM(AD$6:AD1299),"0000"),INDEX(Q$6:Q1298,MATCH(AC1299,AC$6:AC1298,0))))</f>
        <v/>
      </c>
      <c r="R1299" s="34">
        <f>IF(C1299="","",IF(L1299="☑ Oui","Annulée",IF(OR(E1299="Vente directe",K1299&lt;&gt;""),"Livrée",IF(J1299&lt;&gt;"","Confirmée","En attente"))))</f>
        <v/>
      </c>
      <c r="S1299" s="34">
        <f>IF(F1299="","",IFERROR(VLOOKUP(F1299,T_Produits,2,FALSE),""))</f>
        <v/>
      </c>
      <c r="T1299" s="40">
        <f>IF(F1299="","",IFERROR(1/(1/VLOOKUP(F1299,T_Produits,3,FALSE)),""))</f>
        <v/>
      </c>
      <c r="U1299" s="40">
        <f>IF(H1299&lt;&gt;"",H1299,T1299)</f>
        <v/>
      </c>
      <c r="V1299" s="40">
        <f>IF(OR(G1299="",U1299=""),"",G1299*U1299-N(I1299))</f>
        <v/>
      </c>
      <c r="W1299" s="39">
        <f>IF(D1299="","",IFERROR(VALUE(MID(D1299,LEN(D1299)-3,3)),""))</f>
        <v/>
      </c>
      <c r="X1299" s="33">
        <f>IF(W1299="","",P1299&amp;"|"&amp;W1299)</f>
        <v/>
      </c>
      <c r="Y1299" s="33">
        <f>IF(W1299="","",IF(P1299="À RENSEIGNER","GIC",P1299)&amp;"-"&amp;TEXT(W1299,"000"))</f>
        <v/>
      </c>
      <c r="Z1299" s="33">
        <f>IF(X1299="","",IFERROR(INDEX(Cl_nom,MATCH(X1299,Cl_cle,0)),"(client introuvable)"))</f>
        <v/>
      </c>
      <c r="AA1299" s="33">
        <f>IF(X1299="","",IFERROR(INDEX(Cl_quartier,MATCH(X1299,Cl_cle,0))&amp;"",""))</f>
        <v/>
      </c>
      <c r="AB1299" s="45">
        <f>IF(R1299&lt;&gt;"Livrée",0,IF(K1299&lt;&gt;"",K1299,C1299))</f>
        <v/>
      </c>
      <c r="AC1299" s="33">
        <f>IF(OR(C1299="",W1299=""),"",P1299&amp;"|"&amp;W1299&amp;"|"&amp;C1299&amp;"|"&amp;E1299)</f>
        <v/>
      </c>
      <c r="AD1299" s="39">
        <f>IF(AC1299="","",IF(COUNTIF(AC$6:AC1299,AC1299)=1,1,0))</f>
        <v/>
      </c>
      <c r="AE1299" s="39">
        <f>IF(AB1299=0,"",IF(COUNTIFS(X$6:X1299,X1299,AB$6:AB1299,AB1299)=1,1,0))</f>
        <v/>
      </c>
      <c r="AF1299" s="34">
        <f>IF(C1299="","",YEAR(C1299-WEEKDAY(C1299,2)+4)&amp;"-S"&amp;TEXT(INT((C1299-DATE(YEAR(C1299-WEEKDAY(C1299,2)+4),1,3)+WEEKDAY(DATE(YEAR(C1299-WEEKDAY(C1299,2)+4),1,3),2)+5)/7),"00"))</f>
        <v/>
      </c>
    </row>
    <row r="1300" ht="18" customHeight="1">
      <c r="A1300" s="39" t="n">
        <v>1295</v>
      </c>
      <c r="B1300" s="33">
        <f>IF(C1300="","",IF(P1300="À RENSEIGNER","GIC",P1300)&amp;"-C"&amp;TEXT(A1300,"00000"))</f>
        <v/>
      </c>
      <c r="C1300" s="32" t="n"/>
      <c r="D1300" s="36" t="n"/>
      <c r="E1300" s="36" t="n"/>
      <c r="F1300" s="36" t="n"/>
      <c r="G1300" s="42" t="n"/>
      <c r="H1300" s="37" t="n"/>
      <c r="I1300" s="37" t="n"/>
      <c r="J1300" s="32" t="n"/>
      <c r="K1300" s="32" t="n"/>
      <c r="L1300" s="43" t="n"/>
      <c r="M1300" s="36" t="n"/>
      <c r="N1300" s="44" t="n"/>
      <c r="O1300" s="36" t="n"/>
      <c r="P1300" s="33">
        <f>IF(C1300="","",Commercial_Id)</f>
        <v/>
      </c>
      <c r="Q1300" s="34">
        <f>IF(AC1300="","",IF(AD1300=1,"C"&amp;TEXT(SUM(AD$6:AD1300),"0000"),INDEX(Q$6:Q1299,MATCH(AC1300,AC$6:AC1299,0))))</f>
        <v/>
      </c>
      <c r="R1300" s="34">
        <f>IF(C1300="","",IF(L1300="☑ Oui","Annulée",IF(OR(E1300="Vente directe",K1300&lt;&gt;""),"Livrée",IF(J1300&lt;&gt;"","Confirmée","En attente"))))</f>
        <v/>
      </c>
      <c r="S1300" s="34">
        <f>IF(F1300="","",IFERROR(VLOOKUP(F1300,T_Produits,2,FALSE),""))</f>
        <v/>
      </c>
      <c r="T1300" s="40">
        <f>IF(F1300="","",IFERROR(1/(1/VLOOKUP(F1300,T_Produits,3,FALSE)),""))</f>
        <v/>
      </c>
      <c r="U1300" s="40">
        <f>IF(H1300&lt;&gt;"",H1300,T1300)</f>
        <v/>
      </c>
      <c r="V1300" s="40">
        <f>IF(OR(G1300="",U1300=""),"",G1300*U1300-N(I1300))</f>
        <v/>
      </c>
      <c r="W1300" s="39">
        <f>IF(D1300="","",IFERROR(VALUE(MID(D1300,LEN(D1300)-3,3)),""))</f>
        <v/>
      </c>
      <c r="X1300" s="33">
        <f>IF(W1300="","",P1300&amp;"|"&amp;W1300)</f>
        <v/>
      </c>
      <c r="Y1300" s="33">
        <f>IF(W1300="","",IF(P1300="À RENSEIGNER","GIC",P1300)&amp;"-"&amp;TEXT(W1300,"000"))</f>
        <v/>
      </c>
      <c r="Z1300" s="33">
        <f>IF(X1300="","",IFERROR(INDEX(Cl_nom,MATCH(X1300,Cl_cle,0)),"(client introuvable)"))</f>
        <v/>
      </c>
      <c r="AA1300" s="33">
        <f>IF(X1300="","",IFERROR(INDEX(Cl_quartier,MATCH(X1300,Cl_cle,0))&amp;"",""))</f>
        <v/>
      </c>
      <c r="AB1300" s="45">
        <f>IF(R1300&lt;&gt;"Livrée",0,IF(K1300&lt;&gt;"",K1300,C1300))</f>
        <v/>
      </c>
      <c r="AC1300" s="33">
        <f>IF(OR(C1300="",W1300=""),"",P1300&amp;"|"&amp;W1300&amp;"|"&amp;C1300&amp;"|"&amp;E1300)</f>
        <v/>
      </c>
      <c r="AD1300" s="39">
        <f>IF(AC1300="","",IF(COUNTIF(AC$6:AC1300,AC1300)=1,1,0))</f>
        <v/>
      </c>
      <c r="AE1300" s="39">
        <f>IF(AB1300=0,"",IF(COUNTIFS(X$6:X1300,X1300,AB$6:AB1300,AB1300)=1,1,0))</f>
        <v/>
      </c>
      <c r="AF1300" s="34">
        <f>IF(C1300="","",YEAR(C1300-WEEKDAY(C1300,2)+4)&amp;"-S"&amp;TEXT(INT((C1300-DATE(YEAR(C1300-WEEKDAY(C1300,2)+4),1,3)+WEEKDAY(DATE(YEAR(C1300-WEEKDAY(C1300,2)+4),1,3),2)+5)/7),"00"))</f>
        <v/>
      </c>
    </row>
    <row r="1301" ht="18" customHeight="1">
      <c r="A1301" s="39" t="n">
        <v>1296</v>
      </c>
      <c r="B1301" s="33">
        <f>IF(C1301="","",IF(P1301="À RENSEIGNER","GIC",P1301)&amp;"-C"&amp;TEXT(A1301,"00000"))</f>
        <v/>
      </c>
      <c r="C1301" s="32" t="n"/>
      <c r="D1301" s="36" t="n"/>
      <c r="E1301" s="36" t="n"/>
      <c r="F1301" s="36" t="n"/>
      <c r="G1301" s="42" t="n"/>
      <c r="H1301" s="37" t="n"/>
      <c r="I1301" s="37" t="n"/>
      <c r="J1301" s="32" t="n"/>
      <c r="K1301" s="32" t="n"/>
      <c r="L1301" s="43" t="n"/>
      <c r="M1301" s="36" t="n"/>
      <c r="N1301" s="44" t="n"/>
      <c r="O1301" s="36" t="n"/>
      <c r="P1301" s="33">
        <f>IF(C1301="","",Commercial_Id)</f>
        <v/>
      </c>
      <c r="Q1301" s="34">
        <f>IF(AC1301="","",IF(AD1301=1,"C"&amp;TEXT(SUM(AD$6:AD1301),"0000"),INDEX(Q$6:Q1300,MATCH(AC1301,AC$6:AC1300,0))))</f>
        <v/>
      </c>
      <c r="R1301" s="34">
        <f>IF(C1301="","",IF(L1301="☑ Oui","Annulée",IF(OR(E1301="Vente directe",K1301&lt;&gt;""),"Livrée",IF(J1301&lt;&gt;"","Confirmée","En attente"))))</f>
        <v/>
      </c>
      <c r="S1301" s="34">
        <f>IF(F1301="","",IFERROR(VLOOKUP(F1301,T_Produits,2,FALSE),""))</f>
        <v/>
      </c>
      <c r="T1301" s="40">
        <f>IF(F1301="","",IFERROR(1/(1/VLOOKUP(F1301,T_Produits,3,FALSE)),""))</f>
        <v/>
      </c>
      <c r="U1301" s="40">
        <f>IF(H1301&lt;&gt;"",H1301,T1301)</f>
        <v/>
      </c>
      <c r="V1301" s="40">
        <f>IF(OR(G1301="",U1301=""),"",G1301*U1301-N(I1301))</f>
        <v/>
      </c>
      <c r="W1301" s="39">
        <f>IF(D1301="","",IFERROR(VALUE(MID(D1301,LEN(D1301)-3,3)),""))</f>
        <v/>
      </c>
      <c r="X1301" s="33">
        <f>IF(W1301="","",P1301&amp;"|"&amp;W1301)</f>
        <v/>
      </c>
      <c r="Y1301" s="33">
        <f>IF(W1301="","",IF(P1301="À RENSEIGNER","GIC",P1301)&amp;"-"&amp;TEXT(W1301,"000"))</f>
        <v/>
      </c>
      <c r="Z1301" s="33">
        <f>IF(X1301="","",IFERROR(INDEX(Cl_nom,MATCH(X1301,Cl_cle,0)),"(client introuvable)"))</f>
        <v/>
      </c>
      <c r="AA1301" s="33">
        <f>IF(X1301="","",IFERROR(INDEX(Cl_quartier,MATCH(X1301,Cl_cle,0))&amp;"",""))</f>
        <v/>
      </c>
      <c r="AB1301" s="45">
        <f>IF(R1301&lt;&gt;"Livrée",0,IF(K1301&lt;&gt;"",K1301,C1301))</f>
        <v/>
      </c>
      <c r="AC1301" s="33">
        <f>IF(OR(C1301="",W1301=""),"",P1301&amp;"|"&amp;W1301&amp;"|"&amp;C1301&amp;"|"&amp;E1301)</f>
        <v/>
      </c>
      <c r="AD1301" s="39">
        <f>IF(AC1301="","",IF(COUNTIF(AC$6:AC1301,AC1301)=1,1,0))</f>
        <v/>
      </c>
      <c r="AE1301" s="39">
        <f>IF(AB1301=0,"",IF(COUNTIFS(X$6:X1301,X1301,AB$6:AB1301,AB1301)=1,1,0))</f>
        <v/>
      </c>
      <c r="AF1301" s="34">
        <f>IF(C1301="","",YEAR(C1301-WEEKDAY(C1301,2)+4)&amp;"-S"&amp;TEXT(INT((C1301-DATE(YEAR(C1301-WEEKDAY(C1301,2)+4),1,3)+WEEKDAY(DATE(YEAR(C1301-WEEKDAY(C1301,2)+4),1,3),2)+5)/7),"00"))</f>
        <v/>
      </c>
    </row>
    <row r="1302" ht="18" customHeight="1">
      <c r="A1302" s="39" t="n">
        <v>1297</v>
      </c>
      <c r="B1302" s="33">
        <f>IF(C1302="","",IF(P1302="À RENSEIGNER","GIC",P1302)&amp;"-C"&amp;TEXT(A1302,"00000"))</f>
        <v/>
      </c>
      <c r="C1302" s="32" t="n"/>
      <c r="D1302" s="36" t="n"/>
      <c r="E1302" s="36" t="n"/>
      <c r="F1302" s="36" t="n"/>
      <c r="G1302" s="42" t="n"/>
      <c r="H1302" s="37" t="n"/>
      <c r="I1302" s="37" t="n"/>
      <c r="J1302" s="32" t="n"/>
      <c r="K1302" s="32" t="n"/>
      <c r="L1302" s="43" t="n"/>
      <c r="M1302" s="36" t="n"/>
      <c r="N1302" s="44" t="n"/>
      <c r="O1302" s="36" t="n"/>
      <c r="P1302" s="33">
        <f>IF(C1302="","",Commercial_Id)</f>
        <v/>
      </c>
      <c r="Q1302" s="34">
        <f>IF(AC1302="","",IF(AD1302=1,"C"&amp;TEXT(SUM(AD$6:AD1302),"0000"),INDEX(Q$6:Q1301,MATCH(AC1302,AC$6:AC1301,0))))</f>
        <v/>
      </c>
      <c r="R1302" s="34">
        <f>IF(C1302="","",IF(L1302="☑ Oui","Annulée",IF(OR(E1302="Vente directe",K1302&lt;&gt;""),"Livrée",IF(J1302&lt;&gt;"","Confirmée","En attente"))))</f>
        <v/>
      </c>
      <c r="S1302" s="34">
        <f>IF(F1302="","",IFERROR(VLOOKUP(F1302,T_Produits,2,FALSE),""))</f>
        <v/>
      </c>
      <c r="T1302" s="40">
        <f>IF(F1302="","",IFERROR(1/(1/VLOOKUP(F1302,T_Produits,3,FALSE)),""))</f>
        <v/>
      </c>
      <c r="U1302" s="40">
        <f>IF(H1302&lt;&gt;"",H1302,T1302)</f>
        <v/>
      </c>
      <c r="V1302" s="40">
        <f>IF(OR(G1302="",U1302=""),"",G1302*U1302-N(I1302))</f>
        <v/>
      </c>
      <c r="W1302" s="39">
        <f>IF(D1302="","",IFERROR(VALUE(MID(D1302,LEN(D1302)-3,3)),""))</f>
        <v/>
      </c>
      <c r="X1302" s="33">
        <f>IF(W1302="","",P1302&amp;"|"&amp;W1302)</f>
        <v/>
      </c>
      <c r="Y1302" s="33">
        <f>IF(W1302="","",IF(P1302="À RENSEIGNER","GIC",P1302)&amp;"-"&amp;TEXT(W1302,"000"))</f>
        <v/>
      </c>
      <c r="Z1302" s="33">
        <f>IF(X1302="","",IFERROR(INDEX(Cl_nom,MATCH(X1302,Cl_cle,0)),"(client introuvable)"))</f>
        <v/>
      </c>
      <c r="AA1302" s="33">
        <f>IF(X1302="","",IFERROR(INDEX(Cl_quartier,MATCH(X1302,Cl_cle,0))&amp;"",""))</f>
        <v/>
      </c>
      <c r="AB1302" s="45">
        <f>IF(R1302&lt;&gt;"Livrée",0,IF(K1302&lt;&gt;"",K1302,C1302))</f>
        <v/>
      </c>
      <c r="AC1302" s="33">
        <f>IF(OR(C1302="",W1302=""),"",P1302&amp;"|"&amp;W1302&amp;"|"&amp;C1302&amp;"|"&amp;E1302)</f>
        <v/>
      </c>
      <c r="AD1302" s="39">
        <f>IF(AC1302="","",IF(COUNTIF(AC$6:AC1302,AC1302)=1,1,0))</f>
        <v/>
      </c>
      <c r="AE1302" s="39">
        <f>IF(AB1302=0,"",IF(COUNTIFS(X$6:X1302,X1302,AB$6:AB1302,AB1302)=1,1,0))</f>
        <v/>
      </c>
      <c r="AF1302" s="34">
        <f>IF(C1302="","",YEAR(C1302-WEEKDAY(C1302,2)+4)&amp;"-S"&amp;TEXT(INT((C1302-DATE(YEAR(C1302-WEEKDAY(C1302,2)+4),1,3)+WEEKDAY(DATE(YEAR(C1302-WEEKDAY(C1302,2)+4),1,3),2)+5)/7),"00"))</f>
        <v/>
      </c>
    </row>
    <row r="1303" ht="18" customHeight="1">
      <c r="A1303" s="39" t="n">
        <v>1298</v>
      </c>
      <c r="B1303" s="33">
        <f>IF(C1303="","",IF(P1303="À RENSEIGNER","GIC",P1303)&amp;"-C"&amp;TEXT(A1303,"00000"))</f>
        <v/>
      </c>
      <c r="C1303" s="32" t="n"/>
      <c r="D1303" s="36" t="n"/>
      <c r="E1303" s="36" t="n"/>
      <c r="F1303" s="36" t="n"/>
      <c r="G1303" s="42" t="n"/>
      <c r="H1303" s="37" t="n"/>
      <c r="I1303" s="37" t="n"/>
      <c r="J1303" s="32" t="n"/>
      <c r="K1303" s="32" t="n"/>
      <c r="L1303" s="43" t="n"/>
      <c r="M1303" s="36" t="n"/>
      <c r="N1303" s="44" t="n"/>
      <c r="O1303" s="36" t="n"/>
      <c r="P1303" s="33">
        <f>IF(C1303="","",Commercial_Id)</f>
        <v/>
      </c>
      <c r="Q1303" s="34">
        <f>IF(AC1303="","",IF(AD1303=1,"C"&amp;TEXT(SUM(AD$6:AD1303),"0000"),INDEX(Q$6:Q1302,MATCH(AC1303,AC$6:AC1302,0))))</f>
        <v/>
      </c>
      <c r="R1303" s="34">
        <f>IF(C1303="","",IF(L1303="☑ Oui","Annulée",IF(OR(E1303="Vente directe",K1303&lt;&gt;""),"Livrée",IF(J1303&lt;&gt;"","Confirmée","En attente"))))</f>
        <v/>
      </c>
      <c r="S1303" s="34">
        <f>IF(F1303="","",IFERROR(VLOOKUP(F1303,T_Produits,2,FALSE),""))</f>
        <v/>
      </c>
      <c r="T1303" s="40">
        <f>IF(F1303="","",IFERROR(1/(1/VLOOKUP(F1303,T_Produits,3,FALSE)),""))</f>
        <v/>
      </c>
      <c r="U1303" s="40">
        <f>IF(H1303&lt;&gt;"",H1303,T1303)</f>
        <v/>
      </c>
      <c r="V1303" s="40">
        <f>IF(OR(G1303="",U1303=""),"",G1303*U1303-N(I1303))</f>
        <v/>
      </c>
      <c r="W1303" s="39">
        <f>IF(D1303="","",IFERROR(VALUE(MID(D1303,LEN(D1303)-3,3)),""))</f>
        <v/>
      </c>
      <c r="X1303" s="33">
        <f>IF(W1303="","",P1303&amp;"|"&amp;W1303)</f>
        <v/>
      </c>
      <c r="Y1303" s="33">
        <f>IF(W1303="","",IF(P1303="À RENSEIGNER","GIC",P1303)&amp;"-"&amp;TEXT(W1303,"000"))</f>
        <v/>
      </c>
      <c r="Z1303" s="33">
        <f>IF(X1303="","",IFERROR(INDEX(Cl_nom,MATCH(X1303,Cl_cle,0)),"(client introuvable)"))</f>
        <v/>
      </c>
      <c r="AA1303" s="33">
        <f>IF(X1303="","",IFERROR(INDEX(Cl_quartier,MATCH(X1303,Cl_cle,0))&amp;"",""))</f>
        <v/>
      </c>
      <c r="AB1303" s="45">
        <f>IF(R1303&lt;&gt;"Livrée",0,IF(K1303&lt;&gt;"",K1303,C1303))</f>
        <v/>
      </c>
      <c r="AC1303" s="33">
        <f>IF(OR(C1303="",W1303=""),"",P1303&amp;"|"&amp;W1303&amp;"|"&amp;C1303&amp;"|"&amp;E1303)</f>
        <v/>
      </c>
      <c r="AD1303" s="39">
        <f>IF(AC1303="","",IF(COUNTIF(AC$6:AC1303,AC1303)=1,1,0))</f>
        <v/>
      </c>
      <c r="AE1303" s="39">
        <f>IF(AB1303=0,"",IF(COUNTIFS(X$6:X1303,X1303,AB$6:AB1303,AB1303)=1,1,0))</f>
        <v/>
      </c>
      <c r="AF1303" s="34">
        <f>IF(C1303="","",YEAR(C1303-WEEKDAY(C1303,2)+4)&amp;"-S"&amp;TEXT(INT((C1303-DATE(YEAR(C1303-WEEKDAY(C1303,2)+4),1,3)+WEEKDAY(DATE(YEAR(C1303-WEEKDAY(C1303,2)+4),1,3),2)+5)/7),"00"))</f>
        <v/>
      </c>
    </row>
    <row r="1304" ht="18" customHeight="1">
      <c r="A1304" s="39" t="n">
        <v>1299</v>
      </c>
      <c r="B1304" s="33">
        <f>IF(C1304="","",IF(P1304="À RENSEIGNER","GIC",P1304)&amp;"-C"&amp;TEXT(A1304,"00000"))</f>
        <v/>
      </c>
      <c r="C1304" s="32" t="n"/>
      <c r="D1304" s="36" t="n"/>
      <c r="E1304" s="36" t="n"/>
      <c r="F1304" s="36" t="n"/>
      <c r="G1304" s="42" t="n"/>
      <c r="H1304" s="37" t="n"/>
      <c r="I1304" s="37" t="n"/>
      <c r="J1304" s="32" t="n"/>
      <c r="K1304" s="32" t="n"/>
      <c r="L1304" s="43" t="n"/>
      <c r="M1304" s="36" t="n"/>
      <c r="N1304" s="44" t="n"/>
      <c r="O1304" s="36" t="n"/>
      <c r="P1304" s="33">
        <f>IF(C1304="","",Commercial_Id)</f>
        <v/>
      </c>
      <c r="Q1304" s="34">
        <f>IF(AC1304="","",IF(AD1304=1,"C"&amp;TEXT(SUM(AD$6:AD1304),"0000"),INDEX(Q$6:Q1303,MATCH(AC1304,AC$6:AC1303,0))))</f>
        <v/>
      </c>
      <c r="R1304" s="34">
        <f>IF(C1304="","",IF(L1304="☑ Oui","Annulée",IF(OR(E1304="Vente directe",K1304&lt;&gt;""),"Livrée",IF(J1304&lt;&gt;"","Confirmée","En attente"))))</f>
        <v/>
      </c>
      <c r="S1304" s="34">
        <f>IF(F1304="","",IFERROR(VLOOKUP(F1304,T_Produits,2,FALSE),""))</f>
        <v/>
      </c>
      <c r="T1304" s="40">
        <f>IF(F1304="","",IFERROR(1/(1/VLOOKUP(F1304,T_Produits,3,FALSE)),""))</f>
        <v/>
      </c>
      <c r="U1304" s="40">
        <f>IF(H1304&lt;&gt;"",H1304,T1304)</f>
        <v/>
      </c>
      <c r="V1304" s="40">
        <f>IF(OR(G1304="",U1304=""),"",G1304*U1304-N(I1304))</f>
        <v/>
      </c>
      <c r="W1304" s="39">
        <f>IF(D1304="","",IFERROR(VALUE(MID(D1304,LEN(D1304)-3,3)),""))</f>
        <v/>
      </c>
      <c r="X1304" s="33">
        <f>IF(W1304="","",P1304&amp;"|"&amp;W1304)</f>
        <v/>
      </c>
      <c r="Y1304" s="33">
        <f>IF(W1304="","",IF(P1304="À RENSEIGNER","GIC",P1304)&amp;"-"&amp;TEXT(W1304,"000"))</f>
        <v/>
      </c>
      <c r="Z1304" s="33">
        <f>IF(X1304="","",IFERROR(INDEX(Cl_nom,MATCH(X1304,Cl_cle,0)),"(client introuvable)"))</f>
        <v/>
      </c>
      <c r="AA1304" s="33">
        <f>IF(X1304="","",IFERROR(INDEX(Cl_quartier,MATCH(X1304,Cl_cle,0))&amp;"",""))</f>
        <v/>
      </c>
      <c r="AB1304" s="45">
        <f>IF(R1304&lt;&gt;"Livrée",0,IF(K1304&lt;&gt;"",K1304,C1304))</f>
        <v/>
      </c>
      <c r="AC1304" s="33">
        <f>IF(OR(C1304="",W1304=""),"",P1304&amp;"|"&amp;W1304&amp;"|"&amp;C1304&amp;"|"&amp;E1304)</f>
        <v/>
      </c>
      <c r="AD1304" s="39">
        <f>IF(AC1304="","",IF(COUNTIF(AC$6:AC1304,AC1304)=1,1,0))</f>
        <v/>
      </c>
      <c r="AE1304" s="39">
        <f>IF(AB1304=0,"",IF(COUNTIFS(X$6:X1304,X1304,AB$6:AB1304,AB1304)=1,1,0))</f>
        <v/>
      </c>
      <c r="AF1304" s="34">
        <f>IF(C1304="","",YEAR(C1304-WEEKDAY(C1304,2)+4)&amp;"-S"&amp;TEXT(INT((C1304-DATE(YEAR(C1304-WEEKDAY(C1304,2)+4),1,3)+WEEKDAY(DATE(YEAR(C1304-WEEKDAY(C1304,2)+4),1,3),2)+5)/7),"00"))</f>
        <v/>
      </c>
    </row>
    <row r="1305" ht="18" customHeight="1">
      <c r="A1305" s="39" t="n">
        <v>1300</v>
      </c>
      <c r="B1305" s="33">
        <f>IF(C1305="","",IF(P1305="À RENSEIGNER","GIC",P1305)&amp;"-C"&amp;TEXT(A1305,"00000"))</f>
        <v/>
      </c>
      <c r="C1305" s="32" t="n"/>
      <c r="D1305" s="36" t="n"/>
      <c r="E1305" s="36" t="n"/>
      <c r="F1305" s="36" t="n"/>
      <c r="G1305" s="42" t="n"/>
      <c r="H1305" s="37" t="n"/>
      <c r="I1305" s="37" t="n"/>
      <c r="J1305" s="32" t="n"/>
      <c r="K1305" s="32" t="n"/>
      <c r="L1305" s="43" t="n"/>
      <c r="M1305" s="36" t="n"/>
      <c r="N1305" s="44" t="n"/>
      <c r="O1305" s="36" t="n"/>
      <c r="P1305" s="33">
        <f>IF(C1305="","",Commercial_Id)</f>
        <v/>
      </c>
      <c r="Q1305" s="34">
        <f>IF(AC1305="","",IF(AD1305=1,"C"&amp;TEXT(SUM(AD$6:AD1305),"0000"),INDEX(Q$6:Q1304,MATCH(AC1305,AC$6:AC1304,0))))</f>
        <v/>
      </c>
      <c r="R1305" s="34">
        <f>IF(C1305="","",IF(L1305="☑ Oui","Annulée",IF(OR(E1305="Vente directe",K1305&lt;&gt;""),"Livrée",IF(J1305&lt;&gt;"","Confirmée","En attente"))))</f>
        <v/>
      </c>
      <c r="S1305" s="34">
        <f>IF(F1305="","",IFERROR(VLOOKUP(F1305,T_Produits,2,FALSE),""))</f>
        <v/>
      </c>
      <c r="T1305" s="40">
        <f>IF(F1305="","",IFERROR(1/(1/VLOOKUP(F1305,T_Produits,3,FALSE)),""))</f>
        <v/>
      </c>
      <c r="U1305" s="40">
        <f>IF(H1305&lt;&gt;"",H1305,T1305)</f>
        <v/>
      </c>
      <c r="V1305" s="40">
        <f>IF(OR(G1305="",U1305=""),"",G1305*U1305-N(I1305))</f>
        <v/>
      </c>
      <c r="W1305" s="39">
        <f>IF(D1305="","",IFERROR(VALUE(MID(D1305,LEN(D1305)-3,3)),""))</f>
        <v/>
      </c>
      <c r="X1305" s="33">
        <f>IF(W1305="","",P1305&amp;"|"&amp;W1305)</f>
        <v/>
      </c>
      <c r="Y1305" s="33">
        <f>IF(W1305="","",IF(P1305="À RENSEIGNER","GIC",P1305)&amp;"-"&amp;TEXT(W1305,"000"))</f>
        <v/>
      </c>
      <c r="Z1305" s="33">
        <f>IF(X1305="","",IFERROR(INDEX(Cl_nom,MATCH(X1305,Cl_cle,0)),"(client introuvable)"))</f>
        <v/>
      </c>
      <c r="AA1305" s="33">
        <f>IF(X1305="","",IFERROR(INDEX(Cl_quartier,MATCH(X1305,Cl_cle,0))&amp;"",""))</f>
        <v/>
      </c>
      <c r="AB1305" s="45">
        <f>IF(R1305&lt;&gt;"Livrée",0,IF(K1305&lt;&gt;"",K1305,C1305))</f>
        <v/>
      </c>
      <c r="AC1305" s="33">
        <f>IF(OR(C1305="",W1305=""),"",P1305&amp;"|"&amp;W1305&amp;"|"&amp;C1305&amp;"|"&amp;E1305)</f>
        <v/>
      </c>
      <c r="AD1305" s="39">
        <f>IF(AC1305="","",IF(COUNTIF(AC$6:AC1305,AC1305)=1,1,0))</f>
        <v/>
      </c>
      <c r="AE1305" s="39">
        <f>IF(AB1305=0,"",IF(COUNTIFS(X$6:X1305,X1305,AB$6:AB1305,AB1305)=1,1,0))</f>
        <v/>
      </c>
      <c r="AF1305" s="34">
        <f>IF(C1305="","",YEAR(C1305-WEEKDAY(C1305,2)+4)&amp;"-S"&amp;TEXT(INT((C1305-DATE(YEAR(C1305-WEEKDAY(C1305,2)+4),1,3)+WEEKDAY(DATE(YEAR(C1305-WEEKDAY(C1305,2)+4),1,3),2)+5)/7),"00"))</f>
        <v/>
      </c>
    </row>
    <row r="1306" ht="18" customHeight="1">
      <c r="A1306" s="39" t="n">
        <v>1301</v>
      </c>
      <c r="B1306" s="33">
        <f>IF(C1306="","",IF(P1306="À RENSEIGNER","GIC",P1306)&amp;"-C"&amp;TEXT(A1306,"00000"))</f>
        <v/>
      </c>
      <c r="C1306" s="32" t="n"/>
      <c r="D1306" s="36" t="n"/>
      <c r="E1306" s="36" t="n"/>
      <c r="F1306" s="36" t="n"/>
      <c r="G1306" s="42" t="n"/>
      <c r="H1306" s="37" t="n"/>
      <c r="I1306" s="37" t="n"/>
      <c r="J1306" s="32" t="n"/>
      <c r="K1306" s="32" t="n"/>
      <c r="L1306" s="43" t="n"/>
      <c r="M1306" s="36" t="n"/>
      <c r="N1306" s="44" t="n"/>
      <c r="O1306" s="36" t="n"/>
      <c r="P1306" s="33">
        <f>IF(C1306="","",Commercial_Id)</f>
        <v/>
      </c>
      <c r="Q1306" s="34">
        <f>IF(AC1306="","",IF(AD1306=1,"C"&amp;TEXT(SUM(AD$6:AD1306),"0000"),INDEX(Q$6:Q1305,MATCH(AC1306,AC$6:AC1305,0))))</f>
        <v/>
      </c>
      <c r="R1306" s="34">
        <f>IF(C1306="","",IF(L1306="☑ Oui","Annulée",IF(OR(E1306="Vente directe",K1306&lt;&gt;""),"Livrée",IF(J1306&lt;&gt;"","Confirmée","En attente"))))</f>
        <v/>
      </c>
      <c r="S1306" s="34">
        <f>IF(F1306="","",IFERROR(VLOOKUP(F1306,T_Produits,2,FALSE),""))</f>
        <v/>
      </c>
      <c r="T1306" s="40">
        <f>IF(F1306="","",IFERROR(1/(1/VLOOKUP(F1306,T_Produits,3,FALSE)),""))</f>
        <v/>
      </c>
      <c r="U1306" s="40">
        <f>IF(H1306&lt;&gt;"",H1306,T1306)</f>
        <v/>
      </c>
      <c r="V1306" s="40">
        <f>IF(OR(G1306="",U1306=""),"",G1306*U1306-N(I1306))</f>
        <v/>
      </c>
      <c r="W1306" s="39">
        <f>IF(D1306="","",IFERROR(VALUE(MID(D1306,LEN(D1306)-3,3)),""))</f>
        <v/>
      </c>
      <c r="X1306" s="33">
        <f>IF(W1306="","",P1306&amp;"|"&amp;W1306)</f>
        <v/>
      </c>
      <c r="Y1306" s="33">
        <f>IF(W1306="","",IF(P1306="À RENSEIGNER","GIC",P1306)&amp;"-"&amp;TEXT(W1306,"000"))</f>
        <v/>
      </c>
      <c r="Z1306" s="33">
        <f>IF(X1306="","",IFERROR(INDEX(Cl_nom,MATCH(X1306,Cl_cle,0)),"(client introuvable)"))</f>
        <v/>
      </c>
      <c r="AA1306" s="33">
        <f>IF(X1306="","",IFERROR(INDEX(Cl_quartier,MATCH(X1306,Cl_cle,0))&amp;"",""))</f>
        <v/>
      </c>
      <c r="AB1306" s="45">
        <f>IF(R1306&lt;&gt;"Livrée",0,IF(K1306&lt;&gt;"",K1306,C1306))</f>
        <v/>
      </c>
      <c r="AC1306" s="33">
        <f>IF(OR(C1306="",W1306=""),"",P1306&amp;"|"&amp;W1306&amp;"|"&amp;C1306&amp;"|"&amp;E1306)</f>
        <v/>
      </c>
      <c r="AD1306" s="39">
        <f>IF(AC1306="","",IF(COUNTIF(AC$6:AC1306,AC1306)=1,1,0))</f>
        <v/>
      </c>
      <c r="AE1306" s="39">
        <f>IF(AB1306=0,"",IF(COUNTIFS(X$6:X1306,X1306,AB$6:AB1306,AB1306)=1,1,0))</f>
        <v/>
      </c>
      <c r="AF1306" s="34">
        <f>IF(C1306="","",YEAR(C1306-WEEKDAY(C1306,2)+4)&amp;"-S"&amp;TEXT(INT((C1306-DATE(YEAR(C1306-WEEKDAY(C1306,2)+4),1,3)+WEEKDAY(DATE(YEAR(C1306-WEEKDAY(C1306,2)+4),1,3),2)+5)/7),"00"))</f>
        <v/>
      </c>
    </row>
    <row r="1307" ht="18" customHeight="1">
      <c r="A1307" s="39" t="n">
        <v>1302</v>
      </c>
      <c r="B1307" s="33">
        <f>IF(C1307="","",IF(P1307="À RENSEIGNER","GIC",P1307)&amp;"-C"&amp;TEXT(A1307,"00000"))</f>
        <v/>
      </c>
      <c r="C1307" s="32" t="n"/>
      <c r="D1307" s="36" t="n"/>
      <c r="E1307" s="36" t="n"/>
      <c r="F1307" s="36" t="n"/>
      <c r="G1307" s="42" t="n"/>
      <c r="H1307" s="37" t="n"/>
      <c r="I1307" s="37" t="n"/>
      <c r="J1307" s="32" t="n"/>
      <c r="K1307" s="32" t="n"/>
      <c r="L1307" s="43" t="n"/>
      <c r="M1307" s="36" t="n"/>
      <c r="N1307" s="44" t="n"/>
      <c r="O1307" s="36" t="n"/>
      <c r="P1307" s="33">
        <f>IF(C1307="","",Commercial_Id)</f>
        <v/>
      </c>
      <c r="Q1307" s="34">
        <f>IF(AC1307="","",IF(AD1307=1,"C"&amp;TEXT(SUM(AD$6:AD1307),"0000"),INDEX(Q$6:Q1306,MATCH(AC1307,AC$6:AC1306,0))))</f>
        <v/>
      </c>
      <c r="R1307" s="34">
        <f>IF(C1307="","",IF(L1307="☑ Oui","Annulée",IF(OR(E1307="Vente directe",K1307&lt;&gt;""),"Livrée",IF(J1307&lt;&gt;"","Confirmée","En attente"))))</f>
        <v/>
      </c>
      <c r="S1307" s="34">
        <f>IF(F1307="","",IFERROR(VLOOKUP(F1307,T_Produits,2,FALSE),""))</f>
        <v/>
      </c>
      <c r="T1307" s="40">
        <f>IF(F1307="","",IFERROR(1/(1/VLOOKUP(F1307,T_Produits,3,FALSE)),""))</f>
        <v/>
      </c>
      <c r="U1307" s="40">
        <f>IF(H1307&lt;&gt;"",H1307,T1307)</f>
        <v/>
      </c>
      <c r="V1307" s="40">
        <f>IF(OR(G1307="",U1307=""),"",G1307*U1307-N(I1307))</f>
        <v/>
      </c>
      <c r="W1307" s="39">
        <f>IF(D1307="","",IFERROR(VALUE(MID(D1307,LEN(D1307)-3,3)),""))</f>
        <v/>
      </c>
      <c r="X1307" s="33">
        <f>IF(W1307="","",P1307&amp;"|"&amp;W1307)</f>
        <v/>
      </c>
      <c r="Y1307" s="33">
        <f>IF(W1307="","",IF(P1307="À RENSEIGNER","GIC",P1307)&amp;"-"&amp;TEXT(W1307,"000"))</f>
        <v/>
      </c>
      <c r="Z1307" s="33">
        <f>IF(X1307="","",IFERROR(INDEX(Cl_nom,MATCH(X1307,Cl_cle,0)),"(client introuvable)"))</f>
        <v/>
      </c>
      <c r="AA1307" s="33">
        <f>IF(X1307="","",IFERROR(INDEX(Cl_quartier,MATCH(X1307,Cl_cle,0))&amp;"",""))</f>
        <v/>
      </c>
      <c r="AB1307" s="45">
        <f>IF(R1307&lt;&gt;"Livrée",0,IF(K1307&lt;&gt;"",K1307,C1307))</f>
        <v/>
      </c>
      <c r="AC1307" s="33">
        <f>IF(OR(C1307="",W1307=""),"",P1307&amp;"|"&amp;W1307&amp;"|"&amp;C1307&amp;"|"&amp;E1307)</f>
        <v/>
      </c>
      <c r="AD1307" s="39">
        <f>IF(AC1307="","",IF(COUNTIF(AC$6:AC1307,AC1307)=1,1,0))</f>
        <v/>
      </c>
      <c r="AE1307" s="39">
        <f>IF(AB1307=0,"",IF(COUNTIFS(X$6:X1307,X1307,AB$6:AB1307,AB1307)=1,1,0))</f>
        <v/>
      </c>
      <c r="AF1307" s="34">
        <f>IF(C1307="","",YEAR(C1307-WEEKDAY(C1307,2)+4)&amp;"-S"&amp;TEXT(INT((C1307-DATE(YEAR(C1307-WEEKDAY(C1307,2)+4),1,3)+WEEKDAY(DATE(YEAR(C1307-WEEKDAY(C1307,2)+4),1,3),2)+5)/7),"00"))</f>
        <v/>
      </c>
    </row>
    <row r="1308" ht="18" customHeight="1">
      <c r="A1308" s="39" t="n">
        <v>1303</v>
      </c>
      <c r="B1308" s="33">
        <f>IF(C1308="","",IF(P1308="À RENSEIGNER","GIC",P1308)&amp;"-C"&amp;TEXT(A1308,"00000"))</f>
        <v/>
      </c>
      <c r="C1308" s="32" t="n"/>
      <c r="D1308" s="36" t="n"/>
      <c r="E1308" s="36" t="n"/>
      <c r="F1308" s="36" t="n"/>
      <c r="G1308" s="42" t="n"/>
      <c r="H1308" s="37" t="n"/>
      <c r="I1308" s="37" t="n"/>
      <c r="J1308" s="32" t="n"/>
      <c r="K1308" s="32" t="n"/>
      <c r="L1308" s="43" t="n"/>
      <c r="M1308" s="36" t="n"/>
      <c r="N1308" s="44" t="n"/>
      <c r="O1308" s="36" t="n"/>
      <c r="P1308" s="33">
        <f>IF(C1308="","",Commercial_Id)</f>
        <v/>
      </c>
      <c r="Q1308" s="34">
        <f>IF(AC1308="","",IF(AD1308=1,"C"&amp;TEXT(SUM(AD$6:AD1308),"0000"),INDEX(Q$6:Q1307,MATCH(AC1308,AC$6:AC1307,0))))</f>
        <v/>
      </c>
      <c r="R1308" s="34">
        <f>IF(C1308="","",IF(L1308="☑ Oui","Annulée",IF(OR(E1308="Vente directe",K1308&lt;&gt;""),"Livrée",IF(J1308&lt;&gt;"","Confirmée","En attente"))))</f>
        <v/>
      </c>
      <c r="S1308" s="34">
        <f>IF(F1308="","",IFERROR(VLOOKUP(F1308,T_Produits,2,FALSE),""))</f>
        <v/>
      </c>
      <c r="T1308" s="40">
        <f>IF(F1308="","",IFERROR(1/(1/VLOOKUP(F1308,T_Produits,3,FALSE)),""))</f>
        <v/>
      </c>
      <c r="U1308" s="40">
        <f>IF(H1308&lt;&gt;"",H1308,T1308)</f>
        <v/>
      </c>
      <c r="V1308" s="40">
        <f>IF(OR(G1308="",U1308=""),"",G1308*U1308-N(I1308))</f>
        <v/>
      </c>
      <c r="W1308" s="39">
        <f>IF(D1308="","",IFERROR(VALUE(MID(D1308,LEN(D1308)-3,3)),""))</f>
        <v/>
      </c>
      <c r="X1308" s="33">
        <f>IF(W1308="","",P1308&amp;"|"&amp;W1308)</f>
        <v/>
      </c>
      <c r="Y1308" s="33">
        <f>IF(W1308="","",IF(P1308="À RENSEIGNER","GIC",P1308)&amp;"-"&amp;TEXT(W1308,"000"))</f>
        <v/>
      </c>
      <c r="Z1308" s="33">
        <f>IF(X1308="","",IFERROR(INDEX(Cl_nom,MATCH(X1308,Cl_cle,0)),"(client introuvable)"))</f>
        <v/>
      </c>
      <c r="AA1308" s="33">
        <f>IF(X1308="","",IFERROR(INDEX(Cl_quartier,MATCH(X1308,Cl_cle,0))&amp;"",""))</f>
        <v/>
      </c>
      <c r="AB1308" s="45">
        <f>IF(R1308&lt;&gt;"Livrée",0,IF(K1308&lt;&gt;"",K1308,C1308))</f>
        <v/>
      </c>
      <c r="AC1308" s="33">
        <f>IF(OR(C1308="",W1308=""),"",P1308&amp;"|"&amp;W1308&amp;"|"&amp;C1308&amp;"|"&amp;E1308)</f>
        <v/>
      </c>
      <c r="AD1308" s="39">
        <f>IF(AC1308="","",IF(COUNTIF(AC$6:AC1308,AC1308)=1,1,0))</f>
        <v/>
      </c>
      <c r="AE1308" s="39">
        <f>IF(AB1308=0,"",IF(COUNTIFS(X$6:X1308,X1308,AB$6:AB1308,AB1308)=1,1,0))</f>
        <v/>
      </c>
      <c r="AF1308" s="34">
        <f>IF(C1308="","",YEAR(C1308-WEEKDAY(C1308,2)+4)&amp;"-S"&amp;TEXT(INT((C1308-DATE(YEAR(C1308-WEEKDAY(C1308,2)+4),1,3)+WEEKDAY(DATE(YEAR(C1308-WEEKDAY(C1308,2)+4),1,3),2)+5)/7),"00"))</f>
        <v/>
      </c>
    </row>
    <row r="1309" ht="18" customHeight="1">
      <c r="A1309" s="39" t="n">
        <v>1304</v>
      </c>
      <c r="B1309" s="33">
        <f>IF(C1309="","",IF(P1309="À RENSEIGNER","GIC",P1309)&amp;"-C"&amp;TEXT(A1309,"00000"))</f>
        <v/>
      </c>
      <c r="C1309" s="32" t="n"/>
      <c r="D1309" s="36" t="n"/>
      <c r="E1309" s="36" t="n"/>
      <c r="F1309" s="36" t="n"/>
      <c r="G1309" s="42" t="n"/>
      <c r="H1309" s="37" t="n"/>
      <c r="I1309" s="37" t="n"/>
      <c r="J1309" s="32" t="n"/>
      <c r="K1309" s="32" t="n"/>
      <c r="L1309" s="43" t="n"/>
      <c r="M1309" s="36" t="n"/>
      <c r="N1309" s="44" t="n"/>
      <c r="O1309" s="36" t="n"/>
      <c r="P1309" s="33">
        <f>IF(C1309="","",Commercial_Id)</f>
        <v/>
      </c>
      <c r="Q1309" s="34">
        <f>IF(AC1309="","",IF(AD1309=1,"C"&amp;TEXT(SUM(AD$6:AD1309),"0000"),INDEX(Q$6:Q1308,MATCH(AC1309,AC$6:AC1308,0))))</f>
        <v/>
      </c>
      <c r="R1309" s="34">
        <f>IF(C1309="","",IF(L1309="☑ Oui","Annulée",IF(OR(E1309="Vente directe",K1309&lt;&gt;""),"Livrée",IF(J1309&lt;&gt;"","Confirmée","En attente"))))</f>
        <v/>
      </c>
      <c r="S1309" s="34">
        <f>IF(F1309="","",IFERROR(VLOOKUP(F1309,T_Produits,2,FALSE),""))</f>
        <v/>
      </c>
      <c r="T1309" s="40">
        <f>IF(F1309="","",IFERROR(1/(1/VLOOKUP(F1309,T_Produits,3,FALSE)),""))</f>
        <v/>
      </c>
      <c r="U1309" s="40">
        <f>IF(H1309&lt;&gt;"",H1309,T1309)</f>
        <v/>
      </c>
      <c r="V1309" s="40">
        <f>IF(OR(G1309="",U1309=""),"",G1309*U1309-N(I1309))</f>
        <v/>
      </c>
      <c r="W1309" s="39">
        <f>IF(D1309="","",IFERROR(VALUE(MID(D1309,LEN(D1309)-3,3)),""))</f>
        <v/>
      </c>
      <c r="X1309" s="33">
        <f>IF(W1309="","",P1309&amp;"|"&amp;W1309)</f>
        <v/>
      </c>
      <c r="Y1309" s="33">
        <f>IF(W1309="","",IF(P1309="À RENSEIGNER","GIC",P1309)&amp;"-"&amp;TEXT(W1309,"000"))</f>
        <v/>
      </c>
      <c r="Z1309" s="33">
        <f>IF(X1309="","",IFERROR(INDEX(Cl_nom,MATCH(X1309,Cl_cle,0)),"(client introuvable)"))</f>
        <v/>
      </c>
      <c r="AA1309" s="33">
        <f>IF(X1309="","",IFERROR(INDEX(Cl_quartier,MATCH(X1309,Cl_cle,0))&amp;"",""))</f>
        <v/>
      </c>
      <c r="AB1309" s="45">
        <f>IF(R1309&lt;&gt;"Livrée",0,IF(K1309&lt;&gt;"",K1309,C1309))</f>
        <v/>
      </c>
      <c r="AC1309" s="33">
        <f>IF(OR(C1309="",W1309=""),"",P1309&amp;"|"&amp;W1309&amp;"|"&amp;C1309&amp;"|"&amp;E1309)</f>
        <v/>
      </c>
      <c r="AD1309" s="39">
        <f>IF(AC1309="","",IF(COUNTIF(AC$6:AC1309,AC1309)=1,1,0))</f>
        <v/>
      </c>
      <c r="AE1309" s="39">
        <f>IF(AB1309=0,"",IF(COUNTIFS(X$6:X1309,X1309,AB$6:AB1309,AB1309)=1,1,0))</f>
        <v/>
      </c>
      <c r="AF1309" s="34">
        <f>IF(C1309="","",YEAR(C1309-WEEKDAY(C1309,2)+4)&amp;"-S"&amp;TEXT(INT((C1309-DATE(YEAR(C1309-WEEKDAY(C1309,2)+4),1,3)+WEEKDAY(DATE(YEAR(C1309-WEEKDAY(C1309,2)+4),1,3),2)+5)/7),"00"))</f>
        <v/>
      </c>
    </row>
    <row r="1310" ht="18" customHeight="1">
      <c r="A1310" s="39" t="n">
        <v>1305</v>
      </c>
      <c r="B1310" s="33">
        <f>IF(C1310="","",IF(P1310="À RENSEIGNER","GIC",P1310)&amp;"-C"&amp;TEXT(A1310,"00000"))</f>
        <v/>
      </c>
      <c r="C1310" s="32" t="n"/>
      <c r="D1310" s="36" t="n"/>
      <c r="E1310" s="36" t="n"/>
      <c r="F1310" s="36" t="n"/>
      <c r="G1310" s="42" t="n"/>
      <c r="H1310" s="37" t="n"/>
      <c r="I1310" s="37" t="n"/>
      <c r="J1310" s="32" t="n"/>
      <c r="K1310" s="32" t="n"/>
      <c r="L1310" s="43" t="n"/>
      <c r="M1310" s="36" t="n"/>
      <c r="N1310" s="44" t="n"/>
      <c r="O1310" s="36" t="n"/>
      <c r="P1310" s="33">
        <f>IF(C1310="","",Commercial_Id)</f>
        <v/>
      </c>
      <c r="Q1310" s="34">
        <f>IF(AC1310="","",IF(AD1310=1,"C"&amp;TEXT(SUM(AD$6:AD1310),"0000"),INDEX(Q$6:Q1309,MATCH(AC1310,AC$6:AC1309,0))))</f>
        <v/>
      </c>
      <c r="R1310" s="34">
        <f>IF(C1310="","",IF(L1310="☑ Oui","Annulée",IF(OR(E1310="Vente directe",K1310&lt;&gt;""),"Livrée",IF(J1310&lt;&gt;"","Confirmée","En attente"))))</f>
        <v/>
      </c>
      <c r="S1310" s="34">
        <f>IF(F1310="","",IFERROR(VLOOKUP(F1310,T_Produits,2,FALSE),""))</f>
        <v/>
      </c>
      <c r="T1310" s="40">
        <f>IF(F1310="","",IFERROR(1/(1/VLOOKUP(F1310,T_Produits,3,FALSE)),""))</f>
        <v/>
      </c>
      <c r="U1310" s="40">
        <f>IF(H1310&lt;&gt;"",H1310,T1310)</f>
        <v/>
      </c>
      <c r="V1310" s="40">
        <f>IF(OR(G1310="",U1310=""),"",G1310*U1310-N(I1310))</f>
        <v/>
      </c>
      <c r="W1310" s="39">
        <f>IF(D1310="","",IFERROR(VALUE(MID(D1310,LEN(D1310)-3,3)),""))</f>
        <v/>
      </c>
      <c r="X1310" s="33">
        <f>IF(W1310="","",P1310&amp;"|"&amp;W1310)</f>
        <v/>
      </c>
      <c r="Y1310" s="33">
        <f>IF(W1310="","",IF(P1310="À RENSEIGNER","GIC",P1310)&amp;"-"&amp;TEXT(W1310,"000"))</f>
        <v/>
      </c>
      <c r="Z1310" s="33">
        <f>IF(X1310="","",IFERROR(INDEX(Cl_nom,MATCH(X1310,Cl_cle,0)),"(client introuvable)"))</f>
        <v/>
      </c>
      <c r="AA1310" s="33">
        <f>IF(X1310="","",IFERROR(INDEX(Cl_quartier,MATCH(X1310,Cl_cle,0))&amp;"",""))</f>
        <v/>
      </c>
      <c r="AB1310" s="45">
        <f>IF(R1310&lt;&gt;"Livrée",0,IF(K1310&lt;&gt;"",K1310,C1310))</f>
        <v/>
      </c>
      <c r="AC1310" s="33">
        <f>IF(OR(C1310="",W1310=""),"",P1310&amp;"|"&amp;W1310&amp;"|"&amp;C1310&amp;"|"&amp;E1310)</f>
        <v/>
      </c>
      <c r="AD1310" s="39">
        <f>IF(AC1310="","",IF(COUNTIF(AC$6:AC1310,AC1310)=1,1,0))</f>
        <v/>
      </c>
      <c r="AE1310" s="39">
        <f>IF(AB1310=0,"",IF(COUNTIFS(X$6:X1310,X1310,AB$6:AB1310,AB1310)=1,1,0))</f>
        <v/>
      </c>
      <c r="AF1310" s="34">
        <f>IF(C1310="","",YEAR(C1310-WEEKDAY(C1310,2)+4)&amp;"-S"&amp;TEXT(INT((C1310-DATE(YEAR(C1310-WEEKDAY(C1310,2)+4),1,3)+WEEKDAY(DATE(YEAR(C1310-WEEKDAY(C1310,2)+4),1,3),2)+5)/7),"00"))</f>
        <v/>
      </c>
    </row>
    <row r="1311" ht="18" customHeight="1">
      <c r="A1311" s="39" t="n">
        <v>1306</v>
      </c>
      <c r="B1311" s="33">
        <f>IF(C1311="","",IF(P1311="À RENSEIGNER","GIC",P1311)&amp;"-C"&amp;TEXT(A1311,"00000"))</f>
        <v/>
      </c>
      <c r="C1311" s="32" t="n"/>
      <c r="D1311" s="36" t="n"/>
      <c r="E1311" s="36" t="n"/>
      <c r="F1311" s="36" t="n"/>
      <c r="G1311" s="42" t="n"/>
      <c r="H1311" s="37" t="n"/>
      <c r="I1311" s="37" t="n"/>
      <c r="J1311" s="32" t="n"/>
      <c r="K1311" s="32" t="n"/>
      <c r="L1311" s="43" t="n"/>
      <c r="M1311" s="36" t="n"/>
      <c r="N1311" s="44" t="n"/>
      <c r="O1311" s="36" t="n"/>
      <c r="P1311" s="33">
        <f>IF(C1311="","",Commercial_Id)</f>
        <v/>
      </c>
      <c r="Q1311" s="34">
        <f>IF(AC1311="","",IF(AD1311=1,"C"&amp;TEXT(SUM(AD$6:AD1311),"0000"),INDEX(Q$6:Q1310,MATCH(AC1311,AC$6:AC1310,0))))</f>
        <v/>
      </c>
      <c r="R1311" s="34">
        <f>IF(C1311="","",IF(L1311="☑ Oui","Annulée",IF(OR(E1311="Vente directe",K1311&lt;&gt;""),"Livrée",IF(J1311&lt;&gt;"","Confirmée","En attente"))))</f>
        <v/>
      </c>
      <c r="S1311" s="34">
        <f>IF(F1311="","",IFERROR(VLOOKUP(F1311,T_Produits,2,FALSE),""))</f>
        <v/>
      </c>
      <c r="T1311" s="40">
        <f>IF(F1311="","",IFERROR(1/(1/VLOOKUP(F1311,T_Produits,3,FALSE)),""))</f>
        <v/>
      </c>
      <c r="U1311" s="40">
        <f>IF(H1311&lt;&gt;"",H1311,T1311)</f>
        <v/>
      </c>
      <c r="V1311" s="40">
        <f>IF(OR(G1311="",U1311=""),"",G1311*U1311-N(I1311))</f>
        <v/>
      </c>
      <c r="W1311" s="39">
        <f>IF(D1311="","",IFERROR(VALUE(MID(D1311,LEN(D1311)-3,3)),""))</f>
        <v/>
      </c>
      <c r="X1311" s="33">
        <f>IF(W1311="","",P1311&amp;"|"&amp;W1311)</f>
        <v/>
      </c>
      <c r="Y1311" s="33">
        <f>IF(W1311="","",IF(P1311="À RENSEIGNER","GIC",P1311)&amp;"-"&amp;TEXT(W1311,"000"))</f>
        <v/>
      </c>
      <c r="Z1311" s="33">
        <f>IF(X1311="","",IFERROR(INDEX(Cl_nom,MATCH(X1311,Cl_cle,0)),"(client introuvable)"))</f>
        <v/>
      </c>
      <c r="AA1311" s="33">
        <f>IF(X1311="","",IFERROR(INDEX(Cl_quartier,MATCH(X1311,Cl_cle,0))&amp;"",""))</f>
        <v/>
      </c>
      <c r="AB1311" s="45">
        <f>IF(R1311&lt;&gt;"Livrée",0,IF(K1311&lt;&gt;"",K1311,C1311))</f>
        <v/>
      </c>
      <c r="AC1311" s="33">
        <f>IF(OR(C1311="",W1311=""),"",P1311&amp;"|"&amp;W1311&amp;"|"&amp;C1311&amp;"|"&amp;E1311)</f>
        <v/>
      </c>
      <c r="AD1311" s="39">
        <f>IF(AC1311="","",IF(COUNTIF(AC$6:AC1311,AC1311)=1,1,0))</f>
        <v/>
      </c>
      <c r="AE1311" s="39">
        <f>IF(AB1311=0,"",IF(COUNTIFS(X$6:X1311,X1311,AB$6:AB1311,AB1311)=1,1,0))</f>
        <v/>
      </c>
      <c r="AF1311" s="34">
        <f>IF(C1311="","",YEAR(C1311-WEEKDAY(C1311,2)+4)&amp;"-S"&amp;TEXT(INT((C1311-DATE(YEAR(C1311-WEEKDAY(C1311,2)+4),1,3)+WEEKDAY(DATE(YEAR(C1311-WEEKDAY(C1311,2)+4),1,3),2)+5)/7),"00"))</f>
        <v/>
      </c>
    </row>
    <row r="1312" ht="18" customHeight="1">
      <c r="A1312" s="39" t="n">
        <v>1307</v>
      </c>
      <c r="B1312" s="33">
        <f>IF(C1312="","",IF(P1312="À RENSEIGNER","GIC",P1312)&amp;"-C"&amp;TEXT(A1312,"00000"))</f>
        <v/>
      </c>
      <c r="C1312" s="32" t="n"/>
      <c r="D1312" s="36" t="n"/>
      <c r="E1312" s="36" t="n"/>
      <c r="F1312" s="36" t="n"/>
      <c r="G1312" s="42" t="n"/>
      <c r="H1312" s="37" t="n"/>
      <c r="I1312" s="37" t="n"/>
      <c r="J1312" s="32" t="n"/>
      <c r="K1312" s="32" t="n"/>
      <c r="L1312" s="43" t="n"/>
      <c r="M1312" s="36" t="n"/>
      <c r="N1312" s="44" t="n"/>
      <c r="O1312" s="36" t="n"/>
      <c r="P1312" s="33">
        <f>IF(C1312="","",Commercial_Id)</f>
        <v/>
      </c>
      <c r="Q1312" s="34">
        <f>IF(AC1312="","",IF(AD1312=1,"C"&amp;TEXT(SUM(AD$6:AD1312),"0000"),INDEX(Q$6:Q1311,MATCH(AC1312,AC$6:AC1311,0))))</f>
        <v/>
      </c>
      <c r="R1312" s="34">
        <f>IF(C1312="","",IF(L1312="☑ Oui","Annulée",IF(OR(E1312="Vente directe",K1312&lt;&gt;""),"Livrée",IF(J1312&lt;&gt;"","Confirmée","En attente"))))</f>
        <v/>
      </c>
      <c r="S1312" s="34">
        <f>IF(F1312="","",IFERROR(VLOOKUP(F1312,T_Produits,2,FALSE),""))</f>
        <v/>
      </c>
      <c r="T1312" s="40">
        <f>IF(F1312="","",IFERROR(1/(1/VLOOKUP(F1312,T_Produits,3,FALSE)),""))</f>
        <v/>
      </c>
      <c r="U1312" s="40">
        <f>IF(H1312&lt;&gt;"",H1312,T1312)</f>
        <v/>
      </c>
      <c r="V1312" s="40">
        <f>IF(OR(G1312="",U1312=""),"",G1312*U1312-N(I1312))</f>
        <v/>
      </c>
      <c r="W1312" s="39">
        <f>IF(D1312="","",IFERROR(VALUE(MID(D1312,LEN(D1312)-3,3)),""))</f>
        <v/>
      </c>
      <c r="X1312" s="33">
        <f>IF(W1312="","",P1312&amp;"|"&amp;W1312)</f>
        <v/>
      </c>
      <c r="Y1312" s="33">
        <f>IF(W1312="","",IF(P1312="À RENSEIGNER","GIC",P1312)&amp;"-"&amp;TEXT(W1312,"000"))</f>
        <v/>
      </c>
      <c r="Z1312" s="33">
        <f>IF(X1312="","",IFERROR(INDEX(Cl_nom,MATCH(X1312,Cl_cle,0)),"(client introuvable)"))</f>
        <v/>
      </c>
      <c r="AA1312" s="33">
        <f>IF(X1312="","",IFERROR(INDEX(Cl_quartier,MATCH(X1312,Cl_cle,0))&amp;"",""))</f>
        <v/>
      </c>
      <c r="AB1312" s="45">
        <f>IF(R1312&lt;&gt;"Livrée",0,IF(K1312&lt;&gt;"",K1312,C1312))</f>
        <v/>
      </c>
      <c r="AC1312" s="33">
        <f>IF(OR(C1312="",W1312=""),"",P1312&amp;"|"&amp;W1312&amp;"|"&amp;C1312&amp;"|"&amp;E1312)</f>
        <v/>
      </c>
      <c r="AD1312" s="39">
        <f>IF(AC1312="","",IF(COUNTIF(AC$6:AC1312,AC1312)=1,1,0))</f>
        <v/>
      </c>
      <c r="AE1312" s="39">
        <f>IF(AB1312=0,"",IF(COUNTIFS(X$6:X1312,X1312,AB$6:AB1312,AB1312)=1,1,0))</f>
        <v/>
      </c>
      <c r="AF1312" s="34">
        <f>IF(C1312="","",YEAR(C1312-WEEKDAY(C1312,2)+4)&amp;"-S"&amp;TEXT(INT((C1312-DATE(YEAR(C1312-WEEKDAY(C1312,2)+4),1,3)+WEEKDAY(DATE(YEAR(C1312-WEEKDAY(C1312,2)+4),1,3),2)+5)/7),"00"))</f>
        <v/>
      </c>
    </row>
    <row r="1313" ht="18" customHeight="1">
      <c r="A1313" s="39" t="n">
        <v>1308</v>
      </c>
      <c r="B1313" s="33">
        <f>IF(C1313="","",IF(P1313="À RENSEIGNER","GIC",P1313)&amp;"-C"&amp;TEXT(A1313,"00000"))</f>
        <v/>
      </c>
      <c r="C1313" s="32" t="n"/>
      <c r="D1313" s="36" t="n"/>
      <c r="E1313" s="36" t="n"/>
      <c r="F1313" s="36" t="n"/>
      <c r="G1313" s="42" t="n"/>
      <c r="H1313" s="37" t="n"/>
      <c r="I1313" s="37" t="n"/>
      <c r="J1313" s="32" t="n"/>
      <c r="K1313" s="32" t="n"/>
      <c r="L1313" s="43" t="n"/>
      <c r="M1313" s="36" t="n"/>
      <c r="N1313" s="44" t="n"/>
      <c r="O1313" s="36" t="n"/>
      <c r="P1313" s="33">
        <f>IF(C1313="","",Commercial_Id)</f>
        <v/>
      </c>
      <c r="Q1313" s="34">
        <f>IF(AC1313="","",IF(AD1313=1,"C"&amp;TEXT(SUM(AD$6:AD1313),"0000"),INDEX(Q$6:Q1312,MATCH(AC1313,AC$6:AC1312,0))))</f>
        <v/>
      </c>
      <c r="R1313" s="34">
        <f>IF(C1313="","",IF(L1313="☑ Oui","Annulée",IF(OR(E1313="Vente directe",K1313&lt;&gt;""),"Livrée",IF(J1313&lt;&gt;"","Confirmée","En attente"))))</f>
        <v/>
      </c>
      <c r="S1313" s="34">
        <f>IF(F1313="","",IFERROR(VLOOKUP(F1313,T_Produits,2,FALSE),""))</f>
        <v/>
      </c>
      <c r="T1313" s="40">
        <f>IF(F1313="","",IFERROR(1/(1/VLOOKUP(F1313,T_Produits,3,FALSE)),""))</f>
        <v/>
      </c>
      <c r="U1313" s="40">
        <f>IF(H1313&lt;&gt;"",H1313,T1313)</f>
        <v/>
      </c>
      <c r="V1313" s="40">
        <f>IF(OR(G1313="",U1313=""),"",G1313*U1313-N(I1313))</f>
        <v/>
      </c>
      <c r="W1313" s="39">
        <f>IF(D1313="","",IFERROR(VALUE(MID(D1313,LEN(D1313)-3,3)),""))</f>
        <v/>
      </c>
      <c r="X1313" s="33">
        <f>IF(W1313="","",P1313&amp;"|"&amp;W1313)</f>
        <v/>
      </c>
      <c r="Y1313" s="33">
        <f>IF(W1313="","",IF(P1313="À RENSEIGNER","GIC",P1313)&amp;"-"&amp;TEXT(W1313,"000"))</f>
        <v/>
      </c>
      <c r="Z1313" s="33">
        <f>IF(X1313="","",IFERROR(INDEX(Cl_nom,MATCH(X1313,Cl_cle,0)),"(client introuvable)"))</f>
        <v/>
      </c>
      <c r="AA1313" s="33">
        <f>IF(X1313="","",IFERROR(INDEX(Cl_quartier,MATCH(X1313,Cl_cle,0))&amp;"",""))</f>
        <v/>
      </c>
      <c r="AB1313" s="45">
        <f>IF(R1313&lt;&gt;"Livrée",0,IF(K1313&lt;&gt;"",K1313,C1313))</f>
        <v/>
      </c>
      <c r="AC1313" s="33">
        <f>IF(OR(C1313="",W1313=""),"",P1313&amp;"|"&amp;W1313&amp;"|"&amp;C1313&amp;"|"&amp;E1313)</f>
        <v/>
      </c>
      <c r="AD1313" s="39">
        <f>IF(AC1313="","",IF(COUNTIF(AC$6:AC1313,AC1313)=1,1,0))</f>
        <v/>
      </c>
      <c r="AE1313" s="39">
        <f>IF(AB1313=0,"",IF(COUNTIFS(X$6:X1313,X1313,AB$6:AB1313,AB1313)=1,1,0))</f>
        <v/>
      </c>
      <c r="AF1313" s="34">
        <f>IF(C1313="","",YEAR(C1313-WEEKDAY(C1313,2)+4)&amp;"-S"&amp;TEXT(INT((C1313-DATE(YEAR(C1313-WEEKDAY(C1313,2)+4),1,3)+WEEKDAY(DATE(YEAR(C1313-WEEKDAY(C1313,2)+4),1,3),2)+5)/7),"00"))</f>
        <v/>
      </c>
    </row>
    <row r="1314" ht="18" customHeight="1">
      <c r="A1314" s="39" t="n">
        <v>1309</v>
      </c>
      <c r="B1314" s="33">
        <f>IF(C1314="","",IF(P1314="À RENSEIGNER","GIC",P1314)&amp;"-C"&amp;TEXT(A1314,"00000"))</f>
        <v/>
      </c>
      <c r="C1314" s="32" t="n"/>
      <c r="D1314" s="36" t="n"/>
      <c r="E1314" s="36" t="n"/>
      <c r="F1314" s="36" t="n"/>
      <c r="G1314" s="42" t="n"/>
      <c r="H1314" s="37" t="n"/>
      <c r="I1314" s="37" t="n"/>
      <c r="J1314" s="32" t="n"/>
      <c r="K1314" s="32" t="n"/>
      <c r="L1314" s="43" t="n"/>
      <c r="M1314" s="36" t="n"/>
      <c r="N1314" s="44" t="n"/>
      <c r="O1314" s="36" t="n"/>
      <c r="P1314" s="33">
        <f>IF(C1314="","",Commercial_Id)</f>
        <v/>
      </c>
      <c r="Q1314" s="34">
        <f>IF(AC1314="","",IF(AD1314=1,"C"&amp;TEXT(SUM(AD$6:AD1314),"0000"),INDEX(Q$6:Q1313,MATCH(AC1314,AC$6:AC1313,0))))</f>
        <v/>
      </c>
      <c r="R1314" s="34">
        <f>IF(C1314="","",IF(L1314="☑ Oui","Annulée",IF(OR(E1314="Vente directe",K1314&lt;&gt;""),"Livrée",IF(J1314&lt;&gt;"","Confirmée","En attente"))))</f>
        <v/>
      </c>
      <c r="S1314" s="34">
        <f>IF(F1314="","",IFERROR(VLOOKUP(F1314,T_Produits,2,FALSE),""))</f>
        <v/>
      </c>
      <c r="T1314" s="40">
        <f>IF(F1314="","",IFERROR(1/(1/VLOOKUP(F1314,T_Produits,3,FALSE)),""))</f>
        <v/>
      </c>
      <c r="U1314" s="40">
        <f>IF(H1314&lt;&gt;"",H1314,T1314)</f>
        <v/>
      </c>
      <c r="V1314" s="40">
        <f>IF(OR(G1314="",U1314=""),"",G1314*U1314-N(I1314))</f>
        <v/>
      </c>
      <c r="W1314" s="39">
        <f>IF(D1314="","",IFERROR(VALUE(MID(D1314,LEN(D1314)-3,3)),""))</f>
        <v/>
      </c>
      <c r="X1314" s="33">
        <f>IF(W1314="","",P1314&amp;"|"&amp;W1314)</f>
        <v/>
      </c>
      <c r="Y1314" s="33">
        <f>IF(W1314="","",IF(P1314="À RENSEIGNER","GIC",P1314)&amp;"-"&amp;TEXT(W1314,"000"))</f>
        <v/>
      </c>
      <c r="Z1314" s="33">
        <f>IF(X1314="","",IFERROR(INDEX(Cl_nom,MATCH(X1314,Cl_cle,0)),"(client introuvable)"))</f>
        <v/>
      </c>
      <c r="AA1314" s="33">
        <f>IF(X1314="","",IFERROR(INDEX(Cl_quartier,MATCH(X1314,Cl_cle,0))&amp;"",""))</f>
        <v/>
      </c>
      <c r="AB1314" s="45">
        <f>IF(R1314&lt;&gt;"Livrée",0,IF(K1314&lt;&gt;"",K1314,C1314))</f>
        <v/>
      </c>
      <c r="AC1314" s="33">
        <f>IF(OR(C1314="",W1314=""),"",P1314&amp;"|"&amp;W1314&amp;"|"&amp;C1314&amp;"|"&amp;E1314)</f>
        <v/>
      </c>
      <c r="AD1314" s="39">
        <f>IF(AC1314="","",IF(COUNTIF(AC$6:AC1314,AC1314)=1,1,0))</f>
        <v/>
      </c>
      <c r="AE1314" s="39">
        <f>IF(AB1314=0,"",IF(COUNTIFS(X$6:X1314,X1314,AB$6:AB1314,AB1314)=1,1,0))</f>
        <v/>
      </c>
      <c r="AF1314" s="34">
        <f>IF(C1314="","",YEAR(C1314-WEEKDAY(C1314,2)+4)&amp;"-S"&amp;TEXT(INT((C1314-DATE(YEAR(C1314-WEEKDAY(C1314,2)+4),1,3)+WEEKDAY(DATE(YEAR(C1314-WEEKDAY(C1314,2)+4),1,3),2)+5)/7),"00"))</f>
        <v/>
      </c>
    </row>
    <row r="1315" ht="18" customHeight="1">
      <c r="A1315" s="39" t="n">
        <v>1310</v>
      </c>
      <c r="B1315" s="33">
        <f>IF(C1315="","",IF(P1315="À RENSEIGNER","GIC",P1315)&amp;"-C"&amp;TEXT(A1315,"00000"))</f>
        <v/>
      </c>
      <c r="C1315" s="32" t="n"/>
      <c r="D1315" s="36" t="n"/>
      <c r="E1315" s="36" t="n"/>
      <c r="F1315" s="36" t="n"/>
      <c r="G1315" s="42" t="n"/>
      <c r="H1315" s="37" t="n"/>
      <c r="I1315" s="37" t="n"/>
      <c r="J1315" s="32" t="n"/>
      <c r="K1315" s="32" t="n"/>
      <c r="L1315" s="43" t="n"/>
      <c r="M1315" s="36" t="n"/>
      <c r="N1315" s="44" t="n"/>
      <c r="O1315" s="36" t="n"/>
      <c r="P1315" s="33">
        <f>IF(C1315="","",Commercial_Id)</f>
        <v/>
      </c>
      <c r="Q1315" s="34">
        <f>IF(AC1315="","",IF(AD1315=1,"C"&amp;TEXT(SUM(AD$6:AD1315),"0000"),INDEX(Q$6:Q1314,MATCH(AC1315,AC$6:AC1314,0))))</f>
        <v/>
      </c>
      <c r="R1315" s="34">
        <f>IF(C1315="","",IF(L1315="☑ Oui","Annulée",IF(OR(E1315="Vente directe",K1315&lt;&gt;""),"Livrée",IF(J1315&lt;&gt;"","Confirmée","En attente"))))</f>
        <v/>
      </c>
      <c r="S1315" s="34">
        <f>IF(F1315="","",IFERROR(VLOOKUP(F1315,T_Produits,2,FALSE),""))</f>
        <v/>
      </c>
      <c r="T1315" s="40">
        <f>IF(F1315="","",IFERROR(1/(1/VLOOKUP(F1315,T_Produits,3,FALSE)),""))</f>
        <v/>
      </c>
      <c r="U1315" s="40">
        <f>IF(H1315&lt;&gt;"",H1315,T1315)</f>
        <v/>
      </c>
      <c r="V1315" s="40">
        <f>IF(OR(G1315="",U1315=""),"",G1315*U1315-N(I1315))</f>
        <v/>
      </c>
      <c r="W1315" s="39">
        <f>IF(D1315="","",IFERROR(VALUE(MID(D1315,LEN(D1315)-3,3)),""))</f>
        <v/>
      </c>
      <c r="X1315" s="33">
        <f>IF(W1315="","",P1315&amp;"|"&amp;W1315)</f>
        <v/>
      </c>
      <c r="Y1315" s="33">
        <f>IF(W1315="","",IF(P1315="À RENSEIGNER","GIC",P1315)&amp;"-"&amp;TEXT(W1315,"000"))</f>
        <v/>
      </c>
      <c r="Z1315" s="33">
        <f>IF(X1315="","",IFERROR(INDEX(Cl_nom,MATCH(X1315,Cl_cle,0)),"(client introuvable)"))</f>
        <v/>
      </c>
      <c r="AA1315" s="33">
        <f>IF(X1315="","",IFERROR(INDEX(Cl_quartier,MATCH(X1315,Cl_cle,0))&amp;"",""))</f>
        <v/>
      </c>
      <c r="AB1315" s="45">
        <f>IF(R1315&lt;&gt;"Livrée",0,IF(K1315&lt;&gt;"",K1315,C1315))</f>
        <v/>
      </c>
      <c r="AC1315" s="33">
        <f>IF(OR(C1315="",W1315=""),"",P1315&amp;"|"&amp;W1315&amp;"|"&amp;C1315&amp;"|"&amp;E1315)</f>
        <v/>
      </c>
      <c r="AD1315" s="39">
        <f>IF(AC1315="","",IF(COUNTIF(AC$6:AC1315,AC1315)=1,1,0))</f>
        <v/>
      </c>
      <c r="AE1315" s="39">
        <f>IF(AB1315=0,"",IF(COUNTIFS(X$6:X1315,X1315,AB$6:AB1315,AB1315)=1,1,0))</f>
        <v/>
      </c>
      <c r="AF1315" s="34">
        <f>IF(C1315="","",YEAR(C1315-WEEKDAY(C1315,2)+4)&amp;"-S"&amp;TEXT(INT((C1315-DATE(YEAR(C1315-WEEKDAY(C1315,2)+4),1,3)+WEEKDAY(DATE(YEAR(C1315-WEEKDAY(C1315,2)+4),1,3),2)+5)/7),"00"))</f>
        <v/>
      </c>
    </row>
    <row r="1316" ht="18" customHeight="1">
      <c r="A1316" s="39" t="n">
        <v>1311</v>
      </c>
      <c r="B1316" s="33">
        <f>IF(C1316="","",IF(P1316="À RENSEIGNER","GIC",P1316)&amp;"-C"&amp;TEXT(A1316,"00000"))</f>
        <v/>
      </c>
      <c r="C1316" s="32" t="n"/>
      <c r="D1316" s="36" t="n"/>
      <c r="E1316" s="36" t="n"/>
      <c r="F1316" s="36" t="n"/>
      <c r="G1316" s="42" t="n"/>
      <c r="H1316" s="37" t="n"/>
      <c r="I1316" s="37" t="n"/>
      <c r="J1316" s="32" t="n"/>
      <c r="K1316" s="32" t="n"/>
      <c r="L1316" s="43" t="n"/>
      <c r="M1316" s="36" t="n"/>
      <c r="N1316" s="44" t="n"/>
      <c r="O1316" s="36" t="n"/>
      <c r="P1316" s="33">
        <f>IF(C1316="","",Commercial_Id)</f>
        <v/>
      </c>
      <c r="Q1316" s="34">
        <f>IF(AC1316="","",IF(AD1316=1,"C"&amp;TEXT(SUM(AD$6:AD1316),"0000"),INDEX(Q$6:Q1315,MATCH(AC1316,AC$6:AC1315,0))))</f>
        <v/>
      </c>
      <c r="R1316" s="34">
        <f>IF(C1316="","",IF(L1316="☑ Oui","Annulée",IF(OR(E1316="Vente directe",K1316&lt;&gt;""),"Livrée",IF(J1316&lt;&gt;"","Confirmée","En attente"))))</f>
        <v/>
      </c>
      <c r="S1316" s="34">
        <f>IF(F1316="","",IFERROR(VLOOKUP(F1316,T_Produits,2,FALSE),""))</f>
        <v/>
      </c>
      <c r="T1316" s="40">
        <f>IF(F1316="","",IFERROR(1/(1/VLOOKUP(F1316,T_Produits,3,FALSE)),""))</f>
        <v/>
      </c>
      <c r="U1316" s="40">
        <f>IF(H1316&lt;&gt;"",H1316,T1316)</f>
        <v/>
      </c>
      <c r="V1316" s="40">
        <f>IF(OR(G1316="",U1316=""),"",G1316*U1316-N(I1316))</f>
        <v/>
      </c>
      <c r="W1316" s="39">
        <f>IF(D1316="","",IFERROR(VALUE(MID(D1316,LEN(D1316)-3,3)),""))</f>
        <v/>
      </c>
      <c r="X1316" s="33">
        <f>IF(W1316="","",P1316&amp;"|"&amp;W1316)</f>
        <v/>
      </c>
      <c r="Y1316" s="33">
        <f>IF(W1316="","",IF(P1316="À RENSEIGNER","GIC",P1316)&amp;"-"&amp;TEXT(W1316,"000"))</f>
        <v/>
      </c>
      <c r="Z1316" s="33">
        <f>IF(X1316="","",IFERROR(INDEX(Cl_nom,MATCH(X1316,Cl_cle,0)),"(client introuvable)"))</f>
        <v/>
      </c>
      <c r="AA1316" s="33">
        <f>IF(X1316="","",IFERROR(INDEX(Cl_quartier,MATCH(X1316,Cl_cle,0))&amp;"",""))</f>
        <v/>
      </c>
      <c r="AB1316" s="45">
        <f>IF(R1316&lt;&gt;"Livrée",0,IF(K1316&lt;&gt;"",K1316,C1316))</f>
        <v/>
      </c>
      <c r="AC1316" s="33">
        <f>IF(OR(C1316="",W1316=""),"",P1316&amp;"|"&amp;W1316&amp;"|"&amp;C1316&amp;"|"&amp;E1316)</f>
        <v/>
      </c>
      <c r="AD1316" s="39">
        <f>IF(AC1316="","",IF(COUNTIF(AC$6:AC1316,AC1316)=1,1,0))</f>
        <v/>
      </c>
      <c r="AE1316" s="39">
        <f>IF(AB1316=0,"",IF(COUNTIFS(X$6:X1316,X1316,AB$6:AB1316,AB1316)=1,1,0))</f>
        <v/>
      </c>
      <c r="AF1316" s="34">
        <f>IF(C1316="","",YEAR(C1316-WEEKDAY(C1316,2)+4)&amp;"-S"&amp;TEXT(INT((C1316-DATE(YEAR(C1316-WEEKDAY(C1316,2)+4),1,3)+WEEKDAY(DATE(YEAR(C1316-WEEKDAY(C1316,2)+4),1,3),2)+5)/7),"00"))</f>
        <v/>
      </c>
    </row>
    <row r="1317" ht="18" customHeight="1">
      <c r="A1317" s="39" t="n">
        <v>1312</v>
      </c>
      <c r="B1317" s="33">
        <f>IF(C1317="","",IF(P1317="À RENSEIGNER","GIC",P1317)&amp;"-C"&amp;TEXT(A1317,"00000"))</f>
        <v/>
      </c>
      <c r="C1317" s="32" t="n"/>
      <c r="D1317" s="36" t="n"/>
      <c r="E1317" s="36" t="n"/>
      <c r="F1317" s="36" t="n"/>
      <c r="G1317" s="42" t="n"/>
      <c r="H1317" s="37" t="n"/>
      <c r="I1317" s="37" t="n"/>
      <c r="J1317" s="32" t="n"/>
      <c r="K1317" s="32" t="n"/>
      <c r="L1317" s="43" t="n"/>
      <c r="M1317" s="36" t="n"/>
      <c r="N1317" s="44" t="n"/>
      <c r="O1317" s="36" t="n"/>
      <c r="P1317" s="33">
        <f>IF(C1317="","",Commercial_Id)</f>
        <v/>
      </c>
      <c r="Q1317" s="34">
        <f>IF(AC1317="","",IF(AD1317=1,"C"&amp;TEXT(SUM(AD$6:AD1317),"0000"),INDEX(Q$6:Q1316,MATCH(AC1317,AC$6:AC1316,0))))</f>
        <v/>
      </c>
      <c r="R1317" s="34">
        <f>IF(C1317="","",IF(L1317="☑ Oui","Annulée",IF(OR(E1317="Vente directe",K1317&lt;&gt;""),"Livrée",IF(J1317&lt;&gt;"","Confirmée","En attente"))))</f>
        <v/>
      </c>
      <c r="S1317" s="34">
        <f>IF(F1317="","",IFERROR(VLOOKUP(F1317,T_Produits,2,FALSE),""))</f>
        <v/>
      </c>
      <c r="T1317" s="40">
        <f>IF(F1317="","",IFERROR(1/(1/VLOOKUP(F1317,T_Produits,3,FALSE)),""))</f>
        <v/>
      </c>
      <c r="U1317" s="40">
        <f>IF(H1317&lt;&gt;"",H1317,T1317)</f>
        <v/>
      </c>
      <c r="V1317" s="40">
        <f>IF(OR(G1317="",U1317=""),"",G1317*U1317-N(I1317))</f>
        <v/>
      </c>
      <c r="W1317" s="39">
        <f>IF(D1317="","",IFERROR(VALUE(MID(D1317,LEN(D1317)-3,3)),""))</f>
        <v/>
      </c>
      <c r="X1317" s="33">
        <f>IF(W1317="","",P1317&amp;"|"&amp;W1317)</f>
        <v/>
      </c>
      <c r="Y1317" s="33">
        <f>IF(W1317="","",IF(P1317="À RENSEIGNER","GIC",P1317)&amp;"-"&amp;TEXT(W1317,"000"))</f>
        <v/>
      </c>
      <c r="Z1317" s="33">
        <f>IF(X1317="","",IFERROR(INDEX(Cl_nom,MATCH(X1317,Cl_cle,0)),"(client introuvable)"))</f>
        <v/>
      </c>
      <c r="AA1317" s="33">
        <f>IF(X1317="","",IFERROR(INDEX(Cl_quartier,MATCH(X1317,Cl_cle,0))&amp;"",""))</f>
        <v/>
      </c>
      <c r="AB1317" s="45">
        <f>IF(R1317&lt;&gt;"Livrée",0,IF(K1317&lt;&gt;"",K1317,C1317))</f>
        <v/>
      </c>
      <c r="AC1317" s="33">
        <f>IF(OR(C1317="",W1317=""),"",P1317&amp;"|"&amp;W1317&amp;"|"&amp;C1317&amp;"|"&amp;E1317)</f>
        <v/>
      </c>
      <c r="AD1317" s="39">
        <f>IF(AC1317="","",IF(COUNTIF(AC$6:AC1317,AC1317)=1,1,0))</f>
        <v/>
      </c>
      <c r="AE1317" s="39">
        <f>IF(AB1317=0,"",IF(COUNTIFS(X$6:X1317,X1317,AB$6:AB1317,AB1317)=1,1,0))</f>
        <v/>
      </c>
      <c r="AF1317" s="34">
        <f>IF(C1317="","",YEAR(C1317-WEEKDAY(C1317,2)+4)&amp;"-S"&amp;TEXT(INT((C1317-DATE(YEAR(C1317-WEEKDAY(C1317,2)+4),1,3)+WEEKDAY(DATE(YEAR(C1317-WEEKDAY(C1317,2)+4),1,3),2)+5)/7),"00"))</f>
        <v/>
      </c>
    </row>
    <row r="1318" ht="18" customHeight="1">
      <c r="A1318" s="39" t="n">
        <v>1313</v>
      </c>
      <c r="B1318" s="33">
        <f>IF(C1318="","",IF(P1318="À RENSEIGNER","GIC",P1318)&amp;"-C"&amp;TEXT(A1318,"00000"))</f>
        <v/>
      </c>
      <c r="C1318" s="32" t="n"/>
      <c r="D1318" s="36" t="n"/>
      <c r="E1318" s="36" t="n"/>
      <c r="F1318" s="36" t="n"/>
      <c r="G1318" s="42" t="n"/>
      <c r="H1318" s="37" t="n"/>
      <c r="I1318" s="37" t="n"/>
      <c r="J1318" s="32" t="n"/>
      <c r="K1318" s="32" t="n"/>
      <c r="L1318" s="43" t="n"/>
      <c r="M1318" s="36" t="n"/>
      <c r="N1318" s="44" t="n"/>
      <c r="O1318" s="36" t="n"/>
      <c r="P1318" s="33">
        <f>IF(C1318="","",Commercial_Id)</f>
        <v/>
      </c>
      <c r="Q1318" s="34">
        <f>IF(AC1318="","",IF(AD1318=1,"C"&amp;TEXT(SUM(AD$6:AD1318),"0000"),INDEX(Q$6:Q1317,MATCH(AC1318,AC$6:AC1317,0))))</f>
        <v/>
      </c>
      <c r="R1318" s="34">
        <f>IF(C1318="","",IF(L1318="☑ Oui","Annulée",IF(OR(E1318="Vente directe",K1318&lt;&gt;""),"Livrée",IF(J1318&lt;&gt;"","Confirmée","En attente"))))</f>
        <v/>
      </c>
      <c r="S1318" s="34">
        <f>IF(F1318="","",IFERROR(VLOOKUP(F1318,T_Produits,2,FALSE),""))</f>
        <v/>
      </c>
      <c r="T1318" s="40">
        <f>IF(F1318="","",IFERROR(1/(1/VLOOKUP(F1318,T_Produits,3,FALSE)),""))</f>
        <v/>
      </c>
      <c r="U1318" s="40">
        <f>IF(H1318&lt;&gt;"",H1318,T1318)</f>
        <v/>
      </c>
      <c r="V1318" s="40">
        <f>IF(OR(G1318="",U1318=""),"",G1318*U1318-N(I1318))</f>
        <v/>
      </c>
      <c r="W1318" s="39">
        <f>IF(D1318="","",IFERROR(VALUE(MID(D1318,LEN(D1318)-3,3)),""))</f>
        <v/>
      </c>
      <c r="X1318" s="33">
        <f>IF(W1318="","",P1318&amp;"|"&amp;W1318)</f>
        <v/>
      </c>
      <c r="Y1318" s="33">
        <f>IF(W1318="","",IF(P1318="À RENSEIGNER","GIC",P1318)&amp;"-"&amp;TEXT(W1318,"000"))</f>
        <v/>
      </c>
      <c r="Z1318" s="33">
        <f>IF(X1318="","",IFERROR(INDEX(Cl_nom,MATCH(X1318,Cl_cle,0)),"(client introuvable)"))</f>
        <v/>
      </c>
      <c r="AA1318" s="33">
        <f>IF(X1318="","",IFERROR(INDEX(Cl_quartier,MATCH(X1318,Cl_cle,0))&amp;"",""))</f>
        <v/>
      </c>
      <c r="AB1318" s="45">
        <f>IF(R1318&lt;&gt;"Livrée",0,IF(K1318&lt;&gt;"",K1318,C1318))</f>
        <v/>
      </c>
      <c r="AC1318" s="33">
        <f>IF(OR(C1318="",W1318=""),"",P1318&amp;"|"&amp;W1318&amp;"|"&amp;C1318&amp;"|"&amp;E1318)</f>
        <v/>
      </c>
      <c r="AD1318" s="39">
        <f>IF(AC1318="","",IF(COUNTIF(AC$6:AC1318,AC1318)=1,1,0))</f>
        <v/>
      </c>
      <c r="AE1318" s="39">
        <f>IF(AB1318=0,"",IF(COUNTIFS(X$6:X1318,X1318,AB$6:AB1318,AB1318)=1,1,0))</f>
        <v/>
      </c>
      <c r="AF1318" s="34">
        <f>IF(C1318="","",YEAR(C1318-WEEKDAY(C1318,2)+4)&amp;"-S"&amp;TEXT(INT((C1318-DATE(YEAR(C1318-WEEKDAY(C1318,2)+4),1,3)+WEEKDAY(DATE(YEAR(C1318-WEEKDAY(C1318,2)+4),1,3),2)+5)/7),"00"))</f>
        <v/>
      </c>
    </row>
    <row r="1319" ht="18" customHeight="1">
      <c r="A1319" s="39" t="n">
        <v>1314</v>
      </c>
      <c r="B1319" s="33">
        <f>IF(C1319="","",IF(P1319="À RENSEIGNER","GIC",P1319)&amp;"-C"&amp;TEXT(A1319,"00000"))</f>
        <v/>
      </c>
      <c r="C1319" s="32" t="n"/>
      <c r="D1319" s="36" t="n"/>
      <c r="E1319" s="36" t="n"/>
      <c r="F1319" s="36" t="n"/>
      <c r="G1319" s="42" t="n"/>
      <c r="H1319" s="37" t="n"/>
      <c r="I1319" s="37" t="n"/>
      <c r="J1319" s="32" t="n"/>
      <c r="K1319" s="32" t="n"/>
      <c r="L1319" s="43" t="n"/>
      <c r="M1319" s="36" t="n"/>
      <c r="N1319" s="44" t="n"/>
      <c r="O1319" s="36" t="n"/>
      <c r="P1319" s="33">
        <f>IF(C1319="","",Commercial_Id)</f>
        <v/>
      </c>
      <c r="Q1319" s="34">
        <f>IF(AC1319="","",IF(AD1319=1,"C"&amp;TEXT(SUM(AD$6:AD1319),"0000"),INDEX(Q$6:Q1318,MATCH(AC1319,AC$6:AC1318,0))))</f>
        <v/>
      </c>
      <c r="R1319" s="34">
        <f>IF(C1319="","",IF(L1319="☑ Oui","Annulée",IF(OR(E1319="Vente directe",K1319&lt;&gt;""),"Livrée",IF(J1319&lt;&gt;"","Confirmée","En attente"))))</f>
        <v/>
      </c>
      <c r="S1319" s="34">
        <f>IF(F1319="","",IFERROR(VLOOKUP(F1319,T_Produits,2,FALSE),""))</f>
        <v/>
      </c>
      <c r="T1319" s="40">
        <f>IF(F1319="","",IFERROR(1/(1/VLOOKUP(F1319,T_Produits,3,FALSE)),""))</f>
        <v/>
      </c>
      <c r="U1319" s="40">
        <f>IF(H1319&lt;&gt;"",H1319,T1319)</f>
        <v/>
      </c>
      <c r="V1319" s="40">
        <f>IF(OR(G1319="",U1319=""),"",G1319*U1319-N(I1319))</f>
        <v/>
      </c>
      <c r="W1319" s="39">
        <f>IF(D1319="","",IFERROR(VALUE(MID(D1319,LEN(D1319)-3,3)),""))</f>
        <v/>
      </c>
      <c r="X1319" s="33">
        <f>IF(W1319="","",P1319&amp;"|"&amp;W1319)</f>
        <v/>
      </c>
      <c r="Y1319" s="33">
        <f>IF(W1319="","",IF(P1319="À RENSEIGNER","GIC",P1319)&amp;"-"&amp;TEXT(W1319,"000"))</f>
        <v/>
      </c>
      <c r="Z1319" s="33">
        <f>IF(X1319="","",IFERROR(INDEX(Cl_nom,MATCH(X1319,Cl_cle,0)),"(client introuvable)"))</f>
        <v/>
      </c>
      <c r="AA1319" s="33">
        <f>IF(X1319="","",IFERROR(INDEX(Cl_quartier,MATCH(X1319,Cl_cle,0))&amp;"",""))</f>
        <v/>
      </c>
      <c r="AB1319" s="45">
        <f>IF(R1319&lt;&gt;"Livrée",0,IF(K1319&lt;&gt;"",K1319,C1319))</f>
        <v/>
      </c>
      <c r="AC1319" s="33">
        <f>IF(OR(C1319="",W1319=""),"",P1319&amp;"|"&amp;W1319&amp;"|"&amp;C1319&amp;"|"&amp;E1319)</f>
        <v/>
      </c>
      <c r="AD1319" s="39">
        <f>IF(AC1319="","",IF(COUNTIF(AC$6:AC1319,AC1319)=1,1,0))</f>
        <v/>
      </c>
      <c r="AE1319" s="39">
        <f>IF(AB1319=0,"",IF(COUNTIFS(X$6:X1319,X1319,AB$6:AB1319,AB1319)=1,1,0))</f>
        <v/>
      </c>
      <c r="AF1319" s="34">
        <f>IF(C1319="","",YEAR(C1319-WEEKDAY(C1319,2)+4)&amp;"-S"&amp;TEXT(INT((C1319-DATE(YEAR(C1319-WEEKDAY(C1319,2)+4),1,3)+WEEKDAY(DATE(YEAR(C1319-WEEKDAY(C1319,2)+4),1,3),2)+5)/7),"00"))</f>
        <v/>
      </c>
    </row>
    <row r="1320" ht="18" customHeight="1">
      <c r="A1320" s="39" t="n">
        <v>1315</v>
      </c>
      <c r="B1320" s="33">
        <f>IF(C1320="","",IF(P1320="À RENSEIGNER","GIC",P1320)&amp;"-C"&amp;TEXT(A1320,"00000"))</f>
        <v/>
      </c>
      <c r="C1320" s="32" t="n"/>
      <c r="D1320" s="36" t="n"/>
      <c r="E1320" s="36" t="n"/>
      <c r="F1320" s="36" t="n"/>
      <c r="G1320" s="42" t="n"/>
      <c r="H1320" s="37" t="n"/>
      <c r="I1320" s="37" t="n"/>
      <c r="J1320" s="32" t="n"/>
      <c r="K1320" s="32" t="n"/>
      <c r="L1320" s="43" t="n"/>
      <c r="M1320" s="36" t="n"/>
      <c r="N1320" s="44" t="n"/>
      <c r="O1320" s="36" t="n"/>
      <c r="P1320" s="33">
        <f>IF(C1320="","",Commercial_Id)</f>
        <v/>
      </c>
      <c r="Q1320" s="34">
        <f>IF(AC1320="","",IF(AD1320=1,"C"&amp;TEXT(SUM(AD$6:AD1320),"0000"),INDEX(Q$6:Q1319,MATCH(AC1320,AC$6:AC1319,0))))</f>
        <v/>
      </c>
      <c r="R1320" s="34">
        <f>IF(C1320="","",IF(L1320="☑ Oui","Annulée",IF(OR(E1320="Vente directe",K1320&lt;&gt;""),"Livrée",IF(J1320&lt;&gt;"","Confirmée","En attente"))))</f>
        <v/>
      </c>
      <c r="S1320" s="34">
        <f>IF(F1320="","",IFERROR(VLOOKUP(F1320,T_Produits,2,FALSE),""))</f>
        <v/>
      </c>
      <c r="T1320" s="40">
        <f>IF(F1320="","",IFERROR(1/(1/VLOOKUP(F1320,T_Produits,3,FALSE)),""))</f>
        <v/>
      </c>
      <c r="U1320" s="40">
        <f>IF(H1320&lt;&gt;"",H1320,T1320)</f>
        <v/>
      </c>
      <c r="V1320" s="40">
        <f>IF(OR(G1320="",U1320=""),"",G1320*U1320-N(I1320))</f>
        <v/>
      </c>
      <c r="W1320" s="39">
        <f>IF(D1320="","",IFERROR(VALUE(MID(D1320,LEN(D1320)-3,3)),""))</f>
        <v/>
      </c>
      <c r="X1320" s="33">
        <f>IF(W1320="","",P1320&amp;"|"&amp;W1320)</f>
        <v/>
      </c>
      <c r="Y1320" s="33">
        <f>IF(W1320="","",IF(P1320="À RENSEIGNER","GIC",P1320)&amp;"-"&amp;TEXT(W1320,"000"))</f>
        <v/>
      </c>
      <c r="Z1320" s="33">
        <f>IF(X1320="","",IFERROR(INDEX(Cl_nom,MATCH(X1320,Cl_cle,0)),"(client introuvable)"))</f>
        <v/>
      </c>
      <c r="AA1320" s="33">
        <f>IF(X1320="","",IFERROR(INDEX(Cl_quartier,MATCH(X1320,Cl_cle,0))&amp;"",""))</f>
        <v/>
      </c>
      <c r="AB1320" s="45">
        <f>IF(R1320&lt;&gt;"Livrée",0,IF(K1320&lt;&gt;"",K1320,C1320))</f>
        <v/>
      </c>
      <c r="AC1320" s="33">
        <f>IF(OR(C1320="",W1320=""),"",P1320&amp;"|"&amp;W1320&amp;"|"&amp;C1320&amp;"|"&amp;E1320)</f>
        <v/>
      </c>
      <c r="AD1320" s="39">
        <f>IF(AC1320="","",IF(COUNTIF(AC$6:AC1320,AC1320)=1,1,0))</f>
        <v/>
      </c>
      <c r="AE1320" s="39">
        <f>IF(AB1320=0,"",IF(COUNTIFS(X$6:X1320,X1320,AB$6:AB1320,AB1320)=1,1,0))</f>
        <v/>
      </c>
      <c r="AF1320" s="34">
        <f>IF(C1320="","",YEAR(C1320-WEEKDAY(C1320,2)+4)&amp;"-S"&amp;TEXT(INT((C1320-DATE(YEAR(C1320-WEEKDAY(C1320,2)+4),1,3)+WEEKDAY(DATE(YEAR(C1320-WEEKDAY(C1320,2)+4),1,3),2)+5)/7),"00"))</f>
        <v/>
      </c>
    </row>
    <row r="1321" ht="18" customHeight="1">
      <c r="A1321" s="39" t="n">
        <v>1316</v>
      </c>
      <c r="B1321" s="33">
        <f>IF(C1321="","",IF(P1321="À RENSEIGNER","GIC",P1321)&amp;"-C"&amp;TEXT(A1321,"00000"))</f>
        <v/>
      </c>
      <c r="C1321" s="32" t="n"/>
      <c r="D1321" s="36" t="n"/>
      <c r="E1321" s="36" t="n"/>
      <c r="F1321" s="36" t="n"/>
      <c r="G1321" s="42" t="n"/>
      <c r="H1321" s="37" t="n"/>
      <c r="I1321" s="37" t="n"/>
      <c r="J1321" s="32" t="n"/>
      <c r="K1321" s="32" t="n"/>
      <c r="L1321" s="43" t="n"/>
      <c r="M1321" s="36" t="n"/>
      <c r="N1321" s="44" t="n"/>
      <c r="O1321" s="36" t="n"/>
      <c r="P1321" s="33">
        <f>IF(C1321="","",Commercial_Id)</f>
        <v/>
      </c>
      <c r="Q1321" s="34">
        <f>IF(AC1321="","",IF(AD1321=1,"C"&amp;TEXT(SUM(AD$6:AD1321),"0000"),INDEX(Q$6:Q1320,MATCH(AC1321,AC$6:AC1320,0))))</f>
        <v/>
      </c>
      <c r="R1321" s="34">
        <f>IF(C1321="","",IF(L1321="☑ Oui","Annulée",IF(OR(E1321="Vente directe",K1321&lt;&gt;""),"Livrée",IF(J1321&lt;&gt;"","Confirmée","En attente"))))</f>
        <v/>
      </c>
      <c r="S1321" s="34">
        <f>IF(F1321="","",IFERROR(VLOOKUP(F1321,T_Produits,2,FALSE),""))</f>
        <v/>
      </c>
      <c r="T1321" s="40">
        <f>IF(F1321="","",IFERROR(1/(1/VLOOKUP(F1321,T_Produits,3,FALSE)),""))</f>
        <v/>
      </c>
      <c r="U1321" s="40">
        <f>IF(H1321&lt;&gt;"",H1321,T1321)</f>
        <v/>
      </c>
      <c r="V1321" s="40">
        <f>IF(OR(G1321="",U1321=""),"",G1321*U1321-N(I1321))</f>
        <v/>
      </c>
      <c r="W1321" s="39">
        <f>IF(D1321="","",IFERROR(VALUE(MID(D1321,LEN(D1321)-3,3)),""))</f>
        <v/>
      </c>
      <c r="X1321" s="33">
        <f>IF(W1321="","",P1321&amp;"|"&amp;W1321)</f>
        <v/>
      </c>
      <c r="Y1321" s="33">
        <f>IF(W1321="","",IF(P1321="À RENSEIGNER","GIC",P1321)&amp;"-"&amp;TEXT(W1321,"000"))</f>
        <v/>
      </c>
      <c r="Z1321" s="33">
        <f>IF(X1321="","",IFERROR(INDEX(Cl_nom,MATCH(X1321,Cl_cle,0)),"(client introuvable)"))</f>
        <v/>
      </c>
      <c r="AA1321" s="33">
        <f>IF(X1321="","",IFERROR(INDEX(Cl_quartier,MATCH(X1321,Cl_cle,0))&amp;"",""))</f>
        <v/>
      </c>
      <c r="AB1321" s="45">
        <f>IF(R1321&lt;&gt;"Livrée",0,IF(K1321&lt;&gt;"",K1321,C1321))</f>
        <v/>
      </c>
      <c r="AC1321" s="33">
        <f>IF(OR(C1321="",W1321=""),"",P1321&amp;"|"&amp;W1321&amp;"|"&amp;C1321&amp;"|"&amp;E1321)</f>
        <v/>
      </c>
      <c r="AD1321" s="39">
        <f>IF(AC1321="","",IF(COUNTIF(AC$6:AC1321,AC1321)=1,1,0))</f>
        <v/>
      </c>
      <c r="AE1321" s="39">
        <f>IF(AB1321=0,"",IF(COUNTIFS(X$6:X1321,X1321,AB$6:AB1321,AB1321)=1,1,0))</f>
        <v/>
      </c>
      <c r="AF1321" s="34">
        <f>IF(C1321="","",YEAR(C1321-WEEKDAY(C1321,2)+4)&amp;"-S"&amp;TEXT(INT((C1321-DATE(YEAR(C1321-WEEKDAY(C1321,2)+4),1,3)+WEEKDAY(DATE(YEAR(C1321-WEEKDAY(C1321,2)+4),1,3),2)+5)/7),"00"))</f>
        <v/>
      </c>
    </row>
    <row r="1322" ht="18" customHeight="1">
      <c r="A1322" s="39" t="n">
        <v>1317</v>
      </c>
      <c r="B1322" s="33">
        <f>IF(C1322="","",IF(P1322="À RENSEIGNER","GIC",P1322)&amp;"-C"&amp;TEXT(A1322,"00000"))</f>
        <v/>
      </c>
      <c r="C1322" s="32" t="n"/>
      <c r="D1322" s="36" t="n"/>
      <c r="E1322" s="36" t="n"/>
      <c r="F1322" s="36" t="n"/>
      <c r="G1322" s="42" t="n"/>
      <c r="H1322" s="37" t="n"/>
      <c r="I1322" s="37" t="n"/>
      <c r="J1322" s="32" t="n"/>
      <c r="K1322" s="32" t="n"/>
      <c r="L1322" s="43" t="n"/>
      <c r="M1322" s="36" t="n"/>
      <c r="N1322" s="44" t="n"/>
      <c r="O1322" s="36" t="n"/>
      <c r="P1322" s="33">
        <f>IF(C1322="","",Commercial_Id)</f>
        <v/>
      </c>
      <c r="Q1322" s="34">
        <f>IF(AC1322="","",IF(AD1322=1,"C"&amp;TEXT(SUM(AD$6:AD1322),"0000"),INDEX(Q$6:Q1321,MATCH(AC1322,AC$6:AC1321,0))))</f>
        <v/>
      </c>
      <c r="R1322" s="34">
        <f>IF(C1322="","",IF(L1322="☑ Oui","Annulée",IF(OR(E1322="Vente directe",K1322&lt;&gt;""),"Livrée",IF(J1322&lt;&gt;"","Confirmée","En attente"))))</f>
        <v/>
      </c>
      <c r="S1322" s="34">
        <f>IF(F1322="","",IFERROR(VLOOKUP(F1322,T_Produits,2,FALSE),""))</f>
        <v/>
      </c>
      <c r="T1322" s="40">
        <f>IF(F1322="","",IFERROR(1/(1/VLOOKUP(F1322,T_Produits,3,FALSE)),""))</f>
        <v/>
      </c>
      <c r="U1322" s="40">
        <f>IF(H1322&lt;&gt;"",H1322,T1322)</f>
        <v/>
      </c>
      <c r="V1322" s="40">
        <f>IF(OR(G1322="",U1322=""),"",G1322*U1322-N(I1322))</f>
        <v/>
      </c>
      <c r="W1322" s="39">
        <f>IF(D1322="","",IFERROR(VALUE(MID(D1322,LEN(D1322)-3,3)),""))</f>
        <v/>
      </c>
      <c r="X1322" s="33">
        <f>IF(W1322="","",P1322&amp;"|"&amp;W1322)</f>
        <v/>
      </c>
      <c r="Y1322" s="33">
        <f>IF(W1322="","",IF(P1322="À RENSEIGNER","GIC",P1322)&amp;"-"&amp;TEXT(W1322,"000"))</f>
        <v/>
      </c>
      <c r="Z1322" s="33">
        <f>IF(X1322="","",IFERROR(INDEX(Cl_nom,MATCH(X1322,Cl_cle,0)),"(client introuvable)"))</f>
        <v/>
      </c>
      <c r="AA1322" s="33">
        <f>IF(X1322="","",IFERROR(INDEX(Cl_quartier,MATCH(X1322,Cl_cle,0))&amp;"",""))</f>
        <v/>
      </c>
      <c r="AB1322" s="45">
        <f>IF(R1322&lt;&gt;"Livrée",0,IF(K1322&lt;&gt;"",K1322,C1322))</f>
        <v/>
      </c>
      <c r="AC1322" s="33">
        <f>IF(OR(C1322="",W1322=""),"",P1322&amp;"|"&amp;W1322&amp;"|"&amp;C1322&amp;"|"&amp;E1322)</f>
        <v/>
      </c>
      <c r="AD1322" s="39">
        <f>IF(AC1322="","",IF(COUNTIF(AC$6:AC1322,AC1322)=1,1,0))</f>
        <v/>
      </c>
      <c r="AE1322" s="39">
        <f>IF(AB1322=0,"",IF(COUNTIFS(X$6:X1322,X1322,AB$6:AB1322,AB1322)=1,1,0))</f>
        <v/>
      </c>
      <c r="AF1322" s="34">
        <f>IF(C1322="","",YEAR(C1322-WEEKDAY(C1322,2)+4)&amp;"-S"&amp;TEXT(INT((C1322-DATE(YEAR(C1322-WEEKDAY(C1322,2)+4),1,3)+WEEKDAY(DATE(YEAR(C1322-WEEKDAY(C1322,2)+4),1,3),2)+5)/7),"00"))</f>
        <v/>
      </c>
    </row>
    <row r="1323" ht="18" customHeight="1">
      <c r="A1323" s="39" t="n">
        <v>1318</v>
      </c>
      <c r="B1323" s="33">
        <f>IF(C1323="","",IF(P1323="À RENSEIGNER","GIC",P1323)&amp;"-C"&amp;TEXT(A1323,"00000"))</f>
        <v/>
      </c>
      <c r="C1323" s="32" t="n"/>
      <c r="D1323" s="36" t="n"/>
      <c r="E1323" s="36" t="n"/>
      <c r="F1323" s="36" t="n"/>
      <c r="G1323" s="42" t="n"/>
      <c r="H1323" s="37" t="n"/>
      <c r="I1323" s="37" t="n"/>
      <c r="J1323" s="32" t="n"/>
      <c r="K1323" s="32" t="n"/>
      <c r="L1323" s="43" t="n"/>
      <c r="M1323" s="36" t="n"/>
      <c r="N1323" s="44" t="n"/>
      <c r="O1323" s="36" t="n"/>
      <c r="P1323" s="33">
        <f>IF(C1323="","",Commercial_Id)</f>
        <v/>
      </c>
      <c r="Q1323" s="34">
        <f>IF(AC1323="","",IF(AD1323=1,"C"&amp;TEXT(SUM(AD$6:AD1323),"0000"),INDEX(Q$6:Q1322,MATCH(AC1323,AC$6:AC1322,0))))</f>
        <v/>
      </c>
      <c r="R1323" s="34">
        <f>IF(C1323="","",IF(L1323="☑ Oui","Annulée",IF(OR(E1323="Vente directe",K1323&lt;&gt;""),"Livrée",IF(J1323&lt;&gt;"","Confirmée","En attente"))))</f>
        <v/>
      </c>
      <c r="S1323" s="34">
        <f>IF(F1323="","",IFERROR(VLOOKUP(F1323,T_Produits,2,FALSE),""))</f>
        <v/>
      </c>
      <c r="T1323" s="40">
        <f>IF(F1323="","",IFERROR(1/(1/VLOOKUP(F1323,T_Produits,3,FALSE)),""))</f>
        <v/>
      </c>
      <c r="U1323" s="40">
        <f>IF(H1323&lt;&gt;"",H1323,T1323)</f>
        <v/>
      </c>
      <c r="V1323" s="40">
        <f>IF(OR(G1323="",U1323=""),"",G1323*U1323-N(I1323))</f>
        <v/>
      </c>
      <c r="W1323" s="39">
        <f>IF(D1323="","",IFERROR(VALUE(MID(D1323,LEN(D1323)-3,3)),""))</f>
        <v/>
      </c>
      <c r="X1323" s="33">
        <f>IF(W1323="","",P1323&amp;"|"&amp;W1323)</f>
        <v/>
      </c>
      <c r="Y1323" s="33">
        <f>IF(W1323="","",IF(P1323="À RENSEIGNER","GIC",P1323)&amp;"-"&amp;TEXT(W1323,"000"))</f>
        <v/>
      </c>
      <c r="Z1323" s="33">
        <f>IF(X1323="","",IFERROR(INDEX(Cl_nom,MATCH(X1323,Cl_cle,0)),"(client introuvable)"))</f>
        <v/>
      </c>
      <c r="AA1323" s="33">
        <f>IF(X1323="","",IFERROR(INDEX(Cl_quartier,MATCH(X1323,Cl_cle,0))&amp;"",""))</f>
        <v/>
      </c>
      <c r="AB1323" s="45">
        <f>IF(R1323&lt;&gt;"Livrée",0,IF(K1323&lt;&gt;"",K1323,C1323))</f>
        <v/>
      </c>
      <c r="AC1323" s="33">
        <f>IF(OR(C1323="",W1323=""),"",P1323&amp;"|"&amp;W1323&amp;"|"&amp;C1323&amp;"|"&amp;E1323)</f>
        <v/>
      </c>
      <c r="AD1323" s="39">
        <f>IF(AC1323="","",IF(COUNTIF(AC$6:AC1323,AC1323)=1,1,0))</f>
        <v/>
      </c>
      <c r="AE1323" s="39">
        <f>IF(AB1323=0,"",IF(COUNTIFS(X$6:X1323,X1323,AB$6:AB1323,AB1323)=1,1,0))</f>
        <v/>
      </c>
      <c r="AF1323" s="34">
        <f>IF(C1323="","",YEAR(C1323-WEEKDAY(C1323,2)+4)&amp;"-S"&amp;TEXT(INT((C1323-DATE(YEAR(C1323-WEEKDAY(C1323,2)+4),1,3)+WEEKDAY(DATE(YEAR(C1323-WEEKDAY(C1323,2)+4),1,3),2)+5)/7),"00"))</f>
        <v/>
      </c>
    </row>
    <row r="1324" ht="18" customHeight="1">
      <c r="A1324" s="39" t="n">
        <v>1319</v>
      </c>
      <c r="B1324" s="33">
        <f>IF(C1324="","",IF(P1324="À RENSEIGNER","GIC",P1324)&amp;"-C"&amp;TEXT(A1324,"00000"))</f>
        <v/>
      </c>
      <c r="C1324" s="32" t="n"/>
      <c r="D1324" s="36" t="n"/>
      <c r="E1324" s="36" t="n"/>
      <c r="F1324" s="36" t="n"/>
      <c r="G1324" s="42" t="n"/>
      <c r="H1324" s="37" t="n"/>
      <c r="I1324" s="37" t="n"/>
      <c r="J1324" s="32" t="n"/>
      <c r="K1324" s="32" t="n"/>
      <c r="L1324" s="43" t="n"/>
      <c r="M1324" s="36" t="n"/>
      <c r="N1324" s="44" t="n"/>
      <c r="O1324" s="36" t="n"/>
      <c r="P1324" s="33">
        <f>IF(C1324="","",Commercial_Id)</f>
        <v/>
      </c>
      <c r="Q1324" s="34">
        <f>IF(AC1324="","",IF(AD1324=1,"C"&amp;TEXT(SUM(AD$6:AD1324),"0000"),INDEX(Q$6:Q1323,MATCH(AC1324,AC$6:AC1323,0))))</f>
        <v/>
      </c>
      <c r="R1324" s="34">
        <f>IF(C1324="","",IF(L1324="☑ Oui","Annulée",IF(OR(E1324="Vente directe",K1324&lt;&gt;""),"Livrée",IF(J1324&lt;&gt;"","Confirmée","En attente"))))</f>
        <v/>
      </c>
      <c r="S1324" s="34">
        <f>IF(F1324="","",IFERROR(VLOOKUP(F1324,T_Produits,2,FALSE),""))</f>
        <v/>
      </c>
      <c r="T1324" s="40">
        <f>IF(F1324="","",IFERROR(1/(1/VLOOKUP(F1324,T_Produits,3,FALSE)),""))</f>
        <v/>
      </c>
      <c r="U1324" s="40">
        <f>IF(H1324&lt;&gt;"",H1324,T1324)</f>
        <v/>
      </c>
      <c r="V1324" s="40">
        <f>IF(OR(G1324="",U1324=""),"",G1324*U1324-N(I1324))</f>
        <v/>
      </c>
      <c r="W1324" s="39">
        <f>IF(D1324="","",IFERROR(VALUE(MID(D1324,LEN(D1324)-3,3)),""))</f>
        <v/>
      </c>
      <c r="X1324" s="33">
        <f>IF(W1324="","",P1324&amp;"|"&amp;W1324)</f>
        <v/>
      </c>
      <c r="Y1324" s="33">
        <f>IF(W1324="","",IF(P1324="À RENSEIGNER","GIC",P1324)&amp;"-"&amp;TEXT(W1324,"000"))</f>
        <v/>
      </c>
      <c r="Z1324" s="33">
        <f>IF(X1324="","",IFERROR(INDEX(Cl_nom,MATCH(X1324,Cl_cle,0)),"(client introuvable)"))</f>
        <v/>
      </c>
      <c r="AA1324" s="33">
        <f>IF(X1324="","",IFERROR(INDEX(Cl_quartier,MATCH(X1324,Cl_cle,0))&amp;"",""))</f>
        <v/>
      </c>
      <c r="AB1324" s="45">
        <f>IF(R1324&lt;&gt;"Livrée",0,IF(K1324&lt;&gt;"",K1324,C1324))</f>
        <v/>
      </c>
      <c r="AC1324" s="33">
        <f>IF(OR(C1324="",W1324=""),"",P1324&amp;"|"&amp;W1324&amp;"|"&amp;C1324&amp;"|"&amp;E1324)</f>
        <v/>
      </c>
      <c r="AD1324" s="39">
        <f>IF(AC1324="","",IF(COUNTIF(AC$6:AC1324,AC1324)=1,1,0))</f>
        <v/>
      </c>
      <c r="AE1324" s="39">
        <f>IF(AB1324=0,"",IF(COUNTIFS(X$6:X1324,X1324,AB$6:AB1324,AB1324)=1,1,0))</f>
        <v/>
      </c>
      <c r="AF1324" s="34">
        <f>IF(C1324="","",YEAR(C1324-WEEKDAY(C1324,2)+4)&amp;"-S"&amp;TEXT(INT((C1324-DATE(YEAR(C1324-WEEKDAY(C1324,2)+4),1,3)+WEEKDAY(DATE(YEAR(C1324-WEEKDAY(C1324,2)+4),1,3),2)+5)/7),"00"))</f>
        <v/>
      </c>
    </row>
    <row r="1325" ht="18" customHeight="1">
      <c r="A1325" s="39" t="n">
        <v>1320</v>
      </c>
      <c r="B1325" s="33">
        <f>IF(C1325="","",IF(P1325="À RENSEIGNER","GIC",P1325)&amp;"-C"&amp;TEXT(A1325,"00000"))</f>
        <v/>
      </c>
      <c r="C1325" s="32" t="n"/>
      <c r="D1325" s="36" t="n"/>
      <c r="E1325" s="36" t="n"/>
      <c r="F1325" s="36" t="n"/>
      <c r="G1325" s="42" t="n"/>
      <c r="H1325" s="37" t="n"/>
      <c r="I1325" s="37" t="n"/>
      <c r="J1325" s="32" t="n"/>
      <c r="K1325" s="32" t="n"/>
      <c r="L1325" s="43" t="n"/>
      <c r="M1325" s="36" t="n"/>
      <c r="N1325" s="44" t="n"/>
      <c r="O1325" s="36" t="n"/>
      <c r="P1325" s="33">
        <f>IF(C1325="","",Commercial_Id)</f>
        <v/>
      </c>
      <c r="Q1325" s="34">
        <f>IF(AC1325="","",IF(AD1325=1,"C"&amp;TEXT(SUM(AD$6:AD1325),"0000"),INDEX(Q$6:Q1324,MATCH(AC1325,AC$6:AC1324,0))))</f>
        <v/>
      </c>
      <c r="R1325" s="34">
        <f>IF(C1325="","",IF(L1325="☑ Oui","Annulée",IF(OR(E1325="Vente directe",K1325&lt;&gt;""),"Livrée",IF(J1325&lt;&gt;"","Confirmée","En attente"))))</f>
        <v/>
      </c>
      <c r="S1325" s="34">
        <f>IF(F1325="","",IFERROR(VLOOKUP(F1325,T_Produits,2,FALSE),""))</f>
        <v/>
      </c>
      <c r="T1325" s="40">
        <f>IF(F1325="","",IFERROR(1/(1/VLOOKUP(F1325,T_Produits,3,FALSE)),""))</f>
        <v/>
      </c>
      <c r="U1325" s="40">
        <f>IF(H1325&lt;&gt;"",H1325,T1325)</f>
        <v/>
      </c>
      <c r="V1325" s="40">
        <f>IF(OR(G1325="",U1325=""),"",G1325*U1325-N(I1325))</f>
        <v/>
      </c>
      <c r="W1325" s="39">
        <f>IF(D1325="","",IFERROR(VALUE(MID(D1325,LEN(D1325)-3,3)),""))</f>
        <v/>
      </c>
      <c r="X1325" s="33">
        <f>IF(W1325="","",P1325&amp;"|"&amp;W1325)</f>
        <v/>
      </c>
      <c r="Y1325" s="33">
        <f>IF(W1325="","",IF(P1325="À RENSEIGNER","GIC",P1325)&amp;"-"&amp;TEXT(W1325,"000"))</f>
        <v/>
      </c>
      <c r="Z1325" s="33">
        <f>IF(X1325="","",IFERROR(INDEX(Cl_nom,MATCH(X1325,Cl_cle,0)),"(client introuvable)"))</f>
        <v/>
      </c>
      <c r="AA1325" s="33">
        <f>IF(X1325="","",IFERROR(INDEX(Cl_quartier,MATCH(X1325,Cl_cle,0))&amp;"",""))</f>
        <v/>
      </c>
      <c r="AB1325" s="45">
        <f>IF(R1325&lt;&gt;"Livrée",0,IF(K1325&lt;&gt;"",K1325,C1325))</f>
        <v/>
      </c>
      <c r="AC1325" s="33">
        <f>IF(OR(C1325="",W1325=""),"",P1325&amp;"|"&amp;W1325&amp;"|"&amp;C1325&amp;"|"&amp;E1325)</f>
        <v/>
      </c>
      <c r="AD1325" s="39">
        <f>IF(AC1325="","",IF(COUNTIF(AC$6:AC1325,AC1325)=1,1,0))</f>
        <v/>
      </c>
      <c r="AE1325" s="39">
        <f>IF(AB1325=0,"",IF(COUNTIFS(X$6:X1325,X1325,AB$6:AB1325,AB1325)=1,1,0))</f>
        <v/>
      </c>
      <c r="AF1325" s="34">
        <f>IF(C1325="","",YEAR(C1325-WEEKDAY(C1325,2)+4)&amp;"-S"&amp;TEXT(INT((C1325-DATE(YEAR(C1325-WEEKDAY(C1325,2)+4),1,3)+WEEKDAY(DATE(YEAR(C1325-WEEKDAY(C1325,2)+4),1,3),2)+5)/7),"00"))</f>
        <v/>
      </c>
    </row>
    <row r="1326" ht="18" customHeight="1">
      <c r="A1326" s="39" t="n">
        <v>1321</v>
      </c>
      <c r="B1326" s="33">
        <f>IF(C1326="","",IF(P1326="À RENSEIGNER","GIC",P1326)&amp;"-C"&amp;TEXT(A1326,"00000"))</f>
        <v/>
      </c>
      <c r="C1326" s="32" t="n"/>
      <c r="D1326" s="36" t="n"/>
      <c r="E1326" s="36" t="n"/>
      <c r="F1326" s="36" t="n"/>
      <c r="G1326" s="42" t="n"/>
      <c r="H1326" s="37" t="n"/>
      <c r="I1326" s="37" t="n"/>
      <c r="J1326" s="32" t="n"/>
      <c r="K1326" s="32" t="n"/>
      <c r="L1326" s="43" t="n"/>
      <c r="M1326" s="36" t="n"/>
      <c r="N1326" s="44" t="n"/>
      <c r="O1326" s="36" t="n"/>
      <c r="P1326" s="33">
        <f>IF(C1326="","",Commercial_Id)</f>
        <v/>
      </c>
      <c r="Q1326" s="34">
        <f>IF(AC1326="","",IF(AD1326=1,"C"&amp;TEXT(SUM(AD$6:AD1326),"0000"),INDEX(Q$6:Q1325,MATCH(AC1326,AC$6:AC1325,0))))</f>
        <v/>
      </c>
      <c r="R1326" s="34">
        <f>IF(C1326="","",IF(L1326="☑ Oui","Annulée",IF(OR(E1326="Vente directe",K1326&lt;&gt;""),"Livrée",IF(J1326&lt;&gt;"","Confirmée","En attente"))))</f>
        <v/>
      </c>
      <c r="S1326" s="34">
        <f>IF(F1326="","",IFERROR(VLOOKUP(F1326,T_Produits,2,FALSE),""))</f>
        <v/>
      </c>
      <c r="T1326" s="40">
        <f>IF(F1326="","",IFERROR(1/(1/VLOOKUP(F1326,T_Produits,3,FALSE)),""))</f>
        <v/>
      </c>
      <c r="U1326" s="40">
        <f>IF(H1326&lt;&gt;"",H1326,T1326)</f>
        <v/>
      </c>
      <c r="V1326" s="40">
        <f>IF(OR(G1326="",U1326=""),"",G1326*U1326-N(I1326))</f>
        <v/>
      </c>
      <c r="W1326" s="39">
        <f>IF(D1326="","",IFERROR(VALUE(MID(D1326,LEN(D1326)-3,3)),""))</f>
        <v/>
      </c>
      <c r="X1326" s="33">
        <f>IF(W1326="","",P1326&amp;"|"&amp;W1326)</f>
        <v/>
      </c>
      <c r="Y1326" s="33">
        <f>IF(W1326="","",IF(P1326="À RENSEIGNER","GIC",P1326)&amp;"-"&amp;TEXT(W1326,"000"))</f>
        <v/>
      </c>
      <c r="Z1326" s="33">
        <f>IF(X1326="","",IFERROR(INDEX(Cl_nom,MATCH(X1326,Cl_cle,0)),"(client introuvable)"))</f>
        <v/>
      </c>
      <c r="AA1326" s="33">
        <f>IF(X1326="","",IFERROR(INDEX(Cl_quartier,MATCH(X1326,Cl_cle,0))&amp;"",""))</f>
        <v/>
      </c>
      <c r="AB1326" s="45">
        <f>IF(R1326&lt;&gt;"Livrée",0,IF(K1326&lt;&gt;"",K1326,C1326))</f>
        <v/>
      </c>
      <c r="AC1326" s="33">
        <f>IF(OR(C1326="",W1326=""),"",P1326&amp;"|"&amp;W1326&amp;"|"&amp;C1326&amp;"|"&amp;E1326)</f>
        <v/>
      </c>
      <c r="AD1326" s="39">
        <f>IF(AC1326="","",IF(COUNTIF(AC$6:AC1326,AC1326)=1,1,0))</f>
        <v/>
      </c>
      <c r="AE1326" s="39">
        <f>IF(AB1326=0,"",IF(COUNTIFS(X$6:X1326,X1326,AB$6:AB1326,AB1326)=1,1,0))</f>
        <v/>
      </c>
      <c r="AF1326" s="34">
        <f>IF(C1326="","",YEAR(C1326-WEEKDAY(C1326,2)+4)&amp;"-S"&amp;TEXT(INT((C1326-DATE(YEAR(C1326-WEEKDAY(C1326,2)+4),1,3)+WEEKDAY(DATE(YEAR(C1326-WEEKDAY(C1326,2)+4),1,3),2)+5)/7),"00"))</f>
        <v/>
      </c>
    </row>
    <row r="1327" ht="18" customHeight="1">
      <c r="A1327" s="39" t="n">
        <v>1322</v>
      </c>
      <c r="B1327" s="33">
        <f>IF(C1327="","",IF(P1327="À RENSEIGNER","GIC",P1327)&amp;"-C"&amp;TEXT(A1327,"00000"))</f>
        <v/>
      </c>
      <c r="C1327" s="32" t="n"/>
      <c r="D1327" s="36" t="n"/>
      <c r="E1327" s="36" t="n"/>
      <c r="F1327" s="36" t="n"/>
      <c r="G1327" s="42" t="n"/>
      <c r="H1327" s="37" t="n"/>
      <c r="I1327" s="37" t="n"/>
      <c r="J1327" s="32" t="n"/>
      <c r="K1327" s="32" t="n"/>
      <c r="L1327" s="43" t="n"/>
      <c r="M1327" s="36" t="n"/>
      <c r="N1327" s="44" t="n"/>
      <c r="O1327" s="36" t="n"/>
      <c r="P1327" s="33">
        <f>IF(C1327="","",Commercial_Id)</f>
        <v/>
      </c>
      <c r="Q1327" s="34">
        <f>IF(AC1327="","",IF(AD1327=1,"C"&amp;TEXT(SUM(AD$6:AD1327),"0000"),INDEX(Q$6:Q1326,MATCH(AC1327,AC$6:AC1326,0))))</f>
        <v/>
      </c>
      <c r="R1327" s="34">
        <f>IF(C1327="","",IF(L1327="☑ Oui","Annulée",IF(OR(E1327="Vente directe",K1327&lt;&gt;""),"Livrée",IF(J1327&lt;&gt;"","Confirmée","En attente"))))</f>
        <v/>
      </c>
      <c r="S1327" s="34">
        <f>IF(F1327="","",IFERROR(VLOOKUP(F1327,T_Produits,2,FALSE),""))</f>
        <v/>
      </c>
      <c r="T1327" s="40">
        <f>IF(F1327="","",IFERROR(1/(1/VLOOKUP(F1327,T_Produits,3,FALSE)),""))</f>
        <v/>
      </c>
      <c r="U1327" s="40">
        <f>IF(H1327&lt;&gt;"",H1327,T1327)</f>
        <v/>
      </c>
      <c r="V1327" s="40">
        <f>IF(OR(G1327="",U1327=""),"",G1327*U1327-N(I1327))</f>
        <v/>
      </c>
      <c r="W1327" s="39">
        <f>IF(D1327="","",IFERROR(VALUE(MID(D1327,LEN(D1327)-3,3)),""))</f>
        <v/>
      </c>
      <c r="X1327" s="33">
        <f>IF(W1327="","",P1327&amp;"|"&amp;W1327)</f>
        <v/>
      </c>
      <c r="Y1327" s="33">
        <f>IF(W1327="","",IF(P1327="À RENSEIGNER","GIC",P1327)&amp;"-"&amp;TEXT(W1327,"000"))</f>
        <v/>
      </c>
      <c r="Z1327" s="33">
        <f>IF(X1327="","",IFERROR(INDEX(Cl_nom,MATCH(X1327,Cl_cle,0)),"(client introuvable)"))</f>
        <v/>
      </c>
      <c r="AA1327" s="33">
        <f>IF(X1327="","",IFERROR(INDEX(Cl_quartier,MATCH(X1327,Cl_cle,0))&amp;"",""))</f>
        <v/>
      </c>
      <c r="AB1327" s="45">
        <f>IF(R1327&lt;&gt;"Livrée",0,IF(K1327&lt;&gt;"",K1327,C1327))</f>
        <v/>
      </c>
      <c r="AC1327" s="33">
        <f>IF(OR(C1327="",W1327=""),"",P1327&amp;"|"&amp;W1327&amp;"|"&amp;C1327&amp;"|"&amp;E1327)</f>
        <v/>
      </c>
      <c r="AD1327" s="39">
        <f>IF(AC1327="","",IF(COUNTIF(AC$6:AC1327,AC1327)=1,1,0))</f>
        <v/>
      </c>
      <c r="AE1327" s="39">
        <f>IF(AB1327=0,"",IF(COUNTIFS(X$6:X1327,X1327,AB$6:AB1327,AB1327)=1,1,0))</f>
        <v/>
      </c>
      <c r="AF1327" s="34">
        <f>IF(C1327="","",YEAR(C1327-WEEKDAY(C1327,2)+4)&amp;"-S"&amp;TEXT(INT((C1327-DATE(YEAR(C1327-WEEKDAY(C1327,2)+4),1,3)+WEEKDAY(DATE(YEAR(C1327-WEEKDAY(C1327,2)+4),1,3),2)+5)/7),"00"))</f>
        <v/>
      </c>
    </row>
    <row r="1328" ht="18" customHeight="1">
      <c r="A1328" s="39" t="n">
        <v>1323</v>
      </c>
      <c r="B1328" s="33">
        <f>IF(C1328="","",IF(P1328="À RENSEIGNER","GIC",P1328)&amp;"-C"&amp;TEXT(A1328,"00000"))</f>
        <v/>
      </c>
      <c r="C1328" s="32" t="n"/>
      <c r="D1328" s="36" t="n"/>
      <c r="E1328" s="36" t="n"/>
      <c r="F1328" s="36" t="n"/>
      <c r="G1328" s="42" t="n"/>
      <c r="H1328" s="37" t="n"/>
      <c r="I1328" s="37" t="n"/>
      <c r="J1328" s="32" t="n"/>
      <c r="K1328" s="32" t="n"/>
      <c r="L1328" s="43" t="n"/>
      <c r="M1328" s="36" t="n"/>
      <c r="N1328" s="44" t="n"/>
      <c r="O1328" s="36" t="n"/>
      <c r="P1328" s="33">
        <f>IF(C1328="","",Commercial_Id)</f>
        <v/>
      </c>
      <c r="Q1328" s="34">
        <f>IF(AC1328="","",IF(AD1328=1,"C"&amp;TEXT(SUM(AD$6:AD1328),"0000"),INDEX(Q$6:Q1327,MATCH(AC1328,AC$6:AC1327,0))))</f>
        <v/>
      </c>
      <c r="R1328" s="34">
        <f>IF(C1328="","",IF(L1328="☑ Oui","Annulée",IF(OR(E1328="Vente directe",K1328&lt;&gt;""),"Livrée",IF(J1328&lt;&gt;"","Confirmée","En attente"))))</f>
        <v/>
      </c>
      <c r="S1328" s="34">
        <f>IF(F1328="","",IFERROR(VLOOKUP(F1328,T_Produits,2,FALSE),""))</f>
        <v/>
      </c>
      <c r="T1328" s="40">
        <f>IF(F1328="","",IFERROR(1/(1/VLOOKUP(F1328,T_Produits,3,FALSE)),""))</f>
        <v/>
      </c>
      <c r="U1328" s="40">
        <f>IF(H1328&lt;&gt;"",H1328,T1328)</f>
        <v/>
      </c>
      <c r="V1328" s="40">
        <f>IF(OR(G1328="",U1328=""),"",G1328*U1328-N(I1328))</f>
        <v/>
      </c>
      <c r="W1328" s="39">
        <f>IF(D1328="","",IFERROR(VALUE(MID(D1328,LEN(D1328)-3,3)),""))</f>
        <v/>
      </c>
      <c r="X1328" s="33">
        <f>IF(W1328="","",P1328&amp;"|"&amp;W1328)</f>
        <v/>
      </c>
      <c r="Y1328" s="33">
        <f>IF(W1328="","",IF(P1328="À RENSEIGNER","GIC",P1328)&amp;"-"&amp;TEXT(W1328,"000"))</f>
        <v/>
      </c>
      <c r="Z1328" s="33">
        <f>IF(X1328="","",IFERROR(INDEX(Cl_nom,MATCH(X1328,Cl_cle,0)),"(client introuvable)"))</f>
        <v/>
      </c>
      <c r="AA1328" s="33">
        <f>IF(X1328="","",IFERROR(INDEX(Cl_quartier,MATCH(X1328,Cl_cle,0))&amp;"",""))</f>
        <v/>
      </c>
      <c r="AB1328" s="45">
        <f>IF(R1328&lt;&gt;"Livrée",0,IF(K1328&lt;&gt;"",K1328,C1328))</f>
        <v/>
      </c>
      <c r="AC1328" s="33">
        <f>IF(OR(C1328="",W1328=""),"",P1328&amp;"|"&amp;W1328&amp;"|"&amp;C1328&amp;"|"&amp;E1328)</f>
        <v/>
      </c>
      <c r="AD1328" s="39">
        <f>IF(AC1328="","",IF(COUNTIF(AC$6:AC1328,AC1328)=1,1,0))</f>
        <v/>
      </c>
      <c r="AE1328" s="39">
        <f>IF(AB1328=0,"",IF(COUNTIFS(X$6:X1328,X1328,AB$6:AB1328,AB1328)=1,1,0))</f>
        <v/>
      </c>
      <c r="AF1328" s="34">
        <f>IF(C1328="","",YEAR(C1328-WEEKDAY(C1328,2)+4)&amp;"-S"&amp;TEXT(INT((C1328-DATE(YEAR(C1328-WEEKDAY(C1328,2)+4),1,3)+WEEKDAY(DATE(YEAR(C1328-WEEKDAY(C1328,2)+4),1,3),2)+5)/7),"00"))</f>
        <v/>
      </c>
    </row>
    <row r="1329" ht="18" customHeight="1">
      <c r="A1329" s="39" t="n">
        <v>1324</v>
      </c>
      <c r="B1329" s="33">
        <f>IF(C1329="","",IF(P1329="À RENSEIGNER","GIC",P1329)&amp;"-C"&amp;TEXT(A1329,"00000"))</f>
        <v/>
      </c>
      <c r="C1329" s="32" t="n"/>
      <c r="D1329" s="36" t="n"/>
      <c r="E1329" s="36" t="n"/>
      <c r="F1329" s="36" t="n"/>
      <c r="G1329" s="42" t="n"/>
      <c r="H1329" s="37" t="n"/>
      <c r="I1329" s="37" t="n"/>
      <c r="J1329" s="32" t="n"/>
      <c r="K1329" s="32" t="n"/>
      <c r="L1329" s="43" t="n"/>
      <c r="M1329" s="36" t="n"/>
      <c r="N1329" s="44" t="n"/>
      <c r="O1329" s="36" t="n"/>
      <c r="P1329" s="33">
        <f>IF(C1329="","",Commercial_Id)</f>
        <v/>
      </c>
      <c r="Q1329" s="34">
        <f>IF(AC1329="","",IF(AD1329=1,"C"&amp;TEXT(SUM(AD$6:AD1329),"0000"),INDEX(Q$6:Q1328,MATCH(AC1329,AC$6:AC1328,0))))</f>
        <v/>
      </c>
      <c r="R1329" s="34">
        <f>IF(C1329="","",IF(L1329="☑ Oui","Annulée",IF(OR(E1329="Vente directe",K1329&lt;&gt;""),"Livrée",IF(J1329&lt;&gt;"","Confirmée","En attente"))))</f>
        <v/>
      </c>
      <c r="S1329" s="34">
        <f>IF(F1329="","",IFERROR(VLOOKUP(F1329,T_Produits,2,FALSE),""))</f>
        <v/>
      </c>
      <c r="T1329" s="40">
        <f>IF(F1329="","",IFERROR(1/(1/VLOOKUP(F1329,T_Produits,3,FALSE)),""))</f>
        <v/>
      </c>
      <c r="U1329" s="40">
        <f>IF(H1329&lt;&gt;"",H1329,T1329)</f>
        <v/>
      </c>
      <c r="V1329" s="40">
        <f>IF(OR(G1329="",U1329=""),"",G1329*U1329-N(I1329))</f>
        <v/>
      </c>
      <c r="W1329" s="39">
        <f>IF(D1329="","",IFERROR(VALUE(MID(D1329,LEN(D1329)-3,3)),""))</f>
        <v/>
      </c>
      <c r="X1329" s="33">
        <f>IF(W1329="","",P1329&amp;"|"&amp;W1329)</f>
        <v/>
      </c>
      <c r="Y1329" s="33">
        <f>IF(W1329="","",IF(P1329="À RENSEIGNER","GIC",P1329)&amp;"-"&amp;TEXT(W1329,"000"))</f>
        <v/>
      </c>
      <c r="Z1329" s="33">
        <f>IF(X1329="","",IFERROR(INDEX(Cl_nom,MATCH(X1329,Cl_cle,0)),"(client introuvable)"))</f>
        <v/>
      </c>
      <c r="AA1329" s="33">
        <f>IF(X1329="","",IFERROR(INDEX(Cl_quartier,MATCH(X1329,Cl_cle,0))&amp;"",""))</f>
        <v/>
      </c>
      <c r="AB1329" s="45">
        <f>IF(R1329&lt;&gt;"Livrée",0,IF(K1329&lt;&gt;"",K1329,C1329))</f>
        <v/>
      </c>
      <c r="AC1329" s="33">
        <f>IF(OR(C1329="",W1329=""),"",P1329&amp;"|"&amp;W1329&amp;"|"&amp;C1329&amp;"|"&amp;E1329)</f>
        <v/>
      </c>
      <c r="AD1329" s="39">
        <f>IF(AC1329="","",IF(COUNTIF(AC$6:AC1329,AC1329)=1,1,0))</f>
        <v/>
      </c>
      <c r="AE1329" s="39">
        <f>IF(AB1329=0,"",IF(COUNTIFS(X$6:X1329,X1329,AB$6:AB1329,AB1329)=1,1,0))</f>
        <v/>
      </c>
      <c r="AF1329" s="34">
        <f>IF(C1329="","",YEAR(C1329-WEEKDAY(C1329,2)+4)&amp;"-S"&amp;TEXT(INT((C1329-DATE(YEAR(C1329-WEEKDAY(C1329,2)+4),1,3)+WEEKDAY(DATE(YEAR(C1329-WEEKDAY(C1329,2)+4),1,3),2)+5)/7),"00"))</f>
        <v/>
      </c>
    </row>
    <row r="1330" ht="18" customHeight="1">
      <c r="A1330" s="39" t="n">
        <v>1325</v>
      </c>
      <c r="B1330" s="33">
        <f>IF(C1330="","",IF(P1330="À RENSEIGNER","GIC",P1330)&amp;"-C"&amp;TEXT(A1330,"00000"))</f>
        <v/>
      </c>
      <c r="C1330" s="32" t="n"/>
      <c r="D1330" s="36" t="n"/>
      <c r="E1330" s="36" t="n"/>
      <c r="F1330" s="36" t="n"/>
      <c r="G1330" s="42" t="n"/>
      <c r="H1330" s="37" t="n"/>
      <c r="I1330" s="37" t="n"/>
      <c r="J1330" s="32" t="n"/>
      <c r="K1330" s="32" t="n"/>
      <c r="L1330" s="43" t="n"/>
      <c r="M1330" s="36" t="n"/>
      <c r="N1330" s="44" t="n"/>
      <c r="O1330" s="36" t="n"/>
      <c r="P1330" s="33">
        <f>IF(C1330="","",Commercial_Id)</f>
        <v/>
      </c>
      <c r="Q1330" s="34">
        <f>IF(AC1330="","",IF(AD1330=1,"C"&amp;TEXT(SUM(AD$6:AD1330),"0000"),INDEX(Q$6:Q1329,MATCH(AC1330,AC$6:AC1329,0))))</f>
        <v/>
      </c>
      <c r="R1330" s="34">
        <f>IF(C1330="","",IF(L1330="☑ Oui","Annulée",IF(OR(E1330="Vente directe",K1330&lt;&gt;""),"Livrée",IF(J1330&lt;&gt;"","Confirmée","En attente"))))</f>
        <v/>
      </c>
      <c r="S1330" s="34">
        <f>IF(F1330="","",IFERROR(VLOOKUP(F1330,T_Produits,2,FALSE),""))</f>
        <v/>
      </c>
      <c r="T1330" s="40">
        <f>IF(F1330="","",IFERROR(1/(1/VLOOKUP(F1330,T_Produits,3,FALSE)),""))</f>
        <v/>
      </c>
      <c r="U1330" s="40">
        <f>IF(H1330&lt;&gt;"",H1330,T1330)</f>
        <v/>
      </c>
      <c r="V1330" s="40">
        <f>IF(OR(G1330="",U1330=""),"",G1330*U1330-N(I1330))</f>
        <v/>
      </c>
      <c r="W1330" s="39">
        <f>IF(D1330="","",IFERROR(VALUE(MID(D1330,LEN(D1330)-3,3)),""))</f>
        <v/>
      </c>
      <c r="X1330" s="33">
        <f>IF(W1330="","",P1330&amp;"|"&amp;W1330)</f>
        <v/>
      </c>
      <c r="Y1330" s="33">
        <f>IF(W1330="","",IF(P1330="À RENSEIGNER","GIC",P1330)&amp;"-"&amp;TEXT(W1330,"000"))</f>
        <v/>
      </c>
      <c r="Z1330" s="33">
        <f>IF(X1330="","",IFERROR(INDEX(Cl_nom,MATCH(X1330,Cl_cle,0)),"(client introuvable)"))</f>
        <v/>
      </c>
      <c r="AA1330" s="33">
        <f>IF(X1330="","",IFERROR(INDEX(Cl_quartier,MATCH(X1330,Cl_cle,0))&amp;"",""))</f>
        <v/>
      </c>
      <c r="AB1330" s="45">
        <f>IF(R1330&lt;&gt;"Livrée",0,IF(K1330&lt;&gt;"",K1330,C1330))</f>
        <v/>
      </c>
      <c r="AC1330" s="33">
        <f>IF(OR(C1330="",W1330=""),"",P1330&amp;"|"&amp;W1330&amp;"|"&amp;C1330&amp;"|"&amp;E1330)</f>
        <v/>
      </c>
      <c r="AD1330" s="39">
        <f>IF(AC1330="","",IF(COUNTIF(AC$6:AC1330,AC1330)=1,1,0))</f>
        <v/>
      </c>
      <c r="AE1330" s="39">
        <f>IF(AB1330=0,"",IF(COUNTIFS(X$6:X1330,X1330,AB$6:AB1330,AB1330)=1,1,0))</f>
        <v/>
      </c>
      <c r="AF1330" s="34">
        <f>IF(C1330="","",YEAR(C1330-WEEKDAY(C1330,2)+4)&amp;"-S"&amp;TEXT(INT((C1330-DATE(YEAR(C1330-WEEKDAY(C1330,2)+4),1,3)+WEEKDAY(DATE(YEAR(C1330-WEEKDAY(C1330,2)+4),1,3),2)+5)/7),"00"))</f>
        <v/>
      </c>
    </row>
    <row r="1331" ht="18" customHeight="1">
      <c r="A1331" s="39" t="n">
        <v>1326</v>
      </c>
      <c r="B1331" s="33">
        <f>IF(C1331="","",IF(P1331="À RENSEIGNER","GIC",P1331)&amp;"-C"&amp;TEXT(A1331,"00000"))</f>
        <v/>
      </c>
      <c r="C1331" s="32" t="n"/>
      <c r="D1331" s="36" t="n"/>
      <c r="E1331" s="36" t="n"/>
      <c r="F1331" s="36" t="n"/>
      <c r="G1331" s="42" t="n"/>
      <c r="H1331" s="37" t="n"/>
      <c r="I1331" s="37" t="n"/>
      <c r="J1331" s="32" t="n"/>
      <c r="K1331" s="32" t="n"/>
      <c r="L1331" s="43" t="n"/>
      <c r="M1331" s="36" t="n"/>
      <c r="N1331" s="44" t="n"/>
      <c r="O1331" s="36" t="n"/>
      <c r="P1331" s="33">
        <f>IF(C1331="","",Commercial_Id)</f>
        <v/>
      </c>
      <c r="Q1331" s="34">
        <f>IF(AC1331="","",IF(AD1331=1,"C"&amp;TEXT(SUM(AD$6:AD1331),"0000"),INDEX(Q$6:Q1330,MATCH(AC1331,AC$6:AC1330,0))))</f>
        <v/>
      </c>
      <c r="R1331" s="34">
        <f>IF(C1331="","",IF(L1331="☑ Oui","Annulée",IF(OR(E1331="Vente directe",K1331&lt;&gt;""),"Livrée",IF(J1331&lt;&gt;"","Confirmée","En attente"))))</f>
        <v/>
      </c>
      <c r="S1331" s="34">
        <f>IF(F1331="","",IFERROR(VLOOKUP(F1331,T_Produits,2,FALSE),""))</f>
        <v/>
      </c>
      <c r="T1331" s="40">
        <f>IF(F1331="","",IFERROR(1/(1/VLOOKUP(F1331,T_Produits,3,FALSE)),""))</f>
        <v/>
      </c>
      <c r="U1331" s="40">
        <f>IF(H1331&lt;&gt;"",H1331,T1331)</f>
        <v/>
      </c>
      <c r="V1331" s="40">
        <f>IF(OR(G1331="",U1331=""),"",G1331*U1331-N(I1331))</f>
        <v/>
      </c>
      <c r="W1331" s="39">
        <f>IF(D1331="","",IFERROR(VALUE(MID(D1331,LEN(D1331)-3,3)),""))</f>
        <v/>
      </c>
      <c r="X1331" s="33">
        <f>IF(W1331="","",P1331&amp;"|"&amp;W1331)</f>
        <v/>
      </c>
      <c r="Y1331" s="33">
        <f>IF(W1331="","",IF(P1331="À RENSEIGNER","GIC",P1331)&amp;"-"&amp;TEXT(W1331,"000"))</f>
        <v/>
      </c>
      <c r="Z1331" s="33">
        <f>IF(X1331="","",IFERROR(INDEX(Cl_nom,MATCH(X1331,Cl_cle,0)),"(client introuvable)"))</f>
        <v/>
      </c>
      <c r="AA1331" s="33">
        <f>IF(X1331="","",IFERROR(INDEX(Cl_quartier,MATCH(X1331,Cl_cle,0))&amp;"",""))</f>
        <v/>
      </c>
      <c r="AB1331" s="45">
        <f>IF(R1331&lt;&gt;"Livrée",0,IF(K1331&lt;&gt;"",K1331,C1331))</f>
        <v/>
      </c>
      <c r="AC1331" s="33">
        <f>IF(OR(C1331="",W1331=""),"",P1331&amp;"|"&amp;W1331&amp;"|"&amp;C1331&amp;"|"&amp;E1331)</f>
        <v/>
      </c>
      <c r="AD1331" s="39">
        <f>IF(AC1331="","",IF(COUNTIF(AC$6:AC1331,AC1331)=1,1,0))</f>
        <v/>
      </c>
      <c r="AE1331" s="39">
        <f>IF(AB1331=0,"",IF(COUNTIFS(X$6:X1331,X1331,AB$6:AB1331,AB1331)=1,1,0))</f>
        <v/>
      </c>
      <c r="AF1331" s="34">
        <f>IF(C1331="","",YEAR(C1331-WEEKDAY(C1331,2)+4)&amp;"-S"&amp;TEXT(INT((C1331-DATE(YEAR(C1331-WEEKDAY(C1331,2)+4),1,3)+WEEKDAY(DATE(YEAR(C1331-WEEKDAY(C1331,2)+4),1,3),2)+5)/7),"00"))</f>
        <v/>
      </c>
    </row>
    <row r="1332" ht="18" customHeight="1">
      <c r="A1332" s="39" t="n">
        <v>1327</v>
      </c>
      <c r="B1332" s="33">
        <f>IF(C1332="","",IF(P1332="À RENSEIGNER","GIC",P1332)&amp;"-C"&amp;TEXT(A1332,"00000"))</f>
        <v/>
      </c>
      <c r="C1332" s="32" t="n"/>
      <c r="D1332" s="36" t="n"/>
      <c r="E1332" s="36" t="n"/>
      <c r="F1332" s="36" t="n"/>
      <c r="G1332" s="42" t="n"/>
      <c r="H1332" s="37" t="n"/>
      <c r="I1332" s="37" t="n"/>
      <c r="J1332" s="32" t="n"/>
      <c r="K1332" s="32" t="n"/>
      <c r="L1332" s="43" t="n"/>
      <c r="M1332" s="36" t="n"/>
      <c r="N1332" s="44" t="n"/>
      <c r="O1332" s="36" t="n"/>
      <c r="P1332" s="33">
        <f>IF(C1332="","",Commercial_Id)</f>
        <v/>
      </c>
      <c r="Q1332" s="34">
        <f>IF(AC1332="","",IF(AD1332=1,"C"&amp;TEXT(SUM(AD$6:AD1332),"0000"),INDEX(Q$6:Q1331,MATCH(AC1332,AC$6:AC1331,0))))</f>
        <v/>
      </c>
      <c r="R1332" s="34">
        <f>IF(C1332="","",IF(L1332="☑ Oui","Annulée",IF(OR(E1332="Vente directe",K1332&lt;&gt;""),"Livrée",IF(J1332&lt;&gt;"","Confirmée","En attente"))))</f>
        <v/>
      </c>
      <c r="S1332" s="34">
        <f>IF(F1332="","",IFERROR(VLOOKUP(F1332,T_Produits,2,FALSE),""))</f>
        <v/>
      </c>
      <c r="T1332" s="40">
        <f>IF(F1332="","",IFERROR(1/(1/VLOOKUP(F1332,T_Produits,3,FALSE)),""))</f>
        <v/>
      </c>
      <c r="U1332" s="40">
        <f>IF(H1332&lt;&gt;"",H1332,T1332)</f>
        <v/>
      </c>
      <c r="V1332" s="40">
        <f>IF(OR(G1332="",U1332=""),"",G1332*U1332-N(I1332))</f>
        <v/>
      </c>
      <c r="W1332" s="39">
        <f>IF(D1332="","",IFERROR(VALUE(MID(D1332,LEN(D1332)-3,3)),""))</f>
        <v/>
      </c>
      <c r="X1332" s="33">
        <f>IF(W1332="","",P1332&amp;"|"&amp;W1332)</f>
        <v/>
      </c>
      <c r="Y1332" s="33">
        <f>IF(W1332="","",IF(P1332="À RENSEIGNER","GIC",P1332)&amp;"-"&amp;TEXT(W1332,"000"))</f>
        <v/>
      </c>
      <c r="Z1332" s="33">
        <f>IF(X1332="","",IFERROR(INDEX(Cl_nom,MATCH(X1332,Cl_cle,0)),"(client introuvable)"))</f>
        <v/>
      </c>
      <c r="AA1332" s="33">
        <f>IF(X1332="","",IFERROR(INDEX(Cl_quartier,MATCH(X1332,Cl_cle,0))&amp;"",""))</f>
        <v/>
      </c>
      <c r="AB1332" s="45">
        <f>IF(R1332&lt;&gt;"Livrée",0,IF(K1332&lt;&gt;"",K1332,C1332))</f>
        <v/>
      </c>
      <c r="AC1332" s="33">
        <f>IF(OR(C1332="",W1332=""),"",P1332&amp;"|"&amp;W1332&amp;"|"&amp;C1332&amp;"|"&amp;E1332)</f>
        <v/>
      </c>
      <c r="AD1332" s="39">
        <f>IF(AC1332="","",IF(COUNTIF(AC$6:AC1332,AC1332)=1,1,0))</f>
        <v/>
      </c>
      <c r="AE1332" s="39">
        <f>IF(AB1332=0,"",IF(COUNTIFS(X$6:X1332,X1332,AB$6:AB1332,AB1332)=1,1,0))</f>
        <v/>
      </c>
      <c r="AF1332" s="34">
        <f>IF(C1332="","",YEAR(C1332-WEEKDAY(C1332,2)+4)&amp;"-S"&amp;TEXT(INT((C1332-DATE(YEAR(C1332-WEEKDAY(C1332,2)+4),1,3)+WEEKDAY(DATE(YEAR(C1332-WEEKDAY(C1332,2)+4),1,3),2)+5)/7),"00"))</f>
        <v/>
      </c>
    </row>
    <row r="1333" ht="18" customHeight="1">
      <c r="A1333" s="39" t="n">
        <v>1328</v>
      </c>
      <c r="B1333" s="33">
        <f>IF(C1333="","",IF(P1333="À RENSEIGNER","GIC",P1333)&amp;"-C"&amp;TEXT(A1333,"00000"))</f>
        <v/>
      </c>
      <c r="C1333" s="32" t="n"/>
      <c r="D1333" s="36" t="n"/>
      <c r="E1333" s="36" t="n"/>
      <c r="F1333" s="36" t="n"/>
      <c r="G1333" s="42" t="n"/>
      <c r="H1333" s="37" t="n"/>
      <c r="I1333" s="37" t="n"/>
      <c r="J1333" s="32" t="n"/>
      <c r="K1333" s="32" t="n"/>
      <c r="L1333" s="43" t="n"/>
      <c r="M1333" s="36" t="n"/>
      <c r="N1333" s="44" t="n"/>
      <c r="O1333" s="36" t="n"/>
      <c r="P1333" s="33">
        <f>IF(C1333="","",Commercial_Id)</f>
        <v/>
      </c>
      <c r="Q1333" s="34">
        <f>IF(AC1333="","",IF(AD1333=1,"C"&amp;TEXT(SUM(AD$6:AD1333),"0000"),INDEX(Q$6:Q1332,MATCH(AC1333,AC$6:AC1332,0))))</f>
        <v/>
      </c>
      <c r="R1333" s="34">
        <f>IF(C1333="","",IF(L1333="☑ Oui","Annulée",IF(OR(E1333="Vente directe",K1333&lt;&gt;""),"Livrée",IF(J1333&lt;&gt;"","Confirmée","En attente"))))</f>
        <v/>
      </c>
      <c r="S1333" s="34">
        <f>IF(F1333="","",IFERROR(VLOOKUP(F1333,T_Produits,2,FALSE),""))</f>
        <v/>
      </c>
      <c r="T1333" s="40">
        <f>IF(F1333="","",IFERROR(1/(1/VLOOKUP(F1333,T_Produits,3,FALSE)),""))</f>
        <v/>
      </c>
      <c r="U1333" s="40">
        <f>IF(H1333&lt;&gt;"",H1333,T1333)</f>
        <v/>
      </c>
      <c r="V1333" s="40">
        <f>IF(OR(G1333="",U1333=""),"",G1333*U1333-N(I1333))</f>
        <v/>
      </c>
      <c r="W1333" s="39">
        <f>IF(D1333="","",IFERROR(VALUE(MID(D1333,LEN(D1333)-3,3)),""))</f>
        <v/>
      </c>
      <c r="X1333" s="33">
        <f>IF(W1333="","",P1333&amp;"|"&amp;W1333)</f>
        <v/>
      </c>
      <c r="Y1333" s="33">
        <f>IF(W1333="","",IF(P1333="À RENSEIGNER","GIC",P1333)&amp;"-"&amp;TEXT(W1333,"000"))</f>
        <v/>
      </c>
      <c r="Z1333" s="33">
        <f>IF(X1333="","",IFERROR(INDEX(Cl_nom,MATCH(X1333,Cl_cle,0)),"(client introuvable)"))</f>
        <v/>
      </c>
      <c r="AA1333" s="33">
        <f>IF(X1333="","",IFERROR(INDEX(Cl_quartier,MATCH(X1333,Cl_cle,0))&amp;"",""))</f>
        <v/>
      </c>
      <c r="AB1333" s="45">
        <f>IF(R1333&lt;&gt;"Livrée",0,IF(K1333&lt;&gt;"",K1333,C1333))</f>
        <v/>
      </c>
      <c r="AC1333" s="33">
        <f>IF(OR(C1333="",W1333=""),"",P1333&amp;"|"&amp;W1333&amp;"|"&amp;C1333&amp;"|"&amp;E1333)</f>
        <v/>
      </c>
      <c r="AD1333" s="39">
        <f>IF(AC1333="","",IF(COUNTIF(AC$6:AC1333,AC1333)=1,1,0))</f>
        <v/>
      </c>
      <c r="AE1333" s="39">
        <f>IF(AB1333=0,"",IF(COUNTIFS(X$6:X1333,X1333,AB$6:AB1333,AB1333)=1,1,0))</f>
        <v/>
      </c>
      <c r="AF1333" s="34">
        <f>IF(C1333="","",YEAR(C1333-WEEKDAY(C1333,2)+4)&amp;"-S"&amp;TEXT(INT((C1333-DATE(YEAR(C1333-WEEKDAY(C1333,2)+4),1,3)+WEEKDAY(DATE(YEAR(C1333-WEEKDAY(C1333,2)+4),1,3),2)+5)/7),"00"))</f>
        <v/>
      </c>
    </row>
    <row r="1334" ht="18" customHeight="1">
      <c r="A1334" s="39" t="n">
        <v>1329</v>
      </c>
      <c r="B1334" s="33">
        <f>IF(C1334="","",IF(P1334="À RENSEIGNER","GIC",P1334)&amp;"-C"&amp;TEXT(A1334,"00000"))</f>
        <v/>
      </c>
      <c r="C1334" s="32" t="n"/>
      <c r="D1334" s="36" t="n"/>
      <c r="E1334" s="36" t="n"/>
      <c r="F1334" s="36" t="n"/>
      <c r="G1334" s="42" t="n"/>
      <c r="H1334" s="37" t="n"/>
      <c r="I1334" s="37" t="n"/>
      <c r="J1334" s="32" t="n"/>
      <c r="K1334" s="32" t="n"/>
      <c r="L1334" s="43" t="n"/>
      <c r="M1334" s="36" t="n"/>
      <c r="N1334" s="44" t="n"/>
      <c r="O1334" s="36" t="n"/>
      <c r="P1334" s="33">
        <f>IF(C1334="","",Commercial_Id)</f>
        <v/>
      </c>
      <c r="Q1334" s="34">
        <f>IF(AC1334="","",IF(AD1334=1,"C"&amp;TEXT(SUM(AD$6:AD1334),"0000"),INDEX(Q$6:Q1333,MATCH(AC1334,AC$6:AC1333,0))))</f>
        <v/>
      </c>
      <c r="R1334" s="34">
        <f>IF(C1334="","",IF(L1334="☑ Oui","Annulée",IF(OR(E1334="Vente directe",K1334&lt;&gt;""),"Livrée",IF(J1334&lt;&gt;"","Confirmée","En attente"))))</f>
        <v/>
      </c>
      <c r="S1334" s="34">
        <f>IF(F1334="","",IFERROR(VLOOKUP(F1334,T_Produits,2,FALSE),""))</f>
        <v/>
      </c>
      <c r="T1334" s="40">
        <f>IF(F1334="","",IFERROR(1/(1/VLOOKUP(F1334,T_Produits,3,FALSE)),""))</f>
        <v/>
      </c>
      <c r="U1334" s="40">
        <f>IF(H1334&lt;&gt;"",H1334,T1334)</f>
        <v/>
      </c>
      <c r="V1334" s="40">
        <f>IF(OR(G1334="",U1334=""),"",G1334*U1334-N(I1334))</f>
        <v/>
      </c>
      <c r="W1334" s="39">
        <f>IF(D1334="","",IFERROR(VALUE(MID(D1334,LEN(D1334)-3,3)),""))</f>
        <v/>
      </c>
      <c r="X1334" s="33">
        <f>IF(W1334="","",P1334&amp;"|"&amp;W1334)</f>
        <v/>
      </c>
      <c r="Y1334" s="33">
        <f>IF(W1334="","",IF(P1334="À RENSEIGNER","GIC",P1334)&amp;"-"&amp;TEXT(W1334,"000"))</f>
        <v/>
      </c>
      <c r="Z1334" s="33">
        <f>IF(X1334="","",IFERROR(INDEX(Cl_nom,MATCH(X1334,Cl_cle,0)),"(client introuvable)"))</f>
        <v/>
      </c>
      <c r="AA1334" s="33">
        <f>IF(X1334="","",IFERROR(INDEX(Cl_quartier,MATCH(X1334,Cl_cle,0))&amp;"",""))</f>
        <v/>
      </c>
      <c r="AB1334" s="45">
        <f>IF(R1334&lt;&gt;"Livrée",0,IF(K1334&lt;&gt;"",K1334,C1334))</f>
        <v/>
      </c>
      <c r="AC1334" s="33">
        <f>IF(OR(C1334="",W1334=""),"",P1334&amp;"|"&amp;W1334&amp;"|"&amp;C1334&amp;"|"&amp;E1334)</f>
        <v/>
      </c>
      <c r="AD1334" s="39">
        <f>IF(AC1334="","",IF(COUNTIF(AC$6:AC1334,AC1334)=1,1,0))</f>
        <v/>
      </c>
      <c r="AE1334" s="39">
        <f>IF(AB1334=0,"",IF(COUNTIFS(X$6:X1334,X1334,AB$6:AB1334,AB1334)=1,1,0))</f>
        <v/>
      </c>
      <c r="AF1334" s="34">
        <f>IF(C1334="","",YEAR(C1334-WEEKDAY(C1334,2)+4)&amp;"-S"&amp;TEXT(INT((C1334-DATE(YEAR(C1334-WEEKDAY(C1334,2)+4),1,3)+WEEKDAY(DATE(YEAR(C1334-WEEKDAY(C1334,2)+4),1,3),2)+5)/7),"00"))</f>
        <v/>
      </c>
    </row>
    <row r="1335" ht="18" customHeight="1">
      <c r="A1335" s="39" t="n">
        <v>1330</v>
      </c>
      <c r="B1335" s="33">
        <f>IF(C1335="","",IF(P1335="À RENSEIGNER","GIC",P1335)&amp;"-C"&amp;TEXT(A1335,"00000"))</f>
        <v/>
      </c>
      <c r="C1335" s="32" t="n"/>
      <c r="D1335" s="36" t="n"/>
      <c r="E1335" s="36" t="n"/>
      <c r="F1335" s="36" t="n"/>
      <c r="G1335" s="42" t="n"/>
      <c r="H1335" s="37" t="n"/>
      <c r="I1335" s="37" t="n"/>
      <c r="J1335" s="32" t="n"/>
      <c r="K1335" s="32" t="n"/>
      <c r="L1335" s="43" t="n"/>
      <c r="M1335" s="36" t="n"/>
      <c r="N1335" s="44" t="n"/>
      <c r="O1335" s="36" t="n"/>
      <c r="P1335" s="33">
        <f>IF(C1335="","",Commercial_Id)</f>
        <v/>
      </c>
      <c r="Q1335" s="34">
        <f>IF(AC1335="","",IF(AD1335=1,"C"&amp;TEXT(SUM(AD$6:AD1335),"0000"),INDEX(Q$6:Q1334,MATCH(AC1335,AC$6:AC1334,0))))</f>
        <v/>
      </c>
      <c r="R1335" s="34">
        <f>IF(C1335="","",IF(L1335="☑ Oui","Annulée",IF(OR(E1335="Vente directe",K1335&lt;&gt;""),"Livrée",IF(J1335&lt;&gt;"","Confirmée","En attente"))))</f>
        <v/>
      </c>
      <c r="S1335" s="34">
        <f>IF(F1335="","",IFERROR(VLOOKUP(F1335,T_Produits,2,FALSE),""))</f>
        <v/>
      </c>
      <c r="T1335" s="40">
        <f>IF(F1335="","",IFERROR(1/(1/VLOOKUP(F1335,T_Produits,3,FALSE)),""))</f>
        <v/>
      </c>
      <c r="U1335" s="40">
        <f>IF(H1335&lt;&gt;"",H1335,T1335)</f>
        <v/>
      </c>
      <c r="V1335" s="40">
        <f>IF(OR(G1335="",U1335=""),"",G1335*U1335-N(I1335))</f>
        <v/>
      </c>
      <c r="W1335" s="39">
        <f>IF(D1335="","",IFERROR(VALUE(MID(D1335,LEN(D1335)-3,3)),""))</f>
        <v/>
      </c>
      <c r="X1335" s="33">
        <f>IF(W1335="","",P1335&amp;"|"&amp;W1335)</f>
        <v/>
      </c>
      <c r="Y1335" s="33">
        <f>IF(W1335="","",IF(P1335="À RENSEIGNER","GIC",P1335)&amp;"-"&amp;TEXT(W1335,"000"))</f>
        <v/>
      </c>
      <c r="Z1335" s="33">
        <f>IF(X1335="","",IFERROR(INDEX(Cl_nom,MATCH(X1335,Cl_cle,0)),"(client introuvable)"))</f>
        <v/>
      </c>
      <c r="AA1335" s="33">
        <f>IF(X1335="","",IFERROR(INDEX(Cl_quartier,MATCH(X1335,Cl_cle,0))&amp;"",""))</f>
        <v/>
      </c>
      <c r="AB1335" s="45">
        <f>IF(R1335&lt;&gt;"Livrée",0,IF(K1335&lt;&gt;"",K1335,C1335))</f>
        <v/>
      </c>
      <c r="AC1335" s="33">
        <f>IF(OR(C1335="",W1335=""),"",P1335&amp;"|"&amp;W1335&amp;"|"&amp;C1335&amp;"|"&amp;E1335)</f>
        <v/>
      </c>
      <c r="AD1335" s="39">
        <f>IF(AC1335="","",IF(COUNTIF(AC$6:AC1335,AC1335)=1,1,0))</f>
        <v/>
      </c>
      <c r="AE1335" s="39">
        <f>IF(AB1335=0,"",IF(COUNTIFS(X$6:X1335,X1335,AB$6:AB1335,AB1335)=1,1,0))</f>
        <v/>
      </c>
      <c r="AF1335" s="34">
        <f>IF(C1335="","",YEAR(C1335-WEEKDAY(C1335,2)+4)&amp;"-S"&amp;TEXT(INT((C1335-DATE(YEAR(C1335-WEEKDAY(C1335,2)+4),1,3)+WEEKDAY(DATE(YEAR(C1335-WEEKDAY(C1335,2)+4),1,3),2)+5)/7),"00"))</f>
        <v/>
      </c>
    </row>
    <row r="1336" ht="18" customHeight="1">
      <c r="A1336" s="39" t="n">
        <v>1331</v>
      </c>
      <c r="B1336" s="33">
        <f>IF(C1336="","",IF(P1336="À RENSEIGNER","GIC",P1336)&amp;"-C"&amp;TEXT(A1336,"00000"))</f>
        <v/>
      </c>
      <c r="C1336" s="32" t="n"/>
      <c r="D1336" s="36" t="n"/>
      <c r="E1336" s="36" t="n"/>
      <c r="F1336" s="36" t="n"/>
      <c r="G1336" s="42" t="n"/>
      <c r="H1336" s="37" t="n"/>
      <c r="I1336" s="37" t="n"/>
      <c r="J1336" s="32" t="n"/>
      <c r="K1336" s="32" t="n"/>
      <c r="L1336" s="43" t="n"/>
      <c r="M1336" s="36" t="n"/>
      <c r="N1336" s="44" t="n"/>
      <c r="O1336" s="36" t="n"/>
      <c r="P1336" s="33">
        <f>IF(C1336="","",Commercial_Id)</f>
        <v/>
      </c>
      <c r="Q1336" s="34">
        <f>IF(AC1336="","",IF(AD1336=1,"C"&amp;TEXT(SUM(AD$6:AD1336),"0000"),INDEX(Q$6:Q1335,MATCH(AC1336,AC$6:AC1335,0))))</f>
        <v/>
      </c>
      <c r="R1336" s="34">
        <f>IF(C1336="","",IF(L1336="☑ Oui","Annulée",IF(OR(E1336="Vente directe",K1336&lt;&gt;""),"Livrée",IF(J1336&lt;&gt;"","Confirmée","En attente"))))</f>
        <v/>
      </c>
      <c r="S1336" s="34">
        <f>IF(F1336="","",IFERROR(VLOOKUP(F1336,T_Produits,2,FALSE),""))</f>
        <v/>
      </c>
      <c r="T1336" s="40">
        <f>IF(F1336="","",IFERROR(1/(1/VLOOKUP(F1336,T_Produits,3,FALSE)),""))</f>
        <v/>
      </c>
      <c r="U1336" s="40">
        <f>IF(H1336&lt;&gt;"",H1336,T1336)</f>
        <v/>
      </c>
      <c r="V1336" s="40">
        <f>IF(OR(G1336="",U1336=""),"",G1336*U1336-N(I1336))</f>
        <v/>
      </c>
      <c r="W1336" s="39">
        <f>IF(D1336="","",IFERROR(VALUE(MID(D1336,LEN(D1336)-3,3)),""))</f>
        <v/>
      </c>
      <c r="X1336" s="33">
        <f>IF(W1336="","",P1336&amp;"|"&amp;W1336)</f>
        <v/>
      </c>
      <c r="Y1336" s="33">
        <f>IF(W1336="","",IF(P1336="À RENSEIGNER","GIC",P1336)&amp;"-"&amp;TEXT(W1336,"000"))</f>
        <v/>
      </c>
      <c r="Z1336" s="33">
        <f>IF(X1336="","",IFERROR(INDEX(Cl_nom,MATCH(X1336,Cl_cle,0)),"(client introuvable)"))</f>
        <v/>
      </c>
      <c r="AA1336" s="33">
        <f>IF(X1336="","",IFERROR(INDEX(Cl_quartier,MATCH(X1336,Cl_cle,0))&amp;"",""))</f>
        <v/>
      </c>
      <c r="AB1336" s="45">
        <f>IF(R1336&lt;&gt;"Livrée",0,IF(K1336&lt;&gt;"",K1336,C1336))</f>
        <v/>
      </c>
      <c r="AC1336" s="33">
        <f>IF(OR(C1336="",W1336=""),"",P1336&amp;"|"&amp;W1336&amp;"|"&amp;C1336&amp;"|"&amp;E1336)</f>
        <v/>
      </c>
      <c r="AD1336" s="39">
        <f>IF(AC1336="","",IF(COUNTIF(AC$6:AC1336,AC1336)=1,1,0))</f>
        <v/>
      </c>
      <c r="AE1336" s="39">
        <f>IF(AB1336=0,"",IF(COUNTIFS(X$6:X1336,X1336,AB$6:AB1336,AB1336)=1,1,0))</f>
        <v/>
      </c>
      <c r="AF1336" s="34">
        <f>IF(C1336="","",YEAR(C1336-WEEKDAY(C1336,2)+4)&amp;"-S"&amp;TEXT(INT((C1336-DATE(YEAR(C1336-WEEKDAY(C1336,2)+4),1,3)+WEEKDAY(DATE(YEAR(C1336-WEEKDAY(C1336,2)+4),1,3),2)+5)/7),"00"))</f>
        <v/>
      </c>
    </row>
    <row r="1337" ht="18" customHeight="1">
      <c r="A1337" s="39" t="n">
        <v>1332</v>
      </c>
      <c r="B1337" s="33">
        <f>IF(C1337="","",IF(P1337="À RENSEIGNER","GIC",P1337)&amp;"-C"&amp;TEXT(A1337,"00000"))</f>
        <v/>
      </c>
      <c r="C1337" s="32" t="n"/>
      <c r="D1337" s="36" t="n"/>
      <c r="E1337" s="36" t="n"/>
      <c r="F1337" s="36" t="n"/>
      <c r="G1337" s="42" t="n"/>
      <c r="H1337" s="37" t="n"/>
      <c r="I1337" s="37" t="n"/>
      <c r="J1337" s="32" t="n"/>
      <c r="K1337" s="32" t="n"/>
      <c r="L1337" s="43" t="n"/>
      <c r="M1337" s="36" t="n"/>
      <c r="N1337" s="44" t="n"/>
      <c r="O1337" s="36" t="n"/>
      <c r="P1337" s="33">
        <f>IF(C1337="","",Commercial_Id)</f>
        <v/>
      </c>
      <c r="Q1337" s="34">
        <f>IF(AC1337="","",IF(AD1337=1,"C"&amp;TEXT(SUM(AD$6:AD1337),"0000"),INDEX(Q$6:Q1336,MATCH(AC1337,AC$6:AC1336,0))))</f>
        <v/>
      </c>
      <c r="R1337" s="34">
        <f>IF(C1337="","",IF(L1337="☑ Oui","Annulée",IF(OR(E1337="Vente directe",K1337&lt;&gt;""),"Livrée",IF(J1337&lt;&gt;"","Confirmée","En attente"))))</f>
        <v/>
      </c>
      <c r="S1337" s="34">
        <f>IF(F1337="","",IFERROR(VLOOKUP(F1337,T_Produits,2,FALSE),""))</f>
        <v/>
      </c>
      <c r="T1337" s="40">
        <f>IF(F1337="","",IFERROR(1/(1/VLOOKUP(F1337,T_Produits,3,FALSE)),""))</f>
        <v/>
      </c>
      <c r="U1337" s="40">
        <f>IF(H1337&lt;&gt;"",H1337,T1337)</f>
        <v/>
      </c>
      <c r="V1337" s="40">
        <f>IF(OR(G1337="",U1337=""),"",G1337*U1337-N(I1337))</f>
        <v/>
      </c>
      <c r="W1337" s="39">
        <f>IF(D1337="","",IFERROR(VALUE(MID(D1337,LEN(D1337)-3,3)),""))</f>
        <v/>
      </c>
      <c r="X1337" s="33">
        <f>IF(W1337="","",P1337&amp;"|"&amp;W1337)</f>
        <v/>
      </c>
      <c r="Y1337" s="33">
        <f>IF(W1337="","",IF(P1337="À RENSEIGNER","GIC",P1337)&amp;"-"&amp;TEXT(W1337,"000"))</f>
        <v/>
      </c>
      <c r="Z1337" s="33">
        <f>IF(X1337="","",IFERROR(INDEX(Cl_nom,MATCH(X1337,Cl_cle,0)),"(client introuvable)"))</f>
        <v/>
      </c>
      <c r="AA1337" s="33">
        <f>IF(X1337="","",IFERROR(INDEX(Cl_quartier,MATCH(X1337,Cl_cle,0))&amp;"",""))</f>
        <v/>
      </c>
      <c r="AB1337" s="45">
        <f>IF(R1337&lt;&gt;"Livrée",0,IF(K1337&lt;&gt;"",K1337,C1337))</f>
        <v/>
      </c>
      <c r="AC1337" s="33">
        <f>IF(OR(C1337="",W1337=""),"",P1337&amp;"|"&amp;W1337&amp;"|"&amp;C1337&amp;"|"&amp;E1337)</f>
        <v/>
      </c>
      <c r="AD1337" s="39">
        <f>IF(AC1337="","",IF(COUNTIF(AC$6:AC1337,AC1337)=1,1,0))</f>
        <v/>
      </c>
      <c r="AE1337" s="39">
        <f>IF(AB1337=0,"",IF(COUNTIFS(X$6:X1337,X1337,AB$6:AB1337,AB1337)=1,1,0))</f>
        <v/>
      </c>
      <c r="AF1337" s="34">
        <f>IF(C1337="","",YEAR(C1337-WEEKDAY(C1337,2)+4)&amp;"-S"&amp;TEXT(INT((C1337-DATE(YEAR(C1337-WEEKDAY(C1337,2)+4),1,3)+WEEKDAY(DATE(YEAR(C1337-WEEKDAY(C1337,2)+4),1,3),2)+5)/7),"00"))</f>
        <v/>
      </c>
    </row>
    <row r="1338" ht="18" customHeight="1">
      <c r="A1338" s="39" t="n">
        <v>1333</v>
      </c>
      <c r="B1338" s="33">
        <f>IF(C1338="","",IF(P1338="À RENSEIGNER","GIC",P1338)&amp;"-C"&amp;TEXT(A1338,"00000"))</f>
        <v/>
      </c>
      <c r="C1338" s="32" t="n"/>
      <c r="D1338" s="36" t="n"/>
      <c r="E1338" s="36" t="n"/>
      <c r="F1338" s="36" t="n"/>
      <c r="G1338" s="42" t="n"/>
      <c r="H1338" s="37" t="n"/>
      <c r="I1338" s="37" t="n"/>
      <c r="J1338" s="32" t="n"/>
      <c r="K1338" s="32" t="n"/>
      <c r="L1338" s="43" t="n"/>
      <c r="M1338" s="36" t="n"/>
      <c r="N1338" s="44" t="n"/>
      <c r="O1338" s="36" t="n"/>
      <c r="P1338" s="33">
        <f>IF(C1338="","",Commercial_Id)</f>
        <v/>
      </c>
      <c r="Q1338" s="34">
        <f>IF(AC1338="","",IF(AD1338=1,"C"&amp;TEXT(SUM(AD$6:AD1338),"0000"),INDEX(Q$6:Q1337,MATCH(AC1338,AC$6:AC1337,0))))</f>
        <v/>
      </c>
      <c r="R1338" s="34">
        <f>IF(C1338="","",IF(L1338="☑ Oui","Annulée",IF(OR(E1338="Vente directe",K1338&lt;&gt;""),"Livrée",IF(J1338&lt;&gt;"","Confirmée","En attente"))))</f>
        <v/>
      </c>
      <c r="S1338" s="34">
        <f>IF(F1338="","",IFERROR(VLOOKUP(F1338,T_Produits,2,FALSE),""))</f>
        <v/>
      </c>
      <c r="T1338" s="40">
        <f>IF(F1338="","",IFERROR(1/(1/VLOOKUP(F1338,T_Produits,3,FALSE)),""))</f>
        <v/>
      </c>
      <c r="U1338" s="40">
        <f>IF(H1338&lt;&gt;"",H1338,T1338)</f>
        <v/>
      </c>
      <c r="V1338" s="40">
        <f>IF(OR(G1338="",U1338=""),"",G1338*U1338-N(I1338))</f>
        <v/>
      </c>
      <c r="W1338" s="39">
        <f>IF(D1338="","",IFERROR(VALUE(MID(D1338,LEN(D1338)-3,3)),""))</f>
        <v/>
      </c>
      <c r="X1338" s="33">
        <f>IF(W1338="","",P1338&amp;"|"&amp;W1338)</f>
        <v/>
      </c>
      <c r="Y1338" s="33">
        <f>IF(W1338="","",IF(P1338="À RENSEIGNER","GIC",P1338)&amp;"-"&amp;TEXT(W1338,"000"))</f>
        <v/>
      </c>
      <c r="Z1338" s="33">
        <f>IF(X1338="","",IFERROR(INDEX(Cl_nom,MATCH(X1338,Cl_cle,0)),"(client introuvable)"))</f>
        <v/>
      </c>
      <c r="AA1338" s="33">
        <f>IF(X1338="","",IFERROR(INDEX(Cl_quartier,MATCH(X1338,Cl_cle,0))&amp;"",""))</f>
        <v/>
      </c>
      <c r="AB1338" s="45">
        <f>IF(R1338&lt;&gt;"Livrée",0,IF(K1338&lt;&gt;"",K1338,C1338))</f>
        <v/>
      </c>
      <c r="AC1338" s="33">
        <f>IF(OR(C1338="",W1338=""),"",P1338&amp;"|"&amp;W1338&amp;"|"&amp;C1338&amp;"|"&amp;E1338)</f>
        <v/>
      </c>
      <c r="AD1338" s="39">
        <f>IF(AC1338="","",IF(COUNTIF(AC$6:AC1338,AC1338)=1,1,0))</f>
        <v/>
      </c>
      <c r="AE1338" s="39">
        <f>IF(AB1338=0,"",IF(COUNTIFS(X$6:X1338,X1338,AB$6:AB1338,AB1338)=1,1,0))</f>
        <v/>
      </c>
      <c r="AF1338" s="34">
        <f>IF(C1338="","",YEAR(C1338-WEEKDAY(C1338,2)+4)&amp;"-S"&amp;TEXT(INT((C1338-DATE(YEAR(C1338-WEEKDAY(C1338,2)+4),1,3)+WEEKDAY(DATE(YEAR(C1338-WEEKDAY(C1338,2)+4),1,3),2)+5)/7),"00"))</f>
        <v/>
      </c>
    </row>
    <row r="1339" ht="18" customHeight="1">
      <c r="A1339" s="39" t="n">
        <v>1334</v>
      </c>
      <c r="B1339" s="33">
        <f>IF(C1339="","",IF(P1339="À RENSEIGNER","GIC",P1339)&amp;"-C"&amp;TEXT(A1339,"00000"))</f>
        <v/>
      </c>
      <c r="C1339" s="32" t="n"/>
      <c r="D1339" s="36" t="n"/>
      <c r="E1339" s="36" t="n"/>
      <c r="F1339" s="36" t="n"/>
      <c r="G1339" s="42" t="n"/>
      <c r="H1339" s="37" t="n"/>
      <c r="I1339" s="37" t="n"/>
      <c r="J1339" s="32" t="n"/>
      <c r="K1339" s="32" t="n"/>
      <c r="L1339" s="43" t="n"/>
      <c r="M1339" s="36" t="n"/>
      <c r="N1339" s="44" t="n"/>
      <c r="O1339" s="36" t="n"/>
      <c r="P1339" s="33">
        <f>IF(C1339="","",Commercial_Id)</f>
        <v/>
      </c>
      <c r="Q1339" s="34">
        <f>IF(AC1339="","",IF(AD1339=1,"C"&amp;TEXT(SUM(AD$6:AD1339),"0000"),INDEX(Q$6:Q1338,MATCH(AC1339,AC$6:AC1338,0))))</f>
        <v/>
      </c>
      <c r="R1339" s="34">
        <f>IF(C1339="","",IF(L1339="☑ Oui","Annulée",IF(OR(E1339="Vente directe",K1339&lt;&gt;""),"Livrée",IF(J1339&lt;&gt;"","Confirmée","En attente"))))</f>
        <v/>
      </c>
      <c r="S1339" s="34">
        <f>IF(F1339="","",IFERROR(VLOOKUP(F1339,T_Produits,2,FALSE),""))</f>
        <v/>
      </c>
      <c r="T1339" s="40">
        <f>IF(F1339="","",IFERROR(1/(1/VLOOKUP(F1339,T_Produits,3,FALSE)),""))</f>
        <v/>
      </c>
      <c r="U1339" s="40">
        <f>IF(H1339&lt;&gt;"",H1339,T1339)</f>
        <v/>
      </c>
      <c r="V1339" s="40">
        <f>IF(OR(G1339="",U1339=""),"",G1339*U1339-N(I1339))</f>
        <v/>
      </c>
      <c r="W1339" s="39">
        <f>IF(D1339="","",IFERROR(VALUE(MID(D1339,LEN(D1339)-3,3)),""))</f>
        <v/>
      </c>
      <c r="X1339" s="33">
        <f>IF(W1339="","",P1339&amp;"|"&amp;W1339)</f>
        <v/>
      </c>
      <c r="Y1339" s="33">
        <f>IF(W1339="","",IF(P1339="À RENSEIGNER","GIC",P1339)&amp;"-"&amp;TEXT(W1339,"000"))</f>
        <v/>
      </c>
      <c r="Z1339" s="33">
        <f>IF(X1339="","",IFERROR(INDEX(Cl_nom,MATCH(X1339,Cl_cle,0)),"(client introuvable)"))</f>
        <v/>
      </c>
      <c r="AA1339" s="33">
        <f>IF(X1339="","",IFERROR(INDEX(Cl_quartier,MATCH(X1339,Cl_cle,0))&amp;"",""))</f>
        <v/>
      </c>
      <c r="AB1339" s="45">
        <f>IF(R1339&lt;&gt;"Livrée",0,IF(K1339&lt;&gt;"",K1339,C1339))</f>
        <v/>
      </c>
      <c r="AC1339" s="33">
        <f>IF(OR(C1339="",W1339=""),"",P1339&amp;"|"&amp;W1339&amp;"|"&amp;C1339&amp;"|"&amp;E1339)</f>
        <v/>
      </c>
      <c r="AD1339" s="39">
        <f>IF(AC1339="","",IF(COUNTIF(AC$6:AC1339,AC1339)=1,1,0))</f>
        <v/>
      </c>
      <c r="AE1339" s="39">
        <f>IF(AB1339=0,"",IF(COUNTIFS(X$6:X1339,X1339,AB$6:AB1339,AB1339)=1,1,0))</f>
        <v/>
      </c>
      <c r="AF1339" s="34">
        <f>IF(C1339="","",YEAR(C1339-WEEKDAY(C1339,2)+4)&amp;"-S"&amp;TEXT(INT((C1339-DATE(YEAR(C1339-WEEKDAY(C1339,2)+4),1,3)+WEEKDAY(DATE(YEAR(C1339-WEEKDAY(C1339,2)+4),1,3),2)+5)/7),"00"))</f>
        <v/>
      </c>
    </row>
    <row r="1340" ht="18" customHeight="1">
      <c r="A1340" s="39" t="n">
        <v>1335</v>
      </c>
      <c r="B1340" s="33">
        <f>IF(C1340="","",IF(P1340="À RENSEIGNER","GIC",P1340)&amp;"-C"&amp;TEXT(A1340,"00000"))</f>
        <v/>
      </c>
      <c r="C1340" s="32" t="n"/>
      <c r="D1340" s="36" t="n"/>
      <c r="E1340" s="36" t="n"/>
      <c r="F1340" s="36" t="n"/>
      <c r="G1340" s="42" t="n"/>
      <c r="H1340" s="37" t="n"/>
      <c r="I1340" s="37" t="n"/>
      <c r="J1340" s="32" t="n"/>
      <c r="K1340" s="32" t="n"/>
      <c r="L1340" s="43" t="n"/>
      <c r="M1340" s="36" t="n"/>
      <c r="N1340" s="44" t="n"/>
      <c r="O1340" s="36" t="n"/>
      <c r="P1340" s="33">
        <f>IF(C1340="","",Commercial_Id)</f>
        <v/>
      </c>
      <c r="Q1340" s="34">
        <f>IF(AC1340="","",IF(AD1340=1,"C"&amp;TEXT(SUM(AD$6:AD1340),"0000"),INDEX(Q$6:Q1339,MATCH(AC1340,AC$6:AC1339,0))))</f>
        <v/>
      </c>
      <c r="R1340" s="34">
        <f>IF(C1340="","",IF(L1340="☑ Oui","Annulée",IF(OR(E1340="Vente directe",K1340&lt;&gt;""),"Livrée",IF(J1340&lt;&gt;"","Confirmée","En attente"))))</f>
        <v/>
      </c>
      <c r="S1340" s="34">
        <f>IF(F1340="","",IFERROR(VLOOKUP(F1340,T_Produits,2,FALSE),""))</f>
        <v/>
      </c>
      <c r="T1340" s="40">
        <f>IF(F1340="","",IFERROR(1/(1/VLOOKUP(F1340,T_Produits,3,FALSE)),""))</f>
        <v/>
      </c>
      <c r="U1340" s="40">
        <f>IF(H1340&lt;&gt;"",H1340,T1340)</f>
        <v/>
      </c>
      <c r="V1340" s="40">
        <f>IF(OR(G1340="",U1340=""),"",G1340*U1340-N(I1340))</f>
        <v/>
      </c>
      <c r="W1340" s="39">
        <f>IF(D1340="","",IFERROR(VALUE(MID(D1340,LEN(D1340)-3,3)),""))</f>
        <v/>
      </c>
      <c r="X1340" s="33">
        <f>IF(W1340="","",P1340&amp;"|"&amp;W1340)</f>
        <v/>
      </c>
      <c r="Y1340" s="33">
        <f>IF(W1340="","",IF(P1340="À RENSEIGNER","GIC",P1340)&amp;"-"&amp;TEXT(W1340,"000"))</f>
        <v/>
      </c>
      <c r="Z1340" s="33">
        <f>IF(X1340="","",IFERROR(INDEX(Cl_nom,MATCH(X1340,Cl_cle,0)),"(client introuvable)"))</f>
        <v/>
      </c>
      <c r="AA1340" s="33">
        <f>IF(X1340="","",IFERROR(INDEX(Cl_quartier,MATCH(X1340,Cl_cle,0))&amp;"",""))</f>
        <v/>
      </c>
      <c r="AB1340" s="45">
        <f>IF(R1340&lt;&gt;"Livrée",0,IF(K1340&lt;&gt;"",K1340,C1340))</f>
        <v/>
      </c>
      <c r="AC1340" s="33">
        <f>IF(OR(C1340="",W1340=""),"",P1340&amp;"|"&amp;W1340&amp;"|"&amp;C1340&amp;"|"&amp;E1340)</f>
        <v/>
      </c>
      <c r="AD1340" s="39">
        <f>IF(AC1340="","",IF(COUNTIF(AC$6:AC1340,AC1340)=1,1,0))</f>
        <v/>
      </c>
      <c r="AE1340" s="39">
        <f>IF(AB1340=0,"",IF(COUNTIFS(X$6:X1340,X1340,AB$6:AB1340,AB1340)=1,1,0))</f>
        <v/>
      </c>
      <c r="AF1340" s="34">
        <f>IF(C1340="","",YEAR(C1340-WEEKDAY(C1340,2)+4)&amp;"-S"&amp;TEXT(INT((C1340-DATE(YEAR(C1340-WEEKDAY(C1340,2)+4),1,3)+WEEKDAY(DATE(YEAR(C1340-WEEKDAY(C1340,2)+4),1,3),2)+5)/7),"00"))</f>
        <v/>
      </c>
    </row>
    <row r="1341" ht="18" customHeight="1">
      <c r="A1341" s="39" t="n">
        <v>1336</v>
      </c>
      <c r="B1341" s="33">
        <f>IF(C1341="","",IF(P1341="À RENSEIGNER","GIC",P1341)&amp;"-C"&amp;TEXT(A1341,"00000"))</f>
        <v/>
      </c>
      <c r="C1341" s="32" t="n"/>
      <c r="D1341" s="36" t="n"/>
      <c r="E1341" s="36" t="n"/>
      <c r="F1341" s="36" t="n"/>
      <c r="G1341" s="42" t="n"/>
      <c r="H1341" s="37" t="n"/>
      <c r="I1341" s="37" t="n"/>
      <c r="J1341" s="32" t="n"/>
      <c r="K1341" s="32" t="n"/>
      <c r="L1341" s="43" t="n"/>
      <c r="M1341" s="36" t="n"/>
      <c r="N1341" s="44" t="n"/>
      <c r="O1341" s="36" t="n"/>
      <c r="P1341" s="33">
        <f>IF(C1341="","",Commercial_Id)</f>
        <v/>
      </c>
      <c r="Q1341" s="34">
        <f>IF(AC1341="","",IF(AD1341=1,"C"&amp;TEXT(SUM(AD$6:AD1341),"0000"),INDEX(Q$6:Q1340,MATCH(AC1341,AC$6:AC1340,0))))</f>
        <v/>
      </c>
      <c r="R1341" s="34">
        <f>IF(C1341="","",IF(L1341="☑ Oui","Annulée",IF(OR(E1341="Vente directe",K1341&lt;&gt;""),"Livrée",IF(J1341&lt;&gt;"","Confirmée","En attente"))))</f>
        <v/>
      </c>
      <c r="S1341" s="34">
        <f>IF(F1341="","",IFERROR(VLOOKUP(F1341,T_Produits,2,FALSE),""))</f>
        <v/>
      </c>
      <c r="T1341" s="40">
        <f>IF(F1341="","",IFERROR(1/(1/VLOOKUP(F1341,T_Produits,3,FALSE)),""))</f>
        <v/>
      </c>
      <c r="U1341" s="40">
        <f>IF(H1341&lt;&gt;"",H1341,T1341)</f>
        <v/>
      </c>
      <c r="V1341" s="40">
        <f>IF(OR(G1341="",U1341=""),"",G1341*U1341-N(I1341))</f>
        <v/>
      </c>
      <c r="W1341" s="39">
        <f>IF(D1341="","",IFERROR(VALUE(MID(D1341,LEN(D1341)-3,3)),""))</f>
        <v/>
      </c>
      <c r="X1341" s="33">
        <f>IF(W1341="","",P1341&amp;"|"&amp;W1341)</f>
        <v/>
      </c>
      <c r="Y1341" s="33">
        <f>IF(W1341="","",IF(P1341="À RENSEIGNER","GIC",P1341)&amp;"-"&amp;TEXT(W1341,"000"))</f>
        <v/>
      </c>
      <c r="Z1341" s="33">
        <f>IF(X1341="","",IFERROR(INDEX(Cl_nom,MATCH(X1341,Cl_cle,0)),"(client introuvable)"))</f>
        <v/>
      </c>
      <c r="AA1341" s="33">
        <f>IF(X1341="","",IFERROR(INDEX(Cl_quartier,MATCH(X1341,Cl_cle,0))&amp;"",""))</f>
        <v/>
      </c>
      <c r="AB1341" s="45">
        <f>IF(R1341&lt;&gt;"Livrée",0,IF(K1341&lt;&gt;"",K1341,C1341))</f>
        <v/>
      </c>
      <c r="AC1341" s="33">
        <f>IF(OR(C1341="",W1341=""),"",P1341&amp;"|"&amp;W1341&amp;"|"&amp;C1341&amp;"|"&amp;E1341)</f>
        <v/>
      </c>
      <c r="AD1341" s="39">
        <f>IF(AC1341="","",IF(COUNTIF(AC$6:AC1341,AC1341)=1,1,0))</f>
        <v/>
      </c>
      <c r="AE1341" s="39">
        <f>IF(AB1341=0,"",IF(COUNTIFS(X$6:X1341,X1341,AB$6:AB1341,AB1341)=1,1,0))</f>
        <v/>
      </c>
      <c r="AF1341" s="34">
        <f>IF(C1341="","",YEAR(C1341-WEEKDAY(C1341,2)+4)&amp;"-S"&amp;TEXT(INT((C1341-DATE(YEAR(C1341-WEEKDAY(C1341,2)+4),1,3)+WEEKDAY(DATE(YEAR(C1341-WEEKDAY(C1341,2)+4),1,3),2)+5)/7),"00"))</f>
        <v/>
      </c>
    </row>
    <row r="1342" ht="18" customHeight="1">
      <c r="A1342" s="39" t="n">
        <v>1337</v>
      </c>
      <c r="B1342" s="33">
        <f>IF(C1342="","",IF(P1342="À RENSEIGNER","GIC",P1342)&amp;"-C"&amp;TEXT(A1342,"00000"))</f>
        <v/>
      </c>
      <c r="C1342" s="32" t="n"/>
      <c r="D1342" s="36" t="n"/>
      <c r="E1342" s="36" t="n"/>
      <c r="F1342" s="36" t="n"/>
      <c r="G1342" s="42" t="n"/>
      <c r="H1342" s="37" t="n"/>
      <c r="I1342" s="37" t="n"/>
      <c r="J1342" s="32" t="n"/>
      <c r="K1342" s="32" t="n"/>
      <c r="L1342" s="43" t="n"/>
      <c r="M1342" s="36" t="n"/>
      <c r="N1342" s="44" t="n"/>
      <c r="O1342" s="36" t="n"/>
      <c r="P1342" s="33">
        <f>IF(C1342="","",Commercial_Id)</f>
        <v/>
      </c>
      <c r="Q1342" s="34">
        <f>IF(AC1342="","",IF(AD1342=1,"C"&amp;TEXT(SUM(AD$6:AD1342),"0000"),INDEX(Q$6:Q1341,MATCH(AC1342,AC$6:AC1341,0))))</f>
        <v/>
      </c>
      <c r="R1342" s="34">
        <f>IF(C1342="","",IF(L1342="☑ Oui","Annulée",IF(OR(E1342="Vente directe",K1342&lt;&gt;""),"Livrée",IF(J1342&lt;&gt;"","Confirmée","En attente"))))</f>
        <v/>
      </c>
      <c r="S1342" s="34">
        <f>IF(F1342="","",IFERROR(VLOOKUP(F1342,T_Produits,2,FALSE),""))</f>
        <v/>
      </c>
      <c r="T1342" s="40">
        <f>IF(F1342="","",IFERROR(1/(1/VLOOKUP(F1342,T_Produits,3,FALSE)),""))</f>
        <v/>
      </c>
      <c r="U1342" s="40">
        <f>IF(H1342&lt;&gt;"",H1342,T1342)</f>
        <v/>
      </c>
      <c r="V1342" s="40">
        <f>IF(OR(G1342="",U1342=""),"",G1342*U1342-N(I1342))</f>
        <v/>
      </c>
      <c r="W1342" s="39">
        <f>IF(D1342="","",IFERROR(VALUE(MID(D1342,LEN(D1342)-3,3)),""))</f>
        <v/>
      </c>
      <c r="X1342" s="33">
        <f>IF(W1342="","",P1342&amp;"|"&amp;W1342)</f>
        <v/>
      </c>
      <c r="Y1342" s="33">
        <f>IF(W1342="","",IF(P1342="À RENSEIGNER","GIC",P1342)&amp;"-"&amp;TEXT(W1342,"000"))</f>
        <v/>
      </c>
      <c r="Z1342" s="33">
        <f>IF(X1342="","",IFERROR(INDEX(Cl_nom,MATCH(X1342,Cl_cle,0)),"(client introuvable)"))</f>
        <v/>
      </c>
      <c r="AA1342" s="33">
        <f>IF(X1342="","",IFERROR(INDEX(Cl_quartier,MATCH(X1342,Cl_cle,0))&amp;"",""))</f>
        <v/>
      </c>
      <c r="AB1342" s="45">
        <f>IF(R1342&lt;&gt;"Livrée",0,IF(K1342&lt;&gt;"",K1342,C1342))</f>
        <v/>
      </c>
      <c r="AC1342" s="33">
        <f>IF(OR(C1342="",W1342=""),"",P1342&amp;"|"&amp;W1342&amp;"|"&amp;C1342&amp;"|"&amp;E1342)</f>
        <v/>
      </c>
      <c r="AD1342" s="39">
        <f>IF(AC1342="","",IF(COUNTIF(AC$6:AC1342,AC1342)=1,1,0))</f>
        <v/>
      </c>
      <c r="AE1342" s="39">
        <f>IF(AB1342=0,"",IF(COUNTIFS(X$6:X1342,X1342,AB$6:AB1342,AB1342)=1,1,0))</f>
        <v/>
      </c>
      <c r="AF1342" s="34">
        <f>IF(C1342="","",YEAR(C1342-WEEKDAY(C1342,2)+4)&amp;"-S"&amp;TEXT(INT((C1342-DATE(YEAR(C1342-WEEKDAY(C1342,2)+4),1,3)+WEEKDAY(DATE(YEAR(C1342-WEEKDAY(C1342,2)+4),1,3),2)+5)/7),"00"))</f>
        <v/>
      </c>
    </row>
    <row r="1343" ht="18" customHeight="1">
      <c r="A1343" s="39" t="n">
        <v>1338</v>
      </c>
      <c r="B1343" s="33">
        <f>IF(C1343="","",IF(P1343="À RENSEIGNER","GIC",P1343)&amp;"-C"&amp;TEXT(A1343,"00000"))</f>
        <v/>
      </c>
      <c r="C1343" s="32" t="n"/>
      <c r="D1343" s="36" t="n"/>
      <c r="E1343" s="36" t="n"/>
      <c r="F1343" s="36" t="n"/>
      <c r="G1343" s="42" t="n"/>
      <c r="H1343" s="37" t="n"/>
      <c r="I1343" s="37" t="n"/>
      <c r="J1343" s="32" t="n"/>
      <c r="K1343" s="32" t="n"/>
      <c r="L1343" s="43" t="n"/>
      <c r="M1343" s="36" t="n"/>
      <c r="N1343" s="44" t="n"/>
      <c r="O1343" s="36" t="n"/>
      <c r="P1343" s="33">
        <f>IF(C1343="","",Commercial_Id)</f>
        <v/>
      </c>
      <c r="Q1343" s="34">
        <f>IF(AC1343="","",IF(AD1343=1,"C"&amp;TEXT(SUM(AD$6:AD1343),"0000"),INDEX(Q$6:Q1342,MATCH(AC1343,AC$6:AC1342,0))))</f>
        <v/>
      </c>
      <c r="R1343" s="34">
        <f>IF(C1343="","",IF(L1343="☑ Oui","Annulée",IF(OR(E1343="Vente directe",K1343&lt;&gt;""),"Livrée",IF(J1343&lt;&gt;"","Confirmée","En attente"))))</f>
        <v/>
      </c>
      <c r="S1343" s="34">
        <f>IF(F1343="","",IFERROR(VLOOKUP(F1343,T_Produits,2,FALSE),""))</f>
        <v/>
      </c>
      <c r="T1343" s="40">
        <f>IF(F1343="","",IFERROR(1/(1/VLOOKUP(F1343,T_Produits,3,FALSE)),""))</f>
        <v/>
      </c>
      <c r="U1343" s="40">
        <f>IF(H1343&lt;&gt;"",H1343,T1343)</f>
        <v/>
      </c>
      <c r="V1343" s="40">
        <f>IF(OR(G1343="",U1343=""),"",G1343*U1343-N(I1343))</f>
        <v/>
      </c>
      <c r="W1343" s="39">
        <f>IF(D1343="","",IFERROR(VALUE(MID(D1343,LEN(D1343)-3,3)),""))</f>
        <v/>
      </c>
      <c r="X1343" s="33">
        <f>IF(W1343="","",P1343&amp;"|"&amp;W1343)</f>
        <v/>
      </c>
      <c r="Y1343" s="33">
        <f>IF(W1343="","",IF(P1343="À RENSEIGNER","GIC",P1343)&amp;"-"&amp;TEXT(W1343,"000"))</f>
        <v/>
      </c>
      <c r="Z1343" s="33">
        <f>IF(X1343="","",IFERROR(INDEX(Cl_nom,MATCH(X1343,Cl_cle,0)),"(client introuvable)"))</f>
        <v/>
      </c>
      <c r="AA1343" s="33">
        <f>IF(X1343="","",IFERROR(INDEX(Cl_quartier,MATCH(X1343,Cl_cle,0))&amp;"",""))</f>
        <v/>
      </c>
      <c r="AB1343" s="45">
        <f>IF(R1343&lt;&gt;"Livrée",0,IF(K1343&lt;&gt;"",K1343,C1343))</f>
        <v/>
      </c>
      <c r="AC1343" s="33">
        <f>IF(OR(C1343="",W1343=""),"",P1343&amp;"|"&amp;W1343&amp;"|"&amp;C1343&amp;"|"&amp;E1343)</f>
        <v/>
      </c>
      <c r="AD1343" s="39">
        <f>IF(AC1343="","",IF(COUNTIF(AC$6:AC1343,AC1343)=1,1,0))</f>
        <v/>
      </c>
      <c r="AE1343" s="39">
        <f>IF(AB1343=0,"",IF(COUNTIFS(X$6:X1343,X1343,AB$6:AB1343,AB1343)=1,1,0))</f>
        <v/>
      </c>
      <c r="AF1343" s="34">
        <f>IF(C1343="","",YEAR(C1343-WEEKDAY(C1343,2)+4)&amp;"-S"&amp;TEXT(INT((C1343-DATE(YEAR(C1343-WEEKDAY(C1343,2)+4),1,3)+WEEKDAY(DATE(YEAR(C1343-WEEKDAY(C1343,2)+4),1,3),2)+5)/7),"00"))</f>
        <v/>
      </c>
    </row>
    <row r="1344" ht="18" customHeight="1">
      <c r="A1344" s="39" t="n">
        <v>1339</v>
      </c>
      <c r="B1344" s="33">
        <f>IF(C1344="","",IF(P1344="À RENSEIGNER","GIC",P1344)&amp;"-C"&amp;TEXT(A1344,"00000"))</f>
        <v/>
      </c>
      <c r="C1344" s="32" t="n"/>
      <c r="D1344" s="36" t="n"/>
      <c r="E1344" s="36" t="n"/>
      <c r="F1344" s="36" t="n"/>
      <c r="G1344" s="42" t="n"/>
      <c r="H1344" s="37" t="n"/>
      <c r="I1344" s="37" t="n"/>
      <c r="J1344" s="32" t="n"/>
      <c r="K1344" s="32" t="n"/>
      <c r="L1344" s="43" t="n"/>
      <c r="M1344" s="36" t="n"/>
      <c r="N1344" s="44" t="n"/>
      <c r="O1344" s="36" t="n"/>
      <c r="P1344" s="33">
        <f>IF(C1344="","",Commercial_Id)</f>
        <v/>
      </c>
      <c r="Q1344" s="34">
        <f>IF(AC1344="","",IF(AD1344=1,"C"&amp;TEXT(SUM(AD$6:AD1344),"0000"),INDEX(Q$6:Q1343,MATCH(AC1344,AC$6:AC1343,0))))</f>
        <v/>
      </c>
      <c r="R1344" s="34">
        <f>IF(C1344="","",IF(L1344="☑ Oui","Annulée",IF(OR(E1344="Vente directe",K1344&lt;&gt;""),"Livrée",IF(J1344&lt;&gt;"","Confirmée","En attente"))))</f>
        <v/>
      </c>
      <c r="S1344" s="34">
        <f>IF(F1344="","",IFERROR(VLOOKUP(F1344,T_Produits,2,FALSE),""))</f>
        <v/>
      </c>
      <c r="T1344" s="40">
        <f>IF(F1344="","",IFERROR(1/(1/VLOOKUP(F1344,T_Produits,3,FALSE)),""))</f>
        <v/>
      </c>
      <c r="U1344" s="40">
        <f>IF(H1344&lt;&gt;"",H1344,T1344)</f>
        <v/>
      </c>
      <c r="V1344" s="40">
        <f>IF(OR(G1344="",U1344=""),"",G1344*U1344-N(I1344))</f>
        <v/>
      </c>
      <c r="W1344" s="39">
        <f>IF(D1344="","",IFERROR(VALUE(MID(D1344,LEN(D1344)-3,3)),""))</f>
        <v/>
      </c>
      <c r="X1344" s="33">
        <f>IF(W1344="","",P1344&amp;"|"&amp;W1344)</f>
        <v/>
      </c>
      <c r="Y1344" s="33">
        <f>IF(W1344="","",IF(P1344="À RENSEIGNER","GIC",P1344)&amp;"-"&amp;TEXT(W1344,"000"))</f>
        <v/>
      </c>
      <c r="Z1344" s="33">
        <f>IF(X1344="","",IFERROR(INDEX(Cl_nom,MATCH(X1344,Cl_cle,0)),"(client introuvable)"))</f>
        <v/>
      </c>
      <c r="AA1344" s="33">
        <f>IF(X1344="","",IFERROR(INDEX(Cl_quartier,MATCH(X1344,Cl_cle,0))&amp;"",""))</f>
        <v/>
      </c>
      <c r="AB1344" s="45">
        <f>IF(R1344&lt;&gt;"Livrée",0,IF(K1344&lt;&gt;"",K1344,C1344))</f>
        <v/>
      </c>
      <c r="AC1344" s="33">
        <f>IF(OR(C1344="",W1344=""),"",P1344&amp;"|"&amp;W1344&amp;"|"&amp;C1344&amp;"|"&amp;E1344)</f>
        <v/>
      </c>
      <c r="AD1344" s="39">
        <f>IF(AC1344="","",IF(COUNTIF(AC$6:AC1344,AC1344)=1,1,0))</f>
        <v/>
      </c>
      <c r="AE1344" s="39">
        <f>IF(AB1344=0,"",IF(COUNTIFS(X$6:X1344,X1344,AB$6:AB1344,AB1344)=1,1,0))</f>
        <v/>
      </c>
      <c r="AF1344" s="34">
        <f>IF(C1344="","",YEAR(C1344-WEEKDAY(C1344,2)+4)&amp;"-S"&amp;TEXT(INT((C1344-DATE(YEAR(C1344-WEEKDAY(C1344,2)+4),1,3)+WEEKDAY(DATE(YEAR(C1344-WEEKDAY(C1344,2)+4),1,3),2)+5)/7),"00"))</f>
        <v/>
      </c>
    </row>
    <row r="1345" ht="18" customHeight="1">
      <c r="A1345" s="39" t="n">
        <v>1340</v>
      </c>
      <c r="B1345" s="33">
        <f>IF(C1345="","",IF(P1345="À RENSEIGNER","GIC",P1345)&amp;"-C"&amp;TEXT(A1345,"00000"))</f>
        <v/>
      </c>
      <c r="C1345" s="32" t="n"/>
      <c r="D1345" s="36" t="n"/>
      <c r="E1345" s="36" t="n"/>
      <c r="F1345" s="36" t="n"/>
      <c r="G1345" s="42" t="n"/>
      <c r="H1345" s="37" t="n"/>
      <c r="I1345" s="37" t="n"/>
      <c r="J1345" s="32" t="n"/>
      <c r="K1345" s="32" t="n"/>
      <c r="L1345" s="43" t="n"/>
      <c r="M1345" s="36" t="n"/>
      <c r="N1345" s="44" t="n"/>
      <c r="O1345" s="36" t="n"/>
      <c r="P1345" s="33">
        <f>IF(C1345="","",Commercial_Id)</f>
        <v/>
      </c>
      <c r="Q1345" s="34">
        <f>IF(AC1345="","",IF(AD1345=1,"C"&amp;TEXT(SUM(AD$6:AD1345),"0000"),INDEX(Q$6:Q1344,MATCH(AC1345,AC$6:AC1344,0))))</f>
        <v/>
      </c>
      <c r="R1345" s="34">
        <f>IF(C1345="","",IF(L1345="☑ Oui","Annulée",IF(OR(E1345="Vente directe",K1345&lt;&gt;""),"Livrée",IF(J1345&lt;&gt;"","Confirmée","En attente"))))</f>
        <v/>
      </c>
      <c r="S1345" s="34">
        <f>IF(F1345="","",IFERROR(VLOOKUP(F1345,T_Produits,2,FALSE),""))</f>
        <v/>
      </c>
      <c r="T1345" s="40">
        <f>IF(F1345="","",IFERROR(1/(1/VLOOKUP(F1345,T_Produits,3,FALSE)),""))</f>
        <v/>
      </c>
      <c r="U1345" s="40">
        <f>IF(H1345&lt;&gt;"",H1345,T1345)</f>
        <v/>
      </c>
      <c r="V1345" s="40">
        <f>IF(OR(G1345="",U1345=""),"",G1345*U1345-N(I1345))</f>
        <v/>
      </c>
      <c r="W1345" s="39">
        <f>IF(D1345="","",IFERROR(VALUE(MID(D1345,LEN(D1345)-3,3)),""))</f>
        <v/>
      </c>
      <c r="X1345" s="33">
        <f>IF(W1345="","",P1345&amp;"|"&amp;W1345)</f>
        <v/>
      </c>
      <c r="Y1345" s="33">
        <f>IF(W1345="","",IF(P1345="À RENSEIGNER","GIC",P1345)&amp;"-"&amp;TEXT(W1345,"000"))</f>
        <v/>
      </c>
      <c r="Z1345" s="33">
        <f>IF(X1345="","",IFERROR(INDEX(Cl_nom,MATCH(X1345,Cl_cle,0)),"(client introuvable)"))</f>
        <v/>
      </c>
      <c r="AA1345" s="33">
        <f>IF(X1345="","",IFERROR(INDEX(Cl_quartier,MATCH(X1345,Cl_cle,0))&amp;"",""))</f>
        <v/>
      </c>
      <c r="AB1345" s="45">
        <f>IF(R1345&lt;&gt;"Livrée",0,IF(K1345&lt;&gt;"",K1345,C1345))</f>
        <v/>
      </c>
      <c r="AC1345" s="33">
        <f>IF(OR(C1345="",W1345=""),"",P1345&amp;"|"&amp;W1345&amp;"|"&amp;C1345&amp;"|"&amp;E1345)</f>
        <v/>
      </c>
      <c r="AD1345" s="39">
        <f>IF(AC1345="","",IF(COUNTIF(AC$6:AC1345,AC1345)=1,1,0))</f>
        <v/>
      </c>
      <c r="AE1345" s="39">
        <f>IF(AB1345=0,"",IF(COUNTIFS(X$6:X1345,X1345,AB$6:AB1345,AB1345)=1,1,0))</f>
        <v/>
      </c>
      <c r="AF1345" s="34">
        <f>IF(C1345="","",YEAR(C1345-WEEKDAY(C1345,2)+4)&amp;"-S"&amp;TEXT(INT((C1345-DATE(YEAR(C1345-WEEKDAY(C1345,2)+4),1,3)+WEEKDAY(DATE(YEAR(C1345-WEEKDAY(C1345,2)+4),1,3),2)+5)/7),"00"))</f>
        <v/>
      </c>
    </row>
    <row r="1346" ht="18" customHeight="1">
      <c r="A1346" s="39" t="n">
        <v>1341</v>
      </c>
      <c r="B1346" s="33">
        <f>IF(C1346="","",IF(P1346="À RENSEIGNER","GIC",P1346)&amp;"-C"&amp;TEXT(A1346,"00000"))</f>
        <v/>
      </c>
      <c r="C1346" s="32" t="n"/>
      <c r="D1346" s="36" t="n"/>
      <c r="E1346" s="36" t="n"/>
      <c r="F1346" s="36" t="n"/>
      <c r="G1346" s="42" t="n"/>
      <c r="H1346" s="37" t="n"/>
      <c r="I1346" s="37" t="n"/>
      <c r="J1346" s="32" t="n"/>
      <c r="K1346" s="32" t="n"/>
      <c r="L1346" s="43" t="n"/>
      <c r="M1346" s="36" t="n"/>
      <c r="N1346" s="44" t="n"/>
      <c r="O1346" s="36" t="n"/>
      <c r="P1346" s="33">
        <f>IF(C1346="","",Commercial_Id)</f>
        <v/>
      </c>
      <c r="Q1346" s="34">
        <f>IF(AC1346="","",IF(AD1346=1,"C"&amp;TEXT(SUM(AD$6:AD1346),"0000"),INDEX(Q$6:Q1345,MATCH(AC1346,AC$6:AC1345,0))))</f>
        <v/>
      </c>
      <c r="R1346" s="34">
        <f>IF(C1346="","",IF(L1346="☑ Oui","Annulée",IF(OR(E1346="Vente directe",K1346&lt;&gt;""),"Livrée",IF(J1346&lt;&gt;"","Confirmée","En attente"))))</f>
        <v/>
      </c>
      <c r="S1346" s="34">
        <f>IF(F1346="","",IFERROR(VLOOKUP(F1346,T_Produits,2,FALSE),""))</f>
        <v/>
      </c>
      <c r="T1346" s="40">
        <f>IF(F1346="","",IFERROR(1/(1/VLOOKUP(F1346,T_Produits,3,FALSE)),""))</f>
        <v/>
      </c>
      <c r="U1346" s="40">
        <f>IF(H1346&lt;&gt;"",H1346,T1346)</f>
        <v/>
      </c>
      <c r="V1346" s="40">
        <f>IF(OR(G1346="",U1346=""),"",G1346*U1346-N(I1346))</f>
        <v/>
      </c>
      <c r="W1346" s="39">
        <f>IF(D1346="","",IFERROR(VALUE(MID(D1346,LEN(D1346)-3,3)),""))</f>
        <v/>
      </c>
      <c r="X1346" s="33">
        <f>IF(W1346="","",P1346&amp;"|"&amp;W1346)</f>
        <v/>
      </c>
      <c r="Y1346" s="33">
        <f>IF(W1346="","",IF(P1346="À RENSEIGNER","GIC",P1346)&amp;"-"&amp;TEXT(W1346,"000"))</f>
        <v/>
      </c>
      <c r="Z1346" s="33">
        <f>IF(X1346="","",IFERROR(INDEX(Cl_nom,MATCH(X1346,Cl_cle,0)),"(client introuvable)"))</f>
        <v/>
      </c>
      <c r="AA1346" s="33">
        <f>IF(X1346="","",IFERROR(INDEX(Cl_quartier,MATCH(X1346,Cl_cle,0))&amp;"",""))</f>
        <v/>
      </c>
      <c r="AB1346" s="45">
        <f>IF(R1346&lt;&gt;"Livrée",0,IF(K1346&lt;&gt;"",K1346,C1346))</f>
        <v/>
      </c>
      <c r="AC1346" s="33">
        <f>IF(OR(C1346="",W1346=""),"",P1346&amp;"|"&amp;W1346&amp;"|"&amp;C1346&amp;"|"&amp;E1346)</f>
        <v/>
      </c>
      <c r="AD1346" s="39">
        <f>IF(AC1346="","",IF(COUNTIF(AC$6:AC1346,AC1346)=1,1,0))</f>
        <v/>
      </c>
      <c r="AE1346" s="39">
        <f>IF(AB1346=0,"",IF(COUNTIFS(X$6:X1346,X1346,AB$6:AB1346,AB1346)=1,1,0))</f>
        <v/>
      </c>
      <c r="AF1346" s="34">
        <f>IF(C1346="","",YEAR(C1346-WEEKDAY(C1346,2)+4)&amp;"-S"&amp;TEXT(INT((C1346-DATE(YEAR(C1346-WEEKDAY(C1346,2)+4),1,3)+WEEKDAY(DATE(YEAR(C1346-WEEKDAY(C1346,2)+4),1,3),2)+5)/7),"00"))</f>
        <v/>
      </c>
    </row>
    <row r="1347" ht="18" customHeight="1">
      <c r="A1347" s="39" t="n">
        <v>1342</v>
      </c>
      <c r="B1347" s="33">
        <f>IF(C1347="","",IF(P1347="À RENSEIGNER","GIC",P1347)&amp;"-C"&amp;TEXT(A1347,"00000"))</f>
        <v/>
      </c>
      <c r="C1347" s="32" t="n"/>
      <c r="D1347" s="36" t="n"/>
      <c r="E1347" s="36" t="n"/>
      <c r="F1347" s="36" t="n"/>
      <c r="G1347" s="42" t="n"/>
      <c r="H1347" s="37" t="n"/>
      <c r="I1347" s="37" t="n"/>
      <c r="J1347" s="32" t="n"/>
      <c r="K1347" s="32" t="n"/>
      <c r="L1347" s="43" t="n"/>
      <c r="M1347" s="36" t="n"/>
      <c r="N1347" s="44" t="n"/>
      <c r="O1347" s="36" t="n"/>
      <c r="P1347" s="33">
        <f>IF(C1347="","",Commercial_Id)</f>
        <v/>
      </c>
      <c r="Q1347" s="34">
        <f>IF(AC1347="","",IF(AD1347=1,"C"&amp;TEXT(SUM(AD$6:AD1347),"0000"),INDEX(Q$6:Q1346,MATCH(AC1347,AC$6:AC1346,0))))</f>
        <v/>
      </c>
      <c r="R1347" s="34">
        <f>IF(C1347="","",IF(L1347="☑ Oui","Annulée",IF(OR(E1347="Vente directe",K1347&lt;&gt;""),"Livrée",IF(J1347&lt;&gt;"","Confirmée","En attente"))))</f>
        <v/>
      </c>
      <c r="S1347" s="34">
        <f>IF(F1347="","",IFERROR(VLOOKUP(F1347,T_Produits,2,FALSE),""))</f>
        <v/>
      </c>
      <c r="T1347" s="40">
        <f>IF(F1347="","",IFERROR(1/(1/VLOOKUP(F1347,T_Produits,3,FALSE)),""))</f>
        <v/>
      </c>
      <c r="U1347" s="40">
        <f>IF(H1347&lt;&gt;"",H1347,T1347)</f>
        <v/>
      </c>
      <c r="V1347" s="40">
        <f>IF(OR(G1347="",U1347=""),"",G1347*U1347-N(I1347))</f>
        <v/>
      </c>
      <c r="W1347" s="39">
        <f>IF(D1347="","",IFERROR(VALUE(MID(D1347,LEN(D1347)-3,3)),""))</f>
        <v/>
      </c>
      <c r="X1347" s="33">
        <f>IF(W1347="","",P1347&amp;"|"&amp;W1347)</f>
        <v/>
      </c>
      <c r="Y1347" s="33">
        <f>IF(W1347="","",IF(P1347="À RENSEIGNER","GIC",P1347)&amp;"-"&amp;TEXT(W1347,"000"))</f>
        <v/>
      </c>
      <c r="Z1347" s="33">
        <f>IF(X1347="","",IFERROR(INDEX(Cl_nom,MATCH(X1347,Cl_cle,0)),"(client introuvable)"))</f>
        <v/>
      </c>
      <c r="AA1347" s="33">
        <f>IF(X1347="","",IFERROR(INDEX(Cl_quartier,MATCH(X1347,Cl_cle,0))&amp;"",""))</f>
        <v/>
      </c>
      <c r="AB1347" s="45">
        <f>IF(R1347&lt;&gt;"Livrée",0,IF(K1347&lt;&gt;"",K1347,C1347))</f>
        <v/>
      </c>
      <c r="AC1347" s="33">
        <f>IF(OR(C1347="",W1347=""),"",P1347&amp;"|"&amp;W1347&amp;"|"&amp;C1347&amp;"|"&amp;E1347)</f>
        <v/>
      </c>
      <c r="AD1347" s="39">
        <f>IF(AC1347="","",IF(COUNTIF(AC$6:AC1347,AC1347)=1,1,0))</f>
        <v/>
      </c>
      <c r="AE1347" s="39">
        <f>IF(AB1347=0,"",IF(COUNTIFS(X$6:X1347,X1347,AB$6:AB1347,AB1347)=1,1,0))</f>
        <v/>
      </c>
      <c r="AF1347" s="34">
        <f>IF(C1347="","",YEAR(C1347-WEEKDAY(C1347,2)+4)&amp;"-S"&amp;TEXT(INT((C1347-DATE(YEAR(C1347-WEEKDAY(C1347,2)+4),1,3)+WEEKDAY(DATE(YEAR(C1347-WEEKDAY(C1347,2)+4),1,3),2)+5)/7),"00"))</f>
        <v/>
      </c>
    </row>
    <row r="1348" ht="18" customHeight="1">
      <c r="A1348" s="39" t="n">
        <v>1343</v>
      </c>
      <c r="B1348" s="33">
        <f>IF(C1348="","",IF(P1348="À RENSEIGNER","GIC",P1348)&amp;"-C"&amp;TEXT(A1348,"00000"))</f>
        <v/>
      </c>
      <c r="C1348" s="32" t="n"/>
      <c r="D1348" s="36" t="n"/>
      <c r="E1348" s="36" t="n"/>
      <c r="F1348" s="36" t="n"/>
      <c r="G1348" s="42" t="n"/>
      <c r="H1348" s="37" t="n"/>
      <c r="I1348" s="37" t="n"/>
      <c r="J1348" s="32" t="n"/>
      <c r="K1348" s="32" t="n"/>
      <c r="L1348" s="43" t="n"/>
      <c r="M1348" s="36" t="n"/>
      <c r="N1348" s="44" t="n"/>
      <c r="O1348" s="36" t="n"/>
      <c r="P1348" s="33">
        <f>IF(C1348="","",Commercial_Id)</f>
        <v/>
      </c>
      <c r="Q1348" s="34">
        <f>IF(AC1348="","",IF(AD1348=1,"C"&amp;TEXT(SUM(AD$6:AD1348),"0000"),INDEX(Q$6:Q1347,MATCH(AC1348,AC$6:AC1347,0))))</f>
        <v/>
      </c>
      <c r="R1348" s="34">
        <f>IF(C1348="","",IF(L1348="☑ Oui","Annulée",IF(OR(E1348="Vente directe",K1348&lt;&gt;""),"Livrée",IF(J1348&lt;&gt;"","Confirmée","En attente"))))</f>
        <v/>
      </c>
      <c r="S1348" s="34">
        <f>IF(F1348="","",IFERROR(VLOOKUP(F1348,T_Produits,2,FALSE),""))</f>
        <v/>
      </c>
      <c r="T1348" s="40">
        <f>IF(F1348="","",IFERROR(1/(1/VLOOKUP(F1348,T_Produits,3,FALSE)),""))</f>
        <v/>
      </c>
      <c r="U1348" s="40">
        <f>IF(H1348&lt;&gt;"",H1348,T1348)</f>
        <v/>
      </c>
      <c r="V1348" s="40">
        <f>IF(OR(G1348="",U1348=""),"",G1348*U1348-N(I1348))</f>
        <v/>
      </c>
      <c r="W1348" s="39">
        <f>IF(D1348="","",IFERROR(VALUE(MID(D1348,LEN(D1348)-3,3)),""))</f>
        <v/>
      </c>
      <c r="X1348" s="33">
        <f>IF(W1348="","",P1348&amp;"|"&amp;W1348)</f>
        <v/>
      </c>
      <c r="Y1348" s="33">
        <f>IF(W1348="","",IF(P1348="À RENSEIGNER","GIC",P1348)&amp;"-"&amp;TEXT(W1348,"000"))</f>
        <v/>
      </c>
      <c r="Z1348" s="33">
        <f>IF(X1348="","",IFERROR(INDEX(Cl_nom,MATCH(X1348,Cl_cle,0)),"(client introuvable)"))</f>
        <v/>
      </c>
      <c r="AA1348" s="33">
        <f>IF(X1348="","",IFERROR(INDEX(Cl_quartier,MATCH(X1348,Cl_cle,0))&amp;"",""))</f>
        <v/>
      </c>
      <c r="AB1348" s="45">
        <f>IF(R1348&lt;&gt;"Livrée",0,IF(K1348&lt;&gt;"",K1348,C1348))</f>
        <v/>
      </c>
      <c r="AC1348" s="33">
        <f>IF(OR(C1348="",W1348=""),"",P1348&amp;"|"&amp;W1348&amp;"|"&amp;C1348&amp;"|"&amp;E1348)</f>
        <v/>
      </c>
      <c r="AD1348" s="39">
        <f>IF(AC1348="","",IF(COUNTIF(AC$6:AC1348,AC1348)=1,1,0))</f>
        <v/>
      </c>
      <c r="AE1348" s="39">
        <f>IF(AB1348=0,"",IF(COUNTIFS(X$6:X1348,X1348,AB$6:AB1348,AB1348)=1,1,0))</f>
        <v/>
      </c>
      <c r="AF1348" s="34">
        <f>IF(C1348="","",YEAR(C1348-WEEKDAY(C1348,2)+4)&amp;"-S"&amp;TEXT(INT((C1348-DATE(YEAR(C1348-WEEKDAY(C1348,2)+4),1,3)+WEEKDAY(DATE(YEAR(C1348-WEEKDAY(C1348,2)+4),1,3),2)+5)/7),"00"))</f>
        <v/>
      </c>
    </row>
    <row r="1349" ht="18" customHeight="1">
      <c r="A1349" s="39" t="n">
        <v>1344</v>
      </c>
      <c r="B1349" s="33">
        <f>IF(C1349="","",IF(P1349="À RENSEIGNER","GIC",P1349)&amp;"-C"&amp;TEXT(A1349,"00000"))</f>
        <v/>
      </c>
      <c r="C1349" s="32" t="n"/>
      <c r="D1349" s="36" t="n"/>
      <c r="E1349" s="36" t="n"/>
      <c r="F1349" s="36" t="n"/>
      <c r="G1349" s="42" t="n"/>
      <c r="H1349" s="37" t="n"/>
      <c r="I1349" s="37" t="n"/>
      <c r="J1349" s="32" t="n"/>
      <c r="K1349" s="32" t="n"/>
      <c r="L1349" s="43" t="n"/>
      <c r="M1349" s="36" t="n"/>
      <c r="N1349" s="44" t="n"/>
      <c r="O1349" s="36" t="n"/>
      <c r="P1349" s="33">
        <f>IF(C1349="","",Commercial_Id)</f>
        <v/>
      </c>
      <c r="Q1349" s="34">
        <f>IF(AC1349="","",IF(AD1349=1,"C"&amp;TEXT(SUM(AD$6:AD1349),"0000"),INDEX(Q$6:Q1348,MATCH(AC1349,AC$6:AC1348,0))))</f>
        <v/>
      </c>
      <c r="R1349" s="34">
        <f>IF(C1349="","",IF(L1349="☑ Oui","Annulée",IF(OR(E1349="Vente directe",K1349&lt;&gt;""),"Livrée",IF(J1349&lt;&gt;"","Confirmée","En attente"))))</f>
        <v/>
      </c>
      <c r="S1349" s="34">
        <f>IF(F1349="","",IFERROR(VLOOKUP(F1349,T_Produits,2,FALSE),""))</f>
        <v/>
      </c>
      <c r="T1349" s="40">
        <f>IF(F1349="","",IFERROR(1/(1/VLOOKUP(F1349,T_Produits,3,FALSE)),""))</f>
        <v/>
      </c>
      <c r="U1349" s="40">
        <f>IF(H1349&lt;&gt;"",H1349,T1349)</f>
        <v/>
      </c>
      <c r="V1349" s="40">
        <f>IF(OR(G1349="",U1349=""),"",G1349*U1349-N(I1349))</f>
        <v/>
      </c>
      <c r="W1349" s="39">
        <f>IF(D1349="","",IFERROR(VALUE(MID(D1349,LEN(D1349)-3,3)),""))</f>
        <v/>
      </c>
      <c r="X1349" s="33">
        <f>IF(W1349="","",P1349&amp;"|"&amp;W1349)</f>
        <v/>
      </c>
      <c r="Y1349" s="33">
        <f>IF(W1349="","",IF(P1349="À RENSEIGNER","GIC",P1349)&amp;"-"&amp;TEXT(W1349,"000"))</f>
        <v/>
      </c>
      <c r="Z1349" s="33">
        <f>IF(X1349="","",IFERROR(INDEX(Cl_nom,MATCH(X1349,Cl_cle,0)),"(client introuvable)"))</f>
        <v/>
      </c>
      <c r="AA1349" s="33">
        <f>IF(X1349="","",IFERROR(INDEX(Cl_quartier,MATCH(X1349,Cl_cle,0))&amp;"",""))</f>
        <v/>
      </c>
      <c r="AB1349" s="45">
        <f>IF(R1349&lt;&gt;"Livrée",0,IF(K1349&lt;&gt;"",K1349,C1349))</f>
        <v/>
      </c>
      <c r="AC1349" s="33">
        <f>IF(OR(C1349="",W1349=""),"",P1349&amp;"|"&amp;W1349&amp;"|"&amp;C1349&amp;"|"&amp;E1349)</f>
        <v/>
      </c>
      <c r="AD1349" s="39">
        <f>IF(AC1349="","",IF(COUNTIF(AC$6:AC1349,AC1349)=1,1,0))</f>
        <v/>
      </c>
      <c r="AE1349" s="39">
        <f>IF(AB1349=0,"",IF(COUNTIFS(X$6:X1349,X1349,AB$6:AB1349,AB1349)=1,1,0))</f>
        <v/>
      </c>
      <c r="AF1349" s="34">
        <f>IF(C1349="","",YEAR(C1349-WEEKDAY(C1349,2)+4)&amp;"-S"&amp;TEXT(INT((C1349-DATE(YEAR(C1349-WEEKDAY(C1349,2)+4),1,3)+WEEKDAY(DATE(YEAR(C1349-WEEKDAY(C1349,2)+4),1,3),2)+5)/7),"00"))</f>
        <v/>
      </c>
    </row>
    <row r="1350" ht="18" customHeight="1">
      <c r="A1350" s="39" t="n">
        <v>1345</v>
      </c>
      <c r="B1350" s="33">
        <f>IF(C1350="","",IF(P1350="À RENSEIGNER","GIC",P1350)&amp;"-C"&amp;TEXT(A1350,"00000"))</f>
        <v/>
      </c>
      <c r="C1350" s="32" t="n"/>
      <c r="D1350" s="36" t="n"/>
      <c r="E1350" s="36" t="n"/>
      <c r="F1350" s="36" t="n"/>
      <c r="G1350" s="42" t="n"/>
      <c r="H1350" s="37" t="n"/>
      <c r="I1350" s="37" t="n"/>
      <c r="J1350" s="32" t="n"/>
      <c r="K1350" s="32" t="n"/>
      <c r="L1350" s="43" t="n"/>
      <c r="M1350" s="36" t="n"/>
      <c r="N1350" s="44" t="n"/>
      <c r="O1350" s="36" t="n"/>
      <c r="P1350" s="33">
        <f>IF(C1350="","",Commercial_Id)</f>
        <v/>
      </c>
      <c r="Q1350" s="34">
        <f>IF(AC1350="","",IF(AD1350=1,"C"&amp;TEXT(SUM(AD$6:AD1350),"0000"),INDEX(Q$6:Q1349,MATCH(AC1350,AC$6:AC1349,0))))</f>
        <v/>
      </c>
      <c r="R1350" s="34">
        <f>IF(C1350="","",IF(L1350="☑ Oui","Annulée",IF(OR(E1350="Vente directe",K1350&lt;&gt;""),"Livrée",IF(J1350&lt;&gt;"","Confirmée","En attente"))))</f>
        <v/>
      </c>
      <c r="S1350" s="34">
        <f>IF(F1350="","",IFERROR(VLOOKUP(F1350,T_Produits,2,FALSE),""))</f>
        <v/>
      </c>
      <c r="T1350" s="40">
        <f>IF(F1350="","",IFERROR(1/(1/VLOOKUP(F1350,T_Produits,3,FALSE)),""))</f>
        <v/>
      </c>
      <c r="U1350" s="40">
        <f>IF(H1350&lt;&gt;"",H1350,T1350)</f>
        <v/>
      </c>
      <c r="V1350" s="40">
        <f>IF(OR(G1350="",U1350=""),"",G1350*U1350-N(I1350))</f>
        <v/>
      </c>
      <c r="W1350" s="39">
        <f>IF(D1350="","",IFERROR(VALUE(MID(D1350,LEN(D1350)-3,3)),""))</f>
        <v/>
      </c>
      <c r="X1350" s="33">
        <f>IF(W1350="","",P1350&amp;"|"&amp;W1350)</f>
        <v/>
      </c>
      <c r="Y1350" s="33">
        <f>IF(W1350="","",IF(P1350="À RENSEIGNER","GIC",P1350)&amp;"-"&amp;TEXT(W1350,"000"))</f>
        <v/>
      </c>
      <c r="Z1350" s="33">
        <f>IF(X1350="","",IFERROR(INDEX(Cl_nom,MATCH(X1350,Cl_cle,0)),"(client introuvable)"))</f>
        <v/>
      </c>
      <c r="AA1350" s="33">
        <f>IF(X1350="","",IFERROR(INDEX(Cl_quartier,MATCH(X1350,Cl_cle,0))&amp;"",""))</f>
        <v/>
      </c>
      <c r="AB1350" s="45">
        <f>IF(R1350&lt;&gt;"Livrée",0,IF(K1350&lt;&gt;"",K1350,C1350))</f>
        <v/>
      </c>
      <c r="AC1350" s="33">
        <f>IF(OR(C1350="",W1350=""),"",P1350&amp;"|"&amp;W1350&amp;"|"&amp;C1350&amp;"|"&amp;E1350)</f>
        <v/>
      </c>
      <c r="AD1350" s="39">
        <f>IF(AC1350="","",IF(COUNTIF(AC$6:AC1350,AC1350)=1,1,0))</f>
        <v/>
      </c>
      <c r="AE1350" s="39">
        <f>IF(AB1350=0,"",IF(COUNTIFS(X$6:X1350,X1350,AB$6:AB1350,AB1350)=1,1,0))</f>
        <v/>
      </c>
      <c r="AF1350" s="34">
        <f>IF(C1350="","",YEAR(C1350-WEEKDAY(C1350,2)+4)&amp;"-S"&amp;TEXT(INT((C1350-DATE(YEAR(C1350-WEEKDAY(C1350,2)+4),1,3)+WEEKDAY(DATE(YEAR(C1350-WEEKDAY(C1350,2)+4),1,3),2)+5)/7),"00"))</f>
        <v/>
      </c>
    </row>
    <row r="1351" ht="18" customHeight="1">
      <c r="A1351" s="39" t="n">
        <v>1346</v>
      </c>
      <c r="B1351" s="33">
        <f>IF(C1351="","",IF(P1351="À RENSEIGNER","GIC",P1351)&amp;"-C"&amp;TEXT(A1351,"00000"))</f>
        <v/>
      </c>
      <c r="C1351" s="32" t="n"/>
      <c r="D1351" s="36" t="n"/>
      <c r="E1351" s="36" t="n"/>
      <c r="F1351" s="36" t="n"/>
      <c r="G1351" s="42" t="n"/>
      <c r="H1351" s="37" t="n"/>
      <c r="I1351" s="37" t="n"/>
      <c r="J1351" s="32" t="n"/>
      <c r="K1351" s="32" t="n"/>
      <c r="L1351" s="43" t="n"/>
      <c r="M1351" s="36" t="n"/>
      <c r="N1351" s="44" t="n"/>
      <c r="O1351" s="36" t="n"/>
      <c r="P1351" s="33">
        <f>IF(C1351="","",Commercial_Id)</f>
        <v/>
      </c>
      <c r="Q1351" s="34">
        <f>IF(AC1351="","",IF(AD1351=1,"C"&amp;TEXT(SUM(AD$6:AD1351),"0000"),INDEX(Q$6:Q1350,MATCH(AC1351,AC$6:AC1350,0))))</f>
        <v/>
      </c>
      <c r="R1351" s="34">
        <f>IF(C1351="","",IF(L1351="☑ Oui","Annulée",IF(OR(E1351="Vente directe",K1351&lt;&gt;""),"Livrée",IF(J1351&lt;&gt;"","Confirmée","En attente"))))</f>
        <v/>
      </c>
      <c r="S1351" s="34">
        <f>IF(F1351="","",IFERROR(VLOOKUP(F1351,T_Produits,2,FALSE),""))</f>
        <v/>
      </c>
      <c r="T1351" s="40">
        <f>IF(F1351="","",IFERROR(1/(1/VLOOKUP(F1351,T_Produits,3,FALSE)),""))</f>
        <v/>
      </c>
      <c r="U1351" s="40">
        <f>IF(H1351&lt;&gt;"",H1351,T1351)</f>
        <v/>
      </c>
      <c r="V1351" s="40">
        <f>IF(OR(G1351="",U1351=""),"",G1351*U1351-N(I1351))</f>
        <v/>
      </c>
      <c r="W1351" s="39">
        <f>IF(D1351="","",IFERROR(VALUE(MID(D1351,LEN(D1351)-3,3)),""))</f>
        <v/>
      </c>
      <c r="X1351" s="33">
        <f>IF(W1351="","",P1351&amp;"|"&amp;W1351)</f>
        <v/>
      </c>
      <c r="Y1351" s="33">
        <f>IF(W1351="","",IF(P1351="À RENSEIGNER","GIC",P1351)&amp;"-"&amp;TEXT(W1351,"000"))</f>
        <v/>
      </c>
      <c r="Z1351" s="33">
        <f>IF(X1351="","",IFERROR(INDEX(Cl_nom,MATCH(X1351,Cl_cle,0)),"(client introuvable)"))</f>
        <v/>
      </c>
      <c r="AA1351" s="33">
        <f>IF(X1351="","",IFERROR(INDEX(Cl_quartier,MATCH(X1351,Cl_cle,0))&amp;"",""))</f>
        <v/>
      </c>
      <c r="AB1351" s="45">
        <f>IF(R1351&lt;&gt;"Livrée",0,IF(K1351&lt;&gt;"",K1351,C1351))</f>
        <v/>
      </c>
      <c r="AC1351" s="33">
        <f>IF(OR(C1351="",W1351=""),"",P1351&amp;"|"&amp;W1351&amp;"|"&amp;C1351&amp;"|"&amp;E1351)</f>
        <v/>
      </c>
      <c r="AD1351" s="39">
        <f>IF(AC1351="","",IF(COUNTIF(AC$6:AC1351,AC1351)=1,1,0))</f>
        <v/>
      </c>
      <c r="AE1351" s="39">
        <f>IF(AB1351=0,"",IF(COUNTIFS(X$6:X1351,X1351,AB$6:AB1351,AB1351)=1,1,0))</f>
        <v/>
      </c>
      <c r="AF1351" s="34">
        <f>IF(C1351="","",YEAR(C1351-WEEKDAY(C1351,2)+4)&amp;"-S"&amp;TEXT(INT((C1351-DATE(YEAR(C1351-WEEKDAY(C1351,2)+4),1,3)+WEEKDAY(DATE(YEAR(C1351-WEEKDAY(C1351,2)+4),1,3),2)+5)/7),"00"))</f>
        <v/>
      </c>
    </row>
    <row r="1352" ht="18" customHeight="1">
      <c r="A1352" s="39" t="n">
        <v>1347</v>
      </c>
      <c r="B1352" s="33">
        <f>IF(C1352="","",IF(P1352="À RENSEIGNER","GIC",P1352)&amp;"-C"&amp;TEXT(A1352,"00000"))</f>
        <v/>
      </c>
      <c r="C1352" s="32" t="n"/>
      <c r="D1352" s="36" t="n"/>
      <c r="E1352" s="36" t="n"/>
      <c r="F1352" s="36" t="n"/>
      <c r="G1352" s="42" t="n"/>
      <c r="H1352" s="37" t="n"/>
      <c r="I1352" s="37" t="n"/>
      <c r="J1352" s="32" t="n"/>
      <c r="K1352" s="32" t="n"/>
      <c r="L1352" s="43" t="n"/>
      <c r="M1352" s="36" t="n"/>
      <c r="N1352" s="44" t="n"/>
      <c r="O1352" s="36" t="n"/>
      <c r="P1352" s="33">
        <f>IF(C1352="","",Commercial_Id)</f>
        <v/>
      </c>
      <c r="Q1352" s="34">
        <f>IF(AC1352="","",IF(AD1352=1,"C"&amp;TEXT(SUM(AD$6:AD1352),"0000"),INDEX(Q$6:Q1351,MATCH(AC1352,AC$6:AC1351,0))))</f>
        <v/>
      </c>
      <c r="R1352" s="34">
        <f>IF(C1352="","",IF(L1352="☑ Oui","Annulée",IF(OR(E1352="Vente directe",K1352&lt;&gt;""),"Livrée",IF(J1352&lt;&gt;"","Confirmée","En attente"))))</f>
        <v/>
      </c>
      <c r="S1352" s="34">
        <f>IF(F1352="","",IFERROR(VLOOKUP(F1352,T_Produits,2,FALSE),""))</f>
        <v/>
      </c>
      <c r="T1352" s="40">
        <f>IF(F1352="","",IFERROR(1/(1/VLOOKUP(F1352,T_Produits,3,FALSE)),""))</f>
        <v/>
      </c>
      <c r="U1352" s="40">
        <f>IF(H1352&lt;&gt;"",H1352,T1352)</f>
        <v/>
      </c>
      <c r="V1352" s="40">
        <f>IF(OR(G1352="",U1352=""),"",G1352*U1352-N(I1352))</f>
        <v/>
      </c>
      <c r="W1352" s="39">
        <f>IF(D1352="","",IFERROR(VALUE(MID(D1352,LEN(D1352)-3,3)),""))</f>
        <v/>
      </c>
      <c r="X1352" s="33">
        <f>IF(W1352="","",P1352&amp;"|"&amp;W1352)</f>
        <v/>
      </c>
      <c r="Y1352" s="33">
        <f>IF(W1352="","",IF(P1352="À RENSEIGNER","GIC",P1352)&amp;"-"&amp;TEXT(W1352,"000"))</f>
        <v/>
      </c>
      <c r="Z1352" s="33">
        <f>IF(X1352="","",IFERROR(INDEX(Cl_nom,MATCH(X1352,Cl_cle,0)),"(client introuvable)"))</f>
        <v/>
      </c>
      <c r="AA1352" s="33">
        <f>IF(X1352="","",IFERROR(INDEX(Cl_quartier,MATCH(X1352,Cl_cle,0))&amp;"",""))</f>
        <v/>
      </c>
      <c r="AB1352" s="45">
        <f>IF(R1352&lt;&gt;"Livrée",0,IF(K1352&lt;&gt;"",K1352,C1352))</f>
        <v/>
      </c>
      <c r="AC1352" s="33">
        <f>IF(OR(C1352="",W1352=""),"",P1352&amp;"|"&amp;W1352&amp;"|"&amp;C1352&amp;"|"&amp;E1352)</f>
        <v/>
      </c>
      <c r="AD1352" s="39">
        <f>IF(AC1352="","",IF(COUNTIF(AC$6:AC1352,AC1352)=1,1,0))</f>
        <v/>
      </c>
      <c r="AE1352" s="39">
        <f>IF(AB1352=0,"",IF(COUNTIFS(X$6:X1352,X1352,AB$6:AB1352,AB1352)=1,1,0))</f>
        <v/>
      </c>
      <c r="AF1352" s="34">
        <f>IF(C1352="","",YEAR(C1352-WEEKDAY(C1352,2)+4)&amp;"-S"&amp;TEXT(INT((C1352-DATE(YEAR(C1352-WEEKDAY(C1352,2)+4),1,3)+WEEKDAY(DATE(YEAR(C1352-WEEKDAY(C1352,2)+4),1,3),2)+5)/7),"00"))</f>
        <v/>
      </c>
    </row>
    <row r="1353" ht="18" customHeight="1">
      <c r="A1353" s="39" t="n">
        <v>1348</v>
      </c>
      <c r="B1353" s="33">
        <f>IF(C1353="","",IF(P1353="À RENSEIGNER","GIC",P1353)&amp;"-C"&amp;TEXT(A1353,"00000"))</f>
        <v/>
      </c>
      <c r="C1353" s="32" t="n"/>
      <c r="D1353" s="36" t="n"/>
      <c r="E1353" s="36" t="n"/>
      <c r="F1353" s="36" t="n"/>
      <c r="G1353" s="42" t="n"/>
      <c r="H1353" s="37" t="n"/>
      <c r="I1353" s="37" t="n"/>
      <c r="J1353" s="32" t="n"/>
      <c r="K1353" s="32" t="n"/>
      <c r="L1353" s="43" t="n"/>
      <c r="M1353" s="36" t="n"/>
      <c r="N1353" s="44" t="n"/>
      <c r="O1353" s="36" t="n"/>
      <c r="P1353" s="33">
        <f>IF(C1353="","",Commercial_Id)</f>
        <v/>
      </c>
      <c r="Q1353" s="34">
        <f>IF(AC1353="","",IF(AD1353=1,"C"&amp;TEXT(SUM(AD$6:AD1353),"0000"),INDEX(Q$6:Q1352,MATCH(AC1353,AC$6:AC1352,0))))</f>
        <v/>
      </c>
      <c r="R1353" s="34">
        <f>IF(C1353="","",IF(L1353="☑ Oui","Annulée",IF(OR(E1353="Vente directe",K1353&lt;&gt;""),"Livrée",IF(J1353&lt;&gt;"","Confirmée","En attente"))))</f>
        <v/>
      </c>
      <c r="S1353" s="34">
        <f>IF(F1353="","",IFERROR(VLOOKUP(F1353,T_Produits,2,FALSE),""))</f>
        <v/>
      </c>
      <c r="T1353" s="40">
        <f>IF(F1353="","",IFERROR(1/(1/VLOOKUP(F1353,T_Produits,3,FALSE)),""))</f>
        <v/>
      </c>
      <c r="U1353" s="40">
        <f>IF(H1353&lt;&gt;"",H1353,T1353)</f>
        <v/>
      </c>
      <c r="V1353" s="40">
        <f>IF(OR(G1353="",U1353=""),"",G1353*U1353-N(I1353))</f>
        <v/>
      </c>
      <c r="W1353" s="39">
        <f>IF(D1353="","",IFERROR(VALUE(MID(D1353,LEN(D1353)-3,3)),""))</f>
        <v/>
      </c>
      <c r="X1353" s="33">
        <f>IF(W1353="","",P1353&amp;"|"&amp;W1353)</f>
        <v/>
      </c>
      <c r="Y1353" s="33">
        <f>IF(W1353="","",IF(P1353="À RENSEIGNER","GIC",P1353)&amp;"-"&amp;TEXT(W1353,"000"))</f>
        <v/>
      </c>
      <c r="Z1353" s="33">
        <f>IF(X1353="","",IFERROR(INDEX(Cl_nom,MATCH(X1353,Cl_cle,0)),"(client introuvable)"))</f>
        <v/>
      </c>
      <c r="AA1353" s="33">
        <f>IF(X1353="","",IFERROR(INDEX(Cl_quartier,MATCH(X1353,Cl_cle,0))&amp;"",""))</f>
        <v/>
      </c>
      <c r="AB1353" s="45">
        <f>IF(R1353&lt;&gt;"Livrée",0,IF(K1353&lt;&gt;"",K1353,C1353))</f>
        <v/>
      </c>
      <c r="AC1353" s="33">
        <f>IF(OR(C1353="",W1353=""),"",P1353&amp;"|"&amp;W1353&amp;"|"&amp;C1353&amp;"|"&amp;E1353)</f>
        <v/>
      </c>
      <c r="AD1353" s="39">
        <f>IF(AC1353="","",IF(COUNTIF(AC$6:AC1353,AC1353)=1,1,0))</f>
        <v/>
      </c>
      <c r="AE1353" s="39">
        <f>IF(AB1353=0,"",IF(COUNTIFS(X$6:X1353,X1353,AB$6:AB1353,AB1353)=1,1,0))</f>
        <v/>
      </c>
      <c r="AF1353" s="34">
        <f>IF(C1353="","",YEAR(C1353-WEEKDAY(C1353,2)+4)&amp;"-S"&amp;TEXT(INT((C1353-DATE(YEAR(C1353-WEEKDAY(C1353,2)+4),1,3)+WEEKDAY(DATE(YEAR(C1353-WEEKDAY(C1353,2)+4),1,3),2)+5)/7),"00"))</f>
        <v/>
      </c>
    </row>
    <row r="1354" ht="18" customHeight="1">
      <c r="A1354" s="39" t="n">
        <v>1349</v>
      </c>
      <c r="B1354" s="33">
        <f>IF(C1354="","",IF(P1354="À RENSEIGNER","GIC",P1354)&amp;"-C"&amp;TEXT(A1354,"00000"))</f>
        <v/>
      </c>
      <c r="C1354" s="32" t="n"/>
      <c r="D1354" s="36" t="n"/>
      <c r="E1354" s="36" t="n"/>
      <c r="F1354" s="36" t="n"/>
      <c r="G1354" s="42" t="n"/>
      <c r="H1354" s="37" t="n"/>
      <c r="I1354" s="37" t="n"/>
      <c r="J1354" s="32" t="n"/>
      <c r="K1354" s="32" t="n"/>
      <c r="L1354" s="43" t="n"/>
      <c r="M1354" s="36" t="n"/>
      <c r="N1354" s="44" t="n"/>
      <c r="O1354" s="36" t="n"/>
      <c r="P1354" s="33">
        <f>IF(C1354="","",Commercial_Id)</f>
        <v/>
      </c>
      <c r="Q1354" s="34">
        <f>IF(AC1354="","",IF(AD1354=1,"C"&amp;TEXT(SUM(AD$6:AD1354),"0000"),INDEX(Q$6:Q1353,MATCH(AC1354,AC$6:AC1353,0))))</f>
        <v/>
      </c>
      <c r="R1354" s="34">
        <f>IF(C1354="","",IF(L1354="☑ Oui","Annulée",IF(OR(E1354="Vente directe",K1354&lt;&gt;""),"Livrée",IF(J1354&lt;&gt;"","Confirmée","En attente"))))</f>
        <v/>
      </c>
      <c r="S1354" s="34">
        <f>IF(F1354="","",IFERROR(VLOOKUP(F1354,T_Produits,2,FALSE),""))</f>
        <v/>
      </c>
      <c r="T1354" s="40">
        <f>IF(F1354="","",IFERROR(1/(1/VLOOKUP(F1354,T_Produits,3,FALSE)),""))</f>
        <v/>
      </c>
      <c r="U1354" s="40">
        <f>IF(H1354&lt;&gt;"",H1354,T1354)</f>
        <v/>
      </c>
      <c r="V1354" s="40">
        <f>IF(OR(G1354="",U1354=""),"",G1354*U1354-N(I1354))</f>
        <v/>
      </c>
      <c r="W1354" s="39">
        <f>IF(D1354="","",IFERROR(VALUE(MID(D1354,LEN(D1354)-3,3)),""))</f>
        <v/>
      </c>
      <c r="X1354" s="33">
        <f>IF(W1354="","",P1354&amp;"|"&amp;W1354)</f>
        <v/>
      </c>
      <c r="Y1354" s="33">
        <f>IF(W1354="","",IF(P1354="À RENSEIGNER","GIC",P1354)&amp;"-"&amp;TEXT(W1354,"000"))</f>
        <v/>
      </c>
      <c r="Z1354" s="33">
        <f>IF(X1354="","",IFERROR(INDEX(Cl_nom,MATCH(X1354,Cl_cle,0)),"(client introuvable)"))</f>
        <v/>
      </c>
      <c r="AA1354" s="33">
        <f>IF(X1354="","",IFERROR(INDEX(Cl_quartier,MATCH(X1354,Cl_cle,0))&amp;"",""))</f>
        <v/>
      </c>
      <c r="AB1354" s="45">
        <f>IF(R1354&lt;&gt;"Livrée",0,IF(K1354&lt;&gt;"",K1354,C1354))</f>
        <v/>
      </c>
      <c r="AC1354" s="33">
        <f>IF(OR(C1354="",W1354=""),"",P1354&amp;"|"&amp;W1354&amp;"|"&amp;C1354&amp;"|"&amp;E1354)</f>
        <v/>
      </c>
      <c r="AD1354" s="39">
        <f>IF(AC1354="","",IF(COUNTIF(AC$6:AC1354,AC1354)=1,1,0))</f>
        <v/>
      </c>
      <c r="AE1354" s="39">
        <f>IF(AB1354=0,"",IF(COUNTIFS(X$6:X1354,X1354,AB$6:AB1354,AB1354)=1,1,0))</f>
        <v/>
      </c>
      <c r="AF1354" s="34">
        <f>IF(C1354="","",YEAR(C1354-WEEKDAY(C1354,2)+4)&amp;"-S"&amp;TEXT(INT((C1354-DATE(YEAR(C1354-WEEKDAY(C1354,2)+4),1,3)+WEEKDAY(DATE(YEAR(C1354-WEEKDAY(C1354,2)+4),1,3),2)+5)/7),"00"))</f>
        <v/>
      </c>
    </row>
    <row r="1355" ht="18" customHeight="1">
      <c r="A1355" s="39" t="n">
        <v>1350</v>
      </c>
      <c r="B1355" s="33">
        <f>IF(C1355="","",IF(P1355="À RENSEIGNER","GIC",P1355)&amp;"-C"&amp;TEXT(A1355,"00000"))</f>
        <v/>
      </c>
      <c r="C1355" s="32" t="n"/>
      <c r="D1355" s="36" t="n"/>
      <c r="E1355" s="36" t="n"/>
      <c r="F1355" s="36" t="n"/>
      <c r="G1355" s="42" t="n"/>
      <c r="H1355" s="37" t="n"/>
      <c r="I1355" s="37" t="n"/>
      <c r="J1355" s="32" t="n"/>
      <c r="K1355" s="32" t="n"/>
      <c r="L1355" s="43" t="n"/>
      <c r="M1355" s="36" t="n"/>
      <c r="N1355" s="44" t="n"/>
      <c r="O1355" s="36" t="n"/>
      <c r="P1355" s="33">
        <f>IF(C1355="","",Commercial_Id)</f>
        <v/>
      </c>
      <c r="Q1355" s="34">
        <f>IF(AC1355="","",IF(AD1355=1,"C"&amp;TEXT(SUM(AD$6:AD1355),"0000"),INDEX(Q$6:Q1354,MATCH(AC1355,AC$6:AC1354,0))))</f>
        <v/>
      </c>
      <c r="R1355" s="34">
        <f>IF(C1355="","",IF(L1355="☑ Oui","Annulée",IF(OR(E1355="Vente directe",K1355&lt;&gt;""),"Livrée",IF(J1355&lt;&gt;"","Confirmée","En attente"))))</f>
        <v/>
      </c>
      <c r="S1355" s="34">
        <f>IF(F1355="","",IFERROR(VLOOKUP(F1355,T_Produits,2,FALSE),""))</f>
        <v/>
      </c>
      <c r="T1355" s="40">
        <f>IF(F1355="","",IFERROR(1/(1/VLOOKUP(F1355,T_Produits,3,FALSE)),""))</f>
        <v/>
      </c>
      <c r="U1355" s="40">
        <f>IF(H1355&lt;&gt;"",H1355,T1355)</f>
        <v/>
      </c>
      <c r="V1355" s="40">
        <f>IF(OR(G1355="",U1355=""),"",G1355*U1355-N(I1355))</f>
        <v/>
      </c>
      <c r="W1355" s="39">
        <f>IF(D1355="","",IFERROR(VALUE(MID(D1355,LEN(D1355)-3,3)),""))</f>
        <v/>
      </c>
      <c r="X1355" s="33">
        <f>IF(W1355="","",P1355&amp;"|"&amp;W1355)</f>
        <v/>
      </c>
      <c r="Y1355" s="33">
        <f>IF(W1355="","",IF(P1355="À RENSEIGNER","GIC",P1355)&amp;"-"&amp;TEXT(W1355,"000"))</f>
        <v/>
      </c>
      <c r="Z1355" s="33">
        <f>IF(X1355="","",IFERROR(INDEX(Cl_nom,MATCH(X1355,Cl_cle,0)),"(client introuvable)"))</f>
        <v/>
      </c>
      <c r="AA1355" s="33">
        <f>IF(X1355="","",IFERROR(INDEX(Cl_quartier,MATCH(X1355,Cl_cle,0))&amp;"",""))</f>
        <v/>
      </c>
      <c r="AB1355" s="45">
        <f>IF(R1355&lt;&gt;"Livrée",0,IF(K1355&lt;&gt;"",K1355,C1355))</f>
        <v/>
      </c>
      <c r="AC1355" s="33">
        <f>IF(OR(C1355="",W1355=""),"",P1355&amp;"|"&amp;W1355&amp;"|"&amp;C1355&amp;"|"&amp;E1355)</f>
        <v/>
      </c>
      <c r="AD1355" s="39">
        <f>IF(AC1355="","",IF(COUNTIF(AC$6:AC1355,AC1355)=1,1,0))</f>
        <v/>
      </c>
      <c r="AE1355" s="39">
        <f>IF(AB1355=0,"",IF(COUNTIFS(X$6:X1355,X1355,AB$6:AB1355,AB1355)=1,1,0))</f>
        <v/>
      </c>
      <c r="AF1355" s="34">
        <f>IF(C1355="","",YEAR(C1355-WEEKDAY(C1355,2)+4)&amp;"-S"&amp;TEXT(INT((C1355-DATE(YEAR(C1355-WEEKDAY(C1355,2)+4),1,3)+WEEKDAY(DATE(YEAR(C1355-WEEKDAY(C1355,2)+4),1,3),2)+5)/7),"00"))</f>
        <v/>
      </c>
    </row>
    <row r="1356" ht="18" customHeight="1">
      <c r="A1356" s="39" t="n">
        <v>1351</v>
      </c>
      <c r="B1356" s="33">
        <f>IF(C1356="","",IF(P1356="À RENSEIGNER","GIC",P1356)&amp;"-C"&amp;TEXT(A1356,"00000"))</f>
        <v/>
      </c>
      <c r="C1356" s="32" t="n"/>
      <c r="D1356" s="36" t="n"/>
      <c r="E1356" s="36" t="n"/>
      <c r="F1356" s="36" t="n"/>
      <c r="G1356" s="42" t="n"/>
      <c r="H1356" s="37" t="n"/>
      <c r="I1356" s="37" t="n"/>
      <c r="J1356" s="32" t="n"/>
      <c r="K1356" s="32" t="n"/>
      <c r="L1356" s="43" t="n"/>
      <c r="M1356" s="36" t="n"/>
      <c r="N1356" s="44" t="n"/>
      <c r="O1356" s="36" t="n"/>
      <c r="P1356" s="33">
        <f>IF(C1356="","",Commercial_Id)</f>
        <v/>
      </c>
      <c r="Q1356" s="34">
        <f>IF(AC1356="","",IF(AD1356=1,"C"&amp;TEXT(SUM(AD$6:AD1356),"0000"),INDEX(Q$6:Q1355,MATCH(AC1356,AC$6:AC1355,0))))</f>
        <v/>
      </c>
      <c r="R1356" s="34">
        <f>IF(C1356="","",IF(L1356="☑ Oui","Annulée",IF(OR(E1356="Vente directe",K1356&lt;&gt;""),"Livrée",IF(J1356&lt;&gt;"","Confirmée","En attente"))))</f>
        <v/>
      </c>
      <c r="S1356" s="34">
        <f>IF(F1356="","",IFERROR(VLOOKUP(F1356,T_Produits,2,FALSE),""))</f>
        <v/>
      </c>
      <c r="T1356" s="40">
        <f>IF(F1356="","",IFERROR(1/(1/VLOOKUP(F1356,T_Produits,3,FALSE)),""))</f>
        <v/>
      </c>
      <c r="U1356" s="40">
        <f>IF(H1356&lt;&gt;"",H1356,T1356)</f>
        <v/>
      </c>
      <c r="V1356" s="40">
        <f>IF(OR(G1356="",U1356=""),"",G1356*U1356-N(I1356))</f>
        <v/>
      </c>
      <c r="W1356" s="39">
        <f>IF(D1356="","",IFERROR(VALUE(MID(D1356,LEN(D1356)-3,3)),""))</f>
        <v/>
      </c>
      <c r="X1356" s="33">
        <f>IF(W1356="","",P1356&amp;"|"&amp;W1356)</f>
        <v/>
      </c>
      <c r="Y1356" s="33">
        <f>IF(W1356="","",IF(P1356="À RENSEIGNER","GIC",P1356)&amp;"-"&amp;TEXT(W1356,"000"))</f>
        <v/>
      </c>
      <c r="Z1356" s="33">
        <f>IF(X1356="","",IFERROR(INDEX(Cl_nom,MATCH(X1356,Cl_cle,0)),"(client introuvable)"))</f>
        <v/>
      </c>
      <c r="AA1356" s="33">
        <f>IF(X1356="","",IFERROR(INDEX(Cl_quartier,MATCH(X1356,Cl_cle,0))&amp;"",""))</f>
        <v/>
      </c>
      <c r="AB1356" s="45">
        <f>IF(R1356&lt;&gt;"Livrée",0,IF(K1356&lt;&gt;"",K1356,C1356))</f>
        <v/>
      </c>
      <c r="AC1356" s="33">
        <f>IF(OR(C1356="",W1356=""),"",P1356&amp;"|"&amp;W1356&amp;"|"&amp;C1356&amp;"|"&amp;E1356)</f>
        <v/>
      </c>
      <c r="AD1356" s="39">
        <f>IF(AC1356="","",IF(COUNTIF(AC$6:AC1356,AC1356)=1,1,0))</f>
        <v/>
      </c>
      <c r="AE1356" s="39">
        <f>IF(AB1356=0,"",IF(COUNTIFS(X$6:X1356,X1356,AB$6:AB1356,AB1356)=1,1,0))</f>
        <v/>
      </c>
      <c r="AF1356" s="34">
        <f>IF(C1356="","",YEAR(C1356-WEEKDAY(C1356,2)+4)&amp;"-S"&amp;TEXT(INT((C1356-DATE(YEAR(C1356-WEEKDAY(C1356,2)+4),1,3)+WEEKDAY(DATE(YEAR(C1356-WEEKDAY(C1356,2)+4),1,3),2)+5)/7),"00"))</f>
        <v/>
      </c>
    </row>
    <row r="1357" ht="18" customHeight="1">
      <c r="A1357" s="39" t="n">
        <v>1352</v>
      </c>
      <c r="B1357" s="33">
        <f>IF(C1357="","",IF(P1357="À RENSEIGNER","GIC",P1357)&amp;"-C"&amp;TEXT(A1357,"00000"))</f>
        <v/>
      </c>
      <c r="C1357" s="32" t="n"/>
      <c r="D1357" s="36" t="n"/>
      <c r="E1357" s="36" t="n"/>
      <c r="F1357" s="36" t="n"/>
      <c r="G1357" s="42" t="n"/>
      <c r="H1357" s="37" t="n"/>
      <c r="I1357" s="37" t="n"/>
      <c r="J1357" s="32" t="n"/>
      <c r="K1357" s="32" t="n"/>
      <c r="L1357" s="43" t="n"/>
      <c r="M1357" s="36" t="n"/>
      <c r="N1357" s="44" t="n"/>
      <c r="O1357" s="36" t="n"/>
      <c r="P1357" s="33">
        <f>IF(C1357="","",Commercial_Id)</f>
        <v/>
      </c>
      <c r="Q1357" s="34">
        <f>IF(AC1357="","",IF(AD1357=1,"C"&amp;TEXT(SUM(AD$6:AD1357),"0000"),INDEX(Q$6:Q1356,MATCH(AC1357,AC$6:AC1356,0))))</f>
        <v/>
      </c>
      <c r="R1357" s="34">
        <f>IF(C1357="","",IF(L1357="☑ Oui","Annulée",IF(OR(E1357="Vente directe",K1357&lt;&gt;""),"Livrée",IF(J1357&lt;&gt;"","Confirmée","En attente"))))</f>
        <v/>
      </c>
      <c r="S1357" s="34">
        <f>IF(F1357="","",IFERROR(VLOOKUP(F1357,T_Produits,2,FALSE),""))</f>
        <v/>
      </c>
      <c r="T1357" s="40">
        <f>IF(F1357="","",IFERROR(1/(1/VLOOKUP(F1357,T_Produits,3,FALSE)),""))</f>
        <v/>
      </c>
      <c r="U1357" s="40">
        <f>IF(H1357&lt;&gt;"",H1357,T1357)</f>
        <v/>
      </c>
      <c r="V1357" s="40">
        <f>IF(OR(G1357="",U1357=""),"",G1357*U1357-N(I1357))</f>
        <v/>
      </c>
      <c r="W1357" s="39">
        <f>IF(D1357="","",IFERROR(VALUE(MID(D1357,LEN(D1357)-3,3)),""))</f>
        <v/>
      </c>
      <c r="X1357" s="33">
        <f>IF(W1357="","",P1357&amp;"|"&amp;W1357)</f>
        <v/>
      </c>
      <c r="Y1357" s="33">
        <f>IF(W1357="","",IF(P1357="À RENSEIGNER","GIC",P1357)&amp;"-"&amp;TEXT(W1357,"000"))</f>
        <v/>
      </c>
      <c r="Z1357" s="33">
        <f>IF(X1357="","",IFERROR(INDEX(Cl_nom,MATCH(X1357,Cl_cle,0)),"(client introuvable)"))</f>
        <v/>
      </c>
      <c r="AA1357" s="33">
        <f>IF(X1357="","",IFERROR(INDEX(Cl_quartier,MATCH(X1357,Cl_cle,0))&amp;"",""))</f>
        <v/>
      </c>
      <c r="AB1357" s="45">
        <f>IF(R1357&lt;&gt;"Livrée",0,IF(K1357&lt;&gt;"",K1357,C1357))</f>
        <v/>
      </c>
      <c r="AC1357" s="33">
        <f>IF(OR(C1357="",W1357=""),"",P1357&amp;"|"&amp;W1357&amp;"|"&amp;C1357&amp;"|"&amp;E1357)</f>
        <v/>
      </c>
      <c r="AD1357" s="39">
        <f>IF(AC1357="","",IF(COUNTIF(AC$6:AC1357,AC1357)=1,1,0))</f>
        <v/>
      </c>
      <c r="AE1357" s="39">
        <f>IF(AB1357=0,"",IF(COUNTIFS(X$6:X1357,X1357,AB$6:AB1357,AB1357)=1,1,0))</f>
        <v/>
      </c>
      <c r="AF1357" s="34">
        <f>IF(C1357="","",YEAR(C1357-WEEKDAY(C1357,2)+4)&amp;"-S"&amp;TEXT(INT((C1357-DATE(YEAR(C1357-WEEKDAY(C1357,2)+4),1,3)+WEEKDAY(DATE(YEAR(C1357-WEEKDAY(C1357,2)+4),1,3),2)+5)/7),"00"))</f>
        <v/>
      </c>
    </row>
    <row r="1358" ht="18" customHeight="1">
      <c r="A1358" s="39" t="n">
        <v>1353</v>
      </c>
      <c r="B1358" s="33">
        <f>IF(C1358="","",IF(P1358="À RENSEIGNER","GIC",P1358)&amp;"-C"&amp;TEXT(A1358,"00000"))</f>
        <v/>
      </c>
      <c r="C1358" s="32" t="n"/>
      <c r="D1358" s="36" t="n"/>
      <c r="E1358" s="36" t="n"/>
      <c r="F1358" s="36" t="n"/>
      <c r="G1358" s="42" t="n"/>
      <c r="H1358" s="37" t="n"/>
      <c r="I1358" s="37" t="n"/>
      <c r="J1358" s="32" t="n"/>
      <c r="K1358" s="32" t="n"/>
      <c r="L1358" s="43" t="n"/>
      <c r="M1358" s="36" t="n"/>
      <c r="N1358" s="44" t="n"/>
      <c r="O1358" s="36" t="n"/>
      <c r="P1358" s="33">
        <f>IF(C1358="","",Commercial_Id)</f>
        <v/>
      </c>
      <c r="Q1358" s="34">
        <f>IF(AC1358="","",IF(AD1358=1,"C"&amp;TEXT(SUM(AD$6:AD1358),"0000"),INDEX(Q$6:Q1357,MATCH(AC1358,AC$6:AC1357,0))))</f>
        <v/>
      </c>
      <c r="R1358" s="34">
        <f>IF(C1358="","",IF(L1358="☑ Oui","Annulée",IF(OR(E1358="Vente directe",K1358&lt;&gt;""),"Livrée",IF(J1358&lt;&gt;"","Confirmée","En attente"))))</f>
        <v/>
      </c>
      <c r="S1358" s="34">
        <f>IF(F1358="","",IFERROR(VLOOKUP(F1358,T_Produits,2,FALSE),""))</f>
        <v/>
      </c>
      <c r="T1358" s="40">
        <f>IF(F1358="","",IFERROR(1/(1/VLOOKUP(F1358,T_Produits,3,FALSE)),""))</f>
        <v/>
      </c>
      <c r="U1358" s="40">
        <f>IF(H1358&lt;&gt;"",H1358,T1358)</f>
        <v/>
      </c>
      <c r="V1358" s="40">
        <f>IF(OR(G1358="",U1358=""),"",G1358*U1358-N(I1358))</f>
        <v/>
      </c>
      <c r="W1358" s="39">
        <f>IF(D1358="","",IFERROR(VALUE(MID(D1358,LEN(D1358)-3,3)),""))</f>
        <v/>
      </c>
      <c r="X1358" s="33">
        <f>IF(W1358="","",P1358&amp;"|"&amp;W1358)</f>
        <v/>
      </c>
      <c r="Y1358" s="33">
        <f>IF(W1358="","",IF(P1358="À RENSEIGNER","GIC",P1358)&amp;"-"&amp;TEXT(W1358,"000"))</f>
        <v/>
      </c>
      <c r="Z1358" s="33">
        <f>IF(X1358="","",IFERROR(INDEX(Cl_nom,MATCH(X1358,Cl_cle,0)),"(client introuvable)"))</f>
        <v/>
      </c>
      <c r="AA1358" s="33">
        <f>IF(X1358="","",IFERROR(INDEX(Cl_quartier,MATCH(X1358,Cl_cle,0))&amp;"",""))</f>
        <v/>
      </c>
      <c r="AB1358" s="45">
        <f>IF(R1358&lt;&gt;"Livrée",0,IF(K1358&lt;&gt;"",K1358,C1358))</f>
        <v/>
      </c>
      <c r="AC1358" s="33">
        <f>IF(OR(C1358="",W1358=""),"",P1358&amp;"|"&amp;W1358&amp;"|"&amp;C1358&amp;"|"&amp;E1358)</f>
        <v/>
      </c>
      <c r="AD1358" s="39">
        <f>IF(AC1358="","",IF(COUNTIF(AC$6:AC1358,AC1358)=1,1,0))</f>
        <v/>
      </c>
      <c r="AE1358" s="39">
        <f>IF(AB1358=0,"",IF(COUNTIFS(X$6:X1358,X1358,AB$6:AB1358,AB1358)=1,1,0))</f>
        <v/>
      </c>
      <c r="AF1358" s="34">
        <f>IF(C1358="","",YEAR(C1358-WEEKDAY(C1358,2)+4)&amp;"-S"&amp;TEXT(INT((C1358-DATE(YEAR(C1358-WEEKDAY(C1358,2)+4),1,3)+WEEKDAY(DATE(YEAR(C1358-WEEKDAY(C1358,2)+4),1,3),2)+5)/7),"00"))</f>
        <v/>
      </c>
    </row>
    <row r="1359" ht="18" customHeight="1">
      <c r="A1359" s="39" t="n">
        <v>1354</v>
      </c>
      <c r="B1359" s="33">
        <f>IF(C1359="","",IF(P1359="À RENSEIGNER","GIC",P1359)&amp;"-C"&amp;TEXT(A1359,"00000"))</f>
        <v/>
      </c>
      <c r="C1359" s="32" t="n"/>
      <c r="D1359" s="36" t="n"/>
      <c r="E1359" s="36" t="n"/>
      <c r="F1359" s="36" t="n"/>
      <c r="G1359" s="42" t="n"/>
      <c r="H1359" s="37" t="n"/>
      <c r="I1359" s="37" t="n"/>
      <c r="J1359" s="32" t="n"/>
      <c r="K1359" s="32" t="n"/>
      <c r="L1359" s="43" t="n"/>
      <c r="M1359" s="36" t="n"/>
      <c r="N1359" s="44" t="n"/>
      <c r="O1359" s="36" t="n"/>
      <c r="P1359" s="33">
        <f>IF(C1359="","",Commercial_Id)</f>
        <v/>
      </c>
      <c r="Q1359" s="34">
        <f>IF(AC1359="","",IF(AD1359=1,"C"&amp;TEXT(SUM(AD$6:AD1359),"0000"),INDEX(Q$6:Q1358,MATCH(AC1359,AC$6:AC1358,0))))</f>
        <v/>
      </c>
      <c r="R1359" s="34">
        <f>IF(C1359="","",IF(L1359="☑ Oui","Annulée",IF(OR(E1359="Vente directe",K1359&lt;&gt;""),"Livrée",IF(J1359&lt;&gt;"","Confirmée","En attente"))))</f>
        <v/>
      </c>
      <c r="S1359" s="34">
        <f>IF(F1359="","",IFERROR(VLOOKUP(F1359,T_Produits,2,FALSE),""))</f>
        <v/>
      </c>
      <c r="T1359" s="40">
        <f>IF(F1359="","",IFERROR(1/(1/VLOOKUP(F1359,T_Produits,3,FALSE)),""))</f>
        <v/>
      </c>
      <c r="U1359" s="40">
        <f>IF(H1359&lt;&gt;"",H1359,T1359)</f>
        <v/>
      </c>
      <c r="V1359" s="40">
        <f>IF(OR(G1359="",U1359=""),"",G1359*U1359-N(I1359))</f>
        <v/>
      </c>
      <c r="W1359" s="39">
        <f>IF(D1359="","",IFERROR(VALUE(MID(D1359,LEN(D1359)-3,3)),""))</f>
        <v/>
      </c>
      <c r="X1359" s="33">
        <f>IF(W1359="","",P1359&amp;"|"&amp;W1359)</f>
        <v/>
      </c>
      <c r="Y1359" s="33">
        <f>IF(W1359="","",IF(P1359="À RENSEIGNER","GIC",P1359)&amp;"-"&amp;TEXT(W1359,"000"))</f>
        <v/>
      </c>
      <c r="Z1359" s="33">
        <f>IF(X1359="","",IFERROR(INDEX(Cl_nom,MATCH(X1359,Cl_cle,0)),"(client introuvable)"))</f>
        <v/>
      </c>
      <c r="AA1359" s="33">
        <f>IF(X1359="","",IFERROR(INDEX(Cl_quartier,MATCH(X1359,Cl_cle,0))&amp;"",""))</f>
        <v/>
      </c>
      <c r="AB1359" s="45">
        <f>IF(R1359&lt;&gt;"Livrée",0,IF(K1359&lt;&gt;"",K1359,C1359))</f>
        <v/>
      </c>
      <c r="AC1359" s="33">
        <f>IF(OR(C1359="",W1359=""),"",P1359&amp;"|"&amp;W1359&amp;"|"&amp;C1359&amp;"|"&amp;E1359)</f>
        <v/>
      </c>
      <c r="AD1359" s="39">
        <f>IF(AC1359="","",IF(COUNTIF(AC$6:AC1359,AC1359)=1,1,0))</f>
        <v/>
      </c>
      <c r="AE1359" s="39">
        <f>IF(AB1359=0,"",IF(COUNTIFS(X$6:X1359,X1359,AB$6:AB1359,AB1359)=1,1,0))</f>
        <v/>
      </c>
      <c r="AF1359" s="34">
        <f>IF(C1359="","",YEAR(C1359-WEEKDAY(C1359,2)+4)&amp;"-S"&amp;TEXT(INT((C1359-DATE(YEAR(C1359-WEEKDAY(C1359,2)+4),1,3)+WEEKDAY(DATE(YEAR(C1359-WEEKDAY(C1359,2)+4),1,3),2)+5)/7),"00"))</f>
        <v/>
      </c>
    </row>
    <row r="1360" ht="18" customHeight="1">
      <c r="A1360" s="39" t="n">
        <v>1355</v>
      </c>
      <c r="B1360" s="33">
        <f>IF(C1360="","",IF(P1360="À RENSEIGNER","GIC",P1360)&amp;"-C"&amp;TEXT(A1360,"00000"))</f>
        <v/>
      </c>
      <c r="C1360" s="32" t="n"/>
      <c r="D1360" s="36" t="n"/>
      <c r="E1360" s="36" t="n"/>
      <c r="F1360" s="36" t="n"/>
      <c r="G1360" s="42" t="n"/>
      <c r="H1360" s="37" t="n"/>
      <c r="I1360" s="37" t="n"/>
      <c r="J1360" s="32" t="n"/>
      <c r="K1360" s="32" t="n"/>
      <c r="L1360" s="43" t="n"/>
      <c r="M1360" s="36" t="n"/>
      <c r="N1360" s="44" t="n"/>
      <c r="O1360" s="36" t="n"/>
      <c r="P1360" s="33">
        <f>IF(C1360="","",Commercial_Id)</f>
        <v/>
      </c>
      <c r="Q1360" s="34">
        <f>IF(AC1360="","",IF(AD1360=1,"C"&amp;TEXT(SUM(AD$6:AD1360),"0000"),INDEX(Q$6:Q1359,MATCH(AC1360,AC$6:AC1359,0))))</f>
        <v/>
      </c>
      <c r="R1360" s="34">
        <f>IF(C1360="","",IF(L1360="☑ Oui","Annulée",IF(OR(E1360="Vente directe",K1360&lt;&gt;""),"Livrée",IF(J1360&lt;&gt;"","Confirmée","En attente"))))</f>
        <v/>
      </c>
      <c r="S1360" s="34">
        <f>IF(F1360="","",IFERROR(VLOOKUP(F1360,T_Produits,2,FALSE),""))</f>
        <v/>
      </c>
      <c r="T1360" s="40">
        <f>IF(F1360="","",IFERROR(1/(1/VLOOKUP(F1360,T_Produits,3,FALSE)),""))</f>
        <v/>
      </c>
      <c r="U1360" s="40">
        <f>IF(H1360&lt;&gt;"",H1360,T1360)</f>
        <v/>
      </c>
      <c r="V1360" s="40">
        <f>IF(OR(G1360="",U1360=""),"",G1360*U1360-N(I1360))</f>
        <v/>
      </c>
      <c r="W1360" s="39">
        <f>IF(D1360="","",IFERROR(VALUE(MID(D1360,LEN(D1360)-3,3)),""))</f>
        <v/>
      </c>
      <c r="X1360" s="33">
        <f>IF(W1360="","",P1360&amp;"|"&amp;W1360)</f>
        <v/>
      </c>
      <c r="Y1360" s="33">
        <f>IF(W1360="","",IF(P1360="À RENSEIGNER","GIC",P1360)&amp;"-"&amp;TEXT(W1360,"000"))</f>
        <v/>
      </c>
      <c r="Z1360" s="33">
        <f>IF(X1360="","",IFERROR(INDEX(Cl_nom,MATCH(X1360,Cl_cle,0)),"(client introuvable)"))</f>
        <v/>
      </c>
      <c r="AA1360" s="33">
        <f>IF(X1360="","",IFERROR(INDEX(Cl_quartier,MATCH(X1360,Cl_cle,0))&amp;"",""))</f>
        <v/>
      </c>
      <c r="AB1360" s="45">
        <f>IF(R1360&lt;&gt;"Livrée",0,IF(K1360&lt;&gt;"",K1360,C1360))</f>
        <v/>
      </c>
      <c r="AC1360" s="33">
        <f>IF(OR(C1360="",W1360=""),"",P1360&amp;"|"&amp;W1360&amp;"|"&amp;C1360&amp;"|"&amp;E1360)</f>
        <v/>
      </c>
      <c r="AD1360" s="39">
        <f>IF(AC1360="","",IF(COUNTIF(AC$6:AC1360,AC1360)=1,1,0))</f>
        <v/>
      </c>
      <c r="AE1360" s="39">
        <f>IF(AB1360=0,"",IF(COUNTIFS(X$6:X1360,X1360,AB$6:AB1360,AB1360)=1,1,0))</f>
        <v/>
      </c>
      <c r="AF1360" s="34">
        <f>IF(C1360="","",YEAR(C1360-WEEKDAY(C1360,2)+4)&amp;"-S"&amp;TEXT(INT((C1360-DATE(YEAR(C1360-WEEKDAY(C1360,2)+4),1,3)+WEEKDAY(DATE(YEAR(C1360-WEEKDAY(C1360,2)+4),1,3),2)+5)/7),"00"))</f>
        <v/>
      </c>
    </row>
    <row r="1361" ht="18" customHeight="1">
      <c r="A1361" s="39" t="n">
        <v>1356</v>
      </c>
      <c r="B1361" s="33">
        <f>IF(C1361="","",IF(P1361="À RENSEIGNER","GIC",P1361)&amp;"-C"&amp;TEXT(A1361,"00000"))</f>
        <v/>
      </c>
      <c r="C1361" s="32" t="n"/>
      <c r="D1361" s="36" t="n"/>
      <c r="E1361" s="36" t="n"/>
      <c r="F1361" s="36" t="n"/>
      <c r="G1361" s="42" t="n"/>
      <c r="H1361" s="37" t="n"/>
      <c r="I1361" s="37" t="n"/>
      <c r="J1361" s="32" t="n"/>
      <c r="K1361" s="32" t="n"/>
      <c r="L1361" s="43" t="n"/>
      <c r="M1361" s="36" t="n"/>
      <c r="N1361" s="44" t="n"/>
      <c r="O1361" s="36" t="n"/>
      <c r="P1361" s="33">
        <f>IF(C1361="","",Commercial_Id)</f>
        <v/>
      </c>
      <c r="Q1361" s="34">
        <f>IF(AC1361="","",IF(AD1361=1,"C"&amp;TEXT(SUM(AD$6:AD1361),"0000"),INDEX(Q$6:Q1360,MATCH(AC1361,AC$6:AC1360,0))))</f>
        <v/>
      </c>
      <c r="R1361" s="34">
        <f>IF(C1361="","",IF(L1361="☑ Oui","Annulée",IF(OR(E1361="Vente directe",K1361&lt;&gt;""),"Livrée",IF(J1361&lt;&gt;"","Confirmée","En attente"))))</f>
        <v/>
      </c>
      <c r="S1361" s="34">
        <f>IF(F1361="","",IFERROR(VLOOKUP(F1361,T_Produits,2,FALSE),""))</f>
        <v/>
      </c>
      <c r="T1361" s="40">
        <f>IF(F1361="","",IFERROR(1/(1/VLOOKUP(F1361,T_Produits,3,FALSE)),""))</f>
        <v/>
      </c>
      <c r="U1361" s="40">
        <f>IF(H1361&lt;&gt;"",H1361,T1361)</f>
        <v/>
      </c>
      <c r="V1361" s="40">
        <f>IF(OR(G1361="",U1361=""),"",G1361*U1361-N(I1361))</f>
        <v/>
      </c>
      <c r="W1361" s="39">
        <f>IF(D1361="","",IFERROR(VALUE(MID(D1361,LEN(D1361)-3,3)),""))</f>
        <v/>
      </c>
      <c r="X1361" s="33">
        <f>IF(W1361="","",P1361&amp;"|"&amp;W1361)</f>
        <v/>
      </c>
      <c r="Y1361" s="33">
        <f>IF(W1361="","",IF(P1361="À RENSEIGNER","GIC",P1361)&amp;"-"&amp;TEXT(W1361,"000"))</f>
        <v/>
      </c>
      <c r="Z1361" s="33">
        <f>IF(X1361="","",IFERROR(INDEX(Cl_nom,MATCH(X1361,Cl_cle,0)),"(client introuvable)"))</f>
        <v/>
      </c>
      <c r="AA1361" s="33">
        <f>IF(X1361="","",IFERROR(INDEX(Cl_quartier,MATCH(X1361,Cl_cle,0))&amp;"",""))</f>
        <v/>
      </c>
      <c r="AB1361" s="45">
        <f>IF(R1361&lt;&gt;"Livrée",0,IF(K1361&lt;&gt;"",K1361,C1361))</f>
        <v/>
      </c>
      <c r="AC1361" s="33">
        <f>IF(OR(C1361="",W1361=""),"",P1361&amp;"|"&amp;W1361&amp;"|"&amp;C1361&amp;"|"&amp;E1361)</f>
        <v/>
      </c>
      <c r="AD1361" s="39">
        <f>IF(AC1361="","",IF(COUNTIF(AC$6:AC1361,AC1361)=1,1,0))</f>
        <v/>
      </c>
      <c r="AE1361" s="39">
        <f>IF(AB1361=0,"",IF(COUNTIFS(X$6:X1361,X1361,AB$6:AB1361,AB1361)=1,1,0))</f>
        <v/>
      </c>
      <c r="AF1361" s="34">
        <f>IF(C1361="","",YEAR(C1361-WEEKDAY(C1361,2)+4)&amp;"-S"&amp;TEXT(INT((C1361-DATE(YEAR(C1361-WEEKDAY(C1361,2)+4),1,3)+WEEKDAY(DATE(YEAR(C1361-WEEKDAY(C1361,2)+4),1,3),2)+5)/7),"00"))</f>
        <v/>
      </c>
    </row>
    <row r="1362" ht="18" customHeight="1">
      <c r="A1362" s="39" t="n">
        <v>1357</v>
      </c>
      <c r="B1362" s="33">
        <f>IF(C1362="","",IF(P1362="À RENSEIGNER","GIC",P1362)&amp;"-C"&amp;TEXT(A1362,"00000"))</f>
        <v/>
      </c>
      <c r="C1362" s="32" t="n"/>
      <c r="D1362" s="36" t="n"/>
      <c r="E1362" s="36" t="n"/>
      <c r="F1362" s="36" t="n"/>
      <c r="G1362" s="42" t="n"/>
      <c r="H1362" s="37" t="n"/>
      <c r="I1362" s="37" t="n"/>
      <c r="J1362" s="32" t="n"/>
      <c r="K1362" s="32" t="n"/>
      <c r="L1362" s="43" t="n"/>
      <c r="M1362" s="36" t="n"/>
      <c r="N1362" s="44" t="n"/>
      <c r="O1362" s="36" t="n"/>
      <c r="P1362" s="33">
        <f>IF(C1362="","",Commercial_Id)</f>
        <v/>
      </c>
      <c r="Q1362" s="34">
        <f>IF(AC1362="","",IF(AD1362=1,"C"&amp;TEXT(SUM(AD$6:AD1362),"0000"),INDEX(Q$6:Q1361,MATCH(AC1362,AC$6:AC1361,0))))</f>
        <v/>
      </c>
      <c r="R1362" s="34">
        <f>IF(C1362="","",IF(L1362="☑ Oui","Annulée",IF(OR(E1362="Vente directe",K1362&lt;&gt;""),"Livrée",IF(J1362&lt;&gt;"","Confirmée","En attente"))))</f>
        <v/>
      </c>
      <c r="S1362" s="34">
        <f>IF(F1362="","",IFERROR(VLOOKUP(F1362,T_Produits,2,FALSE),""))</f>
        <v/>
      </c>
      <c r="T1362" s="40">
        <f>IF(F1362="","",IFERROR(1/(1/VLOOKUP(F1362,T_Produits,3,FALSE)),""))</f>
        <v/>
      </c>
      <c r="U1362" s="40">
        <f>IF(H1362&lt;&gt;"",H1362,T1362)</f>
        <v/>
      </c>
      <c r="V1362" s="40">
        <f>IF(OR(G1362="",U1362=""),"",G1362*U1362-N(I1362))</f>
        <v/>
      </c>
      <c r="W1362" s="39">
        <f>IF(D1362="","",IFERROR(VALUE(MID(D1362,LEN(D1362)-3,3)),""))</f>
        <v/>
      </c>
      <c r="X1362" s="33">
        <f>IF(W1362="","",P1362&amp;"|"&amp;W1362)</f>
        <v/>
      </c>
      <c r="Y1362" s="33">
        <f>IF(W1362="","",IF(P1362="À RENSEIGNER","GIC",P1362)&amp;"-"&amp;TEXT(W1362,"000"))</f>
        <v/>
      </c>
      <c r="Z1362" s="33">
        <f>IF(X1362="","",IFERROR(INDEX(Cl_nom,MATCH(X1362,Cl_cle,0)),"(client introuvable)"))</f>
        <v/>
      </c>
      <c r="AA1362" s="33">
        <f>IF(X1362="","",IFERROR(INDEX(Cl_quartier,MATCH(X1362,Cl_cle,0))&amp;"",""))</f>
        <v/>
      </c>
      <c r="AB1362" s="45">
        <f>IF(R1362&lt;&gt;"Livrée",0,IF(K1362&lt;&gt;"",K1362,C1362))</f>
        <v/>
      </c>
      <c r="AC1362" s="33">
        <f>IF(OR(C1362="",W1362=""),"",P1362&amp;"|"&amp;W1362&amp;"|"&amp;C1362&amp;"|"&amp;E1362)</f>
        <v/>
      </c>
      <c r="AD1362" s="39">
        <f>IF(AC1362="","",IF(COUNTIF(AC$6:AC1362,AC1362)=1,1,0))</f>
        <v/>
      </c>
      <c r="AE1362" s="39">
        <f>IF(AB1362=0,"",IF(COUNTIFS(X$6:X1362,X1362,AB$6:AB1362,AB1362)=1,1,0))</f>
        <v/>
      </c>
      <c r="AF1362" s="34">
        <f>IF(C1362="","",YEAR(C1362-WEEKDAY(C1362,2)+4)&amp;"-S"&amp;TEXT(INT((C1362-DATE(YEAR(C1362-WEEKDAY(C1362,2)+4),1,3)+WEEKDAY(DATE(YEAR(C1362-WEEKDAY(C1362,2)+4),1,3),2)+5)/7),"00"))</f>
        <v/>
      </c>
    </row>
    <row r="1363" ht="18" customHeight="1">
      <c r="A1363" s="39" t="n">
        <v>1358</v>
      </c>
      <c r="B1363" s="33">
        <f>IF(C1363="","",IF(P1363="À RENSEIGNER","GIC",P1363)&amp;"-C"&amp;TEXT(A1363,"00000"))</f>
        <v/>
      </c>
      <c r="C1363" s="32" t="n"/>
      <c r="D1363" s="36" t="n"/>
      <c r="E1363" s="36" t="n"/>
      <c r="F1363" s="36" t="n"/>
      <c r="G1363" s="42" t="n"/>
      <c r="H1363" s="37" t="n"/>
      <c r="I1363" s="37" t="n"/>
      <c r="J1363" s="32" t="n"/>
      <c r="K1363" s="32" t="n"/>
      <c r="L1363" s="43" t="n"/>
      <c r="M1363" s="36" t="n"/>
      <c r="N1363" s="44" t="n"/>
      <c r="O1363" s="36" t="n"/>
      <c r="P1363" s="33">
        <f>IF(C1363="","",Commercial_Id)</f>
        <v/>
      </c>
      <c r="Q1363" s="34">
        <f>IF(AC1363="","",IF(AD1363=1,"C"&amp;TEXT(SUM(AD$6:AD1363),"0000"),INDEX(Q$6:Q1362,MATCH(AC1363,AC$6:AC1362,0))))</f>
        <v/>
      </c>
      <c r="R1363" s="34">
        <f>IF(C1363="","",IF(L1363="☑ Oui","Annulée",IF(OR(E1363="Vente directe",K1363&lt;&gt;""),"Livrée",IF(J1363&lt;&gt;"","Confirmée","En attente"))))</f>
        <v/>
      </c>
      <c r="S1363" s="34">
        <f>IF(F1363="","",IFERROR(VLOOKUP(F1363,T_Produits,2,FALSE),""))</f>
        <v/>
      </c>
      <c r="T1363" s="40">
        <f>IF(F1363="","",IFERROR(1/(1/VLOOKUP(F1363,T_Produits,3,FALSE)),""))</f>
        <v/>
      </c>
      <c r="U1363" s="40">
        <f>IF(H1363&lt;&gt;"",H1363,T1363)</f>
        <v/>
      </c>
      <c r="V1363" s="40">
        <f>IF(OR(G1363="",U1363=""),"",G1363*U1363-N(I1363))</f>
        <v/>
      </c>
      <c r="W1363" s="39">
        <f>IF(D1363="","",IFERROR(VALUE(MID(D1363,LEN(D1363)-3,3)),""))</f>
        <v/>
      </c>
      <c r="X1363" s="33">
        <f>IF(W1363="","",P1363&amp;"|"&amp;W1363)</f>
        <v/>
      </c>
      <c r="Y1363" s="33">
        <f>IF(W1363="","",IF(P1363="À RENSEIGNER","GIC",P1363)&amp;"-"&amp;TEXT(W1363,"000"))</f>
        <v/>
      </c>
      <c r="Z1363" s="33">
        <f>IF(X1363="","",IFERROR(INDEX(Cl_nom,MATCH(X1363,Cl_cle,0)),"(client introuvable)"))</f>
        <v/>
      </c>
      <c r="AA1363" s="33">
        <f>IF(X1363="","",IFERROR(INDEX(Cl_quartier,MATCH(X1363,Cl_cle,0))&amp;"",""))</f>
        <v/>
      </c>
      <c r="AB1363" s="45">
        <f>IF(R1363&lt;&gt;"Livrée",0,IF(K1363&lt;&gt;"",K1363,C1363))</f>
        <v/>
      </c>
      <c r="AC1363" s="33">
        <f>IF(OR(C1363="",W1363=""),"",P1363&amp;"|"&amp;W1363&amp;"|"&amp;C1363&amp;"|"&amp;E1363)</f>
        <v/>
      </c>
      <c r="AD1363" s="39">
        <f>IF(AC1363="","",IF(COUNTIF(AC$6:AC1363,AC1363)=1,1,0))</f>
        <v/>
      </c>
      <c r="AE1363" s="39">
        <f>IF(AB1363=0,"",IF(COUNTIFS(X$6:X1363,X1363,AB$6:AB1363,AB1363)=1,1,0))</f>
        <v/>
      </c>
      <c r="AF1363" s="34">
        <f>IF(C1363="","",YEAR(C1363-WEEKDAY(C1363,2)+4)&amp;"-S"&amp;TEXT(INT((C1363-DATE(YEAR(C1363-WEEKDAY(C1363,2)+4),1,3)+WEEKDAY(DATE(YEAR(C1363-WEEKDAY(C1363,2)+4),1,3),2)+5)/7),"00"))</f>
        <v/>
      </c>
    </row>
    <row r="1364" ht="18" customHeight="1">
      <c r="A1364" s="39" t="n">
        <v>1359</v>
      </c>
      <c r="B1364" s="33">
        <f>IF(C1364="","",IF(P1364="À RENSEIGNER","GIC",P1364)&amp;"-C"&amp;TEXT(A1364,"00000"))</f>
        <v/>
      </c>
      <c r="C1364" s="32" t="n"/>
      <c r="D1364" s="36" t="n"/>
      <c r="E1364" s="36" t="n"/>
      <c r="F1364" s="36" t="n"/>
      <c r="G1364" s="42" t="n"/>
      <c r="H1364" s="37" t="n"/>
      <c r="I1364" s="37" t="n"/>
      <c r="J1364" s="32" t="n"/>
      <c r="K1364" s="32" t="n"/>
      <c r="L1364" s="43" t="n"/>
      <c r="M1364" s="36" t="n"/>
      <c r="N1364" s="44" t="n"/>
      <c r="O1364" s="36" t="n"/>
      <c r="P1364" s="33">
        <f>IF(C1364="","",Commercial_Id)</f>
        <v/>
      </c>
      <c r="Q1364" s="34">
        <f>IF(AC1364="","",IF(AD1364=1,"C"&amp;TEXT(SUM(AD$6:AD1364),"0000"),INDEX(Q$6:Q1363,MATCH(AC1364,AC$6:AC1363,0))))</f>
        <v/>
      </c>
      <c r="R1364" s="34">
        <f>IF(C1364="","",IF(L1364="☑ Oui","Annulée",IF(OR(E1364="Vente directe",K1364&lt;&gt;""),"Livrée",IF(J1364&lt;&gt;"","Confirmée","En attente"))))</f>
        <v/>
      </c>
      <c r="S1364" s="34">
        <f>IF(F1364="","",IFERROR(VLOOKUP(F1364,T_Produits,2,FALSE),""))</f>
        <v/>
      </c>
      <c r="T1364" s="40">
        <f>IF(F1364="","",IFERROR(1/(1/VLOOKUP(F1364,T_Produits,3,FALSE)),""))</f>
        <v/>
      </c>
      <c r="U1364" s="40">
        <f>IF(H1364&lt;&gt;"",H1364,T1364)</f>
        <v/>
      </c>
      <c r="V1364" s="40">
        <f>IF(OR(G1364="",U1364=""),"",G1364*U1364-N(I1364))</f>
        <v/>
      </c>
      <c r="W1364" s="39">
        <f>IF(D1364="","",IFERROR(VALUE(MID(D1364,LEN(D1364)-3,3)),""))</f>
        <v/>
      </c>
      <c r="X1364" s="33">
        <f>IF(W1364="","",P1364&amp;"|"&amp;W1364)</f>
        <v/>
      </c>
      <c r="Y1364" s="33">
        <f>IF(W1364="","",IF(P1364="À RENSEIGNER","GIC",P1364)&amp;"-"&amp;TEXT(W1364,"000"))</f>
        <v/>
      </c>
      <c r="Z1364" s="33">
        <f>IF(X1364="","",IFERROR(INDEX(Cl_nom,MATCH(X1364,Cl_cle,0)),"(client introuvable)"))</f>
        <v/>
      </c>
      <c r="AA1364" s="33">
        <f>IF(X1364="","",IFERROR(INDEX(Cl_quartier,MATCH(X1364,Cl_cle,0))&amp;"",""))</f>
        <v/>
      </c>
      <c r="AB1364" s="45">
        <f>IF(R1364&lt;&gt;"Livrée",0,IF(K1364&lt;&gt;"",K1364,C1364))</f>
        <v/>
      </c>
      <c r="AC1364" s="33">
        <f>IF(OR(C1364="",W1364=""),"",P1364&amp;"|"&amp;W1364&amp;"|"&amp;C1364&amp;"|"&amp;E1364)</f>
        <v/>
      </c>
      <c r="AD1364" s="39">
        <f>IF(AC1364="","",IF(COUNTIF(AC$6:AC1364,AC1364)=1,1,0))</f>
        <v/>
      </c>
      <c r="AE1364" s="39">
        <f>IF(AB1364=0,"",IF(COUNTIFS(X$6:X1364,X1364,AB$6:AB1364,AB1364)=1,1,0))</f>
        <v/>
      </c>
      <c r="AF1364" s="34">
        <f>IF(C1364="","",YEAR(C1364-WEEKDAY(C1364,2)+4)&amp;"-S"&amp;TEXT(INT((C1364-DATE(YEAR(C1364-WEEKDAY(C1364,2)+4),1,3)+WEEKDAY(DATE(YEAR(C1364-WEEKDAY(C1364,2)+4),1,3),2)+5)/7),"00"))</f>
        <v/>
      </c>
    </row>
    <row r="1365" ht="18" customHeight="1">
      <c r="A1365" s="39" t="n">
        <v>1360</v>
      </c>
      <c r="B1365" s="33">
        <f>IF(C1365="","",IF(P1365="À RENSEIGNER","GIC",P1365)&amp;"-C"&amp;TEXT(A1365,"00000"))</f>
        <v/>
      </c>
      <c r="C1365" s="32" t="n"/>
      <c r="D1365" s="36" t="n"/>
      <c r="E1365" s="36" t="n"/>
      <c r="F1365" s="36" t="n"/>
      <c r="G1365" s="42" t="n"/>
      <c r="H1365" s="37" t="n"/>
      <c r="I1365" s="37" t="n"/>
      <c r="J1365" s="32" t="n"/>
      <c r="K1365" s="32" t="n"/>
      <c r="L1365" s="43" t="n"/>
      <c r="M1365" s="36" t="n"/>
      <c r="N1365" s="44" t="n"/>
      <c r="O1365" s="36" t="n"/>
      <c r="P1365" s="33">
        <f>IF(C1365="","",Commercial_Id)</f>
        <v/>
      </c>
      <c r="Q1365" s="34">
        <f>IF(AC1365="","",IF(AD1365=1,"C"&amp;TEXT(SUM(AD$6:AD1365),"0000"),INDEX(Q$6:Q1364,MATCH(AC1365,AC$6:AC1364,0))))</f>
        <v/>
      </c>
      <c r="R1365" s="34">
        <f>IF(C1365="","",IF(L1365="☑ Oui","Annulée",IF(OR(E1365="Vente directe",K1365&lt;&gt;""),"Livrée",IF(J1365&lt;&gt;"","Confirmée","En attente"))))</f>
        <v/>
      </c>
      <c r="S1365" s="34">
        <f>IF(F1365="","",IFERROR(VLOOKUP(F1365,T_Produits,2,FALSE),""))</f>
        <v/>
      </c>
      <c r="T1365" s="40">
        <f>IF(F1365="","",IFERROR(1/(1/VLOOKUP(F1365,T_Produits,3,FALSE)),""))</f>
        <v/>
      </c>
      <c r="U1365" s="40">
        <f>IF(H1365&lt;&gt;"",H1365,T1365)</f>
        <v/>
      </c>
      <c r="V1365" s="40">
        <f>IF(OR(G1365="",U1365=""),"",G1365*U1365-N(I1365))</f>
        <v/>
      </c>
      <c r="W1365" s="39">
        <f>IF(D1365="","",IFERROR(VALUE(MID(D1365,LEN(D1365)-3,3)),""))</f>
        <v/>
      </c>
      <c r="X1365" s="33">
        <f>IF(W1365="","",P1365&amp;"|"&amp;W1365)</f>
        <v/>
      </c>
      <c r="Y1365" s="33">
        <f>IF(W1365="","",IF(P1365="À RENSEIGNER","GIC",P1365)&amp;"-"&amp;TEXT(W1365,"000"))</f>
        <v/>
      </c>
      <c r="Z1365" s="33">
        <f>IF(X1365="","",IFERROR(INDEX(Cl_nom,MATCH(X1365,Cl_cle,0)),"(client introuvable)"))</f>
        <v/>
      </c>
      <c r="AA1365" s="33">
        <f>IF(X1365="","",IFERROR(INDEX(Cl_quartier,MATCH(X1365,Cl_cle,0))&amp;"",""))</f>
        <v/>
      </c>
      <c r="AB1365" s="45">
        <f>IF(R1365&lt;&gt;"Livrée",0,IF(K1365&lt;&gt;"",K1365,C1365))</f>
        <v/>
      </c>
      <c r="AC1365" s="33">
        <f>IF(OR(C1365="",W1365=""),"",P1365&amp;"|"&amp;W1365&amp;"|"&amp;C1365&amp;"|"&amp;E1365)</f>
        <v/>
      </c>
      <c r="AD1365" s="39">
        <f>IF(AC1365="","",IF(COUNTIF(AC$6:AC1365,AC1365)=1,1,0))</f>
        <v/>
      </c>
      <c r="AE1365" s="39">
        <f>IF(AB1365=0,"",IF(COUNTIFS(X$6:X1365,X1365,AB$6:AB1365,AB1365)=1,1,0))</f>
        <v/>
      </c>
      <c r="AF1365" s="34">
        <f>IF(C1365="","",YEAR(C1365-WEEKDAY(C1365,2)+4)&amp;"-S"&amp;TEXT(INT((C1365-DATE(YEAR(C1365-WEEKDAY(C1365,2)+4),1,3)+WEEKDAY(DATE(YEAR(C1365-WEEKDAY(C1365,2)+4),1,3),2)+5)/7),"00"))</f>
        <v/>
      </c>
    </row>
    <row r="1366" ht="18" customHeight="1">
      <c r="A1366" s="39" t="n">
        <v>1361</v>
      </c>
      <c r="B1366" s="33">
        <f>IF(C1366="","",IF(P1366="À RENSEIGNER","GIC",P1366)&amp;"-C"&amp;TEXT(A1366,"00000"))</f>
        <v/>
      </c>
      <c r="C1366" s="32" t="n"/>
      <c r="D1366" s="36" t="n"/>
      <c r="E1366" s="36" t="n"/>
      <c r="F1366" s="36" t="n"/>
      <c r="G1366" s="42" t="n"/>
      <c r="H1366" s="37" t="n"/>
      <c r="I1366" s="37" t="n"/>
      <c r="J1366" s="32" t="n"/>
      <c r="K1366" s="32" t="n"/>
      <c r="L1366" s="43" t="n"/>
      <c r="M1366" s="36" t="n"/>
      <c r="N1366" s="44" t="n"/>
      <c r="O1366" s="36" t="n"/>
      <c r="P1366" s="33">
        <f>IF(C1366="","",Commercial_Id)</f>
        <v/>
      </c>
      <c r="Q1366" s="34">
        <f>IF(AC1366="","",IF(AD1366=1,"C"&amp;TEXT(SUM(AD$6:AD1366),"0000"),INDEX(Q$6:Q1365,MATCH(AC1366,AC$6:AC1365,0))))</f>
        <v/>
      </c>
      <c r="R1366" s="34">
        <f>IF(C1366="","",IF(L1366="☑ Oui","Annulée",IF(OR(E1366="Vente directe",K1366&lt;&gt;""),"Livrée",IF(J1366&lt;&gt;"","Confirmée","En attente"))))</f>
        <v/>
      </c>
      <c r="S1366" s="34">
        <f>IF(F1366="","",IFERROR(VLOOKUP(F1366,T_Produits,2,FALSE),""))</f>
        <v/>
      </c>
      <c r="T1366" s="40">
        <f>IF(F1366="","",IFERROR(1/(1/VLOOKUP(F1366,T_Produits,3,FALSE)),""))</f>
        <v/>
      </c>
      <c r="U1366" s="40">
        <f>IF(H1366&lt;&gt;"",H1366,T1366)</f>
        <v/>
      </c>
      <c r="V1366" s="40">
        <f>IF(OR(G1366="",U1366=""),"",G1366*U1366-N(I1366))</f>
        <v/>
      </c>
      <c r="W1366" s="39">
        <f>IF(D1366="","",IFERROR(VALUE(MID(D1366,LEN(D1366)-3,3)),""))</f>
        <v/>
      </c>
      <c r="X1366" s="33">
        <f>IF(W1366="","",P1366&amp;"|"&amp;W1366)</f>
        <v/>
      </c>
      <c r="Y1366" s="33">
        <f>IF(W1366="","",IF(P1366="À RENSEIGNER","GIC",P1366)&amp;"-"&amp;TEXT(W1366,"000"))</f>
        <v/>
      </c>
      <c r="Z1366" s="33">
        <f>IF(X1366="","",IFERROR(INDEX(Cl_nom,MATCH(X1366,Cl_cle,0)),"(client introuvable)"))</f>
        <v/>
      </c>
      <c r="AA1366" s="33">
        <f>IF(X1366="","",IFERROR(INDEX(Cl_quartier,MATCH(X1366,Cl_cle,0))&amp;"",""))</f>
        <v/>
      </c>
      <c r="AB1366" s="45">
        <f>IF(R1366&lt;&gt;"Livrée",0,IF(K1366&lt;&gt;"",K1366,C1366))</f>
        <v/>
      </c>
      <c r="AC1366" s="33">
        <f>IF(OR(C1366="",W1366=""),"",P1366&amp;"|"&amp;W1366&amp;"|"&amp;C1366&amp;"|"&amp;E1366)</f>
        <v/>
      </c>
      <c r="AD1366" s="39">
        <f>IF(AC1366="","",IF(COUNTIF(AC$6:AC1366,AC1366)=1,1,0))</f>
        <v/>
      </c>
      <c r="AE1366" s="39">
        <f>IF(AB1366=0,"",IF(COUNTIFS(X$6:X1366,X1366,AB$6:AB1366,AB1366)=1,1,0))</f>
        <v/>
      </c>
      <c r="AF1366" s="34">
        <f>IF(C1366="","",YEAR(C1366-WEEKDAY(C1366,2)+4)&amp;"-S"&amp;TEXT(INT((C1366-DATE(YEAR(C1366-WEEKDAY(C1366,2)+4),1,3)+WEEKDAY(DATE(YEAR(C1366-WEEKDAY(C1366,2)+4),1,3),2)+5)/7),"00"))</f>
        <v/>
      </c>
    </row>
    <row r="1367" ht="18" customHeight="1">
      <c r="A1367" s="39" t="n">
        <v>1362</v>
      </c>
      <c r="B1367" s="33">
        <f>IF(C1367="","",IF(P1367="À RENSEIGNER","GIC",P1367)&amp;"-C"&amp;TEXT(A1367,"00000"))</f>
        <v/>
      </c>
      <c r="C1367" s="32" t="n"/>
      <c r="D1367" s="36" t="n"/>
      <c r="E1367" s="36" t="n"/>
      <c r="F1367" s="36" t="n"/>
      <c r="G1367" s="42" t="n"/>
      <c r="H1367" s="37" t="n"/>
      <c r="I1367" s="37" t="n"/>
      <c r="J1367" s="32" t="n"/>
      <c r="K1367" s="32" t="n"/>
      <c r="L1367" s="43" t="n"/>
      <c r="M1367" s="36" t="n"/>
      <c r="N1367" s="44" t="n"/>
      <c r="O1367" s="36" t="n"/>
      <c r="P1367" s="33">
        <f>IF(C1367="","",Commercial_Id)</f>
        <v/>
      </c>
      <c r="Q1367" s="34">
        <f>IF(AC1367="","",IF(AD1367=1,"C"&amp;TEXT(SUM(AD$6:AD1367),"0000"),INDEX(Q$6:Q1366,MATCH(AC1367,AC$6:AC1366,0))))</f>
        <v/>
      </c>
      <c r="R1367" s="34">
        <f>IF(C1367="","",IF(L1367="☑ Oui","Annulée",IF(OR(E1367="Vente directe",K1367&lt;&gt;""),"Livrée",IF(J1367&lt;&gt;"","Confirmée","En attente"))))</f>
        <v/>
      </c>
      <c r="S1367" s="34">
        <f>IF(F1367="","",IFERROR(VLOOKUP(F1367,T_Produits,2,FALSE),""))</f>
        <v/>
      </c>
      <c r="T1367" s="40">
        <f>IF(F1367="","",IFERROR(1/(1/VLOOKUP(F1367,T_Produits,3,FALSE)),""))</f>
        <v/>
      </c>
      <c r="U1367" s="40">
        <f>IF(H1367&lt;&gt;"",H1367,T1367)</f>
        <v/>
      </c>
      <c r="V1367" s="40">
        <f>IF(OR(G1367="",U1367=""),"",G1367*U1367-N(I1367))</f>
        <v/>
      </c>
      <c r="W1367" s="39">
        <f>IF(D1367="","",IFERROR(VALUE(MID(D1367,LEN(D1367)-3,3)),""))</f>
        <v/>
      </c>
      <c r="X1367" s="33">
        <f>IF(W1367="","",P1367&amp;"|"&amp;W1367)</f>
        <v/>
      </c>
      <c r="Y1367" s="33">
        <f>IF(W1367="","",IF(P1367="À RENSEIGNER","GIC",P1367)&amp;"-"&amp;TEXT(W1367,"000"))</f>
        <v/>
      </c>
      <c r="Z1367" s="33">
        <f>IF(X1367="","",IFERROR(INDEX(Cl_nom,MATCH(X1367,Cl_cle,0)),"(client introuvable)"))</f>
        <v/>
      </c>
      <c r="AA1367" s="33">
        <f>IF(X1367="","",IFERROR(INDEX(Cl_quartier,MATCH(X1367,Cl_cle,0))&amp;"",""))</f>
        <v/>
      </c>
      <c r="AB1367" s="45">
        <f>IF(R1367&lt;&gt;"Livrée",0,IF(K1367&lt;&gt;"",K1367,C1367))</f>
        <v/>
      </c>
      <c r="AC1367" s="33">
        <f>IF(OR(C1367="",W1367=""),"",P1367&amp;"|"&amp;W1367&amp;"|"&amp;C1367&amp;"|"&amp;E1367)</f>
        <v/>
      </c>
      <c r="AD1367" s="39">
        <f>IF(AC1367="","",IF(COUNTIF(AC$6:AC1367,AC1367)=1,1,0))</f>
        <v/>
      </c>
      <c r="AE1367" s="39">
        <f>IF(AB1367=0,"",IF(COUNTIFS(X$6:X1367,X1367,AB$6:AB1367,AB1367)=1,1,0))</f>
        <v/>
      </c>
      <c r="AF1367" s="34">
        <f>IF(C1367="","",YEAR(C1367-WEEKDAY(C1367,2)+4)&amp;"-S"&amp;TEXT(INT((C1367-DATE(YEAR(C1367-WEEKDAY(C1367,2)+4),1,3)+WEEKDAY(DATE(YEAR(C1367-WEEKDAY(C1367,2)+4),1,3),2)+5)/7),"00"))</f>
        <v/>
      </c>
    </row>
    <row r="1368" ht="18" customHeight="1">
      <c r="A1368" s="39" t="n">
        <v>1363</v>
      </c>
      <c r="B1368" s="33">
        <f>IF(C1368="","",IF(P1368="À RENSEIGNER","GIC",P1368)&amp;"-C"&amp;TEXT(A1368,"00000"))</f>
        <v/>
      </c>
      <c r="C1368" s="32" t="n"/>
      <c r="D1368" s="36" t="n"/>
      <c r="E1368" s="36" t="n"/>
      <c r="F1368" s="36" t="n"/>
      <c r="G1368" s="42" t="n"/>
      <c r="H1368" s="37" t="n"/>
      <c r="I1368" s="37" t="n"/>
      <c r="J1368" s="32" t="n"/>
      <c r="K1368" s="32" t="n"/>
      <c r="L1368" s="43" t="n"/>
      <c r="M1368" s="36" t="n"/>
      <c r="N1368" s="44" t="n"/>
      <c r="O1368" s="36" t="n"/>
      <c r="P1368" s="33">
        <f>IF(C1368="","",Commercial_Id)</f>
        <v/>
      </c>
      <c r="Q1368" s="34">
        <f>IF(AC1368="","",IF(AD1368=1,"C"&amp;TEXT(SUM(AD$6:AD1368),"0000"),INDEX(Q$6:Q1367,MATCH(AC1368,AC$6:AC1367,0))))</f>
        <v/>
      </c>
      <c r="R1368" s="34">
        <f>IF(C1368="","",IF(L1368="☑ Oui","Annulée",IF(OR(E1368="Vente directe",K1368&lt;&gt;""),"Livrée",IF(J1368&lt;&gt;"","Confirmée","En attente"))))</f>
        <v/>
      </c>
      <c r="S1368" s="34">
        <f>IF(F1368="","",IFERROR(VLOOKUP(F1368,T_Produits,2,FALSE),""))</f>
        <v/>
      </c>
      <c r="T1368" s="40">
        <f>IF(F1368="","",IFERROR(1/(1/VLOOKUP(F1368,T_Produits,3,FALSE)),""))</f>
        <v/>
      </c>
      <c r="U1368" s="40">
        <f>IF(H1368&lt;&gt;"",H1368,T1368)</f>
        <v/>
      </c>
      <c r="V1368" s="40">
        <f>IF(OR(G1368="",U1368=""),"",G1368*U1368-N(I1368))</f>
        <v/>
      </c>
      <c r="W1368" s="39">
        <f>IF(D1368="","",IFERROR(VALUE(MID(D1368,LEN(D1368)-3,3)),""))</f>
        <v/>
      </c>
      <c r="X1368" s="33">
        <f>IF(W1368="","",P1368&amp;"|"&amp;W1368)</f>
        <v/>
      </c>
      <c r="Y1368" s="33">
        <f>IF(W1368="","",IF(P1368="À RENSEIGNER","GIC",P1368)&amp;"-"&amp;TEXT(W1368,"000"))</f>
        <v/>
      </c>
      <c r="Z1368" s="33">
        <f>IF(X1368="","",IFERROR(INDEX(Cl_nom,MATCH(X1368,Cl_cle,0)),"(client introuvable)"))</f>
        <v/>
      </c>
      <c r="AA1368" s="33">
        <f>IF(X1368="","",IFERROR(INDEX(Cl_quartier,MATCH(X1368,Cl_cle,0))&amp;"",""))</f>
        <v/>
      </c>
      <c r="AB1368" s="45">
        <f>IF(R1368&lt;&gt;"Livrée",0,IF(K1368&lt;&gt;"",K1368,C1368))</f>
        <v/>
      </c>
      <c r="AC1368" s="33">
        <f>IF(OR(C1368="",W1368=""),"",P1368&amp;"|"&amp;W1368&amp;"|"&amp;C1368&amp;"|"&amp;E1368)</f>
        <v/>
      </c>
      <c r="AD1368" s="39">
        <f>IF(AC1368="","",IF(COUNTIF(AC$6:AC1368,AC1368)=1,1,0))</f>
        <v/>
      </c>
      <c r="AE1368" s="39">
        <f>IF(AB1368=0,"",IF(COUNTIFS(X$6:X1368,X1368,AB$6:AB1368,AB1368)=1,1,0))</f>
        <v/>
      </c>
      <c r="AF1368" s="34">
        <f>IF(C1368="","",YEAR(C1368-WEEKDAY(C1368,2)+4)&amp;"-S"&amp;TEXT(INT((C1368-DATE(YEAR(C1368-WEEKDAY(C1368,2)+4),1,3)+WEEKDAY(DATE(YEAR(C1368-WEEKDAY(C1368,2)+4),1,3),2)+5)/7),"00"))</f>
        <v/>
      </c>
    </row>
    <row r="1369" ht="18" customHeight="1">
      <c r="A1369" s="39" t="n">
        <v>1364</v>
      </c>
      <c r="B1369" s="33">
        <f>IF(C1369="","",IF(P1369="À RENSEIGNER","GIC",P1369)&amp;"-C"&amp;TEXT(A1369,"00000"))</f>
        <v/>
      </c>
      <c r="C1369" s="32" t="n"/>
      <c r="D1369" s="36" t="n"/>
      <c r="E1369" s="36" t="n"/>
      <c r="F1369" s="36" t="n"/>
      <c r="G1369" s="42" t="n"/>
      <c r="H1369" s="37" t="n"/>
      <c r="I1369" s="37" t="n"/>
      <c r="J1369" s="32" t="n"/>
      <c r="K1369" s="32" t="n"/>
      <c r="L1369" s="43" t="n"/>
      <c r="M1369" s="36" t="n"/>
      <c r="N1369" s="44" t="n"/>
      <c r="O1369" s="36" t="n"/>
      <c r="P1369" s="33">
        <f>IF(C1369="","",Commercial_Id)</f>
        <v/>
      </c>
      <c r="Q1369" s="34">
        <f>IF(AC1369="","",IF(AD1369=1,"C"&amp;TEXT(SUM(AD$6:AD1369),"0000"),INDEX(Q$6:Q1368,MATCH(AC1369,AC$6:AC1368,0))))</f>
        <v/>
      </c>
      <c r="R1369" s="34">
        <f>IF(C1369="","",IF(L1369="☑ Oui","Annulée",IF(OR(E1369="Vente directe",K1369&lt;&gt;""),"Livrée",IF(J1369&lt;&gt;"","Confirmée","En attente"))))</f>
        <v/>
      </c>
      <c r="S1369" s="34">
        <f>IF(F1369="","",IFERROR(VLOOKUP(F1369,T_Produits,2,FALSE),""))</f>
        <v/>
      </c>
      <c r="T1369" s="40">
        <f>IF(F1369="","",IFERROR(1/(1/VLOOKUP(F1369,T_Produits,3,FALSE)),""))</f>
        <v/>
      </c>
      <c r="U1369" s="40">
        <f>IF(H1369&lt;&gt;"",H1369,T1369)</f>
        <v/>
      </c>
      <c r="V1369" s="40">
        <f>IF(OR(G1369="",U1369=""),"",G1369*U1369-N(I1369))</f>
        <v/>
      </c>
      <c r="W1369" s="39">
        <f>IF(D1369="","",IFERROR(VALUE(MID(D1369,LEN(D1369)-3,3)),""))</f>
        <v/>
      </c>
      <c r="X1369" s="33">
        <f>IF(W1369="","",P1369&amp;"|"&amp;W1369)</f>
        <v/>
      </c>
      <c r="Y1369" s="33">
        <f>IF(W1369="","",IF(P1369="À RENSEIGNER","GIC",P1369)&amp;"-"&amp;TEXT(W1369,"000"))</f>
        <v/>
      </c>
      <c r="Z1369" s="33">
        <f>IF(X1369="","",IFERROR(INDEX(Cl_nom,MATCH(X1369,Cl_cle,0)),"(client introuvable)"))</f>
        <v/>
      </c>
      <c r="AA1369" s="33">
        <f>IF(X1369="","",IFERROR(INDEX(Cl_quartier,MATCH(X1369,Cl_cle,0))&amp;"",""))</f>
        <v/>
      </c>
      <c r="AB1369" s="45">
        <f>IF(R1369&lt;&gt;"Livrée",0,IF(K1369&lt;&gt;"",K1369,C1369))</f>
        <v/>
      </c>
      <c r="AC1369" s="33">
        <f>IF(OR(C1369="",W1369=""),"",P1369&amp;"|"&amp;W1369&amp;"|"&amp;C1369&amp;"|"&amp;E1369)</f>
        <v/>
      </c>
      <c r="AD1369" s="39">
        <f>IF(AC1369="","",IF(COUNTIF(AC$6:AC1369,AC1369)=1,1,0))</f>
        <v/>
      </c>
      <c r="AE1369" s="39">
        <f>IF(AB1369=0,"",IF(COUNTIFS(X$6:X1369,X1369,AB$6:AB1369,AB1369)=1,1,0))</f>
        <v/>
      </c>
      <c r="AF1369" s="34">
        <f>IF(C1369="","",YEAR(C1369-WEEKDAY(C1369,2)+4)&amp;"-S"&amp;TEXT(INT((C1369-DATE(YEAR(C1369-WEEKDAY(C1369,2)+4),1,3)+WEEKDAY(DATE(YEAR(C1369-WEEKDAY(C1369,2)+4),1,3),2)+5)/7),"00"))</f>
        <v/>
      </c>
    </row>
    <row r="1370" ht="18" customHeight="1">
      <c r="A1370" s="39" t="n">
        <v>1365</v>
      </c>
      <c r="B1370" s="33">
        <f>IF(C1370="","",IF(P1370="À RENSEIGNER","GIC",P1370)&amp;"-C"&amp;TEXT(A1370,"00000"))</f>
        <v/>
      </c>
      <c r="C1370" s="32" t="n"/>
      <c r="D1370" s="36" t="n"/>
      <c r="E1370" s="36" t="n"/>
      <c r="F1370" s="36" t="n"/>
      <c r="G1370" s="42" t="n"/>
      <c r="H1370" s="37" t="n"/>
      <c r="I1370" s="37" t="n"/>
      <c r="J1370" s="32" t="n"/>
      <c r="K1370" s="32" t="n"/>
      <c r="L1370" s="43" t="n"/>
      <c r="M1370" s="36" t="n"/>
      <c r="N1370" s="44" t="n"/>
      <c r="O1370" s="36" t="n"/>
      <c r="P1370" s="33">
        <f>IF(C1370="","",Commercial_Id)</f>
        <v/>
      </c>
      <c r="Q1370" s="34">
        <f>IF(AC1370="","",IF(AD1370=1,"C"&amp;TEXT(SUM(AD$6:AD1370),"0000"),INDEX(Q$6:Q1369,MATCH(AC1370,AC$6:AC1369,0))))</f>
        <v/>
      </c>
      <c r="R1370" s="34">
        <f>IF(C1370="","",IF(L1370="☑ Oui","Annulée",IF(OR(E1370="Vente directe",K1370&lt;&gt;""),"Livrée",IF(J1370&lt;&gt;"","Confirmée","En attente"))))</f>
        <v/>
      </c>
      <c r="S1370" s="34">
        <f>IF(F1370="","",IFERROR(VLOOKUP(F1370,T_Produits,2,FALSE),""))</f>
        <v/>
      </c>
      <c r="T1370" s="40">
        <f>IF(F1370="","",IFERROR(1/(1/VLOOKUP(F1370,T_Produits,3,FALSE)),""))</f>
        <v/>
      </c>
      <c r="U1370" s="40">
        <f>IF(H1370&lt;&gt;"",H1370,T1370)</f>
        <v/>
      </c>
      <c r="V1370" s="40">
        <f>IF(OR(G1370="",U1370=""),"",G1370*U1370-N(I1370))</f>
        <v/>
      </c>
      <c r="W1370" s="39">
        <f>IF(D1370="","",IFERROR(VALUE(MID(D1370,LEN(D1370)-3,3)),""))</f>
        <v/>
      </c>
      <c r="X1370" s="33">
        <f>IF(W1370="","",P1370&amp;"|"&amp;W1370)</f>
        <v/>
      </c>
      <c r="Y1370" s="33">
        <f>IF(W1370="","",IF(P1370="À RENSEIGNER","GIC",P1370)&amp;"-"&amp;TEXT(W1370,"000"))</f>
        <v/>
      </c>
      <c r="Z1370" s="33">
        <f>IF(X1370="","",IFERROR(INDEX(Cl_nom,MATCH(X1370,Cl_cle,0)),"(client introuvable)"))</f>
        <v/>
      </c>
      <c r="AA1370" s="33">
        <f>IF(X1370="","",IFERROR(INDEX(Cl_quartier,MATCH(X1370,Cl_cle,0))&amp;"",""))</f>
        <v/>
      </c>
      <c r="AB1370" s="45">
        <f>IF(R1370&lt;&gt;"Livrée",0,IF(K1370&lt;&gt;"",K1370,C1370))</f>
        <v/>
      </c>
      <c r="AC1370" s="33">
        <f>IF(OR(C1370="",W1370=""),"",P1370&amp;"|"&amp;W1370&amp;"|"&amp;C1370&amp;"|"&amp;E1370)</f>
        <v/>
      </c>
      <c r="AD1370" s="39">
        <f>IF(AC1370="","",IF(COUNTIF(AC$6:AC1370,AC1370)=1,1,0))</f>
        <v/>
      </c>
      <c r="AE1370" s="39">
        <f>IF(AB1370=0,"",IF(COUNTIFS(X$6:X1370,X1370,AB$6:AB1370,AB1370)=1,1,0))</f>
        <v/>
      </c>
      <c r="AF1370" s="34">
        <f>IF(C1370="","",YEAR(C1370-WEEKDAY(C1370,2)+4)&amp;"-S"&amp;TEXT(INT((C1370-DATE(YEAR(C1370-WEEKDAY(C1370,2)+4),1,3)+WEEKDAY(DATE(YEAR(C1370-WEEKDAY(C1370,2)+4),1,3),2)+5)/7),"00"))</f>
        <v/>
      </c>
    </row>
    <row r="1371" ht="18" customHeight="1">
      <c r="A1371" s="39" t="n">
        <v>1366</v>
      </c>
      <c r="B1371" s="33">
        <f>IF(C1371="","",IF(P1371="À RENSEIGNER","GIC",P1371)&amp;"-C"&amp;TEXT(A1371,"00000"))</f>
        <v/>
      </c>
      <c r="C1371" s="32" t="n"/>
      <c r="D1371" s="36" t="n"/>
      <c r="E1371" s="36" t="n"/>
      <c r="F1371" s="36" t="n"/>
      <c r="G1371" s="42" t="n"/>
      <c r="H1371" s="37" t="n"/>
      <c r="I1371" s="37" t="n"/>
      <c r="J1371" s="32" t="n"/>
      <c r="K1371" s="32" t="n"/>
      <c r="L1371" s="43" t="n"/>
      <c r="M1371" s="36" t="n"/>
      <c r="N1371" s="44" t="n"/>
      <c r="O1371" s="36" t="n"/>
      <c r="P1371" s="33">
        <f>IF(C1371="","",Commercial_Id)</f>
        <v/>
      </c>
      <c r="Q1371" s="34">
        <f>IF(AC1371="","",IF(AD1371=1,"C"&amp;TEXT(SUM(AD$6:AD1371),"0000"),INDEX(Q$6:Q1370,MATCH(AC1371,AC$6:AC1370,0))))</f>
        <v/>
      </c>
      <c r="R1371" s="34">
        <f>IF(C1371="","",IF(L1371="☑ Oui","Annulée",IF(OR(E1371="Vente directe",K1371&lt;&gt;""),"Livrée",IF(J1371&lt;&gt;"","Confirmée","En attente"))))</f>
        <v/>
      </c>
      <c r="S1371" s="34">
        <f>IF(F1371="","",IFERROR(VLOOKUP(F1371,T_Produits,2,FALSE),""))</f>
        <v/>
      </c>
      <c r="T1371" s="40">
        <f>IF(F1371="","",IFERROR(1/(1/VLOOKUP(F1371,T_Produits,3,FALSE)),""))</f>
        <v/>
      </c>
      <c r="U1371" s="40">
        <f>IF(H1371&lt;&gt;"",H1371,T1371)</f>
        <v/>
      </c>
      <c r="V1371" s="40">
        <f>IF(OR(G1371="",U1371=""),"",G1371*U1371-N(I1371))</f>
        <v/>
      </c>
      <c r="W1371" s="39">
        <f>IF(D1371="","",IFERROR(VALUE(MID(D1371,LEN(D1371)-3,3)),""))</f>
        <v/>
      </c>
      <c r="X1371" s="33">
        <f>IF(W1371="","",P1371&amp;"|"&amp;W1371)</f>
        <v/>
      </c>
      <c r="Y1371" s="33">
        <f>IF(W1371="","",IF(P1371="À RENSEIGNER","GIC",P1371)&amp;"-"&amp;TEXT(W1371,"000"))</f>
        <v/>
      </c>
      <c r="Z1371" s="33">
        <f>IF(X1371="","",IFERROR(INDEX(Cl_nom,MATCH(X1371,Cl_cle,0)),"(client introuvable)"))</f>
        <v/>
      </c>
      <c r="AA1371" s="33">
        <f>IF(X1371="","",IFERROR(INDEX(Cl_quartier,MATCH(X1371,Cl_cle,0))&amp;"",""))</f>
        <v/>
      </c>
      <c r="AB1371" s="45">
        <f>IF(R1371&lt;&gt;"Livrée",0,IF(K1371&lt;&gt;"",K1371,C1371))</f>
        <v/>
      </c>
      <c r="AC1371" s="33">
        <f>IF(OR(C1371="",W1371=""),"",P1371&amp;"|"&amp;W1371&amp;"|"&amp;C1371&amp;"|"&amp;E1371)</f>
        <v/>
      </c>
      <c r="AD1371" s="39">
        <f>IF(AC1371="","",IF(COUNTIF(AC$6:AC1371,AC1371)=1,1,0))</f>
        <v/>
      </c>
      <c r="AE1371" s="39">
        <f>IF(AB1371=0,"",IF(COUNTIFS(X$6:X1371,X1371,AB$6:AB1371,AB1371)=1,1,0))</f>
        <v/>
      </c>
      <c r="AF1371" s="34">
        <f>IF(C1371="","",YEAR(C1371-WEEKDAY(C1371,2)+4)&amp;"-S"&amp;TEXT(INT((C1371-DATE(YEAR(C1371-WEEKDAY(C1371,2)+4),1,3)+WEEKDAY(DATE(YEAR(C1371-WEEKDAY(C1371,2)+4),1,3),2)+5)/7),"00"))</f>
        <v/>
      </c>
    </row>
    <row r="1372" ht="18" customHeight="1">
      <c r="A1372" s="39" t="n">
        <v>1367</v>
      </c>
      <c r="B1372" s="33">
        <f>IF(C1372="","",IF(P1372="À RENSEIGNER","GIC",P1372)&amp;"-C"&amp;TEXT(A1372,"00000"))</f>
        <v/>
      </c>
      <c r="C1372" s="32" t="n"/>
      <c r="D1372" s="36" t="n"/>
      <c r="E1372" s="36" t="n"/>
      <c r="F1372" s="36" t="n"/>
      <c r="G1372" s="42" t="n"/>
      <c r="H1372" s="37" t="n"/>
      <c r="I1372" s="37" t="n"/>
      <c r="J1372" s="32" t="n"/>
      <c r="K1372" s="32" t="n"/>
      <c r="L1372" s="43" t="n"/>
      <c r="M1372" s="36" t="n"/>
      <c r="N1372" s="44" t="n"/>
      <c r="O1372" s="36" t="n"/>
      <c r="P1372" s="33">
        <f>IF(C1372="","",Commercial_Id)</f>
        <v/>
      </c>
      <c r="Q1372" s="34">
        <f>IF(AC1372="","",IF(AD1372=1,"C"&amp;TEXT(SUM(AD$6:AD1372),"0000"),INDEX(Q$6:Q1371,MATCH(AC1372,AC$6:AC1371,0))))</f>
        <v/>
      </c>
      <c r="R1372" s="34">
        <f>IF(C1372="","",IF(L1372="☑ Oui","Annulée",IF(OR(E1372="Vente directe",K1372&lt;&gt;""),"Livrée",IF(J1372&lt;&gt;"","Confirmée","En attente"))))</f>
        <v/>
      </c>
      <c r="S1372" s="34">
        <f>IF(F1372="","",IFERROR(VLOOKUP(F1372,T_Produits,2,FALSE),""))</f>
        <v/>
      </c>
      <c r="T1372" s="40">
        <f>IF(F1372="","",IFERROR(1/(1/VLOOKUP(F1372,T_Produits,3,FALSE)),""))</f>
        <v/>
      </c>
      <c r="U1372" s="40">
        <f>IF(H1372&lt;&gt;"",H1372,T1372)</f>
        <v/>
      </c>
      <c r="V1372" s="40">
        <f>IF(OR(G1372="",U1372=""),"",G1372*U1372-N(I1372))</f>
        <v/>
      </c>
      <c r="W1372" s="39">
        <f>IF(D1372="","",IFERROR(VALUE(MID(D1372,LEN(D1372)-3,3)),""))</f>
        <v/>
      </c>
      <c r="X1372" s="33">
        <f>IF(W1372="","",P1372&amp;"|"&amp;W1372)</f>
        <v/>
      </c>
      <c r="Y1372" s="33">
        <f>IF(W1372="","",IF(P1372="À RENSEIGNER","GIC",P1372)&amp;"-"&amp;TEXT(W1372,"000"))</f>
        <v/>
      </c>
      <c r="Z1372" s="33">
        <f>IF(X1372="","",IFERROR(INDEX(Cl_nom,MATCH(X1372,Cl_cle,0)),"(client introuvable)"))</f>
        <v/>
      </c>
      <c r="AA1372" s="33">
        <f>IF(X1372="","",IFERROR(INDEX(Cl_quartier,MATCH(X1372,Cl_cle,0))&amp;"",""))</f>
        <v/>
      </c>
      <c r="AB1372" s="45">
        <f>IF(R1372&lt;&gt;"Livrée",0,IF(K1372&lt;&gt;"",K1372,C1372))</f>
        <v/>
      </c>
      <c r="AC1372" s="33">
        <f>IF(OR(C1372="",W1372=""),"",P1372&amp;"|"&amp;W1372&amp;"|"&amp;C1372&amp;"|"&amp;E1372)</f>
        <v/>
      </c>
      <c r="AD1372" s="39">
        <f>IF(AC1372="","",IF(COUNTIF(AC$6:AC1372,AC1372)=1,1,0))</f>
        <v/>
      </c>
      <c r="AE1372" s="39">
        <f>IF(AB1372=0,"",IF(COUNTIFS(X$6:X1372,X1372,AB$6:AB1372,AB1372)=1,1,0))</f>
        <v/>
      </c>
      <c r="AF1372" s="34">
        <f>IF(C1372="","",YEAR(C1372-WEEKDAY(C1372,2)+4)&amp;"-S"&amp;TEXT(INT((C1372-DATE(YEAR(C1372-WEEKDAY(C1372,2)+4),1,3)+WEEKDAY(DATE(YEAR(C1372-WEEKDAY(C1372,2)+4),1,3),2)+5)/7),"00"))</f>
        <v/>
      </c>
    </row>
    <row r="1373" ht="18" customHeight="1">
      <c r="A1373" s="39" t="n">
        <v>1368</v>
      </c>
      <c r="B1373" s="33">
        <f>IF(C1373="","",IF(P1373="À RENSEIGNER","GIC",P1373)&amp;"-C"&amp;TEXT(A1373,"00000"))</f>
        <v/>
      </c>
      <c r="C1373" s="32" t="n"/>
      <c r="D1373" s="36" t="n"/>
      <c r="E1373" s="36" t="n"/>
      <c r="F1373" s="36" t="n"/>
      <c r="G1373" s="42" t="n"/>
      <c r="H1373" s="37" t="n"/>
      <c r="I1373" s="37" t="n"/>
      <c r="J1373" s="32" t="n"/>
      <c r="K1373" s="32" t="n"/>
      <c r="L1373" s="43" t="n"/>
      <c r="M1373" s="36" t="n"/>
      <c r="N1373" s="44" t="n"/>
      <c r="O1373" s="36" t="n"/>
      <c r="P1373" s="33">
        <f>IF(C1373="","",Commercial_Id)</f>
        <v/>
      </c>
      <c r="Q1373" s="34">
        <f>IF(AC1373="","",IF(AD1373=1,"C"&amp;TEXT(SUM(AD$6:AD1373),"0000"),INDEX(Q$6:Q1372,MATCH(AC1373,AC$6:AC1372,0))))</f>
        <v/>
      </c>
      <c r="R1373" s="34">
        <f>IF(C1373="","",IF(L1373="☑ Oui","Annulée",IF(OR(E1373="Vente directe",K1373&lt;&gt;""),"Livrée",IF(J1373&lt;&gt;"","Confirmée","En attente"))))</f>
        <v/>
      </c>
      <c r="S1373" s="34">
        <f>IF(F1373="","",IFERROR(VLOOKUP(F1373,T_Produits,2,FALSE),""))</f>
        <v/>
      </c>
      <c r="T1373" s="40">
        <f>IF(F1373="","",IFERROR(1/(1/VLOOKUP(F1373,T_Produits,3,FALSE)),""))</f>
        <v/>
      </c>
      <c r="U1373" s="40">
        <f>IF(H1373&lt;&gt;"",H1373,T1373)</f>
        <v/>
      </c>
      <c r="V1373" s="40">
        <f>IF(OR(G1373="",U1373=""),"",G1373*U1373-N(I1373))</f>
        <v/>
      </c>
      <c r="W1373" s="39">
        <f>IF(D1373="","",IFERROR(VALUE(MID(D1373,LEN(D1373)-3,3)),""))</f>
        <v/>
      </c>
      <c r="X1373" s="33">
        <f>IF(W1373="","",P1373&amp;"|"&amp;W1373)</f>
        <v/>
      </c>
      <c r="Y1373" s="33">
        <f>IF(W1373="","",IF(P1373="À RENSEIGNER","GIC",P1373)&amp;"-"&amp;TEXT(W1373,"000"))</f>
        <v/>
      </c>
      <c r="Z1373" s="33">
        <f>IF(X1373="","",IFERROR(INDEX(Cl_nom,MATCH(X1373,Cl_cle,0)),"(client introuvable)"))</f>
        <v/>
      </c>
      <c r="AA1373" s="33">
        <f>IF(X1373="","",IFERROR(INDEX(Cl_quartier,MATCH(X1373,Cl_cle,0))&amp;"",""))</f>
        <v/>
      </c>
      <c r="AB1373" s="45">
        <f>IF(R1373&lt;&gt;"Livrée",0,IF(K1373&lt;&gt;"",K1373,C1373))</f>
        <v/>
      </c>
      <c r="AC1373" s="33">
        <f>IF(OR(C1373="",W1373=""),"",P1373&amp;"|"&amp;W1373&amp;"|"&amp;C1373&amp;"|"&amp;E1373)</f>
        <v/>
      </c>
      <c r="AD1373" s="39">
        <f>IF(AC1373="","",IF(COUNTIF(AC$6:AC1373,AC1373)=1,1,0))</f>
        <v/>
      </c>
      <c r="AE1373" s="39">
        <f>IF(AB1373=0,"",IF(COUNTIFS(X$6:X1373,X1373,AB$6:AB1373,AB1373)=1,1,0))</f>
        <v/>
      </c>
      <c r="AF1373" s="34">
        <f>IF(C1373="","",YEAR(C1373-WEEKDAY(C1373,2)+4)&amp;"-S"&amp;TEXT(INT((C1373-DATE(YEAR(C1373-WEEKDAY(C1373,2)+4),1,3)+WEEKDAY(DATE(YEAR(C1373-WEEKDAY(C1373,2)+4),1,3),2)+5)/7),"00"))</f>
        <v/>
      </c>
    </row>
    <row r="1374" ht="18" customHeight="1">
      <c r="A1374" s="39" t="n">
        <v>1369</v>
      </c>
      <c r="B1374" s="33">
        <f>IF(C1374="","",IF(P1374="À RENSEIGNER","GIC",P1374)&amp;"-C"&amp;TEXT(A1374,"00000"))</f>
        <v/>
      </c>
      <c r="C1374" s="32" t="n"/>
      <c r="D1374" s="36" t="n"/>
      <c r="E1374" s="36" t="n"/>
      <c r="F1374" s="36" t="n"/>
      <c r="G1374" s="42" t="n"/>
      <c r="H1374" s="37" t="n"/>
      <c r="I1374" s="37" t="n"/>
      <c r="J1374" s="32" t="n"/>
      <c r="K1374" s="32" t="n"/>
      <c r="L1374" s="43" t="n"/>
      <c r="M1374" s="36" t="n"/>
      <c r="N1374" s="44" t="n"/>
      <c r="O1374" s="36" t="n"/>
      <c r="P1374" s="33">
        <f>IF(C1374="","",Commercial_Id)</f>
        <v/>
      </c>
      <c r="Q1374" s="34">
        <f>IF(AC1374="","",IF(AD1374=1,"C"&amp;TEXT(SUM(AD$6:AD1374),"0000"),INDEX(Q$6:Q1373,MATCH(AC1374,AC$6:AC1373,0))))</f>
        <v/>
      </c>
      <c r="R1374" s="34">
        <f>IF(C1374="","",IF(L1374="☑ Oui","Annulée",IF(OR(E1374="Vente directe",K1374&lt;&gt;""),"Livrée",IF(J1374&lt;&gt;"","Confirmée","En attente"))))</f>
        <v/>
      </c>
      <c r="S1374" s="34">
        <f>IF(F1374="","",IFERROR(VLOOKUP(F1374,T_Produits,2,FALSE),""))</f>
        <v/>
      </c>
      <c r="T1374" s="40">
        <f>IF(F1374="","",IFERROR(1/(1/VLOOKUP(F1374,T_Produits,3,FALSE)),""))</f>
        <v/>
      </c>
      <c r="U1374" s="40">
        <f>IF(H1374&lt;&gt;"",H1374,T1374)</f>
        <v/>
      </c>
      <c r="V1374" s="40">
        <f>IF(OR(G1374="",U1374=""),"",G1374*U1374-N(I1374))</f>
        <v/>
      </c>
      <c r="W1374" s="39">
        <f>IF(D1374="","",IFERROR(VALUE(MID(D1374,LEN(D1374)-3,3)),""))</f>
        <v/>
      </c>
      <c r="X1374" s="33">
        <f>IF(W1374="","",P1374&amp;"|"&amp;W1374)</f>
        <v/>
      </c>
      <c r="Y1374" s="33">
        <f>IF(W1374="","",IF(P1374="À RENSEIGNER","GIC",P1374)&amp;"-"&amp;TEXT(W1374,"000"))</f>
        <v/>
      </c>
      <c r="Z1374" s="33">
        <f>IF(X1374="","",IFERROR(INDEX(Cl_nom,MATCH(X1374,Cl_cle,0)),"(client introuvable)"))</f>
        <v/>
      </c>
      <c r="AA1374" s="33">
        <f>IF(X1374="","",IFERROR(INDEX(Cl_quartier,MATCH(X1374,Cl_cle,0))&amp;"",""))</f>
        <v/>
      </c>
      <c r="AB1374" s="45">
        <f>IF(R1374&lt;&gt;"Livrée",0,IF(K1374&lt;&gt;"",K1374,C1374))</f>
        <v/>
      </c>
      <c r="AC1374" s="33">
        <f>IF(OR(C1374="",W1374=""),"",P1374&amp;"|"&amp;W1374&amp;"|"&amp;C1374&amp;"|"&amp;E1374)</f>
        <v/>
      </c>
      <c r="AD1374" s="39">
        <f>IF(AC1374="","",IF(COUNTIF(AC$6:AC1374,AC1374)=1,1,0))</f>
        <v/>
      </c>
      <c r="AE1374" s="39">
        <f>IF(AB1374=0,"",IF(COUNTIFS(X$6:X1374,X1374,AB$6:AB1374,AB1374)=1,1,0))</f>
        <v/>
      </c>
      <c r="AF1374" s="34">
        <f>IF(C1374="","",YEAR(C1374-WEEKDAY(C1374,2)+4)&amp;"-S"&amp;TEXT(INT((C1374-DATE(YEAR(C1374-WEEKDAY(C1374,2)+4),1,3)+WEEKDAY(DATE(YEAR(C1374-WEEKDAY(C1374,2)+4),1,3),2)+5)/7),"00"))</f>
        <v/>
      </c>
    </row>
    <row r="1375" ht="18" customHeight="1">
      <c r="A1375" s="39" t="n">
        <v>1370</v>
      </c>
      <c r="B1375" s="33">
        <f>IF(C1375="","",IF(P1375="À RENSEIGNER","GIC",P1375)&amp;"-C"&amp;TEXT(A1375,"00000"))</f>
        <v/>
      </c>
      <c r="C1375" s="32" t="n"/>
      <c r="D1375" s="36" t="n"/>
      <c r="E1375" s="36" t="n"/>
      <c r="F1375" s="36" t="n"/>
      <c r="G1375" s="42" t="n"/>
      <c r="H1375" s="37" t="n"/>
      <c r="I1375" s="37" t="n"/>
      <c r="J1375" s="32" t="n"/>
      <c r="K1375" s="32" t="n"/>
      <c r="L1375" s="43" t="n"/>
      <c r="M1375" s="36" t="n"/>
      <c r="N1375" s="44" t="n"/>
      <c r="O1375" s="36" t="n"/>
      <c r="P1375" s="33">
        <f>IF(C1375="","",Commercial_Id)</f>
        <v/>
      </c>
      <c r="Q1375" s="34">
        <f>IF(AC1375="","",IF(AD1375=1,"C"&amp;TEXT(SUM(AD$6:AD1375),"0000"),INDEX(Q$6:Q1374,MATCH(AC1375,AC$6:AC1374,0))))</f>
        <v/>
      </c>
      <c r="R1375" s="34">
        <f>IF(C1375="","",IF(L1375="☑ Oui","Annulée",IF(OR(E1375="Vente directe",K1375&lt;&gt;""),"Livrée",IF(J1375&lt;&gt;"","Confirmée","En attente"))))</f>
        <v/>
      </c>
      <c r="S1375" s="34">
        <f>IF(F1375="","",IFERROR(VLOOKUP(F1375,T_Produits,2,FALSE),""))</f>
        <v/>
      </c>
      <c r="T1375" s="40">
        <f>IF(F1375="","",IFERROR(1/(1/VLOOKUP(F1375,T_Produits,3,FALSE)),""))</f>
        <v/>
      </c>
      <c r="U1375" s="40">
        <f>IF(H1375&lt;&gt;"",H1375,T1375)</f>
        <v/>
      </c>
      <c r="V1375" s="40">
        <f>IF(OR(G1375="",U1375=""),"",G1375*U1375-N(I1375))</f>
        <v/>
      </c>
      <c r="W1375" s="39">
        <f>IF(D1375="","",IFERROR(VALUE(MID(D1375,LEN(D1375)-3,3)),""))</f>
        <v/>
      </c>
      <c r="X1375" s="33">
        <f>IF(W1375="","",P1375&amp;"|"&amp;W1375)</f>
        <v/>
      </c>
      <c r="Y1375" s="33">
        <f>IF(W1375="","",IF(P1375="À RENSEIGNER","GIC",P1375)&amp;"-"&amp;TEXT(W1375,"000"))</f>
        <v/>
      </c>
      <c r="Z1375" s="33">
        <f>IF(X1375="","",IFERROR(INDEX(Cl_nom,MATCH(X1375,Cl_cle,0)),"(client introuvable)"))</f>
        <v/>
      </c>
      <c r="AA1375" s="33">
        <f>IF(X1375="","",IFERROR(INDEX(Cl_quartier,MATCH(X1375,Cl_cle,0))&amp;"",""))</f>
        <v/>
      </c>
      <c r="AB1375" s="45">
        <f>IF(R1375&lt;&gt;"Livrée",0,IF(K1375&lt;&gt;"",K1375,C1375))</f>
        <v/>
      </c>
      <c r="AC1375" s="33">
        <f>IF(OR(C1375="",W1375=""),"",P1375&amp;"|"&amp;W1375&amp;"|"&amp;C1375&amp;"|"&amp;E1375)</f>
        <v/>
      </c>
      <c r="AD1375" s="39">
        <f>IF(AC1375="","",IF(COUNTIF(AC$6:AC1375,AC1375)=1,1,0))</f>
        <v/>
      </c>
      <c r="AE1375" s="39">
        <f>IF(AB1375=0,"",IF(COUNTIFS(X$6:X1375,X1375,AB$6:AB1375,AB1375)=1,1,0))</f>
        <v/>
      </c>
      <c r="AF1375" s="34">
        <f>IF(C1375="","",YEAR(C1375-WEEKDAY(C1375,2)+4)&amp;"-S"&amp;TEXT(INT((C1375-DATE(YEAR(C1375-WEEKDAY(C1375,2)+4),1,3)+WEEKDAY(DATE(YEAR(C1375-WEEKDAY(C1375,2)+4),1,3),2)+5)/7),"00"))</f>
        <v/>
      </c>
    </row>
    <row r="1376" ht="18" customHeight="1">
      <c r="A1376" s="39" t="n">
        <v>1371</v>
      </c>
      <c r="B1376" s="33">
        <f>IF(C1376="","",IF(P1376="À RENSEIGNER","GIC",P1376)&amp;"-C"&amp;TEXT(A1376,"00000"))</f>
        <v/>
      </c>
      <c r="C1376" s="32" t="n"/>
      <c r="D1376" s="36" t="n"/>
      <c r="E1376" s="36" t="n"/>
      <c r="F1376" s="36" t="n"/>
      <c r="G1376" s="42" t="n"/>
      <c r="H1376" s="37" t="n"/>
      <c r="I1376" s="37" t="n"/>
      <c r="J1376" s="32" t="n"/>
      <c r="K1376" s="32" t="n"/>
      <c r="L1376" s="43" t="n"/>
      <c r="M1376" s="36" t="n"/>
      <c r="N1376" s="44" t="n"/>
      <c r="O1376" s="36" t="n"/>
      <c r="P1376" s="33">
        <f>IF(C1376="","",Commercial_Id)</f>
        <v/>
      </c>
      <c r="Q1376" s="34">
        <f>IF(AC1376="","",IF(AD1376=1,"C"&amp;TEXT(SUM(AD$6:AD1376),"0000"),INDEX(Q$6:Q1375,MATCH(AC1376,AC$6:AC1375,0))))</f>
        <v/>
      </c>
      <c r="R1376" s="34">
        <f>IF(C1376="","",IF(L1376="☑ Oui","Annulée",IF(OR(E1376="Vente directe",K1376&lt;&gt;""),"Livrée",IF(J1376&lt;&gt;"","Confirmée","En attente"))))</f>
        <v/>
      </c>
      <c r="S1376" s="34">
        <f>IF(F1376="","",IFERROR(VLOOKUP(F1376,T_Produits,2,FALSE),""))</f>
        <v/>
      </c>
      <c r="T1376" s="40">
        <f>IF(F1376="","",IFERROR(1/(1/VLOOKUP(F1376,T_Produits,3,FALSE)),""))</f>
        <v/>
      </c>
      <c r="U1376" s="40">
        <f>IF(H1376&lt;&gt;"",H1376,T1376)</f>
        <v/>
      </c>
      <c r="V1376" s="40">
        <f>IF(OR(G1376="",U1376=""),"",G1376*U1376-N(I1376))</f>
        <v/>
      </c>
      <c r="W1376" s="39">
        <f>IF(D1376="","",IFERROR(VALUE(MID(D1376,LEN(D1376)-3,3)),""))</f>
        <v/>
      </c>
      <c r="X1376" s="33">
        <f>IF(W1376="","",P1376&amp;"|"&amp;W1376)</f>
        <v/>
      </c>
      <c r="Y1376" s="33">
        <f>IF(W1376="","",IF(P1376="À RENSEIGNER","GIC",P1376)&amp;"-"&amp;TEXT(W1376,"000"))</f>
        <v/>
      </c>
      <c r="Z1376" s="33">
        <f>IF(X1376="","",IFERROR(INDEX(Cl_nom,MATCH(X1376,Cl_cle,0)),"(client introuvable)"))</f>
        <v/>
      </c>
      <c r="AA1376" s="33">
        <f>IF(X1376="","",IFERROR(INDEX(Cl_quartier,MATCH(X1376,Cl_cle,0))&amp;"",""))</f>
        <v/>
      </c>
      <c r="AB1376" s="45">
        <f>IF(R1376&lt;&gt;"Livrée",0,IF(K1376&lt;&gt;"",K1376,C1376))</f>
        <v/>
      </c>
      <c r="AC1376" s="33">
        <f>IF(OR(C1376="",W1376=""),"",P1376&amp;"|"&amp;W1376&amp;"|"&amp;C1376&amp;"|"&amp;E1376)</f>
        <v/>
      </c>
      <c r="AD1376" s="39">
        <f>IF(AC1376="","",IF(COUNTIF(AC$6:AC1376,AC1376)=1,1,0))</f>
        <v/>
      </c>
      <c r="AE1376" s="39">
        <f>IF(AB1376=0,"",IF(COUNTIFS(X$6:X1376,X1376,AB$6:AB1376,AB1376)=1,1,0))</f>
        <v/>
      </c>
      <c r="AF1376" s="34">
        <f>IF(C1376="","",YEAR(C1376-WEEKDAY(C1376,2)+4)&amp;"-S"&amp;TEXT(INT((C1376-DATE(YEAR(C1376-WEEKDAY(C1376,2)+4),1,3)+WEEKDAY(DATE(YEAR(C1376-WEEKDAY(C1376,2)+4),1,3),2)+5)/7),"00"))</f>
        <v/>
      </c>
    </row>
    <row r="1377" ht="18" customHeight="1">
      <c r="A1377" s="39" t="n">
        <v>1372</v>
      </c>
      <c r="B1377" s="33">
        <f>IF(C1377="","",IF(P1377="À RENSEIGNER","GIC",P1377)&amp;"-C"&amp;TEXT(A1377,"00000"))</f>
        <v/>
      </c>
      <c r="C1377" s="32" t="n"/>
      <c r="D1377" s="36" t="n"/>
      <c r="E1377" s="36" t="n"/>
      <c r="F1377" s="36" t="n"/>
      <c r="G1377" s="42" t="n"/>
      <c r="H1377" s="37" t="n"/>
      <c r="I1377" s="37" t="n"/>
      <c r="J1377" s="32" t="n"/>
      <c r="K1377" s="32" t="n"/>
      <c r="L1377" s="43" t="n"/>
      <c r="M1377" s="36" t="n"/>
      <c r="N1377" s="44" t="n"/>
      <c r="O1377" s="36" t="n"/>
      <c r="P1377" s="33">
        <f>IF(C1377="","",Commercial_Id)</f>
        <v/>
      </c>
      <c r="Q1377" s="34">
        <f>IF(AC1377="","",IF(AD1377=1,"C"&amp;TEXT(SUM(AD$6:AD1377),"0000"),INDEX(Q$6:Q1376,MATCH(AC1377,AC$6:AC1376,0))))</f>
        <v/>
      </c>
      <c r="R1377" s="34">
        <f>IF(C1377="","",IF(L1377="☑ Oui","Annulée",IF(OR(E1377="Vente directe",K1377&lt;&gt;""),"Livrée",IF(J1377&lt;&gt;"","Confirmée","En attente"))))</f>
        <v/>
      </c>
      <c r="S1377" s="34">
        <f>IF(F1377="","",IFERROR(VLOOKUP(F1377,T_Produits,2,FALSE),""))</f>
        <v/>
      </c>
      <c r="T1377" s="40">
        <f>IF(F1377="","",IFERROR(1/(1/VLOOKUP(F1377,T_Produits,3,FALSE)),""))</f>
        <v/>
      </c>
      <c r="U1377" s="40">
        <f>IF(H1377&lt;&gt;"",H1377,T1377)</f>
        <v/>
      </c>
      <c r="V1377" s="40">
        <f>IF(OR(G1377="",U1377=""),"",G1377*U1377-N(I1377))</f>
        <v/>
      </c>
      <c r="W1377" s="39">
        <f>IF(D1377="","",IFERROR(VALUE(MID(D1377,LEN(D1377)-3,3)),""))</f>
        <v/>
      </c>
      <c r="X1377" s="33">
        <f>IF(W1377="","",P1377&amp;"|"&amp;W1377)</f>
        <v/>
      </c>
      <c r="Y1377" s="33">
        <f>IF(W1377="","",IF(P1377="À RENSEIGNER","GIC",P1377)&amp;"-"&amp;TEXT(W1377,"000"))</f>
        <v/>
      </c>
      <c r="Z1377" s="33">
        <f>IF(X1377="","",IFERROR(INDEX(Cl_nom,MATCH(X1377,Cl_cle,0)),"(client introuvable)"))</f>
        <v/>
      </c>
      <c r="AA1377" s="33">
        <f>IF(X1377="","",IFERROR(INDEX(Cl_quartier,MATCH(X1377,Cl_cle,0))&amp;"",""))</f>
        <v/>
      </c>
      <c r="AB1377" s="45">
        <f>IF(R1377&lt;&gt;"Livrée",0,IF(K1377&lt;&gt;"",K1377,C1377))</f>
        <v/>
      </c>
      <c r="AC1377" s="33">
        <f>IF(OR(C1377="",W1377=""),"",P1377&amp;"|"&amp;W1377&amp;"|"&amp;C1377&amp;"|"&amp;E1377)</f>
        <v/>
      </c>
      <c r="AD1377" s="39">
        <f>IF(AC1377="","",IF(COUNTIF(AC$6:AC1377,AC1377)=1,1,0))</f>
        <v/>
      </c>
      <c r="AE1377" s="39">
        <f>IF(AB1377=0,"",IF(COUNTIFS(X$6:X1377,X1377,AB$6:AB1377,AB1377)=1,1,0))</f>
        <v/>
      </c>
      <c r="AF1377" s="34">
        <f>IF(C1377="","",YEAR(C1377-WEEKDAY(C1377,2)+4)&amp;"-S"&amp;TEXT(INT((C1377-DATE(YEAR(C1377-WEEKDAY(C1377,2)+4),1,3)+WEEKDAY(DATE(YEAR(C1377-WEEKDAY(C1377,2)+4),1,3),2)+5)/7),"00"))</f>
        <v/>
      </c>
    </row>
    <row r="1378" ht="18" customHeight="1">
      <c r="A1378" s="39" t="n">
        <v>1373</v>
      </c>
      <c r="B1378" s="33">
        <f>IF(C1378="","",IF(P1378="À RENSEIGNER","GIC",P1378)&amp;"-C"&amp;TEXT(A1378,"00000"))</f>
        <v/>
      </c>
      <c r="C1378" s="32" t="n"/>
      <c r="D1378" s="36" t="n"/>
      <c r="E1378" s="36" t="n"/>
      <c r="F1378" s="36" t="n"/>
      <c r="G1378" s="42" t="n"/>
      <c r="H1378" s="37" t="n"/>
      <c r="I1378" s="37" t="n"/>
      <c r="J1378" s="32" t="n"/>
      <c r="K1378" s="32" t="n"/>
      <c r="L1378" s="43" t="n"/>
      <c r="M1378" s="36" t="n"/>
      <c r="N1378" s="44" t="n"/>
      <c r="O1378" s="36" t="n"/>
      <c r="P1378" s="33">
        <f>IF(C1378="","",Commercial_Id)</f>
        <v/>
      </c>
      <c r="Q1378" s="34">
        <f>IF(AC1378="","",IF(AD1378=1,"C"&amp;TEXT(SUM(AD$6:AD1378),"0000"),INDEX(Q$6:Q1377,MATCH(AC1378,AC$6:AC1377,0))))</f>
        <v/>
      </c>
      <c r="R1378" s="34">
        <f>IF(C1378="","",IF(L1378="☑ Oui","Annulée",IF(OR(E1378="Vente directe",K1378&lt;&gt;""),"Livrée",IF(J1378&lt;&gt;"","Confirmée","En attente"))))</f>
        <v/>
      </c>
      <c r="S1378" s="34">
        <f>IF(F1378="","",IFERROR(VLOOKUP(F1378,T_Produits,2,FALSE),""))</f>
        <v/>
      </c>
      <c r="T1378" s="40">
        <f>IF(F1378="","",IFERROR(1/(1/VLOOKUP(F1378,T_Produits,3,FALSE)),""))</f>
        <v/>
      </c>
      <c r="U1378" s="40">
        <f>IF(H1378&lt;&gt;"",H1378,T1378)</f>
        <v/>
      </c>
      <c r="V1378" s="40">
        <f>IF(OR(G1378="",U1378=""),"",G1378*U1378-N(I1378))</f>
        <v/>
      </c>
      <c r="W1378" s="39">
        <f>IF(D1378="","",IFERROR(VALUE(MID(D1378,LEN(D1378)-3,3)),""))</f>
        <v/>
      </c>
      <c r="X1378" s="33">
        <f>IF(W1378="","",P1378&amp;"|"&amp;W1378)</f>
        <v/>
      </c>
      <c r="Y1378" s="33">
        <f>IF(W1378="","",IF(P1378="À RENSEIGNER","GIC",P1378)&amp;"-"&amp;TEXT(W1378,"000"))</f>
        <v/>
      </c>
      <c r="Z1378" s="33">
        <f>IF(X1378="","",IFERROR(INDEX(Cl_nom,MATCH(X1378,Cl_cle,0)),"(client introuvable)"))</f>
        <v/>
      </c>
      <c r="AA1378" s="33">
        <f>IF(X1378="","",IFERROR(INDEX(Cl_quartier,MATCH(X1378,Cl_cle,0))&amp;"",""))</f>
        <v/>
      </c>
      <c r="AB1378" s="45">
        <f>IF(R1378&lt;&gt;"Livrée",0,IF(K1378&lt;&gt;"",K1378,C1378))</f>
        <v/>
      </c>
      <c r="AC1378" s="33">
        <f>IF(OR(C1378="",W1378=""),"",P1378&amp;"|"&amp;W1378&amp;"|"&amp;C1378&amp;"|"&amp;E1378)</f>
        <v/>
      </c>
      <c r="AD1378" s="39">
        <f>IF(AC1378="","",IF(COUNTIF(AC$6:AC1378,AC1378)=1,1,0))</f>
        <v/>
      </c>
      <c r="AE1378" s="39">
        <f>IF(AB1378=0,"",IF(COUNTIFS(X$6:X1378,X1378,AB$6:AB1378,AB1378)=1,1,0))</f>
        <v/>
      </c>
      <c r="AF1378" s="34">
        <f>IF(C1378="","",YEAR(C1378-WEEKDAY(C1378,2)+4)&amp;"-S"&amp;TEXT(INT((C1378-DATE(YEAR(C1378-WEEKDAY(C1378,2)+4),1,3)+WEEKDAY(DATE(YEAR(C1378-WEEKDAY(C1378,2)+4),1,3),2)+5)/7),"00"))</f>
        <v/>
      </c>
    </row>
    <row r="1379" ht="18" customHeight="1">
      <c r="A1379" s="39" t="n">
        <v>1374</v>
      </c>
      <c r="B1379" s="33">
        <f>IF(C1379="","",IF(P1379="À RENSEIGNER","GIC",P1379)&amp;"-C"&amp;TEXT(A1379,"00000"))</f>
        <v/>
      </c>
      <c r="C1379" s="32" t="n"/>
      <c r="D1379" s="36" t="n"/>
      <c r="E1379" s="36" t="n"/>
      <c r="F1379" s="36" t="n"/>
      <c r="G1379" s="42" t="n"/>
      <c r="H1379" s="37" t="n"/>
      <c r="I1379" s="37" t="n"/>
      <c r="J1379" s="32" t="n"/>
      <c r="K1379" s="32" t="n"/>
      <c r="L1379" s="43" t="n"/>
      <c r="M1379" s="36" t="n"/>
      <c r="N1379" s="44" t="n"/>
      <c r="O1379" s="36" t="n"/>
      <c r="P1379" s="33">
        <f>IF(C1379="","",Commercial_Id)</f>
        <v/>
      </c>
      <c r="Q1379" s="34">
        <f>IF(AC1379="","",IF(AD1379=1,"C"&amp;TEXT(SUM(AD$6:AD1379),"0000"),INDEX(Q$6:Q1378,MATCH(AC1379,AC$6:AC1378,0))))</f>
        <v/>
      </c>
      <c r="R1379" s="34">
        <f>IF(C1379="","",IF(L1379="☑ Oui","Annulée",IF(OR(E1379="Vente directe",K1379&lt;&gt;""),"Livrée",IF(J1379&lt;&gt;"","Confirmée","En attente"))))</f>
        <v/>
      </c>
      <c r="S1379" s="34">
        <f>IF(F1379="","",IFERROR(VLOOKUP(F1379,T_Produits,2,FALSE),""))</f>
        <v/>
      </c>
      <c r="T1379" s="40">
        <f>IF(F1379="","",IFERROR(1/(1/VLOOKUP(F1379,T_Produits,3,FALSE)),""))</f>
        <v/>
      </c>
      <c r="U1379" s="40">
        <f>IF(H1379&lt;&gt;"",H1379,T1379)</f>
        <v/>
      </c>
      <c r="V1379" s="40">
        <f>IF(OR(G1379="",U1379=""),"",G1379*U1379-N(I1379))</f>
        <v/>
      </c>
      <c r="W1379" s="39">
        <f>IF(D1379="","",IFERROR(VALUE(MID(D1379,LEN(D1379)-3,3)),""))</f>
        <v/>
      </c>
      <c r="X1379" s="33">
        <f>IF(W1379="","",P1379&amp;"|"&amp;W1379)</f>
        <v/>
      </c>
      <c r="Y1379" s="33">
        <f>IF(W1379="","",IF(P1379="À RENSEIGNER","GIC",P1379)&amp;"-"&amp;TEXT(W1379,"000"))</f>
        <v/>
      </c>
      <c r="Z1379" s="33">
        <f>IF(X1379="","",IFERROR(INDEX(Cl_nom,MATCH(X1379,Cl_cle,0)),"(client introuvable)"))</f>
        <v/>
      </c>
      <c r="AA1379" s="33">
        <f>IF(X1379="","",IFERROR(INDEX(Cl_quartier,MATCH(X1379,Cl_cle,0))&amp;"",""))</f>
        <v/>
      </c>
      <c r="AB1379" s="45">
        <f>IF(R1379&lt;&gt;"Livrée",0,IF(K1379&lt;&gt;"",K1379,C1379))</f>
        <v/>
      </c>
      <c r="AC1379" s="33">
        <f>IF(OR(C1379="",W1379=""),"",P1379&amp;"|"&amp;W1379&amp;"|"&amp;C1379&amp;"|"&amp;E1379)</f>
        <v/>
      </c>
      <c r="AD1379" s="39">
        <f>IF(AC1379="","",IF(COUNTIF(AC$6:AC1379,AC1379)=1,1,0))</f>
        <v/>
      </c>
      <c r="AE1379" s="39">
        <f>IF(AB1379=0,"",IF(COUNTIFS(X$6:X1379,X1379,AB$6:AB1379,AB1379)=1,1,0))</f>
        <v/>
      </c>
      <c r="AF1379" s="34">
        <f>IF(C1379="","",YEAR(C1379-WEEKDAY(C1379,2)+4)&amp;"-S"&amp;TEXT(INT((C1379-DATE(YEAR(C1379-WEEKDAY(C1379,2)+4),1,3)+WEEKDAY(DATE(YEAR(C1379-WEEKDAY(C1379,2)+4),1,3),2)+5)/7),"00"))</f>
        <v/>
      </c>
    </row>
    <row r="1380" ht="18" customHeight="1">
      <c r="A1380" s="39" t="n">
        <v>1375</v>
      </c>
      <c r="B1380" s="33">
        <f>IF(C1380="","",IF(P1380="À RENSEIGNER","GIC",P1380)&amp;"-C"&amp;TEXT(A1380,"00000"))</f>
        <v/>
      </c>
      <c r="C1380" s="32" t="n"/>
      <c r="D1380" s="36" t="n"/>
      <c r="E1380" s="36" t="n"/>
      <c r="F1380" s="36" t="n"/>
      <c r="G1380" s="42" t="n"/>
      <c r="H1380" s="37" t="n"/>
      <c r="I1380" s="37" t="n"/>
      <c r="J1380" s="32" t="n"/>
      <c r="K1380" s="32" t="n"/>
      <c r="L1380" s="43" t="n"/>
      <c r="M1380" s="36" t="n"/>
      <c r="N1380" s="44" t="n"/>
      <c r="O1380" s="36" t="n"/>
      <c r="P1380" s="33">
        <f>IF(C1380="","",Commercial_Id)</f>
        <v/>
      </c>
      <c r="Q1380" s="34">
        <f>IF(AC1380="","",IF(AD1380=1,"C"&amp;TEXT(SUM(AD$6:AD1380),"0000"),INDEX(Q$6:Q1379,MATCH(AC1380,AC$6:AC1379,0))))</f>
        <v/>
      </c>
      <c r="R1380" s="34">
        <f>IF(C1380="","",IF(L1380="☑ Oui","Annulée",IF(OR(E1380="Vente directe",K1380&lt;&gt;""),"Livrée",IF(J1380&lt;&gt;"","Confirmée","En attente"))))</f>
        <v/>
      </c>
      <c r="S1380" s="34">
        <f>IF(F1380="","",IFERROR(VLOOKUP(F1380,T_Produits,2,FALSE),""))</f>
        <v/>
      </c>
      <c r="T1380" s="40">
        <f>IF(F1380="","",IFERROR(1/(1/VLOOKUP(F1380,T_Produits,3,FALSE)),""))</f>
        <v/>
      </c>
      <c r="U1380" s="40">
        <f>IF(H1380&lt;&gt;"",H1380,T1380)</f>
        <v/>
      </c>
      <c r="V1380" s="40">
        <f>IF(OR(G1380="",U1380=""),"",G1380*U1380-N(I1380))</f>
        <v/>
      </c>
      <c r="W1380" s="39">
        <f>IF(D1380="","",IFERROR(VALUE(MID(D1380,LEN(D1380)-3,3)),""))</f>
        <v/>
      </c>
      <c r="X1380" s="33">
        <f>IF(W1380="","",P1380&amp;"|"&amp;W1380)</f>
        <v/>
      </c>
      <c r="Y1380" s="33">
        <f>IF(W1380="","",IF(P1380="À RENSEIGNER","GIC",P1380)&amp;"-"&amp;TEXT(W1380,"000"))</f>
        <v/>
      </c>
      <c r="Z1380" s="33">
        <f>IF(X1380="","",IFERROR(INDEX(Cl_nom,MATCH(X1380,Cl_cle,0)),"(client introuvable)"))</f>
        <v/>
      </c>
      <c r="AA1380" s="33">
        <f>IF(X1380="","",IFERROR(INDEX(Cl_quartier,MATCH(X1380,Cl_cle,0))&amp;"",""))</f>
        <v/>
      </c>
      <c r="AB1380" s="45">
        <f>IF(R1380&lt;&gt;"Livrée",0,IF(K1380&lt;&gt;"",K1380,C1380))</f>
        <v/>
      </c>
      <c r="AC1380" s="33">
        <f>IF(OR(C1380="",W1380=""),"",P1380&amp;"|"&amp;W1380&amp;"|"&amp;C1380&amp;"|"&amp;E1380)</f>
        <v/>
      </c>
      <c r="AD1380" s="39">
        <f>IF(AC1380="","",IF(COUNTIF(AC$6:AC1380,AC1380)=1,1,0))</f>
        <v/>
      </c>
      <c r="AE1380" s="39">
        <f>IF(AB1380=0,"",IF(COUNTIFS(X$6:X1380,X1380,AB$6:AB1380,AB1380)=1,1,0))</f>
        <v/>
      </c>
      <c r="AF1380" s="34">
        <f>IF(C1380="","",YEAR(C1380-WEEKDAY(C1380,2)+4)&amp;"-S"&amp;TEXT(INT((C1380-DATE(YEAR(C1380-WEEKDAY(C1380,2)+4),1,3)+WEEKDAY(DATE(YEAR(C1380-WEEKDAY(C1380,2)+4),1,3),2)+5)/7),"00"))</f>
        <v/>
      </c>
    </row>
    <row r="1381" ht="18" customHeight="1">
      <c r="A1381" s="39" t="n">
        <v>1376</v>
      </c>
      <c r="B1381" s="33">
        <f>IF(C1381="","",IF(P1381="À RENSEIGNER","GIC",P1381)&amp;"-C"&amp;TEXT(A1381,"00000"))</f>
        <v/>
      </c>
      <c r="C1381" s="32" t="n"/>
      <c r="D1381" s="36" t="n"/>
      <c r="E1381" s="36" t="n"/>
      <c r="F1381" s="36" t="n"/>
      <c r="G1381" s="42" t="n"/>
      <c r="H1381" s="37" t="n"/>
      <c r="I1381" s="37" t="n"/>
      <c r="J1381" s="32" t="n"/>
      <c r="K1381" s="32" t="n"/>
      <c r="L1381" s="43" t="n"/>
      <c r="M1381" s="36" t="n"/>
      <c r="N1381" s="44" t="n"/>
      <c r="O1381" s="36" t="n"/>
      <c r="P1381" s="33">
        <f>IF(C1381="","",Commercial_Id)</f>
        <v/>
      </c>
      <c r="Q1381" s="34">
        <f>IF(AC1381="","",IF(AD1381=1,"C"&amp;TEXT(SUM(AD$6:AD1381),"0000"),INDEX(Q$6:Q1380,MATCH(AC1381,AC$6:AC1380,0))))</f>
        <v/>
      </c>
      <c r="R1381" s="34">
        <f>IF(C1381="","",IF(L1381="☑ Oui","Annulée",IF(OR(E1381="Vente directe",K1381&lt;&gt;""),"Livrée",IF(J1381&lt;&gt;"","Confirmée","En attente"))))</f>
        <v/>
      </c>
      <c r="S1381" s="34">
        <f>IF(F1381="","",IFERROR(VLOOKUP(F1381,T_Produits,2,FALSE),""))</f>
        <v/>
      </c>
      <c r="T1381" s="40">
        <f>IF(F1381="","",IFERROR(1/(1/VLOOKUP(F1381,T_Produits,3,FALSE)),""))</f>
        <v/>
      </c>
      <c r="U1381" s="40">
        <f>IF(H1381&lt;&gt;"",H1381,T1381)</f>
        <v/>
      </c>
      <c r="V1381" s="40">
        <f>IF(OR(G1381="",U1381=""),"",G1381*U1381-N(I1381))</f>
        <v/>
      </c>
      <c r="W1381" s="39">
        <f>IF(D1381="","",IFERROR(VALUE(MID(D1381,LEN(D1381)-3,3)),""))</f>
        <v/>
      </c>
      <c r="X1381" s="33">
        <f>IF(W1381="","",P1381&amp;"|"&amp;W1381)</f>
        <v/>
      </c>
      <c r="Y1381" s="33">
        <f>IF(W1381="","",IF(P1381="À RENSEIGNER","GIC",P1381)&amp;"-"&amp;TEXT(W1381,"000"))</f>
        <v/>
      </c>
      <c r="Z1381" s="33">
        <f>IF(X1381="","",IFERROR(INDEX(Cl_nom,MATCH(X1381,Cl_cle,0)),"(client introuvable)"))</f>
        <v/>
      </c>
      <c r="AA1381" s="33">
        <f>IF(X1381="","",IFERROR(INDEX(Cl_quartier,MATCH(X1381,Cl_cle,0))&amp;"",""))</f>
        <v/>
      </c>
      <c r="AB1381" s="45">
        <f>IF(R1381&lt;&gt;"Livrée",0,IF(K1381&lt;&gt;"",K1381,C1381))</f>
        <v/>
      </c>
      <c r="AC1381" s="33">
        <f>IF(OR(C1381="",W1381=""),"",P1381&amp;"|"&amp;W1381&amp;"|"&amp;C1381&amp;"|"&amp;E1381)</f>
        <v/>
      </c>
      <c r="AD1381" s="39">
        <f>IF(AC1381="","",IF(COUNTIF(AC$6:AC1381,AC1381)=1,1,0))</f>
        <v/>
      </c>
      <c r="AE1381" s="39">
        <f>IF(AB1381=0,"",IF(COUNTIFS(X$6:X1381,X1381,AB$6:AB1381,AB1381)=1,1,0))</f>
        <v/>
      </c>
      <c r="AF1381" s="34">
        <f>IF(C1381="","",YEAR(C1381-WEEKDAY(C1381,2)+4)&amp;"-S"&amp;TEXT(INT((C1381-DATE(YEAR(C1381-WEEKDAY(C1381,2)+4),1,3)+WEEKDAY(DATE(YEAR(C1381-WEEKDAY(C1381,2)+4),1,3),2)+5)/7),"00"))</f>
        <v/>
      </c>
    </row>
    <row r="1382" ht="18" customHeight="1">
      <c r="A1382" s="39" t="n">
        <v>1377</v>
      </c>
      <c r="B1382" s="33">
        <f>IF(C1382="","",IF(P1382="À RENSEIGNER","GIC",P1382)&amp;"-C"&amp;TEXT(A1382,"00000"))</f>
        <v/>
      </c>
      <c r="C1382" s="32" t="n"/>
      <c r="D1382" s="36" t="n"/>
      <c r="E1382" s="36" t="n"/>
      <c r="F1382" s="36" t="n"/>
      <c r="G1382" s="42" t="n"/>
      <c r="H1382" s="37" t="n"/>
      <c r="I1382" s="37" t="n"/>
      <c r="J1382" s="32" t="n"/>
      <c r="K1382" s="32" t="n"/>
      <c r="L1382" s="43" t="n"/>
      <c r="M1382" s="36" t="n"/>
      <c r="N1382" s="44" t="n"/>
      <c r="O1382" s="36" t="n"/>
      <c r="P1382" s="33">
        <f>IF(C1382="","",Commercial_Id)</f>
        <v/>
      </c>
      <c r="Q1382" s="34">
        <f>IF(AC1382="","",IF(AD1382=1,"C"&amp;TEXT(SUM(AD$6:AD1382),"0000"),INDEX(Q$6:Q1381,MATCH(AC1382,AC$6:AC1381,0))))</f>
        <v/>
      </c>
      <c r="R1382" s="34">
        <f>IF(C1382="","",IF(L1382="☑ Oui","Annulée",IF(OR(E1382="Vente directe",K1382&lt;&gt;""),"Livrée",IF(J1382&lt;&gt;"","Confirmée","En attente"))))</f>
        <v/>
      </c>
      <c r="S1382" s="34">
        <f>IF(F1382="","",IFERROR(VLOOKUP(F1382,T_Produits,2,FALSE),""))</f>
        <v/>
      </c>
      <c r="T1382" s="40">
        <f>IF(F1382="","",IFERROR(1/(1/VLOOKUP(F1382,T_Produits,3,FALSE)),""))</f>
        <v/>
      </c>
      <c r="U1382" s="40">
        <f>IF(H1382&lt;&gt;"",H1382,T1382)</f>
        <v/>
      </c>
      <c r="V1382" s="40">
        <f>IF(OR(G1382="",U1382=""),"",G1382*U1382-N(I1382))</f>
        <v/>
      </c>
      <c r="W1382" s="39">
        <f>IF(D1382="","",IFERROR(VALUE(MID(D1382,LEN(D1382)-3,3)),""))</f>
        <v/>
      </c>
      <c r="X1382" s="33">
        <f>IF(W1382="","",P1382&amp;"|"&amp;W1382)</f>
        <v/>
      </c>
      <c r="Y1382" s="33">
        <f>IF(W1382="","",IF(P1382="À RENSEIGNER","GIC",P1382)&amp;"-"&amp;TEXT(W1382,"000"))</f>
        <v/>
      </c>
      <c r="Z1382" s="33">
        <f>IF(X1382="","",IFERROR(INDEX(Cl_nom,MATCH(X1382,Cl_cle,0)),"(client introuvable)"))</f>
        <v/>
      </c>
      <c r="AA1382" s="33">
        <f>IF(X1382="","",IFERROR(INDEX(Cl_quartier,MATCH(X1382,Cl_cle,0))&amp;"",""))</f>
        <v/>
      </c>
      <c r="AB1382" s="45">
        <f>IF(R1382&lt;&gt;"Livrée",0,IF(K1382&lt;&gt;"",K1382,C1382))</f>
        <v/>
      </c>
      <c r="AC1382" s="33">
        <f>IF(OR(C1382="",W1382=""),"",P1382&amp;"|"&amp;W1382&amp;"|"&amp;C1382&amp;"|"&amp;E1382)</f>
        <v/>
      </c>
      <c r="AD1382" s="39">
        <f>IF(AC1382="","",IF(COUNTIF(AC$6:AC1382,AC1382)=1,1,0))</f>
        <v/>
      </c>
      <c r="AE1382" s="39">
        <f>IF(AB1382=0,"",IF(COUNTIFS(X$6:X1382,X1382,AB$6:AB1382,AB1382)=1,1,0))</f>
        <v/>
      </c>
      <c r="AF1382" s="34">
        <f>IF(C1382="","",YEAR(C1382-WEEKDAY(C1382,2)+4)&amp;"-S"&amp;TEXT(INT((C1382-DATE(YEAR(C1382-WEEKDAY(C1382,2)+4),1,3)+WEEKDAY(DATE(YEAR(C1382-WEEKDAY(C1382,2)+4),1,3),2)+5)/7),"00"))</f>
        <v/>
      </c>
    </row>
    <row r="1383" ht="18" customHeight="1">
      <c r="A1383" s="39" t="n">
        <v>1378</v>
      </c>
      <c r="B1383" s="33">
        <f>IF(C1383="","",IF(P1383="À RENSEIGNER","GIC",P1383)&amp;"-C"&amp;TEXT(A1383,"00000"))</f>
        <v/>
      </c>
      <c r="C1383" s="32" t="n"/>
      <c r="D1383" s="36" t="n"/>
      <c r="E1383" s="36" t="n"/>
      <c r="F1383" s="36" t="n"/>
      <c r="G1383" s="42" t="n"/>
      <c r="H1383" s="37" t="n"/>
      <c r="I1383" s="37" t="n"/>
      <c r="J1383" s="32" t="n"/>
      <c r="K1383" s="32" t="n"/>
      <c r="L1383" s="43" t="n"/>
      <c r="M1383" s="36" t="n"/>
      <c r="N1383" s="44" t="n"/>
      <c r="O1383" s="36" t="n"/>
      <c r="P1383" s="33">
        <f>IF(C1383="","",Commercial_Id)</f>
        <v/>
      </c>
      <c r="Q1383" s="34">
        <f>IF(AC1383="","",IF(AD1383=1,"C"&amp;TEXT(SUM(AD$6:AD1383),"0000"),INDEX(Q$6:Q1382,MATCH(AC1383,AC$6:AC1382,0))))</f>
        <v/>
      </c>
      <c r="R1383" s="34">
        <f>IF(C1383="","",IF(L1383="☑ Oui","Annulée",IF(OR(E1383="Vente directe",K1383&lt;&gt;""),"Livrée",IF(J1383&lt;&gt;"","Confirmée","En attente"))))</f>
        <v/>
      </c>
      <c r="S1383" s="34">
        <f>IF(F1383="","",IFERROR(VLOOKUP(F1383,T_Produits,2,FALSE),""))</f>
        <v/>
      </c>
      <c r="T1383" s="40">
        <f>IF(F1383="","",IFERROR(1/(1/VLOOKUP(F1383,T_Produits,3,FALSE)),""))</f>
        <v/>
      </c>
      <c r="U1383" s="40">
        <f>IF(H1383&lt;&gt;"",H1383,T1383)</f>
        <v/>
      </c>
      <c r="V1383" s="40">
        <f>IF(OR(G1383="",U1383=""),"",G1383*U1383-N(I1383))</f>
        <v/>
      </c>
      <c r="W1383" s="39">
        <f>IF(D1383="","",IFERROR(VALUE(MID(D1383,LEN(D1383)-3,3)),""))</f>
        <v/>
      </c>
      <c r="X1383" s="33">
        <f>IF(W1383="","",P1383&amp;"|"&amp;W1383)</f>
        <v/>
      </c>
      <c r="Y1383" s="33">
        <f>IF(W1383="","",IF(P1383="À RENSEIGNER","GIC",P1383)&amp;"-"&amp;TEXT(W1383,"000"))</f>
        <v/>
      </c>
      <c r="Z1383" s="33">
        <f>IF(X1383="","",IFERROR(INDEX(Cl_nom,MATCH(X1383,Cl_cle,0)),"(client introuvable)"))</f>
        <v/>
      </c>
      <c r="AA1383" s="33">
        <f>IF(X1383="","",IFERROR(INDEX(Cl_quartier,MATCH(X1383,Cl_cle,0))&amp;"",""))</f>
        <v/>
      </c>
      <c r="AB1383" s="45">
        <f>IF(R1383&lt;&gt;"Livrée",0,IF(K1383&lt;&gt;"",K1383,C1383))</f>
        <v/>
      </c>
      <c r="AC1383" s="33">
        <f>IF(OR(C1383="",W1383=""),"",P1383&amp;"|"&amp;W1383&amp;"|"&amp;C1383&amp;"|"&amp;E1383)</f>
        <v/>
      </c>
      <c r="AD1383" s="39">
        <f>IF(AC1383="","",IF(COUNTIF(AC$6:AC1383,AC1383)=1,1,0))</f>
        <v/>
      </c>
      <c r="AE1383" s="39">
        <f>IF(AB1383=0,"",IF(COUNTIFS(X$6:X1383,X1383,AB$6:AB1383,AB1383)=1,1,0))</f>
        <v/>
      </c>
      <c r="AF1383" s="34">
        <f>IF(C1383="","",YEAR(C1383-WEEKDAY(C1383,2)+4)&amp;"-S"&amp;TEXT(INT((C1383-DATE(YEAR(C1383-WEEKDAY(C1383,2)+4),1,3)+WEEKDAY(DATE(YEAR(C1383-WEEKDAY(C1383,2)+4),1,3),2)+5)/7),"00"))</f>
        <v/>
      </c>
    </row>
    <row r="1384" ht="18" customHeight="1">
      <c r="A1384" s="39" t="n">
        <v>1379</v>
      </c>
      <c r="B1384" s="33">
        <f>IF(C1384="","",IF(P1384="À RENSEIGNER","GIC",P1384)&amp;"-C"&amp;TEXT(A1384,"00000"))</f>
        <v/>
      </c>
      <c r="C1384" s="32" t="n"/>
      <c r="D1384" s="36" t="n"/>
      <c r="E1384" s="36" t="n"/>
      <c r="F1384" s="36" t="n"/>
      <c r="G1384" s="42" t="n"/>
      <c r="H1384" s="37" t="n"/>
      <c r="I1384" s="37" t="n"/>
      <c r="J1384" s="32" t="n"/>
      <c r="K1384" s="32" t="n"/>
      <c r="L1384" s="43" t="n"/>
      <c r="M1384" s="36" t="n"/>
      <c r="N1384" s="44" t="n"/>
      <c r="O1384" s="36" t="n"/>
      <c r="P1384" s="33">
        <f>IF(C1384="","",Commercial_Id)</f>
        <v/>
      </c>
      <c r="Q1384" s="34">
        <f>IF(AC1384="","",IF(AD1384=1,"C"&amp;TEXT(SUM(AD$6:AD1384),"0000"),INDEX(Q$6:Q1383,MATCH(AC1384,AC$6:AC1383,0))))</f>
        <v/>
      </c>
      <c r="R1384" s="34">
        <f>IF(C1384="","",IF(L1384="☑ Oui","Annulée",IF(OR(E1384="Vente directe",K1384&lt;&gt;""),"Livrée",IF(J1384&lt;&gt;"","Confirmée","En attente"))))</f>
        <v/>
      </c>
      <c r="S1384" s="34">
        <f>IF(F1384="","",IFERROR(VLOOKUP(F1384,T_Produits,2,FALSE),""))</f>
        <v/>
      </c>
      <c r="T1384" s="40">
        <f>IF(F1384="","",IFERROR(1/(1/VLOOKUP(F1384,T_Produits,3,FALSE)),""))</f>
        <v/>
      </c>
      <c r="U1384" s="40">
        <f>IF(H1384&lt;&gt;"",H1384,T1384)</f>
        <v/>
      </c>
      <c r="V1384" s="40">
        <f>IF(OR(G1384="",U1384=""),"",G1384*U1384-N(I1384))</f>
        <v/>
      </c>
      <c r="W1384" s="39">
        <f>IF(D1384="","",IFERROR(VALUE(MID(D1384,LEN(D1384)-3,3)),""))</f>
        <v/>
      </c>
      <c r="X1384" s="33">
        <f>IF(W1384="","",P1384&amp;"|"&amp;W1384)</f>
        <v/>
      </c>
      <c r="Y1384" s="33">
        <f>IF(W1384="","",IF(P1384="À RENSEIGNER","GIC",P1384)&amp;"-"&amp;TEXT(W1384,"000"))</f>
        <v/>
      </c>
      <c r="Z1384" s="33">
        <f>IF(X1384="","",IFERROR(INDEX(Cl_nom,MATCH(X1384,Cl_cle,0)),"(client introuvable)"))</f>
        <v/>
      </c>
      <c r="AA1384" s="33">
        <f>IF(X1384="","",IFERROR(INDEX(Cl_quartier,MATCH(X1384,Cl_cle,0))&amp;"",""))</f>
        <v/>
      </c>
      <c r="AB1384" s="45">
        <f>IF(R1384&lt;&gt;"Livrée",0,IF(K1384&lt;&gt;"",K1384,C1384))</f>
        <v/>
      </c>
      <c r="AC1384" s="33">
        <f>IF(OR(C1384="",W1384=""),"",P1384&amp;"|"&amp;W1384&amp;"|"&amp;C1384&amp;"|"&amp;E1384)</f>
        <v/>
      </c>
      <c r="AD1384" s="39">
        <f>IF(AC1384="","",IF(COUNTIF(AC$6:AC1384,AC1384)=1,1,0))</f>
        <v/>
      </c>
      <c r="AE1384" s="39">
        <f>IF(AB1384=0,"",IF(COUNTIFS(X$6:X1384,X1384,AB$6:AB1384,AB1384)=1,1,0))</f>
        <v/>
      </c>
      <c r="AF1384" s="34">
        <f>IF(C1384="","",YEAR(C1384-WEEKDAY(C1384,2)+4)&amp;"-S"&amp;TEXT(INT((C1384-DATE(YEAR(C1384-WEEKDAY(C1384,2)+4),1,3)+WEEKDAY(DATE(YEAR(C1384-WEEKDAY(C1384,2)+4),1,3),2)+5)/7),"00"))</f>
        <v/>
      </c>
    </row>
    <row r="1385" ht="18" customHeight="1">
      <c r="A1385" s="39" t="n">
        <v>1380</v>
      </c>
      <c r="B1385" s="33">
        <f>IF(C1385="","",IF(P1385="À RENSEIGNER","GIC",P1385)&amp;"-C"&amp;TEXT(A1385,"00000"))</f>
        <v/>
      </c>
      <c r="C1385" s="32" t="n"/>
      <c r="D1385" s="36" t="n"/>
      <c r="E1385" s="36" t="n"/>
      <c r="F1385" s="36" t="n"/>
      <c r="G1385" s="42" t="n"/>
      <c r="H1385" s="37" t="n"/>
      <c r="I1385" s="37" t="n"/>
      <c r="J1385" s="32" t="n"/>
      <c r="K1385" s="32" t="n"/>
      <c r="L1385" s="43" t="n"/>
      <c r="M1385" s="36" t="n"/>
      <c r="N1385" s="44" t="n"/>
      <c r="O1385" s="36" t="n"/>
      <c r="P1385" s="33">
        <f>IF(C1385="","",Commercial_Id)</f>
        <v/>
      </c>
      <c r="Q1385" s="34">
        <f>IF(AC1385="","",IF(AD1385=1,"C"&amp;TEXT(SUM(AD$6:AD1385),"0000"),INDEX(Q$6:Q1384,MATCH(AC1385,AC$6:AC1384,0))))</f>
        <v/>
      </c>
      <c r="R1385" s="34">
        <f>IF(C1385="","",IF(L1385="☑ Oui","Annulée",IF(OR(E1385="Vente directe",K1385&lt;&gt;""),"Livrée",IF(J1385&lt;&gt;"","Confirmée","En attente"))))</f>
        <v/>
      </c>
      <c r="S1385" s="34">
        <f>IF(F1385="","",IFERROR(VLOOKUP(F1385,T_Produits,2,FALSE),""))</f>
        <v/>
      </c>
      <c r="T1385" s="40">
        <f>IF(F1385="","",IFERROR(1/(1/VLOOKUP(F1385,T_Produits,3,FALSE)),""))</f>
        <v/>
      </c>
      <c r="U1385" s="40">
        <f>IF(H1385&lt;&gt;"",H1385,T1385)</f>
        <v/>
      </c>
      <c r="V1385" s="40">
        <f>IF(OR(G1385="",U1385=""),"",G1385*U1385-N(I1385))</f>
        <v/>
      </c>
      <c r="W1385" s="39">
        <f>IF(D1385="","",IFERROR(VALUE(MID(D1385,LEN(D1385)-3,3)),""))</f>
        <v/>
      </c>
      <c r="X1385" s="33">
        <f>IF(W1385="","",P1385&amp;"|"&amp;W1385)</f>
        <v/>
      </c>
      <c r="Y1385" s="33">
        <f>IF(W1385="","",IF(P1385="À RENSEIGNER","GIC",P1385)&amp;"-"&amp;TEXT(W1385,"000"))</f>
        <v/>
      </c>
      <c r="Z1385" s="33">
        <f>IF(X1385="","",IFERROR(INDEX(Cl_nom,MATCH(X1385,Cl_cle,0)),"(client introuvable)"))</f>
        <v/>
      </c>
      <c r="AA1385" s="33">
        <f>IF(X1385="","",IFERROR(INDEX(Cl_quartier,MATCH(X1385,Cl_cle,0))&amp;"",""))</f>
        <v/>
      </c>
      <c r="AB1385" s="45">
        <f>IF(R1385&lt;&gt;"Livrée",0,IF(K1385&lt;&gt;"",K1385,C1385))</f>
        <v/>
      </c>
      <c r="AC1385" s="33">
        <f>IF(OR(C1385="",W1385=""),"",P1385&amp;"|"&amp;W1385&amp;"|"&amp;C1385&amp;"|"&amp;E1385)</f>
        <v/>
      </c>
      <c r="AD1385" s="39">
        <f>IF(AC1385="","",IF(COUNTIF(AC$6:AC1385,AC1385)=1,1,0))</f>
        <v/>
      </c>
      <c r="AE1385" s="39">
        <f>IF(AB1385=0,"",IF(COUNTIFS(X$6:X1385,X1385,AB$6:AB1385,AB1385)=1,1,0))</f>
        <v/>
      </c>
      <c r="AF1385" s="34">
        <f>IF(C1385="","",YEAR(C1385-WEEKDAY(C1385,2)+4)&amp;"-S"&amp;TEXT(INT((C1385-DATE(YEAR(C1385-WEEKDAY(C1385,2)+4),1,3)+WEEKDAY(DATE(YEAR(C1385-WEEKDAY(C1385,2)+4),1,3),2)+5)/7),"00"))</f>
        <v/>
      </c>
    </row>
    <row r="1386" ht="18" customHeight="1">
      <c r="A1386" s="39" t="n">
        <v>1381</v>
      </c>
      <c r="B1386" s="33">
        <f>IF(C1386="","",IF(P1386="À RENSEIGNER","GIC",P1386)&amp;"-C"&amp;TEXT(A1386,"00000"))</f>
        <v/>
      </c>
      <c r="C1386" s="32" t="n"/>
      <c r="D1386" s="36" t="n"/>
      <c r="E1386" s="36" t="n"/>
      <c r="F1386" s="36" t="n"/>
      <c r="G1386" s="42" t="n"/>
      <c r="H1386" s="37" t="n"/>
      <c r="I1386" s="37" t="n"/>
      <c r="J1386" s="32" t="n"/>
      <c r="K1386" s="32" t="n"/>
      <c r="L1386" s="43" t="n"/>
      <c r="M1386" s="36" t="n"/>
      <c r="N1386" s="44" t="n"/>
      <c r="O1386" s="36" t="n"/>
      <c r="P1386" s="33">
        <f>IF(C1386="","",Commercial_Id)</f>
        <v/>
      </c>
      <c r="Q1386" s="34">
        <f>IF(AC1386="","",IF(AD1386=1,"C"&amp;TEXT(SUM(AD$6:AD1386),"0000"),INDEX(Q$6:Q1385,MATCH(AC1386,AC$6:AC1385,0))))</f>
        <v/>
      </c>
      <c r="R1386" s="34">
        <f>IF(C1386="","",IF(L1386="☑ Oui","Annulée",IF(OR(E1386="Vente directe",K1386&lt;&gt;""),"Livrée",IF(J1386&lt;&gt;"","Confirmée","En attente"))))</f>
        <v/>
      </c>
      <c r="S1386" s="34">
        <f>IF(F1386="","",IFERROR(VLOOKUP(F1386,T_Produits,2,FALSE),""))</f>
        <v/>
      </c>
      <c r="T1386" s="40">
        <f>IF(F1386="","",IFERROR(1/(1/VLOOKUP(F1386,T_Produits,3,FALSE)),""))</f>
        <v/>
      </c>
      <c r="U1386" s="40">
        <f>IF(H1386&lt;&gt;"",H1386,T1386)</f>
        <v/>
      </c>
      <c r="V1386" s="40">
        <f>IF(OR(G1386="",U1386=""),"",G1386*U1386-N(I1386))</f>
        <v/>
      </c>
      <c r="W1386" s="39">
        <f>IF(D1386="","",IFERROR(VALUE(MID(D1386,LEN(D1386)-3,3)),""))</f>
        <v/>
      </c>
      <c r="X1386" s="33">
        <f>IF(W1386="","",P1386&amp;"|"&amp;W1386)</f>
        <v/>
      </c>
      <c r="Y1386" s="33">
        <f>IF(W1386="","",IF(P1386="À RENSEIGNER","GIC",P1386)&amp;"-"&amp;TEXT(W1386,"000"))</f>
        <v/>
      </c>
      <c r="Z1386" s="33">
        <f>IF(X1386="","",IFERROR(INDEX(Cl_nom,MATCH(X1386,Cl_cle,0)),"(client introuvable)"))</f>
        <v/>
      </c>
      <c r="AA1386" s="33">
        <f>IF(X1386="","",IFERROR(INDEX(Cl_quartier,MATCH(X1386,Cl_cle,0))&amp;"",""))</f>
        <v/>
      </c>
      <c r="AB1386" s="45">
        <f>IF(R1386&lt;&gt;"Livrée",0,IF(K1386&lt;&gt;"",K1386,C1386))</f>
        <v/>
      </c>
      <c r="AC1386" s="33">
        <f>IF(OR(C1386="",W1386=""),"",P1386&amp;"|"&amp;W1386&amp;"|"&amp;C1386&amp;"|"&amp;E1386)</f>
        <v/>
      </c>
      <c r="AD1386" s="39">
        <f>IF(AC1386="","",IF(COUNTIF(AC$6:AC1386,AC1386)=1,1,0))</f>
        <v/>
      </c>
      <c r="AE1386" s="39">
        <f>IF(AB1386=0,"",IF(COUNTIFS(X$6:X1386,X1386,AB$6:AB1386,AB1386)=1,1,0))</f>
        <v/>
      </c>
      <c r="AF1386" s="34">
        <f>IF(C1386="","",YEAR(C1386-WEEKDAY(C1386,2)+4)&amp;"-S"&amp;TEXT(INT((C1386-DATE(YEAR(C1386-WEEKDAY(C1386,2)+4),1,3)+WEEKDAY(DATE(YEAR(C1386-WEEKDAY(C1386,2)+4),1,3),2)+5)/7),"00"))</f>
        <v/>
      </c>
    </row>
    <row r="1387" ht="18" customHeight="1">
      <c r="A1387" s="39" t="n">
        <v>1382</v>
      </c>
      <c r="B1387" s="33">
        <f>IF(C1387="","",IF(P1387="À RENSEIGNER","GIC",P1387)&amp;"-C"&amp;TEXT(A1387,"00000"))</f>
        <v/>
      </c>
      <c r="C1387" s="32" t="n"/>
      <c r="D1387" s="36" t="n"/>
      <c r="E1387" s="36" t="n"/>
      <c r="F1387" s="36" t="n"/>
      <c r="G1387" s="42" t="n"/>
      <c r="H1387" s="37" t="n"/>
      <c r="I1387" s="37" t="n"/>
      <c r="J1387" s="32" t="n"/>
      <c r="K1387" s="32" t="n"/>
      <c r="L1387" s="43" t="n"/>
      <c r="M1387" s="36" t="n"/>
      <c r="N1387" s="44" t="n"/>
      <c r="O1387" s="36" t="n"/>
      <c r="P1387" s="33">
        <f>IF(C1387="","",Commercial_Id)</f>
        <v/>
      </c>
      <c r="Q1387" s="34">
        <f>IF(AC1387="","",IF(AD1387=1,"C"&amp;TEXT(SUM(AD$6:AD1387),"0000"),INDEX(Q$6:Q1386,MATCH(AC1387,AC$6:AC1386,0))))</f>
        <v/>
      </c>
      <c r="R1387" s="34">
        <f>IF(C1387="","",IF(L1387="☑ Oui","Annulée",IF(OR(E1387="Vente directe",K1387&lt;&gt;""),"Livrée",IF(J1387&lt;&gt;"","Confirmée","En attente"))))</f>
        <v/>
      </c>
      <c r="S1387" s="34">
        <f>IF(F1387="","",IFERROR(VLOOKUP(F1387,T_Produits,2,FALSE),""))</f>
        <v/>
      </c>
      <c r="T1387" s="40">
        <f>IF(F1387="","",IFERROR(1/(1/VLOOKUP(F1387,T_Produits,3,FALSE)),""))</f>
        <v/>
      </c>
      <c r="U1387" s="40">
        <f>IF(H1387&lt;&gt;"",H1387,T1387)</f>
        <v/>
      </c>
      <c r="V1387" s="40">
        <f>IF(OR(G1387="",U1387=""),"",G1387*U1387-N(I1387))</f>
        <v/>
      </c>
      <c r="W1387" s="39">
        <f>IF(D1387="","",IFERROR(VALUE(MID(D1387,LEN(D1387)-3,3)),""))</f>
        <v/>
      </c>
      <c r="X1387" s="33">
        <f>IF(W1387="","",P1387&amp;"|"&amp;W1387)</f>
        <v/>
      </c>
      <c r="Y1387" s="33">
        <f>IF(W1387="","",IF(P1387="À RENSEIGNER","GIC",P1387)&amp;"-"&amp;TEXT(W1387,"000"))</f>
        <v/>
      </c>
      <c r="Z1387" s="33">
        <f>IF(X1387="","",IFERROR(INDEX(Cl_nom,MATCH(X1387,Cl_cle,0)),"(client introuvable)"))</f>
        <v/>
      </c>
      <c r="AA1387" s="33">
        <f>IF(X1387="","",IFERROR(INDEX(Cl_quartier,MATCH(X1387,Cl_cle,0))&amp;"",""))</f>
        <v/>
      </c>
      <c r="AB1387" s="45">
        <f>IF(R1387&lt;&gt;"Livrée",0,IF(K1387&lt;&gt;"",K1387,C1387))</f>
        <v/>
      </c>
      <c r="AC1387" s="33">
        <f>IF(OR(C1387="",W1387=""),"",P1387&amp;"|"&amp;W1387&amp;"|"&amp;C1387&amp;"|"&amp;E1387)</f>
        <v/>
      </c>
      <c r="AD1387" s="39">
        <f>IF(AC1387="","",IF(COUNTIF(AC$6:AC1387,AC1387)=1,1,0))</f>
        <v/>
      </c>
      <c r="AE1387" s="39">
        <f>IF(AB1387=0,"",IF(COUNTIFS(X$6:X1387,X1387,AB$6:AB1387,AB1387)=1,1,0))</f>
        <v/>
      </c>
      <c r="AF1387" s="34">
        <f>IF(C1387="","",YEAR(C1387-WEEKDAY(C1387,2)+4)&amp;"-S"&amp;TEXT(INT((C1387-DATE(YEAR(C1387-WEEKDAY(C1387,2)+4),1,3)+WEEKDAY(DATE(YEAR(C1387-WEEKDAY(C1387,2)+4),1,3),2)+5)/7),"00"))</f>
        <v/>
      </c>
    </row>
    <row r="1388" ht="18" customHeight="1">
      <c r="A1388" s="39" t="n">
        <v>1383</v>
      </c>
      <c r="B1388" s="33">
        <f>IF(C1388="","",IF(P1388="À RENSEIGNER","GIC",P1388)&amp;"-C"&amp;TEXT(A1388,"00000"))</f>
        <v/>
      </c>
      <c r="C1388" s="32" t="n"/>
      <c r="D1388" s="36" t="n"/>
      <c r="E1388" s="36" t="n"/>
      <c r="F1388" s="36" t="n"/>
      <c r="G1388" s="42" t="n"/>
      <c r="H1388" s="37" t="n"/>
      <c r="I1388" s="37" t="n"/>
      <c r="J1388" s="32" t="n"/>
      <c r="K1388" s="32" t="n"/>
      <c r="L1388" s="43" t="n"/>
      <c r="M1388" s="36" t="n"/>
      <c r="N1388" s="44" t="n"/>
      <c r="O1388" s="36" t="n"/>
      <c r="P1388" s="33">
        <f>IF(C1388="","",Commercial_Id)</f>
        <v/>
      </c>
      <c r="Q1388" s="34">
        <f>IF(AC1388="","",IF(AD1388=1,"C"&amp;TEXT(SUM(AD$6:AD1388),"0000"),INDEX(Q$6:Q1387,MATCH(AC1388,AC$6:AC1387,0))))</f>
        <v/>
      </c>
      <c r="R1388" s="34">
        <f>IF(C1388="","",IF(L1388="☑ Oui","Annulée",IF(OR(E1388="Vente directe",K1388&lt;&gt;""),"Livrée",IF(J1388&lt;&gt;"","Confirmée","En attente"))))</f>
        <v/>
      </c>
      <c r="S1388" s="34">
        <f>IF(F1388="","",IFERROR(VLOOKUP(F1388,T_Produits,2,FALSE),""))</f>
        <v/>
      </c>
      <c r="T1388" s="40">
        <f>IF(F1388="","",IFERROR(1/(1/VLOOKUP(F1388,T_Produits,3,FALSE)),""))</f>
        <v/>
      </c>
      <c r="U1388" s="40">
        <f>IF(H1388&lt;&gt;"",H1388,T1388)</f>
        <v/>
      </c>
      <c r="V1388" s="40">
        <f>IF(OR(G1388="",U1388=""),"",G1388*U1388-N(I1388))</f>
        <v/>
      </c>
      <c r="W1388" s="39">
        <f>IF(D1388="","",IFERROR(VALUE(MID(D1388,LEN(D1388)-3,3)),""))</f>
        <v/>
      </c>
      <c r="X1388" s="33">
        <f>IF(W1388="","",P1388&amp;"|"&amp;W1388)</f>
        <v/>
      </c>
      <c r="Y1388" s="33">
        <f>IF(W1388="","",IF(P1388="À RENSEIGNER","GIC",P1388)&amp;"-"&amp;TEXT(W1388,"000"))</f>
        <v/>
      </c>
      <c r="Z1388" s="33">
        <f>IF(X1388="","",IFERROR(INDEX(Cl_nom,MATCH(X1388,Cl_cle,0)),"(client introuvable)"))</f>
        <v/>
      </c>
      <c r="AA1388" s="33">
        <f>IF(X1388="","",IFERROR(INDEX(Cl_quartier,MATCH(X1388,Cl_cle,0))&amp;"",""))</f>
        <v/>
      </c>
      <c r="AB1388" s="45">
        <f>IF(R1388&lt;&gt;"Livrée",0,IF(K1388&lt;&gt;"",K1388,C1388))</f>
        <v/>
      </c>
      <c r="AC1388" s="33">
        <f>IF(OR(C1388="",W1388=""),"",P1388&amp;"|"&amp;W1388&amp;"|"&amp;C1388&amp;"|"&amp;E1388)</f>
        <v/>
      </c>
      <c r="AD1388" s="39">
        <f>IF(AC1388="","",IF(COUNTIF(AC$6:AC1388,AC1388)=1,1,0))</f>
        <v/>
      </c>
      <c r="AE1388" s="39">
        <f>IF(AB1388=0,"",IF(COUNTIFS(X$6:X1388,X1388,AB$6:AB1388,AB1388)=1,1,0))</f>
        <v/>
      </c>
      <c r="AF1388" s="34">
        <f>IF(C1388="","",YEAR(C1388-WEEKDAY(C1388,2)+4)&amp;"-S"&amp;TEXT(INT((C1388-DATE(YEAR(C1388-WEEKDAY(C1388,2)+4),1,3)+WEEKDAY(DATE(YEAR(C1388-WEEKDAY(C1388,2)+4),1,3),2)+5)/7),"00"))</f>
        <v/>
      </c>
    </row>
    <row r="1389" ht="18" customHeight="1">
      <c r="A1389" s="39" t="n">
        <v>1384</v>
      </c>
      <c r="B1389" s="33">
        <f>IF(C1389="","",IF(P1389="À RENSEIGNER","GIC",P1389)&amp;"-C"&amp;TEXT(A1389,"00000"))</f>
        <v/>
      </c>
      <c r="C1389" s="32" t="n"/>
      <c r="D1389" s="36" t="n"/>
      <c r="E1389" s="36" t="n"/>
      <c r="F1389" s="36" t="n"/>
      <c r="G1389" s="42" t="n"/>
      <c r="H1389" s="37" t="n"/>
      <c r="I1389" s="37" t="n"/>
      <c r="J1389" s="32" t="n"/>
      <c r="K1389" s="32" t="n"/>
      <c r="L1389" s="43" t="n"/>
      <c r="M1389" s="36" t="n"/>
      <c r="N1389" s="44" t="n"/>
      <c r="O1389" s="36" t="n"/>
      <c r="P1389" s="33">
        <f>IF(C1389="","",Commercial_Id)</f>
        <v/>
      </c>
      <c r="Q1389" s="34">
        <f>IF(AC1389="","",IF(AD1389=1,"C"&amp;TEXT(SUM(AD$6:AD1389),"0000"),INDEX(Q$6:Q1388,MATCH(AC1389,AC$6:AC1388,0))))</f>
        <v/>
      </c>
      <c r="R1389" s="34">
        <f>IF(C1389="","",IF(L1389="☑ Oui","Annulée",IF(OR(E1389="Vente directe",K1389&lt;&gt;""),"Livrée",IF(J1389&lt;&gt;"","Confirmée","En attente"))))</f>
        <v/>
      </c>
      <c r="S1389" s="34">
        <f>IF(F1389="","",IFERROR(VLOOKUP(F1389,T_Produits,2,FALSE),""))</f>
        <v/>
      </c>
      <c r="T1389" s="40">
        <f>IF(F1389="","",IFERROR(1/(1/VLOOKUP(F1389,T_Produits,3,FALSE)),""))</f>
        <v/>
      </c>
      <c r="U1389" s="40">
        <f>IF(H1389&lt;&gt;"",H1389,T1389)</f>
        <v/>
      </c>
      <c r="V1389" s="40">
        <f>IF(OR(G1389="",U1389=""),"",G1389*U1389-N(I1389))</f>
        <v/>
      </c>
      <c r="W1389" s="39">
        <f>IF(D1389="","",IFERROR(VALUE(MID(D1389,LEN(D1389)-3,3)),""))</f>
        <v/>
      </c>
      <c r="X1389" s="33">
        <f>IF(W1389="","",P1389&amp;"|"&amp;W1389)</f>
        <v/>
      </c>
      <c r="Y1389" s="33">
        <f>IF(W1389="","",IF(P1389="À RENSEIGNER","GIC",P1389)&amp;"-"&amp;TEXT(W1389,"000"))</f>
        <v/>
      </c>
      <c r="Z1389" s="33">
        <f>IF(X1389="","",IFERROR(INDEX(Cl_nom,MATCH(X1389,Cl_cle,0)),"(client introuvable)"))</f>
        <v/>
      </c>
      <c r="AA1389" s="33">
        <f>IF(X1389="","",IFERROR(INDEX(Cl_quartier,MATCH(X1389,Cl_cle,0))&amp;"",""))</f>
        <v/>
      </c>
      <c r="AB1389" s="45">
        <f>IF(R1389&lt;&gt;"Livrée",0,IF(K1389&lt;&gt;"",K1389,C1389))</f>
        <v/>
      </c>
      <c r="AC1389" s="33">
        <f>IF(OR(C1389="",W1389=""),"",P1389&amp;"|"&amp;W1389&amp;"|"&amp;C1389&amp;"|"&amp;E1389)</f>
        <v/>
      </c>
      <c r="AD1389" s="39">
        <f>IF(AC1389="","",IF(COUNTIF(AC$6:AC1389,AC1389)=1,1,0))</f>
        <v/>
      </c>
      <c r="AE1389" s="39">
        <f>IF(AB1389=0,"",IF(COUNTIFS(X$6:X1389,X1389,AB$6:AB1389,AB1389)=1,1,0))</f>
        <v/>
      </c>
      <c r="AF1389" s="34">
        <f>IF(C1389="","",YEAR(C1389-WEEKDAY(C1389,2)+4)&amp;"-S"&amp;TEXT(INT((C1389-DATE(YEAR(C1389-WEEKDAY(C1389,2)+4),1,3)+WEEKDAY(DATE(YEAR(C1389-WEEKDAY(C1389,2)+4),1,3),2)+5)/7),"00"))</f>
        <v/>
      </c>
    </row>
    <row r="1390" ht="18" customHeight="1">
      <c r="A1390" s="39" t="n">
        <v>1385</v>
      </c>
      <c r="B1390" s="33">
        <f>IF(C1390="","",IF(P1390="À RENSEIGNER","GIC",P1390)&amp;"-C"&amp;TEXT(A1390,"00000"))</f>
        <v/>
      </c>
      <c r="C1390" s="32" t="n"/>
      <c r="D1390" s="36" t="n"/>
      <c r="E1390" s="36" t="n"/>
      <c r="F1390" s="36" t="n"/>
      <c r="G1390" s="42" t="n"/>
      <c r="H1390" s="37" t="n"/>
      <c r="I1390" s="37" t="n"/>
      <c r="J1390" s="32" t="n"/>
      <c r="K1390" s="32" t="n"/>
      <c r="L1390" s="43" t="n"/>
      <c r="M1390" s="36" t="n"/>
      <c r="N1390" s="44" t="n"/>
      <c r="O1390" s="36" t="n"/>
      <c r="P1390" s="33">
        <f>IF(C1390="","",Commercial_Id)</f>
        <v/>
      </c>
      <c r="Q1390" s="34">
        <f>IF(AC1390="","",IF(AD1390=1,"C"&amp;TEXT(SUM(AD$6:AD1390),"0000"),INDEX(Q$6:Q1389,MATCH(AC1390,AC$6:AC1389,0))))</f>
        <v/>
      </c>
      <c r="R1390" s="34">
        <f>IF(C1390="","",IF(L1390="☑ Oui","Annulée",IF(OR(E1390="Vente directe",K1390&lt;&gt;""),"Livrée",IF(J1390&lt;&gt;"","Confirmée","En attente"))))</f>
        <v/>
      </c>
      <c r="S1390" s="34">
        <f>IF(F1390="","",IFERROR(VLOOKUP(F1390,T_Produits,2,FALSE),""))</f>
        <v/>
      </c>
      <c r="T1390" s="40">
        <f>IF(F1390="","",IFERROR(1/(1/VLOOKUP(F1390,T_Produits,3,FALSE)),""))</f>
        <v/>
      </c>
      <c r="U1390" s="40">
        <f>IF(H1390&lt;&gt;"",H1390,T1390)</f>
        <v/>
      </c>
      <c r="V1390" s="40">
        <f>IF(OR(G1390="",U1390=""),"",G1390*U1390-N(I1390))</f>
        <v/>
      </c>
      <c r="W1390" s="39">
        <f>IF(D1390="","",IFERROR(VALUE(MID(D1390,LEN(D1390)-3,3)),""))</f>
        <v/>
      </c>
      <c r="X1390" s="33">
        <f>IF(W1390="","",P1390&amp;"|"&amp;W1390)</f>
        <v/>
      </c>
      <c r="Y1390" s="33">
        <f>IF(W1390="","",IF(P1390="À RENSEIGNER","GIC",P1390)&amp;"-"&amp;TEXT(W1390,"000"))</f>
        <v/>
      </c>
      <c r="Z1390" s="33">
        <f>IF(X1390="","",IFERROR(INDEX(Cl_nom,MATCH(X1390,Cl_cle,0)),"(client introuvable)"))</f>
        <v/>
      </c>
      <c r="AA1390" s="33">
        <f>IF(X1390="","",IFERROR(INDEX(Cl_quartier,MATCH(X1390,Cl_cle,0))&amp;"",""))</f>
        <v/>
      </c>
      <c r="AB1390" s="45">
        <f>IF(R1390&lt;&gt;"Livrée",0,IF(K1390&lt;&gt;"",K1390,C1390))</f>
        <v/>
      </c>
      <c r="AC1390" s="33">
        <f>IF(OR(C1390="",W1390=""),"",P1390&amp;"|"&amp;W1390&amp;"|"&amp;C1390&amp;"|"&amp;E1390)</f>
        <v/>
      </c>
      <c r="AD1390" s="39">
        <f>IF(AC1390="","",IF(COUNTIF(AC$6:AC1390,AC1390)=1,1,0))</f>
        <v/>
      </c>
      <c r="AE1390" s="39">
        <f>IF(AB1390=0,"",IF(COUNTIFS(X$6:X1390,X1390,AB$6:AB1390,AB1390)=1,1,0))</f>
        <v/>
      </c>
      <c r="AF1390" s="34">
        <f>IF(C1390="","",YEAR(C1390-WEEKDAY(C1390,2)+4)&amp;"-S"&amp;TEXT(INT((C1390-DATE(YEAR(C1390-WEEKDAY(C1390,2)+4),1,3)+WEEKDAY(DATE(YEAR(C1390-WEEKDAY(C1390,2)+4),1,3),2)+5)/7),"00"))</f>
        <v/>
      </c>
    </row>
    <row r="1391" ht="18" customHeight="1">
      <c r="A1391" s="39" t="n">
        <v>1386</v>
      </c>
      <c r="B1391" s="33">
        <f>IF(C1391="","",IF(P1391="À RENSEIGNER","GIC",P1391)&amp;"-C"&amp;TEXT(A1391,"00000"))</f>
        <v/>
      </c>
      <c r="C1391" s="32" t="n"/>
      <c r="D1391" s="36" t="n"/>
      <c r="E1391" s="36" t="n"/>
      <c r="F1391" s="36" t="n"/>
      <c r="G1391" s="42" t="n"/>
      <c r="H1391" s="37" t="n"/>
      <c r="I1391" s="37" t="n"/>
      <c r="J1391" s="32" t="n"/>
      <c r="K1391" s="32" t="n"/>
      <c r="L1391" s="43" t="n"/>
      <c r="M1391" s="36" t="n"/>
      <c r="N1391" s="44" t="n"/>
      <c r="O1391" s="36" t="n"/>
      <c r="P1391" s="33">
        <f>IF(C1391="","",Commercial_Id)</f>
        <v/>
      </c>
      <c r="Q1391" s="34">
        <f>IF(AC1391="","",IF(AD1391=1,"C"&amp;TEXT(SUM(AD$6:AD1391),"0000"),INDEX(Q$6:Q1390,MATCH(AC1391,AC$6:AC1390,0))))</f>
        <v/>
      </c>
      <c r="R1391" s="34">
        <f>IF(C1391="","",IF(L1391="☑ Oui","Annulée",IF(OR(E1391="Vente directe",K1391&lt;&gt;""),"Livrée",IF(J1391&lt;&gt;"","Confirmée","En attente"))))</f>
        <v/>
      </c>
      <c r="S1391" s="34">
        <f>IF(F1391="","",IFERROR(VLOOKUP(F1391,T_Produits,2,FALSE),""))</f>
        <v/>
      </c>
      <c r="T1391" s="40">
        <f>IF(F1391="","",IFERROR(1/(1/VLOOKUP(F1391,T_Produits,3,FALSE)),""))</f>
        <v/>
      </c>
      <c r="U1391" s="40">
        <f>IF(H1391&lt;&gt;"",H1391,T1391)</f>
        <v/>
      </c>
      <c r="V1391" s="40">
        <f>IF(OR(G1391="",U1391=""),"",G1391*U1391-N(I1391))</f>
        <v/>
      </c>
      <c r="W1391" s="39">
        <f>IF(D1391="","",IFERROR(VALUE(MID(D1391,LEN(D1391)-3,3)),""))</f>
        <v/>
      </c>
      <c r="X1391" s="33">
        <f>IF(W1391="","",P1391&amp;"|"&amp;W1391)</f>
        <v/>
      </c>
      <c r="Y1391" s="33">
        <f>IF(W1391="","",IF(P1391="À RENSEIGNER","GIC",P1391)&amp;"-"&amp;TEXT(W1391,"000"))</f>
        <v/>
      </c>
      <c r="Z1391" s="33">
        <f>IF(X1391="","",IFERROR(INDEX(Cl_nom,MATCH(X1391,Cl_cle,0)),"(client introuvable)"))</f>
        <v/>
      </c>
      <c r="AA1391" s="33">
        <f>IF(X1391="","",IFERROR(INDEX(Cl_quartier,MATCH(X1391,Cl_cle,0))&amp;"",""))</f>
        <v/>
      </c>
      <c r="AB1391" s="45">
        <f>IF(R1391&lt;&gt;"Livrée",0,IF(K1391&lt;&gt;"",K1391,C1391))</f>
        <v/>
      </c>
      <c r="AC1391" s="33">
        <f>IF(OR(C1391="",W1391=""),"",P1391&amp;"|"&amp;W1391&amp;"|"&amp;C1391&amp;"|"&amp;E1391)</f>
        <v/>
      </c>
      <c r="AD1391" s="39">
        <f>IF(AC1391="","",IF(COUNTIF(AC$6:AC1391,AC1391)=1,1,0))</f>
        <v/>
      </c>
      <c r="AE1391" s="39">
        <f>IF(AB1391=0,"",IF(COUNTIFS(X$6:X1391,X1391,AB$6:AB1391,AB1391)=1,1,0))</f>
        <v/>
      </c>
      <c r="AF1391" s="34">
        <f>IF(C1391="","",YEAR(C1391-WEEKDAY(C1391,2)+4)&amp;"-S"&amp;TEXT(INT((C1391-DATE(YEAR(C1391-WEEKDAY(C1391,2)+4),1,3)+WEEKDAY(DATE(YEAR(C1391-WEEKDAY(C1391,2)+4),1,3),2)+5)/7),"00"))</f>
        <v/>
      </c>
    </row>
    <row r="1392" ht="18" customHeight="1">
      <c r="A1392" s="39" t="n">
        <v>1387</v>
      </c>
      <c r="B1392" s="33">
        <f>IF(C1392="","",IF(P1392="À RENSEIGNER","GIC",P1392)&amp;"-C"&amp;TEXT(A1392,"00000"))</f>
        <v/>
      </c>
      <c r="C1392" s="32" t="n"/>
      <c r="D1392" s="36" t="n"/>
      <c r="E1392" s="36" t="n"/>
      <c r="F1392" s="36" t="n"/>
      <c r="G1392" s="42" t="n"/>
      <c r="H1392" s="37" t="n"/>
      <c r="I1392" s="37" t="n"/>
      <c r="J1392" s="32" t="n"/>
      <c r="K1392" s="32" t="n"/>
      <c r="L1392" s="43" t="n"/>
      <c r="M1392" s="36" t="n"/>
      <c r="N1392" s="44" t="n"/>
      <c r="O1392" s="36" t="n"/>
      <c r="P1392" s="33">
        <f>IF(C1392="","",Commercial_Id)</f>
        <v/>
      </c>
      <c r="Q1392" s="34">
        <f>IF(AC1392="","",IF(AD1392=1,"C"&amp;TEXT(SUM(AD$6:AD1392),"0000"),INDEX(Q$6:Q1391,MATCH(AC1392,AC$6:AC1391,0))))</f>
        <v/>
      </c>
      <c r="R1392" s="34">
        <f>IF(C1392="","",IF(L1392="☑ Oui","Annulée",IF(OR(E1392="Vente directe",K1392&lt;&gt;""),"Livrée",IF(J1392&lt;&gt;"","Confirmée","En attente"))))</f>
        <v/>
      </c>
      <c r="S1392" s="34">
        <f>IF(F1392="","",IFERROR(VLOOKUP(F1392,T_Produits,2,FALSE),""))</f>
        <v/>
      </c>
      <c r="T1392" s="40">
        <f>IF(F1392="","",IFERROR(1/(1/VLOOKUP(F1392,T_Produits,3,FALSE)),""))</f>
        <v/>
      </c>
      <c r="U1392" s="40">
        <f>IF(H1392&lt;&gt;"",H1392,T1392)</f>
        <v/>
      </c>
      <c r="V1392" s="40">
        <f>IF(OR(G1392="",U1392=""),"",G1392*U1392-N(I1392))</f>
        <v/>
      </c>
      <c r="W1392" s="39">
        <f>IF(D1392="","",IFERROR(VALUE(MID(D1392,LEN(D1392)-3,3)),""))</f>
        <v/>
      </c>
      <c r="X1392" s="33">
        <f>IF(W1392="","",P1392&amp;"|"&amp;W1392)</f>
        <v/>
      </c>
      <c r="Y1392" s="33">
        <f>IF(W1392="","",IF(P1392="À RENSEIGNER","GIC",P1392)&amp;"-"&amp;TEXT(W1392,"000"))</f>
        <v/>
      </c>
      <c r="Z1392" s="33">
        <f>IF(X1392="","",IFERROR(INDEX(Cl_nom,MATCH(X1392,Cl_cle,0)),"(client introuvable)"))</f>
        <v/>
      </c>
      <c r="AA1392" s="33">
        <f>IF(X1392="","",IFERROR(INDEX(Cl_quartier,MATCH(X1392,Cl_cle,0))&amp;"",""))</f>
        <v/>
      </c>
      <c r="AB1392" s="45">
        <f>IF(R1392&lt;&gt;"Livrée",0,IF(K1392&lt;&gt;"",K1392,C1392))</f>
        <v/>
      </c>
      <c r="AC1392" s="33">
        <f>IF(OR(C1392="",W1392=""),"",P1392&amp;"|"&amp;W1392&amp;"|"&amp;C1392&amp;"|"&amp;E1392)</f>
        <v/>
      </c>
      <c r="AD1392" s="39">
        <f>IF(AC1392="","",IF(COUNTIF(AC$6:AC1392,AC1392)=1,1,0))</f>
        <v/>
      </c>
      <c r="AE1392" s="39">
        <f>IF(AB1392=0,"",IF(COUNTIFS(X$6:X1392,X1392,AB$6:AB1392,AB1392)=1,1,0))</f>
        <v/>
      </c>
      <c r="AF1392" s="34">
        <f>IF(C1392="","",YEAR(C1392-WEEKDAY(C1392,2)+4)&amp;"-S"&amp;TEXT(INT((C1392-DATE(YEAR(C1392-WEEKDAY(C1392,2)+4),1,3)+WEEKDAY(DATE(YEAR(C1392-WEEKDAY(C1392,2)+4),1,3),2)+5)/7),"00"))</f>
        <v/>
      </c>
    </row>
    <row r="1393" ht="18" customHeight="1">
      <c r="A1393" s="39" t="n">
        <v>1388</v>
      </c>
      <c r="B1393" s="33">
        <f>IF(C1393="","",IF(P1393="À RENSEIGNER","GIC",P1393)&amp;"-C"&amp;TEXT(A1393,"00000"))</f>
        <v/>
      </c>
      <c r="C1393" s="32" t="n"/>
      <c r="D1393" s="36" t="n"/>
      <c r="E1393" s="36" t="n"/>
      <c r="F1393" s="36" t="n"/>
      <c r="G1393" s="42" t="n"/>
      <c r="H1393" s="37" t="n"/>
      <c r="I1393" s="37" t="n"/>
      <c r="J1393" s="32" t="n"/>
      <c r="K1393" s="32" t="n"/>
      <c r="L1393" s="43" t="n"/>
      <c r="M1393" s="36" t="n"/>
      <c r="N1393" s="44" t="n"/>
      <c r="O1393" s="36" t="n"/>
      <c r="P1393" s="33">
        <f>IF(C1393="","",Commercial_Id)</f>
        <v/>
      </c>
      <c r="Q1393" s="34">
        <f>IF(AC1393="","",IF(AD1393=1,"C"&amp;TEXT(SUM(AD$6:AD1393),"0000"),INDEX(Q$6:Q1392,MATCH(AC1393,AC$6:AC1392,0))))</f>
        <v/>
      </c>
      <c r="R1393" s="34">
        <f>IF(C1393="","",IF(L1393="☑ Oui","Annulée",IF(OR(E1393="Vente directe",K1393&lt;&gt;""),"Livrée",IF(J1393&lt;&gt;"","Confirmée","En attente"))))</f>
        <v/>
      </c>
      <c r="S1393" s="34">
        <f>IF(F1393="","",IFERROR(VLOOKUP(F1393,T_Produits,2,FALSE),""))</f>
        <v/>
      </c>
      <c r="T1393" s="40">
        <f>IF(F1393="","",IFERROR(1/(1/VLOOKUP(F1393,T_Produits,3,FALSE)),""))</f>
        <v/>
      </c>
      <c r="U1393" s="40">
        <f>IF(H1393&lt;&gt;"",H1393,T1393)</f>
        <v/>
      </c>
      <c r="V1393" s="40">
        <f>IF(OR(G1393="",U1393=""),"",G1393*U1393-N(I1393))</f>
        <v/>
      </c>
      <c r="W1393" s="39">
        <f>IF(D1393="","",IFERROR(VALUE(MID(D1393,LEN(D1393)-3,3)),""))</f>
        <v/>
      </c>
      <c r="X1393" s="33">
        <f>IF(W1393="","",P1393&amp;"|"&amp;W1393)</f>
        <v/>
      </c>
      <c r="Y1393" s="33">
        <f>IF(W1393="","",IF(P1393="À RENSEIGNER","GIC",P1393)&amp;"-"&amp;TEXT(W1393,"000"))</f>
        <v/>
      </c>
      <c r="Z1393" s="33">
        <f>IF(X1393="","",IFERROR(INDEX(Cl_nom,MATCH(X1393,Cl_cle,0)),"(client introuvable)"))</f>
        <v/>
      </c>
      <c r="AA1393" s="33">
        <f>IF(X1393="","",IFERROR(INDEX(Cl_quartier,MATCH(X1393,Cl_cle,0))&amp;"",""))</f>
        <v/>
      </c>
      <c r="AB1393" s="45">
        <f>IF(R1393&lt;&gt;"Livrée",0,IF(K1393&lt;&gt;"",K1393,C1393))</f>
        <v/>
      </c>
      <c r="AC1393" s="33">
        <f>IF(OR(C1393="",W1393=""),"",P1393&amp;"|"&amp;W1393&amp;"|"&amp;C1393&amp;"|"&amp;E1393)</f>
        <v/>
      </c>
      <c r="AD1393" s="39">
        <f>IF(AC1393="","",IF(COUNTIF(AC$6:AC1393,AC1393)=1,1,0))</f>
        <v/>
      </c>
      <c r="AE1393" s="39">
        <f>IF(AB1393=0,"",IF(COUNTIFS(X$6:X1393,X1393,AB$6:AB1393,AB1393)=1,1,0))</f>
        <v/>
      </c>
      <c r="AF1393" s="34">
        <f>IF(C1393="","",YEAR(C1393-WEEKDAY(C1393,2)+4)&amp;"-S"&amp;TEXT(INT((C1393-DATE(YEAR(C1393-WEEKDAY(C1393,2)+4),1,3)+WEEKDAY(DATE(YEAR(C1393-WEEKDAY(C1393,2)+4),1,3),2)+5)/7),"00"))</f>
        <v/>
      </c>
    </row>
    <row r="1394" ht="18" customHeight="1">
      <c r="A1394" s="39" t="n">
        <v>1389</v>
      </c>
      <c r="B1394" s="33">
        <f>IF(C1394="","",IF(P1394="À RENSEIGNER","GIC",P1394)&amp;"-C"&amp;TEXT(A1394,"00000"))</f>
        <v/>
      </c>
      <c r="C1394" s="32" t="n"/>
      <c r="D1394" s="36" t="n"/>
      <c r="E1394" s="36" t="n"/>
      <c r="F1394" s="36" t="n"/>
      <c r="G1394" s="42" t="n"/>
      <c r="H1394" s="37" t="n"/>
      <c r="I1394" s="37" t="n"/>
      <c r="J1394" s="32" t="n"/>
      <c r="K1394" s="32" t="n"/>
      <c r="L1394" s="43" t="n"/>
      <c r="M1394" s="36" t="n"/>
      <c r="N1394" s="44" t="n"/>
      <c r="O1394" s="36" t="n"/>
      <c r="P1394" s="33">
        <f>IF(C1394="","",Commercial_Id)</f>
        <v/>
      </c>
      <c r="Q1394" s="34">
        <f>IF(AC1394="","",IF(AD1394=1,"C"&amp;TEXT(SUM(AD$6:AD1394),"0000"),INDEX(Q$6:Q1393,MATCH(AC1394,AC$6:AC1393,0))))</f>
        <v/>
      </c>
      <c r="R1394" s="34">
        <f>IF(C1394="","",IF(L1394="☑ Oui","Annulée",IF(OR(E1394="Vente directe",K1394&lt;&gt;""),"Livrée",IF(J1394&lt;&gt;"","Confirmée","En attente"))))</f>
        <v/>
      </c>
      <c r="S1394" s="34">
        <f>IF(F1394="","",IFERROR(VLOOKUP(F1394,T_Produits,2,FALSE),""))</f>
        <v/>
      </c>
      <c r="T1394" s="40">
        <f>IF(F1394="","",IFERROR(1/(1/VLOOKUP(F1394,T_Produits,3,FALSE)),""))</f>
        <v/>
      </c>
      <c r="U1394" s="40">
        <f>IF(H1394&lt;&gt;"",H1394,T1394)</f>
        <v/>
      </c>
      <c r="V1394" s="40">
        <f>IF(OR(G1394="",U1394=""),"",G1394*U1394-N(I1394))</f>
        <v/>
      </c>
      <c r="W1394" s="39">
        <f>IF(D1394="","",IFERROR(VALUE(MID(D1394,LEN(D1394)-3,3)),""))</f>
        <v/>
      </c>
      <c r="X1394" s="33">
        <f>IF(W1394="","",P1394&amp;"|"&amp;W1394)</f>
        <v/>
      </c>
      <c r="Y1394" s="33">
        <f>IF(W1394="","",IF(P1394="À RENSEIGNER","GIC",P1394)&amp;"-"&amp;TEXT(W1394,"000"))</f>
        <v/>
      </c>
      <c r="Z1394" s="33">
        <f>IF(X1394="","",IFERROR(INDEX(Cl_nom,MATCH(X1394,Cl_cle,0)),"(client introuvable)"))</f>
        <v/>
      </c>
      <c r="AA1394" s="33">
        <f>IF(X1394="","",IFERROR(INDEX(Cl_quartier,MATCH(X1394,Cl_cle,0))&amp;"",""))</f>
        <v/>
      </c>
      <c r="AB1394" s="45">
        <f>IF(R1394&lt;&gt;"Livrée",0,IF(K1394&lt;&gt;"",K1394,C1394))</f>
        <v/>
      </c>
      <c r="AC1394" s="33">
        <f>IF(OR(C1394="",W1394=""),"",P1394&amp;"|"&amp;W1394&amp;"|"&amp;C1394&amp;"|"&amp;E1394)</f>
        <v/>
      </c>
      <c r="AD1394" s="39">
        <f>IF(AC1394="","",IF(COUNTIF(AC$6:AC1394,AC1394)=1,1,0))</f>
        <v/>
      </c>
      <c r="AE1394" s="39">
        <f>IF(AB1394=0,"",IF(COUNTIFS(X$6:X1394,X1394,AB$6:AB1394,AB1394)=1,1,0))</f>
        <v/>
      </c>
      <c r="AF1394" s="34">
        <f>IF(C1394="","",YEAR(C1394-WEEKDAY(C1394,2)+4)&amp;"-S"&amp;TEXT(INT((C1394-DATE(YEAR(C1394-WEEKDAY(C1394,2)+4),1,3)+WEEKDAY(DATE(YEAR(C1394-WEEKDAY(C1394,2)+4),1,3),2)+5)/7),"00"))</f>
        <v/>
      </c>
    </row>
    <row r="1395" ht="18" customHeight="1">
      <c r="A1395" s="39" t="n">
        <v>1390</v>
      </c>
      <c r="B1395" s="33">
        <f>IF(C1395="","",IF(P1395="À RENSEIGNER","GIC",P1395)&amp;"-C"&amp;TEXT(A1395,"00000"))</f>
        <v/>
      </c>
      <c r="C1395" s="32" t="n"/>
      <c r="D1395" s="36" t="n"/>
      <c r="E1395" s="36" t="n"/>
      <c r="F1395" s="36" t="n"/>
      <c r="G1395" s="42" t="n"/>
      <c r="H1395" s="37" t="n"/>
      <c r="I1395" s="37" t="n"/>
      <c r="J1395" s="32" t="n"/>
      <c r="K1395" s="32" t="n"/>
      <c r="L1395" s="43" t="n"/>
      <c r="M1395" s="36" t="n"/>
      <c r="N1395" s="44" t="n"/>
      <c r="O1395" s="36" t="n"/>
      <c r="P1395" s="33">
        <f>IF(C1395="","",Commercial_Id)</f>
        <v/>
      </c>
      <c r="Q1395" s="34">
        <f>IF(AC1395="","",IF(AD1395=1,"C"&amp;TEXT(SUM(AD$6:AD1395),"0000"),INDEX(Q$6:Q1394,MATCH(AC1395,AC$6:AC1394,0))))</f>
        <v/>
      </c>
      <c r="R1395" s="34">
        <f>IF(C1395="","",IF(L1395="☑ Oui","Annulée",IF(OR(E1395="Vente directe",K1395&lt;&gt;""),"Livrée",IF(J1395&lt;&gt;"","Confirmée","En attente"))))</f>
        <v/>
      </c>
      <c r="S1395" s="34">
        <f>IF(F1395="","",IFERROR(VLOOKUP(F1395,T_Produits,2,FALSE),""))</f>
        <v/>
      </c>
      <c r="T1395" s="40">
        <f>IF(F1395="","",IFERROR(1/(1/VLOOKUP(F1395,T_Produits,3,FALSE)),""))</f>
        <v/>
      </c>
      <c r="U1395" s="40">
        <f>IF(H1395&lt;&gt;"",H1395,T1395)</f>
        <v/>
      </c>
      <c r="V1395" s="40">
        <f>IF(OR(G1395="",U1395=""),"",G1395*U1395-N(I1395))</f>
        <v/>
      </c>
      <c r="W1395" s="39">
        <f>IF(D1395="","",IFERROR(VALUE(MID(D1395,LEN(D1395)-3,3)),""))</f>
        <v/>
      </c>
      <c r="X1395" s="33">
        <f>IF(W1395="","",P1395&amp;"|"&amp;W1395)</f>
        <v/>
      </c>
      <c r="Y1395" s="33">
        <f>IF(W1395="","",IF(P1395="À RENSEIGNER","GIC",P1395)&amp;"-"&amp;TEXT(W1395,"000"))</f>
        <v/>
      </c>
      <c r="Z1395" s="33">
        <f>IF(X1395="","",IFERROR(INDEX(Cl_nom,MATCH(X1395,Cl_cle,0)),"(client introuvable)"))</f>
        <v/>
      </c>
      <c r="AA1395" s="33">
        <f>IF(X1395="","",IFERROR(INDEX(Cl_quartier,MATCH(X1395,Cl_cle,0))&amp;"",""))</f>
        <v/>
      </c>
      <c r="AB1395" s="45">
        <f>IF(R1395&lt;&gt;"Livrée",0,IF(K1395&lt;&gt;"",K1395,C1395))</f>
        <v/>
      </c>
      <c r="AC1395" s="33">
        <f>IF(OR(C1395="",W1395=""),"",P1395&amp;"|"&amp;W1395&amp;"|"&amp;C1395&amp;"|"&amp;E1395)</f>
        <v/>
      </c>
      <c r="AD1395" s="39">
        <f>IF(AC1395="","",IF(COUNTIF(AC$6:AC1395,AC1395)=1,1,0))</f>
        <v/>
      </c>
      <c r="AE1395" s="39">
        <f>IF(AB1395=0,"",IF(COUNTIFS(X$6:X1395,X1395,AB$6:AB1395,AB1395)=1,1,0))</f>
        <v/>
      </c>
      <c r="AF1395" s="34">
        <f>IF(C1395="","",YEAR(C1395-WEEKDAY(C1395,2)+4)&amp;"-S"&amp;TEXT(INT((C1395-DATE(YEAR(C1395-WEEKDAY(C1395,2)+4),1,3)+WEEKDAY(DATE(YEAR(C1395-WEEKDAY(C1395,2)+4),1,3),2)+5)/7),"00"))</f>
        <v/>
      </c>
    </row>
    <row r="1396" ht="18" customHeight="1">
      <c r="A1396" s="39" t="n">
        <v>1391</v>
      </c>
      <c r="B1396" s="33">
        <f>IF(C1396="","",IF(P1396="À RENSEIGNER","GIC",P1396)&amp;"-C"&amp;TEXT(A1396,"00000"))</f>
        <v/>
      </c>
      <c r="C1396" s="32" t="n"/>
      <c r="D1396" s="36" t="n"/>
      <c r="E1396" s="36" t="n"/>
      <c r="F1396" s="36" t="n"/>
      <c r="G1396" s="42" t="n"/>
      <c r="H1396" s="37" t="n"/>
      <c r="I1396" s="37" t="n"/>
      <c r="J1396" s="32" t="n"/>
      <c r="K1396" s="32" t="n"/>
      <c r="L1396" s="43" t="n"/>
      <c r="M1396" s="36" t="n"/>
      <c r="N1396" s="44" t="n"/>
      <c r="O1396" s="36" t="n"/>
      <c r="P1396" s="33">
        <f>IF(C1396="","",Commercial_Id)</f>
        <v/>
      </c>
      <c r="Q1396" s="34">
        <f>IF(AC1396="","",IF(AD1396=1,"C"&amp;TEXT(SUM(AD$6:AD1396),"0000"),INDEX(Q$6:Q1395,MATCH(AC1396,AC$6:AC1395,0))))</f>
        <v/>
      </c>
      <c r="R1396" s="34">
        <f>IF(C1396="","",IF(L1396="☑ Oui","Annulée",IF(OR(E1396="Vente directe",K1396&lt;&gt;""),"Livrée",IF(J1396&lt;&gt;"","Confirmée","En attente"))))</f>
        <v/>
      </c>
      <c r="S1396" s="34">
        <f>IF(F1396="","",IFERROR(VLOOKUP(F1396,T_Produits,2,FALSE),""))</f>
        <v/>
      </c>
      <c r="T1396" s="40">
        <f>IF(F1396="","",IFERROR(1/(1/VLOOKUP(F1396,T_Produits,3,FALSE)),""))</f>
        <v/>
      </c>
      <c r="U1396" s="40">
        <f>IF(H1396&lt;&gt;"",H1396,T1396)</f>
        <v/>
      </c>
      <c r="V1396" s="40">
        <f>IF(OR(G1396="",U1396=""),"",G1396*U1396-N(I1396))</f>
        <v/>
      </c>
      <c r="W1396" s="39">
        <f>IF(D1396="","",IFERROR(VALUE(MID(D1396,LEN(D1396)-3,3)),""))</f>
        <v/>
      </c>
      <c r="X1396" s="33">
        <f>IF(W1396="","",P1396&amp;"|"&amp;W1396)</f>
        <v/>
      </c>
      <c r="Y1396" s="33">
        <f>IF(W1396="","",IF(P1396="À RENSEIGNER","GIC",P1396)&amp;"-"&amp;TEXT(W1396,"000"))</f>
        <v/>
      </c>
      <c r="Z1396" s="33">
        <f>IF(X1396="","",IFERROR(INDEX(Cl_nom,MATCH(X1396,Cl_cle,0)),"(client introuvable)"))</f>
        <v/>
      </c>
      <c r="AA1396" s="33">
        <f>IF(X1396="","",IFERROR(INDEX(Cl_quartier,MATCH(X1396,Cl_cle,0))&amp;"",""))</f>
        <v/>
      </c>
      <c r="AB1396" s="45">
        <f>IF(R1396&lt;&gt;"Livrée",0,IF(K1396&lt;&gt;"",K1396,C1396))</f>
        <v/>
      </c>
      <c r="AC1396" s="33">
        <f>IF(OR(C1396="",W1396=""),"",P1396&amp;"|"&amp;W1396&amp;"|"&amp;C1396&amp;"|"&amp;E1396)</f>
        <v/>
      </c>
      <c r="AD1396" s="39">
        <f>IF(AC1396="","",IF(COUNTIF(AC$6:AC1396,AC1396)=1,1,0))</f>
        <v/>
      </c>
      <c r="AE1396" s="39">
        <f>IF(AB1396=0,"",IF(COUNTIFS(X$6:X1396,X1396,AB$6:AB1396,AB1396)=1,1,0))</f>
        <v/>
      </c>
      <c r="AF1396" s="34">
        <f>IF(C1396="","",YEAR(C1396-WEEKDAY(C1396,2)+4)&amp;"-S"&amp;TEXT(INT((C1396-DATE(YEAR(C1396-WEEKDAY(C1396,2)+4),1,3)+WEEKDAY(DATE(YEAR(C1396-WEEKDAY(C1396,2)+4),1,3),2)+5)/7),"00"))</f>
        <v/>
      </c>
    </row>
    <row r="1397" ht="18" customHeight="1">
      <c r="A1397" s="39" t="n">
        <v>1392</v>
      </c>
      <c r="B1397" s="33">
        <f>IF(C1397="","",IF(P1397="À RENSEIGNER","GIC",P1397)&amp;"-C"&amp;TEXT(A1397,"00000"))</f>
        <v/>
      </c>
      <c r="C1397" s="32" t="n"/>
      <c r="D1397" s="36" t="n"/>
      <c r="E1397" s="36" t="n"/>
      <c r="F1397" s="36" t="n"/>
      <c r="G1397" s="42" t="n"/>
      <c r="H1397" s="37" t="n"/>
      <c r="I1397" s="37" t="n"/>
      <c r="J1397" s="32" t="n"/>
      <c r="K1397" s="32" t="n"/>
      <c r="L1397" s="43" t="n"/>
      <c r="M1397" s="36" t="n"/>
      <c r="N1397" s="44" t="n"/>
      <c r="O1397" s="36" t="n"/>
      <c r="P1397" s="33">
        <f>IF(C1397="","",Commercial_Id)</f>
        <v/>
      </c>
      <c r="Q1397" s="34">
        <f>IF(AC1397="","",IF(AD1397=1,"C"&amp;TEXT(SUM(AD$6:AD1397),"0000"),INDEX(Q$6:Q1396,MATCH(AC1397,AC$6:AC1396,0))))</f>
        <v/>
      </c>
      <c r="R1397" s="34">
        <f>IF(C1397="","",IF(L1397="☑ Oui","Annulée",IF(OR(E1397="Vente directe",K1397&lt;&gt;""),"Livrée",IF(J1397&lt;&gt;"","Confirmée","En attente"))))</f>
        <v/>
      </c>
      <c r="S1397" s="34">
        <f>IF(F1397="","",IFERROR(VLOOKUP(F1397,T_Produits,2,FALSE),""))</f>
        <v/>
      </c>
      <c r="T1397" s="40">
        <f>IF(F1397="","",IFERROR(1/(1/VLOOKUP(F1397,T_Produits,3,FALSE)),""))</f>
        <v/>
      </c>
      <c r="U1397" s="40">
        <f>IF(H1397&lt;&gt;"",H1397,T1397)</f>
        <v/>
      </c>
      <c r="V1397" s="40">
        <f>IF(OR(G1397="",U1397=""),"",G1397*U1397-N(I1397))</f>
        <v/>
      </c>
      <c r="W1397" s="39">
        <f>IF(D1397="","",IFERROR(VALUE(MID(D1397,LEN(D1397)-3,3)),""))</f>
        <v/>
      </c>
      <c r="X1397" s="33">
        <f>IF(W1397="","",P1397&amp;"|"&amp;W1397)</f>
        <v/>
      </c>
      <c r="Y1397" s="33">
        <f>IF(W1397="","",IF(P1397="À RENSEIGNER","GIC",P1397)&amp;"-"&amp;TEXT(W1397,"000"))</f>
        <v/>
      </c>
      <c r="Z1397" s="33">
        <f>IF(X1397="","",IFERROR(INDEX(Cl_nom,MATCH(X1397,Cl_cle,0)),"(client introuvable)"))</f>
        <v/>
      </c>
      <c r="AA1397" s="33">
        <f>IF(X1397="","",IFERROR(INDEX(Cl_quartier,MATCH(X1397,Cl_cle,0))&amp;"",""))</f>
        <v/>
      </c>
      <c r="AB1397" s="45">
        <f>IF(R1397&lt;&gt;"Livrée",0,IF(K1397&lt;&gt;"",K1397,C1397))</f>
        <v/>
      </c>
      <c r="AC1397" s="33">
        <f>IF(OR(C1397="",W1397=""),"",P1397&amp;"|"&amp;W1397&amp;"|"&amp;C1397&amp;"|"&amp;E1397)</f>
        <v/>
      </c>
      <c r="AD1397" s="39">
        <f>IF(AC1397="","",IF(COUNTIF(AC$6:AC1397,AC1397)=1,1,0))</f>
        <v/>
      </c>
      <c r="AE1397" s="39">
        <f>IF(AB1397=0,"",IF(COUNTIFS(X$6:X1397,X1397,AB$6:AB1397,AB1397)=1,1,0))</f>
        <v/>
      </c>
      <c r="AF1397" s="34">
        <f>IF(C1397="","",YEAR(C1397-WEEKDAY(C1397,2)+4)&amp;"-S"&amp;TEXT(INT((C1397-DATE(YEAR(C1397-WEEKDAY(C1397,2)+4),1,3)+WEEKDAY(DATE(YEAR(C1397-WEEKDAY(C1397,2)+4),1,3),2)+5)/7),"00"))</f>
        <v/>
      </c>
    </row>
    <row r="1398" ht="18" customHeight="1">
      <c r="A1398" s="39" t="n">
        <v>1393</v>
      </c>
      <c r="B1398" s="33">
        <f>IF(C1398="","",IF(P1398="À RENSEIGNER","GIC",P1398)&amp;"-C"&amp;TEXT(A1398,"00000"))</f>
        <v/>
      </c>
      <c r="C1398" s="32" t="n"/>
      <c r="D1398" s="36" t="n"/>
      <c r="E1398" s="36" t="n"/>
      <c r="F1398" s="36" t="n"/>
      <c r="G1398" s="42" t="n"/>
      <c r="H1398" s="37" t="n"/>
      <c r="I1398" s="37" t="n"/>
      <c r="J1398" s="32" t="n"/>
      <c r="K1398" s="32" t="n"/>
      <c r="L1398" s="43" t="n"/>
      <c r="M1398" s="36" t="n"/>
      <c r="N1398" s="44" t="n"/>
      <c r="O1398" s="36" t="n"/>
      <c r="P1398" s="33">
        <f>IF(C1398="","",Commercial_Id)</f>
        <v/>
      </c>
      <c r="Q1398" s="34">
        <f>IF(AC1398="","",IF(AD1398=1,"C"&amp;TEXT(SUM(AD$6:AD1398),"0000"),INDEX(Q$6:Q1397,MATCH(AC1398,AC$6:AC1397,0))))</f>
        <v/>
      </c>
      <c r="R1398" s="34">
        <f>IF(C1398="","",IF(L1398="☑ Oui","Annulée",IF(OR(E1398="Vente directe",K1398&lt;&gt;""),"Livrée",IF(J1398&lt;&gt;"","Confirmée","En attente"))))</f>
        <v/>
      </c>
      <c r="S1398" s="34">
        <f>IF(F1398="","",IFERROR(VLOOKUP(F1398,T_Produits,2,FALSE),""))</f>
        <v/>
      </c>
      <c r="T1398" s="40">
        <f>IF(F1398="","",IFERROR(1/(1/VLOOKUP(F1398,T_Produits,3,FALSE)),""))</f>
        <v/>
      </c>
      <c r="U1398" s="40">
        <f>IF(H1398&lt;&gt;"",H1398,T1398)</f>
        <v/>
      </c>
      <c r="V1398" s="40">
        <f>IF(OR(G1398="",U1398=""),"",G1398*U1398-N(I1398))</f>
        <v/>
      </c>
      <c r="W1398" s="39">
        <f>IF(D1398="","",IFERROR(VALUE(MID(D1398,LEN(D1398)-3,3)),""))</f>
        <v/>
      </c>
      <c r="X1398" s="33">
        <f>IF(W1398="","",P1398&amp;"|"&amp;W1398)</f>
        <v/>
      </c>
      <c r="Y1398" s="33">
        <f>IF(W1398="","",IF(P1398="À RENSEIGNER","GIC",P1398)&amp;"-"&amp;TEXT(W1398,"000"))</f>
        <v/>
      </c>
      <c r="Z1398" s="33">
        <f>IF(X1398="","",IFERROR(INDEX(Cl_nom,MATCH(X1398,Cl_cle,0)),"(client introuvable)"))</f>
        <v/>
      </c>
      <c r="AA1398" s="33">
        <f>IF(X1398="","",IFERROR(INDEX(Cl_quartier,MATCH(X1398,Cl_cle,0))&amp;"",""))</f>
        <v/>
      </c>
      <c r="AB1398" s="45">
        <f>IF(R1398&lt;&gt;"Livrée",0,IF(K1398&lt;&gt;"",K1398,C1398))</f>
        <v/>
      </c>
      <c r="AC1398" s="33">
        <f>IF(OR(C1398="",W1398=""),"",P1398&amp;"|"&amp;W1398&amp;"|"&amp;C1398&amp;"|"&amp;E1398)</f>
        <v/>
      </c>
      <c r="AD1398" s="39">
        <f>IF(AC1398="","",IF(COUNTIF(AC$6:AC1398,AC1398)=1,1,0))</f>
        <v/>
      </c>
      <c r="AE1398" s="39">
        <f>IF(AB1398=0,"",IF(COUNTIFS(X$6:X1398,X1398,AB$6:AB1398,AB1398)=1,1,0))</f>
        <v/>
      </c>
      <c r="AF1398" s="34">
        <f>IF(C1398="","",YEAR(C1398-WEEKDAY(C1398,2)+4)&amp;"-S"&amp;TEXT(INT((C1398-DATE(YEAR(C1398-WEEKDAY(C1398,2)+4),1,3)+WEEKDAY(DATE(YEAR(C1398-WEEKDAY(C1398,2)+4),1,3),2)+5)/7),"00"))</f>
        <v/>
      </c>
    </row>
    <row r="1399" ht="18" customHeight="1">
      <c r="A1399" s="39" t="n">
        <v>1394</v>
      </c>
      <c r="B1399" s="33">
        <f>IF(C1399="","",IF(P1399="À RENSEIGNER","GIC",P1399)&amp;"-C"&amp;TEXT(A1399,"00000"))</f>
        <v/>
      </c>
      <c r="C1399" s="32" t="n"/>
      <c r="D1399" s="36" t="n"/>
      <c r="E1399" s="36" t="n"/>
      <c r="F1399" s="36" t="n"/>
      <c r="G1399" s="42" t="n"/>
      <c r="H1399" s="37" t="n"/>
      <c r="I1399" s="37" t="n"/>
      <c r="J1399" s="32" t="n"/>
      <c r="K1399" s="32" t="n"/>
      <c r="L1399" s="43" t="n"/>
      <c r="M1399" s="36" t="n"/>
      <c r="N1399" s="44" t="n"/>
      <c r="O1399" s="36" t="n"/>
      <c r="P1399" s="33">
        <f>IF(C1399="","",Commercial_Id)</f>
        <v/>
      </c>
      <c r="Q1399" s="34">
        <f>IF(AC1399="","",IF(AD1399=1,"C"&amp;TEXT(SUM(AD$6:AD1399),"0000"),INDEX(Q$6:Q1398,MATCH(AC1399,AC$6:AC1398,0))))</f>
        <v/>
      </c>
      <c r="R1399" s="34">
        <f>IF(C1399="","",IF(L1399="☑ Oui","Annulée",IF(OR(E1399="Vente directe",K1399&lt;&gt;""),"Livrée",IF(J1399&lt;&gt;"","Confirmée","En attente"))))</f>
        <v/>
      </c>
      <c r="S1399" s="34">
        <f>IF(F1399="","",IFERROR(VLOOKUP(F1399,T_Produits,2,FALSE),""))</f>
        <v/>
      </c>
      <c r="T1399" s="40">
        <f>IF(F1399="","",IFERROR(1/(1/VLOOKUP(F1399,T_Produits,3,FALSE)),""))</f>
        <v/>
      </c>
      <c r="U1399" s="40">
        <f>IF(H1399&lt;&gt;"",H1399,T1399)</f>
        <v/>
      </c>
      <c r="V1399" s="40">
        <f>IF(OR(G1399="",U1399=""),"",G1399*U1399-N(I1399))</f>
        <v/>
      </c>
      <c r="W1399" s="39">
        <f>IF(D1399="","",IFERROR(VALUE(MID(D1399,LEN(D1399)-3,3)),""))</f>
        <v/>
      </c>
      <c r="X1399" s="33">
        <f>IF(W1399="","",P1399&amp;"|"&amp;W1399)</f>
        <v/>
      </c>
      <c r="Y1399" s="33">
        <f>IF(W1399="","",IF(P1399="À RENSEIGNER","GIC",P1399)&amp;"-"&amp;TEXT(W1399,"000"))</f>
        <v/>
      </c>
      <c r="Z1399" s="33">
        <f>IF(X1399="","",IFERROR(INDEX(Cl_nom,MATCH(X1399,Cl_cle,0)),"(client introuvable)"))</f>
        <v/>
      </c>
      <c r="AA1399" s="33">
        <f>IF(X1399="","",IFERROR(INDEX(Cl_quartier,MATCH(X1399,Cl_cle,0))&amp;"",""))</f>
        <v/>
      </c>
      <c r="AB1399" s="45">
        <f>IF(R1399&lt;&gt;"Livrée",0,IF(K1399&lt;&gt;"",K1399,C1399))</f>
        <v/>
      </c>
      <c r="AC1399" s="33">
        <f>IF(OR(C1399="",W1399=""),"",P1399&amp;"|"&amp;W1399&amp;"|"&amp;C1399&amp;"|"&amp;E1399)</f>
        <v/>
      </c>
      <c r="AD1399" s="39">
        <f>IF(AC1399="","",IF(COUNTIF(AC$6:AC1399,AC1399)=1,1,0))</f>
        <v/>
      </c>
      <c r="AE1399" s="39">
        <f>IF(AB1399=0,"",IF(COUNTIFS(X$6:X1399,X1399,AB$6:AB1399,AB1399)=1,1,0))</f>
        <v/>
      </c>
      <c r="AF1399" s="34">
        <f>IF(C1399="","",YEAR(C1399-WEEKDAY(C1399,2)+4)&amp;"-S"&amp;TEXT(INT((C1399-DATE(YEAR(C1399-WEEKDAY(C1399,2)+4),1,3)+WEEKDAY(DATE(YEAR(C1399-WEEKDAY(C1399,2)+4),1,3),2)+5)/7),"00"))</f>
        <v/>
      </c>
    </row>
    <row r="1400" ht="18" customHeight="1">
      <c r="A1400" s="39" t="n">
        <v>1395</v>
      </c>
      <c r="B1400" s="33">
        <f>IF(C1400="","",IF(P1400="À RENSEIGNER","GIC",P1400)&amp;"-C"&amp;TEXT(A1400,"00000"))</f>
        <v/>
      </c>
      <c r="C1400" s="32" t="n"/>
      <c r="D1400" s="36" t="n"/>
      <c r="E1400" s="36" t="n"/>
      <c r="F1400" s="36" t="n"/>
      <c r="G1400" s="42" t="n"/>
      <c r="H1400" s="37" t="n"/>
      <c r="I1400" s="37" t="n"/>
      <c r="J1400" s="32" t="n"/>
      <c r="K1400" s="32" t="n"/>
      <c r="L1400" s="43" t="n"/>
      <c r="M1400" s="36" t="n"/>
      <c r="N1400" s="44" t="n"/>
      <c r="O1400" s="36" t="n"/>
      <c r="P1400" s="33">
        <f>IF(C1400="","",Commercial_Id)</f>
        <v/>
      </c>
      <c r="Q1400" s="34">
        <f>IF(AC1400="","",IF(AD1400=1,"C"&amp;TEXT(SUM(AD$6:AD1400),"0000"),INDEX(Q$6:Q1399,MATCH(AC1400,AC$6:AC1399,0))))</f>
        <v/>
      </c>
      <c r="R1400" s="34">
        <f>IF(C1400="","",IF(L1400="☑ Oui","Annulée",IF(OR(E1400="Vente directe",K1400&lt;&gt;""),"Livrée",IF(J1400&lt;&gt;"","Confirmée","En attente"))))</f>
        <v/>
      </c>
      <c r="S1400" s="34">
        <f>IF(F1400="","",IFERROR(VLOOKUP(F1400,T_Produits,2,FALSE),""))</f>
        <v/>
      </c>
      <c r="T1400" s="40">
        <f>IF(F1400="","",IFERROR(1/(1/VLOOKUP(F1400,T_Produits,3,FALSE)),""))</f>
        <v/>
      </c>
      <c r="U1400" s="40">
        <f>IF(H1400&lt;&gt;"",H1400,T1400)</f>
        <v/>
      </c>
      <c r="V1400" s="40">
        <f>IF(OR(G1400="",U1400=""),"",G1400*U1400-N(I1400))</f>
        <v/>
      </c>
      <c r="W1400" s="39">
        <f>IF(D1400="","",IFERROR(VALUE(MID(D1400,LEN(D1400)-3,3)),""))</f>
        <v/>
      </c>
      <c r="X1400" s="33">
        <f>IF(W1400="","",P1400&amp;"|"&amp;W1400)</f>
        <v/>
      </c>
      <c r="Y1400" s="33">
        <f>IF(W1400="","",IF(P1400="À RENSEIGNER","GIC",P1400)&amp;"-"&amp;TEXT(W1400,"000"))</f>
        <v/>
      </c>
      <c r="Z1400" s="33">
        <f>IF(X1400="","",IFERROR(INDEX(Cl_nom,MATCH(X1400,Cl_cle,0)),"(client introuvable)"))</f>
        <v/>
      </c>
      <c r="AA1400" s="33">
        <f>IF(X1400="","",IFERROR(INDEX(Cl_quartier,MATCH(X1400,Cl_cle,0))&amp;"",""))</f>
        <v/>
      </c>
      <c r="AB1400" s="45">
        <f>IF(R1400&lt;&gt;"Livrée",0,IF(K1400&lt;&gt;"",K1400,C1400))</f>
        <v/>
      </c>
      <c r="AC1400" s="33">
        <f>IF(OR(C1400="",W1400=""),"",P1400&amp;"|"&amp;W1400&amp;"|"&amp;C1400&amp;"|"&amp;E1400)</f>
        <v/>
      </c>
      <c r="AD1400" s="39">
        <f>IF(AC1400="","",IF(COUNTIF(AC$6:AC1400,AC1400)=1,1,0))</f>
        <v/>
      </c>
      <c r="AE1400" s="39">
        <f>IF(AB1400=0,"",IF(COUNTIFS(X$6:X1400,X1400,AB$6:AB1400,AB1400)=1,1,0))</f>
        <v/>
      </c>
      <c r="AF1400" s="34">
        <f>IF(C1400="","",YEAR(C1400-WEEKDAY(C1400,2)+4)&amp;"-S"&amp;TEXT(INT((C1400-DATE(YEAR(C1400-WEEKDAY(C1400,2)+4),1,3)+WEEKDAY(DATE(YEAR(C1400-WEEKDAY(C1400,2)+4),1,3),2)+5)/7),"00"))</f>
        <v/>
      </c>
    </row>
    <row r="1401" ht="18" customHeight="1">
      <c r="A1401" s="39" t="n">
        <v>1396</v>
      </c>
      <c r="B1401" s="33">
        <f>IF(C1401="","",IF(P1401="À RENSEIGNER","GIC",P1401)&amp;"-C"&amp;TEXT(A1401,"00000"))</f>
        <v/>
      </c>
      <c r="C1401" s="32" t="n"/>
      <c r="D1401" s="36" t="n"/>
      <c r="E1401" s="36" t="n"/>
      <c r="F1401" s="36" t="n"/>
      <c r="G1401" s="42" t="n"/>
      <c r="H1401" s="37" t="n"/>
      <c r="I1401" s="37" t="n"/>
      <c r="J1401" s="32" t="n"/>
      <c r="K1401" s="32" t="n"/>
      <c r="L1401" s="43" t="n"/>
      <c r="M1401" s="36" t="n"/>
      <c r="N1401" s="44" t="n"/>
      <c r="O1401" s="36" t="n"/>
      <c r="P1401" s="33">
        <f>IF(C1401="","",Commercial_Id)</f>
        <v/>
      </c>
      <c r="Q1401" s="34">
        <f>IF(AC1401="","",IF(AD1401=1,"C"&amp;TEXT(SUM(AD$6:AD1401),"0000"),INDEX(Q$6:Q1400,MATCH(AC1401,AC$6:AC1400,0))))</f>
        <v/>
      </c>
      <c r="R1401" s="34">
        <f>IF(C1401="","",IF(L1401="☑ Oui","Annulée",IF(OR(E1401="Vente directe",K1401&lt;&gt;""),"Livrée",IF(J1401&lt;&gt;"","Confirmée","En attente"))))</f>
        <v/>
      </c>
      <c r="S1401" s="34">
        <f>IF(F1401="","",IFERROR(VLOOKUP(F1401,T_Produits,2,FALSE),""))</f>
        <v/>
      </c>
      <c r="T1401" s="40">
        <f>IF(F1401="","",IFERROR(1/(1/VLOOKUP(F1401,T_Produits,3,FALSE)),""))</f>
        <v/>
      </c>
      <c r="U1401" s="40">
        <f>IF(H1401&lt;&gt;"",H1401,T1401)</f>
        <v/>
      </c>
      <c r="V1401" s="40">
        <f>IF(OR(G1401="",U1401=""),"",G1401*U1401-N(I1401))</f>
        <v/>
      </c>
      <c r="W1401" s="39">
        <f>IF(D1401="","",IFERROR(VALUE(MID(D1401,LEN(D1401)-3,3)),""))</f>
        <v/>
      </c>
      <c r="X1401" s="33">
        <f>IF(W1401="","",P1401&amp;"|"&amp;W1401)</f>
        <v/>
      </c>
      <c r="Y1401" s="33">
        <f>IF(W1401="","",IF(P1401="À RENSEIGNER","GIC",P1401)&amp;"-"&amp;TEXT(W1401,"000"))</f>
        <v/>
      </c>
      <c r="Z1401" s="33">
        <f>IF(X1401="","",IFERROR(INDEX(Cl_nom,MATCH(X1401,Cl_cle,0)),"(client introuvable)"))</f>
        <v/>
      </c>
      <c r="AA1401" s="33">
        <f>IF(X1401="","",IFERROR(INDEX(Cl_quartier,MATCH(X1401,Cl_cle,0))&amp;"",""))</f>
        <v/>
      </c>
      <c r="AB1401" s="45">
        <f>IF(R1401&lt;&gt;"Livrée",0,IF(K1401&lt;&gt;"",K1401,C1401))</f>
        <v/>
      </c>
      <c r="AC1401" s="33">
        <f>IF(OR(C1401="",W1401=""),"",P1401&amp;"|"&amp;W1401&amp;"|"&amp;C1401&amp;"|"&amp;E1401)</f>
        <v/>
      </c>
      <c r="AD1401" s="39">
        <f>IF(AC1401="","",IF(COUNTIF(AC$6:AC1401,AC1401)=1,1,0))</f>
        <v/>
      </c>
      <c r="AE1401" s="39">
        <f>IF(AB1401=0,"",IF(COUNTIFS(X$6:X1401,X1401,AB$6:AB1401,AB1401)=1,1,0))</f>
        <v/>
      </c>
      <c r="AF1401" s="34">
        <f>IF(C1401="","",YEAR(C1401-WEEKDAY(C1401,2)+4)&amp;"-S"&amp;TEXT(INT((C1401-DATE(YEAR(C1401-WEEKDAY(C1401,2)+4),1,3)+WEEKDAY(DATE(YEAR(C1401-WEEKDAY(C1401,2)+4),1,3),2)+5)/7),"00"))</f>
        <v/>
      </c>
    </row>
    <row r="1402" ht="18" customHeight="1">
      <c r="A1402" s="39" t="n">
        <v>1397</v>
      </c>
      <c r="B1402" s="33">
        <f>IF(C1402="","",IF(P1402="À RENSEIGNER","GIC",P1402)&amp;"-C"&amp;TEXT(A1402,"00000"))</f>
        <v/>
      </c>
      <c r="C1402" s="32" t="n"/>
      <c r="D1402" s="36" t="n"/>
      <c r="E1402" s="36" t="n"/>
      <c r="F1402" s="36" t="n"/>
      <c r="G1402" s="42" t="n"/>
      <c r="H1402" s="37" t="n"/>
      <c r="I1402" s="37" t="n"/>
      <c r="J1402" s="32" t="n"/>
      <c r="K1402" s="32" t="n"/>
      <c r="L1402" s="43" t="n"/>
      <c r="M1402" s="36" t="n"/>
      <c r="N1402" s="44" t="n"/>
      <c r="O1402" s="36" t="n"/>
      <c r="P1402" s="33">
        <f>IF(C1402="","",Commercial_Id)</f>
        <v/>
      </c>
      <c r="Q1402" s="34">
        <f>IF(AC1402="","",IF(AD1402=1,"C"&amp;TEXT(SUM(AD$6:AD1402),"0000"),INDEX(Q$6:Q1401,MATCH(AC1402,AC$6:AC1401,0))))</f>
        <v/>
      </c>
      <c r="R1402" s="34">
        <f>IF(C1402="","",IF(L1402="☑ Oui","Annulée",IF(OR(E1402="Vente directe",K1402&lt;&gt;""),"Livrée",IF(J1402&lt;&gt;"","Confirmée","En attente"))))</f>
        <v/>
      </c>
      <c r="S1402" s="34">
        <f>IF(F1402="","",IFERROR(VLOOKUP(F1402,T_Produits,2,FALSE),""))</f>
        <v/>
      </c>
      <c r="T1402" s="40">
        <f>IF(F1402="","",IFERROR(1/(1/VLOOKUP(F1402,T_Produits,3,FALSE)),""))</f>
        <v/>
      </c>
      <c r="U1402" s="40">
        <f>IF(H1402&lt;&gt;"",H1402,T1402)</f>
        <v/>
      </c>
      <c r="V1402" s="40">
        <f>IF(OR(G1402="",U1402=""),"",G1402*U1402-N(I1402))</f>
        <v/>
      </c>
      <c r="W1402" s="39">
        <f>IF(D1402="","",IFERROR(VALUE(MID(D1402,LEN(D1402)-3,3)),""))</f>
        <v/>
      </c>
      <c r="X1402" s="33">
        <f>IF(W1402="","",P1402&amp;"|"&amp;W1402)</f>
        <v/>
      </c>
      <c r="Y1402" s="33">
        <f>IF(W1402="","",IF(P1402="À RENSEIGNER","GIC",P1402)&amp;"-"&amp;TEXT(W1402,"000"))</f>
        <v/>
      </c>
      <c r="Z1402" s="33">
        <f>IF(X1402="","",IFERROR(INDEX(Cl_nom,MATCH(X1402,Cl_cle,0)),"(client introuvable)"))</f>
        <v/>
      </c>
      <c r="AA1402" s="33">
        <f>IF(X1402="","",IFERROR(INDEX(Cl_quartier,MATCH(X1402,Cl_cle,0))&amp;"",""))</f>
        <v/>
      </c>
      <c r="AB1402" s="45">
        <f>IF(R1402&lt;&gt;"Livrée",0,IF(K1402&lt;&gt;"",K1402,C1402))</f>
        <v/>
      </c>
      <c r="AC1402" s="33">
        <f>IF(OR(C1402="",W1402=""),"",P1402&amp;"|"&amp;W1402&amp;"|"&amp;C1402&amp;"|"&amp;E1402)</f>
        <v/>
      </c>
      <c r="AD1402" s="39">
        <f>IF(AC1402="","",IF(COUNTIF(AC$6:AC1402,AC1402)=1,1,0))</f>
        <v/>
      </c>
      <c r="AE1402" s="39">
        <f>IF(AB1402=0,"",IF(COUNTIFS(X$6:X1402,X1402,AB$6:AB1402,AB1402)=1,1,0))</f>
        <v/>
      </c>
      <c r="AF1402" s="34">
        <f>IF(C1402="","",YEAR(C1402-WEEKDAY(C1402,2)+4)&amp;"-S"&amp;TEXT(INT((C1402-DATE(YEAR(C1402-WEEKDAY(C1402,2)+4),1,3)+WEEKDAY(DATE(YEAR(C1402-WEEKDAY(C1402,2)+4),1,3),2)+5)/7),"00"))</f>
        <v/>
      </c>
    </row>
    <row r="1403" ht="18" customHeight="1">
      <c r="A1403" s="39" t="n">
        <v>1398</v>
      </c>
      <c r="B1403" s="33">
        <f>IF(C1403="","",IF(P1403="À RENSEIGNER","GIC",P1403)&amp;"-C"&amp;TEXT(A1403,"00000"))</f>
        <v/>
      </c>
      <c r="C1403" s="32" t="n"/>
      <c r="D1403" s="36" t="n"/>
      <c r="E1403" s="36" t="n"/>
      <c r="F1403" s="36" t="n"/>
      <c r="G1403" s="42" t="n"/>
      <c r="H1403" s="37" t="n"/>
      <c r="I1403" s="37" t="n"/>
      <c r="J1403" s="32" t="n"/>
      <c r="K1403" s="32" t="n"/>
      <c r="L1403" s="43" t="n"/>
      <c r="M1403" s="36" t="n"/>
      <c r="N1403" s="44" t="n"/>
      <c r="O1403" s="36" t="n"/>
      <c r="P1403" s="33">
        <f>IF(C1403="","",Commercial_Id)</f>
        <v/>
      </c>
      <c r="Q1403" s="34">
        <f>IF(AC1403="","",IF(AD1403=1,"C"&amp;TEXT(SUM(AD$6:AD1403),"0000"),INDEX(Q$6:Q1402,MATCH(AC1403,AC$6:AC1402,0))))</f>
        <v/>
      </c>
      <c r="R1403" s="34">
        <f>IF(C1403="","",IF(L1403="☑ Oui","Annulée",IF(OR(E1403="Vente directe",K1403&lt;&gt;""),"Livrée",IF(J1403&lt;&gt;"","Confirmée","En attente"))))</f>
        <v/>
      </c>
      <c r="S1403" s="34">
        <f>IF(F1403="","",IFERROR(VLOOKUP(F1403,T_Produits,2,FALSE),""))</f>
        <v/>
      </c>
      <c r="T1403" s="40">
        <f>IF(F1403="","",IFERROR(1/(1/VLOOKUP(F1403,T_Produits,3,FALSE)),""))</f>
        <v/>
      </c>
      <c r="U1403" s="40">
        <f>IF(H1403&lt;&gt;"",H1403,T1403)</f>
        <v/>
      </c>
      <c r="V1403" s="40">
        <f>IF(OR(G1403="",U1403=""),"",G1403*U1403-N(I1403))</f>
        <v/>
      </c>
      <c r="W1403" s="39">
        <f>IF(D1403="","",IFERROR(VALUE(MID(D1403,LEN(D1403)-3,3)),""))</f>
        <v/>
      </c>
      <c r="X1403" s="33">
        <f>IF(W1403="","",P1403&amp;"|"&amp;W1403)</f>
        <v/>
      </c>
      <c r="Y1403" s="33">
        <f>IF(W1403="","",IF(P1403="À RENSEIGNER","GIC",P1403)&amp;"-"&amp;TEXT(W1403,"000"))</f>
        <v/>
      </c>
      <c r="Z1403" s="33">
        <f>IF(X1403="","",IFERROR(INDEX(Cl_nom,MATCH(X1403,Cl_cle,0)),"(client introuvable)"))</f>
        <v/>
      </c>
      <c r="AA1403" s="33">
        <f>IF(X1403="","",IFERROR(INDEX(Cl_quartier,MATCH(X1403,Cl_cle,0))&amp;"",""))</f>
        <v/>
      </c>
      <c r="AB1403" s="45">
        <f>IF(R1403&lt;&gt;"Livrée",0,IF(K1403&lt;&gt;"",K1403,C1403))</f>
        <v/>
      </c>
      <c r="AC1403" s="33">
        <f>IF(OR(C1403="",W1403=""),"",P1403&amp;"|"&amp;W1403&amp;"|"&amp;C1403&amp;"|"&amp;E1403)</f>
        <v/>
      </c>
      <c r="AD1403" s="39">
        <f>IF(AC1403="","",IF(COUNTIF(AC$6:AC1403,AC1403)=1,1,0))</f>
        <v/>
      </c>
      <c r="AE1403" s="39">
        <f>IF(AB1403=0,"",IF(COUNTIFS(X$6:X1403,X1403,AB$6:AB1403,AB1403)=1,1,0))</f>
        <v/>
      </c>
      <c r="AF1403" s="34">
        <f>IF(C1403="","",YEAR(C1403-WEEKDAY(C1403,2)+4)&amp;"-S"&amp;TEXT(INT((C1403-DATE(YEAR(C1403-WEEKDAY(C1403,2)+4),1,3)+WEEKDAY(DATE(YEAR(C1403-WEEKDAY(C1403,2)+4),1,3),2)+5)/7),"00"))</f>
        <v/>
      </c>
    </row>
    <row r="1404" ht="18" customHeight="1">
      <c r="A1404" s="39" t="n">
        <v>1399</v>
      </c>
      <c r="B1404" s="33">
        <f>IF(C1404="","",IF(P1404="À RENSEIGNER","GIC",P1404)&amp;"-C"&amp;TEXT(A1404,"00000"))</f>
        <v/>
      </c>
      <c r="C1404" s="32" t="n"/>
      <c r="D1404" s="36" t="n"/>
      <c r="E1404" s="36" t="n"/>
      <c r="F1404" s="36" t="n"/>
      <c r="G1404" s="42" t="n"/>
      <c r="H1404" s="37" t="n"/>
      <c r="I1404" s="37" t="n"/>
      <c r="J1404" s="32" t="n"/>
      <c r="K1404" s="32" t="n"/>
      <c r="L1404" s="43" t="n"/>
      <c r="M1404" s="36" t="n"/>
      <c r="N1404" s="44" t="n"/>
      <c r="O1404" s="36" t="n"/>
      <c r="P1404" s="33">
        <f>IF(C1404="","",Commercial_Id)</f>
        <v/>
      </c>
      <c r="Q1404" s="34">
        <f>IF(AC1404="","",IF(AD1404=1,"C"&amp;TEXT(SUM(AD$6:AD1404),"0000"),INDEX(Q$6:Q1403,MATCH(AC1404,AC$6:AC1403,0))))</f>
        <v/>
      </c>
      <c r="R1404" s="34">
        <f>IF(C1404="","",IF(L1404="☑ Oui","Annulée",IF(OR(E1404="Vente directe",K1404&lt;&gt;""),"Livrée",IF(J1404&lt;&gt;"","Confirmée","En attente"))))</f>
        <v/>
      </c>
      <c r="S1404" s="34">
        <f>IF(F1404="","",IFERROR(VLOOKUP(F1404,T_Produits,2,FALSE),""))</f>
        <v/>
      </c>
      <c r="T1404" s="40">
        <f>IF(F1404="","",IFERROR(1/(1/VLOOKUP(F1404,T_Produits,3,FALSE)),""))</f>
        <v/>
      </c>
      <c r="U1404" s="40">
        <f>IF(H1404&lt;&gt;"",H1404,T1404)</f>
        <v/>
      </c>
      <c r="V1404" s="40">
        <f>IF(OR(G1404="",U1404=""),"",G1404*U1404-N(I1404))</f>
        <v/>
      </c>
      <c r="W1404" s="39">
        <f>IF(D1404="","",IFERROR(VALUE(MID(D1404,LEN(D1404)-3,3)),""))</f>
        <v/>
      </c>
      <c r="X1404" s="33">
        <f>IF(W1404="","",P1404&amp;"|"&amp;W1404)</f>
        <v/>
      </c>
      <c r="Y1404" s="33">
        <f>IF(W1404="","",IF(P1404="À RENSEIGNER","GIC",P1404)&amp;"-"&amp;TEXT(W1404,"000"))</f>
        <v/>
      </c>
      <c r="Z1404" s="33">
        <f>IF(X1404="","",IFERROR(INDEX(Cl_nom,MATCH(X1404,Cl_cle,0)),"(client introuvable)"))</f>
        <v/>
      </c>
      <c r="AA1404" s="33">
        <f>IF(X1404="","",IFERROR(INDEX(Cl_quartier,MATCH(X1404,Cl_cle,0))&amp;"",""))</f>
        <v/>
      </c>
      <c r="AB1404" s="45">
        <f>IF(R1404&lt;&gt;"Livrée",0,IF(K1404&lt;&gt;"",K1404,C1404))</f>
        <v/>
      </c>
      <c r="AC1404" s="33">
        <f>IF(OR(C1404="",W1404=""),"",P1404&amp;"|"&amp;W1404&amp;"|"&amp;C1404&amp;"|"&amp;E1404)</f>
        <v/>
      </c>
      <c r="AD1404" s="39">
        <f>IF(AC1404="","",IF(COUNTIF(AC$6:AC1404,AC1404)=1,1,0))</f>
        <v/>
      </c>
      <c r="AE1404" s="39">
        <f>IF(AB1404=0,"",IF(COUNTIFS(X$6:X1404,X1404,AB$6:AB1404,AB1404)=1,1,0))</f>
        <v/>
      </c>
      <c r="AF1404" s="34">
        <f>IF(C1404="","",YEAR(C1404-WEEKDAY(C1404,2)+4)&amp;"-S"&amp;TEXT(INT((C1404-DATE(YEAR(C1404-WEEKDAY(C1404,2)+4),1,3)+WEEKDAY(DATE(YEAR(C1404-WEEKDAY(C1404,2)+4),1,3),2)+5)/7),"00"))</f>
        <v/>
      </c>
    </row>
    <row r="1405" ht="18" customHeight="1">
      <c r="A1405" s="39" t="n">
        <v>1400</v>
      </c>
      <c r="B1405" s="33">
        <f>IF(C1405="","",IF(P1405="À RENSEIGNER","GIC",P1405)&amp;"-C"&amp;TEXT(A1405,"00000"))</f>
        <v/>
      </c>
      <c r="C1405" s="32" t="n"/>
      <c r="D1405" s="36" t="n"/>
      <c r="E1405" s="36" t="n"/>
      <c r="F1405" s="36" t="n"/>
      <c r="G1405" s="42" t="n"/>
      <c r="H1405" s="37" t="n"/>
      <c r="I1405" s="37" t="n"/>
      <c r="J1405" s="32" t="n"/>
      <c r="K1405" s="32" t="n"/>
      <c r="L1405" s="43" t="n"/>
      <c r="M1405" s="36" t="n"/>
      <c r="N1405" s="44" t="n"/>
      <c r="O1405" s="36" t="n"/>
      <c r="P1405" s="33">
        <f>IF(C1405="","",Commercial_Id)</f>
        <v/>
      </c>
      <c r="Q1405" s="34">
        <f>IF(AC1405="","",IF(AD1405=1,"C"&amp;TEXT(SUM(AD$6:AD1405),"0000"),INDEX(Q$6:Q1404,MATCH(AC1405,AC$6:AC1404,0))))</f>
        <v/>
      </c>
      <c r="R1405" s="34">
        <f>IF(C1405="","",IF(L1405="☑ Oui","Annulée",IF(OR(E1405="Vente directe",K1405&lt;&gt;""),"Livrée",IF(J1405&lt;&gt;"","Confirmée","En attente"))))</f>
        <v/>
      </c>
      <c r="S1405" s="34">
        <f>IF(F1405="","",IFERROR(VLOOKUP(F1405,T_Produits,2,FALSE),""))</f>
        <v/>
      </c>
      <c r="T1405" s="40">
        <f>IF(F1405="","",IFERROR(1/(1/VLOOKUP(F1405,T_Produits,3,FALSE)),""))</f>
        <v/>
      </c>
      <c r="U1405" s="40">
        <f>IF(H1405&lt;&gt;"",H1405,T1405)</f>
        <v/>
      </c>
      <c r="V1405" s="40">
        <f>IF(OR(G1405="",U1405=""),"",G1405*U1405-N(I1405))</f>
        <v/>
      </c>
      <c r="W1405" s="39">
        <f>IF(D1405="","",IFERROR(VALUE(MID(D1405,LEN(D1405)-3,3)),""))</f>
        <v/>
      </c>
      <c r="X1405" s="33">
        <f>IF(W1405="","",P1405&amp;"|"&amp;W1405)</f>
        <v/>
      </c>
      <c r="Y1405" s="33">
        <f>IF(W1405="","",IF(P1405="À RENSEIGNER","GIC",P1405)&amp;"-"&amp;TEXT(W1405,"000"))</f>
        <v/>
      </c>
      <c r="Z1405" s="33">
        <f>IF(X1405="","",IFERROR(INDEX(Cl_nom,MATCH(X1405,Cl_cle,0)),"(client introuvable)"))</f>
        <v/>
      </c>
      <c r="AA1405" s="33">
        <f>IF(X1405="","",IFERROR(INDEX(Cl_quartier,MATCH(X1405,Cl_cle,0))&amp;"",""))</f>
        <v/>
      </c>
      <c r="AB1405" s="45">
        <f>IF(R1405&lt;&gt;"Livrée",0,IF(K1405&lt;&gt;"",K1405,C1405))</f>
        <v/>
      </c>
      <c r="AC1405" s="33">
        <f>IF(OR(C1405="",W1405=""),"",P1405&amp;"|"&amp;W1405&amp;"|"&amp;C1405&amp;"|"&amp;E1405)</f>
        <v/>
      </c>
      <c r="AD1405" s="39">
        <f>IF(AC1405="","",IF(COUNTIF(AC$6:AC1405,AC1405)=1,1,0))</f>
        <v/>
      </c>
      <c r="AE1405" s="39">
        <f>IF(AB1405=0,"",IF(COUNTIFS(X$6:X1405,X1405,AB$6:AB1405,AB1405)=1,1,0))</f>
        <v/>
      </c>
      <c r="AF1405" s="34">
        <f>IF(C1405="","",YEAR(C1405-WEEKDAY(C1405,2)+4)&amp;"-S"&amp;TEXT(INT((C1405-DATE(YEAR(C1405-WEEKDAY(C1405,2)+4),1,3)+WEEKDAY(DATE(YEAR(C1405-WEEKDAY(C1405,2)+4),1,3),2)+5)/7),"00"))</f>
        <v/>
      </c>
    </row>
    <row r="1406" ht="18" customHeight="1">
      <c r="A1406" s="39" t="n">
        <v>1401</v>
      </c>
      <c r="B1406" s="33">
        <f>IF(C1406="","",IF(P1406="À RENSEIGNER","GIC",P1406)&amp;"-C"&amp;TEXT(A1406,"00000"))</f>
        <v/>
      </c>
      <c r="C1406" s="32" t="n"/>
      <c r="D1406" s="36" t="n"/>
      <c r="E1406" s="36" t="n"/>
      <c r="F1406" s="36" t="n"/>
      <c r="G1406" s="42" t="n"/>
      <c r="H1406" s="37" t="n"/>
      <c r="I1406" s="37" t="n"/>
      <c r="J1406" s="32" t="n"/>
      <c r="K1406" s="32" t="n"/>
      <c r="L1406" s="43" t="n"/>
      <c r="M1406" s="36" t="n"/>
      <c r="N1406" s="44" t="n"/>
      <c r="O1406" s="36" t="n"/>
      <c r="P1406" s="33">
        <f>IF(C1406="","",Commercial_Id)</f>
        <v/>
      </c>
      <c r="Q1406" s="34">
        <f>IF(AC1406="","",IF(AD1406=1,"C"&amp;TEXT(SUM(AD$6:AD1406),"0000"),INDEX(Q$6:Q1405,MATCH(AC1406,AC$6:AC1405,0))))</f>
        <v/>
      </c>
      <c r="R1406" s="34">
        <f>IF(C1406="","",IF(L1406="☑ Oui","Annulée",IF(OR(E1406="Vente directe",K1406&lt;&gt;""),"Livrée",IF(J1406&lt;&gt;"","Confirmée","En attente"))))</f>
        <v/>
      </c>
      <c r="S1406" s="34">
        <f>IF(F1406="","",IFERROR(VLOOKUP(F1406,T_Produits,2,FALSE),""))</f>
        <v/>
      </c>
      <c r="T1406" s="40">
        <f>IF(F1406="","",IFERROR(1/(1/VLOOKUP(F1406,T_Produits,3,FALSE)),""))</f>
        <v/>
      </c>
      <c r="U1406" s="40">
        <f>IF(H1406&lt;&gt;"",H1406,T1406)</f>
        <v/>
      </c>
      <c r="V1406" s="40">
        <f>IF(OR(G1406="",U1406=""),"",G1406*U1406-N(I1406))</f>
        <v/>
      </c>
      <c r="W1406" s="39">
        <f>IF(D1406="","",IFERROR(VALUE(MID(D1406,LEN(D1406)-3,3)),""))</f>
        <v/>
      </c>
      <c r="X1406" s="33">
        <f>IF(W1406="","",P1406&amp;"|"&amp;W1406)</f>
        <v/>
      </c>
      <c r="Y1406" s="33">
        <f>IF(W1406="","",IF(P1406="À RENSEIGNER","GIC",P1406)&amp;"-"&amp;TEXT(W1406,"000"))</f>
        <v/>
      </c>
      <c r="Z1406" s="33">
        <f>IF(X1406="","",IFERROR(INDEX(Cl_nom,MATCH(X1406,Cl_cle,0)),"(client introuvable)"))</f>
        <v/>
      </c>
      <c r="AA1406" s="33">
        <f>IF(X1406="","",IFERROR(INDEX(Cl_quartier,MATCH(X1406,Cl_cle,0))&amp;"",""))</f>
        <v/>
      </c>
      <c r="AB1406" s="45">
        <f>IF(R1406&lt;&gt;"Livrée",0,IF(K1406&lt;&gt;"",K1406,C1406))</f>
        <v/>
      </c>
      <c r="AC1406" s="33">
        <f>IF(OR(C1406="",W1406=""),"",P1406&amp;"|"&amp;W1406&amp;"|"&amp;C1406&amp;"|"&amp;E1406)</f>
        <v/>
      </c>
      <c r="AD1406" s="39">
        <f>IF(AC1406="","",IF(COUNTIF(AC$6:AC1406,AC1406)=1,1,0))</f>
        <v/>
      </c>
      <c r="AE1406" s="39">
        <f>IF(AB1406=0,"",IF(COUNTIFS(X$6:X1406,X1406,AB$6:AB1406,AB1406)=1,1,0))</f>
        <v/>
      </c>
      <c r="AF1406" s="34">
        <f>IF(C1406="","",YEAR(C1406-WEEKDAY(C1406,2)+4)&amp;"-S"&amp;TEXT(INT((C1406-DATE(YEAR(C1406-WEEKDAY(C1406,2)+4),1,3)+WEEKDAY(DATE(YEAR(C1406-WEEKDAY(C1406,2)+4),1,3),2)+5)/7),"00"))</f>
        <v/>
      </c>
    </row>
    <row r="1407" ht="18" customHeight="1">
      <c r="A1407" s="39" t="n">
        <v>1402</v>
      </c>
      <c r="B1407" s="33">
        <f>IF(C1407="","",IF(P1407="À RENSEIGNER","GIC",P1407)&amp;"-C"&amp;TEXT(A1407,"00000"))</f>
        <v/>
      </c>
      <c r="C1407" s="32" t="n"/>
      <c r="D1407" s="36" t="n"/>
      <c r="E1407" s="36" t="n"/>
      <c r="F1407" s="36" t="n"/>
      <c r="G1407" s="42" t="n"/>
      <c r="H1407" s="37" t="n"/>
      <c r="I1407" s="37" t="n"/>
      <c r="J1407" s="32" t="n"/>
      <c r="K1407" s="32" t="n"/>
      <c r="L1407" s="43" t="n"/>
      <c r="M1407" s="36" t="n"/>
      <c r="N1407" s="44" t="n"/>
      <c r="O1407" s="36" t="n"/>
      <c r="P1407" s="33">
        <f>IF(C1407="","",Commercial_Id)</f>
        <v/>
      </c>
      <c r="Q1407" s="34">
        <f>IF(AC1407="","",IF(AD1407=1,"C"&amp;TEXT(SUM(AD$6:AD1407),"0000"),INDEX(Q$6:Q1406,MATCH(AC1407,AC$6:AC1406,0))))</f>
        <v/>
      </c>
      <c r="R1407" s="34">
        <f>IF(C1407="","",IF(L1407="☑ Oui","Annulée",IF(OR(E1407="Vente directe",K1407&lt;&gt;""),"Livrée",IF(J1407&lt;&gt;"","Confirmée","En attente"))))</f>
        <v/>
      </c>
      <c r="S1407" s="34">
        <f>IF(F1407="","",IFERROR(VLOOKUP(F1407,T_Produits,2,FALSE),""))</f>
        <v/>
      </c>
      <c r="T1407" s="40">
        <f>IF(F1407="","",IFERROR(1/(1/VLOOKUP(F1407,T_Produits,3,FALSE)),""))</f>
        <v/>
      </c>
      <c r="U1407" s="40">
        <f>IF(H1407&lt;&gt;"",H1407,T1407)</f>
        <v/>
      </c>
      <c r="V1407" s="40">
        <f>IF(OR(G1407="",U1407=""),"",G1407*U1407-N(I1407))</f>
        <v/>
      </c>
      <c r="W1407" s="39">
        <f>IF(D1407="","",IFERROR(VALUE(MID(D1407,LEN(D1407)-3,3)),""))</f>
        <v/>
      </c>
      <c r="X1407" s="33">
        <f>IF(W1407="","",P1407&amp;"|"&amp;W1407)</f>
        <v/>
      </c>
      <c r="Y1407" s="33">
        <f>IF(W1407="","",IF(P1407="À RENSEIGNER","GIC",P1407)&amp;"-"&amp;TEXT(W1407,"000"))</f>
        <v/>
      </c>
      <c r="Z1407" s="33">
        <f>IF(X1407="","",IFERROR(INDEX(Cl_nom,MATCH(X1407,Cl_cle,0)),"(client introuvable)"))</f>
        <v/>
      </c>
      <c r="AA1407" s="33">
        <f>IF(X1407="","",IFERROR(INDEX(Cl_quartier,MATCH(X1407,Cl_cle,0))&amp;"",""))</f>
        <v/>
      </c>
      <c r="AB1407" s="45">
        <f>IF(R1407&lt;&gt;"Livrée",0,IF(K1407&lt;&gt;"",K1407,C1407))</f>
        <v/>
      </c>
      <c r="AC1407" s="33">
        <f>IF(OR(C1407="",W1407=""),"",P1407&amp;"|"&amp;W1407&amp;"|"&amp;C1407&amp;"|"&amp;E1407)</f>
        <v/>
      </c>
      <c r="AD1407" s="39">
        <f>IF(AC1407="","",IF(COUNTIF(AC$6:AC1407,AC1407)=1,1,0))</f>
        <v/>
      </c>
      <c r="AE1407" s="39">
        <f>IF(AB1407=0,"",IF(COUNTIFS(X$6:X1407,X1407,AB$6:AB1407,AB1407)=1,1,0))</f>
        <v/>
      </c>
      <c r="AF1407" s="34">
        <f>IF(C1407="","",YEAR(C1407-WEEKDAY(C1407,2)+4)&amp;"-S"&amp;TEXT(INT((C1407-DATE(YEAR(C1407-WEEKDAY(C1407,2)+4),1,3)+WEEKDAY(DATE(YEAR(C1407-WEEKDAY(C1407,2)+4),1,3),2)+5)/7),"00"))</f>
        <v/>
      </c>
    </row>
    <row r="1408" ht="18" customHeight="1">
      <c r="A1408" s="39" t="n">
        <v>1403</v>
      </c>
      <c r="B1408" s="33">
        <f>IF(C1408="","",IF(P1408="À RENSEIGNER","GIC",P1408)&amp;"-C"&amp;TEXT(A1408,"00000"))</f>
        <v/>
      </c>
      <c r="C1408" s="32" t="n"/>
      <c r="D1408" s="36" t="n"/>
      <c r="E1408" s="36" t="n"/>
      <c r="F1408" s="36" t="n"/>
      <c r="G1408" s="42" t="n"/>
      <c r="H1408" s="37" t="n"/>
      <c r="I1408" s="37" t="n"/>
      <c r="J1408" s="32" t="n"/>
      <c r="K1408" s="32" t="n"/>
      <c r="L1408" s="43" t="n"/>
      <c r="M1408" s="36" t="n"/>
      <c r="N1408" s="44" t="n"/>
      <c r="O1408" s="36" t="n"/>
      <c r="P1408" s="33">
        <f>IF(C1408="","",Commercial_Id)</f>
        <v/>
      </c>
      <c r="Q1408" s="34">
        <f>IF(AC1408="","",IF(AD1408=1,"C"&amp;TEXT(SUM(AD$6:AD1408),"0000"),INDEX(Q$6:Q1407,MATCH(AC1408,AC$6:AC1407,0))))</f>
        <v/>
      </c>
      <c r="R1408" s="34">
        <f>IF(C1408="","",IF(L1408="☑ Oui","Annulée",IF(OR(E1408="Vente directe",K1408&lt;&gt;""),"Livrée",IF(J1408&lt;&gt;"","Confirmée","En attente"))))</f>
        <v/>
      </c>
      <c r="S1408" s="34">
        <f>IF(F1408="","",IFERROR(VLOOKUP(F1408,T_Produits,2,FALSE),""))</f>
        <v/>
      </c>
      <c r="T1408" s="40">
        <f>IF(F1408="","",IFERROR(1/(1/VLOOKUP(F1408,T_Produits,3,FALSE)),""))</f>
        <v/>
      </c>
      <c r="U1408" s="40">
        <f>IF(H1408&lt;&gt;"",H1408,T1408)</f>
        <v/>
      </c>
      <c r="V1408" s="40">
        <f>IF(OR(G1408="",U1408=""),"",G1408*U1408-N(I1408))</f>
        <v/>
      </c>
      <c r="W1408" s="39">
        <f>IF(D1408="","",IFERROR(VALUE(MID(D1408,LEN(D1408)-3,3)),""))</f>
        <v/>
      </c>
      <c r="X1408" s="33">
        <f>IF(W1408="","",P1408&amp;"|"&amp;W1408)</f>
        <v/>
      </c>
      <c r="Y1408" s="33">
        <f>IF(W1408="","",IF(P1408="À RENSEIGNER","GIC",P1408)&amp;"-"&amp;TEXT(W1408,"000"))</f>
        <v/>
      </c>
      <c r="Z1408" s="33">
        <f>IF(X1408="","",IFERROR(INDEX(Cl_nom,MATCH(X1408,Cl_cle,0)),"(client introuvable)"))</f>
        <v/>
      </c>
      <c r="AA1408" s="33">
        <f>IF(X1408="","",IFERROR(INDEX(Cl_quartier,MATCH(X1408,Cl_cle,0))&amp;"",""))</f>
        <v/>
      </c>
      <c r="AB1408" s="45">
        <f>IF(R1408&lt;&gt;"Livrée",0,IF(K1408&lt;&gt;"",K1408,C1408))</f>
        <v/>
      </c>
      <c r="AC1408" s="33">
        <f>IF(OR(C1408="",W1408=""),"",P1408&amp;"|"&amp;W1408&amp;"|"&amp;C1408&amp;"|"&amp;E1408)</f>
        <v/>
      </c>
      <c r="AD1408" s="39">
        <f>IF(AC1408="","",IF(COUNTIF(AC$6:AC1408,AC1408)=1,1,0))</f>
        <v/>
      </c>
      <c r="AE1408" s="39">
        <f>IF(AB1408=0,"",IF(COUNTIFS(X$6:X1408,X1408,AB$6:AB1408,AB1408)=1,1,0))</f>
        <v/>
      </c>
      <c r="AF1408" s="34">
        <f>IF(C1408="","",YEAR(C1408-WEEKDAY(C1408,2)+4)&amp;"-S"&amp;TEXT(INT((C1408-DATE(YEAR(C1408-WEEKDAY(C1408,2)+4),1,3)+WEEKDAY(DATE(YEAR(C1408-WEEKDAY(C1408,2)+4),1,3),2)+5)/7),"00"))</f>
        <v/>
      </c>
    </row>
    <row r="1409" ht="18" customHeight="1">
      <c r="A1409" s="39" t="n">
        <v>1404</v>
      </c>
      <c r="B1409" s="33">
        <f>IF(C1409="","",IF(P1409="À RENSEIGNER","GIC",P1409)&amp;"-C"&amp;TEXT(A1409,"00000"))</f>
        <v/>
      </c>
      <c r="C1409" s="32" t="n"/>
      <c r="D1409" s="36" t="n"/>
      <c r="E1409" s="36" t="n"/>
      <c r="F1409" s="36" t="n"/>
      <c r="G1409" s="42" t="n"/>
      <c r="H1409" s="37" t="n"/>
      <c r="I1409" s="37" t="n"/>
      <c r="J1409" s="32" t="n"/>
      <c r="K1409" s="32" t="n"/>
      <c r="L1409" s="43" t="n"/>
      <c r="M1409" s="36" t="n"/>
      <c r="N1409" s="44" t="n"/>
      <c r="O1409" s="36" t="n"/>
      <c r="P1409" s="33">
        <f>IF(C1409="","",Commercial_Id)</f>
        <v/>
      </c>
      <c r="Q1409" s="34">
        <f>IF(AC1409="","",IF(AD1409=1,"C"&amp;TEXT(SUM(AD$6:AD1409),"0000"),INDEX(Q$6:Q1408,MATCH(AC1409,AC$6:AC1408,0))))</f>
        <v/>
      </c>
      <c r="R1409" s="34">
        <f>IF(C1409="","",IF(L1409="☑ Oui","Annulée",IF(OR(E1409="Vente directe",K1409&lt;&gt;""),"Livrée",IF(J1409&lt;&gt;"","Confirmée","En attente"))))</f>
        <v/>
      </c>
      <c r="S1409" s="34">
        <f>IF(F1409="","",IFERROR(VLOOKUP(F1409,T_Produits,2,FALSE),""))</f>
        <v/>
      </c>
      <c r="T1409" s="40">
        <f>IF(F1409="","",IFERROR(1/(1/VLOOKUP(F1409,T_Produits,3,FALSE)),""))</f>
        <v/>
      </c>
      <c r="U1409" s="40">
        <f>IF(H1409&lt;&gt;"",H1409,T1409)</f>
        <v/>
      </c>
      <c r="V1409" s="40">
        <f>IF(OR(G1409="",U1409=""),"",G1409*U1409-N(I1409))</f>
        <v/>
      </c>
      <c r="W1409" s="39">
        <f>IF(D1409="","",IFERROR(VALUE(MID(D1409,LEN(D1409)-3,3)),""))</f>
        <v/>
      </c>
      <c r="X1409" s="33">
        <f>IF(W1409="","",P1409&amp;"|"&amp;W1409)</f>
        <v/>
      </c>
      <c r="Y1409" s="33">
        <f>IF(W1409="","",IF(P1409="À RENSEIGNER","GIC",P1409)&amp;"-"&amp;TEXT(W1409,"000"))</f>
        <v/>
      </c>
      <c r="Z1409" s="33">
        <f>IF(X1409="","",IFERROR(INDEX(Cl_nom,MATCH(X1409,Cl_cle,0)),"(client introuvable)"))</f>
        <v/>
      </c>
      <c r="AA1409" s="33">
        <f>IF(X1409="","",IFERROR(INDEX(Cl_quartier,MATCH(X1409,Cl_cle,0))&amp;"",""))</f>
        <v/>
      </c>
      <c r="AB1409" s="45">
        <f>IF(R1409&lt;&gt;"Livrée",0,IF(K1409&lt;&gt;"",K1409,C1409))</f>
        <v/>
      </c>
      <c r="AC1409" s="33">
        <f>IF(OR(C1409="",W1409=""),"",P1409&amp;"|"&amp;W1409&amp;"|"&amp;C1409&amp;"|"&amp;E1409)</f>
        <v/>
      </c>
      <c r="AD1409" s="39">
        <f>IF(AC1409="","",IF(COUNTIF(AC$6:AC1409,AC1409)=1,1,0))</f>
        <v/>
      </c>
      <c r="AE1409" s="39">
        <f>IF(AB1409=0,"",IF(COUNTIFS(X$6:X1409,X1409,AB$6:AB1409,AB1409)=1,1,0))</f>
        <v/>
      </c>
      <c r="AF1409" s="34">
        <f>IF(C1409="","",YEAR(C1409-WEEKDAY(C1409,2)+4)&amp;"-S"&amp;TEXT(INT((C1409-DATE(YEAR(C1409-WEEKDAY(C1409,2)+4),1,3)+WEEKDAY(DATE(YEAR(C1409-WEEKDAY(C1409,2)+4),1,3),2)+5)/7),"00"))</f>
        <v/>
      </c>
    </row>
    <row r="1410" ht="18" customHeight="1">
      <c r="A1410" s="39" t="n">
        <v>1405</v>
      </c>
      <c r="B1410" s="33">
        <f>IF(C1410="","",IF(P1410="À RENSEIGNER","GIC",P1410)&amp;"-C"&amp;TEXT(A1410,"00000"))</f>
        <v/>
      </c>
      <c r="C1410" s="32" t="n"/>
      <c r="D1410" s="36" t="n"/>
      <c r="E1410" s="36" t="n"/>
      <c r="F1410" s="36" t="n"/>
      <c r="G1410" s="42" t="n"/>
      <c r="H1410" s="37" t="n"/>
      <c r="I1410" s="37" t="n"/>
      <c r="J1410" s="32" t="n"/>
      <c r="K1410" s="32" t="n"/>
      <c r="L1410" s="43" t="n"/>
      <c r="M1410" s="36" t="n"/>
      <c r="N1410" s="44" t="n"/>
      <c r="O1410" s="36" t="n"/>
      <c r="P1410" s="33">
        <f>IF(C1410="","",Commercial_Id)</f>
        <v/>
      </c>
      <c r="Q1410" s="34">
        <f>IF(AC1410="","",IF(AD1410=1,"C"&amp;TEXT(SUM(AD$6:AD1410),"0000"),INDEX(Q$6:Q1409,MATCH(AC1410,AC$6:AC1409,0))))</f>
        <v/>
      </c>
      <c r="R1410" s="34">
        <f>IF(C1410="","",IF(L1410="☑ Oui","Annulée",IF(OR(E1410="Vente directe",K1410&lt;&gt;""),"Livrée",IF(J1410&lt;&gt;"","Confirmée","En attente"))))</f>
        <v/>
      </c>
      <c r="S1410" s="34">
        <f>IF(F1410="","",IFERROR(VLOOKUP(F1410,T_Produits,2,FALSE),""))</f>
        <v/>
      </c>
      <c r="T1410" s="40">
        <f>IF(F1410="","",IFERROR(1/(1/VLOOKUP(F1410,T_Produits,3,FALSE)),""))</f>
        <v/>
      </c>
      <c r="U1410" s="40">
        <f>IF(H1410&lt;&gt;"",H1410,T1410)</f>
        <v/>
      </c>
      <c r="V1410" s="40">
        <f>IF(OR(G1410="",U1410=""),"",G1410*U1410-N(I1410))</f>
        <v/>
      </c>
      <c r="W1410" s="39">
        <f>IF(D1410="","",IFERROR(VALUE(MID(D1410,LEN(D1410)-3,3)),""))</f>
        <v/>
      </c>
      <c r="X1410" s="33">
        <f>IF(W1410="","",P1410&amp;"|"&amp;W1410)</f>
        <v/>
      </c>
      <c r="Y1410" s="33">
        <f>IF(W1410="","",IF(P1410="À RENSEIGNER","GIC",P1410)&amp;"-"&amp;TEXT(W1410,"000"))</f>
        <v/>
      </c>
      <c r="Z1410" s="33">
        <f>IF(X1410="","",IFERROR(INDEX(Cl_nom,MATCH(X1410,Cl_cle,0)),"(client introuvable)"))</f>
        <v/>
      </c>
      <c r="AA1410" s="33">
        <f>IF(X1410="","",IFERROR(INDEX(Cl_quartier,MATCH(X1410,Cl_cle,0))&amp;"",""))</f>
        <v/>
      </c>
      <c r="AB1410" s="45">
        <f>IF(R1410&lt;&gt;"Livrée",0,IF(K1410&lt;&gt;"",K1410,C1410))</f>
        <v/>
      </c>
      <c r="AC1410" s="33">
        <f>IF(OR(C1410="",W1410=""),"",P1410&amp;"|"&amp;W1410&amp;"|"&amp;C1410&amp;"|"&amp;E1410)</f>
        <v/>
      </c>
      <c r="AD1410" s="39">
        <f>IF(AC1410="","",IF(COUNTIF(AC$6:AC1410,AC1410)=1,1,0))</f>
        <v/>
      </c>
      <c r="AE1410" s="39">
        <f>IF(AB1410=0,"",IF(COUNTIFS(X$6:X1410,X1410,AB$6:AB1410,AB1410)=1,1,0))</f>
        <v/>
      </c>
      <c r="AF1410" s="34">
        <f>IF(C1410="","",YEAR(C1410-WEEKDAY(C1410,2)+4)&amp;"-S"&amp;TEXT(INT((C1410-DATE(YEAR(C1410-WEEKDAY(C1410,2)+4),1,3)+WEEKDAY(DATE(YEAR(C1410-WEEKDAY(C1410,2)+4),1,3),2)+5)/7),"00"))</f>
        <v/>
      </c>
    </row>
    <row r="1411" ht="18" customHeight="1">
      <c r="A1411" s="39" t="n">
        <v>1406</v>
      </c>
      <c r="B1411" s="33">
        <f>IF(C1411="","",IF(P1411="À RENSEIGNER","GIC",P1411)&amp;"-C"&amp;TEXT(A1411,"00000"))</f>
        <v/>
      </c>
      <c r="C1411" s="32" t="n"/>
      <c r="D1411" s="36" t="n"/>
      <c r="E1411" s="36" t="n"/>
      <c r="F1411" s="36" t="n"/>
      <c r="G1411" s="42" t="n"/>
      <c r="H1411" s="37" t="n"/>
      <c r="I1411" s="37" t="n"/>
      <c r="J1411" s="32" t="n"/>
      <c r="K1411" s="32" t="n"/>
      <c r="L1411" s="43" t="n"/>
      <c r="M1411" s="36" t="n"/>
      <c r="N1411" s="44" t="n"/>
      <c r="O1411" s="36" t="n"/>
      <c r="P1411" s="33">
        <f>IF(C1411="","",Commercial_Id)</f>
        <v/>
      </c>
      <c r="Q1411" s="34">
        <f>IF(AC1411="","",IF(AD1411=1,"C"&amp;TEXT(SUM(AD$6:AD1411),"0000"),INDEX(Q$6:Q1410,MATCH(AC1411,AC$6:AC1410,0))))</f>
        <v/>
      </c>
      <c r="R1411" s="34">
        <f>IF(C1411="","",IF(L1411="☑ Oui","Annulée",IF(OR(E1411="Vente directe",K1411&lt;&gt;""),"Livrée",IF(J1411&lt;&gt;"","Confirmée","En attente"))))</f>
        <v/>
      </c>
      <c r="S1411" s="34">
        <f>IF(F1411="","",IFERROR(VLOOKUP(F1411,T_Produits,2,FALSE),""))</f>
        <v/>
      </c>
      <c r="T1411" s="40">
        <f>IF(F1411="","",IFERROR(1/(1/VLOOKUP(F1411,T_Produits,3,FALSE)),""))</f>
        <v/>
      </c>
      <c r="U1411" s="40">
        <f>IF(H1411&lt;&gt;"",H1411,T1411)</f>
        <v/>
      </c>
      <c r="V1411" s="40">
        <f>IF(OR(G1411="",U1411=""),"",G1411*U1411-N(I1411))</f>
        <v/>
      </c>
      <c r="W1411" s="39">
        <f>IF(D1411="","",IFERROR(VALUE(MID(D1411,LEN(D1411)-3,3)),""))</f>
        <v/>
      </c>
      <c r="X1411" s="33">
        <f>IF(W1411="","",P1411&amp;"|"&amp;W1411)</f>
        <v/>
      </c>
      <c r="Y1411" s="33">
        <f>IF(W1411="","",IF(P1411="À RENSEIGNER","GIC",P1411)&amp;"-"&amp;TEXT(W1411,"000"))</f>
        <v/>
      </c>
      <c r="Z1411" s="33">
        <f>IF(X1411="","",IFERROR(INDEX(Cl_nom,MATCH(X1411,Cl_cle,0)),"(client introuvable)"))</f>
        <v/>
      </c>
      <c r="AA1411" s="33">
        <f>IF(X1411="","",IFERROR(INDEX(Cl_quartier,MATCH(X1411,Cl_cle,0))&amp;"",""))</f>
        <v/>
      </c>
      <c r="AB1411" s="45">
        <f>IF(R1411&lt;&gt;"Livrée",0,IF(K1411&lt;&gt;"",K1411,C1411))</f>
        <v/>
      </c>
      <c r="AC1411" s="33">
        <f>IF(OR(C1411="",W1411=""),"",P1411&amp;"|"&amp;W1411&amp;"|"&amp;C1411&amp;"|"&amp;E1411)</f>
        <v/>
      </c>
      <c r="AD1411" s="39">
        <f>IF(AC1411="","",IF(COUNTIF(AC$6:AC1411,AC1411)=1,1,0))</f>
        <v/>
      </c>
      <c r="AE1411" s="39">
        <f>IF(AB1411=0,"",IF(COUNTIFS(X$6:X1411,X1411,AB$6:AB1411,AB1411)=1,1,0))</f>
        <v/>
      </c>
      <c r="AF1411" s="34">
        <f>IF(C1411="","",YEAR(C1411-WEEKDAY(C1411,2)+4)&amp;"-S"&amp;TEXT(INT((C1411-DATE(YEAR(C1411-WEEKDAY(C1411,2)+4),1,3)+WEEKDAY(DATE(YEAR(C1411-WEEKDAY(C1411,2)+4),1,3),2)+5)/7),"00"))</f>
        <v/>
      </c>
    </row>
    <row r="1412" ht="18" customHeight="1">
      <c r="A1412" s="39" t="n">
        <v>1407</v>
      </c>
      <c r="B1412" s="33">
        <f>IF(C1412="","",IF(P1412="À RENSEIGNER","GIC",P1412)&amp;"-C"&amp;TEXT(A1412,"00000"))</f>
        <v/>
      </c>
      <c r="C1412" s="32" t="n"/>
      <c r="D1412" s="36" t="n"/>
      <c r="E1412" s="36" t="n"/>
      <c r="F1412" s="36" t="n"/>
      <c r="G1412" s="42" t="n"/>
      <c r="H1412" s="37" t="n"/>
      <c r="I1412" s="37" t="n"/>
      <c r="J1412" s="32" t="n"/>
      <c r="K1412" s="32" t="n"/>
      <c r="L1412" s="43" t="n"/>
      <c r="M1412" s="36" t="n"/>
      <c r="N1412" s="44" t="n"/>
      <c r="O1412" s="36" t="n"/>
      <c r="P1412" s="33">
        <f>IF(C1412="","",Commercial_Id)</f>
        <v/>
      </c>
      <c r="Q1412" s="34">
        <f>IF(AC1412="","",IF(AD1412=1,"C"&amp;TEXT(SUM(AD$6:AD1412),"0000"),INDEX(Q$6:Q1411,MATCH(AC1412,AC$6:AC1411,0))))</f>
        <v/>
      </c>
      <c r="R1412" s="34">
        <f>IF(C1412="","",IF(L1412="☑ Oui","Annulée",IF(OR(E1412="Vente directe",K1412&lt;&gt;""),"Livrée",IF(J1412&lt;&gt;"","Confirmée","En attente"))))</f>
        <v/>
      </c>
      <c r="S1412" s="34">
        <f>IF(F1412="","",IFERROR(VLOOKUP(F1412,T_Produits,2,FALSE),""))</f>
        <v/>
      </c>
      <c r="T1412" s="40">
        <f>IF(F1412="","",IFERROR(1/(1/VLOOKUP(F1412,T_Produits,3,FALSE)),""))</f>
        <v/>
      </c>
      <c r="U1412" s="40">
        <f>IF(H1412&lt;&gt;"",H1412,T1412)</f>
        <v/>
      </c>
      <c r="V1412" s="40">
        <f>IF(OR(G1412="",U1412=""),"",G1412*U1412-N(I1412))</f>
        <v/>
      </c>
      <c r="W1412" s="39">
        <f>IF(D1412="","",IFERROR(VALUE(MID(D1412,LEN(D1412)-3,3)),""))</f>
        <v/>
      </c>
      <c r="X1412" s="33">
        <f>IF(W1412="","",P1412&amp;"|"&amp;W1412)</f>
        <v/>
      </c>
      <c r="Y1412" s="33">
        <f>IF(W1412="","",IF(P1412="À RENSEIGNER","GIC",P1412)&amp;"-"&amp;TEXT(W1412,"000"))</f>
        <v/>
      </c>
      <c r="Z1412" s="33">
        <f>IF(X1412="","",IFERROR(INDEX(Cl_nom,MATCH(X1412,Cl_cle,0)),"(client introuvable)"))</f>
        <v/>
      </c>
      <c r="AA1412" s="33">
        <f>IF(X1412="","",IFERROR(INDEX(Cl_quartier,MATCH(X1412,Cl_cle,0))&amp;"",""))</f>
        <v/>
      </c>
      <c r="AB1412" s="45">
        <f>IF(R1412&lt;&gt;"Livrée",0,IF(K1412&lt;&gt;"",K1412,C1412))</f>
        <v/>
      </c>
      <c r="AC1412" s="33">
        <f>IF(OR(C1412="",W1412=""),"",P1412&amp;"|"&amp;W1412&amp;"|"&amp;C1412&amp;"|"&amp;E1412)</f>
        <v/>
      </c>
      <c r="AD1412" s="39">
        <f>IF(AC1412="","",IF(COUNTIF(AC$6:AC1412,AC1412)=1,1,0))</f>
        <v/>
      </c>
      <c r="AE1412" s="39">
        <f>IF(AB1412=0,"",IF(COUNTIFS(X$6:X1412,X1412,AB$6:AB1412,AB1412)=1,1,0))</f>
        <v/>
      </c>
      <c r="AF1412" s="34">
        <f>IF(C1412="","",YEAR(C1412-WEEKDAY(C1412,2)+4)&amp;"-S"&amp;TEXT(INT((C1412-DATE(YEAR(C1412-WEEKDAY(C1412,2)+4),1,3)+WEEKDAY(DATE(YEAR(C1412-WEEKDAY(C1412,2)+4),1,3),2)+5)/7),"00"))</f>
        <v/>
      </c>
    </row>
    <row r="1413" ht="18" customHeight="1">
      <c r="A1413" s="39" t="n">
        <v>1408</v>
      </c>
      <c r="B1413" s="33">
        <f>IF(C1413="","",IF(P1413="À RENSEIGNER","GIC",P1413)&amp;"-C"&amp;TEXT(A1413,"00000"))</f>
        <v/>
      </c>
      <c r="C1413" s="32" t="n"/>
      <c r="D1413" s="36" t="n"/>
      <c r="E1413" s="36" t="n"/>
      <c r="F1413" s="36" t="n"/>
      <c r="G1413" s="42" t="n"/>
      <c r="H1413" s="37" t="n"/>
      <c r="I1413" s="37" t="n"/>
      <c r="J1413" s="32" t="n"/>
      <c r="K1413" s="32" t="n"/>
      <c r="L1413" s="43" t="n"/>
      <c r="M1413" s="36" t="n"/>
      <c r="N1413" s="44" t="n"/>
      <c r="O1413" s="36" t="n"/>
      <c r="P1413" s="33">
        <f>IF(C1413="","",Commercial_Id)</f>
        <v/>
      </c>
      <c r="Q1413" s="34">
        <f>IF(AC1413="","",IF(AD1413=1,"C"&amp;TEXT(SUM(AD$6:AD1413),"0000"),INDEX(Q$6:Q1412,MATCH(AC1413,AC$6:AC1412,0))))</f>
        <v/>
      </c>
      <c r="R1413" s="34">
        <f>IF(C1413="","",IF(L1413="☑ Oui","Annulée",IF(OR(E1413="Vente directe",K1413&lt;&gt;""),"Livrée",IF(J1413&lt;&gt;"","Confirmée","En attente"))))</f>
        <v/>
      </c>
      <c r="S1413" s="34">
        <f>IF(F1413="","",IFERROR(VLOOKUP(F1413,T_Produits,2,FALSE),""))</f>
        <v/>
      </c>
      <c r="T1413" s="40">
        <f>IF(F1413="","",IFERROR(1/(1/VLOOKUP(F1413,T_Produits,3,FALSE)),""))</f>
        <v/>
      </c>
      <c r="U1413" s="40">
        <f>IF(H1413&lt;&gt;"",H1413,T1413)</f>
        <v/>
      </c>
      <c r="V1413" s="40">
        <f>IF(OR(G1413="",U1413=""),"",G1413*U1413-N(I1413))</f>
        <v/>
      </c>
      <c r="W1413" s="39">
        <f>IF(D1413="","",IFERROR(VALUE(MID(D1413,LEN(D1413)-3,3)),""))</f>
        <v/>
      </c>
      <c r="X1413" s="33">
        <f>IF(W1413="","",P1413&amp;"|"&amp;W1413)</f>
        <v/>
      </c>
      <c r="Y1413" s="33">
        <f>IF(W1413="","",IF(P1413="À RENSEIGNER","GIC",P1413)&amp;"-"&amp;TEXT(W1413,"000"))</f>
        <v/>
      </c>
      <c r="Z1413" s="33">
        <f>IF(X1413="","",IFERROR(INDEX(Cl_nom,MATCH(X1413,Cl_cle,0)),"(client introuvable)"))</f>
        <v/>
      </c>
      <c r="AA1413" s="33">
        <f>IF(X1413="","",IFERROR(INDEX(Cl_quartier,MATCH(X1413,Cl_cle,0))&amp;"",""))</f>
        <v/>
      </c>
      <c r="AB1413" s="45">
        <f>IF(R1413&lt;&gt;"Livrée",0,IF(K1413&lt;&gt;"",K1413,C1413))</f>
        <v/>
      </c>
      <c r="AC1413" s="33">
        <f>IF(OR(C1413="",W1413=""),"",P1413&amp;"|"&amp;W1413&amp;"|"&amp;C1413&amp;"|"&amp;E1413)</f>
        <v/>
      </c>
      <c r="AD1413" s="39">
        <f>IF(AC1413="","",IF(COUNTIF(AC$6:AC1413,AC1413)=1,1,0))</f>
        <v/>
      </c>
      <c r="AE1413" s="39">
        <f>IF(AB1413=0,"",IF(COUNTIFS(X$6:X1413,X1413,AB$6:AB1413,AB1413)=1,1,0))</f>
        <v/>
      </c>
      <c r="AF1413" s="34">
        <f>IF(C1413="","",YEAR(C1413-WEEKDAY(C1413,2)+4)&amp;"-S"&amp;TEXT(INT((C1413-DATE(YEAR(C1413-WEEKDAY(C1413,2)+4),1,3)+WEEKDAY(DATE(YEAR(C1413-WEEKDAY(C1413,2)+4),1,3),2)+5)/7),"00"))</f>
        <v/>
      </c>
    </row>
    <row r="1414" ht="18" customHeight="1">
      <c r="A1414" s="39" t="n">
        <v>1409</v>
      </c>
      <c r="B1414" s="33">
        <f>IF(C1414="","",IF(P1414="À RENSEIGNER","GIC",P1414)&amp;"-C"&amp;TEXT(A1414,"00000"))</f>
        <v/>
      </c>
      <c r="C1414" s="32" t="n"/>
      <c r="D1414" s="36" t="n"/>
      <c r="E1414" s="36" t="n"/>
      <c r="F1414" s="36" t="n"/>
      <c r="G1414" s="42" t="n"/>
      <c r="H1414" s="37" t="n"/>
      <c r="I1414" s="37" t="n"/>
      <c r="J1414" s="32" t="n"/>
      <c r="K1414" s="32" t="n"/>
      <c r="L1414" s="43" t="n"/>
      <c r="M1414" s="36" t="n"/>
      <c r="N1414" s="44" t="n"/>
      <c r="O1414" s="36" t="n"/>
      <c r="P1414" s="33">
        <f>IF(C1414="","",Commercial_Id)</f>
        <v/>
      </c>
      <c r="Q1414" s="34">
        <f>IF(AC1414="","",IF(AD1414=1,"C"&amp;TEXT(SUM(AD$6:AD1414),"0000"),INDEX(Q$6:Q1413,MATCH(AC1414,AC$6:AC1413,0))))</f>
        <v/>
      </c>
      <c r="R1414" s="34">
        <f>IF(C1414="","",IF(L1414="☑ Oui","Annulée",IF(OR(E1414="Vente directe",K1414&lt;&gt;""),"Livrée",IF(J1414&lt;&gt;"","Confirmée","En attente"))))</f>
        <v/>
      </c>
      <c r="S1414" s="34">
        <f>IF(F1414="","",IFERROR(VLOOKUP(F1414,T_Produits,2,FALSE),""))</f>
        <v/>
      </c>
      <c r="T1414" s="40">
        <f>IF(F1414="","",IFERROR(1/(1/VLOOKUP(F1414,T_Produits,3,FALSE)),""))</f>
        <v/>
      </c>
      <c r="U1414" s="40">
        <f>IF(H1414&lt;&gt;"",H1414,T1414)</f>
        <v/>
      </c>
      <c r="V1414" s="40">
        <f>IF(OR(G1414="",U1414=""),"",G1414*U1414-N(I1414))</f>
        <v/>
      </c>
      <c r="W1414" s="39">
        <f>IF(D1414="","",IFERROR(VALUE(MID(D1414,LEN(D1414)-3,3)),""))</f>
        <v/>
      </c>
      <c r="X1414" s="33">
        <f>IF(W1414="","",P1414&amp;"|"&amp;W1414)</f>
        <v/>
      </c>
      <c r="Y1414" s="33">
        <f>IF(W1414="","",IF(P1414="À RENSEIGNER","GIC",P1414)&amp;"-"&amp;TEXT(W1414,"000"))</f>
        <v/>
      </c>
      <c r="Z1414" s="33">
        <f>IF(X1414="","",IFERROR(INDEX(Cl_nom,MATCH(X1414,Cl_cle,0)),"(client introuvable)"))</f>
        <v/>
      </c>
      <c r="AA1414" s="33">
        <f>IF(X1414="","",IFERROR(INDEX(Cl_quartier,MATCH(X1414,Cl_cle,0))&amp;"",""))</f>
        <v/>
      </c>
      <c r="AB1414" s="45">
        <f>IF(R1414&lt;&gt;"Livrée",0,IF(K1414&lt;&gt;"",K1414,C1414))</f>
        <v/>
      </c>
      <c r="AC1414" s="33">
        <f>IF(OR(C1414="",W1414=""),"",P1414&amp;"|"&amp;W1414&amp;"|"&amp;C1414&amp;"|"&amp;E1414)</f>
        <v/>
      </c>
      <c r="AD1414" s="39">
        <f>IF(AC1414="","",IF(COUNTIF(AC$6:AC1414,AC1414)=1,1,0))</f>
        <v/>
      </c>
      <c r="AE1414" s="39">
        <f>IF(AB1414=0,"",IF(COUNTIFS(X$6:X1414,X1414,AB$6:AB1414,AB1414)=1,1,0))</f>
        <v/>
      </c>
      <c r="AF1414" s="34">
        <f>IF(C1414="","",YEAR(C1414-WEEKDAY(C1414,2)+4)&amp;"-S"&amp;TEXT(INT((C1414-DATE(YEAR(C1414-WEEKDAY(C1414,2)+4),1,3)+WEEKDAY(DATE(YEAR(C1414-WEEKDAY(C1414,2)+4),1,3),2)+5)/7),"00"))</f>
        <v/>
      </c>
    </row>
    <row r="1415" ht="18" customHeight="1">
      <c r="A1415" s="39" t="n">
        <v>1410</v>
      </c>
      <c r="B1415" s="33">
        <f>IF(C1415="","",IF(P1415="À RENSEIGNER","GIC",P1415)&amp;"-C"&amp;TEXT(A1415,"00000"))</f>
        <v/>
      </c>
      <c r="C1415" s="32" t="n"/>
      <c r="D1415" s="36" t="n"/>
      <c r="E1415" s="36" t="n"/>
      <c r="F1415" s="36" t="n"/>
      <c r="G1415" s="42" t="n"/>
      <c r="H1415" s="37" t="n"/>
      <c r="I1415" s="37" t="n"/>
      <c r="J1415" s="32" t="n"/>
      <c r="K1415" s="32" t="n"/>
      <c r="L1415" s="43" t="n"/>
      <c r="M1415" s="36" t="n"/>
      <c r="N1415" s="44" t="n"/>
      <c r="O1415" s="36" t="n"/>
      <c r="P1415" s="33">
        <f>IF(C1415="","",Commercial_Id)</f>
        <v/>
      </c>
      <c r="Q1415" s="34">
        <f>IF(AC1415="","",IF(AD1415=1,"C"&amp;TEXT(SUM(AD$6:AD1415),"0000"),INDEX(Q$6:Q1414,MATCH(AC1415,AC$6:AC1414,0))))</f>
        <v/>
      </c>
      <c r="R1415" s="34">
        <f>IF(C1415="","",IF(L1415="☑ Oui","Annulée",IF(OR(E1415="Vente directe",K1415&lt;&gt;""),"Livrée",IF(J1415&lt;&gt;"","Confirmée","En attente"))))</f>
        <v/>
      </c>
      <c r="S1415" s="34">
        <f>IF(F1415="","",IFERROR(VLOOKUP(F1415,T_Produits,2,FALSE),""))</f>
        <v/>
      </c>
      <c r="T1415" s="40">
        <f>IF(F1415="","",IFERROR(1/(1/VLOOKUP(F1415,T_Produits,3,FALSE)),""))</f>
        <v/>
      </c>
      <c r="U1415" s="40">
        <f>IF(H1415&lt;&gt;"",H1415,T1415)</f>
        <v/>
      </c>
      <c r="V1415" s="40">
        <f>IF(OR(G1415="",U1415=""),"",G1415*U1415-N(I1415))</f>
        <v/>
      </c>
      <c r="W1415" s="39">
        <f>IF(D1415="","",IFERROR(VALUE(MID(D1415,LEN(D1415)-3,3)),""))</f>
        <v/>
      </c>
      <c r="X1415" s="33">
        <f>IF(W1415="","",P1415&amp;"|"&amp;W1415)</f>
        <v/>
      </c>
      <c r="Y1415" s="33">
        <f>IF(W1415="","",IF(P1415="À RENSEIGNER","GIC",P1415)&amp;"-"&amp;TEXT(W1415,"000"))</f>
        <v/>
      </c>
      <c r="Z1415" s="33">
        <f>IF(X1415="","",IFERROR(INDEX(Cl_nom,MATCH(X1415,Cl_cle,0)),"(client introuvable)"))</f>
        <v/>
      </c>
      <c r="AA1415" s="33">
        <f>IF(X1415="","",IFERROR(INDEX(Cl_quartier,MATCH(X1415,Cl_cle,0))&amp;"",""))</f>
        <v/>
      </c>
      <c r="AB1415" s="45">
        <f>IF(R1415&lt;&gt;"Livrée",0,IF(K1415&lt;&gt;"",K1415,C1415))</f>
        <v/>
      </c>
      <c r="AC1415" s="33">
        <f>IF(OR(C1415="",W1415=""),"",P1415&amp;"|"&amp;W1415&amp;"|"&amp;C1415&amp;"|"&amp;E1415)</f>
        <v/>
      </c>
      <c r="AD1415" s="39">
        <f>IF(AC1415="","",IF(COUNTIF(AC$6:AC1415,AC1415)=1,1,0))</f>
        <v/>
      </c>
      <c r="AE1415" s="39">
        <f>IF(AB1415=0,"",IF(COUNTIFS(X$6:X1415,X1415,AB$6:AB1415,AB1415)=1,1,0))</f>
        <v/>
      </c>
      <c r="AF1415" s="34">
        <f>IF(C1415="","",YEAR(C1415-WEEKDAY(C1415,2)+4)&amp;"-S"&amp;TEXT(INT((C1415-DATE(YEAR(C1415-WEEKDAY(C1415,2)+4),1,3)+WEEKDAY(DATE(YEAR(C1415-WEEKDAY(C1415,2)+4),1,3),2)+5)/7),"00"))</f>
        <v/>
      </c>
    </row>
    <row r="1416" ht="18" customHeight="1">
      <c r="A1416" s="39" t="n">
        <v>1411</v>
      </c>
      <c r="B1416" s="33">
        <f>IF(C1416="","",IF(P1416="À RENSEIGNER","GIC",P1416)&amp;"-C"&amp;TEXT(A1416,"00000"))</f>
        <v/>
      </c>
      <c r="C1416" s="32" t="n"/>
      <c r="D1416" s="36" t="n"/>
      <c r="E1416" s="36" t="n"/>
      <c r="F1416" s="36" t="n"/>
      <c r="G1416" s="42" t="n"/>
      <c r="H1416" s="37" t="n"/>
      <c r="I1416" s="37" t="n"/>
      <c r="J1416" s="32" t="n"/>
      <c r="K1416" s="32" t="n"/>
      <c r="L1416" s="43" t="n"/>
      <c r="M1416" s="36" t="n"/>
      <c r="N1416" s="44" t="n"/>
      <c r="O1416" s="36" t="n"/>
      <c r="P1416" s="33">
        <f>IF(C1416="","",Commercial_Id)</f>
        <v/>
      </c>
      <c r="Q1416" s="34">
        <f>IF(AC1416="","",IF(AD1416=1,"C"&amp;TEXT(SUM(AD$6:AD1416),"0000"),INDEX(Q$6:Q1415,MATCH(AC1416,AC$6:AC1415,0))))</f>
        <v/>
      </c>
      <c r="R1416" s="34">
        <f>IF(C1416="","",IF(L1416="☑ Oui","Annulée",IF(OR(E1416="Vente directe",K1416&lt;&gt;""),"Livrée",IF(J1416&lt;&gt;"","Confirmée","En attente"))))</f>
        <v/>
      </c>
      <c r="S1416" s="34">
        <f>IF(F1416="","",IFERROR(VLOOKUP(F1416,T_Produits,2,FALSE),""))</f>
        <v/>
      </c>
      <c r="T1416" s="40">
        <f>IF(F1416="","",IFERROR(1/(1/VLOOKUP(F1416,T_Produits,3,FALSE)),""))</f>
        <v/>
      </c>
      <c r="U1416" s="40">
        <f>IF(H1416&lt;&gt;"",H1416,T1416)</f>
        <v/>
      </c>
      <c r="V1416" s="40">
        <f>IF(OR(G1416="",U1416=""),"",G1416*U1416-N(I1416))</f>
        <v/>
      </c>
      <c r="W1416" s="39">
        <f>IF(D1416="","",IFERROR(VALUE(MID(D1416,LEN(D1416)-3,3)),""))</f>
        <v/>
      </c>
      <c r="X1416" s="33">
        <f>IF(W1416="","",P1416&amp;"|"&amp;W1416)</f>
        <v/>
      </c>
      <c r="Y1416" s="33">
        <f>IF(W1416="","",IF(P1416="À RENSEIGNER","GIC",P1416)&amp;"-"&amp;TEXT(W1416,"000"))</f>
        <v/>
      </c>
      <c r="Z1416" s="33">
        <f>IF(X1416="","",IFERROR(INDEX(Cl_nom,MATCH(X1416,Cl_cle,0)),"(client introuvable)"))</f>
        <v/>
      </c>
      <c r="AA1416" s="33">
        <f>IF(X1416="","",IFERROR(INDEX(Cl_quartier,MATCH(X1416,Cl_cle,0))&amp;"",""))</f>
        <v/>
      </c>
      <c r="AB1416" s="45">
        <f>IF(R1416&lt;&gt;"Livrée",0,IF(K1416&lt;&gt;"",K1416,C1416))</f>
        <v/>
      </c>
      <c r="AC1416" s="33">
        <f>IF(OR(C1416="",W1416=""),"",P1416&amp;"|"&amp;W1416&amp;"|"&amp;C1416&amp;"|"&amp;E1416)</f>
        <v/>
      </c>
      <c r="AD1416" s="39">
        <f>IF(AC1416="","",IF(COUNTIF(AC$6:AC1416,AC1416)=1,1,0))</f>
        <v/>
      </c>
      <c r="AE1416" s="39">
        <f>IF(AB1416=0,"",IF(COUNTIFS(X$6:X1416,X1416,AB$6:AB1416,AB1416)=1,1,0))</f>
        <v/>
      </c>
      <c r="AF1416" s="34">
        <f>IF(C1416="","",YEAR(C1416-WEEKDAY(C1416,2)+4)&amp;"-S"&amp;TEXT(INT((C1416-DATE(YEAR(C1416-WEEKDAY(C1416,2)+4),1,3)+WEEKDAY(DATE(YEAR(C1416-WEEKDAY(C1416,2)+4),1,3),2)+5)/7),"00"))</f>
        <v/>
      </c>
    </row>
    <row r="1417" ht="18" customHeight="1">
      <c r="A1417" s="39" t="n">
        <v>1412</v>
      </c>
      <c r="B1417" s="33">
        <f>IF(C1417="","",IF(P1417="À RENSEIGNER","GIC",P1417)&amp;"-C"&amp;TEXT(A1417,"00000"))</f>
        <v/>
      </c>
      <c r="C1417" s="32" t="n"/>
      <c r="D1417" s="36" t="n"/>
      <c r="E1417" s="36" t="n"/>
      <c r="F1417" s="36" t="n"/>
      <c r="G1417" s="42" t="n"/>
      <c r="H1417" s="37" t="n"/>
      <c r="I1417" s="37" t="n"/>
      <c r="J1417" s="32" t="n"/>
      <c r="K1417" s="32" t="n"/>
      <c r="L1417" s="43" t="n"/>
      <c r="M1417" s="36" t="n"/>
      <c r="N1417" s="44" t="n"/>
      <c r="O1417" s="36" t="n"/>
      <c r="P1417" s="33">
        <f>IF(C1417="","",Commercial_Id)</f>
        <v/>
      </c>
      <c r="Q1417" s="34">
        <f>IF(AC1417="","",IF(AD1417=1,"C"&amp;TEXT(SUM(AD$6:AD1417),"0000"),INDEX(Q$6:Q1416,MATCH(AC1417,AC$6:AC1416,0))))</f>
        <v/>
      </c>
      <c r="R1417" s="34">
        <f>IF(C1417="","",IF(L1417="☑ Oui","Annulée",IF(OR(E1417="Vente directe",K1417&lt;&gt;""),"Livrée",IF(J1417&lt;&gt;"","Confirmée","En attente"))))</f>
        <v/>
      </c>
      <c r="S1417" s="34">
        <f>IF(F1417="","",IFERROR(VLOOKUP(F1417,T_Produits,2,FALSE),""))</f>
        <v/>
      </c>
      <c r="T1417" s="40">
        <f>IF(F1417="","",IFERROR(1/(1/VLOOKUP(F1417,T_Produits,3,FALSE)),""))</f>
        <v/>
      </c>
      <c r="U1417" s="40">
        <f>IF(H1417&lt;&gt;"",H1417,T1417)</f>
        <v/>
      </c>
      <c r="V1417" s="40">
        <f>IF(OR(G1417="",U1417=""),"",G1417*U1417-N(I1417))</f>
        <v/>
      </c>
      <c r="W1417" s="39">
        <f>IF(D1417="","",IFERROR(VALUE(MID(D1417,LEN(D1417)-3,3)),""))</f>
        <v/>
      </c>
      <c r="X1417" s="33">
        <f>IF(W1417="","",P1417&amp;"|"&amp;W1417)</f>
        <v/>
      </c>
      <c r="Y1417" s="33">
        <f>IF(W1417="","",IF(P1417="À RENSEIGNER","GIC",P1417)&amp;"-"&amp;TEXT(W1417,"000"))</f>
        <v/>
      </c>
      <c r="Z1417" s="33">
        <f>IF(X1417="","",IFERROR(INDEX(Cl_nom,MATCH(X1417,Cl_cle,0)),"(client introuvable)"))</f>
        <v/>
      </c>
      <c r="AA1417" s="33">
        <f>IF(X1417="","",IFERROR(INDEX(Cl_quartier,MATCH(X1417,Cl_cle,0))&amp;"",""))</f>
        <v/>
      </c>
      <c r="AB1417" s="45">
        <f>IF(R1417&lt;&gt;"Livrée",0,IF(K1417&lt;&gt;"",K1417,C1417))</f>
        <v/>
      </c>
      <c r="AC1417" s="33">
        <f>IF(OR(C1417="",W1417=""),"",P1417&amp;"|"&amp;W1417&amp;"|"&amp;C1417&amp;"|"&amp;E1417)</f>
        <v/>
      </c>
      <c r="AD1417" s="39">
        <f>IF(AC1417="","",IF(COUNTIF(AC$6:AC1417,AC1417)=1,1,0))</f>
        <v/>
      </c>
      <c r="AE1417" s="39">
        <f>IF(AB1417=0,"",IF(COUNTIFS(X$6:X1417,X1417,AB$6:AB1417,AB1417)=1,1,0))</f>
        <v/>
      </c>
      <c r="AF1417" s="34">
        <f>IF(C1417="","",YEAR(C1417-WEEKDAY(C1417,2)+4)&amp;"-S"&amp;TEXT(INT((C1417-DATE(YEAR(C1417-WEEKDAY(C1417,2)+4),1,3)+WEEKDAY(DATE(YEAR(C1417-WEEKDAY(C1417,2)+4),1,3),2)+5)/7),"00"))</f>
        <v/>
      </c>
    </row>
    <row r="1418" ht="18" customHeight="1">
      <c r="A1418" s="39" t="n">
        <v>1413</v>
      </c>
      <c r="B1418" s="33">
        <f>IF(C1418="","",IF(P1418="À RENSEIGNER","GIC",P1418)&amp;"-C"&amp;TEXT(A1418,"00000"))</f>
        <v/>
      </c>
      <c r="C1418" s="32" t="n"/>
      <c r="D1418" s="36" t="n"/>
      <c r="E1418" s="36" t="n"/>
      <c r="F1418" s="36" t="n"/>
      <c r="G1418" s="42" t="n"/>
      <c r="H1418" s="37" t="n"/>
      <c r="I1418" s="37" t="n"/>
      <c r="J1418" s="32" t="n"/>
      <c r="K1418" s="32" t="n"/>
      <c r="L1418" s="43" t="n"/>
      <c r="M1418" s="36" t="n"/>
      <c r="N1418" s="44" t="n"/>
      <c r="O1418" s="36" t="n"/>
      <c r="P1418" s="33">
        <f>IF(C1418="","",Commercial_Id)</f>
        <v/>
      </c>
      <c r="Q1418" s="34">
        <f>IF(AC1418="","",IF(AD1418=1,"C"&amp;TEXT(SUM(AD$6:AD1418),"0000"),INDEX(Q$6:Q1417,MATCH(AC1418,AC$6:AC1417,0))))</f>
        <v/>
      </c>
      <c r="R1418" s="34">
        <f>IF(C1418="","",IF(L1418="☑ Oui","Annulée",IF(OR(E1418="Vente directe",K1418&lt;&gt;""),"Livrée",IF(J1418&lt;&gt;"","Confirmée","En attente"))))</f>
        <v/>
      </c>
      <c r="S1418" s="34">
        <f>IF(F1418="","",IFERROR(VLOOKUP(F1418,T_Produits,2,FALSE),""))</f>
        <v/>
      </c>
      <c r="T1418" s="40">
        <f>IF(F1418="","",IFERROR(1/(1/VLOOKUP(F1418,T_Produits,3,FALSE)),""))</f>
        <v/>
      </c>
      <c r="U1418" s="40">
        <f>IF(H1418&lt;&gt;"",H1418,T1418)</f>
        <v/>
      </c>
      <c r="V1418" s="40">
        <f>IF(OR(G1418="",U1418=""),"",G1418*U1418-N(I1418))</f>
        <v/>
      </c>
      <c r="W1418" s="39">
        <f>IF(D1418="","",IFERROR(VALUE(MID(D1418,LEN(D1418)-3,3)),""))</f>
        <v/>
      </c>
      <c r="X1418" s="33">
        <f>IF(W1418="","",P1418&amp;"|"&amp;W1418)</f>
        <v/>
      </c>
      <c r="Y1418" s="33">
        <f>IF(W1418="","",IF(P1418="À RENSEIGNER","GIC",P1418)&amp;"-"&amp;TEXT(W1418,"000"))</f>
        <v/>
      </c>
      <c r="Z1418" s="33">
        <f>IF(X1418="","",IFERROR(INDEX(Cl_nom,MATCH(X1418,Cl_cle,0)),"(client introuvable)"))</f>
        <v/>
      </c>
      <c r="AA1418" s="33">
        <f>IF(X1418="","",IFERROR(INDEX(Cl_quartier,MATCH(X1418,Cl_cle,0))&amp;"",""))</f>
        <v/>
      </c>
      <c r="AB1418" s="45">
        <f>IF(R1418&lt;&gt;"Livrée",0,IF(K1418&lt;&gt;"",K1418,C1418))</f>
        <v/>
      </c>
      <c r="AC1418" s="33">
        <f>IF(OR(C1418="",W1418=""),"",P1418&amp;"|"&amp;W1418&amp;"|"&amp;C1418&amp;"|"&amp;E1418)</f>
        <v/>
      </c>
      <c r="AD1418" s="39">
        <f>IF(AC1418="","",IF(COUNTIF(AC$6:AC1418,AC1418)=1,1,0))</f>
        <v/>
      </c>
      <c r="AE1418" s="39">
        <f>IF(AB1418=0,"",IF(COUNTIFS(X$6:X1418,X1418,AB$6:AB1418,AB1418)=1,1,0))</f>
        <v/>
      </c>
      <c r="AF1418" s="34">
        <f>IF(C1418="","",YEAR(C1418-WEEKDAY(C1418,2)+4)&amp;"-S"&amp;TEXT(INT((C1418-DATE(YEAR(C1418-WEEKDAY(C1418,2)+4),1,3)+WEEKDAY(DATE(YEAR(C1418-WEEKDAY(C1418,2)+4),1,3),2)+5)/7),"00"))</f>
        <v/>
      </c>
    </row>
    <row r="1419" ht="18" customHeight="1">
      <c r="A1419" s="39" t="n">
        <v>1414</v>
      </c>
      <c r="B1419" s="33">
        <f>IF(C1419="","",IF(P1419="À RENSEIGNER","GIC",P1419)&amp;"-C"&amp;TEXT(A1419,"00000"))</f>
        <v/>
      </c>
      <c r="C1419" s="32" t="n"/>
      <c r="D1419" s="36" t="n"/>
      <c r="E1419" s="36" t="n"/>
      <c r="F1419" s="36" t="n"/>
      <c r="G1419" s="42" t="n"/>
      <c r="H1419" s="37" t="n"/>
      <c r="I1419" s="37" t="n"/>
      <c r="J1419" s="32" t="n"/>
      <c r="K1419" s="32" t="n"/>
      <c r="L1419" s="43" t="n"/>
      <c r="M1419" s="36" t="n"/>
      <c r="N1419" s="44" t="n"/>
      <c r="O1419" s="36" t="n"/>
      <c r="P1419" s="33">
        <f>IF(C1419="","",Commercial_Id)</f>
        <v/>
      </c>
      <c r="Q1419" s="34">
        <f>IF(AC1419="","",IF(AD1419=1,"C"&amp;TEXT(SUM(AD$6:AD1419),"0000"),INDEX(Q$6:Q1418,MATCH(AC1419,AC$6:AC1418,0))))</f>
        <v/>
      </c>
      <c r="R1419" s="34">
        <f>IF(C1419="","",IF(L1419="☑ Oui","Annulée",IF(OR(E1419="Vente directe",K1419&lt;&gt;""),"Livrée",IF(J1419&lt;&gt;"","Confirmée","En attente"))))</f>
        <v/>
      </c>
      <c r="S1419" s="34">
        <f>IF(F1419="","",IFERROR(VLOOKUP(F1419,T_Produits,2,FALSE),""))</f>
        <v/>
      </c>
      <c r="T1419" s="40">
        <f>IF(F1419="","",IFERROR(1/(1/VLOOKUP(F1419,T_Produits,3,FALSE)),""))</f>
        <v/>
      </c>
      <c r="U1419" s="40">
        <f>IF(H1419&lt;&gt;"",H1419,T1419)</f>
        <v/>
      </c>
      <c r="V1419" s="40">
        <f>IF(OR(G1419="",U1419=""),"",G1419*U1419-N(I1419))</f>
        <v/>
      </c>
      <c r="W1419" s="39">
        <f>IF(D1419="","",IFERROR(VALUE(MID(D1419,LEN(D1419)-3,3)),""))</f>
        <v/>
      </c>
      <c r="X1419" s="33">
        <f>IF(W1419="","",P1419&amp;"|"&amp;W1419)</f>
        <v/>
      </c>
      <c r="Y1419" s="33">
        <f>IF(W1419="","",IF(P1419="À RENSEIGNER","GIC",P1419)&amp;"-"&amp;TEXT(W1419,"000"))</f>
        <v/>
      </c>
      <c r="Z1419" s="33">
        <f>IF(X1419="","",IFERROR(INDEX(Cl_nom,MATCH(X1419,Cl_cle,0)),"(client introuvable)"))</f>
        <v/>
      </c>
      <c r="AA1419" s="33">
        <f>IF(X1419="","",IFERROR(INDEX(Cl_quartier,MATCH(X1419,Cl_cle,0))&amp;"",""))</f>
        <v/>
      </c>
      <c r="AB1419" s="45">
        <f>IF(R1419&lt;&gt;"Livrée",0,IF(K1419&lt;&gt;"",K1419,C1419))</f>
        <v/>
      </c>
      <c r="AC1419" s="33">
        <f>IF(OR(C1419="",W1419=""),"",P1419&amp;"|"&amp;W1419&amp;"|"&amp;C1419&amp;"|"&amp;E1419)</f>
        <v/>
      </c>
      <c r="AD1419" s="39">
        <f>IF(AC1419="","",IF(COUNTIF(AC$6:AC1419,AC1419)=1,1,0))</f>
        <v/>
      </c>
      <c r="AE1419" s="39">
        <f>IF(AB1419=0,"",IF(COUNTIFS(X$6:X1419,X1419,AB$6:AB1419,AB1419)=1,1,0))</f>
        <v/>
      </c>
      <c r="AF1419" s="34">
        <f>IF(C1419="","",YEAR(C1419-WEEKDAY(C1419,2)+4)&amp;"-S"&amp;TEXT(INT((C1419-DATE(YEAR(C1419-WEEKDAY(C1419,2)+4),1,3)+WEEKDAY(DATE(YEAR(C1419-WEEKDAY(C1419,2)+4),1,3),2)+5)/7),"00"))</f>
        <v/>
      </c>
    </row>
    <row r="1420" ht="18" customHeight="1">
      <c r="A1420" s="39" t="n">
        <v>1415</v>
      </c>
      <c r="B1420" s="33">
        <f>IF(C1420="","",IF(P1420="À RENSEIGNER","GIC",P1420)&amp;"-C"&amp;TEXT(A1420,"00000"))</f>
        <v/>
      </c>
      <c r="C1420" s="32" t="n"/>
      <c r="D1420" s="36" t="n"/>
      <c r="E1420" s="36" t="n"/>
      <c r="F1420" s="36" t="n"/>
      <c r="G1420" s="42" t="n"/>
      <c r="H1420" s="37" t="n"/>
      <c r="I1420" s="37" t="n"/>
      <c r="J1420" s="32" t="n"/>
      <c r="K1420" s="32" t="n"/>
      <c r="L1420" s="43" t="n"/>
      <c r="M1420" s="36" t="n"/>
      <c r="N1420" s="44" t="n"/>
      <c r="O1420" s="36" t="n"/>
      <c r="P1420" s="33">
        <f>IF(C1420="","",Commercial_Id)</f>
        <v/>
      </c>
      <c r="Q1420" s="34">
        <f>IF(AC1420="","",IF(AD1420=1,"C"&amp;TEXT(SUM(AD$6:AD1420),"0000"),INDEX(Q$6:Q1419,MATCH(AC1420,AC$6:AC1419,0))))</f>
        <v/>
      </c>
      <c r="R1420" s="34">
        <f>IF(C1420="","",IF(L1420="☑ Oui","Annulée",IF(OR(E1420="Vente directe",K1420&lt;&gt;""),"Livrée",IF(J1420&lt;&gt;"","Confirmée","En attente"))))</f>
        <v/>
      </c>
      <c r="S1420" s="34">
        <f>IF(F1420="","",IFERROR(VLOOKUP(F1420,T_Produits,2,FALSE),""))</f>
        <v/>
      </c>
      <c r="T1420" s="40">
        <f>IF(F1420="","",IFERROR(1/(1/VLOOKUP(F1420,T_Produits,3,FALSE)),""))</f>
        <v/>
      </c>
      <c r="U1420" s="40">
        <f>IF(H1420&lt;&gt;"",H1420,T1420)</f>
        <v/>
      </c>
      <c r="V1420" s="40">
        <f>IF(OR(G1420="",U1420=""),"",G1420*U1420-N(I1420))</f>
        <v/>
      </c>
      <c r="W1420" s="39">
        <f>IF(D1420="","",IFERROR(VALUE(MID(D1420,LEN(D1420)-3,3)),""))</f>
        <v/>
      </c>
      <c r="X1420" s="33">
        <f>IF(W1420="","",P1420&amp;"|"&amp;W1420)</f>
        <v/>
      </c>
      <c r="Y1420" s="33">
        <f>IF(W1420="","",IF(P1420="À RENSEIGNER","GIC",P1420)&amp;"-"&amp;TEXT(W1420,"000"))</f>
        <v/>
      </c>
      <c r="Z1420" s="33">
        <f>IF(X1420="","",IFERROR(INDEX(Cl_nom,MATCH(X1420,Cl_cle,0)),"(client introuvable)"))</f>
        <v/>
      </c>
      <c r="AA1420" s="33">
        <f>IF(X1420="","",IFERROR(INDEX(Cl_quartier,MATCH(X1420,Cl_cle,0))&amp;"",""))</f>
        <v/>
      </c>
      <c r="AB1420" s="45">
        <f>IF(R1420&lt;&gt;"Livrée",0,IF(K1420&lt;&gt;"",K1420,C1420))</f>
        <v/>
      </c>
      <c r="AC1420" s="33">
        <f>IF(OR(C1420="",W1420=""),"",P1420&amp;"|"&amp;W1420&amp;"|"&amp;C1420&amp;"|"&amp;E1420)</f>
        <v/>
      </c>
      <c r="AD1420" s="39">
        <f>IF(AC1420="","",IF(COUNTIF(AC$6:AC1420,AC1420)=1,1,0))</f>
        <v/>
      </c>
      <c r="AE1420" s="39">
        <f>IF(AB1420=0,"",IF(COUNTIFS(X$6:X1420,X1420,AB$6:AB1420,AB1420)=1,1,0))</f>
        <v/>
      </c>
      <c r="AF1420" s="34">
        <f>IF(C1420="","",YEAR(C1420-WEEKDAY(C1420,2)+4)&amp;"-S"&amp;TEXT(INT((C1420-DATE(YEAR(C1420-WEEKDAY(C1420,2)+4),1,3)+WEEKDAY(DATE(YEAR(C1420-WEEKDAY(C1420,2)+4),1,3),2)+5)/7),"00"))</f>
        <v/>
      </c>
    </row>
    <row r="1421" ht="18" customHeight="1">
      <c r="A1421" s="39" t="n">
        <v>1416</v>
      </c>
      <c r="B1421" s="33">
        <f>IF(C1421="","",IF(P1421="À RENSEIGNER","GIC",P1421)&amp;"-C"&amp;TEXT(A1421,"00000"))</f>
        <v/>
      </c>
      <c r="C1421" s="32" t="n"/>
      <c r="D1421" s="36" t="n"/>
      <c r="E1421" s="36" t="n"/>
      <c r="F1421" s="36" t="n"/>
      <c r="G1421" s="42" t="n"/>
      <c r="H1421" s="37" t="n"/>
      <c r="I1421" s="37" t="n"/>
      <c r="J1421" s="32" t="n"/>
      <c r="K1421" s="32" t="n"/>
      <c r="L1421" s="43" t="n"/>
      <c r="M1421" s="36" t="n"/>
      <c r="N1421" s="44" t="n"/>
      <c r="O1421" s="36" t="n"/>
      <c r="P1421" s="33">
        <f>IF(C1421="","",Commercial_Id)</f>
        <v/>
      </c>
      <c r="Q1421" s="34">
        <f>IF(AC1421="","",IF(AD1421=1,"C"&amp;TEXT(SUM(AD$6:AD1421),"0000"),INDEX(Q$6:Q1420,MATCH(AC1421,AC$6:AC1420,0))))</f>
        <v/>
      </c>
      <c r="R1421" s="34">
        <f>IF(C1421="","",IF(L1421="☑ Oui","Annulée",IF(OR(E1421="Vente directe",K1421&lt;&gt;""),"Livrée",IF(J1421&lt;&gt;"","Confirmée","En attente"))))</f>
        <v/>
      </c>
      <c r="S1421" s="34">
        <f>IF(F1421="","",IFERROR(VLOOKUP(F1421,T_Produits,2,FALSE),""))</f>
        <v/>
      </c>
      <c r="T1421" s="40">
        <f>IF(F1421="","",IFERROR(1/(1/VLOOKUP(F1421,T_Produits,3,FALSE)),""))</f>
        <v/>
      </c>
      <c r="U1421" s="40">
        <f>IF(H1421&lt;&gt;"",H1421,T1421)</f>
        <v/>
      </c>
      <c r="V1421" s="40">
        <f>IF(OR(G1421="",U1421=""),"",G1421*U1421-N(I1421))</f>
        <v/>
      </c>
      <c r="W1421" s="39">
        <f>IF(D1421="","",IFERROR(VALUE(MID(D1421,LEN(D1421)-3,3)),""))</f>
        <v/>
      </c>
      <c r="X1421" s="33">
        <f>IF(W1421="","",P1421&amp;"|"&amp;W1421)</f>
        <v/>
      </c>
      <c r="Y1421" s="33">
        <f>IF(W1421="","",IF(P1421="À RENSEIGNER","GIC",P1421)&amp;"-"&amp;TEXT(W1421,"000"))</f>
        <v/>
      </c>
      <c r="Z1421" s="33">
        <f>IF(X1421="","",IFERROR(INDEX(Cl_nom,MATCH(X1421,Cl_cle,0)),"(client introuvable)"))</f>
        <v/>
      </c>
      <c r="AA1421" s="33">
        <f>IF(X1421="","",IFERROR(INDEX(Cl_quartier,MATCH(X1421,Cl_cle,0))&amp;"",""))</f>
        <v/>
      </c>
      <c r="AB1421" s="45">
        <f>IF(R1421&lt;&gt;"Livrée",0,IF(K1421&lt;&gt;"",K1421,C1421))</f>
        <v/>
      </c>
      <c r="AC1421" s="33">
        <f>IF(OR(C1421="",W1421=""),"",P1421&amp;"|"&amp;W1421&amp;"|"&amp;C1421&amp;"|"&amp;E1421)</f>
        <v/>
      </c>
      <c r="AD1421" s="39">
        <f>IF(AC1421="","",IF(COUNTIF(AC$6:AC1421,AC1421)=1,1,0))</f>
        <v/>
      </c>
      <c r="AE1421" s="39">
        <f>IF(AB1421=0,"",IF(COUNTIFS(X$6:X1421,X1421,AB$6:AB1421,AB1421)=1,1,0))</f>
        <v/>
      </c>
      <c r="AF1421" s="34">
        <f>IF(C1421="","",YEAR(C1421-WEEKDAY(C1421,2)+4)&amp;"-S"&amp;TEXT(INT((C1421-DATE(YEAR(C1421-WEEKDAY(C1421,2)+4),1,3)+WEEKDAY(DATE(YEAR(C1421-WEEKDAY(C1421,2)+4),1,3),2)+5)/7),"00"))</f>
        <v/>
      </c>
    </row>
    <row r="1422" ht="18" customHeight="1">
      <c r="A1422" s="39" t="n">
        <v>1417</v>
      </c>
      <c r="B1422" s="33">
        <f>IF(C1422="","",IF(P1422="À RENSEIGNER","GIC",P1422)&amp;"-C"&amp;TEXT(A1422,"00000"))</f>
        <v/>
      </c>
      <c r="C1422" s="32" t="n"/>
      <c r="D1422" s="36" t="n"/>
      <c r="E1422" s="36" t="n"/>
      <c r="F1422" s="36" t="n"/>
      <c r="G1422" s="42" t="n"/>
      <c r="H1422" s="37" t="n"/>
      <c r="I1422" s="37" t="n"/>
      <c r="J1422" s="32" t="n"/>
      <c r="K1422" s="32" t="n"/>
      <c r="L1422" s="43" t="n"/>
      <c r="M1422" s="36" t="n"/>
      <c r="N1422" s="44" t="n"/>
      <c r="O1422" s="36" t="n"/>
      <c r="P1422" s="33">
        <f>IF(C1422="","",Commercial_Id)</f>
        <v/>
      </c>
      <c r="Q1422" s="34">
        <f>IF(AC1422="","",IF(AD1422=1,"C"&amp;TEXT(SUM(AD$6:AD1422),"0000"),INDEX(Q$6:Q1421,MATCH(AC1422,AC$6:AC1421,0))))</f>
        <v/>
      </c>
      <c r="R1422" s="34">
        <f>IF(C1422="","",IF(L1422="☑ Oui","Annulée",IF(OR(E1422="Vente directe",K1422&lt;&gt;""),"Livrée",IF(J1422&lt;&gt;"","Confirmée","En attente"))))</f>
        <v/>
      </c>
      <c r="S1422" s="34">
        <f>IF(F1422="","",IFERROR(VLOOKUP(F1422,T_Produits,2,FALSE),""))</f>
        <v/>
      </c>
      <c r="T1422" s="40">
        <f>IF(F1422="","",IFERROR(1/(1/VLOOKUP(F1422,T_Produits,3,FALSE)),""))</f>
        <v/>
      </c>
      <c r="U1422" s="40">
        <f>IF(H1422&lt;&gt;"",H1422,T1422)</f>
        <v/>
      </c>
      <c r="V1422" s="40">
        <f>IF(OR(G1422="",U1422=""),"",G1422*U1422-N(I1422))</f>
        <v/>
      </c>
      <c r="W1422" s="39">
        <f>IF(D1422="","",IFERROR(VALUE(MID(D1422,LEN(D1422)-3,3)),""))</f>
        <v/>
      </c>
      <c r="X1422" s="33">
        <f>IF(W1422="","",P1422&amp;"|"&amp;W1422)</f>
        <v/>
      </c>
      <c r="Y1422" s="33">
        <f>IF(W1422="","",IF(P1422="À RENSEIGNER","GIC",P1422)&amp;"-"&amp;TEXT(W1422,"000"))</f>
        <v/>
      </c>
      <c r="Z1422" s="33">
        <f>IF(X1422="","",IFERROR(INDEX(Cl_nom,MATCH(X1422,Cl_cle,0)),"(client introuvable)"))</f>
        <v/>
      </c>
      <c r="AA1422" s="33">
        <f>IF(X1422="","",IFERROR(INDEX(Cl_quartier,MATCH(X1422,Cl_cle,0))&amp;"",""))</f>
        <v/>
      </c>
      <c r="AB1422" s="45">
        <f>IF(R1422&lt;&gt;"Livrée",0,IF(K1422&lt;&gt;"",K1422,C1422))</f>
        <v/>
      </c>
      <c r="AC1422" s="33">
        <f>IF(OR(C1422="",W1422=""),"",P1422&amp;"|"&amp;W1422&amp;"|"&amp;C1422&amp;"|"&amp;E1422)</f>
        <v/>
      </c>
      <c r="AD1422" s="39">
        <f>IF(AC1422="","",IF(COUNTIF(AC$6:AC1422,AC1422)=1,1,0))</f>
        <v/>
      </c>
      <c r="AE1422" s="39">
        <f>IF(AB1422=0,"",IF(COUNTIFS(X$6:X1422,X1422,AB$6:AB1422,AB1422)=1,1,0))</f>
        <v/>
      </c>
      <c r="AF1422" s="34">
        <f>IF(C1422="","",YEAR(C1422-WEEKDAY(C1422,2)+4)&amp;"-S"&amp;TEXT(INT((C1422-DATE(YEAR(C1422-WEEKDAY(C1422,2)+4),1,3)+WEEKDAY(DATE(YEAR(C1422-WEEKDAY(C1422,2)+4),1,3),2)+5)/7),"00"))</f>
        <v/>
      </c>
    </row>
    <row r="1423" ht="18" customHeight="1">
      <c r="A1423" s="39" t="n">
        <v>1418</v>
      </c>
      <c r="B1423" s="33">
        <f>IF(C1423="","",IF(P1423="À RENSEIGNER","GIC",P1423)&amp;"-C"&amp;TEXT(A1423,"00000"))</f>
        <v/>
      </c>
      <c r="C1423" s="32" t="n"/>
      <c r="D1423" s="36" t="n"/>
      <c r="E1423" s="36" t="n"/>
      <c r="F1423" s="36" t="n"/>
      <c r="G1423" s="42" t="n"/>
      <c r="H1423" s="37" t="n"/>
      <c r="I1423" s="37" t="n"/>
      <c r="J1423" s="32" t="n"/>
      <c r="K1423" s="32" t="n"/>
      <c r="L1423" s="43" t="n"/>
      <c r="M1423" s="36" t="n"/>
      <c r="N1423" s="44" t="n"/>
      <c r="O1423" s="36" t="n"/>
      <c r="P1423" s="33">
        <f>IF(C1423="","",Commercial_Id)</f>
        <v/>
      </c>
      <c r="Q1423" s="34">
        <f>IF(AC1423="","",IF(AD1423=1,"C"&amp;TEXT(SUM(AD$6:AD1423),"0000"),INDEX(Q$6:Q1422,MATCH(AC1423,AC$6:AC1422,0))))</f>
        <v/>
      </c>
      <c r="R1423" s="34">
        <f>IF(C1423="","",IF(L1423="☑ Oui","Annulée",IF(OR(E1423="Vente directe",K1423&lt;&gt;""),"Livrée",IF(J1423&lt;&gt;"","Confirmée","En attente"))))</f>
        <v/>
      </c>
      <c r="S1423" s="34">
        <f>IF(F1423="","",IFERROR(VLOOKUP(F1423,T_Produits,2,FALSE),""))</f>
        <v/>
      </c>
      <c r="T1423" s="40">
        <f>IF(F1423="","",IFERROR(1/(1/VLOOKUP(F1423,T_Produits,3,FALSE)),""))</f>
        <v/>
      </c>
      <c r="U1423" s="40">
        <f>IF(H1423&lt;&gt;"",H1423,T1423)</f>
        <v/>
      </c>
      <c r="V1423" s="40">
        <f>IF(OR(G1423="",U1423=""),"",G1423*U1423-N(I1423))</f>
        <v/>
      </c>
      <c r="W1423" s="39">
        <f>IF(D1423="","",IFERROR(VALUE(MID(D1423,LEN(D1423)-3,3)),""))</f>
        <v/>
      </c>
      <c r="X1423" s="33">
        <f>IF(W1423="","",P1423&amp;"|"&amp;W1423)</f>
        <v/>
      </c>
      <c r="Y1423" s="33">
        <f>IF(W1423="","",IF(P1423="À RENSEIGNER","GIC",P1423)&amp;"-"&amp;TEXT(W1423,"000"))</f>
        <v/>
      </c>
      <c r="Z1423" s="33">
        <f>IF(X1423="","",IFERROR(INDEX(Cl_nom,MATCH(X1423,Cl_cle,0)),"(client introuvable)"))</f>
        <v/>
      </c>
      <c r="AA1423" s="33">
        <f>IF(X1423="","",IFERROR(INDEX(Cl_quartier,MATCH(X1423,Cl_cle,0))&amp;"",""))</f>
        <v/>
      </c>
      <c r="AB1423" s="45">
        <f>IF(R1423&lt;&gt;"Livrée",0,IF(K1423&lt;&gt;"",K1423,C1423))</f>
        <v/>
      </c>
      <c r="AC1423" s="33">
        <f>IF(OR(C1423="",W1423=""),"",P1423&amp;"|"&amp;W1423&amp;"|"&amp;C1423&amp;"|"&amp;E1423)</f>
        <v/>
      </c>
      <c r="AD1423" s="39">
        <f>IF(AC1423="","",IF(COUNTIF(AC$6:AC1423,AC1423)=1,1,0))</f>
        <v/>
      </c>
      <c r="AE1423" s="39">
        <f>IF(AB1423=0,"",IF(COUNTIFS(X$6:X1423,X1423,AB$6:AB1423,AB1423)=1,1,0))</f>
        <v/>
      </c>
      <c r="AF1423" s="34">
        <f>IF(C1423="","",YEAR(C1423-WEEKDAY(C1423,2)+4)&amp;"-S"&amp;TEXT(INT((C1423-DATE(YEAR(C1423-WEEKDAY(C1423,2)+4),1,3)+WEEKDAY(DATE(YEAR(C1423-WEEKDAY(C1423,2)+4),1,3),2)+5)/7),"00"))</f>
        <v/>
      </c>
    </row>
    <row r="1424" ht="18" customHeight="1">
      <c r="A1424" s="39" t="n">
        <v>1419</v>
      </c>
      <c r="B1424" s="33">
        <f>IF(C1424="","",IF(P1424="À RENSEIGNER","GIC",P1424)&amp;"-C"&amp;TEXT(A1424,"00000"))</f>
        <v/>
      </c>
      <c r="C1424" s="32" t="n"/>
      <c r="D1424" s="36" t="n"/>
      <c r="E1424" s="36" t="n"/>
      <c r="F1424" s="36" t="n"/>
      <c r="G1424" s="42" t="n"/>
      <c r="H1424" s="37" t="n"/>
      <c r="I1424" s="37" t="n"/>
      <c r="J1424" s="32" t="n"/>
      <c r="K1424" s="32" t="n"/>
      <c r="L1424" s="43" t="n"/>
      <c r="M1424" s="36" t="n"/>
      <c r="N1424" s="44" t="n"/>
      <c r="O1424" s="36" t="n"/>
      <c r="P1424" s="33">
        <f>IF(C1424="","",Commercial_Id)</f>
        <v/>
      </c>
      <c r="Q1424" s="34">
        <f>IF(AC1424="","",IF(AD1424=1,"C"&amp;TEXT(SUM(AD$6:AD1424),"0000"),INDEX(Q$6:Q1423,MATCH(AC1424,AC$6:AC1423,0))))</f>
        <v/>
      </c>
      <c r="R1424" s="34">
        <f>IF(C1424="","",IF(L1424="☑ Oui","Annulée",IF(OR(E1424="Vente directe",K1424&lt;&gt;""),"Livrée",IF(J1424&lt;&gt;"","Confirmée","En attente"))))</f>
        <v/>
      </c>
      <c r="S1424" s="34">
        <f>IF(F1424="","",IFERROR(VLOOKUP(F1424,T_Produits,2,FALSE),""))</f>
        <v/>
      </c>
      <c r="T1424" s="40">
        <f>IF(F1424="","",IFERROR(1/(1/VLOOKUP(F1424,T_Produits,3,FALSE)),""))</f>
        <v/>
      </c>
      <c r="U1424" s="40">
        <f>IF(H1424&lt;&gt;"",H1424,T1424)</f>
        <v/>
      </c>
      <c r="V1424" s="40">
        <f>IF(OR(G1424="",U1424=""),"",G1424*U1424-N(I1424))</f>
        <v/>
      </c>
      <c r="W1424" s="39">
        <f>IF(D1424="","",IFERROR(VALUE(MID(D1424,LEN(D1424)-3,3)),""))</f>
        <v/>
      </c>
      <c r="X1424" s="33">
        <f>IF(W1424="","",P1424&amp;"|"&amp;W1424)</f>
        <v/>
      </c>
      <c r="Y1424" s="33">
        <f>IF(W1424="","",IF(P1424="À RENSEIGNER","GIC",P1424)&amp;"-"&amp;TEXT(W1424,"000"))</f>
        <v/>
      </c>
      <c r="Z1424" s="33">
        <f>IF(X1424="","",IFERROR(INDEX(Cl_nom,MATCH(X1424,Cl_cle,0)),"(client introuvable)"))</f>
        <v/>
      </c>
      <c r="AA1424" s="33">
        <f>IF(X1424="","",IFERROR(INDEX(Cl_quartier,MATCH(X1424,Cl_cle,0))&amp;"",""))</f>
        <v/>
      </c>
      <c r="AB1424" s="45">
        <f>IF(R1424&lt;&gt;"Livrée",0,IF(K1424&lt;&gt;"",K1424,C1424))</f>
        <v/>
      </c>
      <c r="AC1424" s="33">
        <f>IF(OR(C1424="",W1424=""),"",P1424&amp;"|"&amp;W1424&amp;"|"&amp;C1424&amp;"|"&amp;E1424)</f>
        <v/>
      </c>
      <c r="AD1424" s="39">
        <f>IF(AC1424="","",IF(COUNTIF(AC$6:AC1424,AC1424)=1,1,0))</f>
        <v/>
      </c>
      <c r="AE1424" s="39">
        <f>IF(AB1424=0,"",IF(COUNTIFS(X$6:X1424,X1424,AB$6:AB1424,AB1424)=1,1,0))</f>
        <v/>
      </c>
      <c r="AF1424" s="34">
        <f>IF(C1424="","",YEAR(C1424-WEEKDAY(C1424,2)+4)&amp;"-S"&amp;TEXT(INT((C1424-DATE(YEAR(C1424-WEEKDAY(C1424,2)+4),1,3)+WEEKDAY(DATE(YEAR(C1424-WEEKDAY(C1424,2)+4),1,3),2)+5)/7),"00"))</f>
        <v/>
      </c>
    </row>
    <row r="1425" ht="18" customHeight="1">
      <c r="A1425" s="39" t="n">
        <v>1420</v>
      </c>
      <c r="B1425" s="33">
        <f>IF(C1425="","",IF(P1425="À RENSEIGNER","GIC",P1425)&amp;"-C"&amp;TEXT(A1425,"00000"))</f>
        <v/>
      </c>
      <c r="C1425" s="32" t="n"/>
      <c r="D1425" s="36" t="n"/>
      <c r="E1425" s="36" t="n"/>
      <c r="F1425" s="36" t="n"/>
      <c r="G1425" s="42" t="n"/>
      <c r="H1425" s="37" t="n"/>
      <c r="I1425" s="37" t="n"/>
      <c r="J1425" s="32" t="n"/>
      <c r="K1425" s="32" t="n"/>
      <c r="L1425" s="43" t="n"/>
      <c r="M1425" s="36" t="n"/>
      <c r="N1425" s="44" t="n"/>
      <c r="O1425" s="36" t="n"/>
      <c r="P1425" s="33">
        <f>IF(C1425="","",Commercial_Id)</f>
        <v/>
      </c>
      <c r="Q1425" s="34">
        <f>IF(AC1425="","",IF(AD1425=1,"C"&amp;TEXT(SUM(AD$6:AD1425),"0000"),INDEX(Q$6:Q1424,MATCH(AC1425,AC$6:AC1424,0))))</f>
        <v/>
      </c>
      <c r="R1425" s="34">
        <f>IF(C1425="","",IF(L1425="☑ Oui","Annulée",IF(OR(E1425="Vente directe",K1425&lt;&gt;""),"Livrée",IF(J1425&lt;&gt;"","Confirmée","En attente"))))</f>
        <v/>
      </c>
      <c r="S1425" s="34">
        <f>IF(F1425="","",IFERROR(VLOOKUP(F1425,T_Produits,2,FALSE),""))</f>
        <v/>
      </c>
      <c r="T1425" s="40">
        <f>IF(F1425="","",IFERROR(1/(1/VLOOKUP(F1425,T_Produits,3,FALSE)),""))</f>
        <v/>
      </c>
      <c r="U1425" s="40">
        <f>IF(H1425&lt;&gt;"",H1425,T1425)</f>
        <v/>
      </c>
      <c r="V1425" s="40">
        <f>IF(OR(G1425="",U1425=""),"",G1425*U1425-N(I1425))</f>
        <v/>
      </c>
      <c r="W1425" s="39">
        <f>IF(D1425="","",IFERROR(VALUE(MID(D1425,LEN(D1425)-3,3)),""))</f>
        <v/>
      </c>
      <c r="X1425" s="33">
        <f>IF(W1425="","",P1425&amp;"|"&amp;W1425)</f>
        <v/>
      </c>
      <c r="Y1425" s="33">
        <f>IF(W1425="","",IF(P1425="À RENSEIGNER","GIC",P1425)&amp;"-"&amp;TEXT(W1425,"000"))</f>
        <v/>
      </c>
      <c r="Z1425" s="33">
        <f>IF(X1425="","",IFERROR(INDEX(Cl_nom,MATCH(X1425,Cl_cle,0)),"(client introuvable)"))</f>
        <v/>
      </c>
      <c r="AA1425" s="33">
        <f>IF(X1425="","",IFERROR(INDEX(Cl_quartier,MATCH(X1425,Cl_cle,0))&amp;"",""))</f>
        <v/>
      </c>
      <c r="AB1425" s="45">
        <f>IF(R1425&lt;&gt;"Livrée",0,IF(K1425&lt;&gt;"",K1425,C1425))</f>
        <v/>
      </c>
      <c r="AC1425" s="33">
        <f>IF(OR(C1425="",W1425=""),"",P1425&amp;"|"&amp;W1425&amp;"|"&amp;C1425&amp;"|"&amp;E1425)</f>
        <v/>
      </c>
      <c r="AD1425" s="39">
        <f>IF(AC1425="","",IF(COUNTIF(AC$6:AC1425,AC1425)=1,1,0))</f>
        <v/>
      </c>
      <c r="AE1425" s="39">
        <f>IF(AB1425=0,"",IF(COUNTIFS(X$6:X1425,X1425,AB$6:AB1425,AB1425)=1,1,0))</f>
        <v/>
      </c>
      <c r="AF1425" s="34">
        <f>IF(C1425="","",YEAR(C1425-WEEKDAY(C1425,2)+4)&amp;"-S"&amp;TEXT(INT((C1425-DATE(YEAR(C1425-WEEKDAY(C1425,2)+4),1,3)+WEEKDAY(DATE(YEAR(C1425-WEEKDAY(C1425,2)+4),1,3),2)+5)/7),"00"))</f>
        <v/>
      </c>
    </row>
    <row r="1426" ht="18" customHeight="1">
      <c r="A1426" s="39" t="n">
        <v>1421</v>
      </c>
      <c r="B1426" s="33">
        <f>IF(C1426="","",IF(P1426="À RENSEIGNER","GIC",P1426)&amp;"-C"&amp;TEXT(A1426,"00000"))</f>
        <v/>
      </c>
      <c r="C1426" s="32" t="n"/>
      <c r="D1426" s="36" t="n"/>
      <c r="E1426" s="36" t="n"/>
      <c r="F1426" s="36" t="n"/>
      <c r="G1426" s="42" t="n"/>
      <c r="H1426" s="37" t="n"/>
      <c r="I1426" s="37" t="n"/>
      <c r="J1426" s="32" t="n"/>
      <c r="K1426" s="32" t="n"/>
      <c r="L1426" s="43" t="n"/>
      <c r="M1426" s="36" t="n"/>
      <c r="N1426" s="44" t="n"/>
      <c r="O1426" s="36" t="n"/>
      <c r="P1426" s="33">
        <f>IF(C1426="","",Commercial_Id)</f>
        <v/>
      </c>
      <c r="Q1426" s="34">
        <f>IF(AC1426="","",IF(AD1426=1,"C"&amp;TEXT(SUM(AD$6:AD1426),"0000"),INDEX(Q$6:Q1425,MATCH(AC1426,AC$6:AC1425,0))))</f>
        <v/>
      </c>
      <c r="R1426" s="34">
        <f>IF(C1426="","",IF(L1426="☑ Oui","Annulée",IF(OR(E1426="Vente directe",K1426&lt;&gt;""),"Livrée",IF(J1426&lt;&gt;"","Confirmée","En attente"))))</f>
        <v/>
      </c>
      <c r="S1426" s="34">
        <f>IF(F1426="","",IFERROR(VLOOKUP(F1426,T_Produits,2,FALSE),""))</f>
        <v/>
      </c>
      <c r="T1426" s="40">
        <f>IF(F1426="","",IFERROR(1/(1/VLOOKUP(F1426,T_Produits,3,FALSE)),""))</f>
        <v/>
      </c>
      <c r="U1426" s="40">
        <f>IF(H1426&lt;&gt;"",H1426,T1426)</f>
        <v/>
      </c>
      <c r="V1426" s="40">
        <f>IF(OR(G1426="",U1426=""),"",G1426*U1426-N(I1426))</f>
        <v/>
      </c>
      <c r="W1426" s="39">
        <f>IF(D1426="","",IFERROR(VALUE(MID(D1426,LEN(D1426)-3,3)),""))</f>
        <v/>
      </c>
      <c r="X1426" s="33">
        <f>IF(W1426="","",P1426&amp;"|"&amp;W1426)</f>
        <v/>
      </c>
      <c r="Y1426" s="33">
        <f>IF(W1426="","",IF(P1426="À RENSEIGNER","GIC",P1426)&amp;"-"&amp;TEXT(W1426,"000"))</f>
        <v/>
      </c>
      <c r="Z1426" s="33">
        <f>IF(X1426="","",IFERROR(INDEX(Cl_nom,MATCH(X1426,Cl_cle,0)),"(client introuvable)"))</f>
        <v/>
      </c>
      <c r="AA1426" s="33">
        <f>IF(X1426="","",IFERROR(INDEX(Cl_quartier,MATCH(X1426,Cl_cle,0))&amp;"",""))</f>
        <v/>
      </c>
      <c r="AB1426" s="45">
        <f>IF(R1426&lt;&gt;"Livrée",0,IF(K1426&lt;&gt;"",K1426,C1426))</f>
        <v/>
      </c>
      <c r="AC1426" s="33">
        <f>IF(OR(C1426="",W1426=""),"",P1426&amp;"|"&amp;W1426&amp;"|"&amp;C1426&amp;"|"&amp;E1426)</f>
        <v/>
      </c>
      <c r="AD1426" s="39">
        <f>IF(AC1426="","",IF(COUNTIF(AC$6:AC1426,AC1426)=1,1,0))</f>
        <v/>
      </c>
      <c r="AE1426" s="39">
        <f>IF(AB1426=0,"",IF(COUNTIFS(X$6:X1426,X1426,AB$6:AB1426,AB1426)=1,1,0))</f>
        <v/>
      </c>
      <c r="AF1426" s="34">
        <f>IF(C1426="","",YEAR(C1426-WEEKDAY(C1426,2)+4)&amp;"-S"&amp;TEXT(INT((C1426-DATE(YEAR(C1426-WEEKDAY(C1426,2)+4),1,3)+WEEKDAY(DATE(YEAR(C1426-WEEKDAY(C1426,2)+4),1,3),2)+5)/7),"00"))</f>
        <v/>
      </c>
    </row>
    <row r="1427" ht="18" customHeight="1">
      <c r="A1427" s="39" t="n">
        <v>1422</v>
      </c>
      <c r="B1427" s="33">
        <f>IF(C1427="","",IF(P1427="À RENSEIGNER","GIC",P1427)&amp;"-C"&amp;TEXT(A1427,"00000"))</f>
        <v/>
      </c>
      <c r="C1427" s="32" t="n"/>
      <c r="D1427" s="36" t="n"/>
      <c r="E1427" s="36" t="n"/>
      <c r="F1427" s="36" t="n"/>
      <c r="G1427" s="42" t="n"/>
      <c r="H1427" s="37" t="n"/>
      <c r="I1427" s="37" t="n"/>
      <c r="J1427" s="32" t="n"/>
      <c r="K1427" s="32" t="n"/>
      <c r="L1427" s="43" t="n"/>
      <c r="M1427" s="36" t="n"/>
      <c r="N1427" s="44" t="n"/>
      <c r="O1427" s="36" t="n"/>
      <c r="P1427" s="33">
        <f>IF(C1427="","",Commercial_Id)</f>
        <v/>
      </c>
      <c r="Q1427" s="34">
        <f>IF(AC1427="","",IF(AD1427=1,"C"&amp;TEXT(SUM(AD$6:AD1427),"0000"),INDEX(Q$6:Q1426,MATCH(AC1427,AC$6:AC1426,0))))</f>
        <v/>
      </c>
      <c r="R1427" s="34">
        <f>IF(C1427="","",IF(L1427="☑ Oui","Annulée",IF(OR(E1427="Vente directe",K1427&lt;&gt;""),"Livrée",IF(J1427&lt;&gt;"","Confirmée","En attente"))))</f>
        <v/>
      </c>
      <c r="S1427" s="34">
        <f>IF(F1427="","",IFERROR(VLOOKUP(F1427,T_Produits,2,FALSE),""))</f>
        <v/>
      </c>
      <c r="T1427" s="40">
        <f>IF(F1427="","",IFERROR(1/(1/VLOOKUP(F1427,T_Produits,3,FALSE)),""))</f>
        <v/>
      </c>
      <c r="U1427" s="40">
        <f>IF(H1427&lt;&gt;"",H1427,T1427)</f>
        <v/>
      </c>
      <c r="V1427" s="40">
        <f>IF(OR(G1427="",U1427=""),"",G1427*U1427-N(I1427))</f>
        <v/>
      </c>
      <c r="W1427" s="39">
        <f>IF(D1427="","",IFERROR(VALUE(MID(D1427,LEN(D1427)-3,3)),""))</f>
        <v/>
      </c>
      <c r="X1427" s="33">
        <f>IF(W1427="","",P1427&amp;"|"&amp;W1427)</f>
        <v/>
      </c>
      <c r="Y1427" s="33">
        <f>IF(W1427="","",IF(P1427="À RENSEIGNER","GIC",P1427)&amp;"-"&amp;TEXT(W1427,"000"))</f>
        <v/>
      </c>
      <c r="Z1427" s="33">
        <f>IF(X1427="","",IFERROR(INDEX(Cl_nom,MATCH(X1427,Cl_cle,0)),"(client introuvable)"))</f>
        <v/>
      </c>
      <c r="AA1427" s="33">
        <f>IF(X1427="","",IFERROR(INDEX(Cl_quartier,MATCH(X1427,Cl_cle,0))&amp;"",""))</f>
        <v/>
      </c>
      <c r="AB1427" s="45">
        <f>IF(R1427&lt;&gt;"Livrée",0,IF(K1427&lt;&gt;"",K1427,C1427))</f>
        <v/>
      </c>
      <c r="AC1427" s="33">
        <f>IF(OR(C1427="",W1427=""),"",P1427&amp;"|"&amp;W1427&amp;"|"&amp;C1427&amp;"|"&amp;E1427)</f>
        <v/>
      </c>
      <c r="AD1427" s="39">
        <f>IF(AC1427="","",IF(COUNTIF(AC$6:AC1427,AC1427)=1,1,0))</f>
        <v/>
      </c>
      <c r="AE1427" s="39">
        <f>IF(AB1427=0,"",IF(COUNTIFS(X$6:X1427,X1427,AB$6:AB1427,AB1427)=1,1,0))</f>
        <v/>
      </c>
      <c r="AF1427" s="34">
        <f>IF(C1427="","",YEAR(C1427-WEEKDAY(C1427,2)+4)&amp;"-S"&amp;TEXT(INT((C1427-DATE(YEAR(C1427-WEEKDAY(C1427,2)+4),1,3)+WEEKDAY(DATE(YEAR(C1427-WEEKDAY(C1427,2)+4),1,3),2)+5)/7),"00"))</f>
        <v/>
      </c>
    </row>
    <row r="1428" ht="18" customHeight="1">
      <c r="A1428" s="39" t="n">
        <v>1423</v>
      </c>
      <c r="B1428" s="33">
        <f>IF(C1428="","",IF(P1428="À RENSEIGNER","GIC",P1428)&amp;"-C"&amp;TEXT(A1428,"00000"))</f>
        <v/>
      </c>
      <c r="C1428" s="32" t="n"/>
      <c r="D1428" s="36" t="n"/>
      <c r="E1428" s="36" t="n"/>
      <c r="F1428" s="36" t="n"/>
      <c r="G1428" s="42" t="n"/>
      <c r="H1428" s="37" t="n"/>
      <c r="I1428" s="37" t="n"/>
      <c r="J1428" s="32" t="n"/>
      <c r="K1428" s="32" t="n"/>
      <c r="L1428" s="43" t="n"/>
      <c r="M1428" s="36" t="n"/>
      <c r="N1428" s="44" t="n"/>
      <c r="O1428" s="36" t="n"/>
      <c r="P1428" s="33">
        <f>IF(C1428="","",Commercial_Id)</f>
        <v/>
      </c>
      <c r="Q1428" s="34">
        <f>IF(AC1428="","",IF(AD1428=1,"C"&amp;TEXT(SUM(AD$6:AD1428),"0000"),INDEX(Q$6:Q1427,MATCH(AC1428,AC$6:AC1427,0))))</f>
        <v/>
      </c>
      <c r="R1428" s="34">
        <f>IF(C1428="","",IF(L1428="☑ Oui","Annulée",IF(OR(E1428="Vente directe",K1428&lt;&gt;""),"Livrée",IF(J1428&lt;&gt;"","Confirmée","En attente"))))</f>
        <v/>
      </c>
      <c r="S1428" s="34">
        <f>IF(F1428="","",IFERROR(VLOOKUP(F1428,T_Produits,2,FALSE),""))</f>
        <v/>
      </c>
      <c r="T1428" s="40">
        <f>IF(F1428="","",IFERROR(1/(1/VLOOKUP(F1428,T_Produits,3,FALSE)),""))</f>
        <v/>
      </c>
      <c r="U1428" s="40">
        <f>IF(H1428&lt;&gt;"",H1428,T1428)</f>
        <v/>
      </c>
      <c r="V1428" s="40">
        <f>IF(OR(G1428="",U1428=""),"",G1428*U1428-N(I1428))</f>
        <v/>
      </c>
      <c r="W1428" s="39">
        <f>IF(D1428="","",IFERROR(VALUE(MID(D1428,LEN(D1428)-3,3)),""))</f>
        <v/>
      </c>
      <c r="X1428" s="33">
        <f>IF(W1428="","",P1428&amp;"|"&amp;W1428)</f>
        <v/>
      </c>
      <c r="Y1428" s="33">
        <f>IF(W1428="","",IF(P1428="À RENSEIGNER","GIC",P1428)&amp;"-"&amp;TEXT(W1428,"000"))</f>
        <v/>
      </c>
      <c r="Z1428" s="33">
        <f>IF(X1428="","",IFERROR(INDEX(Cl_nom,MATCH(X1428,Cl_cle,0)),"(client introuvable)"))</f>
        <v/>
      </c>
      <c r="AA1428" s="33">
        <f>IF(X1428="","",IFERROR(INDEX(Cl_quartier,MATCH(X1428,Cl_cle,0))&amp;"",""))</f>
        <v/>
      </c>
      <c r="AB1428" s="45">
        <f>IF(R1428&lt;&gt;"Livrée",0,IF(K1428&lt;&gt;"",K1428,C1428))</f>
        <v/>
      </c>
      <c r="AC1428" s="33">
        <f>IF(OR(C1428="",W1428=""),"",P1428&amp;"|"&amp;W1428&amp;"|"&amp;C1428&amp;"|"&amp;E1428)</f>
        <v/>
      </c>
      <c r="AD1428" s="39">
        <f>IF(AC1428="","",IF(COUNTIF(AC$6:AC1428,AC1428)=1,1,0))</f>
        <v/>
      </c>
      <c r="AE1428" s="39">
        <f>IF(AB1428=0,"",IF(COUNTIFS(X$6:X1428,X1428,AB$6:AB1428,AB1428)=1,1,0))</f>
        <v/>
      </c>
      <c r="AF1428" s="34">
        <f>IF(C1428="","",YEAR(C1428-WEEKDAY(C1428,2)+4)&amp;"-S"&amp;TEXT(INT((C1428-DATE(YEAR(C1428-WEEKDAY(C1428,2)+4),1,3)+WEEKDAY(DATE(YEAR(C1428-WEEKDAY(C1428,2)+4),1,3),2)+5)/7),"00"))</f>
        <v/>
      </c>
    </row>
    <row r="1429" ht="18" customHeight="1">
      <c r="A1429" s="39" t="n">
        <v>1424</v>
      </c>
      <c r="B1429" s="33">
        <f>IF(C1429="","",IF(P1429="À RENSEIGNER","GIC",P1429)&amp;"-C"&amp;TEXT(A1429,"00000"))</f>
        <v/>
      </c>
      <c r="C1429" s="32" t="n"/>
      <c r="D1429" s="36" t="n"/>
      <c r="E1429" s="36" t="n"/>
      <c r="F1429" s="36" t="n"/>
      <c r="G1429" s="42" t="n"/>
      <c r="H1429" s="37" t="n"/>
      <c r="I1429" s="37" t="n"/>
      <c r="J1429" s="32" t="n"/>
      <c r="K1429" s="32" t="n"/>
      <c r="L1429" s="43" t="n"/>
      <c r="M1429" s="36" t="n"/>
      <c r="N1429" s="44" t="n"/>
      <c r="O1429" s="36" t="n"/>
      <c r="P1429" s="33">
        <f>IF(C1429="","",Commercial_Id)</f>
        <v/>
      </c>
      <c r="Q1429" s="34">
        <f>IF(AC1429="","",IF(AD1429=1,"C"&amp;TEXT(SUM(AD$6:AD1429),"0000"),INDEX(Q$6:Q1428,MATCH(AC1429,AC$6:AC1428,0))))</f>
        <v/>
      </c>
      <c r="R1429" s="34">
        <f>IF(C1429="","",IF(L1429="☑ Oui","Annulée",IF(OR(E1429="Vente directe",K1429&lt;&gt;""),"Livrée",IF(J1429&lt;&gt;"","Confirmée","En attente"))))</f>
        <v/>
      </c>
      <c r="S1429" s="34">
        <f>IF(F1429="","",IFERROR(VLOOKUP(F1429,T_Produits,2,FALSE),""))</f>
        <v/>
      </c>
      <c r="T1429" s="40">
        <f>IF(F1429="","",IFERROR(1/(1/VLOOKUP(F1429,T_Produits,3,FALSE)),""))</f>
        <v/>
      </c>
      <c r="U1429" s="40">
        <f>IF(H1429&lt;&gt;"",H1429,T1429)</f>
        <v/>
      </c>
      <c r="V1429" s="40">
        <f>IF(OR(G1429="",U1429=""),"",G1429*U1429-N(I1429))</f>
        <v/>
      </c>
      <c r="W1429" s="39">
        <f>IF(D1429="","",IFERROR(VALUE(MID(D1429,LEN(D1429)-3,3)),""))</f>
        <v/>
      </c>
      <c r="X1429" s="33">
        <f>IF(W1429="","",P1429&amp;"|"&amp;W1429)</f>
        <v/>
      </c>
      <c r="Y1429" s="33">
        <f>IF(W1429="","",IF(P1429="À RENSEIGNER","GIC",P1429)&amp;"-"&amp;TEXT(W1429,"000"))</f>
        <v/>
      </c>
      <c r="Z1429" s="33">
        <f>IF(X1429="","",IFERROR(INDEX(Cl_nom,MATCH(X1429,Cl_cle,0)),"(client introuvable)"))</f>
        <v/>
      </c>
      <c r="AA1429" s="33">
        <f>IF(X1429="","",IFERROR(INDEX(Cl_quartier,MATCH(X1429,Cl_cle,0))&amp;"",""))</f>
        <v/>
      </c>
      <c r="AB1429" s="45">
        <f>IF(R1429&lt;&gt;"Livrée",0,IF(K1429&lt;&gt;"",K1429,C1429))</f>
        <v/>
      </c>
      <c r="AC1429" s="33">
        <f>IF(OR(C1429="",W1429=""),"",P1429&amp;"|"&amp;W1429&amp;"|"&amp;C1429&amp;"|"&amp;E1429)</f>
        <v/>
      </c>
      <c r="AD1429" s="39">
        <f>IF(AC1429="","",IF(COUNTIF(AC$6:AC1429,AC1429)=1,1,0))</f>
        <v/>
      </c>
      <c r="AE1429" s="39">
        <f>IF(AB1429=0,"",IF(COUNTIFS(X$6:X1429,X1429,AB$6:AB1429,AB1429)=1,1,0))</f>
        <v/>
      </c>
      <c r="AF1429" s="34">
        <f>IF(C1429="","",YEAR(C1429-WEEKDAY(C1429,2)+4)&amp;"-S"&amp;TEXT(INT((C1429-DATE(YEAR(C1429-WEEKDAY(C1429,2)+4),1,3)+WEEKDAY(DATE(YEAR(C1429-WEEKDAY(C1429,2)+4),1,3),2)+5)/7),"00"))</f>
        <v/>
      </c>
    </row>
    <row r="1430" ht="18" customHeight="1">
      <c r="A1430" s="39" t="n">
        <v>1425</v>
      </c>
      <c r="B1430" s="33">
        <f>IF(C1430="","",IF(P1430="À RENSEIGNER","GIC",P1430)&amp;"-C"&amp;TEXT(A1430,"00000"))</f>
        <v/>
      </c>
      <c r="C1430" s="32" t="n"/>
      <c r="D1430" s="36" t="n"/>
      <c r="E1430" s="36" t="n"/>
      <c r="F1430" s="36" t="n"/>
      <c r="G1430" s="42" t="n"/>
      <c r="H1430" s="37" t="n"/>
      <c r="I1430" s="37" t="n"/>
      <c r="J1430" s="32" t="n"/>
      <c r="K1430" s="32" t="n"/>
      <c r="L1430" s="43" t="n"/>
      <c r="M1430" s="36" t="n"/>
      <c r="N1430" s="44" t="n"/>
      <c r="O1430" s="36" t="n"/>
      <c r="P1430" s="33">
        <f>IF(C1430="","",Commercial_Id)</f>
        <v/>
      </c>
      <c r="Q1430" s="34">
        <f>IF(AC1430="","",IF(AD1430=1,"C"&amp;TEXT(SUM(AD$6:AD1430),"0000"),INDEX(Q$6:Q1429,MATCH(AC1430,AC$6:AC1429,0))))</f>
        <v/>
      </c>
      <c r="R1430" s="34">
        <f>IF(C1430="","",IF(L1430="☑ Oui","Annulée",IF(OR(E1430="Vente directe",K1430&lt;&gt;""),"Livrée",IF(J1430&lt;&gt;"","Confirmée","En attente"))))</f>
        <v/>
      </c>
      <c r="S1430" s="34">
        <f>IF(F1430="","",IFERROR(VLOOKUP(F1430,T_Produits,2,FALSE),""))</f>
        <v/>
      </c>
      <c r="T1430" s="40">
        <f>IF(F1430="","",IFERROR(1/(1/VLOOKUP(F1430,T_Produits,3,FALSE)),""))</f>
        <v/>
      </c>
      <c r="U1430" s="40">
        <f>IF(H1430&lt;&gt;"",H1430,T1430)</f>
        <v/>
      </c>
      <c r="V1430" s="40">
        <f>IF(OR(G1430="",U1430=""),"",G1430*U1430-N(I1430))</f>
        <v/>
      </c>
      <c r="W1430" s="39">
        <f>IF(D1430="","",IFERROR(VALUE(MID(D1430,LEN(D1430)-3,3)),""))</f>
        <v/>
      </c>
      <c r="X1430" s="33">
        <f>IF(W1430="","",P1430&amp;"|"&amp;W1430)</f>
        <v/>
      </c>
      <c r="Y1430" s="33">
        <f>IF(W1430="","",IF(P1430="À RENSEIGNER","GIC",P1430)&amp;"-"&amp;TEXT(W1430,"000"))</f>
        <v/>
      </c>
      <c r="Z1430" s="33">
        <f>IF(X1430="","",IFERROR(INDEX(Cl_nom,MATCH(X1430,Cl_cle,0)),"(client introuvable)"))</f>
        <v/>
      </c>
      <c r="AA1430" s="33">
        <f>IF(X1430="","",IFERROR(INDEX(Cl_quartier,MATCH(X1430,Cl_cle,0))&amp;"",""))</f>
        <v/>
      </c>
      <c r="AB1430" s="45">
        <f>IF(R1430&lt;&gt;"Livrée",0,IF(K1430&lt;&gt;"",K1430,C1430))</f>
        <v/>
      </c>
      <c r="AC1430" s="33">
        <f>IF(OR(C1430="",W1430=""),"",P1430&amp;"|"&amp;W1430&amp;"|"&amp;C1430&amp;"|"&amp;E1430)</f>
        <v/>
      </c>
      <c r="AD1430" s="39">
        <f>IF(AC1430="","",IF(COUNTIF(AC$6:AC1430,AC1430)=1,1,0))</f>
        <v/>
      </c>
      <c r="AE1430" s="39">
        <f>IF(AB1430=0,"",IF(COUNTIFS(X$6:X1430,X1430,AB$6:AB1430,AB1430)=1,1,0))</f>
        <v/>
      </c>
      <c r="AF1430" s="34">
        <f>IF(C1430="","",YEAR(C1430-WEEKDAY(C1430,2)+4)&amp;"-S"&amp;TEXT(INT((C1430-DATE(YEAR(C1430-WEEKDAY(C1430,2)+4),1,3)+WEEKDAY(DATE(YEAR(C1430-WEEKDAY(C1430,2)+4),1,3),2)+5)/7),"00"))</f>
        <v/>
      </c>
    </row>
    <row r="1431" ht="18" customHeight="1">
      <c r="A1431" s="39" t="n">
        <v>1426</v>
      </c>
      <c r="B1431" s="33">
        <f>IF(C1431="","",IF(P1431="À RENSEIGNER","GIC",P1431)&amp;"-C"&amp;TEXT(A1431,"00000"))</f>
        <v/>
      </c>
      <c r="C1431" s="32" t="n"/>
      <c r="D1431" s="36" t="n"/>
      <c r="E1431" s="36" t="n"/>
      <c r="F1431" s="36" t="n"/>
      <c r="G1431" s="42" t="n"/>
      <c r="H1431" s="37" t="n"/>
      <c r="I1431" s="37" t="n"/>
      <c r="J1431" s="32" t="n"/>
      <c r="K1431" s="32" t="n"/>
      <c r="L1431" s="43" t="n"/>
      <c r="M1431" s="36" t="n"/>
      <c r="N1431" s="44" t="n"/>
      <c r="O1431" s="36" t="n"/>
      <c r="P1431" s="33">
        <f>IF(C1431="","",Commercial_Id)</f>
        <v/>
      </c>
      <c r="Q1431" s="34">
        <f>IF(AC1431="","",IF(AD1431=1,"C"&amp;TEXT(SUM(AD$6:AD1431),"0000"),INDEX(Q$6:Q1430,MATCH(AC1431,AC$6:AC1430,0))))</f>
        <v/>
      </c>
      <c r="R1431" s="34">
        <f>IF(C1431="","",IF(L1431="☑ Oui","Annulée",IF(OR(E1431="Vente directe",K1431&lt;&gt;""),"Livrée",IF(J1431&lt;&gt;"","Confirmée","En attente"))))</f>
        <v/>
      </c>
      <c r="S1431" s="34">
        <f>IF(F1431="","",IFERROR(VLOOKUP(F1431,T_Produits,2,FALSE),""))</f>
        <v/>
      </c>
      <c r="T1431" s="40">
        <f>IF(F1431="","",IFERROR(1/(1/VLOOKUP(F1431,T_Produits,3,FALSE)),""))</f>
        <v/>
      </c>
      <c r="U1431" s="40">
        <f>IF(H1431&lt;&gt;"",H1431,T1431)</f>
        <v/>
      </c>
      <c r="V1431" s="40">
        <f>IF(OR(G1431="",U1431=""),"",G1431*U1431-N(I1431))</f>
        <v/>
      </c>
      <c r="W1431" s="39">
        <f>IF(D1431="","",IFERROR(VALUE(MID(D1431,LEN(D1431)-3,3)),""))</f>
        <v/>
      </c>
      <c r="X1431" s="33">
        <f>IF(W1431="","",P1431&amp;"|"&amp;W1431)</f>
        <v/>
      </c>
      <c r="Y1431" s="33">
        <f>IF(W1431="","",IF(P1431="À RENSEIGNER","GIC",P1431)&amp;"-"&amp;TEXT(W1431,"000"))</f>
        <v/>
      </c>
      <c r="Z1431" s="33">
        <f>IF(X1431="","",IFERROR(INDEX(Cl_nom,MATCH(X1431,Cl_cle,0)),"(client introuvable)"))</f>
        <v/>
      </c>
      <c r="AA1431" s="33">
        <f>IF(X1431="","",IFERROR(INDEX(Cl_quartier,MATCH(X1431,Cl_cle,0))&amp;"",""))</f>
        <v/>
      </c>
      <c r="AB1431" s="45">
        <f>IF(R1431&lt;&gt;"Livrée",0,IF(K1431&lt;&gt;"",K1431,C1431))</f>
        <v/>
      </c>
      <c r="AC1431" s="33">
        <f>IF(OR(C1431="",W1431=""),"",P1431&amp;"|"&amp;W1431&amp;"|"&amp;C1431&amp;"|"&amp;E1431)</f>
        <v/>
      </c>
      <c r="AD1431" s="39">
        <f>IF(AC1431="","",IF(COUNTIF(AC$6:AC1431,AC1431)=1,1,0))</f>
        <v/>
      </c>
      <c r="AE1431" s="39">
        <f>IF(AB1431=0,"",IF(COUNTIFS(X$6:X1431,X1431,AB$6:AB1431,AB1431)=1,1,0))</f>
        <v/>
      </c>
      <c r="AF1431" s="34">
        <f>IF(C1431="","",YEAR(C1431-WEEKDAY(C1431,2)+4)&amp;"-S"&amp;TEXT(INT((C1431-DATE(YEAR(C1431-WEEKDAY(C1431,2)+4),1,3)+WEEKDAY(DATE(YEAR(C1431-WEEKDAY(C1431,2)+4),1,3),2)+5)/7),"00"))</f>
        <v/>
      </c>
    </row>
    <row r="1432" ht="18" customHeight="1">
      <c r="A1432" s="39" t="n">
        <v>1427</v>
      </c>
      <c r="B1432" s="33">
        <f>IF(C1432="","",IF(P1432="À RENSEIGNER","GIC",P1432)&amp;"-C"&amp;TEXT(A1432,"00000"))</f>
        <v/>
      </c>
      <c r="C1432" s="32" t="n"/>
      <c r="D1432" s="36" t="n"/>
      <c r="E1432" s="36" t="n"/>
      <c r="F1432" s="36" t="n"/>
      <c r="G1432" s="42" t="n"/>
      <c r="H1432" s="37" t="n"/>
      <c r="I1432" s="37" t="n"/>
      <c r="J1432" s="32" t="n"/>
      <c r="K1432" s="32" t="n"/>
      <c r="L1432" s="43" t="n"/>
      <c r="M1432" s="36" t="n"/>
      <c r="N1432" s="44" t="n"/>
      <c r="O1432" s="36" t="n"/>
      <c r="P1432" s="33">
        <f>IF(C1432="","",Commercial_Id)</f>
        <v/>
      </c>
      <c r="Q1432" s="34">
        <f>IF(AC1432="","",IF(AD1432=1,"C"&amp;TEXT(SUM(AD$6:AD1432),"0000"),INDEX(Q$6:Q1431,MATCH(AC1432,AC$6:AC1431,0))))</f>
        <v/>
      </c>
      <c r="R1432" s="34">
        <f>IF(C1432="","",IF(L1432="☑ Oui","Annulée",IF(OR(E1432="Vente directe",K1432&lt;&gt;""),"Livrée",IF(J1432&lt;&gt;"","Confirmée","En attente"))))</f>
        <v/>
      </c>
      <c r="S1432" s="34">
        <f>IF(F1432="","",IFERROR(VLOOKUP(F1432,T_Produits,2,FALSE),""))</f>
        <v/>
      </c>
      <c r="T1432" s="40">
        <f>IF(F1432="","",IFERROR(1/(1/VLOOKUP(F1432,T_Produits,3,FALSE)),""))</f>
        <v/>
      </c>
      <c r="U1432" s="40">
        <f>IF(H1432&lt;&gt;"",H1432,T1432)</f>
        <v/>
      </c>
      <c r="V1432" s="40">
        <f>IF(OR(G1432="",U1432=""),"",G1432*U1432-N(I1432))</f>
        <v/>
      </c>
      <c r="W1432" s="39">
        <f>IF(D1432="","",IFERROR(VALUE(MID(D1432,LEN(D1432)-3,3)),""))</f>
        <v/>
      </c>
      <c r="X1432" s="33">
        <f>IF(W1432="","",P1432&amp;"|"&amp;W1432)</f>
        <v/>
      </c>
      <c r="Y1432" s="33">
        <f>IF(W1432="","",IF(P1432="À RENSEIGNER","GIC",P1432)&amp;"-"&amp;TEXT(W1432,"000"))</f>
        <v/>
      </c>
      <c r="Z1432" s="33">
        <f>IF(X1432="","",IFERROR(INDEX(Cl_nom,MATCH(X1432,Cl_cle,0)),"(client introuvable)"))</f>
        <v/>
      </c>
      <c r="AA1432" s="33">
        <f>IF(X1432="","",IFERROR(INDEX(Cl_quartier,MATCH(X1432,Cl_cle,0))&amp;"",""))</f>
        <v/>
      </c>
      <c r="AB1432" s="45">
        <f>IF(R1432&lt;&gt;"Livrée",0,IF(K1432&lt;&gt;"",K1432,C1432))</f>
        <v/>
      </c>
      <c r="AC1432" s="33">
        <f>IF(OR(C1432="",W1432=""),"",P1432&amp;"|"&amp;W1432&amp;"|"&amp;C1432&amp;"|"&amp;E1432)</f>
        <v/>
      </c>
      <c r="AD1432" s="39">
        <f>IF(AC1432="","",IF(COUNTIF(AC$6:AC1432,AC1432)=1,1,0))</f>
        <v/>
      </c>
      <c r="AE1432" s="39">
        <f>IF(AB1432=0,"",IF(COUNTIFS(X$6:X1432,X1432,AB$6:AB1432,AB1432)=1,1,0))</f>
        <v/>
      </c>
      <c r="AF1432" s="34">
        <f>IF(C1432="","",YEAR(C1432-WEEKDAY(C1432,2)+4)&amp;"-S"&amp;TEXT(INT((C1432-DATE(YEAR(C1432-WEEKDAY(C1432,2)+4),1,3)+WEEKDAY(DATE(YEAR(C1432-WEEKDAY(C1432,2)+4),1,3),2)+5)/7),"00"))</f>
        <v/>
      </c>
    </row>
    <row r="1433" ht="18" customHeight="1">
      <c r="A1433" s="39" t="n">
        <v>1428</v>
      </c>
      <c r="B1433" s="33">
        <f>IF(C1433="","",IF(P1433="À RENSEIGNER","GIC",P1433)&amp;"-C"&amp;TEXT(A1433,"00000"))</f>
        <v/>
      </c>
      <c r="C1433" s="32" t="n"/>
      <c r="D1433" s="36" t="n"/>
      <c r="E1433" s="36" t="n"/>
      <c r="F1433" s="36" t="n"/>
      <c r="G1433" s="42" t="n"/>
      <c r="H1433" s="37" t="n"/>
      <c r="I1433" s="37" t="n"/>
      <c r="J1433" s="32" t="n"/>
      <c r="K1433" s="32" t="n"/>
      <c r="L1433" s="43" t="n"/>
      <c r="M1433" s="36" t="n"/>
      <c r="N1433" s="44" t="n"/>
      <c r="O1433" s="36" t="n"/>
      <c r="P1433" s="33">
        <f>IF(C1433="","",Commercial_Id)</f>
        <v/>
      </c>
      <c r="Q1433" s="34">
        <f>IF(AC1433="","",IF(AD1433=1,"C"&amp;TEXT(SUM(AD$6:AD1433),"0000"),INDEX(Q$6:Q1432,MATCH(AC1433,AC$6:AC1432,0))))</f>
        <v/>
      </c>
      <c r="R1433" s="34">
        <f>IF(C1433="","",IF(L1433="☑ Oui","Annulée",IF(OR(E1433="Vente directe",K1433&lt;&gt;""),"Livrée",IF(J1433&lt;&gt;"","Confirmée","En attente"))))</f>
        <v/>
      </c>
      <c r="S1433" s="34">
        <f>IF(F1433="","",IFERROR(VLOOKUP(F1433,T_Produits,2,FALSE),""))</f>
        <v/>
      </c>
      <c r="T1433" s="40">
        <f>IF(F1433="","",IFERROR(1/(1/VLOOKUP(F1433,T_Produits,3,FALSE)),""))</f>
        <v/>
      </c>
      <c r="U1433" s="40">
        <f>IF(H1433&lt;&gt;"",H1433,T1433)</f>
        <v/>
      </c>
      <c r="V1433" s="40">
        <f>IF(OR(G1433="",U1433=""),"",G1433*U1433-N(I1433))</f>
        <v/>
      </c>
      <c r="W1433" s="39">
        <f>IF(D1433="","",IFERROR(VALUE(MID(D1433,LEN(D1433)-3,3)),""))</f>
        <v/>
      </c>
      <c r="X1433" s="33">
        <f>IF(W1433="","",P1433&amp;"|"&amp;W1433)</f>
        <v/>
      </c>
      <c r="Y1433" s="33">
        <f>IF(W1433="","",IF(P1433="À RENSEIGNER","GIC",P1433)&amp;"-"&amp;TEXT(W1433,"000"))</f>
        <v/>
      </c>
      <c r="Z1433" s="33">
        <f>IF(X1433="","",IFERROR(INDEX(Cl_nom,MATCH(X1433,Cl_cle,0)),"(client introuvable)"))</f>
        <v/>
      </c>
      <c r="AA1433" s="33">
        <f>IF(X1433="","",IFERROR(INDEX(Cl_quartier,MATCH(X1433,Cl_cle,0))&amp;"",""))</f>
        <v/>
      </c>
      <c r="AB1433" s="45">
        <f>IF(R1433&lt;&gt;"Livrée",0,IF(K1433&lt;&gt;"",K1433,C1433))</f>
        <v/>
      </c>
      <c r="AC1433" s="33">
        <f>IF(OR(C1433="",W1433=""),"",P1433&amp;"|"&amp;W1433&amp;"|"&amp;C1433&amp;"|"&amp;E1433)</f>
        <v/>
      </c>
      <c r="AD1433" s="39">
        <f>IF(AC1433="","",IF(COUNTIF(AC$6:AC1433,AC1433)=1,1,0))</f>
        <v/>
      </c>
      <c r="AE1433" s="39">
        <f>IF(AB1433=0,"",IF(COUNTIFS(X$6:X1433,X1433,AB$6:AB1433,AB1433)=1,1,0))</f>
        <v/>
      </c>
      <c r="AF1433" s="34">
        <f>IF(C1433="","",YEAR(C1433-WEEKDAY(C1433,2)+4)&amp;"-S"&amp;TEXT(INT((C1433-DATE(YEAR(C1433-WEEKDAY(C1433,2)+4),1,3)+WEEKDAY(DATE(YEAR(C1433-WEEKDAY(C1433,2)+4),1,3),2)+5)/7),"00"))</f>
        <v/>
      </c>
    </row>
    <row r="1434" ht="18" customHeight="1">
      <c r="A1434" s="39" t="n">
        <v>1429</v>
      </c>
      <c r="B1434" s="33">
        <f>IF(C1434="","",IF(P1434="À RENSEIGNER","GIC",P1434)&amp;"-C"&amp;TEXT(A1434,"00000"))</f>
        <v/>
      </c>
      <c r="C1434" s="32" t="n"/>
      <c r="D1434" s="36" t="n"/>
      <c r="E1434" s="36" t="n"/>
      <c r="F1434" s="36" t="n"/>
      <c r="G1434" s="42" t="n"/>
      <c r="H1434" s="37" t="n"/>
      <c r="I1434" s="37" t="n"/>
      <c r="J1434" s="32" t="n"/>
      <c r="K1434" s="32" t="n"/>
      <c r="L1434" s="43" t="n"/>
      <c r="M1434" s="36" t="n"/>
      <c r="N1434" s="44" t="n"/>
      <c r="O1434" s="36" t="n"/>
      <c r="P1434" s="33">
        <f>IF(C1434="","",Commercial_Id)</f>
        <v/>
      </c>
      <c r="Q1434" s="34">
        <f>IF(AC1434="","",IF(AD1434=1,"C"&amp;TEXT(SUM(AD$6:AD1434),"0000"),INDEX(Q$6:Q1433,MATCH(AC1434,AC$6:AC1433,0))))</f>
        <v/>
      </c>
      <c r="R1434" s="34">
        <f>IF(C1434="","",IF(L1434="☑ Oui","Annulée",IF(OR(E1434="Vente directe",K1434&lt;&gt;""),"Livrée",IF(J1434&lt;&gt;"","Confirmée","En attente"))))</f>
        <v/>
      </c>
      <c r="S1434" s="34">
        <f>IF(F1434="","",IFERROR(VLOOKUP(F1434,T_Produits,2,FALSE),""))</f>
        <v/>
      </c>
      <c r="T1434" s="40">
        <f>IF(F1434="","",IFERROR(1/(1/VLOOKUP(F1434,T_Produits,3,FALSE)),""))</f>
        <v/>
      </c>
      <c r="U1434" s="40">
        <f>IF(H1434&lt;&gt;"",H1434,T1434)</f>
        <v/>
      </c>
      <c r="V1434" s="40">
        <f>IF(OR(G1434="",U1434=""),"",G1434*U1434-N(I1434))</f>
        <v/>
      </c>
      <c r="W1434" s="39">
        <f>IF(D1434="","",IFERROR(VALUE(MID(D1434,LEN(D1434)-3,3)),""))</f>
        <v/>
      </c>
      <c r="X1434" s="33">
        <f>IF(W1434="","",P1434&amp;"|"&amp;W1434)</f>
        <v/>
      </c>
      <c r="Y1434" s="33">
        <f>IF(W1434="","",IF(P1434="À RENSEIGNER","GIC",P1434)&amp;"-"&amp;TEXT(W1434,"000"))</f>
        <v/>
      </c>
      <c r="Z1434" s="33">
        <f>IF(X1434="","",IFERROR(INDEX(Cl_nom,MATCH(X1434,Cl_cle,0)),"(client introuvable)"))</f>
        <v/>
      </c>
      <c r="AA1434" s="33">
        <f>IF(X1434="","",IFERROR(INDEX(Cl_quartier,MATCH(X1434,Cl_cle,0))&amp;"",""))</f>
        <v/>
      </c>
      <c r="AB1434" s="45">
        <f>IF(R1434&lt;&gt;"Livrée",0,IF(K1434&lt;&gt;"",K1434,C1434))</f>
        <v/>
      </c>
      <c r="AC1434" s="33">
        <f>IF(OR(C1434="",W1434=""),"",P1434&amp;"|"&amp;W1434&amp;"|"&amp;C1434&amp;"|"&amp;E1434)</f>
        <v/>
      </c>
      <c r="AD1434" s="39">
        <f>IF(AC1434="","",IF(COUNTIF(AC$6:AC1434,AC1434)=1,1,0))</f>
        <v/>
      </c>
      <c r="AE1434" s="39">
        <f>IF(AB1434=0,"",IF(COUNTIFS(X$6:X1434,X1434,AB$6:AB1434,AB1434)=1,1,0))</f>
        <v/>
      </c>
      <c r="AF1434" s="34">
        <f>IF(C1434="","",YEAR(C1434-WEEKDAY(C1434,2)+4)&amp;"-S"&amp;TEXT(INT((C1434-DATE(YEAR(C1434-WEEKDAY(C1434,2)+4),1,3)+WEEKDAY(DATE(YEAR(C1434-WEEKDAY(C1434,2)+4),1,3),2)+5)/7),"00"))</f>
        <v/>
      </c>
    </row>
    <row r="1435" ht="18" customHeight="1">
      <c r="A1435" s="39" t="n">
        <v>1430</v>
      </c>
      <c r="B1435" s="33">
        <f>IF(C1435="","",IF(P1435="À RENSEIGNER","GIC",P1435)&amp;"-C"&amp;TEXT(A1435,"00000"))</f>
        <v/>
      </c>
      <c r="C1435" s="32" t="n"/>
      <c r="D1435" s="36" t="n"/>
      <c r="E1435" s="36" t="n"/>
      <c r="F1435" s="36" t="n"/>
      <c r="G1435" s="42" t="n"/>
      <c r="H1435" s="37" t="n"/>
      <c r="I1435" s="37" t="n"/>
      <c r="J1435" s="32" t="n"/>
      <c r="K1435" s="32" t="n"/>
      <c r="L1435" s="43" t="n"/>
      <c r="M1435" s="36" t="n"/>
      <c r="N1435" s="44" t="n"/>
      <c r="O1435" s="36" t="n"/>
      <c r="P1435" s="33">
        <f>IF(C1435="","",Commercial_Id)</f>
        <v/>
      </c>
      <c r="Q1435" s="34">
        <f>IF(AC1435="","",IF(AD1435=1,"C"&amp;TEXT(SUM(AD$6:AD1435),"0000"),INDEX(Q$6:Q1434,MATCH(AC1435,AC$6:AC1434,0))))</f>
        <v/>
      </c>
      <c r="R1435" s="34">
        <f>IF(C1435="","",IF(L1435="☑ Oui","Annulée",IF(OR(E1435="Vente directe",K1435&lt;&gt;""),"Livrée",IF(J1435&lt;&gt;"","Confirmée","En attente"))))</f>
        <v/>
      </c>
      <c r="S1435" s="34">
        <f>IF(F1435="","",IFERROR(VLOOKUP(F1435,T_Produits,2,FALSE),""))</f>
        <v/>
      </c>
      <c r="T1435" s="40">
        <f>IF(F1435="","",IFERROR(1/(1/VLOOKUP(F1435,T_Produits,3,FALSE)),""))</f>
        <v/>
      </c>
      <c r="U1435" s="40">
        <f>IF(H1435&lt;&gt;"",H1435,T1435)</f>
        <v/>
      </c>
      <c r="V1435" s="40">
        <f>IF(OR(G1435="",U1435=""),"",G1435*U1435-N(I1435))</f>
        <v/>
      </c>
      <c r="W1435" s="39">
        <f>IF(D1435="","",IFERROR(VALUE(MID(D1435,LEN(D1435)-3,3)),""))</f>
        <v/>
      </c>
      <c r="X1435" s="33">
        <f>IF(W1435="","",P1435&amp;"|"&amp;W1435)</f>
        <v/>
      </c>
      <c r="Y1435" s="33">
        <f>IF(W1435="","",IF(P1435="À RENSEIGNER","GIC",P1435)&amp;"-"&amp;TEXT(W1435,"000"))</f>
        <v/>
      </c>
      <c r="Z1435" s="33">
        <f>IF(X1435="","",IFERROR(INDEX(Cl_nom,MATCH(X1435,Cl_cle,0)),"(client introuvable)"))</f>
        <v/>
      </c>
      <c r="AA1435" s="33">
        <f>IF(X1435="","",IFERROR(INDEX(Cl_quartier,MATCH(X1435,Cl_cle,0))&amp;"",""))</f>
        <v/>
      </c>
      <c r="AB1435" s="45">
        <f>IF(R1435&lt;&gt;"Livrée",0,IF(K1435&lt;&gt;"",K1435,C1435))</f>
        <v/>
      </c>
      <c r="AC1435" s="33">
        <f>IF(OR(C1435="",W1435=""),"",P1435&amp;"|"&amp;W1435&amp;"|"&amp;C1435&amp;"|"&amp;E1435)</f>
        <v/>
      </c>
      <c r="AD1435" s="39">
        <f>IF(AC1435="","",IF(COUNTIF(AC$6:AC1435,AC1435)=1,1,0))</f>
        <v/>
      </c>
      <c r="AE1435" s="39">
        <f>IF(AB1435=0,"",IF(COUNTIFS(X$6:X1435,X1435,AB$6:AB1435,AB1435)=1,1,0))</f>
        <v/>
      </c>
      <c r="AF1435" s="34">
        <f>IF(C1435="","",YEAR(C1435-WEEKDAY(C1435,2)+4)&amp;"-S"&amp;TEXT(INT((C1435-DATE(YEAR(C1435-WEEKDAY(C1435,2)+4),1,3)+WEEKDAY(DATE(YEAR(C1435-WEEKDAY(C1435,2)+4),1,3),2)+5)/7),"00"))</f>
        <v/>
      </c>
    </row>
    <row r="1436" ht="18" customHeight="1">
      <c r="A1436" s="39" t="n">
        <v>1431</v>
      </c>
      <c r="B1436" s="33">
        <f>IF(C1436="","",IF(P1436="À RENSEIGNER","GIC",P1436)&amp;"-C"&amp;TEXT(A1436,"00000"))</f>
        <v/>
      </c>
      <c r="C1436" s="32" t="n"/>
      <c r="D1436" s="36" t="n"/>
      <c r="E1436" s="36" t="n"/>
      <c r="F1436" s="36" t="n"/>
      <c r="G1436" s="42" t="n"/>
      <c r="H1436" s="37" t="n"/>
      <c r="I1436" s="37" t="n"/>
      <c r="J1436" s="32" t="n"/>
      <c r="K1436" s="32" t="n"/>
      <c r="L1436" s="43" t="n"/>
      <c r="M1436" s="36" t="n"/>
      <c r="N1436" s="44" t="n"/>
      <c r="O1436" s="36" t="n"/>
      <c r="P1436" s="33">
        <f>IF(C1436="","",Commercial_Id)</f>
        <v/>
      </c>
      <c r="Q1436" s="34">
        <f>IF(AC1436="","",IF(AD1436=1,"C"&amp;TEXT(SUM(AD$6:AD1436),"0000"),INDEX(Q$6:Q1435,MATCH(AC1436,AC$6:AC1435,0))))</f>
        <v/>
      </c>
      <c r="R1436" s="34">
        <f>IF(C1436="","",IF(L1436="☑ Oui","Annulée",IF(OR(E1436="Vente directe",K1436&lt;&gt;""),"Livrée",IF(J1436&lt;&gt;"","Confirmée","En attente"))))</f>
        <v/>
      </c>
      <c r="S1436" s="34">
        <f>IF(F1436="","",IFERROR(VLOOKUP(F1436,T_Produits,2,FALSE),""))</f>
        <v/>
      </c>
      <c r="T1436" s="40">
        <f>IF(F1436="","",IFERROR(1/(1/VLOOKUP(F1436,T_Produits,3,FALSE)),""))</f>
        <v/>
      </c>
      <c r="U1436" s="40">
        <f>IF(H1436&lt;&gt;"",H1436,T1436)</f>
        <v/>
      </c>
      <c r="V1436" s="40">
        <f>IF(OR(G1436="",U1436=""),"",G1436*U1436-N(I1436))</f>
        <v/>
      </c>
      <c r="W1436" s="39">
        <f>IF(D1436="","",IFERROR(VALUE(MID(D1436,LEN(D1436)-3,3)),""))</f>
        <v/>
      </c>
      <c r="X1436" s="33">
        <f>IF(W1436="","",P1436&amp;"|"&amp;W1436)</f>
        <v/>
      </c>
      <c r="Y1436" s="33">
        <f>IF(W1436="","",IF(P1436="À RENSEIGNER","GIC",P1436)&amp;"-"&amp;TEXT(W1436,"000"))</f>
        <v/>
      </c>
      <c r="Z1436" s="33">
        <f>IF(X1436="","",IFERROR(INDEX(Cl_nom,MATCH(X1436,Cl_cle,0)),"(client introuvable)"))</f>
        <v/>
      </c>
      <c r="AA1436" s="33">
        <f>IF(X1436="","",IFERROR(INDEX(Cl_quartier,MATCH(X1436,Cl_cle,0))&amp;"",""))</f>
        <v/>
      </c>
      <c r="AB1436" s="45">
        <f>IF(R1436&lt;&gt;"Livrée",0,IF(K1436&lt;&gt;"",K1436,C1436))</f>
        <v/>
      </c>
      <c r="AC1436" s="33">
        <f>IF(OR(C1436="",W1436=""),"",P1436&amp;"|"&amp;W1436&amp;"|"&amp;C1436&amp;"|"&amp;E1436)</f>
        <v/>
      </c>
      <c r="AD1436" s="39">
        <f>IF(AC1436="","",IF(COUNTIF(AC$6:AC1436,AC1436)=1,1,0))</f>
        <v/>
      </c>
      <c r="AE1436" s="39">
        <f>IF(AB1436=0,"",IF(COUNTIFS(X$6:X1436,X1436,AB$6:AB1436,AB1436)=1,1,0))</f>
        <v/>
      </c>
      <c r="AF1436" s="34">
        <f>IF(C1436="","",YEAR(C1436-WEEKDAY(C1436,2)+4)&amp;"-S"&amp;TEXT(INT((C1436-DATE(YEAR(C1436-WEEKDAY(C1436,2)+4),1,3)+WEEKDAY(DATE(YEAR(C1436-WEEKDAY(C1436,2)+4),1,3),2)+5)/7),"00"))</f>
        <v/>
      </c>
    </row>
    <row r="1437" ht="18" customHeight="1">
      <c r="A1437" s="39" t="n">
        <v>1432</v>
      </c>
      <c r="B1437" s="33">
        <f>IF(C1437="","",IF(P1437="À RENSEIGNER","GIC",P1437)&amp;"-C"&amp;TEXT(A1437,"00000"))</f>
        <v/>
      </c>
      <c r="C1437" s="32" t="n"/>
      <c r="D1437" s="36" t="n"/>
      <c r="E1437" s="36" t="n"/>
      <c r="F1437" s="36" t="n"/>
      <c r="G1437" s="42" t="n"/>
      <c r="H1437" s="37" t="n"/>
      <c r="I1437" s="37" t="n"/>
      <c r="J1437" s="32" t="n"/>
      <c r="K1437" s="32" t="n"/>
      <c r="L1437" s="43" t="n"/>
      <c r="M1437" s="36" t="n"/>
      <c r="N1437" s="44" t="n"/>
      <c r="O1437" s="36" t="n"/>
      <c r="P1437" s="33">
        <f>IF(C1437="","",Commercial_Id)</f>
        <v/>
      </c>
      <c r="Q1437" s="34">
        <f>IF(AC1437="","",IF(AD1437=1,"C"&amp;TEXT(SUM(AD$6:AD1437),"0000"),INDEX(Q$6:Q1436,MATCH(AC1437,AC$6:AC1436,0))))</f>
        <v/>
      </c>
      <c r="R1437" s="34">
        <f>IF(C1437="","",IF(L1437="☑ Oui","Annulée",IF(OR(E1437="Vente directe",K1437&lt;&gt;""),"Livrée",IF(J1437&lt;&gt;"","Confirmée","En attente"))))</f>
        <v/>
      </c>
      <c r="S1437" s="34">
        <f>IF(F1437="","",IFERROR(VLOOKUP(F1437,T_Produits,2,FALSE),""))</f>
        <v/>
      </c>
      <c r="T1437" s="40">
        <f>IF(F1437="","",IFERROR(1/(1/VLOOKUP(F1437,T_Produits,3,FALSE)),""))</f>
        <v/>
      </c>
      <c r="U1437" s="40">
        <f>IF(H1437&lt;&gt;"",H1437,T1437)</f>
        <v/>
      </c>
      <c r="V1437" s="40">
        <f>IF(OR(G1437="",U1437=""),"",G1437*U1437-N(I1437))</f>
        <v/>
      </c>
      <c r="W1437" s="39">
        <f>IF(D1437="","",IFERROR(VALUE(MID(D1437,LEN(D1437)-3,3)),""))</f>
        <v/>
      </c>
      <c r="X1437" s="33">
        <f>IF(W1437="","",P1437&amp;"|"&amp;W1437)</f>
        <v/>
      </c>
      <c r="Y1437" s="33">
        <f>IF(W1437="","",IF(P1437="À RENSEIGNER","GIC",P1437)&amp;"-"&amp;TEXT(W1437,"000"))</f>
        <v/>
      </c>
      <c r="Z1437" s="33">
        <f>IF(X1437="","",IFERROR(INDEX(Cl_nom,MATCH(X1437,Cl_cle,0)),"(client introuvable)"))</f>
        <v/>
      </c>
      <c r="AA1437" s="33">
        <f>IF(X1437="","",IFERROR(INDEX(Cl_quartier,MATCH(X1437,Cl_cle,0))&amp;"",""))</f>
        <v/>
      </c>
      <c r="AB1437" s="45">
        <f>IF(R1437&lt;&gt;"Livrée",0,IF(K1437&lt;&gt;"",K1437,C1437))</f>
        <v/>
      </c>
      <c r="AC1437" s="33">
        <f>IF(OR(C1437="",W1437=""),"",P1437&amp;"|"&amp;W1437&amp;"|"&amp;C1437&amp;"|"&amp;E1437)</f>
        <v/>
      </c>
      <c r="AD1437" s="39">
        <f>IF(AC1437="","",IF(COUNTIF(AC$6:AC1437,AC1437)=1,1,0))</f>
        <v/>
      </c>
      <c r="AE1437" s="39">
        <f>IF(AB1437=0,"",IF(COUNTIFS(X$6:X1437,X1437,AB$6:AB1437,AB1437)=1,1,0))</f>
        <v/>
      </c>
      <c r="AF1437" s="34">
        <f>IF(C1437="","",YEAR(C1437-WEEKDAY(C1437,2)+4)&amp;"-S"&amp;TEXT(INT((C1437-DATE(YEAR(C1437-WEEKDAY(C1437,2)+4),1,3)+WEEKDAY(DATE(YEAR(C1437-WEEKDAY(C1437,2)+4),1,3),2)+5)/7),"00"))</f>
        <v/>
      </c>
    </row>
    <row r="1438" ht="18" customHeight="1">
      <c r="A1438" s="39" t="n">
        <v>1433</v>
      </c>
      <c r="B1438" s="33">
        <f>IF(C1438="","",IF(P1438="À RENSEIGNER","GIC",P1438)&amp;"-C"&amp;TEXT(A1438,"00000"))</f>
        <v/>
      </c>
      <c r="C1438" s="32" t="n"/>
      <c r="D1438" s="36" t="n"/>
      <c r="E1438" s="36" t="n"/>
      <c r="F1438" s="36" t="n"/>
      <c r="G1438" s="42" t="n"/>
      <c r="H1438" s="37" t="n"/>
      <c r="I1438" s="37" t="n"/>
      <c r="J1438" s="32" t="n"/>
      <c r="K1438" s="32" t="n"/>
      <c r="L1438" s="43" t="n"/>
      <c r="M1438" s="36" t="n"/>
      <c r="N1438" s="44" t="n"/>
      <c r="O1438" s="36" t="n"/>
      <c r="P1438" s="33">
        <f>IF(C1438="","",Commercial_Id)</f>
        <v/>
      </c>
      <c r="Q1438" s="34">
        <f>IF(AC1438="","",IF(AD1438=1,"C"&amp;TEXT(SUM(AD$6:AD1438),"0000"),INDEX(Q$6:Q1437,MATCH(AC1438,AC$6:AC1437,0))))</f>
        <v/>
      </c>
      <c r="R1438" s="34">
        <f>IF(C1438="","",IF(L1438="☑ Oui","Annulée",IF(OR(E1438="Vente directe",K1438&lt;&gt;""),"Livrée",IF(J1438&lt;&gt;"","Confirmée","En attente"))))</f>
        <v/>
      </c>
      <c r="S1438" s="34">
        <f>IF(F1438="","",IFERROR(VLOOKUP(F1438,T_Produits,2,FALSE),""))</f>
        <v/>
      </c>
      <c r="T1438" s="40">
        <f>IF(F1438="","",IFERROR(1/(1/VLOOKUP(F1438,T_Produits,3,FALSE)),""))</f>
        <v/>
      </c>
      <c r="U1438" s="40">
        <f>IF(H1438&lt;&gt;"",H1438,T1438)</f>
        <v/>
      </c>
      <c r="V1438" s="40">
        <f>IF(OR(G1438="",U1438=""),"",G1438*U1438-N(I1438))</f>
        <v/>
      </c>
      <c r="W1438" s="39">
        <f>IF(D1438="","",IFERROR(VALUE(MID(D1438,LEN(D1438)-3,3)),""))</f>
        <v/>
      </c>
      <c r="X1438" s="33">
        <f>IF(W1438="","",P1438&amp;"|"&amp;W1438)</f>
        <v/>
      </c>
      <c r="Y1438" s="33">
        <f>IF(W1438="","",IF(P1438="À RENSEIGNER","GIC",P1438)&amp;"-"&amp;TEXT(W1438,"000"))</f>
        <v/>
      </c>
      <c r="Z1438" s="33">
        <f>IF(X1438="","",IFERROR(INDEX(Cl_nom,MATCH(X1438,Cl_cle,0)),"(client introuvable)"))</f>
        <v/>
      </c>
      <c r="AA1438" s="33">
        <f>IF(X1438="","",IFERROR(INDEX(Cl_quartier,MATCH(X1438,Cl_cle,0))&amp;"",""))</f>
        <v/>
      </c>
      <c r="AB1438" s="45">
        <f>IF(R1438&lt;&gt;"Livrée",0,IF(K1438&lt;&gt;"",K1438,C1438))</f>
        <v/>
      </c>
      <c r="AC1438" s="33">
        <f>IF(OR(C1438="",W1438=""),"",P1438&amp;"|"&amp;W1438&amp;"|"&amp;C1438&amp;"|"&amp;E1438)</f>
        <v/>
      </c>
      <c r="AD1438" s="39">
        <f>IF(AC1438="","",IF(COUNTIF(AC$6:AC1438,AC1438)=1,1,0))</f>
        <v/>
      </c>
      <c r="AE1438" s="39">
        <f>IF(AB1438=0,"",IF(COUNTIFS(X$6:X1438,X1438,AB$6:AB1438,AB1438)=1,1,0))</f>
        <v/>
      </c>
      <c r="AF1438" s="34">
        <f>IF(C1438="","",YEAR(C1438-WEEKDAY(C1438,2)+4)&amp;"-S"&amp;TEXT(INT((C1438-DATE(YEAR(C1438-WEEKDAY(C1438,2)+4),1,3)+WEEKDAY(DATE(YEAR(C1438-WEEKDAY(C1438,2)+4),1,3),2)+5)/7),"00"))</f>
        <v/>
      </c>
    </row>
    <row r="1439" ht="18" customHeight="1">
      <c r="A1439" s="39" t="n">
        <v>1434</v>
      </c>
      <c r="B1439" s="33">
        <f>IF(C1439="","",IF(P1439="À RENSEIGNER","GIC",P1439)&amp;"-C"&amp;TEXT(A1439,"00000"))</f>
        <v/>
      </c>
      <c r="C1439" s="32" t="n"/>
      <c r="D1439" s="36" t="n"/>
      <c r="E1439" s="36" t="n"/>
      <c r="F1439" s="36" t="n"/>
      <c r="G1439" s="42" t="n"/>
      <c r="H1439" s="37" t="n"/>
      <c r="I1439" s="37" t="n"/>
      <c r="J1439" s="32" t="n"/>
      <c r="K1439" s="32" t="n"/>
      <c r="L1439" s="43" t="n"/>
      <c r="M1439" s="36" t="n"/>
      <c r="N1439" s="44" t="n"/>
      <c r="O1439" s="36" t="n"/>
      <c r="P1439" s="33">
        <f>IF(C1439="","",Commercial_Id)</f>
        <v/>
      </c>
      <c r="Q1439" s="34">
        <f>IF(AC1439="","",IF(AD1439=1,"C"&amp;TEXT(SUM(AD$6:AD1439),"0000"),INDEX(Q$6:Q1438,MATCH(AC1439,AC$6:AC1438,0))))</f>
        <v/>
      </c>
      <c r="R1439" s="34">
        <f>IF(C1439="","",IF(L1439="☑ Oui","Annulée",IF(OR(E1439="Vente directe",K1439&lt;&gt;""),"Livrée",IF(J1439&lt;&gt;"","Confirmée","En attente"))))</f>
        <v/>
      </c>
      <c r="S1439" s="34">
        <f>IF(F1439="","",IFERROR(VLOOKUP(F1439,T_Produits,2,FALSE),""))</f>
        <v/>
      </c>
      <c r="T1439" s="40">
        <f>IF(F1439="","",IFERROR(1/(1/VLOOKUP(F1439,T_Produits,3,FALSE)),""))</f>
        <v/>
      </c>
      <c r="U1439" s="40">
        <f>IF(H1439&lt;&gt;"",H1439,T1439)</f>
        <v/>
      </c>
      <c r="V1439" s="40">
        <f>IF(OR(G1439="",U1439=""),"",G1439*U1439-N(I1439))</f>
        <v/>
      </c>
      <c r="W1439" s="39">
        <f>IF(D1439="","",IFERROR(VALUE(MID(D1439,LEN(D1439)-3,3)),""))</f>
        <v/>
      </c>
      <c r="X1439" s="33">
        <f>IF(W1439="","",P1439&amp;"|"&amp;W1439)</f>
        <v/>
      </c>
      <c r="Y1439" s="33">
        <f>IF(W1439="","",IF(P1439="À RENSEIGNER","GIC",P1439)&amp;"-"&amp;TEXT(W1439,"000"))</f>
        <v/>
      </c>
      <c r="Z1439" s="33">
        <f>IF(X1439="","",IFERROR(INDEX(Cl_nom,MATCH(X1439,Cl_cle,0)),"(client introuvable)"))</f>
        <v/>
      </c>
      <c r="AA1439" s="33">
        <f>IF(X1439="","",IFERROR(INDEX(Cl_quartier,MATCH(X1439,Cl_cle,0))&amp;"",""))</f>
        <v/>
      </c>
      <c r="AB1439" s="45">
        <f>IF(R1439&lt;&gt;"Livrée",0,IF(K1439&lt;&gt;"",K1439,C1439))</f>
        <v/>
      </c>
      <c r="AC1439" s="33">
        <f>IF(OR(C1439="",W1439=""),"",P1439&amp;"|"&amp;W1439&amp;"|"&amp;C1439&amp;"|"&amp;E1439)</f>
        <v/>
      </c>
      <c r="AD1439" s="39">
        <f>IF(AC1439="","",IF(COUNTIF(AC$6:AC1439,AC1439)=1,1,0))</f>
        <v/>
      </c>
      <c r="AE1439" s="39">
        <f>IF(AB1439=0,"",IF(COUNTIFS(X$6:X1439,X1439,AB$6:AB1439,AB1439)=1,1,0))</f>
        <v/>
      </c>
      <c r="AF1439" s="34">
        <f>IF(C1439="","",YEAR(C1439-WEEKDAY(C1439,2)+4)&amp;"-S"&amp;TEXT(INT((C1439-DATE(YEAR(C1439-WEEKDAY(C1439,2)+4),1,3)+WEEKDAY(DATE(YEAR(C1439-WEEKDAY(C1439,2)+4),1,3),2)+5)/7),"00"))</f>
        <v/>
      </c>
    </row>
    <row r="1440" ht="18" customHeight="1">
      <c r="A1440" s="39" t="n">
        <v>1435</v>
      </c>
      <c r="B1440" s="33">
        <f>IF(C1440="","",IF(P1440="À RENSEIGNER","GIC",P1440)&amp;"-C"&amp;TEXT(A1440,"00000"))</f>
        <v/>
      </c>
      <c r="C1440" s="32" t="n"/>
      <c r="D1440" s="36" t="n"/>
      <c r="E1440" s="36" t="n"/>
      <c r="F1440" s="36" t="n"/>
      <c r="G1440" s="42" t="n"/>
      <c r="H1440" s="37" t="n"/>
      <c r="I1440" s="37" t="n"/>
      <c r="J1440" s="32" t="n"/>
      <c r="K1440" s="32" t="n"/>
      <c r="L1440" s="43" t="n"/>
      <c r="M1440" s="36" t="n"/>
      <c r="N1440" s="44" t="n"/>
      <c r="O1440" s="36" t="n"/>
      <c r="P1440" s="33">
        <f>IF(C1440="","",Commercial_Id)</f>
        <v/>
      </c>
      <c r="Q1440" s="34">
        <f>IF(AC1440="","",IF(AD1440=1,"C"&amp;TEXT(SUM(AD$6:AD1440),"0000"),INDEX(Q$6:Q1439,MATCH(AC1440,AC$6:AC1439,0))))</f>
        <v/>
      </c>
      <c r="R1440" s="34">
        <f>IF(C1440="","",IF(L1440="☑ Oui","Annulée",IF(OR(E1440="Vente directe",K1440&lt;&gt;""),"Livrée",IF(J1440&lt;&gt;"","Confirmée","En attente"))))</f>
        <v/>
      </c>
      <c r="S1440" s="34">
        <f>IF(F1440="","",IFERROR(VLOOKUP(F1440,T_Produits,2,FALSE),""))</f>
        <v/>
      </c>
      <c r="T1440" s="40">
        <f>IF(F1440="","",IFERROR(1/(1/VLOOKUP(F1440,T_Produits,3,FALSE)),""))</f>
        <v/>
      </c>
      <c r="U1440" s="40">
        <f>IF(H1440&lt;&gt;"",H1440,T1440)</f>
        <v/>
      </c>
      <c r="V1440" s="40">
        <f>IF(OR(G1440="",U1440=""),"",G1440*U1440-N(I1440))</f>
        <v/>
      </c>
      <c r="W1440" s="39">
        <f>IF(D1440="","",IFERROR(VALUE(MID(D1440,LEN(D1440)-3,3)),""))</f>
        <v/>
      </c>
      <c r="X1440" s="33">
        <f>IF(W1440="","",P1440&amp;"|"&amp;W1440)</f>
        <v/>
      </c>
      <c r="Y1440" s="33">
        <f>IF(W1440="","",IF(P1440="À RENSEIGNER","GIC",P1440)&amp;"-"&amp;TEXT(W1440,"000"))</f>
        <v/>
      </c>
      <c r="Z1440" s="33">
        <f>IF(X1440="","",IFERROR(INDEX(Cl_nom,MATCH(X1440,Cl_cle,0)),"(client introuvable)"))</f>
        <v/>
      </c>
      <c r="AA1440" s="33">
        <f>IF(X1440="","",IFERROR(INDEX(Cl_quartier,MATCH(X1440,Cl_cle,0))&amp;"",""))</f>
        <v/>
      </c>
      <c r="AB1440" s="45">
        <f>IF(R1440&lt;&gt;"Livrée",0,IF(K1440&lt;&gt;"",K1440,C1440))</f>
        <v/>
      </c>
      <c r="AC1440" s="33">
        <f>IF(OR(C1440="",W1440=""),"",P1440&amp;"|"&amp;W1440&amp;"|"&amp;C1440&amp;"|"&amp;E1440)</f>
        <v/>
      </c>
      <c r="AD1440" s="39">
        <f>IF(AC1440="","",IF(COUNTIF(AC$6:AC1440,AC1440)=1,1,0))</f>
        <v/>
      </c>
      <c r="AE1440" s="39">
        <f>IF(AB1440=0,"",IF(COUNTIFS(X$6:X1440,X1440,AB$6:AB1440,AB1440)=1,1,0))</f>
        <v/>
      </c>
      <c r="AF1440" s="34">
        <f>IF(C1440="","",YEAR(C1440-WEEKDAY(C1440,2)+4)&amp;"-S"&amp;TEXT(INT((C1440-DATE(YEAR(C1440-WEEKDAY(C1440,2)+4),1,3)+WEEKDAY(DATE(YEAR(C1440-WEEKDAY(C1440,2)+4),1,3),2)+5)/7),"00"))</f>
        <v/>
      </c>
    </row>
    <row r="1441" ht="18" customHeight="1">
      <c r="A1441" s="39" t="n">
        <v>1436</v>
      </c>
      <c r="B1441" s="33">
        <f>IF(C1441="","",IF(P1441="À RENSEIGNER","GIC",P1441)&amp;"-C"&amp;TEXT(A1441,"00000"))</f>
        <v/>
      </c>
      <c r="C1441" s="32" t="n"/>
      <c r="D1441" s="36" t="n"/>
      <c r="E1441" s="36" t="n"/>
      <c r="F1441" s="36" t="n"/>
      <c r="G1441" s="42" t="n"/>
      <c r="H1441" s="37" t="n"/>
      <c r="I1441" s="37" t="n"/>
      <c r="J1441" s="32" t="n"/>
      <c r="K1441" s="32" t="n"/>
      <c r="L1441" s="43" t="n"/>
      <c r="M1441" s="36" t="n"/>
      <c r="N1441" s="44" t="n"/>
      <c r="O1441" s="36" t="n"/>
      <c r="P1441" s="33">
        <f>IF(C1441="","",Commercial_Id)</f>
        <v/>
      </c>
      <c r="Q1441" s="34">
        <f>IF(AC1441="","",IF(AD1441=1,"C"&amp;TEXT(SUM(AD$6:AD1441),"0000"),INDEX(Q$6:Q1440,MATCH(AC1441,AC$6:AC1440,0))))</f>
        <v/>
      </c>
      <c r="R1441" s="34">
        <f>IF(C1441="","",IF(L1441="☑ Oui","Annulée",IF(OR(E1441="Vente directe",K1441&lt;&gt;""),"Livrée",IF(J1441&lt;&gt;"","Confirmée","En attente"))))</f>
        <v/>
      </c>
      <c r="S1441" s="34">
        <f>IF(F1441="","",IFERROR(VLOOKUP(F1441,T_Produits,2,FALSE),""))</f>
        <v/>
      </c>
      <c r="T1441" s="40">
        <f>IF(F1441="","",IFERROR(1/(1/VLOOKUP(F1441,T_Produits,3,FALSE)),""))</f>
        <v/>
      </c>
      <c r="U1441" s="40">
        <f>IF(H1441&lt;&gt;"",H1441,T1441)</f>
        <v/>
      </c>
      <c r="V1441" s="40">
        <f>IF(OR(G1441="",U1441=""),"",G1441*U1441-N(I1441))</f>
        <v/>
      </c>
      <c r="W1441" s="39">
        <f>IF(D1441="","",IFERROR(VALUE(MID(D1441,LEN(D1441)-3,3)),""))</f>
        <v/>
      </c>
      <c r="X1441" s="33">
        <f>IF(W1441="","",P1441&amp;"|"&amp;W1441)</f>
        <v/>
      </c>
      <c r="Y1441" s="33">
        <f>IF(W1441="","",IF(P1441="À RENSEIGNER","GIC",P1441)&amp;"-"&amp;TEXT(W1441,"000"))</f>
        <v/>
      </c>
      <c r="Z1441" s="33">
        <f>IF(X1441="","",IFERROR(INDEX(Cl_nom,MATCH(X1441,Cl_cle,0)),"(client introuvable)"))</f>
        <v/>
      </c>
      <c r="AA1441" s="33">
        <f>IF(X1441="","",IFERROR(INDEX(Cl_quartier,MATCH(X1441,Cl_cle,0))&amp;"",""))</f>
        <v/>
      </c>
      <c r="AB1441" s="45">
        <f>IF(R1441&lt;&gt;"Livrée",0,IF(K1441&lt;&gt;"",K1441,C1441))</f>
        <v/>
      </c>
      <c r="AC1441" s="33">
        <f>IF(OR(C1441="",W1441=""),"",P1441&amp;"|"&amp;W1441&amp;"|"&amp;C1441&amp;"|"&amp;E1441)</f>
        <v/>
      </c>
      <c r="AD1441" s="39">
        <f>IF(AC1441="","",IF(COUNTIF(AC$6:AC1441,AC1441)=1,1,0))</f>
        <v/>
      </c>
      <c r="AE1441" s="39">
        <f>IF(AB1441=0,"",IF(COUNTIFS(X$6:X1441,X1441,AB$6:AB1441,AB1441)=1,1,0))</f>
        <v/>
      </c>
      <c r="AF1441" s="34">
        <f>IF(C1441="","",YEAR(C1441-WEEKDAY(C1441,2)+4)&amp;"-S"&amp;TEXT(INT((C1441-DATE(YEAR(C1441-WEEKDAY(C1441,2)+4),1,3)+WEEKDAY(DATE(YEAR(C1441-WEEKDAY(C1441,2)+4),1,3),2)+5)/7),"00"))</f>
        <v/>
      </c>
    </row>
    <row r="1442" ht="18" customHeight="1">
      <c r="A1442" s="39" t="n">
        <v>1437</v>
      </c>
      <c r="B1442" s="33">
        <f>IF(C1442="","",IF(P1442="À RENSEIGNER","GIC",P1442)&amp;"-C"&amp;TEXT(A1442,"00000"))</f>
        <v/>
      </c>
      <c r="C1442" s="32" t="n"/>
      <c r="D1442" s="36" t="n"/>
      <c r="E1442" s="36" t="n"/>
      <c r="F1442" s="36" t="n"/>
      <c r="G1442" s="42" t="n"/>
      <c r="H1442" s="37" t="n"/>
      <c r="I1442" s="37" t="n"/>
      <c r="J1442" s="32" t="n"/>
      <c r="K1442" s="32" t="n"/>
      <c r="L1442" s="43" t="n"/>
      <c r="M1442" s="36" t="n"/>
      <c r="N1442" s="44" t="n"/>
      <c r="O1442" s="36" t="n"/>
      <c r="P1442" s="33">
        <f>IF(C1442="","",Commercial_Id)</f>
        <v/>
      </c>
      <c r="Q1442" s="34">
        <f>IF(AC1442="","",IF(AD1442=1,"C"&amp;TEXT(SUM(AD$6:AD1442),"0000"),INDEX(Q$6:Q1441,MATCH(AC1442,AC$6:AC1441,0))))</f>
        <v/>
      </c>
      <c r="R1442" s="34">
        <f>IF(C1442="","",IF(L1442="☑ Oui","Annulée",IF(OR(E1442="Vente directe",K1442&lt;&gt;""),"Livrée",IF(J1442&lt;&gt;"","Confirmée","En attente"))))</f>
        <v/>
      </c>
      <c r="S1442" s="34">
        <f>IF(F1442="","",IFERROR(VLOOKUP(F1442,T_Produits,2,FALSE),""))</f>
        <v/>
      </c>
      <c r="T1442" s="40">
        <f>IF(F1442="","",IFERROR(1/(1/VLOOKUP(F1442,T_Produits,3,FALSE)),""))</f>
        <v/>
      </c>
      <c r="U1442" s="40">
        <f>IF(H1442&lt;&gt;"",H1442,T1442)</f>
        <v/>
      </c>
      <c r="V1442" s="40">
        <f>IF(OR(G1442="",U1442=""),"",G1442*U1442-N(I1442))</f>
        <v/>
      </c>
      <c r="W1442" s="39">
        <f>IF(D1442="","",IFERROR(VALUE(MID(D1442,LEN(D1442)-3,3)),""))</f>
        <v/>
      </c>
      <c r="X1442" s="33">
        <f>IF(W1442="","",P1442&amp;"|"&amp;W1442)</f>
        <v/>
      </c>
      <c r="Y1442" s="33">
        <f>IF(W1442="","",IF(P1442="À RENSEIGNER","GIC",P1442)&amp;"-"&amp;TEXT(W1442,"000"))</f>
        <v/>
      </c>
      <c r="Z1442" s="33">
        <f>IF(X1442="","",IFERROR(INDEX(Cl_nom,MATCH(X1442,Cl_cle,0)),"(client introuvable)"))</f>
        <v/>
      </c>
      <c r="AA1442" s="33">
        <f>IF(X1442="","",IFERROR(INDEX(Cl_quartier,MATCH(X1442,Cl_cle,0))&amp;"",""))</f>
        <v/>
      </c>
      <c r="AB1442" s="45">
        <f>IF(R1442&lt;&gt;"Livrée",0,IF(K1442&lt;&gt;"",K1442,C1442))</f>
        <v/>
      </c>
      <c r="AC1442" s="33">
        <f>IF(OR(C1442="",W1442=""),"",P1442&amp;"|"&amp;W1442&amp;"|"&amp;C1442&amp;"|"&amp;E1442)</f>
        <v/>
      </c>
      <c r="AD1442" s="39">
        <f>IF(AC1442="","",IF(COUNTIF(AC$6:AC1442,AC1442)=1,1,0))</f>
        <v/>
      </c>
      <c r="AE1442" s="39">
        <f>IF(AB1442=0,"",IF(COUNTIFS(X$6:X1442,X1442,AB$6:AB1442,AB1442)=1,1,0))</f>
        <v/>
      </c>
      <c r="AF1442" s="34">
        <f>IF(C1442="","",YEAR(C1442-WEEKDAY(C1442,2)+4)&amp;"-S"&amp;TEXT(INT((C1442-DATE(YEAR(C1442-WEEKDAY(C1442,2)+4),1,3)+WEEKDAY(DATE(YEAR(C1442-WEEKDAY(C1442,2)+4),1,3),2)+5)/7),"00"))</f>
        <v/>
      </c>
    </row>
    <row r="1443" ht="18" customHeight="1">
      <c r="A1443" s="39" t="n">
        <v>1438</v>
      </c>
      <c r="B1443" s="33">
        <f>IF(C1443="","",IF(P1443="À RENSEIGNER","GIC",P1443)&amp;"-C"&amp;TEXT(A1443,"00000"))</f>
        <v/>
      </c>
      <c r="C1443" s="32" t="n"/>
      <c r="D1443" s="36" t="n"/>
      <c r="E1443" s="36" t="n"/>
      <c r="F1443" s="36" t="n"/>
      <c r="G1443" s="42" t="n"/>
      <c r="H1443" s="37" t="n"/>
      <c r="I1443" s="37" t="n"/>
      <c r="J1443" s="32" t="n"/>
      <c r="K1443" s="32" t="n"/>
      <c r="L1443" s="43" t="n"/>
      <c r="M1443" s="36" t="n"/>
      <c r="N1443" s="44" t="n"/>
      <c r="O1443" s="36" t="n"/>
      <c r="P1443" s="33">
        <f>IF(C1443="","",Commercial_Id)</f>
        <v/>
      </c>
      <c r="Q1443" s="34">
        <f>IF(AC1443="","",IF(AD1443=1,"C"&amp;TEXT(SUM(AD$6:AD1443),"0000"),INDEX(Q$6:Q1442,MATCH(AC1443,AC$6:AC1442,0))))</f>
        <v/>
      </c>
      <c r="R1443" s="34">
        <f>IF(C1443="","",IF(L1443="☑ Oui","Annulée",IF(OR(E1443="Vente directe",K1443&lt;&gt;""),"Livrée",IF(J1443&lt;&gt;"","Confirmée","En attente"))))</f>
        <v/>
      </c>
      <c r="S1443" s="34">
        <f>IF(F1443="","",IFERROR(VLOOKUP(F1443,T_Produits,2,FALSE),""))</f>
        <v/>
      </c>
      <c r="T1443" s="40">
        <f>IF(F1443="","",IFERROR(1/(1/VLOOKUP(F1443,T_Produits,3,FALSE)),""))</f>
        <v/>
      </c>
      <c r="U1443" s="40">
        <f>IF(H1443&lt;&gt;"",H1443,T1443)</f>
        <v/>
      </c>
      <c r="V1443" s="40">
        <f>IF(OR(G1443="",U1443=""),"",G1443*U1443-N(I1443))</f>
        <v/>
      </c>
      <c r="W1443" s="39">
        <f>IF(D1443="","",IFERROR(VALUE(MID(D1443,LEN(D1443)-3,3)),""))</f>
        <v/>
      </c>
      <c r="X1443" s="33">
        <f>IF(W1443="","",P1443&amp;"|"&amp;W1443)</f>
        <v/>
      </c>
      <c r="Y1443" s="33">
        <f>IF(W1443="","",IF(P1443="À RENSEIGNER","GIC",P1443)&amp;"-"&amp;TEXT(W1443,"000"))</f>
        <v/>
      </c>
      <c r="Z1443" s="33">
        <f>IF(X1443="","",IFERROR(INDEX(Cl_nom,MATCH(X1443,Cl_cle,0)),"(client introuvable)"))</f>
        <v/>
      </c>
      <c r="AA1443" s="33">
        <f>IF(X1443="","",IFERROR(INDEX(Cl_quartier,MATCH(X1443,Cl_cle,0))&amp;"",""))</f>
        <v/>
      </c>
      <c r="AB1443" s="45">
        <f>IF(R1443&lt;&gt;"Livrée",0,IF(K1443&lt;&gt;"",K1443,C1443))</f>
        <v/>
      </c>
      <c r="AC1443" s="33">
        <f>IF(OR(C1443="",W1443=""),"",P1443&amp;"|"&amp;W1443&amp;"|"&amp;C1443&amp;"|"&amp;E1443)</f>
        <v/>
      </c>
      <c r="AD1443" s="39">
        <f>IF(AC1443="","",IF(COUNTIF(AC$6:AC1443,AC1443)=1,1,0))</f>
        <v/>
      </c>
      <c r="AE1443" s="39">
        <f>IF(AB1443=0,"",IF(COUNTIFS(X$6:X1443,X1443,AB$6:AB1443,AB1443)=1,1,0))</f>
        <v/>
      </c>
      <c r="AF1443" s="34">
        <f>IF(C1443="","",YEAR(C1443-WEEKDAY(C1443,2)+4)&amp;"-S"&amp;TEXT(INT((C1443-DATE(YEAR(C1443-WEEKDAY(C1443,2)+4),1,3)+WEEKDAY(DATE(YEAR(C1443-WEEKDAY(C1443,2)+4),1,3),2)+5)/7),"00"))</f>
        <v/>
      </c>
    </row>
    <row r="1444" ht="18" customHeight="1">
      <c r="A1444" s="39" t="n">
        <v>1439</v>
      </c>
      <c r="B1444" s="33">
        <f>IF(C1444="","",IF(P1444="À RENSEIGNER","GIC",P1444)&amp;"-C"&amp;TEXT(A1444,"00000"))</f>
        <v/>
      </c>
      <c r="C1444" s="32" t="n"/>
      <c r="D1444" s="36" t="n"/>
      <c r="E1444" s="36" t="n"/>
      <c r="F1444" s="36" t="n"/>
      <c r="G1444" s="42" t="n"/>
      <c r="H1444" s="37" t="n"/>
      <c r="I1444" s="37" t="n"/>
      <c r="J1444" s="32" t="n"/>
      <c r="K1444" s="32" t="n"/>
      <c r="L1444" s="43" t="n"/>
      <c r="M1444" s="36" t="n"/>
      <c r="N1444" s="44" t="n"/>
      <c r="O1444" s="36" t="n"/>
      <c r="P1444" s="33">
        <f>IF(C1444="","",Commercial_Id)</f>
        <v/>
      </c>
      <c r="Q1444" s="34">
        <f>IF(AC1444="","",IF(AD1444=1,"C"&amp;TEXT(SUM(AD$6:AD1444),"0000"),INDEX(Q$6:Q1443,MATCH(AC1444,AC$6:AC1443,0))))</f>
        <v/>
      </c>
      <c r="R1444" s="34">
        <f>IF(C1444="","",IF(L1444="☑ Oui","Annulée",IF(OR(E1444="Vente directe",K1444&lt;&gt;""),"Livrée",IF(J1444&lt;&gt;"","Confirmée","En attente"))))</f>
        <v/>
      </c>
      <c r="S1444" s="34">
        <f>IF(F1444="","",IFERROR(VLOOKUP(F1444,T_Produits,2,FALSE),""))</f>
        <v/>
      </c>
      <c r="T1444" s="40">
        <f>IF(F1444="","",IFERROR(1/(1/VLOOKUP(F1444,T_Produits,3,FALSE)),""))</f>
        <v/>
      </c>
      <c r="U1444" s="40">
        <f>IF(H1444&lt;&gt;"",H1444,T1444)</f>
        <v/>
      </c>
      <c r="V1444" s="40">
        <f>IF(OR(G1444="",U1444=""),"",G1444*U1444-N(I1444))</f>
        <v/>
      </c>
      <c r="W1444" s="39">
        <f>IF(D1444="","",IFERROR(VALUE(MID(D1444,LEN(D1444)-3,3)),""))</f>
        <v/>
      </c>
      <c r="X1444" s="33">
        <f>IF(W1444="","",P1444&amp;"|"&amp;W1444)</f>
        <v/>
      </c>
      <c r="Y1444" s="33">
        <f>IF(W1444="","",IF(P1444="À RENSEIGNER","GIC",P1444)&amp;"-"&amp;TEXT(W1444,"000"))</f>
        <v/>
      </c>
      <c r="Z1444" s="33">
        <f>IF(X1444="","",IFERROR(INDEX(Cl_nom,MATCH(X1444,Cl_cle,0)),"(client introuvable)"))</f>
        <v/>
      </c>
      <c r="AA1444" s="33">
        <f>IF(X1444="","",IFERROR(INDEX(Cl_quartier,MATCH(X1444,Cl_cle,0))&amp;"",""))</f>
        <v/>
      </c>
      <c r="AB1444" s="45">
        <f>IF(R1444&lt;&gt;"Livrée",0,IF(K1444&lt;&gt;"",K1444,C1444))</f>
        <v/>
      </c>
      <c r="AC1444" s="33">
        <f>IF(OR(C1444="",W1444=""),"",P1444&amp;"|"&amp;W1444&amp;"|"&amp;C1444&amp;"|"&amp;E1444)</f>
        <v/>
      </c>
      <c r="AD1444" s="39">
        <f>IF(AC1444="","",IF(COUNTIF(AC$6:AC1444,AC1444)=1,1,0))</f>
        <v/>
      </c>
      <c r="AE1444" s="39">
        <f>IF(AB1444=0,"",IF(COUNTIFS(X$6:X1444,X1444,AB$6:AB1444,AB1444)=1,1,0))</f>
        <v/>
      </c>
      <c r="AF1444" s="34">
        <f>IF(C1444="","",YEAR(C1444-WEEKDAY(C1444,2)+4)&amp;"-S"&amp;TEXT(INT((C1444-DATE(YEAR(C1444-WEEKDAY(C1444,2)+4),1,3)+WEEKDAY(DATE(YEAR(C1444-WEEKDAY(C1444,2)+4),1,3),2)+5)/7),"00"))</f>
        <v/>
      </c>
    </row>
    <row r="1445" ht="18" customHeight="1">
      <c r="A1445" s="39" t="n">
        <v>1440</v>
      </c>
      <c r="B1445" s="33">
        <f>IF(C1445="","",IF(P1445="À RENSEIGNER","GIC",P1445)&amp;"-C"&amp;TEXT(A1445,"00000"))</f>
        <v/>
      </c>
      <c r="C1445" s="32" t="n"/>
      <c r="D1445" s="36" t="n"/>
      <c r="E1445" s="36" t="n"/>
      <c r="F1445" s="36" t="n"/>
      <c r="G1445" s="42" t="n"/>
      <c r="H1445" s="37" t="n"/>
      <c r="I1445" s="37" t="n"/>
      <c r="J1445" s="32" t="n"/>
      <c r="K1445" s="32" t="n"/>
      <c r="L1445" s="43" t="n"/>
      <c r="M1445" s="36" t="n"/>
      <c r="N1445" s="44" t="n"/>
      <c r="O1445" s="36" t="n"/>
      <c r="P1445" s="33">
        <f>IF(C1445="","",Commercial_Id)</f>
        <v/>
      </c>
      <c r="Q1445" s="34">
        <f>IF(AC1445="","",IF(AD1445=1,"C"&amp;TEXT(SUM(AD$6:AD1445),"0000"),INDEX(Q$6:Q1444,MATCH(AC1445,AC$6:AC1444,0))))</f>
        <v/>
      </c>
      <c r="R1445" s="34">
        <f>IF(C1445="","",IF(L1445="☑ Oui","Annulée",IF(OR(E1445="Vente directe",K1445&lt;&gt;""),"Livrée",IF(J1445&lt;&gt;"","Confirmée","En attente"))))</f>
        <v/>
      </c>
      <c r="S1445" s="34">
        <f>IF(F1445="","",IFERROR(VLOOKUP(F1445,T_Produits,2,FALSE),""))</f>
        <v/>
      </c>
      <c r="T1445" s="40">
        <f>IF(F1445="","",IFERROR(1/(1/VLOOKUP(F1445,T_Produits,3,FALSE)),""))</f>
        <v/>
      </c>
      <c r="U1445" s="40">
        <f>IF(H1445&lt;&gt;"",H1445,T1445)</f>
        <v/>
      </c>
      <c r="V1445" s="40">
        <f>IF(OR(G1445="",U1445=""),"",G1445*U1445-N(I1445))</f>
        <v/>
      </c>
      <c r="W1445" s="39">
        <f>IF(D1445="","",IFERROR(VALUE(MID(D1445,LEN(D1445)-3,3)),""))</f>
        <v/>
      </c>
      <c r="X1445" s="33">
        <f>IF(W1445="","",P1445&amp;"|"&amp;W1445)</f>
        <v/>
      </c>
      <c r="Y1445" s="33">
        <f>IF(W1445="","",IF(P1445="À RENSEIGNER","GIC",P1445)&amp;"-"&amp;TEXT(W1445,"000"))</f>
        <v/>
      </c>
      <c r="Z1445" s="33">
        <f>IF(X1445="","",IFERROR(INDEX(Cl_nom,MATCH(X1445,Cl_cle,0)),"(client introuvable)"))</f>
        <v/>
      </c>
      <c r="AA1445" s="33">
        <f>IF(X1445="","",IFERROR(INDEX(Cl_quartier,MATCH(X1445,Cl_cle,0))&amp;"",""))</f>
        <v/>
      </c>
      <c r="AB1445" s="45">
        <f>IF(R1445&lt;&gt;"Livrée",0,IF(K1445&lt;&gt;"",K1445,C1445))</f>
        <v/>
      </c>
      <c r="AC1445" s="33">
        <f>IF(OR(C1445="",W1445=""),"",P1445&amp;"|"&amp;W1445&amp;"|"&amp;C1445&amp;"|"&amp;E1445)</f>
        <v/>
      </c>
      <c r="AD1445" s="39">
        <f>IF(AC1445="","",IF(COUNTIF(AC$6:AC1445,AC1445)=1,1,0))</f>
        <v/>
      </c>
      <c r="AE1445" s="39">
        <f>IF(AB1445=0,"",IF(COUNTIFS(X$6:X1445,X1445,AB$6:AB1445,AB1445)=1,1,0))</f>
        <v/>
      </c>
      <c r="AF1445" s="34">
        <f>IF(C1445="","",YEAR(C1445-WEEKDAY(C1445,2)+4)&amp;"-S"&amp;TEXT(INT((C1445-DATE(YEAR(C1445-WEEKDAY(C1445,2)+4),1,3)+WEEKDAY(DATE(YEAR(C1445-WEEKDAY(C1445,2)+4),1,3),2)+5)/7),"00"))</f>
        <v/>
      </c>
    </row>
    <row r="1446" ht="18" customHeight="1">
      <c r="A1446" s="39" t="n">
        <v>1441</v>
      </c>
      <c r="B1446" s="33">
        <f>IF(C1446="","",IF(P1446="À RENSEIGNER","GIC",P1446)&amp;"-C"&amp;TEXT(A1446,"00000"))</f>
        <v/>
      </c>
      <c r="C1446" s="32" t="n"/>
      <c r="D1446" s="36" t="n"/>
      <c r="E1446" s="36" t="n"/>
      <c r="F1446" s="36" t="n"/>
      <c r="G1446" s="42" t="n"/>
      <c r="H1446" s="37" t="n"/>
      <c r="I1446" s="37" t="n"/>
      <c r="J1446" s="32" t="n"/>
      <c r="K1446" s="32" t="n"/>
      <c r="L1446" s="43" t="n"/>
      <c r="M1446" s="36" t="n"/>
      <c r="N1446" s="44" t="n"/>
      <c r="O1446" s="36" t="n"/>
      <c r="P1446" s="33">
        <f>IF(C1446="","",Commercial_Id)</f>
        <v/>
      </c>
      <c r="Q1446" s="34">
        <f>IF(AC1446="","",IF(AD1446=1,"C"&amp;TEXT(SUM(AD$6:AD1446),"0000"),INDEX(Q$6:Q1445,MATCH(AC1446,AC$6:AC1445,0))))</f>
        <v/>
      </c>
      <c r="R1446" s="34">
        <f>IF(C1446="","",IF(L1446="☑ Oui","Annulée",IF(OR(E1446="Vente directe",K1446&lt;&gt;""),"Livrée",IF(J1446&lt;&gt;"","Confirmée","En attente"))))</f>
        <v/>
      </c>
      <c r="S1446" s="34">
        <f>IF(F1446="","",IFERROR(VLOOKUP(F1446,T_Produits,2,FALSE),""))</f>
        <v/>
      </c>
      <c r="T1446" s="40">
        <f>IF(F1446="","",IFERROR(1/(1/VLOOKUP(F1446,T_Produits,3,FALSE)),""))</f>
        <v/>
      </c>
      <c r="U1446" s="40">
        <f>IF(H1446&lt;&gt;"",H1446,T1446)</f>
        <v/>
      </c>
      <c r="V1446" s="40">
        <f>IF(OR(G1446="",U1446=""),"",G1446*U1446-N(I1446))</f>
        <v/>
      </c>
      <c r="W1446" s="39">
        <f>IF(D1446="","",IFERROR(VALUE(MID(D1446,LEN(D1446)-3,3)),""))</f>
        <v/>
      </c>
      <c r="X1446" s="33">
        <f>IF(W1446="","",P1446&amp;"|"&amp;W1446)</f>
        <v/>
      </c>
      <c r="Y1446" s="33">
        <f>IF(W1446="","",IF(P1446="À RENSEIGNER","GIC",P1446)&amp;"-"&amp;TEXT(W1446,"000"))</f>
        <v/>
      </c>
      <c r="Z1446" s="33">
        <f>IF(X1446="","",IFERROR(INDEX(Cl_nom,MATCH(X1446,Cl_cle,0)),"(client introuvable)"))</f>
        <v/>
      </c>
      <c r="AA1446" s="33">
        <f>IF(X1446="","",IFERROR(INDEX(Cl_quartier,MATCH(X1446,Cl_cle,0))&amp;"",""))</f>
        <v/>
      </c>
      <c r="AB1446" s="45">
        <f>IF(R1446&lt;&gt;"Livrée",0,IF(K1446&lt;&gt;"",K1446,C1446))</f>
        <v/>
      </c>
      <c r="AC1446" s="33">
        <f>IF(OR(C1446="",W1446=""),"",P1446&amp;"|"&amp;W1446&amp;"|"&amp;C1446&amp;"|"&amp;E1446)</f>
        <v/>
      </c>
      <c r="AD1446" s="39">
        <f>IF(AC1446="","",IF(COUNTIF(AC$6:AC1446,AC1446)=1,1,0))</f>
        <v/>
      </c>
      <c r="AE1446" s="39">
        <f>IF(AB1446=0,"",IF(COUNTIFS(X$6:X1446,X1446,AB$6:AB1446,AB1446)=1,1,0))</f>
        <v/>
      </c>
      <c r="AF1446" s="34">
        <f>IF(C1446="","",YEAR(C1446-WEEKDAY(C1446,2)+4)&amp;"-S"&amp;TEXT(INT((C1446-DATE(YEAR(C1446-WEEKDAY(C1446,2)+4),1,3)+WEEKDAY(DATE(YEAR(C1446-WEEKDAY(C1446,2)+4),1,3),2)+5)/7),"00"))</f>
        <v/>
      </c>
    </row>
    <row r="1447" ht="18" customHeight="1">
      <c r="A1447" s="39" t="n">
        <v>1442</v>
      </c>
      <c r="B1447" s="33">
        <f>IF(C1447="","",IF(P1447="À RENSEIGNER","GIC",P1447)&amp;"-C"&amp;TEXT(A1447,"00000"))</f>
        <v/>
      </c>
      <c r="C1447" s="32" t="n"/>
      <c r="D1447" s="36" t="n"/>
      <c r="E1447" s="36" t="n"/>
      <c r="F1447" s="36" t="n"/>
      <c r="G1447" s="42" t="n"/>
      <c r="H1447" s="37" t="n"/>
      <c r="I1447" s="37" t="n"/>
      <c r="J1447" s="32" t="n"/>
      <c r="K1447" s="32" t="n"/>
      <c r="L1447" s="43" t="n"/>
      <c r="M1447" s="36" t="n"/>
      <c r="N1447" s="44" t="n"/>
      <c r="O1447" s="36" t="n"/>
      <c r="P1447" s="33">
        <f>IF(C1447="","",Commercial_Id)</f>
        <v/>
      </c>
      <c r="Q1447" s="34">
        <f>IF(AC1447="","",IF(AD1447=1,"C"&amp;TEXT(SUM(AD$6:AD1447),"0000"),INDEX(Q$6:Q1446,MATCH(AC1447,AC$6:AC1446,0))))</f>
        <v/>
      </c>
      <c r="R1447" s="34">
        <f>IF(C1447="","",IF(L1447="☑ Oui","Annulée",IF(OR(E1447="Vente directe",K1447&lt;&gt;""),"Livrée",IF(J1447&lt;&gt;"","Confirmée","En attente"))))</f>
        <v/>
      </c>
      <c r="S1447" s="34">
        <f>IF(F1447="","",IFERROR(VLOOKUP(F1447,T_Produits,2,FALSE),""))</f>
        <v/>
      </c>
      <c r="T1447" s="40">
        <f>IF(F1447="","",IFERROR(1/(1/VLOOKUP(F1447,T_Produits,3,FALSE)),""))</f>
        <v/>
      </c>
      <c r="U1447" s="40">
        <f>IF(H1447&lt;&gt;"",H1447,T1447)</f>
        <v/>
      </c>
      <c r="V1447" s="40">
        <f>IF(OR(G1447="",U1447=""),"",G1447*U1447-N(I1447))</f>
        <v/>
      </c>
      <c r="W1447" s="39">
        <f>IF(D1447="","",IFERROR(VALUE(MID(D1447,LEN(D1447)-3,3)),""))</f>
        <v/>
      </c>
      <c r="X1447" s="33">
        <f>IF(W1447="","",P1447&amp;"|"&amp;W1447)</f>
        <v/>
      </c>
      <c r="Y1447" s="33">
        <f>IF(W1447="","",IF(P1447="À RENSEIGNER","GIC",P1447)&amp;"-"&amp;TEXT(W1447,"000"))</f>
        <v/>
      </c>
      <c r="Z1447" s="33">
        <f>IF(X1447="","",IFERROR(INDEX(Cl_nom,MATCH(X1447,Cl_cle,0)),"(client introuvable)"))</f>
        <v/>
      </c>
      <c r="AA1447" s="33">
        <f>IF(X1447="","",IFERROR(INDEX(Cl_quartier,MATCH(X1447,Cl_cle,0))&amp;"",""))</f>
        <v/>
      </c>
      <c r="AB1447" s="45">
        <f>IF(R1447&lt;&gt;"Livrée",0,IF(K1447&lt;&gt;"",K1447,C1447))</f>
        <v/>
      </c>
      <c r="AC1447" s="33">
        <f>IF(OR(C1447="",W1447=""),"",P1447&amp;"|"&amp;W1447&amp;"|"&amp;C1447&amp;"|"&amp;E1447)</f>
        <v/>
      </c>
      <c r="AD1447" s="39">
        <f>IF(AC1447="","",IF(COUNTIF(AC$6:AC1447,AC1447)=1,1,0))</f>
        <v/>
      </c>
      <c r="AE1447" s="39">
        <f>IF(AB1447=0,"",IF(COUNTIFS(X$6:X1447,X1447,AB$6:AB1447,AB1447)=1,1,0))</f>
        <v/>
      </c>
      <c r="AF1447" s="34">
        <f>IF(C1447="","",YEAR(C1447-WEEKDAY(C1447,2)+4)&amp;"-S"&amp;TEXT(INT((C1447-DATE(YEAR(C1447-WEEKDAY(C1447,2)+4),1,3)+WEEKDAY(DATE(YEAR(C1447-WEEKDAY(C1447,2)+4),1,3),2)+5)/7),"00"))</f>
        <v/>
      </c>
    </row>
    <row r="1448" ht="18" customHeight="1">
      <c r="A1448" s="39" t="n">
        <v>1443</v>
      </c>
      <c r="B1448" s="33">
        <f>IF(C1448="","",IF(P1448="À RENSEIGNER","GIC",P1448)&amp;"-C"&amp;TEXT(A1448,"00000"))</f>
        <v/>
      </c>
      <c r="C1448" s="32" t="n"/>
      <c r="D1448" s="36" t="n"/>
      <c r="E1448" s="36" t="n"/>
      <c r="F1448" s="36" t="n"/>
      <c r="G1448" s="42" t="n"/>
      <c r="H1448" s="37" t="n"/>
      <c r="I1448" s="37" t="n"/>
      <c r="J1448" s="32" t="n"/>
      <c r="K1448" s="32" t="n"/>
      <c r="L1448" s="43" t="n"/>
      <c r="M1448" s="36" t="n"/>
      <c r="N1448" s="44" t="n"/>
      <c r="O1448" s="36" t="n"/>
      <c r="P1448" s="33">
        <f>IF(C1448="","",Commercial_Id)</f>
        <v/>
      </c>
      <c r="Q1448" s="34">
        <f>IF(AC1448="","",IF(AD1448=1,"C"&amp;TEXT(SUM(AD$6:AD1448),"0000"),INDEX(Q$6:Q1447,MATCH(AC1448,AC$6:AC1447,0))))</f>
        <v/>
      </c>
      <c r="R1448" s="34">
        <f>IF(C1448="","",IF(L1448="☑ Oui","Annulée",IF(OR(E1448="Vente directe",K1448&lt;&gt;""),"Livrée",IF(J1448&lt;&gt;"","Confirmée","En attente"))))</f>
        <v/>
      </c>
      <c r="S1448" s="34">
        <f>IF(F1448="","",IFERROR(VLOOKUP(F1448,T_Produits,2,FALSE),""))</f>
        <v/>
      </c>
      <c r="T1448" s="40">
        <f>IF(F1448="","",IFERROR(1/(1/VLOOKUP(F1448,T_Produits,3,FALSE)),""))</f>
        <v/>
      </c>
      <c r="U1448" s="40">
        <f>IF(H1448&lt;&gt;"",H1448,T1448)</f>
        <v/>
      </c>
      <c r="V1448" s="40">
        <f>IF(OR(G1448="",U1448=""),"",G1448*U1448-N(I1448))</f>
        <v/>
      </c>
      <c r="W1448" s="39">
        <f>IF(D1448="","",IFERROR(VALUE(MID(D1448,LEN(D1448)-3,3)),""))</f>
        <v/>
      </c>
      <c r="X1448" s="33">
        <f>IF(W1448="","",P1448&amp;"|"&amp;W1448)</f>
        <v/>
      </c>
      <c r="Y1448" s="33">
        <f>IF(W1448="","",IF(P1448="À RENSEIGNER","GIC",P1448)&amp;"-"&amp;TEXT(W1448,"000"))</f>
        <v/>
      </c>
      <c r="Z1448" s="33">
        <f>IF(X1448="","",IFERROR(INDEX(Cl_nom,MATCH(X1448,Cl_cle,0)),"(client introuvable)"))</f>
        <v/>
      </c>
      <c r="AA1448" s="33">
        <f>IF(X1448="","",IFERROR(INDEX(Cl_quartier,MATCH(X1448,Cl_cle,0))&amp;"",""))</f>
        <v/>
      </c>
      <c r="AB1448" s="45">
        <f>IF(R1448&lt;&gt;"Livrée",0,IF(K1448&lt;&gt;"",K1448,C1448))</f>
        <v/>
      </c>
      <c r="AC1448" s="33">
        <f>IF(OR(C1448="",W1448=""),"",P1448&amp;"|"&amp;W1448&amp;"|"&amp;C1448&amp;"|"&amp;E1448)</f>
        <v/>
      </c>
      <c r="AD1448" s="39">
        <f>IF(AC1448="","",IF(COUNTIF(AC$6:AC1448,AC1448)=1,1,0))</f>
        <v/>
      </c>
      <c r="AE1448" s="39">
        <f>IF(AB1448=0,"",IF(COUNTIFS(X$6:X1448,X1448,AB$6:AB1448,AB1448)=1,1,0))</f>
        <v/>
      </c>
      <c r="AF1448" s="34">
        <f>IF(C1448="","",YEAR(C1448-WEEKDAY(C1448,2)+4)&amp;"-S"&amp;TEXT(INT((C1448-DATE(YEAR(C1448-WEEKDAY(C1448,2)+4),1,3)+WEEKDAY(DATE(YEAR(C1448-WEEKDAY(C1448,2)+4),1,3),2)+5)/7),"00"))</f>
        <v/>
      </c>
    </row>
    <row r="1449" ht="18" customHeight="1">
      <c r="A1449" s="39" t="n">
        <v>1444</v>
      </c>
      <c r="B1449" s="33">
        <f>IF(C1449="","",IF(P1449="À RENSEIGNER","GIC",P1449)&amp;"-C"&amp;TEXT(A1449,"00000"))</f>
        <v/>
      </c>
      <c r="C1449" s="32" t="n"/>
      <c r="D1449" s="36" t="n"/>
      <c r="E1449" s="36" t="n"/>
      <c r="F1449" s="36" t="n"/>
      <c r="G1449" s="42" t="n"/>
      <c r="H1449" s="37" t="n"/>
      <c r="I1449" s="37" t="n"/>
      <c r="J1449" s="32" t="n"/>
      <c r="K1449" s="32" t="n"/>
      <c r="L1449" s="43" t="n"/>
      <c r="M1449" s="36" t="n"/>
      <c r="N1449" s="44" t="n"/>
      <c r="O1449" s="36" t="n"/>
      <c r="P1449" s="33">
        <f>IF(C1449="","",Commercial_Id)</f>
        <v/>
      </c>
      <c r="Q1449" s="34">
        <f>IF(AC1449="","",IF(AD1449=1,"C"&amp;TEXT(SUM(AD$6:AD1449),"0000"),INDEX(Q$6:Q1448,MATCH(AC1449,AC$6:AC1448,0))))</f>
        <v/>
      </c>
      <c r="R1449" s="34">
        <f>IF(C1449="","",IF(L1449="☑ Oui","Annulée",IF(OR(E1449="Vente directe",K1449&lt;&gt;""),"Livrée",IF(J1449&lt;&gt;"","Confirmée","En attente"))))</f>
        <v/>
      </c>
      <c r="S1449" s="34">
        <f>IF(F1449="","",IFERROR(VLOOKUP(F1449,T_Produits,2,FALSE),""))</f>
        <v/>
      </c>
      <c r="T1449" s="40">
        <f>IF(F1449="","",IFERROR(1/(1/VLOOKUP(F1449,T_Produits,3,FALSE)),""))</f>
        <v/>
      </c>
      <c r="U1449" s="40">
        <f>IF(H1449&lt;&gt;"",H1449,T1449)</f>
        <v/>
      </c>
      <c r="V1449" s="40">
        <f>IF(OR(G1449="",U1449=""),"",G1449*U1449-N(I1449))</f>
        <v/>
      </c>
      <c r="W1449" s="39">
        <f>IF(D1449="","",IFERROR(VALUE(MID(D1449,LEN(D1449)-3,3)),""))</f>
        <v/>
      </c>
      <c r="X1449" s="33">
        <f>IF(W1449="","",P1449&amp;"|"&amp;W1449)</f>
        <v/>
      </c>
      <c r="Y1449" s="33">
        <f>IF(W1449="","",IF(P1449="À RENSEIGNER","GIC",P1449)&amp;"-"&amp;TEXT(W1449,"000"))</f>
        <v/>
      </c>
      <c r="Z1449" s="33">
        <f>IF(X1449="","",IFERROR(INDEX(Cl_nom,MATCH(X1449,Cl_cle,0)),"(client introuvable)"))</f>
        <v/>
      </c>
      <c r="AA1449" s="33">
        <f>IF(X1449="","",IFERROR(INDEX(Cl_quartier,MATCH(X1449,Cl_cle,0))&amp;"",""))</f>
        <v/>
      </c>
      <c r="AB1449" s="45">
        <f>IF(R1449&lt;&gt;"Livrée",0,IF(K1449&lt;&gt;"",K1449,C1449))</f>
        <v/>
      </c>
      <c r="AC1449" s="33">
        <f>IF(OR(C1449="",W1449=""),"",P1449&amp;"|"&amp;W1449&amp;"|"&amp;C1449&amp;"|"&amp;E1449)</f>
        <v/>
      </c>
      <c r="AD1449" s="39">
        <f>IF(AC1449="","",IF(COUNTIF(AC$6:AC1449,AC1449)=1,1,0))</f>
        <v/>
      </c>
      <c r="AE1449" s="39">
        <f>IF(AB1449=0,"",IF(COUNTIFS(X$6:X1449,X1449,AB$6:AB1449,AB1449)=1,1,0))</f>
        <v/>
      </c>
      <c r="AF1449" s="34">
        <f>IF(C1449="","",YEAR(C1449-WEEKDAY(C1449,2)+4)&amp;"-S"&amp;TEXT(INT((C1449-DATE(YEAR(C1449-WEEKDAY(C1449,2)+4),1,3)+WEEKDAY(DATE(YEAR(C1449-WEEKDAY(C1449,2)+4),1,3),2)+5)/7),"00"))</f>
        <v/>
      </c>
    </row>
    <row r="1450" ht="18" customHeight="1">
      <c r="A1450" s="39" t="n">
        <v>1445</v>
      </c>
      <c r="B1450" s="33">
        <f>IF(C1450="","",IF(P1450="À RENSEIGNER","GIC",P1450)&amp;"-C"&amp;TEXT(A1450,"00000"))</f>
        <v/>
      </c>
      <c r="C1450" s="32" t="n"/>
      <c r="D1450" s="36" t="n"/>
      <c r="E1450" s="36" t="n"/>
      <c r="F1450" s="36" t="n"/>
      <c r="G1450" s="42" t="n"/>
      <c r="H1450" s="37" t="n"/>
      <c r="I1450" s="37" t="n"/>
      <c r="J1450" s="32" t="n"/>
      <c r="K1450" s="32" t="n"/>
      <c r="L1450" s="43" t="n"/>
      <c r="M1450" s="36" t="n"/>
      <c r="N1450" s="44" t="n"/>
      <c r="O1450" s="36" t="n"/>
      <c r="P1450" s="33">
        <f>IF(C1450="","",Commercial_Id)</f>
        <v/>
      </c>
      <c r="Q1450" s="34">
        <f>IF(AC1450="","",IF(AD1450=1,"C"&amp;TEXT(SUM(AD$6:AD1450),"0000"),INDEX(Q$6:Q1449,MATCH(AC1450,AC$6:AC1449,0))))</f>
        <v/>
      </c>
      <c r="R1450" s="34">
        <f>IF(C1450="","",IF(L1450="☑ Oui","Annulée",IF(OR(E1450="Vente directe",K1450&lt;&gt;""),"Livrée",IF(J1450&lt;&gt;"","Confirmée","En attente"))))</f>
        <v/>
      </c>
      <c r="S1450" s="34">
        <f>IF(F1450="","",IFERROR(VLOOKUP(F1450,T_Produits,2,FALSE),""))</f>
        <v/>
      </c>
      <c r="T1450" s="40">
        <f>IF(F1450="","",IFERROR(1/(1/VLOOKUP(F1450,T_Produits,3,FALSE)),""))</f>
        <v/>
      </c>
      <c r="U1450" s="40">
        <f>IF(H1450&lt;&gt;"",H1450,T1450)</f>
        <v/>
      </c>
      <c r="V1450" s="40">
        <f>IF(OR(G1450="",U1450=""),"",G1450*U1450-N(I1450))</f>
        <v/>
      </c>
      <c r="W1450" s="39">
        <f>IF(D1450="","",IFERROR(VALUE(MID(D1450,LEN(D1450)-3,3)),""))</f>
        <v/>
      </c>
      <c r="X1450" s="33">
        <f>IF(W1450="","",P1450&amp;"|"&amp;W1450)</f>
        <v/>
      </c>
      <c r="Y1450" s="33">
        <f>IF(W1450="","",IF(P1450="À RENSEIGNER","GIC",P1450)&amp;"-"&amp;TEXT(W1450,"000"))</f>
        <v/>
      </c>
      <c r="Z1450" s="33">
        <f>IF(X1450="","",IFERROR(INDEX(Cl_nom,MATCH(X1450,Cl_cle,0)),"(client introuvable)"))</f>
        <v/>
      </c>
      <c r="AA1450" s="33">
        <f>IF(X1450="","",IFERROR(INDEX(Cl_quartier,MATCH(X1450,Cl_cle,0))&amp;"",""))</f>
        <v/>
      </c>
      <c r="AB1450" s="45">
        <f>IF(R1450&lt;&gt;"Livrée",0,IF(K1450&lt;&gt;"",K1450,C1450))</f>
        <v/>
      </c>
      <c r="AC1450" s="33">
        <f>IF(OR(C1450="",W1450=""),"",P1450&amp;"|"&amp;W1450&amp;"|"&amp;C1450&amp;"|"&amp;E1450)</f>
        <v/>
      </c>
      <c r="AD1450" s="39">
        <f>IF(AC1450="","",IF(COUNTIF(AC$6:AC1450,AC1450)=1,1,0))</f>
        <v/>
      </c>
      <c r="AE1450" s="39">
        <f>IF(AB1450=0,"",IF(COUNTIFS(X$6:X1450,X1450,AB$6:AB1450,AB1450)=1,1,0))</f>
        <v/>
      </c>
      <c r="AF1450" s="34">
        <f>IF(C1450="","",YEAR(C1450-WEEKDAY(C1450,2)+4)&amp;"-S"&amp;TEXT(INT((C1450-DATE(YEAR(C1450-WEEKDAY(C1450,2)+4),1,3)+WEEKDAY(DATE(YEAR(C1450-WEEKDAY(C1450,2)+4),1,3),2)+5)/7),"00"))</f>
        <v/>
      </c>
    </row>
    <row r="1451" ht="18" customHeight="1">
      <c r="A1451" s="39" t="n">
        <v>1446</v>
      </c>
      <c r="B1451" s="33">
        <f>IF(C1451="","",IF(P1451="À RENSEIGNER","GIC",P1451)&amp;"-C"&amp;TEXT(A1451,"00000"))</f>
        <v/>
      </c>
      <c r="C1451" s="32" t="n"/>
      <c r="D1451" s="36" t="n"/>
      <c r="E1451" s="36" t="n"/>
      <c r="F1451" s="36" t="n"/>
      <c r="G1451" s="42" t="n"/>
      <c r="H1451" s="37" t="n"/>
      <c r="I1451" s="37" t="n"/>
      <c r="J1451" s="32" t="n"/>
      <c r="K1451" s="32" t="n"/>
      <c r="L1451" s="43" t="n"/>
      <c r="M1451" s="36" t="n"/>
      <c r="N1451" s="44" t="n"/>
      <c r="O1451" s="36" t="n"/>
      <c r="P1451" s="33">
        <f>IF(C1451="","",Commercial_Id)</f>
        <v/>
      </c>
      <c r="Q1451" s="34">
        <f>IF(AC1451="","",IF(AD1451=1,"C"&amp;TEXT(SUM(AD$6:AD1451),"0000"),INDEX(Q$6:Q1450,MATCH(AC1451,AC$6:AC1450,0))))</f>
        <v/>
      </c>
      <c r="R1451" s="34">
        <f>IF(C1451="","",IF(L1451="☑ Oui","Annulée",IF(OR(E1451="Vente directe",K1451&lt;&gt;""),"Livrée",IF(J1451&lt;&gt;"","Confirmée","En attente"))))</f>
        <v/>
      </c>
      <c r="S1451" s="34">
        <f>IF(F1451="","",IFERROR(VLOOKUP(F1451,T_Produits,2,FALSE),""))</f>
        <v/>
      </c>
      <c r="T1451" s="40">
        <f>IF(F1451="","",IFERROR(1/(1/VLOOKUP(F1451,T_Produits,3,FALSE)),""))</f>
        <v/>
      </c>
      <c r="U1451" s="40">
        <f>IF(H1451&lt;&gt;"",H1451,T1451)</f>
        <v/>
      </c>
      <c r="V1451" s="40">
        <f>IF(OR(G1451="",U1451=""),"",G1451*U1451-N(I1451))</f>
        <v/>
      </c>
      <c r="W1451" s="39">
        <f>IF(D1451="","",IFERROR(VALUE(MID(D1451,LEN(D1451)-3,3)),""))</f>
        <v/>
      </c>
      <c r="X1451" s="33">
        <f>IF(W1451="","",P1451&amp;"|"&amp;W1451)</f>
        <v/>
      </c>
      <c r="Y1451" s="33">
        <f>IF(W1451="","",IF(P1451="À RENSEIGNER","GIC",P1451)&amp;"-"&amp;TEXT(W1451,"000"))</f>
        <v/>
      </c>
      <c r="Z1451" s="33">
        <f>IF(X1451="","",IFERROR(INDEX(Cl_nom,MATCH(X1451,Cl_cle,0)),"(client introuvable)"))</f>
        <v/>
      </c>
      <c r="AA1451" s="33">
        <f>IF(X1451="","",IFERROR(INDEX(Cl_quartier,MATCH(X1451,Cl_cle,0))&amp;"",""))</f>
        <v/>
      </c>
      <c r="AB1451" s="45">
        <f>IF(R1451&lt;&gt;"Livrée",0,IF(K1451&lt;&gt;"",K1451,C1451))</f>
        <v/>
      </c>
      <c r="AC1451" s="33">
        <f>IF(OR(C1451="",W1451=""),"",P1451&amp;"|"&amp;W1451&amp;"|"&amp;C1451&amp;"|"&amp;E1451)</f>
        <v/>
      </c>
      <c r="AD1451" s="39">
        <f>IF(AC1451="","",IF(COUNTIF(AC$6:AC1451,AC1451)=1,1,0))</f>
        <v/>
      </c>
      <c r="AE1451" s="39">
        <f>IF(AB1451=0,"",IF(COUNTIFS(X$6:X1451,X1451,AB$6:AB1451,AB1451)=1,1,0))</f>
        <v/>
      </c>
      <c r="AF1451" s="34">
        <f>IF(C1451="","",YEAR(C1451-WEEKDAY(C1451,2)+4)&amp;"-S"&amp;TEXT(INT((C1451-DATE(YEAR(C1451-WEEKDAY(C1451,2)+4),1,3)+WEEKDAY(DATE(YEAR(C1451-WEEKDAY(C1451,2)+4),1,3),2)+5)/7),"00"))</f>
        <v/>
      </c>
    </row>
    <row r="1452" ht="18" customHeight="1">
      <c r="A1452" s="39" t="n">
        <v>1447</v>
      </c>
      <c r="B1452" s="33">
        <f>IF(C1452="","",IF(P1452="À RENSEIGNER","GIC",P1452)&amp;"-C"&amp;TEXT(A1452,"00000"))</f>
        <v/>
      </c>
      <c r="C1452" s="32" t="n"/>
      <c r="D1452" s="36" t="n"/>
      <c r="E1452" s="36" t="n"/>
      <c r="F1452" s="36" t="n"/>
      <c r="G1452" s="42" t="n"/>
      <c r="H1452" s="37" t="n"/>
      <c r="I1452" s="37" t="n"/>
      <c r="J1452" s="32" t="n"/>
      <c r="K1452" s="32" t="n"/>
      <c r="L1452" s="43" t="n"/>
      <c r="M1452" s="36" t="n"/>
      <c r="N1452" s="44" t="n"/>
      <c r="O1452" s="36" t="n"/>
      <c r="P1452" s="33">
        <f>IF(C1452="","",Commercial_Id)</f>
        <v/>
      </c>
      <c r="Q1452" s="34">
        <f>IF(AC1452="","",IF(AD1452=1,"C"&amp;TEXT(SUM(AD$6:AD1452),"0000"),INDEX(Q$6:Q1451,MATCH(AC1452,AC$6:AC1451,0))))</f>
        <v/>
      </c>
      <c r="R1452" s="34">
        <f>IF(C1452="","",IF(L1452="☑ Oui","Annulée",IF(OR(E1452="Vente directe",K1452&lt;&gt;""),"Livrée",IF(J1452&lt;&gt;"","Confirmée","En attente"))))</f>
        <v/>
      </c>
      <c r="S1452" s="34">
        <f>IF(F1452="","",IFERROR(VLOOKUP(F1452,T_Produits,2,FALSE),""))</f>
        <v/>
      </c>
      <c r="T1452" s="40">
        <f>IF(F1452="","",IFERROR(1/(1/VLOOKUP(F1452,T_Produits,3,FALSE)),""))</f>
        <v/>
      </c>
      <c r="U1452" s="40">
        <f>IF(H1452&lt;&gt;"",H1452,T1452)</f>
        <v/>
      </c>
      <c r="V1452" s="40">
        <f>IF(OR(G1452="",U1452=""),"",G1452*U1452-N(I1452))</f>
        <v/>
      </c>
      <c r="W1452" s="39">
        <f>IF(D1452="","",IFERROR(VALUE(MID(D1452,LEN(D1452)-3,3)),""))</f>
        <v/>
      </c>
      <c r="X1452" s="33">
        <f>IF(W1452="","",P1452&amp;"|"&amp;W1452)</f>
        <v/>
      </c>
      <c r="Y1452" s="33">
        <f>IF(W1452="","",IF(P1452="À RENSEIGNER","GIC",P1452)&amp;"-"&amp;TEXT(W1452,"000"))</f>
        <v/>
      </c>
      <c r="Z1452" s="33">
        <f>IF(X1452="","",IFERROR(INDEX(Cl_nom,MATCH(X1452,Cl_cle,0)),"(client introuvable)"))</f>
        <v/>
      </c>
      <c r="AA1452" s="33">
        <f>IF(X1452="","",IFERROR(INDEX(Cl_quartier,MATCH(X1452,Cl_cle,0))&amp;"",""))</f>
        <v/>
      </c>
      <c r="AB1452" s="45">
        <f>IF(R1452&lt;&gt;"Livrée",0,IF(K1452&lt;&gt;"",K1452,C1452))</f>
        <v/>
      </c>
      <c r="AC1452" s="33">
        <f>IF(OR(C1452="",W1452=""),"",P1452&amp;"|"&amp;W1452&amp;"|"&amp;C1452&amp;"|"&amp;E1452)</f>
        <v/>
      </c>
      <c r="AD1452" s="39">
        <f>IF(AC1452="","",IF(COUNTIF(AC$6:AC1452,AC1452)=1,1,0))</f>
        <v/>
      </c>
      <c r="AE1452" s="39">
        <f>IF(AB1452=0,"",IF(COUNTIFS(X$6:X1452,X1452,AB$6:AB1452,AB1452)=1,1,0))</f>
        <v/>
      </c>
      <c r="AF1452" s="34">
        <f>IF(C1452="","",YEAR(C1452-WEEKDAY(C1452,2)+4)&amp;"-S"&amp;TEXT(INT((C1452-DATE(YEAR(C1452-WEEKDAY(C1452,2)+4),1,3)+WEEKDAY(DATE(YEAR(C1452-WEEKDAY(C1452,2)+4),1,3),2)+5)/7),"00"))</f>
        <v/>
      </c>
    </row>
    <row r="1453" ht="18" customHeight="1">
      <c r="A1453" s="39" t="n">
        <v>1448</v>
      </c>
      <c r="B1453" s="33">
        <f>IF(C1453="","",IF(P1453="À RENSEIGNER","GIC",P1453)&amp;"-C"&amp;TEXT(A1453,"00000"))</f>
        <v/>
      </c>
      <c r="C1453" s="32" t="n"/>
      <c r="D1453" s="36" t="n"/>
      <c r="E1453" s="36" t="n"/>
      <c r="F1453" s="36" t="n"/>
      <c r="G1453" s="42" t="n"/>
      <c r="H1453" s="37" t="n"/>
      <c r="I1453" s="37" t="n"/>
      <c r="J1453" s="32" t="n"/>
      <c r="K1453" s="32" t="n"/>
      <c r="L1453" s="43" t="n"/>
      <c r="M1453" s="36" t="n"/>
      <c r="N1453" s="44" t="n"/>
      <c r="O1453" s="36" t="n"/>
      <c r="P1453" s="33">
        <f>IF(C1453="","",Commercial_Id)</f>
        <v/>
      </c>
      <c r="Q1453" s="34">
        <f>IF(AC1453="","",IF(AD1453=1,"C"&amp;TEXT(SUM(AD$6:AD1453),"0000"),INDEX(Q$6:Q1452,MATCH(AC1453,AC$6:AC1452,0))))</f>
        <v/>
      </c>
      <c r="R1453" s="34">
        <f>IF(C1453="","",IF(L1453="☑ Oui","Annulée",IF(OR(E1453="Vente directe",K1453&lt;&gt;""),"Livrée",IF(J1453&lt;&gt;"","Confirmée","En attente"))))</f>
        <v/>
      </c>
      <c r="S1453" s="34">
        <f>IF(F1453="","",IFERROR(VLOOKUP(F1453,T_Produits,2,FALSE),""))</f>
        <v/>
      </c>
      <c r="T1453" s="40">
        <f>IF(F1453="","",IFERROR(1/(1/VLOOKUP(F1453,T_Produits,3,FALSE)),""))</f>
        <v/>
      </c>
      <c r="U1453" s="40">
        <f>IF(H1453&lt;&gt;"",H1453,T1453)</f>
        <v/>
      </c>
      <c r="V1453" s="40">
        <f>IF(OR(G1453="",U1453=""),"",G1453*U1453-N(I1453))</f>
        <v/>
      </c>
      <c r="W1453" s="39">
        <f>IF(D1453="","",IFERROR(VALUE(MID(D1453,LEN(D1453)-3,3)),""))</f>
        <v/>
      </c>
      <c r="X1453" s="33">
        <f>IF(W1453="","",P1453&amp;"|"&amp;W1453)</f>
        <v/>
      </c>
      <c r="Y1453" s="33">
        <f>IF(W1453="","",IF(P1453="À RENSEIGNER","GIC",P1453)&amp;"-"&amp;TEXT(W1453,"000"))</f>
        <v/>
      </c>
      <c r="Z1453" s="33">
        <f>IF(X1453="","",IFERROR(INDEX(Cl_nom,MATCH(X1453,Cl_cle,0)),"(client introuvable)"))</f>
        <v/>
      </c>
      <c r="AA1453" s="33">
        <f>IF(X1453="","",IFERROR(INDEX(Cl_quartier,MATCH(X1453,Cl_cle,0))&amp;"",""))</f>
        <v/>
      </c>
      <c r="AB1453" s="45">
        <f>IF(R1453&lt;&gt;"Livrée",0,IF(K1453&lt;&gt;"",K1453,C1453))</f>
        <v/>
      </c>
      <c r="AC1453" s="33">
        <f>IF(OR(C1453="",W1453=""),"",P1453&amp;"|"&amp;W1453&amp;"|"&amp;C1453&amp;"|"&amp;E1453)</f>
        <v/>
      </c>
      <c r="AD1453" s="39">
        <f>IF(AC1453="","",IF(COUNTIF(AC$6:AC1453,AC1453)=1,1,0))</f>
        <v/>
      </c>
      <c r="AE1453" s="39">
        <f>IF(AB1453=0,"",IF(COUNTIFS(X$6:X1453,X1453,AB$6:AB1453,AB1453)=1,1,0))</f>
        <v/>
      </c>
      <c r="AF1453" s="34">
        <f>IF(C1453="","",YEAR(C1453-WEEKDAY(C1453,2)+4)&amp;"-S"&amp;TEXT(INT((C1453-DATE(YEAR(C1453-WEEKDAY(C1453,2)+4),1,3)+WEEKDAY(DATE(YEAR(C1453-WEEKDAY(C1453,2)+4),1,3),2)+5)/7),"00"))</f>
        <v/>
      </c>
    </row>
    <row r="1454" ht="18" customHeight="1">
      <c r="A1454" s="39" t="n">
        <v>1449</v>
      </c>
      <c r="B1454" s="33">
        <f>IF(C1454="","",IF(P1454="À RENSEIGNER","GIC",P1454)&amp;"-C"&amp;TEXT(A1454,"00000"))</f>
        <v/>
      </c>
      <c r="C1454" s="32" t="n"/>
      <c r="D1454" s="36" t="n"/>
      <c r="E1454" s="36" t="n"/>
      <c r="F1454" s="36" t="n"/>
      <c r="G1454" s="42" t="n"/>
      <c r="H1454" s="37" t="n"/>
      <c r="I1454" s="37" t="n"/>
      <c r="J1454" s="32" t="n"/>
      <c r="K1454" s="32" t="n"/>
      <c r="L1454" s="43" t="n"/>
      <c r="M1454" s="36" t="n"/>
      <c r="N1454" s="44" t="n"/>
      <c r="O1454" s="36" t="n"/>
      <c r="P1454" s="33">
        <f>IF(C1454="","",Commercial_Id)</f>
        <v/>
      </c>
      <c r="Q1454" s="34">
        <f>IF(AC1454="","",IF(AD1454=1,"C"&amp;TEXT(SUM(AD$6:AD1454),"0000"),INDEX(Q$6:Q1453,MATCH(AC1454,AC$6:AC1453,0))))</f>
        <v/>
      </c>
      <c r="R1454" s="34">
        <f>IF(C1454="","",IF(L1454="☑ Oui","Annulée",IF(OR(E1454="Vente directe",K1454&lt;&gt;""),"Livrée",IF(J1454&lt;&gt;"","Confirmée","En attente"))))</f>
        <v/>
      </c>
      <c r="S1454" s="34">
        <f>IF(F1454="","",IFERROR(VLOOKUP(F1454,T_Produits,2,FALSE),""))</f>
        <v/>
      </c>
      <c r="T1454" s="40">
        <f>IF(F1454="","",IFERROR(1/(1/VLOOKUP(F1454,T_Produits,3,FALSE)),""))</f>
        <v/>
      </c>
      <c r="U1454" s="40">
        <f>IF(H1454&lt;&gt;"",H1454,T1454)</f>
        <v/>
      </c>
      <c r="V1454" s="40">
        <f>IF(OR(G1454="",U1454=""),"",G1454*U1454-N(I1454))</f>
        <v/>
      </c>
      <c r="W1454" s="39">
        <f>IF(D1454="","",IFERROR(VALUE(MID(D1454,LEN(D1454)-3,3)),""))</f>
        <v/>
      </c>
      <c r="X1454" s="33">
        <f>IF(W1454="","",P1454&amp;"|"&amp;W1454)</f>
        <v/>
      </c>
      <c r="Y1454" s="33">
        <f>IF(W1454="","",IF(P1454="À RENSEIGNER","GIC",P1454)&amp;"-"&amp;TEXT(W1454,"000"))</f>
        <v/>
      </c>
      <c r="Z1454" s="33">
        <f>IF(X1454="","",IFERROR(INDEX(Cl_nom,MATCH(X1454,Cl_cle,0)),"(client introuvable)"))</f>
        <v/>
      </c>
      <c r="AA1454" s="33">
        <f>IF(X1454="","",IFERROR(INDEX(Cl_quartier,MATCH(X1454,Cl_cle,0))&amp;"",""))</f>
        <v/>
      </c>
      <c r="AB1454" s="45">
        <f>IF(R1454&lt;&gt;"Livrée",0,IF(K1454&lt;&gt;"",K1454,C1454))</f>
        <v/>
      </c>
      <c r="AC1454" s="33">
        <f>IF(OR(C1454="",W1454=""),"",P1454&amp;"|"&amp;W1454&amp;"|"&amp;C1454&amp;"|"&amp;E1454)</f>
        <v/>
      </c>
      <c r="AD1454" s="39">
        <f>IF(AC1454="","",IF(COUNTIF(AC$6:AC1454,AC1454)=1,1,0))</f>
        <v/>
      </c>
      <c r="AE1454" s="39">
        <f>IF(AB1454=0,"",IF(COUNTIFS(X$6:X1454,X1454,AB$6:AB1454,AB1454)=1,1,0))</f>
        <v/>
      </c>
      <c r="AF1454" s="34">
        <f>IF(C1454="","",YEAR(C1454-WEEKDAY(C1454,2)+4)&amp;"-S"&amp;TEXT(INT((C1454-DATE(YEAR(C1454-WEEKDAY(C1454,2)+4),1,3)+WEEKDAY(DATE(YEAR(C1454-WEEKDAY(C1454,2)+4),1,3),2)+5)/7),"00"))</f>
        <v/>
      </c>
    </row>
    <row r="1455" ht="18" customHeight="1">
      <c r="A1455" s="39" t="n">
        <v>1450</v>
      </c>
      <c r="B1455" s="33">
        <f>IF(C1455="","",IF(P1455="À RENSEIGNER","GIC",P1455)&amp;"-C"&amp;TEXT(A1455,"00000"))</f>
        <v/>
      </c>
      <c r="C1455" s="32" t="n"/>
      <c r="D1455" s="36" t="n"/>
      <c r="E1455" s="36" t="n"/>
      <c r="F1455" s="36" t="n"/>
      <c r="G1455" s="42" t="n"/>
      <c r="H1455" s="37" t="n"/>
      <c r="I1455" s="37" t="n"/>
      <c r="J1455" s="32" t="n"/>
      <c r="K1455" s="32" t="n"/>
      <c r="L1455" s="43" t="n"/>
      <c r="M1455" s="36" t="n"/>
      <c r="N1455" s="44" t="n"/>
      <c r="O1455" s="36" t="n"/>
      <c r="P1455" s="33">
        <f>IF(C1455="","",Commercial_Id)</f>
        <v/>
      </c>
      <c r="Q1455" s="34">
        <f>IF(AC1455="","",IF(AD1455=1,"C"&amp;TEXT(SUM(AD$6:AD1455),"0000"),INDEX(Q$6:Q1454,MATCH(AC1455,AC$6:AC1454,0))))</f>
        <v/>
      </c>
      <c r="R1455" s="34">
        <f>IF(C1455="","",IF(L1455="☑ Oui","Annulée",IF(OR(E1455="Vente directe",K1455&lt;&gt;""),"Livrée",IF(J1455&lt;&gt;"","Confirmée","En attente"))))</f>
        <v/>
      </c>
      <c r="S1455" s="34">
        <f>IF(F1455="","",IFERROR(VLOOKUP(F1455,T_Produits,2,FALSE),""))</f>
        <v/>
      </c>
      <c r="T1455" s="40">
        <f>IF(F1455="","",IFERROR(1/(1/VLOOKUP(F1455,T_Produits,3,FALSE)),""))</f>
        <v/>
      </c>
      <c r="U1455" s="40">
        <f>IF(H1455&lt;&gt;"",H1455,T1455)</f>
        <v/>
      </c>
      <c r="V1455" s="40">
        <f>IF(OR(G1455="",U1455=""),"",G1455*U1455-N(I1455))</f>
        <v/>
      </c>
      <c r="W1455" s="39">
        <f>IF(D1455="","",IFERROR(VALUE(MID(D1455,LEN(D1455)-3,3)),""))</f>
        <v/>
      </c>
      <c r="X1455" s="33">
        <f>IF(W1455="","",P1455&amp;"|"&amp;W1455)</f>
        <v/>
      </c>
      <c r="Y1455" s="33">
        <f>IF(W1455="","",IF(P1455="À RENSEIGNER","GIC",P1455)&amp;"-"&amp;TEXT(W1455,"000"))</f>
        <v/>
      </c>
      <c r="Z1455" s="33">
        <f>IF(X1455="","",IFERROR(INDEX(Cl_nom,MATCH(X1455,Cl_cle,0)),"(client introuvable)"))</f>
        <v/>
      </c>
      <c r="AA1455" s="33">
        <f>IF(X1455="","",IFERROR(INDEX(Cl_quartier,MATCH(X1455,Cl_cle,0))&amp;"",""))</f>
        <v/>
      </c>
      <c r="AB1455" s="45">
        <f>IF(R1455&lt;&gt;"Livrée",0,IF(K1455&lt;&gt;"",K1455,C1455))</f>
        <v/>
      </c>
      <c r="AC1455" s="33">
        <f>IF(OR(C1455="",W1455=""),"",P1455&amp;"|"&amp;W1455&amp;"|"&amp;C1455&amp;"|"&amp;E1455)</f>
        <v/>
      </c>
      <c r="AD1455" s="39">
        <f>IF(AC1455="","",IF(COUNTIF(AC$6:AC1455,AC1455)=1,1,0))</f>
        <v/>
      </c>
      <c r="AE1455" s="39">
        <f>IF(AB1455=0,"",IF(COUNTIFS(X$6:X1455,X1455,AB$6:AB1455,AB1455)=1,1,0))</f>
        <v/>
      </c>
      <c r="AF1455" s="34">
        <f>IF(C1455="","",YEAR(C1455-WEEKDAY(C1455,2)+4)&amp;"-S"&amp;TEXT(INT((C1455-DATE(YEAR(C1455-WEEKDAY(C1455,2)+4),1,3)+WEEKDAY(DATE(YEAR(C1455-WEEKDAY(C1455,2)+4),1,3),2)+5)/7),"00"))</f>
        <v/>
      </c>
    </row>
    <row r="1456" ht="18" customHeight="1">
      <c r="A1456" s="39" t="n">
        <v>1451</v>
      </c>
      <c r="B1456" s="33">
        <f>IF(C1456="","",IF(P1456="À RENSEIGNER","GIC",P1456)&amp;"-C"&amp;TEXT(A1456,"00000"))</f>
        <v/>
      </c>
      <c r="C1456" s="32" t="n"/>
      <c r="D1456" s="36" t="n"/>
      <c r="E1456" s="36" t="n"/>
      <c r="F1456" s="36" t="n"/>
      <c r="G1456" s="42" t="n"/>
      <c r="H1456" s="37" t="n"/>
      <c r="I1456" s="37" t="n"/>
      <c r="J1456" s="32" t="n"/>
      <c r="K1456" s="32" t="n"/>
      <c r="L1456" s="43" t="n"/>
      <c r="M1456" s="36" t="n"/>
      <c r="N1456" s="44" t="n"/>
      <c r="O1456" s="36" t="n"/>
      <c r="P1456" s="33">
        <f>IF(C1456="","",Commercial_Id)</f>
        <v/>
      </c>
      <c r="Q1456" s="34">
        <f>IF(AC1456="","",IF(AD1456=1,"C"&amp;TEXT(SUM(AD$6:AD1456),"0000"),INDEX(Q$6:Q1455,MATCH(AC1456,AC$6:AC1455,0))))</f>
        <v/>
      </c>
      <c r="R1456" s="34">
        <f>IF(C1456="","",IF(L1456="☑ Oui","Annulée",IF(OR(E1456="Vente directe",K1456&lt;&gt;""),"Livrée",IF(J1456&lt;&gt;"","Confirmée","En attente"))))</f>
        <v/>
      </c>
      <c r="S1456" s="34">
        <f>IF(F1456="","",IFERROR(VLOOKUP(F1456,T_Produits,2,FALSE),""))</f>
        <v/>
      </c>
      <c r="T1456" s="40">
        <f>IF(F1456="","",IFERROR(1/(1/VLOOKUP(F1456,T_Produits,3,FALSE)),""))</f>
        <v/>
      </c>
      <c r="U1456" s="40">
        <f>IF(H1456&lt;&gt;"",H1456,T1456)</f>
        <v/>
      </c>
      <c r="V1456" s="40">
        <f>IF(OR(G1456="",U1456=""),"",G1456*U1456-N(I1456))</f>
        <v/>
      </c>
      <c r="W1456" s="39">
        <f>IF(D1456="","",IFERROR(VALUE(MID(D1456,LEN(D1456)-3,3)),""))</f>
        <v/>
      </c>
      <c r="X1456" s="33">
        <f>IF(W1456="","",P1456&amp;"|"&amp;W1456)</f>
        <v/>
      </c>
      <c r="Y1456" s="33">
        <f>IF(W1456="","",IF(P1456="À RENSEIGNER","GIC",P1456)&amp;"-"&amp;TEXT(W1456,"000"))</f>
        <v/>
      </c>
      <c r="Z1456" s="33">
        <f>IF(X1456="","",IFERROR(INDEX(Cl_nom,MATCH(X1456,Cl_cle,0)),"(client introuvable)"))</f>
        <v/>
      </c>
      <c r="AA1456" s="33">
        <f>IF(X1456="","",IFERROR(INDEX(Cl_quartier,MATCH(X1456,Cl_cle,0))&amp;"",""))</f>
        <v/>
      </c>
      <c r="AB1456" s="45">
        <f>IF(R1456&lt;&gt;"Livrée",0,IF(K1456&lt;&gt;"",K1456,C1456))</f>
        <v/>
      </c>
      <c r="AC1456" s="33">
        <f>IF(OR(C1456="",W1456=""),"",P1456&amp;"|"&amp;W1456&amp;"|"&amp;C1456&amp;"|"&amp;E1456)</f>
        <v/>
      </c>
      <c r="AD1456" s="39">
        <f>IF(AC1456="","",IF(COUNTIF(AC$6:AC1456,AC1456)=1,1,0))</f>
        <v/>
      </c>
      <c r="AE1456" s="39">
        <f>IF(AB1456=0,"",IF(COUNTIFS(X$6:X1456,X1456,AB$6:AB1456,AB1456)=1,1,0))</f>
        <v/>
      </c>
      <c r="AF1456" s="34">
        <f>IF(C1456="","",YEAR(C1456-WEEKDAY(C1456,2)+4)&amp;"-S"&amp;TEXT(INT((C1456-DATE(YEAR(C1456-WEEKDAY(C1456,2)+4),1,3)+WEEKDAY(DATE(YEAR(C1456-WEEKDAY(C1456,2)+4),1,3),2)+5)/7),"00"))</f>
        <v/>
      </c>
    </row>
    <row r="1457" ht="18" customHeight="1">
      <c r="A1457" s="39" t="n">
        <v>1452</v>
      </c>
      <c r="B1457" s="33">
        <f>IF(C1457="","",IF(P1457="À RENSEIGNER","GIC",P1457)&amp;"-C"&amp;TEXT(A1457,"00000"))</f>
        <v/>
      </c>
      <c r="C1457" s="32" t="n"/>
      <c r="D1457" s="36" t="n"/>
      <c r="E1457" s="36" t="n"/>
      <c r="F1457" s="36" t="n"/>
      <c r="G1457" s="42" t="n"/>
      <c r="H1457" s="37" t="n"/>
      <c r="I1457" s="37" t="n"/>
      <c r="J1457" s="32" t="n"/>
      <c r="K1457" s="32" t="n"/>
      <c r="L1457" s="43" t="n"/>
      <c r="M1457" s="36" t="n"/>
      <c r="N1457" s="44" t="n"/>
      <c r="O1457" s="36" t="n"/>
      <c r="P1457" s="33">
        <f>IF(C1457="","",Commercial_Id)</f>
        <v/>
      </c>
      <c r="Q1457" s="34">
        <f>IF(AC1457="","",IF(AD1457=1,"C"&amp;TEXT(SUM(AD$6:AD1457),"0000"),INDEX(Q$6:Q1456,MATCH(AC1457,AC$6:AC1456,0))))</f>
        <v/>
      </c>
      <c r="R1457" s="34">
        <f>IF(C1457="","",IF(L1457="☑ Oui","Annulée",IF(OR(E1457="Vente directe",K1457&lt;&gt;""),"Livrée",IF(J1457&lt;&gt;"","Confirmée","En attente"))))</f>
        <v/>
      </c>
      <c r="S1457" s="34">
        <f>IF(F1457="","",IFERROR(VLOOKUP(F1457,T_Produits,2,FALSE),""))</f>
        <v/>
      </c>
      <c r="T1457" s="40">
        <f>IF(F1457="","",IFERROR(1/(1/VLOOKUP(F1457,T_Produits,3,FALSE)),""))</f>
        <v/>
      </c>
      <c r="U1457" s="40">
        <f>IF(H1457&lt;&gt;"",H1457,T1457)</f>
        <v/>
      </c>
      <c r="V1457" s="40">
        <f>IF(OR(G1457="",U1457=""),"",G1457*U1457-N(I1457))</f>
        <v/>
      </c>
      <c r="W1457" s="39">
        <f>IF(D1457="","",IFERROR(VALUE(MID(D1457,LEN(D1457)-3,3)),""))</f>
        <v/>
      </c>
      <c r="X1457" s="33">
        <f>IF(W1457="","",P1457&amp;"|"&amp;W1457)</f>
        <v/>
      </c>
      <c r="Y1457" s="33">
        <f>IF(W1457="","",IF(P1457="À RENSEIGNER","GIC",P1457)&amp;"-"&amp;TEXT(W1457,"000"))</f>
        <v/>
      </c>
      <c r="Z1457" s="33">
        <f>IF(X1457="","",IFERROR(INDEX(Cl_nom,MATCH(X1457,Cl_cle,0)),"(client introuvable)"))</f>
        <v/>
      </c>
      <c r="AA1457" s="33">
        <f>IF(X1457="","",IFERROR(INDEX(Cl_quartier,MATCH(X1457,Cl_cle,0))&amp;"",""))</f>
        <v/>
      </c>
      <c r="AB1457" s="45">
        <f>IF(R1457&lt;&gt;"Livrée",0,IF(K1457&lt;&gt;"",K1457,C1457))</f>
        <v/>
      </c>
      <c r="AC1457" s="33">
        <f>IF(OR(C1457="",W1457=""),"",P1457&amp;"|"&amp;W1457&amp;"|"&amp;C1457&amp;"|"&amp;E1457)</f>
        <v/>
      </c>
      <c r="AD1457" s="39">
        <f>IF(AC1457="","",IF(COUNTIF(AC$6:AC1457,AC1457)=1,1,0))</f>
        <v/>
      </c>
      <c r="AE1457" s="39">
        <f>IF(AB1457=0,"",IF(COUNTIFS(X$6:X1457,X1457,AB$6:AB1457,AB1457)=1,1,0))</f>
        <v/>
      </c>
      <c r="AF1457" s="34">
        <f>IF(C1457="","",YEAR(C1457-WEEKDAY(C1457,2)+4)&amp;"-S"&amp;TEXT(INT((C1457-DATE(YEAR(C1457-WEEKDAY(C1457,2)+4),1,3)+WEEKDAY(DATE(YEAR(C1457-WEEKDAY(C1457,2)+4),1,3),2)+5)/7),"00"))</f>
        <v/>
      </c>
    </row>
    <row r="1458" ht="18" customHeight="1">
      <c r="A1458" s="39" t="n">
        <v>1453</v>
      </c>
      <c r="B1458" s="33">
        <f>IF(C1458="","",IF(P1458="À RENSEIGNER","GIC",P1458)&amp;"-C"&amp;TEXT(A1458,"00000"))</f>
        <v/>
      </c>
      <c r="C1458" s="32" t="n"/>
      <c r="D1458" s="36" t="n"/>
      <c r="E1458" s="36" t="n"/>
      <c r="F1458" s="36" t="n"/>
      <c r="G1458" s="42" t="n"/>
      <c r="H1458" s="37" t="n"/>
      <c r="I1458" s="37" t="n"/>
      <c r="J1458" s="32" t="n"/>
      <c r="K1458" s="32" t="n"/>
      <c r="L1458" s="43" t="n"/>
      <c r="M1458" s="36" t="n"/>
      <c r="N1458" s="44" t="n"/>
      <c r="O1458" s="36" t="n"/>
      <c r="P1458" s="33">
        <f>IF(C1458="","",Commercial_Id)</f>
        <v/>
      </c>
      <c r="Q1458" s="34">
        <f>IF(AC1458="","",IF(AD1458=1,"C"&amp;TEXT(SUM(AD$6:AD1458),"0000"),INDEX(Q$6:Q1457,MATCH(AC1458,AC$6:AC1457,0))))</f>
        <v/>
      </c>
      <c r="R1458" s="34">
        <f>IF(C1458="","",IF(L1458="☑ Oui","Annulée",IF(OR(E1458="Vente directe",K1458&lt;&gt;""),"Livrée",IF(J1458&lt;&gt;"","Confirmée","En attente"))))</f>
        <v/>
      </c>
      <c r="S1458" s="34">
        <f>IF(F1458="","",IFERROR(VLOOKUP(F1458,T_Produits,2,FALSE),""))</f>
        <v/>
      </c>
      <c r="T1458" s="40">
        <f>IF(F1458="","",IFERROR(1/(1/VLOOKUP(F1458,T_Produits,3,FALSE)),""))</f>
        <v/>
      </c>
      <c r="U1458" s="40">
        <f>IF(H1458&lt;&gt;"",H1458,T1458)</f>
        <v/>
      </c>
      <c r="V1458" s="40">
        <f>IF(OR(G1458="",U1458=""),"",G1458*U1458-N(I1458))</f>
        <v/>
      </c>
      <c r="W1458" s="39">
        <f>IF(D1458="","",IFERROR(VALUE(MID(D1458,LEN(D1458)-3,3)),""))</f>
        <v/>
      </c>
      <c r="X1458" s="33">
        <f>IF(W1458="","",P1458&amp;"|"&amp;W1458)</f>
        <v/>
      </c>
      <c r="Y1458" s="33">
        <f>IF(W1458="","",IF(P1458="À RENSEIGNER","GIC",P1458)&amp;"-"&amp;TEXT(W1458,"000"))</f>
        <v/>
      </c>
      <c r="Z1458" s="33">
        <f>IF(X1458="","",IFERROR(INDEX(Cl_nom,MATCH(X1458,Cl_cle,0)),"(client introuvable)"))</f>
        <v/>
      </c>
      <c r="AA1458" s="33">
        <f>IF(X1458="","",IFERROR(INDEX(Cl_quartier,MATCH(X1458,Cl_cle,0))&amp;"",""))</f>
        <v/>
      </c>
      <c r="AB1458" s="45">
        <f>IF(R1458&lt;&gt;"Livrée",0,IF(K1458&lt;&gt;"",K1458,C1458))</f>
        <v/>
      </c>
      <c r="AC1458" s="33">
        <f>IF(OR(C1458="",W1458=""),"",P1458&amp;"|"&amp;W1458&amp;"|"&amp;C1458&amp;"|"&amp;E1458)</f>
        <v/>
      </c>
      <c r="AD1458" s="39">
        <f>IF(AC1458="","",IF(COUNTIF(AC$6:AC1458,AC1458)=1,1,0))</f>
        <v/>
      </c>
      <c r="AE1458" s="39">
        <f>IF(AB1458=0,"",IF(COUNTIFS(X$6:X1458,X1458,AB$6:AB1458,AB1458)=1,1,0))</f>
        <v/>
      </c>
      <c r="AF1458" s="34">
        <f>IF(C1458="","",YEAR(C1458-WEEKDAY(C1458,2)+4)&amp;"-S"&amp;TEXT(INT((C1458-DATE(YEAR(C1458-WEEKDAY(C1458,2)+4),1,3)+WEEKDAY(DATE(YEAR(C1458-WEEKDAY(C1458,2)+4),1,3),2)+5)/7),"00"))</f>
        <v/>
      </c>
    </row>
    <row r="1459" ht="18" customHeight="1">
      <c r="A1459" s="39" t="n">
        <v>1454</v>
      </c>
      <c r="B1459" s="33">
        <f>IF(C1459="","",IF(P1459="À RENSEIGNER","GIC",P1459)&amp;"-C"&amp;TEXT(A1459,"00000"))</f>
        <v/>
      </c>
      <c r="C1459" s="32" t="n"/>
      <c r="D1459" s="36" t="n"/>
      <c r="E1459" s="36" t="n"/>
      <c r="F1459" s="36" t="n"/>
      <c r="G1459" s="42" t="n"/>
      <c r="H1459" s="37" t="n"/>
      <c r="I1459" s="37" t="n"/>
      <c r="J1459" s="32" t="n"/>
      <c r="K1459" s="32" t="n"/>
      <c r="L1459" s="43" t="n"/>
      <c r="M1459" s="36" t="n"/>
      <c r="N1459" s="44" t="n"/>
      <c r="O1459" s="36" t="n"/>
      <c r="P1459" s="33">
        <f>IF(C1459="","",Commercial_Id)</f>
        <v/>
      </c>
      <c r="Q1459" s="34">
        <f>IF(AC1459="","",IF(AD1459=1,"C"&amp;TEXT(SUM(AD$6:AD1459),"0000"),INDEX(Q$6:Q1458,MATCH(AC1459,AC$6:AC1458,0))))</f>
        <v/>
      </c>
      <c r="R1459" s="34">
        <f>IF(C1459="","",IF(L1459="☑ Oui","Annulée",IF(OR(E1459="Vente directe",K1459&lt;&gt;""),"Livrée",IF(J1459&lt;&gt;"","Confirmée","En attente"))))</f>
        <v/>
      </c>
      <c r="S1459" s="34">
        <f>IF(F1459="","",IFERROR(VLOOKUP(F1459,T_Produits,2,FALSE),""))</f>
        <v/>
      </c>
      <c r="T1459" s="40">
        <f>IF(F1459="","",IFERROR(1/(1/VLOOKUP(F1459,T_Produits,3,FALSE)),""))</f>
        <v/>
      </c>
      <c r="U1459" s="40">
        <f>IF(H1459&lt;&gt;"",H1459,T1459)</f>
        <v/>
      </c>
      <c r="V1459" s="40">
        <f>IF(OR(G1459="",U1459=""),"",G1459*U1459-N(I1459))</f>
        <v/>
      </c>
      <c r="W1459" s="39">
        <f>IF(D1459="","",IFERROR(VALUE(MID(D1459,LEN(D1459)-3,3)),""))</f>
        <v/>
      </c>
      <c r="X1459" s="33">
        <f>IF(W1459="","",P1459&amp;"|"&amp;W1459)</f>
        <v/>
      </c>
      <c r="Y1459" s="33">
        <f>IF(W1459="","",IF(P1459="À RENSEIGNER","GIC",P1459)&amp;"-"&amp;TEXT(W1459,"000"))</f>
        <v/>
      </c>
      <c r="Z1459" s="33">
        <f>IF(X1459="","",IFERROR(INDEX(Cl_nom,MATCH(X1459,Cl_cle,0)),"(client introuvable)"))</f>
        <v/>
      </c>
      <c r="AA1459" s="33">
        <f>IF(X1459="","",IFERROR(INDEX(Cl_quartier,MATCH(X1459,Cl_cle,0))&amp;"",""))</f>
        <v/>
      </c>
      <c r="AB1459" s="45">
        <f>IF(R1459&lt;&gt;"Livrée",0,IF(K1459&lt;&gt;"",K1459,C1459))</f>
        <v/>
      </c>
      <c r="AC1459" s="33">
        <f>IF(OR(C1459="",W1459=""),"",P1459&amp;"|"&amp;W1459&amp;"|"&amp;C1459&amp;"|"&amp;E1459)</f>
        <v/>
      </c>
      <c r="AD1459" s="39">
        <f>IF(AC1459="","",IF(COUNTIF(AC$6:AC1459,AC1459)=1,1,0))</f>
        <v/>
      </c>
      <c r="AE1459" s="39">
        <f>IF(AB1459=0,"",IF(COUNTIFS(X$6:X1459,X1459,AB$6:AB1459,AB1459)=1,1,0))</f>
        <v/>
      </c>
      <c r="AF1459" s="34">
        <f>IF(C1459="","",YEAR(C1459-WEEKDAY(C1459,2)+4)&amp;"-S"&amp;TEXT(INT((C1459-DATE(YEAR(C1459-WEEKDAY(C1459,2)+4),1,3)+WEEKDAY(DATE(YEAR(C1459-WEEKDAY(C1459,2)+4),1,3),2)+5)/7),"00"))</f>
        <v/>
      </c>
    </row>
    <row r="1460" ht="18" customHeight="1">
      <c r="A1460" s="39" t="n">
        <v>1455</v>
      </c>
      <c r="B1460" s="33">
        <f>IF(C1460="","",IF(P1460="À RENSEIGNER","GIC",P1460)&amp;"-C"&amp;TEXT(A1460,"00000"))</f>
        <v/>
      </c>
      <c r="C1460" s="32" t="n"/>
      <c r="D1460" s="36" t="n"/>
      <c r="E1460" s="36" t="n"/>
      <c r="F1460" s="36" t="n"/>
      <c r="G1460" s="42" t="n"/>
      <c r="H1460" s="37" t="n"/>
      <c r="I1460" s="37" t="n"/>
      <c r="J1460" s="32" t="n"/>
      <c r="K1460" s="32" t="n"/>
      <c r="L1460" s="43" t="n"/>
      <c r="M1460" s="36" t="n"/>
      <c r="N1460" s="44" t="n"/>
      <c r="O1460" s="36" t="n"/>
      <c r="P1460" s="33">
        <f>IF(C1460="","",Commercial_Id)</f>
        <v/>
      </c>
      <c r="Q1460" s="34">
        <f>IF(AC1460="","",IF(AD1460=1,"C"&amp;TEXT(SUM(AD$6:AD1460),"0000"),INDEX(Q$6:Q1459,MATCH(AC1460,AC$6:AC1459,0))))</f>
        <v/>
      </c>
      <c r="R1460" s="34">
        <f>IF(C1460="","",IF(L1460="☑ Oui","Annulée",IF(OR(E1460="Vente directe",K1460&lt;&gt;""),"Livrée",IF(J1460&lt;&gt;"","Confirmée","En attente"))))</f>
        <v/>
      </c>
      <c r="S1460" s="34">
        <f>IF(F1460="","",IFERROR(VLOOKUP(F1460,T_Produits,2,FALSE),""))</f>
        <v/>
      </c>
      <c r="T1460" s="40">
        <f>IF(F1460="","",IFERROR(1/(1/VLOOKUP(F1460,T_Produits,3,FALSE)),""))</f>
        <v/>
      </c>
      <c r="U1460" s="40">
        <f>IF(H1460&lt;&gt;"",H1460,T1460)</f>
        <v/>
      </c>
      <c r="V1460" s="40">
        <f>IF(OR(G1460="",U1460=""),"",G1460*U1460-N(I1460))</f>
        <v/>
      </c>
      <c r="W1460" s="39">
        <f>IF(D1460="","",IFERROR(VALUE(MID(D1460,LEN(D1460)-3,3)),""))</f>
        <v/>
      </c>
      <c r="X1460" s="33">
        <f>IF(W1460="","",P1460&amp;"|"&amp;W1460)</f>
        <v/>
      </c>
      <c r="Y1460" s="33">
        <f>IF(W1460="","",IF(P1460="À RENSEIGNER","GIC",P1460)&amp;"-"&amp;TEXT(W1460,"000"))</f>
        <v/>
      </c>
      <c r="Z1460" s="33">
        <f>IF(X1460="","",IFERROR(INDEX(Cl_nom,MATCH(X1460,Cl_cle,0)),"(client introuvable)"))</f>
        <v/>
      </c>
      <c r="AA1460" s="33">
        <f>IF(X1460="","",IFERROR(INDEX(Cl_quartier,MATCH(X1460,Cl_cle,0))&amp;"",""))</f>
        <v/>
      </c>
      <c r="AB1460" s="45">
        <f>IF(R1460&lt;&gt;"Livrée",0,IF(K1460&lt;&gt;"",K1460,C1460))</f>
        <v/>
      </c>
      <c r="AC1460" s="33">
        <f>IF(OR(C1460="",W1460=""),"",P1460&amp;"|"&amp;W1460&amp;"|"&amp;C1460&amp;"|"&amp;E1460)</f>
        <v/>
      </c>
      <c r="AD1460" s="39">
        <f>IF(AC1460="","",IF(COUNTIF(AC$6:AC1460,AC1460)=1,1,0))</f>
        <v/>
      </c>
      <c r="AE1460" s="39">
        <f>IF(AB1460=0,"",IF(COUNTIFS(X$6:X1460,X1460,AB$6:AB1460,AB1460)=1,1,0))</f>
        <v/>
      </c>
      <c r="AF1460" s="34">
        <f>IF(C1460="","",YEAR(C1460-WEEKDAY(C1460,2)+4)&amp;"-S"&amp;TEXT(INT((C1460-DATE(YEAR(C1460-WEEKDAY(C1460,2)+4),1,3)+WEEKDAY(DATE(YEAR(C1460-WEEKDAY(C1460,2)+4),1,3),2)+5)/7),"00"))</f>
        <v/>
      </c>
    </row>
    <row r="1461" ht="18" customHeight="1">
      <c r="A1461" s="39" t="n">
        <v>1456</v>
      </c>
      <c r="B1461" s="33">
        <f>IF(C1461="","",IF(P1461="À RENSEIGNER","GIC",P1461)&amp;"-C"&amp;TEXT(A1461,"00000"))</f>
        <v/>
      </c>
      <c r="C1461" s="32" t="n"/>
      <c r="D1461" s="36" t="n"/>
      <c r="E1461" s="36" t="n"/>
      <c r="F1461" s="36" t="n"/>
      <c r="G1461" s="42" t="n"/>
      <c r="H1461" s="37" t="n"/>
      <c r="I1461" s="37" t="n"/>
      <c r="J1461" s="32" t="n"/>
      <c r="K1461" s="32" t="n"/>
      <c r="L1461" s="43" t="n"/>
      <c r="M1461" s="36" t="n"/>
      <c r="N1461" s="44" t="n"/>
      <c r="O1461" s="36" t="n"/>
      <c r="P1461" s="33">
        <f>IF(C1461="","",Commercial_Id)</f>
        <v/>
      </c>
      <c r="Q1461" s="34">
        <f>IF(AC1461="","",IF(AD1461=1,"C"&amp;TEXT(SUM(AD$6:AD1461),"0000"),INDEX(Q$6:Q1460,MATCH(AC1461,AC$6:AC1460,0))))</f>
        <v/>
      </c>
      <c r="R1461" s="34">
        <f>IF(C1461="","",IF(L1461="☑ Oui","Annulée",IF(OR(E1461="Vente directe",K1461&lt;&gt;""),"Livrée",IF(J1461&lt;&gt;"","Confirmée","En attente"))))</f>
        <v/>
      </c>
      <c r="S1461" s="34">
        <f>IF(F1461="","",IFERROR(VLOOKUP(F1461,T_Produits,2,FALSE),""))</f>
        <v/>
      </c>
      <c r="T1461" s="40">
        <f>IF(F1461="","",IFERROR(1/(1/VLOOKUP(F1461,T_Produits,3,FALSE)),""))</f>
        <v/>
      </c>
      <c r="U1461" s="40">
        <f>IF(H1461&lt;&gt;"",H1461,T1461)</f>
        <v/>
      </c>
      <c r="V1461" s="40">
        <f>IF(OR(G1461="",U1461=""),"",G1461*U1461-N(I1461))</f>
        <v/>
      </c>
      <c r="W1461" s="39">
        <f>IF(D1461="","",IFERROR(VALUE(MID(D1461,LEN(D1461)-3,3)),""))</f>
        <v/>
      </c>
      <c r="X1461" s="33">
        <f>IF(W1461="","",P1461&amp;"|"&amp;W1461)</f>
        <v/>
      </c>
      <c r="Y1461" s="33">
        <f>IF(W1461="","",IF(P1461="À RENSEIGNER","GIC",P1461)&amp;"-"&amp;TEXT(W1461,"000"))</f>
        <v/>
      </c>
      <c r="Z1461" s="33">
        <f>IF(X1461="","",IFERROR(INDEX(Cl_nom,MATCH(X1461,Cl_cle,0)),"(client introuvable)"))</f>
        <v/>
      </c>
      <c r="AA1461" s="33">
        <f>IF(X1461="","",IFERROR(INDEX(Cl_quartier,MATCH(X1461,Cl_cle,0))&amp;"",""))</f>
        <v/>
      </c>
      <c r="AB1461" s="45">
        <f>IF(R1461&lt;&gt;"Livrée",0,IF(K1461&lt;&gt;"",K1461,C1461))</f>
        <v/>
      </c>
      <c r="AC1461" s="33">
        <f>IF(OR(C1461="",W1461=""),"",P1461&amp;"|"&amp;W1461&amp;"|"&amp;C1461&amp;"|"&amp;E1461)</f>
        <v/>
      </c>
      <c r="AD1461" s="39">
        <f>IF(AC1461="","",IF(COUNTIF(AC$6:AC1461,AC1461)=1,1,0))</f>
        <v/>
      </c>
      <c r="AE1461" s="39">
        <f>IF(AB1461=0,"",IF(COUNTIFS(X$6:X1461,X1461,AB$6:AB1461,AB1461)=1,1,0))</f>
        <v/>
      </c>
      <c r="AF1461" s="34">
        <f>IF(C1461="","",YEAR(C1461-WEEKDAY(C1461,2)+4)&amp;"-S"&amp;TEXT(INT((C1461-DATE(YEAR(C1461-WEEKDAY(C1461,2)+4),1,3)+WEEKDAY(DATE(YEAR(C1461-WEEKDAY(C1461,2)+4),1,3),2)+5)/7),"00"))</f>
        <v/>
      </c>
    </row>
    <row r="1462" ht="18" customHeight="1">
      <c r="A1462" s="39" t="n">
        <v>1457</v>
      </c>
      <c r="B1462" s="33">
        <f>IF(C1462="","",IF(P1462="À RENSEIGNER","GIC",P1462)&amp;"-C"&amp;TEXT(A1462,"00000"))</f>
        <v/>
      </c>
      <c r="C1462" s="32" t="n"/>
      <c r="D1462" s="36" t="n"/>
      <c r="E1462" s="36" t="n"/>
      <c r="F1462" s="36" t="n"/>
      <c r="G1462" s="42" t="n"/>
      <c r="H1462" s="37" t="n"/>
      <c r="I1462" s="37" t="n"/>
      <c r="J1462" s="32" t="n"/>
      <c r="K1462" s="32" t="n"/>
      <c r="L1462" s="43" t="n"/>
      <c r="M1462" s="36" t="n"/>
      <c r="N1462" s="44" t="n"/>
      <c r="O1462" s="36" t="n"/>
      <c r="P1462" s="33">
        <f>IF(C1462="","",Commercial_Id)</f>
        <v/>
      </c>
      <c r="Q1462" s="34">
        <f>IF(AC1462="","",IF(AD1462=1,"C"&amp;TEXT(SUM(AD$6:AD1462),"0000"),INDEX(Q$6:Q1461,MATCH(AC1462,AC$6:AC1461,0))))</f>
        <v/>
      </c>
      <c r="R1462" s="34">
        <f>IF(C1462="","",IF(L1462="☑ Oui","Annulée",IF(OR(E1462="Vente directe",K1462&lt;&gt;""),"Livrée",IF(J1462&lt;&gt;"","Confirmée","En attente"))))</f>
        <v/>
      </c>
      <c r="S1462" s="34">
        <f>IF(F1462="","",IFERROR(VLOOKUP(F1462,T_Produits,2,FALSE),""))</f>
        <v/>
      </c>
      <c r="T1462" s="40">
        <f>IF(F1462="","",IFERROR(1/(1/VLOOKUP(F1462,T_Produits,3,FALSE)),""))</f>
        <v/>
      </c>
      <c r="U1462" s="40">
        <f>IF(H1462&lt;&gt;"",H1462,T1462)</f>
        <v/>
      </c>
      <c r="V1462" s="40">
        <f>IF(OR(G1462="",U1462=""),"",G1462*U1462-N(I1462))</f>
        <v/>
      </c>
      <c r="W1462" s="39">
        <f>IF(D1462="","",IFERROR(VALUE(MID(D1462,LEN(D1462)-3,3)),""))</f>
        <v/>
      </c>
      <c r="X1462" s="33">
        <f>IF(W1462="","",P1462&amp;"|"&amp;W1462)</f>
        <v/>
      </c>
      <c r="Y1462" s="33">
        <f>IF(W1462="","",IF(P1462="À RENSEIGNER","GIC",P1462)&amp;"-"&amp;TEXT(W1462,"000"))</f>
        <v/>
      </c>
      <c r="Z1462" s="33">
        <f>IF(X1462="","",IFERROR(INDEX(Cl_nom,MATCH(X1462,Cl_cle,0)),"(client introuvable)"))</f>
        <v/>
      </c>
      <c r="AA1462" s="33">
        <f>IF(X1462="","",IFERROR(INDEX(Cl_quartier,MATCH(X1462,Cl_cle,0))&amp;"",""))</f>
        <v/>
      </c>
      <c r="AB1462" s="45">
        <f>IF(R1462&lt;&gt;"Livrée",0,IF(K1462&lt;&gt;"",K1462,C1462))</f>
        <v/>
      </c>
      <c r="AC1462" s="33">
        <f>IF(OR(C1462="",W1462=""),"",P1462&amp;"|"&amp;W1462&amp;"|"&amp;C1462&amp;"|"&amp;E1462)</f>
        <v/>
      </c>
      <c r="AD1462" s="39">
        <f>IF(AC1462="","",IF(COUNTIF(AC$6:AC1462,AC1462)=1,1,0))</f>
        <v/>
      </c>
      <c r="AE1462" s="39">
        <f>IF(AB1462=0,"",IF(COUNTIFS(X$6:X1462,X1462,AB$6:AB1462,AB1462)=1,1,0))</f>
        <v/>
      </c>
      <c r="AF1462" s="34">
        <f>IF(C1462="","",YEAR(C1462-WEEKDAY(C1462,2)+4)&amp;"-S"&amp;TEXT(INT((C1462-DATE(YEAR(C1462-WEEKDAY(C1462,2)+4),1,3)+WEEKDAY(DATE(YEAR(C1462-WEEKDAY(C1462,2)+4),1,3),2)+5)/7),"00"))</f>
        <v/>
      </c>
    </row>
    <row r="1463" ht="18" customHeight="1">
      <c r="A1463" s="39" t="n">
        <v>1458</v>
      </c>
      <c r="B1463" s="33">
        <f>IF(C1463="","",IF(P1463="À RENSEIGNER","GIC",P1463)&amp;"-C"&amp;TEXT(A1463,"00000"))</f>
        <v/>
      </c>
      <c r="C1463" s="32" t="n"/>
      <c r="D1463" s="36" t="n"/>
      <c r="E1463" s="36" t="n"/>
      <c r="F1463" s="36" t="n"/>
      <c r="G1463" s="42" t="n"/>
      <c r="H1463" s="37" t="n"/>
      <c r="I1463" s="37" t="n"/>
      <c r="J1463" s="32" t="n"/>
      <c r="K1463" s="32" t="n"/>
      <c r="L1463" s="43" t="n"/>
      <c r="M1463" s="36" t="n"/>
      <c r="N1463" s="44" t="n"/>
      <c r="O1463" s="36" t="n"/>
      <c r="P1463" s="33">
        <f>IF(C1463="","",Commercial_Id)</f>
        <v/>
      </c>
      <c r="Q1463" s="34">
        <f>IF(AC1463="","",IF(AD1463=1,"C"&amp;TEXT(SUM(AD$6:AD1463),"0000"),INDEX(Q$6:Q1462,MATCH(AC1463,AC$6:AC1462,0))))</f>
        <v/>
      </c>
      <c r="R1463" s="34">
        <f>IF(C1463="","",IF(L1463="☑ Oui","Annulée",IF(OR(E1463="Vente directe",K1463&lt;&gt;""),"Livrée",IF(J1463&lt;&gt;"","Confirmée","En attente"))))</f>
        <v/>
      </c>
      <c r="S1463" s="34">
        <f>IF(F1463="","",IFERROR(VLOOKUP(F1463,T_Produits,2,FALSE),""))</f>
        <v/>
      </c>
      <c r="T1463" s="40">
        <f>IF(F1463="","",IFERROR(1/(1/VLOOKUP(F1463,T_Produits,3,FALSE)),""))</f>
        <v/>
      </c>
      <c r="U1463" s="40">
        <f>IF(H1463&lt;&gt;"",H1463,T1463)</f>
        <v/>
      </c>
      <c r="V1463" s="40">
        <f>IF(OR(G1463="",U1463=""),"",G1463*U1463-N(I1463))</f>
        <v/>
      </c>
      <c r="W1463" s="39">
        <f>IF(D1463="","",IFERROR(VALUE(MID(D1463,LEN(D1463)-3,3)),""))</f>
        <v/>
      </c>
      <c r="X1463" s="33">
        <f>IF(W1463="","",P1463&amp;"|"&amp;W1463)</f>
        <v/>
      </c>
      <c r="Y1463" s="33">
        <f>IF(W1463="","",IF(P1463="À RENSEIGNER","GIC",P1463)&amp;"-"&amp;TEXT(W1463,"000"))</f>
        <v/>
      </c>
      <c r="Z1463" s="33">
        <f>IF(X1463="","",IFERROR(INDEX(Cl_nom,MATCH(X1463,Cl_cle,0)),"(client introuvable)"))</f>
        <v/>
      </c>
      <c r="AA1463" s="33">
        <f>IF(X1463="","",IFERROR(INDEX(Cl_quartier,MATCH(X1463,Cl_cle,0))&amp;"",""))</f>
        <v/>
      </c>
      <c r="AB1463" s="45">
        <f>IF(R1463&lt;&gt;"Livrée",0,IF(K1463&lt;&gt;"",K1463,C1463))</f>
        <v/>
      </c>
      <c r="AC1463" s="33">
        <f>IF(OR(C1463="",W1463=""),"",P1463&amp;"|"&amp;W1463&amp;"|"&amp;C1463&amp;"|"&amp;E1463)</f>
        <v/>
      </c>
      <c r="AD1463" s="39">
        <f>IF(AC1463="","",IF(COUNTIF(AC$6:AC1463,AC1463)=1,1,0))</f>
        <v/>
      </c>
      <c r="AE1463" s="39">
        <f>IF(AB1463=0,"",IF(COUNTIFS(X$6:X1463,X1463,AB$6:AB1463,AB1463)=1,1,0))</f>
        <v/>
      </c>
      <c r="AF1463" s="34">
        <f>IF(C1463="","",YEAR(C1463-WEEKDAY(C1463,2)+4)&amp;"-S"&amp;TEXT(INT((C1463-DATE(YEAR(C1463-WEEKDAY(C1463,2)+4),1,3)+WEEKDAY(DATE(YEAR(C1463-WEEKDAY(C1463,2)+4),1,3),2)+5)/7),"00"))</f>
        <v/>
      </c>
    </row>
    <row r="1464" ht="18" customHeight="1">
      <c r="A1464" s="39" t="n">
        <v>1459</v>
      </c>
      <c r="B1464" s="33">
        <f>IF(C1464="","",IF(P1464="À RENSEIGNER","GIC",P1464)&amp;"-C"&amp;TEXT(A1464,"00000"))</f>
        <v/>
      </c>
      <c r="C1464" s="32" t="n"/>
      <c r="D1464" s="36" t="n"/>
      <c r="E1464" s="36" t="n"/>
      <c r="F1464" s="36" t="n"/>
      <c r="G1464" s="42" t="n"/>
      <c r="H1464" s="37" t="n"/>
      <c r="I1464" s="37" t="n"/>
      <c r="J1464" s="32" t="n"/>
      <c r="K1464" s="32" t="n"/>
      <c r="L1464" s="43" t="n"/>
      <c r="M1464" s="36" t="n"/>
      <c r="N1464" s="44" t="n"/>
      <c r="O1464" s="36" t="n"/>
      <c r="P1464" s="33">
        <f>IF(C1464="","",Commercial_Id)</f>
        <v/>
      </c>
      <c r="Q1464" s="34">
        <f>IF(AC1464="","",IF(AD1464=1,"C"&amp;TEXT(SUM(AD$6:AD1464),"0000"),INDEX(Q$6:Q1463,MATCH(AC1464,AC$6:AC1463,0))))</f>
        <v/>
      </c>
      <c r="R1464" s="34">
        <f>IF(C1464="","",IF(L1464="☑ Oui","Annulée",IF(OR(E1464="Vente directe",K1464&lt;&gt;""),"Livrée",IF(J1464&lt;&gt;"","Confirmée","En attente"))))</f>
        <v/>
      </c>
      <c r="S1464" s="34">
        <f>IF(F1464="","",IFERROR(VLOOKUP(F1464,T_Produits,2,FALSE),""))</f>
        <v/>
      </c>
      <c r="T1464" s="40">
        <f>IF(F1464="","",IFERROR(1/(1/VLOOKUP(F1464,T_Produits,3,FALSE)),""))</f>
        <v/>
      </c>
      <c r="U1464" s="40">
        <f>IF(H1464&lt;&gt;"",H1464,T1464)</f>
        <v/>
      </c>
      <c r="V1464" s="40">
        <f>IF(OR(G1464="",U1464=""),"",G1464*U1464-N(I1464))</f>
        <v/>
      </c>
      <c r="W1464" s="39">
        <f>IF(D1464="","",IFERROR(VALUE(MID(D1464,LEN(D1464)-3,3)),""))</f>
        <v/>
      </c>
      <c r="X1464" s="33">
        <f>IF(W1464="","",P1464&amp;"|"&amp;W1464)</f>
        <v/>
      </c>
      <c r="Y1464" s="33">
        <f>IF(W1464="","",IF(P1464="À RENSEIGNER","GIC",P1464)&amp;"-"&amp;TEXT(W1464,"000"))</f>
        <v/>
      </c>
      <c r="Z1464" s="33">
        <f>IF(X1464="","",IFERROR(INDEX(Cl_nom,MATCH(X1464,Cl_cle,0)),"(client introuvable)"))</f>
        <v/>
      </c>
      <c r="AA1464" s="33">
        <f>IF(X1464="","",IFERROR(INDEX(Cl_quartier,MATCH(X1464,Cl_cle,0))&amp;"",""))</f>
        <v/>
      </c>
      <c r="AB1464" s="45">
        <f>IF(R1464&lt;&gt;"Livrée",0,IF(K1464&lt;&gt;"",K1464,C1464))</f>
        <v/>
      </c>
      <c r="AC1464" s="33">
        <f>IF(OR(C1464="",W1464=""),"",P1464&amp;"|"&amp;W1464&amp;"|"&amp;C1464&amp;"|"&amp;E1464)</f>
        <v/>
      </c>
      <c r="AD1464" s="39">
        <f>IF(AC1464="","",IF(COUNTIF(AC$6:AC1464,AC1464)=1,1,0))</f>
        <v/>
      </c>
      <c r="AE1464" s="39">
        <f>IF(AB1464=0,"",IF(COUNTIFS(X$6:X1464,X1464,AB$6:AB1464,AB1464)=1,1,0))</f>
        <v/>
      </c>
      <c r="AF1464" s="34">
        <f>IF(C1464="","",YEAR(C1464-WEEKDAY(C1464,2)+4)&amp;"-S"&amp;TEXT(INT((C1464-DATE(YEAR(C1464-WEEKDAY(C1464,2)+4),1,3)+WEEKDAY(DATE(YEAR(C1464-WEEKDAY(C1464,2)+4),1,3),2)+5)/7),"00"))</f>
        <v/>
      </c>
    </row>
    <row r="1465" ht="18" customHeight="1">
      <c r="A1465" s="39" t="n">
        <v>1460</v>
      </c>
      <c r="B1465" s="33">
        <f>IF(C1465="","",IF(P1465="À RENSEIGNER","GIC",P1465)&amp;"-C"&amp;TEXT(A1465,"00000"))</f>
        <v/>
      </c>
      <c r="C1465" s="32" t="n"/>
      <c r="D1465" s="36" t="n"/>
      <c r="E1465" s="36" t="n"/>
      <c r="F1465" s="36" t="n"/>
      <c r="G1465" s="42" t="n"/>
      <c r="H1465" s="37" t="n"/>
      <c r="I1465" s="37" t="n"/>
      <c r="J1465" s="32" t="n"/>
      <c r="K1465" s="32" t="n"/>
      <c r="L1465" s="43" t="n"/>
      <c r="M1465" s="36" t="n"/>
      <c r="N1465" s="44" t="n"/>
      <c r="O1465" s="36" t="n"/>
      <c r="P1465" s="33">
        <f>IF(C1465="","",Commercial_Id)</f>
        <v/>
      </c>
      <c r="Q1465" s="34">
        <f>IF(AC1465="","",IF(AD1465=1,"C"&amp;TEXT(SUM(AD$6:AD1465),"0000"),INDEX(Q$6:Q1464,MATCH(AC1465,AC$6:AC1464,0))))</f>
        <v/>
      </c>
      <c r="R1465" s="34">
        <f>IF(C1465="","",IF(L1465="☑ Oui","Annulée",IF(OR(E1465="Vente directe",K1465&lt;&gt;""),"Livrée",IF(J1465&lt;&gt;"","Confirmée","En attente"))))</f>
        <v/>
      </c>
      <c r="S1465" s="34">
        <f>IF(F1465="","",IFERROR(VLOOKUP(F1465,T_Produits,2,FALSE),""))</f>
        <v/>
      </c>
      <c r="T1465" s="40">
        <f>IF(F1465="","",IFERROR(1/(1/VLOOKUP(F1465,T_Produits,3,FALSE)),""))</f>
        <v/>
      </c>
      <c r="U1465" s="40">
        <f>IF(H1465&lt;&gt;"",H1465,T1465)</f>
        <v/>
      </c>
      <c r="V1465" s="40">
        <f>IF(OR(G1465="",U1465=""),"",G1465*U1465-N(I1465))</f>
        <v/>
      </c>
      <c r="W1465" s="39">
        <f>IF(D1465="","",IFERROR(VALUE(MID(D1465,LEN(D1465)-3,3)),""))</f>
        <v/>
      </c>
      <c r="X1465" s="33">
        <f>IF(W1465="","",P1465&amp;"|"&amp;W1465)</f>
        <v/>
      </c>
      <c r="Y1465" s="33">
        <f>IF(W1465="","",IF(P1465="À RENSEIGNER","GIC",P1465)&amp;"-"&amp;TEXT(W1465,"000"))</f>
        <v/>
      </c>
      <c r="Z1465" s="33">
        <f>IF(X1465="","",IFERROR(INDEX(Cl_nom,MATCH(X1465,Cl_cle,0)),"(client introuvable)"))</f>
        <v/>
      </c>
      <c r="AA1465" s="33">
        <f>IF(X1465="","",IFERROR(INDEX(Cl_quartier,MATCH(X1465,Cl_cle,0))&amp;"",""))</f>
        <v/>
      </c>
      <c r="AB1465" s="45">
        <f>IF(R1465&lt;&gt;"Livrée",0,IF(K1465&lt;&gt;"",K1465,C1465))</f>
        <v/>
      </c>
      <c r="AC1465" s="33">
        <f>IF(OR(C1465="",W1465=""),"",P1465&amp;"|"&amp;W1465&amp;"|"&amp;C1465&amp;"|"&amp;E1465)</f>
        <v/>
      </c>
      <c r="AD1465" s="39">
        <f>IF(AC1465="","",IF(COUNTIF(AC$6:AC1465,AC1465)=1,1,0))</f>
        <v/>
      </c>
      <c r="AE1465" s="39">
        <f>IF(AB1465=0,"",IF(COUNTIFS(X$6:X1465,X1465,AB$6:AB1465,AB1465)=1,1,0))</f>
        <v/>
      </c>
      <c r="AF1465" s="34">
        <f>IF(C1465="","",YEAR(C1465-WEEKDAY(C1465,2)+4)&amp;"-S"&amp;TEXT(INT((C1465-DATE(YEAR(C1465-WEEKDAY(C1465,2)+4),1,3)+WEEKDAY(DATE(YEAR(C1465-WEEKDAY(C1465,2)+4),1,3),2)+5)/7),"00"))</f>
        <v/>
      </c>
    </row>
    <row r="1466" ht="18" customHeight="1">
      <c r="A1466" s="39" t="n">
        <v>1461</v>
      </c>
      <c r="B1466" s="33">
        <f>IF(C1466="","",IF(P1466="À RENSEIGNER","GIC",P1466)&amp;"-C"&amp;TEXT(A1466,"00000"))</f>
        <v/>
      </c>
      <c r="C1466" s="32" t="n"/>
      <c r="D1466" s="36" t="n"/>
      <c r="E1466" s="36" t="n"/>
      <c r="F1466" s="36" t="n"/>
      <c r="G1466" s="42" t="n"/>
      <c r="H1466" s="37" t="n"/>
      <c r="I1466" s="37" t="n"/>
      <c r="J1466" s="32" t="n"/>
      <c r="K1466" s="32" t="n"/>
      <c r="L1466" s="43" t="n"/>
      <c r="M1466" s="36" t="n"/>
      <c r="N1466" s="44" t="n"/>
      <c r="O1466" s="36" t="n"/>
      <c r="P1466" s="33">
        <f>IF(C1466="","",Commercial_Id)</f>
        <v/>
      </c>
      <c r="Q1466" s="34">
        <f>IF(AC1466="","",IF(AD1466=1,"C"&amp;TEXT(SUM(AD$6:AD1466),"0000"),INDEX(Q$6:Q1465,MATCH(AC1466,AC$6:AC1465,0))))</f>
        <v/>
      </c>
      <c r="R1466" s="34">
        <f>IF(C1466="","",IF(L1466="☑ Oui","Annulée",IF(OR(E1466="Vente directe",K1466&lt;&gt;""),"Livrée",IF(J1466&lt;&gt;"","Confirmée","En attente"))))</f>
        <v/>
      </c>
      <c r="S1466" s="34">
        <f>IF(F1466="","",IFERROR(VLOOKUP(F1466,T_Produits,2,FALSE),""))</f>
        <v/>
      </c>
      <c r="T1466" s="40">
        <f>IF(F1466="","",IFERROR(1/(1/VLOOKUP(F1466,T_Produits,3,FALSE)),""))</f>
        <v/>
      </c>
      <c r="U1466" s="40">
        <f>IF(H1466&lt;&gt;"",H1466,T1466)</f>
        <v/>
      </c>
      <c r="V1466" s="40">
        <f>IF(OR(G1466="",U1466=""),"",G1466*U1466-N(I1466))</f>
        <v/>
      </c>
      <c r="W1466" s="39">
        <f>IF(D1466="","",IFERROR(VALUE(MID(D1466,LEN(D1466)-3,3)),""))</f>
        <v/>
      </c>
      <c r="X1466" s="33">
        <f>IF(W1466="","",P1466&amp;"|"&amp;W1466)</f>
        <v/>
      </c>
      <c r="Y1466" s="33">
        <f>IF(W1466="","",IF(P1466="À RENSEIGNER","GIC",P1466)&amp;"-"&amp;TEXT(W1466,"000"))</f>
        <v/>
      </c>
      <c r="Z1466" s="33">
        <f>IF(X1466="","",IFERROR(INDEX(Cl_nom,MATCH(X1466,Cl_cle,0)),"(client introuvable)"))</f>
        <v/>
      </c>
      <c r="AA1466" s="33">
        <f>IF(X1466="","",IFERROR(INDEX(Cl_quartier,MATCH(X1466,Cl_cle,0))&amp;"",""))</f>
        <v/>
      </c>
      <c r="AB1466" s="45">
        <f>IF(R1466&lt;&gt;"Livrée",0,IF(K1466&lt;&gt;"",K1466,C1466))</f>
        <v/>
      </c>
      <c r="AC1466" s="33">
        <f>IF(OR(C1466="",W1466=""),"",P1466&amp;"|"&amp;W1466&amp;"|"&amp;C1466&amp;"|"&amp;E1466)</f>
        <v/>
      </c>
      <c r="AD1466" s="39">
        <f>IF(AC1466="","",IF(COUNTIF(AC$6:AC1466,AC1466)=1,1,0))</f>
        <v/>
      </c>
      <c r="AE1466" s="39">
        <f>IF(AB1466=0,"",IF(COUNTIFS(X$6:X1466,X1466,AB$6:AB1466,AB1466)=1,1,0))</f>
        <v/>
      </c>
      <c r="AF1466" s="34">
        <f>IF(C1466="","",YEAR(C1466-WEEKDAY(C1466,2)+4)&amp;"-S"&amp;TEXT(INT((C1466-DATE(YEAR(C1466-WEEKDAY(C1466,2)+4),1,3)+WEEKDAY(DATE(YEAR(C1466-WEEKDAY(C1466,2)+4),1,3),2)+5)/7),"00"))</f>
        <v/>
      </c>
    </row>
    <row r="1467" ht="18" customHeight="1">
      <c r="A1467" s="39" t="n">
        <v>1462</v>
      </c>
      <c r="B1467" s="33">
        <f>IF(C1467="","",IF(P1467="À RENSEIGNER","GIC",P1467)&amp;"-C"&amp;TEXT(A1467,"00000"))</f>
        <v/>
      </c>
      <c r="C1467" s="32" t="n"/>
      <c r="D1467" s="36" t="n"/>
      <c r="E1467" s="36" t="n"/>
      <c r="F1467" s="36" t="n"/>
      <c r="G1467" s="42" t="n"/>
      <c r="H1467" s="37" t="n"/>
      <c r="I1467" s="37" t="n"/>
      <c r="J1467" s="32" t="n"/>
      <c r="K1467" s="32" t="n"/>
      <c r="L1467" s="43" t="n"/>
      <c r="M1467" s="36" t="n"/>
      <c r="N1467" s="44" t="n"/>
      <c r="O1467" s="36" t="n"/>
      <c r="P1467" s="33">
        <f>IF(C1467="","",Commercial_Id)</f>
        <v/>
      </c>
      <c r="Q1467" s="34">
        <f>IF(AC1467="","",IF(AD1467=1,"C"&amp;TEXT(SUM(AD$6:AD1467),"0000"),INDEX(Q$6:Q1466,MATCH(AC1467,AC$6:AC1466,0))))</f>
        <v/>
      </c>
      <c r="R1467" s="34">
        <f>IF(C1467="","",IF(L1467="☑ Oui","Annulée",IF(OR(E1467="Vente directe",K1467&lt;&gt;""),"Livrée",IF(J1467&lt;&gt;"","Confirmée","En attente"))))</f>
        <v/>
      </c>
      <c r="S1467" s="34">
        <f>IF(F1467="","",IFERROR(VLOOKUP(F1467,T_Produits,2,FALSE),""))</f>
        <v/>
      </c>
      <c r="T1467" s="40">
        <f>IF(F1467="","",IFERROR(1/(1/VLOOKUP(F1467,T_Produits,3,FALSE)),""))</f>
        <v/>
      </c>
      <c r="U1467" s="40">
        <f>IF(H1467&lt;&gt;"",H1467,T1467)</f>
        <v/>
      </c>
      <c r="V1467" s="40">
        <f>IF(OR(G1467="",U1467=""),"",G1467*U1467-N(I1467))</f>
        <v/>
      </c>
      <c r="W1467" s="39">
        <f>IF(D1467="","",IFERROR(VALUE(MID(D1467,LEN(D1467)-3,3)),""))</f>
        <v/>
      </c>
      <c r="X1467" s="33">
        <f>IF(W1467="","",P1467&amp;"|"&amp;W1467)</f>
        <v/>
      </c>
      <c r="Y1467" s="33">
        <f>IF(W1467="","",IF(P1467="À RENSEIGNER","GIC",P1467)&amp;"-"&amp;TEXT(W1467,"000"))</f>
        <v/>
      </c>
      <c r="Z1467" s="33">
        <f>IF(X1467="","",IFERROR(INDEX(Cl_nom,MATCH(X1467,Cl_cle,0)),"(client introuvable)"))</f>
        <v/>
      </c>
      <c r="AA1467" s="33">
        <f>IF(X1467="","",IFERROR(INDEX(Cl_quartier,MATCH(X1467,Cl_cle,0))&amp;"",""))</f>
        <v/>
      </c>
      <c r="AB1467" s="45">
        <f>IF(R1467&lt;&gt;"Livrée",0,IF(K1467&lt;&gt;"",K1467,C1467))</f>
        <v/>
      </c>
      <c r="AC1467" s="33">
        <f>IF(OR(C1467="",W1467=""),"",P1467&amp;"|"&amp;W1467&amp;"|"&amp;C1467&amp;"|"&amp;E1467)</f>
        <v/>
      </c>
      <c r="AD1467" s="39">
        <f>IF(AC1467="","",IF(COUNTIF(AC$6:AC1467,AC1467)=1,1,0))</f>
        <v/>
      </c>
      <c r="AE1467" s="39">
        <f>IF(AB1467=0,"",IF(COUNTIFS(X$6:X1467,X1467,AB$6:AB1467,AB1467)=1,1,0))</f>
        <v/>
      </c>
      <c r="AF1467" s="34">
        <f>IF(C1467="","",YEAR(C1467-WEEKDAY(C1467,2)+4)&amp;"-S"&amp;TEXT(INT((C1467-DATE(YEAR(C1467-WEEKDAY(C1467,2)+4),1,3)+WEEKDAY(DATE(YEAR(C1467-WEEKDAY(C1467,2)+4),1,3),2)+5)/7),"00"))</f>
        <v/>
      </c>
    </row>
    <row r="1468" ht="18" customHeight="1">
      <c r="A1468" s="39" t="n">
        <v>1463</v>
      </c>
      <c r="B1468" s="33">
        <f>IF(C1468="","",IF(P1468="À RENSEIGNER","GIC",P1468)&amp;"-C"&amp;TEXT(A1468,"00000"))</f>
        <v/>
      </c>
      <c r="C1468" s="32" t="n"/>
      <c r="D1468" s="36" t="n"/>
      <c r="E1468" s="36" t="n"/>
      <c r="F1468" s="36" t="n"/>
      <c r="G1468" s="42" t="n"/>
      <c r="H1468" s="37" t="n"/>
      <c r="I1468" s="37" t="n"/>
      <c r="J1468" s="32" t="n"/>
      <c r="K1468" s="32" t="n"/>
      <c r="L1468" s="43" t="n"/>
      <c r="M1468" s="36" t="n"/>
      <c r="N1468" s="44" t="n"/>
      <c r="O1468" s="36" t="n"/>
      <c r="P1468" s="33">
        <f>IF(C1468="","",Commercial_Id)</f>
        <v/>
      </c>
      <c r="Q1468" s="34">
        <f>IF(AC1468="","",IF(AD1468=1,"C"&amp;TEXT(SUM(AD$6:AD1468),"0000"),INDEX(Q$6:Q1467,MATCH(AC1468,AC$6:AC1467,0))))</f>
        <v/>
      </c>
      <c r="R1468" s="34">
        <f>IF(C1468="","",IF(L1468="☑ Oui","Annulée",IF(OR(E1468="Vente directe",K1468&lt;&gt;""),"Livrée",IF(J1468&lt;&gt;"","Confirmée","En attente"))))</f>
        <v/>
      </c>
      <c r="S1468" s="34">
        <f>IF(F1468="","",IFERROR(VLOOKUP(F1468,T_Produits,2,FALSE),""))</f>
        <v/>
      </c>
      <c r="T1468" s="40">
        <f>IF(F1468="","",IFERROR(1/(1/VLOOKUP(F1468,T_Produits,3,FALSE)),""))</f>
        <v/>
      </c>
      <c r="U1468" s="40">
        <f>IF(H1468&lt;&gt;"",H1468,T1468)</f>
        <v/>
      </c>
      <c r="V1468" s="40">
        <f>IF(OR(G1468="",U1468=""),"",G1468*U1468-N(I1468))</f>
        <v/>
      </c>
      <c r="W1468" s="39">
        <f>IF(D1468="","",IFERROR(VALUE(MID(D1468,LEN(D1468)-3,3)),""))</f>
        <v/>
      </c>
      <c r="X1468" s="33">
        <f>IF(W1468="","",P1468&amp;"|"&amp;W1468)</f>
        <v/>
      </c>
      <c r="Y1468" s="33">
        <f>IF(W1468="","",IF(P1468="À RENSEIGNER","GIC",P1468)&amp;"-"&amp;TEXT(W1468,"000"))</f>
        <v/>
      </c>
      <c r="Z1468" s="33">
        <f>IF(X1468="","",IFERROR(INDEX(Cl_nom,MATCH(X1468,Cl_cle,0)),"(client introuvable)"))</f>
        <v/>
      </c>
      <c r="AA1468" s="33">
        <f>IF(X1468="","",IFERROR(INDEX(Cl_quartier,MATCH(X1468,Cl_cle,0))&amp;"",""))</f>
        <v/>
      </c>
      <c r="AB1468" s="45">
        <f>IF(R1468&lt;&gt;"Livrée",0,IF(K1468&lt;&gt;"",K1468,C1468))</f>
        <v/>
      </c>
      <c r="AC1468" s="33">
        <f>IF(OR(C1468="",W1468=""),"",P1468&amp;"|"&amp;W1468&amp;"|"&amp;C1468&amp;"|"&amp;E1468)</f>
        <v/>
      </c>
      <c r="AD1468" s="39">
        <f>IF(AC1468="","",IF(COUNTIF(AC$6:AC1468,AC1468)=1,1,0))</f>
        <v/>
      </c>
      <c r="AE1468" s="39">
        <f>IF(AB1468=0,"",IF(COUNTIFS(X$6:X1468,X1468,AB$6:AB1468,AB1468)=1,1,0))</f>
        <v/>
      </c>
      <c r="AF1468" s="34">
        <f>IF(C1468="","",YEAR(C1468-WEEKDAY(C1468,2)+4)&amp;"-S"&amp;TEXT(INT((C1468-DATE(YEAR(C1468-WEEKDAY(C1468,2)+4),1,3)+WEEKDAY(DATE(YEAR(C1468-WEEKDAY(C1468,2)+4),1,3),2)+5)/7),"00"))</f>
        <v/>
      </c>
    </row>
    <row r="1469" ht="18" customHeight="1">
      <c r="A1469" s="39" t="n">
        <v>1464</v>
      </c>
      <c r="B1469" s="33">
        <f>IF(C1469="","",IF(P1469="À RENSEIGNER","GIC",P1469)&amp;"-C"&amp;TEXT(A1469,"00000"))</f>
        <v/>
      </c>
      <c r="C1469" s="32" t="n"/>
      <c r="D1469" s="36" t="n"/>
      <c r="E1469" s="36" t="n"/>
      <c r="F1469" s="36" t="n"/>
      <c r="G1469" s="42" t="n"/>
      <c r="H1469" s="37" t="n"/>
      <c r="I1469" s="37" t="n"/>
      <c r="J1469" s="32" t="n"/>
      <c r="K1469" s="32" t="n"/>
      <c r="L1469" s="43" t="n"/>
      <c r="M1469" s="36" t="n"/>
      <c r="N1469" s="44" t="n"/>
      <c r="O1469" s="36" t="n"/>
      <c r="P1469" s="33">
        <f>IF(C1469="","",Commercial_Id)</f>
        <v/>
      </c>
      <c r="Q1469" s="34">
        <f>IF(AC1469="","",IF(AD1469=1,"C"&amp;TEXT(SUM(AD$6:AD1469),"0000"),INDEX(Q$6:Q1468,MATCH(AC1469,AC$6:AC1468,0))))</f>
        <v/>
      </c>
      <c r="R1469" s="34">
        <f>IF(C1469="","",IF(L1469="☑ Oui","Annulée",IF(OR(E1469="Vente directe",K1469&lt;&gt;""),"Livrée",IF(J1469&lt;&gt;"","Confirmée","En attente"))))</f>
        <v/>
      </c>
      <c r="S1469" s="34">
        <f>IF(F1469="","",IFERROR(VLOOKUP(F1469,T_Produits,2,FALSE),""))</f>
        <v/>
      </c>
      <c r="T1469" s="40">
        <f>IF(F1469="","",IFERROR(1/(1/VLOOKUP(F1469,T_Produits,3,FALSE)),""))</f>
        <v/>
      </c>
      <c r="U1469" s="40">
        <f>IF(H1469&lt;&gt;"",H1469,T1469)</f>
        <v/>
      </c>
      <c r="V1469" s="40">
        <f>IF(OR(G1469="",U1469=""),"",G1469*U1469-N(I1469))</f>
        <v/>
      </c>
      <c r="W1469" s="39">
        <f>IF(D1469="","",IFERROR(VALUE(MID(D1469,LEN(D1469)-3,3)),""))</f>
        <v/>
      </c>
      <c r="X1469" s="33">
        <f>IF(W1469="","",P1469&amp;"|"&amp;W1469)</f>
        <v/>
      </c>
      <c r="Y1469" s="33">
        <f>IF(W1469="","",IF(P1469="À RENSEIGNER","GIC",P1469)&amp;"-"&amp;TEXT(W1469,"000"))</f>
        <v/>
      </c>
      <c r="Z1469" s="33">
        <f>IF(X1469="","",IFERROR(INDEX(Cl_nom,MATCH(X1469,Cl_cle,0)),"(client introuvable)"))</f>
        <v/>
      </c>
      <c r="AA1469" s="33">
        <f>IF(X1469="","",IFERROR(INDEX(Cl_quartier,MATCH(X1469,Cl_cle,0))&amp;"",""))</f>
        <v/>
      </c>
      <c r="AB1469" s="45">
        <f>IF(R1469&lt;&gt;"Livrée",0,IF(K1469&lt;&gt;"",K1469,C1469))</f>
        <v/>
      </c>
      <c r="AC1469" s="33">
        <f>IF(OR(C1469="",W1469=""),"",P1469&amp;"|"&amp;W1469&amp;"|"&amp;C1469&amp;"|"&amp;E1469)</f>
        <v/>
      </c>
      <c r="AD1469" s="39">
        <f>IF(AC1469="","",IF(COUNTIF(AC$6:AC1469,AC1469)=1,1,0))</f>
        <v/>
      </c>
      <c r="AE1469" s="39">
        <f>IF(AB1469=0,"",IF(COUNTIFS(X$6:X1469,X1469,AB$6:AB1469,AB1469)=1,1,0))</f>
        <v/>
      </c>
      <c r="AF1469" s="34">
        <f>IF(C1469="","",YEAR(C1469-WEEKDAY(C1469,2)+4)&amp;"-S"&amp;TEXT(INT((C1469-DATE(YEAR(C1469-WEEKDAY(C1469,2)+4),1,3)+WEEKDAY(DATE(YEAR(C1469-WEEKDAY(C1469,2)+4),1,3),2)+5)/7),"00"))</f>
        <v/>
      </c>
    </row>
    <row r="1470" ht="18" customHeight="1">
      <c r="A1470" s="39" t="n">
        <v>1465</v>
      </c>
      <c r="B1470" s="33">
        <f>IF(C1470="","",IF(P1470="À RENSEIGNER","GIC",P1470)&amp;"-C"&amp;TEXT(A1470,"00000"))</f>
        <v/>
      </c>
      <c r="C1470" s="32" t="n"/>
      <c r="D1470" s="36" t="n"/>
      <c r="E1470" s="36" t="n"/>
      <c r="F1470" s="36" t="n"/>
      <c r="G1470" s="42" t="n"/>
      <c r="H1470" s="37" t="n"/>
      <c r="I1470" s="37" t="n"/>
      <c r="J1470" s="32" t="n"/>
      <c r="K1470" s="32" t="n"/>
      <c r="L1470" s="43" t="n"/>
      <c r="M1470" s="36" t="n"/>
      <c r="N1470" s="44" t="n"/>
      <c r="O1470" s="36" t="n"/>
      <c r="P1470" s="33">
        <f>IF(C1470="","",Commercial_Id)</f>
        <v/>
      </c>
      <c r="Q1470" s="34">
        <f>IF(AC1470="","",IF(AD1470=1,"C"&amp;TEXT(SUM(AD$6:AD1470),"0000"),INDEX(Q$6:Q1469,MATCH(AC1470,AC$6:AC1469,0))))</f>
        <v/>
      </c>
      <c r="R1470" s="34">
        <f>IF(C1470="","",IF(L1470="☑ Oui","Annulée",IF(OR(E1470="Vente directe",K1470&lt;&gt;""),"Livrée",IF(J1470&lt;&gt;"","Confirmée","En attente"))))</f>
        <v/>
      </c>
      <c r="S1470" s="34">
        <f>IF(F1470="","",IFERROR(VLOOKUP(F1470,T_Produits,2,FALSE),""))</f>
        <v/>
      </c>
      <c r="T1470" s="40">
        <f>IF(F1470="","",IFERROR(1/(1/VLOOKUP(F1470,T_Produits,3,FALSE)),""))</f>
        <v/>
      </c>
      <c r="U1470" s="40">
        <f>IF(H1470&lt;&gt;"",H1470,T1470)</f>
        <v/>
      </c>
      <c r="V1470" s="40">
        <f>IF(OR(G1470="",U1470=""),"",G1470*U1470-N(I1470))</f>
        <v/>
      </c>
      <c r="W1470" s="39">
        <f>IF(D1470="","",IFERROR(VALUE(MID(D1470,LEN(D1470)-3,3)),""))</f>
        <v/>
      </c>
      <c r="X1470" s="33">
        <f>IF(W1470="","",P1470&amp;"|"&amp;W1470)</f>
        <v/>
      </c>
      <c r="Y1470" s="33">
        <f>IF(W1470="","",IF(P1470="À RENSEIGNER","GIC",P1470)&amp;"-"&amp;TEXT(W1470,"000"))</f>
        <v/>
      </c>
      <c r="Z1470" s="33">
        <f>IF(X1470="","",IFERROR(INDEX(Cl_nom,MATCH(X1470,Cl_cle,0)),"(client introuvable)"))</f>
        <v/>
      </c>
      <c r="AA1470" s="33">
        <f>IF(X1470="","",IFERROR(INDEX(Cl_quartier,MATCH(X1470,Cl_cle,0))&amp;"",""))</f>
        <v/>
      </c>
      <c r="AB1470" s="45">
        <f>IF(R1470&lt;&gt;"Livrée",0,IF(K1470&lt;&gt;"",K1470,C1470))</f>
        <v/>
      </c>
      <c r="AC1470" s="33">
        <f>IF(OR(C1470="",W1470=""),"",P1470&amp;"|"&amp;W1470&amp;"|"&amp;C1470&amp;"|"&amp;E1470)</f>
        <v/>
      </c>
      <c r="AD1470" s="39">
        <f>IF(AC1470="","",IF(COUNTIF(AC$6:AC1470,AC1470)=1,1,0))</f>
        <v/>
      </c>
      <c r="AE1470" s="39">
        <f>IF(AB1470=0,"",IF(COUNTIFS(X$6:X1470,X1470,AB$6:AB1470,AB1470)=1,1,0))</f>
        <v/>
      </c>
      <c r="AF1470" s="34">
        <f>IF(C1470="","",YEAR(C1470-WEEKDAY(C1470,2)+4)&amp;"-S"&amp;TEXT(INT((C1470-DATE(YEAR(C1470-WEEKDAY(C1470,2)+4),1,3)+WEEKDAY(DATE(YEAR(C1470-WEEKDAY(C1470,2)+4),1,3),2)+5)/7),"00"))</f>
        <v/>
      </c>
    </row>
    <row r="1471" ht="18" customHeight="1">
      <c r="A1471" s="39" t="n">
        <v>1466</v>
      </c>
      <c r="B1471" s="33">
        <f>IF(C1471="","",IF(P1471="À RENSEIGNER","GIC",P1471)&amp;"-C"&amp;TEXT(A1471,"00000"))</f>
        <v/>
      </c>
      <c r="C1471" s="32" t="n"/>
      <c r="D1471" s="36" t="n"/>
      <c r="E1471" s="36" t="n"/>
      <c r="F1471" s="36" t="n"/>
      <c r="G1471" s="42" t="n"/>
      <c r="H1471" s="37" t="n"/>
      <c r="I1471" s="37" t="n"/>
      <c r="J1471" s="32" t="n"/>
      <c r="K1471" s="32" t="n"/>
      <c r="L1471" s="43" t="n"/>
      <c r="M1471" s="36" t="n"/>
      <c r="N1471" s="44" t="n"/>
      <c r="O1471" s="36" t="n"/>
      <c r="P1471" s="33">
        <f>IF(C1471="","",Commercial_Id)</f>
        <v/>
      </c>
      <c r="Q1471" s="34">
        <f>IF(AC1471="","",IF(AD1471=1,"C"&amp;TEXT(SUM(AD$6:AD1471),"0000"),INDEX(Q$6:Q1470,MATCH(AC1471,AC$6:AC1470,0))))</f>
        <v/>
      </c>
      <c r="R1471" s="34">
        <f>IF(C1471="","",IF(L1471="☑ Oui","Annulée",IF(OR(E1471="Vente directe",K1471&lt;&gt;""),"Livrée",IF(J1471&lt;&gt;"","Confirmée","En attente"))))</f>
        <v/>
      </c>
      <c r="S1471" s="34">
        <f>IF(F1471="","",IFERROR(VLOOKUP(F1471,T_Produits,2,FALSE),""))</f>
        <v/>
      </c>
      <c r="T1471" s="40">
        <f>IF(F1471="","",IFERROR(1/(1/VLOOKUP(F1471,T_Produits,3,FALSE)),""))</f>
        <v/>
      </c>
      <c r="U1471" s="40">
        <f>IF(H1471&lt;&gt;"",H1471,T1471)</f>
        <v/>
      </c>
      <c r="V1471" s="40">
        <f>IF(OR(G1471="",U1471=""),"",G1471*U1471-N(I1471))</f>
        <v/>
      </c>
      <c r="W1471" s="39">
        <f>IF(D1471="","",IFERROR(VALUE(MID(D1471,LEN(D1471)-3,3)),""))</f>
        <v/>
      </c>
      <c r="X1471" s="33">
        <f>IF(W1471="","",P1471&amp;"|"&amp;W1471)</f>
        <v/>
      </c>
      <c r="Y1471" s="33">
        <f>IF(W1471="","",IF(P1471="À RENSEIGNER","GIC",P1471)&amp;"-"&amp;TEXT(W1471,"000"))</f>
        <v/>
      </c>
      <c r="Z1471" s="33">
        <f>IF(X1471="","",IFERROR(INDEX(Cl_nom,MATCH(X1471,Cl_cle,0)),"(client introuvable)"))</f>
        <v/>
      </c>
      <c r="AA1471" s="33">
        <f>IF(X1471="","",IFERROR(INDEX(Cl_quartier,MATCH(X1471,Cl_cle,0))&amp;"",""))</f>
        <v/>
      </c>
      <c r="AB1471" s="45">
        <f>IF(R1471&lt;&gt;"Livrée",0,IF(K1471&lt;&gt;"",K1471,C1471))</f>
        <v/>
      </c>
      <c r="AC1471" s="33">
        <f>IF(OR(C1471="",W1471=""),"",P1471&amp;"|"&amp;W1471&amp;"|"&amp;C1471&amp;"|"&amp;E1471)</f>
        <v/>
      </c>
      <c r="AD1471" s="39">
        <f>IF(AC1471="","",IF(COUNTIF(AC$6:AC1471,AC1471)=1,1,0))</f>
        <v/>
      </c>
      <c r="AE1471" s="39">
        <f>IF(AB1471=0,"",IF(COUNTIFS(X$6:X1471,X1471,AB$6:AB1471,AB1471)=1,1,0))</f>
        <v/>
      </c>
      <c r="AF1471" s="34">
        <f>IF(C1471="","",YEAR(C1471-WEEKDAY(C1471,2)+4)&amp;"-S"&amp;TEXT(INT((C1471-DATE(YEAR(C1471-WEEKDAY(C1471,2)+4),1,3)+WEEKDAY(DATE(YEAR(C1471-WEEKDAY(C1471,2)+4),1,3),2)+5)/7),"00"))</f>
        <v/>
      </c>
    </row>
    <row r="1472" ht="18" customHeight="1">
      <c r="A1472" s="39" t="n">
        <v>1467</v>
      </c>
      <c r="B1472" s="33">
        <f>IF(C1472="","",IF(P1472="À RENSEIGNER","GIC",P1472)&amp;"-C"&amp;TEXT(A1472,"00000"))</f>
        <v/>
      </c>
      <c r="C1472" s="32" t="n"/>
      <c r="D1472" s="36" t="n"/>
      <c r="E1472" s="36" t="n"/>
      <c r="F1472" s="36" t="n"/>
      <c r="G1472" s="42" t="n"/>
      <c r="H1472" s="37" t="n"/>
      <c r="I1472" s="37" t="n"/>
      <c r="J1472" s="32" t="n"/>
      <c r="K1472" s="32" t="n"/>
      <c r="L1472" s="43" t="n"/>
      <c r="M1472" s="36" t="n"/>
      <c r="N1472" s="44" t="n"/>
      <c r="O1472" s="36" t="n"/>
      <c r="P1472" s="33">
        <f>IF(C1472="","",Commercial_Id)</f>
        <v/>
      </c>
      <c r="Q1472" s="34">
        <f>IF(AC1472="","",IF(AD1472=1,"C"&amp;TEXT(SUM(AD$6:AD1472),"0000"),INDEX(Q$6:Q1471,MATCH(AC1472,AC$6:AC1471,0))))</f>
        <v/>
      </c>
      <c r="R1472" s="34">
        <f>IF(C1472="","",IF(L1472="☑ Oui","Annulée",IF(OR(E1472="Vente directe",K1472&lt;&gt;""),"Livrée",IF(J1472&lt;&gt;"","Confirmée","En attente"))))</f>
        <v/>
      </c>
      <c r="S1472" s="34">
        <f>IF(F1472="","",IFERROR(VLOOKUP(F1472,T_Produits,2,FALSE),""))</f>
        <v/>
      </c>
      <c r="T1472" s="40">
        <f>IF(F1472="","",IFERROR(1/(1/VLOOKUP(F1472,T_Produits,3,FALSE)),""))</f>
        <v/>
      </c>
      <c r="U1472" s="40">
        <f>IF(H1472&lt;&gt;"",H1472,T1472)</f>
        <v/>
      </c>
      <c r="V1472" s="40">
        <f>IF(OR(G1472="",U1472=""),"",G1472*U1472-N(I1472))</f>
        <v/>
      </c>
      <c r="W1472" s="39">
        <f>IF(D1472="","",IFERROR(VALUE(MID(D1472,LEN(D1472)-3,3)),""))</f>
        <v/>
      </c>
      <c r="X1472" s="33">
        <f>IF(W1472="","",P1472&amp;"|"&amp;W1472)</f>
        <v/>
      </c>
      <c r="Y1472" s="33">
        <f>IF(W1472="","",IF(P1472="À RENSEIGNER","GIC",P1472)&amp;"-"&amp;TEXT(W1472,"000"))</f>
        <v/>
      </c>
      <c r="Z1472" s="33">
        <f>IF(X1472="","",IFERROR(INDEX(Cl_nom,MATCH(X1472,Cl_cle,0)),"(client introuvable)"))</f>
        <v/>
      </c>
      <c r="AA1472" s="33">
        <f>IF(X1472="","",IFERROR(INDEX(Cl_quartier,MATCH(X1472,Cl_cle,0))&amp;"",""))</f>
        <v/>
      </c>
      <c r="AB1472" s="45">
        <f>IF(R1472&lt;&gt;"Livrée",0,IF(K1472&lt;&gt;"",K1472,C1472))</f>
        <v/>
      </c>
      <c r="AC1472" s="33">
        <f>IF(OR(C1472="",W1472=""),"",P1472&amp;"|"&amp;W1472&amp;"|"&amp;C1472&amp;"|"&amp;E1472)</f>
        <v/>
      </c>
      <c r="AD1472" s="39">
        <f>IF(AC1472="","",IF(COUNTIF(AC$6:AC1472,AC1472)=1,1,0))</f>
        <v/>
      </c>
      <c r="AE1472" s="39">
        <f>IF(AB1472=0,"",IF(COUNTIFS(X$6:X1472,X1472,AB$6:AB1472,AB1472)=1,1,0))</f>
        <v/>
      </c>
      <c r="AF1472" s="34">
        <f>IF(C1472="","",YEAR(C1472-WEEKDAY(C1472,2)+4)&amp;"-S"&amp;TEXT(INT((C1472-DATE(YEAR(C1472-WEEKDAY(C1472,2)+4),1,3)+WEEKDAY(DATE(YEAR(C1472-WEEKDAY(C1472,2)+4),1,3),2)+5)/7),"00"))</f>
        <v/>
      </c>
    </row>
    <row r="1473" ht="18" customHeight="1">
      <c r="A1473" s="39" t="n">
        <v>1468</v>
      </c>
      <c r="B1473" s="33">
        <f>IF(C1473="","",IF(P1473="À RENSEIGNER","GIC",P1473)&amp;"-C"&amp;TEXT(A1473,"00000"))</f>
        <v/>
      </c>
      <c r="C1473" s="32" t="n"/>
      <c r="D1473" s="36" t="n"/>
      <c r="E1473" s="36" t="n"/>
      <c r="F1473" s="36" t="n"/>
      <c r="G1473" s="42" t="n"/>
      <c r="H1473" s="37" t="n"/>
      <c r="I1473" s="37" t="n"/>
      <c r="J1473" s="32" t="n"/>
      <c r="K1473" s="32" t="n"/>
      <c r="L1473" s="43" t="n"/>
      <c r="M1473" s="36" t="n"/>
      <c r="N1473" s="44" t="n"/>
      <c r="O1473" s="36" t="n"/>
      <c r="P1473" s="33">
        <f>IF(C1473="","",Commercial_Id)</f>
        <v/>
      </c>
      <c r="Q1473" s="34">
        <f>IF(AC1473="","",IF(AD1473=1,"C"&amp;TEXT(SUM(AD$6:AD1473),"0000"),INDEX(Q$6:Q1472,MATCH(AC1473,AC$6:AC1472,0))))</f>
        <v/>
      </c>
      <c r="R1473" s="34">
        <f>IF(C1473="","",IF(L1473="☑ Oui","Annulée",IF(OR(E1473="Vente directe",K1473&lt;&gt;""),"Livrée",IF(J1473&lt;&gt;"","Confirmée","En attente"))))</f>
        <v/>
      </c>
      <c r="S1473" s="34">
        <f>IF(F1473="","",IFERROR(VLOOKUP(F1473,T_Produits,2,FALSE),""))</f>
        <v/>
      </c>
      <c r="T1473" s="40">
        <f>IF(F1473="","",IFERROR(1/(1/VLOOKUP(F1473,T_Produits,3,FALSE)),""))</f>
        <v/>
      </c>
      <c r="U1473" s="40">
        <f>IF(H1473&lt;&gt;"",H1473,T1473)</f>
        <v/>
      </c>
      <c r="V1473" s="40">
        <f>IF(OR(G1473="",U1473=""),"",G1473*U1473-N(I1473))</f>
        <v/>
      </c>
      <c r="W1473" s="39">
        <f>IF(D1473="","",IFERROR(VALUE(MID(D1473,LEN(D1473)-3,3)),""))</f>
        <v/>
      </c>
      <c r="X1473" s="33">
        <f>IF(W1473="","",P1473&amp;"|"&amp;W1473)</f>
        <v/>
      </c>
      <c r="Y1473" s="33">
        <f>IF(W1473="","",IF(P1473="À RENSEIGNER","GIC",P1473)&amp;"-"&amp;TEXT(W1473,"000"))</f>
        <v/>
      </c>
      <c r="Z1473" s="33">
        <f>IF(X1473="","",IFERROR(INDEX(Cl_nom,MATCH(X1473,Cl_cle,0)),"(client introuvable)"))</f>
        <v/>
      </c>
      <c r="AA1473" s="33">
        <f>IF(X1473="","",IFERROR(INDEX(Cl_quartier,MATCH(X1473,Cl_cle,0))&amp;"",""))</f>
        <v/>
      </c>
      <c r="AB1473" s="45">
        <f>IF(R1473&lt;&gt;"Livrée",0,IF(K1473&lt;&gt;"",K1473,C1473))</f>
        <v/>
      </c>
      <c r="AC1473" s="33">
        <f>IF(OR(C1473="",W1473=""),"",P1473&amp;"|"&amp;W1473&amp;"|"&amp;C1473&amp;"|"&amp;E1473)</f>
        <v/>
      </c>
      <c r="AD1473" s="39">
        <f>IF(AC1473="","",IF(COUNTIF(AC$6:AC1473,AC1473)=1,1,0))</f>
        <v/>
      </c>
      <c r="AE1473" s="39">
        <f>IF(AB1473=0,"",IF(COUNTIFS(X$6:X1473,X1473,AB$6:AB1473,AB1473)=1,1,0))</f>
        <v/>
      </c>
      <c r="AF1473" s="34">
        <f>IF(C1473="","",YEAR(C1473-WEEKDAY(C1473,2)+4)&amp;"-S"&amp;TEXT(INT((C1473-DATE(YEAR(C1473-WEEKDAY(C1473,2)+4),1,3)+WEEKDAY(DATE(YEAR(C1473-WEEKDAY(C1473,2)+4),1,3),2)+5)/7),"00"))</f>
        <v/>
      </c>
    </row>
    <row r="1474" ht="18" customHeight="1">
      <c r="A1474" s="39" t="n">
        <v>1469</v>
      </c>
      <c r="B1474" s="33">
        <f>IF(C1474="","",IF(P1474="À RENSEIGNER","GIC",P1474)&amp;"-C"&amp;TEXT(A1474,"00000"))</f>
        <v/>
      </c>
      <c r="C1474" s="32" t="n"/>
      <c r="D1474" s="36" t="n"/>
      <c r="E1474" s="36" t="n"/>
      <c r="F1474" s="36" t="n"/>
      <c r="G1474" s="42" t="n"/>
      <c r="H1474" s="37" t="n"/>
      <c r="I1474" s="37" t="n"/>
      <c r="J1474" s="32" t="n"/>
      <c r="K1474" s="32" t="n"/>
      <c r="L1474" s="43" t="n"/>
      <c r="M1474" s="36" t="n"/>
      <c r="N1474" s="44" t="n"/>
      <c r="O1474" s="36" t="n"/>
      <c r="P1474" s="33">
        <f>IF(C1474="","",Commercial_Id)</f>
        <v/>
      </c>
      <c r="Q1474" s="34">
        <f>IF(AC1474="","",IF(AD1474=1,"C"&amp;TEXT(SUM(AD$6:AD1474),"0000"),INDEX(Q$6:Q1473,MATCH(AC1474,AC$6:AC1473,0))))</f>
        <v/>
      </c>
      <c r="R1474" s="34">
        <f>IF(C1474="","",IF(L1474="☑ Oui","Annulée",IF(OR(E1474="Vente directe",K1474&lt;&gt;""),"Livrée",IF(J1474&lt;&gt;"","Confirmée","En attente"))))</f>
        <v/>
      </c>
      <c r="S1474" s="34">
        <f>IF(F1474="","",IFERROR(VLOOKUP(F1474,T_Produits,2,FALSE),""))</f>
        <v/>
      </c>
      <c r="T1474" s="40">
        <f>IF(F1474="","",IFERROR(1/(1/VLOOKUP(F1474,T_Produits,3,FALSE)),""))</f>
        <v/>
      </c>
      <c r="U1474" s="40">
        <f>IF(H1474&lt;&gt;"",H1474,T1474)</f>
        <v/>
      </c>
      <c r="V1474" s="40">
        <f>IF(OR(G1474="",U1474=""),"",G1474*U1474-N(I1474))</f>
        <v/>
      </c>
      <c r="W1474" s="39">
        <f>IF(D1474="","",IFERROR(VALUE(MID(D1474,LEN(D1474)-3,3)),""))</f>
        <v/>
      </c>
      <c r="X1474" s="33">
        <f>IF(W1474="","",P1474&amp;"|"&amp;W1474)</f>
        <v/>
      </c>
      <c r="Y1474" s="33">
        <f>IF(W1474="","",IF(P1474="À RENSEIGNER","GIC",P1474)&amp;"-"&amp;TEXT(W1474,"000"))</f>
        <v/>
      </c>
      <c r="Z1474" s="33">
        <f>IF(X1474="","",IFERROR(INDEX(Cl_nom,MATCH(X1474,Cl_cle,0)),"(client introuvable)"))</f>
        <v/>
      </c>
      <c r="AA1474" s="33">
        <f>IF(X1474="","",IFERROR(INDEX(Cl_quartier,MATCH(X1474,Cl_cle,0))&amp;"",""))</f>
        <v/>
      </c>
      <c r="AB1474" s="45">
        <f>IF(R1474&lt;&gt;"Livrée",0,IF(K1474&lt;&gt;"",K1474,C1474))</f>
        <v/>
      </c>
      <c r="AC1474" s="33">
        <f>IF(OR(C1474="",W1474=""),"",P1474&amp;"|"&amp;W1474&amp;"|"&amp;C1474&amp;"|"&amp;E1474)</f>
        <v/>
      </c>
      <c r="AD1474" s="39">
        <f>IF(AC1474="","",IF(COUNTIF(AC$6:AC1474,AC1474)=1,1,0))</f>
        <v/>
      </c>
      <c r="AE1474" s="39">
        <f>IF(AB1474=0,"",IF(COUNTIFS(X$6:X1474,X1474,AB$6:AB1474,AB1474)=1,1,0))</f>
        <v/>
      </c>
      <c r="AF1474" s="34">
        <f>IF(C1474="","",YEAR(C1474-WEEKDAY(C1474,2)+4)&amp;"-S"&amp;TEXT(INT((C1474-DATE(YEAR(C1474-WEEKDAY(C1474,2)+4),1,3)+WEEKDAY(DATE(YEAR(C1474-WEEKDAY(C1474,2)+4),1,3),2)+5)/7),"00"))</f>
        <v/>
      </c>
    </row>
    <row r="1475" ht="18" customHeight="1">
      <c r="A1475" s="39" t="n">
        <v>1470</v>
      </c>
      <c r="B1475" s="33">
        <f>IF(C1475="","",IF(P1475="À RENSEIGNER","GIC",P1475)&amp;"-C"&amp;TEXT(A1475,"00000"))</f>
        <v/>
      </c>
      <c r="C1475" s="32" t="n"/>
      <c r="D1475" s="36" t="n"/>
      <c r="E1475" s="36" t="n"/>
      <c r="F1475" s="36" t="n"/>
      <c r="G1475" s="42" t="n"/>
      <c r="H1475" s="37" t="n"/>
      <c r="I1475" s="37" t="n"/>
      <c r="J1475" s="32" t="n"/>
      <c r="K1475" s="32" t="n"/>
      <c r="L1475" s="43" t="n"/>
      <c r="M1475" s="36" t="n"/>
      <c r="N1475" s="44" t="n"/>
      <c r="O1475" s="36" t="n"/>
      <c r="P1475" s="33">
        <f>IF(C1475="","",Commercial_Id)</f>
        <v/>
      </c>
      <c r="Q1475" s="34">
        <f>IF(AC1475="","",IF(AD1475=1,"C"&amp;TEXT(SUM(AD$6:AD1475),"0000"),INDEX(Q$6:Q1474,MATCH(AC1475,AC$6:AC1474,0))))</f>
        <v/>
      </c>
      <c r="R1475" s="34">
        <f>IF(C1475="","",IF(L1475="☑ Oui","Annulée",IF(OR(E1475="Vente directe",K1475&lt;&gt;""),"Livrée",IF(J1475&lt;&gt;"","Confirmée","En attente"))))</f>
        <v/>
      </c>
      <c r="S1475" s="34">
        <f>IF(F1475="","",IFERROR(VLOOKUP(F1475,T_Produits,2,FALSE),""))</f>
        <v/>
      </c>
      <c r="T1475" s="40">
        <f>IF(F1475="","",IFERROR(1/(1/VLOOKUP(F1475,T_Produits,3,FALSE)),""))</f>
        <v/>
      </c>
      <c r="U1475" s="40">
        <f>IF(H1475&lt;&gt;"",H1475,T1475)</f>
        <v/>
      </c>
      <c r="V1475" s="40">
        <f>IF(OR(G1475="",U1475=""),"",G1475*U1475-N(I1475))</f>
        <v/>
      </c>
      <c r="W1475" s="39">
        <f>IF(D1475="","",IFERROR(VALUE(MID(D1475,LEN(D1475)-3,3)),""))</f>
        <v/>
      </c>
      <c r="X1475" s="33">
        <f>IF(W1475="","",P1475&amp;"|"&amp;W1475)</f>
        <v/>
      </c>
      <c r="Y1475" s="33">
        <f>IF(W1475="","",IF(P1475="À RENSEIGNER","GIC",P1475)&amp;"-"&amp;TEXT(W1475,"000"))</f>
        <v/>
      </c>
      <c r="Z1475" s="33">
        <f>IF(X1475="","",IFERROR(INDEX(Cl_nom,MATCH(X1475,Cl_cle,0)),"(client introuvable)"))</f>
        <v/>
      </c>
      <c r="AA1475" s="33">
        <f>IF(X1475="","",IFERROR(INDEX(Cl_quartier,MATCH(X1475,Cl_cle,0))&amp;"",""))</f>
        <v/>
      </c>
      <c r="AB1475" s="45">
        <f>IF(R1475&lt;&gt;"Livrée",0,IF(K1475&lt;&gt;"",K1475,C1475))</f>
        <v/>
      </c>
      <c r="AC1475" s="33">
        <f>IF(OR(C1475="",W1475=""),"",P1475&amp;"|"&amp;W1475&amp;"|"&amp;C1475&amp;"|"&amp;E1475)</f>
        <v/>
      </c>
      <c r="AD1475" s="39">
        <f>IF(AC1475="","",IF(COUNTIF(AC$6:AC1475,AC1475)=1,1,0))</f>
        <v/>
      </c>
      <c r="AE1475" s="39">
        <f>IF(AB1475=0,"",IF(COUNTIFS(X$6:X1475,X1475,AB$6:AB1475,AB1475)=1,1,0))</f>
        <v/>
      </c>
      <c r="AF1475" s="34">
        <f>IF(C1475="","",YEAR(C1475-WEEKDAY(C1475,2)+4)&amp;"-S"&amp;TEXT(INT((C1475-DATE(YEAR(C1475-WEEKDAY(C1475,2)+4),1,3)+WEEKDAY(DATE(YEAR(C1475-WEEKDAY(C1475,2)+4),1,3),2)+5)/7),"00"))</f>
        <v/>
      </c>
    </row>
    <row r="1476" ht="18" customHeight="1">
      <c r="A1476" s="39" t="n">
        <v>1471</v>
      </c>
      <c r="B1476" s="33">
        <f>IF(C1476="","",IF(P1476="À RENSEIGNER","GIC",P1476)&amp;"-C"&amp;TEXT(A1476,"00000"))</f>
        <v/>
      </c>
      <c r="C1476" s="32" t="n"/>
      <c r="D1476" s="36" t="n"/>
      <c r="E1476" s="36" t="n"/>
      <c r="F1476" s="36" t="n"/>
      <c r="G1476" s="42" t="n"/>
      <c r="H1476" s="37" t="n"/>
      <c r="I1476" s="37" t="n"/>
      <c r="J1476" s="32" t="n"/>
      <c r="K1476" s="32" t="n"/>
      <c r="L1476" s="43" t="n"/>
      <c r="M1476" s="36" t="n"/>
      <c r="N1476" s="44" t="n"/>
      <c r="O1476" s="36" t="n"/>
      <c r="P1476" s="33">
        <f>IF(C1476="","",Commercial_Id)</f>
        <v/>
      </c>
      <c r="Q1476" s="34">
        <f>IF(AC1476="","",IF(AD1476=1,"C"&amp;TEXT(SUM(AD$6:AD1476),"0000"),INDEX(Q$6:Q1475,MATCH(AC1476,AC$6:AC1475,0))))</f>
        <v/>
      </c>
      <c r="R1476" s="34">
        <f>IF(C1476="","",IF(L1476="☑ Oui","Annulée",IF(OR(E1476="Vente directe",K1476&lt;&gt;""),"Livrée",IF(J1476&lt;&gt;"","Confirmée","En attente"))))</f>
        <v/>
      </c>
      <c r="S1476" s="34">
        <f>IF(F1476="","",IFERROR(VLOOKUP(F1476,T_Produits,2,FALSE),""))</f>
        <v/>
      </c>
      <c r="T1476" s="40">
        <f>IF(F1476="","",IFERROR(1/(1/VLOOKUP(F1476,T_Produits,3,FALSE)),""))</f>
        <v/>
      </c>
      <c r="U1476" s="40">
        <f>IF(H1476&lt;&gt;"",H1476,T1476)</f>
        <v/>
      </c>
      <c r="V1476" s="40">
        <f>IF(OR(G1476="",U1476=""),"",G1476*U1476-N(I1476))</f>
        <v/>
      </c>
      <c r="W1476" s="39">
        <f>IF(D1476="","",IFERROR(VALUE(MID(D1476,LEN(D1476)-3,3)),""))</f>
        <v/>
      </c>
      <c r="X1476" s="33">
        <f>IF(W1476="","",P1476&amp;"|"&amp;W1476)</f>
        <v/>
      </c>
      <c r="Y1476" s="33">
        <f>IF(W1476="","",IF(P1476="À RENSEIGNER","GIC",P1476)&amp;"-"&amp;TEXT(W1476,"000"))</f>
        <v/>
      </c>
      <c r="Z1476" s="33">
        <f>IF(X1476="","",IFERROR(INDEX(Cl_nom,MATCH(X1476,Cl_cle,0)),"(client introuvable)"))</f>
        <v/>
      </c>
      <c r="AA1476" s="33">
        <f>IF(X1476="","",IFERROR(INDEX(Cl_quartier,MATCH(X1476,Cl_cle,0))&amp;"",""))</f>
        <v/>
      </c>
      <c r="AB1476" s="45">
        <f>IF(R1476&lt;&gt;"Livrée",0,IF(K1476&lt;&gt;"",K1476,C1476))</f>
        <v/>
      </c>
      <c r="AC1476" s="33">
        <f>IF(OR(C1476="",W1476=""),"",P1476&amp;"|"&amp;W1476&amp;"|"&amp;C1476&amp;"|"&amp;E1476)</f>
        <v/>
      </c>
      <c r="AD1476" s="39">
        <f>IF(AC1476="","",IF(COUNTIF(AC$6:AC1476,AC1476)=1,1,0))</f>
        <v/>
      </c>
      <c r="AE1476" s="39">
        <f>IF(AB1476=0,"",IF(COUNTIFS(X$6:X1476,X1476,AB$6:AB1476,AB1476)=1,1,0))</f>
        <v/>
      </c>
      <c r="AF1476" s="34">
        <f>IF(C1476="","",YEAR(C1476-WEEKDAY(C1476,2)+4)&amp;"-S"&amp;TEXT(INT((C1476-DATE(YEAR(C1476-WEEKDAY(C1476,2)+4),1,3)+WEEKDAY(DATE(YEAR(C1476-WEEKDAY(C1476,2)+4),1,3),2)+5)/7),"00"))</f>
        <v/>
      </c>
    </row>
    <row r="1477" ht="18" customHeight="1">
      <c r="A1477" s="39" t="n">
        <v>1472</v>
      </c>
      <c r="B1477" s="33">
        <f>IF(C1477="","",IF(P1477="À RENSEIGNER","GIC",P1477)&amp;"-C"&amp;TEXT(A1477,"00000"))</f>
        <v/>
      </c>
      <c r="C1477" s="32" t="n"/>
      <c r="D1477" s="36" t="n"/>
      <c r="E1477" s="36" t="n"/>
      <c r="F1477" s="36" t="n"/>
      <c r="G1477" s="42" t="n"/>
      <c r="H1477" s="37" t="n"/>
      <c r="I1477" s="37" t="n"/>
      <c r="J1477" s="32" t="n"/>
      <c r="K1477" s="32" t="n"/>
      <c r="L1477" s="43" t="n"/>
      <c r="M1477" s="36" t="n"/>
      <c r="N1477" s="44" t="n"/>
      <c r="O1477" s="36" t="n"/>
      <c r="P1477" s="33">
        <f>IF(C1477="","",Commercial_Id)</f>
        <v/>
      </c>
      <c r="Q1477" s="34">
        <f>IF(AC1477="","",IF(AD1477=1,"C"&amp;TEXT(SUM(AD$6:AD1477),"0000"),INDEX(Q$6:Q1476,MATCH(AC1477,AC$6:AC1476,0))))</f>
        <v/>
      </c>
      <c r="R1477" s="34">
        <f>IF(C1477="","",IF(L1477="☑ Oui","Annulée",IF(OR(E1477="Vente directe",K1477&lt;&gt;""),"Livrée",IF(J1477&lt;&gt;"","Confirmée","En attente"))))</f>
        <v/>
      </c>
      <c r="S1477" s="34">
        <f>IF(F1477="","",IFERROR(VLOOKUP(F1477,T_Produits,2,FALSE),""))</f>
        <v/>
      </c>
      <c r="T1477" s="40">
        <f>IF(F1477="","",IFERROR(1/(1/VLOOKUP(F1477,T_Produits,3,FALSE)),""))</f>
        <v/>
      </c>
      <c r="U1477" s="40">
        <f>IF(H1477&lt;&gt;"",H1477,T1477)</f>
        <v/>
      </c>
      <c r="V1477" s="40">
        <f>IF(OR(G1477="",U1477=""),"",G1477*U1477-N(I1477))</f>
        <v/>
      </c>
      <c r="W1477" s="39">
        <f>IF(D1477="","",IFERROR(VALUE(MID(D1477,LEN(D1477)-3,3)),""))</f>
        <v/>
      </c>
      <c r="X1477" s="33">
        <f>IF(W1477="","",P1477&amp;"|"&amp;W1477)</f>
        <v/>
      </c>
      <c r="Y1477" s="33">
        <f>IF(W1477="","",IF(P1477="À RENSEIGNER","GIC",P1477)&amp;"-"&amp;TEXT(W1477,"000"))</f>
        <v/>
      </c>
      <c r="Z1477" s="33">
        <f>IF(X1477="","",IFERROR(INDEX(Cl_nom,MATCH(X1477,Cl_cle,0)),"(client introuvable)"))</f>
        <v/>
      </c>
      <c r="AA1477" s="33">
        <f>IF(X1477="","",IFERROR(INDEX(Cl_quartier,MATCH(X1477,Cl_cle,0))&amp;"",""))</f>
        <v/>
      </c>
      <c r="AB1477" s="45">
        <f>IF(R1477&lt;&gt;"Livrée",0,IF(K1477&lt;&gt;"",K1477,C1477))</f>
        <v/>
      </c>
      <c r="AC1477" s="33">
        <f>IF(OR(C1477="",W1477=""),"",P1477&amp;"|"&amp;W1477&amp;"|"&amp;C1477&amp;"|"&amp;E1477)</f>
        <v/>
      </c>
      <c r="AD1477" s="39">
        <f>IF(AC1477="","",IF(COUNTIF(AC$6:AC1477,AC1477)=1,1,0))</f>
        <v/>
      </c>
      <c r="AE1477" s="39">
        <f>IF(AB1477=0,"",IF(COUNTIFS(X$6:X1477,X1477,AB$6:AB1477,AB1477)=1,1,0))</f>
        <v/>
      </c>
      <c r="AF1477" s="34">
        <f>IF(C1477="","",YEAR(C1477-WEEKDAY(C1477,2)+4)&amp;"-S"&amp;TEXT(INT((C1477-DATE(YEAR(C1477-WEEKDAY(C1477,2)+4),1,3)+WEEKDAY(DATE(YEAR(C1477-WEEKDAY(C1477,2)+4),1,3),2)+5)/7),"00"))</f>
        <v/>
      </c>
    </row>
    <row r="1478" ht="18" customHeight="1">
      <c r="A1478" s="39" t="n">
        <v>1473</v>
      </c>
      <c r="B1478" s="33">
        <f>IF(C1478="","",IF(P1478="À RENSEIGNER","GIC",P1478)&amp;"-C"&amp;TEXT(A1478,"00000"))</f>
        <v/>
      </c>
      <c r="C1478" s="32" t="n"/>
      <c r="D1478" s="36" t="n"/>
      <c r="E1478" s="36" t="n"/>
      <c r="F1478" s="36" t="n"/>
      <c r="G1478" s="42" t="n"/>
      <c r="H1478" s="37" t="n"/>
      <c r="I1478" s="37" t="n"/>
      <c r="J1478" s="32" t="n"/>
      <c r="K1478" s="32" t="n"/>
      <c r="L1478" s="43" t="n"/>
      <c r="M1478" s="36" t="n"/>
      <c r="N1478" s="44" t="n"/>
      <c r="O1478" s="36" t="n"/>
      <c r="P1478" s="33">
        <f>IF(C1478="","",Commercial_Id)</f>
        <v/>
      </c>
      <c r="Q1478" s="34">
        <f>IF(AC1478="","",IF(AD1478=1,"C"&amp;TEXT(SUM(AD$6:AD1478),"0000"),INDEX(Q$6:Q1477,MATCH(AC1478,AC$6:AC1477,0))))</f>
        <v/>
      </c>
      <c r="R1478" s="34">
        <f>IF(C1478="","",IF(L1478="☑ Oui","Annulée",IF(OR(E1478="Vente directe",K1478&lt;&gt;""),"Livrée",IF(J1478&lt;&gt;"","Confirmée","En attente"))))</f>
        <v/>
      </c>
      <c r="S1478" s="34">
        <f>IF(F1478="","",IFERROR(VLOOKUP(F1478,T_Produits,2,FALSE),""))</f>
        <v/>
      </c>
      <c r="T1478" s="40">
        <f>IF(F1478="","",IFERROR(1/(1/VLOOKUP(F1478,T_Produits,3,FALSE)),""))</f>
        <v/>
      </c>
      <c r="U1478" s="40">
        <f>IF(H1478&lt;&gt;"",H1478,T1478)</f>
        <v/>
      </c>
      <c r="V1478" s="40">
        <f>IF(OR(G1478="",U1478=""),"",G1478*U1478-N(I1478))</f>
        <v/>
      </c>
      <c r="W1478" s="39">
        <f>IF(D1478="","",IFERROR(VALUE(MID(D1478,LEN(D1478)-3,3)),""))</f>
        <v/>
      </c>
      <c r="X1478" s="33">
        <f>IF(W1478="","",P1478&amp;"|"&amp;W1478)</f>
        <v/>
      </c>
      <c r="Y1478" s="33">
        <f>IF(W1478="","",IF(P1478="À RENSEIGNER","GIC",P1478)&amp;"-"&amp;TEXT(W1478,"000"))</f>
        <v/>
      </c>
      <c r="Z1478" s="33">
        <f>IF(X1478="","",IFERROR(INDEX(Cl_nom,MATCH(X1478,Cl_cle,0)),"(client introuvable)"))</f>
        <v/>
      </c>
      <c r="AA1478" s="33">
        <f>IF(X1478="","",IFERROR(INDEX(Cl_quartier,MATCH(X1478,Cl_cle,0))&amp;"",""))</f>
        <v/>
      </c>
      <c r="AB1478" s="45">
        <f>IF(R1478&lt;&gt;"Livrée",0,IF(K1478&lt;&gt;"",K1478,C1478))</f>
        <v/>
      </c>
      <c r="AC1478" s="33">
        <f>IF(OR(C1478="",W1478=""),"",P1478&amp;"|"&amp;W1478&amp;"|"&amp;C1478&amp;"|"&amp;E1478)</f>
        <v/>
      </c>
      <c r="AD1478" s="39">
        <f>IF(AC1478="","",IF(COUNTIF(AC$6:AC1478,AC1478)=1,1,0))</f>
        <v/>
      </c>
      <c r="AE1478" s="39">
        <f>IF(AB1478=0,"",IF(COUNTIFS(X$6:X1478,X1478,AB$6:AB1478,AB1478)=1,1,0))</f>
        <v/>
      </c>
      <c r="AF1478" s="34">
        <f>IF(C1478="","",YEAR(C1478-WEEKDAY(C1478,2)+4)&amp;"-S"&amp;TEXT(INT((C1478-DATE(YEAR(C1478-WEEKDAY(C1478,2)+4),1,3)+WEEKDAY(DATE(YEAR(C1478-WEEKDAY(C1478,2)+4),1,3),2)+5)/7),"00"))</f>
        <v/>
      </c>
    </row>
    <row r="1479" ht="18" customHeight="1">
      <c r="A1479" s="39" t="n">
        <v>1474</v>
      </c>
      <c r="B1479" s="33">
        <f>IF(C1479="","",IF(P1479="À RENSEIGNER","GIC",P1479)&amp;"-C"&amp;TEXT(A1479,"00000"))</f>
        <v/>
      </c>
      <c r="C1479" s="32" t="n"/>
      <c r="D1479" s="36" t="n"/>
      <c r="E1479" s="36" t="n"/>
      <c r="F1479" s="36" t="n"/>
      <c r="G1479" s="42" t="n"/>
      <c r="H1479" s="37" t="n"/>
      <c r="I1479" s="37" t="n"/>
      <c r="J1479" s="32" t="n"/>
      <c r="K1479" s="32" t="n"/>
      <c r="L1479" s="43" t="n"/>
      <c r="M1479" s="36" t="n"/>
      <c r="N1479" s="44" t="n"/>
      <c r="O1479" s="36" t="n"/>
      <c r="P1479" s="33">
        <f>IF(C1479="","",Commercial_Id)</f>
        <v/>
      </c>
      <c r="Q1479" s="34">
        <f>IF(AC1479="","",IF(AD1479=1,"C"&amp;TEXT(SUM(AD$6:AD1479),"0000"),INDEX(Q$6:Q1478,MATCH(AC1479,AC$6:AC1478,0))))</f>
        <v/>
      </c>
      <c r="R1479" s="34">
        <f>IF(C1479="","",IF(L1479="☑ Oui","Annulée",IF(OR(E1479="Vente directe",K1479&lt;&gt;""),"Livrée",IF(J1479&lt;&gt;"","Confirmée","En attente"))))</f>
        <v/>
      </c>
      <c r="S1479" s="34">
        <f>IF(F1479="","",IFERROR(VLOOKUP(F1479,T_Produits,2,FALSE),""))</f>
        <v/>
      </c>
      <c r="T1479" s="40">
        <f>IF(F1479="","",IFERROR(1/(1/VLOOKUP(F1479,T_Produits,3,FALSE)),""))</f>
        <v/>
      </c>
      <c r="U1479" s="40">
        <f>IF(H1479&lt;&gt;"",H1479,T1479)</f>
        <v/>
      </c>
      <c r="V1479" s="40">
        <f>IF(OR(G1479="",U1479=""),"",G1479*U1479-N(I1479))</f>
        <v/>
      </c>
      <c r="W1479" s="39">
        <f>IF(D1479="","",IFERROR(VALUE(MID(D1479,LEN(D1479)-3,3)),""))</f>
        <v/>
      </c>
      <c r="X1479" s="33">
        <f>IF(W1479="","",P1479&amp;"|"&amp;W1479)</f>
        <v/>
      </c>
      <c r="Y1479" s="33">
        <f>IF(W1479="","",IF(P1479="À RENSEIGNER","GIC",P1479)&amp;"-"&amp;TEXT(W1479,"000"))</f>
        <v/>
      </c>
      <c r="Z1479" s="33">
        <f>IF(X1479="","",IFERROR(INDEX(Cl_nom,MATCH(X1479,Cl_cle,0)),"(client introuvable)"))</f>
        <v/>
      </c>
      <c r="AA1479" s="33">
        <f>IF(X1479="","",IFERROR(INDEX(Cl_quartier,MATCH(X1479,Cl_cle,0))&amp;"",""))</f>
        <v/>
      </c>
      <c r="AB1479" s="45">
        <f>IF(R1479&lt;&gt;"Livrée",0,IF(K1479&lt;&gt;"",K1479,C1479))</f>
        <v/>
      </c>
      <c r="AC1479" s="33">
        <f>IF(OR(C1479="",W1479=""),"",P1479&amp;"|"&amp;W1479&amp;"|"&amp;C1479&amp;"|"&amp;E1479)</f>
        <v/>
      </c>
      <c r="AD1479" s="39">
        <f>IF(AC1479="","",IF(COUNTIF(AC$6:AC1479,AC1479)=1,1,0))</f>
        <v/>
      </c>
      <c r="AE1479" s="39">
        <f>IF(AB1479=0,"",IF(COUNTIFS(X$6:X1479,X1479,AB$6:AB1479,AB1479)=1,1,0))</f>
        <v/>
      </c>
      <c r="AF1479" s="34">
        <f>IF(C1479="","",YEAR(C1479-WEEKDAY(C1479,2)+4)&amp;"-S"&amp;TEXT(INT((C1479-DATE(YEAR(C1479-WEEKDAY(C1479,2)+4),1,3)+WEEKDAY(DATE(YEAR(C1479-WEEKDAY(C1479,2)+4),1,3),2)+5)/7),"00"))</f>
        <v/>
      </c>
    </row>
    <row r="1480" ht="18" customHeight="1">
      <c r="A1480" s="39" t="n">
        <v>1475</v>
      </c>
      <c r="B1480" s="33">
        <f>IF(C1480="","",IF(P1480="À RENSEIGNER","GIC",P1480)&amp;"-C"&amp;TEXT(A1480,"00000"))</f>
        <v/>
      </c>
      <c r="C1480" s="32" t="n"/>
      <c r="D1480" s="36" t="n"/>
      <c r="E1480" s="36" t="n"/>
      <c r="F1480" s="36" t="n"/>
      <c r="G1480" s="42" t="n"/>
      <c r="H1480" s="37" t="n"/>
      <c r="I1480" s="37" t="n"/>
      <c r="J1480" s="32" t="n"/>
      <c r="K1480" s="32" t="n"/>
      <c r="L1480" s="43" t="n"/>
      <c r="M1480" s="36" t="n"/>
      <c r="N1480" s="44" t="n"/>
      <c r="O1480" s="36" t="n"/>
      <c r="P1480" s="33">
        <f>IF(C1480="","",Commercial_Id)</f>
        <v/>
      </c>
      <c r="Q1480" s="34">
        <f>IF(AC1480="","",IF(AD1480=1,"C"&amp;TEXT(SUM(AD$6:AD1480),"0000"),INDEX(Q$6:Q1479,MATCH(AC1480,AC$6:AC1479,0))))</f>
        <v/>
      </c>
      <c r="R1480" s="34">
        <f>IF(C1480="","",IF(L1480="☑ Oui","Annulée",IF(OR(E1480="Vente directe",K1480&lt;&gt;""),"Livrée",IF(J1480&lt;&gt;"","Confirmée","En attente"))))</f>
        <v/>
      </c>
      <c r="S1480" s="34">
        <f>IF(F1480="","",IFERROR(VLOOKUP(F1480,T_Produits,2,FALSE),""))</f>
        <v/>
      </c>
      <c r="T1480" s="40">
        <f>IF(F1480="","",IFERROR(1/(1/VLOOKUP(F1480,T_Produits,3,FALSE)),""))</f>
        <v/>
      </c>
      <c r="U1480" s="40">
        <f>IF(H1480&lt;&gt;"",H1480,T1480)</f>
        <v/>
      </c>
      <c r="V1480" s="40">
        <f>IF(OR(G1480="",U1480=""),"",G1480*U1480-N(I1480))</f>
        <v/>
      </c>
      <c r="W1480" s="39">
        <f>IF(D1480="","",IFERROR(VALUE(MID(D1480,LEN(D1480)-3,3)),""))</f>
        <v/>
      </c>
      <c r="X1480" s="33">
        <f>IF(W1480="","",P1480&amp;"|"&amp;W1480)</f>
        <v/>
      </c>
      <c r="Y1480" s="33">
        <f>IF(W1480="","",IF(P1480="À RENSEIGNER","GIC",P1480)&amp;"-"&amp;TEXT(W1480,"000"))</f>
        <v/>
      </c>
      <c r="Z1480" s="33">
        <f>IF(X1480="","",IFERROR(INDEX(Cl_nom,MATCH(X1480,Cl_cle,0)),"(client introuvable)"))</f>
        <v/>
      </c>
      <c r="AA1480" s="33">
        <f>IF(X1480="","",IFERROR(INDEX(Cl_quartier,MATCH(X1480,Cl_cle,0))&amp;"",""))</f>
        <v/>
      </c>
      <c r="AB1480" s="45">
        <f>IF(R1480&lt;&gt;"Livrée",0,IF(K1480&lt;&gt;"",K1480,C1480))</f>
        <v/>
      </c>
      <c r="AC1480" s="33">
        <f>IF(OR(C1480="",W1480=""),"",P1480&amp;"|"&amp;W1480&amp;"|"&amp;C1480&amp;"|"&amp;E1480)</f>
        <v/>
      </c>
      <c r="AD1480" s="39">
        <f>IF(AC1480="","",IF(COUNTIF(AC$6:AC1480,AC1480)=1,1,0))</f>
        <v/>
      </c>
      <c r="AE1480" s="39">
        <f>IF(AB1480=0,"",IF(COUNTIFS(X$6:X1480,X1480,AB$6:AB1480,AB1480)=1,1,0))</f>
        <v/>
      </c>
      <c r="AF1480" s="34">
        <f>IF(C1480="","",YEAR(C1480-WEEKDAY(C1480,2)+4)&amp;"-S"&amp;TEXT(INT((C1480-DATE(YEAR(C1480-WEEKDAY(C1480,2)+4),1,3)+WEEKDAY(DATE(YEAR(C1480-WEEKDAY(C1480,2)+4),1,3),2)+5)/7),"00"))</f>
        <v/>
      </c>
    </row>
    <row r="1481" ht="18" customHeight="1">
      <c r="A1481" s="39" t="n">
        <v>1476</v>
      </c>
      <c r="B1481" s="33">
        <f>IF(C1481="","",IF(P1481="À RENSEIGNER","GIC",P1481)&amp;"-C"&amp;TEXT(A1481,"00000"))</f>
        <v/>
      </c>
      <c r="C1481" s="32" t="n"/>
      <c r="D1481" s="36" t="n"/>
      <c r="E1481" s="36" t="n"/>
      <c r="F1481" s="36" t="n"/>
      <c r="G1481" s="42" t="n"/>
      <c r="H1481" s="37" t="n"/>
      <c r="I1481" s="37" t="n"/>
      <c r="J1481" s="32" t="n"/>
      <c r="K1481" s="32" t="n"/>
      <c r="L1481" s="43" t="n"/>
      <c r="M1481" s="36" t="n"/>
      <c r="N1481" s="44" t="n"/>
      <c r="O1481" s="36" t="n"/>
      <c r="P1481" s="33">
        <f>IF(C1481="","",Commercial_Id)</f>
        <v/>
      </c>
      <c r="Q1481" s="34">
        <f>IF(AC1481="","",IF(AD1481=1,"C"&amp;TEXT(SUM(AD$6:AD1481),"0000"),INDEX(Q$6:Q1480,MATCH(AC1481,AC$6:AC1480,0))))</f>
        <v/>
      </c>
      <c r="R1481" s="34">
        <f>IF(C1481="","",IF(L1481="☑ Oui","Annulée",IF(OR(E1481="Vente directe",K1481&lt;&gt;""),"Livrée",IF(J1481&lt;&gt;"","Confirmée","En attente"))))</f>
        <v/>
      </c>
      <c r="S1481" s="34">
        <f>IF(F1481="","",IFERROR(VLOOKUP(F1481,T_Produits,2,FALSE),""))</f>
        <v/>
      </c>
      <c r="T1481" s="40">
        <f>IF(F1481="","",IFERROR(1/(1/VLOOKUP(F1481,T_Produits,3,FALSE)),""))</f>
        <v/>
      </c>
      <c r="U1481" s="40">
        <f>IF(H1481&lt;&gt;"",H1481,T1481)</f>
        <v/>
      </c>
      <c r="V1481" s="40">
        <f>IF(OR(G1481="",U1481=""),"",G1481*U1481-N(I1481))</f>
        <v/>
      </c>
      <c r="W1481" s="39">
        <f>IF(D1481="","",IFERROR(VALUE(MID(D1481,LEN(D1481)-3,3)),""))</f>
        <v/>
      </c>
      <c r="X1481" s="33">
        <f>IF(W1481="","",P1481&amp;"|"&amp;W1481)</f>
        <v/>
      </c>
      <c r="Y1481" s="33">
        <f>IF(W1481="","",IF(P1481="À RENSEIGNER","GIC",P1481)&amp;"-"&amp;TEXT(W1481,"000"))</f>
        <v/>
      </c>
      <c r="Z1481" s="33">
        <f>IF(X1481="","",IFERROR(INDEX(Cl_nom,MATCH(X1481,Cl_cle,0)),"(client introuvable)"))</f>
        <v/>
      </c>
      <c r="AA1481" s="33">
        <f>IF(X1481="","",IFERROR(INDEX(Cl_quartier,MATCH(X1481,Cl_cle,0))&amp;"",""))</f>
        <v/>
      </c>
      <c r="AB1481" s="45">
        <f>IF(R1481&lt;&gt;"Livrée",0,IF(K1481&lt;&gt;"",K1481,C1481))</f>
        <v/>
      </c>
      <c r="AC1481" s="33">
        <f>IF(OR(C1481="",W1481=""),"",P1481&amp;"|"&amp;W1481&amp;"|"&amp;C1481&amp;"|"&amp;E1481)</f>
        <v/>
      </c>
      <c r="AD1481" s="39">
        <f>IF(AC1481="","",IF(COUNTIF(AC$6:AC1481,AC1481)=1,1,0))</f>
        <v/>
      </c>
      <c r="AE1481" s="39">
        <f>IF(AB1481=0,"",IF(COUNTIFS(X$6:X1481,X1481,AB$6:AB1481,AB1481)=1,1,0))</f>
        <v/>
      </c>
      <c r="AF1481" s="34">
        <f>IF(C1481="","",YEAR(C1481-WEEKDAY(C1481,2)+4)&amp;"-S"&amp;TEXT(INT((C1481-DATE(YEAR(C1481-WEEKDAY(C1481,2)+4),1,3)+WEEKDAY(DATE(YEAR(C1481-WEEKDAY(C1481,2)+4),1,3),2)+5)/7),"00"))</f>
        <v/>
      </c>
    </row>
    <row r="1482" ht="18" customHeight="1">
      <c r="A1482" s="39" t="n">
        <v>1477</v>
      </c>
      <c r="B1482" s="33">
        <f>IF(C1482="","",IF(P1482="À RENSEIGNER","GIC",P1482)&amp;"-C"&amp;TEXT(A1482,"00000"))</f>
        <v/>
      </c>
      <c r="C1482" s="32" t="n"/>
      <c r="D1482" s="36" t="n"/>
      <c r="E1482" s="36" t="n"/>
      <c r="F1482" s="36" t="n"/>
      <c r="G1482" s="42" t="n"/>
      <c r="H1482" s="37" t="n"/>
      <c r="I1482" s="37" t="n"/>
      <c r="J1482" s="32" t="n"/>
      <c r="K1482" s="32" t="n"/>
      <c r="L1482" s="43" t="n"/>
      <c r="M1482" s="36" t="n"/>
      <c r="N1482" s="44" t="n"/>
      <c r="O1482" s="36" t="n"/>
      <c r="P1482" s="33">
        <f>IF(C1482="","",Commercial_Id)</f>
        <v/>
      </c>
      <c r="Q1482" s="34">
        <f>IF(AC1482="","",IF(AD1482=1,"C"&amp;TEXT(SUM(AD$6:AD1482),"0000"),INDEX(Q$6:Q1481,MATCH(AC1482,AC$6:AC1481,0))))</f>
        <v/>
      </c>
      <c r="R1482" s="34">
        <f>IF(C1482="","",IF(L1482="☑ Oui","Annulée",IF(OR(E1482="Vente directe",K1482&lt;&gt;""),"Livrée",IF(J1482&lt;&gt;"","Confirmée","En attente"))))</f>
        <v/>
      </c>
      <c r="S1482" s="34">
        <f>IF(F1482="","",IFERROR(VLOOKUP(F1482,T_Produits,2,FALSE),""))</f>
        <v/>
      </c>
      <c r="T1482" s="40">
        <f>IF(F1482="","",IFERROR(1/(1/VLOOKUP(F1482,T_Produits,3,FALSE)),""))</f>
        <v/>
      </c>
      <c r="U1482" s="40">
        <f>IF(H1482&lt;&gt;"",H1482,T1482)</f>
        <v/>
      </c>
      <c r="V1482" s="40">
        <f>IF(OR(G1482="",U1482=""),"",G1482*U1482-N(I1482))</f>
        <v/>
      </c>
      <c r="W1482" s="39">
        <f>IF(D1482="","",IFERROR(VALUE(MID(D1482,LEN(D1482)-3,3)),""))</f>
        <v/>
      </c>
      <c r="X1482" s="33">
        <f>IF(W1482="","",P1482&amp;"|"&amp;W1482)</f>
        <v/>
      </c>
      <c r="Y1482" s="33">
        <f>IF(W1482="","",IF(P1482="À RENSEIGNER","GIC",P1482)&amp;"-"&amp;TEXT(W1482,"000"))</f>
        <v/>
      </c>
      <c r="Z1482" s="33">
        <f>IF(X1482="","",IFERROR(INDEX(Cl_nom,MATCH(X1482,Cl_cle,0)),"(client introuvable)"))</f>
        <v/>
      </c>
      <c r="AA1482" s="33">
        <f>IF(X1482="","",IFERROR(INDEX(Cl_quartier,MATCH(X1482,Cl_cle,0))&amp;"",""))</f>
        <v/>
      </c>
      <c r="AB1482" s="45">
        <f>IF(R1482&lt;&gt;"Livrée",0,IF(K1482&lt;&gt;"",K1482,C1482))</f>
        <v/>
      </c>
      <c r="AC1482" s="33">
        <f>IF(OR(C1482="",W1482=""),"",P1482&amp;"|"&amp;W1482&amp;"|"&amp;C1482&amp;"|"&amp;E1482)</f>
        <v/>
      </c>
      <c r="AD1482" s="39">
        <f>IF(AC1482="","",IF(COUNTIF(AC$6:AC1482,AC1482)=1,1,0))</f>
        <v/>
      </c>
      <c r="AE1482" s="39">
        <f>IF(AB1482=0,"",IF(COUNTIFS(X$6:X1482,X1482,AB$6:AB1482,AB1482)=1,1,0))</f>
        <v/>
      </c>
      <c r="AF1482" s="34">
        <f>IF(C1482="","",YEAR(C1482-WEEKDAY(C1482,2)+4)&amp;"-S"&amp;TEXT(INT((C1482-DATE(YEAR(C1482-WEEKDAY(C1482,2)+4),1,3)+WEEKDAY(DATE(YEAR(C1482-WEEKDAY(C1482,2)+4),1,3),2)+5)/7),"00"))</f>
        <v/>
      </c>
    </row>
    <row r="1483" ht="18" customHeight="1">
      <c r="A1483" s="39" t="n">
        <v>1478</v>
      </c>
      <c r="B1483" s="33">
        <f>IF(C1483="","",IF(P1483="À RENSEIGNER","GIC",P1483)&amp;"-C"&amp;TEXT(A1483,"00000"))</f>
        <v/>
      </c>
      <c r="C1483" s="32" t="n"/>
      <c r="D1483" s="36" t="n"/>
      <c r="E1483" s="36" t="n"/>
      <c r="F1483" s="36" t="n"/>
      <c r="G1483" s="42" t="n"/>
      <c r="H1483" s="37" t="n"/>
      <c r="I1483" s="37" t="n"/>
      <c r="J1483" s="32" t="n"/>
      <c r="K1483" s="32" t="n"/>
      <c r="L1483" s="43" t="n"/>
      <c r="M1483" s="36" t="n"/>
      <c r="N1483" s="44" t="n"/>
      <c r="O1483" s="36" t="n"/>
      <c r="P1483" s="33">
        <f>IF(C1483="","",Commercial_Id)</f>
        <v/>
      </c>
      <c r="Q1483" s="34">
        <f>IF(AC1483="","",IF(AD1483=1,"C"&amp;TEXT(SUM(AD$6:AD1483),"0000"),INDEX(Q$6:Q1482,MATCH(AC1483,AC$6:AC1482,0))))</f>
        <v/>
      </c>
      <c r="R1483" s="34">
        <f>IF(C1483="","",IF(L1483="☑ Oui","Annulée",IF(OR(E1483="Vente directe",K1483&lt;&gt;""),"Livrée",IF(J1483&lt;&gt;"","Confirmée","En attente"))))</f>
        <v/>
      </c>
      <c r="S1483" s="34">
        <f>IF(F1483="","",IFERROR(VLOOKUP(F1483,T_Produits,2,FALSE),""))</f>
        <v/>
      </c>
      <c r="T1483" s="40">
        <f>IF(F1483="","",IFERROR(1/(1/VLOOKUP(F1483,T_Produits,3,FALSE)),""))</f>
        <v/>
      </c>
      <c r="U1483" s="40">
        <f>IF(H1483&lt;&gt;"",H1483,T1483)</f>
        <v/>
      </c>
      <c r="V1483" s="40">
        <f>IF(OR(G1483="",U1483=""),"",G1483*U1483-N(I1483))</f>
        <v/>
      </c>
      <c r="W1483" s="39">
        <f>IF(D1483="","",IFERROR(VALUE(MID(D1483,LEN(D1483)-3,3)),""))</f>
        <v/>
      </c>
      <c r="X1483" s="33">
        <f>IF(W1483="","",P1483&amp;"|"&amp;W1483)</f>
        <v/>
      </c>
      <c r="Y1483" s="33">
        <f>IF(W1483="","",IF(P1483="À RENSEIGNER","GIC",P1483)&amp;"-"&amp;TEXT(W1483,"000"))</f>
        <v/>
      </c>
      <c r="Z1483" s="33">
        <f>IF(X1483="","",IFERROR(INDEX(Cl_nom,MATCH(X1483,Cl_cle,0)),"(client introuvable)"))</f>
        <v/>
      </c>
      <c r="AA1483" s="33">
        <f>IF(X1483="","",IFERROR(INDEX(Cl_quartier,MATCH(X1483,Cl_cle,0))&amp;"",""))</f>
        <v/>
      </c>
      <c r="AB1483" s="45">
        <f>IF(R1483&lt;&gt;"Livrée",0,IF(K1483&lt;&gt;"",K1483,C1483))</f>
        <v/>
      </c>
      <c r="AC1483" s="33">
        <f>IF(OR(C1483="",W1483=""),"",P1483&amp;"|"&amp;W1483&amp;"|"&amp;C1483&amp;"|"&amp;E1483)</f>
        <v/>
      </c>
      <c r="AD1483" s="39">
        <f>IF(AC1483="","",IF(COUNTIF(AC$6:AC1483,AC1483)=1,1,0))</f>
        <v/>
      </c>
      <c r="AE1483" s="39">
        <f>IF(AB1483=0,"",IF(COUNTIFS(X$6:X1483,X1483,AB$6:AB1483,AB1483)=1,1,0))</f>
        <v/>
      </c>
      <c r="AF1483" s="34">
        <f>IF(C1483="","",YEAR(C1483-WEEKDAY(C1483,2)+4)&amp;"-S"&amp;TEXT(INT((C1483-DATE(YEAR(C1483-WEEKDAY(C1483,2)+4),1,3)+WEEKDAY(DATE(YEAR(C1483-WEEKDAY(C1483,2)+4),1,3),2)+5)/7),"00"))</f>
        <v/>
      </c>
    </row>
    <row r="1484" ht="18" customHeight="1">
      <c r="A1484" s="39" t="n">
        <v>1479</v>
      </c>
      <c r="B1484" s="33">
        <f>IF(C1484="","",IF(P1484="À RENSEIGNER","GIC",P1484)&amp;"-C"&amp;TEXT(A1484,"00000"))</f>
        <v/>
      </c>
      <c r="C1484" s="32" t="n"/>
      <c r="D1484" s="36" t="n"/>
      <c r="E1484" s="36" t="n"/>
      <c r="F1484" s="36" t="n"/>
      <c r="G1484" s="42" t="n"/>
      <c r="H1484" s="37" t="n"/>
      <c r="I1484" s="37" t="n"/>
      <c r="J1484" s="32" t="n"/>
      <c r="K1484" s="32" t="n"/>
      <c r="L1484" s="43" t="n"/>
      <c r="M1484" s="36" t="n"/>
      <c r="N1484" s="44" t="n"/>
      <c r="O1484" s="36" t="n"/>
      <c r="P1484" s="33">
        <f>IF(C1484="","",Commercial_Id)</f>
        <v/>
      </c>
      <c r="Q1484" s="34">
        <f>IF(AC1484="","",IF(AD1484=1,"C"&amp;TEXT(SUM(AD$6:AD1484),"0000"),INDEX(Q$6:Q1483,MATCH(AC1484,AC$6:AC1483,0))))</f>
        <v/>
      </c>
      <c r="R1484" s="34">
        <f>IF(C1484="","",IF(L1484="☑ Oui","Annulée",IF(OR(E1484="Vente directe",K1484&lt;&gt;""),"Livrée",IF(J1484&lt;&gt;"","Confirmée","En attente"))))</f>
        <v/>
      </c>
      <c r="S1484" s="34">
        <f>IF(F1484="","",IFERROR(VLOOKUP(F1484,T_Produits,2,FALSE),""))</f>
        <v/>
      </c>
      <c r="T1484" s="40">
        <f>IF(F1484="","",IFERROR(1/(1/VLOOKUP(F1484,T_Produits,3,FALSE)),""))</f>
        <v/>
      </c>
      <c r="U1484" s="40">
        <f>IF(H1484&lt;&gt;"",H1484,T1484)</f>
        <v/>
      </c>
      <c r="V1484" s="40">
        <f>IF(OR(G1484="",U1484=""),"",G1484*U1484-N(I1484))</f>
        <v/>
      </c>
      <c r="W1484" s="39">
        <f>IF(D1484="","",IFERROR(VALUE(MID(D1484,LEN(D1484)-3,3)),""))</f>
        <v/>
      </c>
      <c r="X1484" s="33">
        <f>IF(W1484="","",P1484&amp;"|"&amp;W1484)</f>
        <v/>
      </c>
      <c r="Y1484" s="33">
        <f>IF(W1484="","",IF(P1484="À RENSEIGNER","GIC",P1484)&amp;"-"&amp;TEXT(W1484,"000"))</f>
        <v/>
      </c>
      <c r="Z1484" s="33">
        <f>IF(X1484="","",IFERROR(INDEX(Cl_nom,MATCH(X1484,Cl_cle,0)),"(client introuvable)"))</f>
        <v/>
      </c>
      <c r="AA1484" s="33">
        <f>IF(X1484="","",IFERROR(INDEX(Cl_quartier,MATCH(X1484,Cl_cle,0))&amp;"",""))</f>
        <v/>
      </c>
      <c r="AB1484" s="45">
        <f>IF(R1484&lt;&gt;"Livrée",0,IF(K1484&lt;&gt;"",K1484,C1484))</f>
        <v/>
      </c>
      <c r="AC1484" s="33">
        <f>IF(OR(C1484="",W1484=""),"",P1484&amp;"|"&amp;W1484&amp;"|"&amp;C1484&amp;"|"&amp;E1484)</f>
        <v/>
      </c>
      <c r="AD1484" s="39">
        <f>IF(AC1484="","",IF(COUNTIF(AC$6:AC1484,AC1484)=1,1,0))</f>
        <v/>
      </c>
      <c r="AE1484" s="39">
        <f>IF(AB1484=0,"",IF(COUNTIFS(X$6:X1484,X1484,AB$6:AB1484,AB1484)=1,1,0))</f>
        <v/>
      </c>
      <c r="AF1484" s="34">
        <f>IF(C1484="","",YEAR(C1484-WEEKDAY(C1484,2)+4)&amp;"-S"&amp;TEXT(INT((C1484-DATE(YEAR(C1484-WEEKDAY(C1484,2)+4),1,3)+WEEKDAY(DATE(YEAR(C1484-WEEKDAY(C1484,2)+4),1,3),2)+5)/7),"00"))</f>
        <v/>
      </c>
    </row>
    <row r="1485" ht="18" customHeight="1">
      <c r="A1485" s="39" t="n">
        <v>1480</v>
      </c>
      <c r="B1485" s="33">
        <f>IF(C1485="","",IF(P1485="À RENSEIGNER","GIC",P1485)&amp;"-C"&amp;TEXT(A1485,"00000"))</f>
        <v/>
      </c>
      <c r="C1485" s="32" t="n"/>
      <c r="D1485" s="36" t="n"/>
      <c r="E1485" s="36" t="n"/>
      <c r="F1485" s="36" t="n"/>
      <c r="G1485" s="42" t="n"/>
      <c r="H1485" s="37" t="n"/>
      <c r="I1485" s="37" t="n"/>
      <c r="J1485" s="32" t="n"/>
      <c r="K1485" s="32" t="n"/>
      <c r="L1485" s="43" t="n"/>
      <c r="M1485" s="36" t="n"/>
      <c r="N1485" s="44" t="n"/>
      <c r="O1485" s="36" t="n"/>
      <c r="P1485" s="33">
        <f>IF(C1485="","",Commercial_Id)</f>
        <v/>
      </c>
      <c r="Q1485" s="34">
        <f>IF(AC1485="","",IF(AD1485=1,"C"&amp;TEXT(SUM(AD$6:AD1485),"0000"),INDEX(Q$6:Q1484,MATCH(AC1485,AC$6:AC1484,0))))</f>
        <v/>
      </c>
      <c r="R1485" s="34">
        <f>IF(C1485="","",IF(L1485="☑ Oui","Annulée",IF(OR(E1485="Vente directe",K1485&lt;&gt;""),"Livrée",IF(J1485&lt;&gt;"","Confirmée","En attente"))))</f>
        <v/>
      </c>
      <c r="S1485" s="34">
        <f>IF(F1485="","",IFERROR(VLOOKUP(F1485,T_Produits,2,FALSE),""))</f>
        <v/>
      </c>
      <c r="T1485" s="40">
        <f>IF(F1485="","",IFERROR(1/(1/VLOOKUP(F1485,T_Produits,3,FALSE)),""))</f>
        <v/>
      </c>
      <c r="U1485" s="40">
        <f>IF(H1485&lt;&gt;"",H1485,T1485)</f>
        <v/>
      </c>
      <c r="V1485" s="40">
        <f>IF(OR(G1485="",U1485=""),"",G1485*U1485-N(I1485))</f>
        <v/>
      </c>
      <c r="W1485" s="39">
        <f>IF(D1485="","",IFERROR(VALUE(MID(D1485,LEN(D1485)-3,3)),""))</f>
        <v/>
      </c>
      <c r="X1485" s="33">
        <f>IF(W1485="","",P1485&amp;"|"&amp;W1485)</f>
        <v/>
      </c>
      <c r="Y1485" s="33">
        <f>IF(W1485="","",IF(P1485="À RENSEIGNER","GIC",P1485)&amp;"-"&amp;TEXT(W1485,"000"))</f>
        <v/>
      </c>
      <c r="Z1485" s="33">
        <f>IF(X1485="","",IFERROR(INDEX(Cl_nom,MATCH(X1485,Cl_cle,0)),"(client introuvable)"))</f>
        <v/>
      </c>
      <c r="AA1485" s="33">
        <f>IF(X1485="","",IFERROR(INDEX(Cl_quartier,MATCH(X1485,Cl_cle,0))&amp;"",""))</f>
        <v/>
      </c>
      <c r="AB1485" s="45">
        <f>IF(R1485&lt;&gt;"Livrée",0,IF(K1485&lt;&gt;"",K1485,C1485))</f>
        <v/>
      </c>
      <c r="AC1485" s="33">
        <f>IF(OR(C1485="",W1485=""),"",P1485&amp;"|"&amp;W1485&amp;"|"&amp;C1485&amp;"|"&amp;E1485)</f>
        <v/>
      </c>
      <c r="AD1485" s="39">
        <f>IF(AC1485="","",IF(COUNTIF(AC$6:AC1485,AC1485)=1,1,0))</f>
        <v/>
      </c>
      <c r="AE1485" s="39">
        <f>IF(AB1485=0,"",IF(COUNTIFS(X$6:X1485,X1485,AB$6:AB1485,AB1485)=1,1,0))</f>
        <v/>
      </c>
      <c r="AF1485" s="34">
        <f>IF(C1485="","",YEAR(C1485-WEEKDAY(C1485,2)+4)&amp;"-S"&amp;TEXT(INT((C1485-DATE(YEAR(C1485-WEEKDAY(C1485,2)+4),1,3)+WEEKDAY(DATE(YEAR(C1485-WEEKDAY(C1485,2)+4),1,3),2)+5)/7),"00"))</f>
        <v/>
      </c>
    </row>
    <row r="1486" ht="18" customHeight="1">
      <c r="A1486" s="39" t="n">
        <v>1481</v>
      </c>
      <c r="B1486" s="33">
        <f>IF(C1486="","",IF(P1486="À RENSEIGNER","GIC",P1486)&amp;"-C"&amp;TEXT(A1486,"00000"))</f>
        <v/>
      </c>
      <c r="C1486" s="32" t="n"/>
      <c r="D1486" s="36" t="n"/>
      <c r="E1486" s="36" t="n"/>
      <c r="F1486" s="36" t="n"/>
      <c r="G1486" s="42" t="n"/>
      <c r="H1486" s="37" t="n"/>
      <c r="I1486" s="37" t="n"/>
      <c r="J1486" s="32" t="n"/>
      <c r="K1486" s="32" t="n"/>
      <c r="L1486" s="43" t="n"/>
      <c r="M1486" s="36" t="n"/>
      <c r="N1486" s="44" t="n"/>
      <c r="O1486" s="36" t="n"/>
      <c r="P1486" s="33">
        <f>IF(C1486="","",Commercial_Id)</f>
        <v/>
      </c>
      <c r="Q1486" s="34">
        <f>IF(AC1486="","",IF(AD1486=1,"C"&amp;TEXT(SUM(AD$6:AD1486),"0000"),INDEX(Q$6:Q1485,MATCH(AC1486,AC$6:AC1485,0))))</f>
        <v/>
      </c>
      <c r="R1486" s="34">
        <f>IF(C1486="","",IF(L1486="☑ Oui","Annulée",IF(OR(E1486="Vente directe",K1486&lt;&gt;""),"Livrée",IF(J1486&lt;&gt;"","Confirmée","En attente"))))</f>
        <v/>
      </c>
      <c r="S1486" s="34">
        <f>IF(F1486="","",IFERROR(VLOOKUP(F1486,T_Produits,2,FALSE),""))</f>
        <v/>
      </c>
      <c r="T1486" s="40">
        <f>IF(F1486="","",IFERROR(1/(1/VLOOKUP(F1486,T_Produits,3,FALSE)),""))</f>
        <v/>
      </c>
      <c r="U1486" s="40">
        <f>IF(H1486&lt;&gt;"",H1486,T1486)</f>
        <v/>
      </c>
      <c r="V1486" s="40">
        <f>IF(OR(G1486="",U1486=""),"",G1486*U1486-N(I1486))</f>
        <v/>
      </c>
      <c r="W1486" s="39">
        <f>IF(D1486="","",IFERROR(VALUE(MID(D1486,LEN(D1486)-3,3)),""))</f>
        <v/>
      </c>
      <c r="X1486" s="33">
        <f>IF(W1486="","",P1486&amp;"|"&amp;W1486)</f>
        <v/>
      </c>
      <c r="Y1486" s="33">
        <f>IF(W1486="","",IF(P1486="À RENSEIGNER","GIC",P1486)&amp;"-"&amp;TEXT(W1486,"000"))</f>
        <v/>
      </c>
      <c r="Z1486" s="33">
        <f>IF(X1486="","",IFERROR(INDEX(Cl_nom,MATCH(X1486,Cl_cle,0)),"(client introuvable)"))</f>
        <v/>
      </c>
      <c r="AA1486" s="33">
        <f>IF(X1486="","",IFERROR(INDEX(Cl_quartier,MATCH(X1486,Cl_cle,0))&amp;"",""))</f>
        <v/>
      </c>
      <c r="AB1486" s="45">
        <f>IF(R1486&lt;&gt;"Livrée",0,IF(K1486&lt;&gt;"",K1486,C1486))</f>
        <v/>
      </c>
      <c r="AC1486" s="33">
        <f>IF(OR(C1486="",W1486=""),"",P1486&amp;"|"&amp;W1486&amp;"|"&amp;C1486&amp;"|"&amp;E1486)</f>
        <v/>
      </c>
      <c r="AD1486" s="39">
        <f>IF(AC1486="","",IF(COUNTIF(AC$6:AC1486,AC1486)=1,1,0))</f>
        <v/>
      </c>
      <c r="AE1486" s="39">
        <f>IF(AB1486=0,"",IF(COUNTIFS(X$6:X1486,X1486,AB$6:AB1486,AB1486)=1,1,0))</f>
        <v/>
      </c>
      <c r="AF1486" s="34">
        <f>IF(C1486="","",YEAR(C1486-WEEKDAY(C1486,2)+4)&amp;"-S"&amp;TEXT(INT((C1486-DATE(YEAR(C1486-WEEKDAY(C1486,2)+4),1,3)+WEEKDAY(DATE(YEAR(C1486-WEEKDAY(C1486,2)+4),1,3),2)+5)/7),"00"))</f>
        <v/>
      </c>
    </row>
    <row r="1487" ht="18" customHeight="1">
      <c r="A1487" s="39" t="n">
        <v>1482</v>
      </c>
      <c r="B1487" s="33">
        <f>IF(C1487="","",IF(P1487="À RENSEIGNER","GIC",P1487)&amp;"-C"&amp;TEXT(A1487,"00000"))</f>
        <v/>
      </c>
      <c r="C1487" s="32" t="n"/>
      <c r="D1487" s="36" t="n"/>
      <c r="E1487" s="36" t="n"/>
      <c r="F1487" s="36" t="n"/>
      <c r="G1487" s="42" t="n"/>
      <c r="H1487" s="37" t="n"/>
      <c r="I1487" s="37" t="n"/>
      <c r="J1487" s="32" t="n"/>
      <c r="K1487" s="32" t="n"/>
      <c r="L1487" s="43" t="n"/>
      <c r="M1487" s="36" t="n"/>
      <c r="N1487" s="44" t="n"/>
      <c r="O1487" s="36" t="n"/>
      <c r="P1487" s="33">
        <f>IF(C1487="","",Commercial_Id)</f>
        <v/>
      </c>
      <c r="Q1487" s="34">
        <f>IF(AC1487="","",IF(AD1487=1,"C"&amp;TEXT(SUM(AD$6:AD1487),"0000"),INDEX(Q$6:Q1486,MATCH(AC1487,AC$6:AC1486,0))))</f>
        <v/>
      </c>
      <c r="R1487" s="34">
        <f>IF(C1487="","",IF(L1487="☑ Oui","Annulée",IF(OR(E1487="Vente directe",K1487&lt;&gt;""),"Livrée",IF(J1487&lt;&gt;"","Confirmée","En attente"))))</f>
        <v/>
      </c>
      <c r="S1487" s="34">
        <f>IF(F1487="","",IFERROR(VLOOKUP(F1487,T_Produits,2,FALSE),""))</f>
        <v/>
      </c>
      <c r="T1487" s="40">
        <f>IF(F1487="","",IFERROR(1/(1/VLOOKUP(F1487,T_Produits,3,FALSE)),""))</f>
        <v/>
      </c>
      <c r="U1487" s="40">
        <f>IF(H1487&lt;&gt;"",H1487,T1487)</f>
        <v/>
      </c>
      <c r="V1487" s="40">
        <f>IF(OR(G1487="",U1487=""),"",G1487*U1487-N(I1487))</f>
        <v/>
      </c>
      <c r="W1487" s="39">
        <f>IF(D1487="","",IFERROR(VALUE(MID(D1487,LEN(D1487)-3,3)),""))</f>
        <v/>
      </c>
      <c r="X1487" s="33">
        <f>IF(W1487="","",P1487&amp;"|"&amp;W1487)</f>
        <v/>
      </c>
      <c r="Y1487" s="33">
        <f>IF(W1487="","",IF(P1487="À RENSEIGNER","GIC",P1487)&amp;"-"&amp;TEXT(W1487,"000"))</f>
        <v/>
      </c>
      <c r="Z1487" s="33">
        <f>IF(X1487="","",IFERROR(INDEX(Cl_nom,MATCH(X1487,Cl_cle,0)),"(client introuvable)"))</f>
        <v/>
      </c>
      <c r="AA1487" s="33">
        <f>IF(X1487="","",IFERROR(INDEX(Cl_quartier,MATCH(X1487,Cl_cle,0))&amp;"",""))</f>
        <v/>
      </c>
      <c r="AB1487" s="45">
        <f>IF(R1487&lt;&gt;"Livrée",0,IF(K1487&lt;&gt;"",K1487,C1487))</f>
        <v/>
      </c>
      <c r="AC1487" s="33">
        <f>IF(OR(C1487="",W1487=""),"",P1487&amp;"|"&amp;W1487&amp;"|"&amp;C1487&amp;"|"&amp;E1487)</f>
        <v/>
      </c>
      <c r="AD1487" s="39">
        <f>IF(AC1487="","",IF(COUNTIF(AC$6:AC1487,AC1487)=1,1,0))</f>
        <v/>
      </c>
      <c r="AE1487" s="39">
        <f>IF(AB1487=0,"",IF(COUNTIFS(X$6:X1487,X1487,AB$6:AB1487,AB1487)=1,1,0))</f>
        <v/>
      </c>
      <c r="AF1487" s="34">
        <f>IF(C1487="","",YEAR(C1487-WEEKDAY(C1487,2)+4)&amp;"-S"&amp;TEXT(INT((C1487-DATE(YEAR(C1487-WEEKDAY(C1487,2)+4),1,3)+WEEKDAY(DATE(YEAR(C1487-WEEKDAY(C1487,2)+4),1,3),2)+5)/7),"00"))</f>
        <v/>
      </c>
    </row>
    <row r="1488" ht="18" customHeight="1">
      <c r="A1488" s="39" t="n">
        <v>1483</v>
      </c>
      <c r="B1488" s="33">
        <f>IF(C1488="","",IF(P1488="À RENSEIGNER","GIC",P1488)&amp;"-C"&amp;TEXT(A1488,"00000"))</f>
        <v/>
      </c>
      <c r="C1488" s="32" t="n"/>
      <c r="D1488" s="36" t="n"/>
      <c r="E1488" s="36" t="n"/>
      <c r="F1488" s="36" t="n"/>
      <c r="G1488" s="42" t="n"/>
      <c r="H1488" s="37" t="n"/>
      <c r="I1488" s="37" t="n"/>
      <c r="J1488" s="32" t="n"/>
      <c r="K1488" s="32" t="n"/>
      <c r="L1488" s="43" t="n"/>
      <c r="M1488" s="36" t="n"/>
      <c r="N1488" s="44" t="n"/>
      <c r="O1488" s="36" t="n"/>
      <c r="P1488" s="33">
        <f>IF(C1488="","",Commercial_Id)</f>
        <v/>
      </c>
      <c r="Q1488" s="34">
        <f>IF(AC1488="","",IF(AD1488=1,"C"&amp;TEXT(SUM(AD$6:AD1488),"0000"),INDEX(Q$6:Q1487,MATCH(AC1488,AC$6:AC1487,0))))</f>
        <v/>
      </c>
      <c r="R1488" s="34">
        <f>IF(C1488="","",IF(L1488="☑ Oui","Annulée",IF(OR(E1488="Vente directe",K1488&lt;&gt;""),"Livrée",IF(J1488&lt;&gt;"","Confirmée","En attente"))))</f>
        <v/>
      </c>
      <c r="S1488" s="34">
        <f>IF(F1488="","",IFERROR(VLOOKUP(F1488,T_Produits,2,FALSE),""))</f>
        <v/>
      </c>
      <c r="T1488" s="40">
        <f>IF(F1488="","",IFERROR(1/(1/VLOOKUP(F1488,T_Produits,3,FALSE)),""))</f>
        <v/>
      </c>
      <c r="U1488" s="40">
        <f>IF(H1488&lt;&gt;"",H1488,T1488)</f>
        <v/>
      </c>
      <c r="V1488" s="40">
        <f>IF(OR(G1488="",U1488=""),"",G1488*U1488-N(I1488))</f>
        <v/>
      </c>
      <c r="W1488" s="39">
        <f>IF(D1488="","",IFERROR(VALUE(MID(D1488,LEN(D1488)-3,3)),""))</f>
        <v/>
      </c>
      <c r="X1488" s="33">
        <f>IF(W1488="","",P1488&amp;"|"&amp;W1488)</f>
        <v/>
      </c>
      <c r="Y1488" s="33">
        <f>IF(W1488="","",IF(P1488="À RENSEIGNER","GIC",P1488)&amp;"-"&amp;TEXT(W1488,"000"))</f>
        <v/>
      </c>
      <c r="Z1488" s="33">
        <f>IF(X1488="","",IFERROR(INDEX(Cl_nom,MATCH(X1488,Cl_cle,0)),"(client introuvable)"))</f>
        <v/>
      </c>
      <c r="AA1488" s="33">
        <f>IF(X1488="","",IFERROR(INDEX(Cl_quartier,MATCH(X1488,Cl_cle,0))&amp;"",""))</f>
        <v/>
      </c>
      <c r="AB1488" s="45">
        <f>IF(R1488&lt;&gt;"Livrée",0,IF(K1488&lt;&gt;"",K1488,C1488))</f>
        <v/>
      </c>
      <c r="AC1488" s="33">
        <f>IF(OR(C1488="",W1488=""),"",P1488&amp;"|"&amp;W1488&amp;"|"&amp;C1488&amp;"|"&amp;E1488)</f>
        <v/>
      </c>
      <c r="AD1488" s="39">
        <f>IF(AC1488="","",IF(COUNTIF(AC$6:AC1488,AC1488)=1,1,0))</f>
        <v/>
      </c>
      <c r="AE1488" s="39">
        <f>IF(AB1488=0,"",IF(COUNTIFS(X$6:X1488,X1488,AB$6:AB1488,AB1488)=1,1,0))</f>
        <v/>
      </c>
      <c r="AF1488" s="34">
        <f>IF(C1488="","",YEAR(C1488-WEEKDAY(C1488,2)+4)&amp;"-S"&amp;TEXT(INT((C1488-DATE(YEAR(C1488-WEEKDAY(C1488,2)+4),1,3)+WEEKDAY(DATE(YEAR(C1488-WEEKDAY(C1488,2)+4),1,3),2)+5)/7),"00"))</f>
        <v/>
      </c>
    </row>
    <row r="1489" ht="18" customHeight="1">
      <c r="A1489" s="39" t="n">
        <v>1484</v>
      </c>
      <c r="B1489" s="33">
        <f>IF(C1489="","",IF(P1489="À RENSEIGNER","GIC",P1489)&amp;"-C"&amp;TEXT(A1489,"00000"))</f>
        <v/>
      </c>
      <c r="C1489" s="32" t="n"/>
      <c r="D1489" s="36" t="n"/>
      <c r="E1489" s="36" t="n"/>
      <c r="F1489" s="36" t="n"/>
      <c r="G1489" s="42" t="n"/>
      <c r="H1489" s="37" t="n"/>
      <c r="I1489" s="37" t="n"/>
      <c r="J1489" s="32" t="n"/>
      <c r="K1489" s="32" t="n"/>
      <c r="L1489" s="43" t="n"/>
      <c r="M1489" s="36" t="n"/>
      <c r="N1489" s="44" t="n"/>
      <c r="O1489" s="36" t="n"/>
      <c r="P1489" s="33">
        <f>IF(C1489="","",Commercial_Id)</f>
        <v/>
      </c>
      <c r="Q1489" s="34">
        <f>IF(AC1489="","",IF(AD1489=1,"C"&amp;TEXT(SUM(AD$6:AD1489),"0000"),INDEX(Q$6:Q1488,MATCH(AC1489,AC$6:AC1488,0))))</f>
        <v/>
      </c>
      <c r="R1489" s="34">
        <f>IF(C1489="","",IF(L1489="☑ Oui","Annulée",IF(OR(E1489="Vente directe",K1489&lt;&gt;""),"Livrée",IF(J1489&lt;&gt;"","Confirmée","En attente"))))</f>
        <v/>
      </c>
      <c r="S1489" s="34">
        <f>IF(F1489="","",IFERROR(VLOOKUP(F1489,T_Produits,2,FALSE),""))</f>
        <v/>
      </c>
      <c r="T1489" s="40">
        <f>IF(F1489="","",IFERROR(1/(1/VLOOKUP(F1489,T_Produits,3,FALSE)),""))</f>
        <v/>
      </c>
      <c r="U1489" s="40">
        <f>IF(H1489&lt;&gt;"",H1489,T1489)</f>
        <v/>
      </c>
      <c r="V1489" s="40">
        <f>IF(OR(G1489="",U1489=""),"",G1489*U1489-N(I1489))</f>
        <v/>
      </c>
      <c r="W1489" s="39">
        <f>IF(D1489="","",IFERROR(VALUE(MID(D1489,LEN(D1489)-3,3)),""))</f>
        <v/>
      </c>
      <c r="X1489" s="33">
        <f>IF(W1489="","",P1489&amp;"|"&amp;W1489)</f>
        <v/>
      </c>
      <c r="Y1489" s="33">
        <f>IF(W1489="","",IF(P1489="À RENSEIGNER","GIC",P1489)&amp;"-"&amp;TEXT(W1489,"000"))</f>
        <v/>
      </c>
      <c r="Z1489" s="33">
        <f>IF(X1489="","",IFERROR(INDEX(Cl_nom,MATCH(X1489,Cl_cle,0)),"(client introuvable)"))</f>
        <v/>
      </c>
      <c r="AA1489" s="33">
        <f>IF(X1489="","",IFERROR(INDEX(Cl_quartier,MATCH(X1489,Cl_cle,0))&amp;"",""))</f>
        <v/>
      </c>
      <c r="AB1489" s="45">
        <f>IF(R1489&lt;&gt;"Livrée",0,IF(K1489&lt;&gt;"",K1489,C1489))</f>
        <v/>
      </c>
      <c r="AC1489" s="33">
        <f>IF(OR(C1489="",W1489=""),"",P1489&amp;"|"&amp;W1489&amp;"|"&amp;C1489&amp;"|"&amp;E1489)</f>
        <v/>
      </c>
      <c r="AD1489" s="39">
        <f>IF(AC1489="","",IF(COUNTIF(AC$6:AC1489,AC1489)=1,1,0))</f>
        <v/>
      </c>
      <c r="AE1489" s="39">
        <f>IF(AB1489=0,"",IF(COUNTIFS(X$6:X1489,X1489,AB$6:AB1489,AB1489)=1,1,0))</f>
        <v/>
      </c>
      <c r="AF1489" s="34">
        <f>IF(C1489="","",YEAR(C1489-WEEKDAY(C1489,2)+4)&amp;"-S"&amp;TEXT(INT((C1489-DATE(YEAR(C1489-WEEKDAY(C1489,2)+4),1,3)+WEEKDAY(DATE(YEAR(C1489-WEEKDAY(C1489,2)+4),1,3),2)+5)/7),"00"))</f>
        <v/>
      </c>
    </row>
    <row r="1490" ht="18" customHeight="1">
      <c r="A1490" s="39" t="n">
        <v>1485</v>
      </c>
      <c r="B1490" s="33">
        <f>IF(C1490="","",IF(P1490="À RENSEIGNER","GIC",P1490)&amp;"-C"&amp;TEXT(A1490,"00000"))</f>
        <v/>
      </c>
      <c r="C1490" s="32" t="n"/>
      <c r="D1490" s="36" t="n"/>
      <c r="E1490" s="36" t="n"/>
      <c r="F1490" s="36" t="n"/>
      <c r="G1490" s="42" t="n"/>
      <c r="H1490" s="37" t="n"/>
      <c r="I1490" s="37" t="n"/>
      <c r="J1490" s="32" t="n"/>
      <c r="K1490" s="32" t="n"/>
      <c r="L1490" s="43" t="n"/>
      <c r="M1490" s="36" t="n"/>
      <c r="N1490" s="44" t="n"/>
      <c r="O1490" s="36" t="n"/>
      <c r="P1490" s="33">
        <f>IF(C1490="","",Commercial_Id)</f>
        <v/>
      </c>
      <c r="Q1490" s="34">
        <f>IF(AC1490="","",IF(AD1490=1,"C"&amp;TEXT(SUM(AD$6:AD1490),"0000"),INDEX(Q$6:Q1489,MATCH(AC1490,AC$6:AC1489,0))))</f>
        <v/>
      </c>
      <c r="R1490" s="34">
        <f>IF(C1490="","",IF(L1490="☑ Oui","Annulée",IF(OR(E1490="Vente directe",K1490&lt;&gt;""),"Livrée",IF(J1490&lt;&gt;"","Confirmée","En attente"))))</f>
        <v/>
      </c>
      <c r="S1490" s="34">
        <f>IF(F1490="","",IFERROR(VLOOKUP(F1490,T_Produits,2,FALSE),""))</f>
        <v/>
      </c>
      <c r="T1490" s="40">
        <f>IF(F1490="","",IFERROR(1/(1/VLOOKUP(F1490,T_Produits,3,FALSE)),""))</f>
        <v/>
      </c>
      <c r="U1490" s="40">
        <f>IF(H1490&lt;&gt;"",H1490,T1490)</f>
        <v/>
      </c>
      <c r="V1490" s="40">
        <f>IF(OR(G1490="",U1490=""),"",G1490*U1490-N(I1490))</f>
        <v/>
      </c>
      <c r="W1490" s="39">
        <f>IF(D1490="","",IFERROR(VALUE(MID(D1490,LEN(D1490)-3,3)),""))</f>
        <v/>
      </c>
      <c r="X1490" s="33">
        <f>IF(W1490="","",P1490&amp;"|"&amp;W1490)</f>
        <v/>
      </c>
      <c r="Y1490" s="33">
        <f>IF(W1490="","",IF(P1490="À RENSEIGNER","GIC",P1490)&amp;"-"&amp;TEXT(W1490,"000"))</f>
        <v/>
      </c>
      <c r="Z1490" s="33">
        <f>IF(X1490="","",IFERROR(INDEX(Cl_nom,MATCH(X1490,Cl_cle,0)),"(client introuvable)"))</f>
        <v/>
      </c>
      <c r="AA1490" s="33">
        <f>IF(X1490="","",IFERROR(INDEX(Cl_quartier,MATCH(X1490,Cl_cle,0))&amp;"",""))</f>
        <v/>
      </c>
      <c r="AB1490" s="45">
        <f>IF(R1490&lt;&gt;"Livrée",0,IF(K1490&lt;&gt;"",K1490,C1490))</f>
        <v/>
      </c>
      <c r="AC1490" s="33">
        <f>IF(OR(C1490="",W1490=""),"",P1490&amp;"|"&amp;W1490&amp;"|"&amp;C1490&amp;"|"&amp;E1490)</f>
        <v/>
      </c>
      <c r="AD1490" s="39">
        <f>IF(AC1490="","",IF(COUNTIF(AC$6:AC1490,AC1490)=1,1,0))</f>
        <v/>
      </c>
      <c r="AE1490" s="39">
        <f>IF(AB1490=0,"",IF(COUNTIFS(X$6:X1490,X1490,AB$6:AB1490,AB1490)=1,1,0))</f>
        <v/>
      </c>
      <c r="AF1490" s="34">
        <f>IF(C1490="","",YEAR(C1490-WEEKDAY(C1490,2)+4)&amp;"-S"&amp;TEXT(INT((C1490-DATE(YEAR(C1490-WEEKDAY(C1490,2)+4),1,3)+WEEKDAY(DATE(YEAR(C1490-WEEKDAY(C1490,2)+4),1,3),2)+5)/7),"00"))</f>
        <v/>
      </c>
    </row>
    <row r="1491" ht="18" customHeight="1">
      <c r="A1491" s="39" t="n">
        <v>1486</v>
      </c>
      <c r="B1491" s="33">
        <f>IF(C1491="","",IF(P1491="À RENSEIGNER","GIC",P1491)&amp;"-C"&amp;TEXT(A1491,"00000"))</f>
        <v/>
      </c>
      <c r="C1491" s="32" t="n"/>
      <c r="D1491" s="36" t="n"/>
      <c r="E1491" s="36" t="n"/>
      <c r="F1491" s="36" t="n"/>
      <c r="G1491" s="42" t="n"/>
      <c r="H1491" s="37" t="n"/>
      <c r="I1491" s="37" t="n"/>
      <c r="J1491" s="32" t="n"/>
      <c r="K1491" s="32" t="n"/>
      <c r="L1491" s="43" t="n"/>
      <c r="M1491" s="36" t="n"/>
      <c r="N1491" s="44" t="n"/>
      <c r="O1491" s="36" t="n"/>
      <c r="P1491" s="33">
        <f>IF(C1491="","",Commercial_Id)</f>
        <v/>
      </c>
      <c r="Q1491" s="34">
        <f>IF(AC1491="","",IF(AD1491=1,"C"&amp;TEXT(SUM(AD$6:AD1491),"0000"),INDEX(Q$6:Q1490,MATCH(AC1491,AC$6:AC1490,0))))</f>
        <v/>
      </c>
      <c r="R1491" s="34">
        <f>IF(C1491="","",IF(L1491="☑ Oui","Annulée",IF(OR(E1491="Vente directe",K1491&lt;&gt;""),"Livrée",IF(J1491&lt;&gt;"","Confirmée","En attente"))))</f>
        <v/>
      </c>
      <c r="S1491" s="34">
        <f>IF(F1491="","",IFERROR(VLOOKUP(F1491,T_Produits,2,FALSE),""))</f>
        <v/>
      </c>
      <c r="T1491" s="40">
        <f>IF(F1491="","",IFERROR(1/(1/VLOOKUP(F1491,T_Produits,3,FALSE)),""))</f>
        <v/>
      </c>
      <c r="U1491" s="40">
        <f>IF(H1491&lt;&gt;"",H1491,T1491)</f>
        <v/>
      </c>
      <c r="V1491" s="40">
        <f>IF(OR(G1491="",U1491=""),"",G1491*U1491-N(I1491))</f>
        <v/>
      </c>
      <c r="W1491" s="39">
        <f>IF(D1491="","",IFERROR(VALUE(MID(D1491,LEN(D1491)-3,3)),""))</f>
        <v/>
      </c>
      <c r="X1491" s="33">
        <f>IF(W1491="","",P1491&amp;"|"&amp;W1491)</f>
        <v/>
      </c>
      <c r="Y1491" s="33">
        <f>IF(W1491="","",IF(P1491="À RENSEIGNER","GIC",P1491)&amp;"-"&amp;TEXT(W1491,"000"))</f>
        <v/>
      </c>
      <c r="Z1491" s="33">
        <f>IF(X1491="","",IFERROR(INDEX(Cl_nom,MATCH(X1491,Cl_cle,0)),"(client introuvable)"))</f>
        <v/>
      </c>
      <c r="AA1491" s="33">
        <f>IF(X1491="","",IFERROR(INDEX(Cl_quartier,MATCH(X1491,Cl_cle,0))&amp;"",""))</f>
        <v/>
      </c>
      <c r="AB1491" s="45">
        <f>IF(R1491&lt;&gt;"Livrée",0,IF(K1491&lt;&gt;"",K1491,C1491))</f>
        <v/>
      </c>
      <c r="AC1491" s="33">
        <f>IF(OR(C1491="",W1491=""),"",P1491&amp;"|"&amp;W1491&amp;"|"&amp;C1491&amp;"|"&amp;E1491)</f>
        <v/>
      </c>
      <c r="AD1491" s="39">
        <f>IF(AC1491="","",IF(COUNTIF(AC$6:AC1491,AC1491)=1,1,0))</f>
        <v/>
      </c>
      <c r="AE1491" s="39">
        <f>IF(AB1491=0,"",IF(COUNTIFS(X$6:X1491,X1491,AB$6:AB1491,AB1491)=1,1,0))</f>
        <v/>
      </c>
      <c r="AF1491" s="34">
        <f>IF(C1491="","",YEAR(C1491-WEEKDAY(C1491,2)+4)&amp;"-S"&amp;TEXT(INT((C1491-DATE(YEAR(C1491-WEEKDAY(C1491,2)+4),1,3)+WEEKDAY(DATE(YEAR(C1491-WEEKDAY(C1491,2)+4),1,3),2)+5)/7),"00"))</f>
        <v/>
      </c>
    </row>
    <row r="1492" ht="18" customHeight="1">
      <c r="A1492" s="39" t="n">
        <v>1487</v>
      </c>
      <c r="B1492" s="33">
        <f>IF(C1492="","",IF(P1492="À RENSEIGNER","GIC",P1492)&amp;"-C"&amp;TEXT(A1492,"00000"))</f>
        <v/>
      </c>
      <c r="C1492" s="32" t="n"/>
      <c r="D1492" s="36" t="n"/>
      <c r="E1492" s="36" t="n"/>
      <c r="F1492" s="36" t="n"/>
      <c r="G1492" s="42" t="n"/>
      <c r="H1492" s="37" t="n"/>
      <c r="I1492" s="37" t="n"/>
      <c r="J1492" s="32" t="n"/>
      <c r="K1492" s="32" t="n"/>
      <c r="L1492" s="43" t="n"/>
      <c r="M1492" s="36" t="n"/>
      <c r="N1492" s="44" t="n"/>
      <c r="O1492" s="36" t="n"/>
      <c r="P1492" s="33">
        <f>IF(C1492="","",Commercial_Id)</f>
        <v/>
      </c>
      <c r="Q1492" s="34">
        <f>IF(AC1492="","",IF(AD1492=1,"C"&amp;TEXT(SUM(AD$6:AD1492),"0000"),INDEX(Q$6:Q1491,MATCH(AC1492,AC$6:AC1491,0))))</f>
        <v/>
      </c>
      <c r="R1492" s="34">
        <f>IF(C1492="","",IF(L1492="☑ Oui","Annulée",IF(OR(E1492="Vente directe",K1492&lt;&gt;""),"Livrée",IF(J1492&lt;&gt;"","Confirmée","En attente"))))</f>
        <v/>
      </c>
      <c r="S1492" s="34">
        <f>IF(F1492="","",IFERROR(VLOOKUP(F1492,T_Produits,2,FALSE),""))</f>
        <v/>
      </c>
      <c r="T1492" s="40">
        <f>IF(F1492="","",IFERROR(1/(1/VLOOKUP(F1492,T_Produits,3,FALSE)),""))</f>
        <v/>
      </c>
      <c r="U1492" s="40">
        <f>IF(H1492&lt;&gt;"",H1492,T1492)</f>
        <v/>
      </c>
      <c r="V1492" s="40">
        <f>IF(OR(G1492="",U1492=""),"",G1492*U1492-N(I1492))</f>
        <v/>
      </c>
      <c r="W1492" s="39">
        <f>IF(D1492="","",IFERROR(VALUE(MID(D1492,LEN(D1492)-3,3)),""))</f>
        <v/>
      </c>
      <c r="X1492" s="33">
        <f>IF(W1492="","",P1492&amp;"|"&amp;W1492)</f>
        <v/>
      </c>
      <c r="Y1492" s="33">
        <f>IF(W1492="","",IF(P1492="À RENSEIGNER","GIC",P1492)&amp;"-"&amp;TEXT(W1492,"000"))</f>
        <v/>
      </c>
      <c r="Z1492" s="33">
        <f>IF(X1492="","",IFERROR(INDEX(Cl_nom,MATCH(X1492,Cl_cle,0)),"(client introuvable)"))</f>
        <v/>
      </c>
      <c r="AA1492" s="33">
        <f>IF(X1492="","",IFERROR(INDEX(Cl_quartier,MATCH(X1492,Cl_cle,0))&amp;"",""))</f>
        <v/>
      </c>
      <c r="AB1492" s="45">
        <f>IF(R1492&lt;&gt;"Livrée",0,IF(K1492&lt;&gt;"",K1492,C1492))</f>
        <v/>
      </c>
      <c r="AC1492" s="33">
        <f>IF(OR(C1492="",W1492=""),"",P1492&amp;"|"&amp;W1492&amp;"|"&amp;C1492&amp;"|"&amp;E1492)</f>
        <v/>
      </c>
      <c r="AD1492" s="39">
        <f>IF(AC1492="","",IF(COUNTIF(AC$6:AC1492,AC1492)=1,1,0))</f>
        <v/>
      </c>
      <c r="AE1492" s="39">
        <f>IF(AB1492=0,"",IF(COUNTIFS(X$6:X1492,X1492,AB$6:AB1492,AB1492)=1,1,0))</f>
        <v/>
      </c>
      <c r="AF1492" s="34">
        <f>IF(C1492="","",YEAR(C1492-WEEKDAY(C1492,2)+4)&amp;"-S"&amp;TEXT(INT((C1492-DATE(YEAR(C1492-WEEKDAY(C1492,2)+4),1,3)+WEEKDAY(DATE(YEAR(C1492-WEEKDAY(C1492,2)+4),1,3),2)+5)/7),"00"))</f>
        <v/>
      </c>
    </row>
    <row r="1493" ht="18" customHeight="1">
      <c r="A1493" s="39" t="n">
        <v>1488</v>
      </c>
      <c r="B1493" s="33">
        <f>IF(C1493="","",IF(P1493="À RENSEIGNER","GIC",P1493)&amp;"-C"&amp;TEXT(A1493,"00000"))</f>
        <v/>
      </c>
      <c r="C1493" s="32" t="n"/>
      <c r="D1493" s="36" t="n"/>
      <c r="E1493" s="36" t="n"/>
      <c r="F1493" s="36" t="n"/>
      <c r="G1493" s="42" t="n"/>
      <c r="H1493" s="37" t="n"/>
      <c r="I1493" s="37" t="n"/>
      <c r="J1493" s="32" t="n"/>
      <c r="K1493" s="32" t="n"/>
      <c r="L1493" s="43" t="n"/>
      <c r="M1493" s="36" t="n"/>
      <c r="N1493" s="44" t="n"/>
      <c r="O1493" s="36" t="n"/>
      <c r="P1493" s="33">
        <f>IF(C1493="","",Commercial_Id)</f>
        <v/>
      </c>
      <c r="Q1493" s="34">
        <f>IF(AC1493="","",IF(AD1493=1,"C"&amp;TEXT(SUM(AD$6:AD1493),"0000"),INDEX(Q$6:Q1492,MATCH(AC1493,AC$6:AC1492,0))))</f>
        <v/>
      </c>
      <c r="R1493" s="34">
        <f>IF(C1493="","",IF(L1493="☑ Oui","Annulée",IF(OR(E1493="Vente directe",K1493&lt;&gt;""),"Livrée",IF(J1493&lt;&gt;"","Confirmée","En attente"))))</f>
        <v/>
      </c>
      <c r="S1493" s="34">
        <f>IF(F1493="","",IFERROR(VLOOKUP(F1493,T_Produits,2,FALSE),""))</f>
        <v/>
      </c>
      <c r="T1493" s="40">
        <f>IF(F1493="","",IFERROR(1/(1/VLOOKUP(F1493,T_Produits,3,FALSE)),""))</f>
        <v/>
      </c>
      <c r="U1493" s="40">
        <f>IF(H1493&lt;&gt;"",H1493,T1493)</f>
        <v/>
      </c>
      <c r="V1493" s="40">
        <f>IF(OR(G1493="",U1493=""),"",G1493*U1493-N(I1493))</f>
        <v/>
      </c>
      <c r="W1493" s="39">
        <f>IF(D1493="","",IFERROR(VALUE(MID(D1493,LEN(D1493)-3,3)),""))</f>
        <v/>
      </c>
      <c r="X1493" s="33">
        <f>IF(W1493="","",P1493&amp;"|"&amp;W1493)</f>
        <v/>
      </c>
      <c r="Y1493" s="33">
        <f>IF(W1493="","",IF(P1493="À RENSEIGNER","GIC",P1493)&amp;"-"&amp;TEXT(W1493,"000"))</f>
        <v/>
      </c>
      <c r="Z1493" s="33">
        <f>IF(X1493="","",IFERROR(INDEX(Cl_nom,MATCH(X1493,Cl_cle,0)),"(client introuvable)"))</f>
        <v/>
      </c>
      <c r="AA1493" s="33">
        <f>IF(X1493="","",IFERROR(INDEX(Cl_quartier,MATCH(X1493,Cl_cle,0))&amp;"",""))</f>
        <v/>
      </c>
      <c r="AB1493" s="45">
        <f>IF(R1493&lt;&gt;"Livrée",0,IF(K1493&lt;&gt;"",K1493,C1493))</f>
        <v/>
      </c>
      <c r="AC1493" s="33">
        <f>IF(OR(C1493="",W1493=""),"",P1493&amp;"|"&amp;W1493&amp;"|"&amp;C1493&amp;"|"&amp;E1493)</f>
        <v/>
      </c>
      <c r="AD1493" s="39">
        <f>IF(AC1493="","",IF(COUNTIF(AC$6:AC1493,AC1493)=1,1,0))</f>
        <v/>
      </c>
      <c r="AE1493" s="39">
        <f>IF(AB1493=0,"",IF(COUNTIFS(X$6:X1493,X1493,AB$6:AB1493,AB1493)=1,1,0))</f>
        <v/>
      </c>
      <c r="AF1493" s="34">
        <f>IF(C1493="","",YEAR(C1493-WEEKDAY(C1493,2)+4)&amp;"-S"&amp;TEXT(INT((C1493-DATE(YEAR(C1493-WEEKDAY(C1493,2)+4),1,3)+WEEKDAY(DATE(YEAR(C1493-WEEKDAY(C1493,2)+4),1,3),2)+5)/7),"00"))</f>
        <v/>
      </c>
    </row>
    <row r="1494" ht="18" customHeight="1">
      <c r="A1494" s="39" t="n">
        <v>1489</v>
      </c>
      <c r="B1494" s="33">
        <f>IF(C1494="","",IF(P1494="À RENSEIGNER","GIC",P1494)&amp;"-C"&amp;TEXT(A1494,"00000"))</f>
        <v/>
      </c>
      <c r="C1494" s="32" t="n"/>
      <c r="D1494" s="36" t="n"/>
      <c r="E1494" s="36" t="n"/>
      <c r="F1494" s="36" t="n"/>
      <c r="G1494" s="42" t="n"/>
      <c r="H1494" s="37" t="n"/>
      <c r="I1494" s="37" t="n"/>
      <c r="J1494" s="32" t="n"/>
      <c r="K1494" s="32" t="n"/>
      <c r="L1494" s="43" t="n"/>
      <c r="M1494" s="36" t="n"/>
      <c r="N1494" s="44" t="n"/>
      <c r="O1494" s="36" t="n"/>
      <c r="P1494" s="33">
        <f>IF(C1494="","",Commercial_Id)</f>
        <v/>
      </c>
      <c r="Q1494" s="34">
        <f>IF(AC1494="","",IF(AD1494=1,"C"&amp;TEXT(SUM(AD$6:AD1494),"0000"),INDEX(Q$6:Q1493,MATCH(AC1494,AC$6:AC1493,0))))</f>
        <v/>
      </c>
      <c r="R1494" s="34">
        <f>IF(C1494="","",IF(L1494="☑ Oui","Annulée",IF(OR(E1494="Vente directe",K1494&lt;&gt;""),"Livrée",IF(J1494&lt;&gt;"","Confirmée","En attente"))))</f>
        <v/>
      </c>
      <c r="S1494" s="34">
        <f>IF(F1494="","",IFERROR(VLOOKUP(F1494,T_Produits,2,FALSE),""))</f>
        <v/>
      </c>
      <c r="T1494" s="40">
        <f>IF(F1494="","",IFERROR(1/(1/VLOOKUP(F1494,T_Produits,3,FALSE)),""))</f>
        <v/>
      </c>
      <c r="U1494" s="40">
        <f>IF(H1494&lt;&gt;"",H1494,T1494)</f>
        <v/>
      </c>
      <c r="V1494" s="40">
        <f>IF(OR(G1494="",U1494=""),"",G1494*U1494-N(I1494))</f>
        <v/>
      </c>
      <c r="W1494" s="39">
        <f>IF(D1494="","",IFERROR(VALUE(MID(D1494,LEN(D1494)-3,3)),""))</f>
        <v/>
      </c>
      <c r="X1494" s="33">
        <f>IF(W1494="","",P1494&amp;"|"&amp;W1494)</f>
        <v/>
      </c>
      <c r="Y1494" s="33">
        <f>IF(W1494="","",IF(P1494="À RENSEIGNER","GIC",P1494)&amp;"-"&amp;TEXT(W1494,"000"))</f>
        <v/>
      </c>
      <c r="Z1494" s="33">
        <f>IF(X1494="","",IFERROR(INDEX(Cl_nom,MATCH(X1494,Cl_cle,0)),"(client introuvable)"))</f>
        <v/>
      </c>
      <c r="AA1494" s="33">
        <f>IF(X1494="","",IFERROR(INDEX(Cl_quartier,MATCH(X1494,Cl_cle,0))&amp;"",""))</f>
        <v/>
      </c>
      <c r="AB1494" s="45">
        <f>IF(R1494&lt;&gt;"Livrée",0,IF(K1494&lt;&gt;"",K1494,C1494))</f>
        <v/>
      </c>
      <c r="AC1494" s="33">
        <f>IF(OR(C1494="",W1494=""),"",P1494&amp;"|"&amp;W1494&amp;"|"&amp;C1494&amp;"|"&amp;E1494)</f>
        <v/>
      </c>
      <c r="AD1494" s="39">
        <f>IF(AC1494="","",IF(COUNTIF(AC$6:AC1494,AC1494)=1,1,0))</f>
        <v/>
      </c>
      <c r="AE1494" s="39">
        <f>IF(AB1494=0,"",IF(COUNTIFS(X$6:X1494,X1494,AB$6:AB1494,AB1494)=1,1,0))</f>
        <v/>
      </c>
      <c r="AF1494" s="34">
        <f>IF(C1494="","",YEAR(C1494-WEEKDAY(C1494,2)+4)&amp;"-S"&amp;TEXT(INT((C1494-DATE(YEAR(C1494-WEEKDAY(C1494,2)+4),1,3)+WEEKDAY(DATE(YEAR(C1494-WEEKDAY(C1494,2)+4),1,3),2)+5)/7),"00"))</f>
        <v/>
      </c>
    </row>
    <row r="1495" ht="18" customHeight="1">
      <c r="A1495" s="39" t="n">
        <v>1490</v>
      </c>
      <c r="B1495" s="33">
        <f>IF(C1495="","",IF(P1495="À RENSEIGNER","GIC",P1495)&amp;"-C"&amp;TEXT(A1495,"00000"))</f>
        <v/>
      </c>
      <c r="C1495" s="32" t="n"/>
      <c r="D1495" s="36" t="n"/>
      <c r="E1495" s="36" t="n"/>
      <c r="F1495" s="36" t="n"/>
      <c r="G1495" s="42" t="n"/>
      <c r="H1495" s="37" t="n"/>
      <c r="I1495" s="37" t="n"/>
      <c r="J1495" s="32" t="n"/>
      <c r="K1495" s="32" t="n"/>
      <c r="L1495" s="43" t="n"/>
      <c r="M1495" s="36" t="n"/>
      <c r="N1495" s="44" t="n"/>
      <c r="O1495" s="36" t="n"/>
      <c r="P1495" s="33">
        <f>IF(C1495="","",Commercial_Id)</f>
        <v/>
      </c>
      <c r="Q1495" s="34">
        <f>IF(AC1495="","",IF(AD1495=1,"C"&amp;TEXT(SUM(AD$6:AD1495),"0000"),INDEX(Q$6:Q1494,MATCH(AC1495,AC$6:AC1494,0))))</f>
        <v/>
      </c>
      <c r="R1495" s="34">
        <f>IF(C1495="","",IF(L1495="☑ Oui","Annulée",IF(OR(E1495="Vente directe",K1495&lt;&gt;""),"Livrée",IF(J1495&lt;&gt;"","Confirmée","En attente"))))</f>
        <v/>
      </c>
      <c r="S1495" s="34">
        <f>IF(F1495="","",IFERROR(VLOOKUP(F1495,T_Produits,2,FALSE),""))</f>
        <v/>
      </c>
      <c r="T1495" s="40">
        <f>IF(F1495="","",IFERROR(1/(1/VLOOKUP(F1495,T_Produits,3,FALSE)),""))</f>
        <v/>
      </c>
      <c r="U1495" s="40">
        <f>IF(H1495&lt;&gt;"",H1495,T1495)</f>
        <v/>
      </c>
      <c r="V1495" s="40">
        <f>IF(OR(G1495="",U1495=""),"",G1495*U1495-N(I1495))</f>
        <v/>
      </c>
      <c r="W1495" s="39">
        <f>IF(D1495="","",IFERROR(VALUE(MID(D1495,LEN(D1495)-3,3)),""))</f>
        <v/>
      </c>
      <c r="X1495" s="33">
        <f>IF(W1495="","",P1495&amp;"|"&amp;W1495)</f>
        <v/>
      </c>
      <c r="Y1495" s="33">
        <f>IF(W1495="","",IF(P1495="À RENSEIGNER","GIC",P1495)&amp;"-"&amp;TEXT(W1495,"000"))</f>
        <v/>
      </c>
      <c r="Z1495" s="33">
        <f>IF(X1495="","",IFERROR(INDEX(Cl_nom,MATCH(X1495,Cl_cle,0)),"(client introuvable)"))</f>
        <v/>
      </c>
      <c r="AA1495" s="33">
        <f>IF(X1495="","",IFERROR(INDEX(Cl_quartier,MATCH(X1495,Cl_cle,0))&amp;"",""))</f>
        <v/>
      </c>
      <c r="AB1495" s="45">
        <f>IF(R1495&lt;&gt;"Livrée",0,IF(K1495&lt;&gt;"",K1495,C1495))</f>
        <v/>
      </c>
      <c r="AC1495" s="33">
        <f>IF(OR(C1495="",W1495=""),"",P1495&amp;"|"&amp;W1495&amp;"|"&amp;C1495&amp;"|"&amp;E1495)</f>
        <v/>
      </c>
      <c r="AD1495" s="39">
        <f>IF(AC1495="","",IF(COUNTIF(AC$6:AC1495,AC1495)=1,1,0))</f>
        <v/>
      </c>
      <c r="AE1495" s="39">
        <f>IF(AB1495=0,"",IF(COUNTIFS(X$6:X1495,X1495,AB$6:AB1495,AB1495)=1,1,0))</f>
        <v/>
      </c>
      <c r="AF1495" s="34">
        <f>IF(C1495="","",YEAR(C1495-WEEKDAY(C1495,2)+4)&amp;"-S"&amp;TEXT(INT((C1495-DATE(YEAR(C1495-WEEKDAY(C1495,2)+4),1,3)+WEEKDAY(DATE(YEAR(C1495-WEEKDAY(C1495,2)+4),1,3),2)+5)/7),"00"))</f>
        <v/>
      </c>
    </row>
    <row r="1496" ht="18" customHeight="1">
      <c r="A1496" s="39" t="n">
        <v>1491</v>
      </c>
      <c r="B1496" s="33">
        <f>IF(C1496="","",IF(P1496="À RENSEIGNER","GIC",P1496)&amp;"-C"&amp;TEXT(A1496,"00000"))</f>
        <v/>
      </c>
      <c r="C1496" s="32" t="n"/>
      <c r="D1496" s="36" t="n"/>
      <c r="E1496" s="36" t="n"/>
      <c r="F1496" s="36" t="n"/>
      <c r="G1496" s="42" t="n"/>
      <c r="H1496" s="37" t="n"/>
      <c r="I1496" s="37" t="n"/>
      <c r="J1496" s="32" t="n"/>
      <c r="K1496" s="32" t="n"/>
      <c r="L1496" s="43" t="n"/>
      <c r="M1496" s="36" t="n"/>
      <c r="N1496" s="44" t="n"/>
      <c r="O1496" s="36" t="n"/>
      <c r="P1496" s="33">
        <f>IF(C1496="","",Commercial_Id)</f>
        <v/>
      </c>
      <c r="Q1496" s="34">
        <f>IF(AC1496="","",IF(AD1496=1,"C"&amp;TEXT(SUM(AD$6:AD1496),"0000"),INDEX(Q$6:Q1495,MATCH(AC1496,AC$6:AC1495,0))))</f>
        <v/>
      </c>
      <c r="R1496" s="34">
        <f>IF(C1496="","",IF(L1496="☑ Oui","Annulée",IF(OR(E1496="Vente directe",K1496&lt;&gt;""),"Livrée",IF(J1496&lt;&gt;"","Confirmée","En attente"))))</f>
        <v/>
      </c>
      <c r="S1496" s="34">
        <f>IF(F1496="","",IFERROR(VLOOKUP(F1496,T_Produits,2,FALSE),""))</f>
        <v/>
      </c>
      <c r="T1496" s="40">
        <f>IF(F1496="","",IFERROR(1/(1/VLOOKUP(F1496,T_Produits,3,FALSE)),""))</f>
        <v/>
      </c>
      <c r="U1496" s="40">
        <f>IF(H1496&lt;&gt;"",H1496,T1496)</f>
        <v/>
      </c>
      <c r="V1496" s="40">
        <f>IF(OR(G1496="",U1496=""),"",G1496*U1496-N(I1496))</f>
        <v/>
      </c>
      <c r="W1496" s="39">
        <f>IF(D1496="","",IFERROR(VALUE(MID(D1496,LEN(D1496)-3,3)),""))</f>
        <v/>
      </c>
      <c r="X1496" s="33">
        <f>IF(W1496="","",P1496&amp;"|"&amp;W1496)</f>
        <v/>
      </c>
      <c r="Y1496" s="33">
        <f>IF(W1496="","",IF(P1496="À RENSEIGNER","GIC",P1496)&amp;"-"&amp;TEXT(W1496,"000"))</f>
        <v/>
      </c>
      <c r="Z1496" s="33">
        <f>IF(X1496="","",IFERROR(INDEX(Cl_nom,MATCH(X1496,Cl_cle,0)),"(client introuvable)"))</f>
        <v/>
      </c>
      <c r="AA1496" s="33">
        <f>IF(X1496="","",IFERROR(INDEX(Cl_quartier,MATCH(X1496,Cl_cle,0))&amp;"",""))</f>
        <v/>
      </c>
      <c r="AB1496" s="45">
        <f>IF(R1496&lt;&gt;"Livrée",0,IF(K1496&lt;&gt;"",K1496,C1496))</f>
        <v/>
      </c>
      <c r="AC1496" s="33">
        <f>IF(OR(C1496="",W1496=""),"",P1496&amp;"|"&amp;W1496&amp;"|"&amp;C1496&amp;"|"&amp;E1496)</f>
        <v/>
      </c>
      <c r="AD1496" s="39">
        <f>IF(AC1496="","",IF(COUNTIF(AC$6:AC1496,AC1496)=1,1,0))</f>
        <v/>
      </c>
      <c r="AE1496" s="39">
        <f>IF(AB1496=0,"",IF(COUNTIFS(X$6:X1496,X1496,AB$6:AB1496,AB1496)=1,1,0))</f>
        <v/>
      </c>
      <c r="AF1496" s="34">
        <f>IF(C1496="","",YEAR(C1496-WEEKDAY(C1496,2)+4)&amp;"-S"&amp;TEXT(INT((C1496-DATE(YEAR(C1496-WEEKDAY(C1496,2)+4),1,3)+WEEKDAY(DATE(YEAR(C1496-WEEKDAY(C1496,2)+4),1,3),2)+5)/7),"00"))</f>
        <v/>
      </c>
    </row>
    <row r="1497" ht="18" customHeight="1">
      <c r="A1497" s="39" t="n">
        <v>1492</v>
      </c>
      <c r="B1497" s="33">
        <f>IF(C1497="","",IF(P1497="À RENSEIGNER","GIC",P1497)&amp;"-C"&amp;TEXT(A1497,"00000"))</f>
        <v/>
      </c>
      <c r="C1497" s="32" t="n"/>
      <c r="D1497" s="36" t="n"/>
      <c r="E1497" s="36" t="n"/>
      <c r="F1497" s="36" t="n"/>
      <c r="G1497" s="42" t="n"/>
      <c r="H1497" s="37" t="n"/>
      <c r="I1497" s="37" t="n"/>
      <c r="J1497" s="32" t="n"/>
      <c r="K1497" s="32" t="n"/>
      <c r="L1497" s="43" t="n"/>
      <c r="M1497" s="36" t="n"/>
      <c r="N1497" s="44" t="n"/>
      <c r="O1497" s="36" t="n"/>
      <c r="P1497" s="33">
        <f>IF(C1497="","",Commercial_Id)</f>
        <v/>
      </c>
      <c r="Q1497" s="34">
        <f>IF(AC1497="","",IF(AD1497=1,"C"&amp;TEXT(SUM(AD$6:AD1497),"0000"),INDEX(Q$6:Q1496,MATCH(AC1497,AC$6:AC1496,0))))</f>
        <v/>
      </c>
      <c r="R1497" s="34">
        <f>IF(C1497="","",IF(L1497="☑ Oui","Annulée",IF(OR(E1497="Vente directe",K1497&lt;&gt;""),"Livrée",IF(J1497&lt;&gt;"","Confirmée","En attente"))))</f>
        <v/>
      </c>
      <c r="S1497" s="34">
        <f>IF(F1497="","",IFERROR(VLOOKUP(F1497,T_Produits,2,FALSE),""))</f>
        <v/>
      </c>
      <c r="T1497" s="40">
        <f>IF(F1497="","",IFERROR(1/(1/VLOOKUP(F1497,T_Produits,3,FALSE)),""))</f>
        <v/>
      </c>
      <c r="U1497" s="40">
        <f>IF(H1497&lt;&gt;"",H1497,T1497)</f>
        <v/>
      </c>
      <c r="V1497" s="40">
        <f>IF(OR(G1497="",U1497=""),"",G1497*U1497-N(I1497))</f>
        <v/>
      </c>
      <c r="W1497" s="39">
        <f>IF(D1497="","",IFERROR(VALUE(MID(D1497,LEN(D1497)-3,3)),""))</f>
        <v/>
      </c>
      <c r="X1497" s="33">
        <f>IF(W1497="","",P1497&amp;"|"&amp;W1497)</f>
        <v/>
      </c>
      <c r="Y1497" s="33">
        <f>IF(W1497="","",IF(P1497="À RENSEIGNER","GIC",P1497)&amp;"-"&amp;TEXT(W1497,"000"))</f>
        <v/>
      </c>
      <c r="Z1497" s="33">
        <f>IF(X1497="","",IFERROR(INDEX(Cl_nom,MATCH(X1497,Cl_cle,0)),"(client introuvable)"))</f>
        <v/>
      </c>
      <c r="AA1497" s="33">
        <f>IF(X1497="","",IFERROR(INDEX(Cl_quartier,MATCH(X1497,Cl_cle,0))&amp;"",""))</f>
        <v/>
      </c>
      <c r="AB1497" s="45">
        <f>IF(R1497&lt;&gt;"Livrée",0,IF(K1497&lt;&gt;"",K1497,C1497))</f>
        <v/>
      </c>
      <c r="AC1497" s="33">
        <f>IF(OR(C1497="",W1497=""),"",P1497&amp;"|"&amp;W1497&amp;"|"&amp;C1497&amp;"|"&amp;E1497)</f>
        <v/>
      </c>
      <c r="AD1497" s="39">
        <f>IF(AC1497="","",IF(COUNTIF(AC$6:AC1497,AC1497)=1,1,0))</f>
        <v/>
      </c>
      <c r="AE1497" s="39">
        <f>IF(AB1497=0,"",IF(COUNTIFS(X$6:X1497,X1497,AB$6:AB1497,AB1497)=1,1,0))</f>
        <v/>
      </c>
      <c r="AF1497" s="34">
        <f>IF(C1497="","",YEAR(C1497-WEEKDAY(C1497,2)+4)&amp;"-S"&amp;TEXT(INT((C1497-DATE(YEAR(C1497-WEEKDAY(C1497,2)+4),1,3)+WEEKDAY(DATE(YEAR(C1497-WEEKDAY(C1497,2)+4),1,3),2)+5)/7),"00"))</f>
        <v/>
      </c>
    </row>
    <row r="1498" ht="18" customHeight="1">
      <c r="A1498" s="39" t="n">
        <v>1493</v>
      </c>
      <c r="B1498" s="33">
        <f>IF(C1498="","",IF(P1498="À RENSEIGNER","GIC",P1498)&amp;"-C"&amp;TEXT(A1498,"00000"))</f>
        <v/>
      </c>
      <c r="C1498" s="32" t="n"/>
      <c r="D1498" s="36" t="n"/>
      <c r="E1498" s="36" t="n"/>
      <c r="F1498" s="36" t="n"/>
      <c r="G1498" s="42" t="n"/>
      <c r="H1498" s="37" t="n"/>
      <c r="I1498" s="37" t="n"/>
      <c r="J1498" s="32" t="n"/>
      <c r="K1498" s="32" t="n"/>
      <c r="L1498" s="43" t="n"/>
      <c r="M1498" s="36" t="n"/>
      <c r="N1498" s="44" t="n"/>
      <c r="O1498" s="36" t="n"/>
      <c r="P1498" s="33">
        <f>IF(C1498="","",Commercial_Id)</f>
        <v/>
      </c>
      <c r="Q1498" s="34">
        <f>IF(AC1498="","",IF(AD1498=1,"C"&amp;TEXT(SUM(AD$6:AD1498),"0000"),INDEX(Q$6:Q1497,MATCH(AC1498,AC$6:AC1497,0))))</f>
        <v/>
      </c>
      <c r="R1498" s="34">
        <f>IF(C1498="","",IF(L1498="☑ Oui","Annulée",IF(OR(E1498="Vente directe",K1498&lt;&gt;""),"Livrée",IF(J1498&lt;&gt;"","Confirmée","En attente"))))</f>
        <v/>
      </c>
      <c r="S1498" s="34">
        <f>IF(F1498="","",IFERROR(VLOOKUP(F1498,T_Produits,2,FALSE),""))</f>
        <v/>
      </c>
      <c r="T1498" s="40">
        <f>IF(F1498="","",IFERROR(1/(1/VLOOKUP(F1498,T_Produits,3,FALSE)),""))</f>
        <v/>
      </c>
      <c r="U1498" s="40">
        <f>IF(H1498&lt;&gt;"",H1498,T1498)</f>
        <v/>
      </c>
      <c r="V1498" s="40">
        <f>IF(OR(G1498="",U1498=""),"",G1498*U1498-N(I1498))</f>
        <v/>
      </c>
      <c r="W1498" s="39">
        <f>IF(D1498="","",IFERROR(VALUE(MID(D1498,LEN(D1498)-3,3)),""))</f>
        <v/>
      </c>
      <c r="X1498" s="33">
        <f>IF(W1498="","",P1498&amp;"|"&amp;W1498)</f>
        <v/>
      </c>
      <c r="Y1498" s="33">
        <f>IF(W1498="","",IF(P1498="À RENSEIGNER","GIC",P1498)&amp;"-"&amp;TEXT(W1498,"000"))</f>
        <v/>
      </c>
      <c r="Z1498" s="33">
        <f>IF(X1498="","",IFERROR(INDEX(Cl_nom,MATCH(X1498,Cl_cle,0)),"(client introuvable)"))</f>
        <v/>
      </c>
      <c r="AA1498" s="33">
        <f>IF(X1498="","",IFERROR(INDEX(Cl_quartier,MATCH(X1498,Cl_cle,0))&amp;"",""))</f>
        <v/>
      </c>
      <c r="AB1498" s="45">
        <f>IF(R1498&lt;&gt;"Livrée",0,IF(K1498&lt;&gt;"",K1498,C1498))</f>
        <v/>
      </c>
      <c r="AC1498" s="33">
        <f>IF(OR(C1498="",W1498=""),"",P1498&amp;"|"&amp;W1498&amp;"|"&amp;C1498&amp;"|"&amp;E1498)</f>
        <v/>
      </c>
      <c r="AD1498" s="39">
        <f>IF(AC1498="","",IF(COUNTIF(AC$6:AC1498,AC1498)=1,1,0))</f>
        <v/>
      </c>
      <c r="AE1498" s="39">
        <f>IF(AB1498=0,"",IF(COUNTIFS(X$6:X1498,X1498,AB$6:AB1498,AB1498)=1,1,0))</f>
        <v/>
      </c>
      <c r="AF1498" s="34">
        <f>IF(C1498="","",YEAR(C1498-WEEKDAY(C1498,2)+4)&amp;"-S"&amp;TEXT(INT((C1498-DATE(YEAR(C1498-WEEKDAY(C1498,2)+4),1,3)+WEEKDAY(DATE(YEAR(C1498-WEEKDAY(C1498,2)+4),1,3),2)+5)/7),"00"))</f>
        <v/>
      </c>
    </row>
    <row r="1499" ht="18" customHeight="1">
      <c r="A1499" s="39" t="n">
        <v>1494</v>
      </c>
      <c r="B1499" s="33">
        <f>IF(C1499="","",IF(P1499="À RENSEIGNER","GIC",P1499)&amp;"-C"&amp;TEXT(A1499,"00000"))</f>
        <v/>
      </c>
      <c r="C1499" s="32" t="n"/>
      <c r="D1499" s="36" t="n"/>
      <c r="E1499" s="36" t="n"/>
      <c r="F1499" s="36" t="n"/>
      <c r="G1499" s="42" t="n"/>
      <c r="H1499" s="37" t="n"/>
      <c r="I1499" s="37" t="n"/>
      <c r="J1499" s="32" t="n"/>
      <c r="K1499" s="32" t="n"/>
      <c r="L1499" s="43" t="n"/>
      <c r="M1499" s="36" t="n"/>
      <c r="N1499" s="44" t="n"/>
      <c r="O1499" s="36" t="n"/>
      <c r="P1499" s="33">
        <f>IF(C1499="","",Commercial_Id)</f>
        <v/>
      </c>
      <c r="Q1499" s="34">
        <f>IF(AC1499="","",IF(AD1499=1,"C"&amp;TEXT(SUM(AD$6:AD1499),"0000"),INDEX(Q$6:Q1498,MATCH(AC1499,AC$6:AC1498,0))))</f>
        <v/>
      </c>
      <c r="R1499" s="34">
        <f>IF(C1499="","",IF(L1499="☑ Oui","Annulée",IF(OR(E1499="Vente directe",K1499&lt;&gt;""),"Livrée",IF(J1499&lt;&gt;"","Confirmée","En attente"))))</f>
        <v/>
      </c>
      <c r="S1499" s="34">
        <f>IF(F1499="","",IFERROR(VLOOKUP(F1499,T_Produits,2,FALSE),""))</f>
        <v/>
      </c>
      <c r="T1499" s="40">
        <f>IF(F1499="","",IFERROR(1/(1/VLOOKUP(F1499,T_Produits,3,FALSE)),""))</f>
        <v/>
      </c>
      <c r="U1499" s="40">
        <f>IF(H1499&lt;&gt;"",H1499,T1499)</f>
        <v/>
      </c>
      <c r="V1499" s="40">
        <f>IF(OR(G1499="",U1499=""),"",G1499*U1499-N(I1499))</f>
        <v/>
      </c>
      <c r="W1499" s="39">
        <f>IF(D1499="","",IFERROR(VALUE(MID(D1499,LEN(D1499)-3,3)),""))</f>
        <v/>
      </c>
      <c r="X1499" s="33">
        <f>IF(W1499="","",P1499&amp;"|"&amp;W1499)</f>
        <v/>
      </c>
      <c r="Y1499" s="33">
        <f>IF(W1499="","",IF(P1499="À RENSEIGNER","GIC",P1499)&amp;"-"&amp;TEXT(W1499,"000"))</f>
        <v/>
      </c>
      <c r="Z1499" s="33">
        <f>IF(X1499="","",IFERROR(INDEX(Cl_nom,MATCH(X1499,Cl_cle,0)),"(client introuvable)"))</f>
        <v/>
      </c>
      <c r="AA1499" s="33">
        <f>IF(X1499="","",IFERROR(INDEX(Cl_quartier,MATCH(X1499,Cl_cle,0))&amp;"",""))</f>
        <v/>
      </c>
      <c r="AB1499" s="45">
        <f>IF(R1499&lt;&gt;"Livrée",0,IF(K1499&lt;&gt;"",K1499,C1499))</f>
        <v/>
      </c>
      <c r="AC1499" s="33">
        <f>IF(OR(C1499="",W1499=""),"",P1499&amp;"|"&amp;W1499&amp;"|"&amp;C1499&amp;"|"&amp;E1499)</f>
        <v/>
      </c>
      <c r="AD1499" s="39">
        <f>IF(AC1499="","",IF(COUNTIF(AC$6:AC1499,AC1499)=1,1,0))</f>
        <v/>
      </c>
      <c r="AE1499" s="39">
        <f>IF(AB1499=0,"",IF(COUNTIFS(X$6:X1499,X1499,AB$6:AB1499,AB1499)=1,1,0))</f>
        <v/>
      </c>
      <c r="AF1499" s="34">
        <f>IF(C1499="","",YEAR(C1499-WEEKDAY(C1499,2)+4)&amp;"-S"&amp;TEXT(INT((C1499-DATE(YEAR(C1499-WEEKDAY(C1499,2)+4),1,3)+WEEKDAY(DATE(YEAR(C1499-WEEKDAY(C1499,2)+4),1,3),2)+5)/7),"00"))</f>
        <v/>
      </c>
    </row>
    <row r="1500" ht="18" customHeight="1">
      <c r="A1500" s="39" t="n">
        <v>1495</v>
      </c>
      <c r="B1500" s="33">
        <f>IF(C1500="","",IF(P1500="À RENSEIGNER","GIC",P1500)&amp;"-C"&amp;TEXT(A1500,"00000"))</f>
        <v/>
      </c>
      <c r="C1500" s="32" t="n"/>
      <c r="D1500" s="36" t="n"/>
      <c r="E1500" s="36" t="n"/>
      <c r="F1500" s="36" t="n"/>
      <c r="G1500" s="42" t="n"/>
      <c r="H1500" s="37" t="n"/>
      <c r="I1500" s="37" t="n"/>
      <c r="J1500" s="32" t="n"/>
      <c r="K1500" s="32" t="n"/>
      <c r="L1500" s="43" t="n"/>
      <c r="M1500" s="36" t="n"/>
      <c r="N1500" s="44" t="n"/>
      <c r="O1500" s="36" t="n"/>
      <c r="P1500" s="33">
        <f>IF(C1500="","",Commercial_Id)</f>
        <v/>
      </c>
      <c r="Q1500" s="34">
        <f>IF(AC1500="","",IF(AD1500=1,"C"&amp;TEXT(SUM(AD$6:AD1500),"0000"),INDEX(Q$6:Q1499,MATCH(AC1500,AC$6:AC1499,0))))</f>
        <v/>
      </c>
      <c r="R1500" s="34">
        <f>IF(C1500="","",IF(L1500="☑ Oui","Annulée",IF(OR(E1500="Vente directe",K1500&lt;&gt;""),"Livrée",IF(J1500&lt;&gt;"","Confirmée","En attente"))))</f>
        <v/>
      </c>
      <c r="S1500" s="34">
        <f>IF(F1500="","",IFERROR(VLOOKUP(F1500,T_Produits,2,FALSE),""))</f>
        <v/>
      </c>
      <c r="T1500" s="40">
        <f>IF(F1500="","",IFERROR(1/(1/VLOOKUP(F1500,T_Produits,3,FALSE)),""))</f>
        <v/>
      </c>
      <c r="U1500" s="40">
        <f>IF(H1500&lt;&gt;"",H1500,T1500)</f>
        <v/>
      </c>
      <c r="V1500" s="40">
        <f>IF(OR(G1500="",U1500=""),"",G1500*U1500-N(I1500))</f>
        <v/>
      </c>
      <c r="W1500" s="39">
        <f>IF(D1500="","",IFERROR(VALUE(MID(D1500,LEN(D1500)-3,3)),""))</f>
        <v/>
      </c>
      <c r="X1500" s="33">
        <f>IF(W1500="","",P1500&amp;"|"&amp;W1500)</f>
        <v/>
      </c>
      <c r="Y1500" s="33">
        <f>IF(W1500="","",IF(P1500="À RENSEIGNER","GIC",P1500)&amp;"-"&amp;TEXT(W1500,"000"))</f>
        <v/>
      </c>
      <c r="Z1500" s="33">
        <f>IF(X1500="","",IFERROR(INDEX(Cl_nom,MATCH(X1500,Cl_cle,0)),"(client introuvable)"))</f>
        <v/>
      </c>
      <c r="AA1500" s="33">
        <f>IF(X1500="","",IFERROR(INDEX(Cl_quartier,MATCH(X1500,Cl_cle,0))&amp;"",""))</f>
        <v/>
      </c>
      <c r="AB1500" s="45">
        <f>IF(R1500&lt;&gt;"Livrée",0,IF(K1500&lt;&gt;"",K1500,C1500))</f>
        <v/>
      </c>
      <c r="AC1500" s="33">
        <f>IF(OR(C1500="",W1500=""),"",P1500&amp;"|"&amp;W1500&amp;"|"&amp;C1500&amp;"|"&amp;E1500)</f>
        <v/>
      </c>
      <c r="AD1500" s="39">
        <f>IF(AC1500="","",IF(COUNTIF(AC$6:AC1500,AC1500)=1,1,0))</f>
        <v/>
      </c>
      <c r="AE1500" s="39">
        <f>IF(AB1500=0,"",IF(COUNTIFS(X$6:X1500,X1500,AB$6:AB1500,AB1500)=1,1,0))</f>
        <v/>
      </c>
      <c r="AF1500" s="34">
        <f>IF(C1500="","",YEAR(C1500-WEEKDAY(C1500,2)+4)&amp;"-S"&amp;TEXT(INT((C1500-DATE(YEAR(C1500-WEEKDAY(C1500,2)+4),1,3)+WEEKDAY(DATE(YEAR(C1500-WEEKDAY(C1500,2)+4),1,3),2)+5)/7),"00"))</f>
        <v/>
      </c>
    </row>
    <row r="1501" ht="18" customHeight="1">
      <c r="A1501" s="39" t="n">
        <v>1496</v>
      </c>
      <c r="B1501" s="33">
        <f>IF(C1501="","",IF(P1501="À RENSEIGNER","GIC",P1501)&amp;"-C"&amp;TEXT(A1501,"00000"))</f>
        <v/>
      </c>
      <c r="C1501" s="32" t="n"/>
      <c r="D1501" s="36" t="n"/>
      <c r="E1501" s="36" t="n"/>
      <c r="F1501" s="36" t="n"/>
      <c r="G1501" s="42" t="n"/>
      <c r="H1501" s="37" t="n"/>
      <c r="I1501" s="37" t="n"/>
      <c r="J1501" s="32" t="n"/>
      <c r="K1501" s="32" t="n"/>
      <c r="L1501" s="43" t="n"/>
      <c r="M1501" s="36" t="n"/>
      <c r="N1501" s="44" t="n"/>
      <c r="O1501" s="36" t="n"/>
      <c r="P1501" s="33">
        <f>IF(C1501="","",Commercial_Id)</f>
        <v/>
      </c>
      <c r="Q1501" s="34">
        <f>IF(AC1501="","",IF(AD1501=1,"C"&amp;TEXT(SUM(AD$6:AD1501),"0000"),INDEX(Q$6:Q1500,MATCH(AC1501,AC$6:AC1500,0))))</f>
        <v/>
      </c>
      <c r="R1501" s="34">
        <f>IF(C1501="","",IF(L1501="☑ Oui","Annulée",IF(OR(E1501="Vente directe",K1501&lt;&gt;""),"Livrée",IF(J1501&lt;&gt;"","Confirmée","En attente"))))</f>
        <v/>
      </c>
      <c r="S1501" s="34">
        <f>IF(F1501="","",IFERROR(VLOOKUP(F1501,T_Produits,2,FALSE),""))</f>
        <v/>
      </c>
      <c r="T1501" s="40">
        <f>IF(F1501="","",IFERROR(1/(1/VLOOKUP(F1501,T_Produits,3,FALSE)),""))</f>
        <v/>
      </c>
      <c r="U1501" s="40">
        <f>IF(H1501&lt;&gt;"",H1501,T1501)</f>
        <v/>
      </c>
      <c r="V1501" s="40">
        <f>IF(OR(G1501="",U1501=""),"",G1501*U1501-N(I1501))</f>
        <v/>
      </c>
      <c r="W1501" s="39">
        <f>IF(D1501="","",IFERROR(VALUE(MID(D1501,LEN(D1501)-3,3)),""))</f>
        <v/>
      </c>
      <c r="X1501" s="33">
        <f>IF(W1501="","",P1501&amp;"|"&amp;W1501)</f>
        <v/>
      </c>
      <c r="Y1501" s="33">
        <f>IF(W1501="","",IF(P1501="À RENSEIGNER","GIC",P1501)&amp;"-"&amp;TEXT(W1501,"000"))</f>
        <v/>
      </c>
      <c r="Z1501" s="33">
        <f>IF(X1501="","",IFERROR(INDEX(Cl_nom,MATCH(X1501,Cl_cle,0)),"(client introuvable)"))</f>
        <v/>
      </c>
      <c r="AA1501" s="33">
        <f>IF(X1501="","",IFERROR(INDEX(Cl_quartier,MATCH(X1501,Cl_cle,0))&amp;"",""))</f>
        <v/>
      </c>
      <c r="AB1501" s="45">
        <f>IF(R1501&lt;&gt;"Livrée",0,IF(K1501&lt;&gt;"",K1501,C1501))</f>
        <v/>
      </c>
      <c r="AC1501" s="33">
        <f>IF(OR(C1501="",W1501=""),"",P1501&amp;"|"&amp;W1501&amp;"|"&amp;C1501&amp;"|"&amp;E1501)</f>
        <v/>
      </c>
      <c r="AD1501" s="39">
        <f>IF(AC1501="","",IF(COUNTIF(AC$6:AC1501,AC1501)=1,1,0))</f>
        <v/>
      </c>
      <c r="AE1501" s="39">
        <f>IF(AB1501=0,"",IF(COUNTIFS(X$6:X1501,X1501,AB$6:AB1501,AB1501)=1,1,0))</f>
        <v/>
      </c>
      <c r="AF1501" s="34">
        <f>IF(C1501="","",YEAR(C1501-WEEKDAY(C1501,2)+4)&amp;"-S"&amp;TEXT(INT((C1501-DATE(YEAR(C1501-WEEKDAY(C1501,2)+4),1,3)+WEEKDAY(DATE(YEAR(C1501-WEEKDAY(C1501,2)+4),1,3),2)+5)/7),"00"))</f>
        <v/>
      </c>
    </row>
    <row r="1502" ht="18" customHeight="1">
      <c r="A1502" s="39" t="n">
        <v>1497</v>
      </c>
      <c r="B1502" s="33">
        <f>IF(C1502="","",IF(P1502="À RENSEIGNER","GIC",P1502)&amp;"-C"&amp;TEXT(A1502,"00000"))</f>
        <v/>
      </c>
      <c r="C1502" s="32" t="n"/>
      <c r="D1502" s="36" t="n"/>
      <c r="E1502" s="36" t="n"/>
      <c r="F1502" s="36" t="n"/>
      <c r="G1502" s="42" t="n"/>
      <c r="H1502" s="37" t="n"/>
      <c r="I1502" s="37" t="n"/>
      <c r="J1502" s="32" t="n"/>
      <c r="K1502" s="32" t="n"/>
      <c r="L1502" s="43" t="n"/>
      <c r="M1502" s="36" t="n"/>
      <c r="N1502" s="44" t="n"/>
      <c r="O1502" s="36" t="n"/>
      <c r="P1502" s="33">
        <f>IF(C1502="","",Commercial_Id)</f>
        <v/>
      </c>
      <c r="Q1502" s="34">
        <f>IF(AC1502="","",IF(AD1502=1,"C"&amp;TEXT(SUM(AD$6:AD1502),"0000"),INDEX(Q$6:Q1501,MATCH(AC1502,AC$6:AC1501,0))))</f>
        <v/>
      </c>
      <c r="R1502" s="34">
        <f>IF(C1502="","",IF(L1502="☑ Oui","Annulée",IF(OR(E1502="Vente directe",K1502&lt;&gt;""),"Livrée",IF(J1502&lt;&gt;"","Confirmée","En attente"))))</f>
        <v/>
      </c>
      <c r="S1502" s="34">
        <f>IF(F1502="","",IFERROR(VLOOKUP(F1502,T_Produits,2,FALSE),""))</f>
        <v/>
      </c>
      <c r="T1502" s="40">
        <f>IF(F1502="","",IFERROR(1/(1/VLOOKUP(F1502,T_Produits,3,FALSE)),""))</f>
        <v/>
      </c>
      <c r="U1502" s="40">
        <f>IF(H1502&lt;&gt;"",H1502,T1502)</f>
        <v/>
      </c>
      <c r="V1502" s="40">
        <f>IF(OR(G1502="",U1502=""),"",G1502*U1502-N(I1502))</f>
        <v/>
      </c>
      <c r="W1502" s="39">
        <f>IF(D1502="","",IFERROR(VALUE(MID(D1502,LEN(D1502)-3,3)),""))</f>
        <v/>
      </c>
      <c r="X1502" s="33">
        <f>IF(W1502="","",P1502&amp;"|"&amp;W1502)</f>
        <v/>
      </c>
      <c r="Y1502" s="33">
        <f>IF(W1502="","",IF(P1502="À RENSEIGNER","GIC",P1502)&amp;"-"&amp;TEXT(W1502,"000"))</f>
        <v/>
      </c>
      <c r="Z1502" s="33">
        <f>IF(X1502="","",IFERROR(INDEX(Cl_nom,MATCH(X1502,Cl_cle,0)),"(client introuvable)"))</f>
        <v/>
      </c>
      <c r="AA1502" s="33">
        <f>IF(X1502="","",IFERROR(INDEX(Cl_quartier,MATCH(X1502,Cl_cle,0))&amp;"",""))</f>
        <v/>
      </c>
      <c r="AB1502" s="45">
        <f>IF(R1502&lt;&gt;"Livrée",0,IF(K1502&lt;&gt;"",K1502,C1502))</f>
        <v/>
      </c>
      <c r="AC1502" s="33">
        <f>IF(OR(C1502="",W1502=""),"",P1502&amp;"|"&amp;W1502&amp;"|"&amp;C1502&amp;"|"&amp;E1502)</f>
        <v/>
      </c>
      <c r="AD1502" s="39">
        <f>IF(AC1502="","",IF(COUNTIF(AC$6:AC1502,AC1502)=1,1,0))</f>
        <v/>
      </c>
      <c r="AE1502" s="39">
        <f>IF(AB1502=0,"",IF(COUNTIFS(X$6:X1502,X1502,AB$6:AB1502,AB1502)=1,1,0))</f>
        <v/>
      </c>
      <c r="AF1502" s="34">
        <f>IF(C1502="","",YEAR(C1502-WEEKDAY(C1502,2)+4)&amp;"-S"&amp;TEXT(INT((C1502-DATE(YEAR(C1502-WEEKDAY(C1502,2)+4),1,3)+WEEKDAY(DATE(YEAR(C1502-WEEKDAY(C1502,2)+4),1,3),2)+5)/7),"00"))</f>
        <v/>
      </c>
    </row>
    <row r="1503" ht="18" customHeight="1">
      <c r="A1503" s="39" t="n">
        <v>1498</v>
      </c>
      <c r="B1503" s="33">
        <f>IF(C1503="","",IF(P1503="À RENSEIGNER","GIC",P1503)&amp;"-C"&amp;TEXT(A1503,"00000"))</f>
        <v/>
      </c>
      <c r="C1503" s="32" t="n"/>
      <c r="D1503" s="36" t="n"/>
      <c r="E1503" s="36" t="n"/>
      <c r="F1503" s="36" t="n"/>
      <c r="G1503" s="42" t="n"/>
      <c r="H1503" s="37" t="n"/>
      <c r="I1503" s="37" t="n"/>
      <c r="J1503" s="32" t="n"/>
      <c r="K1503" s="32" t="n"/>
      <c r="L1503" s="43" t="n"/>
      <c r="M1503" s="36" t="n"/>
      <c r="N1503" s="44" t="n"/>
      <c r="O1503" s="36" t="n"/>
      <c r="P1503" s="33">
        <f>IF(C1503="","",Commercial_Id)</f>
        <v/>
      </c>
      <c r="Q1503" s="34">
        <f>IF(AC1503="","",IF(AD1503=1,"C"&amp;TEXT(SUM(AD$6:AD1503),"0000"),INDEX(Q$6:Q1502,MATCH(AC1503,AC$6:AC1502,0))))</f>
        <v/>
      </c>
      <c r="R1503" s="34">
        <f>IF(C1503="","",IF(L1503="☑ Oui","Annulée",IF(OR(E1503="Vente directe",K1503&lt;&gt;""),"Livrée",IF(J1503&lt;&gt;"","Confirmée","En attente"))))</f>
        <v/>
      </c>
      <c r="S1503" s="34">
        <f>IF(F1503="","",IFERROR(VLOOKUP(F1503,T_Produits,2,FALSE),""))</f>
        <v/>
      </c>
      <c r="T1503" s="40">
        <f>IF(F1503="","",IFERROR(1/(1/VLOOKUP(F1503,T_Produits,3,FALSE)),""))</f>
        <v/>
      </c>
      <c r="U1503" s="40">
        <f>IF(H1503&lt;&gt;"",H1503,T1503)</f>
        <v/>
      </c>
      <c r="V1503" s="40">
        <f>IF(OR(G1503="",U1503=""),"",G1503*U1503-N(I1503))</f>
        <v/>
      </c>
      <c r="W1503" s="39">
        <f>IF(D1503="","",IFERROR(VALUE(MID(D1503,LEN(D1503)-3,3)),""))</f>
        <v/>
      </c>
      <c r="X1503" s="33">
        <f>IF(W1503="","",P1503&amp;"|"&amp;W1503)</f>
        <v/>
      </c>
      <c r="Y1503" s="33">
        <f>IF(W1503="","",IF(P1503="À RENSEIGNER","GIC",P1503)&amp;"-"&amp;TEXT(W1503,"000"))</f>
        <v/>
      </c>
      <c r="Z1503" s="33">
        <f>IF(X1503="","",IFERROR(INDEX(Cl_nom,MATCH(X1503,Cl_cle,0)),"(client introuvable)"))</f>
        <v/>
      </c>
      <c r="AA1503" s="33">
        <f>IF(X1503="","",IFERROR(INDEX(Cl_quartier,MATCH(X1503,Cl_cle,0))&amp;"",""))</f>
        <v/>
      </c>
      <c r="AB1503" s="45">
        <f>IF(R1503&lt;&gt;"Livrée",0,IF(K1503&lt;&gt;"",K1503,C1503))</f>
        <v/>
      </c>
      <c r="AC1503" s="33">
        <f>IF(OR(C1503="",W1503=""),"",P1503&amp;"|"&amp;W1503&amp;"|"&amp;C1503&amp;"|"&amp;E1503)</f>
        <v/>
      </c>
      <c r="AD1503" s="39">
        <f>IF(AC1503="","",IF(COUNTIF(AC$6:AC1503,AC1503)=1,1,0))</f>
        <v/>
      </c>
      <c r="AE1503" s="39">
        <f>IF(AB1503=0,"",IF(COUNTIFS(X$6:X1503,X1503,AB$6:AB1503,AB1503)=1,1,0))</f>
        <v/>
      </c>
      <c r="AF1503" s="34">
        <f>IF(C1503="","",YEAR(C1503-WEEKDAY(C1503,2)+4)&amp;"-S"&amp;TEXT(INT((C1503-DATE(YEAR(C1503-WEEKDAY(C1503,2)+4),1,3)+WEEKDAY(DATE(YEAR(C1503-WEEKDAY(C1503,2)+4),1,3),2)+5)/7),"00"))</f>
        <v/>
      </c>
    </row>
    <row r="1504" ht="18" customHeight="1">
      <c r="A1504" s="39" t="n">
        <v>1499</v>
      </c>
      <c r="B1504" s="33">
        <f>IF(C1504="","",IF(P1504="À RENSEIGNER","GIC",P1504)&amp;"-C"&amp;TEXT(A1504,"00000"))</f>
        <v/>
      </c>
      <c r="C1504" s="32" t="n"/>
      <c r="D1504" s="36" t="n"/>
      <c r="E1504" s="36" t="n"/>
      <c r="F1504" s="36" t="n"/>
      <c r="G1504" s="42" t="n"/>
      <c r="H1504" s="37" t="n"/>
      <c r="I1504" s="37" t="n"/>
      <c r="J1504" s="32" t="n"/>
      <c r="K1504" s="32" t="n"/>
      <c r="L1504" s="43" t="n"/>
      <c r="M1504" s="36" t="n"/>
      <c r="N1504" s="44" t="n"/>
      <c r="O1504" s="36" t="n"/>
      <c r="P1504" s="33">
        <f>IF(C1504="","",Commercial_Id)</f>
        <v/>
      </c>
      <c r="Q1504" s="34">
        <f>IF(AC1504="","",IF(AD1504=1,"C"&amp;TEXT(SUM(AD$6:AD1504),"0000"),INDEX(Q$6:Q1503,MATCH(AC1504,AC$6:AC1503,0))))</f>
        <v/>
      </c>
      <c r="R1504" s="34">
        <f>IF(C1504="","",IF(L1504="☑ Oui","Annulée",IF(OR(E1504="Vente directe",K1504&lt;&gt;""),"Livrée",IF(J1504&lt;&gt;"","Confirmée","En attente"))))</f>
        <v/>
      </c>
      <c r="S1504" s="34">
        <f>IF(F1504="","",IFERROR(VLOOKUP(F1504,T_Produits,2,FALSE),""))</f>
        <v/>
      </c>
      <c r="T1504" s="40">
        <f>IF(F1504="","",IFERROR(1/(1/VLOOKUP(F1504,T_Produits,3,FALSE)),""))</f>
        <v/>
      </c>
      <c r="U1504" s="40">
        <f>IF(H1504&lt;&gt;"",H1504,T1504)</f>
        <v/>
      </c>
      <c r="V1504" s="40">
        <f>IF(OR(G1504="",U1504=""),"",G1504*U1504-N(I1504))</f>
        <v/>
      </c>
      <c r="W1504" s="39">
        <f>IF(D1504="","",IFERROR(VALUE(MID(D1504,LEN(D1504)-3,3)),""))</f>
        <v/>
      </c>
      <c r="X1504" s="33">
        <f>IF(W1504="","",P1504&amp;"|"&amp;W1504)</f>
        <v/>
      </c>
      <c r="Y1504" s="33">
        <f>IF(W1504="","",IF(P1504="À RENSEIGNER","GIC",P1504)&amp;"-"&amp;TEXT(W1504,"000"))</f>
        <v/>
      </c>
      <c r="Z1504" s="33">
        <f>IF(X1504="","",IFERROR(INDEX(Cl_nom,MATCH(X1504,Cl_cle,0)),"(client introuvable)"))</f>
        <v/>
      </c>
      <c r="AA1504" s="33">
        <f>IF(X1504="","",IFERROR(INDEX(Cl_quartier,MATCH(X1504,Cl_cle,0))&amp;"",""))</f>
        <v/>
      </c>
      <c r="AB1504" s="45">
        <f>IF(R1504&lt;&gt;"Livrée",0,IF(K1504&lt;&gt;"",K1504,C1504))</f>
        <v/>
      </c>
      <c r="AC1504" s="33">
        <f>IF(OR(C1504="",W1504=""),"",P1504&amp;"|"&amp;W1504&amp;"|"&amp;C1504&amp;"|"&amp;E1504)</f>
        <v/>
      </c>
      <c r="AD1504" s="39">
        <f>IF(AC1504="","",IF(COUNTIF(AC$6:AC1504,AC1504)=1,1,0))</f>
        <v/>
      </c>
      <c r="AE1504" s="39">
        <f>IF(AB1504=0,"",IF(COUNTIFS(X$6:X1504,X1504,AB$6:AB1504,AB1504)=1,1,0))</f>
        <v/>
      </c>
      <c r="AF1504" s="34">
        <f>IF(C1504="","",YEAR(C1504-WEEKDAY(C1504,2)+4)&amp;"-S"&amp;TEXT(INT((C1504-DATE(YEAR(C1504-WEEKDAY(C1504,2)+4),1,3)+WEEKDAY(DATE(YEAR(C1504-WEEKDAY(C1504,2)+4),1,3),2)+5)/7),"00"))</f>
        <v/>
      </c>
    </row>
    <row r="1505" ht="18" customHeight="1">
      <c r="A1505" s="39" t="n">
        <v>1500</v>
      </c>
      <c r="B1505" s="33">
        <f>IF(C1505="","",IF(P1505="À RENSEIGNER","GIC",P1505)&amp;"-C"&amp;TEXT(A1505,"00000"))</f>
        <v/>
      </c>
      <c r="C1505" s="32" t="n"/>
      <c r="D1505" s="36" t="n"/>
      <c r="E1505" s="36" t="n"/>
      <c r="F1505" s="36" t="n"/>
      <c r="G1505" s="42" t="n"/>
      <c r="H1505" s="37" t="n"/>
      <c r="I1505" s="37" t="n"/>
      <c r="J1505" s="32" t="n"/>
      <c r="K1505" s="32" t="n"/>
      <c r="L1505" s="43" t="n"/>
      <c r="M1505" s="36" t="n"/>
      <c r="N1505" s="44" t="n"/>
      <c r="O1505" s="36" t="n"/>
      <c r="P1505" s="33">
        <f>IF(C1505="","",Commercial_Id)</f>
        <v/>
      </c>
      <c r="Q1505" s="34">
        <f>IF(AC1505="","",IF(AD1505=1,"C"&amp;TEXT(SUM(AD$6:AD1505),"0000"),INDEX(Q$6:Q1504,MATCH(AC1505,AC$6:AC1504,0))))</f>
        <v/>
      </c>
      <c r="R1505" s="34">
        <f>IF(C1505="","",IF(L1505="☑ Oui","Annulée",IF(OR(E1505="Vente directe",K1505&lt;&gt;""),"Livrée",IF(J1505&lt;&gt;"","Confirmée","En attente"))))</f>
        <v/>
      </c>
      <c r="S1505" s="34">
        <f>IF(F1505="","",IFERROR(VLOOKUP(F1505,T_Produits,2,FALSE),""))</f>
        <v/>
      </c>
      <c r="T1505" s="40">
        <f>IF(F1505="","",IFERROR(1/(1/VLOOKUP(F1505,T_Produits,3,FALSE)),""))</f>
        <v/>
      </c>
      <c r="U1505" s="40">
        <f>IF(H1505&lt;&gt;"",H1505,T1505)</f>
        <v/>
      </c>
      <c r="V1505" s="40">
        <f>IF(OR(G1505="",U1505=""),"",G1505*U1505-N(I1505))</f>
        <v/>
      </c>
      <c r="W1505" s="39">
        <f>IF(D1505="","",IFERROR(VALUE(MID(D1505,LEN(D1505)-3,3)),""))</f>
        <v/>
      </c>
      <c r="X1505" s="33">
        <f>IF(W1505="","",P1505&amp;"|"&amp;W1505)</f>
        <v/>
      </c>
      <c r="Y1505" s="33">
        <f>IF(W1505="","",IF(P1505="À RENSEIGNER","GIC",P1505)&amp;"-"&amp;TEXT(W1505,"000"))</f>
        <v/>
      </c>
      <c r="Z1505" s="33">
        <f>IF(X1505="","",IFERROR(INDEX(Cl_nom,MATCH(X1505,Cl_cle,0)),"(client introuvable)"))</f>
        <v/>
      </c>
      <c r="AA1505" s="33">
        <f>IF(X1505="","",IFERROR(INDEX(Cl_quartier,MATCH(X1505,Cl_cle,0))&amp;"",""))</f>
        <v/>
      </c>
      <c r="AB1505" s="45">
        <f>IF(R1505&lt;&gt;"Livrée",0,IF(K1505&lt;&gt;"",K1505,C1505))</f>
        <v/>
      </c>
      <c r="AC1505" s="33">
        <f>IF(OR(C1505="",W1505=""),"",P1505&amp;"|"&amp;W1505&amp;"|"&amp;C1505&amp;"|"&amp;E1505)</f>
        <v/>
      </c>
      <c r="AD1505" s="39">
        <f>IF(AC1505="","",IF(COUNTIF(AC$6:AC1505,AC1505)=1,1,0))</f>
        <v/>
      </c>
      <c r="AE1505" s="39">
        <f>IF(AB1505=0,"",IF(COUNTIFS(X$6:X1505,X1505,AB$6:AB1505,AB1505)=1,1,0))</f>
        <v/>
      </c>
      <c r="AF1505" s="34">
        <f>IF(C1505="","",YEAR(C1505-WEEKDAY(C1505,2)+4)&amp;"-S"&amp;TEXT(INT((C1505-DATE(YEAR(C1505-WEEKDAY(C1505,2)+4),1,3)+WEEKDAY(DATE(YEAR(C1505-WEEKDAY(C1505,2)+4),1,3),2)+5)/7),"00"))</f>
        <v/>
      </c>
    </row>
    <row r="1506" ht="18" customHeight="1">
      <c r="A1506" s="39" t="n">
        <v>1501</v>
      </c>
      <c r="B1506" s="33">
        <f>IF(C1506="","",IF(P1506="À RENSEIGNER","GIC",P1506)&amp;"-C"&amp;TEXT(A1506,"00000"))</f>
        <v/>
      </c>
      <c r="C1506" s="32" t="n"/>
      <c r="D1506" s="36" t="n"/>
      <c r="E1506" s="36" t="n"/>
      <c r="F1506" s="36" t="n"/>
      <c r="G1506" s="42" t="n"/>
      <c r="H1506" s="37" t="n"/>
      <c r="I1506" s="37" t="n"/>
      <c r="J1506" s="32" t="n"/>
      <c r="K1506" s="32" t="n"/>
      <c r="L1506" s="43" t="n"/>
      <c r="M1506" s="36" t="n"/>
      <c r="N1506" s="44" t="n"/>
      <c r="O1506" s="36" t="n"/>
      <c r="P1506" s="33">
        <f>IF(C1506="","",Commercial_Id)</f>
        <v/>
      </c>
      <c r="Q1506" s="34">
        <f>IF(AC1506="","",IF(AD1506=1,"C"&amp;TEXT(SUM(AD$6:AD1506),"0000"),INDEX(Q$6:Q1505,MATCH(AC1506,AC$6:AC1505,0))))</f>
        <v/>
      </c>
      <c r="R1506" s="34">
        <f>IF(C1506="","",IF(L1506="☑ Oui","Annulée",IF(OR(E1506="Vente directe",K1506&lt;&gt;""),"Livrée",IF(J1506&lt;&gt;"","Confirmée","En attente"))))</f>
        <v/>
      </c>
      <c r="S1506" s="34">
        <f>IF(F1506="","",IFERROR(VLOOKUP(F1506,T_Produits,2,FALSE),""))</f>
        <v/>
      </c>
      <c r="T1506" s="40">
        <f>IF(F1506="","",IFERROR(1/(1/VLOOKUP(F1506,T_Produits,3,FALSE)),""))</f>
        <v/>
      </c>
      <c r="U1506" s="40">
        <f>IF(H1506&lt;&gt;"",H1506,T1506)</f>
        <v/>
      </c>
      <c r="V1506" s="40">
        <f>IF(OR(G1506="",U1506=""),"",G1506*U1506-N(I1506))</f>
        <v/>
      </c>
      <c r="W1506" s="39">
        <f>IF(D1506="","",IFERROR(VALUE(MID(D1506,LEN(D1506)-3,3)),""))</f>
        <v/>
      </c>
      <c r="X1506" s="33">
        <f>IF(W1506="","",P1506&amp;"|"&amp;W1506)</f>
        <v/>
      </c>
      <c r="Y1506" s="33">
        <f>IF(W1506="","",IF(P1506="À RENSEIGNER","GIC",P1506)&amp;"-"&amp;TEXT(W1506,"000"))</f>
        <v/>
      </c>
      <c r="Z1506" s="33">
        <f>IF(X1506="","",IFERROR(INDEX(Cl_nom,MATCH(X1506,Cl_cle,0)),"(client introuvable)"))</f>
        <v/>
      </c>
      <c r="AA1506" s="33">
        <f>IF(X1506="","",IFERROR(INDEX(Cl_quartier,MATCH(X1506,Cl_cle,0))&amp;"",""))</f>
        <v/>
      </c>
      <c r="AB1506" s="45">
        <f>IF(R1506&lt;&gt;"Livrée",0,IF(K1506&lt;&gt;"",K1506,C1506))</f>
        <v/>
      </c>
      <c r="AC1506" s="33">
        <f>IF(OR(C1506="",W1506=""),"",P1506&amp;"|"&amp;W1506&amp;"|"&amp;C1506&amp;"|"&amp;E1506)</f>
        <v/>
      </c>
      <c r="AD1506" s="39">
        <f>IF(AC1506="","",IF(COUNTIF(AC$6:AC1506,AC1506)=1,1,0))</f>
        <v/>
      </c>
      <c r="AE1506" s="39">
        <f>IF(AB1506=0,"",IF(COUNTIFS(X$6:X1506,X1506,AB$6:AB1506,AB1506)=1,1,0))</f>
        <v/>
      </c>
      <c r="AF1506" s="34">
        <f>IF(C1506="","",YEAR(C1506-WEEKDAY(C1506,2)+4)&amp;"-S"&amp;TEXT(INT((C1506-DATE(YEAR(C1506-WEEKDAY(C1506,2)+4),1,3)+WEEKDAY(DATE(YEAR(C1506-WEEKDAY(C1506,2)+4),1,3),2)+5)/7),"00"))</f>
        <v/>
      </c>
    </row>
    <row r="1507" ht="18" customHeight="1">
      <c r="A1507" s="39" t="n">
        <v>1502</v>
      </c>
      <c r="B1507" s="33">
        <f>IF(C1507="","",IF(P1507="À RENSEIGNER","GIC",P1507)&amp;"-C"&amp;TEXT(A1507,"00000"))</f>
        <v/>
      </c>
      <c r="C1507" s="32" t="n"/>
      <c r="D1507" s="36" t="n"/>
      <c r="E1507" s="36" t="n"/>
      <c r="F1507" s="36" t="n"/>
      <c r="G1507" s="42" t="n"/>
      <c r="H1507" s="37" t="n"/>
      <c r="I1507" s="37" t="n"/>
      <c r="J1507" s="32" t="n"/>
      <c r="K1507" s="32" t="n"/>
      <c r="L1507" s="43" t="n"/>
      <c r="M1507" s="36" t="n"/>
      <c r="N1507" s="44" t="n"/>
      <c r="O1507" s="36" t="n"/>
      <c r="P1507" s="33">
        <f>IF(C1507="","",Commercial_Id)</f>
        <v/>
      </c>
      <c r="Q1507" s="34">
        <f>IF(AC1507="","",IF(AD1507=1,"C"&amp;TEXT(SUM(AD$6:AD1507),"0000"),INDEX(Q$6:Q1506,MATCH(AC1507,AC$6:AC1506,0))))</f>
        <v/>
      </c>
      <c r="R1507" s="34">
        <f>IF(C1507="","",IF(L1507="☑ Oui","Annulée",IF(OR(E1507="Vente directe",K1507&lt;&gt;""),"Livrée",IF(J1507&lt;&gt;"","Confirmée","En attente"))))</f>
        <v/>
      </c>
      <c r="S1507" s="34">
        <f>IF(F1507="","",IFERROR(VLOOKUP(F1507,T_Produits,2,FALSE),""))</f>
        <v/>
      </c>
      <c r="T1507" s="40">
        <f>IF(F1507="","",IFERROR(1/(1/VLOOKUP(F1507,T_Produits,3,FALSE)),""))</f>
        <v/>
      </c>
      <c r="U1507" s="40">
        <f>IF(H1507&lt;&gt;"",H1507,T1507)</f>
        <v/>
      </c>
      <c r="V1507" s="40">
        <f>IF(OR(G1507="",U1507=""),"",G1507*U1507-N(I1507))</f>
        <v/>
      </c>
      <c r="W1507" s="39">
        <f>IF(D1507="","",IFERROR(VALUE(MID(D1507,LEN(D1507)-3,3)),""))</f>
        <v/>
      </c>
      <c r="X1507" s="33">
        <f>IF(W1507="","",P1507&amp;"|"&amp;W1507)</f>
        <v/>
      </c>
      <c r="Y1507" s="33">
        <f>IF(W1507="","",IF(P1507="À RENSEIGNER","GIC",P1507)&amp;"-"&amp;TEXT(W1507,"000"))</f>
        <v/>
      </c>
      <c r="Z1507" s="33">
        <f>IF(X1507="","",IFERROR(INDEX(Cl_nom,MATCH(X1507,Cl_cle,0)),"(client introuvable)"))</f>
        <v/>
      </c>
      <c r="AA1507" s="33">
        <f>IF(X1507="","",IFERROR(INDEX(Cl_quartier,MATCH(X1507,Cl_cle,0))&amp;"",""))</f>
        <v/>
      </c>
      <c r="AB1507" s="45">
        <f>IF(R1507&lt;&gt;"Livrée",0,IF(K1507&lt;&gt;"",K1507,C1507))</f>
        <v/>
      </c>
      <c r="AC1507" s="33">
        <f>IF(OR(C1507="",W1507=""),"",P1507&amp;"|"&amp;W1507&amp;"|"&amp;C1507&amp;"|"&amp;E1507)</f>
        <v/>
      </c>
      <c r="AD1507" s="39">
        <f>IF(AC1507="","",IF(COUNTIF(AC$6:AC1507,AC1507)=1,1,0))</f>
        <v/>
      </c>
      <c r="AE1507" s="39">
        <f>IF(AB1507=0,"",IF(COUNTIFS(X$6:X1507,X1507,AB$6:AB1507,AB1507)=1,1,0))</f>
        <v/>
      </c>
      <c r="AF1507" s="34">
        <f>IF(C1507="","",YEAR(C1507-WEEKDAY(C1507,2)+4)&amp;"-S"&amp;TEXT(INT((C1507-DATE(YEAR(C1507-WEEKDAY(C1507,2)+4),1,3)+WEEKDAY(DATE(YEAR(C1507-WEEKDAY(C1507,2)+4),1,3),2)+5)/7),"00"))</f>
        <v/>
      </c>
    </row>
    <row r="1508" ht="18" customHeight="1">
      <c r="A1508" s="39" t="n">
        <v>1503</v>
      </c>
      <c r="B1508" s="33">
        <f>IF(C1508="","",IF(P1508="À RENSEIGNER","GIC",P1508)&amp;"-C"&amp;TEXT(A1508,"00000"))</f>
        <v/>
      </c>
      <c r="C1508" s="32" t="n"/>
      <c r="D1508" s="36" t="n"/>
      <c r="E1508" s="36" t="n"/>
      <c r="F1508" s="36" t="n"/>
      <c r="G1508" s="42" t="n"/>
      <c r="H1508" s="37" t="n"/>
      <c r="I1508" s="37" t="n"/>
      <c r="J1508" s="32" t="n"/>
      <c r="K1508" s="32" t="n"/>
      <c r="L1508" s="43" t="n"/>
      <c r="M1508" s="36" t="n"/>
      <c r="N1508" s="44" t="n"/>
      <c r="O1508" s="36" t="n"/>
      <c r="P1508" s="33">
        <f>IF(C1508="","",Commercial_Id)</f>
        <v/>
      </c>
      <c r="Q1508" s="34">
        <f>IF(AC1508="","",IF(AD1508=1,"C"&amp;TEXT(SUM(AD$6:AD1508),"0000"),INDEX(Q$6:Q1507,MATCH(AC1508,AC$6:AC1507,0))))</f>
        <v/>
      </c>
      <c r="R1508" s="34">
        <f>IF(C1508="","",IF(L1508="☑ Oui","Annulée",IF(OR(E1508="Vente directe",K1508&lt;&gt;""),"Livrée",IF(J1508&lt;&gt;"","Confirmée","En attente"))))</f>
        <v/>
      </c>
      <c r="S1508" s="34">
        <f>IF(F1508="","",IFERROR(VLOOKUP(F1508,T_Produits,2,FALSE),""))</f>
        <v/>
      </c>
      <c r="T1508" s="40">
        <f>IF(F1508="","",IFERROR(1/(1/VLOOKUP(F1508,T_Produits,3,FALSE)),""))</f>
        <v/>
      </c>
      <c r="U1508" s="40">
        <f>IF(H1508&lt;&gt;"",H1508,T1508)</f>
        <v/>
      </c>
      <c r="V1508" s="40">
        <f>IF(OR(G1508="",U1508=""),"",G1508*U1508-N(I1508))</f>
        <v/>
      </c>
      <c r="W1508" s="39">
        <f>IF(D1508="","",IFERROR(VALUE(MID(D1508,LEN(D1508)-3,3)),""))</f>
        <v/>
      </c>
      <c r="X1508" s="33">
        <f>IF(W1508="","",P1508&amp;"|"&amp;W1508)</f>
        <v/>
      </c>
      <c r="Y1508" s="33">
        <f>IF(W1508="","",IF(P1508="À RENSEIGNER","GIC",P1508)&amp;"-"&amp;TEXT(W1508,"000"))</f>
        <v/>
      </c>
      <c r="Z1508" s="33">
        <f>IF(X1508="","",IFERROR(INDEX(Cl_nom,MATCH(X1508,Cl_cle,0)),"(client introuvable)"))</f>
        <v/>
      </c>
      <c r="AA1508" s="33">
        <f>IF(X1508="","",IFERROR(INDEX(Cl_quartier,MATCH(X1508,Cl_cle,0))&amp;"",""))</f>
        <v/>
      </c>
      <c r="AB1508" s="45">
        <f>IF(R1508&lt;&gt;"Livrée",0,IF(K1508&lt;&gt;"",K1508,C1508))</f>
        <v/>
      </c>
      <c r="AC1508" s="33">
        <f>IF(OR(C1508="",W1508=""),"",P1508&amp;"|"&amp;W1508&amp;"|"&amp;C1508&amp;"|"&amp;E1508)</f>
        <v/>
      </c>
      <c r="AD1508" s="39">
        <f>IF(AC1508="","",IF(COUNTIF(AC$6:AC1508,AC1508)=1,1,0))</f>
        <v/>
      </c>
      <c r="AE1508" s="39">
        <f>IF(AB1508=0,"",IF(COUNTIFS(X$6:X1508,X1508,AB$6:AB1508,AB1508)=1,1,0))</f>
        <v/>
      </c>
      <c r="AF1508" s="34">
        <f>IF(C1508="","",YEAR(C1508-WEEKDAY(C1508,2)+4)&amp;"-S"&amp;TEXT(INT((C1508-DATE(YEAR(C1508-WEEKDAY(C1508,2)+4),1,3)+WEEKDAY(DATE(YEAR(C1508-WEEKDAY(C1508,2)+4),1,3),2)+5)/7),"00"))</f>
        <v/>
      </c>
    </row>
    <row r="1509" ht="18" customHeight="1">
      <c r="A1509" s="39" t="n">
        <v>1504</v>
      </c>
      <c r="B1509" s="33">
        <f>IF(C1509="","",IF(P1509="À RENSEIGNER","GIC",P1509)&amp;"-C"&amp;TEXT(A1509,"00000"))</f>
        <v/>
      </c>
      <c r="C1509" s="32" t="n"/>
      <c r="D1509" s="36" t="n"/>
      <c r="E1509" s="36" t="n"/>
      <c r="F1509" s="36" t="n"/>
      <c r="G1509" s="42" t="n"/>
      <c r="H1509" s="37" t="n"/>
      <c r="I1509" s="37" t="n"/>
      <c r="J1509" s="32" t="n"/>
      <c r="K1509" s="32" t="n"/>
      <c r="L1509" s="43" t="n"/>
      <c r="M1509" s="36" t="n"/>
      <c r="N1509" s="44" t="n"/>
      <c r="O1509" s="36" t="n"/>
      <c r="P1509" s="33">
        <f>IF(C1509="","",Commercial_Id)</f>
        <v/>
      </c>
      <c r="Q1509" s="34">
        <f>IF(AC1509="","",IF(AD1509=1,"C"&amp;TEXT(SUM(AD$6:AD1509),"0000"),INDEX(Q$6:Q1508,MATCH(AC1509,AC$6:AC1508,0))))</f>
        <v/>
      </c>
      <c r="R1509" s="34">
        <f>IF(C1509="","",IF(L1509="☑ Oui","Annulée",IF(OR(E1509="Vente directe",K1509&lt;&gt;""),"Livrée",IF(J1509&lt;&gt;"","Confirmée","En attente"))))</f>
        <v/>
      </c>
      <c r="S1509" s="34">
        <f>IF(F1509="","",IFERROR(VLOOKUP(F1509,T_Produits,2,FALSE),""))</f>
        <v/>
      </c>
      <c r="T1509" s="40">
        <f>IF(F1509="","",IFERROR(1/(1/VLOOKUP(F1509,T_Produits,3,FALSE)),""))</f>
        <v/>
      </c>
      <c r="U1509" s="40">
        <f>IF(H1509&lt;&gt;"",H1509,T1509)</f>
        <v/>
      </c>
      <c r="V1509" s="40">
        <f>IF(OR(G1509="",U1509=""),"",G1509*U1509-N(I1509))</f>
        <v/>
      </c>
      <c r="W1509" s="39">
        <f>IF(D1509="","",IFERROR(VALUE(MID(D1509,LEN(D1509)-3,3)),""))</f>
        <v/>
      </c>
      <c r="X1509" s="33">
        <f>IF(W1509="","",P1509&amp;"|"&amp;W1509)</f>
        <v/>
      </c>
      <c r="Y1509" s="33">
        <f>IF(W1509="","",IF(P1509="À RENSEIGNER","GIC",P1509)&amp;"-"&amp;TEXT(W1509,"000"))</f>
        <v/>
      </c>
      <c r="Z1509" s="33">
        <f>IF(X1509="","",IFERROR(INDEX(Cl_nom,MATCH(X1509,Cl_cle,0)),"(client introuvable)"))</f>
        <v/>
      </c>
      <c r="AA1509" s="33">
        <f>IF(X1509="","",IFERROR(INDEX(Cl_quartier,MATCH(X1509,Cl_cle,0))&amp;"",""))</f>
        <v/>
      </c>
      <c r="AB1509" s="45">
        <f>IF(R1509&lt;&gt;"Livrée",0,IF(K1509&lt;&gt;"",K1509,C1509))</f>
        <v/>
      </c>
      <c r="AC1509" s="33">
        <f>IF(OR(C1509="",W1509=""),"",P1509&amp;"|"&amp;W1509&amp;"|"&amp;C1509&amp;"|"&amp;E1509)</f>
        <v/>
      </c>
      <c r="AD1509" s="39">
        <f>IF(AC1509="","",IF(COUNTIF(AC$6:AC1509,AC1509)=1,1,0))</f>
        <v/>
      </c>
      <c r="AE1509" s="39">
        <f>IF(AB1509=0,"",IF(COUNTIFS(X$6:X1509,X1509,AB$6:AB1509,AB1509)=1,1,0))</f>
        <v/>
      </c>
      <c r="AF1509" s="34">
        <f>IF(C1509="","",YEAR(C1509-WEEKDAY(C1509,2)+4)&amp;"-S"&amp;TEXT(INT((C1509-DATE(YEAR(C1509-WEEKDAY(C1509,2)+4),1,3)+WEEKDAY(DATE(YEAR(C1509-WEEKDAY(C1509,2)+4),1,3),2)+5)/7),"00"))</f>
        <v/>
      </c>
    </row>
    <row r="1510" ht="18" customHeight="1">
      <c r="A1510" s="39" t="n">
        <v>1505</v>
      </c>
      <c r="B1510" s="33">
        <f>IF(C1510="","",IF(P1510="À RENSEIGNER","GIC",P1510)&amp;"-C"&amp;TEXT(A1510,"00000"))</f>
        <v/>
      </c>
      <c r="C1510" s="32" t="n"/>
      <c r="D1510" s="36" t="n"/>
      <c r="E1510" s="36" t="n"/>
      <c r="F1510" s="36" t="n"/>
      <c r="G1510" s="42" t="n"/>
      <c r="H1510" s="37" t="n"/>
      <c r="I1510" s="37" t="n"/>
      <c r="J1510" s="32" t="n"/>
      <c r="K1510" s="32" t="n"/>
      <c r="L1510" s="43" t="n"/>
      <c r="M1510" s="36" t="n"/>
      <c r="N1510" s="44" t="n"/>
      <c r="O1510" s="36" t="n"/>
      <c r="P1510" s="33">
        <f>IF(C1510="","",Commercial_Id)</f>
        <v/>
      </c>
      <c r="Q1510" s="34">
        <f>IF(AC1510="","",IF(AD1510=1,"C"&amp;TEXT(SUM(AD$6:AD1510),"0000"),INDEX(Q$6:Q1509,MATCH(AC1510,AC$6:AC1509,0))))</f>
        <v/>
      </c>
      <c r="R1510" s="34">
        <f>IF(C1510="","",IF(L1510="☑ Oui","Annulée",IF(OR(E1510="Vente directe",K1510&lt;&gt;""),"Livrée",IF(J1510&lt;&gt;"","Confirmée","En attente"))))</f>
        <v/>
      </c>
      <c r="S1510" s="34">
        <f>IF(F1510="","",IFERROR(VLOOKUP(F1510,T_Produits,2,FALSE),""))</f>
        <v/>
      </c>
      <c r="T1510" s="40">
        <f>IF(F1510="","",IFERROR(1/(1/VLOOKUP(F1510,T_Produits,3,FALSE)),""))</f>
        <v/>
      </c>
      <c r="U1510" s="40">
        <f>IF(H1510&lt;&gt;"",H1510,T1510)</f>
        <v/>
      </c>
      <c r="V1510" s="40">
        <f>IF(OR(G1510="",U1510=""),"",G1510*U1510-N(I1510))</f>
        <v/>
      </c>
      <c r="W1510" s="39">
        <f>IF(D1510="","",IFERROR(VALUE(MID(D1510,LEN(D1510)-3,3)),""))</f>
        <v/>
      </c>
      <c r="X1510" s="33">
        <f>IF(W1510="","",P1510&amp;"|"&amp;W1510)</f>
        <v/>
      </c>
      <c r="Y1510" s="33">
        <f>IF(W1510="","",IF(P1510="À RENSEIGNER","GIC",P1510)&amp;"-"&amp;TEXT(W1510,"000"))</f>
        <v/>
      </c>
      <c r="Z1510" s="33">
        <f>IF(X1510="","",IFERROR(INDEX(Cl_nom,MATCH(X1510,Cl_cle,0)),"(client introuvable)"))</f>
        <v/>
      </c>
      <c r="AA1510" s="33">
        <f>IF(X1510="","",IFERROR(INDEX(Cl_quartier,MATCH(X1510,Cl_cle,0))&amp;"",""))</f>
        <v/>
      </c>
      <c r="AB1510" s="45">
        <f>IF(R1510&lt;&gt;"Livrée",0,IF(K1510&lt;&gt;"",K1510,C1510))</f>
        <v/>
      </c>
      <c r="AC1510" s="33">
        <f>IF(OR(C1510="",W1510=""),"",P1510&amp;"|"&amp;W1510&amp;"|"&amp;C1510&amp;"|"&amp;E1510)</f>
        <v/>
      </c>
      <c r="AD1510" s="39">
        <f>IF(AC1510="","",IF(COUNTIF(AC$6:AC1510,AC1510)=1,1,0))</f>
        <v/>
      </c>
      <c r="AE1510" s="39">
        <f>IF(AB1510=0,"",IF(COUNTIFS(X$6:X1510,X1510,AB$6:AB1510,AB1510)=1,1,0))</f>
        <v/>
      </c>
      <c r="AF1510" s="34">
        <f>IF(C1510="","",YEAR(C1510-WEEKDAY(C1510,2)+4)&amp;"-S"&amp;TEXT(INT((C1510-DATE(YEAR(C1510-WEEKDAY(C1510,2)+4),1,3)+WEEKDAY(DATE(YEAR(C1510-WEEKDAY(C1510,2)+4),1,3),2)+5)/7),"00"))</f>
        <v/>
      </c>
    </row>
    <row r="1511" ht="18" customHeight="1">
      <c r="A1511" s="39" t="n">
        <v>1506</v>
      </c>
      <c r="B1511" s="33">
        <f>IF(C1511="","",IF(P1511="À RENSEIGNER","GIC",P1511)&amp;"-C"&amp;TEXT(A1511,"00000"))</f>
        <v/>
      </c>
      <c r="C1511" s="32" t="n"/>
      <c r="D1511" s="36" t="n"/>
      <c r="E1511" s="36" t="n"/>
      <c r="F1511" s="36" t="n"/>
      <c r="G1511" s="42" t="n"/>
      <c r="H1511" s="37" t="n"/>
      <c r="I1511" s="37" t="n"/>
      <c r="J1511" s="32" t="n"/>
      <c r="K1511" s="32" t="n"/>
      <c r="L1511" s="43" t="n"/>
      <c r="M1511" s="36" t="n"/>
      <c r="N1511" s="44" t="n"/>
      <c r="O1511" s="36" t="n"/>
      <c r="P1511" s="33">
        <f>IF(C1511="","",Commercial_Id)</f>
        <v/>
      </c>
      <c r="Q1511" s="34">
        <f>IF(AC1511="","",IF(AD1511=1,"C"&amp;TEXT(SUM(AD$6:AD1511),"0000"),INDEX(Q$6:Q1510,MATCH(AC1511,AC$6:AC1510,0))))</f>
        <v/>
      </c>
      <c r="R1511" s="34">
        <f>IF(C1511="","",IF(L1511="☑ Oui","Annulée",IF(OR(E1511="Vente directe",K1511&lt;&gt;""),"Livrée",IF(J1511&lt;&gt;"","Confirmée","En attente"))))</f>
        <v/>
      </c>
      <c r="S1511" s="34">
        <f>IF(F1511="","",IFERROR(VLOOKUP(F1511,T_Produits,2,FALSE),""))</f>
        <v/>
      </c>
      <c r="T1511" s="40">
        <f>IF(F1511="","",IFERROR(1/(1/VLOOKUP(F1511,T_Produits,3,FALSE)),""))</f>
        <v/>
      </c>
      <c r="U1511" s="40">
        <f>IF(H1511&lt;&gt;"",H1511,T1511)</f>
        <v/>
      </c>
      <c r="V1511" s="40">
        <f>IF(OR(G1511="",U1511=""),"",G1511*U1511-N(I1511))</f>
        <v/>
      </c>
      <c r="W1511" s="39">
        <f>IF(D1511="","",IFERROR(VALUE(MID(D1511,LEN(D1511)-3,3)),""))</f>
        <v/>
      </c>
      <c r="X1511" s="33">
        <f>IF(W1511="","",P1511&amp;"|"&amp;W1511)</f>
        <v/>
      </c>
      <c r="Y1511" s="33">
        <f>IF(W1511="","",IF(P1511="À RENSEIGNER","GIC",P1511)&amp;"-"&amp;TEXT(W1511,"000"))</f>
        <v/>
      </c>
      <c r="Z1511" s="33">
        <f>IF(X1511="","",IFERROR(INDEX(Cl_nom,MATCH(X1511,Cl_cle,0)),"(client introuvable)"))</f>
        <v/>
      </c>
      <c r="AA1511" s="33">
        <f>IF(X1511="","",IFERROR(INDEX(Cl_quartier,MATCH(X1511,Cl_cle,0))&amp;"",""))</f>
        <v/>
      </c>
      <c r="AB1511" s="45">
        <f>IF(R1511&lt;&gt;"Livrée",0,IF(K1511&lt;&gt;"",K1511,C1511))</f>
        <v/>
      </c>
      <c r="AC1511" s="33">
        <f>IF(OR(C1511="",W1511=""),"",P1511&amp;"|"&amp;W1511&amp;"|"&amp;C1511&amp;"|"&amp;E1511)</f>
        <v/>
      </c>
      <c r="AD1511" s="39">
        <f>IF(AC1511="","",IF(COUNTIF(AC$6:AC1511,AC1511)=1,1,0))</f>
        <v/>
      </c>
      <c r="AE1511" s="39">
        <f>IF(AB1511=0,"",IF(COUNTIFS(X$6:X1511,X1511,AB$6:AB1511,AB1511)=1,1,0))</f>
        <v/>
      </c>
      <c r="AF1511" s="34">
        <f>IF(C1511="","",YEAR(C1511-WEEKDAY(C1511,2)+4)&amp;"-S"&amp;TEXT(INT((C1511-DATE(YEAR(C1511-WEEKDAY(C1511,2)+4),1,3)+WEEKDAY(DATE(YEAR(C1511-WEEKDAY(C1511,2)+4),1,3),2)+5)/7),"00"))</f>
        <v/>
      </c>
    </row>
    <row r="1512" ht="18" customHeight="1">
      <c r="A1512" s="39" t="n">
        <v>1507</v>
      </c>
      <c r="B1512" s="33">
        <f>IF(C1512="","",IF(P1512="À RENSEIGNER","GIC",P1512)&amp;"-C"&amp;TEXT(A1512,"00000"))</f>
        <v/>
      </c>
      <c r="C1512" s="32" t="n"/>
      <c r="D1512" s="36" t="n"/>
      <c r="E1512" s="36" t="n"/>
      <c r="F1512" s="36" t="n"/>
      <c r="G1512" s="42" t="n"/>
      <c r="H1512" s="37" t="n"/>
      <c r="I1512" s="37" t="n"/>
      <c r="J1512" s="32" t="n"/>
      <c r="K1512" s="32" t="n"/>
      <c r="L1512" s="43" t="n"/>
      <c r="M1512" s="36" t="n"/>
      <c r="N1512" s="44" t="n"/>
      <c r="O1512" s="36" t="n"/>
      <c r="P1512" s="33">
        <f>IF(C1512="","",Commercial_Id)</f>
        <v/>
      </c>
      <c r="Q1512" s="34">
        <f>IF(AC1512="","",IF(AD1512=1,"C"&amp;TEXT(SUM(AD$6:AD1512),"0000"),INDEX(Q$6:Q1511,MATCH(AC1512,AC$6:AC1511,0))))</f>
        <v/>
      </c>
      <c r="R1512" s="34">
        <f>IF(C1512="","",IF(L1512="☑ Oui","Annulée",IF(OR(E1512="Vente directe",K1512&lt;&gt;""),"Livrée",IF(J1512&lt;&gt;"","Confirmée","En attente"))))</f>
        <v/>
      </c>
      <c r="S1512" s="34">
        <f>IF(F1512="","",IFERROR(VLOOKUP(F1512,T_Produits,2,FALSE),""))</f>
        <v/>
      </c>
      <c r="T1512" s="40">
        <f>IF(F1512="","",IFERROR(1/(1/VLOOKUP(F1512,T_Produits,3,FALSE)),""))</f>
        <v/>
      </c>
      <c r="U1512" s="40">
        <f>IF(H1512&lt;&gt;"",H1512,T1512)</f>
        <v/>
      </c>
      <c r="V1512" s="40">
        <f>IF(OR(G1512="",U1512=""),"",G1512*U1512-N(I1512))</f>
        <v/>
      </c>
      <c r="W1512" s="39">
        <f>IF(D1512="","",IFERROR(VALUE(MID(D1512,LEN(D1512)-3,3)),""))</f>
        <v/>
      </c>
      <c r="X1512" s="33">
        <f>IF(W1512="","",P1512&amp;"|"&amp;W1512)</f>
        <v/>
      </c>
      <c r="Y1512" s="33">
        <f>IF(W1512="","",IF(P1512="À RENSEIGNER","GIC",P1512)&amp;"-"&amp;TEXT(W1512,"000"))</f>
        <v/>
      </c>
      <c r="Z1512" s="33">
        <f>IF(X1512="","",IFERROR(INDEX(Cl_nom,MATCH(X1512,Cl_cle,0)),"(client introuvable)"))</f>
        <v/>
      </c>
      <c r="AA1512" s="33">
        <f>IF(X1512="","",IFERROR(INDEX(Cl_quartier,MATCH(X1512,Cl_cle,0))&amp;"",""))</f>
        <v/>
      </c>
      <c r="AB1512" s="45">
        <f>IF(R1512&lt;&gt;"Livrée",0,IF(K1512&lt;&gt;"",K1512,C1512))</f>
        <v/>
      </c>
      <c r="AC1512" s="33">
        <f>IF(OR(C1512="",W1512=""),"",P1512&amp;"|"&amp;W1512&amp;"|"&amp;C1512&amp;"|"&amp;E1512)</f>
        <v/>
      </c>
      <c r="AD1512" s="39">
        <f>IF(AC1512="","",IF(COUNTIF(AC$6:AC1512,AC1512)=1,1,0))</f>
        <v/>
      </c>
      <c r="AE1512" s="39">
        <f>IF(AB1512=0,"",IF(COUNTIFS(X$6:X1512,X1512,AB$6:AB1512,AB1512)=1,1,0))</f>
        <v/>
      </c>
      <c r="AF1512" s="34">
        <f>IF(C1512="","",YEAR(C1512-WEEKDAY(C1512,2)+4)&amp;"-S"&amp;TEXT(INT((C1512-DATE(YEAR(C1512-WEEKDAY(C1512,2)+4),1,3)+WEEKDAY(DATE(YEAR(C1512-WEEKDAY(C1512,2)+4),1,3),2)+5)/7),"00"))</f>
        <v/>
      </c>
    </row>
    <row r="1513" ht="18" customHeight="1">
      <c r="A1513" s="39" t="n">
        <v>1508</v>
      </c>
      <c r="B1513" s="33">
        <f>IF(C1513="","",IF(P1513="À RENSEIGNER","GIC",P1513)&amp;"-C"&amp;TEXT(A1513,"00000"))</f>
        <v/>
      </c>
      <c r="C1513" s="32" t="n"/>
      <c r="D1513" s="36" t="n"/>
      <c r="E1513" s="36" t="n"/>
      <c r="F1513" s="36" t="n"/>
      <c r="G1513" s="42" t="n"/>
      <c r="H1513" s="37" t="n"/>
      <c r="I1513" s="37" t="n"/>
      <c r="J1513" s="32" t="n"/>
      <c r="K1513" s="32" t="n"/>
      <c r="L1513" s="43" t="n"/>
      <c r="M1513" s="36" t="n"/>
      <c r="N1513" s="44" t="n"/>
      <c r="O1513" s="36" t="n"/>
      <c r="P1513" s="33">
        <f>IF(C1513="","",Commercial_Id)</f>
        <v/>
      </c>
      <c r="Q1513" s="34">
        <f>IF(AC1513="","",IF(AD1513=1,"C"&amp;TEXT(SUM(AD$6:AD1513),"0000"),INDEX(Q$6:Q1512,MATCH(AC1513,AC$6:AC1512,0))))</f>
        <v/>
      </c>
      <c r="R1513" s="34">
        <f>IF(C1513="","",IF(L1513="☑ Oui","Annulée",IF(OR(E1513="Vente directe",K1513&lt;&gt;""),"Livrée",IF(J1513&lt;&gt;"","Confirmée","En attente"))))</f>
        <v/>
      </c>
      <c r="S1513" s="34">
        <f>IF(F1513="","",IFERROR(VLOOKUP(F1513,T_Produits,2,FALSE),""))</f>
        <v/>
      </c>
      <c r="T1513" s="40">
        <f>IF(F1513="","",IFERROR(1/(1/VLOOKUP(F1513,T_Produits,3,FALSE)),""))</f>
        <v/>
      </c>
      <c r="U1513" s="40">
        <f>IF(H1513&lt;&gt;"",H1513,T1513)</f>
        <v/>
      </c>
      <c r="V1513" s="40">
        <f>IF(OR(G1513="",U1513=""),"",G1513*U1513-N(I1513))</f>
        <v/>
      </c>
      <c r="W1513" s="39">
        <f>IF(D1513="","",IFERROR(VALUE(MID(D1513,LEN(D1513)-3,3)),""))</f>
        <v/>
      </c>
      <c r="X1513" s="33">
        <f>IF(W1513="","",P1513&amp;"|"&amp;W1513)</f>
        <v/>
      </c>
      <c r="Y1513" s="33">
        <f>IF(W1513="","",IF(P1513="À RENSEIGNER","GIC",P1513)&amp;"-"&amp;TEXT(W1513,"000"))</f>
        <v/>
      </c>
      <c r="Z1513" s="33">
        <f>IF(X1513="","",IFERROR(INDEX(Cl_nom,MATCH(X1513,Cl_cle,0)),"(client introuvable)"))</f>
        <v/>
      </c>
      <c r="AA1513" s="33">
        <f>IF(X1513="","",IFERROR(INDEX(Cl_quartier,MATCH(X1513,Cl_cle,0))&amp;"",""))</f>
        <v/>
      </c>
      <c r="AB1513" s="45">
        <f>IF(R1513&lt;&gt;"Livrée",0,IF(K1513&lt;&gt;"",K1513,C1513))</f>
        <v/>
      </c>
      <c r="AC1513" s="33">
        <f>IF(OR(C1513="",W1513=""),"",P1513&amp;"|"&amp;W1513&amp;"|"&amp;C1513&amp;"|"&amp;E1513)</f>
        <v/>
      </c>
      <c r="AD1513" s="39">
        <f>IF(AC1513="","",IF(COUNTIF(AC$6:AC1513,AC1513)=1,1,0))</f>
        <v/>
      </c>
      <c r="AE1513" s="39">
        <f>IF(AB1513=0,"",IF(COUNTIFS(X$6:X1513,X1513,AB$6:AB1513,AB1513)=1,1,0))</f>
        <v/>
      </c>
      <c r="AF1513" s="34">
        <f>IF(C1513="","",YEAR(C1513-WEEKDAY(C1513,2)+4)&amp;"-S"&amp;TEXT(INT((C1513-DATE(YEAR(C1513-WEEKDAY(C1513,2)+4),1,3)+WEEKDAY(DATE(YEAR(C1513-WEEKDAY(C1513,2)+4),1,3),2)+5)/7),"00"))</f>
        <v/>
      </c>
    </row>
    <row r="1514" ht="18" customHeight="1">
      <c r="A1514" s="39" t="n">
        <v>1509</v>
      </c>
      <c r="B1514" s="33">
        <f>IF(C1514="","",IF(P1514="À RENSEIGNER","GIC",P1514)&amp;"-C"&amp;TEXT(A1514,"00000"))</f>
        <v/>
      </c>
      <c r="C1514" s="32" t="n"/>
      <c r="D1514" s="36" t="n"/>
      <c r="E1514" s="36" t="n"/>
      <c r="F1514" s="36" t="n"/>
      <c r="G1514" s="42" t="n"/>
      <c r="H1514" s="37" t="n"/>
      <c r="I1514" s="37" t="n"/>
      <c r="J1514" s="32" t="n"/>
      <c r="K1514" s="32" t="n"/>
      <c r="L1514" s="43" t="n"/>
      <c r="M1514" s="36" t="n"/>
      <c r="N1514" s="44" t="n"/>
      <c r="O1514" s="36" t="n"/>
      <c r="P1514" s="33">
        <f>IF(C1514="","",Commercial_Id)</f>
        <v/>
      </c>
      <c r="Q1514" s="34">
        <f>IF(AC1514="","",IF(AD1514=1,"C"&amp;TEXT(SUM(AD$6:AD1514),"0000"),INDEX(Q$6:Q1513,MATCH(AC1514,AC$6:AC1513,0))))</f>
        <v/>
      </c>
      <c r="R1514" s="34">
        <f>IF(C1514="","",IF(L1514="☑ Oui","Annulée",IF(OR(E1514="Vente directe",K1514&lt;&gt;""),"Livrée",IF(J1514&lt;&gt;"","Confirmée","En attente"))))</f>
        <v/>
      </c>
      <c r="S1514" s="34">
        <f>IF(F1514="","",IFERROR(VLOOKUP(F1514,T_Produits,2,FALSE),""))</f>
        <v/>
      </c>
      <c r="T1514" s="40">
        <f>IF(F1514="","",IFERROR(1/(1/VLOOKUP(F1514,T_Produits,3,FALSE)),""))</f>
        <v/>
      </c>
      <c r="U1514" s="40">
        <f>IF(H1514&lt;&gt;"",H1514,T1514)</f>
        <v/>
      </c>
      <c r="V1514" s="40">
        <f>IF(OR(G1514="",U1514=""),"",G1514*U1514-N(I1514))</f>
        <v/>
      </c>
      <c r="W1514" s="39">
        <f>IF(D1514="","",IFERROR(VALUE(MID(D1514,LEN(D1514)-3,3)),""))</f>
        <v/>
      </c>
      <c r="X1514" s="33">
        <f>IF(W1514="","",P1514&amp;"|"&amp;W1514)</f>
        <v/>
      </c>
      <c r="Y1514" s="33">
        <f>IF(W1514="","",IF(P1514="À RENSEIGNER","GIC",P1514)&amp;"-"&amp;TEXT(W1514,"000"))</f>
        <v/>
      </c>
      <c r="Z1514" s="33">
        <f>IF(X1514="","",IFERROR(INDEX(Cl_nom,MATCH(X1514,Cl_cle,0)),"(client introuvable)"))</f>
        <v/>
      </c>
      <c r="AA1514" s="33">
        <f>IF(X1514="","",IFERROR(INDEX(Cl_quartier,MATCH(X1514,Cl_cle,0))&amp;"",""))</f>
        <v/>
      </c>
      <c r="AB1514" s="45">
        <f>IF(R1514&lt;&gt;"Livrée",0,IF(K1514&lt;&gt;"",K1514,C1514))</f>
        <v/>
      </c>
      <c r="AC1514" s="33">
        <f>IF(OR(C1514="",W1514=""),"",P1514&amp;"|"&amp;W1514&amp;"|"&amp;C1514&amp;"|"&amp;E1514)</f>
        <v/>
      </c>
      <c r="AD1514" s="39">
        <f>IF(AC1514="","",IF(COUNTIF(AC$6:AC1514,AC1514)=1,1,0))</f>
        <v/>
      </c>
      <c r="AE1514" s="39">
        <f>IF(AB1514=0,"",IF(COUNTIFS(X$6:X1514,X1514,AB$6:AB1514,AB1514)=1,1,0))</f>
        <v/>
      </c>
      <c r="AF1514" s="34">
        <f>IF(C1514="","",YEAR(C1514-WEEKDAY(C1514,2)+4)&amp;"-S"&amp;TEXT(INT((C1514-DATE(YEAR(C1514-WEEKDAY(C1514,2)+4),1,3)+WEEKDAY(DATE(YEAR(C1514-WEEKDAY(C1514,2)+4),1,3),2)+5)/7),"00"))</f>
        <v/>
      </c>
    </row>
    <row r="1515" ht="18" customHeight="1">
      <c r="A1515" s="39" t="n">
        <v>1510</v>
      </c>
      <c r="B1515" s="33">
        <f>IF(C1515="","",IF(P1515="À RENSEIGNER","GIC",P1515)&amp;"-C"&amp;TEXT(A1515,"00000"))</f>
        <v/>
      </c>
      <c r="C1515" s="32" t="n"/>
      <c r="D1515" s="36" t="n"/>
      <c r="E1515" s="36" t="n"/>
      <c r="F1515" s="36" t="n"/>
      <c r="G1515" s="42" t="n"/>
      <c r="H1515" s="37" t="n"/>
      <c r="I1515" s="37" t="n"/>
      <c r="J1515" s="32" t="n"/>
      <c r="K1515" s="32" t="n"/>
      <c r="L1515" s="43" t="n"/>
      <c r="M1515" s="36" t="n"/>
      <c r="N1515" s="44" t="n"/>
      <c r="O1515" s="36" t="n"/>
      <c r="P1515" s="33">
        <f>IF(C1515="","",Commercial_Id)</f>
        <v/>
      </c>
      <c r="Q1515" s="34">
        <f>IF(AC1515="","",IF(AD1515=1,"C"&amp;TEXT(SUM(AD$6:AD1515),"0000"),INDEX(Q$6:Q1514,MATCH(AC1515,AC$6:AC1514,0))))</f>
        <v/>
      </c>
      <c r="R1515" s="34">
        <f>IF(C1515="","",IF(L1515="☑ Oui","Annulée",IF(OR(E1515="Vente directe",K1515&lt;&gt;""),"Livrée",IF(J1515&lt;&gt;"","Confirmée","En attente"))))</f>
        <v/>
      </c>
      <c r="S1515" s="34">
        <f>IF(F1515="","",IFERROR(VLOOKUP(F1515,T_Produits,2,FALSE),""))</f>
        <v/>
      </c>
      <c r="T1515" s="40">
        <f>IF(F1515="","",IFERROR(1/(1/VLOOKUP(F1515,T_Produits,3,FALSE)),""))</f>
        <v/>
      </c>
      <c r="U1515" s="40">
        <f>IF(H1515&lt;&gt;"",H1515,T1515)</f>
        <v/>
      </c>
      <c r="V1515" s="40">
        <f>IF(OR(G1515="",U1515=""),"",G1515*U1515-N(I1515))</f>
        <v/>
      </c>
      <c r="W1515" s="39">
        <f>IF(D1515="","",IFERROR(VALUE(MID(D1515,LEN(D1515)-3,3)),""))</f>
        <v/>
      </c>
      <c r="X1515" s="33">
        <f>IF(W1515="","",P1515&amp;"|"&amp;W1515)</f>
        <v/>
      </c>
      <c r="Y1515" s="33">
        <f>IF(W1515="","",IF(P1515="À RENSEIGNER","GIC",P1515)&amp;"-"&amp;TEXT(W1515,"000"))</f>
        <v/>
      </c>
      <c r="Z1515" s="33">
        <f>IF(X1515="","",IFERROR(INDEX(Cl_nom,MATCH(X1515,Cl_cle,0)),"(client introuvable)"))</f>
        <v/>
      </c>
      <c r="AA1515" s="33">
        <f>IF(X1515="","",IFERROR(INDEX(Cl_quartier,MATCH(X1515,Cl_cle,0))&amp;"",""))</f>
        <v/>
      </c>
      <c r="AB1515" s="45">
        <f>IF(R1515&lt;&gt;"Livrée",0,IF(K1515&lt;&gt;"",K1515,C1515))</f>
        <v/>
      </c>
      <c r="AC1515" s="33">
        <f>IF(OR(C1515="",W1515=""),"",P1515&amp;"|"&amp;W1515&amp;"|"&amp;C1515&amp;"|"&amp;E1515)</f>
        <v/>
      </c>
      <c r="AD1515" s="39">
        <f>IF(AC1515="","",IF(COUNTIF(AC$6:AC1515,AC1515)=1,1,0))</f>
        <v/>
      </c>
      <c r="AE1515" s="39">
        <f>IF(AB1515=0,"",IF(COUNTIFS(X$6:X1515,X1515,AB$6:AB1515,AB1515)=1,1,0))</f>
        <v/>
      </c>
      <c r="AF1515" s="34">
        <f>IF(C1515="","",YEAR(C1515-WEEKDAY(C1515,2)+4)&amp;"-S"&amp;TEXT(INT((C1515-DATE(YEAR(C1515-WEEKDAY(C1515,2)+4),1,3)+WEEKDAY(DATE(YEAR(C1515-WEEKDAY(C1515,2)+4),1,3),2)+5)/7),"00"))</f>
        <v/>
      </c>
    </row>
    <row r="1516" ht="18" customHeight="1">
      <c r="A1516" s="39" t="n">
        <v>1511</v>
      </c>
      <c r="B1516" s="33">
        <f>IF(C1516="","",IF(P1516="À RENSEIGNER","GIC",P1516)&amp;"-C"&amp;TEXT(A1516,"00000"))</f>
        <v/>
      </c>
      <c r="C1516" s="32" t="n"/>
      <c r="D1516" s="36" t="n"/>
      <c r="E1516" s="36" t="n"/>
      <c r="F1516" s="36" t="n"/>
      <c r="G1516" s="42" t="n"/>
      <c r="H1516" s="37" t="n"/>
      <c r="I1516" s="37" t="n"/>
      <c r="J1516" s="32" t="n"/>
      <c r="K1516" s="32" t="n"/>
      <c r="L1516" s="43" t="n"/>
      <c r="M1516" s="36" t="n"/>
      <c r="N1516" s="44" t="n"/>
      <c r="O1516" s="36" t="n"/>
      <c r="P1516" s="33">
        <f>IF(C1516="","",Commercial_Id)</f>
        <v/>
      </c>
      <c r="Q1516" s="34">
        <f>IF(AC1516="","",IF(AD1516=1,"C"&amp;TEXT(SUM(AD$6:AD1516),"0000"),INDEX(Q$6:Q1515,MATCH(AC1516,AC$6:AC1515,0))))</f>
        <v/>
      </c>
      <c r="R1516" s="34">
        <f>IF(C1516="","",IF(L1516="☑ Oui","Annulée",IF(OR(E1516="Vente directe",K1516&lt;&gt;""),"Livrée",IF(J1516&lt;&gt;"","Confirmée","En attente"))))</f>
        <v/>
      </c>
      <c r="S1516" s="34">
        <f>IF(F1516="","",IFERROR(VLOOKUP(F1516,T_Produits,2,FALSE),""))</f>
        <v/>
      </c>
      <c r="T1516" s="40">
        <f>IF(F1516="","",IFERROR(1/(1/VLOOKUP(F1516,T_Produits,3,FALSE)),""))</f>
        <v/>
      </c>
      <c r="U1516" s="40">
        <f>IF(H1516&lt;&gt;"",H1516,T1516)</f>
        <v/>
      </c>
      <c r="V1516" s="40">
        <f>IF(OR(G1516="",U1516=""),"",G1516*U1516-N(I1516))</f>
        <v/>
      </c>
      <c r="W1516" s="39">
        <f>IF(D1516="","",IFERROR(VALUE(MID(D1516,LEN(D1516)-3,3)),""))</f>
        <v/>
      </c>
      <c r="X1516" s="33">
        <f>IF(W1516="","",P1516&amp;"|"&amp;W1516)</f>
        <v/>
      </c>
      <c r="Y1516" s="33">
        <f>IF(W1516="","",IF(P1516="À RENSEIGNER","GIC",P1516)&amp;"-"&amp;TEXT(W1516,"000"))</f>
        <v/>
      </c>
      <c r="Z1516" s="33">
        <f>IF(X1516="","",IFERROR(INDEX(Cl_nom,MATCH(X1516,Cl_cle,0)),"(client introuvable)"))</f>
        <v/>
      </c>
      <c r="AA1516" s="33">
        <f>IF(X1516="","",IFERROR(INDEX(Cl_quartier,MATCH(X1516,Cl_cle,0))&amp;"",""))</f>
        <v/>
      </c>
      <c r="AB1516" s="45">
        <f>IF(R1516&lt;&gt;"Livrée",0,IF(K1516&lt;&gt;"",K1516,C1516))</f>
        <v/>
      </c>
      <c r="AC1516" s="33">
        <f>IF(OR(C1516="",W1516=""),"",P1516&amp;"|"&amp;W1516&amp;"|"&amp;C1516&amp;"|"&amp;E1516)</f>
        <v/>
      </c>
      <c r="AD1516" s="39">
        <f>IF(AC1516="","",IF(COUNTIF(AC$6:AC1516,AC1516)=1,1,0))</f>
        <v/>
      </c>
      <c r="AE1516" s="39">
        <f>IF(AB1516=0,"",IF(COUNTIFS(X$6:X1516,X1516,AB$6:AB1516,AB1516)=1,1,0))</f>
        <v/>
      </c>
      <c r="AF1516" s="34">
        <f>IF(C1516="","",YEAR(C1516-WEEKDAY(C1516,2)+4)&amp;"-S"&amp;TEXT(INT((C1516-DATE(YEAR(C1516-WEEKDAY(C1516,2)+4),1,3)+WEEKDAY(DATE(YEAR(C1516-WEEKDAY(C1516,2)+4),1,3),2)+5)/7),"00"))</f>
        <v/>
      </c>
    </row>
    <row r="1517" ht="18" customHeight="1">
      <c r="A1517" s="39" t="n">
        <v>1512</v>
      </c>
      <c r="B1517" s="33">
        <f>IF(C1517="","",IF(P1517="À RENSEIGNER","GIC",P1517)&amp;"-C"&amp;TEXT(A1517,"00000"))</f>
        <v/>
      </c>
      <c r="C1517" s="32" t="n"/>
      <c r="D1517" s="36" t="n"/>
      <c r="E1517" s="36" t="n"/>
      <c r="F1517" s="36" t="n"/>
      <c r="G1517" s="42" t="n"/>
      <c r="H1517" s="37" t="n"/>
      <c r="I1517" s="37" t="n"/>
      <c r="J1517" s="32" t="n"/>
      <c r="K1517" s="32" t="n"/>
      <c r="L1517" s="43" t="n"/>
      <c r="M1517" s="36" t="n"/>
      <c r="N1517" s="44" t="n"/>
      <c r="O1517" s="36" t="n"/>
      <c r="P1517" s="33">
        <f>IF(C1517="","",Commercial_Id)</f>
        <v/>
      </c>
      <c r="Q1517" s="34">
        <f>IF(AC1517="","",IF(AD1517=1,"C"&amp;TEXT(SUM(AD$6:AD1517),"0000"),INDEX(Q$6:Q1516,MATCH(AC1517,AC$6:AC1516,0))))</f>
        <v/>
      </c>
      <c r="R1517" s="34">
        <f>IF(C1517="","",IF(L1517="☑ Oui","Annulée",IF(OR(E1517="Vente directe",K1517&lt;&gt;""),"Livrée",IF(J1517&lt;&gt;"","Confirmée","En attente"))))</f>
        <v/>
      </c>
      <c r="S1517" s="34">
        <f>IF(F1517="","",IFERROR(VLOOKUP(F1517,T_Produits,2,FALSE),""))</f>
        <v/>
      </c>
      <c r="T1517" s="40">
        <f>IF(F1517="","",IFERROR(1/(1/VLOOKUP(F1517,T_Produits,3,FALSE)),""))</f>
        <v/>
      </c>
      <c r="U1517" s="40">
        <f>IF(H1517&lt;&gt;"",H1517,T1517)</f>
        <v/>
      </c>
      <c r="V1517" s="40">
        <f>IF(OR(G1517="",U1517=""),"",G1517*U1517-N(I1517))</f>
        <v/>
      </c>
      <c r="W1517" s="39">
        <f>IF(D1517="","",IFERROR(VALUE(MID(D1517,LEN(D1517)-3,3)),""))</f>
        <v/>
      </c>
      <c r="X1517" s="33">
        <f>IF(W1517="","",P1517&amp;"|"&amp;W1517)</f>
        <v/>
      </c>
      <c r="Y1517" s="33">
        <f>IF(W1517="","",IF(P1517="À RENSEIGNER","GIC",P1517)&amp;"-"&amp;TEXT(W1517,"000"))</f>
        <v/>
      </c>
      <c r="Z1517" s="33">
        <f>IF(X1517="","",IFERROR(INDEX(Cl_nom,MATCH(X1517,Cl_cle,0)),"(client introuvable)"))</f>
        <v/>
      </c>
      <c r="AA1517" s="33">
        <f>IF(X1517="","",IFERROR(INDEX(Cl_quartier,MATCH(X1517,Cl_cle,0))&amp;"",""))</f>
        <v/>
      </c>
      <c r="AB1517" s="45">
        <f>IF(R1517&lt;&gt;"Livrée",0,IF(K1517&lt;&gt;"",K1517,C1517))</f>
        <v/>
      </c>
      <c r="AC1517" s="33">
        <f>IF(OR(C1517="",W1517=""),"",P1517&amp;"|"&amp;W1517&amp;"|"&amp;C1517&amp;"|"&amp;E1517)</f>
        <v/>
      </c>
      <c r="AD1517" s="39">
        <f>IF(AC1517="","",IF(COUNTIF(AC$6:AC1517,AC1517)=1,1,0))</f>
        <v/>
      </c>
      <c r="AE1517" s="39">
        <f>IF(AB1517=0,"",IF(COUNTIFS(X$6:X1517,X1517,AB$6:AB1517,AB1517)=1,1,0))</f>
        <v/>
      </c>
      <c r="AF1517" s="34">
        <f>IF(C1517="","",YEAR(C1517-WEEKDAY(C1517,2)+4)&amp;"-S"&amp;TEXT(INT((C1517-DATE(YEAR(C1517-WEEKDAY(C1517,2)+4),1,3)+WEEKDAY(DATE(YEAR(C1517-WEEKDAY(C1517,2)+4),1,3),2)+5)/7),"00"))</f>
        <v/>
      </c>
    </row>
    <row r="1518" ht="18" customHeight="1">
      <c r="A1518" s="39" t="n">
        <v>1513</v>
      </c>
      <c r="B1518" s="33">
        <f>IF(C1518="","",IF(P1518="À RENSEIGNER","GIC",P1518)&amp;"-C"&amp;TEXT(A1518,"00000"))</f>
        <v/>
      </c>
      <c r="C1518" s="32" t="n"/>
      <c r="D1518" s="36" t="n"/>
      <c r="E1518" s="36" t="n"/>
      <c r="F1518" s="36" t="n"/>
      <c r="G1518" s="42" t="n"/>
      <c r="H1518" s="37" t="n"/>
      <c r="I1518" s="37" t="n"/>
      <c r="J1518" s="32" t="n"/>
      <c r="K1518" s="32" t="n"/>
      <c r="L1518" s="43" t="n"/>
      <c r="M1518" s="36" t="n"/>
      <c r="N1518" s="44" t="n"/>
      <c r="O1518" s="36" t="n"/>
      <c r="P1518" s="33">
        <f>IF(C1518="","",Commercial_Id)</f>
        <v/>
      </c>
      <c r="Q1518" s="34">
        <f>IF(AC1518="","",IF(AD1518=1,"C"&amp;TEXT(SUM(AD$6:AD1518),"0000"),INDEX(Q$6:Q1517,MATCH(AC1518,AC$6:AC1517,0))))</f>
        <v/>
      </c>
      <c r="R1518" s="34">
        <f>IF(C1518="","",IF(L1518="☑ Oui","Annulée",IF(OR(E1518="Vente directe",K1518&lt;&gt;""),"Livrée",IF(J1518&lt;&gt;"","Confirmée","En attente"))))</f>
        <v/>
      </c>
      <c r="S1518" s="34">
        <f>IF(F1518="","",IFERROR(VLOOKUP(F1518,T_Produits,2,FALSE),""))</f>
        <v/>
      </c>
      <c r="T1518" s="40">
        <f>IF(F1518="","",IFERROR(1/(1/VLOOKUP(F1518,T_Produits,3,FALSE)),""))</f>
        <v/>
      </c>
      <c r="U1518" s="40">
        <f>IF(H1518&lt;&gt;"",H1518,T1518)</f>
        <v/>
      </c>
      <c r="V1518" s="40">
        <f>IF(OR(G1518="",U1518=""),"",G1518*U1518-N(I1518))</f>
        <v/>
      </c>
      <c r="W1518" s="39">
        <f>IF(D1518="","",IFERROR(VALUE(MID(D1518,LEN(D1518)-3,3)),""))</f>
        <v/>
      </c>
      <c r="X1518" s="33">
        <f>IF(W1518="","",P1518&amp;"|"&amp;W1518)</f>
        <v/>
      </c>
      <c r="Y1518" s="33">
        <f>IF(W1518="","",IF(P1518="À RENSEIGNER","GIC",P1518)&amp;"-"&amp;TEXT(W1518,"000"))</f>
        <v/>
      </c>
      <c r="Z1518" s="33">
        <f>IF(X1518="","",IFERROR(INDEX(Cl_nom,MATCH(X1518,Cl_cle,0)),"(client introuvable)"))</f>
        <v/>
      </c>
      <c r="AA1518" s="33">
        <f>IF(X1518="","",IFERROR(INDEX(Cl_quartier,MATCH(X1518,Cl_cle,0))&amp;"",""))</f>
        <v/>
      </c>
      <c r="AB1518" s="45">
        <f>IF(R1518&lt;&gt;"Livrée",0,IF(K1518&lt;&gt;"",K1518,C1518))</f>
        <v/>
      </c>
      <c r="AC1518" s="33">
        <f>IF(OR(C1518="",W1518=""),"",P1518&amp;"|"&amp;W1518&amp;"|"&amp;C1518&amp;"|"&amp;E1518)</f>
        <v/>
      </c>
      <c r="AD1518" s="39">
        <f>IF(AC1518="","",IF(COUNTIF(AC$6:AC1518,AC1518)=1,1,0))</f>
        <v/>
      </c>
      <c r="AE1518" s="39">
        <f>IF(AB1518=0,"",IF(COUNTIFS(X$6:X1518,X1518,AB$6:AB1518,AB1518)=1,1,0))</f>
        <v/>
      </c>
      <c r="AF1518" s="34">
        <f>IF(C1518="","",YEAR(C1518-WEEKDAY(C1518,2)+4)&amp;"-S"&amp;TEXT(INT((C1518-DATE(YEAR(C1518-WEEKDAY(C1518,2)+4),1,3)+WEEKDAY(DATE(YEAR(C1518-WEEKDAY(C1518,2)+4),1,3),2)+5)/7),"00"))</f>
        <v/>
      </c>
    </row>
    <row r="1519" ht="18" customHeight="1">
      <c r="A1519" s="39" t="n">
        <v>1514</v>
      </c>
      <c r="B1519" s="33">
        <f>IF(C1519="","",IF(P1519="À RENSEIGNER","GIC",P1519)&amp;"-C"&amp;TEXT(A1519,"00000"))</f>
        <v/>
      </c>
      <c r="C1519" s="32" t="n"/>
      <c r="D1519" s="36" t="n"/>
      <c r="E1519" s="36" t="n"/>
      <c r="F1519" s="36" t="n"/>
      <c r="G1519" s="42" t="n"/>
      <c r="H1519" s="37" t="n"/>
      <c r="I1519" s="37" t="n"/>
      <c r="J1519" s="32" t="n"/>
      <c r="K1519" s="32" t="n"/>
      <c r="L1519" s="43" t="n"/>
      <c r="M1519" s="36" t="n"/>
      <c r="N1519" s="44" t="n"/>
      <c r="O1519" s="36" t="n"/>
      <c r="P1519" s="33">
        <f>IF(C1519="","",Commercial_Id)</f>
        <v/>
      </c>
      <c r="Q1519" s="34">
        <f>IF(AC1519="","",IF(AD1519=1,"C"&amp;TEXT(SUM(AD$6:AD1519),"0000"),INDEX(Q$6:Q1518,MATCH(AC1519,AC$6:AC1518,0))))</f>
        <v/>
      </c>
      <c r="R1519" s="34">
        <f>IF(C1519="","",IF(L1519="☑ Oui","Annulée",IF(OR(E1519="Vente directe",K1519&lt;&gt;""),"Livrée",IF(J1519&lt;&gt;"","Confirmée","En attente"))))</f>
        <v/>
      </c>
      <c r="S1519" s="34">
        <f>IF(F1519="","",IFERROR(VLOOKUP(F1519,T_Produits,2,FALSE),""))</f>
        <v/>
      </c>
      <c r="T1519" s="40">
        <f>IF(F1519="","",IFERROR(1/(1/VLOOKUP(F1519,T_Produits,3,FALSE)),""))</f>
        <v/>
      </c>
      <c r="U1519" s="40">
        <f>IF(H1519&lt;&gt;"",H1519,T1519)</f>
        <v/>
      </c>
      <c r="V1519" s="40">
        <f>IF(OR(G1519="",U1519=""),"",G1519*U1519-N(I1519))</f>
        <v/>
      </c>
      <c r="W1519" s="39">
        <f>IF(D1519="","",IFERROR(VALUE(MID(D1519,LEN(D1519)-3,3)),""))</f>
        <v/>
      </c>
      <c r="X1519" s="33">
        <f>IF(W1519="","",P1519&amp;"|"&amp;W1519)</f>
        <v/>
      </c>
      <c r="Y1519" s="33">
        <f>IF(W1519="","",IF(P1519="À RENSEIGNER","GIC",P1519)&amp;"-"&amp;TEXT(W1519,"000"))</f>
        <v/>
      </c>
      <c r="Z1519" s="33">
        <f>IF(X1519="","",IFERROR(INDEX(Cl_nom,MATCH(X1519,Cl_cle,0)),"(client introuvable)"))</f>
        <v/>
      </c>
      <c r="AA1519" s="33">
        <f>IF(X1519="","",IFERROR(INDEX(Cl_quartier,MATCH(X1519,Cl_cle,0))&amp;"",""))</f>
        <v/>
      </c>
      <c r="AB1519" s="45">
        <f>IF(R1519&lt;&gt;"Livrée",0,IF(K1519&lt;&gt;"",K1519,C1519))</f>
        <v/>
      </c>
      <c r="AC1519" s="33">
        <f>IF(OR(C1519="",W1519=""),"",P1519&amp;"|"&amp;W1519&amp;"|"&amp;C1519&amp;"|"&amp;E1519)</f>
        <v/>
      </c>
      <c r="AD1519" s="39">
        <f>IF(AC1519="","",IF(COUNTIF(AC$6:AC1519,AC1519)=1,1,0))</f>
        <v/>
      </c>
      <c r="AE1519" s="39">
        <f>IF(AB1519=0,"",IF(COUNTIFS(X$6:X1519,X1519,AB$6:AB1519,AB1519)=1,1,0))</f>
        <v/>
      </c>
      <c r="AF1519" s="34">
        <f>IF(C1519="","",YEAR(C1519-WEEKDAY(C1519,2)+4)&amp;"-S"&amp;TEXT(INT((C1519-DATE(YEAR(C1519-WEEKDAY(C1519,2)+4),1,3)+WEEKDAY(DATE(YEAR(C1519-WEEKDAY(C1519,2)+4),1,3),2)+5)/7),"00"))</f>
        <v/>
      </c>
    </row>
    <row r="1520" ht="18" customHeight="1">
      <c r="A1520" s="39" t="n">
        <v>1515</v>
      </c>
      <c r="B1520" s="33">
        <f>IF(C1520="","",IF(P1520="À RENSEIGNER","GIC",P1520)&amp;"-C"&amp;TEXT(A1520,"00000"))</f>
        <v/>
      </c>
      <c r="C1520" s="32" t="n"/>
      <c r="D1520" s="36" t="n"/>
      <c r="E1520" s="36" t="n"/>
      <c r="F1520" s="36" t="n"/>
      <c r="G1520" s="42" t="n"/>
      <c r="H1520" s="37" t="n"/>
      <c r="I1520" s="37" t="n"/>
      <c r="J1520" s="32" t="n"/>
      <c r="K1520" s="32" t="n"/>
      <c r="L1520" s="43" t="n"/>
      <c r="M1520" s="36" t="n"/>
      <c r="N1520" s="44" t="n"/>
      <c r="O1520" s="36" t="n"/>
      <c r="P1520" s="33">
        <f>IF(C1520="","",Commercial_Id)</f>
        <v/>
      </c>
      <c r="Q1520" s="34">
        <f>IF(AC1520="","",IF(AD1520=1,"C"&amp;TEXT(SUM(AD$6:AD1520),"0000"),INDEX(Q$6:Q1519,MATCH(AC1520,AC$6:AC1519,0))))</f>
        <v/>
      </c>
      <c r="R1520" s="34">
        <f>IF(C1520="","",IF(L1520="☑ Oui","Annulée",IF(OR(E1520="Vente directe",K1520&lt;&gt;""),"Livrée",IF(J1520&lt;&gt;"","Confirmée","En attente"))))</f>
        <v/>
      </c>
      <c r="S1520" s="34">
        <f>IF(F1520="","",IFERROR(VLOOKUP(F1520,T_Produits,2,FALSE),""))</f>
        <v/>
      </c>
      <c r="T1520" s="40">
        <f>IF(F1520="","",IFERROR(1/(1/VLOOKUP(F1520,T_Produits,3,FALSE)),""))</f>
        <v/>
      </c>
      <c r="U1520" s="40">
        <f>IF(H1520&lt;&gt;"",H1520,T1520)</f>
        <v/>
      </c>
      <c r="V1520" s="40">
        <f>IF(OR(G1520="",U1520=""),"",G1520*U1520-N(I1520))</f>
        <v/>
      </c>
      <c r="W1520" s="39">
        <f>IF(D1520="","",IFERROR(VALUE(MID(D1520,LEN(D1520)-3,3)),""))</f>
        <v/>
      </c>
      <c r="X1520" s="33">
        <f>IF(W1520="","",P1520&amp;"|"&amp;W1520)</f>
        <v/>
      </c>
      <c r="Y1520" s="33">
        <f>IF(W1520="","",IF(P1520="À RENSEIGNER","GIC",P1520)&amp;"-"&amp;TEXT(W1520,"000"))</f>
        <v/>
      </c>
      <c r="Z1520" s="33">
        <f>IF(X1520="","",IFERROR(INDEX(Cl_nom,MATCH(X1520,Cl_cle,0)),"(client introuvable)"))</f>
        <v/>
      </c>
      <c r="AA1520" s="33">
        <f>IF(X1520="","",IFERROR(INDEX(Cl_quartier,MATCH(X1520,Cl_cle,0))&amp;"",""))</f>
        <v/>
      </c>
      <c r="AB1520" s="45">
        <f>IF(R1520&lt;&gt;"Livrée",0,IF(K1520&lt;&gt;"",K1520,C1520))</f>
        <v/>
      </c>
      <c r="AC1520" s="33">
        <f>IF(OR(C1520="",W1520=""),"",P1520&amp;"|"&amp;W1520&amp;"|"&amp;C1520&amp;"|"&amp;E1520)</f>
        <v/>
      </c>
      <c r="AD1520" s="39">
        <f>IF(AC1520="","",IF(COUNTIF(AC$6:AC1520,AC1520)=1,1,0))</f>
        <v/>
      </c>
      <c r="AE1520" s="39">
        <f>IF(AB1520=0,"",IF(COUNTIFS(X$6:X1520,X1520,AB$6:AB1520,AB1520)=1,1,0))</f>
        <v/>
      </c>
      <c r="AF1520" s="34">
        <f>IF(C1520="","",YEAR(C1520-WEEKDAY(C1520,2)+4)&amp;"-S"&amp;TEXT(INT((C1520-DATE(YEAR(C1520-WEEKDAY(C1520,2)+4),1,3)+WEEKDAY(DATE(YEAR(C1520-WEEKDAY(C1520,2)+4),1,3),2)+5)/7),"00"))</f>
        <v/>
      </c>
    </row>
    <row r="1521" ht="18" customHeight="1">
      <c r="A1521" s="39" t="n">
        <v>1516</v>
      </c>
      <c r="B1521" s="33">
        <f>IF(C1521="","",IF(P1521="À RENSEIGNER","GIC",P1521)&amp;"-C"&amp;TEXT(A1521,"00000"))</f>
        <v/>
      </c>
      <c r="C1521" s="32" t="n"/>
      <c r="D1521" s="36" t="n"/>
      <c r="E1521" s="36" t="n"/>
      <c r="F1521" s="36" t="n"/>
      <c r="G1521" s="42" t="n"/>
      <c r="H1521" s="37" t="n"/>
      <c r="I1521" s="37" t="n"/>
      <c r="J1521" s="32" t="n"/>
      <c r="K1521" s="32" t="n"/>
      <c r="L1521" s="43" t="n"/>
      <c r="M1521" s="36" t="n"/>
      <c r="N1521" s="44" t="n"/>
      <c r="O1521" s="36" t="n"/>
      <c r="P1521" s="33">
        <f>IF(C1521="","",Commercial_Id)</f>
        <v/>
      </c>
      <c r="Q1521" s="34">
        <f>IF(AC1521="","",IF(AD1521=1,"C"&amp;TEXT(SUM(AD$6:AD1521),"0000"),INDEX(Q$6:Q1520,MATCH(AC1521,AC$6:AC1520,0))))</f>
        <v/>
      </c>
      <c r="R1521" s="34">
        <f>IF(C1521="","",IF(L1521="☑ Oui","Annulée",IF(OR(E1521="Vente directe",K1521&lt;&gt;""),"Livrée",IF(J1521&lt;&gt;"","Confirmée","En attente"))))</f>
        <v/>
      </c>
      <c r="S1521" s="34">
        <f>IF(F1521="","",IFERROR(VLOOKUP(F1521,T_Produits,2,FALSE),""))</f>
        <v/>
      </c>
      <c r="T1521" s="40">
        <f>IF(F1521="","",IFERROR(1/(1/VLOOKUP(F1521,T_Produits,3,FALSE)),""))</f>
        <v/>
      </c>
      <c r="U1521" s="40">
        <f>IF(H1521&lt;&gt;"",H1521,T1521)</f>
        <v/>
      </c>
      <c r="V1521" s="40">
        <f>IF(OR(G1521="",U1521=""),"",G1521*U1521-N(I1521))</f>
        <v/>
      </c>
      <c r="W1521" s="39">
        <f>IF(D1521="","",IFERROR(VALUE(MID(D1521,LEN(D1521)-3,3)),""))</f>
        <v/>
      </c>
      <c r="X1521" s="33">
        <f>IF(W1521="","",P1521&amp;"|"&amp;W1521)</f>
        <v/>
      </c>
      <c r="Y1521" s="33">
        <f>IF(W1521="","",IF(P1521="À RENSEIGNER","GIC",P1521)&amp;"-"&amp;TEXT(W1521,"000"))</f>
        <v/>
      </c>
      <c r="Z1521" s="33">
        <f>IF(X1521="","",IFERROR(INDEX(Cl_nom,MATCH(X1521,Cl_cle,0)),"(client introuvable)"))</f>
        <v/>
      </c>
      <c r="AA1521" s="33">
        <f>IF(X1521="","",IFERROR(INDEX(Cl_quartier,MATCH(X1521,Cl_cle,0))&amp;"",""))</f>
        <v/>
      </c>
      <c r="AB1521" s="45">
        <f>IF(R1521&lt;&gt;"Livrée",0,IF(K1521&lt;&gt;"",K1521,C1521))</f>
        <v/>
      </c>
      <c r="AC1521" s="33">
        <f>IF(OR(C1521="",W1521=""),"",P1521&amp;"|"&amp;W1521&amp;"|"&amp;C1521&amp;"|"&amp;E1521)</f>
        <v/>
      </c>
      <c r="AD1521" s="39">
        <f>IF(AC1521="","",IF(COUNTIF(AC$6:AC1521,AC1521)=1,1,0))</f>
        <v/>
      </c>
      <c r="AE1521" s="39">
        <f>IF(AB1521=0,"",IF(COUNTIFS(X$6:X1521,X1521,AB$6:AB1521,AB1521)=1,1,0))</f>
        <v/>
      </c>
      <c r="AF1521" s="34">
        <f>IF(C1521="","",YEAR(C1521-WEEKDAY(C1521,2)+4)&amp;"-S"&amp;TEXT(INT((C1521-DATE(YEAR(C1521-WEEKDAY(C1521,2)+4),1,3)+WEEKDAY(DATE(YEAR(C1521-WEEKDAY(C1521,2)+4),1,3),2)+5)/7),"00"))</f>
        <v/>
      </c>
    </row>
    <row r="1522" ht="18" customHeight="1">
      <c r="A1522" s="39" t="n">
        <v>1517</v>
      </c>
      <c r="B1522" s="33">
        <f>IF(C1522="","",IF(P1522="À RENSEIGNER","GIC",P1522)&amp;"-C"&amp;TEXT(A1522,"00000"))</f>
        <v/>
      </c>
      <c r="C1522" s="32" t="n"/>
      <c r="D1522" s="36" t="n"/>
      <c r="E1522" s="36" t="n"/>
      <c r="F1522" s="36" t="n"/>
      <c r="G1522" s="42" t="n"/>
      <c r="H1522" s="37" t="n"/>
      <c r="I1522" s="37" t="n"/>
      <c r="J1522" s="32" t="n"/>
      <c r="K1522" s="32" t="n"/>
      <c r="L1522" s="43" t="n"/>
      <c r="M1522" s="36" t="n"/>
      <c r="N1522" s="44" t="n"/>
      <c r="O1522" s="36" t="n"/>
      <c r="P1522" s="33">
        <f>IF(C1522="","",Commercial_Id)</f>
        <v/>
      </c>
      <c r="Q1522" s="34">
        <f>IF(AC1522="","",IF(AD1522=1,"C"&amp;TEXT(SUM(AD$6:AD1522),"0000"),INDEX(Q$6:Q1521,MATCH(AC1522,AC$6:AC1521,0))))</f>
        <v/>
      </c>
      <c r="R1522" s="34">
        <f>IF(C1522="","",IF(L1522="☑ Oui","Annulée",IF(OR(E1522="Vente directe",K1522&lt;&gt;""),"Livrée",IF(J1522&lt;&gt;"","Confirmée","En attente"))))</f>
        <v/>
      </c>
      <c r="S1522" s="34">
        <f>IF(F1522="","",IFERROR(VLOOKUP(F1522,T_Produits,2,FALSE),""))</f>
        <v/>
      </c>
      <c r="T1522" s="40">
        <f>IF(F1522="","",IFERROR(1/(1/VLOOKUP(F1522,T_Produits,3,FALSE)),""))</f>
        <v/>
      </c>
      <c r="U1522" s="40">
        <f>IF(H1522&lt;&gt;"",H1522,T1522)</f>
        <v/>
      </c>
      <c r="V1522" s="40">
        <f>IF(OR(G1522="",U1522=""),"",G1522*U1522-N(I1522))</f>
        <v/>
      </c>
      <c r="W1522" s="39">
        <f>IF(D1522="","",IFERROR(VALUE(MID(D1522,LEN(D1522)-3,3)),""))</f>
        <v/>
      </c>
      <c r="X1522" s="33">
        <f>IF(W1522="","",P1522&amp;"|"&amp;W1522)</f>
        <v/>
      </c>
      <c r="Y1522" s="33">
        <f>IF(W1522="","",IF(P1522="À RENSEIGNER","GIC",P1522)&amp;"-"&amp;TEXT(W1522,"000"))</f>
        <v/>
      </c>
      <c r="Z1522" s="33">
        <f>IF(X1522="","",IFERROR(INDEX(Cl_nom,MATCH(X1522,Cl_cle,0)),"(client introuvable)"))</f>
        <v/>
      </c>
      <c r="AA1522" s="33">
        <f>IF(X1522="","",IFERROR(INDEX(Cl_quartier,MATCH(X1522,Cl_cle,0))&amp;"",""))</f>
        <v/>
      </c>
      <c r="AB1522" s="45">
        <f>IF(R1522&lt;&gt;"Livrée",0,IF(K1522&lt;&gt;"",K1522,C1522))</f>
        <v/>
      </c>
      <c r="AC1522" s="33">
        <f>IF(OR(C1522="",W1522=""),"",P1522&amp;"|"&amp;W1522&amp;"|"&amp;C1522&amp;"|"&amp;E1522)</f>
        <v/>
      </c>
      <c r="AD1522" s="39">
        <f>IF(AC1522="","",IF(COUNTIF(AC$6:AC1522,AC1522)=1,1,0))</f>
        <v/>
      </c>
      <c r="AE1522" s="39">
        <f>IF(AB1522=0,"",IF(COUNTIFS(X$6:X1522,X1522,AB$6:AB1522,AB1522)=1,1,0))</f>
        <v/>
      </c>
      <c r="AF1522" s="34">
        <f>IF(C1522="","",YEAR(C1522-WEEKDAY(C1522,2)+4)&amp;"-S"&amp;TEXT(INT((C1522-DATE(YEAR(C1522-WEEKDAY(C1522,2)+4),1,3)+WEEKDAY(DATE(YEAR(C1522-WEEKDAY(C1522,2)+4),1,3),2)+5)/7),"00"))</f>
        <v/>
      </c>
    </row>
    <row r="1523" ht="18" customHeight="1">
      <c r="A1523" s="39" t="n">
        <v>1518</v>
      </c>
      <c r="B1523" s="33">
        <f>IF(C1523="","",IF(P1523="À RENSEIGNER","GIC",P1523)&amp;"-C"&amp;TEXT(A1523,"00000"))</f>
        <v/>
      </c>
      <c r="C1523" s="32" t="n"/>
      <c r="D1523" s="36" t="n"/>
      <c r="E1523" s="36" t="n"/>
      <c r="F1523" s="36" t="n"/>
      <c r="G1523" s="42" t="n"/>
      <c r="H1523" s="37" t="n"/>
      <c r="I1523" s="37" t="n"/>
      <c r="J1523" s="32" t="n"/>
      <c r="K1523" s="32" t="n"/>
      <c r="L1523" s="43" t="n"/>
      <c r="M1523" s="36" t="n"/>
      <c r="N1523" s="44" t="n"/>
      <c r="O1523" s="36" t="n"/>
      <c r="P1523" s="33">
        <f>IF(C1523="","",Commercial_Id)</f>
        <v/>
      </c>
      <c r="Q1523" s="34">
        <f>IF(AC1523="","",IF(AD1523=1,"C"&amp;TEXT(SUM(AD$6:AD1523),"0000"),INDEX(Q$6:Q1522,MATCH(AC1523,AC$6:AC1522,0))))</f>
        <v/>
      </c>
      <c r="R1523" s="34">
        <f>IF(C1523="","",IF(L1523="☑ Oui","Annulée",IF(OR(E1523="Vente directe",K1523&lt;&gt;""),"Livrée",IF(J1523&lt;&gt;"","Confirmée","En attente"))))</f>
        <v/>
      </c>
      <c r="S1523" s="34">
        <f>IF(F1523="","",IFERROR(VLOOKUP(F1523,T_Produits,2,FALSE),""))</f>
        <v/>
      </c>
      <c r="T1523" s="40">
        <f>IF(F1523="","",IFERROR(1/(1/VLOOKUP(F1523,T_Produits,3,FALSE)),""))</f>
        <v/>
      </c>
      <c r="U1523" s="40">
        <f>IF(H1523&lt;&gt;"",H1523,T1523)</f>
        <v/>
      </c>
      <c r="V1523" s="40">
        <f>IF(OR(G1523="",U1523=""),"",G1523*U1523-N(I1523))</f>
        <v/>
      </c>
      <c r="W1523" s="39">
        <f>IF(D1523="","",IFERROR(VALUE(MID(D1523,LEN(D1523)-3,3)),""))</f>
        <v/>
      </c>
      <c r="X1523" s="33">
        <f>IF(W1523="","",P1523&amp;"|"&amp;W1523)</f>
        <v/>
      </c>
      <c r="Y1523" s="33">
        <f>IF(W1523="","",IF(P1523="À RENSEIGNER","GIC",P1523)&amp;"-"&amp;TEXT(W1523,"000"))</f>
        <v/>
      </c>
      <c r="Z1523" s="33">
        <f>IF(X1523="","",IFERROR(INDEX(Cl_nom,MATCH(X1523,Cl_cle,0)),"(client introuvable)"))</f>
        <v/>
      </c>
      <c r="AA1523" s="33">
        <f>IF(X1523="","",IFERROR(INDEX(Cl_quartier,MATCH(X1523,Cl_cle,0))&amp;"",""))</f>
        <v/>
      </c>
      <c r="AB1523" s="45">
        <f>IF(R1523&lt;&gt;"Livrée",0,IF(K1523&lt;&gt;"",K1523,C1523))</f>
        <v/>
      </c>
      <c r="AC1523" s="33">
        <f>IF(OR(C1523="",W1523=""),"",P1523&amp;"|"&amp;W1523&amp;"|"&amp;C1523&amp;"|"&amp;E1523)</f>
        <v/>
      </c>
      <c r="AD1523" s="39">
        <f>IF(AC1523="","",IF(COUNTIF(AC$6:AC1523,AC1523)=1,1,0))</f>
        <v/>
      </c>
      <c r="AE1523" s="39">
        <f>IF(AB1523=0,"",IF(COUNTIFS(X$6:X1523,X1523,AB$6:AB1523,AB1523)=1,1,0))</f>
        <v/>
      </c>
      <c r="AF1523" s="34">
        <f>IF(C1523="","",YEAR(C1523-WEEKDAY(C1523,2)+4)&amp;"-S"&amp;TEXT(INT((C1523-DATE(YEAR(C1523-WEEKDAY(C1523,2)+4),1,3)+WEEKDAY(DATE(YEAR(C1523-WEEKDAY(C1523,2)+4),1,3),2)+5)/7),"00"))</f>
        <v/>
      </c>
    </row>
    <row r="1524" ht="18" customHeight="1">
      <c r="A1524" s="39" t="n">
        <v>1519</v>
      </c>
      <c r="B1524" s="33">
        <f>IF(C1524="","",IF(P1524="À RENSEIGNER","GIC",P1524)&amp;"-C"&amp;TEXT(A1524,"00000"))</f>
        <v/>
      </c>
      <c r="C1524" s="32" t="n"/>
      <c r="D1524" s="36" t="n"/>
      <c r="E1524" s="36" t="n"/>
      <c r="F1524" s="36" t="n"/>
      <c r="G1524" s="42" t="n"/>
      <c r="H1524" s="37" t="n"/>
      <c r="I1524" s="37" t="n"/>
      <c r="J1524" s="32" t="n"/>
      <c r="K1524" s="32" t="n"/>
      <c r="L1524" s="43" t="n"/>
      <c r="M1524" s="36" t="n"/>
      <c r="N1524" s="44" t="n"/>
      <c r="O1524" s="36" t="n"/>
      <c r="P1524" s="33">
        <f>IF(C1524="","",Commercial_Id)</f>
        <v/>
      </c>
      <c r="Q1524" s="34">
        <f>IF(AC1524="","",IF(AD1524=1,"C"&amp;TEXT(SUM(AD$6:AD1524),"0000"),INDEX(Q$6:Q1523,MATCH(AC1524,AC$6:AC1523,0))))</f>
        <v/>
      </c>
      <c r="R1524" s="34">
        <f>IF(C1524="","",IF(L1524="☑ Oui","Annulée",IF(OR(E1524="Vente directe",K1524&lt;&gt;""),"Livrée",IF(J1524&lt;&gt;"","Confirmée","En attente"))))</f>
        <v/>
      </c>
      <c r="S1524" s="34">
        <f>IF(F1524="","",IFERROR(VLOOKUP(F1524,T_Produits,2,FALSE),""))</f>
        <v/>
      </c>
      <c r="T1524" s="40">
        <f>IF(F1524="","",IFERROR(1/(1/VLOOKUP(F1524,T_Produits,3,FALSE)),""))</f>
        <v/>
      </c>
      <c r="U1524" s="40">
        <f>IF(H1524&lt;&gt;"",H1524,T1524)</f>
        <v/>
      </c>
      <c r="V1524" s="40">
        <f>IF(OR(G1524="",U1524=""),"",G1524*U1524-N(I1524))</f>
        <v/>
      </c>
      <c r="W1524" s="39">
        <f>IF(D1524="","",IFERROR(VALUE(MID(D1524,LEN(D1524)-3,3)),""))</f>
        <v/>
      </c>
      <c r="X1524" s="33">
        <f>IF(W1524="","",P1524&amp;"|"&amp;W1524)</f>
        <v/>
      </c>
      <c r="Y1524" s="33">
        <f>IF(W1524="","",IF(P1524="À RENSEIGNER","GIC",P1524)&amp;"-"&amp;TEXT(W1524,"000"))</f>
        <v/>
      </c>
      <c r="Z1524" s="33">
        <f>IF(X1524="","",IFERROR(INDEX(Cl_nom,MATCH(X1524,Cl_cle,0)),"(client introuvable)"))</f>
        <v/>
      </c>
      <c r="AA1524" s="33">
        <f>IF(X1524="","",IFERROR(INDEX(Cl_quartier,MATCH(X1524,Cl_cle,0))&amp;"",""))</f>
        <v/>
      </c>
      <c r="AB1524" s="45">
        <f>IF(R1524&lt;&gt;"Livrée",0,IF(K1524&lt;&gt;"",K1524,C1524))</f>
        <v/>
      </c>
      <c r="AC1524" s="33">
        <f>IF(OR(C1524="",W1524=""),"",P1524&amp;"|"&amp;W1524&amp;"|"&amp;C1524&amp;"|"&amp;E1524)</f>
        <v/>
      </c>
      <c r="AD1524" s="39">
        <f>IF(AC1524="","",IF(COUNTIF(AC$6:AC1524,AC1524)=1,1,0))</f>
        <v/>
      </c>
      <c r="AE1524" s="39">
        <f>IF(AB1524=0,"",IF(COUNTIFS(X$6:X1524,X1524,AB$6:AB1524,AB1524)=1,1,0))</f>
        <v/>
      </c>
      <c r="AF1524" s="34">
        <f>IF(C1524="","",YEAR(C1524-WEEKDAY(C1524,2)+4)&amp;"-S"&amp;TEXT(INT((C1524-DATE(YEAR(C1524-WEEKDAY(C1524,2)+4),1,3)+WEEKDAY(DATE(YEAR(C1524-WEEKDAY(C1524,2)+4),1,3),2)+5)/7),"00"))</f>
        <v/>
      </c>
    </row>
    <row r="1525" ht="18" customHeight="1">
      <c r="A1525" s="39" t="n">
        <v>1520</v>
      </c>
      <c r="B1525" s="33">
        <f>IF(C1525="","",IF(P1525="À RENSEIGNER","GIC",P1525)&amp;"-C"&amp;TEXT(A1525,"00000"))</f>
        <v/>
      </c>
      <c r="C1525" s="32" t="n"/>
      <c r="D1525" s="36" t="n"/>
      <c r="E1525" s="36" t="n"/>
      <c r="F1525" s="36" t="n"/>
      <c r="G1525" s="42" t="n"/>
      <c r="H1525" s="37" t="n"/>
      <c r="I1525" s="37" t="n"/>
      <c r="J1525" s="32" t="n"/>
      <c r="K1525" s="32" t="n"/>
      <c r="L1525" s="43" t="n"/>
      <c r="M1525" s="36" t="n"/>
      <c r="N1525" s="44" t="n"/>
      <c r="O1525" s="36" t="n"/>
      <c r="P1525" s="33">
        <f>IF(C1525="","",Commercial_Id)</f>
        <v/>
      </c>
      <c r="Q1525" s="34">
        <f>IF(AC1525="","",IF(AD1525=1,"C"&amp;TEXT(SUM(AD$6:AD1525),"0000"),INDEX(Q$6:Q1524,MATCH(AC1525,AC$6:AC1524,0))))</f>
        <v/>
      </c>
      <c r="R1525" s="34">
        <f>IF(C1525="","",IF(L1525="☑ Oui","Annulée",IF(OR(E1525="Vente directe",K1525&lt;&gt;""),"Livrée",IF(J1525&lt;&gt;"","Confirmée","En attente"))))</f>
        <v/>
      </c>
      <c r="S1525" s="34">
        <f>IF(F1525="","",IFERROR(VLOOKUP(F1525,T_Produits,2,FALSE),""))</f>
        <v/>
      </c>
      <c r="T1525" s="40">
        <f>IF(F1525="","",IFERROR(1/(1/VLOOKUP(F1525,T_Produits,3,FALSE)),""))</f>
        <v/>
      </c>
      <c r="U1525" s="40">
        <f>IF(H1525&lt;&gt;"",H1525,T1525)</f>
        <v/>
      </c>
      <c r="V1525" s="40">
        <f>IF(OR(G1525="",U1525=""),"",G1525*U1525-N(I1525))</f>
        <v/>
      </c>
      <c r="W1525" s="39">
        <f>IF(D1525="","",IFERROR(VALUE(MID(D1525,LEN(D1525)-3,3)),""))</f>
        <v/>
      </c>
      <c r="X1525" s="33">
        <f>IF(W1525="","",P1525&amp;"|"&amp;W1525)</f>
        <v/>
      </c>
      <c r="Y1525" s="33">
        <f>IF(W1525="","",IF(P1525="À RENSEIGNER","GIC",P1525)&amp;"-"&amp;TEXT(W1525,"000"))</f>
        <v/>
      </c>
      <c r="Z1525" s="33">
        <f>IF(X1525="","",IFERROR(INDEX(Cl_nom,MATCH(X1525,Cl_cle,0)),"(client introuvable)"))</f>
        <v/>
      </c>
      <c r="AA1525" s="33">
        <f>IF(X1525="","",IFERROR(INDEX(Cl_quartier,MATCH(X1525,Cl_cle,0))&amp;"",""))</f>
        <v/>
      </c>
      <c r="AB1525" s="45">
        <f>IF(R1525&lt;&gt;"Livrée",0,IF(K1525&lt;&gt;"",K1525,C1525))</f>
        <v/>
      </c>
      <c r="AC1525" s="33">
        <f>IF(OR(C1525="",W1525=""),"",P1525&amp;"|"&amp;W1525&amp;"|"&amp;C1525&amp;"|"&amp;E1525)</f>
        <v/>
      </c>
      <c r="AD1525" s="39">
        <f>IF(AC1525="","",IF(COUNTIF(AC$6:AC1525,AC1525)=1,1,0))</f>
        <v/>
      </c>
      <c r="AE1525" s="39">
        <f>IF(AB1525=0,"",IF(COUNTIFS(X$6:X1525,X1525,AB$6:AB1525,AB1525)=1,1,0))</f>
        <v/>
      </c>
      <c r="AF1525" s="34">
        <f>IF(C1525="","",YEAR(C1525-WEEKDAY(C1525,2)+4)&amp;"-S"&amp;TEXT(INT((C1525-DATE(YEAR(C1525-WEEKDAY(C1525,2)+4),1,3)+WEEKDAY(DATE(YEAR(C1525-WEEKDAY(C1525,2)+4),1,3),2)+5)/7),"00"))</f>
        <v/>
      </c>
    </row>
    <row r="1526" ht="18" customHeight="1">
      <c r="A1526" s="39" t="n">
        <v>1521</v>
      </c>
      <c r="B1526" s="33">
        <f>IF(C1526="","",IF(P1526="À RENSEIGNER","GIC",P1526)&amp;"-C"&amp;TEXT(A1526,"00000"))</f>
        <v/>
      </c>
      <c r="C1526" s="32" t="n"/>
      <c r="D1526" s="36" t="n"/>
      <c r="E1526" s="36" t="n"/>
      <c r="F1526" s="36" t="n"/>
      <c r="G1526" s="42" t="n"/>
      <c r="H1526" s="37" t="n"/>
      <c r="I1526" s="37" t="n"/>
      <c r="J1526" s="32" t="n"/>
      <c r="K1526" s="32" t="n"/>
      <c r="L1526" s="43" t="n"/>
      <c r="M1526" s="36" t="n"/>
      <c r="N1526" s="44" t="n"/>
      <c r="O1526" s="36" t="n"/>
      <c r="P1526" s="33">
        <f>IF(C1526="","",Commercial_Id)</f>
        <v/>
      </c>
      <c r="Q1526" s="34">
        <f>IF(AC1526="","",IF(AD1526=1,"C"&amp;TEXT(SUM(AD$6:AD1526),"0000"),INDEX(Q$6:Q1525,MATCH(AC1526,AC$6:AC1525,0))))</f>
        <v/>
      </c>
      <c r="R1526" s="34">
        <f>IF(C1526="","",IF(L1526="☑ Oui","Annulée",IF(OR(E1526="Vente directe",K1526&lt;&gt;""),"Livrée",IF(J1526&lt;&gt;"","Confirmée","En attente"))))</f>
        <v/>
      </c>
      <c r="S1526" s="34">
        <f>IF(F1526="","",IFERROR(VLOOKUP(F1526,T_Produits,2,FALSE),""))</f>
        <v/>
      </c>
      <c r="T1526" s="40">
        <f>IF(F1526="","",IFERROR(1/(1/VLOOKUP(F1526,T_Produits,3,FALSE)),""))</f>
        <v/>
      </c>
      <c r="U1526" s="40">
        <f>IF(H1526&lt;&gt;"",H1526,T1526)</f>
        <v/>
      </c>
      <c r="V1526" s="40">
        <f>IF(OR(G1526="",U1526=""),"",G1526*U1526-N(I1526))</f>
        <v/>
      </c>
      <c r="W1526" s="39">
        <f>IF(D1526="","",IFERROR(VALUE(MID(D1526,LEN(D1526)-3,3)),""))</f>
        <v/>
      </c>
      <c r="X1526" s="33">
        <f>IF(W1526="","",P1526&amp;"|"&amp;W1526)</f>
        <v/>
      </c>
      <c r="Y1526" s="33">
        <f>IF(W1526="","",IF(P1526="À RENSEIGNER","GIC",P1526)&amp;"-"&amp;TEXT(W1526,"000"))</f>
        <v/>
      </c>
      <c r="Z1526" s="33">
        <f>IF(X1526="","",IFERROR(INDEX(Cl_nom,MATCH(X1526,Cl_cle,0)),"(client introuvable)"))</f>
        <v/>
      </c>
      <c r="AA1526" s="33">
        <f>IF(X1526="","",IFERROR(INDEX(Cl_quartier,MATCH(X1526,Cl_cle,0))&amp;"",""))</f>
        <v/>
      </c>
      <c r="AB1526" s="45">
        <f>IF(R1526&lt;&gt;"Livrée",0,IF(K1526&lt;&gt;"",K1526,C1526))</f>
        <v/>
      </c>
      <c r="AC1526" s="33">
        <f>IF(OR(C1526="",W1526=""),"",P1526&amp;"|"&amp;W1526&amp;"|"&amp;C1526&amp;"|"&amp;E1526)</f>
        <v/>
      </c>
      <c r="AD1526" s="39">
        <f>IF(AC1526="","",IF(COUNTIF(AC$6:AC1526,AC1526)=1,1,0))</f>
        <v/>
      </c>
      <c r="AE1526" s="39">
        <f>IF(AB1526=0,"",IF(COUNTIFS(X$6:X1526,X1526,AB$6:AB1526,AB1526)=1,1,0))</f>
        <v/>
      </c>
      <c r="AF1526" s="34">
        <f>IF(C1526="","",YEAR(C1526-WEEKDAY(C1526,2)+4)&amp;"-S"&amp;TEXT(INT((C1526-DATE(YEAR(C1526-WEEKDAY(C1526,2)+4),1,3)+WEEKDAY(DATE(YEAR(C1526-WEEKDAY(C1526,2)+4),1,3),2)+5)/7),"00"))</f>
        <v/>
      </c>
    </row>
    <row r="1527" ht="18" customHeight="1">
      <c r="A1527" s="39" t="n">
        <v>1522</v>
      </c>
      <c r="B1527" s="33">
        <f>IF(C1527="","",IF(P1527="À RENSEIGNER","GIC",P1527)&amp;"-C"&amp;TEXT(A1527,"00000"))</f>
        <v/>
      </c>
      <c r="C1527" s="32" t="n"/>
      <c r="D1527" s="36" t="n"/>
      <c r="E1527" s="36" t="n"/>
      <c r="F1527" s="36" t="n"/>
      <c r="G1527" s="42" t="n"/>
      <c r="H1527" s="37" t="n"/>
      <c r="I1527" s="37" t="n"/>
      <c r="J1527" s="32" t="n"/>
      <c r="K1527" s="32" t="n"/>
      <c r="L1527" s="43" t="n"/>
      <c r="M1527" s="36" t="n"/>
      <c r="N1527" s="44" t="n"/>
      <c r="O1527" s="36" t="n"/>
      <c r="P1527" s="33">
        <f>IF(C1527="","",Commercial_Id)</f>
        <v/>
      </c>
      <c r="Q1527" s="34">
        <f>IF(AC1527="","",IF(AD1527=1,"C"&amp;TEXT(SUM(AD$6:AD1527),"0000"),INDEX(Q$6:Q1526,MATCH(AC1527,AC$6:AC1526,0))))</f>
        <v/>
      </c>
      <c r="R1527" s="34">
        <f>IF(C1527="","",IF(L1527="☑ Oui","Annulée",IF(OR(E1527="Vente directe",K1527&lt;&gt;""),"Livrée",IF(J1527&lt;&gt;"","Confirmée","En attente"))))</f>
        <v/>
      </c>
      <c r="S1527" s="34">
        <f>IF(F1527="","",IFERROR(VLOOKUP(F1527,T_Produits,2,FALSE),""))</f>
        <v/>
      </c>
      <c r="T1527" s="40">
        <f>IF(F1527="","",IFERROR(1/(1/VLOOKUP(F1527,T_Produits,3,FALSE)),""))</f>
        <v/>
      </c>
      <c r="U1527" s="40">
        <f>IF(H1527&lt;&gt;"",H1527,T1527)</f>
        <v/>
      </c>
      <c r="V1527" s="40">
        <f>IF(OR(G1527="",U1527=""),"",G1527*U1527-N(I1527))</f>
        <v/>
      </c>
      <c r="W1527" s="39">
        <f>IF(D1527="","",IFERROR(VALUE(MID(D1527,LEN(D1527)-3,3)),""))</f>
        <v/>
      </c>
      <c r="X1527" s="33">
        <f>IF(W1527="","",P1527&amp;"|"&amp;W1527)</f>
        <v/>
      </c>
      <c r="Y1527" s="33">
        <f>IF(W1527="","",IF(P1527="À RENSEIGNER","GIC",P1527)&amp;"-"&amp;TEXT(W1527,"000"))</f>
        <v/>
      </c>
      <c r="Z1527" s="33">
        <f>IF(X1527="","",IFERROR(INDEX(Cl_nom,MATCH(X1527,Cl_cle,0)),"(client introuvable)"))</f>
        <v/>
      </c>
      <c r="AA1527" s="33">
        <f>IF(X1527="","",IFERROR(INDEX(Cl_quartier,MATCH(X1527,Cl_cle,0))&amp;"",""))</f>
        <v/>
      </c>
      <c r="AB1527" s="45">
        <f>IF(R1527&lt;&gt;"Livrée",0,IF(K1527&lt;&gt;"",K1527,C1527))</f>
        <v/>
      </c>
      <c r="AC1527" s="33">
        <f>IF(OR(C1527="",W1527=""),"",P1527&amp;"|"&amp;W1527&amp;"|"&amp;C1527&amp;"|"&amp;E1527)</f>
        <v/>
      </c>
      <c r="AD1527" s="39">
        <f>IF(AC1527="","",IF(COUNTIF(AC$6:AC1527,AC1527)=1,1,0))</f>
        <v/>
      </c>
      <c r="AE1527" s="39">
        <f>IF(AB1527=0,"",IF(COUNTIFS(X$6:X1527,X1527,AB$6:AB1527,AB1527)=1,1,0))</f>
        <v/>
      </c>
      <c r="AF1527" s="34">
        <f>IF(C1527="","",YEAR(C1527-WEEKDAY(C1527,2)+4)&amp;"-S"&amp;TEXT(INT((C1527-DATE(YEAR(C1527-WEEKDAY(C1527,2)+4),1,3)+WEEKDAY(DATE(YEAR(C1527-WEEKDAY(C1527,2)+4),1,3),2)+5)/7),"00"))</f>
        <v/>
      </c>
    </row>
    <row r="1528" ht="18" customHeight="1">
      <c r="A1528" s="39" t="n">
        <v>1523</v>
      </c>
      <c r="B1528" s="33">
        <f>IF(C1528="","",IF(P1528="À RENSEIGNER","GIC",P1528)&amp;"-C"&amp;TEXT(A1528,"00000"))</f>
        <v/>
      </c>
      <c r="C1528" s="32" t="n"/>
      <c r="D1528" s="36" t="n"/>
      <c r="E1528" s="36" t="n"/>
      <c r="F1528" s="36" t="n"/>
      <c r="G1528" s="42" t="n"/>
      <c r="H1528" s="37" t="n"/>
      <c r="I1528" s="37" t="n"/>
      <c r="J1528" s="32" t="n"/>
      <c r="K1528" s="32" t="n"/>
      <c r="L1528" s="43" t="n"/>
      <c r="M1528" s="36" t="n"/>
      <c r="N1528" s="44" t="n"/>
      <c r="O1528" s="36" t="n"/>
      <c r="P1528" s="33">
        <f>IF(C1528="","",Commercial_Id)</f>
        <v/>
      </c>
      <c r="Q1528" s="34">
        <f>IF(AC1528="","",IF(AD1528=1,"C"&amp;TEXT(SUM(AD$6:AD1528),"0000"),INDEX(Q$6:Q1527,MATCH(AC1528,AC$6:AC1527,0))))</f>
        <v/>
      </c>
      <c r="R1528" s="34">
        <f>IF(C1528="","",IF(L1528="☑ Oui","Annulée",IF(OR(E1528="Vente directe",K1528&lt;&gt;""),"Livrée",IF(J1528&lt;&gt;"","Confirmée","En attente"))))</f>
        <v/>
      </c>
      <c r="S1528" s="34">
        <f>IF(F1528="","",IFERROR(VLOOKUP(F1528,T_Produits,2,FALSE),""))</f>
        <v/>
      </c>
      <c r="T1528" s="40">
        <f>IF(F1528="","",IFERROR(1/(1/VLOOKUP(F1528,T_Produits,3,FALSE)),""))</f>
        <v/>
      </c>
      <c r="U1528" s="40">
        <f>IF(H1528&lt;&gt;"",H1528,T1528)</f>
        <v/>
      </c>
      <c r="V1528" s="40">
        <f>IF(OR(G1528="",U1528=""),"",G1528*U1528-N(I1528))</f>
        <v/>
      </c>
      <c r="W1528" s="39">
        <f>IF(D1528="","",IFERROR(VALUE(MID(D1528,LEN(D1528)-3,3)),""))</f>
        <v/>
      </c>
      <c r="X1528" s="33">
        <f>IF(W1528="","",P1528&amp;"|"&amp;W1528)</f>
        <v/>
      </c>
      <c r="Y1528" s="33">
        <f>IF(W1528="","",IF(P1528="À RENSEIGNER","GIC",P1528)&amp;"-"&amp;TEXT(W1528,"000"))</f>
        <v/>
      </c>
      <c r="Z1528" s="33">
        <f>IF(X1528="","",IFERROR(INDEX(Cl_nom,MATCH(X1528,Cl_cle,0)),"(client introuvable)"))</f>
        <v/>
      </c>
      <c r="AA1528" s="33">
        <f>IF(X1528="","",IFERROR(INDEX(Cl_quartier,MATCH(X1528,Cl_cle,0))&amp;"",""))</f>
        <v/>
      </c>
      <c r="AB1528" s="45">
        <f>IF(R1528&lt;&gt;"Livrée",0,IF(K1528&lt;&gt;"",K1528,C1528))</f>
        <v/>
      </c>
      <c r="AC1528" s="33">
        <f>IF(OR(C1528="",W1528=""),"",P1528&amp;"|"&amp;W1528&amp;"|"&amp;C1528&amp;"|"&amp;E1528)</f>
        <v/>
      </c>
      <c r="AD1528" s="39">
        <f>IF(AC1528="","",IF(COUNTIF(AC$6:AC1528,AC1528)=1,1,0))</f>
        <v/>
      </c>
      <c r="AE1528" s="39">
        <f>IF(AB1528=0,"",IF(COUNTIFS(X$6:X1528,X1528,AB$6:AB1528,AB1528)=1,1,0))</f>
        <v/>
      </c>
      <c r="AF1528" s="34">
        <f>IF(C1528="","",YEAR(C1528-WEEKDAY(C1528,2)+4)&amp;"-S"&amp;TEXT(INT((C1528-DATE(YEAR(C1528-WEEKDAY(C1528,2)+4),1,3)+WEEKDAY(DATE(YEAR(C1528-WEEKDAY(C1528,2)+4),1,3),2)+5)/7),"00"))</f>
        <v/>
      </c>
    </row>
    <row r="1529" ht="18" customHeight="1">
      <c r="A1529" s="39" t="n">
        <v>1524</v>
      </c>
      <c r="B1529" s="33">
        <f>IF(C1529="","",IF(P1529="À RENSEIGNER","GIC",P1529)&amp;"-C"&amp;TEXT(A1529,"00000"))</f>
        <v/>
      </c>
      <c r="C1529" s="32" t="n"/>
      <c r="D1529" s="36" t="n"/>
      <c r="E1529" s="36" t="n"/>
      <c r="F1529" s="36" t="n"/>
      <c r="G1529" s="42" t="n"/>
      <c r="H1529" s="37" t="n"/>
      <c r="I1529" s="37" t="n"/>
      <c r="J1529" s="32" t="n"/>
      <c r="K1529" s="32" t="n"/>
      <c r="L1529" s="43" t="n"/>
      <c r="M1529" s="36" t="n"/>
      <c r="N1529" s="44" t="n"/>
      <c r="O1529" s="36" t="n"/>
      <c r="P1529" s="33">
        <f>IF(C1529="","",Commercial_Id)</f>
        <v/>
      </c>
      <c r="Q1529" s="34">
        <f>IF(AC1529="","",IF(AD1529=1,"C"&amp;TEXT(SUM(AD$6:AD1529),"0000"),INDEX(Q$6:Q1528,MATCH(AC1529,AC$6:AC1528,0))))</f>
        <v/>
      </c>
      <c r="R1529" s="34">
        <f>IF(C1529="","",IF(L1529="☑ Oui","Annulée",IF(OR(E1529="Vente directe",K1529&lt;&gt;""),"Livrée",IF(J1529&lt;&gt;"","Confirmée","En attente"))))</f>
        <v/>
      </c>
      <c r="S1529" s="34">
        <f>IF(F1529="","",IFERROR(VLOOKUP(F1529,T_Produits,2,FALSE),""))</f>
        <v/>
      </c>
      <c r="T1529" s="40">
        <f>IF(F1529="","",IFERROR(1/(1/VLOOKUP(F1529,T_Produits,3,FALSE)),""))</f>
        <v/>
      </c>
      <c r="U1529" s="40">
        <f>IF(H1529&lt;&gt;"",H1529,T1529)</f>
        <v/>
      </c>
      <c r="V1529" s="40">
        <f>IF(OR(G1529="",U1529=""),"",G1529*U1529-N(I1529))</f>
        <v/>
      </c>
      <c r="W1529" s="39">
        <f>IF(D1529="","",IFERROR(VALUE(MID(D1529,LEN(D1529)-3,3)),""))</f>
        <v/>
      </c>
      <c r="X1529" s="33">
        <f>IF(W1529="","",P1529&amp;"|"&amp;W1529)</f>
        <v/>
      </c>
      <c r="Y1529" s="33">
        <f>IF(W1529="","",IF(P1529="À RENSEIGNER","GIC",P1529)&amp;"-"&amp;TEXT(W1529,"000"))</f>
        <v/>
      </c>
      <c r="Z1529" s="33">
        <f>IF(X1529="","",IFERROR(INDEX(Cl_nom,MATCH(X1529,Cl_cle,0)),"(client introuvable)"))</f>
        <v/>
      </c>
      <c r="AA1529" s="33">
        <f>IF(X1529="","",IFERROR(INDEX(Cl_quartier,MATCH(X1529,Cl_cle,0))&amp;"",""))</f>
        <v/>
      </c>
      <c r="AB1529" s="45">
        <f>IF(R1529&lt;&gt;"Livrée",0,IF(K1529&lt;&gt;"",K1529,C1529))</f>
        <v/>
      </c>
      <c r="AC1529" s="33">
        <f>IF(OR(C1529="",W1529=""),"",P1529&amp;"|"&amp;W1529&amp;"|"&amp;C1529&amp;"|"&amp;E1529)</f>
        <v/>
      </c>
      <c r="AD1529" s="39">
        <f>IF(AC1529="","",IF(COUNTIF(AC$6:AC1529,AC1529)=1,1,0))</f>
        <v/>
      </c>
      <c r="AE1529" s="39">
        <f>IF(AB1529=0,"",IF(COUNTIFS(X$6:X1529,X1529,AB$6:AB1529,AB1529)=1,1,0))</f>
        <v/>
      </c>
      <c r="AF1529" s="34">
        <f>IF(C1529="","",YEAR(C1529-WEEKDAY(C1529,2)+4)&amp;"-S"&amp;TEXT(INT((C1529-DATE(YEAR(C1529-WEEKDAY(C1529,2)+4),1,3)+WEEKDAY(DATE(YEAR(C1529-WEEKDAY(C1529,2)+4),1,3),2)+5)/7),"00"))</f>
        <v/>
      </c>
    </row>
    <row r="1530" ht="18" customHeight="1">
      <c r="A1530" s="39" t="n">
        <v>1525</v>
      </c>
      <c r="B1530" s="33">
        <f>IF(C1530="","",IF(P1530="À RENSEIGNER","GIC",P1530)&amp;"-C"&amp;TEXT(A1530,"00000"))</f>
        <v/>
      </c>
      <c r="C1530" s="32" t="n"/>
      <c r="D1530" s="36" t="n"/>
      <c r="E1530" s="36" t="n"/>
      <c r="F1530" s="36" t="n"/>
      <c r="G1530" s="42" t="n"/>
      <c r="H1530" s="37" t="n"/>
      <c r="I1530" s="37" t="n"/>
      <c r="J1530" s="32" t="n"/>
      <c r="K1530" s="32" t="n"/>
      <c r="L1530" s="43" t="n"/>
      <c r="M1530" s="36" t="n"/>
      <c r="N1530" s="44" t="n"/>
      <c r="O1530" s="36" t="n"/>
      <c r="P1530" s="33">
        <f>IF(C1530="","",Commercial_Id)</f>
        <v/>
      </c>
      <c r="Q1530" s="34">
        <f>IF(AC1530="","",IF(AD1530=1,"C"&amp;TEXT(SUM(AD$6:AD1530),"0000"),INDEX(Q$6:Q1529,MATCH(AC1530,AC$6:AC1529,0))))</f>
        <v/>
      </c>
      <c r="R1530" s="34">
        <f>IF(C1530="","",IF(L1530="☑ Oui","Annulée",IF(OR(E1530="Vente directe",K1530&lt;&gt;""),"Livrée",IF(J1530&lt;&gt;"","Confirmée","En attente"))))</f>
        <v/>
      </c>
      <c r="S1530" s="34">
        <f>IF(F1530="","",IFERROR(VLOOKUP(F1530,T_Produits,2,FALSE),""))</f>
        <v/>
      </c>
      <c r="T1530" s="40">
        <f>IF(F1530="","",IFERROR(1/(1/VLOOKUP(F1530,T_Produits,3,FALSE)),""))</f>
        <v/>
      </c>
      <c r="U1530" s="40">
        <f>IF(H1530&lt;&gt;"",H1530,T1530)</f>
        <v/>
      </c>
      <c r="V1530" s="40">
        <f>IF(OR(G1530="",U1530=""),"",G1530*U1530-N(I1530))</f>
        <v/>
      </c>
      <c r="W1530" s="39">
        <f>IF(D1530="","",IFERROR(VALUE(MID(D1530,LEN(D1530)-3,3)),""))</f>
        <v/>
      </c>
      <c r="X1530" s="33">
        <f>IF(W1530="","",P1530&amp;"|"&amp;W1530)</f>
        <v/>
      </c>
      <c r="Y1530" s="33">
        <f>IF(W1530="","",IF(P1530="À RENSEIGNER","GIC",P1530)&amp;"-"&amp;TEXT(W1530,"000"))</f>
        <v/>
      </c>
      <c r="Z1530" s="33">
        <f>IF(X1530="","",IFERROR(INDEX(Cl_nom,MATCH(X1530,Cl_cle,0)),"(client introuvable)"))</f>
        <v/>
      </c>
      <c r="AA1530" s="33">
        <f>IF(X1530="","",IFERROR(INDEX(Cl_quartier,MATCH(X1530,Cl_cle,0))&amp;"",""))</f>
        <v/>
      </c>
      <c r="AB1530" s="45">
        <f>IF(R1530&lt;&gt;"Livrée",0,IF(K1530&lt;&gt;"",K1530,C1530))</f>
        <v/>
      </c>
      <c r="AC1530" s="33">
        <f>IF(OR(C1530="",W1530=""),"",P1530&amp;"|"&amp;W1530&amp;"|"&amp;C1530&amp;"|"&amp;E1530)</f>
        <v/>
      </c>
      <c r="AD1530" s="39">
        <f>IF(AC1530="","",IF(COUNTIF(AC$6:AC1530,AC1530)=1,1,0))</f>
        <v/>
      </c>
      <c r="AE1530" s="39">
        <f>IF(AB1530=0,"",IF(COUNTIFS(X$6:X1530,X1530,AB$6:AB1530,AB1530)=1,1,0))</f>
        <v/>
      </c>
      <c r="AF1530" s="34">
        <f>IF(C1530="","",YEAR(C1530-WEEKDAY(C1530,2)+4)&amp;"-S"&amp;TEXT(INT((C1530-DATE(YEAR(C1530-WEEKDAY(C1530,2)+4),1,3)+WEEKDAY(DATE(YEAR(C1530-WEEKDAY(C1530,2)+4),1,3),2)+5)/7),"00"))</f>
        <v/>
      </c>
    </row>
    <row r="1531" ht="18" customHeight="1">
      <c r="A1531" s="39" t="n">
        <v>1526</v>
      </c>
      <c r="B1531" s="33">
        <f>IF(C1531="","",IF(P1531="À RENSEIGNER","GIC",P1531)&amp;"-C"&amp;TEXT(A1531,"00000"))</f>
        <v/>
      </c>
      <c r="C1531" s="32" t="n"/>
      <c r="D1531" s="36" t="n"/>
      <c r="E1531" s="36" t="n"/>
      <c r="F1531" s="36" t="n"/>
      <c r="G1531" s="42" t="n"/>
      <c r="H1531" s="37" t="n"/>
      <c r="I1531" s="37" t="n"/>
      <c r="J1531" s="32" t="n"/>
      <c r="K1531" s="32" t="n"/>
      <c r="L1531" s="43" t="n"/>
      <c r="M1531" s="36" t="n"/>
      <c r="N1531" s="44" t="n"/>
      <c r="O1531" s="36" t="n"/>
      <c r="P1531" s="33">
        <f>IF(C1531="","",Commercial_Id)</f>
        <v/>
      </c>
      <c r="Q1531" s="34">
        <f>IF(AC1531="","",IF(AD1531=1,"C"&amp;TEXT(SUM(AD$6:AD1531),"0000"),INDEX(Q$6:Q1530,MATCH(AC1531,AC$6:AC1530,0))))</f>
        <v/>
      </c>
      <c r="R1531" s="34">
        <f>IF(C1531="","",IF(L1531="☑ Oui","Annulée",IF(OR(E1531="Vente directe",K1531&lt;&gt;""),"Livrée",IF(J1531&lt;&gt;"","Confirmée","En attente"))))</f>
        <v/>
      </c>
      <c r="S1531" s="34">
        <f>IF(F1531="","",IFERROR(VLOOKUP(F1531,T_Produits,2,FALSE),""))</f>
        <v/>
      </c>
      <c r="T1531" s="40">
        <f>IF(F1531="","",IFERROR(1/(1/VLOOKUP(F1531,T_Produits,3,FALSE)),""))</f>
        <v/>
      </c>
      <c r="U1531" s="40">
        <f>IF(H1531&lt;&gt;"",H1531,T1531)</f>
        <v/>
      </c>
      <c r="V1531" s="40">
        <f>IF(OR(G1531="",U1531=""),"",G1531*U1531-N(I1531))</f>
        <v/>
      </c>
      <c r="W1531" s="39">
        <f>IF(D1531="","",IFERROR(VALUE(MID(D1531,LEN(D1531)-3,3)),""))</f>
        <v/>
      </c>
      <c r="X1531" s="33">
        <f>IF(W1531="","",P1531&amp;"|"&amp;W1531)</f>
        <v/>
      </c>
      <c r="Y1531" s="33">
        <f>IF(W1531="","",IF(P1531="À RENSEIGNER","GIC",P1531)&amp;"-"&amp;TEXT(W1531,"000"))</f>
        <v/>
      </c>
      <c r="Z1531" s="33">
        <f>IF(X1531="","",IFERROR(INDEX(Cl_nom,MATCH(X1531,Cl_cle,0)),"(client introuvable)"))</f>
        <v/>
      </c>
      <c r="AA1531" s="33">
        <f>IF(X1531="","",IFERROR(INDEX(Cl_quartier,MATCH(X1531,Cl_cle,0))&amp;"",""))</f>
        <v/>
      </c>
      <c r="AB1531" s="45">
        <f>IF(R1531&lt;&gt;"Livrée",0,IF(K1531&lt;&gt;"",K1531,C1531))</f>
        <v/>
      </c>
      <c r="AC1531" s="33">
        <f>IF(OR(C1531="",W1531=""),"",P1531&amp;"|"&amp;W1531&amp;"|"&amp;C1531&amp;"|"&amp;E1531)</f>
        <v/>
      </c>
      <c r="AD1531" s="39">
        <f>IF(AC1531="","",IF(COUNTIF(AC$6:AC1531,AC1531)=1,1,0))</f>
        <v/>
      </c>
      <c r="AE1531" s="39">
        <f>IF(AB1531=0,"",IF(COUNTIFS(X$6:X1531,X1531,AB$6:AB1531,AB1531)=1,1,0))</f>
        <v/>
      </c>
      <c r="AF1531" s="34">
        <f>IF(C1531="","",YEAR(C1531-WEEKDAY(C1531,2)+4)&amp;"-S"&amp;TEXT(INT((C1531-DATE(YEAR(C1531-WEEKDAY(C1531,2)+4),1,3)+WEEKDAY(DATE(YEAR(C1531-WEEKDAY(C1531,2)+4),1,3),2)+5)/7),"00"))</f>
        <v/>
      </c>
    </row>
    <row r="1532" ht="18" customHeight="1">
      <c r="A1532" s="39" t="n">
        <v>1527</v>
      </c>
      <c r="B1532" s="33">
        <f>IF(C1532="","",IF(P1532="À RENSEIGNER","GIC",P1532)&amp;"-C"&amp;TEXT(A1532,"00000"))</f>
        <v/>
      </c>
      <c r="C1532" s="32" t="n"/>
      <c r="D1532" s="36" t="n"/>
      <c r="E1532" s="36" t="n"/>
      <c r="F1532" s="36" t="n"/>
      <c r="G1532" s="42" t="n"/>
      <c r="H1532" s="37" t="n"/>
      <c r="I1532" s="37" t="n"/>
      <c r="J1532" s="32" t="n"/>
      <c r="K1532" s="32" t="n"/>
      <c r="L1532" s="43" t="n"/>
      <c r="M1532" s="36" t="n"/>
      <c r="N1532" s="44" t="n"/>
      <c r="O1532" s="36" t="n"/>
      <c r="P1532" s="33">
        <f>IF(C1532="","",Commercial_Id)</f>
        <v/>
      </c>
      <c r="Q1532" s="34">
        <f>IF(AC1532="","",IF(AD1532=1,"C"&amp;TEXT(SUM(AD$6:AD1532),"0000"),INDEX(Q$6:Q1531,MATCH(AC1532,AC$6:AC1531,0))))</f>
        <v/>
      </c>
      <c r="R1532" s="34">
        <f>IF(C1532="","",IF(L1532="☑ Oui","Annulée",IF(OR(E1532="Vente directe",K1532&lt;&gt;""),"Livrée",IF(J1532&lt;&gt;"","Confirmée","En attente"))))</f>
        <v/>
      </c>
      <c r="S1532" s="34">
        <f>IF(F1532="","",IFERROR(VLOOKUP(F1532,T_Produits,2,FALSE),""))</f>
        <v/>
      </c>
      <c r="T1532" s="40">
        <f>IF(F1532="","",IFERROR(1/(1/VLOOKUP(F1532,T_Produits,3,FALSE)),""))</f>
        <v/>
      </c>
      <c r="U1532" s="40">
        <f>IF(H1532&lt;&gt;"",H1532,T1532)</f>
        <v/>
      </c>
      <c r="V1532" s="40">
        <f>IF(OR(G1532="",U1532=""),"",G1532*U1532-N(I1532))</f>
        <v/>
      </c>
      <c r="W1532" s="39">
        <f>IF(D1532="","",IFERROR(VALUE(MID(D1532,LEN(D1532)-3,3)),""))</f>
        <v/>
      </c>
      <c r="X1532" s="33">
        <f>IF(W1532="","",P1532&amp;"|"&amp;W1532)</f>
        <v/>
      </c>
      <c r="Y1532" s="33">
        <f>IF(W1532="","",IF(P1532="À RENSEIGNER","GIC",P1532)&amp;"-"&amp;TEXT(W1532,"000"))</f>
        <v/>
      </c>
      <c r="Z1532" s="33">
        <f>IF(X1532="","",IFERROR(INDEX(Cl_nom,MATCH(X1532,Cl_cle,0)),"(client introuvable)"))</f>
        <v/>
      </c>
      <c r="AA1532" s="33">
        <f>IF(X1532="","",IFERROR(INDEX(Cl_quartier,MATCH(X1532,Cl_cle,0))&amp;"",""))</f>
        <v/>
      </c>
      <c r="AB1532" s="45">
        <f>IF(R1532&lt;&gt;"Livrée",0,IF(K1532&lt;&gt;"",K1532,C1532))</f>
        <v/>
      </c>
      <c r="AC1532" s="33">
        <f>IF(OR(C1532="",W1532=""),"",P1532&amp;"|"&amp;W1532&amp;"|"&amp;C1532&amp;"|"&amp;E1532)</f>
        <v/>
      </c>
      <c r="AD1532" s="39">
        <f>IF(AC1532="","",IF(COUNTIF(AC$6:AC1532,AC1532)=1,1,0))</f>
        <v/>
      </c>
      <c r="AE1532" s="39">
        <f>IF(AB1532=0,"",IF(COUNTIFS(X$6:X1532,X1532,AB$6:AB1532,AB1532)=1,1,0))</f>
        <v/>
      </c>
      <c r="AF1532" s="34">
        <f>IF(C1532="","",YEAR(C1532-WEEKDAY(C1532,2)+4)&amp;"-S"&amp;TEXT(INT((C1532-DATE(YEAR(C1532-WEEKDAY(C1532,2)+4),1,3)+WEEKDAY(DATE(YEAR(C1532-WEEKDAY(C1532,2)+4),1,3),2)+5)/7),"00"))</f>
        <v/>
      </c>
    </row>
    <row r="1533" ht="18" customHeight="1">
      <c r="A1533" s="39" t="n">
        <v>1528</v>
      </c>
      <c r="B1533" s="33">
        <f>IF(C1533="","",IF(P1533="À RENSEIGNER","GIC",P1533)&amp;"-C"&amp;TEXT(A1533,"00000"))</f>
        <v/>
      </c>
      <c r="C1533" s="32" t="n"/>
      <c r="D1533" s="36" t="n"/>
      <c r="E1533" s="36" t="n"/>
      <c r="F1533" s="36" t="n"/>
      <c r="G1533" s="42" t="n"/>
      <c r="H1533" s="37" t="n"/>
      <c r="I1533" s="37" t="n"/>
      <c r="J1533" s="32" t="n"/>
      <c r="K1533" s="32" t="n"/>
      <c r="L1533" s="43" t="n"/>
      <c r="M1533" s="36" t="n"/>
      <c r="N1533" s="44" t="n"/>
      <c r="O1533" s="36" t="n"/>
      <c r="P1533" s="33">
        <f>IF(C1533="","",Commercial_Id)</f>
        <v/>
      </c>
      <c r="Q1533" s="34">
        <f>IF(AC1533="","",IF(AD1533=1,"C"&amp;TEXT(SUM(AD$6:AD1533),"0000"),INDEX(Q$6:Q1532,MATCH(AC1533,AC$6:AC1532,0))))</f>
        <v/>
      </c>
      <c r="R1533" s="34">
        <f>IF(C1533="","",IF(L1533="☑ Oui","Annulée",IF(OR(E1533="Vente directe",K1533&lt;&gt;""),"Livrée",IF(J1533&lt;&gt;"","Confirmée","En attente"))))</f>
        <v/>
      </c>
      <c r="S1533" s="34">
        <f>IF(F1533="","",IFERROR(VLOOKUP(F1533,T_Produits,2,FALSE),""))</f>
        <v/>
      </c>
      <c r="T1533" s="40">
        <f>IF(F1533="","",IFERROR(1/(1/VLOOKUP(F1533,T_Produits,3,FALSE)),""))</f>
        <v/>
      </c>
      <c r="U1533" s="40">
        <f>IF(H1533&lt;&gt;"",H1533,T1533)</f>
        <v/>
      </c>
      <c r="V1533" s="40">
        <f>IF(OR(G1533="",U1533=""),"",G1533*U1533-N(I1533))</f>
        <v/>
      </c>
      <c r="W1533" s="39">
        <f>IF(D1533="","",IFERROR(VALUE(MID(D1533,LEN(D1533)-3,3)),""))</f>
        <v/>
      </c>
      <c r="X1533" s="33">
        <f>IF(W1533="","",P1533&amp;"|"&amp;W1533)</f>
        <v/>
      </c>
      <c r="Y1533" s="33">
        <f>IF(W1533="","",IF(P1533="À RENSEIGNER","GIC",P1533)&amp;"-"&amp;TEXT(W1533,"000"))</f>
        <v/>
      </c>
      <c r="Z1533" s="33">
        <f>IF(X1533="","",IFERROR(INDEX(Cl_nom,MATCH(X1533,Cl_cle,0)),"(client introuvable)"))</f>
        <v/>
      </c>
      <c r="AA1533" s="33">
        <f>IF(X1533="","",IFERROR(INDEX(Cl_quartier,MATCH(X1533,Cl_cle,0))&amp;"",""))</f>
        <v/>
      </c>
      <c r="AB1533" s="45">
        <f>IF(R1533&lt;&gt;"Livrée",0,IF(K1533&lt;&gt;"",K1533,C1533))</f>
        <v/>
      </c>
      <c r="AC1533" s="33">
        <f>IF(OR(C1533="",W1533=""),"",P1533&amp;"|"&amp;W1533&amp;"|"&amp;C1533&amp;"|"&amp;E1533)</f>
        <v/>
      </c>
      <c r="AD1533" s="39">
        <f>IF(AC1533="","",IF(COUNTIF(AC$6:AC1533,AC1533)=1,1,0))</f>
        <v/>
      </c>
      <c r="AE1533" s="39">
        <f>IF(AB1533=0,"",IF(COUNTIFS(X$6:X1533,X1533,AB$6:AB1533,AB1533)=1,1,0))</f>
        <v/>
      </c>
      <c r="AF1533" s="34">
        <f>IF(C1533="","",YEAR(C1533-WEEKDAY(C1533,2)+4)&amp;"-S"&amp;TEXT(INT((C1533-DATE(YEAR(C1533-WEEKDAY(C1533,2)+4),1,3)+WEEKDAY(DATE(YEAR(C1533-WEEKDAY(C1533,2)+4),1,3),2)+5)/7),"00"))</f>
        <v/>
      </c>
    </row>
    <row r="1534" ht="18" customHeight="1">
      <c r="A1534" s="39" t="n">
        <v>1529</v>
      </c>
      <c r="B1534" s="33">
        <f>IF(C1534="","",IF(P1534="À RENSEIGNER","GIC",P1534)&amp;"-C"&amp;TEXT(A1534,"00000"))</f>
        <v/>
      </c>
      <c r="C1534" s="32" t="n"/>
      <c r="D1534" s="36" t="n"/>
      <c r="E1534" s="36" t="n"/>
      <c r="F1534" s="36" t="n"/>
      <c r="G1534" s="42" t="n"/>
      <c r="H1534" s="37" t="n"/>
      <c r="I1534" s="37" t="n"/>
      <c r="J1534" s="32" t="n"/>
      <c r="K1534" s="32" t="n"/>
      <c r="L1534" s="43" t="n"/>
      <c r="M1534" s="36" t="n"/>
      <c r="N1534" s="44" t="n"/>
      <c r="O1534" s="36" t="n"/>
      <c r="P1534" s="33">
        <f>IF(C1534="","",Commercial_Id)</f>
        <v/>
      </c>
      <c r="Q1534" s="34">
        <f>IF(AC1534="","",IF(AD1534=1,"C"&amp;TEXT(SUM(AD$6:AD1534),"0000"),INDEX(Q$6:Q1533,MATCH(AC1534,AC$6:AC1533,0))))</f>
        <v/>
      </c>
      <c r="R1534" s="34">
        <f>IF(C1534="","",IF(L1534="☑ Oui","Annulée",IF(OR(E1534="Vente directe",K1534&lt;&gt;""),"Livrée",IF(J1534&lt;&gt;"","Confirmée","En attente"))))</f>
        <v/>
      </c>
      <c r="S1534" s="34">
        <f>IF(F1534="","",IFERROR(VLOOKUP(F1534,T_Produits,2,FALSE),""))</f>
        <v/>
      </c>
      <c r="T1534" s="40">
        <f>IF(F1534="","",IFERROR(1/(1/VLOOKUP(F1534,T_Produits,3,FALSE)),""))</f>
        <v/>
      </c>
      <c r="U1534" s="40">
        <f>IF(H1534&lt;&gt;"",H1534,T1534)</f>
        <v/>
      </c>
      <c r="V1534" s="40">
        <f>IF(OR(G1534="",U1534=""),"",G1534*U1534-N(I1534))</f>
        <v/>
      </c>
      <c r="W1534" s="39">
        <f>IF(D1534="","",IFERROR(VALUE(MID(D1534,LEN(D1534)-3,3)),""))</f>
        <v/>
      </c>
      <c r="X1534" s="33">
        <f>IF(W1534="","",P1534&amp;"|"&amp;W1534)</f>
        <v/>
      </c>
      <c r="Y1534" s="33">
        <f>IF(W1534="","",IF(P1534="À RENSEIGNER","GIC",P1534)&amp;"-"&amp;TEXT(W1534,"000"))</f>
        <v/>
      </c>
      <c r="Z1534" s="33">
        <f>IF(X1534="","",IFERROR(INDEX(Cl_nom,MATCH(X1534,Cl_cle,0)),"(client introuvable)"))</f>
        <v/>
      </c>
      <c r="AA1534" s="33">
        <f>IF(X1534="","",IFERROR(INDEX(Cl_quartier,MATCH(X1534,Cl_cle,0))&amp;"",""))</f>
        <v/>
      </c>
      <c r="AB1534" s="45">
        <f>IF(R1534&lt;&gt;"Livrée",0,IF(K1534&lt;&gt;"",K1534,C1534))</f>
        <v/>
      </c>
      <c r="AC1534" s="33">
        <f>IF(OR(C1534="",W1534=""),"",P1534&amp;"|"&amp;W1534&amp;"|"&amp;C1534&amp;"|"&amp;E1534)</f>
        <v/>
      </c>
      <c r="AD1534" s="39">
        <f>IF(AC1534="","",IF(COUNTIF(AC$6:AC1534,AC1534)=1,1,0))</f>
        <v/>
      </c>
      <c r="AE1534" s="39">
        <f>IF(AB1534=0,"",IF(COUNTIFS(X$6:X1534,X1534,AB$6:AB1534,AB1534)=1,1,0))</f>
        <v/>
      </c>
      <c r="AF1534" s="34">
        <f>IF(C1534="","",YEAR(C1534-WEEKDAY(C1534,2)+4)&amp;"-S"&amp;TEXT(INT((C1534-DATE(YEAR(C1534-WEEKDAY(C1534,2)+4),1,3)+WEEKDAY(DATE(YEAR(C1534-WEEKDAY(C1534,2)+4),1,3),2)+5)/7),"00"))</f>
        <v/>
      </c>
    </row>
    <row r="1535" ht="18" customHeight="1">
      <c r="A1535" s="39" t="n">
        <v>1530</v>
      </c>
      <c r="B1535" s="33">
        <f>IF(C1535="","",IF(P1535="À RENSEIGNER","GIC",P1535)&amp;"-C"&amp;TEXT(A1535,"00000"))</f>
        <v/>
      </c>
      <c r="C1535" s="32" t="n"/>
      <c r="D1535" s="36" t="n"/>
      <c r="E1535" s="36" t="n"/>
      <c r="F1535" s="36" t="n"/>
      <c r="G1535" s="42" t="n"/>
      <c r="H1535" s="37" t="n"/>
      <c r="I1535" s="37" t="n"/>
      <c r="J1535" s="32" t="n"/>
      <c r="K1535" s="32" t="n"/>
      <c r="L1535" s="43" t="n"/>
      <c r="M1535" s="36" t="n"/>
      <c r="N1535" s="44" t="n"/>
      <c r="O1535" s="36" t="n"/>
      <c r="P1535" s="33">
        <f>IF(C1535="","",Commercial_Id)</f>
        <v/>
      </c>
      <c r="Q1535" s="34">
        <f>IF(AC1535="","",IF(AD1535=1,"C"&amp;TEXT(SUM(AD$6:AD1535),"0000"),INDEX(Q$6:Q1534,MATCH(AC1535,AC$6:AC1534,0))))</f>
        <v/>
      </c>
      <c r="R1535" s="34">
        <f>IF(C1535="","",IF(L1535="☑ Oui","Annulée",IF(OR(E1535="Vente directe",K1535&lt;&gt;""),"Livrée",IF(J1535&lt;&gt;"","Confirmée","En attente"))))</f>
        <v/>
      </c>
      <c r="S1535" s="34">
        <f>IF(F1535="","",IFERROR(VLOOKUP(F1535,T_Produits,2,FALSE),""))</f>
        <v/>
      </c>
      <c r="T1535" s="40">
        <f>IF(F1535="","",IFERROR(1/(1/VLOOKUP(F1535,T_Produits,3,FALSE)),""))</f>
        <v/>
      </c>
      <c r="U1535" s="40">
        <f>IF(H1535&lt;&gt;"",H1535,T1535)</f>
        <v/>
      </c>
      <c r="V1535" s="40">
        <f>IF(OR(G1535="",U1535=""),"",G1535*U1535-N(I1535))</f>
        <v/>
      </c>
      <c r="W1535" s="39">
        <f>IF(D1535="","",IFERROR(VALUE(MID(D1535,LEN(D1535)-3,3)),""))</f>
        <v/>
      </c>
      <c r="X1535" s="33">
        <f>IF(W1535="","",P1535&amp;"|"&amp;W1535)</f>
        <v/>
      </c>
      <c r="Y1535" s="33">
        <f>IF(W1535="","",IF(P1535="À RENSEIGNER","GIC",P1535)&amp;"-"&amp;TEXT(W1535,"000"))</f>
        <v/>
      </c>
      <c r="Z1535" s="33">
        <f>IF(X1535="","",IFERROR(INDEX(Cl_nom,MATCH(X1535,Cl_cle,0)),"(client introuvable)"))</f>
        <v/>
      </c>
      <c r="AA1535" s="33">
        <f>IF(X1535="","",IFERROR(INDEX(Cl_quartier,MATCH(X1535,Cl_cle,0))&amp;"",""))</f>
        <v/>
      </c>
      <c r="AB1535" s="45">
        <f>IF(R1535&lt;&gt;"Livrée",0,IF(K1535&lt;&gt;"",K1535,C1535))</f>
        <v/>
      </c>
      <c r="AC1535" s="33">
        <f>IF(OR(C1535="",W1535=""),"",P1535&amp;"|"&amp;W1535&amp;"|"&amp;C1535&amp;"|"&amp;E1535)</f>
        <v/>
      </c>
      <c r="AD1535" s="39">
        <f>IF(AC1535="","",IF(COUNTIF(AC$6:AC1535,AC1535)=1,1,0))</f>
        <v/>
      </c>
      <c r="AE1535" s="39">
        <f>IF(AB1535=0,"",IF(COUNTIFS(X$6:X1535,X1535,AB$6:AB1535,AB1535)=1,1,0))</f>
        <v/>
      </c>
      <c r="AF1535" s="34">
        <f>IF(C1535="","",YEAR(C1535-WEEKDAY(C1535,2)+4)&amp;"-S"&amp;TEXT(INT((C1535-DATE(YEAR(C1535-WEEKDAY(C1535,2)+4),1,3)+WEEKDAY(DATE(YEAR(C1535-WEEKDAY(C1535,2)+4),1,3),2)+5)/7),"00"))</f>
        <v/>
      </c>
    </row>
    <row r="1536" ht="18" customHeight="1">
      <c r="A1536" s="39" t="n">
        <v>1531</v>
      </c>
      <c r="B1536" s="33">
        <f>IF(C1536="","",IF(P1536="À RENSEIGNER","GIC",P1536)&amp;"-C"&amp;TEXT(A1536,"00000"))</f>
        <v/>
      </c>
      <c r="C1536" s="32" t="n"/>
      <c r="D1536" s="36" t="n"/>
      <c r="E1536" s="36" t="n"/>
      <c r="F1536" s="36" t="n"/>
      <c r="G1536" s="42" t="n"/>
      <c r="H1536" s="37" t="n"/>
      <c r="I1536" s="37" t="n"/>
      <c r="J1536" s="32" t="n"/>
      <c r="K1536" s="32" t="n"/>
      <c r="L1536" s="43" t="n"/>
      <c r="M1536" s="36" t="n"/>
      <c r="N1536" s="44" t="n"/>
      <c r="O1536" s="36" t="n"/>
      <c r="P1536" s="33">
        <f>IF(C1536="","",Commercial_Id)</f>
        <v/>
      </c>
      <c r="Q1536" s="34">
        <f>IF(AC1536="","",IF(AD1536=1,"C"&amp;TEXT(SUM(AD$6:AD1536),"0000"),INDEX(Q$6:Q1535,MATCH(AC1536,AC$6:AC1535,0))))</f>
        <v/>
      </c>
      <c r="R1536" s="34">
        <f>IF(C1536="","",IF(L1536="☑ Oui","Annulée",IF(OR(E1536="Vente directe",K1536&lt;&gt;""),"Livrée",IF(J1536&lt;&gt;"","Confirmée","En attente"))))</f>
        <v/>
      </c>
      <c r="S1536" s="34">
        <f>IF(F1536="","",IFERROR(VLOOKUP(F1536,T_Produits,2,FALSE),""))</f>
        <v/>
      </c>
      <c r="T1536" s="40">
        <f>IF(F1536="","",IFERROR(1/(1/VLOOKUP(F1536,T_Produits,3,FALSE)),""))</f>
        <v/>
      </c>
      <c r="U1536" s="40">
        <f>IF(H1536&lt;&gt;"",H1536,T1536)</f>
        <v/>
      </c>
      <c r="V1536" s="40">
        <f>IF(OR(G1536="",U1536=""),"",G1536*U1536-N(I1536))</f>
        <v/>
      </c>
      <c r="W1536" s="39">
        <f>IF(D1536="","",IFERROR(VALUE(MID(D1536,LEN(D1536)-3,3)),""))</f>
        <v/>
      </c>
      <c r="X1536" s="33">
        <f>IF(W1536="","",P1536&amp;"|"&amp;W1536)</f>
        <v/>
      </c>
      <c r="Y1536" s="33">
        <f>IF(W1536="","",IF(P1536="À RENSEIGNER","GIC",P1536)&amp;"-"&amp;TEXT(W1536,"000"))</f>
        <v/>
      </c>
      <c r="Z1536" s="33">
        <f>IF(X1536="","",IFERROR(INDEX(Cl_nom,MATCH(X1536,Cl_cle,0)),"(client introuvable)"))</f>
        <v/>
      </c>
      <c r="AA1536" s="33">
        <f>IF(X1536="","",IFERROR(INDEX(Cl_quartier,MATCH(X1536,Cl_cle,0))&amp;"",""))</f>
        <v/>
      </c>
      <c r="AB1536" s="45">
        <f>IF(R1536&lt;&gt;"Livrée",0,IF(K1536&lt;&gt;"",K1536,C1536))</f>
        <v/>
      </c>
      <c r="AC1536" s="33">
        <f>IF(OR(C1536="",W1536=""),"",P1536&amp;"|"&amp;W1536&amp;"|"&amp;C1536&amp;"|"&amp;E1536)</f>
        <v/>
      </c>
      <c r="AD1536" s="39">
        <f>IF(AC1536="","",IF(COUNTIF(AC$6:AC1536,AC1536)=1,1,0))</f>
        <v/>
      </c>
      <c r="AE1536" s="39">
        <f>IF(AB1536=0,"",IF(COUNTIFS(X$6:X1536,X1536,AB$6:AB1536,AB1536)=1,1,0))</f>
        <v/>
      </c>
      <c r="AF1536" s="34">
        <f>IF(C1536="","",YEAR(C1536-WEEKDAY(C1536,2)+4)&amp;"-S"&amp;TEXT(INT((C1536-DATE(YEAR(C1536-WEEKDAY(C1536,2)+4),1,3)+WEEKDAY(DATE(YEAR(C1536-WEEKDAY(C1536,2)+4),1,3),2)+5)/7),"00"))</f>
        <v/>
      </c>
    </row>
    <row r="1537" ht="18" customHeight="1">
      <c r="A1537" s="39" t="n">
        <v>1532</v>
      </c>
      <c r="B1537" s="33">
        <f>IF(C1537="","",IF(P1537="À RENSEIGNER","GIC",P1537)&amp;"-C"&amp;TEXT(A1537,"00000"))</f>
        <v/>
      </c>
      <c r="C1537" s="32" t="n"/>
      <c r="D1537" s="36" t="n"/>
      <c r="E1537" s="36" t="n"/>
      <c r="F1537" s="36" t="n"/>
      <c r="G1537" s="42" t="n"/>
      <c r="H1537" s="37" t="n"/>
      <c r="I1537" s="37" t="n"/>
      <c r="J1537" s="32" t="n"/>
      <c r="K1537" s="32" t="n"/>
      <c r="L1537" s="43" t="n"/>
      <c r="M1537" s="36" t="n"/>
      <c r="N1537" s="44" t="n"/>
      <c r="O1537" s="36" t="n"/>
      <c r="P1537" s="33">
        <f>IF(C1537="","",Commercial_Id)</f>
        <v/>
      </c>
      <c r="Q1537" s="34">
        <f>IF(AC1537="","",IF(AD1537=1,"C"&amp;TEXT(SUM(AD$6:AD1537),"0000"),INDEX(Q$6:Q1536,MATCH(AC1537,AC$6:AC1536,0))))</f>
        <v/>
      </c>
      <c r="R1537" s="34">
        <f>IF(C1537="","",IF(L1537="☑ Oui","Annulée",IF(OR(E1537="Vente directe",K1537&lt;&gt;""),"Livrée",IF(J1537&lt;&gt;"","Confirmée","En attente"))))</f>
        <v/>
      </c>
      <c r="S1537" s="34">
        <f>IF(F1537="","",IFERROR(VLOOKUP(F1537,T_Produits,2,FALSE),""))</f>
        <v/>
      </c>
      <c r="T1537" s="40">
        <f>IF(F1537="","",IFERROR(1/(1/VLOOKUP(F1537,T_Produits,3,FALSE)),""))</f>
        <v/>
      </c>
      <c r="U1537" s="40">
        <f>IF(H1537&lt;&gt;"",H1537,T1537)</f>
        <v/>
      </c>
      <c r="V1537" s="40">
        <f>IF(OR(G1537="",U1537=""),"",G1537*U1537-N(I1537))</f>
        <v/>
      </c>
      <c r="W1537" s="39">
        <f>IF(D1537="","",IFERROR(VALUE(MID(D1537,LEN(D1537)-3,3)),""))</f>
        <v/>
      </c>
      <c r="X1537" s="33">
        <f>IF(W1537="","",P1537&amp;"|"&amp;W1537)</f>
        <v/>
      </c>
      <c r="Y1537" s="33">
        <f>IF(W1537="","",IF(P1537="À RENSEIGNER","GIC",P1537)&amp;"-"&amp;TEXT(W1537,"000"))</f>
        <v/>
      </c>
      <c r="Z1537" s="33">
        <f>IF(X1537="","",IFERROR(INDEX(Cl_nom,MATCH(X1537,Cl_cle,0)),"(client introuvable)"))</f>
        <v/>
      </c>
      <c r="AA1537" s="33">
        <f>IF(X1537="","",IFERROR(INDEX(Cl_quartier,MATCH(X1537,Cl_cle,0))&amp;"",""))</f>
        <v/>
      </c>
      <c r="AB1537" s="45">
        <f>IF(R1537&lt;&gt;"Livrée",0,IF(K1537&lt;&gt;"",K1537,C1537))</f>
        <v/>
      </c>
      <c r="AC1537" s="33">
        <f>IF(OR(C1537="",W1537=""),"",P1537&amp;"|"&amp;W1537&amp;"|"&amp;C1537&amp;"|"&amp;E1537)</f>
        <v/>
      </c>
      <c r="AD1537" s="39">
        <f>IF(AC1537="","",IF(COUNTIF(AC$6:AC1537,AC1537)=1,1,0))</f>
        <v/>
      </c>
      <c r="AE1537" s="39">
        <f>IF(AB1537=0,"",IF(COUNTIFS(X$6:X1537,X1537,AB$6:AB1537,AB1537)=1,1,0))</f>
        <v/>
      </c>
      <c r="AF1537" s="34">
        <f>IF(C1537="","",YEAR(C1537-WEEKDAY(C1537,2)+4)&amp;"-S"&amp;TEXT(INT((C1537-DATE(YEAR(C1537-WEEKDAY(C1537,2)+4),1,3)+WEEKDAY(DATE(YEAR(C1537-WEEKDAY(C1537,2)+4),1,3),2)+5)/7),"00"))</f>
        <v/>
      </c>
    </row>
    <row r="1538" ht="18" customHeight="1">
      <c r="A1538" s="39" t="n">
        <v>1533</v>
      </c>
      <c r="B1538" s="33">
        <f>IF(C1538="","",IF(P1538="À RENSEIGNER","GIC",P1538)&amp;"-C"&amp;TEXT(A1538,"00000"))</f>
        <v/>
      </c>
      <c r="C1538" s="32" t="n"/>
      <c r="D1538" s="36" t="n"/>
      <c r="E1538" s="36" t="n"/>
      <c r="F1538" s="36" t="n"/>
      <c r="G1538" s="42" t="n"/>
      <c r="H1538" s="37" t="n"/>
      <c r="I1538" s="37" t="n"/>
      <c r="J1538" s="32" t="n"/>
      <c r="K1538" s="32" t="n"/>
      <c r="L1538" s="43" t="n"/>
      <c r="M1538" s="36" t="n"/>
      <c r="N1538" s="44" t="n"/>
      <c r="O1538" s="36" t="n"/>
      <c r="P1538" s="33">
        <f>IF(C1538="","",Commercial_Id)</f>
        <v/>
      </c>
      <c r="Q1538" s="34">
        <f>IF(AC1538="","",IF(AD1538=1,"C"&amp;TEXT(SUM(AD$6:AD1538),"0000"),INDEX(Q$6:Q1537,MATCH(AC1538,AC$6:AC1537,0))))</f>
        <v/>
      </c>
      <c r="R1538" s="34">
        <f>IF(C1538="","",IF(L1538="☑ Oui","Annulée",IF(OR(E1538="Vente directe",K1538&lt;&gt;""),"Livrée",IF(J1538&lt;&gt;"","Confirmée","En attente"))))</f>
        <v/>
      </c>
      <c r="S1538" s="34">
        <f>IF(F1538="","",IFERROR(VLOOKUP(F1538,T_Produits,2,FALSE),""))</f>
        <v/>
      </c>
      <c r="T1538" s="40">
        <f>IF(F1538="","",IFERROR(1/(1/VLOOKUP(F1538,T_Produits,3,FALSE)),""))</f>
        <v/>
      </c>
      <c r="U1538" s="40">
        <f>IF(H1538&lt;&gt;"",H1538,T1538)</f>
        <v/>
      </c>
      <c r="V1538" s="40">
        <f>IF(OR(G1538="",U1538=""),"",G1538*U1538-N(I1538))</f>
        <v/>
      </c>
      <c r="W1538" s="39">
        <f>IF(D1538="","",IFERROR(VALUE(MID(D1538,LEN(D1538)-3,3)),""))</f>
        <v/>
      </c>
      <c r="X1538" s="33">
        <f>IF(W1538="","",P1538&amp;"|"&amp;W1538)</f>
        <v/>
      </c>
      <c r="Y1538" s="33">
        <f>IF(W1538="","",IF(P1538="À RENSEIGNER","GIC",P1538)&amp;"-"&amp;TEXT(W1538,"000"))</f>
        <v/>
      </c>
      <c r="Z1538" s="33">
        <f>IF(X1538="","",IFERROR(INDEX(Cl_nom,MATCH(X1538,Cl_cle,0)),"(client introuvable)"))</f>
        <v/>
      </c>
      <c r="AA1538" s="33">
        <f>IF(X1538="","",IFERROR(INDEX(Cl_quartier,MATCH(X1538,Cl_cle,0))&amp;"",""))</f>
        <v/>
      </c>
      <c r="AB1538" s="45">
        <f>IF(R1538&lt;&gt;"Livrée",0,IF(K1538&lt;&gt;"",K1538,C1538))</f>
        <v/>
      </c>
      <c r="AC1538" s="33">
        <f>IF(OR(C1538="",W1538=""),"",P1538&amp;"|"&amp;W1538&amp;"|"&amp;C1538&amp;"|"&amp;E1538)</f>
        <v/>
      </c>
      <c r="AD1538" s="39">
        <f>IF(AC1538="","",IF(COUNTIF(AC$6:AC1538,AC1538)=1,1,0))</f>
        <v/>
      </c>
      <c r="AE1538" s="39">
        <f>IF(AB1538=0,"",IF(COUNTIFS(X$6:X1538,X1538,AB$6:AB1538,AB1538)=1,1,0))</f>
        <v/>
      </c>
      <c r="AF1538" s="34">
        <f>IF(C1538="","",YEAR(C1538-WEEKDAY(C1538,2)+4)&amp;"-S"&amp;TEXT(INT((C1538-DATE(YEAR(C1538-WEEKDAY(C1538,2)+4),1,3)+WEEKDAY(DATE(YEAR(C1538-WEEKDAY(C1538,2)+4),1,3),2)+5)/7),"00"))</f>
        <v/>
      </c>
    </row>
    <row r="1539" ht="18" customHeight="1">
      <c r="A1539" s="39" t="n">
        <v>1534</v>
      </c>
      <c r="B1539" s="33">
        <f>IF(C1539="","",IF(P1539="À RENSEIGNER","GIC",P1539)&amp;"-C"&amp;TEXT(A1539,"00000"))</f>
        <v/>
      </c>
      <c r="C1539" s="32" t="n"/>
      <c r="D1539" s="36" t="n"/>
      <c r="E1539" s="36" t="n"/>
      <c r="F1539" s="36" t="n"/>
      <c r="G1539" s="42" t="n"/>
      <c r="H1539" s="37" t="n"/>
      <c r="I1539" s="37" t="n"/>
      <c r="J1539" s="32" t="n"/>
      <c r="K1539" s="32" t="n"/>
      <c r="L1539" s="43" t="n"/>
      <c r="M1539" s="36" t="n"/>
      <c r="N1539" s="44" t="n"/>
      <c r="O1539" s="36" t="n"/>
      <c r="P1539" s="33">
        <f>IF(C1539="","",Commercial_Id)</f>
        <v/>
      </c>
      <c r="Q1539" s="34">
        <f>IF(AC1539="","",IF(AD1539=1,"C"&amp;TEXT(SUM(AD$6:AD1539),"0000"),INDEX(Q$6:Q1538,MATCH(AC1539,AC$6:AC1538,0))))</f>
        <v/>
      </c>
      <c r="R1539" s="34">
        <f>IF(C1539="","",IF(L1539="☑ Oui","Annulée",IF(OR(E1539="Vente directe",K1539&lt;&gt;""),"Livrée",IF(J1539&lt;&gt;"","Confirmée","En attente"))))</f>
        <v/>
      </c>
      <c r="S1539" s="34">
        <f>IF(F1539="","",IFERROR(VLOOKUP(F1539,T_Produits,2,FALSE),""))</f>
        <v/>
      </c>
      <c r="T1539" s="40">
        <f>IF(F1539="","",IFERROR(1/(1/VLOOKUP(F1539,T_Produits,3,FALSE)),""))</f>
        <v/>
      </c>
      <c r="U1539" s="40">
        <f>IF(H1539&lt;&gt;"",H1539,T1539)</f>
        <v/>
      </c>
      <c r="V1539" s="40">
        <f>IF(OR(G1539="",U1539=""),"",G1539*U1539-N(I1539))</f>
        <v/>
      </c>
      <c r="W1539" s="39">
        <f>IF(D1539="","",IFERROR(VALUE(MID(D1539,LEN(D1539)-3,3)),""))</f>
        <v/>
      </c>
      <c r="X1539" s="33">
        <f>IF(W1539="","",P1539&amp;"|"&amp;W1539)</f>
        <v/>
      </c>
      <c r="Y1539" s="33">
        <f>IF(W1539="","",IF(P1539="À RENSEIGNER","GIC",P1539)&amp;"-"&amp;TEXT(W1539,"000"))</f>
        <v/>
      </c>
      <c r="Z1539" s="33">
        <f>IF(X1539="","",IFERROR(INDEX(Cl_nom,MATCH(X1539,Cl_cle,0)),"(client introuvable)"))</f>
        <v/>
      </c>
      <c r="AA1539" s="33">
        <f>IF(X1539="","",IFERROR(INDEX(Cl_quartier,MATCH(X1539,Cl_cle,0))&amp;"",""))</f>
        <v/>
      </c>
      <c r="AB1539" s="45">
        <f>IF(R1539&lt;&gt;"Livrée",0,IF(K1539&lt;&gt;"",K1539,C1539))</f>
        <v/>
      </c>
      <c r="AC1539" s="33">
        <f>IF(OR(C1539="",W1539=""),"",P1539&amp;"|"&amp;W1539&amp;"|"&amp;C1539&amp;"|"&amp;E1539)</f>
        <v/>
      </c>
      <c r="AD1539" s="39">
        <f>IF(AC1539="","",IF(COUNTIF(AC$6:AC1539,AC1539)=1,1,0))</f>
        <v/>
      </c>
      <c r="AE1539" s="39">
        <f>IF(AB1539=0,"",IF(COUNTIFS(X$6:X1539,X1539,AB$6:AB1539,AB1539)=1,1,0))</f>
        <v/>
      </c>
      <c r="AF1539" s="34">
        <f>IF(C1539="","",YEAR(C1539-WEEKDAY(C1539,2)+4)&amp;"-S"&amp;TEXT(INT((C1539-DATE(YEAR(C1539-WEEKDAY(C1539,2)+4),1,3)+WEEKDAY(DATE(YEAR(C1539-WEEKDAY(C1539,2)+4),1,3),2)+5)/7),"00"))</f>
        <v/>
      </c>
    </row>
    <row r="1540" ht="18" customHeight="1">
      <c r="A1540" s="39" t="n">
        <v>1535</v>
      </c>
      <c r="B1540" s="33">
        <f>IF(C1540="","",IF(P1540="À RENSEIGNER","GIC",P1540)&amp;"-C"&amp;TEXT(A1540,"00000"))</f>
        <v/>
      </c>
      <c r="C1540" s="32" t="n"/>
      <c r="D1540" s="36" t="n"/>
      <c r="E1540" s="36" t="n"/>
      <c r="F1540" s="36" t="n"/>
      <c r="G1540" s="42" t="n"/>
      <c r="H1540" s="37" t="n"/>
      <c r="I1540" s="37" t="n"/>
      <c r="J1540" s="32" t="n"/>
      <c r="K1540" s="32" t="n"/>
      <c r="L1540" s="43" t="n"/>
      <c r="M1540" s="36" t="n"/>
      <c r="N1540" s="44" t="n"/>
      <c r="O1540" s="36" t="n"/>
      <c r="P1540" s="33">
        <f>IF(C1540="","",Commercial_Id)</f>
        <v/>
      </c>
      <c r="Q1540" s="34">
        <f>IF(AC1540="","",IF(AD1540=1,"C"&amp;TEXT(SUM(AD$6:AD1540),"0000"),INDEX(Q$6:Q1539,MATCH(AC1540,AC$6:AC1539,0))))</f>
        <v/>
      </c>
      <c r="R1540" s="34">
        <f>IF(C1540="","",IF(L1540="☑ Oui","Annulée",IF(OR(E1540="Vente directe",K1540&lt;&gt;""),"Livrée",IF(J1540&lt;&gt;"","Confirmée","En attente"))))</f>
        <v/>
      </c>
      <c r="S1540" s="34">
        <f>IF(F1540="","",IFERROR(VLOOKUP(F1540,T_Produits,2,FALSE),""))</f>
        <v/>
      </c>
      <c r="T1540" s="40">
        <f>IF(F1540="","",IFERROR(1/(1/VLOOKUP(F1540,T_Produits,3,FALSE)),""))</f>
        <v/>
      </c>
      <c r="U1540" s="40">
        <f>IF(H1540&lt;&gt;"",H1540,T1540)</f>
        <v/>
      </c>
      <c r="V1540" s="40">
        <f>IF(OR(G1540="",U1540=""),"",G1540*U1540-N(I1540))</f>
        <v/>
      </c>
      <c r="W1540" s="39">
        <f>IF(D1540="","",IFERROR(VALUE(MID(D1540,LEN(D1540)-3,3)),""))</f>
        <v/>
      </c>
      <c r="X1540" s="33">
        <f>IF(W1540="","",P1540&amp;"|"&amp;W1540)</f>
        <v/>
      </c>
      <c r="Y1540" s="33">
        <f>IF(W1540="","",IF(P1540="À RENSEIGNER","GIC",P1540)&amp;"-"&amp;TEXT(W1540,"000"))</f>
        <v/>
      </c>
      <c r="Z1540" s="33">
        <f>IF(X1540="","",IFERROR(INDEX(Cl_nom,MATCH(X1540,Cl_cle,0)),"(client introuvable)"))</f>
        <v/>
      </c>
      <c r="AA1540" s="33">
        <f>IF(X1540="","",IFERROR(INDEX(Cl_quartier,MATCH(X1540,Cl_cle,0))&amp;"",""))</f>
        <v/>
      </c>
      <c r="AB1540" s="45">
        <f>IF(R1540&lt;&gt;"Livrée",0,IF(K1540&lt;&gt;"",K1540,C1540))</f>
        <v/>
      </c>
      <c r="AC1540" s="33">
        <f>IF(OR(C1540="",W1540=""),"",P1540&amp;"|"&amp;W1540&amp;"|"&amp;C1540&amp;"|"&amp;E1540)</f>
        <v/>
      </c>
      <c r="AD1540" s="39">
        <f>IF(AC1540="","",IF(COUNTIF(AC$6:AC1540,AC1540)=1,1,0))</f>
        <v/>
      </c>
      <c r="AE1540" s="39">
        <f>IF(AB1540=0,"",IF(COUNTIFS(X$6:X1540,X1540,AB$6:AB1540,AB1540)=1,1,0))</f>
        <v/>
      </c>
      <c r="AF1540" s="34">
        <f>IF(C1540="","",YEAR(C1540-WEEKDAY(C1540,2)+4)&amp;"-S"&amp;TEXT(INT((C1540-DATE(YEAR(C1540-WEEKDAY(C1540,2)+4),1,3)+WEEKDAY(DATE(YEAR(C1540-WEEKDAY(C1540,2)+4),1,3),2)+5)/7),"00"))</f>
        <v/>
      </c>
    </row>
    <row r="1541" ht="18" customHeight="1">
      <c r="A1541" s="39" t="n">
        <v>1536</v>
      </c>
      <c r="B1541" s="33">
        <f>IF(C1541="","",IF(P1541="À RENSEIGNER","GIC",P1541)&amp;"-C"&amp;TEXT(A1541,"00000"))</f>
        <v/>
      </c>
      <c r="C1541" s="32" t="n"/>
      <c r="D1541" s="36" t="n"/>
      <c r="E1541" s="36" t="n"/>
      <c r="F1541" s="36" t="n"/>
      <c r="G1541" s="42" t="n"/>
      <c r="H1541" s="37" t="n"/>
      <c r="I1541" s="37" t="n"/>
      <c r="J1541" s="32" t="n"/>
      <c r="K1541" s="32" t="n"/>
      <c r="L1541" s="43" t="n"/>
      <c r="M1541" s="36" t="n"/>
      <c r="N1541" s="44" t="n"/>
      <c r="O1541" s="36" t="n"/>
      <c r="P1541" s="33">
        <f>IF(C1541="","",Commercial_Id)</f>
        <v/>
      </c>
      <c r="Q1541" s="34">
        <f>IF(AC1541="","",IF(AD1541=1,"C"&amp;TEXT(SUM(AD$6:AD1541),"0000"),INDEX(Q$6:Q1540,MATCH(AC1541,AC$6:AC1540,0))))</f>
        <v/>
      </c>
      <c r="R1541" s="34">
        <f>IF(C1541="","",IF(L1541="☑ Oui","Annulée",IF(OR(E1541="Vente directe",K1541&lt;&gt;""),"Livrée",IF(J1541&lt;&gt;"","Confirmée","En attente"))))</f>
        <v/>
      </c>
      <c r="S1541" s="34">
        <f>IF(F1541="","",IFERROR(VLOOKUP(F1541,T_Produits,2,FALSE),""))</f>
        <v/>
      </c>
      <c r="T1541" s="40">
        <f>IF(F1541="","",IFERROR(1/(1/VLOOKUP(F1541,T_Produits,3,FALSE)),""))</f>
        <v/>
      </c>
      <c r="U1541" s="40">
        <f>IF(H1541&lt;&gt;"",H1541,T1541)</f>
        <v/>
      </c>
      <c r="V1541" s="40">
        <f>IF(OR(G1541="",U1541=""),"",G1541*U1541-N(I1541))</f>
        <v/>
      </c>
      <c r="W1541" s="39">
        <f>IF(D1541="","",IFERROR(VALUE(MID(D1541,LEN(D1541)-3,3)),""))</f>
        <v/>
      </c>
      <c r="X1541" s="33">
        <f>IF(W1541="","",P1541&amp;"|"&amp;W1541)</f>
        <v/>
      </c>
      <c r="Y1541" s="33">
        <f>IF(W1541="","",IF(P1541="À RENSEIGNER","GIC",P1541)&amp;"-"&amp;TEXT(W1541,"000"))</f>
        <v/>
      </c>
      <c r="Z1541" s="33">
        <f>IF(X1541="","",IFERROR(INDEX(Cl_nom,MATCH(X1541,Cl_cle,0)),"(client introuvable)"))</f>
        <v/>
      </c>
      <c r="AA1541" s="33">
        <f>IF(X1541="","",IFERROR(INDEX(Cl_quartier,MATCH(X1541,Cl_cle,0))&amp;"",""))</f>
        <v/>
      </c>
      <c r="AB1541" s="45">
        <f>IF(R1541&lt;&gt;"Livrée",0,IF(K1541&lt;&gt;"",K1541,C1541))</f>
        <v/>
      </c>
      <c r="AC1541" s="33">
        <f>IF(OR(C1541="",W1541=""),"",P1541&amp;"|"&amp;W1541&amp;"|"&amp;C1541&amp;"|"&amp;E1541)</f>
        <v/>
      </c>
      <c r="AD1541" s="39">
        <f>IF(AC1541="","",IF(COUNTIF(AC$6:AC1541,AC1541)=1,1,0))</f>
        <v/>
      </c>
      <c r="AE1541" s="39">
        <f>IF(AB1541=0,"",IF(COUNTIFS(X$6:X1541,X1541,AB$6:AB1541,AB1541)=1,1,0))</f>
        <v/>
      </c>
      <c r="AF1541" s="34">
        <f>IF(C1541="","",YEAR(C1541-WEEKDAY(C1541,2)+4)&amp;"-S"&amp;TEXT(INT((C1541-DATE(YEAR(C1541-WEEKDAY(C1541,2)+4),1,3)+WEEKDAY(DATE(YEAR(C1541-WEEKDAY(C1541,2)+4),1,3),2)+5)/7),"00"))</f>
        <v/>
      </c>
    </row>
    <row r="1542" ht="18" customHeight="1">
      <c r="A1542" s="39" t="n">
        <v>1537</v>
      </c>
      <c r="B1542" s="33">
        <f>IF(C1542="","",IF(P1542="À RENSEIGNER","GIC",P1542)&amp;"-C"&amp;TEXT(A1542,"00000"))</f>
        <v/>
      </c>
      <c r="C1542" s="32" t="n"/>
      <c r="D1542" s="36" t="n"/>
      <c r="E1542" s="36" t="n"/>
      <c r="F1542" s="36" t="n"/>
      <c r="G1542" s="42" t="n"/>
      <c r="H1542" s="37" t="n"/>
      <c r="I1542" s="37" t="n"/>
      <c r="J1542" s="32" t="n"/>
      <c r="K1542" s="32" t="n"/>
      <c r="L1542" s="43" t="n"/>
      <c r="M1542" s="36" t="n"/>
      <c r="N1542" s="44" t="n"/>
      <c r="O1542" s="36" t="n"/>
      <c r="P1542" s="33">
        <f>IF(C1542="","",Commercial_Id)</f>
        <v/>
      </c>
      <c r="Q1542" s="34">
        <f>IF(AC1542="","",IF(AD1542=1,"C"&amp;TEXT(SUM(AD$6:AD1542),"0000"),INDEX(Q$6:Q1541,MATCH(AC1542,AC$6:AC1541,0))))</f>
        <v/>
      </c>
      <c r="R1542" s="34">
        <f>IF(C1542="","",IF(L1542="☑ Oui","Annulée",IF(OR(E1542="Vente directe",K1542&lt;&gt;""),"Livrée",IF(J1542&lt;&gt;"","Confirmée","En attente"))))</f>
        <v/>
      </c>
      <c r="S1542" s="34">
        <f>IF(F1542="","",IFERROR(VLOOKUP(F1542,T_Produits,2,FALSE),""))</f>
        <v/>
      </c>
      <c r="T1542" s="40">
        <f>IF(F1542="","",IFERROR(1/(1/VLOOKUP(F1542,T_Produits,3,FALSE)),""))</f>
        <v/>
      </c>
      <c r="U1542" s="40">
        <f>IF(H1542&lt;&gt;"",H1542,T1542)</f>
        <v/>
      </c>
      <c r="V1542" s="40">
        <f>IF(OR(G1542="",U1542=""),"",G1542*U1542-N(I1542))</f>
        <v/>
      </c>
      <c r="W1542" s="39">
        <f>IF(D1542="","",IFERROR(VALUE(MID(D1542,LEN(D1542)-3,3)),""))</f>
        <v/>
      </c>
      <c r="X1542" s="33">
        <f>IF(W1542="","",P1542&amp;"|"&amp;W1542)</f>
        <v/>
      </c>
      <c r="Y1542" s="33">
        <f>IF(W1542="","",IF(P1542="À RENSEIGNER","GIC",P1542)&amp;"-"&amp;TEXT(W1542,"000"))</f>
        <v/>
      </c>
      <c r="Z1542" s="33">
        <f>IF(X1542="","",IFERROR(INDEX(Cl_nom,MATCH(X1542,Cl_cle,0)),"(client introuvable)"))</f>
        <v/>
      </c>
      <c r="AA1542" s="33">
        <f>IF(X1542="","",IFERROR(INDEX(Cl_quartier,MATCH(X1542,Cl_cle,0))&amp;"",""))</f>
        <v/>
      </c>
      <c r="AB1542" s="45">
        <f>IF(R1542&lt;&gt;"Livrée",0,IF(K1542&lt;&gt;"",K1542,C1542))</f>
        <v/>
      </c>
      <c r="AC1542" s="33">
        <f>IF(OR(C1542="",W1542=""),"",P1542&amp;"|"&amp;W1542&amp;"|"&amp;C1542&amp;"|"&amp;E1542)</f>
        <v/>
      </c>
      <c r="AD1542" s="39">
        <f>IF(AC1542="","",IF(COUNTIF(AC$6:AC1542,AC1542)=1,1,0))</f>
        <v/>
      </c>
      <c r="AE1542" s="39">
        <f>IF(AB1542=0,"",IF(COUNTIFS(X$6:X1542,X1542,AB$6:AB1542,AB1542)=1,1,0))</f>
        <v/>
      </c>
      <c r="AF1542" s="34">
        <f>IF(C1542="","",YEAR(C1542-WEEKDAY(C1542,2)+4)&amp;"-S"&amp;TEXT(INT((C1542-DATE(YEAR(C1542-WEEKDAY(C1542,2)+4),1,3)+WEEKDAY(DATE(YEAR(C1542-WEEKDAY(C1542,2)+4),1,3),2)+5)/7),"00"))</f>
        <v/>
      </c>
    </row>
    <row r="1543" ht="18" customHeight="1">
      <c r="A1543" s="39" t="n">
        <v>1538</v>
      </c>
      <c r="B1543" s="33">
        <f>IF(C1543="","",IF(P1543="À RENSEIGNER","GIC",P1543)&amp;"-C"&amp;TEXT(A1543,"00000"))</f>
        <v/>
      </c>
      <c r="C1543" s="32" t="n"/>
      <c r="D1543" s="36" t="n"/>
      <c r="E1543" s="36" t="n"/>
      <c r="F1543" s="36" t="n"/>
      <c r="G1543" s="42" t="n"/>
      <c r="H1543" s="37" t="n"/>
      <c r="I1543" s="37" t="n"/>
      <c r="J1543" s="32" t="n"/>
      <c r="K1543" s="32" t="n"/>
      <c r="L1543" s="43" t="n"/>
      <c r="M1543" s="36" t="n"/>
      <c r="N1543" s="44" t="n"/>
      <c r="O1543" s="36" t="n"/>
      <c r="P1543" s="33">
        <f>IF(C1543="","",Commercial_Id)</f>
        <v/>
      </c>
      <c r="Q1543" s="34">
        <f>IF(AC1543="","",IF(AD1543=1,"C"&amp;TEXT(SUM(AD$6:AD1543),"0000"),INDEX(Q$6:Q1542,MATCH(AC1543,AC$6:AC1542,0))))</f>
        <v/>
      </c>
      <c r="R1543" s="34">
        <f>IF(C1543="","",IF(L1543="☑ Oui","Annulée",IF(OR(E1543="Vente directe",K1543&lt;&gt;""),"Livrée",IF(J1543&lt;&gt;"","Confirmée","En attente"))))</f>
        <v/>
      </c>
      <c r="S1543" s="34">
        <f>IF(F1543="","",IFERROR(VLOOKUP(F1543,T_Produits,2,FALSE),""))</f>
        <v/>
      </c>
      <c r="T1543" s="40">
        <f>IF(F1543="","",IFERROR(1/(1/VLOOKUP(F1543,T_Produits,3,FALSE)),""))</f>
        <v/>
      </c>
      <c r="U1543" s="40">
        <f>IF(H1543&lt;&gt;"",H1543,T1543)</f>
        <v/>
      </c>
      <c r="V1543" s="40">
        <f>IF(OR(G1543="",U1543=""),"",G1543*U1543-N(I1543))</f>
        <v/>
      </c>
      <c r="W1543" s="39">
        <f>IF(D1543="","",IFERROR(VALUE(MID(D1543,LEN(D1543)-3,3)),""))</f>
        <v/>
      </c>
      <c r="X1543" s="33">
        <f>IF(W1543="","",P1543&amp;"|"&amp;W1543)</f>
        <v/>
      </c>
      <c r="Y1543" s="33">
        <f>IF(W1543="","",IF(P1543="À RENSEIGNER","GIC",P1543)&amp;"-"&amp;TEXT(W1543,"000"))</f>
        <v/>
      </c>
      <c r="Z1543" s="33">
        <f>IF(X1543="","",IFERROR(INDEX(Cl_nom,MATCH(X1543,Cl_cle,0)),"(client introuvable)"))</f>
        <v/>
      </c>
      <c r="AA1543" s="33">
        <f>IF(X1543="","",IFERROR(INDEX(Cl_quartier,MATCH(X1543,Cl_cle,0))&amp;"",""))</f>
        <v/>
      </c>
      <c r="AB1543" s="45">
        <f>IF(R1543&lt;&gt;"Livrée",0,IF(K1543&lt;&gt;"",K1543,C1543))</f>
        <v/>
      </c>
      <c r="AC1543" s="33">
        <f>IF(OR(C1543="",W1543=""),"",P1543&amp;"|"&amp;W1543&amp;"|"&amp;C1543&amp;"|"&amp;E1543)</f>
        <v/>
      </c>
      <c r="AD1543" s="39">
        <f>IF(AC1543="","",IF(COUNTIF(AC$6:AC1543,AC1543)=1,1,0))</f>
        <v/>
      </c>
      <c r="AE1543" s="39">
        <f>IF(AB1543=0,"",IF(COUNTIFS(X$6:X1543,X1543,AB$6:AB1543,AB1543)=1,1,0))</f>
        <v/>
      </c>
      <c r="AF1543" s="34">
        <f>IF(C1543="","",YEAR(C1543-WEEKDAY(C1543,2)+4)&amp;"-S"&amp;TEXT(INT((C1543-DATE(YEAR(C1543-WEEKDAY(C1543,2)+4),1,3)+WEEKDAY(DATE(YEAR(C1543-WEEKDAY(C1543,2)+4),1,3),2)+5)/7),"00"))</f>
        <v/>
      </c>
    </row>
    <row r="1544" ht="18" customHeight="1">
      <c r="A1544" s="39" t="n">
        <v>1539</v>
      </c>
      <c r="B1544" s="33">
        <f>IF(C1544="","",IF(P1544="À RENSEIGNER","GIC",P1544)&amp;"-C"&amp;TEXT(A1544,"00000"))</f>
        <v/>
      </c>
      <c r="C1544" s="32" t="n"/>
      <c r="D1544" s="36" t="n"/>
      <c r="E1544" s="36" t="n"/>
      <c r="F1544" s="36" t="n"/>
      <c r="G1544" s="42" t="n"/>
      <c r="H1544" s="37" t="n"/>
      <c r="I1544" s="37" t="n"/>
      <c r="J1544" s="32" t="n"/>
      <c r="K1544" s="32" t="n"/>
      <c r="L1544" s="43" t="n"/>
      <c r="M1544" s="36" t="n"/>
      <c r="N1544" s="44" t="n"/>
      <c r="O1544" s="36" t="n"/>
      <c r="P1544" s="33">
        <f>IF(C1544="","",Commercial_Id)</f>
        <v/>
      </c>
      <c r="Q1544" s="34">
        <f>IF(AC1544="","",IF(AD1544=1,"C"&amp;TEXT(SUM(AD$6:AD1544),"0000"),INDEX(Q$6:Q1543,MATCH(AC1544,AC$6:AC1543,0))))</f>
        <v/>
      </c>
      <c r="R1544" s="34">
        <f>IF(C1544="","",IF(L1544="☑ Oui","Annulée",IF(OR(E1544="Vente directe",K1544&lt;&gt;""),"Livrée",IF(J1544&lt;&gt;"","Confirmée","En attente"))))</f>
        <v/>
      </c>
      <c r="S1544" s="34">
        <f>IF(F1544="","",IFERROR(VLOOKUP(F1544,T_Produits,2,FALSE),""))</f>
        <v/>
      </c>
      <c r="T1544" s="40">
        <f>IF(F1544="","",IFERROR(1/(1/VLOOKUP(F1544,T_Produits,3,FALSE)),""))</f>
        <v/>
      </c>
      <c r="U1544" s="40">
        <f>IF(H1544&lt;&gt;"",H1544,T1544)</f>
        <v/>
      </c>
      <c r="V1544" s="40">
        <f>IF(OR(G1544="",U1544=""),"",G1544*U1544-N(I1544))</f>
        <v/>
      </c>
      <c r="W1544" s="39">
        <f>IF(D1544="","",IFERROR(VALUE(MID(D1544,LEN(D1544)-3,3)),""))</f>
        <v/>
      </c>
      <c r="X1544" s="33">
        <f>IF(W1544="","",P1544&amp;"|"&amp;W1544)</f>
        <v/>
      </c>
      <c r="Y1544" s="33">
        <f>IF(W1544="","",IF(P1544="À RENSEIGNER","GIC",P1544)&amp;"-"&amp;TEXT(W1544,"000"))</f>
        <v/>
      </c>
      <c r="Z1544" s="33">
        <f>IF(X1544="","",IFERROR(INDEX(Cl_nom,MATCH(X1544,Cl_cle,0)),"(client introuvable)"))</f>
        <v/>
      </c>
      <c r="AA1544" s="33">
        <f>IF(X1544="","",IFERROR(INDEX(Cl_quartier,MATCH(X1544,Cl_cle,0))&amp;"",""))</f>
        <v/>
      </c>
      <c r="AB1544" s="45">
        <f>IF(R1544&lt;&gt;"Livrée",0,IF(K1544&lt;&gt;"",K1544,C1544))</f>
        <v/>
      </c>
      <c r="AC1544" s="33">
        <f>IF(OR(C1544="",W1544=""),"",P1544&amp;"|"&amp;W1544&amp;"|"&amp;C1544&amp;"|"&amp;E1544)</f>
        <v/>
      </c>
      <c r="AD1544" s="39">
        <f>IF(AC1544="","",IF(COUNTIF(AC$6:AC1544,AC1544)=1,1,0))</f>
        <v/>
      </c>
      <c r="AE1544" s="39">
        <f>IF(AB1544=0,"",IF(COUNTIFS(X$6:X1544,X1544,AB$6:AB1544,AB1544)=1,1,0))</f>
        <v/>
      </c>
      <c r="AF1544" s="34">
        <f>IF(C1544="","",YEAR(C1544-WEEKDAY(C1544,2)+4)&amp;"-S"&amp;TEXT(INT((C1544-DATE(YEAR(C1544-WEEKDAY(C1544,2)+4),1,3)+WEEKDAY(DATE(YEAR(C1544-WEEKDAY(C1544,2)+4),1,3),2)+5)/7),"00"))</f>
        <v/>
      </c>
    </row>
    <row r="1545" ht="18" customHeight="1">
      <c r="A1545" s="39" t="n">
        <v>1540</v>
      </c>
      <c r="B1545" s="33">
        <f>IF(C1545="","",IF(P1545="À RENSEIGNER","GIC",P1545)&amp;"-C"&amp;TEXT(A1545,"00000"))</f>
        <v/>
      </c>
      <c r="C1545" s="32" t="n"/>
      <c r="D1545" s="36" t="n"/>
      <c r="E1545" s="36" t="n"/>
      <c r="F1545" s="36" t="n"/>
      <c r="G1545" s="42" t="n"/>
      <c r="H1545" s="37" t="n"/>
      <c r="I1545" s="37" t="n"/>
      <c r="J1545" s="32" t="n"/>
      <c r="K1545" s="32" t="n"/>
      <c r="L1545" s="43" t="n"/>
      <c r="M1545" s="36" t="n"/>
      <c r="N1545" s="44" t="n"/>
      <c r="O1545" s="36" t="n"/>
      <c r="P1545" s="33">
        <f>IF(C1545="","",Commercial_Id)</f>
        <v/>
      </c>
      <c r="Q1545" s="34">
        <f>IF(AC1545="","",IF(AD1545=1,"C"&amp;TEXT(SUM(AD$6:AD1545),"0000"),INDEX(Q$6:Q1544,MATCH(AC1545,AC$6:AC1544,0))))</f>
        <v/>
      </c>
      <c r="R1545" s="34">
        <f>IF(C1545="","",IF(L1545="☑ Oui","Annulée",IF(OR(E1545="Vente directe",K1545&lt;&gt;""),"Livrée",IF(J1545&lt;&gt;"","Confirmée","En attente"))))</f>
        <v/>
      </c>
      <c r="S1545" s="34">
        <f>IF(F1545="","",IFERROR(VLOOKUP(F1545,T_Produits,2,FALSE),""))</f>
        <v/>
      </c>
      <c r="T1545" s="40">
        <f>IF(F1545="","",IFERROR(1/(1/VLOOKUP(F1545,T_Produits,3,FALSE)),""))</f>
        <v/>
      </c>
      <c r="U1545" s="40">
        <f>IF(H1545&lt;&gt;"",H1545,T1545)</f>
        <v/>
      </c>
      <c r="V1545" s="40">
        <f>IF(OR(G1545="",U1545=""),"",G1545*U1545-N(I1545))</f>
        <v/>
      </c>
      <c r="W1545" s="39">
        <f>IF(D1545="","",IFERROR(VALUE(MID(D1545,LEN(D1545)-3,3)),""))</f>
        <v/>
      </c>
      <c r="X1545" s="33">
        <f>IF(W1545="","",P1545&amp;"|"&amp;W1545)</f>
        <v/>
      </c>
      <c r="Y1545" s="33">
        <f>IF(W1545="","",IF(P1545="À RENSEIGNER","GIC",P1545)&amp;"-"&amp;TEXT(W1545,"000"))</f>
        <v/>
      </c>
      <c r="Z1545" s="33">
        <f>IF(X1545="","",IFERROR(INDEX(Cl_nom,MATCH(X1545,Cl_cle,0)),"(client introuvable)"))</f>
        <v/>
      </c>
      <c r="AA1545" s="33">
        <f>IF(X1545="","",IFERROR(INDEX(Cl_quartier,MATCH(X1545,Cl_cle,0))&amp;"",""))</f>
        <v/>
      </c>
      <c r="AB1545" s="45">
        <f>IF(R1545&lt;&gt;"Livrée",0,IF(K1545&lt;&gt;"",K1545,C1545))</f>
        <v/>
      </c>
      <c r="AC1545" s="33">
        <f>IF(OR(C1545="",W1545=""),"",P1545&amp;"|"&amp;W1545&amp;"|"&amp;C1545&amp;"|"&amp;E1545)</f>
        <v/>
      </c>
      <c r="AD1545" s="39">
        <f>IF(AC1545="","",IF(COUNTIF(AC$6:AC1545,AC1545)=1,1,0))</f>
        <v/>
      </c>
      <c r="AE1545" s="39">
        <f>IF(AB1545=0,"",IF(COUNTIFS(X$6:X1545,X1545,AB$6:AB1545,AB1545)=1,1,0))</f>
        <v/>
      </c>
      <c r="AF1545" s="34">
        <f>IF(C1545="","",YEAR(C1545-WEEKDAY(C1545,2)+4)&amp;"-S"&amp;TEXT(INT((C1545-DATE(YEAR(C1545-WEEKDAY(C1545,2)+4),1,3)+WEEKDAY(DATE(YEAR(C1545-WEEKDAY(C1545,2)+4),1,3),2)+5)/7),"00"))</f>
        <v/>
      </c>
    </row>
    <row r="1546" ht="18" customHeight="1">
      <c r="A1546" s="39" t="n">
        <v>1541</v>
      </c>
      <c r="B1546" s="33">
        <f>IF(C1546="","",IF(P1546="À RENSEIGNER","GIC",P1546)&amp;"-C"&amp;TEXT(A1546,"00000"))</f>
        <v/>
      </c>
      <c r="C1546" s="32" t="n"/>
      <c r="D1546" s="36" t="n"/>
      <c r="E1546" s="36" t="n"/>
      <c r="F1546" s="36" t="n"/>
      <c r="G1546" s="42" t="n"/>
      <c r="H1546" s="37" t="n"/>
      <c r="I1546" s="37" t="n"/>
      <c r="J1546" s="32" t="n"/>
      <c r="K1546" s="32" t="n"/>
      <c r="L1546" s="43" t="n"/>
      <c r="M1546" s="36" t="n"/>
      <c r="N1546" s="44" t="n"/>
      <c r="O1546" s="36" t="n"/>
      <c r="P1546" s="33">
        <f>IF(C1546="","",Commercial_Id)</f>
        <v/>
      </c>
      <c r="Q1546" s="34">
        <f>IF(AC1546="","",IF(AD1546=1,"C"&amp;TEXT(SUM(AD$6:AD1546),"0000"),INDEX(Q$6:Q1545,MATCH(AC1546,AC$6:AC1545,0))))</f>
        <v/>
      </c>
      <c r="R1546" s="34">
        <f>IF(C1546="","",IF(L1546="☑ Oui","Annulée",IF(OR(E1546="Vente directe",K1546&lt;&gt;""),"Livrée",IF(J1546&lt;&gt;"","Confirmée","En attente"))))</f>
        <v/>
      </c>
      <c r="S1546" s="34">
        <f>IF(F1546="","",IFERROR(VLOOKUP(F1546,T_Produits,2,FALSE),""))</f>
        <v/>
      </c>
      <c r="T1546" s="40">
        <f>IF(F1546="","",IFERROR(1/(1/VLOOKUP(F1546,T_Produits,3,FALSE)),""))</f>
        <v/>
      </c>
      <c r="U1546" s="40">
        <f>IF(H1546&lt;&gt;"",H1546,T1546)</f>
        <v/>
      </c>
      <c r="V1546" s="40">
        <f>IF(OR(G1546="",U1546=""),"",G1546*U1546-N(I1546))</f>
        <v/>
      </c>
      <c r="W1546" s="39">
        <f>IF(D1546="","",IFERROR(VALUE(MID(D1546,LEN(D1546)-3,3)),""))</f>
        <v/>
      </c>
      <c r="X1546" s="33">
        <f>IF(W1546="","",P1546&amp;"|"&amp;W1546)</f>
        <v/>
      </c>
      <c r="Y1546" s="33">
        <f>IF(W1546="","",IF(P1546="À RENSEIGNER","GIC",P1546)&amp;"-"&amp;TEXT(W1546,"000"))</f>
        <v/>
      </c>
      <c r="Z1546" s="33">
        <f>IF(X1546="","",IFERROR(INDEX(Cl_nom,MATCH(X1546,Cl_cle,0)),"(client introuvable)"))</f>
        <v/>
      </c>
      <c r="AA1546" s="33">
        <f>IF(X1546="","",IFERROR(INDEX(Cl_quartier,MATCH(X1546,Cl_cle,0))&amp;"",""))</f>
        <v/>
      </c>
      <c r="AB1546" s="45">
        <f>IF(R1546&lt;&gt;"Livrée",0,IF(K1546&lt;&gt;"",K1546,C1546))</f>
        <v/>
      </c>
      <c r="AC1546" s="33">
        <f>IF(OR(C1546="",W1546=""),"",P1546&amp;"|"&amp;W1546&amp;"|"&amp;C1546&amp;"|"&amp;E1546)</f>
        <v/>
      </c>
      <c r="AD1546" s="39">
        <f>IF(AC1546="","",IF(COUNTIF(AC$6:AC1546,AC1546)=1,1,0))</f>
        <v/>
      </c>
      <c r="AE1546" s="39">
        <f>IF(AB1546=0,"",IF(COUNTIFS(X$6:X1546,X1546,AB$6:AB1546,AB1546)=1,1,0))</f>
        <v/>
      </c>
      <c r="AF1546" s="34">
        <f>IF(C1546="","",YEAR(C1546-WEEKDAY(C1546,2)+4)&amp;"-S"&amp;TEXT(INT((C1546-DATE(YEAR(C1546-WEEKDAY(C1546,2)+4),1,3)+WEEKDAY(DATE(YEAR(C1546-WEEKDAY(C1546,2)+4),1,3),2)+5)/7),"00"))</f>
        <v/>
      </c>
    </row>
    <row r="1547" ht="18" customHeight="1">
      <c r="A1547" s="39" t="n">
        <v>1542</v>
      </c>
      <c r="B1547" s="33">
        <f>IF(C1547="","",IF(P1547="À RENSEIGNER","GIC",P1547)&amp;"-C"&amp;TEXT(A1547,"00000"))</f>
        <v/>
      </c>
      <c r="C1547" s="32" t="n"/>
      <c r="D1547" s="36" t="n"/>
      <c r="E1547" s="36" t="n"/>
      <c r="F1547" s="36" t="n"/>
      <c r="G1547" s="42" t="n"/>
      <c r="H1547" s="37" t="n"/>
      <c r="I1547" s="37" t="n"/>
      <c r="J1547" s="32" t="n"/>
      <c r="K1547" s="32" t="n"/>
      <c r="L1547" s="43" t="n"/>
      <c r="M1547" s="36" t="n"/>
      <c r="N1547" s="44" t="n"/>
      <c r="O1547" s="36" t="n"/>
      <c r="P1547" s="33">
        <f>IF(C1547="","",Commercial_Id)</f>
        <v/>
      </c>
      <c r="Q1547" s="34">
        <f>IF(AC1547="","",IF(AD1547=1,"C"&amp;TEXT(SUM(AD$6:AD1547),"0000"),INDEX(Q$6:Q1546,MATCH(AC1547,AC$6:AC1546,0))))</f>
        <v/>
      </c>
      <c r="R1547" s="34">
        <f>IF(C1547="","",IF(L1547="☑ Oui","Annulée",IF(OR(E1547="Vente directe",K1547&lt;&gt;""),"Livrée",IF(J1547&lt;&gt;"","Confirmée","En attente"))))</f>
        <v/>
      </c>
      <c r="S1547" s="34">
        <f>IF(F1547="","",IFERROR(VLOOKUP(F1547,T_Produits,2,FALSE),""))</f>
        <v/>
      </c>
      <c r="T1547" s="40">
        <f>IF(F1547="","",IFERROR(1/(1/VLOOKUP(F1547,T_Produits,3,FALSE)),""))</f>
        <v/>
      </c>
      <c r="U1547" s="40">
        <f>IF(H1547&lt;&gt;"",H1547,T1547)</f>
        <v/>
      </c>
      <c r="V1547" s="40">
        <f>IF(OR(G1547="",U1547=""),"",G1547*U1547-N(I1547))</f>
        <v/>
      </c>
      <c r="W1547" s="39">
        <f>IF(D1547="","",IFERROR(VALUE(MID(D1547,LEN(D1547)-3,3)),""))</f>
        <v/>
      </c>
      <c r="X1547" s="33">
        <f>IF(W1547="","",P1547&amp;"|"&amp;W1547)</f>
        <v/>
      </c>
      <c r="Y1547" s="33">
        <f>IF(W1547="","",IF(P1547="À RENSEIGNER","GIC",P1547)&amp;"-"&amp;TEXT(W1547,"000"))</f>
        <v/>
      </c>
      <c r="Z1547" s="33">
        <f>IF(X1547="","",IFERROR(INDEX(Cl_nom,MATCH(X1547,Cl_cle,0)),"(client introuvable)"))</f>
        <v/>
      </c>
      <c r="AA1547" s="33">
        <f>IF(X1547="","",IFERROR(INDEX(Cl_quartier,MATCH(X1547,Cl_cle,0))&amp;"",""))</f>
        <v/>
      </c>
      <c r="AB1547" s="45">
        <f>IF(R1547&lt;&gt;"Livrée",0,IF(K1547&lt;&gt;"",K1547,C1547))</f>
        <v/>
      </c>
      <c r="AC1547" s="33">
        <f>IF(OR(C1547="",W1547=""),"",P1547&amp;"|"&amp;W1547&amp;"|"&amp;C1547&amp;"|"&amp;E1547)</f>
        <v/>
      </c>
      <c r="AD1547" s="39">
        <f>IF(AC1547="","",IF(COUNTIF(AC$6:AC1547,AC1547)=1,1,0))</f>
        <v/>
      </c>
      <c r="AE1547" s="39">
        <f>IF(AB1547=0,"",IF(COUNTIFS(X$6:X1547,X1547,AB$6:AB1547,AB1547)=1,1,0))</f>
        <v/>
      </c>
      <c r="AF1547" s="34">
        <f>IF(C1547="","",YEAR(C1547-WEEKDAY(C1547,2)+4)&amp;"-S"&amp;TEXT(INT((C1547-DATE(YEAR(C1547-WEEKDAY(C1547,2)+4),1,3)+WEEKDAY(DATE(YEAR(C1547-WEEKDAY(C1547,2)+4),1,3),2)+5)/7),"00"))</f>
        <v/>
      </c>
    </row>
    <row r="1548" ht="18" customHeight="1">
      <c r="A1548" s="39" t="n">
        <v>1543</v>
      </c>
      <c r="B1548" s="33">
        <f>IF(C1548="","",IF(P1548="À RENSEIGNER","GIC",P1548)&amp;"-C"&amp;TEXT(A1548,"00000"))</f>
        <v/>
      </c>
      <c r="C1548" s="32" t="n"/>
      <c r="D1548" s="36" t="n"/>
      <c r="E1548" s="36" t="n"/>
      <c r="F1548" s="36" t="n"/>
      <c r="G1548" s="42" t="n"/>
      <c r="H1548" s="37" t="n"/>
      <c r="I1548" s="37" t="n"/>
      <c r="J1548" s="32" t="n"/>
      <c r="K1548" s="32" t="n"/>
      <c r="L1548" s="43" t="n"/>
      <c r="M1548" s="36" t="n"/>
      <c r="N1548" s="44" t="n"/>
      <c r="O1548" s="36" t="n"/>
      <c r="P1548" s="33">
        <f>IF(C1548="","",Commercial_Id)</f>
        <v/>
      </c>
      <c r="Q1548" s="34">
        <f>IF(AC1548="","",IF(AD1548=1,"C"&amp;TEXT(SUM(AD$6:AD1548),"0000"),INDEX(Q$6:Q1547,MATCH(AC1548,AC$6:AC1547,0))))</f>
        <v/>
      </c>
      <c r="R1548" s="34">
        <f>IF(C1548="","",IF(L1548="☑ Oui","Annulée",IF(OR(E1548="Vente directe",K1548&lt;&gt;""),"Livrée",IF(J1548&lt;&gt;"","Confirmée","En attente"))))</f>
        <v/>
      </c>
      <c r="S1548" s="34">
        <f>IF(F1548="","",IFERROR(VLOOKUP(F1548,T_Produits,2,FALSE),""))</f>
        <v/>
      </c>
      <c r="T1548" s="40">
        <f>IF(F1548="","",IFERROR(1/(1/VLOOKUP(F1548,T_Produits,3,FALSE)),""))</f>
        <v/>
      </c>
      <c r="U1548" s="40">
        <f>IF(H1548&lt;&gt;"",H1548,T1548)</f>
        <v/>
      </c>
      <c r="V1548" s="40">
        <f>IF(OR(G1548="",U1548=""),"",G1548*U1548-N(I1548))</f>
        <v/>
      </c>
      <c r="W1548" s="39">
        <f>IF(D1548="","",IFERROR(VALUE(MID(D1548,LEN(D1548)-3,3)),""))</f>
        <v/>
      </c>
      <c r="X1548" s="33">
        <f>IF(W1548="","",P1548&amp;"|"&amp;W1548)</f>
        <v/>
      </c>
      <c r="Y1548" s="33">
        <f>IF(W1548="","",IF(P1548="À RENSEIGNER","GIC",P1548)&amp;"-"&amp;TEXT(W1548,"000"))</f>
        <v/>
      </c>
      <c r="Z1548" s="33">
        <f>IF(X1548="","",IFERROR(INDEX(Cl_nom,MATCH(X1548,Cl_cle,0)),"(client introuvable)"))</f>
        <v/>
      </c>
      <c r="AA1548" s="33">
        <f>IF(X1548="","",IFERROR(INDEX(Cl_quartier,MATCH(X1548,Cl_cle,0))&amp;"",""))</f>
        <v/>
      </c>
      <c r="AB1548" s="45">
        <f>IF(R1548&lt;&gt;"Livrée",0,IF(K1548&lt;&gt;"",K1548,C1548))</f>
        <v/>
      </c>
      <c r="AC1548" s="33">
        <f>IF(OR(C1548="",W1548=""),"",P1548&amp;"|"&amp;W1548&amp;"|"&amp;C1548&amp;"|"&amp;E1548)</f>
        <v/>
      </c>
      <c r="AD1548" s="39">
        <f>IF(AC1548="","",IF(COUNTIF(AC$6:AC1548,AC1548)=1,1,0))</f>
        <v/>
      </c>
      <c r="AE1548" s="39">
        <f>IF(AB1548=0,"",IF(COUNTIFS(X$6:X1548,X1548,AB$6:AB1548,AB1548)=1,1,0))</f>
        <v/>
      </c>
      <c r="AF1548" s="34">
        <f>IF(C1548="","",YEAR(C1548-WEEKDAY(C1548,2)+4)&amp;"-S"&amp;TEXT(INT((C1548-DATE(YEAR(C1548-WEEKDAY(C1548,2)+4),1,3)+WEEKDAY(DATE(YEAR(C1548-WEEKDAY(C1548,2)+4),1,3),2)+5)/7),"00"))</f>
        <v/>
      </c>
    </row>
    <row r="1549" ht="18" customHeight="1">
      <c r="A1549" s="39" t="n">
        <v>1544</v>
      </c>
      <c r="B1549" s="33">
        <f>IF(C1549="","",IF(P1549="À RENSEIGNER","GIC",P1549)&amp;"-C"&amp;TEXT(A1549,"00000"))</f>
        <v/>
      </c>
      <c r="C1549" s="32" t="n"/>
      <c r="D1549" s="36" t="n"/>
      <c r="E1549" s="36" t="n"/>
      <c r="F1549" s="36" t="n"/>
      <c r="G1549" s="42" t="n"/>
      <c r="H1549" s="37" t="n"/>
      <c r="I1549" s="37" t="n"/>
      <c r="J1549" s="32" t="n"/>
      <c r="K1549" s="32" t="n"/>
      <c r="L1549" s="43" t="n"/>
      <c r="M1549" s="36" t="n"/>
      <c r="N1549" s="44" t="n"/>
      <c r="O1549" s="36" t="n"/>
      <c r="P1549" s="33">
        <f>IF(C1549="","",Commercial_Id)</f>
        <v/>
      </c>
      <c r="Q1549" s="34">
        <f>IF(AC1549="","",IF(AD1549=1,"C"&amp;TEXT(SUM(AD$6:AD1549),"0000"),INDEX(Q$6:Q1548,MATCH(AC1549,AC$6:AC1548,0))))</f>
        <v/>
      </c>
      <c r="R1549" s="34">
        <f>IF(C1549="","",IF(L1549="☑ Oui","Annulée",IF(OR(E1549="Vente directe",K1549&lt;&gt;""),"Livrée",IF(J1549&lt;&gt;"","Confirmée","En attente"))))</f>
        <v/>
      </c>
      <c r="S1549" s="34">
        <f>IF(F1549="","",IFERROR(VLOOKUP(F1549,T_Produits,2,FALSE),""))</f>
        <v/>
      </c>
      <c r="T1549" s="40">
        <f>IF(F1549="","",IFERROR(1/(1/VLOOKUP(F1549,T_Produits,3,FALSE)),""))</f>
        <v/>
      </c>
      <c r="U1549" s="40">
        <f>IF(H1549&lt;&gt;"",H1549,T1549)</f>
        <v/>
      </c>
      <c r="V1549" s="40">
        <f>IF(OR(G1549="",U1549=""),"",G1549*U1549-N(I1549))</f>
        <v/>
      </c>
      <c r="W1549" s="39">
        <f>IF(D1549="","",IFERROR(VALUE(MID(D1549,LEN(D1549)-3,3)),""))</f>
        <v/>
      </c>
      <c r="X1549" s="33">
        <f>IF(W1549="","",P1549&amp;"|"&amp;W1549)</f>
        <v/>
      </c>
      <c r="Y1549" s="33">
        <f>IF(W1549="","",IF(P1549="À RENSEIGNER","GIC",P1549)&amp;"-"&amp;TEXT(W1549,"000"))</f>
        <v/>
      </c>
      <c r="Z1549" s="33">
        <f>IF(X1549="","",IFERROR(INDEX(Cl_nom,MATCH(X1549,Cl_cle,0)),"(client introuvable)"))</f>
        <v/>
      </c>
      <c r="AA1549" s="33">
        <f>IF(X1549="","",IFERROR(INDEX(Cl_quartier,MATCH(X1549,Cl_cle,0))&amp;"",""))</f>
        <v/>
      </c>
      <c r="AB1549" s="45">
        <f>IF(R1549&lt;&gt;"Livrée",0,IF(K1549&lt;&gt;"",K1549,C1549))</f>
        <v/>
      </c>
      <c r="AC1549" s="33">
        <f>IF(OR(C1549="",W1549=""),"",P1549&amp;"|"&amp;W1549&amp;"|"&amp;C1549&amp;"|"&amp;E1549)</f>
        <v/>
      </c>
      <c r="AD1549" s="39">
        <f>IF(AC1549="","",IF(COUNTIF(AC$6:AC1549,AC1549)=1,1,0))</f>
        <v/>
      </c>
      <c r="AE1549" s="39">
        <f>IF(AB1549=0,"",IF(COUNTIFS(X$6:X1549,X1549,AB$6:AB1549,AB1549)=1,1,0))</f>
        <v/>
      </c>
      <c r="AF1549" s="34">
        <f>IF(C1549="","",YEAR(C1549-WEEKDAY(C1549,2)+4)&amp;"-S"&amp;TEXT(INT((C1549-DATE(YEAR(C1549-WEEKDAY(C1549,2)+4),1,3)+WEEKDAY(DATE(YEAR(C1549-WEEKDAY(C1549,2)+4),1,3),2)+5)/7),"00"))</f>
        <v/>
      </c>
    </row>
    <row r="1550" ht="18" customHeight="1">
      <c r="A1550" s="39" t="n">
        <v>1545</v>
      </c>
      <c r="B1550" s="33">
        <f>IF(C1550="","",IF(P1550="À RENSEIGNER","GIC",P1550)&amp;"-C"&amp;TEXT(A1550,"00000"))</f>
        <v/>
      </c>
      <c r="C1550" s="32" t="n"/>
      <c r="D1550" s="36" t="n"/>
      <c r="E1550" s="36" t="n"/>
      <c r="F1550" s="36" t="n"/>
      <c r="G1550" s="42" t="n"/>
      <c r="H1550" s="37" t="n"/>
      <c r="I1550" s="37" t="n"/>
      <c r="J1550" s="32" t="n"/>
      <c r="K1550" s="32" t="n"/>
      <c r="L1550" s="43" t="n"/>
      <c r="M1550" s="36" t="n"/>
      <c r="N1550" s="44" t="n"/>
      <c r="O1550" s="36" t="n"/>
      <c r="P1550" s="33">
        <f>IF(C1550="","",Commercial_Id)</f>
        <v/>
      </c>
      <c r="Q1550" s="34">
        <f>IF(AC1550="","",IF(AD1550=1,"C"&amp;TEXT(SUM(AD$6:AD1550),"0000"),INDEX(Q$6:Q1549,MATCH(AC1550,AC$6:AC1549,0))))</f>
        <v/>
      </c>
      <c r="R1550" s="34">
        <f>IF(C1550="","",IF(L1550="☑ Oui","Annulée",IF(OR(E1550="Vente directe",K1550&lt;&gt;""),"Livrée",IF(J1550&lt;&gt;"","Confirmée","En attente"))))</f>
        <v/>
      </c>
      <c r="S1550" s="34">
        <f>IF(F1550="","",IFERROR(VLOOKUP(F1550,T_Produits,2,FALSE),""))</f>
        <v/>
      </c>
      <c r="T1550" s="40">
        <f>IF(F1550="","",IFERROR(1/(1/VLOOKUP(F1550,T_Produits,3,FALSE)),""))</f>
        <v/>
      </c>
      <c r="U1550" s="40">
        <f>IF(H1550&lt;&gt;"",H1550,T1550)</f>
        <v/>
      </c>
      <c r="V1550" s="40">
        <f>IF(OR(G1550="",U1550=""),"",G1550*U1550-N(I1550))</f>
        <v/>
      </c>
      <c r="W1550" s="39">
        <f>IF(D1550="","",IFERROR(VALUE(MID(D1550,LEN(D1550)-3,3)),""))</f>
        <v/>
      </c>
      <c r="X1550" s="33">
        <f>IF(W1550="","",P1550&amp;"|"&amp;W1550)</f>
        <v/>
      </c>
      <c r="Y1550" s="33">
        <f>IF(W1550="","",IF(P1550="À RENSEIGNER","GIC",P1550)&amp;"-"&amp;TEXT(W1550,"000"))</f>
        <v/>
      </c>
      <c r="Z1550" s="33">
        <f>IF(X1550="","",IFERROR(INDEX(Cl_nom,MATCH(X1550,Cl_cle,0)),"(client introuvable)"))</f>
        <v/>
      </c>
      <c r="AA1550" s="33">
        <f>IF(X1550="","",IFERROR(INDEX(Cl_quartier,MATCH(X1550,Cl_cle,0))&amp;"",""))</f>
        <v/>
      </c>
      <c r="AB1550" s="45">
        <f>IF(R1550&lt;&gt;"Livrée",0,IF(K1550&lt;&gt;"",K1550,C1550))</f>
        <v/>
      </c>
      <c r="AC1550" s="33">
        <f>IF(OR(C1550="",W1550=""),"",P1550&amp;"|"&amp;W1550&amp;"|"&amp;C1550&amp;"|"&amp;E1550)</f>
        <v/>
      </c>
      <c r="AD1550" s="39">
        <f>IF(AC1550="","",IF(COUNTIF(AC$6:AC1550,AC1550)=1,1,0))</f>
        <v/>
      </c>
      <c r="AE1550" s="39">
        <f>IF(AB1550=0,"",IF(COUNTIFS(X$6:X1550,X1550,AB$6:AB1550,AB1550)=1,1,0))</f>
        <v/>
      </c>
      <c r="AF1550" s="34">
        <f>IF(C1550="","",YEAR(C1550-WEEKDAY(C1550,2)+4)&amp;"-S"&amp;TEXT(INT((C1550-DATE(YEAR(C1550-WEEKDAY(C1550,2)+4),1,3)+WEEKDAY(DATE(YEAR(C1550-WEEKDAY(C1550,2)+4),1,3),2)+5)/7),"00"))</f>
        <v/>
      </c>
    </row>
    <row r="1551" ht="18" customHeight="1">
      <c r="A1551" s="39" t="n">
        <v>1546</v>
      </c>
      <c r="B1551" s="33">
        <f>IF(C1551="","",IF(P1551="À RENSEIGNER","GIC",P1551)&amp;"-C"&amp;TEXT(A1551,"00000"))</f>
        <v/>
      </c>
      <c r="C1551" s="32" t="n"/>
      <c r="D1551" s="36" t="n"/>
      <c r="E1551" s="36" t="n"/>
      <c r="F1551" s="36" t="n"/>
      <c r="G1551" s="42" t="n"/>
      <c r="H1551" s="37" t="n"/>
      <c r="I1551" s="37" t="n"/>
      <c r="J1551" s="32" t="n"/>
      <c r="K1551" s="32" t="n"/>
      <c r="L1551" s="43" t="n"/>
      <c r="M1551" s="36" t="n"/>
      <c r="N1551" s="44" t="n"/>
      <c r="O1551" s="36" t="n"/>
      <c r="P1551" s="33">
        <f>IF(C1551="","",Commercial_Id)</f>
        <v/>
      </c>
      <c r="Q1551" s="34">
        <f>IF(AC1551="","",IF(AD1551=1,"C"&amp;TEXT(SUM(AD$6:AD1551),"0000"),INDEX(Q$6:Q1550,MATCH(AC1551,AC$6:AC1550,0))))</f>
        <v/>
      </c>
      <c r="R1551" s="34">
        <f>IF(C1551="","",IF(L1551="☑ Oui","Annulée",IF(OR(E1551="Vente directe",K1551&lt;&gt;""),"Livrée",IF(J1551&lt;&gt;"","Confirmée","En attente"))))</f>
        <v/>
      </c>
      <c r="S1551" s="34">
        <f>IF(F1551="","",IFERROR(VLOOKUP(F1551,T_Produits,2,FALSE),""))</f>
        <v/>
      </c>
      <c r="T1551" s="40">
        <f>IF(F1551="","",IFERROR(1/(1/VLOOKUP(F1551,T_Produits,3,FALSE)),""))</f>
        <v/>
      </c>
      <c r="U1551" s="40">
        <f>IF(H1551&lt;&gt;"",H1551,T1551)</f>
        <v/>
      </c>
      <c r="V1551" s="40">
        <f>IF(OR(G1551="",U1551=""),"",G1551*U1551-N(I1551))</f>
        <v/>
      </c>
      <c r="W1551" s="39">
        <f>IF(D1551="","",IFERROR(VALUE(MID(D1551,LEN(D1551)-3,3)),""))</f>
        <v/>
      </c>
      <c r="X1551" s="33">
        <f>IF(W1551="","",P1551&amp;"|"&amp;W1551)</f>
        <v/>
      </c>
      <c r="Y1551" s="33">
        <f>IF(W1551="","",IF(P1551="À RENSEIGNER","GIC",P1551)&amp;"-"&amp;TEXT(W1551,"000"))</f>
        <v/>
      </c>
      <c r="Z1551" s="33">
        <f>IF(X1551="","",IFERROR(INDEX(Cl_nom,MATCH(X1551,Cl_cle,0)),"(client introuvable)"))</f>
        <v/>
      </c>
      <c r="AA1551" s="33">
        <f>IF(X1551="","",IFERROR(INDEX(Cl_quartier,MATCH(X1551,Cl_cle,0))&amp;"",""))</f>
        <v/>
      </c>
      <c r="AB1551" s="45">
        <f>IF(R1551&lt;&gt;"Livrée",0,IF(K1551&lt;&gt;"",K1551,C1551))</f>
        <v/>
      </c>
      <c r="AC1551" s="33">
        <f>IF(OR(C1551="",W1551=""),"",P1551&amp;"|"&amp;W1551&amp;"|"&amp;C1551&amp;"|"&amp;E1551)</f>
        <v/>
      </c>
      <c r="AD1551" s="39">
        <f>IF(AC1551="","",IF(COUNTIF(AC$6:AC1551,AC1551)=1,1,0))</f>
        <v/>
      </c>
      <c r="AE1551" s="39">
        <f>IF(AB1551=0,"",IF(COUNTIFS(X$6:X1551,X1551,AB$6:AB1551,AB1551)=1,1,0))</f>
        <v/>
      </c>
      <c r="AF1551" s="34">
        <f>IF(C1551="","",YEAR(C1551-WEEKDAY(C1551,2)+4)&amp;"-S"&amp;TEXT(INT((C1551-DATE(YEAR(C1551-WEEKDAY(C1551,2)+4),1,3)+WEEKDAY(DATE(YEAR(C1551-WEEKDAY(C1551,2)+4),1,3),2)+5)/7),"00"))</f>
        <v/>
      </c>
    </row>
    <row r="1552" ht="18" customHeight="1">
      <c r="A1552" s="39" t="n">
        <v>1547</v>
      </c>
      <c r="B1552" s="33">
        <f>IF(C1552="","",IF(P1552="À RENSEIGNER","GIC",P1552)&amp;"-C"&amp;TEXT(A1552,"00000"))</f>
        <v/>
      </c>
      <c r="C1552" s="32" t="n"/>
      <c r="D1552" s="36" t="n"/>
      <c r="E1552" s="36" t="n"/>
      <c r="F1552" s="36" t="n"/>
      <c r="G1552" s="42" t="n"/>
      <c r="H1552" s="37" t="n"/>
      <c r="I1552" s="37" t="n"/>
      <c r="J1552" s="32" t="n"/>
      <c r="K1552" s="32" t="n"/>
      <c r="L1552" s="43" t="n"/>
      <c r="M1552" s="36" t="n"/>
      <c r="N1552" s="44" t="n"/>
      <c r="O1552" s="36" t="n"/>
      <c r="P1552" s="33">
        <f>IF(C1552="","",Commercial_Id)</f>
        <v/>
      </c>
      <c r="Q1552" s="34">
        <f>IF(AC1552="","",IF(AD1552=1,"C"&amp;TEXT(SUM(AD$6:AD1552),"0000"),INDEX(Q$6:Q1551,MATCH(AC1552,AC$6:AC1551,0))))</f>
        <v/>
      </c>
      <c r="R1552" s="34">
        <f>IF(C1552="","",IF(L1552="☑ Oui","Annulée",IF(OR(E1552="Vente directe",K1552&lt;&gt;""),"Livrée",IF(J1552&lt;&gt;"","Confirmée","En attente"))))</f>
        <v/>
      </c>
      <c r="S1552" s="34">
        <f>IF(F1552="","",IFERROR(VLOOKUP(F1552,T_Produits,2,FALSE),""))</f>
        <v/>
      </c>
      <c r="T1552" s="40">
        <f>IF(F1552="","",IFERROR(1/(1/VLOOKUP(F1552,T_Produits,3,FALSE)),""))</f>
        <v/>
      </c>
      <c r="U1552" s="40">
        <f>IF(H1552&lt;&gt;"",H1552,T1552)</f>
        <v/>
      </c>
      <c r="V1552" s="40">
        <f>IF(OR(G1552="",U1552=""),"",G1552*U1552-N(I1552))</f>
        <v/>
      </c>
      <c r="W1552" s="39">
        <f>IF(D1552="","",IFERROR(VALUE(MID(D1552,LEN(D1552)-3,3)),""))</f>
        <v/>
      </c>
      <c r="X1552" s="33">
        <f>IF(W1552="","",P1552&amp;"|"&amp;W1552)</f>
        <v/>
      </c>
      <c r="Y1552" s="33">
        <f>IF(W1552="","",IF(P1552="À RENSEIGNER","GIC",P1552)&amp;"-"&amp;TEXT(W1552,"000"))</f>
        <v/>
      </c>
      <c r="Z1552" s="33">
        <f>IF(X1552="","",IFERROR(INDEX(Cl_nom,MATCH(X1552,Cl_cle,0)),"(client introuvable)"))</f>
        <v/>
      </c>
      <c r="AA1552" s="33">
        <f>IF(X1552="","",IFERROR(INDEX(Cl_quartier,MATCH(X1552,Cl_cle,0))&amp;"",""))</f>
        <v/>
      </c>
      <c r="AB1552" s="45">
        <f>IF(R1552&lt;&gt;"Livrée",0,IF(K1552&lt;&gt;"",K1552,C1552))</f>
        <v/>
      </c>
      <c r="AC1552" s="33">
        <f>IF(OR(C1552="",W1552=""),"",P1552&amp;"|"&amp;W1552&amp;"|"&amp;C1552&amp;"|"&amp;E1552)</f>
        <v/>
      </c>
      <c r="AD1552" s="39">
        <f>IF(AC1552="","",IF(COUNTIF(AC$6:AC1552,AC1552)=1,1,0))</f>
        <v/>
      </c>
      <c r="AE1552" s="39">
        <f>IF(AB1552=0,"",IF(COUNTIFS(X$6:X1552,X1552,AB$6:AB1552,AB1552)=1,1,0))</f>
        <v/>
      </c>
      <c r="AF1552" s="34">
        <f>IF(C1552="","",YEAR(C1552-WEEKDAY(C1552,2)+4)&amp;"-S"&amp;TEXT(INT((C1552-DATE(YEAR(C1552-WEEKDAY(C1552,2)+4),1,3)+WEEKDAY(DATE(YEAR(C1552-WEEKDAY(C1552,2)+4),1,3),2)+5)/7),"00"))</f>
        <v/>
      </c>
    </row>
    <row r="1553" ht="18" customHeight="1">
      <c r="A1553" s="39" t="n">
        <v>1548</v>
      </c>
      <c r="B1553" s="33">
        <f>IF(C1553="","",IF(P1553="À RENSEIGNER","GIC",P1553)&amp;"-C"&amp;TEXT(A1553,"00000"))</f>
        <v/>
      </c>
      <c r="C1553" s="32" t="n"/>
      <c r="D1553" s="36" t="n"/>
      <c r="E1553" s="36" t="n"/>
      <c r="F1553" s="36" t="n"/>
      <c r="G1553" s="42" t="n"/>
      <c r="H1553" s="37" t="n"/>
      <c r="I1553" s="37" t="n"/>
      <c r="J1553" s="32" t="n"/>
      <c r="K1553" s="32" t="n"/>
      <c r="L1553" s="43" t="n"/>
      <c r="M1553" s="36" t="n"/>
      <c r="N1553" s="44" t="n"/>
      <c r="O1553" s="36" t="n"/>
      <c r="P1553" s="33">
        <f>IF(C1553="","",Commercial_Id)</f>
        <v/>
      </c>
      <c r="Q1553" s="34">
        <f>IF(AC1553="","",IF(AD1553=1,"C"&amp;TEXT(SUM(AD$6:AD1553),"0000"),INDEX(Q$6:Q1552,MATCH(AC1553,AC$6:AC1552,0))))</f>
        <v/>
      </c>
      <c r="R1553" s="34">
        <f>IF(C1553="","",IF(L1553="☑ Oui","Annulée",IF(OR(E1553="Vente directe",K1553&lt;&gt;""),"Livrée",IF(J1553&lt;&gt;"","Confirmée","En attente"))))</f>
        <v/>
      </c>
      <c r="S1553" s="34">
        <f>IF(F1553="","",IFERROR(VLOOKUP(F1553,T_Produits,2,FALSE),""))</f>
        <v/>
      </c>
      <c r="T1553" s="40">
        <f>IF(F1553="","",IFERROR(1/(1/VLOOKUP(F1553,T_Produits,3,FALSE)),""))</f>
        <v/>
      </c>
      <c r="U1553" s="40">
        <f>IF(H1553&lt;&gt;"",H1553,T1553)</f>
        <v/>
      </c>
      <c r="V1553" s="40">
        <f>IF(OR(G1553="",U1553=""),"",G1553*U1553-N(I1553))</f>
        <v/>
      </c>
      <c r="W1553" s="39">
        <f>IF(D1553="","",IFERROR(VALUE(MID(D1553,LEN(D1553)-3,3)),""))</f>
        <v/>
      </c>
      <c r="X1553" s="33">
        <f>IF(W1553="","",P1553&amp;"|"&amp;W1553)</f>
        <v/>
      </c>
      <c r="Y1553" s="33">
        <f>IF(W1553="","",IF(P1553="À RENSEIGNER","GIC",P1553)&amp;"-"&amp;TEXT(W1553,"000"))</f>
        <v/>
      </c>
      <c r="Z1553" s="33">
        <f>IF(X1553="","",IFERROR(INDEX(Cl_nom,MATCH(X1553,Cl_cle,0)),"(client introuvable)"))</f>
        <v/>
      </c>
      <c r="AA1553" s="33">
        <f>IF(X1553="","",IFERROR(INDEX(Cl_quartier,MATCH(X1553,Cl_cle,0))&amp;"",""))</f>
        <v/>
      </c>
      <c r="AB1553" s="45">
        <f>IF(R1553&lt;&gt;"Livrée",0,IF(K1553&lt;&gt;"",K1553,C1553))</f>
        <v/>
      </c>
      <c r="AC1553" s="33">
        <f>IF(OR(C1553="",W1553=""),"",P1553&amp;"|"&amp;W1553&amp;"|"&amp;C1553&amp;"|"&amp;E1553)</f>
        <v/>
      </c>
      <c r="AD1553" s="39">
        <f>IF(AC1553="","",IF(COUNTIF(AC$6:AC1553,AC1553)=1,1,0))</f>
        <v/>
      </c>
      <c r="AE1553" s="39">
        <f>IF(AB1553=0,"",IF(COUNTIFS(X$6:X1553,X1553,AB$6:AB1553,AB1553)=1,1,0))</f>
        <v/>
      </c>
      <c r="AF1553" s="34">
        <f>IF(C1553="","",YEAR(C1553-WEEKDAY(C1553,2)+4)&amp;"-S"&amp;TEXT(INT((C1553-DATE(YEAR(C1553-WEEKDAY(C1553,2)+4),1,3)+WEEKDAY(DATE(YEAR(C1553-WEEKDAY(C1553,2)+4),1,3),2)+5)/7),"00"))</f>
        <v/>
      </c>
    </row>
    <row r="1554" ht="18" customHeight="1">
      <c r="A1554" s="39" t="n">
        <v>1549</v>
      </c>
      <c r="B1554" s="33">
        <f>IF(C1554="","",IF(P1554="À RENSEIGNER","GIC",P1554)&amp;"-C"&amp;TEXT(A1554,"00000"))</f>
        <v/>
      </c>
      <c r="C1554" s="32" t="n"/>
      <c r="D1554" s="36" t="n"/>
      <c r="E1554" s="36" t="n"/>
      <c r="F1554" s="36" t="n"/>
      <c r="G1554" s="42" t="n"/>
      <c r="H1554" s="37" t="n"/>
      <c r="I1554" s="37" t="n"/>
      <c r="J1554" s="32" t="n"/>
      <c r="K1554" s="32" t="n"/>
      <c r="L1554" s="43" t="n"/>
      <c r="M1554" s="36" t="n"/>
      <c r="N1554" s="44" t="n"/>
      <c r="O1554" s="36" t="n"/>
      <c r="P1554" s="33">
        <f>IF(C1554="","",Commercial_Id)</f>
        <v/>
      </c>
      <c r="Q1554" s="34">
        <f>IF(AC1554="","",IF(AD1554=1,"C"&amp;TEXT(SUM(AD$6:AD1554),"0000"),INDEX(Q$6:Q1553,MATCH(AC1554,AC$6:AC1553,0))))</f>
        <v/>
      </c>
      <c r="R1554" s="34">
        <f>IF(C1554="","",IF(L1554="☑ Oui","Annulée",IF(OR(E1554="Vente directe",K1554&lt;&gt;""),"Livrée",IF(J1554&lt;&gt;"","Confirmée","En attente"))))</f>
        <v/>
      </c>
      <c r="S1554" s="34">
        <f>IF(F1554="","",IFERROR(VLOOKUP(F1554,T_Produits,2,FALSE),""))</f>
        <v/>
      </c>
      <c r="T1554" s="40">
        <f>IF(F1554="","",IFERROR(1/(1/VLOOKUP(F1554,T_Produits,3,FALSE)),""))</f>
        <v/>
      </c>
      <c r="U1554" s="40">
        <f>IF(H1554&lt;&gt;"",H1554,T1554)</f>
        <v/>
      </c>
      <c r="V1554" s="40">
        <f>IF(OR(G1554="",U1554=""),"",G1554*U1554-N(I1554))</f>
        <v/>
      </c>
      <c r="W1554" s="39">
        <f>IF(D1554="","",IFERROR(VALUE(MID(D1554,LEN(D1554)-3,3)),""))</f>
        <v/>
      </c>
      <c r="X1554" s="33">
        <f>IF(W1554="","",P1554&amp;"|"&amp;W1554)</f>
        <v/>
      </c>
      <c r="Y1554" s="33">
        <f>IF(W1554="","",IF(P1554="À RENSEIGNER","GIC",P1554)&amp;"-"&amp;TEXT(W1554,"000"))</f>
        <v/>
      </c>
      <c r="Z1554" s="33">
        <f>IF(X1554="","",IFERROR(INDEX(Cl_nom,MATCH(X1554,Cl_cle,0)),"(client introuvable)"))</f>
        <v/>
      </c>
      <c r="AA1554" s="33">
        <f>IF(X1554="","",IFERROR(INDEX(Cl_quartier,MATCH(X1554,Cl_cle,0))&amp;"",""))</f>
        <v/>
      </c>
      <c r="AB1554" s="45">
        <f>IF(R1554&lt;&gt;"Livrée",0,IF(K1554&lt;&gt;"",K1554,C1554))</f>
        <v/>
      </c>
      <c r="AC1554" s="33">
        <f>IF(OR(C1554="",W1554=""),"",P1554&amp;"|"&amp;W1554&amp;"|"&amp;C1554&amp;"|"&amp;E1554)</f>
        <v/>
      </c>
      <c r="AD1554" s="39">
        <f>IF(AC1554="","",IF(COUNTIF(AC$6:AC1554,AC1554)=1,1,0))</f>
        <v/>
      </c>
      <c r="AE1554" s="39">
        <f>IF(AB1554=0,"",IF(COUNTIFS(X$6:X1554,X1554,AB$6:AB1554,AB1554)=1,1,0))</f>
        <v/>
      </c>
      <c r="AF1554" s="34">
        <f>IF(C1554="","",YEAR(C1554-WEEKDAY(C1554,2)+4)&amp;"-S"&amp;TEXT(INT((C1554-DATE(YEAR(C1554-WEEKDAY(C1554,2)+4),1,3)+WEEKDAY(DATE(YEAR(C1554-WEEKDAY(C1554,2)+4),1,3),2)+5)/7),"00"))</f>
        <v/>
      </c>
    </row>
    <row r="1555" ht="18" customHeight="1">
      <c r="A1555" s="39" t="n">
        <v>1550</v>
      </c>
      <c r="B1555" s="33">
        <f>IF(C1555="","",IF(P1555="À RENSEIGNER","GIC",P1555)&amp;"-C"&amp;TEXT(A1555,"00000"))</f>
        <v/>
      </c>
      <c r="C1555" s="32" t="n"/>
      <c r="D1555" s="36" t="n"/>
      <c r="E1555" s="36" t="n"/>
      <c r="F1555" s="36" t="n"/>
      <c r="G1555" s="42" t="n"/>
      <c r="H1555" s="37" t="n"/>
      <c r="I1555" s="37" t="n"/>
      <c r="J1555" s="32" t="n"/>
      <c r="K1555" s="32" t="n"/>
      <c r="L1555" s="43" t="n"/>
      <c r="M1555" s="36" t="n"/>
      <c r="N1555" s="44" t="n"/>
      <c r="O1555" s="36" t="n"/>
      <c r="P1555" s="33">
        <f>IF(C1555="","",Commercial_Id)</f>
        <v/>
      </c>
      <c r="Q1555" s="34">
        <f>IF(AC1555="","",IF(AD1555=1,"C"&amp;TEXT(SUM(AD$6:AD1555),"0000"),INDEX(Q$6:Q1554,MATCH(AC1555,AC$6:AC1554,0))))</f>
        <v/>
      </c>
      <c r="R1555" s="34">
        <f>IF(C1555="","",IF(L1555="☑ Oui","Annulée",IF(OR(E1555="Vente directe",K1555&lt;&gt;""),"Livrée",IF(J1555&lt;&gt;"","Confirmée","En attente"))))</f>
        <v/>
      </c>
      <c r="S1555" s="34">
        <f>IF(F1555="","",IFERROR(VLOOKUP(F1555,T_Produits,2,FALSE),""))</f>
        <v/>
      </c>
      <c r="T1555" s="40">
        <f>IF(F1555="","",IFERROR(1/(1/VLOOKUP(F1555,T_Produits,3,FALSE)),""))</f>
        <v/>
      </c>
      <c r="U1555" s="40">
        <f>IF(H1555&lt;&gt;"",H1555,T1555)</f>
        <v/>
      </c>
      <c r="V1555" s="40">
        <f>IF(OR(G1555="",U1555=""),"",G1555*U1555-N(I1555))</f>
        <v/>
      </c>
      <c r="W1555" s="39">
        <f>IF(D1555="","",IFERROR(VALUE(MID(D1555,LEN(D1555)-3,3)),""))</f>
        <v/>
      </c>
      <c r="X1555" s="33">
        <f>IF(W1555="","",P1555&amp;"|"&amp;W1555)</f>
        <v/>
      </c>
      <c r="Y1555" s="33">
        <f>IF(W1555="","",IF(P1555="À RENSEIGNER","GIC",P1555)&amp;"-"&amp;TEXT(W1555,"000"))</f>
        <v/>
      </c>
      <c r="Z1555" s="33">
        <f>IF(X1555="","",IFERROR(INDEX(Cl_nom,MATCH(X1555,Cl_cle,0)),"(client introuvable)"))</f>
        <v/>
      </c>
      <c r="AA1555" s="33">
        <f>IF(X1555="","",IFERROR(INDEX(Cl_quartier,MATCH(X1555,Cl_cle,0))&amp;"",""))</f>
        <v/>
      </c>
      <c r="AB1555" s="45">
        <f>IF(R1555&lt;&gt;"Livrée",0,IF(K1555&lt;&gt;"",K1555,C1555))</f>
        <v/>
      </c>
      <c r="AC1555" s="33">
        <f>IF(OR(C1555="",W1555=""),"",P1555&amp;"|"&amp;W1555&amp;"|"&amp;C1555&amp;"|"&amp;E1555)</f>
        <v/>
      </c>
      <c r="AD1555" s="39">
        <f>IF(AC1555="","",IF(COUNTIF(AC$6:AC1555,AC1555)=1,1,0))</f>
        <v/>
      </c>
      <c r="AE1555" s="39">
        <f>IF(AB1555=0,"",IF(COUNTIFS(X$6:X1555,X1555,AB$6:AB1555,AB1555)=1,1,0))</f>
        <v/>
      </c>
      <c r="AF1555" s="34">
        <f>IF(C1555="","",YEAR(C1555-WEEKDAY(C1555,2)+4)&amp;"-S"&amp;TEXT(INT((C1555-DATE(YEAR(C1555-WEEKDAY(C1555,2)+4),1,3)+WEEKDAY(DATE(YEAR(C1555-WEEKDAY(C1555,2)+4),1,3),2)+5)/7),"00"))</f>
        <v/>
      </c>
    </row>
    <row r="1556" ht="18" customHeight="1">
      <c r="A1556" s="39" t="n">
        <v>1551</v>
      </c>
      <c r="B1556" s="33">
        <f>IF(C1556="","",IF(P1556="À RENSEIGNER","GIC",P1556)&amp;"-C"&amp;TEXT(A1556,"00000"))</f>
        <v/>
      </c>
      <c r="C1556" s="32" t="n"/>
      <c r="D1556" s="36" t="n"/>
      <c r="E1556" s="36" t="n"/>
      <c r="F1556" s="36" t="n"/>
      <c r="G1556" s="42" t="n"/>
      <c r="H1556" s="37" t="n"/>
      <c r="I1556" s="37" t="n"/>
      <c r="J1556" s="32" t="n"/>
      <c r="K1556" s="32" t="n"/>
      <c r="L1556" s="43" t="n"/>
      <c r="M1556" s="36" t="n"/>
      <c r="N1556" s="44" t="n"/>
      <c r="O1556" s="36" t="n"/>
      <c r="P1556" s="33">
        <f>IF(C1556="","",Commercial_Id)</f>
        <v/>
      </c>
      <c r="Q1556" s="34">
        <f>IF(AC1556="","",IF(AD1556=1,"C"&amp;TEXT(SUM(AD$6:AD1556),"0000"),INDEX(Q$6:Q1555,MATCH(AC1556,AC$6:AC1555,0))))</f>
        <v/>
      </c>
      <c r="R1556" s="34">
        <f>IF(C1556="","",IF(L1556="☑ Oui","Annulée",IF(OR(E1556="Vente directe",K1556&lt;&gt;""),"Livrée",IF(J1556&lt;&gt;"","Confirmée","En attente"))))</f>
        <v/>
      </c>
      <c r="S1556" s="34">
        <f>IF(F1556="","",IFERROR(VLOOKUP(F1556,T_Produits,2,FALSE),""))</f>
        <v/>
      </c>
      <c r="T1556" s="40">
        <f>IF(F1556="","",IFERROR(1/(1/VLOOKUP(F1556,T_Produits,3,FALSE)),""))</f>
        <v/>
      </c>
      <c r="U1556" s="40">
        <f>IF(H1556&lt;&gt;"",H1556,T1556)</f>
        <v/>
      </c>
      <c r="V1556" s="40">
        <f>IF(OR(G1556="",U1556=""),"",G1556*U1556-N(I1556))</f>
        <v/>
      </c>
      <c r="W1556" s="39">
        <f>IF(D1556="","",IFERROR(VALUE(MID(D1556,LEN(D1556)-3,3)),""))</f>
        <v/>
      </c>
      <c r="X1556" s="33">
        <f>IF(W1556="","",P1556&amp;"|"&amp;W1556)</f>
        <v/>
      </c>
      <c r="Y1556" s="33">
        <f>IF(W1556="","",IF(P1556="À RENSEIGNER","GIC",P1556)&amp;"-"&amp;TEXT(W1556,"000"))</f>
        <v/>
      </c>
      <c r="Z1556" s="33">
        <f>IF(X1556="","",IFERROR(INDEX(Cl_nom,MATCH(X1556,Cl_cle,0)),"(client introuvable)"))</f>
        <v/>
      </c>
      <c r="AA1556" s="33">
        <f>IF(X1556="","",IFERROR(INDEX(Cl_quartier,MATCH(X1556,Cl_cle,0))&amp;"",""))</f>
        <v/>
      </c>
      <c r="AB1556" s="45">
        <f>IF(R1556&lt;&gt;"Livrée",0,IF(K1556&lt;&gt;"",K1556,C1556))</f>
        <v/>
      </c>
      <c r="AC1556" s="33">
        <f>IF(OR(C1556="",W1556=""),"",P1556&amp;"|"&amp;W1556&amp;"|"&amp;C1556&amp;"|"&amp;E1556)</f>
        <v/>
      </c>
      <c r="AD1556" s="39">
        <f>IF(AC1556="","",IF(COUNTIF(AC$6:AC1556,AC1556)=1,1,0))</f>
        <v/>
      </c>
      <c r="AE1556" s="39">
        <f>IF(AB1556=0,"",IF(COUNTIFS(X$6:X1556,X1556,AB$6:AB1556,AB1556)=1,1,0))</f>
        <v/>
      </c>
      <c r="AF1556" s="34">
        <f>IF(C1556="","",YEAR(C1556-WEEKDAY(C1556,2)+4)&amp;"-S"&amp;TEXT(INT((C1556-DATE(YEAR(C1556-WEEKDAY(C1556,2)+4),1,3)+WEEKDAY(DATE(YEAR(C1556-WEEKDAY(C1556,2)+4),1,3),2)+5)/7),"00"))</f>
        <v/>
      </c>
    </row>
    <row r="1557" ht="18" customHeight="1">
      <c r="A1557" s="39" t="n">
        <v>1552</v>
      </c>
      <c r="B1557" s="33">
        <f>IF(C1557="","",IF(P1557="À RENSEIGNER","GIC",P1557)&amp;"-C"&amp;TEXT(A1557,"00000"))</f>
        <v/>
      </c>
      <c r="C1557" s="32" t="n"/>
      <c r="D1557" s="36" t="n"/>
      <c r="E1557" s="36" t="n"/>
      <c r="F1557" s="36" t="n"/>
      <c r="G1557" s="42" t="n"/>
      <c r="H1557" s="37" t="n"/>
      <c r="I1557" s="37" t="n"/>
      <c r="J1557" s="32" t="n"/>
      <c r="K1557" s="32" t="n"/>
      <c r="L1557" s="43" t="n"/>
      <c r="M1557" s="36" t="n"/>
      <c r="N1557" s="44" t="n"/>
      <c r="O1557" s="36" t="n"/>
      <c r="P1557" s="33">
        <f>IF(C1557="","",Commercial_Id)</f>
        <v/>
      </c>
      <c r="Q1557" s="34">
        <f>IF(AC1557="","",IF(AD1557=1,"C"&amp;TEXT(SUM(AD$6:AD1557),"0000"),INDEX(Q$6:Q1556,MATCH(AC1557,AC$6:AC1556,0))))</f>
        <v/>
      </c>
      <c r="R1557" s="34">
        <f>IF(C1557="","",IF(L1557="☑ Oui","Annulée",IF(OR(E1557="Vente directe",K1557&lt;&gt;""),"Livrée",IF(J1557&lt;&gt;"","Confirmée","En attente"))))</f>
        <v/>
      </c>
      <c r="S1557" s="34">
        <f>IF(F1557="","",IFERROR(VLOOKUP(F1557,T_Produits,2,FALSE),""))</f>
        <v/>
      </c>
      <c r="T1557" s="40">
        <f>IF(F1557="","",IFERROR(1/(1/VLOOKUP(F1557,T_Produits,3,FALSE)),""))</f>
        <v/>
      </c>
      <c r="U1557" s="40">
        <f>IF(H1557&lt;&gt;"",H1557,T1557)</f>
        <v/>
      </c>
      <c r="V1557" s="40">
        <f>IF(OR(G1557="",U1557=""),"",G1557*U1557-N(I1557))</f>
        <v/>
      </c>
      <c r="W1557" s="39">
        <f>IF(D1557="","",IFERROR(VALUE(MID(D1557,LEN(D1557)-3,3)),""))</f>
        <v/>
      </c>
      <c r="X1557" s="33">
        <f>IF(W1557="","",P1557&amp;"|"&amp;W1557)</f>
        <v/>
      </c>
      <c r="Y1557" s="33">
        <f>IF(W1557="","",IF(P1557="À RENSEIGNER","GIC",P1557)&amp;"-"&amp;TEXT(W1557,"000"))</f>
        <v/>
      </c>
      <c r="Z1557" s="33">
        <f>IF(X1557="","",IFERROR(INDEX(Cl_nom,MATCH(X1557,Cl_cle,0)),"(client introuvable)"))</f>
        <v/>
      </c>
      <c r="AA1557" s="33">
        <f>IF(X1557="","",IFERROR(INDEX(Cl_quartier,MATCH(X1557,Cl_cle,0))&amp;"",""))</f>
        <v/>
      </c>
      <c r="AB1557" s="45">
        <f>IF(R1557&lt;&gt;"Livrée",0,IF(K1557&lt;&gt;"",K1557,C1557))</f>
        <v/>
      </c>
      <c r="AC1557" s="33">
        <f>IF(OR(C1557="",W1557=""),"",P1557&amp;"|"&amp;W1557&amp;"|"&amp;C1557&amp;"|"&amp;E1557)</f>
        <v/>
      </c>
      <c r="AD1557" s="39">
        <f>IF(AC1557="","",IF(COUNTIF(AC$6:AC1557,AC1557)=1,1,0))</f>
        <v/>
      </c>
      <c r="AE1557" s="39">
        <f>IF(AB1557=0,"",IF(COUNTIFS(X$6:X1557,X1557,AB$6:AB1557,AB1557)=1,1,0))</f>
        <v/>
      </c>
      <c r="AF1557" s="34">
        <f>IF(C1557="","",YEAR(C1557-WEEKDAY(C1557,2)+4)&amp;"-S"&amp;TEXT(INT((C1557-DATE(YEAR(C1557-WEEKDAY(C1557,2)+4),1,3)+WEEKDAY(DATE(YEAR(C1557-WEEKDAY(C1557,2)+4),1,3),2)+5)/7),"00"))</f>
        <v/>
      </c>
    </row>
    <row r="1558" ht="18" customHeight="1">
      <c r="A1558" s="39" t="n">
        <v>1553</v>
      </c>
      <c r="B1558" s="33">
        <f>IF(C1558="","",IF(P1558="À RENSEIGNER","GIC",P1558)&amp;"-C"&amp;TEXT(A1558,"00000"))</f>
        <v/>
      </c>
      <c r="C1558" s="32" t="n"/>
      <c r="D1558" s="36" t="n"/>
      <c r="E1558" s="36" t="n"/>
      <c r="F1558" s="36" t="n"/>
      <c r="G1558" s="42" t="n"/>
      <c r="H1558" s="37" t="n"/>
      <c r="I1558" s="37" t="n"/>
      <c r="J1558" s="32" t="n"/>
      <c r="K1558" s="32" t="n"/>
      <c r="L1558" s="43" t="n"/>
      <c r="M1558" s="36" t="n"/>
      <c r="N1558" s="44" t="n"/>
      <c r="O1558" s="36" t="n"/>
      <c r="P1558" s="33">
        <f>IF(C1558="","",Commercial_Id)</f>
        <v/>
      </c>
      <c r="Q1558" s="34">
        <f>IF(AC1558="","",IF(AD1558=1,"C"&amp;TEXT(SUM(AD$6:AD1558),"0000"),INDEX(Q$6:Q1557,MATCH(AC1558,AC$6:AC1557,0))))</f>
        <v/>
      </c>
      <c r="R1558" s="34">
        <f>IF(C1558="","",IF(L1558="☑ Oui","Annulée",IF(OR(E1558="Vente directe",K1558&lt;&gt;""),"Livrée",IF(J1558&lt;&gt;"","Confirmée","En attente"))))</f>
        <v/>
      </c>
      <c r="S1558" s="34">
        <f>IF(F1558="","",IFERROR(VLOOKUP(F1558,T_Produits,2,FALSE),""))</f>
        <v/>
      </c>
      <c r="T1558" s="40">
        <f>IF(F1558="","",IFERROR(1/(1/VLOOKUP(F1558,T_Produits,3,FALSE)),""))</f>
        <v/>
      </c>
      <c r="U1558" s="40">
        <f>IF(H1558&lt;&gt;"",H1558,T1558)</f>
        <v/>
      </c>
      <c r="V1558" s="40">
        <f>IF(OR(G1558="",U1558=""),"",G1558*U1558-N(I1558))</f>
        <v/>
      </c>
      <c r="W1558" s="39">
        <f>IF(D1558="","",IFERROR(VALUE(MID(D1558,LEN(D1558)-3,3)),""))</f>
        <v/>
      </c>
      <c r="X1558" s="33">
        <f>IF(W1558="","",P1558&amp;"|"&amp;W1558)</f>
        <v/>
      </c>
      <c r="Y1558" s="33">
        <f>IF(W1558="","",IF(P1558="À RENSEIGNER","GIC",P1558)&amp;"-"&amp;TEXT(W1558,"000"))</f>
        <v/>
      </c>
      <c r="Z1558" s="33">
        <f>IF(X1558="","",IFERROR(INDEX(Cl_nom,MATCH(X1558,Cl_cle,0)),"(client introuvable)"))</f>
        <v/>
      </c>
      <c r="AA1558" s="33">
        <f>IF(X1558="","",IFERROR(INDEX(Cl_quartier,MATCH(X1558,Cl_cle,0))&amp;"",""))</f>
        <v/>
      </c>
      <c r="AB1558" s="45">
        <f>IF(R1558&lt;&gt;"Livrée",0,IF(K1558&lt;&gt;"",K1558,C1558))</f>
        <v/>
      </c>
      <c r="AC1558" s="33">
        <f>IF(OR(C1558="",W1558=""),"",P1558&amp;"|"&amp;W1558&amp;"|"&amp;C1558&amp;"|"&amp;E1558)</f>
        <v/>
      </c>
      <c r="AD1558" s="39">
        <f>IF(AC1558="","",IF(COUNTIF(AC$6:AC1558,AC1558)=1,1,0))</f>
        <v/>
      </c>
      <c r="AE1558" s="39">
        <f>IF(AB1558=0,"",IF(COUNTIFS(X$6:X1558,X1558,AB$6:AB1558,AB1558)=1,1,0))</f>
        <v/>
      </c>
      <c r="AF1558" s="34">
        <f>IF(C1558="","",YEAR(C1558-WEEKDAY(C1558,2)+4)&amp;"-S"&amp;TEXT(INT((C1558-DATE(YEAR(C1558-WEEKDAY(C1558,2)+4),1,3)+WEEKDAY(DATE(YEAR(C1558-WEEKDAY(C1558,2)+4),1,3),2)+5)/7),"00"))</f>
        <v/>
      </c>
    </row>
    <row r="1559" ht="18" customHeight="1">
      <c r="A1559" s="39" t="n">
        <v>1554</v>
      </c>
      <c r="B1559" s="33">
        <f>IF(C1559="","",IF(P1559="À RENSEIGNER","GIC",P1559)&amp;"-C"&amp;TEXT(A1559,"00000"))</f>
        <v/>
      </c>
      <c r="C1559" s="32" t="n"/>
      <c r="D1559" s="36" t="n"/>
      <c r="E1559" s="36" t="n"/>
      <c r="F1559" s="36" t="n"/>
      <c r="G1559" s="42" t="n"/>
      <c r="H1559" s="37" t="n"/>
      <c r="I1559" s="37" t="n"/>
      <c r="J1559" s="32" t="n"/>
      <c r="K1559" s="32" t="n"/>
      <c r="L1559" s="43" t="n"/>
      <c r="M1559" s="36" t="n"/>
      <c r="N1559" s="44" t="n"/>
      <c r="O1559" s="36" t="n"/>
      <c r="P1559" s="33">
        <f>IF(C1559="","",Commercial_Id)</f>
        <v/>
      </c>
      <c r="Q1559" s="34">
        <f>IF(AC1559="","",IF(AD1559=1,"C"&amp;TEXT(SUM(AD$6:AD1559),"0000"),INDEX(Q$6:Q1558,MATCH(AC1559,AC$6:AC1558,0))))</f>
        <v/>
      </c>
      <c r="R1559" s="34">
        <f>IF(C1559="","",IF(L1559="☑ Oui","Annulée",IF(OR(E1559="Vente directe",K1559&lt;&gt;""),"Livrée",IF(J1559&lt;&gt;"","Confirmée","En attente"))))</f>
        <v/>
      </c>
      <c r="S1559" s="34">
        <f>IF(F1559="","",IFERROR(VLOOKUP(F1559,T_Produits,2,FALSE),""))</f>
        <v/>
      </c>
      <c r="T1559" s="40">
        <f>IF(F1559="","",IFERROR(1/(1/VLOOKUP(F1559,T_Produits,3,FALSE)),""))</f>
        <v/>
      </c>
      <c r="U1559" s="40">
        <f>IF(H1559&lt;&gt;"",H1559,T1559)</f>
        <v/>
      </c>
      <c r="V1559" s="40">
        <f>IF(OR(G1559="",U1559=""),"",G1559*U1559-N(I1559))</f>
        <v/>
      </c>
      <c r="W1559" s="39">
        <f>IF(D1559="","",IFERROR(VALUE(MID(D1559,LEN(D1559)-3,3)),""))</f>
        <v/>
      </c>
      <c r="X1559" s="33">
        <f>IF(W1559="","",P1559&amp;"|"&amp;W1559)</f>
        <v/>
      </c>
      <c r="Y1559" s="33">
        <f>IF(W1559="","",IF(P1559="À RENSEIGNER","GIC",P1559)&amp;"-"&amp;TEXT(W1559,"000"))</f>
        <v/>
      </c>
      <c r="Z1559" s="33">
        <f>IF(X1559="","",IFERROR(INDEX(Cl_nom,MATCH(X1559,Cl_cle,0)),"(client introuvable)"))</f>
        <v/>
      </c>
      <c r="AA1559" s="33">
        <f>IF(X1559="","",IFERROR(INDEX(Cl_quartier,MATCH(X1559,Cl_cle,0))&amp;"",""))</f>
        <v/>
      </c>
      <c r="AB1559" s="45">
        <f>IF(R1559&lt;&gt;"Livrée",0,IF(K1559&lt;&gt;"",K1559,C1559))</f>
        <v/>
      </c>
      <c r="AC1559" s="33">
        <f>IF(OR(C1559="",W1559=""),"",P1559&amp;"|"&amp;W1559&amp;"|"&amp;C1559&amp;"|"&amp;E1559)</f>
        <v/>
      </c>
      <c r="AD1559" s="39">
        <f>IF(AC1559="","",IF(COUNTIF(AC$6:AC1559,AC1559)=1,1,0))</f>
        <v/>
      </c>
      <c r="AE1559" s="39">
        <f>IF(AB1559=0,"",IF(COUNTIFS(X$6:X1559,X1559,AB$6:AB1559,AB1559)=1,1,0))</f>
        <v/>
      </c>
      <c r="AF1559" s="34">
        <f>IF(C1559="","",YEAR(C1559-WEEKDAY(C1559,2)+4)&amp;"-S"&amp;TEXT(INT((C1559-DATE(YEAR(C1559-WEEKDAY(C1559,2)+4),1,3)+WEEKDAY(DATE(YEAR(C1559-WEEKDAY(C1559,2)+4),1,3),2)+5)/7),"00"))</f>
        <v/>
      </c>
    </row>
    <row r="1560" ht="18" customHeight="1">
      <c r="A1560" s="39" t="n">
        <v>1555</v>
      </c>
      <c r="B1560" s="33">
        <f>IF(C1560="","",IF(P1560="À RENSEIGNER","GIC",P1560)&amp;"-C"&amp;TEXT(A1560,"00000"))</f>
        <v/>
      </c>
      <c r="C1560" s="32" t="n"/>
      <c r="D1560" s="36" t="n"/>
      <c r="E1560" s="36" t="n"/>
      <c r="F1560" s="36" t="n"/>
      <c r="G1560" s="42" t="n"/>
      <c r="H1560" s="37" t="n"/>
      <c r="I1560" s="37" t="n"/>
      <c r="J1560" s="32" t="n"/>
      <c r="K1560" s="32" t="n"/>
      <c r="L1560" s="43" t="n"/>
      <c r="M1560" s="36" t="n"/>
      <c r="N1560" s="44" t="n"/>
      <c r="O1560" s="36" t="n"/>
      <c r="P1560" s="33">
        <f>IF(C1560="","",Commercial_Id)</f>
        <v/>
      </c>
      <c r="Q1560" s="34">
        <f>IF(AC1560="","",IF(AD1560=1,"C"&amp;TEXT(SUM(AD$6:AD1560),"0000"),INDEX(Q$6:Q1559,MATCH(AC1560,AC$6:AC1559,0))))</f>
        <v/>
      </c>
      <c r="R1560" s="34">
        <f>IF(C1560="","",IF(L1560="☑ Oui","Annulée",IF(OR(E1560="Vente directe",K1560&lt;&gt;""),"Livrée",IF(J1560&lt;&gt;"","Confirmée","En attente"))))</f>
        <v/>
      </c>
      <c r="S1560" s="34">
        <f>IF(F1560="","",IFERROR(VLOOKUP(F1560,T_Produits,2,FALSE),""))</f>
        <v/>
      </c>
      <c r="T1560" s="40">
        <f>IF(F1560="","",IFERROR(1/(1/VLOOKUP(F1560,T_Produits,3,FALSE)),""))</f>
        <v/>
      </c>
      <c r="U1560" s="40">
        <f>IF(H1560&lt;&gt;"",H1560,T1560)</f>
        <v/>
      </c>
      <c r="V1560" s="40">
        <f>IF(OR(G1560="",U1560=""),"",G1560*U1560-N(I1560))</f>
        <v/>
      </c>
      <c r="W1560" s="39">
        <f>IF(D1560="","",IFERROR(VALUE(MID(D1560,LEN(D1560)-3,3)),""))</f>
        <v/>
      </c>
      <c r="X1560" s="33">
        <f>IF(W1560="","",P1560&amp;"|"&amp;W1560)</f>
        <v/>
      </c>
      <c r="Y1560" s="33">
        <f>IF(W1560="","",IF(P1560="À RENSEIGNER","GIC",P1560)&amp;"-"&amp;TEXT(W1560,"000"))</f>
        <v/>
      </c>
      <c r="Z1560" s="33">
        <f>IF(X1560="","",IFERROR(INDEX(Cl_nom,MATCH(X1560,Cl_cle,0)),"(client introuvable)"))</f>
        <v/>
      </c>
      <c r="AA1560" s="33">
        <f>IF(X1560="","",IFERROR(INDEX(Cl_quartier,MATCH(X1560,Cl_cle,0))&amp;"",""))</f>
        <v/>
      </c>
      <c r="AB1560" s="45">
        <f>IF(R1560&lt;&gt;"Livrée",0,IF(K1560&lt;&gt;"",K1560,C1560))</f>
        <v/>
      </c>
      <c r="AC1560" s="33">
        <f>IF(OR(C1560="",W1560=""),"",P1560&amp;"|"&amp;W1560&amp;"|"&amp;C1560&amp;"|"&amp;E1560)</f>
        <v/>
      </c>
      <c r="AD1560" s="39">
        <f>IF(AC1560="","",IF(COUNTIF(AC$6:AC1560,AC1560)=1,1,0))</f>
        <v/>
      </c>
      <c r="AE1560" s="39">
        <f>IF(AB1560=0,"",IF(COUNTIFS(X$6:X1560,X1560,AB$6:AB1560,AB1560)=1,1,0))</f>
        <v/>
      </c>
      <c r="AF1560" s="34">
        <f>IF(C1560="","",YEAR(C1560-WEEKDAY(C1560,2)+4)&amp;"-S"&amp;TEXT(INT((C1560-DATE(YEAR(C1560-WEEKDAY(C1560,2)+4),1,3)+WEEKDAY(DATE(YEAR(C1560-WEEKDAY(C1560,2)+4),1,3),2)+5)/7),"00"))</f>
        <v/>
      </c>
    </row>
    <row r="1561" ht="18" customHeight="1">
      <c r="A1561" s="39" t="n">
        <v>1556</v>
      </c>
      <c r="B1561" s="33">
        <f>IF(C1561="","",IF(P1561="À RENSEIGNER","GIC",P1561)&amp;"-C"&amp;TEXT(A1561,"00000"))</f>
        <v/>
      </c>
      <c r="C1561" s="32" t="n"/>
      <c r="D1561" s="36" t="n"/>
      <c r="E1561" s="36" t="n"/>
      <c r="F1561" s="36" t="n"/>
      <c r="G1561" s="42" t="n"/>
      <c r="H1561" s="37" t="n"/>
      <c r="I1561" s="37" t="n"/>
      <c r="J1561" s="32" t="n"/>
      <c r="K1561" s="32" t="n"/>
      <c r="L1561" s="43" t="n"/>
      <c r="M1561" s="36" t="n"/>
      <c r="N1561" s="44" t="n"/>
      <c r="O1561" s="36" t="n"/>
      <c r="P1561" s="33">
        <f>IF(C1561="","",Commercial_Id)</f>
        <v/>
      </c>
      <c r="Q1561" s="34">
        <f>IF(AC1561="","",IF(AD1561=1,"C"&amp;TEXT(SUM(AD$6:AD1561),"0000"),INDEX(Q$6:Q1560,MATCH(AC1561,AC$6:AC1560,0))))</f>
        <v/>
      </c>
      <c r="R1561" s="34">
        <f>IF(C1561="","",IF(L1561="☑ Oui","Annulée",IF(OR(E1561="Vente directe",K1561&lt;&gt;""),"Livrée",IF(J1561&lt;&gt;"","Confirmée","En attente"))))</f>
        <v/>
      </c>
      <c r="S1561" s="34">
        <f>IF(F1561="","",IFERROR(VLOOKUP(F1561,T_Produits,2,FALSE),""))</f>
        <v/>
      </c>
      <c r="T1561" s="40">
        <f>IF(F1561="","",IFERROR(1/(1/VLOOKUP(F1561,T_Produits,3,FALSE)),""))</f>
        <v/>
      </c>
      <c r="U1561" s="40">
        <f>IF(H1561&lt;&gt;"",H1561,T1561)</f>
        <v/>
      </c>
      <c r="V1561" s="40">
        <f>IF(OR(G1561="",U1561=""),"",G1561*U1561-N(I1561))</f>
        <v/>
      </c>
      <c r="W1561" s="39">
        <f>IF(D1561="","",IFERROR(VALUE(MID(D1561,LEN(D1561)-3,3)),""))</f>
        <v/>
      </c>
      <c r="X1561" s="33">
        <f>IF(W1561="","",P1561&amp;"|"&amp;W1561)</f>
        <v/>
      </c>
      <c r="Y1561" s="33">
        <f>IF(W1561="","",IF(P1561="À RENSEIGNER","GIC",P1561)&amp;"-"&amp;TEXT(W1561,"000"))</f>
        <v/>
      </c>
      <c r="Z1561" s="33">
        <f>IF(X1561="","",IFERROR(INDEX(Cl_nom,MATCH(X1561,Cl_cle,0)),"(client introuvable)"))</f>
        <v/>
      </c>
      <c r="AA1561" s="33">
        <f>IF(X1561="","",IFERROR(INDEX(Cl_quartier,MATCH(X1561,Cl_cle,0))&amp;"",""))</f>
        <v/>
      </c>
      <c r="AB1561" s="45">
        <f>IF(R1561&lt;&gt;"Livrée",0,IF(K1561&lt;&gt;"",K1561,C1561))</f>
        <v/>
      </c>
      <c r="AC1561" s="33">
        <f>IF(OR(C1561="",W1561=""),"",P1561&amp;"|"&amp;W1561&amp;"|"&amp;C1561&amp;"|"&amp;E1561)</f>
        <v/>
      </c>
      <c r="AD1561" s="39">
        <f>IF(AC1561="","",IF(COUNTIF(AC$6:AC1561,AC1561)=1,1,0))</f>
        <v/>
      </c>
      <c r="AE1561" s="39">
        <f>IF(AB1561=0,"",IF(COUNTIFS(X$6:X1561,X1561,AB$6:AB1561,AB1561)=1,1,0))</f>
        <v/>
      </c>
      <c r="AF1561" s="34">
        <f>IF(C1561="","",YEAR(C1561-WEEKDAY(C1561,2)+4)&amp;"-S"&amp;TEXT(INT((C1561-DATE(YEAR(C1561-WEEKDAY(C1561,2)+4),1,3)+WEEKDAY(DATE(YEAR(C1561-WEEKDAY(C1561,2)+4),1,3),2)+5)/7),"00"))</f>
        <v/>
      </c>
    </row>
    <row r="1562" ht="18" customHeight="1">
      <c r="A1562" s="39" t="n">
        <v>1557</v>
      </c>
      <c r="B1562" s="33">
        <f>IF(C1562="","",IF(P1562="À RENSEIGNER","GIC",P1562)&amp;"-C"&amp;TEXT(A1562,"00000"))</f>
        <v/>
      </c>
      <c r="C1562" s="32" t="n"/>
      <c r="D1562" s="36" t="n"/>
      <c r="E1562" s="36" t="n"/>
      <c r="F1562" s="36" t="n"/>
      <c r="G1562" s="42" t="n"/>
      <c r="H1562" s="37" t="n"/>
      <c r="I1562" s="37" t="n"/>
      <c r="J1562" s="32" t="n"/>
      <c r="K1562" s="32" t="n"/>
      <c r="L1562" s="43" t="n"/>
      <c r="M1562" s="36" t="n"/>
      <c r="N1562" s="44" t="n"/>
      <c r="O1562" s="36" t="n"/>
      <c r="P1562" s="33">
        <f>IF(C1562="","",Commercial_Id)</f>
        <v/>
      </c>
      <c r="Q1562" s="34">
        <f>IF(AC1562="","",IF(AD1562=1,"C"&amp;TEXT(SUM(AD$6:AD1562),"0000"),INDEX(Q$6:Q1561,MATCH(AC1562,AC$6:AC1561,0))))</f>
        <v/>
      </c>
      <c r="R1562" s="34">
        <f>IF(C1562="","",IF(L1562="☑ Oui","Annulée",IF(OR(E1562="Vente directe",K1562&lt;&gt;""),"Livrée",IF(J1562&lt;&gt;"","Confirmée","En attente"))))</f>
        <v/>
      </c>
      <c r="S1562" s="34">
        <f>IF(F1562="","",IFERROR(VLOOKUP(F1562,T_Produits,2,FALSE),""))</f>
        <v/>
      </c>
      <c r="T1562" s="40">
        <f>IF(F1562="","",IFERROR(1/(1/VLOOKUP(F1562,T_Produits,3,FALSE)),""))</f>
        <v/>
      </c>
      <c r="U1562" s="40">
        <f>IF(H1562&lt;&gt;"",H1562,T1562)</f>
        <v/>
      </c>
      <c r="V1562" s="40">
        <f>IF(OR(G1562="",U1562=""),"",G1562*U1562-N(I1562))</f>
        <v/>
      </c>
      <c r="W1562" s="39">
        <f>IF(D1562="","",IFERROR(VALUE(MID(D1562,LEN(D1562)-3,3)),""))</f>
        <v/>
      </c>
      <c r="X1562" s="33">
        <f>IF(W1562="","",P1562&amp;"|"&amp;W1562)</f>
        <v/>
      </c>
      <c r="Y1562" s="33">
        <f>IF(W1562="","",IF(P1562="À RENSEIGNER","GIC",P1562)&amp;"-"&amp;TEXT(W1562,"000"))</f>
        <v/>
      </c>
      <c r="Z1562" s="33">
        <f>IF(X1562="","",IFERROR(INDEX(Cl_nom,MATCH(X1562,Cl_cle,0)),"(client introuvable)"))</f>
        <v/>
      </c>
      <c r="AA1562" s="33">
        <f>IF(X1562="","",IFERROR(INDEX(Cl_quartier,MATCH(X1562,Cl_cle,0))&amp;"",""))</f>
        <v/>
      </c>
      <c r="AB1562" s="45">
        <f>IF(R1562&lt;&gt;"Livrée",0,IF(K1562&lt;&gt;"",K1562,C1562))</f>
        <v/>
      </c>
      <c r="AC1562" s="33">
        <f>IF(OR(C1562="",W1562=""),"",P1562&amp;"|"&amp;W1562&amp;"|"&amp;C1562&amp;"|"&amp;E1562)</f>
        <v/>
      </c>
      <c r="AD1562" s="39">
        <f>IF(AC1562="","",IF(COUNTIF(AC$6:AC1562,AC1562)=1,1,0))</f>
        <v/>
      </c>
      <c r="AE1562" s="39">
        <f>IF(AB1562=0,"",IF(COUNTIFS(X$6:X1562,X1562,AB$6:AB1562,AB1562)=1,1,0))</f>
        <v/>
      </c>
      <c r="AF1562" s="34">
        <f>IF(C1562="","",YEAR(C1562-WEEKDAY(C1562,2)+4)&amp;"-S"&amp;TEXT(INT((C1562-DATE(YEAR(C1562-WEEKDAY(C1562,2)+4),1,3)+WEEKDAY(DATE(YEAR(C1562-WEEKDAY(C1562,2)+4),1,3),2)+5)/7),"00"))</f>
        <v/>
      </c>
    </row>
    <row r="1563" ht="18" customHeight="1">
      <c r="A1563" s="39" t="n">
        <v>1558</v>
      </c>
      <c r="B1563" s="33">
        <f>IF(C1563="","",IF(P1563="À RENSEIGNER","GIC",P1563)&amp;"-C"&amp;TEXT(A1563,"00000"))</f>
        <v/>
      </c>
      <c r="C1563" s="32" t="n"/>
      <c r="D1563" s="36" t="n"/>
      <c r="E1563" s="36" t="n"/>
      <c r="F1563" s="36" t="n"/>
      <c r="G1563" s="42" t="n"/>
      <c r="H1563" s="37" t="n"/>
      <c r="I1563" s="37" t="n"/>
      <c r="J1563" s="32" t="n"/>
      <c r="K1563" s="32" t="n"/>
      <c r="L1563" s="43" t="n"/>
      <c r="M1563" s="36" t="n"/>
      <c r="N1563" s="44" t="n"/>
      <c r="O1563" s="36" t="n"/>
      <c r="P1563" s="33">
        <f>IF(C1563="","",Commercial_Id)</f>
        <v/>
      </c>
      <c r="Q1563" s="34">
        <f>IF(AC1563="","",IF(AD1563=1,"C"&amp;TEXT(SUM(AD$6:AD1563),"0000"),INDEX(Q$6:Q1562,MATCH(AC1563,AC$6:AC1562,0))))</f>
        <v/>
      </c>
      <c r="R1563" s="34">
        <f>IF(C1563="","",IF(L1563="☑ Oui","Annulée",IF(OR(E1563="Vente directe",K1563&lt;&gt;""),"Livrée",IF(J1563&lt;&gt;"","Confirmée","En attente"))))</f>
        <v/>
      </c>
      <c r="S1563" s="34">
        <f>IF(F1563="","",IFERROR(VLOOKUP(F1563,T_Produits,2,FALSE),""))</f>
        <v/>
      </c>
      <c r="T1563" s="40">
        <f>IF(F1563="","",IFERROR(1/(1/VLOOKUP(F1563,T_Produits,3,FALSE)),""))</f>
        <v/>
      </c>
      <c r="U1563" s="40">
        <f>IF(H1563&lt;&gt;"",H1563,T1563)</f>
        <v/>
      </c>
      <c r="V1563" s="40">
        <f>IF(OR(G1563="",U1563=""),"",G1563*U1563-N(I1563))</f>
        <v/>
      </c>
      <c r="W1563" s="39">
        <f>IF(D1563="","",IFERROR(VALUE(MID(D1563,LEN(D1563)-3,3)),""))</f>
        <v/>
      </c>
      <c r="X1563" s="33">
        <f>IF(W1563="","",P1563&amp;"|"&amp;W1563)</f>
        <v/>
      </c>
      <c r="Y1563" s="33">
        <f>IF(W1563="","",IF(P1563="À RENSEIGNER","GIC",P1563)&amp;"-"&amp;TEXT(W1563,"000"))</f>
        <v/>
      </c>
      <c r="Z1563" s="33">
        <f>IF(X1563="","",IFERROR(INDEX(Cl_nom,MATCH(X1563,Cl_cle,0)),"(client introuvable)"))</f>
        <v/>
      </c>
      <c r="AA1563" s="33">
        <f>IF(X1563="","",IFERROR(INDEX(Cl_quartier,MATCH(X1563,Cl_cle,0))&amp;"",""))</f>
        <v/>
      </c>
      <c r="AB1563" s="45">
        <f>IF(R1563&lt;&gt;"Livrée",0,IF(K1563&lt;&gt;"",K1563,C1563))</f>
        <v/>
      </c>
      <c r="AC1563" s="33">
        <f>IF(OR(C1563="",W1563=""),"",P1563&amp;"|"&amp;W1563&amp;"|"&amp;C1563&amp;"|"&amp;E1563)</f>
        <v/>
      </c>
      <c r="AD1563" s="39">
        <f>IF(AC1563="","",IF(COUNTIF(AC$6:AC1563,AC1563)=1,1,0))</f>
        <v/>
      </c>
      <c r="AE1563" s="39">
        <f>IF(AB1563=0,"",IF(COUNTIFS(X$6:X1563,X1563,AB$6:AB1563,AB1563)=1,1,0))</f>
        <v/>
      </c>
      <c r="AF1563" s="34">
        <f>IF(C1563="","",YEAR(C1563-WEEKDAY(C1563,2)+4)&amp;"-S"&amp;TEXT(INT((C1563-DATE(YEAR(C1563-WEEKDAY(C1563,2)+4),1,3)+WEEKDAY(DATE(YEAR(C1563-WEEKDAY(C1563,2)+4),1,3),2)+5)/7),"00"))</f>
        <v/>
      </c>
    </row>
    <row r="1564" ht="18" customHeight="1">
      <c r="A1564" s="39" t="n">
        <v>1559</v>
      </c>
      <c r="B1564" s="33">
        <f>IF(C1564="","",IF(P1564="À RENSEIGNER","GIC",P1564)&amp;"-C"&amp;TEXT(A1564,"00000"))</f>
        <v/>
      </c>
      <c r="C1564" s="32" t="n"/>
      <c r="D1564" s="36" t="n"/>
      <c r="E1564" s="36" t="n"/>
      <c r="F1564" s="36" t="n"/>
      <c r="G1564" s="42" t="n"/>
      <c r="H1564" s="37" t="n"/>
      <c r="I1564" s="37" t="n"/>
      <c r="J1564" s="32" t="n"/>
      <c r="K1564" s="32" t="n"/>
      <c r="L1564" s="43" t="n"/>
      <c r="M1564" s="36" t="n"/>
      <c r="N1564" s="44" t="n"/>
      <c r="O1564" s="36" t="n"/>
      <c r="P1564" s="33">
        <f>IF(C1564="","",Commercial_Id)</f>
        <v/>
      </c>
      <c r="Q1564" s="34">
        <f>IF(AC1564="","",IF(AD1564=1,"C"&amp;TEXT(SUM(AD$6:AD1564),"0000"),INDEX(Q$6:Q1563,MATCH(AC1564,AC$6:AC1563,0))))</f>
        <v/>
      </c>
      <c r="R1564" s="34">
        <f>IF(C1564="","",IF(L1564="☑ Oui","Annulée",IF(OR(E1564="Vente directe",K1564&lt;&gt;""),"Livrée",IF(J1564&lt;&gt;"","Confirmée","En attente"))))</f>
        <v/>
      </c>
      <c r="S1564" s="34">
        <f>IF(F1564="","",IFERROR(VLOOKUP(F1564,T_Produits,2,FALSE),""))</f>
        <v/>
      </c>
      <c r="T1564" s="40">
        <f>IF(F1564="","",IFERROR(1/(1/VLOOKUP(F1564,T_Produits,3,FALSE)),""))</f>
        <v/>
      </c>
      <c r="U1564" s="40">
        <f>IF(H1564&lt;&gt;"",H1564,T1564)</f>
        <v/>
      </c>
      <c r="V1564" s="40">
        <f>IF(OR(G1564="",U1564=""),"",G1564*U1564-N(I1564))</f>
        <v/>
      </c>
      <c r="W1564" s="39">
        <f>IF(D1564="","",IFERROR(VALUE(MID(D1564,LEN(D1564)-3,3)),""))</f>
        <v/>
      </c>
      <c r="X1564" s="33">
        <f>IF(W1564="","",P1564&amp;"|"&amp;W1564)</f>
        <v/>
      </c>
      <c r="Y1564" s="33">
        <f>IF(W1564="","",IF(P1564="À RENSEIGNER","GIC",P1564)&amp;"-"&amp;TEXT(W1564,"000"))</f>
        <v/>
      </c>
      <c r="Z1564" s="33">
        <f>IF(X1564="","",IFERROR(INDEX(Cl_nom,MATCH(X1564,Cl_cle,0)),"(client introuvable)"))</f>
        <v/>
      </c>
      <c r="AA1564" s="33">
        <f>IF(X1564="","",IFERROR(INDEX(Cl_quartier,MATCH(X1564,Cl_cle,0))&amp;"",""))</f>
        <v/>
      </c>
      <c r="AB1564" s="45">
        <f>IF(R1564&lt;&gt;"Livrée",0,IF(K1564&lt;&gt;"",K1564,C1564))</f>
        <v/>
      </c>
      <c r="AC1564" s="33">
        <f>IF(OR(C1564="",W1564=""),"",P1564&amp;"|"&amp;W1564&amp;"|"&amp;C1564&amp;"|"&amp;E1564)</f>
        <v/>
      </c>
      <c r="AD1564" s="39">
        <f>IF(AC1564="","",IF(COUNTIF(AC$6:AC1564,AC1564)=1,1,0))</f>
        <v/>
      </c>
      <c r="AE1564" s="39">
        <f>IF(AB1564=0,"",IF(COUNTIFS(X$6:X1564,X1564,AB$6:AB1564,AB1564)=1,1,0))</f>
        <v/>
      </c>
      <c r="AF1564" s="34">
        <f>IF(C1564="","",YEAR(C1564-WEEKDAY(C1564,2)+4)&amp;"-S"&amp;TEXT(INT((C1564-DATE(YEAR(C1564-WEEKDAY(C1564,2)+4),1,3)+WEEKDAY(DATE(YEAR(C1564-WEEKDAY(C1564,2)+4),1,3),2)+5)/7),"00"))</f>
        <v/>
      </c>
    </row>
    <row r="1565" ht="18" customHeight="1">
      <c r="A1565" s="39" t="n">
        <v>1560</v>
      </c>
      <c r="B1565" s="33">
        <f>IF(C1565="","",IF(P1565="À RENSEIGNER","GIC",P1565)&amp;"-C"&amp;TEXT(A1565,"00000"))</f>
        <v/>
      </c>
      <c r="C1565" s="32" t="n"/>
      <c r="D1565" s="36" t="n"/>
      <c r="E1565" s="36" t="n"/>
      <c r="F1565" s="36" t="n"/>
      <c r="G1565" s="42" t="n"/>
      <c r="H1565" s="37" t="n"/>
      <c r="I1565" s="37" t="n"/>
      <c r="J1565" s="32" t="n"/>
      <c r="K1565" s="32" t="n"/>
      <c r="L1565" s="43" t="n"/>
      <c r="M1565" s="36" t="n"/>
      <c r="N1565" s="44" t="n"/>
      <c r="O1565" s="36" t="n"/>
      <c r="P1565" s="33">
        <f>IF(C1565="","",Commercial_Id)</f>
        <v/>
      </c>
      <c r="Q1565" s="34">
        <f>IF(AC1565="","",IF(AD1565=1,"C"&amp;TEXT(SUM(AD$6:AD1565),"0000"),INDEX(Q$6:Q1564,MATCH(AC1565,AC$6:AC1564,0))))</f>
        <v/>
      </c>
      <c r="R1565" s="34">
        <f>IF(C1565="","",IF(L1565="☑ Oui","Annulée",IF(OR(E1565="Vente directe",K1565&lt;&gt;""),"Livrée",IF(J1565&lt;&gt;"","Confirmée","En attente"))))</f>
        <v/>
      </c>
      <c r="S1565" s="34">
        <f>IF(F1565="","",IFERROR(VLOOKUP(F1565,T_Produits,2,FALSE),""))</f>
        <v/>
      </c>
      <c r="T1565" s="40">
        <f>IF(F1565="","",IFERROR(1/(1/VLOOKUP(F1565,T_Produits,3,FALSE)),""))</f>
        <v/>
      </c>
      <c r="U1565" s="40">
        <f>IF(H1565&lt;&gt;"",H1565,T1565)</f>
        <v/>
      </c>
      <c r="V1565" s="40">
        <f>IF(OR(G1565="",U1565=""),"",G1565*U1565-N(I1565))</f>
        <v/>
      </c>
      <c r="W1565" s="39">
        <f>IF(D1565="","",IFERROR(VALUE(MID(D1565,LEN(D1565)-3,3)),""))</f>
        <v/>
      </c>
      <c r="X1565" s="33">
        <f>IF(W1565="","",P1565&amp;"|"&amp;W1565)</f>
        <v/>
      </c>
      <c r="Y1565" s="33">
        <f>IF(W1565="","",IF(P1565="À RENSEIGNER","GIC",P1565)&amp;"-"&amp;TEXT(W1565,"000"))</f>
        <v/>
      </c>
      <c r="Z1565" s="33">
        <f>IF(X1565="","",IFERROR(INDEX(Cl_nom,MATCH(X1565,Cl_cle,0)),"(client introuvable)"))</f>
        <v/>
      </c>
      <c r="AA1565" s="33">
        <f>IF(X1565="","",IFERROR(INDEX(Cl_quartier,MATCH(X1565,Cl_cle,0))&amp;"",""))</f>
        <v/>
      </c>
      <c r="AB1565" s="45">
        <f>IF(R1565&lt;&gt;"Livrée",0,IF(K1565&lt;&gt;"",K1565,C1565))</f>
        <v/>
      </c>
      <c r="AC1565" s="33">
        <f>IF(OR(C1565="",W1565=""),"",P1565&amp;"|"&amp;W1565&amp;"|"&amp;C1565&amp;"|"&amp;E1565)</f>
        <v/>
      </c>
      <c r="AD1565" s="39">
        <f>IF(AC1565="","",IF(COUNTIF(AC$6:AC1565,AC1565)=1,1,0))</f>
        <v/>
      </c>
      <c r="AE1565" s="39">
        <f>IF(AB1565=0,"",IF(COUNTIFS(X$6:X1565,X1565,AB$6:AB1565,AB1565)=1,1,0))</f>
        <v/>
      </c>
      <c r="AF1565" s="34">
        <f>IF(C1565="","",YEAR(C1565-WEEKDAY(C1565,2)+4)&amp;"-S"&amp;TEXT(INT((C1565-DATE(YEAR(C1565-WEEKDAY(C1565,2)+4),1,3)+WEEKDAY(DATE(YEAR(C1565-WEEKDAY(C1565,2)+4),1,3),2)+5)/7),"00"))</f>
        <v/>
      </c>
    </row>
    <row r="1566" ht="18" customHeight="1">
      <c r="A1566" s="39" t="n">
        <v>1561</v>
      </c>
      <c r="B1566" s="33">
        <f>IF(C1566="","",IF(P1566="À RENSEIGNER","GIC",P1566)&amp;"-C"&amp;TEXT(A1566,"00000"))</f>
        <v/>
      </c>
      <c r="C1566" s="32" t="n"/>
      <c r="D1566" s="36" t="n"/>
      <c r="E1566" s="36" t="n"/>
      <c r="F1566" s="36" t="n"/>
      <c r="G1566" s="42" t="n"/>
      <c r="H1566" s="37" t="n"/>
      <c r="I1566" s="37" t="n"/>
      <c r="J1566" s="32" t="n"/>
      <c r="K1566" s="32" t="n"/>
      <c r="L1566" s="43" t="n"/>
      <c r="M1566" s="36" t="n"/>
      <c r="N1566" s="44" t="n"/>
      <c r="O1566" s="36" t="n"/>
      <c r="P1566" s="33">
        <f>IF(C1566="","",Commercial_Id)</f>
        <v/>
      </c>
      <c r="Q1566" s="34">
        <f>IF(AC1566="","",IF(AD1566=1,"C"&amp;TEXT(SUM(AD$6:AD1566),"0000"),INDEX(Q$6:Q1565,MATCH(AC1566,AC$6:AC1565,0))))</f>
        <v/>
      </c>
      <c r="R1566" s="34">
        <f>IF(C1566="","",IF(L1566="☑ Oui","Annulée",IF(OR(E1566="Vente directe",K1566&lt;&gt;""),"Livrée",IF(J1566&lt;&gt;"","Confirmée","En attente"))))</f>
        <v/>
      </c>
      <c r="S1566" s="34">
        <f>IF(F1566="","",IFERROR(VLOOKUP(F1566,T_Produits,2,FALSE),""))</f>
        <v/>
      </c>
      <c r="T1566" s="40">
        <f>IF(F1566="","",IFERROR(1/(1/VLOOKUP(F1566,T_Produits,3,FALSE)),""))</f>
        <v/>
      </c>
      <c r="U1566" s="40">
        <f>IF(H1566&lt;&gt;"",H1566,T1566)</f>
        <v/>
      </c>
      <c r="V1566" s="40">
        <f>IF(OR(G1566="",U1566=""),"",G1566*U1566-N(I1566))</f>
        <v/>
      </c>
      <c r="W1566" s="39">
        <f>IF(D1566="","",IFERROR(VALUE(MID(D1566,LEN(D1566)-3,3)),""))</f>
        <v/>
      </c>
      <c r="X1566" s="33">
        <f>IF(W1566="","",P1566&amp;"|"&amp;W1566)</f>
        <v/>
      </c>
      <c r="Y1566" s="33">
        <f>IF(W1566="","",IF(P1566="À RENSEIGNER","GIC",P1566)&amp;"-"&amp;TEXT(W1566,"000"))</f>
        <v/>
      </c>
      <c r="Z1566" s="33">
        <f>IF(X1566="","",IFERROR(INDEX(Cl_nom,MATCH(X1566,Cl_cle,0)),"(client introuvable)"))</f>
        <v/>
      </c>
      <c r="AA1566" s="33">
        <f>IF(X1566="","",IFERROR(INDEX(Cl_quartier,MATCH(X1566,Cl_cle,0))&amp;"",""))</f>
        <v/>
      </c>
      <c r="AB1566" s="45">
        <f>IF(R1566&lt;&gt;"Livrée",0,IF(K1566&lt;&gt;"",K1566,C1566))</f>
        <v/>
      </c>
      <c r="AC1566" s="33">
        <f>IF(OR(C1566="",W1566=""),"",P1566&amp;"|"&amp;W1566&amp;"|"&amp;C1566&amp;"|"&amp;E1566)</f>
        <v/>
      </c>
      <c r="AD1566" s="39">
        <f>IF(AC1566="","",IF(COUNTIF(AC$6:AC1566,AC1566)=1,1,0))</f>
        <v/>
      </c>
      <c r="AE1566" s="39">
        <f>IF(AB1566=0,"",IF(COUNTIFS(X$6:X1566,X1566,AB$6:AB1566,AB1566)=1,1,0))</f>
        <v/>
      </c>
      <c r="AF1566" s="34">
        <f>IF(C1566="","",YEAR(C1566-WEEKDAY(C1566,2)+4)&amp;"-S"&amp;TEXT(INT((C1566-DATE(YEAR(C1566-WEEKDAY(C1566,2)+4),1,3)+WEEKDAY(DATE(YEAR(C1566-WEEKDAY(C1566,2)+4),1,3),2)+5)/7),"00"))</f>
        <v/>
      </c>
    </row>
    <row r="1567" ht="18" customHeight="1">
      <c r="A1567" s="39" t="n">
        <v>1562</v>
      </c>
      <c r="B1567" s="33">
        <f>IF(C1567="","",IF(P1567="À RENSEIGNER","GIC",P1567)&amp;"-C"&amp;TEXT(A1567,"00000"))</f>
        <v/>
      </c>
      <c r="C1567" s="32" t="n"/>
      <c r="D1567" s="36" t="n"/>
      <c r="E1567" s="36" t="n"/>
      <c r="F1567" s="36" t="n"/>
      <c r="G1567" s="42" t="n"/>
      <c r="H1567" s="37" t="n"/>
      <c r="I1567" s="37" t="n"/>
      <c r="J1567" s="32" t="n"/>
      <c r="K1567" s="32" t="n"/>
      <c r="L1567" s="43" t="n"/>
      <c r="M1567" s="36" t="n"/>
      <c r="N1567" s="44" t="n"/>
      <c r="O1567" s="36" t="n"/>
      <c r="P1567" s="33">
        <f>IF(C1567="","",Commercial_Id)</f>
        <v/>
      </c>
      <c r="Q1567" s="34">
        <f>IF(AC1567="","",IF(AD1567=1,"C"&amp;TEXT(SUM(AD$6:AD1567),"0000"),INDEX(Q$6:Q1566,MATCH(AC1567,AC$6:AC1566,0))))</f>
        <v/>
      </c>
      <c r="R1567" s="34">
        <f>IF(C1567="","",IF(L1567="☑ Oui","Annulée",IF(OR(E1567="Vente directe",K1567&lt;&gt;""),"Livrée",IF(J1567&lt;&gt;"","Confirmée","En attente"))))</f>
        <v/>
      </c>
      <c r="S1567" s="34">
        <f>IF(F1567="","",IFERROR(VLOOKUP(F1567,T_Produits,2,FALSE),""))</f>
        <v/>
      </c>
      <c r="T1567" s="40">
        <f>IF(F1567="","",IFERROR(1/(1/VLOOKUP(F1567,T_Produits,3,FALSE)),""))</f>
        <v/>
      </c>
      <c r="U1567" s="40">
        <f>IF(H1567&lt;&gt;"",H1567,T1567)</f>
        <v/>
      </c>
      <c r="V1567" s="40">
        <f>IF(OR(G1567="",U1567=""),"",G1567*U1567-N(I1567))</f>
        <v/>
      </c>
      <c r="W1567" s="39">
        <f>IF(D1567="","",IFERROR(VALUE(MID(D1567,LEN(D1567)-3,3)),""))</f>
        <v/>
      </c>
      <c r="X1567" s="33">
        <f>IF(W1567="","",P1567&amp;"|"&amp;W1567)</f>
        <v/>
      </c>
      <c r="Y1567" s="33">
        <f>IF(W1567="","",IF(P1567="À RENSEIGNER","GIC",P1567)&amp;"-"&amp;TEXT(W1567,"000"))</f>
        <v/>
      </c>
      <c r="Z1567" s="33">
        <f>IF(X1567="","",IFERROR(INDEX(Cl_nom,MATCH(X1567,Cl_cle,0)),"(client introuvable)"))</f>
        <v/>
      </c>
      <c r="AA1567" s="33">
        <f>IF(X1567="","",IFERROR(INDEX(Cl_quartier,MATCH(X1567,Cl_cle,0))&amp;"",""))</f>
        <v/>
      </c>
      <c r="AB1567" s="45">
        <f>IF(R1567&lt;&gt;"Livrée",0,IF(K1567&lt;&gt;"",K1567,C1567))</f>
        <v/>
      </c>
      <c r="AC1567" s="33">
        <f>IF(OR(C1567="",W1567=""),"",P1567&amp;"|"&amp;W1567&amp;"|"&amp;C1567&amp;"|"&amp;E1567)</f>
        <v/>
      </c>
      <c r="AD1567" s="39">
        <f>IF(AC1567="","",IF(COUNTIF(AC$6:AC1567,AC1567)=1,1,0))</f>
        <v/>
      </c>
      <c r="AE1567" s="39">
        <f>IF(AB1567=0,"",IF(COUNTIFS(X$6:X1567,X1567,AB$6:AB1567,AB1567)=1,1,0))</f>
        <v/>
      </c>
      <c r="AF1567" s="34">
        <f>IF(C1567="","",YEAR(C1567-WEEKDAY(C1567,2)+4)&amp;"-S"&amp;TEXT(INT((C1567-DATE(YEAR(C1567-WEEKDAY(C1567,2)+4),1,3)+WEEKDAY(DATE(YEAR(C1567-WEEKDAY(C1567,2)+4),1,3),2)+5)/7),"00"))</f>
        <v/>
      </c>
    </row>
    <row r="1568" ht="18" customHeight="1">
      <c r="A1568" s="39" t="n">
        <v>1563</v>
      </c>
      <c r="B1568" s="33">
        <f>IF(C1568="","",IF(P1568="À RENSEIGNER","GIC",P1568)&amp;"-C"&amp;TEXT(A1568,"00000"))</f>
        <v/>
      </c>
      <c r="C1568" s="32" t="n"/>
      <c r="D1568" s="36" t="n"/>
      <c r="E1568" s="36" t="n"/>
      <c r="F1568" s="36" t="n"/>
      <c r="G1568" s="42" t="n"/>
      <c r="H1568" s="37" t="n"/>
      <c r="I1568" s="37" t="n"/>
      <c r="J1568" s="32" t="n"/>
      <c r="K1568" s="32" t="n"/>
      <c r="L1568" s="43" t="n"/>
      <c r="M1568" s="36" t="n"/>
      <c r="N1568" s="44" t="n"/>
      <c r="O1568" s="36" t="n"/>
      <c r="P1568" s="33">
        <f>IF(C1568="","",Commercial_Id)</f>
        <v/>
      </c>
      <c r="Q1568" s="34">
        <f>IF(AC1568="","",IF(AD1568=1,"C"&amp;TEXT(SUM(AD$6:AD1568),"0000"),INDEX(Q$6:Q1567,MATCH(AC1568,AC$6:AC1567,0))))</f>
        <v/>
      </c>
      <c r="R1568" s="34">
        <f>IF(C1568="","",IF(L1568="☑ Oui","Annulée",IF(OR(E1568="Vente directe",K1568&lt;&gt;""),"Livrée",IF(J1568&lt;&gt;"","Confirmée","En attente"))))</f>
        <v/>
      </c>
      <c r="S1568" s="34">
        <f>IF(F1568="","",IFERROR(VLOOKUP(F1568,T_Produits,2,FALSE),""))</f>
        <v/>
      </c>
      <c r="T1568" s="40">
        <f>IF(F1568="","",IFERROR(1/(1/VLOOKUP(F1568,T_Produits,3,FALSE)),""))</f>
        <v/>
      </c>
      <c r="U1568" s="40">
        <f>IF(H1568&lt;&gt;"",H1568,T1568)</f>
        <v/>
      </c>
      <c r="V1568" s="40">
        <f>IF(OR(G1568="",U1568=""),"",G1568*U1568-N(I1568))</f>
        <v/>
      </c>
      <c r="W1568" s="39">
        <f>IF(D1568="","",IFERROR(VALUE(MID(D1568,LEN(D1568)-3,3)),""))</f>
        <v/>
      </c>
      <c r="X1568" s="33">
        <f>IF(W1568="","",P1568&amp;"|"&amp;W1568)</f>
        <v/>
      </c>
      <c r="Y1568" s="33">
        <f>IF(W1568="","",IF(P1568="À RENSEIGNER","GIC",P1568)&amp;"-"&amp;TEXT(W1568,"000"))</f>
        <v/>
      </c>
      <c r="Z1568" s="33">
        <f>IF(X1568="","",IFERROR(INDEX(Cl_nom,MATCH(X1568,Cl_cle,0)),"(client introuvable)"))</f>
        <v/>
      </c>
      <c r="AA1568" s="33">
        <f>IF(X1568="","",IFERROR(INDEX(Cl_quartier,MATCH(X1568,Cl_cle,0))&amp;"",""))</f>
        <v/>
      </c>
      <c r="AB1568" s="45">
        <f>IF(R1568&lt;&gt;"Livrée",0,IF(K1568&lt;&gt;"",K1568,C1568))</f>
        <v/>
      </c>
      <c r="AC1568" s="33">
        <f>IF(OR(C1568="",W1568=""),"",P1568&amp;"|"&amp;W1568&amp;"|"&amp;C1568&amp;"|"&amp;E1568)</f>
        <v/>
      </c>
      <c r="AD1568" s="39">
        <f>IF(AC1568="","",IF(COUNTIF(AC$6:AC1568,AC1568)=1,1,0))</f>
        <v/>
      </c>
      <c r="AE1568" s="39">
        <f>IF(AB1568=0,"",IF(COUNTIFS(X$6:X1568,X1568,AB$6:AB1568,AB1568)=1,1,0))</f>
        <v/>
      </c>
      <c r="AF1568" s="34">
        <f>IF(C1568="","",YEAR(C1568-WEEKDAY(C1568,2)+4)&amp;"-S"&amp;TEXT(INT((C1568-DATE(YEAR(C1568-WEEKDAY(C1568,2)+4),1,3)+WEEKDAY(DATE(YEAR(C1568-WEEKDAY(C1568,2)+4),1,3),2)+5)/7),"00"))</f>
        <v/>
      </c>
    </row>
    <row r="1569" ht="18" customHeight="1">
      <c r="A1569" s="39" t="n">
        <v>1564</v>
      </c>
      <c r="B1569" s="33">
        <f>IF(C1569="","",IF(P1569="À RENSEIGNER","GIC",P1569)&amp;"-C"&amp;TEXT(A1569,"00000"))</f>
        <v/>
      </c>
      <c r="C1569" s="32" t="n"/>
      <c r="D1569" s="36" t="n"/>
      <c r="E1569" s="36" t="n"/>
      <c r="F1569" s="36" t="n"/>
      <c r="G1569" s="42" t="n"/>
      <c r="H1569" s="37" t="n"/>
      <c r="I1569" s="37" t="n"/>
      <c r="J1569" s="32" t="n"/>
      <c r="K1569" s="32" t="n"/>
      <c r="L1569" s="43" t="n"/>
      <c r="M1569" s="36" t="n"/>
      <c r="N1569" s="44" t="n"/>
      <c r="O1569" s="36" t="n"/>
      <c r="P1569" s="33">
        <f>IF(C1569="","",Commercial_Id)</f>
        <v/>
      </c>
      <c r="Q1569" s="34">
        <f>IF(AC1569="","",IF(AD1569=1,"C"&amp;TEXT(SUM(AD$6:AD1569),"0000"),INDEX(Q$6:Q1568,MATCH(AC1569,AC$6:AC1568,0))))</f>
        <v/>
      </c>
      <c r="R1569" s="34">
        <f>IF(C1569="","",IF(L1569="☑ Oui","Annulée",IF(OR(E1569="Vente directe",K1569&lt;&gt;""),"Livrée",IF(J1569&lt;&gt;"","Confirmée","En attente"))))</f>
        <v/>
      </c>
      <c r="S1569" s="34">
        <f>IF(F1569="","",IFERROR(VLOOKUP(F1569,T_Produits,2,FALSE),""))</f>
        <v/>
      </c>
      <c r="T1569" s="40">
        <f>IF(F1569="","",IFERROR(1/(1/VLOOKUP(F1569,T_Produits,3,FALSE)),""))</f>
        <v/>
      </c>
      <c r="U1569" s="40">
        <f>IF(H1569&lt;&gt;"",H1569,T1569)</f>
        <v/>
      </c>
      <c r="V1569" s="40">
        <f>IF(OR(G1569="",U1569=""),"",G1569*U1569-N(I1569))</f>
        <v/>
      </c>
      <c r="W1569" s="39">
        <f>IF(D1569="","",IFERROR(VALUE(MID(D1569,LEN(D1569)-3,3)),""))</f>
        <v/>
      </c>
      <c r="X1569" s="33">
        <f>IF(W1569="","",P1569&amp;"|"&amp;W1569)</f>
        <v/>
      </c>
      <c r="Y1569" s="33">
        <f>IF(W1569="","",IF(P1569="À RENSEIGNER","GIC",P1569)&amp;"-"&amp;TEXT(W1569,"000"))</f>
        <v/>
      </c>
      <c r="Z1569" s="33">
        <f>IF(X1569="","",IFERROR(INDEX(Cl_nom,MATCH(X1569,Cl_cle,0)),"(client introuvable)"))</f>
        <v/>
      </c>
      <c r="AA1569" s="33">
        <f>IF(X1569="","",IFERROR(INDEX(Cl_quartier,MATCH(X1569,Cl_cle,0))&amp;"",""))</f>
        <v/>
      </c>
      <c r="AB1569" s="45">
        <f>IF(R1569&lt;&gt;"Livrée",0,IF(K1569&lt;&gt;"",K1569,C1569))</f>
        <v/>
      </c>
      <c r="AC1569" s="33">
        <f>IF(OR(C1569="",W1569=""),"",P1569&amp;"|"&amp;W1569&amp;"|"&amp;C1569&amp;"|"&amp;E1569)</f>
        <v/>
      </c>
      <c r="AD1569" s="39">
        <f>IF(AC1569="","",IF(COUNTIF(AC$6:AC1569,AC1569)=1,1,0))</f>
        <v/>
      </c>
      <c r="AE1569" s="39">
        <f>IF(AB1569=0,"",IF(COUNTIFS(X$6:X1569,X1569,AB$6:AB1569,AB1569)=1,1,0))</f>
        <v/>
      </c>
      <c r="AF1569" s="34">
        <f>IF(C1569="","",YEAR(C1569-WEEKDAY(C1569,2)+4)&amp;"-S"&amp;TEXT(INT((C1569-DATE(YEAR(C1569-WEEKDAY(C1569,2)+4),1,3)+WEEKDAY(DATE(YEAR(C1569-WEEKDAY(C1569,2)+4),1,3),2)+5)/7),"00"))</f>
        <v/>
      </c>
    </row>
    <row r="1570" ht="18" customHeight="1">
      <c r="A1570" s="39" t="n">
        <v>1565</v>
      </c>
      <c r="B1570" s="33">
        <f>IF(C1570="","",IF(P1570="À RENSEIGNER","GIC",P1570)&amp;"-C"&amp;TEXT(A1570,"00000"))</f>
        <v/>
      </c>
      <c r="C1570" s="32" t="n"/>
      <c r="D1570" s="36" t="n"/>
      <c r="E1570" s="36" t="n"/>
      <c r="F1570" s="36" t="n"/>
      <c r="G1570" s="42" t="n"/>
      <c r="H1570" s="37" t="n"/>
      <c r="I1570" s="37" t="n"/>
      <c r="J1570" s="32" t="n"/>
      <c r="K1570" s="32" t="n"/>
      <c r="L1570" s="43" t="n"/>
      <c r="M1570" s="36" t="n"/>
      <c r="N1570" s="44" t="n"/>
      <c r="O1570" s="36" t="n"/>
      <c r="P1570" s="33">
        <f>IF(C1570="","",Commercial_Id)</f>
        <v/>
      </c>
      <c r="Q1570" s="34">
        <f>IF(AC1570="","",IF(AD1570=1,"C"&amp;TEXT(SUM(AD$6:AD1570),"0000"),INDEX(Q$6:Q1569,MATCH(AC1570,AC$6:AC1569,0))))</f>
        <v/>
      </c>
      <c r="R1570" s="34">
        <f>IF(C1570="","",IF(L1570="☑ Oui","Annulée",IF(OR(E1570="Vente directe",K1570&lt;&gt;""),"Livrée",IF(J1570&lt;&gt;"","Confirmée","En attente"))))</f>
        <v/>
      </c>
      <c r="S1570" s="34">
        <f>IF(F1570="","",IFERROR(VLOOKUP(F1570,T_Produits,2,FALSE),""))</f>
        <v/>
      </c>
      <c r="T1570" s="40">
        <f>IF(F1570="","",IFERROR(1/(1/VLOOKUP(F1570,T_Produits,3,FALSE)),""))</f>
        <v/>
      </c>
      <c r="U1570" s="40">
        <f>IF(H1570&lt;&gt;"",H1570,T1570)</f>
        <v/>
      </c>
      <c r="V1570" s="40">
        <f>IF(OR(G1570="",U1570=""),"",G1570*U1570-N(I1570))</f>
        <v/>
      </c>
      <c r="W1570" s="39">
        <f>IF(D1570="","",IFERROR(VALUE(MID(D1570,LEN(D1570)-3,3)),""))</f>
        <v/>
      </c>
      <c r="X1570" s="33">
        <f>IF(W1570="","",P1570&amp;"|"&amp;W1570)</f>
        <v/>
      </c>
      <c r="Y1570" s="33">
        <f>IF(W1570="","",IF(P1570="À RENSEIGNER","GIC",P1570)&amp;"-"&amp;TEXT(W1570,"000"))</f>
        <v/>
      </c>
      <c r="Z1570" s="33">
        <f>IF(X1570="","",IFERROR(INDEX(Cl_nom,MATCH(X1570,Cl_cle,0)),"(client introuvable)"))</f>
        <v/>
      </c>
      <c r="AA1570" s="33">
        <f>IF(X1570="","",IFERROR(INDEX(Cl_quartier,MATCH(X1570,Cl_cle,0))&amp;"",""))</f>
        <v/>
      </c>
      <c r="AB1570" s="45">
        <f>IF(R1570&lt;&gt;"Livrée",0,IF(K1570&lt;&gt;"",K1570,C1570))</f>
        <v/>
      </c>
      <c r="AC1570" s="33">
        <f>IF(OR(C1570="",W1570=""),"",P1570&amp;"|"&amp;W1570&amp;"|"&amp;C1570&amp;"|"&amp;E1570)</f>
        <v/>
      </c>
      <c r="AD1570" s="39">
        <f>IF(AC1570="","",IF(COUNTIF(AC$6:AC1570,AC1570)=1,1,0))</f>
        <v/>
      </c>
      <c r="AE1570" s="39">
        <f>IF(AB1570=0,"",IF(COUNTIFS(X$6:X1570,X1570,AB$6:AB1570,AB1570)=1,1,0))</f>
        <v/>
      </c>
      <c r="AF1570" s="34">
        <f>IF(C1570="","",YEAR(C1570-WEEKDAY(C1570,2)+4)&amp;"-S"&amp;TEXT(INT((C1570-DATE(YEAR(C1570-WEEKDAY(C1570,2)+4),1,3)+WEEKDAY(DATE(YEAR(C1570-WEEKDAY(C1570,2)+4),1,3),2)+5)/7),"00"))</f>
        <v/>
      </c>
    </row>
    <row r="1571" ht="18" customHeight="1">
      <c r="A1571" s="39" t="n">
        <v>1566</v>
      </c>
      <c r="B1571" s="33">
        <f>IF(C1571="","",IF(P1571="À RENSEIGNER","GIC",P1571)&amp;"-C"&amp;TEXT(A1571,"00000"))</f>
        <v/>
      </c>
      <c r="C1571" s="32" t="n"/>
      <c r="D1571" s="36" t="n"/>
      <c r="E1571" s="36" t="n"/>
      <c r="F1571" s="36" t="n"/>
      <c r="G1571" s="42" t="n"/>
      <c r="H1571" s="37" t="n"/>
      <c r="I1571" s="37" t="n"/>
      <c r="J1571" s="32" t="n"/>
      <c r="K1571" s="32" t="n"/>
      <c r="L1571" s="43" t="n"/>
      <c r="M1571" s="36" t="n"/>
      <c r="N1571" s="44" t="n"/>
      <c r="O1571" s="36" t="n"/>
      <c r="P1571" s="33">
        <f>IF(C1571="","",Commercial_Id)</f>
        <v/>
      </c>
      <c r="Q1571" s="34">
        <f>IF(AC1571="","",IF(AD1571=1,"C"&amp;TEXT(SUM(AD$6:AD1571),"0000"),INDEX(Q$6:Q1570,MATCH(AC1571,AC$6:AC1570,0))))</f>
        <v/>
      </c>
      <c r="R1571" s="34">
        <f>IF(C1571="","",IF(L1571="☑ Oui","Annulée",IF(OR(E1571="Vente directe",K1571&lt;&gt;""),"Livrée",IF(J1571&lt;&gt;"","Confirmée","En attente"))))</f>
        <v/>
      </c>
      <c r="S1571" s="34">
        <f>IF(F1571="","",IFERROR(VLOOKUP(F1571,T_Produits,2,FALSE),""))</f>
        <v/>
      </c>
      <c r="T1571" s="40">
        <f>IF(F1571="","",IFERROR(1/(1/VLOOKUP(F1571,T_Produits,3,FALSE)),""))</f>
        <v/>
      </c>
      <c r="U1571" s="40">
        <f>IF(H1571&lt;&gt;"",H1571,T1571)</f>
        <v/>
      </c>
      <c r="V1571" s="40">
        <f>IF(OR(G1571="",U1571=""),"",G1571*U1571-N(I1571))</f>
        <v/>
      </c>
      <c r="W1571" s="39">
        <f>IF(D1571="","",IFERROR(VALUE(MID(D1571,LEN(D1571)-3,3)),""))</f>
        <v/>
      </c>
      <c r="X1571" s="33">
        <f>IF(W1571="","",P1571&amp;"|"&amp;W1571)</f>
        <v/>
      </c>
      <c r="Y1571" s="33">
        <f>IF(W1571="","",IF(P1571="À RENSEIGNER","GIC",P1571)&amp;"-"&amp;TEXT(W1571,"000"))</f>
        <v/>
      </c>
      <c r="Z1571" s="33">
        <f>IF(X1571="","",IFERROR(INDEX(Cl_nom,MATCH(X1571,Cl_cle,0)),"(client introuvable)"))</f>
        <v/>
      </c>
      <c r="AA1571" s="33">
        <f>IF(X1571="","",IFERROR(INDEX(Cl_quartier,MATCH(X1571,Cl_cle,0))&amp;"",""))</f>
        <v/>
      </c>
      <c r="AB1571" s="45">
        <f>IF(R1571&lt;&gt;"Livrée",0,IF(K1571&lt;&gt;"",K1571,C1571))</f>
        <v/>
      </c>
      <c r="AC1571" s="33">
        <f>IF(OR(C1571="",W1571=""),"",P1571&amp;"|"&amp;W1571&amp;"|"&amp;C1571&amp;"|"&amp;E1571)</f>
        <v/>
      </c>
      <c r="AD1571" s="39">
        <f>IF(AC1571="","",IF(COUNTIF(AC$6:AC1571,AC1571)=1,1,0))</f>
        <v/>
      </c>
      <c r="AE1571" s="39">
        <f>IF(AB1571=0,"",IF(COUNTIFS(X$6:X1571,X1571,AB$6:AB1571,AB1571)=1,1,0))</f>
        <v/>
      </c>
      <c r="AF1571" s="34">
        <f>IF(C1571="","",YEAR(C1571-WEEKDAY(C1571,2)+4)&amp;"-S"&amp;TEXT(INT((C1571-DATE(YEAR(C1571-WEEKDAY(C1571,2)+4),1,3)+WEEKDAY(DATE(YEAR(C1571-WEEKDAY(C1571,2)+4),1,3),2)+5)/7),"00"))</f>
        <v/>
      </c>
    </row>
    <row r="1572" ht="18" customHeight="1">
      <c r="A1572" s="39" t="n">
        <v>1567</v>
      </c>
      <c r="B1572" s="33">
        <f>IF(C1572="","",IF(P1572="À RENSEIGNER","GIC",P1572)&amp;"-C"&amp;TEXT(A1572,"00000"))</f>
        <v/>
      </c>
      <c r="C1572" s="32" t="n"/>
      <c r="D1572" s="36" t="n"/>
      <c r="E1572" s="36" t="n"/>
      <c r="F1572" s="36" t="n"/>
      <c r="G1572" s="42" t="n"/>
      <c r="H1572" s="37" t="n"/>
      <c r="I1572" s="37" t="n"/>
      <c r="J1572" s="32" t="n"/>
      <c r="K1572" s="32" t="n"/>
      <c r="L1572" s="43" t="n"/>
      <c r="M1572" s="36" t="n"/>
      <c r="N1572" s="44" t="n"/>
      <c r="O1572" s="36" t="n"/>
      <c r="P1572" s="33">
        <f>IF(C1572="","",Commercial_Id)</f>
        <v/>
      </c>
      <c r="Q1572" s="34">
        <f>IF(AC1572="","",IF(AD1572=1,"C"&amp;TEXT(SUM(AD$6:AD1572),"0000"),INDEX(Q$6:Q1571,MATCH(AC1572,AC$6:AC1571,0))))</f>
        <v/>
      </c>
      <c r="R1572" s="34">
        <f>IF(C1572="","",IF(L1572="☑ Oui","Annulée",IF(OR(E1572="Vente directe",K1572&lt;&gt;""),"Livrée",IF(J1572&lt;&gt;"","Confirmée","En attente"))))</f>
        <v/>
      </c>
      <c r="S1572" s="34">
        <f>IF(F1572="","",IFERROR(VLOOKUP(F1572,T_Produits,2,FALSE),""))</f>
        <v/>
      </c>
      <c r="T1572" s="40">
        <f>IF(F1572="","",IFERROR(1/(1/VLOOKUP(F1572,T_Produits,3,FALSE)),""))</f>
        <v/>
      </c>
      <c r="U1572" s="40">
        <f>IF(H1572&lt;&gt;"",H1572,T1572)</f>
        <v/>
      </c>
      <c r="V1572" s="40">
        <f>IF(OR(G1572="",U1572=""),"",G1572*U1572-N(I1572))</f>
        <v/>
      </c>
      <c r="W1572" s="39">
        <f>IF(D1572="","",IFERROR(VALUE(MID(D1572,LEN(D1572)-3,3)),""))</f>
        <v/>
      </c>
      <c r="X1572" s="33">
        <f>IF(W1572="","",P1572&amp;"|"&amp;W1572)</f>
        <v/>
      </c>
      <c r="Y1572" s="33">
        <f>IF(W1572="","",IF(P1572="À RENSEIGNER","GIC",P1572)&amp;"-"&amp;TEXT(W1572,"000"))</f>
        <v/>
      </c>
      <c r="Z1572" s="33">
        <f>IF(X1572="","",IFERROR(INDEX(Cl_nom,MATCH(X1572,Cl_cle,0)),"(client introuvable)"))</f>
        <v/>
      </c>
      <c r="AA1572" s="33">
        <f>IF(X1572="","",IFERROR(INDEX(Cl_quartier,MATCH(X1572,Cl_cle,0))&amp;"",""))</f>
        <v/>
      </c>
      <c r="AB1572" s="45">
        <f>IF(R1572&lt;&gt;"Livrée",0,IF(K1572&lt;&gt;"",K1572,C1572))</f>
        <v/>
      </c>
      <c r="AC1572" s="33">
        <f>IF(OR(C1572="",W1572=""),"",P1572&amp;"|"&amp;W1572&amp;"|"&amp;C1572&amp;"|"&amp;E1572)</f>
        <v/>
      </c>
      <c r="AD1572" s="39">
        <f>IF(AC1572="","",IF(COUNTIF(AC$6:AC1572,AC1572)=1,1,0))</f>
        <v/>
      </c>
      <c r="AE1572" s="39">
        <f>IF(AB1572=0,"",IF(COUNTIFS(X$6:X1572,X1572,AB$6:AB1572,AB1572)=1,1,0))</f>
        <v/>
      </c>
      <c r="AF1572" s="34">
        <f>IF(C1572="","",YEAR(C1572-WEEKDAY(C1572,2)+4)&amp;"-S"&amp;TEXT(INT((C1572-DATE(YEAR(C1572-WEEKDAY(C1572,2)+4),1,3)+WEEKDAY(DATE(YEAR(C1572-WEEKDAY(C1572,2)+4),1,3),2)+5)/7),"00"))</f>
        <v/>
      </c>
    </row>
    <row r="1573" ht="18" customHeight="1">
      <c r="A1573" s="39" t="n">
        <v>1568</v>
      </c>
      <c r="B1573" s="33">
        <f>IF(C1573="","",IF(P1573="À RENSEIGNER","GIC",P1573)&amp;"-C"&amp;TEXT(A1573,"00000"))</f>
        <v/>
      </c>
      <c r="C1573" s="32" t="n"/>
      <c r="D1573" s="36" t="n"/>
      <c r="E1573" s="36" t="n"/>
      <c r="F1573" s="36" t="n"/>
      <c r="G1573" s="42" t="n"/>
      <c r="H1573" s="37" t="n"/>
      <c r="I1573" s="37" t="n"/>
      <c r="J1573" s="32" t="n"/>
      <c r="K1573" s="32" t="n"/>
      <c r="L1573" s="43" t="n"/>
      <c r="M1573" s="36" t="n"/>
      <c r="N1573" s="44" t="n"/>
      <c r="O1573" s="36" t="n"/>
      <c r="P1573" s="33">
        <f>IF(C1573="","",Commercial_Id)</f>
        <v/>
      </c>
      <c r="Q1573" s="34">
        <f>IF(AC1573="","",IF(AD1573=1,"C"&amp;TEXT(SUM(AD$6:AD1573),"0000"),INDEX(Q$6:Q1572,MATCH(AC1573,AC$6:AC1572,0))))</f>
        <v/>
      </c>
      <c r="R1573" s="34">
        <f>IF(C1573="","",IF(L1573="☑ Oui","Annulée",IF(OR(E1573="Vente directe",K1573&lt;&gt;""),"Livrée",IF(J1573&lt;&gt;"","Confirmée","En attente"))))</f>
        <v/>
      </c>
      <c r="S1573" s="34">
        <f>IF(F1573="","",IFERROR(VLOOKUP(F1573,T_Produits,2,FALSE),""))</f>
        <v/>
      </c>
      <c r="T1573" s="40">
        <f>IF(F1573="","",IFERROR(1/(1/VLOOKUP(F1573,T_Produits,3,FALSE)),""))</f>
        <v/>
      </c>
      <c r="U1573" s="40">
        <f>IF(H1573&lt;&gt;"",H1573,T1573)</f>
        <v/>
      </c>
      <c r="V1573" s="40">
        <f>IF(OR(G1573="",U1573=""),"",G1573*U1573-N(I1573))</f>
        <v/>
      </c>
      <c r="W1573" s="39">
        <f>IF(D1573="","",IFERROR(VALUE(MID(D1573,LEN(D1573)-3,3)),""))</f>
        <v/>
      </c>
      <c r="X1573" s="33">
        <f>IF(W1573="","",P1573&amp;"|"&amp;W1573)</f>
        <v/>
      </c>
      <c r="Y1573" s="33">
        <f>IF(W1573="","",IF(P1573="À RENSEIGNER","GIC",P1573)&amp;"-"&amp;TEXT(W1573,"000"))</f>
        <v/>
      </c>
      <c r="Z1573" s="33">
        <f>IF(X1573="","",IFERROR(INDEX(Cl_nom,MATCH(X1573,Cl_cle,0)),"(client introuvable)"))</f>
        <v/>
      </c>
      <c r="AA1573" s="33">
        <f>IF(X1573="","",IFERROR(INDEX(Cl_quartier,MATCH(X1573,Cl_cle,0))&amp;"",""))</f>
        <v/>
      </c>
      <c r="AB1573" s="45">
        <f>IF(R1573&lt;&gt;"Livrée",0,IF(K1573&lt;&gt;"",K1573,C1573))</f>
        <v/>
      </c>
      <c r="AC1573" s="33">
        <f>IF(OR(C1573="",W1573=""),"",P1573&amp;"|"&amp;W1573&amp;"|"&amp;C1573&amp;"|"&amp;E1573)</f>
        <v/>
      </c>
      <c r="AD1573" s="39">
        <f>IF(AC1573="","",IF(COUNTIF(AC$6:AC1573,AC1573)=1,1,0))</f>
        <v/>
      </c>
      <c r="AE1573" s="39">
        <f>IF(AB1573=0,"",IF(COUNTIFS(X$6:X1573,X1573,AB$6:AB1573,AB1573)=1,1,0))</f>
        <v/>
      </c>
      <c r="AF1573" s="34">
        <f>IF(C1573="","",YEAR(C1573-WEEKDAY(C1573,2)+4)&amp;"-S"&amp;TEXT(INT((C1573-DATE(YEAR(C1573-WEEKDAY(C1573,2)+4),1,3)+WEEKDAY(DATE(YEAR(C1573-WEEKDAY(C1573,2)+4),1,3),2)+5)/7),"00"))</f>
        <v/>
      </c>
    </row>
    <row r="1574" ht="18" customHeight="1">
      <c r="A1574" s="39" t="n">
        <v>1569</v>
      </c>
      <c r="B1574" s="33">
        <f>IF(C1574="","",IF(P1574="À RENSEIGNER","GIC",P1574)&amp;"-C"&amp;TEXT(A1574,"00000"))</f>
        <v/>
      </c>
      <c r="C1574" s="32" t="n"/>
      <c r="D1574" s="36" t="n"/>
      <c r="E1574" s="36" t="n"/>
      <c r="F1574" s="36" t="n"/>
      <c r="G1574" s="42" t="n"/>
      <c r="H1574" s="37" t="n"/>
      <c r="I1574" s="37" t="n"/>
      <c r="J1574" s="32" t="n"/>
      <c r="K1574" s="32" t="n"/>
      <c r="L1574" s="43" t="n"/>
      <c r="M1574" s="36" t="n"/>
      <c r="N1574" s="44" t="n"/>
      <c r="O1574" s="36" t="n"/>
      <c r="P1574" s="33">
        <f>IF(C1574="","",Commercial_Id)</f>
        <v/>
      </c>
      <c r="Q1574" s="34">
        <f>IF(AC1574="","",IF(AD1574=1,"C"&amp;TEXT(SUM(AD$6:AD1574),"0000"),INDEX(Q$6:Q1573,MATCH(AC1574,AC$6:AC1573,0))))</f>
        <v/>
      </c>
      <c r="R1574" s="34">
        <f>IF(C1574="","",IF(L1574="☑ Oui","Annulée",IF(OR(E1574="Vente directe",K1574&lt;&gt;""),"Livrée",IF(J1574&lt;&gt;"","Confirmée","En attente"))))</f>
        <v/>
      </c>
      <c r="S1574" s="34">
        <f>IF(F1574="","",IFERROR(VLOOKUP(F1574,T_Produits,2,FALSE),""))</f>
        <v/>
      </c>
      <c r="T1574" s="40">
        <f>IF(F1574="","",IFERROR(1/(1/VLOOKUP(F1574,T_Produits,3,FALSE)),""))</f>
        <v/>
      </c>
      <c r="U1574" s="40">
        <f>IF(H1574&lt;&gt;"",H1574,T1574)</f>
        <v/>
      </c>
      <c r="V1574" s="40">
        <f>IF(OR(G1574="",U1574=""),"",G1574*U1574-N(I1574))</f>
        <v/>
      </c>
      <c r="W1574" s="39">
        <f>IF(D1574="","",IFERROR(VALUE(MID(D1574,LEN(D1574)-3,3)),""))</f>
        <v/>
      </c>
      <c r="X1574" s="33">
        <f>IF(W1574="","",P1574&amp;"|"&amp;W1574)</f>
        <v/>
      </c>
      <c r="Y1574" s="33">
        <f>IF(W1574="","",IF(P1574="À RENSEIGNER","GIC",P1574)&amp;"-"&amp;TEXT(W1574,"000"))</f>
        <v/>
      </c>
      <c r="Z1574" s="33">
        <f>IF(X1574="","",IFERROR(INDEX(Cl_nom,MATCH(X1574,Cl_cle,0)),"(client introuvable)"))</f>
        <v/>
      </c>
      <c r="AA1574" s="33">
        <f>IF(X1574="","",IFERROR(INDEX(Cl_quartier,MATCH(X1574,Cl_cle,0))&amp;"",""))</f>
        <v/>
      </c>
      <c r="AB1574" s="45">
        <f>IF(R1574&lt;&gt;"Livrée",0,IF(K1574&lt;&gt;"",K1574,C1574))</f>
        <v/>
      </c>
      <c r="AC1574" s="33">
        <f>IF(OR(C1574="",W1574=""),"",P1574&amp;"|"&amp;W1574&amp;"|"&amp;C1574&amp;"|"&amp;E1574)</f>
        <v/>
      </c>
      <c r="AD1574" s="39">
        <f>IF(AC1574="","",IF(COUNTIF(AC$6:AC1574,AC1574)=1,1,0))</f>
        <v/>
      </c>
      <c r="AE1574" s="39">
        <f>IF(AB1574=0,"",IF(COUNTIFS(X$6:X1574,X1574,AB$6:AB1574,AB1574)=1,1,0))</f>
        <v/>
      </c>
      <c r="AF1574" s="34">
        <f>IF(C1574="","",YEAR(C1574-WEEKDAY(C1574,2)+4)&amp;"-S"&amp;TEXT(INT((C1574-DATE(YEAR(C1574-WEEKDAY(C1574,2)+4),1,3)+WEEKDAY(DATE(YEAR(C1574-WEEKDAY(C1574,2)+4),1,3),2)+5)/7),"00"))</f>
        <v/>
      </c>
    </row>
    <row r="1575" ht="18" customHeight="1">
      <c r="A1575" s="39" t="n">
        <v>1570</v>
      </c>
      <c r="B1575" s="33">
        <f>IF(C1575="","",IF(P1575="À RENSEIGNER","GIC",P1575)&amp;"-C"&amp;TEXT(A1575,"00000"))</f>
        <v/>
      </c>
      <c r="C1575" s="32" t="n"/>
      <c r="D1575" s="36" t="n"/>
      <c r="E1575" s="36" t="n"/>
      <c r="F1575" s="36" t="n"/>
      <c r="G1575" s="42" t="n"/>
      <c r="H1575" s="37" t="n"/>
      <c r="I1575" s="37" t="n"/>
      <c r="J1575" s="32" t="n"/>
      <c r="K1575" s="32" t="n"/>
      <c r="L1575" s="43" t="n"/>
      <c r="M1575" s="36" t="n"/>
      <c r="N1575" s="44" t="n"/>
      <c r="O1575" s="36" t="n"/>
      <c r="P1575" s="33">
        <f>IF(C1575="","",Commercial_Id)</f>
        <v/>
      </c>
      <c r="Q1575" s="34">
        <f>IF(AC1575="","",IF(AD1575=1,"C"&amp;TEXT(SUM(AD$6:AD1575),"0000"),INDEX(Q$6:Q1574,MATCH(AC1575,AC$6:AC1574,0))))</f>
        <v/>
      </c>
      <c r="R1575" s="34">
        <f>IF(C1575="","",IF(L1575="☑ Oui","Annulée",IF(OR(E1575="Vente directe",K1575&lt;&gt;""),"Livrée",IF(J1575&lt;&gt;"","Confirmée","En attente"))))</f>
        <v/>
      </c>
      <c r="S1575" s="34">
        <f>IF(F1575="","",IFERROR(VLOOKUP(F1575,T_Produits,2,FALSE),""))</f>
        <v/>
      </c>
      <c r="T1575" s="40">
        <f>IF(F1575="","",IFERROR(1/(1/VLOOKUP(F1575,T_Produits,3,FALSE)),""))</f>
        <v/>
      </c>
      <c r="U1575" s="40">
        <f>IF(H1575&lt;&gt;"",H1575,T1575)</f>
        <v/>
      </c>
      <c r="V1575" s="40">
        <f>IF(OR(G1575="",U1575=""),"",G1575*U1575-N(I1575))</f>
        <v/>
      </c>
      <c r="W1575" s="39">
        <f>IF(D1575="","",IFERROR(VALUE(MID(D1575,LEN(D1575)-3,3)),""))</f>
        <v/>
      </c>
      <c r="X1575" s="33">
        <f>IF(W1575="","",P1575&amp;"|"&amp;W1575)</f>
        <v/>
      </c>
      <c r="Y1575" s="33">
        <f>IF(W1575="","",IF(P1575="À RENSEIGNER","GIC",P1575)&amp;"-"&amp;TEXT(W1575,"000"))</f>
        <v/>
      </c>
      <c r="Z1575" s="33">
        <f>IF(X1575="","",IFERROR(INDEX(Cl_nom,MATCH(X1575,Cl_cle,0)),"(client introuvable)"))</f>
        <v/>
      </c>
      <c r="AA1575" s="33">
        <f>IF(X1575="","",IFERROR(INDEX(Cl_quartier,MATCH(X1575,Cl_cle,0))&amp;"",""))</f>
        <v/>
      </c>
      <c r="AB1575" s="45">
        <f>IF(R1575&lt;&gt;"Livrée",0,IF(K1575&lt;&gt;"",K1575,C1575))</f>
        <v/>
      </c>
      <c r="AC1575" s="33">
        <f>IF(OR(C1575="",W1575=""),"",P1575&amp;"|"&amp;W1575&amp;"|"&amp;C1575&amp;"|"&amp;E1575)</f>
        <v/>
      </c>
      <c r="AD1575" s="39">
        <f>IF(AC1575="","",IF(COUNTIF(AC$6:AC1575,AC1575)=1,1,0))</f>
        <v/>
      </c>
      <c r="AE1575" s="39">
        <f>IF(AB1575=0,"",IF(COUNTIFS(X$6:X1575,X1575,AB$6:AB1575,AB1575)=1,1,0))</f>
        <v/>
      </c>
      <c r="AF1575" s="34">
        <f>IF(C1575="","",YEAR(C1575-WEEKDAY(C1575,2)+4)&amp;"-S"&amp;TEXT(INT((C1575-DATE(YEAR(C1575-WEEKDAY(C1575,2)+4),1,3)+WEEKDAY(DATE(YEAR(C1575-WEEKDAY(C1575,2)+4),1,3),2)+5)/7),"00"))</f>
        <v/>
      </c>
    </row>
    <row r="1576" ht="18" customHeight="1">
      <c r="A1576" s="39" t="n">
        <v>1571</v>
      </c>
      <c r="B1576" s="33">
        <f>IF(C1576="","",IF(P1576="À RENSEIGNER","GIC",P1576)&amp;"-C"&amp;TEXT(A1576,"00000"))</f>
        <v/>
      </c>
      <c r="C1576" s="32" t="n"/>
      <c r="D1576" s="36" t="n"/>
      <c r="E1576" s="36" t="n"/>
      <c r="F1576" s="36" t="n"/>
      <c r="G1576" s="42" t="n"/>
      <c r="H1576" s="37" t="n"/>
      <c r="I1576" s="37" t="n"/>
      <c r="J1576" s="32" t="n"/>
      <c r="K1576" s="32" t="n"/>
      <c r="L1576" s="43" t="n"/>
      <c r="M1576" s="36" t="n"/>
      <c r="N1576" s="44" t="n"/>
      <c r="O1576" s="36" t="n"/>
      <c r="P1576" s="33">
        <f>IF(C1576="","",Commercial_Id)</f>
        <v/>
      </c>
      <c r="Q1576" s="34">
        <f>IF(AC1576="","",IF(AD1576=1,"C"&amp;TEXT(SUM(AD$6:AD1576),"0000"),INDEX(Q$6:Q1575,MATCH(AC1576,AC$6:AC1575,0))))</f>
        <v/>
      </c>
      <c r="R1576" s="34">
        <f>IF(C1576="","",IF(L1576="☑ Oui","Annulée",IF(OR(E1576="Vente directe",K1576&lt;&gt;""),"Livrée",IF(J1576&lt;&gt;"","Confirmée","En attente"))))</f>
        <v/>
      </c>
      <c r="S1576" s="34">
        <f>IF(F1576="","",IFERROR(VLOOKUP(F1576,T_Produits,2,FALSE),""))</f>
        <v/>
      </c>
      <c r="T1576" s="40">
        <f>IF(F1576="","",IFERROR(1/(1/VLOOKUP(F1576,T_Produits,3,FALSE)),""))</f>
        <v/>
      </c>
      <c r="U1576" s="40">
        <f>IF(H1576&lt;&gt;"",H1576,T1576)</f>
        <v/>
      </c>
      <c r="V1576" s="40">
        <f>IF(OR(G1576="",U1576=""),"",G1576*U1576-N(I1576))</f>
        <v/>
      </c>
      <c r="W1576" s="39">
        <f>IF(D1576="","",IFERROR(VALUE(MID(D1576,LEN(D1576)-3,3)),""))</f>
        <v/>
      </c>
      <c r="X1576" s="33">
        <f>IF(W1576="","",P1576&amp;"|"&amp;W1576)</f>
        <v/>
      </c>
      <c r="Y1576" s="33">
        <f>IF(W1576="","",IF(P1576="À RENSEIGNER","GIC",P1576)&amp;"-"&amp;TEXT(W1576,"000"))</f>
        <v/>
      </c>
      <c r="Z1576" s="33">
        <f>IF(X1576="","",IFERROR(INDEX(Cl_nom,MATCH(X1576,Cl_cle,0)),"(client introuvable)"))</f>
        <v/>
      </c>
      <c r="AA1576" s="33">
        <f>IF(X1576="","",IFERROR(INDEX(Cl_quartier,MATCH(X1576,Cl_cle,0))&amp;"",""))</f>
        <v/>
      </c>
      <c r="AB1576" s="45">
        <f>IF(R1576&lt;&gt;"Livrée",0,IF(K1576&lt;&gt;"",K1576,C1576))</f>
        <v/>
      </c>
      <c r="AC1576" s="33">
        <f>IF(OR(C1576="",W1576=""),"",P1576&amp;"|"&amp;W1576&amp;"|"&amp;C1576&amp;"|"&amp;E1576)</f>
        <v/>
      </c>
      <c r="AD1576" s="39">
        <f>IF(AC1576="","",IF(COUNTIF(AC$6:AC1576,AC1576)=1,1,0))</f>
        <v/>
      </c>
      <c r="AE1576" s="39">
        <f>IF(AB1576=0,"",IF(COUNTIFS(X$6:X1576,X1576,AB$6:AB1576,AB1576)=1,1,0))</f>
        <v/>
      </c>
      <c r="AF1576" s="34">
        <f>IF(C1576="","",YEAR(C1576-WEEKDAY(C1576,2)+4)&amp;"-S"&amp;TEXT(INT((C1576-DATE(YEAR(C1576-WEEKDAY(C1576,2)+4),1,3)+WEEKDAY(DATE(YEAR(C1576-WEEKDAY(C1576,2)+4),1,3),2)+5)/7),"00"))</f>
        <v/>
      </c>
    </row>
    <row r="1577" ht="18" customHeight="1">
      <c r="A1577" s="39" t="n">
        <v>1572</v>
      </c>
      <c r="B1577" s="33">
        <f>IF(C1577="","",IF(P1577="À RENSEIGNER","GIC",P1577)&amp;"-C"&amp;TEXT(A1577,"00000"))</f>
        <v/>
      </c>
      <c r="C1577" s="32" t="n"/>
      <c r="D1577" s="36" t="n"/>
      <c r="E1577" s="36" t="n"/>
      <c r="F1577" s="36" t="n"/>
      <c r="G1577" s="42" t="n"/>
      <c r="H1577" s="37" t="n"/>
      <c r="I1577" s="37" t="n"/>
      <c r="J1577" s="32" t="n"/>
      <c r="K1577" s="32" t="n"/>
      <c r="L1577" s="43" t="n"/>
      <c r="M1577" s="36" t="n"/>
      <c r="N1577" s="44" t="n"/>
      <c r="O1577" s="36" t="n"/>
      <c r="P1577" s="33">
        <f>IF(C1577="","",Commercial_Id)</f>
        <v/>
      </c>
      <c r="Q1577" s="34">
        <f>IF(AC1577="","",IF(AD1577=1,"C"&amp;TEXT(SUM(AD$6:AD1577),"0000"),INDEX(Q$6:Q1576,MATCH(AC1577,AC$6:AC1576,0))))</f>
        <v/>
      </c>
      <c r="R1577" s="34">
        <f>IF(C1577="","",IF(L1577="☑ Oui","Annulée",IF(OR(E1577="Vente directe",K1577&lt;&gt;""),"Livrée",IF(J1577&lt;&gt;"","Confirmée","En attente"))))</f>
        <v/>
      </c>
      <c r="S1577" s="34">
        <f>IF(F1577="","",IFERROR(VLOOKUP(F1577,T_Produits,2,FALSE),""))</f>
        <v/>
      </c>
      <c r="T1577" s="40">
        <f>IF(F1577="","",IFERROR(1/(1/VLOOKUP(F1577,T_Produits,3,FALSE)),""))</f>
        <v/>
      </c>
      <c r="U1577" s="40">
        <f>IF(H1577&lt;&gt;"",H1577,T1577)</f>
        <v/>
      </c>
      <c r="V1577" s="40">
        <f>IF(OR(G1577="",U1577=""),"",G1577*U1577-N(I1577))</f>
        <v/>
      </c>
      <c r="W1577" s="39">
        <f>IF(D1577="","",IFERROR(VALUE(MID(D1577,LEN(D1577)-3,3)),""))</f>
        <v/>
      </c>
      <c r="X1577" s="33">
        <f>IF(W1577="","",P1577&amp;"|"&amp;W1577)</f>
        <v/>
      </c>
      <c r="Y1577" s="33">
        <f>IF(W1577="","",IF(P1577="À RENSEIGNER","GIC",P1577)&amp;"-"&amp;TEXT(W1577,"000"))</f>
        <v/>
      </c>
      <c r="Z1577" s="33">
        <f>IF(X1577="","",IFERROR(INDEX(Cl_nom,MATCH(X1577,Cl_cle,0)),"(client introuvable)"))</f>
        <v/>
      </c>
      <c r="AA1577" s="33">
        <f>IF(X1577="","",IFERROR(INDEX(Cl_quartier,MATCH(X1577,Cl_cle,0))&amp;"",""))</f>
        <v/>
      </c>
      <c r="AB1577" s="45">
        <f>IF(R1577&lt;&gt;"Livrée",0,IF(K1577&lt;&gt;"",K1577,C1577))</f>
        <v/>
      </c>
      <c r="AC1577" s="33">
        <f>IF(OR(C1577="",W1577=""),"",P1577&amp;"|"&amp;W1577&amp;"|"&amp;C1577&amp;"|"&amp;E1577)</f>
        <v/>
      </c>
      <c r="AD1577" s="39">
        <f>IF(AC1577="","",IF(COUNTIF(AC$6:AC1577,AC1577)=1,1,0))</f>
        <v/>
      </c>
      <c r="AE1577" s="39">
        <f>IF(AB1577=0,"",IF(COUNTIFS(X$6:X1577,X1577,AB$6:AB1577,AB1577)=1,1,0))</f>
        <v/>
      </c>
      <c r="AF1577" s="34">
        <f>IF(C1577="","",YEAR(C1577-WEEKDAY(C1577,2)+4)&amp;"-S"&amp;TEXT(INT((C1577-DATE(YEAR(C1577-WEEKDAY(C1577,2)+4),1,3)+WEEKDAY(DATE(YEAR(C1577-WEEKDAY(C1577,2)+4),1,3),2)+5)/7),"00"))</f>
        <v/>
      </c>
    </row>
    <row r="1578" ht="18" customHeight="1">
      <c r="A1578" s="39" t="n">
        <v>1573</v>
      </c>
      <c r="B1578" s="33">
        <f>IF(C1578="","",IF(P1578="À RENSEIGNER","GIC",P1578)&amp;"-C"&amp;TEXT(A1578,"00000"))</f>
        <v/>
      </c>
      <c r="C1578" s="32" t="n"/>
      <c r="D1578" s="36" t="n"/>
      <c r="E1578" s="36" t="n"/>
      <c r="F1578" s="36" t="n"/>
      <c r="G1578" s="42" t="n"/>
      <c r="H1578" s="37" t="n"/>
      <c r="I1578" s="37" t="n"/>
      <c r="J1578" s="32" t="n"/>
      <c r="K1578" s="32" t="n"/>
      <c r="L1578" s="43" t="n"/>
      <c r="M1578" s="36" t="n"/>
      <c r="N1578" s="44" t="n"/>
      <c r="O1578" s="36" t="n"/>
      <c r="P1578" s="33">
        <f>IF(C1578="","",Commercial_Id)</f>
        <v/>
      </c>
      <c r="Q1578" s="34">
        <f>IF(AC1578="","",IF(AD1578=1,"C"&amp;TEXT(SUM(AD$6:AD1578),"0000"),INDEX(Q$6:Q1577,MATCH(AC1578,AC$6:AC1577,0))))</f>
        <v/>
      </c>
      <c r="R1578" s="34">
        <f>IF(C1578="","",IF(L1578="☑ Oui","Annulée",IF(OR(E1578="Vente directe",K1578&lt;&gt;""),"Livrée",IF(J1578&lt;&gt;"","Confirmée","En attente"))))</f>
        <v/>
      </c>
      <c r="S1578" s="34">
        <f>IF(F1578="","",IFERROR(VLOOKUP(F1578,T_Produits,2,FALSE),""))</f>
        <v/>
      </c>
      <c r="T1578" s="40">
        <f>IF(F1578="","",IFERROR(1/(1/VLOOKUP(F1578,T_Produits,3,FALSE)),""))</f>
        <v/>
      </c>
      <c r="U1578" s="40">
        <f>IF(H1578&lt;&gt;"",H1578,T1578)</f>
        <v/>
      </c>
      <c r="V1578" s="40">
        <f>IF(OR(G1578="",U1578=""),"",G1578*U1578-N(I1578))</f>
        <v/>
      </c>
      <c r="W1578" s="39">
        <f>IF(D1578="","",IFERROR(VALUE(MID(D1578,LEN(D1578)-3,3)),""))</f>
        <v/>
      </c>
      <c r="X1578" s="33">
        <f>IF(W1578="","",P1578&amp;"|"&amp;W1578)</f>
        <v/>
      </c>
      <c r="Y1578" s="33">
        <f>IF(W1578="","",IF(P1578="À RENSEIGNER","GIC",P1578)&amp;"-"&amp;TEXT(W1578,"000"))</f>
        <v/>
      </c>
      <c r="Z1578" s="33">
        <f>IF(X1578="","",IFERROR(INDEX(Cl_nom,MATCH(X1578,Cl_cle,0)),"(client introuvable)"))</f>
        <v/>
      </c>
      <c r="AA1578" s="33">
        <f>IF(X1578="","",IFERROR(INDEX(Cl_quartier,MATCH(X1578,Cl_cle,0))&amp;"",""))</f>
        <v/>
      </c>
      <c r="AB1578" s="45">
        <f>IF(R1578&lt;&gt;"Livrée",0,IF(K1578&lt;&gt;"",K1578,C1578))</f>
        <v/>
      </c>
      <c r="AC1578" s="33">
        <f>IF(OR(C1578="",W1578=""),"",P1578&amp;"|"&amp;W1578&amp;"|"&amp;C1578&amp;"|"&amp;E1578)</f>
        <v/>
      </c>
      <c r="AD1578" s="39">
        <f>IF(AC1578="","",IF(COUNTIF(AC$6:AC1578,AC1578)=1,1,0))</f>
        <v/>
      </c>
      <c r="AE1578" s="39">
        <f>IF(AB1578=0,"",IF(COUNTIFS(X$6:X1578,X1578,AB$6:AB1578,AB1578)=1,1,0))</f>
        <v/>
      </c>
      <c r="AF1578" s="34">
        <f>IF(C1578="","",YEAR(C1578-WEEKDAY(C1578,2)+4)&amp;"-S"&amp;TEXT(INT((C1578-DATE(YEAR(C1578-WEEKDAY(C1578,2)+4),1,3)+WEEKDAY(DATE(YEAR(C1578-WEEKDAY(C1578,2)+4),1,3),2)+5)/7),"00"))</f>
        <v/>
      </c>
    </row>
    <row r="1579" ht="18" customHeight="1">
      <c r="A1579" s="39" t="n">
        <v>1574</v>
      </c>
      <c r="B1579" s="33">
        <f>IF(C1579="","",IF(P1579="À RENSEIGNER","GIC",P1579)&amp;"-C"&amp;TEXT(A1579,"00000"))</f>
        <v/>
      </c>
      <c r="C1579" s="32" t="n"/>
      <c r="D1579" s="36" t="n"/>
      <c r="E1579" s="36" t="n"/>
      <c r="F1579" s="36" t="n"/>
      <c r="G1579" s="42" t="n"/>
      <c r="H1579" s="37" t="n"/>
      <c r="I1579" s="37" t="n"/>
      <c r="J1579" s="32" t="n"/>
      <c r="K1579" s="32" t="n"/>
      <c r="L1579" s="43" t="n"/>
      <c r="M1579" s="36" t="n"/>
      <c r="N1579" s="44" t="n"/>
      <c r="O1579" s="36" t="n"/>
      <c r="P1579" s="33">
        <f>IF(C1579="","",Commercial_Id)</f>
        <v/>
      </c>
      <c r="Q1579" s="34">
        <f>IF(AC1579="","",IF(AD1579=1,"C"&amp;TEXT(SUM(AD$6:AD1579),"0000"),INDEX(Q$6:Q1578,MATCH(AC1579,AC$6:AC1578,0))))</f>
        <v/>
      </c>
      <c r="R1579" s="34">
        <f>IF(C1579="","",IF(L1579="☑ Oui","Annulée",IF(OR(E1579="Vente directe",K1579&lt;&gt;""),"Livrée",IF(J1579&lt;&gt;"","Confirmée","En attente"))))</f>
        <v/>
      </c>
      <c r="S1579" s="34">
        <f>IF(F1579="","",IFERROR(VLOOKUP(F1579,T_Produits,2,FALSE),""))</f>
        <v/>
      </c>
      <c r="T1579" s="40">
        <f>IF(F1579="","",IFERROR(1/(1/VLOOKUP(F1579,T_Produits,3,FALSE)),""))</f>
        <v/>
      </c>
      <c r="U1579" s="40">
        <f>IF(H1579&lt;&gt;"",H1579,T1579)</f>
        <v/>
      </c>
      <c r="V1579" s="40">
        <f>IF(OR(G1579="",U1579=""),"",G1579*U1579-N(I1579))</f>
        <v/>
      </c>
      <c r="W1579" s="39">
        <f>IF(D1579="","",IFERROR(VALUE(MID(D1579,LEN(D1579)-3,3)),""))</f>
        <v/>
      </c>
      <c r="X1579" s="33">
        <f>IF(W1579="","",P1579&amp;"|"&amp;W1579)</f>
        <v/>
      </c>
      <c r="Y1579" s="33">
        <f>IF(W1579="","",IF(P1579="À RENSEIGNER","GIC",P1579)&amp;"-"&amp;TEXT(W1579,"000"))</f>
        <v/>
      </c>
      <c r="Z1579" s="33">
        <f>IF(X1579="","",IFERROR(INDEX(Cl_nom,MATCH(X1579,Cl_cle,0)),"(client introuvable)"))</f>
        <v/>
      </c>
      <c r="AA1579" s="33">
        <f>IF(X1579="","",IFERROR(INDEX(Cl_quartier,MATCH(X1579,Cl_cle,0))&amp;"",""))</f>
        <v/>
      </c>
      <c r="AB1579" s="45">
        <f>IF(R1579&lt;&gt;"Livrée",0,IF(K1579&lt;&gt;"",K1579,C1579))</f>
        <v/>
      </c>
      <c r="AC1579" s="33">
        <f>IF(OR(C1579="",W1579=""),"",P1579&amp;"|"&amp;W1579&amp;"|"&amp;C1579&amp;"|"&amp;E1579)</f>
        <v/>
      </c>
      <c r="AD1579" s="39">
        <f>IF(AC1579="","",IF(COUNTIF(AC$6:AC1579,AC1579)=1,1,0))</f>
        <v/>
      </c>
      <c r="AE1579" s="39">
        <f>IF(AB1579=0,"",IF(COUNTIFS(X$6:X1579,X1579,AB$6:AB1579,AB1579)=1,1,0))</f>
        <v/>
      </c>
      <c r="AF1579" s="34">
        <f>IF(C1579="","",YEAR(C1579-WEEKDAY(C1579,2)+4)&amp;"-S"&amp;TEXT(INT((C1579-DATE(YEAR(C1579-WEEKDAY(C1579,2)+4),1,3)+WEEKDAY(DATE(YEAR(C1579-WEEKDAY(C1579,2)+4),1,3),2)+5)/7),"00"))</f>
        <v/>
      </c>
    </row>
    <row r="1580" ht="18" customHeight="1">
      <c r="A1580" s="39" t="n">
        <v>1575</v>
      </c>
      <c r="B1580" s="33">
        <f>IF(C1580="","",IF(P1580="À RENSEIGNER","GIC",P1580)&amp;"-C"&amp;TEXT(A1580,"00000"))</f>
        <v/>
      </c>
      <c r="C1580" s="32" t="n"/>
      <c r="D1580" s="36" t="n"/>
      <c r="E1580" s="36" t="n"/>
      <c r="F1580" s="36" t="n"/>
      <c r="G1580" s="42" t="n"/>
      <c r="H1580" s="37" t="n"/>
      <c r="I1580" s="37" t="n"/>
      <c r="J1580" s="32" t="n"/>
      <c r="K1580" s="32" t="n"/>
      <c r="L1580" s="43" t="n"/>
      <c r="M1580" s="36" t="n"/>
      <c r="N1580" s="44" t="n"/>
      <c r="O1580" s="36" t="n"/>
      <c r="P1580" s="33">
        <f>IF(C1580="","",Commercial_Id)</f>
        <v/>
      </c>
      <c r="Q1580" s="34">
        <f>IF(AC1580="","",IF(AD1580=1,"C"&amp;TEXT(SUM(AD$6:AD1580),"0000"),INDEX(Q$6:Q1579,MATCH(AC1580,AC$6:AC1579,0))))</f>
        <v/>
      </c>
      <c r="R1580" s="34">
        <f>IF(C1580="","",IF(L1580="☑ Oui","Annulée",IF(OR(E1580="Vente directe",K1580&lt;&gt;""),"Livrée",IF(J1580&lt;&gt;"","Confirmée","En attente"))))</f>
        <v/>
      </c>
      <c r="S1580" s="34">
        <f>IF(F1580="","",IFERROR(VLOOKUP(F1580,T_Produits,2,FALSE),""))</f>
        <v/>
      </c>
      <c r="T1580" s="40">
        <f>IF(F1580="","",IFERROR(1/(1/VLOOKUP(F1580,T_Produits,3,FALSE)),""))</f>
        <v/>
      </c>
      <c r="U1580" s="40">
        <f>IF(H1580&lt;&gt;"",H1580,T1580)</f>
        <v/>
      </c>
      <c r="V1580" s="40">
        <f>IF(OR(G1580="",U1580=""),"",G1580*U1580-N(I1580))</f>
        <v/>
      </c>
      <c r="W1580" s="39">
        <f>IF(D1580="","",IFERROR(VALUE(MID(D1580,LEN(D1580)-3,3)),""))</f>
        <v/>
      </c>
      <c r="X1580" s="33">
        <f>IF(W1580="","",P1580&amp;"|"&amp;W1580)</f>
        <v/>
      </c>
      <c r="Y1580" s="33">
        <f>IF(W1580="","",IF(P1580="À RENSEIGNER","GIC",P1580)&amp;"-"&amp;TEXT(W1580,"000"))</f>
        <v/>
      </c>
      <c r="Z1580" s="33">
        <f>IF(X1580="","",IFERROR(INDEX(Cl_nom,MATCH(X1580,Cl_cle,0)),"(client introuvable)"))</f>
        <v/>
      </c>
      <c r="AA1580" s="33">
        <f>IF(X1580="","",IFERROR(INDEX(Cl_quartier,MATCH(X1580,Cl_cle,0))&amp;"",""))</f>
        <v/>
      </c>
      <c r="AB1580" s="45">
        <f>IF(R1580&lt;&gt;"Livrée",0,IF(K1580&lt;&gt;"",K1580,C1580))</f>
        <v/>
      </c>
      <c r="AC1580" s="33">
        <f>IF(OR(C1580="",W1580=""),"",P1580&amp;"|"&amp;W1580&amp;"|"&amp;C1580&amp;"|"&amp;E1580)</f>
        <v/>
      </c>
      <c r="AD1580" s="39">
        <f>IF(AC1580="","",IF(COUNTIF(AC$6:AC1580,AC1580)=1,1,0))</f>
        <v/>
      </c>
      <c r="AE1580" s="39">
        <f>IF(AB1580=0,"",IF(COUNTIFS(X$6:X1580,X1580,AB$6:AB1580,AB1580)=1,1,0))</f>
        <v/>
      </c>
      <c r="AF1580" s="34">
        <f>IF(C1580="","",YEAR(C1580-WEEKDAY(C1580,2)+4)&amp;"-S"&amp;TEXT(INT((C1580-DATE(YEAR(C1580-WEEKDAY(C1580,2)+4),1,3)+WEEKDAY(DATE(YEAR(C1580-WEEKDAY(C1580,2)+4),1,3),2)+5)/7),"00"))</f>
        <v/>
      </c>
    </row>
    <row r="1581" ht="18" customHeight="1">
      <c r="A1581" s="39" t="n">
        <v>1576</v>
      </c>
      <c r="B1581" s="33">
        <f>IF(C1581="","",IF(P1581="À RENSEIGNER","GIC",P1581)&amp;"-C"&amp;TEXT(A1581,"00000"))</f>
        <v/>
      </c>
      <c r="C1581" s="32" t="n"/>
      <c r="D1581" s="36" t="n"/>
      <c r="E1581" s="36" t="n"/>
      <c r="F1581" s="36" t="n"/>
      <c r="G1581" s="42" t="n"/>
      <c r="H1581" s="37" t="n"/>
      <c r="I1581" s="37" t="n"/>
      <c r="J1581" s="32" t="n"/>
      <c r="K1581" s="32" t="n"/>
      <c r="L1581" s="43" t="n"/>
      <c r="M1581" s="36" t="n"/>
      <c r="N1581" s="44" t="n"/>
      <c r="O1581" s="36" t="n"/>
      <c r="P1581" s="33">
        <f>IF(C1581="","",Commercial_Id)</f>
        <v/>
      </c>
      <c r="Q1581" s="34">
        <f>IF(AC1581="","",IF(AD1581=1,"C"&amp;TEXT(SUM(AD$6:AD1581),"0000"),INDEX(Q$6:Q1580,MATCH(AC1581,AC$6:AC1580,0))))</f>
        <v/>
      </c>
      <c r="R1581" s="34">
        <f>IF(C1581="","",IF(L1581="☑ Oui","Annulée",IF(OR(E1581="Vente directe",K1581&lt;&gt;""),"Livrée",IF(J1581&lt;&gt;"","Confirmée","En attente"))))</f>
        <v/>
      </c>
      <c r="S1581" s="34">
        <f>IF(F1581="","",IFERROR(VLOOKUP(F1581,T_Produits,2,FALSE),""))</f>
        <v/>
      </c>
      <c r="T1581" s="40">
        <f>IF(F1581="","",IFERROR(1/(1/VLOOKUP(F1581,T_Produits,3,FALSE)),""))</f>
        <v/>
      </c>
      <c r="U1581" s="40">
        <f>IF(H1581&lt;&gt;"",H1581,T1581)</f>
        <v/>
      </c>
      <c r="V1581" s="40">
        <f>IF(OR(G1581="",U1581=""),"",G1581*U1581-N(I1581))</f>
        <v/>
      </c>
      <c r="W1581" s="39">
        <f>IF(D1581="","",IFERROR(VALUE(MID(D1581,LEN(D1581)-3,3)),""))</f>
        <v/>
      </c>
      <c r="X1581" s="33">
        <f>IF(W1581="","",P1581&amp;"|"&amp;W1581)</f>
        <v/>
      </c>
      <c r="Y1581" s="33">
        <f>IF(W1581="","",IF(P1581="À RENSEIGNER","GIC",P1581)&amp;"-"&amp;TEXT(W1581,"000"))</f>
        <v/>
      </c>
      <c r="Z1581" s="33">
        <f>IF(X1581="","",IFERROR(INDEX(Cl_nom,MATCH(X1581,Cl_cle,0)),"(client introuvable)"))</f>
        <v/>
      </c>
      <c r="AA1581" s="33">
        <f>IF(X1581="","",IFERROR(INDEX(Cl_quartier,MATCH(X1581,Cl_cle,0))&amp;"",""))</f>
        <v/>
      </c>
      <c r="AB1581" s="45">
        <f>IF(R1581&lt;&gt;"Livrée",0,IF(K1581&lt;&gt;"",K1581,C1581))</f>
        <v/>
      </c>
      <c r="AC1581" s="33">
        <f>IF(OR(C1581="",W1581=""),"",P1581&amp;"|"&amp;W1581&amp;"|"&amp;C1581&amp;"|"&amp;E1581)</f>
        <v/>
      </c>
      <c r="AD1581" s="39">
        <f>IF(AC1581="","",IF(COUNTIF(AC$6:AC1581,AC1581)=1,1,0))</f>
        <v/>
      </c>
      <c r="AE1581" s="39">
        <f>IF(AB1581=0,"",IF(COUNTIFS(X$6:X1581,X1581,AB$6:AB1581,AB1581)=1,1,0))</f>
        <v/>
      </c>
      <c r="AF1581" s="34">
        <f>IF(C1581="","",YEAR(C1581-WEEKDAY(C1581,2)+4)&amp;"-S"&amp;TEXT(INT((C1581-DATE(YEAR(C1581-WEEKDAY(C1581,2)+4),1,3)+WEEKDAY(DATE(YEAR(C1581-WEEKDAY(C1581,2)+4),1,3),2)+5)/7),"00"))</f>
        <v/>
      </c>
    </row>
    <row r="1582" ht="18" customHeight="1">
      <c r="A1582" s="39" t="n">
        <v>1577</v>
      </c>
      <c r="B1582" s="33">
        <f>IF(C1582="","",IF(P1582="À RENSEIGNER","GIC",P1582)&amp;"-C"&amp;TEXT(A1582,"00000"))</f>
        <v/>
      </c>
      <c r="C1582" s="32" t="n"/>
      <c r="D1582" s="36" t="n"/>
      <c r="E1582" s="36" t="n"/>
      <c r="F1582" s="36" t="n"/>
      <c r="G1582" s="42" t="n"/>
      <c r="H1582" s="37" t="n"/>
      <c r="I1582" s="37" t="n"/>
      <c r="J1582" s="32" t="n"/>
      <c r="K1582" s="32" t="n"/>
      <c r="L1582" s="43" t="n"/>
      <c r="M1582" s="36" t="n"/>
      <c r="N1582" s="44" t="n"/>
      <c r="O1582" s="36" t="n"/>
      <c r="P1582" s="33">
        <f>IF(C1582="","",Commercial_Id)</f>
        <v/>
      </c>
      <c r="Q1582" s="34">
        <f>IF(AC1582="","",IF(AD1582=1,"C"&amp;TEXT(SUM(AD$6:AD1582),"0000"),INDEX(Q$6:Q1581,MATCH(AC1582,AC$6:AC1581,0))))</f>
        <v/>
      </c>
      <c r="R1582" s="34">
        <f>IF(C1582="","",IF(L1582="☑ Oui","Annulée",IF(OR(E1582="Vente directe",K1582&lt;&gt;""),"Livrée",IF(J1582&lt;&gt;"","Confirmée","En attente"))))</f>
        <v/>
      </c>
      <c r="S1582" s="34">
        <f>IF(F1582="","",IFERROR(VLOOKUP(F1582,T_Produits,2,FALSE),""))</f>
        <v/>
      </c>
      <c r="T1582" s="40">
        <f>IF(F1582="","",IFERROR(1/(1/VLOOKUP(F1582,T_Produits,3,FALSE)),""))</f>
        <v/>
      </c>
      <c r="U1582" s="40">
        <f>IF(H1582&lt;&gt;"",H1582,T1582)</f>
        <v/>
      </c>
      <c r="V1582" s="40">
        <f>IF(OR(G1582="",U1582=""),"",G1582*U1582-N(I1582))</f>
        <v/>
      </c>
      <c r="W1582" s="39">
        <f>IF(D1582="","",IFERROR(VALUE(MID(D1582,LEN(D1582)-3,3)),""))</f>
        <v/>
      </c>
      <c r="X1582" s="33">
        <f>IF(W1582="","",P1582&amp;"|"&amp;W1582)</f>
        <v/>
      </c>
      <c r="Y1582" s="33">
        <f>IF(W1582="","",IF(P1582="À RENSEIGNER","GIC",P1582)&amp;"-"&amp;TEXT(W1582,"000"))</f>
        <v/>
      </c>
      <c r="Z1582" s="33">
        <f>IF(X1582="","",IFERROR(INDEX(Cl_nom,MATCH(X1582,Cl_cle,0)),"(client introuvable)"))</f>
        <v/>
      </c>
      <c r="AA1582" s="33">
        <f>IF(X1582="","",IFERROR(INDEX(Cl_quartier,MATCH(X1582,Cl_cle,0))&amp;"",""))</f>
        <v/>
      </c>
      <c r="AB1582" s="45">
        <f>IF(R1582&lt;&gt;"Livrée",0,IF(K1582&lt;&gt;"",K1582,C1582))</f>
        <v/>
      </c>
      <c r="AC1582" s="33">
        <f>IF(OR(C1582="",W1582=""),"",P1582&amp;"|"&amp;W1582&amp;"|"&amp;C1582&amp;"|"&amp;E1582)</f>
        <v/>
      </c>
      <c r="AD1582" s="39">
        <f>IF(AC1582="","",IF(COUNTIF(AC$6:AC1582,AC1582)=1,1,0))</f>
        <v/>
      </c>
      <c r="AE1582" s="39">
        <f>IF(AB1582=0,"",IF(COUNTIFS(X$6:X1582,X1582,AB$6:AB1582,AB1582)=1,1,0))</f>
        <v/>
      </c>
      <c r="AF1582" s="34">
        <f>IF(C1582="","",YEAR(C1582-WEEKDAY(C1582,2)+4)&amp;"-S"&amp;TEXT(INT((C1582-DATE(YEAR(C1582-WEEKDAY(C1582,2)+4),1,3)+WEEKDAY(DATE(YEAR(C1582-WEEKDAY(C1582,2)+4),1,3),2)+5)/7),"00"))</f>
        <v/>
      </c>
    </row>
    <row r="1583" ht="18" customHeight="1">
      <c r="A1583" s="39" t="n">
        <v>1578</v>
      </c>
      <c r="B1583" s="33">
        <f>IF(C1583="","",IF(P1583="À RENSEIGNER","GIC",P1583)&amp;"-C"&amp;TEXT(A1583,"00000"))</f>
        <v/>
      </c>
      <c r="C1583" s="32" t="n"/>
      <c r="D1583" s="36" t="n"/>
      <c r="E1583" s="36" t="n"/>
      <c r="F1583" s="36" t="n"/>
      <c r="G1583" s="42" t="n"/>
      <c r="H1583" s="37" t="n"/>
      <c r="I1583" s="37" t="n"/>
      <c r="J1583" s="32" t="n"/>
      <c r="K1583" s="32" t="n"/>
      <c r="L1583" s="43" t="n"/>
      <c r="M1583" s="36" t="n"/>
      <c r="N1583" s="44" t="n"/>
      <c r="O1583" s="36" t="n"/>
      <c r="P1583" s="33">
        <f>IF(C1583="","",Commercial_Id)</f>
        <v/>
      </c>
      <c r="Q1583" s="34">
        <f>IF(AC1583="","",IF(AD1583=1,"C"&amp;TEXT(SUM(AD$6:AD1583),"0000"),INDEX(Q$6:Q1582,MATCH(AC1583,AC$6:AC1582,0))))</f>
        <v/>
      </c>
      <c r="R1583" s="34">
        <f>IF(C1583="","",IF(L1583="☑ Oui","Annulée",IF(OR(E1583="Vente directe",K1583&lt;&gt;""),"Livrée",IF(J1583&lt;&gt;"","Confirmée","En attente"))))</f>
        <v/>
      </c>
      <c r="S1583" s="34">
        <f>IF(F1583="","",IFERROR(VLOOKUP(F1583,T_Produits,2,FALSE),""))</f>
        <v/>
      </c>
      <c r="T1583" s="40">
        <f>IF(F1583="","",IFERROR(1/(1/VLOOKUP(F1583,T_Produits,3,FALSE)),""))</f>
        <v/>
      </c>
      <c r="U1583" s="40">
        <f>IF(H1583&lt;&gt;"",H1583,T1583)</f>
        <v/>
      </c>
      <c r="V1583" s="40">
        <f>IF(OR(G1583="",U1583=""),"",G1583*U1583-N(I1583))</f>
        <v/>
      </c>
      <c r="W1583" s="39">
        <f>IF(D1583="","",IFERROR(VALUE(MID(D1583,LEN(D1583)-3,3)),""))</f>
        <v/>
      </c>
      <c r="X1583" s="33">
        <f>IF(W1583="","",P1583&amp;"|"&amp;W1583)</f>
        <v/>
      </c>
      <c r="Y1583" s="33">
        <f>IF(W1583="","",IF(P1583="À RENSEIGNER","GIC",P1583)&amp;"-"&amp;TEXT(W1583,"000"))</f>
        <v/>
      </c>
      <c r="Z1583" s="33">
        <f>IF(X1583="","",IFERROR(INDEX(Cl_nom,MATCH(X1583,Cl_cle,0)),"(client introuvable)"))</f>
        <v/>
      </c>
      <c r="AA1583" s="33">
        <f>IF(X1583="","",IFERROR(INDEX(Cl_quartier,MATCH(X1583,Cl_cle,0))&amp;"",""))</f>
        <v/>
      </c>
      <c r="AB1583" s="45">
        <f>IF(R1583&lt;&gt;"Livrée",0,IF(K1583&lt;&gt;"",K1583,C1583))</f>
        <v/>
      </c>
      <c r="AC1583" s="33">
        <f>IF(OR(C1583="",W1583=""),"",P1583&amp;"|"&amp;W1583&amp;"|"&amp;C1583&amp;"|"&amp;E1583)</f>
        <v/>
      </c>
      <c r="AD1583" s="39">
        <f>IF(AC1583="","",IF(COUNTIF(AC$6:AC1583,AC1583)=1,1,0))</f>
        <v/>
      </c>
      <c r="AE1583" s="39">
        <f>IF(AB1583=0,"",IF(COUNTIFS(X$6:X1583,X1583,AB$6:AB1583,AB1583)=1,1,0))</f>
        <v/>
      </c>
      <c r="AF1583" s="34">
        <f>IF(C1583="","",YEAR(C1583-WEEKDAY(C1583,2)+4)&amp;"-S"&amp;TEXT(INT((C1583-DATE(YEAR(C1583-WEEKDAY(C1583,2)+4),1,3)+WEEKDAY(DATE(YEAR(C1583-WEEKDAY(C1583,2)+4),1,3),2)+5)/7),"00"))</f>
        <v/>
      </c>
    </row>
    <row r="1584" ht="18" customHeight="1">
      <c r="A1584" s="39" t="n">
        <v>1579</v>
      </c>
      <c r="B1584" s="33">
        <f>IF(C1584="","",IF(P1584="À RENSEIGNER","GIC",P1584)&amp;"-C"&amp;TEXT(A1584,"00000"))</f>
        <v/>
      </c>
      <c r="C1584" s="32" t="n"/>
      <c r="D1584" s="36" t="n"/>
      <c r="E1584" s="36" t="n"/>
      <c r="F1584" s="36" t="n"/>
      <c r="G1584" s="42" t="n"/>
      <c r="H1584" s="37" t="n"/>
      <c r="I1584" s="37" t="n"/>
      <c r="J1584" s="32" t="n"/>
      <c r="K1584" s="32" t="n"/>
      <c r="L1584" s="43" t="n"/>
      <c r="M1584" s="36" t="n"/>
      <c r="N1584" s="44" t="n"/>
      <c r="O1584" s="36" t="n"/>
      <c r="P1584" s="33">
        <f>IF(C1584="","",Commercial_Id)</f>
        <v/>
      </c>
      <c r="Q1584" s="34">
        <f>IF(AC1584="","",IF(AD1584=1,"C"&amp;TEXT(SUM(AD$6:AD1584),"0000"),INDEX(Q$6:Q1583,MATCH(AC1584,AC$6:AC1583,0))))</f>
        <v/>
      </c>
      <c r="R1584" s="34">
        <f>IF(C1584="","",IF(L1584="☑ Oui","Annulée",IF(OR(E1584="Vente directe",K1584&lt;&gt;""),"Livrée",IF(J1584&lt;&gt;"","Confirmée","En attente"))))</f>
        <v/>
      </c>
      <c r="S1584" s="34">
        <f>IF(F1584="","",IFERROR(VLOOKUP(F1584,T_Produits,2,FALSE),""))</f>
        <v/>
      </c>
      <c r="T1584" s="40">
        <f>IF(F1584="","",IFERROR(1/(1/VLOOKUP(F1584,T_Produits,3,FALSE)),""))</f>
        <v/>
      </c>
      <c r="U1584" s="40">
        <f>IF(H1584&lt;&gt;"",H1584,T1584)</f>
        <v/>
      </c>
      <c r="V1584" s="40">
        <f>IF(OR(G1584="",U1584=""),"",G1584*U1584-N(I1584))</f>
        <v/>
      </c>
      <c r="W1584" s="39">
        <f>IF(D1584="","",IFERROR(VALUE(MID(D1584,LEN(D1584)-3,3)),""))</f>
        <v/>
      </c>
      <c r="X1584" s="33">
        <f>IF(W1584="","",P1584&amp;"|"&amp;W1584)</f>
        <v/>
      </c>
      <c r="Y1584" s="33">
        <f>IF(W1584="","",IF(P1584="À RENSEIGNER","GIC",P1584)&amp;"-"&amp;TEXT(W1584,"000"))</f>
        <v/>
      </c>
      <c r="Z1584" s="33">
        <f>IF(X1584="","",IFERROR(INDEX(Cl_nom,MATCH(X1584,Cl_cle,0)),"(client introuvable)"))</f>
        <v/>
      </c>
      <c r="AA1584" s="33">
        <f>IF(X1584="","",IFERROR(INDEX(Cl_quartier,MATCH(X1584,Cl_cle,0))&amp;"",""))</f>
        <v/>
      </c>
      <c r="AB1584" s="45">
        <f>IF(R1584&lt;&gt;"Livrée",0,IF(K1584&lt;&gt;"",K1584,C1584))</f>
        <v/>
      </c>
      <c r="AC1584" s="33">
        <f>IF(OR(C1584="",W1584=""),"",P1584&amp;"|"&amp;W1584&amp;"|"&amp;C1584&amp;"|"&amp;E1584)</f>
        <v/>
      </c>
      <c r="AD1584" s="39">
        <f>IF(AC1584="","",IF(COUNTIF(AC$6:AC1584,AC1584)=1,1,0))</f>
        <v/>
      </c>
      <c r="AE1584" s="39">
        <f>IF(AB1584=0,"",IF(COUNTIFS(X$6:X1584,X1584,AB$6:AB1584,AB1584)=1,1,0))</f>
        <v/>
      </c>
      <c r="AF1584" s="34">
        <f>IF(C1584="","",YEAR(C1584-WEEKDAY(C1584,2)+4)&amp;"-S"&amp;TEXT(INT((C1584-DATE(YEAR(C1584-WEEKDAY(C1584,2)+4),1,3)+WEEKDAY(DATE(YEAR(C1584-WEEKDAY(C1584,2)+4),1,3),2)+5)/7),"00"))</f>
        <v/>
      </c>
    </row>
    <row r="1585" ht="18" customHeight="1">
      <c r="A1585" s="39" t="n">
        <v>1580</v>
      </c>
      <c r="B1585" s="33">
        <f>IF(C1585="","",IF(P1585="À RENSEIGNER","GIC",P1585)&amp;"-C"&amp;TEXT(A1585,"00000"))</f>
        <v/>
      </c>
      <c r="C1585" s="32" t="n"/>
      <c r="D1585" s="36" t="n"/>
      <c r="E1585" s="36" t="n"/>
      <c r="F1585" s="36" t="n"/>
      <c r="G1585" s="42" t="n"/>
      <c r="H1585" s="37" t="n"/>
      <c r="I1585" s="37" t="n"/>
      <c r="J1585" s="32" t="n"/>
      <c r="K1585" s="32" t="n"/>
      <c r="L1585" s="43" t="n"/>
      <c r="M1585" s="36" t="n"/>
      <c r="N1585" s="44" t="n"/>
      <c r="O1585" s="36" t="n"/>
      <c r="P1585" s="33">
        <f>IF(C1585="","",Commercial_Id)</f>
        <v/>
      </c>
      <c r="Q1585" s="34">
        <f>IF(AC1585="","",IF(AD1585=1,"C"&amp;TEXT(SUM(AD$6:AD1585),"0000"),INDEX(Q$6:Q1584,MATCH(AC1585,AC$6:AC1584,0))))</f>
        <v/>
      </c>
      <c r="R1585" s="34">
        <f>IF(C1585="","",IF(L1585="☑ Oui","Annulée",IF(OR(E1585="Vente directe",K1585&lt;&gt;""),"Livrée",IF(J1585&lt;&gt;"","Confirmée","En attente"))))</f>
        <v/>
      </c>
      <c r="S1585" s="34">
        <f>IF(F1585="","",IFERROR(VLOOKUP(F1585,T_Produits,2,FALSE),""))</f>
        <v/>
      </c>
      <c r="T1585" s="40">
        <f>IF(F1585="","",IFERROR(1/(1/VLOOKUP(F1585,T_Produits,3,FALSE)),""))</f>
        <v/>
      </c>
      <c r="U1585" s="40">
        <f>IF(H1585&lt;&gt;"",H1585,T1585)</f>
        <v/>
      </c>
      <c r="V1585" s="40">
        <f>IF(OR(G1585="",U1585=""),"",G1585*U1585-N(I1585))</f>
        <v/>
      </c>
      <c r="W1585" s="39">
        <f>IF(D1585="","",IFERROR(VALUE(MID(D1585,LEN(D1585)-3,3)),""))</f>
        <v/>
      </c>
      <c r="X1585" s="33">
        <f>IF(W1585="","",P1585&amp;"|"&amp;W1585)</f>
        <v/>
      </c>
      <c r="Y1585" s="33">
        <f>IF(W1585="","",IF(P1585="À RENSEIGNER","GIC",P1585)&amp;"-"&amp;TEXT(W1585,"000"))</f>
        <v/>
      </c>
      <c r="Z1585" s="33">
        <f>IF(X1585="","",IFERROR(INDEX(Cl_nom,MATCH(X1585,Cl_cle,0)),"(client introuvable)"))</f>
        <v/>
      </c>
      <c r="AA1585" s="33">
        <f>IF(X1585="","",IFERROR(INDEX(Cl_quartier,MATCH(X1585,Cl_cle,0))&amp;"",""))</f>
        <v/>
      </c>
      <c r="AB1585" s="45">
        <f>IF(R1585&lt;&gt;"Livrée",0,IF(K1585&lt;&gt;"",K1585,C1585))</f>
        <v/>
      </c>
      <c r="AC1585" s="33">
        <f>IF(OR(C1585="",W1585=""),"",P1585&amp;"|"&amp;W1585&amp;"|"&amp;C1585&amp;"|"&amp;E1585)</f>
        <v/>
      </c>
      <c r="AD1585" s="39">
        <f>IF(AC1585="","",IF(COUNTIF(AC$6:AC1585,AC1585)=1,1,0))</f>
        <v/>
      </c>
      <c r="AE1585" s="39">
        <f>IF(AB1585=0,"",IF(COUNTIFS(X$6:X1585,X1585,AB$6:AB1585,AB1585)=1,1,0))</f>
        <v/>
      </c>
      <c r="AF1585" s="34">
        <f>IF(C1585="","",YEAR(C1585-WEEKDAY(C1585,2)+4)&amp;"-S"&amp;TEXT(INT((C1585-DATE(YEAR(C1585-WEEKDAY(C1585,2)+4),1,3)+WEEKDAY(DATE(YEAR(C1585-WEEKDAY(C1585,2)+4),1,3),2)+5)/7),"00"))</f>
        <v/>
      </c>
    </row>
    <row r="1586" ht="18" customHeight="1">
      <c r="A1586" s="39" t="n">
        <v>1581</v>
      </c>
      <c r="B1586" s="33">
        <f>IF(C1586="","",IF(P1586="À RENSEIGNER","GIC",P1586)&amp;"-C"&amp;TEXT(A1586,"00000"))</f>
        <v/>
      </c>
      <c r="C1586" s="32" t="n"/>
      <c r="D1586" s="36" t="n"/>
      <c r="E1586" s="36" t="n"/>
      <c r="F1586" s="36" t="n"/>
      <c r="G1586" s="42" t="n"/>
      <c r="H1586" s="37" t="n"/>
      <c r="I1586" s="37" t="n"/>
      <c r="J1586" s="32" t="n"/>
      <c r="K1586" s="32" t="n"/>
      <c r="L1586" s="43" t="n"/>
      <c r="M1586" s="36" t="n"/>
      <c r="N1586" s="44" t="n"/>
      <c r="O1586" s="36" t="n"/>
      <c r="P1586" s="33">
        <f>IF(C1586="","",Commercial_Id)</f>
        <v/>
      </c>
      <c r="Q1586" s="34">
        <f>IF(AC1586="","",IF(AD1586=1,"C"&amp;TEXT(SUM(AD$6:AD1586),"0000"),INDEX(Q$6:Q1585,MATCH(AC1586,AC$6:AC1585,0))))</f>
        <v/>
      </c>
      <c r="R1586" s="34">
        <f>IF(C1586="","",IF(L1586="☑ Oui","Annulée",IF(OR(E1586="Vente directe",K1586&lt;&gt;""),"Livrée",IF(J1586&lt;&gt;"","Confirmée","En attente"))))</f>
        <v/>
      </c>
      <c r="S1586" s="34">
        <f>IF(F1586="","",IFERROR(VLOOKUP(F1586,T_Produits,2,FALSE),""))</f>
        <v/>
      </c>
      <c r="T1586" s="40">
        <f>IF(F1586="","",IFERROR(1/(1/VLOOKUP(F1586,T_Produits,3,FALSE)),""))</f>
        <v/>
      </c>
      <c r="U1586" s="40">
        <f>IF(H1586&lt;&gt;"",H1586,T1586)</f>
        <v/>
      </c>
      <c r="V1586" s="40">
        <f>IF(OR(G1586="",U1586=""),"",G1586*U1586-N(I1586))</f>
        <v/>
      </c>
      <c r="W1586" s="39">
        <f>IF(D1586="","",IFERROR(VALUE(MID(D1586,LEN(D1586)-3,3)),""))</f>
        <v/>
      </c>
      <c r="X1586" s="33">
        <f>IF(W1586="","",P1586&amp;"|"&amp;W1586)</f>
        <v/>
      </c>
      <c r="Y1586" s="33">
        <f>IF(W1586="","",IF(P1586="À RENSEIGNER","GIC",P1586)&amp;"-"&amp;TEXT(W1586,"000"))</f>
        <v/>
      </c>
      <c r="Z1586" s="33">
        <f>IF(X1586="","",IFERROR(INDEX(Cl_nom,MATCH(X1586,Cl_cle,0)),"(client introuvable)"))</f>
        <v/>
      </c>
      <c r="AA1586" s="33">
        <f>IF(X1586="","",IFERROR(INDEX(Cl_quartier,MATCH(X1586,Cl_cle,0))&amp;"",""))</f>
        <v/>
      </c>
      <c r="AB1586" s="45">
        <f>IF(R1586&lt;&gt;"Livrée",0,IF(K1586&lt;&gt;"",K1586,C1586))</f>
        <v/>
      </c>
      <c r="AC1586" s="33">
        <f>IF(OR(C1586="",W1586=""),"",P1586&amp;"|"&amp;W1586&amp;"|"&amp;C1586&amp;"|"&amp;E1586)</f>
        <v/>
      </c>
      <c r="AD1586" s="39">
        <f>IF(AC1586="","",IF(COUNTIF(AC$6:AC1586,AC1586)=1,1,0))</f>
        <v/>
      </c>
      <c r="AE1586" s="39">
        <f>IF(AB1586=0,"",IF(COUNTIFS(X$6:X1586,X1586,AB$6:AB1586,AB1586)=1,1,0))</f>
        <v/>
      </c>
      <c r="AF1586" s="34">
        <f>IF(C1586="","",YEAR(C1586-WEEKDAY(C1586,2)+4)&amp;"-S"&amp;TEXT(INT((C1586-DATE(YEAR(C1586-WEEKDAY(C1586,2)+4),1,3)+WEEKDAY(DATE(YEAR(C1586-WEEKDAY(C1586,2)+4),1,3),2)+5)/7),"00"))</f>
        <v/>
      </c>
    </row>
    <row r="1587" ht="18" customHeight="1">
      <c r="A1587" s="39" t="n">
        <v>1582</v>
      </c>
      <c r="B1587" s="33">
        <f>IF(C1587="","",IF(P1587="À RENSEIGNER","GIC",P1587)&amp;"-C"&amp;TEXT(A1587,"00000"))</f>
        <v/>
      </c>
      <c r="C1587" s="32" t="n"/>
      <c r="D1587" s="36" t="n"/>
      <c r="E1587" s="36" t="n"/>
      <c r="F1587" s="36" t="n"/>
      <c r="G1587" s="42" t="n"/>
      <c r="H1587" s="37" t="n"/>
      <c r="I1587" s="37" t="n"/>
      <c r="J1587" s="32" t="n"/>
      <c r="K1587" s="32" t="n"/>
      <c r="L1587" s="43" t="n"/>
      <c r="M1587" s="36" t="n"/>
      <c r="N1587" s="44" t="n"/>
      <c r="O1587" s="36" t="n"/>
      <c r="P1587" s="33">
        <f>IF(C1587="","",Commercial_Id)</f>
        <v/>
      </c>
      <c r="Q1587" s="34">
        <f>IF(AC1587="","",IF(AD1587=1,"C"&amp;TEXT(SUM(AD$6:AD1587),"0000"),INDEX(Q$6:Q1586,MATCH(AC1587,AC$6:AC1586,0))))</f>
        <v/>
      </c>
      <c r="R1587" s="34">
        <f>IF(C1587="","",IF(L1587="☑ Oui","Annulée",IF(OR(E1587="Vente directe",K1587&lt;&gt;""),"Livrée",IF(J1587&lt;&gt;"","Confirmée","En attente"))))</f>
        <v/>
      </c>
      <c r="S1587" s="34">
        <f>IF(F1587="","",IFERROR(VLOOKUP(F1587,T_Produits,2,FALSE),""))</f>
        <v/>
      </c>
      <c r="T1587" s="40">
        <f>IF(F1587="","",IFERROR(1/(1/VLOOKUP(F1587,T_Produits,3,FALSE)),""))</f>
        <v/>
      </c>
      <c r="U1587" s="40">
        <f>IF(H1587&lt;&gt;"",H1587,T1587)</f>
        <v/>
      </c>
      <c r="V1587" s="40">
        <f>IF(OR(G1587="",U1587=""),"",G1587*U1587-N(I1587))</f>
        <v/>
      </c>
      <c r="W1587" s="39">
        <f>IF(D1587="","",IFERROR(VALUE(MID(D1587,LEN(D1587)-3,3)),""))</f>
        <v/>
      </c>
      <c r="X1587" s="33">
        <f>IF(W1587="","",P1587&amp;"|"&amp;W1587)</f>
        <v/>
      </c>
      <c r="Y1587" s="33">
        <f>IF(W1587="","",IF(P1587="À RENSEIGNER","GIC",P1587)&amp;"-"&amp;TEXT(W1587,"000"))</f>
        <v/>
      </c>
      <c r="Z1587" s="33">
        <f>IF(X1587="","",IFERROR(INDEX(Cl_nom,MATCH(X1587,Cl_cle,0)),"(client introuvable)"))</f>
        <v/>
      </c>
      <c r="AA1587" s="33">
        <f>IF(X1587="","",IFERROR(INDEX(Cl_quartier,MATCH(X1587,Cl_cle,0))&amp;"",""))</f>
        <v/>
      </c>
      <c r="AB1587" s="45">
        <f>IF(R1587&lt;&gt;"Livrée",0,IF(K1587&lt;&gt;"",K1587,C1587))</f>
        <v/>
      </c>
      <c r="AC1587" s="33">
        <f>IF(OR(C1587="",W1587=""),"",P1587&amp;"|"&amp;W1587&amp;"|"&amp;C1587&amp;"|"&amp;E1587)</f>
        <v/>
      </c>
      <c r="AD1587" s="39">
        <f>IF(AC1587="","",IF(COUNTIF(AC$6:AC1587,AC1587)=1,1,0))</f>
        <v/>
      </c>
      <c r="AE1587" s="39">
        <f>IF(AB1587=0,"",IF(COUNTIFS(X$6:X1587,X1587,AB$6:AB1587,AB1587)=1,1,0))</f>
        <v/>
      </c>
      <c r="AF1587" s="34">
        <f>IF(C1587="","",YEAR(C1587-WEEKDAY(C1587,2)+4)&amp;"-S"&amp;TEXT(INT((C1587-DATE(YEAR(C1587-WEEKDAY(C1587,2)+4),1,3)+WEEKDAY(DATE(YEAR(C1587-WEEKDAY(C1587,2)+4),1,3),2)+5)/7),"00"))</f>
        <v/>
      </c>
    </row>
    <row r="1588" ht="18" customHeight="1">
      <c r="A1588" s="39" t="n">
        <v>1583</v>
      </c>
      <c r="B1588" s="33">
        <f>IF(C1588="","",IF(P1588="À RENSEIGNER","GIC",P1588)&amp;"-C"&amp;TEXT(A1588,"00000"))</f>
        <v/>
      </c>
      <c r="C1588" s="32" t="n"/>
      <c r="D1588" s="36" t="n"/>
      <c r="E1588" s="36" t="n"/>
      <c r="F1588" s="36" t="n"/>
      <c r="G1588" s="42" t="n"/>
      <c r="H1588" s="37" t="n"/>
      <c r="I1588" s="37" t="n"/>
      <c r="J1588" s="32" t="n"/>
      <c r="K1588" s="32" t="n"/>
      <c r="L1588" s="43" t="n"/>
      <c r="M1588" s="36" t="n"/>
      <c r="N1588" s="44" t="n"/>
      <c r="O1588" s="36" t="n"/>
      <c r="P1588" s="33">
        <f>IF(C1588="","",Commercial_Id)</f>
        <v/>
      </c>
      <c r="Q1588" s="34">
        <f>IF(AC1588="","",IF(AD1588=1,"C"&amp;TEXT(SUM(AD$6:AD1588),"0000"),INDEX(Q$6:Q1587,MATCH(AC1588,AC$6:AC1587,0))))</f>
        <v/>
      </c>
      <c r="R1588" s="34">
        <f>IF(C1588="","",IF(L1588="☑ Oui","Annulée",IF(OR(E1588="Vente directe",K1588&lt;&gt;""),"Livrée",IF(J1588&lt;&gt;"","Confirmée","En attente"))))</f>
        <v/>
      </c>
      <c r="S1588" s="34">
        <f>IF(F1588="","",IFERROR(VLOOKUP(F1588,T_Produits,2,FALSE),""))</f>
        <v/>
      </c>
      <c r="T1588" s="40">
        <f>IF(F1588="","",IFERROR(1/(1/VLOOKUP(F1588,T_Produits,3,FALSE)),""))</f>
        <v/>
      </c>
      <c r="U1588" s="40">
        <f>IF(H1588&lt;&gt;"",H1588,T1588)</f>
        <v/>
      </c>
      <c r="V1588" s="40">
        <f>IF(OR(G1588="",U1588=""),"",G1588*U1588-N(I1588))</f>
        <v/>
      </c>
      <c r="W1588" s="39">
        <f>IF(D1588="","",IFERROR(VALUE(MID(D1588,LEN(D1588)-3,3)),""))</f>
        <v/>
      </c>
      <c r="X1588" s="33">
        <f>IF(W1588="","",P1588&amp;"|"&amp;W1588)</f>
        <v/>
      </c>
      <c r="Y1588" s="33">
        <f>IF(W1588="","",IF(P1588="À RENSEIGNER","GIC",P1588)&amp;"-"&amp;TEXT(W1588,"000"))</f>
        <v/>
      </c>
      <c r="Z1588" s="33">
        <f>IF(X1588="","",IFERROR(INDEX(Cl_nom,MATCH(X1588,Cl_cle,0)),"(client introuvable)"))</f>
        <v/>
      </c>
      <c r="AA1588" s="33">
        <f>IF(X1588="","",IFERROR(INDEX(Cl_quartier,MATCH(X1588,Cl_cle,0))&amp;"",""))</f>
        <v/>
      </c>
      <c r="AB1588" s="45">
        <f>IF(R1588&lt;&gt;"Livrée",0,IF(K1588&lt;&gt;"",K1588,C1588))</f>
        <v/>
      </c>
      <c r="AC1588" s="33">
        <f>IF(OR(C1588="",W1588=""),"",P1588&amp;"|"&amp;W1588&amp;"|"&amp;C1588&amp;"|"&amp;E1588)</f>
        <v/>
      </c>
      <c r="AD1588" s="39">
        <f>IF(AC1588="","",IF(COUNTIF(AC$6:AC1588,AC1588)=1,1,0))</f>
        <v/>
      </c>
      <c r="AE1588" s="39">
        <f>IF(AB1588=0,"",IF(COUNTIFS(X$6:X1588,X1588,AB$6:AB1588,AB1588)=1,1,0))</f>
        <v/>
      </c>
      <c r="AF1588" s="34">
        <f>IF(C1588="","",YEAR(C1588-WEEKDAY(C1588,2)+4)&amp;"-S"&amp;TEXT(INT((C1588-DATE(YEAR(C1588-WEEKDAY(C1588,2)+4),1,3)+WEEKDAY(DATE(YEAR(C1588-WEEKDAY(C1588,2)+4),1,3),2)+5)/7),"00"))</f>
        <v/>
      </c>
    </row>
    <row r="1589" ht="18" customHeight="1">
      <c r="A1589" s="39" t="n">
        <v>1584</v>
      </c>
      <c r="B1589" s="33">
        <f>IF(C1589="","",IF(P1589="À RENSEIGNER","GIC",P1589)&amp;"-C"&amp;TEXT(A1589,"00000"))</f>
        <v/>
      </c>
      <c r="C1589" s="32" t="n"/>
      <c r="D1589" s="36" t="n"/>
      <c r="E1589" s="36" t="n"/>
      <c r="F1589" s="36" t="n"/>
      <c r="G1589" s="42" t="n"/>
      <c r="H1589" s="37" t="n"/>
      <c r="I1589" s="37" t="n"/>
      <c r="J1589" s="32" t="n"/>
      <c r="K1589" s="32" t="n"/>
      <c r="L1589" s="43" t="n"/>
      <c r="M1589" s="36" t="n"/>
      <c r="N1589" s="44" t="n"/>
      <c r="O1589" s="36" t="n"/>
      <c r="P1589" s="33">
        <f>IF(C1589="","",Commercial_Id)</f>
        <v/>
      </c>
      <c r="Q1589" s="34">
        <f>IF(AC1589="","",IF(AD1589=1,"C"&amp;TEXT(SUM(AD$6:AD1589),"0000"),INDEX(Q$6:Q1588,MATCH(AC1589,AC$6:AC1588,0))))</f>
        <v/>
      </c>
      <c r="R1589" s="34">
        <f>IF(C1589="","",IF(L1589="☑ Oui","Annulée",IF(OR(E1589="Vente directe",K1589&lt;&gt;""),"Livrée",IF(J1589&lt;&gt;"","Confirmée","En attente"))))</f>
        <v/>
      </c>
      <c r="S1589" s="34">
        <f>IF(F1589="","",IFERROR(VLOOKUP(F1589,T_Produits,2,FALSE),""))</f>
        <v/>
      </c>
      <c r="T1589" s="40">
        <f>IF(F1589="","",IFERROR(1/(1/VLOOKUP(F1589,T_Produits,3,FALSE)),""))</f>
        <v/>
      </c>
      <c r="U1589" s="40">
        <f>IF(H1589&lt;&gt;"",H1589,T1589)</f>
        <v/>
      </c>
      <c r="V1589" s="40">
        <f>IF(OR(G1589="",U1589=""),"",G1589*U1589-N(I1589))</f>
        <v/>
      </c>
      <c r="W1589" s="39">
        <f>IF(D1589="","",IFERROR(VALUE(MID(D1589,LEN(D1589)-3,3)),""))</f>
        <v/>
      </c>
      <c r="X1589" s="33">
        <f>IF(W1589="","",P1589&amp;"|"&amp;W1589)</f>
        <v/>
      </c>
      <c r="Y1589" s="33">
        <f>IF(W1589="","",IF(P1589="À RENSEIGNER","GIC",P1589)&amp;"-"&amp;TEXT(W1589,"000"))</f>
        <v/>
      </c>
      <c r="Z1589" s="33">
        <f>IF(X1589="","",IFERROR(INDEX(Cl_nom,MATCH(X1589,Cl_cle,0)),"(client introuvable)"))</f>
        <v/>
      </c>
      <c r="AA1589" s="33">
        <f>IF(X1589="","",IFERROR(INDEX(Cl_quartier,MATCH(X1589,Cl_cle,0))&amp;"",""))</f>
        <v/>
      </c>
      <c r="AB1589" s="45">
        <f>IF(R1589&lt;&gt;"Livrée",0,IF(K1589&lt;&gt;"",K1589,C1589))</f>
        <v/>
      </c>
      <c r="AC1589" s="33">
        <f>IF(OR(C1589="",W1589=""),"",P1589&amp;"|"&amp;W1589&amp;"|"&amp;C1589&amp;"|"&amp;E1589)</f>
        <v/>
      </c>
      <c r="AD1589" s="39">
        <f>IF(AC1589="","",IF(COUNTIF(AC$6:AC1589,AC1589)=1,1,0))</f>
        <v/>
      </c>
      <c r="AE1589" s="39">
        <f>IF(AB1589=0,"",IF(COUNTIFS(X$6:X1589,X1589,AB$6:AB1589,AB1589)=1,1,0))</f>
        <v/>
      </c>
      <c r="AF1589" s="34">
        <f>IF(C1589="","",YEAR(C1589-WEEKDAY(C1589,2)+4)&amp;"-S"&amp;TEXT(INT((C1589-DATE(YEAR(C1589-WEEKDAY(C1589,2)+4),1,3)+WEEKDAY(DATE(YEAR(C1589-WEEKDAY(C1589,2)+4),1,3),2)+5)/7),"00"))</f>
        <v/>
      </c>
    </row>
    <row r="1590" ht="18" customHeight="1">
      <c r="A1590" s="39" t="n">
        <v>1585</v>
      </c>
      <c r="B1590" s="33">
        <f>IF(C1590="","",IF(P1590="À RENSEIGNER","GIC",P1590)&amp;"-C"&amp;TEXT(A1590,"00000"))</f>
        <v/>
      </c>
      <c r="C1590" s="32" t="n"/>
      <c r="D1590" s="36" t="n"/>
      <c r="E1590" s="36" t="n"/>
      <c r="F1590" s="36" t="n"/>
      <c r="G1590" s="42" t="n"/>
      <c r="H1590" s="37" t="n"/>
      <c r="I1590" s="37" t="n"/>
      <c r="J1590" s="32" t="n"/>
      <c r="K1590" s="32" t="n"/>
      <c r="L1590" s="43" t="n"/>
      <c r="M1590" s="36" t="n"/>
      <c r="N1590" s="44" t="n"/>
      <c r="O1590" s="36" t="n"/>
      <c r="P1590" s="33">
        <f>IF(C1590="","",Commercial_Id)</f>
        <v/>
      </c>
      <c r="Q1590" s="34">
        <f>IF(AC1590="","",IF(AD1590=1,"C"&amp;TEXT(SUM(AD$6:AD1590),"0000"),INDEX(Q$6:Q1589,MATCH(AC1590,AC$6:AC1589,0))))</f>
        <v/>
      </c>
      <c r="R1590" s="34">
        <f>IF(C1590="","",IF(L1590="☑ Oui","Annulée",IF(OR(E1590="Vente directe",K1590&lt;&gt;""),"Livrée",IF(J1590&lt;&gt;"","Confirmée","En attente"))))</f>
        <v/>
      </c>
      <c r="S1590" s="34">
        <f>IF(F1590="","",IFERROR(VLOOKUP(F1590,T_Produits,2,FALSE),""))</f>
        <v/>
      </c>
      <c r="T1590" s="40">
        <f>IF(F1590="","",IFERROR(1/(1/VLOOKUP(F1590,T_Produits,3,FALSE)),""))</f>
        <v/>
      </c>
      <c r="U1590" s="40">
        <f>IF(H1590&lt;&gt;"",H1590,T1590)</f>
        <v/>
      </c>
      <c r="V1590" s="40">
        <f>IF(OR(G1590="",U1590=""),"",G1590*U1590-N(I1590))</f>
        <v/>
      </c>
      <c r="W1590" s="39">
        <f>IF(D1590="","",IFERROR(VALUE(MID(D1590,LEN(D1590)-3,3)),""))</f>
        <v/>
      </c>
      <c r="X1590" s="33">
        <f>IF(W1590="","",P1590&amp;"|"&amp;W1590)</f>
        <v/>
      </c>
      <c r="Y1590" s="33">
        <f>IF(W1590="","",IF(P1590="À RENSEIGNER","GIC",P1590)&amp;"-"&amp;TEXT(W1590,"000"))</f>
        <v/>
      </c>
      <c r="Z1590" s="33">
        <f>IF(X1590="","",IFERROR(INDEX(Cl_nom,MATCH(X1590,Cl_cle,0)),"(client introuvable)"))</f>
        <v/>
      </c>
      <c r="AA1590" s="33">
        <f>IF(X1590="","",IFERROR(INDEX(Cl_quartier,MATCH(X1590,Cl_cle,0))&amp;"",""))</f>
        <v/>
      </c>
      <c r="AB1590" s="45">
        <f>IF(R1590&lt;&gt;"Livrée",0,IF(K1590&lt;&gt;"",K1590,C1590))</f>
        <v/>
      </c>
      <c r="AC1590" s="33">
        <f>IF(OR(C1590="",W1590=""),"",P1590&amp;"|"&amp;W1590&amp;"|"&amp;C1590&amp;"|"&amp;E1590)</f>
        <v/>
      </c>
      <c r="AD1590" s="39">
        <f>IF(AC1590="","",IF(COUNTIF(AC$6:AC1590,AC1590)=1,1,0))</f>
        <v/>
      </c>
      <c r="AE1590" s="39">
        <f>IF(AB1590=0,"",IF(COUNTIFS(X$6:X1590,X1590,AB$6:AB1590,AB1590)=1,1,0))</f>
        <v/>
      </c>
      <c r="AF1590" s="34">
        <f>IF(C1590="","",YEAR(C1590-WEEKDAY(C1590,2)+4)&amp;"-S"&amp;TEXT(INT((C1590-DATE(YEAR(C1590-WEEKDAY(C1590,2)+4),1,3)+WEEKDAY(DATE(YEAR(C1590-WEEKDAY(C1590,2)+4),1,3),2)+5)/7),"00"))</f>
        <v/>
      </c>
    </row>
    <row r="1591" ht="18" customHeight="1">
      <c r="A1591" s="39" t="n">
        <v>1586</v>
      </c>
      <c r="B1591" s="33">
        <f>IF(C1591="","",IF(P1591="À RENSEIGNER","GIC",P1591)&amp;"-C"&amp;TEXT(A1591,"00000"))</f>
        <v/>
      </c>
      <c r="C1591" s="32" t="n"/>
      <c r="D1591" s="36" t="n"/>
      <c r="E1591" s="36" t="n"/>
      <c r="F1591" s="36" t="n"/>
      <c r="G1591" s="42" t="n"/>
      <c r="H1591" s="37" t="n"/>
      <c r="I1591" s="37" t="n"/>
      <c r="J1591" s="32" t="n"/>
      <c r="K1591" s="32" t="n"/>
      <c r="L1591" s="43" t="n"/>
      <c r="M1591" s="36" t="n"/>
      <c r="N1591" s="44" t="n"/>
      <c r="O1591" s="36" t="n"/>
      <c r="P1591" s="33">
        <f>IF(C1591="","",Commercial_Id)</f>
        <v/>
      </c>
      <c r="Q1591" s="34">
        <f>IF(AC1591="","",IF(AD1591=1,"C"&amp;TEXT(SUM(AD$6:AD1591),"0000"),INDEX(Q$6:Q1590,MATCH(AC1591,AC$6:AC1590,0))))</f>
        <v/>
      </c>
      <c r="R1591" s="34">
        <f>IF(C1591="","",IF(L1591="☑ Oui","Annulée",IF(OR(E1591="Vente directe",K1591&lt;&gt;""),"Livrée",IF(J1591&lt;&gt;"","Confirmée","En attente"))))</f>
        <v/>
      </c>
      <c r="S1591" s="34">
        <f>IF(F1591="","",IFERROR(VLOOKUP(F1591,T_Produits,2,FALSE),""))</f>
        <v/>
      </c>
      <c r="T1591" s="40">
        <f>IF(F1591="","",IFERROR(1/(1/VLOOKUP(F1591,T_Produits,3,FALSE)),""))</f>
        <v/>
      </c>
      <c r="U1591" s="40">
        <f>IF(H1591&lt;&gt;"",H1591,T1591)</f>
        <v/>
      </c>
      <c r="V1591" s="40">
        <f>IF(OR(G1591="",U1591=""),"",G1591*U1591-N(I1591))</f>
        <v/>
      </c>
      <c r="W1591" s="39">
        <f>IF(D1591="","",IFERROR(VALUE(MID(D1591,LEN(D1591)-3,3)),""))</f>
        <v/>
      </c>
      <c r="X1591" s="33">
        <f>IF(W1591="","",P1591&amp;"|"&amp;W1591)</f>
        <v/>
      </c>
      <c r="Y1591" s="33">
        <f>IF(W1591="","",IF(P1591="À RENSEIGNER","GIC",P1591)&amp;"-"&amp;TEXT(W1591,"000"))</f>
        <v/>
      </c>
      <c r="Z1591" s="33">
        <f>IF(X1591="","",IFERROR(INDEX(Cl_nom,MATCH(X1591,Cl_cle,0)),"(client introuvable)"))</f>
        <v/>
      </c>
      <c r="AA1591" s="33">
        <f>IF(X1591="","",IFERROR(INDEX(Cl_quartier,MATCH(X1591,Cl_cle,0))&amp;"",""))</f>
        <v/>
      </c>
      <c r="AB1591" s="45">
        <f>IF(R1591&lt;&gt;"Livrée",0,IF(K1591&lt;&gt;"",K1591,C1591))</f>
        <v/>
      </c>
      <c r="AC1591" s="33">
        <f>IF(OR(C1591="",W1591=""),"",P1591&amp;"|"&amp;W1591&amp;"|"&amp;C1591&amp;"|"&amp;E1591)</f>
        <v/>
      </c>
      <c r="AD1591" s="39">
        <f>IF(AC1591="","",IF(COUNTIF(AC$6:AC1591,AC1591)=1,1,0))</f>
        <v/>
      </c>
      <c r="AE1591" s="39">
        <f>IF(AB1591=0,"",IF(COUNTIFS(X$6:X1591,X1591,AB$6:AB1591,AB1591)=1,1,0))</f>
        <v/>
      </c>
      <c r="AF1591" s="34">
        <f>IF(C1591="","",YEAR(C1591-WEEKDAY(C1591,2)+4)&amp;"-S"&amp;TEXT(INT((C1591-DATE(YEAR(C1591-WEEKDAY(C1591,2)+4),1,3)+WEEKDAY(DATE(YEAR(C1591-WEEKDAY(C1591,2)+4),1,3),2)+5)/7),"00"))</f>
        <v/>
      </c>
    </row>
    <row r="1592" ht="18" customHeight="1">
      <c r="A1592" s="39" t="n">
        <v>1587</v>
      </c>
      <c r="B1592" s="33">
        <f>IF(C1592="","",IF(P1592="À RENSEIGNER","GIC",P1592)&amp;"-C"&amp;TEXT(A1592,"00000"))</f>
        <v/>
      </c>
      <c r="C1592" s="32" t="n"/>
      <c r="D1592" s="36" t="n"/>
      <c r="E1592" s="36" t="n"/>
      <c r="F1592" s="36" t="n"/>
      <c r="G1592" s="42" t="n"/>
      <c r="H1592" s="37" t="n"/>
      <c r="I1592" s="37" t="n"/>
      <c r="J1592" s="32" t="n"/>
      <c r="K1592" s="32" t="n"/>
      <c r="L1592" s="43" t="n"/>
      <c r="M1592" s="36" t="n"/>
      <c r="N1592" s="44" t="n"/>
      <c r="O1592" s="36" t="n"/>
      <c r="P1592" s="33">
        <f>IF(C1592="","",Commercial_Id)</f>
        <v/>
      </c>
      <c r="Q1592" s="34">
        <f>IF(AC1592="","",IF(AD1592=1,"C"&amp;TEXT(SUM(AD$6:AD1592),"0000"),INDEX(Q$6:Q1591,MATCH(AC1592,AC$6:AC1591,0))))</f>
        <v/>
      </c>
      <c r="R1592" s="34">
        <f>IF(C1592="","",IF(L1592="☑ Oui","Annulée",IF(OR(E1592="Vente directe",K1592&lt;&gt;""),"Livrée",IF(J1592&lt;&gt;"","Confirmée","En attente"))))</f>
        <v/>
      </c>
      <c r="S1592" s="34">
        <f>IF(F1592="","",IFERROR(VLOOKUP(F1592,T_Produits,2,FALSE),""))</f>
        <v/>
      </c>
      <c r="T1592" s="40">
        <f>IF(F1592="","",IFERROR(1/(1/VLOOKUP(F1592,T_Produits,3,FALSE)),""))</f>
        <v/>
      </c>
      <c r="U1592" s="40">
        <f>IF(H1592&lt;&gt;"",H1592,T1592)</f>
        <v/>
      </c>
      <c r="V1592" s="40">
        <f>IF(OR(G1592="",U1592=""),"",G1592*U1592-N(I1592))</f>
        <v/>
      </c>
      <c r="W1592" s="39">
        <f>IF(D1592="","",IFERROR(VALUE(MID(D1592,LEN(D1592)-3,3)),""))</f>
        <v/>
      </c>
      <c r="X1592" s="33">
        <f>IF(W1592="","",P1592&amp;"|"&amp;W1592)</f>
        <v/>
      </c>
      <c r="Y1592" s="33">
        <f>IF(W1592="","",IF(P1592="À RENSEIGNER","GIC",P1592)&amp;"-"&amp;TEXT(W1592,"000"))</f>
        <v/>
      </c>
      <c r="Z1592" s="33">
        <f>IF(X1592="","",IFERROR(INDEX(Cl_nom,MATCH(X1592,Cl_cle,0)),"(client introuvable)"))</f>
        <v/>
      </c>
      <c r="AA1592" s="33">
        <f>IF(X1592="","",IFERROR(INDEX(Cl_quartier,MATCH(X1592,Cl_cle,0))&amp;"",""))</f>
        <v/>
      </c>
      <c r="AB1592" s="45">
        <f>IF(R1592&lt;&gt;"Livrée",0,IF(K1592&lt;&gt;"",K1592,C1592))</f>
        <v/>
      </c>
      <c r="AC1592" s="33">
        <f>IF(OR(C1592="",W1592=""),"",P1592&amp;"|"&amp;W1592&amp;"|"&amp;C1592&amp;"|"&amp;E1592)</f>
        <v/>
      </c>
      <c r="AD1592" s="39">
        <f>IF(AC1592="","",IF(COUNTIF(AC$6:AC1592,AC1592)=1,1,0))</f>
        <v/>
      </c>
      <c r="AE1592" s="39">
        <f>IF(AB1592=0,"",IF(COUNTIFS(X$6:X1592,X1592,AB$6:AB1592,AB1592)=1,1,0))</f>
        <v/>
      </c>
      <c r="AF1592" s="34">
        <f>IF(C1592="","",YEAR(C1592-WEEKDAY(C1592,2)+4)&amp;"-S"&amp;TEXT(INT((C1592-DATE(YEAR(C1592-WEEKDAY(C1592,2)+4),1,3)+WEEKDAY(DATE(YEAR(C1592-WEEKDAY(C1592,2)+4),1,3),2)+5)/7),"00"))</f>
        <v/>
      </c>
    </row>
    <row r="1593" ht="18" customHeight="1">
      <c r="A1593" s="39" t="n">
        <v>1588</v>
      </c>
      <c r="B1593" s="33">
        <f>IF(C1593="","",IF(P1593="À RENSEIGNER","GIC",P1593)&amp;"-C"&amp;TEXT(A1593,"00000"))</f>
        <v/>
      </c>
      <c r="C1593" s="32" t="n"/>
      <c r="D1593" s="36" t="n"/>
      <c r="E1593" s="36" t="n"/>
      <c r="F1593" s="36" t="n"/>
      <c r="G1593" s="42" t="n"/>
      <c r="H1593" s="37" t="n"/>
      <c r="I1593" s="37" t="n"/>
      <c r="J1593" s="32" t="n"/>
      <c r="K1593" s="32" t="n"/>
      <c r="L1593" s="43" t="n"/>
      <c r="M1593" s="36" t="n"/>
      <c r="N1593" s="44" t="n"/>
      <c r="O1593" s="36" t="n"/>
      <c r="P1593" s="33">
        <f>IF(C1593="","",Commercial_Id)</f>
        <v/>
      </c>
      <c r="Q1593" s="34">
        <f>IF(AC1593="","",IF(AD1593=1,"C"&amp;TEXT(SUM(AD$6:AD1593),"0000"),INDEX(Q$6:Q1592,MATCH(AC1593,AC$6:AC1592,0))))</f>
        <v/>
      </c>
      <c r="R1593" s="34">
        <f>IF(C1593="","",IF(L1593="☑ Oui","Annulée",IF(OR(E1593="Vente directe",K1593&lt;&gt;""),"Livrée",IF(J1593&lt;&gt;"","Confirmée","En attente"))))</f>
        <v/>
      </c>
      <c r="S1593" s="34">
        <f>IF(F1593="","",IFERROR(VLOOKUP(F1593,T_Produits,2,FALSE),""))</f>
        <v/>
      </c>
      <c r="T1593" s="40">
        <f>IF(F1593="","",IFERROR(1/(1/VLOOKUP(F1593,T_Produits,3,FALSE)),""))</f>
        <v/>
      </c>
      <c r="U1593" s="40">
        <f>IF(H1593&lt;&gt;"",H1593,T1593)</f>
        <v/>
      </c>
      <c r="V1593" s="40">
        <f>IF(OR(G1593="",U1593=""),"",G1593*U1593-N(I1593))</f>
        <v/>
      </c>
      <c r="W1593" s="39">
        <f>IF(D1593="","",IFERROR(VALUE(MID(D1593,LEN(D1593)-3,3)),""))</f>
        <v/>
      </c>
      <c r="X1593" s="33">
        <f>IF(W1593="","",P1593&amp;"|"&amp;W1593)</f>
        <v/>
      </c>
      <c r="Y1593" s="33">
        <f>IF(W1593="","",IF(P1593="À RENSEIGNER","GIC",P1593)&amp;"-"&amp;TEXT(W1593,"000"))</f>
        <v/>
      </c>
      <c r="Z1593" s="33">
        <f>IF(X1593="","",IFERROR(INDEX(Cl_nom,MATCH(X1593,Cl_cle,0)),"(client introuvable)"))</f>
        <v/>
      </c>
      <c r="AA1593" s="33">
        <f>IF(X1593="","",IFERROR(INDEX(Cl_quartier,MATCH(X1593,Cl_cle,0))&amp;"",""))</f>
        <v/>
      </c>
      <c r="AB1593" s="45">
        <f>IF(R1593&lt;&gt;"Livrée",0,IF(K1593&lt;&gt;"",K1593,C1593))</f>
        <v/>
      </c>
      <c r="AC1593" s="33">
        <f>IF(OR(C1593="",W1593=""),"",P1593&amp;"|"&amp;W1593&amp;"|"&amp;C1593&amp;"|"&amp;E1593)</f>
        <v/>
      </c>
      <c r="AD1593" s="39">
        <f>IF(AC1593="","",IF(COUNTIF(AC$6:AC1593,AC1593)=1,1,0))</f>
        <v/>
      </c>
      <c r="AE1593" s="39">
        <f>IF(AB1593=0,"",IF(COUNTIFS(X$6:X1593,X1593,AB$6:AB1593,AB1593)=1,1,0))</f>
        <v/>
      </c>
      <c r="AF1593" s="34">
        <f>IF(C1593="","",YEAR(C1593-WEEKDAY(C1593,2)+4)&amp;"-S"&amp;TEXT(INT((C1593-DATE(YEAR(C1593-WEEKDAY(C1593,2)+4),1,3)+WEEKDAY(DATE(YEAR(C1593-WEEKDAY(C1593,2)+4),1,3),2)+5)/7),"00"))</f>
        <v/>
      </c>
    </row>
    <row r="1594" ht="18" customHeight="1">
      <c r="A1594" s="39" t="n">
        <v>1589</v>
      </c>
      <c r="B1594" s="33">
        <f>IF(C1594="","",IF(P1594="À RENSEIGNER","GIC",P1594)&amp;"-C"&amp;TEXT(A1594,"00000"))</f>
        <v/>
      </c>
      <c r="C1594" s="32" t="n"/>
      <c r="D1594" s="36" t="n"/>
      <c r="E1594" s="36" t="n"/>
      <c r="F1594" s="36" t="n"/>
      <c r="G1594" s="42" t="n"/>
      <c r="H1594" s="37" t="n"/>
      <c r="I1594" s="37" t="n"/>
      <c r="J1594" s="32" t="n"/>
      <c r="K1594" s="32" t="n"/>
      <c r="L1594" s="43" t="n"/>
      <c r="M1594" s="36" t="n"/>
      <c r="N1594" s="44" t="n"/>
      <c r="O1594" s="36" t="n"/>
      <c r="P1594" s="33">
        <f>IF(C1594="","",Commercial_Id)</f>
        <v/>
      </c>
      <c r="Q1594" s="34">
        <f>IF(AC1594="","",IF(AD1594=1,"C"&amp;TEXT(SUM(AD$6:AD1594),"0000"),INDEX(Q$6:Q1593,MATCH(AC1594,AC$6:AC1593,0))))</f>
        <v/>
      </c>
      <c r="R1594" s="34">
        <f>IF(C1594="","",IF(L1594="☑ Oui","Annulée",IF(OR(E1594="Vente directe",K1594&lt;&gt;""),"Livrée",IF(J1594&lt;&gt;"","Confirmée","En attente"))))</f>
        <v/>
      </c>
      <c r="S1594" s="34">
        <f>IF(F1594="","",IFERROR(VLOOKUP(F1594,T_Produits,2,FALSE),""))</f>
        <v/>
      </c>
      <c r="T1594" s="40">
        <f>IF(F1594="","",IFERROR(1/(1/VLOOKUP(F1594,T_Produits,3,FALSE)),""))</f>
        <v/>
      </c>
      <c r="U1594" s="40">
        <f>IF(H1594&lt;&gt;"",H1594,T1594)</f>
        <v/>
      </c>
      <c r="V1594" s="40">
        <f>IF(OR(G1594="",U1594=""),"",G1594*U1594-N(I1594))</f>
        <v/>
      </c>
      <c r="W1594" s="39">
        <f>IF(D1594="","",IFERROR(VALUE(MID(D1594,LEN(D1594)-3,3)),""))</f>
        <v/>
      </c>
      <c r="X1594" s="33">
        <f>IF(W1594="","",P1594&amp;"|"&amp;W1594)</f>
        <v/>
      </c>
      <c r="Y1594" s="33">
        <f>IF(W1594="","",IF(P1594="À RENSEIGNER","GIC",P1594)&amp;"-"&amp;TEXT(W1594,"000"))</f>
        <v/>
      </c>
      <c r="Z1594" s="33">
        <f>IF(X1594="","",IFERROR(INDEX(Cl_nom,MATCH(X1594,Cl_cle,0)),"(client introuvable)"))</f>
        <v/>
      </c>
      <c r="AA1594" s="33">
        <f>IF(X1594="","",IFERROR(INDEX(Cl_quartier,MATCH(X1594,Cl_cle,0))&amp;"",""))</f>
        <v/>
      </c>
      <c r="AB1594" s="45">
        <f>IF(R1594&lt;&gt;"Livrée",0,IF(K1594&lt;&gt;"",K1594,C1594))</f>
        <v/>
      </c>
      <c r="AC1594" s="33">
        <f>IF(OR(C1594="",W1594=""),"",P1594&amp;"|"&amp;W1594&amp;"|"&amp;C1594&amp;"|"&amp;E1594)</f>
        <v/>
      </c>
      <c r="AD1594" s="39">
        <f>IF(AC1594="","",IF(COUNTIF(AC$6:AC1594,AC1594)=1,1,0))</f>
        <v/>
      </c>
      <c r="AE1594" s="39">
        <f>IF(AB1594=0,"",IF(COUNTIFS(X$6:X1594,X1594,AB$6:AB1594,AB1594)=1,1,0))</f>
        <v/>
      </c>
      <c r="AF1594" s="34">
        <f>IF(C1594="","",YEAR(C1594-WEEKDAY(C1594,2)+4)&amp;"-S"&amp;TEXT(INT((C1594-DATE(YEAR(C1594-WEEKDAY(C1594,2)+4),1,3)+WEEKDAY(DATE(YEAR(C1594-WEEKDAY(C1594,2)+4),1,3),2)+5)/7),"00"))</f>
        <v/>
      </c>
    </row>
    <row r="1595" ht="18" customHeight="1">
      <c r="A1595" s="39" t="n">
        <v>1590</v>
      </c>
      <c r="B1595" s="33">
        <f>IF(C1595="","",IF(P1595="À RENSEIGNER","GIC",P1595)&amp;"-C"&amp;TEXT(A1595,"00000"))</f>
        <v/>
      </c>
      <c r="C1595" s="32" t="n"/>
      <c r="D1595" s="36" t="n"/>
      <c r="E1595" s="36" t="n"/>
      <c r="F1595" s="36" t="n"/>
      <c r="G1595" s="42" t="n"/>
      <c r="H1595" s="37" t="n"/>
      <c r="I1595" s="37" t="n"/>
      <c r="J1595" s="32" t="n"/>
      <c r="K1595" s="32" t="n"/>
      <c r="L1595" s="43" t="n"/>
      <c r="M1595" s="36" t="n"/>
      <c r="N1595" s="44" t="n"/>
      <c r="O1595" s="36" t="n"/>
      <c r="P1595" s="33">
        <f>IF(C1595="","",Commercial_Id)</f>
        <v/>
      </c>
      <c r="Q1595" s="34">
        <f>IF(AC1595="","",IF(AD1595=1,"C"&amp;TEXT(SUM(AD$6:AD1595),"0000"),INDEX(Q$6:Q1594,MATCH(AC1595,AC$6:AC1594,0))))</f>
        <v/>
      </c>
      <c r="R1595" s="34">
        <f>IF(C1595="","",IF(L1595="☑ Oui","Annulée",IF(OR(E1595="Vente directe",K1595&lt;&gt;""),"Livrée",IF(J1595&lt;&gt;"","Confirmée","En attente"))))</f>
        <v/>
      </c>
      <c r="S1595" s="34">
        <f>IF(F1595="","",IFERROR(VLOOKUP(F1595,T_Produits,2,FALSE),""))</f>
        <v/>
      </c>
      <c r="T1595" s="40">
        <f>IF(F1595="","",IFERROR(1/(1/VLOOKUP(F1595,T_Produits,3,FALSE)),""))</f>
        <v/>
      </c>
      <c r="U1595" s="40">
        <f>IF(H1595&lt;&gt;"",H1595,T1595)</f>
        <v/>
      </c>
      <c r="V1595" s="40">
        <f>IF(OR(G1595="",U1595=""),"",G1595*U1595-N(I1595))</f>
        <v/>
      </c>
      <c r="W1595" s="39">
        <f>IF(D1595="","",IFERROR(VALUE(MID(D1595,LEN(D1595)-3,3)),""))</f>
        <v/>
      </c>
      <c r="X1595" s="33">
        <f>IF(W1595="","",P1595&amp;"|"&amp;W1595)</f>
        <v/>
      </c>
      <c r="Y1595" s="33">
        <f>IF(W1595="","",IF(P1595="À RENSEIGNER","GIC",P1595)&amp;"-"&amp;TEXT(W1595,"000"))</f>
        <v/>
      </c>
      <c r="Z1595" s="33">
        <f>IF(X1595="","",IFERROR(INDEX(Cl_nom,MATCH(X1595,Cl_cle,0)),"(client introuvable)"))</f>
        <v/>
      </c>
      <c r="AA1595" s="33">
        <f>IF(X1595="","",IFERROR(INDEX(Cl_quartier,MATCH(X1595,Cl_cle,0))&amp;"",""))</f>
        <v/>
      </c>
      <c r="AB1595" s="45">
        <f>IF(R1595&lt;&gt;"Livrée",0,IF(K1595&lt;&gt;"",K1595,C1595))</f>
        <v/>
      </c>
      <c r="AC1595" s="33">
        <f>IF(OR(C1595="",W1595=""),"",P1595&amp;"|"&amp;W1595&amp;"|"&amp;C1595&amp;"|"&amp;E1595)</f>
        <v/>
      </c>
      <c r="AD1595" s="39">
        <f>IF(AC1595="","",IF(COUNTIF(AC$6:AC1595,AC1595)=1,1,0))</f>
        <v/>
      </c>
      <c r="AE1595" s="39">
        <f>IF(AB1595=0,"",IF(COUNTIFS(X$6:X1595,X1595,AB$6:AB1595,AB1595)=1,1,0))</f>
        <v/>
      </c>
      <c r="AF1595" s="34">
        <f>IF(C1595="","",YEAR(C1595-WEEKDAY(C1595,2)+4)&amp;"-S"&amp;TEXT(INT((C1595-DATE(YEAR(C1595-WEEKDAY(C1595,2)+4),1,3)+WEEKDAY(DATE(YEAR(C1595-WEEKDAY(C1595,2)+4),1,3),2)+5)/7),"00"))</f>
        <v/>
      </c>
    </row>
    <row r="1596" ht="18" customHeight="1">
      <c r="A1596" s="39" t="n">
        <v>1591</v>
      </c>
      <c r="B1596" s="33">
        <f>IF(C1596="","",IF(P1596="À RENSEIGNER","GIC",P1596)&amp;"-C"&amp;TEXT(A1596,"00000"))</f>
        <v/>
      </c>
      <c r="C1596" s="32" t="n"/>
      <c r="D1596" s="36" t="n"/>
      <c r="E1596" s="36" t="n"/>
      <c r="F1596" s="36" t="n"/>
      <c r="G1596" s="42" t="n"/>
      <c r="H1596" s="37" t="n"/>
      <c r="I1596" s="37" t="n"/>
      <c r="J1596" s="32" t="n"/>
      <c r="K1596" s="32" t="n"/>
      <c r="L1596" s="43" t="n"/>
      <c r="M1596" s="36" t="n"/>
      <c r="N1596" s="44" t="n"/>
      <c r="O1596" s="36" t="n"/>
      <c r="P1596" s="33">
        <f>IF(C1596="","",Commercial_Id)</f>
        <v/>
      </c>
      <c r="Q1596" s="34">
        <f>IF(AC1596="","",IF(AD1596=1,"C"&amp;TEXT(SUM(AD$6:AD1596),"0000"),INDEX(Q$6:Q1595,MATCH(AC1596,AC$6:AC1595,0))))</f>
        <v/>
      </c>
      <c r="R1596" s="34">
        <f>IF(C1596="","",IF(L1596="☑ Oui","Annulée",IF(OR(E1596="Vente directe",K1596&lt;&gt;""),"Livrée",IF(J1596&lt;&gt;"","Confirmée","En attente"))))</f>
        <v/>
      </c>
      <c r="S1596" s="34">
        <f>IF(F1596="","",IFERROR(VLOOKUP(F1596,T_Produits,2,FALSE),""))</f>
        <v/>
      </c>
      <c r="T1596" s="40">
        <f>IF(F1596="","",IFERROR(1/(1/VLOOKUP(F1596,T_Produits,3,FALSE)),""))</f>
        <v/>
      </c>
      <c r="U1596" s="40">
        <f>IF(H1596&lt;&gt;"",H1596,T1596)</f>
        <v/>
      </c>
      <c r="V1596" s="40">
        <f>IF(OR(G1596="",U1596=""),"",G1596*U1596-N(I1596))</f>
        <v/>
      </c>
      <c r="W1596" s="39">
        <f>IF(D1596="","",IFERROR(VALUE(MID(D1596,LEN(D1596)-3,3)),""))</f>
        <v/>
      </c>
      <c r="X1596" s="33">
        <f>IF(W1596="","",P1596&amp;"|"&amp;W1596)</f>
        <v/>
      </c>
      <c r="Y1596" s="33">
        <f>IF(W1596="","",IF(P1596="À RENSEIGNER","GIC",P1596)&amp;"-"&amp;TEXT(W1596,"000"))</f>
        <v/>
      </c>
      <c r="Z1596" s="33">
        <f>IF(X1596="","",IFERROR(INDEX(Cl_nom,MATCH(X1596,Cl_cle,0)),"(client introuvable)"))</f>
        <v/>
      </c>
      <c r="AA1596" s="33">
        <f>IF(X1596="","",IFERROR(INDEX(Cl_quartier,MATCH(X1596,Cl_cle,0))&amp;"",""))</f>
        <v/>
      </c>
      <c r="AB1596" s="45">
        <f>IF(R1596&lt;&gt;"Livrée",0,IF(K1596&lt;&gt;"",K1596,C1596))</f>
        <v/>
      </c>
      <c r="AC1596" s="33">
        <f>IF(OR(C1596="",W1596=""),"",P1596&amp;"|"&amp;W1596&amp;"|"&amp;C1596&amp;"|"&amp;E1596)</f>
        <v/>
      </c>
      <c r="AD1596" s="39">
        <f>IF(AC1596="","",IF(COUNTIF(AC$6:AC1596,AC1596)=1,1,0))</f>
        <v/>
      </c>
      <c r="AE1596" s="39">
        <f>IF(AB1596=0,"",IF(COUNTIFS(X$6:X1596,X1596,AB$6:AB1596,AB1596)=1,1,0))</f>
        <v/>
      </c>
      <c r="AF1596" s="34">
        <f>IF(C1596="","",YEAR(C1596-WEEKDAY(C1596,2)+4)&amp;"-S"&amp;TEXT(INT((C1596-DATE(YEAR(C1596-WEEKDAY(C1596,2)+4),1,3)+WEEKDAY(DATE(YEAR(C1596-WEEKDAY(C1596,2)+4),1,3),2)+5)/7),"00"))</f>
        <v/>
      </c>
    </row>
    <row r="1597" ht="18" customHeight="1">
      <c r="A1597" s="39" t="n">
        <v>1592</v>
      </c>
      <c r="B1597" s="33">
        <f>IF(C1597="","",IF(P1597="À RENSEIGNER","GIC",P1597)&amp;"-C"&amp;TEXT(A1597,"00000"))</f>
        <v/>
      </c>
      <c r="C1597" s="32" t="n"/>
      <c r="D1597" s="36" t="n"/>
      <c r="E1597" s="36" t="n"/>
      <c r="F1597" s="36" t="n"/>
      <c r="G1597" s="42" t="n"/>
      <c r="H1597" s="37" t="n"/>
      <c r="I1597" s="37" t="n"/>
      <c r="J1597" s="32" t="n"/>
      <c r="K1597" s="32" t="n"/>
      <c r="L1597" s="43" t="n"/>
      <c r="M1597" s="36" t="n"/>
      <c r="N1597" s="44" t="n"/>
      <c r="O1597" s="36" t="n"/>
      <c r="P1597" s="33">
        <f>IF(C1597="","",Commercial_Id)</f>
        <v/>
      </c>
      <c r="Q1597" s="34">
        <f>IF(AC1597="","",IF(AD1597=1,"C"&amp;TEXT(SUM(AD$6:AD1597),"0000"),INDEX(Q$6:Q1596,MATCH(AC1597,AC$6:AC1596,0))))</f>
        <v/>
      </c>
      <c r="R1597" s="34">
        <f>IF(C1597="","",IF(L1597="☑ Oui","Annulée",IF(OR(E1597="Vente directe",K1597&lt;&gt;""),"Livrée",IF(J1597&lt;&gt;"","Confirmée","En attente"))))</f>
        <v/>
      </c>
      <c r="S1597" s="34">
        <f>IF(F1597="","",IFERROR(VLOOKUP(F1597,T_Produits,2,FALSE),""))</f>
        <v/>
      </c>
      <c r="T1597" s="40">
        <f>IF(F1597="","",IFERROR(1/(1/VLOOKUP(F1597,T_Produits,3,FALSE)),""))</f>
        <v/>
      </c>
      <c r="U1597" s="40">
        <f>IF(H1597&lt;&gt;"",H1597,T1597)</f>
        <v/>
      </c>
      <c r="V1597" s="40">
        <f>IF(OR(G1597="",U1597=""),"",G1597*U1597-N(I1597))</f>
        <v/>
      </c>
      <c r="W1597" s="39">
        <f>IF(D1597="","",IFERROR(VALUE(MID(D1597,LEN(D1597)-3,3)),""))</f>
        <v/>
      </c>
      <c r="X1597" s="33">
        <f>IF(W1597="","",P1597&amp;"|"&amp;W1597)</f>
        <v/>
      </c>
      <c r="Y1597" s="33">
        <f>IF(W1597="","",IF(P1597="À RENSEIGNER","GIC",P1597)&amp;"-"&amp;TEXT(W1597,"000"))</f>
        <v/>
      </c>
      <c r="Z1597" s="33">
        <f>IF(X1597="","",IFERROR(INDEX(Cl_nom,MATCH(X1597,Cl_cle,0)),"(client introuvable)"))</f>
        <v/>
      </c>
      <c r="AA1597" s="33">
        <f>IF(X1597="","",IFERROR(INDEX(Cl_quartier,MATCH(X1597,Cl_cle,0))&amp;"",""))</f>
        <v/>
      </c>
      <c r="AB1597" s="45">
        <f>IF(R1597&lt;&gt;"Livrée",0,IF(K1597&lt;&gt;"",K1597,C1597))</f>
        <v/>
      </c>
      <c r="AC1597" s="33">
        <f>IF(OR(C1597="",W1597=""),"",P1597&amp;"|"&amp;W1597&amp;"|"&amp;C1597&amp;"|"&amp;E1597)</f>
        <v/>
      </c>
      <c r="AD1597" s="39">
        <f>IF(AC1597="","",IF(COUNTIF(AC$6:AC1597,AC1597)=1,1,0))</f>
        <v/>
      </c>
      <c r="AE1597" s="39">
        <f>IF(AB1597=0,"",IF(COUNTIFS(X$6:X1597,X1597,AB$6:AB1597,AB1597)=1,1,0))</f>
        <v/>
      </c>
      <c r="AF1597" s="34">
        <f>IF(C1597="","",YEAR(C1597-WEEKDAY(C1597,2)+4)&amp;"-S"&amp;TEXT(INT((C1597-DATE(YEAR(C1597-WEEKDAY(C1597,2)+4),1,3)+WEEKDAY(DATE(YEAR(C1597-WEEKDAY(C1597,2)+4),1,3),2)+5)/7),"00"))</f>
        <v/>
      </c>
    </row>
    <row r="1598" ht="18" customHeight="1">
      <c r="A1598" s="39" t="n">
        <v>1593</v>
      </c>
      <c r="B1598" s="33">
        <f>IF(C1598="","",IF(P1598="À RENSEIGNER","GIC",P1598)&amp;"-C"&amp;TEXT(A1598,"00000"))</f>
        <v/>
      </c>
      <c r="C1598" s="32" t="n"/>
      <c r="D1598" s="36" t="n"/>
      <c r="E1598" s="36" t="n"/>
      <c r="F1598" s="36" t="n"/>
      <c r="G1598" s="42" t="n"/>
      <c r="H1598" s="37" t="n"/>
      <c r="I1598" s="37" t="n"/>
      <c r="J1598" s="32" t="n"/>
      <c r="K1598" s="32" t="n"/>
      <c r="L1598" s="43" t="n"/>
      <c r="M1598" s="36" t="n"/>
      <c r="N1598" s="44" t="n"/>
      <c r="O1598" s="36" t="n"/>
      <c r="P1598" s="33">
        <f>IF(C1598="","",Commercial_Id)</f>
        <v/>
      </c>
      <c r="Q1598" s="34">
        <f>IF(AC1598="","",IF(AD1598=1,"C"&amp;TEXT(SUM(AD$6:AD1598),"0000"),INDEX(Q$6:Q1597,MATCH(AC1598,AC$6:AC1597,0))))</f>
        <v/>
      </c>
      <c r="R1598" s="34">
        <f>IF(C1598="","",IF(L1598="☑ Oui","Annulée",IF(OR(E1598="Vente directe",K1598&lt;&gt;""),"Livrée",IF(J1598&lt;&gt;"","Confirmée","En attente"))))</f>
        <v/>
      </c>
      <c r="S1598" s="34">
        <f>IF(F1598="","",IFERROR(VLOOKUP(F1598,T_Produits,2,FALSE),""))</f>
        <v/>
      </c>
      <c r="T1598" s="40">
        <f>IF(F1598="","",IFERROR(1/(1/VLOOKUP(F1598,T_Produits,3,FALSE)),""))</f>
        <v/>
      </c>
      <c r="U1598" s="40">
        <f>IF(H1598&lt;&gt;"",H1598,T1598)</f>
        <v/>
      </c>
      <c r="V1598" s="40">
        <f>IF(OR(G1598="",U1598=""),"",G1598*U1598-N(I1598))</f>
        <v/>
      </c>
      <c r="W1598" s="39">
        <f>IF(D1598="","",IFERROR(VALUE(MID(D1598,LEN(D1598)-3,3)),""))</f>
        <v/>
      </c>
      <c r="X1598" s="33">
        <f>IF(W1598="","",P1598&amp;"|"&amp;W1598)</f>
        <v/>
      </c>
      <c r="Y1598" s="33">
        <f>IF(W1598="","",IF(P1598="À RENSEIGNER","GIC",P1598)&amp;"-"&amp;TEXT(W1598,"000"))</f>
        <v/>
      </c>
      <c r="Z1598" s="33">
        <f>IF(X1598="","",IFERROR(INDEX(Cl_nom,MATCH(X1598,Cl_cle,0)),"(client introuvable)"))</f>
        <v/>
      </c>
      <c r="AA1598" s="33">
        <f>IF(X1598="","",IFERROR(INDEX(Cl_quartier,MATCH(X1598,Cl_cle,0))&amp;"",""))</f>
        <v/>
      </c>
      <c r="AB1598" s="45">
        <f>IF(R1598&lt;&gt;"Livrée",0,IF(K1598&lt;&gt;"",K1598,C1598))</f>
        <v/>
      </c>
      <c r="AC1598" s="33">
        <f>IF(OR(C1598="",W1598=""),"",P1598&amp;"|"&amp;W1598&amp;"|"&amp;C1598&amp;"|"&amp;E1598)</f>
        <v/>
      </c>
      <c r="AD1598" s="39">
        <f>IF(AC1598="","",IF(COUNTIF(AC$6:AC1598,AC1598)=1,1,0))</f>
        <v/>
      </c>
      <c r="AE1598" s="39">
        <f>IF(AB1598=0,"",IF(COUNTIFS(X$6:X1598,X1598,AB$6:AB1598,AB1598)=1,1,0))</f>
        <v/>
      </c>
      <c r="AF1598" s="34">
        <f>IF(C1598="","",YEAR(C1598-WEEKDAY(C1598,2)+4)&amp;"-S"&amp;TEXT(INT((C1598-DATE(YEAR(C1598-WEEKDAY(C1598,2)+4),1,3)+WEEKDAY(DATE(YEAR(C1598-WEEKDAY(C1598,2)+4),1,3),2)+5)/7),"00"))</f>
        <v/>
      </c>
    </row>
    <row r="1599" ht="18" customHeight="1">
      <c r="A1599" s="39" t="n">
        <v>1594</v>
      </c>
      <c r="B1599" s="33">
        <f>IF(C1599="","",IF(P1599="À RENSEIGNER","GIC",P1599)&amp;"-C"&amp;TEXT(A1599,"00000"))</f>
        <v/>
      </c>
      <c r="C1599" s="32" t="n"/>
      <c r="D1599" s="36" t="n"/>
      <c r="E1599" s="36" t="n"/>
      <c r="F1599" s="36" t="n"/>
      <c r="G1599" s="42" t="n"/>
      <c r="H1599" s="37" t="n"/>
      <c r="I1599" s="37" t="n"/>
      <c r="J1599" s="32" t="n"/>
      <c r="K1599" s="32" t="n"/>
      <c r="L1599" s="43" t="n"/>
      <c r="M1599" s="36" t="n"/>
      <c r="N1599" s="44" t="n"/>
      <c r="O1599" s="36" t="n"/>
      <c r="P1599" s="33">
        <f>IF(C1599="","",Commercial_Id)</f>
        <v/>
      </c>
      <c r="Q1599" s="34">
        <f>IF(AC1599="","",IF(AD1599=1,"C"&amp;TEXT(SUM(AD$6:AD1599),"0000"),INDEX(Q$6:Q1598,MATCH(AC1599,AC$6:AC1598,0))))</f>
        <v/>
      </c>
      <c r="R1599" s="34">
        <f>IF(C1599="","",IF(L1599="☑ Oui","Annulée",IF(OR(E1599="Vente directe",K1599&lt;&gt;""),"Livrée",IF(J1599&lt;&gt;"","Confirmée","En attente"))))</f>
        <v/>
      </c>
      <c r="S1599" s="34">
        <f>IF(F1599="","",IFERROR(VLOOKUP(F1599,T_Produits,2,FALSE),""))</f>
        <v/>
      </c>
      <c r="T1599" s="40">
        <f>IF(F1599="","",IFERROR(1/(1/VLOOKUP(F1599,T_Produits,3,FALSE)),""))</f>
        <v/>
      </c>
      <c r="U1599" s="40">
        <f>IF(H1599&lt;&gt;"",H1599,T1599)</f>
        <v/>
      </c>
      <c r="V1599" s="40">
        <f>IF(OR(G1599="",U1599=""),"",G1599*U1599-N(I1599))</f>
        <v/>
      </c>
      <c r="W1599" s="39">
        <f>IF(D1599="","",IFERROR(VALUE(MID(D1599,LEN(D1599)-3,3)),""))</f>
        <v/>
      </c>
      <c r="X1599" s="33">
        <f>IF(W1599="","",P1599&amp;"|"&amp;W1599)</f>
        <v/>
      </c>
      <c r="Y1599" s="33">
        <f>IF(W1599="","",IF(P1599="À RENSEIGNER","GIC",P1599)&amp;"-"&amp;TEXT(W1599,"000"))</f>
        <v/>
      </c>
      <c r="Z1599" s="33">
        <f>IF(X1599="","",IFERROR(INDEX(Cl_nom,MATCH(X1599,Cl_cle,0)),"(client introuvable)"))</f>
        <v/>
      </c>
      <c r="AA1599" s="33">
        <f>IF(X1599="","",IFERROR(INDEX(Cl_quartier,MATCH(X1599,Cl_cle,0))&amp;"",""))</f>
        <v/>
      </c>
      <c r="AB1599" s="45">
        <f>IF(R1599&lt;&gt;"Livrée",0,IF(K1599&lt;&gt;"",K1599,C1599))</f>
        <v/>
      </c>
      <c r="AC1599" s="33">
        <f>IF(OR(C1599="",W1599=""),"",P1599&amp;"|"&amp;W1599&amp;"|"&amp;C1599&amp;"|"&amp;E1599)</f>
        <v/>
      </c>
      <c r="AD1599" s="39">
        <f>IF(AC1599="","",IF(COUNTIF(AC$6:AC1599,AC1599)=1,1,0))</f>
        <v/>
      </c>
      <c r="AE1599" s="39">
        <f>IF(AB1599=0,"",IF(COUNTIFS(X$6:X1599,X1599,AB$6:AB1599,AB1599)=1,1,0))</f>
        <v/>
      </c>
      <c r="AF1599" s="34">
        <f>IF(C1599="","",YEAR(C1599-WEEKDAY(C1599,2)+4)&amp;"-S"&amp;TEXT(INT((C1599-DATE(YEAR(C1599-WEEKDAY(C1599,2)+4),1,3)+WEEKDAY(DATE(YEAR(C1599-WEEKDAY(C1599,2)+4),1,3),2)+5)/7),"00"))</f>
        <v/>
      </c>
    </row>
    <row r="1600" ht="18" customHeight="1">
      <c r="A1600" s="39" t="n">
        <v>1595</v>
      </c>
      <c r="B1600" s="33">
        <f>IF(C1600="","",IF(P1600="À RENSEIGNER","GIC",P1600)&amp;"-C"&amp;TEXT(A1600,"00000"))</f>
        <v/>
      </c>
      <c r="C1600" s="32" t="n"/>
      <c r="D1600" s="36" t="n"/>
      <c r="E1600" s="36" t="n"/>
      <c r="F1600" s="36" t="n"/>
      <c r="G1600" s="42" t="n"/>
      <c r="H1600" s="37" t="n"/>
      <c r="I1600" s="37" t="n"/>
      <c r="J1600" s="32" t="n"/>
      <c r="K1600" s="32" t="n"/>
      <c r="L1600" s="43" t="n"/>
      <c r="M1600" s="36" t="n"/>
      <c r="N1600" s="44" t="n"/>
      <c r="O1600" s="36" t="n"/>
      <c r="P1600" s="33">
        <f>IF(C1600="","",Commercial_Id)</f>
        <v/>
      </c>
      <c r="Q1600" s="34">
        <f>IF(AC1600="","",IF(AD1600=1,"C"&amp;TEXT(SUM(AD$6:AD1600),"0000"),INDEX(Q$6:Q1599,MATCH(AC1600,AC$6:AC1599,0))))</f>
        <v/>
      </c>
      <c r="R1600" s="34">
        <f>IF(C1600="","",IF(L1600="☑ Oui","Annulée",IF(OR(E1600="Vente directe",K1600&lt;&gt;""),"Livrée",IF(J1600&lt;&gt;"","Confirmée","En attente"))))</f>
        <v/>
      </c>
      <c r="S1600" s="34">
        <f>IF(F1600="","",IFERROR(VLOOKUP(F1600,T_Produits,2,FALSE),""))</f>
        <v/>
      </c>
      <c r="T1600" s="40">
        <f>IF(F1600="","",IFERROR(1/(1/VLOOKUP(F1600,T_Produits,3,FALSE)),""))</f>
        <v/>
      </c>
      <c r="U1600" s="40">
        <f>IF(H1600&lt;&gt;"",H1600,T1600)</f>
        <v/>
      </c>
      <c r="V1600" s="40">
        <f>IF(OR(G1600="",U1600=""),"",G1600*U1600-N(I1600))</f>
        <v/>
      </c>
      <c r="W1600" s="39">
        <f>IF(D1600="","",IFERROR(VALUE(MID(D1600,LEN(D1600)-3,3)),""))</f>
        <v/>
      </c>
      <c r="X1600" s="33">
        <f>IF(W1600="","",P1600&amp;"|"&amp;W1600)</f>
        <v/>
      </c>
      <c r="Y1600" s="33">
        <f>IF(W1600="","",IF(P1600="À RENSEIGNER","GIC",P1600)&amp;"-"&amp;TEXT(W1600,"000"))</f>
        <v/>
      </c>
      <c r="Z1600" s="33">
        <f>IF(X1600="","",IFERROR(INDEX(Cl_nom,MATCH(X1600,Cl_cle,0)),"(client introuvable)"))</f>
        <v/>
      </c>
      <c r="AA1600" s="33">
        <f>IF(X1600="","",IFERROR(INDEX(Cl_quartier,MATCH(X1600,Cl_cle,0))&amp;"",""))</f>
        <v/>
      </c>
      <c r="AB1600" s="45">
        <f>IF(R1600&lt;&gt;"Livrée",0,IF(K1600&lt;&gt;"",K1600,C1600))</f>
        <v/>
      </c>
      <c r="AC1600" s="33">
        <f>IF(OR(C1600="",W1600=""),"",P1600&amp;"|"&amp;W1600&amp;"|"&amp;C1600&amp;"|"&amp;E1600)</f>
        <v/>
      </c>
      <c r="AD1600" s="39">
        <f>IF(AC1600="","",IF(COUNTIF(AC$6:AC1600,AC1600)=1,1,0))</f>
        <v/>
      </c>
      <c r="AE1600" s="39">
        <f>IF(AB1600=0,"",IF(COUNTIFS(X$6:X1600,X1600,AB$6:AB1600,AB1600)=1,1,0))</f>
        <v/>
      </c>
      <c r="AF1600" s="34">
        <f>IF(C1600="","",YEAR(C1600-WEEKDAY(C1600,2)+4)&amp;"-S"&amp;TEXT(INT((C1600-DATE(YEAR(C1600-WEEKDAY(C1600,2)+4),1,3)+WEEKDAY(DATE(YEAR(C1600-WEEKDAY(C1600,2)+4),1,3),2)+5)/7),"00"))</f>
        <v/>
      </c>
    </row>
    <row r="1601" ht="18" customHeight="1">
      <c r="A1601" s="39" t="n">
        <v>1596</v>
      </c>
      <c r="B1601" s="33">
        <f>IF(C1601="","",IF(P1601="À RENSEIGNER","GIC",P1601)&amp;"-C"&amp;TEXT(A1601,"00000"))</f>
        <v/>
      </c>
      <c r="C1601" s="32" t="n"/>
      <c r="D1601" s="36" t="n"/>
      <c r="E1601" s="36" t="n"/>
      <c r="F1601" s="36" t="n"/>
      <c r="G1601" s="42" t="n"/>
      <c r="H1601" s="37" t="n"/>
      <c r="I1601" s="37" t="n"/>
      <c r="J1601" s="32" t="n"/>
      <c r="K1601" s="32" t="n"/>
      <c r="L1601" s="43" t="n"/>
      <c r="M1601" s="36" t="n"/>
      <c r="N1601" s="44" t="n"/>
      <c r="O1601" s="36" t="n"/>
      <c r="P1601" s="33">
        <f>IF(C1601="","",Commercial_Id)</f>
        <v/>
      </c>
      <c r="Q1601" s="34">
        <f>IF(AC1601="","",IF(AD1601=1,"C"&amp;TEXT(SUM(AD$6:AD1601),"0000"),INDEX(Q$6:Q1600,MATCH(AC1601,AC$6:AC1600,0))))</f>
        <v/>
      </c>
      <c r="R1601" s="34">
        <f>IF(C1601="","",IF(L1601="☑ Oui","Annulée",IF(OR(E1601="Vente directe",K1601&lt;&gt;""),"Livrée",IF(J1601&lt;&gt;"","Confirmée","En attente"))))</f>
        <v/>
      </c>
      <c r="S1601" s="34">
        <f>IF(F1601="","",IFERROR(VLOOKUP(F1601,T_Produits,2,FALSE),""))</f>
        <v/>
      </c>
      <c r="T1601" s="40">
        <f>IF(F1601="","",IFERROR(1/(1/VLOOKUP(F1601,T_Produits,3,FALSE)),""))</f>
        <v/>
      </c>
      <c r="U1601" s="40">
        <f>IF(H1601&lt;&gt;"",H1601,T1601)</f>
        <v/>
      </c>
      <c r="V1601" s="40">
        <f>IF(OR(G1601="",U1601=""),"",G1601*U1601-N(I1601))</f>
        <v/>
      </c>
      <c r="W1601" s="39">
        <f>IF(D1601="","",IFERROR(VALUE(MID(D1601,LEN(D1601)-3,3)),""))</f>
        <v/>
      </c>
      <c r="X1601" s="33">
        <f>IF(W1601="","",P1601&amp;"|"&amp;W1601)</f>
        <v/>
      </c>
      <c r="Y1601" s="33">
        <f>IF(W1601="","",IF(P1601="À RENSEIGNER","GIC",P1601)&amp;"-"&amp;TEXT(W1601,"000"))</f>
        <v/>
      </c>
      <c r="Z1601" s="33">
        <f>IF(X1601="","",IFERROR(INDEX(Cl_nom,MATCH(X1601,Cl_cle,0)),"(client introuvable)"))</f>
        <v/>
      </c>
      <c r="AA1601" s="33">
        <f>IF(X1601="","",IFERROR(INDEX(Cl_quartier,MATCH(X1601,Cl_cle,0))&amp;"",""))</f>
        <v/>
      </c>
      <c r="AB1601" s="45">
        <f>IF(R1601&lt;&gt;"Livrée",0,IF(K1601&lt;&gt;"",K1601,C1601))</f>
        <v/>
      </c>
      <c r="AC1601" s="33">
        <f>IF(OR(C1601="",W1601=""),"",P1601&amp;"|"&amp;W1601&amp;"|"&amp;C1601&amp;"|"&amp;E1601)</f>
        <v/>
      </c>
      <c r="AD1601" s="39">
        <f>IF(AC1601="","",IF(COUNTIF(AC$6:AC1601,AC1601)=1,1,0))</f>
        <v/>
      </c>
      <c r="AE1601" s="39">
        <f>IF(AB1601=0,"",IF(COUNTIFS(X$6:X1601,X1601,AB$6:AB1601,AB1601)=1,1,0))</f>
        <v/>
      </c>
      <c r="AF1601" s="34">
        <f>IF(C1601="","",YEAR(C1601-WEEKDAY(C1601,2)+4)&amp;"-S"&amp;TEXT(INT((C1601-DATE(YEAR(C1601-WEEKDAY(C1601,2)+4),1,3)+WEEKDAY(DATE(YEAR(C1601-WEEKDAY(C1601,2)+4),1,3),2)+5)/7),"00"))</f>
        <v/>
      </c>
    </row>
    <row r="1602" ht="18" customHeight="1">
      <c r="A1602" s="39" t="n">
        <v>1597</v>
      </c>
      <c r="B1602" s="33">
        <f>IF(C1602="","",IF(P1602="À RENSEIGNER","GIC",P1602)&amp;"-C"&amp;TEXT(A1602,"00000"))</f>
        <v/>
      </c>
      <c r="C1602" s="32" t="n"/>
      <c r="D1602" s="36" t="n"/>
      <c r="E1602" s="36" t="n"/>
      <c r="F1602" s="36" t="n"/>
      <c r="G1602" s="42" t="n"/>
      <c r="H1602" s="37" t="n"/>
      <c r="I1602" s="37" t="n"/>
      <c r="J1602" s="32" t="n"/>
      <c r="K1602" s="32" t="n"/>
      <c r="L1602" s="43" t="n"/>
      <c r="M1602" s="36" t="n"/>
      <c r="N1602" s="44" t="n"/>
      <c r="O1602" s="36" t="n"/>
      <c r="P1602" s="33">
        <f>IF(C1602="","",Commercial_Id)</f>
        <v/>
      </c>
      <c r="Q1602" s="34">
        <f>IF(AC1602="","",IF(AD1602=1,"C"&amp;TEXT(SUM(AD$6:AD1602),"0000"),INDEX(Q$6:Q1601,MATCH(AC1602,AC$6:AC1601,0))))</f>
        <v/>
      </c>
      <c r="R1602" s="34">
        <f>IF(C1602="","",IF(L1602="☑ Oui","Annulée",IF(OR(E1602="Vente directe",K1602&lt;&gt;""),"Livrée",IF(J1602&lt;&gt;"","Confirmée","En attente"))))</f>
        <v/>
      </c>
      <c r="S1602" s="34">
        <f>IF(F1602="","",IFERROR(VLOOKUP(F1602,T_Produits,2,FALSE),""))</f>
        <v/>
      </c>
      <c r="T1602" s="40">
        <f>IF(F1602="","",IFERROR(1/(1/VLOOKUP(F1602,T_Produits,3,FALSE)),""))</f>
        <v/>
      </c>
      <c r="U1602" s="40">
        <f>IF(H1602&lt;&gt;"",H1602,T1602)</f>
        <v/>
      </c>
      <c r="V1602" s="40">
        <f>IF(OR(G1602="",U1602=""),"",G1602*U1602-N(I1602))</f>
        <v/>
      </c>
      <c r="W1602" s="39">
        <f>IF(D1602="","",IFERROR(VALUE(MID(D1602,LEN(D1602)-3,3)),""))</f>
        <v/>
      </c>
      <c r="X1602" s="33">
        <f>IF(W1602="","",P1602&amp;"|"&amp;W1602)</f>
        <v/>
      </c>
      <c r="Y1602" s="33">
        <f>IF(W1602="","",IF(P1602="À RENSEIGNER","GIC",P1602)&amp;"-"&amp;TEXT(W1602,"000"))</f>
        <v/>
      </c>
      <c r="Z1602" s="33">
        <f>IF(X1602="","",IFERROR(INDEX(Cl_nom,MATCH(X1602,Cl_cle,0)),"(client introuvable)"))</f>
        <v/>
      </c>
      <c r="AA1602" s="33">
        <f>IF(X1602="","",IFERROR(INDEX(Cl_quartier,MATCH(X1602,Cl_cle,0))&amp;"",""))</f>
        <v/>
      </c>
      <c r="AB1602" s="45">
        <f>IF(R1602&lt;&gt;"Livrée",0,IF(K1602&lt;&gt;"",K1602,C1602))</f>
        <v/>
      </c>
      <c r="AC1602" s="33">
        <f>IF(OR(C1602="",W1602=""),"",P1602&amp;"|"&amp;W1602&amp;"|"&amp;C1602&amp;"|"&amp;E1602)</f>
        <v/>
      </c>
      <c r="AD1602" s="39">
        <f>IF(AC1602="","",IF(COUNTIF(AC$6:AC1602,AC1602)=1,1,0))</f>
        <v/>
      </c>
      <c r="AE1602" s="39">
        <f>IF(AB1602=0,"",IF(COUNTIFS(X$6:X1602,X1602,AB$6:AB1602,AB1602)=1,1,0))</f>
        <v/>
      </c>
      <c r="AF1602" s="34">
        <f>IF(C1602="","",YEAR(C1602-WEEKDAY(C1602,2)+4)&amp;"-S"&amp;TEXT(INT((C1602-DATE(YEAR(C1602-WEEKDAY(C1602,2)+4),1,3)+WEEKDAY(DATE(YEAR(C1602-WEEKDAY(C1602,2)+4),1,3),2)+5)/7),"00"))</f>
        <v/>
      </c>
    </row>
    <row r="1603" ht="18" customHeight="1">
      <c r="A1603" s="39" t="n">
        <v>1598</v>
      </c>
      <c r="B1603" s="33">
        <f>IF(C1603="","",IF(P1603="À RENSEIGNER","GIC",P1603)&amp;"-C"&amp;TEXT(A1603,"00000"))</f>
        <v/>
      </c>
      <c r="C1603" s="32" t="n"/>
      <c r="D1603" s="36" t="n"/>
      <c r="E1603" s="36" t="n"/>
      <c r="F1603" s="36" t="n"/>
      <c r="G1603" s="42" t="n"/>
      <c r="H1603" s="37" t="n"/>
      <c r="I1603" s="37" t="n"/>
      <c r="J1603" s="32" t="n"/>
      <c r="K1603" s="32" t="n"/>
      <c r="L1603" s="43" t="n"/>
      <c r="M1603" s="36" t="n"/>
      <c r="N1603" s="44" t="n"/>
      <c r="O1603" s="36" t="n"/>
      <c r="P1603" s="33">
        <f>IF(C1603="","",Commercial_Id)</f>
        <v/>
      </c>
      <c r="Q1603" s="34">
        <f>IF(AC1603="","",IF(AD1603=1,"C"&amp;TEXT(SUM(AD$6:AD1603),"0000"),INDEX(Q$6:Q1602,MATCH(AC1603,AC$6:AC1602,0))))</f>
        <v/>
      </c>
      <c r="R1603" s="34">
        <f>IF(C1603="","",IF(L1603="☑ Oui","Annulée",IF(OR(E1603="Vente directe",K1603&lt;&gt;""),"Livrée",IF(J1603&lt;&gt;"","Confirmée","En attente"))))</f>
        <v/>
      </c>
      <c r="S1603" s="34">
        <f>IF(F1603="","",IFERROR(VLOOKUP(F1603,T_Produits,2,FALSE),""))</f>
        <v/>
      </c>
      <c r="T1603" s="40">
        <f>IF(F1603="","",IFERROR(1/(1/VLOOKUP(F1603,T_Produits,3,FALSE)),""))</f>
        <v/>
      </c>
      <c r="U1603" s="40">
        <f>IF(H1603&lt;&gt;"",H1603,T1603)</f>
        <v/>
      </c>
      <c r="V1603" s="40">
        <f>IF(OR(G1603="",U1603=""),"",G1603*U1603-N(I1603))</f>
        <v/>
      </c>
      <c r="W1603" s="39">
        <f>IF(D1603="","",IFERROR(VALUE(MID(D1603,LEN(D1603)-3,3)),""))</f>
        <v/>
      </c>
      <c r="X1603" s="33">
        <f>IF(W1603="","",P1603&amp;"|"&amp;W1603)</f>
        <v/>
      </c>
      <c r="Y1603" s="33">
        <f>IF(W1603="","",IF(P1603="À RENSEIGNER","GIC",P1603)&amp;"-"&amp;TEXT(W1603,"000"))</f>
        <v/>
      </c>
      <c r="Z1603" s="33">
        <f>IF(X1603="","",IFERROR(INDEX(Cl_nom,MATCH(X1603,Cl_cle,0)),"(client introuvable)"))</f>
        <v/>
      </c>
      <c r="AA1603" s="33">
        <f>IF(X1603="","",IFERROR(INDEX(Cl_quartier,MATCH(X1603,Cl_cle,0))&amp;"",""))</f>
        <v/>
      </c>
      <c r="AB1603" s="45">
        <f>IF(R1603&lt;&gt;"Livrée",0,IF(K1603&lt;&gt;"",K1603,C1603))</f>
        <v/>
      </c>
      <c r="AC1603" s="33">
        <f>IF(OR(C1603="",W1603=""),"",P1603&amp;"|"&amp;W1603&amp;"|"&amp;C1603&amp;"|"&amp;E1603)</f>
        <v/>
      </c>
      <c r="AD1603" s="39">
        <f>IF(AC1603="","",IF(COUNTIF(AC$6:AC1603,AC1603)=1,1,0))</f>
        <v/>
      </c>
      <c r="AE1603" s="39">
        <f>IF(AB1603=0,"",IF(COUNTIFS(X$6:X1603,X1603,AB$6:AB1603,AB1603)=1,1,0))</f>
        <v/>
      </c>
      <c r="AF1603" s="34">
        <f>IF(C1603="","",YEAR(C1603-WEEKDAY(C1603,2)+4)&amp;"-S"&amp;TEXT(INT((C1603-DATE(YEAR(C1603-WEEKDAY(C1603,2)+4),1,3)+WEEKDAY(DATE(YEAR(C1603-WEEKDAY(C1603,2)+4),1,3),2)+5)/7),"00"))</f>
        <v/>
      </c>
    </row>
    <row r="1604" ht="18" customHeight="1">
      <c r="A1604" s="39" t="n">
        <v>1599</v>
      </c>
      <c r="B1604" s="33">
        <f>IF(C1604="","",IF(P1604="À RENSEIGNER","GIC",P1604)&amp;"-C"&amp;TEXT(A1604,"00000"))</f>
        <v/>
      </c>
      <c r="C1604" s="32" t="n"/>
      <c r="D1604" s="36" t="n"/>
      <c r="E1604" s="36" t="n"/>
      <c r="F1604" s="36" t="n"/>
      <c r="G1604" s="42" t="n"/>
      <c r="H1604" s="37" t="n"/>
      <c r="I1604" s="37" t="n"/>
      <c r="J1604" s="32" t="n"/>
      <c r="K1604" s="32" t="n"/>
      <c r="L1604" s="43" t="n"/>
      <c r="M1604" s="36" t="n"/>
      <c r="N1604" s="44" t="n"/>
      <c r="O1604" s="36" t="n"/>
      <c r="P1604" s="33">
        <f>IF(C1604="","",Commercial_Id)</f>
        <v/>
      </c>
      <c r="Q1604" s="34">
        <f>IF(AC1604="","",IF(AD1604=1,"C"&amp;TEXT(SUM(AD$6:AD1604),"0000"),INDEX(Q$6:Q1603,MATCH(AC1604,AC$6:AC1603,0))))</f>
        <v/>
      </c>
      <c r="R1604" s="34">
        <f>IF(C1604="","",IF(L1604="☑ Oui","Annulée",IF(OR(E1604="Vente directe",K1604&lt;&gt;""),"Livrée",IF(J1604&lt;&gt;"","Confirmée","En attente"))))</f>
        <v/>
      </c>
      <c r="S1604" s="34">
        <f>IF(F1604="","",IFERROR(VLOOKUP(F1604,T_Produits,2,FALSE),""))</f>
        <v/>
      </c>
      <c r="T1604" s="40">
        <f>IF(F1604="","",IFERROR(1/(1/VLOOKUP(F1604,T_Produits,3,FALSE)),""))</f>
        <v/>
      </c>
      <c r="U1604" s="40">
        <f>IF(H1604&lt;&gt;"",H1604,T1604)</f>
        <v/>
      </c>
      <c r="V1604" s="40">
        <f>IF(OR(G1604="",U1604=""),"",G1604*U1604-N(I1604))</f>
        <v/>
      </c>
      <c r="W1604" s="39">
        <f>IF(D1604="","",IFERROR(VALUE(MID(D1604,LEN(D1604)-3,3)),""))</f>
        <v/>
      </c>
      <c r="X1604" s="33">
        <f>IF(W1604="","",P1604&amp;"|"&amp;W1604)</f>
        <v/>
      </c>
      <c r="Y1604" s="33">
        <f>IF(W1604="","",IF(P1604="À RENSEIGNER","GIC",P1604)&amp;"-"&amp;TEXT(W1604,"000"))</f>
        <v/>
      </c>
      <c r="Z1604" s="33">
        <f>IF(X1604="","",IFERROR(INDEX(Cl_nom,MATCH(X1604,Cl_cle,0)),"(client introuvable)"))</f>
        <v/>
      </c>
      <c r="AA1604" s="33">
        <f>IF(X1604="","",IFERROR(INDEX(Cl_quartier,MATCH(X1604,Cl_cle,0))&amp;"",""))</f>
        <v/>
      </c>
      <c r="AB1604" s="45">
        <f>IF(R1604&lt;&gt;"Livrée",0,IF(K1604&lt;&gt;"",K1604,C1604))</f>
        <v/>
      </c>
      <c r="AC1604" s="33">
        <f>IF(OR(C1604="",W1604=""),"",P1604&amp;"|"&amp;W1604&amp;"|"&amp;C1604&amp;"|"&amp;E1604)</f>
        <v/>
      </c>
      <c r="AD1604" s="39">
        <f>IF(AC1604="","",IF(COUNTIF(AC$6:AC1604,AC1604)=1,1,0))</f>
        <v/>
      </c>
      <c r="AE1604" s="39">
        <f>IF(AB1604=0,"",IF(COUNTIFS(X$6:X1604,X1604,AB$6:AB1604,AB1604)=1,1,0))</f>
        <v/>
      </c>
      <c r="AF1604" s="34">
        <f>IF(C1604="","",YEAR(C1604-WEEKDAY(C1604,2)+4)&amp;"-S"&amp;TEXT(INT((C1604-DATE(YEAR(C1604-WEEKDAY(C1604,2)+4),1,3)+WEEKDAY(DATE(YEAR(C1604-WEEKDAY(C1604,2)+4),1,3),2)+5)/7),"00"))</f>
        <v/>
      </c>
    </row>
    <row r="1605" ht="18" customHeight="1">
      <c r="A1605" s="39" t="n">
        <v>1600</v>
      </c>
      <c r="B1605" s="33">
        <f>IF(C1605="","",IF(P1605="À RENSEIGNER","GIC",P1605)&amp;"-C"&amp;TEXT(A1605,"00000"))</f>
        <v/>
      </c>
      <c r="C1605" s="32" t="n"/>
      <c r="D1605" s="36" t="n"/>
      <c r="E1605" s="36" t="n"/>
      <c r="F1605" s="36" t="n"/>
      <c r="G1605" s="42" t="n"/>
      <c r="H1605" s="37" t="n"/>
      <c r="I1605" s="37" t="n"/>
      <c r="J1605" s="32" t="n"/>
      <c r="K1605" s="32" t="n"/>
      <c r="L1605" s="43" t="n"/>
      <c r="M1605" s="36" t="n"/>
      <c r="N1605" s="44" t="n"/>
      <c r="O1605" s="36" t="n"/>
      <c r="P1605" s="33">
        <f>IF(C1605="","",Commercial_Id)</f>
        <v/>
      </c>
      <c r="Q1605" s="34">
        <f>IF(AC1605="","",IF(AD1605=1,"C"&amp;TEXT(SUM(AD$6:AD1605),"0000"),INDEX(Q$6:Q1604,MATCH(AC1605,AC$6:AC1604,0))))</f>
        <v/>
      </c>
      <c r="R1605" s="34">
        <f>IF(C1605="","",IF(L1605="☑ Oui","Annulée",IF(OR(E1605="Vente directe",K1605&lt;&gt;""),"Livrée",IF(J1605&lt;&gt;"","Confirmée","En attente"))))</f>
        <v/>
      </c>
      <c r="S1605" s="34">
        <f>IF(F1605="","",IFERROR(VLOOKUP(F1605,T_Produits,2,FALSE),""))</f>
        <v/>
      </c>
      <c r="T1605" s="40">
        <f>IF(F1605="","",IFERROR(1/(1/VLOOKUP(F1605,T_Produits,3,FALSE)),""))</f>
        <v/>
      </c>
      <c r="U1605" s="40">
        <f>IF(H1605&lt;&gt;"",H1605,T1605)</f>
        <v/>
      </c>
      <c r="V1605" s="40">
        <f>IF(OR(G1605="",U1605=""),"",G1605*U1605-N(I1605))</f>
        <v/>
      </c>
      <c r="W1605" s="39">
        <f>IF(D1605="","",IFERROR(VALUE(MID(D1605,LEN(D1605)-3,3)),""))</f>
        <v/>
      </c>
      <c r="X1605" s="33">
        <f>IF(W1605="","",P1605&amp;"|"&amp;W1605)</f>
        <v/>
      </c>
      <c r="Y1605" s="33">
        <f>IF(W1605="","",IF(P1605="À RENSEIGNER","GIC",P1605)&amp;"-"&amp;TEXT(W1605,"000"))</f>
        <v/>
      </c>
      <c r="Z1605" s="33">
        <f>IF(X1605="","",IFERROR(INDEX(Cl_nom,MATCH(X1605,Cl_cle,0)),"(client introuvable)"))</f>
        <v/>
      </c>
      <c r="AA1605" s="33">
        <f>IF(X1605="","",IFERROR(INDEX(Cl_quartier,MATCH(X1605,Cl_cle,0))&amp;"",""))</f>
        <v/>
      </c>
      <c r="AB1605" s="45">
        <f>IF(R1605&lt;&gt;"Livrée",0,IF(K1605&lt;&gt;"",K1605,C1605))</f>
        <v/>
      </c>
      <c r="AC1605" s="33">
        <f>IF(OR(C1605="",W1605=""),"",P1605&amp;"|"&amp;W1605&amp;"|"&amp;C1605&amp;"|"&amp;E1605)</f>
        <v/>
      </c>
      <c r="AD1605" s="39">
        <f>IF(AC1605="","",IF(COUNTIF(AC$6:AC1605,AC1605)=1,1,0))</f>
        <v/>
      </c>
      <c r="AE1605" s="39">
        <f>IF(AB1605=0,"",IF(COUNTIFS(X$6:X1605,X1605,AB$6:AB1605,AB1605)=1,1,0))</f>
        <v/>
      </c>
      <c r="AF1605" s="34">
        <f>IF(C1605="","",YEAR(C1605-WEEKDAY(C1605,2)+4)&amp;"-S"&amp;TEXT(INT((C1605-DATE(YEAR(C1605-WEEKDAY(C1605,2)+4),1,3)+WEEKDAY(DATE(YEAR(C1605-WEEKDAY(C1605,2)+4),1,3),2)+5)/7),"00"))</f>
        <v/>
      </c>
    </row>
    <row r="1606" ht="18" customHeight="1">
      <c r="A1606" s="39" t="n">
        <v>1601</v>
      </c>
      <c r="B1606" s="33">
        <f>IF(C1606="","",IF(P1606="À RENSEIGNER","GIC",P1606)&amp;"-C"&amp;TEXT(A1606,"00000"))</f>
        <v/>
      </c>
      <c r="C1606" s="32" t="n"/>
      <c r="D1606" s="36" t="n"/>
      <c r="E1606" s="36" t="n"/>
      <c r="F1606" s="36" t="n"/>
      <c r="G1606" s="42" t="n"/>
      <c r="H1606" s="37" t="n"/>
      <c r="I1606" s="37" t="n"/>
      <c r="J1606" s="32" t="n"/>
      <c r="K1606" s="32" t="n"/>
      <c r="L1606" s="43" t="n"/>
      <c r="M1606" s="36" t="n"/>
      <c r="N1606" s="44" t="n"/>
      <c r="O1606" s="36" t="n"/>
      <c r="P1606" s="33">
        <f>IF(C1606="","",Commercial_Id)</f>
        <v/>
      </c>
      <c r="Q1606" s="34">
        <f>IF(AC1606="","",IF(AD1606=1,"C"&amp;TEXT(SUM(AD$6:AD1606),"0000"),INDEX(Q$6:Q1605,MATCH(AC1606,AC$6:AC1605,0))))</f>
        <v/>
      </c>
      <c r="R1606" s="34">
        <f>IF(C1606="","",IF(L1606="☑ Oui","Annulée",IF(OR(E1606="Vente directe",K1606&lt;&gt;""),"Livrée",IF(J1606&lt;&gt;"","Confirmée","En attente"))))</f>
        <v/>
      </c>
      <c r="S1606" s="34">
        <f>IF(F1606="","",IFERROR(VLOOKUP(F1606,T_Produits,2,FALSE),""))</f>
        <v/>
      </c>
      <c r="T1606" s="40">
        <f>IF(F1606="","",IFERROR(1/(1/VLOOKUP(F1606,T_Produits,3,FALSE)),""))</f>
        <v/>
      </c>
      <c r="U1606" s="40">
        <f>IF(H1606&lt;&gt;"",H1606,T1606)</f>
        <v/>
      </c>
      <c r="V1606" s="40">
        <f>IF(OR(G1606="",U1606=""),"",G1606*U1606-N(I1606))</f>
        <v/>
      </c>
      <c r="W1606" s="39">
        <f>IF(D1606="","",IFERROR(VALUE(MID(D1606,LEN(D1606)-3,3)),""))</f>
        <v/>
      </c>
      <c r="X1606" s="33">
        <f>IF(W1606="","",P1606&amp;"|"&amp;W1606)</f>
        <v/>
      </c>
      <c r="Y1606" s="33">
        <f>IF(W1606="","",IF(P1606="À RENSEIGNER","GIC",P1606)&amp;"-"&amp;TEXT(W1606,"000"))</f>
        <v/>
      </c>
      <c r="Z1606" s="33">
        <f>IF(X1606="","",IFERROR(INDEX(Cl_nom,MATCH(X1606,Cl_cle,0)),"(client introuvable)"))</f>
        <v/>
      </c>
      <c r="AA1606" s="33">
        <f>IF(X1606="","",IFERROR(INDEX(Cl_quartier,MATCH(X1606,Cl_cle,0))&amp;"",""))</f>
        <v/>
      </c>
      <c r="AB1606" s="45">
        <f>IF(R1606&lt;&gt;"Livrée",0,IF(K1606&lt;&gt;"",K1606,C1606))</f>
        <v/>
      </c>
      <c r="AC1606" s="33">
        <f>IF(OR(C1606="",W1606=""),"",P1606&amp;"|"&amp;W1606&amp;"|"&amp;C1606&amp;"|"&amp;E1606)</f>
        <v/>
      </c>
      <c r="AD1606" s="39">
        <f>IF(AC1606="","",IF(COUNTIF(AC$6:AC1606,AC1606)=1,1,0))</f>
        <v/>
      </c>
      <c r="AE1606" s="39">
        <f>IF(AB1606=0,"",IF(COUNTIFS(X$6:X1606,X1606,AB$6:AB1606,AB1606)=1,1,0))</f>
        <v/>
      </c>
      <c r="AF1606" s="34">
        <f>IF(C1606="","",YEAR(C1606-WEEKDAY(C1606,2)+4)&amp;"-S"&amp;TEXT(INT((C1606-DATE(YEAR(C1606-WEEKDAY(C1606,2)+4),1,3)+WEEKDAY(DATE(YEAR(C1606-WEEKDAY(C1606,2)+4),1,3),2)+5)/7),"00"))</f>
        <v/>
      </c>
    </row>
    <row r="1607" ht="18" customHeight="1">
      <c r="A1607" s="39" t="n">
        <v>1602</v>
      </c>
      <c r="B1607" s="33">
        <f>IF(C1607="","",IF(P1607="À RENSEIGNER","GIC",P1607)&amp;"-C"&amp;TEXT(A1607,"00000"))</f>
        <v/>
      </c>
      <c r="C1607" s="32" t="n"/>
      <c r="D1607" s="36" t="n"/>
      <c r="E1607" s="36" t="n"/>
      <c r="F1607" s="36" t="n"/>
      <c r="G1607" s="42" t="n"/>
      <c r="H1607" s="37" t="n"/>
      <c r="I1607" s="37" t="n"/>
      <c r="J1607" s="32" t="n"/>
      <c r="K1607" s="32" t="n"/>
      <c r="L1607" s="43" t="n"/>
      <c r="M1607" s="36" t="n"/>
      <c r="N1607" s="44" t="n"/>
      <c r="O1607" s="36" t="n"/>
      <c r="P1607" s="33">
        <f>IF(C1607="","",Commercial_Id)</f>
        <v/>
      </c>
      <c r="Q1607" s="34">
        <f>IF(AC1607="","",IF(AD1607=1,"C"&amp;TEXT(SUM(AD$6:AD1607),"0000"),INDEX(Q$6:Q1606,MATCH(AC1607,AC$6:AC1606,0))))</f>
        <v/>
      </c>
      <c r="R1607" s="34">
        <f>IF(C1607="","",IF(L1607="☑ Oui","Annulée",IF(OR(E1607="Vente directe",K1607&lt;&gt;""),"Livrée",IF(J1607&lt;&gt;"","Confirmée","En attente"))))</f>
        <v/>
      </c>
      <c r="S1607" s="34">
        <f>IF(F1607="","",IFERROR(VLOOKUP(F1607,T_Produits,2,FALSE),""))</f>
        <v/>
      </c>
      <c r="T1607" s="40">
        <f>IF(F1607="","",IFERROR(1/(1/VLOOKUP(F1607,T_Produits,3,FALSE)),""))</f>
        <v/>
      </c>
      <c r="U1607" s="40">
        <f>IF(H1607&lt;&gt;"",H1607,T1607)</f>
        <v/>
      </c>
      <c r="V1607" s="40">
        <f>IF(OR(G1607="",U1607=""),"",G1607*U1607-N(I1607))</f>
        <v/>
      </c>
      <c r="W1607" s="39">
        <f>IF(D1607="","",IFERROR(VALUE(MID(D1607,LEN(D1607)-3,3)),""))</f>
        <v/>
      </c>
      <c r="X1607" s="33">
        <f>IF(W1607="","",P1607&amp;"|"&amp;W1607)</f>
        <v/>
      </c>
      <c r="Y1607" s="33">
        <f>IF(W1607="","",IF(P1607="À RENSEIGNER","GIC",P1607)&amp;"-"&amp;TEXT(W1607,"000"))</f>
        <v/>
      </c>
      <c r="Z1607" s="33">
        <f>IF(X1607="","",IFERROR(INDEX(Cl_nom,MATCH(X1607,Cl_cle,0)),"(client introuvable)"))</f>
        <v/>
      </c>
      <c r="AA1607" s="33">
        <f>IF(X1607="","",IFERROR(INDEX(Cl_quartier,MATCH(X1607,Cl_cle,0))&amp;"",""))</f>
        <v/>
      </c>
      <c r="AB1607" s="45">
        <f>IF(R1607&lt;&gt;"Livrée",0,IF(K1607&lt;&gt;"",K1607,C1607))</f>
        <v/>
      </c>
      <c r="AC1607" s="33">
        <f>IF(OR(C1607="",W1607=""),"",P1607&amp;"|"&amp;W1607&amp;"|"&amp;C1607&amp;"|"&amp;E1607)</f>
        <v/>
      </c>
      <c r="AD1607" s="39">
        <f>IF(AC1607="","",IF(COUNTIF(AC$6:AC1607,AC1607)=1,1,0))</f>
        <v/>
      </c>
      <c r="AE1607" s="39">
        <f>IF(AB1607=0,"",IF(COUNTIFS(X$6:X1607,X1607,AB$6:AB1607,AB1607)=1,1,0))</f>
        <v/>
      </c>
      <c r="AF1607" s="34">
        <f>IF(C1607="","",YEAR(C1607-WEEKDAY(C1607,2)+4)&amp;"-S"&amp;TEXT(INT((C1607-DATE(YEAR(C1607-WEEKDAY(C1607,2)+4),1,3)+WEEKDAY(DATE(YEAR(C1607-WEEKDAY(C1607,2)+4),1,3),2)+5)/7),"00"))</f>
        <v/>
      </c>
    </row>
    <row r="1608" ht="18" customHeight="1">
      <c r="A1608" s="39" t="n">
        <v>1603</v>
      </c>
      <c r="B1608" s="33">
        <f>IF(C1608="","",IF(P1608="À RENSEIGNER","GIC",P1608)&amp;"-C"&amp;TEXT(A1608,"00000"))</f>
        <v/>
      </c>
      <c r="C1608" s="32" t="n"/>
      <c r="D1608" s="36" t="n"/>
      <c r="E1608" s="36" t="n"/>
      <c r="F1608" s="36" t="n"/>
      <c r="G1608" s="42" t="n"/>
      <c r="H1608" s="37" t="n"/>
      <c r="I1608" s="37" t="n"/>
      <c r="J1608" s="32" t="n"/>
      <c r="K1608" s="32" t="n"/>
      <c r="L1608" s="43" t="n"/>
      <c r="M1608" s="36" t="n"/>
      <c r="N1608" s="44" t="n"/>
      <c r="O1608" s="36" t="n"/>
      <c r="P1608" s="33">
        <f>IF(C1608="","",Commercial_Id)</f>
        <v/>
      </c>
      <c r="Q1608" s="34">
        <f>IF(AC1608="","",IF(AD1608=1,"C"&amp;TEXT(SUM(AD$6:AD1608),"0000"),INDEX(Q$6:Q1607,MATCH(AC1608,AC$6:AC1607,0))))</f>
        <v/>
      </c>
      <c r="R1608" s="34">
        <f>IF(C1608="","",IF(L1608="☑ Oui","Annulée",IF(OR(E1608="Vente directe",K1608&lt;&gt;""),"Livrée",IF(J1608&lt;&gt;"","Confirmée","En attente"))))</f>
        <v/>
      </c>
      <c r="S1608" s="34">
        <f>IF(F1608="","",IFERROR(VLOOKUP(F1608,T_Produits,2,FALSE),""))</f>
        <v/>
      </c>
      <c r="T1608" s="40">
        <f>IF(F1608="","",IFERROR(1/(1/VLOOKUP(F1608,T_Produits,3,FALSE)),""))</f>
        <v/>
      </c>
      <c r="U1608" s="40">
        <f>IF(H1608&lt;&gt;"",H1608,T1608)</f>
        <v/>
      </c>
      <c r="V1608" s="40">
        <f>IF(OR(G1608="",U1608=""),"",G1608*U1608-N(I1608))</f>
        <v/>
      </c>
      <c r="W1608" s="39">
        <f>IF(D1608="","",IFERROR(VALUE(MID(D1608,LEN(D1608)-3,3)),""))</f>
        <v/>
      </c>
      <c r="X1608" s="33">
        <f>IF(W1608="","",P1608&amp;"|"&amp;W1608)</f>
        <v/>
      </c>
      <c r="Y1608" s="33">
        <f>IF(W1608="","",IF(P1608="À RENSEIGNER","GIC",P1608)&amp;"-"&amp;TEXT(W1608,"000"))</f>
        <v/>
      </c>
      <c r="Z1608" s="33">
        <f>IF(X1608="","",IFERROR(INDEX(Cl_nom,MATCH(X1608,Cl_cle,0)),"(client introuvable)"))</f>
        <v/>
      </c>
      <c r="AA1608" s="33">
        <f>IF(X1608="","",IFERROR(INDEX(Cl_quartier,MATCH(X1608,Cl_cle,0))&amp;"",""))</f>
        <v/>
      </c>
      <c r="AB1608" s="45">
        <f>IF(R1608&lt;&gt;"Livrée",0,IF(K1608&lt;&gt;"",K1608,C1608))</f>
        <v/>
      </c>
      <c r="AC1608" s="33">
        <f>IF(OR(C1608="",W1608=""),"",P1608&amp;"|"&amp;W1608&amp;"|"&amp;C1608&amp;"|"&amp;E1608)</f>
        <v/>
      </c>
      <c r="AD1608" s="39">
        <f>IF(AC1608="","",IF(COUNTIF(AC$6:AC1608,AC1608)=1,1,0))</f>
        <v/>
      </c>
      <c r="AE1608" s="39">
        <f>IF(AB1608=0,"",IF(COUNTIFS(X$6:X1608,X1608,AB$6:AB1608,AB1608)=1,1,0))</f>
        <v/>
      </c>
      <c r="AF1608" s="34">
        <f>IF(C1608="","",YEAR(C1608-WEEKDAY(C1608,2)+4)&amp;"-S"&amp;TEXT(INT((C1608-DATE(YEAR(C1608-WEEKDAY(C1608,2)+4),1,3)+WEEKDAY(DATE(YEAR(C1608-WEEKDAY(C1608,2)+4),1,3),2)+5)/7),"00"))</f>
        <v/>
      </c>
    </row>
    <row r="1609" ht="18" customHeight="1">
      <c r="A1609" s="39" t="n">
        <v>1604</v>
      </c>
      <c r="B1609" s="33">
        <f>IF(C1609="","",IF(P1609="À RENSEIGNER","GIC",P1609)&amp;"-C"&amp;TEXT(A1609,"00000"))</f>
        <v/>
      </c>
      <c r="C1609" s="32" t="n"/>
      <c r="D1609" s="36" t="n"/>
      <c r="E1609" s="36" t="n"/>
      <c r="F1609" s="36" t="n"/>
      <c r="G1609" s="42" t="n"/>
      <c r="H1609" s="37" t="n"/>
      <c r="I1609" s="37" t="n"/>
      <c r="J1609" s="32" t="n"/>
      <c r="K1609" s="32" t="n"/>
      <c r="L1609" s="43" t="n"/>
      <c r="M1609" s="36" t="n"/>
      <c r="N1609" s="44" t="n"/>
      <c r="O1609" s="36" t="n"/>
      <c r="P1609" s="33">
        <f>IF(C1609="","",Commercial_Id)</f>
        <v/>
      </c>
      <c r="Q1609" s="34">
        <f>IF(AC1609="","",IF(AD1609=1,"C"&amp;TEXT(SUM(AD$6:AD1609),"0000"),INDEX(Q$6:Q1608,MATCH(AC1609,AC$6:AC1608,0))))</f>
        <v/>
      </c>
      <c r="R1609" s="34">
        <f>IF(C1609="","",IF(L1609="☑ Oui","Annulée",IF(OR(E1609="Vente directe",K1609&lt;&gt;""),"Livrée",IF(J1609&lt;&gt;"","Confirmée","En attente"))))</f>
        <v/>
      </c>
      <c r="S1609" s="34">
        <f>IF(F1609="","",IFERROR(VLOOKUP(F1609,T_Produits,2,FALSE),""))</f>
        <v/>
      </c>
      <c r="T1609" s="40">
        <f>IF(F1609="","",IFERROR(1/(1/VLOOKUP(F1609,T_Produits,3,FALSE)),""))</f>
        <v/>
      </c>
      <c r="U1609" s="40">
        <f>IF(H1609&lt;&gt;"",H1609,T1609)</f>
        <v/>
      </c>
      <c r="V1609" s="40">
        <f>IF(OR(G1609="",U1609=""),"",G1609*U1609-N(I1609))</f>
        <v/>
      </c>
      <c r="W1609" s="39">
        <f>IF(D1609="","",IFERROR(VALUE(MID(D1609,LEN(D1609)-3,3)),""))</f>
        <v/>
      </c>
      <c r="X1609" s="33">
        <f>IF(W1609="","",P1609&amp;"|"&amp;W1609)</f>
        <v/>
      </c>
      <c r="Y1609" s="33">
        <f>IF(W1609="","",IF(P1609="À RENSEIGNER","GIC",P1609)&amp;"-"&amp;TEXT(W1609,"000"))</f>
        <v/>
      </c>
      <c r="Z1609" s="33">
        <f>IF(X1609="","",IFERROR(INDEX(Cl_nom,MATCH(X1609,Cl_cle,0)),"(client introuvable)"))</f>
        <v/>
      </c>
      <c r="AA1609" s="33">
        <f>IF(X1609="","",IFERROR(INDEX(Cl_quartier,MATCH(X1609,Cl_cle,0))&amp;"",""))</f>
        <v/>
      </c>
      <c r="AB1609" s="45">
        <f>IF(R1609&lt;&gt;"Livrée",0,IF(K1609&lt;&gt;"",K1609,C1609))</f>
        <v/>
      </c>
      <c r="AC1609" s="33">
        <f>IF(OR(C1609="",W1609=""),"",P1609&amp;"|"&amp;W1609&amp;"|"&amp;C1609&amp;"|"&amp;E1609)</f>
        <v/>
      </c>
      <c r="AD1609" s="39">
        <f>IF(AC1609="","",IF(COUNTIF(AC$6:AC1609,AC1609)=1,1,0))</f>
        <v/>
      </c>
      <c r="AE1609" s="39">
        <f>IF(AB1609=0,"",IF(COUNTIFS(X$6:X1609,X1609,AB$6:AB1609,AB1609)=1,1,0))</f>
        <v/>
      </c>
      <c r="AF1609" s="34">
        <f>IF(C1609="","",YEAR(C1609-WEEKDAY(C1609,2)+4)&amp;"-S"&amp;TEXT(INT((C1609-DATE(YEAR(C1609-WEEKDAY(C1609,2)+4),1,3)+WEEKDAY(DATE(YEAR(C1609-WEEKDAY(C1609,2)+4),1,3),2)+5)/7),"00"))</f>
        <v/>
      </c>
    </row>
    <row r="1610" ht="18" customHeight="1">
      <c r="A1610" s="39" t="n">
        <v>1605</v>
      </c>
      <c r="B1610" s="33">
        <f>IF(C1610="","",IF(P1610="À RENSEIGNER","GIC",P1610)&amp;"-C"&amp;TEXT(A1610,"00000"))</f>
        <v/>
      </c>
      <c r="C1610" s="32" t="n"/>
      <c r="D1610" s="36" t="n"/>
      <c r="E1610" s="36" t="n"/>
      <c r="F1610" s="36" t="n"/>
      <c r="G1610" s="42" t="n"/>
      <c r="H1610" s="37" t="n"/>
      <c r="I1610" s="37" t="n"/>
      <c r="J1610" s="32" t="n"/>
      <c r="K1610" s="32" t="n"/>
      <c r="L1610" s="43" t="n"/>
      <c r="M1610" s="36" t="n"/>
      <c r="N1610" s="44" t="n"/>
      <c r="O1610" s="36" t="n"/>
      <c r="P1610" s="33">
        <f>IF(C1610="","",Commercial_Id)</f>
        <v/>
      </c>
      <c r="Q1610" s="34">
        <f>IF(AC1610="","",IF(AD1610=1,"C"&amp;TEXT(SUM(AD$6:AD1610),"0000"),INDEX(Q$6:Q1609,MATCH(AC1610,AC$6:AC1609,0))))</f>
        <v/>
      </c>
      <c r="R1610" s="34">
        <f>IF(C1610="","",IF(L1610="☑ Oui","Annulée",IF(OR(E1610="Vente directe",K1610&lt;&gt;""),"Livrée",IF(J1610&lt;&gt;"","Confirmée","En attente"))))</f>
        <v/>
      </c>
      <c r="S1610" s="34">
        <f>IF(F1610="","",IFERROR(VLOOKUP(F1610,T_Produits,2,FALSE),""))</f>
        <v/>
      </c>
      <c r="T1610" s="40">
        <f>IF(F1610="","",IFERROR(1/(1/VLOOKUP(F1610,T_Produits,3,FALSE)),""))</f>
        <v/>
      </c>
      <c r="U1610" s="40">
        <f>IF(H1610&lt;&gt;"",H1610,T1610)</f>
        <v/>
      </c>
      <c r="V1610" s="40">
        <f>IF(OR(G1610="",U1610=""),"",G1610*U1610-N(I1610))</f>
        <v/>
      </c>
      <c r="W1610" s="39">
        <f>IF(D1610="","",IFERROR(VALUE(MID(D1610,LEN(D1610)-3,3)),""))</f>
        <v/>
      </c>
      <c r="X1610" s="33">
        <f>IF(W1610="","",P1610&amp;"|"&amp;W1610)</f>
        <v/>
      </c>
      <c r="Y1610" s="33">
        <f>IF(W1610="","",IF(P1610="À RENSEIGNER","GIC",P1610)&amp;"-"&amp;TEXT(W1610,"000"))</f>
        <v/>
      </c>
      <c r="Z1610" s="33">
        <f>IF(X1610="","",IFERROR(INDEX(Cl_nom,MATCH(X1610,Cl_cle,0)),"(client introuvable)"))</f>
        <v/>
      </c>
      <c r="AA1610" s="33">
        <f>IF(X1610="","",IFERROR(INDEX(Cl_quartier,MATCH(X1610,Cl_cle,0))&amp;"",""))</f>
        <v/>
      </c>
      <c r="AB1610" s="45">
        <f>IF(R1610&lt;&gt;"Livrée",0,IF(K1610&lt;&gt;"",K1610,C1610))</f>
        <v/>
      </c>
      <c r="AC1610" s="33">
        <f>IF(OR(C1610="",W1610=""),"",P1610&amp;"|"&amp;W1610&amp;"|"&amp;C1610&amp;"|"&amp;E1610)</f>
        <v/>
      </c>
      <c r="AD1610" s="39">
        <f>IF(AC1610="","",IF(COUNTIF(AC$6:AC1610,AC1610)=1,1,0))</f>
        <v/>
      </c>
      <c r="AE1610" s="39">
        <f>IF(AB1610=0,"",IF(COUNTIFS(X$6:X1610,X1610,AB$6:AB1610,AB1610)=1,1,0))</f>
        <v/>
      </c>
      <c r="AF1610" s="34">
        <f>IF(C1610="","",YEAR(C1610-WEEKDAY(C1610,2)+4)&amp;"-S"&amp;TEXT(INT((C1610-DATE(YEAR(C1610-WEEKDAY(C1610,2)+4),1,3)+WEEKDAY(DATE(YEAR(C1610-WEEKDAY(C1610,2)+4),1,3),2)+5)/7),"00"))</f>
        <v/>
      </c>
    </row>
    <row r="1611" ht="18" customHeight="1">
      <c r="A1611" s="39" t="n">
        <v>1606</v>
      </c>
      <c r="B1611" s="33">
        <f>IF(C1611="","",IF(P1611="À RENSEIGNER","GIC",P1611)&amp;"-C"&amp;TEXT(A1611,"00000"))</f>
        <v/>
      </c>
      <c r="C1611" s="32" t="n"/>
      <c r="D1611" s="36" t="n"/>
      <c r="E1611" s="36" t="n"/>
      <c r="F1611" s="36" t="n"/>
      <c r="G1611" s="42" t="n"/>
      <c r="H1611" s="37" t="n"/>
      <c r="I1611" s="37" t="n"/>
      <c r="J1611" s="32" t="n"/>
      <c r="K1611" s="32" t="n"/>
      <c r="L1611" s="43" t="n"/>
      <c r="M1611" s="36" t="n"/>
      <c r="N1611" s="44" t="n"/>
      <c r="O1611" s="36" t="n"/>
      <c r="P1611" s="33">
        <f>IF(C1611="","",Commercial_Id)</f>
        <v/>
      </c>
      <c r="Q1611" s="34">
        <f>IF(AC1611="","",IF(AD1611=1,"C"&amp;TEXT(SUM(AD$6:AD1611),"0000"),INDEX(Q$6:Q1610,MATCH(AC1611,AC$6:AC1610,0))))</f>
        <v/>
      </c>
      <c r="R1611" s="34">
        <f>IF(C1611="","",IF(L1611="☑ Oui","Annulée",IF(OR(E1611="Vente directe",K1611&lt;&gt;""),"Livrée",IF(J1611&lt;&gt;"","Confirmée","En attente"))))</f>
        <v/>
      </c>
      <c r="S1611" s="34">
        <f>IF(F1611="","",IFERROR(VLOOKUP(F1611,T_Produits,2,FALSE),""))</f>
        <v/>
      </c>
      <c r="T1611" s="40">
        <f>IF(F1611="","",IFERROR(1/(1/VLOOKUP(F1611,T_Produits,3,FALSE)),""))</f>
        <v/>
      </c>
      <c r="U1611" s="40">
        <f>IF(H1611&lt;&gt;"",H1611,T1611)</f>
        <v/>
      </c>
      <c r="V1611" s="40">
        <f>IF(OR(G1611="",U1611=""),"",G1611*U1611-N(I1611))</f>
        <v/>
      </c>
      <c r="W1611" s="39">
        <f>IF(D1611="","",IFERROR(VALUE(MID(D1611,LEN(D1611)-3,3)),""))</f>
        <v/>
      </c>
      <c r="X1611" s="33">
        <f>IF(W1611="","",P1611&amp;"|"&amp;W1611)</f>
        <v/>
      </c>
      <c r="Y1611" s="33">
        <f>IF(W1611="","",IF(P1611="À RENSEIGNER","GIC",P1611)&amp;"-"&amp;TEXT(W1611,"000"))</f>
        <v/>
      </c>
      <c r="Z1611" s="33">
        <f>IF(X1611="","",IFERROR(INDEX(Cl_nom,MATCH(X1611,Cl_cle,0)),"(client introuvable)"))</f>
        <v/>
      </c>
      <c r="AA1611" s="33">
        <f>IF(X1611="","",IFERROR(INDEX(Cl_quartier,MATCH(X1611,Cl_cle,0))&amp;"",""))</f>
        <v/>
      </c>
      <c r="AB1611" s="45">
        <f>IF(R1611&lt;&gt;"Livrée",0,IF(K1611&lt;&gt;"",K1611,C1611))</f>
        <v/>
      </c>
      <c r="AC1611" s="33">
        <f>IF(OR(C1611="",W1611=""),"",P1611&amp;"|"&amp;W1611&amp;"|"&amp;C1611&amp;"|"&amp;E1611)</f>
        <v/>
      </c>
      <c r="AD1611" s="39">
        <f>IF(AC1611="","",IF(COUNTIF(AC$6:AC1611,AC1611)=1,1,0))</f>
        <v/>
      </c>
      <c r="AE1611" s="39">
        <f>IF(AB1611=0,"",IF(COUNTIFS(X$6:X1611,X1611,AB$6:AB1611,AB1611)=1,1,0))</f>
        <v/>
      </c>
      <c r="AF1611" s="34">
        <f>IF(C1611="","",YEAR(C1611-WEEKDAY(C1611,2)+4)&amp;"-S"&amp;TEXT(INT((C1611-DATE(YEAR(C1611-WEEKDAY(C1611,2)+4),1,3)+WEEKDAY(DATE(YEAR(C1611-WEEKDAY(C1611,2)+4),1,3),2)+5)/7),"00"))</f>
        <v/>
      </c>
    </row>
    <row r="1612" ht="18" customHeight="1">
      <c r="A1612" s="39" t="n">
        <v>1607</v>
      </c>
      <c r="B1612" s="33">
        <f>IF(C1612="","",IF(P1612="À RENSEIGNER","GIC",P1612)&amp;"-C"&amp;TEXT(A1612,"00000"))</f>
        <v/>
      </c>
      <c r="C1612" s="32" t="n"/>
      <c r="D1612" s="36" t="n"/>
      <c r="E1612" s="36" t="n"/>
      <c r="F1612" s="36" t="n"/>
      <c r="G1612" s="42" t="n"/>
      <c r="H1612" s="37" t="n"/>
      <c r="I1612" s="37" t="n"/>
      <c r="J1612" s="32" t="n"/>
      <c r="K1612" s="32" t="n"/>
      <c r="L1612" s="43" t="n"/>
      <c r="M1612" s="36" t="n"/>
      <c r="N1612" s="44" t="n"/>
      <c r="O1612" s="36" t="n"/>
      <c r="P1612" s="33">
        <f>IF(C1612="","",Commercial_Id)</f>
        <v/>
      </c>
      <c r="Q1612" s="34">
        <f>IF(AC1612="","",IF(AD1612=1,"C"&amp;TEXT(SUM(AD$6:AD1612),"0000"),INDEX(Q$6:Q1611,MATCH(AC1612,AC$6:AC1611,0))))</f>
        <v/>
      </c>
      <c r="R1612" s="34">
        <f>IF(C1612="","",IF(L1612="☑ Oui","Annulée",IF(OR(E1612="Vente directe",K1612&lt;&gt;""),"Livrée",IF(J1612&lt;&gt;"","Confirmée","En attente"))))</f>
        <v/>
      </c>
      <c r="S1612" s="34">
        <f>IF(F1612="","",IFERROR(VLOOKUP(F1612,T_Produits,2,FALSE),""))</f>
        <v/>
      </c>
      <c r="T1612" s="40">
        <f>IF(F1612="","",IFERROR(1/(1/VLOOKUP(F1612,T_Produits,3,FALSE)),""))</f>
        <v/>
      </c>
      <c r="U1612" s="40">
        <f>IF(H1612&lt;&gt;"",H1612,T1612)</f>
        <v/>
      </c>
      <c r="V1612" s="40">
        <f>IF(OR(G1612="",U1612=""),"",G1612*U1612-N(I1612))</f>
        <v/>
      </c>
      <c r="W1612" s="39">
        <f>IF(D1612="","",IFERROR(VALUE(MID(D1612,LEN(D1612)-3,3)),""))</f>
        <v/>
      </c>
      <c r="X1612" s="33">
        <f>IF(W1612="","",P1612&amp;"|"&amp;W1612)</f>
        <v/>
      </c>
      <c r="Y1612" s="33">
        <f>IF(W1612="","",IF(P1612="À RENSEIGNER","GIC",P1612)&amp;"-"&amp;TEXT(W1612,"000"))</f>
        <v/>
      </c>
      <c r="Z1612" s="33">
        <f>IF(X1612="","",IFERROR(INDEX(Cl_nom,MATCH(X1612,Cl_cle,0)),"(client introuvable)"))</f>
        <v/>
      </c>
      <c r="AA1612" s="33">
        <f>IF(X1612="","",IFERROR(INDEX(Cl_quartier,MATCH(X1612,Cl_cle,0))&amp;"",""))</f>
        <v/>
      </c>
      <c r="AB1612" s="45">
        <f>IF(R1612&lt;&gt;"Livrée",0,IF(K1612&lt;&gt;"",K1612,C1612))</f>
        <v/>
      </c>
      <c r="AC1612" s="33">
        <f>IF(OR(C1612="",W1612=""),"",P1612&amp;"|"&amp;W1612&amp;"|"&amp;C1612&amp;"|"&amp;E1612)</f>
        <v/>
      </c>
      <c r="AD1612" s="39">
        <f>IF(AC1612="","",IF(COUNTIF(AC$6:AC1612,AC1612)=1,1,0))</f>
        <v/>
      </c>
      <c r="AE1612" s="39">
        <f>IF(AB1612=0,"",IF(COUNTIFS(X$6:X1612,X1612,AB$6:AB1612,AB1612)=1,1,0))</f>
        <v/>
      </c>
      <c r="AF1612" s="34">
        <f>IF(C1612="","",YEAR(C1612-WEEKDAY(C1612,2)+4)&amp;"-S"&amp;TEXT(INT((C1612-DATE(YEAR(C1612-WEEKDAY(C1612,2)+4),1,3)+WEEKDAY(DATE(YEAR(C1612-WEEKDAY(C1612,2)+4),1,3),2)+5)/7),"00"))</f>
        <v/>
      </c>
    </row>
    <row r="1613" ht="18" customHeight="1">
      <c r="A1613" s="39" t="n">
        <v>1608</v>
      </c>
      <c r="B1613" s="33">
        <f>IF(C1613="","",IF(P1613="À RENSEIGNER","GIC",P1613)&amp;"-C"&amp;TEXT(A1613,"00000"))</f>
        <v/>
      </c>
      <c r="C1613" s="32" t="n"/>
      <c r="D1613" s="36" t="n"/>
      <c r="E1613" s="36" t="n"/>
      <c r="F1613" s="36" t="n"/>
      <c r="G1613" s="42" t="n"/>
      <c r="H1613" s="37" t="n"/>
      <c r="I1613" s="37" t="n"/>
      <c r="J1613" s="32" t="n"/>
      <c r="K1613" s="32" t="n"/>
      <c r="L1613" s="43" t="n"/>
      <c r="M1613" s="36" t="n"/>
      <c r="N1613" s="44" t="n"/>
      <c r="O1613" s="36" t="n"/>
      <c r="P1613" s="33">
        <f>IF(C1613="","",Commercial_Id)</f>
        <v/>
      </c>
      <c r="Q1613" s="34">
        <f>IF(AC1613="","",IF(AD1613=1,"C"&amp;TEXT(SUM(AD$6:AD1613),"0000"),INDEX(Q$6:Q1612,MATCH(AC1613,AC$6:AC1612,0))))</f>
        <v/>
      </c>
      <c r="R1613" s="34">
        <f>IF(C1613="","",IF(L1613="☑ Oui","Annulée",IF(OR(E1613="Vente directe",K1613&lt;&gt;""),"Livrée",IF(J1613&lt;&gt;"","Confirmée","En attente"))))</f>
        <v/>
      </c>
      <c r="S1613" s="34">
        <f>IF(F1613="","",IFERROR(VLOOKUP(F1613,T_Produits,2,FALSE),""))</f>
        <v/>
      </c>
      <c r="T1613" s="40">
        <f>IF(F1613="","",IFERROR(1/(1/VLOOKUP(F1613,T_Produits,3,FALSE)),""))</f>
        <v/>
      </c>
      <c r="U1613" s="40">
        <f>IF(H1613&lt;&gt;"",H1613,T1613)</f>
        <v/>
      </c>
      <c r="V1613" s="40">
        <f>IF(OR(G1613="",U1613=""),"",G1613*U1613-N(I1613))</f>
        <v/>
      </c>
      <c r="W1613" s="39">
        <f>IF(D1613="","",IFERROR(VALUE(MID(D1613,LEN(D1613)-3,3)),""))</f>
        <v/>
      </c>
      <c r="X1613" s="33">
        <f>IF(W1613="","",P1613&amp;"|"&amp;W1613)</f>
        <v/>
      </c>
      <c r="Y1613" s="33">
        <f>IF(W1613="","",IF(P1613="À RENSEIGNER","GIC",P1613)&amp;"-"&amp;TEXT(W1613,"000"))</f>
        <v/>
      </c>
      <c r="Z1613" s="33">
        <f>IF(X1613="","",IFERROR(INDEX(Cl_nom,MATCH(X1613,Cl_cle,0)),"(client introuvable)"))</f>
        <v/>
      </c>
      <c r="AA1613" s="33">
        <f>IF(X1613="","",IFERROR(INDEX(Cl_quartier,MATCH(X1613,Cl_cle,0))&amp;"",""))</f>
        <v/>
      </c>
      <c r="AB1613" s="45">
        <f>IF(R1613&lt;&gt;"Livrée",0,IF(K1613&lt;&gt;"",K1613,C1613))</f>
        <v/>
      </c>
      <c r="AC1613" s="33">
        <f>IF(OR(C1613="",W1613=""),"",P1613&amp;"|"&amp;W1613&amp;"|"&amp;C1613&amp;"|"&amp;E1613)</f>
        <v/>
      </c>
      <c r="AD1613" s="39">
        <f>IF(AC1613="","",IF(COUNTIF(AC$6:AC1613,AC1613)=1,1,0))</f>
        <v/>
      </c>
      <c r="AE1613" s="39">
        <f>IF(AB1613=0,"",IF(COUNTIFS(X$6:X1613,X1613,AB$6:AB1613,AB1613)=1,1,0))</f>
        <v/>
      </c>
      <c r="AF1613" s="34">
        <f>IF(C1613="","",YEAR(C1613-WEEKDAY(C1613,2)+4)&amp;"-S"&amp;TEXT(INT((C1613-DATE(YEAR(C1613-WEEKDAY(C1613,2)+4),1,3)+WEEKDAY(DATE(YEAR(C1613-WEEKDAY(C1613,2)+4),1,3),2)+5)/7),"00"))</f>
        <v/>
      </c>
    </row>
    <row r="1614" ht="18" customHeight="1">
      <c r="A1614" s="39" t="n">
        <v>1609</v>
      </c>
      <c r="B1614" s="33">
        <f>IF(C1614="","",IF(P1614="À RENSEIGNER","GIC",P1614)&amp;"-C"&amp;TEXT(A1614,"00000"))</f>
        <v/>
      </c>
      <c r="C1614" s="32" t="n"/>
      <c r="D1614" s="36" t="n"/>
      <c r="E1614" s="36" t="n"/>
      <c r="F1614" s="36" t="n"/>
      <c r="G1614" s="42" t="n"/>
      <c r="H1614" s="37" t="n"/>
      <c r="I1614" s="37" t="n"/>
      <c r="J1614" s="32" t="n"/>
      <c r="K1614" s="32" t="n"/>
      <c r="L1614" s="43" t="n"/>
      <c r="M1614" s="36" t="n"/>
      <c r="N1614" s="44" t="n"/>
      <c r="O1614" s="36" t="n"/>
      <c r="P1614" s="33">
        <f>IF(C1614="","",Commercial_Id)</f>
        <v/>
      </c>
      <c r="Q1614" s="34">
        <f>IF(AC1614="","",IF(AD1614=1,"C"&amp;TEXT(SUM(AD$6:AD1614),"0000"),INDEX(Q$6:Q1613,MATCH(AC1614,AC$6:AC1613,0))))</f>
        <v/>
      </c>
      <c r="R1614" s="34">
        <f>IF(C1614="","",IF(L1614="☑ Oui","Annulée",IF(OR(E1614="Vente directe",K1614&lt;&gt;""),"Livrée",IF(J1614&lt;&gt;"","Confirmée","En attente"))))</f>
        <v/>
      </c>
      <c r="S1614" s="34">
        <f>IF(F1614="","",IFERROR(VLOOKUP(F1614,T_Produits,2,FALSE),""))</f>
        <v/>
      </c>
      <c r="T1614" s="40">
        <f>IF(F1614="","",IFERROR(1/(1/VLOOKUP(F1614,T_Produits,3,FALSE)),""))</f>
        <v/>
      </c>
      <c r="U1614" s="40">
        <f>IF(H1614&lt;&gt;"",H1614,T1614)</f>
        <v/>
      </c>
      <c r="V1614" s="40">
        <f>IF(OR(G1614="",U1614=""),"",G1614*U1614-N(I1614))</f>
        <v/>
      </c>
      <c r="W1614" s="39">
        <f>IF(D1614="","",IFERROR(VALUE(MID(D1614,LEN(D1614)-3,3)),""))</f>
        <v/>
      </c>
      <c r="X1614" s="33">
        <f>IF(W1614="","",P1614&amp;"|"&amp;W1614)</f>
        <v/>
      </c>
      <c r="Y1614" s="33">
        <f>IF(W1614="","",IF(P1614="À RENSEIGNER","GIC",P1614)&amp;"-"&amp;TEXT(W1614,"000"))</f>
        <v/>
      </c>
      <c r="Z1614" s="33">
        <f>IF(X1614="","",IFERROR(INDEX(Cl_nom,MATCH(X1614,Cl_cle,0)),"(client introuvable)"))</f>
        <v/>
      </c>
      <c r="AA1614" s="33">
        <f>IF(X1614="","",IFERROR(INDEX(Cl_quartier,MATCH(X1614,Cl_cle,0))&amp;"",""))</f>
        <v/>
      </c>
      <c r="AB1614" s="45">
        <f>IF(R1614&lt;&gt;"Livrée",0,IF(K1614&lt;&gt;"",K1614,C1614))</f>
        <v/>
      </c>
      <c r="AC1614" s="33">
        <f>IF(OR(C1614="",W1614=""),"",P1614&amp;"|"&amp;W1614&amp;"|"&amp;C1614&amp;"|"&amp;E1614)</f>
        <v/>
      </c>
      <c r="AD1614" s="39">
        <f>IF(AC1614="","",IF(COUNTIF(AC$6:AC1614,AC1614)=1,1,0))</f>
        <v/>
      </c>
      <c r="AE1614" s="39">
        <f>IF(AB1614=0,"",IF(COUNTIFS(X$6:X1614,X1614,AB$6:AB1614,AB1614)=1,1,0))</f>
        <v/>
      </c>
      <c r="AF1614" s="34">
        <f>IF(C1614="","",YEAR(C1614-WEEKDAY(C1614,2)+4)&amp;"-S"&amp;TEXT(INT((C1614-DATE(YEAR(C1614-WEEKDAY(C1614,2)+4),1,3)+WEEKDAY(DATE(YEAR(C1614-WEEKDAY(C1614,2)+4),1,3),2)+5)/7),"00"))</f>
        <v/>
      </c>
    </row>
    <row r="1615" ht="18" customHeight="1">
      <c r="A1615" s="39" t="n">
        <v>1610</v>
      </c>
      <c r="B1615" s="33">
        <f>IF(C1615="","",IF(P1615="À RENSEIGNER","GIC",P1615)&amp;"-C"&amp;TEXT(A1615,"00000"))</f>
        <v/>
      </c>
      <c r="C1615" s="32" t="n"/>
      <c r="D1615" s="36" t="n"/>
      <c r="E1615" s="36" t="n"/>
      <c r="F1615" s="36" t="n"/>
      <c r="G1615" s="42" t="n"/>
      <c r="H1615" s="37" t="n"/>
      <c r="I1615" s="37" t="n"/>
      <c r="J1615" s="32" t="n"/>
      <c r="K1615" s="32" t="n"/>
      <c r="L1615" s="43" t="n"/>
      <c r="M1615" s="36" t="n"/>
      <c r="N1615" s="44" t="n"/>
      <c r="O1615" s="36" t="n"/>
      <c r="P1615" s="33">
        <f>IF(C1615="","",Commercial_Id)</f>
        <v/>
      </c>
      <c r="Q1615" s="34">
        <f>IF(AC1615="","",IF(AD1615=1,"C"&amp;TEXT(SUM(AD$6:AD1615),"0000"),INDEX(Q$6:Q1614,MATCH(AC1615,AC$6:AC1614,0))))</f>
        <v/>
      </c>
      <c r="R1615" s="34">
        <f>IF(C1615="","",IF(L1615="☑ Oui","Annulée",IF(OR(E1615="Vente directe",K1615&lt;&gt;""),"Livrée",IF(J1615&lt;&gt;"","Confirmée","En attente"))))</f>
        <v/>
      </c>
      <c r="S1615" s="34">
        <f>IF(F1615="","",IFERROR(VLOOKUP(F1615,T_Produits,2,FALSE),""))</f>
        <v/>
      </c>
      <c r="T1615" s="40">
        <f>IF(F1615="","",IFERROR(1/(1/VLOOKUP(F1615,T_Produits,3,FALSE)),""))</f>
        <v/>
      </c>
      <c r="U1615" s="40">
        <f>IF(H1615&lt;&gt;"",H1615,T1615)</f>
        <v/>
      </c>
      <c r="V1615" s="40">
        <f>IF(OR(G1615="",U1615=""),"",G1615*U1615-N(I1615))</f>
        <v/>
      </c>
      <c r="W1615" s="39">
        <f>IF(D1615="","",IFERROR(VALUE(MID(D1615,LEN(D1615)-3,3)),""))</f>
        <v/>
      </c>
      <c r="X1615" s="33">
        <f>IF(W1615="","",P1615&amp;"|"&amp;W1615)</f>
        <v/>
      </c>
      <c r="Y1615" s="33">
        <f>IF(W1615="","",IF(P1615="À RENSEIGNER","GIC",P1615)&amp;"-"&amp;TEXT(W1615,"000"))</f>
        <v/>
      </c>
      <c r="Z1615" s="33">
        <f>IF(X1615="","",IFERROR(INDEX(Cl_nom,MATCH(X1615,Cl_cle,0)),"(client introuvable)"))</f>
        <v/>
      </c>
      <c r="AA1615" s="33">
        <f>IF(X1615="","",IFERROR(INDEX(Cl_quartier,MATCH(X1615,Cl_cle,0))&amp;"",""))</f>
        <v/>
      </c>
      <c r="AB1615" s="45">
        <f>IF(R1615&lt;&gt;"Livrée",0,IF(K1615&lt;&gt;"",K1615,C1615))</f>
        <v/>
      </c>
      <c r="AC1615" s="33">
        <f>IF(OR(C1615="",W1615=""),"",P1615&amp;"|"&amp;W1615&amp;"|"&amp;C1615&amp;"|"&amp;E1615)</f>
        <v/>
      </c>
      <c r="AD1615" s="39">
        <f>IF(AC1615="","",IF(COUNTIF(AC$6:AC1615,AC1615)=1,1,0))</f>
        <v/>
      </c>
      <c r="AE1615" s="39">
        <f>IF(AB1615=0,"",IF(COUNTIFS(X$6:X1615,X1615,AB$6:AB1615,AB1615)=1,1,0))</f>
        <v/>
      </c>
      <c r="AF1615" s="34">
        <f>IF(C1615="","",YEAR(C1615-WEEKDAY(C1615,2)+4)&amp;"-S"&amp;TEXT(INT((C1615-DATE(YEAR(C1615-WEEKDAY(C1615,2)+4),1,3)+WEEKDAY(DATE(YEAR(C1615-WEEKDAY(C1615,2)+4),1,3),2)+5)/7),"00"))</f>
        <v/>
      </c>
    </row>
    <row r="1616" ht="18" customHeight="1">
      <c r="A1616" s="39" t="n">
        <v>1611</v>
      </c>
      <c r="B1616" s="33">
        <f>IF(C1616="","",IF(P1616="À RENSEIGNER","GIC",P1616)&amp;"-C"&amp;TEXT(A1616,"00000"))</f>
        <v/>
      </c>
      <c r="C1616" s="32" t="n"/>
      <c r="D1616" s="36" t="n"/>
      <c r="E1616" s="36" t="n"/>
      <c r="F1616" s="36" t="n"/>
      <c r="G1616" s="42" t="n"/>
      <c r="H1616" s="37" t="n"/>
      <c r="I1616" s="37" t="n"/>
      <c r="J1616" s="32" t="n"/>
      <c r="K1616" s="32" t="n"/>
      <c r="L1616" s="43" t="n"/>
      <c r="M1616" s="36" t="n"/>
      <c r="N1616" s="44" t="n"/>
      <c r="O1616" s="36" t="n"/>
      <c r="P1616" s="33">
        <f>IF(C1616="","",Commercial_Id)</f>
        <v/>
      </c>
      <c r="Q1616" s="34">
        <f>IF(AC1616="","",IF(AD1616=1,"C"&amp;TEXT(SUM(AD$6:AD1616),"0000"),INDEX(Q$6:Q1615,MATCH(AC1616,AC$6:AC1615,0))))</f>
        <v/>
      </c>
      <c r="R1616" s="34">
        <f>IF(C1616="","",IF(L1616="☑ Oui","Annulée",IF(OR(E1616="Vente directe",K1616&lt;&gt;""),"Livrée",IF(J1616&lt;&gt;"","Confirmée","En attente"))))</f>
        <v/>
      </c>
      <c r="S1616" s="34">
        <f>IF(F1616="","",IFERROR(VLOOKUP(F1616,T_Produits,2,FALSE),""))</f>
        <v/>
      </c>
      <c r="T1616" s="40">
        <f>IF(F1616="","",IFERROR(1/(1/VLOOKUP(F1616,T_Produits,3,FALSE)),""))</f>
        <v/>
      </c>
      <c r="U1616" s="40">
        <f>IF(H1616&lt;&gt;"",H1616,T1616)</f>
        <v/>
      </c>
      <c r="V1616" s="40">
        <f>IF(OR(G1616="",U1616=""),"",G1616*U1616-N(I1616))</f>
        <v/>
      </c>
      <c r="W1616" s="39">
        <f>IF(D1616="","",IFERROR(VALUE(MID(D1616,LEN(D1616)-3,3)),""))</f>
        <v/>
      </c>
      <c r="X1616" s="33">
        <f>IF(W1616="","",P1616&amp;"|"&amp;W1616)</f>
        <v/>
      </c>
      <c r="Y1616" s="33">
        <f>IF(W1616="","",IF(P1616="À RENSEIGNER","GIC",P1616)&amp;"-"&amp;TEXT(W1616,"000"))</f>
        <v/>
      </c>
      <c r="Z1616" s="33">
        <f>IF(X1616="","",IFERROR(INDEX(Cl_nom,MATCH(X1616,Cl_cle,0)),"(client introuvable)"))</f>
        <v/>
      </c>
      <c r="AA1616" s="33">
        <f>IF(X1616="","",IFERROR(INDEX(Cl_quartier,MATCH(X1616,Cl_cle,0))&amp;"",""))</f>
        <v/>
      </c>
      <c r="AB1616" s="45">
        <f>IF(R1616&lt;&gt;"Livrée",0,IF(K1616&lt;&gt;"",K1616,C1616))</f>
        <v/>
      </c>
      <c r="AC1616" s="33">
        <f>IF(OR(C1616="",W1616=""),"",P1616&amp;"|"&amp;W1616&amp;"|"&amp;C1616&amp;"|"&amp;E1616)</f>
        <v/>
      </c>
      <c r="AD1616" s="39">
        <f>IF(AC1616="","",IF(COUNTIF(AC$6:AC1616,AC1616)=1,1,0))</f>
        <v/>
      </c>
      <c r="AE1616" s="39">
        <f>IF(AB1616=0,"",IF(COUNTIFS(X$6:X1616,X1616,AB$6:AB1616,AB1616)=1,1,0))</f>
        <v/>
      </c>
      <c r="AF1616" s="34">
        <f>IF(C1616="","",YEAR(C1616-WEEKDAY(C1616,2)+4)&amp;"-S"&amp;TEXT(INT((C1616-DATE(YEAR(C1616-WEEKDAY(C1616,2)+4),1,3)+WEEKDAY(DATE(YEAR(C1616-WEEKDAY(C1616,2)+4),1,3),2)+5)/7),"00"))</f>
        <v/>
      </c>
    </row>
    <row r="1617" ht="18" customHeight="1">
      <c r="A1617" s="39" t="n">
        <v>1612</v>
      </c>
      <c r="B1617" s="33">
        <f>IF(C1617="","",IF(P1617="À RENSEIGNER","GIC",P1617)&amp;"-C"&amp;TEXT(A1617,"00000"))</f>
        <v/>
      </c>
      <c r="C1617" s="32" t="n"/>
      <c r="D1617" s="36" t="n"/>
      <c r="E1617" s="36" t="n"/>
      <c r="F1617" s="36" t="n"/>
      <c r="G1617" s="42" t="n"/>
      <c r="H1617" s="37" t="n"/>
      <c r="I1617" s="37" t="n"/>
      <c r="J1617" s="32" t="n"/>
      <c r="K1617" s="32" t="n"/>
      <c r="L1617" s="43" t="n"/>
      <c r="M1617" s="36" t="n"/>
      <c r="N1617" s="44" t="n"/>
      <c r="O1617" s="36" t="n"/>
      <c r="P1617" s="33">
        <f>IF(C1617="","",Commercial_Id)</f>
        <v/>
      </c>
      <c r="Q1617" s="34">
        <f>IF(AC1617="","",IF(AD1617=1,"C"&amp;TEXT(SUM(AD$6:AD1617),"0000"),INDEX(Q$6:Q1616,MATCH(AC1617,AC$6:AC1616,0))))</f>
        <v/>
      </c>
      <c r="R1617" s="34">
        <f>IF(C1617="","",IF(L1617="☑ Oui","Annulée",IF(OR(E1617="Vente directe",K1617&lt;&gt;""),"Livrée",IF(J1617&lt;&gt;"","Confirmée","En attente"))))</f>
        <v/>
      </c>
      <c r="S1617" s="34">
        <f>IF(F1617="","",IFERROR(VLOOKUP(F1617,T_Produits,2,FALSE),""))</f>
        <v/>
      </c>
      <c r="T1617" s="40">
        <f>IF(F1617="","",IFERROR(1/(1/VLOOKUP(F1617,T_Produits,3,FALSE)),""))</f>
        <v/>
      </c>
      <c r="U1617" s="40">
        <f>IF(H1617&lt;&gt;"",H1617,T1617)</f>
        <v/>
      </c>
      <c r="V1617" s="40">
        <f>IF(OR(G1617="",U1617=""),"",G1617*U1617-N(I1617))</f>
        <v/>
      </c>
      <c r="W1617" s="39">
        <f>IF(D1617="","",IFERROR(VALUE(MID(D1617,LEN(D1617)-3,3)),""))</f>
        <v/>
      </c>
      <c r="X1617" s="33">
        <f>IF(W1617="","",P1617&amp;"|"&amp;W1617)</f>
        <v/>
      </c>
      <c r="Y1617" s="33">
        <f>IF(W1617="","",IF(P1617="À RENSEIGNER","GIC",P1617)&amp;"-"&amp;TEXT(W1617,"000"))</f>
        <v/>
      </c>
      <c r="Z1617" s="33">
        <f>IF(X1617="","",IFERROR(INDEX(Cl_nom,MATCH(X1617,Cl_cle,0)),"(client introuvable)"))</f>
        <v/>
      </c>
      <c r="AA1617" s="33">
        <f>IF(X1617="","",IFERROR(INDEX(Cl_quartier,MATCH(X1617,Cl_cle,0))&amp;"",""))</f>
        <v/>
      </c>
      <c r="AB1617" s="45">
        <f>IF(R1617&lt;&gt;"Livrée",0,IF(K1617&lt;&gt;"",K1617,C1617))</f>
        <v/>
      </c>
      <c r="AC1617" s="33">
        <f>IF(OR(C1617="",W1617=""),"",P1617&amp;"|"&amp;W1617&amp;"|"&amp;C1617&amp;"|"&amp;E1617)</f>
        <v/>
      </c>
      <c r="AD1617" s="39">
        <f>IF(AC1617="","",IF(COUNTIF(AC$6:AC1617,AC1617)=1,1,0))</f>
        <v/>
      </c>
      <c r="AE1617" s="39">
        <f>IF(AB1617=0,"",IF(COUNTIFS(X$6:X1617,X1617,AB$6:AB1617,AB1617)=1,1,0))</f>
        <v/>
      </c>
      <c r="AF1617" s="34">
        <f>IF(C1617="","",YEAR(C1617-WEEKDAY(C1617,2)+4)&amp;"-S"&amp;TEXT(INT((C1617-DATE(YEAR(C1617-WEEKDAY(C1617,2)+4),1,3)+WEEKDAY(DATE(YEAR(C1617-WEEKDAY(C1617,2)+4),1,3),2)+5)/7),"00"))</f>
        <v/>
      </c>
    </row>
    <row r="1618" ht="18" customHeight="1">
      <c r="A1618" s="39" t="n">
        <v>1613</v>
      </c>
      <c r="B1618" s="33">
        <f>IF(C1618="","",IF(P1618="À RENSEIGNER","GIC",P1618)&amp;"-C"&amp;TEXT(A1618,"00000"))</f>
        <v/>
      </c>
      <c r="C1618" s="32" t="n"/>
      <c r="D1618" s="36" t="n"/>
      <c r="E1618" s="36" t="n"/>
      <c r="F1618" s="36" t="n"/>
      <c r="G1618" s="42" t="n"/>
      <c r="H1618" s="37" t="n"/>
      <c r="I1618" s="37" t="n"/>
      <c r="J1618" s="32" t="n"/>
      <c r="K1618" s="32" t="n"/>
      <c r="L1618" s="43" t="n"/>
      <c r="M1618" s="36" t="n"/>
      <c r="N1618" s="44" t="n"/>
      <c r="O1618" s="36" t="n"/>
      <c r="P1618" s="33">
        <f>IF(C1618="","",Commercial_Id)</f>
        <v/>
      </c>
      <c r="Q1618" s="34">
        <f>IF(AC1618="","",IF(AD1618=1,"C"&amp;TEXT(SUM(AD$6:AD1618),"0000"),INDEX(Q$6:Q1617,MATCH(AC1618,AC$6:AC1617,0))))</f>
        <v/>
      </c>
      <c r="R1618" s="34">
        <f>IF(C1618="","",IF(L1618="☑ Oui","Annulée",IF(OR(E1618="Vente directe",K1618&lt;&gt;""),"Livrée",IF(J1618&lt;&gt;"","Confirmée","En attente"))))</f>
        <v/>
      </c>
      <c r="S1618" s="34">
        <f>IF(F1618="","",IFERROR(VLOOKUP(F1618,T_Produits,2,FALSE),""))</f>
        <v/>
      </c>
      <c r="T1618" s="40">
        <f>IF(F1618="","",IFERROR(1/(1/VLOOKUP(F1618,T_Produits,3,FALSE)),""))</f>
        <v/>
      </c>
      <c r="U1618" s="40">
        <f>IF(H1618&lt;&gt;"",H1618,T1618)</f>
        <v/>
      </c>
      <c r="V1618" s="40">
        <f>IF(OR(G1618="",U1618=""),"",G1618*U1618-N(I1618))</f>
        <v/>
      </c>
      <c r="W1618" s="39">
        <f>IF(D1618="","",IFERROR(VALUE(MID(D1618,LEN(D1618)-3,3)),""))</f>
        <v/>
      </c>
      <c r="X1618" s="33">
        <f>IF(W1618="","",P1618&amp;"|"&amp;W1618)</f>
        <v/>
      </c>
      <c r="Y1618" s="33">
        <f>IF(W1618="","",IF(P1618="À RENSEIGNER","GIC",P1618)&amp;"-"&amp;TEXT(W1618,"000"))</f>
        <v/>
      </c>
      <c r="Z1618" s="33">
        <f>IF(X1618="","",IFERROR(INDEX(Cl_nom,MATCH(X1618,Cl_cle,0)),"(client introuvable)"))</f>
        <v/>
      </c>
      <c r="AA1618" s="33">
        <f>IF(X1618="","",IFERROR(INDEX(Cl_quartier,MATCH(X1618,Cl_cle,0))&amp;"",""))</f>
        <v/>
      </c>
      <c r="AB1618" s="45">
        <f>IF(R1618&lt;&gt;"Livrée",0,IF(K1618&lt;&gt;"",K1618,C1618))</f>
        <v/>
      </c>
      <c r="AC1618" s="33">
        <f>IF(OR(C1618="",W1618=""),"",P1618&amp;"|"&amp;W1618&amp;"|"&amp;C1618&amp;"|"&amp;E1618)</f>
        <v/>
      </c>
      <c r="AD1618" s="39">
        <f>IF(AC1618="","",IF(COUNTIF(AC$6:AC1618,AC1618)=1,1,0))</f>
        <v/>
      </c>
      <c r="AE1618" s="39">
        <f>IF(AB1618=0,"",IF(COUNTIFS(X$6:X1618,X1618,AB$6:AB1618,AB1618)=1,1,0))</f>
        <v/>
      </c>
      <c r="AF1618" s="34">
        <f>IF(C1618="","",YEAR(C1618-WEEKDAY(C1618,2)+4)&amp;"-S"&amp;TEXT(INT((C1618-DATE(YEAR(C1618-WEEKDAY(C1618,2)+4),1,3)+WEEKDAY(DATE(YEAR(C1618-WEEKDAY(C1618,2)+4),1,3),2)+5)/7),"00"))</f>
        <v/>
      </c>
    </row>
    <row r="1619" ht="18" customHeight="1">
      <c r="A1619" s="39" t="n">
        <v>1614</v>
      </c>
      <c r="B1619" s="33">
        <f>IF(C1619="","",IF(P1619="À RENSEIGNER","GIC",P1619)&amp;"-C"&amp;TEXT(A1619,"00000"))</f>
        <v/>
      </c>
      <c r="C1619" s="32" t="n"/>
      <c r="D1619" s="36" t="n"/>
      <c r="E1619" s="36" t="n"/>
      <c r="F1619" s="36" t="n"/>
      <c r="G1619" s="42" t="n"/>
      <c r="H1619" s="37" t="n"/>
      <c r="I1619" s="37" t="n"/>
      <c r="J1619" s="32" t="n"/>
      <c r="K1619" s="32" t="n"/>
      <c r="L1619" s="43" t="n"/>
      <c r="M1619" s="36" t="n"/>
      <c r="N1619" s="44" t="n"/>
      <c r="O1619" s="36" t="n"/>
      <c r="P1619" s="33">
        <f>IF(C1619="","",Commercial_Id)</f>
        <v/>
      </c>
      <c r="Q1619" s="34">
        <f>IF(AC1619="","",IF(AD1619=1,"C"&amp;TEXT(SUM(AD$6:AD1619),"0000"),INDEX(Q$6:Q1618,MATCH(AC1619,AC$6:AC1618,0))))</f>
        <v/>
      </c>
      <c r="R1619" s="34">
        <f>IF(C1619="","",IF(L1619="☑ Oui","Annulée",IF(OR(E1619="Vente directe",K1619&lt;&gt;""),"Livrée",IF(J1619&lt;&gt;"","Confirmée","En attente"))))</f>
        <v/>
      </c>
      <c r="S1619" s="34">
        <f>IF(F1619="","",IFERROR(VLOOKUP(F1619,T_Produits,2,FALSE),""))</f>
        <v/>
      </c>
      <c r="T1619" s="40">
        <f>IF(F1619="","",IFERROR(1/(1/VLOOKUP(F1619,T_Produits,3,FALSE)),""))</f>
        <v/>
      </c>
      <c r="U1619" s="40">
        <f>IF(H1619&lt;&gt;"",H1619,T1619)</f>
        <v/>
      </c>
      <c r="V1619" s="40">
        <f>IF(OR(G1619="",U1619=""),"",G1619*U1619-N(I1619))</f>
        <v/>
      </c>
      <c r="W1619" s="39">
        <f>IF(D1619="","",IFERROR(VALUE(MID(D1619,LEN(D1619)-3,3)),""))</f>
        <v/>
      </c>
      <c r="X1619" s="33">
        <f>IF(W1619="","",P1619&amp;"|"&amp;W1619)</f>
        <v/>
      </c>
      <c r="Y1619" s="33">
        <f>IF(W1619="","",IF(P1619="À RENSEIGNER","GIC",P1619)&amp;"-"&amp;TEXT(W1619,"000"))</f>
        <v/>
      </c>
      <c r="Z1619" s="33">
        <f>IF(X1619="","",IFERROR(INDEX(Cl_nom,MATCH(X1619,Cl_cle,0)),"(client introuvable)"))</f>
        <v/>
      </c>
      <c r="AA1619" s="33">
        <f>IF(X1619="","",IFERROR(INDEX(Cl_quartier,MATCH(X1619,Cl_cle,0))&amp;"",""))</f>
        <v/>
      </c>
      <c r="AB1619" s="45">
        <f>IF(R1619&lt;&gt;"Livrée",0,IF(K1619&lt;&gt;"",K1619,C1619))</f>
        <v/>
      </c>
      <c r="AC1619" s="33">
        <f>IF(OR(C1619="",W1619=""),"",P1619&amp;"|"&amp;W1619&amp;"|"&amp;C1619&amp;"|"&amp;E1619)</f>
        <v/>
      </c>
      <c r="AD1619" s="39">
        <f>IF(AC1619="","",IF(COUNTIF(AC$6:AC1619,AC1619)=1,1,0))</f>
        <v/>
      </c>
      <c r="AE1619" s="39">
        <f>IF(AB1619=0,"",IF(COUNTIFS(X$6:X1619,X1619,AB$6:AB1619,AB1619)=1,1,0))</f>
        <v/>
      </c>
      <c r="AF1619" s="34">
        <f>IF(C1619="","",YEAR(C1619-WEEKDAY(C1619,2)+4)&amp;"-S"&amp;TEXT(INT((C1619-DATE(YEAR(C1619-WEEKDAY(C1619,2)+4),1,3)+WEEKDAY(DATE(YEAR(C1619-WEEKDAY(C1619,2)+4),1,3),2)+5)/7),"00"))</f>
        <v/>
      </c>
    </row>
    <row r="1620" ht="18" customHeight="1">
      <c r="A1620" s="39" t="n">
        <v>1615</v>
      </c>
      <c r="B1620" s="33">
        <f>IF(C1620="","",IF(P1620="À RENSEIGNER","GIC",P1620)&amp;"-C"&amp;TEXT(A1620,"00000"))</f>
        <v/>
      </c>
      <c r="C1620" s="32" t="n"/>
      <c r="D1620" s="36" t="n"/>
      <c r="E1620" s="36" t="n"/>
      <c r="F1620" s="36" t="n"/>
      <c r="G1620" s="42" t="n"/>
      <c r="H1620" s="37" t="n"/>
      <c r="I1620" s="37" t="n"/>
      <c r="J1620" s="32" t="n"/>
      <c r="K1620" s="32" t="n"/>
      <c r="L1620" s="43" t="n"/>
      <c r="M1620" s="36" t="n"/>
      <c r="N1620" s="44" t="n"/>
      <c r="O1620" s="36" t="n"/>
      <c r="P1620" s="33">
        <f>IF(C1620="","",Commercial_Id)</f>
        <v/>
      </c>
      <c r="Q1620" s="34">
        <f>IF(AC1620="","",IF(AD1620=1,"C"&amp;TEXT(SUM(AD$6:AD1620),"0000"),INDEX(Q$6:Q1619,MATCH(AC1620,AC$6:AC1619,0))))</f>
        <v/>
      </c>
      <c r="R1620" s="34">
        <f>IF(C1620="","",IF(L1620="☑ Oui","Annulée",IF(OR(E1620="Vente directe",K1620&lt;&gt;""),"Livrée",IF(J1620&lt;&gt;"","Confirmée","En attente"))))</f>
        <v/>
      </c>
      <c r="S1620" s="34">
        <f>IF(F1620="","",IFERROR(VLOOKUP(F1620,T_Produits,2,FALSE),""))</f>
        <v/>
      </c>
      <c r="T1620" s="40">
        <f>IF(F1620="","",IFERROR(1/(1/VLOOKUP(F1620,T_Produits,3,FALSE)),""))</f>
        <v/>
      </c>
      <c r="U1620" s="40">
        <f>IF(H1620&lt;&gt;"",H1620,T1620)</f>
        <v/>
      </c>
      <c r="V1620" s="40">
        <f>IF(OR(G1620="",U1620=""),"",G1620*U1620-N(I1620))</f>
        <v/>
      </c>
      <c r="W1620" s="39">
        <f>IF(D1620="","",IFERROR(VALUE(MID(D1620,LEN(D1620)-3,3)),""))</f>
        <v/>
      </c>
      <c r="X1620" s="33">
        <f>IF(W1620="","",P1620&amp;"|"&amp;W1620)</f>
        <v/>
      </c>
      <c r="Y1620" s="33">
        <f>IF(W1620="","",IF(P1620="À RENSEIGNER","GIC",P1620)&amp;"-"&amp;TEXT(W1620,"000"))</f>
        <v/>
      </c>
      <c r="Z1620" s="33">
        <f>IF(X1620="","",IFERROR(INDEX(Cl_nom,MATCH(X1620,Cl_cle,0)),"(client introuvable)"))</f>
        <v/>
      </c>
      <c r="AA1620" s="33">
        <f>IF(X1620="","",IFERROR(INDEX(Cl_quartier,MATCH(X1620,Cl_cle,0))&amp;"",""))</f>
        <v/>
      </c>
      <c r="AB1620" s="45">
        <f>IF(R1620&lt;&gt;"Livrée",0,IF(K1620&lt;&gt;"",K1620,C1620))</f>
        <v/>
      </c>
      <c r="AC1620" s="33">
        <f>IF(OR(C1620="",W1620=""),"",P1620&amp;"|"&amp;W1620&amp;"|"&amp;C1620&amp;"|"&amp;E1620)</f>
        <v/>
      </c>
      <c r="AD1620" s="39">
        <f>IF(AC1620="","",IF(COUNTIF(AC$6:AC1620,AC1620)=1,1,0))</f>
        <v/>
      </c>
      <c r="AE1620" s="39">
        <f>IF(AB1620=0,"",IF(COUNTIFS(X$6:X1620,X1620,AB$6:AB1620,AB1620)=1,1,0))</f>
        <v/>
      </c>
      <c r="AF1620" s="34">
        <f>IF(C1620="","",YEAR(C1620-WEEKDAY(C1620,2)+4)&amp;"-S"&amp;TEXT(INT((C1620-DATE(YEAR(C1620-WEEKDAY(C1620,2)+4),1,3)+WEEKDAY(DATE(YEAR(C1620-WEEKDAY(C1620,2)+4),1,3),2)+5)/7),"00"))</f>
        <v/>
      </c>
    </row>
    <row r="1621" ht="18" customHeight="1">
      <c r="A1621" s="39" t="n">
        <v>1616</v>
      </c>
      <c r="B1621" s="33">
        <f>IF(C1621="","",IF(P1621="À RENSEIGNER","GIC",P1621)&amp;"-C"&amp;TEXT(A1621,"00000"))</f>
        <v/>
      </c>
      <c r="C1621" s="32" t="n"/>
      <c r="D1621" s="36" t="n"/>
      <c r="E1621" s="36" t="n"/>
      <c r="F1621" s="36" t="n"/>
      <c r="G1621" s="42" t="n"/>
      <c r="H1621" s="37" t="n"/>
      <c r="I1621" s="37" t="n"/>
      <c r="J1621" s="32" t="n"/>
      <c r="K1621" s="32" t="n"/>
      <c r="L1621" s="43" t="n"/>
      <c r="M1621" s="36" t="n"/>
      <c r="N1621" s="44" t="n"/>
      <c r="O1621" s="36" t="n"/>
      <c r="P1621" s="33">
        <f>IF(C1621="","",Commercial_Id)</f>
        <v/>
      </c>
      <c r="Q1621" s="34">
        <f>IF(AC1621="","",IF(AD1621=1,"C"&amp;TEXT(SUM(AD$6:AD1621),"0000"),INDEX(Q$6:Q1620,MATCH(AC1621,AC$6:AC1620,0))))</f>
        <v/>
      </c>
      <c r="R1621" s="34">
        <f>IF(C1621="","",IF(L1621="☑ Oui","Annulée",IF(OR(E1621="Vente directe",K1621&lt;&gt;""),"Livrée",IF(J1621&lt;&gt;"","Confirmée","En attente"))))</f>
        <v/>
      </c>
      <c r="S1621" s="34">
        <f>IF(F1621="","",IFERROR(VLOOKUP(F1621,T_Produits,2,FALSE),""))</f>
        <v/>
      </c>
      <c r="T1621" s="40">
        <f>IF(F1621="","",IFERROR(1/(1/VLOOKUP(F1621,T_Produits,3,FALSE)),""))</f>
        <v/>
      </c>
      <c r="U1621" s="40">
        <f>IF(H1621&lt;&gt;"",H1621,T1621)</f>
        <v/>
      </c>
      <c r="V1621" s="40">
        <f>IF(OR(G1621="",U1621=""),"",G1621*U1621-N(I1621))</f>
        <v/>
      </c>
      <c r="W1621" s="39">
        <f>IF(D1621="","",IFERROR(VALUE(MID(D1621,LEN(D1621)-3,3)),""))</f>
        <v/>
      </c>
      <c r="X1621" s="33">
        <f>IF(W1621="","",P1621&amp;"|"&amp;W1621)</f>
        <v/>
      </c>
      <c r="Y1621" s="33">
        <f>IF(W1621="","",IF(P1621="À RENSEIGNER","GIC",P1621)&amp;"-"&amp;TEXT(W1621,"000"))</f>
        <v/>
      </c>
      <c r="Z1621" s="33">
        <f>IF(X1621="","",IFERROR(INDEX(Cl_nom,MATCH(X1621,Cl_cle,0)),"(client introuvable)"))</f>
        <v/>
      </c>
      <c r="AA1621" s="33">
        <f>IF(X1621="","",IFERROR(INDEX(Cl_quartier,MATCH(X1621,Cl_cle,0))&amp;"",""))</f>
        <v/>
      </c>
      <c r="AB1621" s="45">
        <f>IF(R1621&lt;&gt;"Livrée",0,IF(K1621&lt;&gt;"",K1621,C1621))</f>
        <v/>
      </c>
      <c r="AC1621" s="33">
        <f>IF(OR(C1621="",W1621=""),"",P1621&amp;"|"&amp;W1621&amp;"|"&amp;C1621&amp;"|"&amp;E1621)</f>
        <v/>
      </c>
      <c r="AD1621" s="39">
        <f>IF(AC1621="","",IF(COUNTIF(AC$6:AC1621,AC1621)=1,1,0))</f>
        <v/>
      </c>
      <c r="AE1621" s="39">
        <f>IF(AB1621=0,"",IF(COUNTIFS(X$6:X1621,X1621,AB$6:AB1621,AB1621)=1,1,0))</f>
        <v/>
      </c>
      <c r="AF1621" s="34">
        <f>IF(C1621="","",YEAR(C1621-WEEKDAY(C1621,2)+4)&amp;"-S"&amp;TEXT(INT((C1621-DATE(YEAR(C1621-WEEKDAY(C1621,2)+4),1,3)+WEEKDAY(DATE(YEAR(C1621-WEEKDAY(C1621,2)+4),1,3),2)+5)/7),"00"))</f>
        <v/>
      </c>
    </row>
    <row r="1622" ht="18" customHeight="1">
      <c r="A1622" s="39" t="n">
        <v>1617</v>
      </c>
      <c r="B1622" s="33">
        <f>IF(C1622="","",IF(P1622="À RENSEIGNER","GIC",P1622)&amp;"-C"&amp;TEXT(A1622,"00000"))</f>
        <v/>
      </c>
      <c r="C1622" s="32" t="n"/>
      <c r="D1622" s="36" t="n"/>
      <c r="E1622" s="36" t="n"/>
      <c r="F1622" s="36" t="n"/>
      <c r="G1622" s="42" t="n"/>
      <c r="H1622" s="37" t="n"/>
      <c r="I1622" s="37" t="n"/>
      <c r="J1622" s="32" t="n"/>
      <c r="K1622" s="32" t="n"/>
      <c r="L1622" s="43" t="n"/>
      <c r="M1622" s="36" t="n"/>
      <c r="N1622" s="44" t="n"/>
      <c r="O1622" s="36" t="n"/>
      <c r="P1622" s="33">
        <f>IF(C1622="","",Commercial_Id)</f>
        <v/>
      </c>
      <c r="Q1622" s="34">
        <f>IF(AC1622="","",IF(AD1622=1,"C"&amp;TEXT(SUM(AD$6:AD1622),"0000"),INDEX(Q$6:Q1621,MATCH(AC1622,AC$6:AC1621,0))))</f>
        <v/>
      </c>
      <c r="R1622" s="34">
        <f>IF(C1622="","",IF(L1622="☑ Oui","Annulée",IF(OR(E1622="Vente directe",K1622&lt;&gt;""),"Livrée",IF(J1622&lt;&gt;"","Confirmée","En attente"))))</f>
        <v/>
      </c>
      <c r="S1622" s="34">
        <f>IF(F1622="","",IFERROR(VLOOKUP(F1622,T_Produits,2,FALSE),""))</f>
        <v/>
      </c>
      <c r="T1622" s="40">
        <f>IF(F1622="","",IFERROR(1/(1/VLOOKUP(F1622,T_Produits,3,FALSE)),""))</f>
        <v/>
      </c>
      <c r="U1622" s="40">
        <f>IF(H1622&lt;&gt;"",H1622,T1622)</f>
        <v/>
      </c>
      <c r="V1622" s="40">
        <f>IF(OR(G1622="",U1622=""),"",G1622*U1622-N(I1622))</f>
        <v/>
      </c>
      <c r="W1622" s="39">
        <f>IF(D1622="","",IFERROR(VALUE(MID(D1622,LEN(D1622)-3,3)),""))</f>
        <v/>
      </c>
      <c r="X1622" s="33">
        <f>IF(W1622="","",P1622&amp;"|"&amp;W1622)</f>
        <v/>
      </c>
      <c r="Y1622" s="33">
        <f>IF(W1622="","",IF(P1622="À RENSEIGNER","GIC",P1622)&amp;"-"&amp;TEXT(W1622,"000"))</f>
        <v/>
      </c>
      <c r="Z1622" s="33">
        <f>IF(X1622="","",IFERROR(INDEX(Cl_nom,MATCH(X1622,Cl_cle,0)),"(client introuvable)"))</f>
        <v/>
      </c>
      <c r="AA1622" s="33">
        <f>IF(X1622="","",IFERROR(INDEX(Cl_quartier,MATCH(X1622,Cl_cle,0))&amp;"",""))</f>
        <v/>
      </c>
      <c r="AB1622" s="45">
        <f>IF(R1622&lt;&gt;"Livrée",0,IF(K1622&lt;&gt;"",K1622,C1622))</f>
        <v/>
      </c>
      <c r="AC1622" s="33">
        <f>IF(OR(C1622="",W1622=""),"",P1622&amp;"|"&amp;W1622&amp;"|"&amp;C1622&amp;"|"&amp;E1622)</f>
        <v/>
      </c>
      <c r="AD1622" s="39">
        <f>IF(AC1622="","",IF(COUNTIF(AC$6:AC1622,AC1622)=1,1,0))</f>
        <v/>
      </c>
      <c r="AE1622" s="39">
        <f>IF(AB1622=0,"",IF(COUNTIFS(X$6:X1622,X1622,AB$6:AB1622,AB1622)=1,1,0))</f>
        <v/>
      </c>
      <c r="AF1622" s="34">
        <f>IF(C1622="","",YEAR(C1622-WEEKDAY(C1622,2)+4)&amp;"-S"&amp;TEXT(INT((C1622-DATE(YEAR(C1622-WEEKDAY(C1622,2)+4),1,3)+WEEKDAY(DATE(YEAR(C1622-WEEKDAY(C1622,2)+4),1,3),2)+5)/7),"00"))</f>
        <v/>
      </c>
    </row>
    <row r="1623" ht="18" customHeight="1">
      <c r="A1623" s="39" t="n">
        <v>1618</v>
      </c>
      <c r="B1623" s="33">
        <f>IF(C1623="","",IF(P1623="À RENSEIGNER","GIC",P1623)&amp;"-C"&amp;TEXT(A1623,"00000"))</f>
        <v/>
      </c>
      <c r="C1623" s="32" t="n"/>
      <c r="D1623" s="36" t="n"/>
      <c r="E1623" s="36" t="n"/>
      <c r="F1623" s="36" t="n"/>
      <c r="G1623" s="42" t="n"/>
      <c r="H1623" s="37" t="n"/>
      <c r="I1623" s="37" t="n"/>
      <c r="J1623" s="32" t="n"/>
      <c r="K1623" s="32" t="n"/>
      <c r="L1623" s="43" t="n"/>
      <c r="M1623" s="36" t="n"/>
      <c r="N1623" s="44" t="n"/>
      <c r="O1623" s="36" t="n"/>
      <c r="P1623" s="33">
        <f>IF(C1623="","",Commercial_Id)</f>
        <v/>
      </c>
      <c r="Q1623" s="34">
        <f>IF(AC1623="","",IF(AD1623=1,"C"&amp;TEXT(SUM(AD$6:AD1623),"0000"),INDEX(Q$6:Q1622,MATCH(AC1623,AC$6:AC1622,0))))</f>
        <v/>
      </c>
      <c r="R1623" s="34">
        <f>IF(C1623="","",IF(L1623="☑ Oui","Annulée",IF(OR(E1623="Vente directe",K1623&lt;&gt;""),"Livrée",IF(J1623&lt;&gt;"","Confirmée","En attente"))))</f>
        <v/>
      </c>
      <c r="S1623" s="34">
        <f>IF(F1623="","",IFERROR(VLOOKUP(F1623,T_Produits,2,FALSE),""))</f>
        <v/>
      </c>
      <c r="T1623" s="40">
        <f>IF(F1623="","",IFERROR(1/(1/VLOOKUP(F1623,T_Produits,3,FALSE)),""))</f>
        <v/>
      </c>
      <c r="U1623" s="40">
        <f>IF(H1623&lt;&gt;"",H1623,T1623)</f>
        <v/>
      </c>
      <c r="V1623" s="40">
        <f>IF(OR(G1623="",U1623=""),"",G1623*U1623-N(I1623))</f>
        <v/>
      </c>
      <c r="W1623" s="39">
        <f>IF(D1623="","",IFERROR(VALUE(MID(D1623,LEN(D1623)-3,3)),""))</f>
        <v/>
      </c>
      <c r="X1623" s="33">
        <f>IF(W1623="","",P1623&amp;"|"&amp;W1623)</f>
        <v/>
      </c>
      <c r="Y1623" s="33">
        <f>IF(W1623="","",IF(P1623="À RENSEIGNER","GIC",P1623)&amp;"-"&amp;TEXT(W1623,"000"))</f>
        <v/>
      </c>
      <c r="Z1623" s="33">
        <f>IF(X1623="","",IFERROR(INDEX(Cl_nom,MATCH(X1623,Cl_cle,0)),"(client introuvable)"))</f>
        <v/>
      </c>
      <c r="AA1623" s="33">
        <f>IF(X1623="","",IFERROR(INDEX(Cl_quartier,MATCH(X1623,Cl_cle,0))&amp;"",""))</f>
        <v/>
      </c>
      <c r="AB1623" s="45">
        <f>IF(R1623&lt;&gt;"Livrée",0,IF(K1623&lt;&gt;"",K1623,C1623))</f>
        <v/>
      </c>
      <c r="AC1623" s="33">
        <f>IF(OR(C1623="",W1623=""),"",P1623&amp;"|"&amp;W1623&amp;"|"&amp;C1623&amp;"|"&amp;E1623)</f>
        <v/>
      </c>
      <c r="AD1623" s="39">
        <f>IF(AC1623="","",IF(COUNTIF(AC$6:AC1623,AC1623)=1,1,0))</f>
        <v/>
      </c>
      <c r="AE1623" s="39">
        <f>IF(AB1623=0,"",IF(COUNTIFS(X$6:X1623,X1623,AB$6:AB1623,AB1623)=1,1,0))</f>
        <v/>
      </c>
      <c r="AF1623" s="34">
        <f>IF(C1623="","",YEAR(C1623-WEEKDAY(C1623,2)+4)&amp;"-S"&amp;TEXT(INT((C1623-DATE(YEAR(C1623-WEEKDAY(C1623,2)+4),1,3)+WEEKDAY(DATE(YEAR(C1623-WEEKDAY(C1623,2)+4),1,3),2)+5)/7),"00"))</f>
        <v/>
      </c>
    </row>
    <row r="1624" ht="18" customHeight="1">
      <c r="A1624" s="39" t="n">
        <v>1619</v>
      </c>
      <c r="B1624" s="33">
        <f>IF(C1624="","",IF(P1624="À RENSEIGNER","GIC",P1624)&amp;"-C"&amp;TEXT(A1624,"00000"))</f>
        <v/>
      </c>
      <c r="C1624" s="32" t="n"/>
      <c r="D1624" s="36" t="n"/>
      <c r="E1624" s="36" t="n"/>
      <c r="F1624" s="36" t="n"/>
      <c r="G1624" s="42" t="n"/>
      <c r="H1624" s="37" t="n"/>
      <c r="I1624" s="37" t="n"/>
      <c r="J1624" s="32" t="n"/>
      <c r="K1624" s="32" t="n"/>
      <c r="L1624" s="43" t="n"/>
      <c r="M1624" s="36" t="n"/>
      <c r="N1624" s="44" t="n"/>
      <c r="O1624" s="36" t="n"/>
      <c r="P1624" s="33">
        <f>IF(C1624="","",Commercial_Id)</f>
        <v/>
      </c>
      <c r="Q1624" s="34">
        <f>IF(AC1624="","",IF(AD1624=1,"C"&amp;TEXT(SUM(AD$6:AD1624),"0000"),INDEX(Q$6:Q1623,MATCH(AC1624,AC$6:AC1623,0))))</f>
        <v/>
      </c>
      <c r="R1624" s="34">
        <f>IF(C1624="","",IF(L1624="☑ Oui","Annulée",IF(OR(E1624="Vente directe",K1624&lt;&gt;""),"Livrée",IF(J1624&lt;&gt;"","Confirmée","En attente"))))</f>
        <v/>
      </c>
      <c r="S1624" s="34">
        <f>IF(F1624="","",IFERROR(VLOOKUP(F1624,T_Produits,2,FALSE),""))</f>
        <v/>
      </c>
      <c r="T1624" s="40">
        <f>IF(F1624="","",IFERROR(1/(1/VLOOKUP(F1624,T_Produits,3,FALSE)),""))</f>
        <v/>
      </c>
      <c r="U1624" s="40">
        <f>IF(H1624&lt;&gt;"",H1624,T1624)</f>
        <v/>
      </c>
      <c r="V1624" s="40">
        <f>IF(OR(G1624="",U1624=""),"",G1624*U1624-N(I1624))</f>
        <v/>
      </c>
      <c r="W1624" s="39">
        <f>IF(D1624="","",IFERROR(VALUE(MID(D1624,LEN(D1624)-3,3)),""))</f>
        <v/>
      </c>
      <c r="X1624" s="33">
        <f>IF(W1624="","",P1624&amp;"|"&amp;W1624)</f>
        <v/>
      </c>
      <c r="Y1624" s="33">
        <f>IF(W1624="","",IF(P1624="À RENSEIGNER","GIC",P1624)&amp;"-"&amp;TEXT(W1624,"000"))</f>
        <v/>
      </c>
      <c r="Z1624" s="33">
        <f>IF(X1624="","",IFERROR(INDEX(Cl_nom,MATCH(X1624,Cl_cle,0)),"(client introuvable)"))</f>
        <v/>
      </c>
      <c r="AA1624" s="33">
        <f>IF(X1624="","",IFERROR(INDEX(Cl_quartier,MATCH(X1624,Cl_cle,0))&amp;"",""))</f>
        <v/>
      </c>
      <c r="AB1624" s="45">
        <f>IF(R1624&lt;&gt;"Livrée",0,IF(K1624&lt;&gt;"",K1624,C1624))</f>
        <v/>
      </c>
      <c r="AC1624" s="33">
        <f>IF(OR(C1624="",W1624=""),"",P1624&amp;"|"&amp;W1624&amp;"|"&amp;C1624&amp;"|"&amp;E1624)</f>
        <v/>
      </c>
      <c r="AD1624" s="39">
        <f>IF(AC1624="","",IF(COUNTIF(AC$6:AC1624,AC1624)=1,1,0))</f>
        <v/>
      </c>
      <c r="AE1624" s="39">
        <f>IF(AB1624=0,"",IF(COUNTIFS(X$6:X1624,X1624,AB$6:AB1624,AB1624)=1,1,0))</f>
        <v/>
      </c>
      <c r="AF1624" s="34">
        <f>IF(C1624="","",YEAR(C1624-WEEKDAY(C1624,2)+4)&amp;"-S"&amp;TEXT(INT((C1624-DATE(YEAR(C1624-WEEKDAY(C1624,2)+4),1,3)+WEEKDAY(DATE(YEAR(C1624-WEEKDAY(C1624,2)+4),1,3),2)+5)/7),"00"))</f>
        <v/>
      </c>
    </row>
    <row r="1625" ht="18" customHeight="1">
      <c r="A1625" s="39" t="n">
        <v>1620</v>
      </c>
      <c r="B1625" s="33">
        <f>IF(C1625="","",IF(P1625="À RENSEIGNER","GIC",P1625)&amp;"-C"&amp;TEXT(A1625,"00000"))</f>
        <v/>
      </c>
      <c r="C1625" s="32" t="n"/>
      <c r="D1625" s="36" t="n"/>
      <c r="E1625" s="36" t="n"/>
      <c r="F1625" s="36" t="n"/>
      <c r="G1625" s="42" t="n"/>
      <c r="H1625" s="37" t="n"/>
      <c r="I1625" s="37" t="n"/>
      <c r="J1625" s="32" t="n"/>
      <c r="K1625" s="32" t="n"/>
      <c r="L1625" s="43" t="n"/>
      <c r="M1625" s="36" t="n"/>
      <c r="N1625" s="44" t="n"/>
      <c r="O1625" s="36" t="n"/>
      <c r="P1625" s="33">
        <f>IF(C1625="","",Commercial_Id)</f>
        <v/>
      </c>
      <c r="Q1625" s="34">
        <f>IF(AC1625="","",IF(AD1625=1,"C"&amp;TEXT(SUM(AD$6:AD1625),"0000"),INDEX(Q$6:Q1624,MATCH(AC1625,AC$6:AC1624,0))))</f>
        <v/>
      </c>
      <c r="R1625" s="34">
        <f>IF(C1625="","",IF(L1625="☑ Oui","Annulée",IF(OR(E1625="Vente directe",K1625&lt;&gt;""),"Livrée",IF(J1625&lt;&gt;"","Confirmée","En attente"))))</f>
        <v/>
      </c>
      <c r="S1625" s="34">
        <f>IF(F1625="","",IFERROR(VLOOKUP(F1625,T_Produits,2,FALSE),""))</f>
        <v/>
      </c>
      <c r="T1625" s="40">
        <f>IF(F1625="","",IFERROR(1/(1/VLOOKUP(F1625,T_Produits,3,FALSE)),""))</f>
        <v/>
      </c>
      <c r="U1625" s="40">
        <f>IF(H1625&lt;&gt;"",H1625,T1625)</f>
        <v/>
      </c>
      <c r="V1625" s="40">
        <f>IF(OR(G1625="",U1625=""),"",G1625*U1625-N(I1625))</f>
        <v/>
      </c>
      <c r="W1625" s="39">
        <f>IF(D1625="","",IFERROR(VALUE(MID(D1625,LEN(D1625)-3,3)),""))</f>
        <v/>
      </c>
      <c r="X1625" s="33">
        <f>IF(W1625="","",P1625&amp;"|"&amp;W1625)</f>
        <v/>
      </c>
      <c r="Y1625" s="33">
        <f>IF(W1625="","",IF(P1625="À RENSEIGNER","GIC",P1625)&amp;"-"&amp;TEXT(W1625,"000"))</f>
        <v/>
      </c>
      <c r="Z1625" s="33">
        <f>IF(X1625="","",IFERROR(INDEX(Cl_nom,MATCH(X1625,Cl_cle,0)),"(client introuvable)"))</f>
        <v/>
      </c>
      <c r="AA1625" s="33">
        <f>IF(X1625="","",IFERROR(INDEX(Cl_quartier,MATCH(X1625,Cl_cle,0))&amp;"",""))</f>
        <v/>
      </c>
      <c r="AB1625" s="45">
        <f>IF(R1625&lt;&gt;"Livrée",0,IF(K1625&lt;&gt;"",K1625,C1625))</f>
        <v/>
      </c>
      <c r="AC1625" s="33">
        <f>IF(OR(C1625="",W1625=""),"",P1625&amp;"|"&amp;W1625&amp;"|"&amp;C1625&amp;"|"&amp;E1625)</f>
        <v/>
      </c>
      <c r="AD1625" s="39">
        <f>IF(AC1625="","",IF(COUNTIF(AC$6:AC1625,AC1625)=1,1,0))</f>
        <v/>
      </c>
      <c r="AE1625" s="39">
        <f>IF(AB1625=0,"",IF(COUNTIFS(X$6:X1625,X1625,AB$6:AB1625,AB1625)=1,1,0))</f>
        <v/>
      </c>
      <c r="AF1625" s="34">
        <f>IF(C1625="","",YEAR(C1625-WEEKDAY(C1625,2)+4)&amp;"-S"&amp;TEXT(INT((C1625-DATE(YEAR(C1625-WEEKDAY(C1625,2)+4),1,3)+WEEKDAY(DATE(YEAR(C1625-WEEKDAY(C1625,2)+4),1,3),2)+5)/7),"00"))</f>
        <v/>
      </c>
    </row>
    <row r="1626" ht="18" customHeight="1">
      <c r="A1626" s="39" t="n">
        <v>1621</v>
      </c>
      <c r="B1626" s="33">
        <f>IF(C1626="","",IF(P1626="À RENSEIGNER","GIC",P1626)&amp;"-C"&amp;TEXT(A1626,"00000"))</f>
        <v/>
      </c>
      <c r="C1626" s="32" t="n"/>
      <c r="D1626" s="36" t="n"/>
      <c r="E1626" s="36" t="n"/>
      <c r="F1626" s="36" t="n"/>
      <c r="G1626" s="42" t="n"/>
      <c r="H1626" s="37" t="n"/>
      <c r="I1626" s="37" t="n"/>
      <c r="J1626" s="32" t="n"/>
      <c r="K1626" s="32" t="n"/>
      <c r="L1626" s="43" t="n"/>
      <c r="M1626" s="36" t="n"/>
      <c r="N1626" s="44" t="n"/>
      <c r="O1626" s="36" t="n"/>
      <c r="P1626" s="33">
        <f>IF(C1626="","",Commercial_Id)</f>
        <v/>
      </c>
      <c r="Q1626" s="34">
        <f>IF(AC1626="","",IF(AD1626=1,"C"&amp;TEXT(SUM(AD$6:AD1626),"0000"),INDEX(Q$6:Q1625,MATCH(AC1626,AC$6:AC1625,0))))</f>
        <v/>
      </c>
      <c r="R1626" s="34">
        <f>IF(C1626="","",IF(L1626="☑ Oui","Annulée",IF(OR(E1626="Vente directe",K1626&lt;&gt;""),"Livrée",IF(J1626&lt;&gt;"","Confirmée","En attente"))))</f>
        <v/>
      </c>
      <c r="S1626" s="34">
        <f>IF(F1626="","",IFERROR(VLOOKUP(F1626,T_Produits,2,FALSE),""))</f>
        <v/>
      </c>
      <c r="T1626" s="40">
        <f>IF(F1626="","",IFERROR(1/(1/VLOOKUP(F1626,T_Produits,3,FALSE)),""))</f>
        <v/>
      </c>
      <c r="U1626" s="40">
        <f>IF(H1626&lt;&gt;"",H1626,T1626)</f>
        <v/>
      </c>
      <c r="V1626" s="40">
        <f>IF(OR(G1626="",U1626=""),"",G1626*U1626-N(I1626))</f>
        <v/>
      </c>
      <c r="W1626" s="39">
        <f>IF(D1626="","",IFERROR(VALUE(MID(D1626,LEN(D1626)-3,3)),""))</f>
        <v/>
      </c>
      <c r="X1626" s="33">
        <f>IF(W1626="","",P1626&amp;"|"&amp;W1626)</f>
        <v/>
      </c>
      <c r="Y1626" s="33">
        <f>IF(W1626="","",IF(P1626="À RENSEIGNER","GIC",P1626)&amp;"-"&amp;TEXT(W1626,"000"))</f>
        <v/>
      </c>
      <c r="Z1626" s="33">
        <f>IF(X1626="","",IFERROR(INDEX(Cl_nom,MATCH(X1626,Cl_cle,0)),"(client introuvable)"))</f>
        <v/>
      </c>
      <c r="AA1626" s="33">
        <f>IF(X1626="","",IFERROR(INDEX(Cl_quartier,MATCH(X1626,Cl_cle,0))&amp;"",""))</f>
        <v/>
      </c>
      <c r="AB1626" s="45">
        <f>IF(R1626&lt;&gt;"Livrée",0,IF(K1626&lt;&gt;"",K1626,C1626))</f>
        <v/>
      </c>
      <c r="AC1626" s="33">
        <f>IF(OR(C1626="",W1626=""),"",P1626&amp;"|"&amp;W1626&amp;"|"&amp;C1626&amp;"|"&amp;E1626)</f>
        <v/>
      </c>
      <c r="AD1626" s="39">
        <f>IF(AC1626="","",IF(COUNTIF(AC$6:AC1626,AC1626)=1,1,0))</f>
        <v/>
      </c>
      <c r="AE1626" s="39">
        <f>IF(AB1626=0,"",IF(COUNTIFS(X$6:X1626,X1626,AB$6:AB1626,AB1626)=1,1,0))</f>
        <v/>
      </c>
      <c r="AF1626" s="34">
        <f>IF(C1626="","",YEAR(C1626-WEEKDAY(C1626,2)+4)&amp;"-S"&amp;TEXT(INT((C1626-DATE(YEAR(C1626-WEEKDAY(C1626,2)+4),1,3)+WEEKDAY(DATE(YEAR(C1626-WEEKDAY(C1626,2)+4),1,3),2)+5)/7),"00"))</f>
        <v/>
      </c>
    </row>
    <row r="1627" ht="18" customHeight="1">
      <c r="A1627" s="39" t="n">
        <v>1622</v>
      </c>
      <c r="B1627" s="33">
        <f>IF(C1627="","",IF(P1627="À RENSEIGNER","GIC",P1627)&amp;"-C"&amp;TEXT(A1627,"00000"))</f>
        <v/>
      </c>
      <c r="C1627" s="32" t="n"/>
      <c r="D1627" s="36" t="n"/>
      <c r="E1627" s="36" t="n"/>
      <c r="F1627" s="36" t="n"/>
      <c r="G1627" s="42" t="n"/>
      <c r="H1627" s="37" t="n"/>
      <c r="I1627" s="37" t="n"/>
      <c r="J1627" s="32" t="n"/>
      <c r="K1627" s="32" t="n"/>
      <c r="L1627" s="43" t="n"/>
      <c r="M1627" s="36" t="n"/>
      <c r="N1627" s="44" t="n"/>
      <c r="O1627" s="36" t="n"/>
      <c r="P1627" s="33">
        <f>IF(C1627="","",Commercial_Id)</f>
        <v/>
      </c>
      <c r="Q1627" s="34">
        <f>IF(AC1627="","",IF(AD1627=1,"C"&amp;TEXT(SUM(AD$6:AD1627),"0000"),INDEX(Q$6:Q1626,MATCH(AC1627,AC$6:AC1626,0))))</f>
        <v/>
      </c>
      <c r="R1627" s="34">
        <f>IF(C1627="","",IF(L1627="☑ Oui","Annulée",IF(OR(E1627="Vente directe",K1627&lt;&gt;""),"Livrée",IF(J1627&lt;&gt;"","Confirmée","En attente"))))</f>
        <v/>
      </c>
      <c r="S1627" s="34">
        <f>IF(F1627="","",IFERROR(VLOOKUP(F1627,T_Produits,2,FALSE),""))</f>
        <v/>
      </c>
      <c r="T1627" s="40">
        <f>IF(F1627="","",IFERROR(1/(1/VLOOKUP(F1627,T_Produits,3,FALSE)),""))</f>
        <v/>
      </c>
      <c r="U1627" s="40">
        <f>IF(H1627&lt;&gt;"",H1627,T1627)</f>
        <v/>
      </c>
      <c r="V1627" s="40">
        <f>IF(OR(G1627="",U1627=""),"",G1627*U1627-N(I1627))</f>
        <v/>
      </c>
      <c r="W1627" s="39">
        <f>IF(D1627="","",IFERROR(VALUE(MID(D1627,LEN(D1627)-3,3)),""))</f>
        <v/>
      </c>
      <c r="X1627" s="33">
        <f>IF(W1627="","",P1627&amp;"|"&amp;W1627)</f>
        <v/>
      </c>
      <c r="Y1627" s="33">
        <f>IF(W1627="","",IF(P1627="À RENSEIGNER","GIC",P1627)&amp;"-"&amp;TEXT(W1627,"000"))</f>
        <v/>
      </c>
      <c r="Z1627" s="33">
        <f>IF(X1627="","",IFERROR(INDEX(Cl_nom,MATCH(X1627,Cl_cle,0)),"(client introuvable)"))</f>
        <v/>
      </c>
      <c r="AA1627" s="33">
        <f>IF(X1627="","",IFERROR(INDEX(Cl_quartier,MATCH(X1627,Cl_cle,0))&amp;"",""))</f>
        <v/>
      </c>
      <c r="AB1627" s="45">
        <f>IF(R1627&lt;&gt;"Livrée",0,IF(K1627&lt;&gt;"",K1627,C1627))</f>
        <v/>
      </c>
      <c r="AC1627" s="33">
        <f>IF(OR(C1627="",W1627=""),"",P1627&amp;"|"&amp;W1627&amp;"|"&amp;C1627&amp;"|"&amp;E1627)</f>
        <v/>
      </c>
      <c r="AD1627" s="39">
        <f>IF(AC1627="","",IF(COUNTIF(AC$6:AC1627,AC1627)=1,1,0))</f>
        <v/>
      </c>
      <c r="AE1627" s="39">
        <f>IF(AB1627=0,"",IF(COUNTIFS(X$6:X1627,X1627,AB$6:AB1627,AB1627)=1,1,0))</f>
        <v/>
      </c>
      <c r="AF1627" s="34">
        <f>IF(C1627="","",YEAR(C1627-WEEKDAY(C1627,2)+4)&amp;"-S"&amp;TEXT(INT((C1627-DATE(YEAR(C1627-WEEKDAY(C1627,2)+4),1,3)+WEEKDAY(DATE(YEAR(C1627-WEEKDAY(C1627,2)+4),1,3),2)+5)/7),"00"))</f>
        <v/>
      </c>
    </row>
    <row r="1628" ht="18" customHeight="1">
      <c r="A1628" s="39" t="n">
        <v>1623</v>
      </c>
      <c r="B1628" s="33">
        <f>IF(C1628="","",IF(P1628="À RENSEIGNER","GIC",P1628)&amp;"-C"&amp;TEXT(A1628,"00000"))</f>
        <v/>
      </c>
      <c r="C1628" s="32" t="n"/>
      <c r="D1628" s="36" t="n"/>
      <c r="E1628" s="36" t="n"/>
      <c r="F1628" s="36" t="n"/>
      <c r="G1628" s="42" t="n"/>
      <c r="H1628" s="37" t="n"/>
      <c r="I1628" s="37" t="n"/>
      <c r="J1628" s="32" t="n"/>
      <c r="K1628" s="32" t="n"/>
      <c r="L1628" s="43" t="n"/>
      <c r="M1628" s="36" t="n"/>
      <c r="N1628" s="44" t="n"/>
      <c r="O1628" s="36" t="n"/>
      <c r="P1628" s="33">
        <f>IF(C1628="","",Commercial_Id)</f>
        <v/>
      </c>
      <c r="Q1628" s="34">
        <f>IF(AC1628="","",IF(AD1628=1,"C"&amp;TEXT(SUM(AD$6:AD1628),"0000"),INDEX(Q$6:Q1627,MATCH(AC1628,AC$6:AC1627,0))))</f>
        <v/>
      </c>
      <c r="R1628" s="34">
        <f>IF(C1628="","",IF(L1628="☑ Oui","Annulée",IF(OR(E1628="Vente directe",K1628&lt;&gt;""),"Livrée",IF(J1628&lt;&gt;"","Confirmée","En attente"))))</f>
        <v/>
      </c>
      <c r="S1628" s="34">
        <f>IF(F1628="","",IFERROR(VLOOKUP(F1628,T_Produits,2,FALSE),""))</f>
        <v/>
      </c>
      <c r="T1628" s="40">
        <f>IF(F1628="","",IFERROR(1/(1/VLOOKUP(F1628,T_Produits,3,FALSE)),""))</f>
        <v/>
      </c>
      <c r="U1628" s="40">
        <f>IF(H1628&lt;&gt;"",H1628,T1628)</f>
        <v/>
      </c>
      <c r="V1628" s="40">
        <f>IF(OR(G1628="",U1628=""),"",G1628*U1628-N(I1628))</f>
        <v/>
      </c>
      <c r="W1628" s="39">
        <f>IF(D1628="","",IFERROR(VALUE(MID(D1628,LEN(D1628)-3,3)),""))</f>
        <v/>
      </c>
      <c r="X1628" s="33">
        <f>IF(W1628="","",P1628&amp;"|"&amp;W1628)</f>
        <v/>
      </c>
      <c r="Y1628" s="33">
        <f>IF(W1628="","",IF(P1628="À RENSEIGNER","GIC",P1628)&amp;"-"&amp;TEXT(W1628,"000"))</f>
        <v/>
      </c>
      <c r="Z1628" s="33">
        <f>IF(X1628="","",IFERROR(INDEX(Cl_nom,MATCH(X1628,Cl_cle,0)),"(client introuvable)"))</f>
        <v/>
      </c>
      <c r="AA1628" s="33">
        <f>IF(X1628="","",IFERROR(INDEX(Cl_quartier,MATCH(X1628,Cl_cle,0))&amp;"",""))</f>
        <v/>
      </c>
      <c r="AB1628" s="45">
        <f>IF(R1628&lt;&gt;"Livrée",0,IF(K1628&lt;&gt;"",K1628,C1628))</f>
        <v/>
      </c>
      <c r="AC1628" s="33">
        <f>IF(OR(C1628="",W1628=""),"",P1628&amp;"|"&amp;W1628&amp;"|"&amp;C1628&amp;"|"&amp;E1628)</f>
        <v/>
      </c>
      <c r="AD1628" s="39">
        <f>IF(AC1628="","",IF(COUNTIF(AC$6:AC1628,AC1628)=1,1,0))</f>
        <v/>
      </c>
      <c r="AE1628" s="39">
        <f>IF(AB1628=0,"",IF(COUNTIFS(X$6:X1628,X1628,AB$6:AB1628,AB1628)=1,1,0))</f>
        <v/>
      </c>
      <c r="AF1628" s="34">
        <f>IF(C1628="","",YEAR(C1628-WEEKDAY(C1628,2)+4)&amp;"-S"&amp;TEXT(INT((C1628-DATE(YEAR(C1628-WEEKDAY(C1628,2)+4),1,3)+WEEKDAY(DATE(YEAR(C1628-WEEKDAY(C1628,2)+4),1,3),2)+5)/7),"00"))</f>
        <v/>
      </c>
    </row>
    <row r="1629" ht="18" customHeight="1">
      <c r="A1629" s="39" t="n">
        <v>1624</v>
      </c>
      <c r="B1629" s="33">
        <f>IF(C1629="","",IF(P1629="À RENSEIGNER","GIC",P1629)&amp;"-C"&amp;TEXT(A1629,"00000"))</f>
        <v/>
      </c>
      <c r="C1629" s="32" t="n"/>
      <c r="D1629" s="36" t="n"/>
      <c r="E1629" s="36" t="n"/>
      <c r="F1629" s="36" t="n"/>
      <c r="G1629" s="42" t="n"/>
      <c r="H1629" s="37" t="n"/>
      <c r="I1629" s="37" t="n"/>
      <c r="J1629" s="32" t="n"/>
      <c r="K1629" s="32" t="n"/>
      <c r="L1629" s="43" t="n"/>
      <c r="M1629" s="36" t="n"/>
      <c r="N1629" s="44" t="n"/>
      <c r="O1629" s="36" t="n"/>
      <c r="P1629" s="33">
        <f>IF(C1629="","",Commercial_Id)</f>
        <v/>
      </c>
      <c r="Q1629" s="34">
        <f>IF(AC1629="","",IF(AD1629=1,"C"&amp;TEXT(SUM(AD$6:AD1629),"0000"),INDEX(Q$6:Q1628,MATCH(AC1629,AC$6:AC1628,0))))</f>
        <v/>
      </c>
      <c r="R1629" s="34">
        <f>IF(C1629="","",IF(L1629="☑ Oui","Annulée",IF(OR(E1629="Vente directe",K1629&lt;&gt;""),"Livrée",IF(J1629&lt;&gt;"","Confirmée","En attente"))))</f>
        <v/>
      </c>
      <c r="S1629" s="34">
        <f>IF(F1629="","",IFERROR(VLOOKUP(F1629,T_Produits,2,FALSE),""))</f>
        <v/>
      </c>
      <c r="T1629" s="40">
        <f>IF(F1629="","",IFERROR(1/(1/VLOOKUP(F1629,T_Produits,3,FALSE)),""))</f>
        <v/>
      </c>
      <c r="U1629" s="40">
        <f>IF(H1629&lt;&gt;"",H1629,T1629)</f>
        <v/>
      </c>
      <c r="V1629" s="40">
        <f>IF(OR(G1629="",U1629=""),"",G1629*U1629-N(I1629))</f>
        <v/>
      </c>
      <c r="W1629" s="39">
        <f>IF(D1629="","",IFERROR(VALUE(MID(D1629,LEN(D1629)-3,3)),""))</f>
        <v/>
      </c>
      <c r="X1629" s="33">
        <f>IF(W1629="","",P1629&amp;"|"&amp;W1629)</f>
        <v/>
      </c>
      <c r="Y1629" s="33">
        <f>IF(W1629="","",IF(P1629="À RENSEIGNER","GIC",P1629)&amp;"-"&amp;TEXT(W1629,"000"))</f>
        <v/>
      </c>
      <c r="Z1629" s="33">
        <f>IF(X1629="","",IFERROR(INDEX(Cl_nom,MATCH(X1629,Cl_cle,0)),"(client introuvable)"))</f>
        <v/>
      </c>
      <c r="AA1629" s="33">
        <f>IF(X1629="","",IFERROR(INDEX(Cl_quartier,MATCH(X1629,Cl_cle,0))&amp;"",""))</f>
        <v/>
      </c>
      <c r="AB1629" s="45">
        <f>IF(R1629&lt;&gt;"Livrée",0,IF(K1629&lt;&gt;"",K1629,C1629))</f>
        <v/>
      </c>
      <c r="AC1629" s="33">
        <f>IF(OR(C1629="",W1629=""),"",P1629&amp;"|"&amp;W1629&amp;"|"&amp;C1629&amp;"|"&amp;E1629)</f>
        <v/>
      </c>
      <c r="AD1629" s="39">
        <f>IF(AC1629="","",IF(COUNTIF(AC$6:AC1629,AC1629)=1,1,0))</f>
        <v/>
      </c>
      <c r="AE1629" s="39">
        <f>IF(AB1629=0,"",IF(COUNTIFS(X$6:X1629,X1629,AB$6:AB1629,AB1629)=1,1,0))</f>
        <v/>
      </c>
      <c r="AF1629" s="34">
        <f>IF(C1629="","",YEAR(C1629-WEEKDAY(C1629,2)+4)&amp;"-S"&amp;TEXT(INT((C1629-DATE(YEAR(C1629-WEEKDAY(C1629,2)+4),1,3)+WEEKDAY(DATE(YEAR(C1629-WEEKDAY(C1629,2)+4),1,3),2)+5)/7),"00"))</f>
        <v/>
      </c>
    </row>
    <row r="1630" ht="18" customHeight="1">
      <c r="A1630" s="39" t="n">
        <v>1625</v>
      </c>
      <c r="B1630" s="33">
        <f>IF(C1630="","",IF(P1630="À RENSEIGNER","GIC",P1630)&amp;"-C"&amp;TEXT(A1630,"00000"))</f>
        <v/>
      </c>
      <c r="C1630" s="32" t="n"/>
      <c r="D1630" s="36" t="n"/>
      <c r="E1630" s="36" t="n"/>
      <c r="F1630" s="36" t="n"/>
      <c r="G1630" s="42" t="n"/>
      <c r="H1630" s="37" t="n"/>
      <c r="I1630" s="37" t="n"/>
      <c r="J1630" s="32" t="n"/>
      <c r="K1630" s="32" t="n"/>
      <c r="L1630" s="43" t="n"/>
      <c r="M1630" s="36" t="n"/>
      <c r="N1630" s="44" t="n"/>
      <c r="O1630" s="36" t="n"/>
      <c r="P1630" s="33">
        <f>IF(C1630="","",Commercial_Id)</f>
        <v/>
      </c>
      <c r="Q1630" s="34">
        <f>IF(AC1630="","",IF(AD1630=1,"C"&amp;TEXT(SUM(AD$6:AD1630),"0000"),INDEX(Q$6:Q1629,MATCH(AC1630,AC$6:AC1629,0))))</f>
        <v/>
      </c>
      <c r="R1630" s="34">
        <f>IF(C1630="","",IF(L1630="☑ Oui","Annulée",IF(OR(E1630="Vente directe",K1630&lt;&gt;""),"Livrée",IF(J1630&lt;&gt;"","Confirmée","En attente"))))</f>
        <v/>
      </c>
      <c r="S1630" s="34">
        <f>IF(F1630="","",IFERROR(VLOOKUP(F1630,T_Produits,2,FALSE),""))</f>
        <v/>
      </c>
      <c r="T1630" s="40">
        <f>IF(F1630="","",IFERROR(1/(1/VLOOKUP(F1630,T_Produits,3,FALSE)),""))</f>
        <v/>
      </c>
      <c r="U1630" s="40">
        <f>IF(H1630&lt;&gt;"",H1630,T1630)</f>
        <v/>
      </c>
      <c r="V1630" s="40">
        <f>IF(OR(G1630="",U1630=""),"",G1630*U1630-N(I1630))</f>
        <v/>
      </c>
      <c r="W1630" s="39">
        <f>IF(D1630="","",IFERROR(VALUE(MID(D1630,LEN(D1630)-3,3)),""))</f>
        <v/>
      </c>
      <c r="X1630" s="33">
        <f>IF(W1630="","",P1630&amp;"|"&amp;W1630)</f>
        <v/>
      </c>
      <c r="Y1630" s="33">
        <f>IF(W1630="","",IF(P1630="À RENSEIGNER","GIC",P1630)&amp;"-"&amp;TEXT(W1630,"000"))</f>
        <v/>
      </c>
      <c r="Z1630" s="33">
        <f>IF(X1630="","",IFERROR(INDEX(Cl_nom,MATCH(X1630,Cl_cle,0)),"(client introuvable)"))</f>
        <v/>
      </c>
      <c r="AA1630" s="33">
        <f>IF(X1630="","",IFERROR(INDEX(Cl_quartier,MATCH(X1630,Cl_cle,0))&amp;"",""))</f>
        <v/>
      </c>
      <c r="AB1630" s="45">
        <f>IF(R1630&lt;&gt;"Livrée",0,IF(K1630&lt;&gt;"",K1630,C1630))</f>
        <v/>
      </c>
      <c r="AC1630" s="33">
        <f>IF(OR(C1630="",W1630=""),"",P1630&amp;"|"&amp;W1630&amp;"|"&amp;C1630&amp;"|"&amp;E1630)</f>
        <v/>
      </c>
      <c r="AD1630" s="39">
        <f>IF(AC1630="","",IF(COUNTIF(AC$6:AC1630,AC1630)=1,1,0))</f>
        <v/>
      </c>
      <c r="AE1630" s="39">
        <f>IF(AB1630=0,"",IF(COUNTIFS(X$6:X1630,X1630,AB$6:AB1630,AB1630)=1,1,0))</f>
        <v/>
      </c>
      <c r="AF1630" s="34">
        <f>IF(C1630="","",YEAR(C1630-WEEKDAY(C1630,2)+4)&amp;"-S"&amp;TEXT(INT((C1630-DATE(YEAR(C1630-WEEKDAY(C1630,2)+4),1,3)+WEEKDAY(DATE(YEAR(C1630-WEEKDAY(C1630,2)+4),1,3),2)+5)/7),"00"))</f>
        <v/>
      </c>
    </row>
    <row r="1631" ht="18" customHeight="1">
      <c r="A1631" s="39" t="n">
        <v>1626</v>
      </c>
      <c r="B1631" s="33">
        <f>IF(C1631="","",IF(P1631="À RENSEIGNER","GIC",P1631)&amp;"-C"&amp;TEXT(A1631,"00000"))</f>
        <v/>
      </c>
      <c r="C1631" s="32" t="n"/>
      <c r="D1631" s="36" t="n"/>
      <c r="E1631" s="36" t="n"/>
      <c r="F1631" s="36" t="n"/>
      <c r="G1631" s="42" t="n"/>
      <c r="H1631" s="37" t="n"/>
      <c r="I1631" s="37" t="n"/>
      <c r="J1631" s="32" t="n"/>
      <c r="K1631" s="32" t="n"/>
      <c r="L1631" s="43" t="n"/>
      <c r="M1631" s="36" t="n"/>
      <c r="N1631" s="44" t="n"/>
      <c r="O1631" s="36" t="n"/>
      <c r="P1631" s="33">
        <f>IF(C1631="","",Commercial_Id)</f>
        <v/>
      </c>
      <c r="Q1631" s="34">
        <f>IF(AC1631="","",IF(AD1631=1,"C"&amp;TEXT(SUM(AD$6:AD1631),"0000"),INDEX(Q$6:Q1630,MATCH(AC1631,AC$6:AC1630,0))))</f>
        <v/>
      </c>
      <c r="R1631" s="34">
        <f>IF(C1631="","",IF(L1631="☑ Oui","Annulée",IF(OR(E1631="Vente directe",K1631&lt;&gt;""),"Livrée",IF(J1631&lt;&gt;"","Confirmée","En attente"))))</f>
        <v/>
      </c>
      <c r="S1631" s="34">
        <f>IF(F1631="","",IFERROR(VLOOKUP(F1631,T_Produits,2,FALSE),""))</f>
        <v/>
      </c>
      <c r="T1631" s="40">
        <f>IF(F1631="","",IFERROR(1/(1/VLOOKUP(F1631,T_Produits,3,FALSE)),""))</f>
        <v/>
      </c>
      <c r="U1631" s="40">
        <f>IF(H1631&lt;&gt;"",H1631,T1631)</f>
        <v/>
      </c>
      <c r="V1631" s="40">
        <f>IF(OR(G1631="",U1631=""),"",G1631*U1631-N(I1631))</f>
        <v/>
      </c>
      <c r="W1631" s="39">
        <f>IF(D1631="","",IFERROR(VALUE(MID(D1631,LEN(D1631)-3,3)),""))</f>
        <v/>
      </c>
      <c r="X1631" s="33">
        <f>IF(W1631="","",P1631&amp;"|"&amp;W1631)</f>
        <v/>
      </c>
      <c r="Y1631" s="33">
        <f>IF(W1631="","",IF(P1631="À RENSEIGNER","GIC",P1631)&amp;"-"&amp;TEXT(W1631,"000"))</f>
        <v/>
      </c>
      <c r="Z1631" s="33">
        <f>IF(X1631="","",IFERROR(INDEX(Cl_nom,MATCH(X1631,Cl_cle,0)),"(client introuvable)"))</f>
        <v/>
      </c>
      <c r="AA1631" s="33">
        <f>IF(X1631="","",IFERROR(INDEX(Cl_quartier,MATCH(X1631,Cl_cle,0))&amp;"",""))</f>
        <v/>
      </c>
      <c r="AB1631" s="45">
        <f>IF(R1631&lt;&gt;"Livrée",0,IF(K1631&lt;&gt;"",K1631,C1631))</f>
        <v/>
      </c>
      <c r="AC1631" s="33">
        <f>IF(OR(C1631="",W1631=""),"",P1631&amp;"|"&amp;W1631&amp;"|"&amp;C1631&amp;"|"&amp;E1631)</f>
        <v/>
      </c>
      <c r="AD1631" s="39">
        <f>IF(AC1631="","",IF(COUNTIF(AC$6:AC1631,AC1631)=1,1,0))</f>
        <v/>
      </c>
      <c r="AE1631" s="39">
        <f>IF(AB1631=0,"",IF(COUNTIFS(X$6:X1631,X1631,AB$6:AB1631,AB1631)=1,1,0))</f>
        <v/>
      </c>
      <c r="AF1631" s="34">
        <f>IF(C1631="","",YEAR(C1631-WEEKDAY(C1631,2)+4)&amp;"-S"&amp;TEXT(INT((C1631-DATE(YEAR(C1631-WEEKDAY(C1631,2)+4),1,3)+WEEKDAY(DATE(YEAR(C1631-WEEKDAY(C1631,2)+4),1,3),2)+5)/7),"00"))</f>
        <v/>
      </c>
    </row>
    <row r="1632" ht="18" customHeight="1">
      <c r="A1632" s="39" t="n">
        <v>1627</v>
      </c>
      <c r="B1632" s="33">
        <f>IF(C1632="","",IF(P1632="À RENSEIGNER","GIC",P1632)&amp;"-C"&amp;TEXT(A1632,"00000"))</f>
        <v/>
      </c>
      <c r="C1632" s="32" t="n"/>
      <c r="D1632" s="36" t="n"/>
      <c r="E1632" s="36" t="n"/>
      <c r="F1632" s="36" t="n"/>
      <c r="G1632" s="42" t="n"/>
      <c r="H1632" s="37" t="n"/>
      <c r="I1632" s="37" t="n"/>
      <c r="J1632" s="32" t="n"/>
      <c r="K1632" s="32" t="n"/>
      <c r="L1632" s="43" t="n"/>
      <c r="M1632" s="36" t="n"/>
      <c r="N1632" s="44" t="n"/>
      <c r="O1632" s="36" t="n"/>
      <c r="P1632" s="33">
        <f>IF(C1632="","",Commercial_Id)</f>
        <v/>
      </c>
      <c r="Q1632" s="34">
        <f>IF(AC1632="","",IF(AD1632=1,"C"&amp;TEXT(SUM(AD$6:AD1632),"0000"),INDEX(Q$6:Q1631,MATCH(AC1632,AC$6:AC1631,0))))</f>
        <v/>
      </c>
      <c r="R1632" s="34">
        <f>IF(C1632="","",IF(L1632="☑ Oui","Annulée",IF(OR(E1632="Vente directe",K1632&lt;&gt;""),"Livrée",IF(J1632&lt;&gt;"","Confirmée","En attente"))))</f>
        <v/>
      </c>
      <c r="S1632" s="34">
        <f>IF(F1632="","",IFERROR(VLOOKUP(F1632,T_Produits,2,FALSE),""))</f>
        <v/>
      </c>
      <c r="T1632" s="40">
        <f>IF(F1632="","",IFERROR(1/(1/VLOOKUP(F1632,T_Produits,3,FALSE)),""))</f>
        <v/>
      </c>
      <c r="U1632" s="40">
        <f>IF(H1632&lt;&gt;"",H1632,T1632)</f>
        <v/>
      </c>
      <c r="V1632" s="40">
        <f>IF(OR(G1632="",U1632=""),"",G1632*U1632-N(I1632))</f>
        <v/>
      </c>
      <c r="W1632" s="39">
        <f>IF(D1632="","",IFERROR(VALUE(MID(D1632,LEN(D1632)-3,3)),""))</f>
        <v/>
      </c>
      <c r="X1632" s="33">
        <f>IF(W1632="","",P1632&amp;"|"&amp;W1632)</f>
        <v/>
      </c>
      <c r="Y1632" s="33">
        <f>IF(W1632="","",IF(P1632="À RENSEIGNER","GIC",P1632)&amp;"-"&amp;TEXT(W1632,"000"))</f>
        <v/>
      </c>
      <c r="Z1632" s="33">
        <f>IF(X1632="","",IFERROR(INDEX(Cl_nom,MATCH(X1632,Cl_cle,0)),"(client introuvable)"))</f>
        <v/>
      </c>
      <c r="AA1632" s="33">
        <f>IF(X1632="","",IFERROR(INDEX(Cl_quartier,MATCH(X1632,Cl_cle,0))&amp;"",""))</f>
        <v/>
      </c>
      <c r="AB1632" s="45">
        <f>IF(R1632&lt;&gt;"Livrée",0,IF(K1632&lt;&gt;"",K1632,C1632))</f>
        <v/>
      </c>
      <c r="AC1632" s="33">
        <f>IF(OR(C1632="",W1632=""),"",P1632&amp;"|"&amp;W1632&amp;"|"&amp;C1632&amp;"|"&amp;E1632)</f>
        <v/>
      </c>
      <c r="AD1632" s="39">
        <f>IF(AC1632="","",IF(COUNTIF(AC$6:AC1632,AC1632)=1,1,0))</f>
        <v/>
      </c>
      <c r="AE1632" s="39">
        <f>IF(AB1632=0,"",IF(COUNTIFS(X$6:X1632,X1632,AB$6:AB1632,AB1632)=1,1,0))</f>
        <v/>
      </c>
      <c r="AF1632" s="34">
        <f>IF(C1632="","",YEAR(C1632-WEEKDAY(C1632,2)+4)&amp;"-S"&amp;TEXT(INT((C1632-DATE(YEAR(C1632-WEEKDAY(C1632,2)+4),1,3)+WEEKDAY(DATE(YEAR(C1632-WEEKDAY(C1632,2)+4),1,3),2)+5)/7),"00"))</f>
        <v/>
      </c>
    </row>
    <row r="1633" ht="18" customHeight="1">
      <c r="A1633" s="39" t="n">
        <v>1628</v>
      </c>
      <c r="B1633" s="33">
        <f>IF(C1633="","",IF(P1633="À RENSEIGNER","GIC",P1633)&amp;"-C"&amp;TEXT(A1633,"00000"))</f>
        <v/>
      </c>
      <c r="C1633" s="32" t="n"/>
      <c r="D1633" s="36" t="n"/>
      <c r="E1633" s="36" t="n"/>
      <c r="F1633" s="36" t="n"/>
      <c r="G1633" s="42" t="n"/>
      <c r="H1633" s="37" t="n"/>
      <c r="I1633" s="37" t="n"/>
      <c r="J1633" s="32" t="n"/>
      <c r="K1633" s="32" t="n"/>
      <c r="L1633" s="43" t="n"/>
      <c r="M1633" s="36" t="n"/>
      <c r="N1633" s="44" t="n"/>
      <c r="O1633" s="36" t="n"/>
      <c r="P1633" s="33">
        <f>IF(C1633="","",Commercial_Id)</f>
        <v/>
      </c>
      <c r="Q1633" s="34">
        <f>IF(AC1633="","",IF(AD1633=1,"C"&amp;TEXT(SUM(AD$6:AD1633),"0000"),INDEX(Q$6:Q1632,MATCH(AC1633,AC$6:AC1632,0))))</f>
        <v/>
      </c>
      <c r="R1633" s="34">
        <f>IF(C1633="","",IF(L1633="☑ Oui","Annulée",IF(OR(E1633="Vente directe",K1633&lt;&gt;""),"Livrée",IF(J1633&lt;&gt;"","Confirmée","En attente"))))</f>
        <v/>
      </c>
      <c r="S1633" s="34">
        <f>IF(F1633="","",IFERROR(VLOOKUP(F1633,T_Produits,2,FALSE),""))</f>
        <v/>
      </c>
      <c r="T1633" s="40">
        <f>IF(F1633="","",IFERROR(1/(1/VLOOKUP(F1633,T_Produits,3,FALSE)),""))</f>
        <v/>
      </c>
      <c r="U1633" s="40">
        <f>IF(H1633&lt;&gt;"",H1633,T1633)</f>
        <v/>
      </c>
      <c r="V1633" s="40">
        <f>IF(OR(G1633="",U1633=""),"",G1633*U1633-N(I1633))</f>
        <v/>
      </c>
      <c r="W1633" s="39">
        <f>IF(D1633="","",IFERROR(VALUE(MID(D1633,LEN(D1633)-3,3)),""))</f>
        <v/>
      </c>
      <c r="X1633" s="33">
        <f>IF(W1633="","",P1633&amp;"|"&amp;W1633)</f>
        <v/>
      </c>
      <c r="Y1633" s="33">
        <f>IF(W1633="","",IF(P1633="À RENSEIGNER","GIC",P1633)&amp;"-"&amp;TEXT(W1633,"000"))</f>
        <v/>
      </c>
      <c r="Z1633" s="33">
        <f>IF(X1633="","",IFERROR(INDEX(Cl_nom,MATCH(X1633,Cl_cle,0)),"(client introuvable)"))</f>
        <v/>
      </c>
      <c r="AA1633" s="33">
        <f>IF(X1633="","",IFERROR(INDEX(Cl_quartier,MATCH(X1633,Cl_cle,0))&amp;"",""))</f>
        <v/>
      </c>
      <c r="AB1633" s="45">
        <f>IF(R1633&lt;&gt;"Livrée",0,IF(K1633&lt;&gt;"",K1633,C1633))</f>
        <v/>
      </c>
      <c r="AC1633" s="33">
        <f>IF(OR(C1633="",W1633=""),"",P1633&amp;"|"&amp;W1633&amp;"|"&amp;C1633&amp;"|"&amp;E1633)</f>
        <v/>
      </c>
      <c r="AD1633" s="39">
        <f>IF(AC1633="","",IF(COUNTIF(AC$6:AC1633,AC1633)=1,1,0))</f>
        <v/>
      </c>
      <c r="AE1633" s="39">
        <f>IF(AB1633=0,"",IF(COUNTIFS(X$6:X1633,X1633,AB$6:AB1633,AB1633)=1,1,0))</f>
        <v/>
      </c>
      <c r="AF1633" s="34">
        <f>IF(C1633="","",YEAR(C1633-WEEKDAY(C1633,2)+4)&amp;"-S"&amp;TEXT(INT((C1633-DATE(YEAR(C1633-WEEKDAY(C1633,2)+4),1,3)+WEEKDAY(DATE(YEAR(C1633-WEEKDAY(C1633,2)+4),1,3),2)+5)/7),"00"))</f>
        <v/>
      </c>
    </row>
    <row r="1634" ht="18" customHeight="1">
      <c r="A1634" s="39" t="n">
        <v>1629</v>
      </c>
      <c r="B1634" s="33">
        <f>IF(C1634="","",IF(P1634="À RENSEIGNER","GIC",P1634)&amp;"-C"&amp;TEXT(A1634,"00000"))</f>
        <v/>
      </c>
      <c r="C1634" s="32" t="n"/>
      <c r="D1634" s="36" t="n"/>
      <c r="E1634" s="36" t="n"/>
      <c r="F1634" s="36" t="n"/>
      <c r="G1634" s="42" t="n"/>
      <c r="H1634" s="37" t="n"/>
      <c r="I1634" s="37" t="n"/>
      <c r="J1634" s="32" t="n"/>
      <c r="K1634" s="32" t="n"/>
      <c r="L1634" s="43" t="n"/>
      <c r="M1634" s="36" t="n"/>
      <c r="N1634" s="44" t="n"/>
      <c r="O1634" s="36" t="n"/>
      <c r="P1634" s="33">
        <f>IF(C1634="","",Commercial_Id)</f>
        <v/>
      </c>
      <c r="Q1634" s="34">
        <f>IF(AC1634="","",IF(AD1634=1,"C"&amp;TEXT(SUM(AD$6:AD1634),"0000"),INDEX(Q$6:Q1633,MATCH(AC1634,AC$6:AC1633,0))))</f>
        <v/>
      </c>
      <c r="R1634" s="34">
        <f>IF(C1634="","",IF(L1634="☑ Oui","Annulée",IF(OR(E1634="Vente directe",K1634&lt;&gt;""),"Livrée",IF(J1634&lt;&gt;"","Confirmée","En attente"))))</f>
        <v/>
      </c>
      <c r="S1634" s="34">
        <f>IF(F1634="","",IFERROR(VLOOKUP(F1634,T_Produits,2,FALSE),""))</f>
        <v/>
      </c>
      <c r="T1634" s="40">
        <f>IF(F1634="","",IFERROR(1/(1/VLOOKUP(F1634,T_Produits,3,FALSE)),""))</f>
        <v/>
      </c>
      <c r="U1634" s="40">
        <f>IF(H1634&lt;&gt;"",H1634,T1634)</f>
        <v/>
      </c>
      <c r="V1634" s="40">
        <f>IF(OR(G1634="",U1634=""),"",G1634*U1634-N(I1634))</f>
        <v/>
      </c>
      <c r="W1634" s="39">
        <f>IF(D1634="","",IFERROR(VALUE(MID(D1634,LEN(D1634)-3,3)),""))</f>
        <v/>
      </c>
      <c r="X1634" s="33">
        <f>IF(W1634="","",P1634&amp;"|"&amp;W1634)</f>
        <v/>
      </c>
      <c r="Y1634" s="33">
        <f>IF(W1634="","",IF(P1634="À RENSEIGNER","GIC",P1634)&amp;"-"&amp;TEXT(W1634,"000"))</f>
        <v/>
      </c>
      <c r="Z1634" s="33">
        <f>IF(X1634="","",IFERROR(INDEX(Cl_nom,MATCH(X1634,Cl_cle,0)),"(client introuvable)"))</f>
        <v/>
      </c>
      <c r="AA1634" s="33">
        <f>IF(X1634="","",IFERROR(INDEX(Cl_quartier,MATCH(X1634,Cl_cle,0))&amp;"",""))</f>
        <v/>
      </c>
      <c r="AB1634" s="45">
        <f>IF(R1634&lt;&gt;"Livrée",0,IF(K1634&lt;&gt;"",K1634,C1634))</f>
        <v/>
      </c>
      <c r="AC1634" s="33">
        <f>IF(OR(C1634="",W1634=""),"",P1634&amp;"|"&amp;W1634&amp;"|"&amp;C1634&amp;"|"&amp;E1634)</f>
        <v/>
      </c>
      <c r="AD1634" s="39">
        <f>IF(AC1634="","",IF(COUNTIF(AC$6:AC1634,AC1634)=1,1,0))</f>
        <v/>
      </c>
      <c r="AE1634" s="39">
        <f>IF(AB1634=0,"",IF(COUNTIFS(X$6:X1634,X1634,AB$6:AB1634,AB1634)=1,1,0))</f>
        <v/>
      </c>
      <c r="AF1634" s="34">
        <f>IF(C1634="","",YEAR(C1634-WEEKDAY(C1634,2)+4)&amp;"-S"&amp;TEXT(INT((C1634-DATE(YEAR(C1634-WEEKDAY(C1634,2)+4),1,3)+WEEKDAY(DATE(YEAR(C1634-WEEKDAY(C1634,2)+4),1,3),2)+5)/7),"00"))</f>
        <v/>
      </c>
    </row>
    <row r="1635" ht="18" customHeight="1">
      <c r="A1635" s="39" t="n">
        <v>1630</v>
      </c>
      <c r="B1635" s="33">
        <f>IF(C1635="","",IF(P1635="À RENSEIGNER","GIC",P1635)&amp;"-C"&amp;TEXT(A1635,"00000"))</f>
        <v/>
      </c>
      <c r="C1635" s="32" t="n"/>
      <c r="D1635" s="36" t="n"/>
      <c r="E1635" s="36" t="n"/>
      <c r="F1635" s="36" t="n"/>
      <c r="G1635" s="42" t="n"/>
      <c r="H1635" s="37" t="n"/>
      <c r="I1635" s="37" t="n"/>
      <c r="J1635" s="32" t="n"/>
      <c r="K1635" s="32" t="n"/>
      <c r="L1635" s="43" t="n"/>
      <c r="M1635" s="36" t="n"/>
      <c r="N1635" s="44" t="n"/>
      <c r="O1635" s="36" t="n"/>
      <c r="P1635" s="33">
        <f>IF(C1635="","",Commercial_Id)</f>
        <v/>
      </c>
      <c r="Q1635" s="34">
        <f>IF(AC1635="","",IF(AD1635=1,"C"&amp;TEXT(SUM(AD$6:AD1635),"0000"),INDEX(Q$6:Q1634,MATCH(AC1635,AC$6:AC1634,0))))</f>
        <v/>
      </c>
      <c r="R1635" s="34">
        <f>IF(C1635="","",IF(L1635="☑ Oui","Annulée",IF(OR(E1635="Vente directe",K1635&lt;&gt;""),"Livrée",IF(J1635&lt;&gt;"","Confirmée","En attente"))))</f>
        <v/>
      </c>
      <c r="S1635" s="34">
        <f>IF(F1635="","",IFERROR(VLOOKUP(F1635,T_Produits,2,FALSE),""))</f>
        <v/>
      </c>
      <c r="T1635" s="40">
        <f>IF(F1635="","",IFERROR(1/(1/VLOOKUP(F1635,T_Produits,3,FALSE)),""))</f>
        <v/>
      </c>
      <c r="U1635" s="40">
        <f>IF(H1635&lt;&gt;"",H1635,T1635)</f>
        <v/>
      </c>
      <c r="V1635" s="40">
        <f>IF(OR(G1635="",U1635=""),"",G1635*U1635-N(I1635))</f>
        <v/>
      </c>
      <c r="W1635" s="39">
        <f>IF(D1635="","",IFERROR(VALUE(MID(D1635,LEN(D1635)-3,3)),""))</f>
        <v/>
      </c>
      <c r="X1635" s="33">
        <f>IF(W1635="","",P1635&amp;"|"&amp;W1635)</f>
        <v/>
      </c>
      <c r="Y1635" s="33">
        <f>IF(W1635="","",IF(P1635="À RENSEIGNER","GIC",P1635)&amp;"-"&amp;TEXT(W1635,"000"))</f>
        <v/>
      </c>
      <c r="Z1635" s="33">
        <f>IF(X1635="","",IFERROR(INDEX(Cl_nom,MATCH(X1635,Cl_cle,0)),"(client introuvable)"))</f>
        <v/>
      </c>
      <c r="AA1635" s="33">
        <f>IF(X1635="","",IFERROR(INDEX(Cl_quartier,MATCH(X1635,Cl_cle,0))&amp;"",""))</f>
        <v/>
      </c>
      <c r="AB1635" s="45">
        <f>IF(R1635&lt;&gt;"Livrée",0,IF(K1635&lt;&gt;"",K1635,C1635))</f>
        <v/>
      </c>
      <c r="AC1635" s="33">
        <f>IF(OR(C1635="",W1635=""),"",P1635&amp;"|"&amp;W1635&amp;"|"&amp;C1635&amp;"|"&amp;E1635)</f>
        <v/>
      </c>
      <c r="AD1635" s="39">
        <f>IF(AC1635="","",IF(COUNTIF(AC$6:AC1635,AC1635)=1,1,0))</f>
        <v/>
      </c>
      <c r="AE1635" s="39">
        <f>IF(AB1635=0,"",IF(COUNTIFS(X$6:X1635,X1635,AB$6:AB1635,AB1635)=1,1,0))</f>
        <v/>
      </c>
      <c r="AF1635" s="34">
        <f>IF(C1635="","",YEAR(C1635-WEEKDAY(C1635,2)+4)&amp;"-S"&amp;TEXT(INT((C1635-DATE(YEAR(C1635-WEEKDAY(C1635,2)+4),1,3)+WEEKDAY(DATE(YEAR(C1635-WEEKDAY(C1635,2)+4),1,3),2)+5)/7),"00"))</f>
        <v/>
      </c>
    </row>
    <row r="1636" ht="18" customHeight="1">
      <c r="A1636" s="39" t="n">
        <v>1631</v>
      </c>
      <c r="B1636" s="33">
        <f>IF(C1636="","",IF(P1636="À RENSEIGNER","GIC",P1636)&amp;"-C"&amp;TEXT(A1636,"00000"))</f>
        <v/>
      </c>
      <c r="C1636" s="32" t="n"/>
      <c r="D1636" s="36" t="n"/>
      <c r="E1636" s="36" t="n"/>
      <c r="F1636" s="36" t="n"/>
      <c r="G1636" s="42" t="n"/>
      <c r="H1636" s="37" t="n"/>
      <c r="I1636" s="37" t="n"/>
      <c r="J1636" s="32" t="n"/>
      <c r="K1636" s="32" t="n"/>
      <c r="L1636" s="43" t="n"/>
      <c r="M1636" s="36" t="n"/>
      <c r="N1636" s="44" t="n"/>
      <c r="O1636" s="36" t="n"/>
      <c r="P1636" s="33">
        <f>IF(C1636="","",Commercial_Id)</f>
        <v/>
      </c>
      <c r="Q1636" s="34">
        <f>IF(AC1636="","",IF(AD1636=1,"C"&amp;TEXT(SUM(AD$6:AD1636),"0000"),INDEX(Q$6:Q1635,MATCH(AC1636,AC$6:AC1635,0))))</f>
        <v/>
      </c>
      <c r="R1636" s="34">
        <f>IF(C1636="","",IF(L1636="☑ Oui","Annulée",IF(OR(E1636="Vente directe",K1636&lt;&gt;""),"Livrée",IF(J1636&lt;&gt;"","Confirmée","En attente"))))</f>
        <v/>
      </c>
      <c r="S1636" s="34">
        <f>IF(F1636="","",IFERROR(VLOOKUP(F1636,T_Produits,2,FALSE),""))</f>
        <v/>
      </c>
      <c r="T1636" s="40">
        <f>IF(F1636="","",IFERROR(1/(1/VLOOKUP(F1636,T_Produits,3,FALSE)),""))</f>
        <v/>
      </c>
      <c r="U1636" s="40">
        <f>IF(H1636&lt;&gt;"",H1636,T1636)</f>
        <v/>
      </c>
      <c r="V1636" s="40">
        <f>IF(OR(G1636="",U1636=""),"",G1636*U1636-N(I1636))</f>
        <v/>
      </c>
      <c r="W1636" s="39">
        <f>IF(D1636="","",IFERROR(VALUE(MID(D1636,LEN(D1636)-3,3)),""))</f>
        <v/>
      </c>
      <c r="X1636" s="33">
        <f>IF(W1636="","",P1636&amp;"|"&amp;W1636)</f>
        <v/>
      </c>
      <c r="Y1636" s="33">
        <f>IF(W1636="","",IF(P1636="À RENSEIGNER","GIC",P1636)&amp;"-"&amp;TEXT(W1636,"000"))</f>
        <v/>
      </c>
      <c r="Z1636" s="33">
        <f>IF(X1636="","",IFERROR(INDEX(Cl_nom,MATCH(X1636,Cl_cle,0)),"(client introuvable)"))</f>
        <v/>
      </c>
      <c r="AA1636" s="33">
        <f>IF(X1636="","",IFERROR(INDEX(Cl_quartier,MATCH(X1636,Cl_cle,0))&amp;"",""))</f>
        <v/>
      </c>
      <c r="AB1636" s="45">
        <f>IF(R1636&lt;&gt;"Livrée",0,IF(K1636&lt;&gt;"",K1636,C1636))</f>
        <v/>
      </c>
      <c r="AC1636" s="33">
        <f>IF(OR(C1636="",W1636=""),"",P1636&amp;"|"&amp;W1636&amp;"|"&amp;C1636&amp;"|"&amp;E1636)</f>
        <v/>
      </c>
      <c r="AD1636" s="39">
        <f>IF(AC1636="","",IF(COUNTIF(AC$6:AC1636,AC1636)=1,1,0))</f>
        <v/>
      </c>
      <c r="AE1636" s="39">
        <f>IF(AB1636=0,"",IF(COUNTIFS(X$6:X1636,X1636,AB$6:AB1636,AB1636)=1,1,0))</f>
        <v/>
      </c>
      <c r="AF1636" s="34">
        <f>IF(C1636="","",YEAR(C1636-WEEKDAY(C1636,2)+4)&amp;"-S"&amp;TEXT(INT((C1636-DATE(YEAR(C1636-WEEKDAY(C1636,2)+4),1,3)+WEEKDAY(DATE(YEAR(C1636-WEEKDAY(C1636,2)+4),1,3),2)+5)/7),"00"))</f>
        <v/>
      </c>
    </row>
    <row r="1637" ht="18" customHeight="1">
      <c r="A1637" s="39" t="n">
        <v>1632</v>
      </c>
      <c r="B1637" s="33">
        <f>IF(C1637="","",IF(P1637="À RENSEIGNER","GIC",P1637)&amp;"-C"&amp;TEXT(A1637,"00000"))</f>
        <v/>
      </c>
      <c r="C1637" s="32" t="n"/>
      <c r="D1637" s="36" t="n"/>
      <c r="E1637" s="36" t="n"/>
      <c r="F1637" s="36" t="n"/>
      <c r="G1637" s="42" t="n"/>
      <c r="H1637" s="37" t="n"/>
      <c r="I1637" s="37" t="n"/>
      <c r="J1637" s="32" t="n"/>
      <c r="K1637" s="32" t="n"/>
      <c r="L1637" s="43" t="n"/>
      <c r="M1637" s="36" t="n"/>
      <c r="N1637" s="44" t="n"/>
      <c r="O1637" s="36" t="n"/>
      <c r="P1637" s="33">
        <f>IF(C1637="","",Commercial_Id)</f>
        <v/>
      </c>
      <c r="Q1637" s="34">
        <f>IF(AC1637="","",IF(AD1637=1,"C"&amp;TEXT(SUM(AD$6:AD1637),"0000"),INDEX(Q$6:Q1636,MATCH(AC1637,AC$6:AC1636,0))))</f>
        <v/>
      </c>
      <c r="R1637" s="34">
        <f>IF(C1637="","",IF(L1637="☑ Oui","Annulée",IF(OR(E1637="Vente directe",K1637&lt;&gt;""),"Livrée",IF(J1637&lt;&gt;"","Confirmée","En attente"))))</f>
        <v/>
      </c>
      <c r="S1637" s="34">
        <f>IF(F1637="","",IFERROR(VLOOKUP(F1637,T_Produits,2,FALSE),""))</f>
        <v/>
      </c>
      <c r="T1637" s="40">
        <f>IF(F1637="","",IFERROR(1/(1/VLOOKUP(F1637,T_Produits,3,FALSE)),""))</f>
        <v/>
      </c>
      <c r="U1637" s="40">
        <f>IF(H1637&lt;&gt;"",H1637,T1637)</f>
        <v/>
      </c>
      <c r="V1637" s="40">
        <f>IF(OR(G1637="",U1637=""),"",G1637*U1637-N(I1637))</f>
        <v/>
      </c>
      <c r="W1637" s="39">
        <f>IF(D1637="","",IFERROR(VALUE(MID(D1637,LEN(D1637)-3,3)),""))</f>
        <v/>
      </c>
      <c r="X1637" s="33">
        <f>IF(W1637="","",P1637&amp;"|"&amp;W1637)</f>
        <v/>
      </c>
      <c r="Y1637" s="33">
        <f>IF(W1637="","",IF(P1637="À RENSEIGNER","GIC",P1637)&amp;"-"&amp;TEXT(W1637,"000"))</f>
        <v/>
      </c>
      <c r="Z1637" s="33">
        <f>IF(X1637="","",IFERROR(INDEX(Cl_nom,MATCH(X1637,Cl_cle,0)),"(client introuvable)"))</f>
        <v/>
      </c>
      <c r="AA1637" s="33">
        <f>IF(X1637="","",IFERROR(INDEX(Cl_quartier,MATCH(X1637,Cl_cle,0))&amp;"",""))</f>
        <v/>
      </c>
      <c r="AB1637" s="45">
        <f>IF(R1637&lt;&gt;"Livrée",0,IF(K1637&lt;&gt;"",K1637,C1637))</f>
        <v/>
      </c>
      <c r="AC1637" s="33">
        <f>IF(OR(C1637="",W1637=""),"",P1637&amp;"|"&amp;W1637&amp;"|"&amp;C1637&amp;"|"&amp;E1637)</f>
        <v/>
      </c>
      <c r="AD1637" s="39">
        <f>IF(AC1637="","",IF(COUNTIF(AC$6:AC1637,AC1637)=1,1,0))</f>
        <v/>
      </c>
      <c r="AE1637" s="39">
        <f>IF(AB1637=0,"",IF(COUNTIFS(X$6:X1637,X1637,AB$6:AB1637,AB1637)=1,1,0))</f>
        <v/>
      </c>
      <c r="AF1637" s="34">
        <f>IF(C1637="","",YEAR(C1637-WEEKDAY(C1637,2)+4)&amp;"-S"&amp;TEXT(INT((C1637-DATE(YEAR(C1637-WEEKDAY(C1637,2)+4),1,3)+WEEKDAY(DATE(YEAR(C1637-WEEKDAY(C1637,2)+4),1,3),2)+5)/7),"00"))</f>
        <v/>
      </c>
    </row>
    <row r="1638" ht="18" customHeight="1">
      <c r="A1638" s="39" t="n">
        <v>1633</v>
      </c>
      <c r="B1638" s="33">
        <f>IF(C1638="","",IF(P1638="À RENSEIGNER","GIC",P1638)&amp;"-C"&amp;TEXT(A1638,"00000"))</f>
        <v/>
      </c>
      <c r="C1638" s="32" t="n"/>
      <c r="D1638" s="36" t="n"/>
      <c r="E1638" s="36" t="n"/>
      <c r="F1638" s="36" t="n"/>
      <c r="G1638" s="42" t="n"/>
      <c r="H1638" s="37" t="n"/>
      <c r="I1638" s="37" t="n"/>
      <c r="J1638" s="32" t="n"/>
      <c r="K1638" s="32" t="n"/>
      <c r="L1638" s="43" t="n"/>
      <c r="M1638" s="36" t="n"/>
      <c r="N1638" s="44" t="n"/>
      <c r="O1638" s="36" t="n"/>
      <c r="P1638" s="33">
        <f>IF(C1638="","",Commercial_Id)</f>
        <v/>
      </c>
      <c r="Q1638" s="34">
        <f>IF(AC1638="","",IF(AD1638=1,"C"&amp;TEXT(SUM(AD$6:AD1638),"0000"),INDEX(Q$6:Q1637,MATCH(AC1638,AC$6:AC1637,0))))</f>
        <v/>
      </c>
      <c r="R1638" s="34">
        <f>IF(C1638="","",IF(L1638="☑ Oui","Annulée",IF(OR(E1638="Vente directe",K1638&lt;&gt;""),"Livrée",IF(J1638&lt;&gt;"","Confirmée","En attente"))))</f>
        <v/>
      </c>
      <c r="S1638" s="34">
        <f>IF(F1638="","",IFERROR(VLOOKUP(F1638,T_Produits,2,FALSE),""))</f>
        <v/>
      </c>
      <c r="T1638" s="40">
        <f>IF(F1638="","",IFERROR(1/(1/VLOOKUP(F1638,T_Produits,3,FALSE)),""))</f>
        <v/>
      </c>
      <c r="U1638" s="40">
        <f>IF(H1638&lt;&gt;"",H1638,T1638)</f>
        <v/>
      </c>
      <c r="V1638" s="40">
        <f>IF(OR(G1638="",U1638=""),"",G1638*U1638-N(I1638))</f>
        <v/>
      </c>
      <c r="W1638" s="39">
        <f>IF(D1638="","",IFERROR(VALUE(MID(D1638,LEN(D1638)-3,3)),""))</f>
        <v/>
      </c>
      <c r="X1638" s="33">
        <f>IF(W1638="","",P1638&amp;"|"&amp;W1638)</f>
        <v/>
      </c>
      <c r="Y1638" s="33">
        <f>IF(W1638="","",IF(P1638="À RENSEIGNER","GIC",P1638)&amp;"-"&amp;TEXT(W1638,"000"))</f>
        <v/>
      </c>
      <c r="Z1638" s="33">
        <f>IF(X1638="","",IFERROR(INDEX(Cl_nom,MATCH(X1638,Cl_cle,0)),"(client introuvable)"))</f>
        <v/>
      </c>
      <c r="AA1638" s="33">
        <f>IF(X1638="","",IFERROR(INDEX(Cl_quartier,MATCH(X1638,Cl_cle,0))&amp;"",""))</f>
        <v/>
      </c>
      <c r="AB1638" s="45">
        <f>IF(R1638&lt;&gt;"Livrée",0,IF(K1638&lt;&gt;"",K1638,C1638))</f>
        <v/>
      </c>
      <c r="AC1638" s="33">
        <f>IF(OR(C1638="",W1638=""),"",P1638&amp;"|"&amp;W1638&amp;"|"&amp;C1638&amp;"|"&amp;E1638)</f>
        <v/>
      </c>
      <c r="AD1638" s="39">
        <f>IF(AC1638="","",IF(COUNTIF(AC$6:AC1638,AC1638)=1,1,0))</f>
        <v/>
      </c>
      <c r="AE1638" s="39">
        <f>IF(AB1638=0,"",IF(COUNTIFS(X$6:X1638,X1638,AB$6:AB1638,AB1638)=1,1,0))</f>
        <v/>
      </c>
      <c r="AF1638" s="34">
        <f>IF(C1638="","",YEAR(C1638-WEEKDAY(C1638,2)+4)&amp;"-S"&amp;TEXT(INT((C1638-DATE(YEAR(C1638-WEEKDAY(C1638,2)+4),1,3)+WEEKDAY(DATE(YEAR(C1638-WEEKDAY(C1638,2)+4),1,3),2)+5)/7),"00"))</f>
        <v/>
      </c>
    </row>
    <row r="1639" ht="18" customHeight="1">
      <c r="A1639" s="39" t="n">
        <v>1634</v>
      </c>
      <c r="B1639" s="33">
        <f>IF(C1639="","",IF(P1639="À RENSEIGNER","GIC",P1639)&amp;"-C"&amp;TEXT(A1639,"00000"))</f>
        <v/>
      </c>
      <c r="C1639" s="32" t="n"/>
      <c r="D1639" s="36" t="n"/>
      <c r="E1639" s="36" t="n"/>
      <c r="F1639" s="36" t="n"/>
      <c r="G1639" s="42" t="n"/>
      <c r="H1639" s="37" t="n"/>
      <c r="I1639" s="37" t="n"/>
      <c r="J1639" s="32" t="n"/>
      <c r="K1639" s="32" t="n"/>
      <c r="L1639" s="43" t="n"/>
      <c r="M1639" s="36" t="n"/>
      <c r="N1639" s="44" t="n"/>
      <c r="O1639" s="36" t="n"/>
      <c r="P1639" s="33">
        <f>IF(C1639="","",Commercial_Id)</f>
        <v/>
      </c>
      <c r="Q1639" s="34">
        <f>IF(AC1639="","",IF(AD1639=1,"C"&amp;TEXT(SUM(AD$6:AD1639),"0000"),INDEX(Q$6:Q1638,MATCH(AC1639,AC$6:AC1638,0))))</f>
        <v/>
      </c>
      <c r="R1639" s="34">
        <f>IF(C1639="","",IF(L1639="☑ Oui","Annulée",IF(OR(E1639="Vente directe",K1639&lt;&gt;""),"Livrée",IF(J1639&lt;&gt;"","Confirmée","En attente"))))</f>
        <v/>
      </c>
      <c r="S1639" s="34">
        <f>IF(F1639="","",IFERROR(VLOOKUP(F1639,T_Produits,2,FALSE),""))</f>
        <v/>
      </c>
      <c r="T1639" s="40">
        <f>IF(F1639="","",IFERROR(1/(1/VLOOKUP(F1639,T_Produits,3,FALSE)),""))</f>
        <v/>
      </c>
      <c r="U1639" s="40">
        <f>IF(H1639&lt;&gt;"",H1639,T1639)</f>
        <v/>
      </c>
      <c r="V1639" s="40">
        <f>IF(OR(G1639="",U1639=""),"",G1639*U1639-N(I1639))</f>
        <v/>
      </c>
      <c r="W1639" s="39">
        <f>IF(D1639="","",IFERROR(VALUE(MID(D1639,LEN(D1639)-3,3)),""))</f>
        <v/>
      </c>
      <c r="X1639" s="33">
        <f>IF(W1639="","",P1639&amp;"|"&amp;W1639)</f>
        <v/>
      </c>
      <c r="Y1639" s="33">
        <f>IF(W1639="","",IF(P1639="À RENSEIGNER","GIC",P1639)&amp;"-"&amp;TEXT(W1639,"000"))</f>
        <v/>
      </c>
      <c r="Z1639" s="33">
        <f>IF(X1639="","",IFERROR(INDEX(Cl_nom,MATCH(X1639,Cl_cle,0)),"(client introuvable)"))</f>
        <v/>
      </c>
      <c r="AA1639" s="33">
        <f>IF(X1639="","",IFERROR(INDEX(Cl_quartier,MATCH(X1639,Cl_cle,0))&amp;"",""))</f>
        <v/>
      </c>
      <c r="AB1639" s="45">
        <f>IF(R1639&lt;&gt;"Livrée",0,IF(K1639&lt;&gt;"",K1639,C1639))</f>
        <v/>
      </c>
      <c r="AC1639" s="33">
        <f>IF(OR(C1639="",W1639=""),"",P1639&amp;"|"&amp;W1639&amp;"|"&amp;C1639&amp;"|"&amp;E1639)</f>
        <v/>
      </c>
      <c r="AD1639" s="39">
        <f>IF(AC1639="","",IF(COUNTIF(AC$6:AC1639,AC1639)=1,1,0))</f>
        <v/>
      </c>
      <c r="AE1639" s="39">
        <f>IF(AB1639=0,"",IF(COUNTIFS(X$6:X1639,X1639,AB$6:AB1639,AB1639)=1,1,0))</f>
        <v/>
      </c>
      <c r="AF1639" s="34">
        <f>IF(C1639="","",YEAR(C1639-WEEKDAY(C1639,2)+4)&amp;"-S"&amp;TEXT(INT((C1639-DATE(YEAR(C1639-WEEKDAY(C1639,2)+4),1,3)+WEEKDAY(DATE(YEAR(C1639-WEEKDAY(C1639,2)+4),1,3),2)+5)/7),"00"))</f>
        <v/>
      </c>
    </row>
    <row r="1640" ht="18" customHeight="1">
      <c r="A1640" s="39" t="n">
        <v>1635</v>
      </c>
      <c r="B1640" s="33">
        <f>IF(C1640="","",IF(P1640="À RENSEIGNER","GIC",P1640)&amp;"-C"&amp;TEXT(A1640,"00000"))</f>
        <v/>
      </c>
      <c r="C1640" s="32" t="n"/>
      <c r="D1640" s="36" t="n"/>
      <c r="E1640" s="36" t="n"/>
      <c r="F1640" s="36" t="n"/>
      <c r="G1640" s="42" t="n"/>
      <c r="H1640" s="37" t="n"/>
      <c r="I1640" s="37" t="n"/>
      <c r="J1640" s="32" t="n"/>
      <c r="K1640" s="32" t="n"/>
      <c r="L1640" s="43" t="n"/>
      <c r="M1640" s="36" t="n"/>
      <c r="N1640" s="44" t="n"/>
      <c r="O1640" s="36" t="n"/>
      <c r="P1640" s="33">
        <f>IF(C1640="","",Commercial_Id)</f>
        <v/>
      </c>
      <c r="Q1640" s="34">
        <f>IF(AC1640="","",IF(AD1640=1,"C"&amp;TEXT(SUM(AD$6:AD1640),"0000"),INDEX(Q$6:Q1639,MATCH(AC1640,AC$6:AC1639,0))))</f>
        <v/>
      </c>
      <c r="R1640" s="34">
        <f>IF(C1640="","",IF(L1640="☑ Oui","Annulée",IF(OR(E1640="Vente directe",K1640&lt;&gt;""),"Livrée",IF(J1640&lt;&gt;"","Confirmée","En attente"))))</f>
        <v/>
      </c>
      <c r="S1640" s="34">
        <f>IF(F1640="","",IFERROR(VLOOKUP(F1640,T_Produits,2,FALSE),""))</f>
        <v/>
      </c>
      <c r="T1640" s="40">
        <f>IF(F1640="","",IFERROR(1/(1/VLOOKUP(F1640,T_Produits,3,FALSE)),""))</f>
        <v/>
      </c>
      <c r="U1640" s="40">
        <f>IF(H1640&lt;&gt;"",H1640,T1640)</f>
        <v/>
      </c>
      <c r="V1640" s="40">
        <f>IF(OR(G1640="",U1640=""),"",G1640*U1640-N(I1640))</f>
        <v/>
      </c>
      <c r="W1640" s="39">
        <f>IF(D1640="","",IFERROR(VALUE(MID(D1640,LEN(D1640)-3,3)),""))</f>
        <v/>
      </c>
      <c r="X1640" s="33">
        <f>IF(W1640="","",P1640&amp;"|"&amp;W1640)</f>
        <v/>
      </c>
      <c r="Y1640" s="33">
        <f>IF(W1640="","",IF(P1640="À RENSEIGNER","GIC",P1640)&amp;"-"&amp;TEXT(W1640,"000"))</f>
        <v/>
      </c>
      <c r="Z1640" s="33">
        <f>IF(X1640="","",IFERROR(INDEX(Cl_nom,MATCH(X1640,Cl_cle,0)),"(client introuvable)"))</f>
        <v/>
      </c>
      <c r="AA1640" s="33">
        <f>IF(X1640="","",IFERROR(INDEX(Cl_quartier,MATCH(X1640,Cl_cle,0))&amp;"",""))</f>
        <v/>
      </c>
      <c r="AB1640" s="45">
        <f>IF(R1640&lt;&gt;"Livrée",0,IF(K1640&lt;&gt;"",K1640,C1640))</f>
        <v/>
      </c>
      <c r="AC1640" s="33">
        <f>IF(OR(C1640="",W1640=""),"",P1640&amp;"|"&amp;W1640&amp;"|"&amp;C1640&amp;"|"&amp;E1640)</f>
        <v/>
      </c>
      <c r="AD1640" s="39">
        <f>IF(AC1640="","",IF(COUNTIF(AC$6:AC1640,AC1640)=1,1,0))</f>
        <v/>
      </c>
      <c r="AE1640" s="39">
        <f>IF(AB1640=0,"",IF(COUNTIFS(X$6:X1640,X1640,AB$6:AB1640,AB1640)=1,1,0))</f>
        <v/>
      </c>
      <c r="AF1640" s="34">
        <f>IF(C1640="","",YEAR(C1640-WEEKDAY(C1640,2)+4)&amp;"-S"&amp;TEXT(INT((C1640-DATE(YEAR(C1640-WEEKDAY(C1640,2)+4),1,3)+WEEKDAY(DATE(YEAR(C1640-WEEKDAY(C1640,2)+4),1,3),2)+5)/7),"00"))</f>
        <v/>
      </c>
    </row>
    <row r="1641" ht="18" customHeight="1">
      <c r="A1641" s="39" t="n">
        <v>1636</v>
      </c>
      <c r="B1641" s="33">
        <f>IF(C1641="","",IF(P1641="À RENSEIGNER","GIC",P1641)&amp;"-C"&amp;TEXT(A1641,"00000"))</f>
        <v/>
      </c>
      <c r="C1641" s="32" t="n"/>
      <c r="D1641" s="36" t="n"/>
      <c r="E1641" s="36" t="n"/>
      <c r="F1641" s="36" t="n"/>
      <c r="G1641" s="42" t="n"/>
      <c r="H1641" s="37" t="n"/>
      <c r="I1641" s="37" t="n"/>
      <c r="J1641" s="32" t="n"/>
      <c r="K1641" s="32" t="n"/>
      <c r="L1641" s="43" t="n"/>
      <c r="M1641" s="36" t="n"/>
      <c r="N1641" s="44" t="n"/>
      <c r="O1641" s="36" t="n"/>
      <c r="P1641" s="33">
        <f>IF(C1641="","",Commercial_Id)</f>
        <v/>
      </c>
      <c r="Q1641" s="34">
        <f>IF(AC1641="","",IF(AD1641=1,"C"&amp;TEXT(SUM(AD$6:AD1641),"0000"),INDEX(Q$6:Q1640,MATCH(AC1641,AC$6:AC1640,0))))</f>
        <v/>
      </c>
      <c r="R1641" s="34">
        <f>IF(C1641="","",IF(L1641="☑ Oui","Annulée",IF(OR(E1641="Vente directe",K1641&lt;&gt;""),"Livrée",IF(J1641&lt;&gt;"","Confirmée","En attente"))))</f>
        <v/>
      </c>
      <c r="S1641" s="34">
        <f>IF(F1641="","",IFERROR(VLOOKUP(F1641,T_Produits,2,FALSE),""))</f>
        <v/>
      </c>
      <c r="T1641" s="40">
        <f>IF(F1641="","",IFERROR(1/(1/VLOOKUP(F1641,T_Produits,3,FALSE)),""))</f>
        <v/>
      </c>
      <c r="U1641" s="40">
        <f>IF(H1641&lt;&gt;"",H1641,T1641)</f>
        <v/>
      </c>
      <c r="V1641" s="40">
        <f>IF(OR(G1641="",U1641=""),"",G1641*U1641-N(I1641))</f>
        <v/>
      </c>
      <c r="W1641" s="39">
        <f>IF(D1641="","",IFERROR(VALUE(MID(D1641,LEN(D1641)-3,3)),""))</f>
        <v/>
      </c>
      <c r="X1641" s="33">
        <f>IF(W1641="","",P1641&amp;"|"&amp;W1641)</f>
        <v/>
      </c>
      <c r="Y1641" s="33">
        <f>IF(W1641="","",IF(P1641="À RENSEIGNER","GIC",P1641)&amp;"-"&amp;TEXT(W1641,"000"))</f>
        <v/>
      </c>
      <c r="Z1641" s="33">
        <f>IF(X1641="","",IFERROR(INDEX(Cl_nom,MATCH(X1641,Cl_cle,0)),"(client introuvable)"))</f>
        <v/>
      </c>
      <c r="AA1641" s="33">
        <f>IF(X1641="","",IFERROR(INDEX(Cl_quartier,MATCH(X1641,Cl_cle,0))&amp;"",""))</f>
        <v/>
      </c>
      <c r="AB1641" s="45">
        <f>IF(R1641&lt;&gt;"Livrée",0,IF(K1641&lt;&gt;"",K1641,C1641))</f>
        <v/>
      </c>
      <c r="AC1641" s="33">
        <f>IF(OR(C1641="",W1641=""),"",P1641&amp;"|"&amp;W1641&amp;"|"&amp;C1641&amp;"|"&amp;E1641)</f>
        <v/>
      </c>
      <c r="AD1641" s="39">
        <f>IF(AC1641="","",IF(COUNTIF(AC$6:AC1641,AC1641)=1,1,0))</f>
        <v/>
      </c>
      <c r="AE1641" s="39">
        <f>IF(AB1641=0,"",IF(COUNTIFS(X$6:X1641,X1641,AB$6:AB1641,AB1641)=1,1,0))</f>
        <v/>
      </c>
      <c r="AF1641" s="34">
        <f>IF(C1641="","",YEAR(C1641-WEEKDAY(C1641,2)+4)&amp;"-S"&amp;TEXT(INT((C1641-DATE(YEAR(C1641-WEEKDAY(C1641,2)+4),1,3)+WEEKDAY(DATE(YEAR(C1641-WEEKDAY(C1641,2)+4),1,3),2)+5)/7),"00"))</f>
        <v/>
      </c>
    </row>
    <row r="1642" ht="18" customHeight="1">
      <c r="A1642" s="39" t="n">
        <v>1637</v>
      </c>
      <c r="B1642" s="33">
        <f>IF(C1642="","",IF(P1642="À RENSEIGNER","GIC",P1642)&amp;"-C"&amp;TEXT(A1642,"00000"))</f>
        <v/>
      </c>
      <c r="C1642" s="32" t="n"/>
      <c r="D1642" s="36" t="n"/>
      <c r="E1642" s="36" t="n"/>
      <c r="F1642" s="36" t="n"/>
      <c r="G1642" s="42" t="n"/>
      <c r="H1642" s="37" t="n"/>
      <c r="I1642" s="37" t="n"/>
      <c r="J1642" s="32" t="n"/>
      <c r="K1642" s="32" t="n"/>
      <c r="L1642" s="43" t="n"/>
      <c r="M1642" s="36" t="n"/>
      <c r="N1642" s="44" t="n"/>
      <c r="O1642" s="36" t="n"/>
      <c r="P1642" s="33">
        <f>IF(C1642="","",Commercial_Id)</f>
        <v/>
      </c>
      <c r="Q1642" s="34">
        <f>IF(AC1642="","",IF(AD1642=1,"C"&amp;TEXT(SUM(AD$6:AD1642),"0000"),INDEX(Q$6:Q1641,MATCH(AC1642,AC$6:AC1641,0))))</f>
        <v/>
      </c>
      <c r="R1642" s="34">
        <f>IF(C1642="","",IF(L1642="☑ Oui","Annulée",IF(OR(E1642="Vente directe",K1642&lt;&gt;""),"Livrée",IF(J1642&lt;&gt;"","Confirmée","En attente"))))</f>
        <v/>
      </c>
      <c r="S1642" s="34">
        <f>IF(F1642="","",IFERROR(VLOOKUP(F1642,T_Produits,2,FALSE),""))</f>
        <v/>
      </c>
      <c r="T1642" s="40">
        <f>IF(F1642="","",IFERROR(1/(1/VLOOKUP(F1642,T_Produits,3,FALSE)),""))</f>
        <v/>
      </c>
      <c r="U1642" s="40">
        <f>IF(H1642&lt;&gt;"",H1642,T1642)</f>
        <v/>
      </c>
      <c r="V1642" s="40">
        <f>IF(OR(G1642="",U1642=""),"",G1642*U1642-N(I1642))</f>
        <v/>
      </c>
      <c r="W1642" s="39">
        <f>IF(D1642="","",IFERROR(VALUE(MID(D1642,LEN(D1642)-3,3)),""))</f>
        <v/>
      </c>
      <c r="X1642" s="33">
        <f>IF(W1642="","",P1642&amp;"|"&amp;W1642)</f>
        <v/>
      </c>
      <c r="Y1642" s="33">
        <f>IF(W1642="","",IF(P1642="À RENSEIGNER","GIC",P1642)&amp;"-"&amp;TEXT(W1642,"000"))</f>
        <v/>
      </c>
      <c r="Z1642" s="33">
        <f>IF(X1642="","",IFERROR(INDEX(Cl_nom,MATCH(X1642,Cl_cle,0)),"(client introuvable)"))</f>
        <v/>
      </c>
      <c r="AA1642" s="33">
        <f>IF(X1642="","",IFERROR(INDEX(Cl_quartier,MATCH(X1642,Cl_cle,0))&amp;"",""))</f>
        <v/>
      </c>
      <c r="AB1642" s="45">
        <f>IF(R1642&lt;&gt;"Livrée",0,IF(K1642&lt;&gt;"",K1642,C1642))</f>
        <v/>
      </c>
      <c r="AC1642" s="33">
        <f>IF(OR(C1642="",W1642=""),"",P1642&amp;"|"&amp;W1642&amp;"|"&amp;C1642&amp;"|"&amp;E1642)</f>
        <v/>
      </c>
      <c r="AD1642" s="39">
        <f>IF(AC1642="","",IF(COUNTIF(AC$6:AC1642,AC1642)=1,1,0))</f>
        <v/>
      </c>
      <c r="AE1642" s="39">
        <f>IF(AB1642=0,"",IF(COUNTIFS(X$6:X1642,X1642,AB$6:AB1642,AB1642)=1,1,0))</f>
        <v/>
      </c>
      <c r="AF1642" s="34">
        <f>IF(C1642="","",YEAR(C1642-WEEKDAY(C1642,2)+4)&amp;"-S"&amp;TEXT(INT((C1642-DATE(YEAR(C1642-WEEKDAY(C1642,2)+4),1,3)+WEEKDAY(DATE(YEAR(C1642-WEEKDAY(C1642,2)+4),1,3),2)+5)/7),"00"))</f>
        <v/>
      </c>
    </row>
    <row r="1643" ht="18" customHeight="1">
      <c r="A1643" s="39" t="n">
        <v>1638</v>
      </c>
      <c r="B1643" s="33">
        <f>IF(C1643="","",IF(P1643="À RENSEIGNER","GIC",P1643)&amp;"-C"&amp;TEXT(A1643,"00000"))</f>
        <v/>
      </c>
      <c r="C1643" s="32" t="n"/>
      <c r="D1643" s="36" t="n"/>
      <c r="E1643" s="36" t="n"/>
      <c r="F1643" s="36" t="n"/>
      <c r="G1643" s="42" t="n"/>
      <c r="H1643" s="37" t="n"/>
      <c r="I1643" s="37" t="n"/>
      <c r="J1643" s="32" t="n"/>
      <c r="K1643" s="32" t="n"/>
      <c r="L1643" s="43" t="n"/>
      <c r="M1643" s="36" t="n"/>
      <c r="N1643" s="44" t="n"/>
      <c r="O1643" s="36" t="n"/>
      <c r="P1643" s="33">
        <f>IF(C1643="","",Commercial_Id)</f>
        <v/>
      </c>
      <c r="Q1643" s="34">
        <f>IF(AC1643="","",IF(AD1643=1,"C"&amp;TEXT(SUM(AD$6:AD1643),"0000"),INDEX(Q$6:Q1642,MATCH(AC1643,AC$6:AC1642,0))))</f>
        <v/>
      </c>
      <c r="R1643" s="34">
        <f>IF(C1643="","",IF(L1643="☑ Oui","Annulée",IF(OR(E1643="Vente directe",K1643&lt;&gt;""),"Livrée",IF(J1643&lt;&gt;"","Confirmée","En attente"))))</f>
        <v/>
      </c>
      <c r="S1643" s="34">
        <f>IF(F1643="","",IFERROR(VLOOKUP(F1643,T_Produits,2,FALSE),""))</f>
        <v/>
      </c>
      <c r="T1643" s="40">
        <f>IF(F1643="","",IFERROR(1/(1/VLOOKUP(F1643,T_Produits,3,FALSE)),""))</f>
        <v/>
      </c>
      <c r="U1643" s="40">
        <f>IF(H1643&lt;&gt;"",H1643,T1643)</f>
        <v/>
      </c>
      <c r="V1643" s="40">
        <f>IF(OR(G1643="",U1643=""),"",G1643*U1643-N(I1643))</f>
        <v/>
      </c>
      <c r="W1643" s="39">
        <f>IF(D1643="","",IFERROR(VALUE(MID(D1643,LEN(D1643)-3,3)),""))</f>
        <v/>
      </c>
      <c r="X1643" s="33">
        <f>IF(W1643="","",P1643&amp;"|"&amp;W1643)</f>
        <v/>
      </c>
      <c r="Y1643" s="33">
        <f>IF(W1643="","",IF(P1643="À RENSEIGNER","GIC",P1643)&amp;"-"&amp;TEXT(W1643,"000"))</f>
        <v/>
      </c>
      <c r="Z1643" s="33">
        <f>IF(X1643="","",IFERROR(INDEX(Cl_nom,MATCH(X1643,Cl_cle,0)),"(client introuvable)"))</f>
        <v/>
      </c>
      <c r="AA1643" s="33">
        <f>IF(X1643="","",IFERROR(INDEX(Cl_quartier,MATCH(X1643,Cl_cle,0))&amp;"",""))</f>
        <v/>
      </c>
      <c r="AB1643" s="45">
        <f>IF(R1643&lt;&gt;"Livrée",0,IF(K1643&lt;&gt;"",K1643,C1643))</f>
        <v/>
      </c>
      <c r="AC1643" s="33">
        <f>IF(OR(C1643="",W1643=""),"",P1643&amp;"|"&amp;W1643&amp;"|"&amp;C1643&amp;"|"&amp;E1643)</f>
        <v/>
      </c>
      <c r="AD1643" s="39">
        <f>IF(AC1643="","",IF(COUNTIF(AC$6:AC1643,AC1643)=1,1,0))</f>
        <v/>
      </c>
      <c r="AE1643" s="39">
        <f>IF(AB1643=0,"",IF(COUNTIFS(X$6:X1643,X1643,AB$6:AB1643,AB1643)=1,1,0))</f>
        <v/>
      </c>
      <c r="AF1643" s="34">
        <f>IF(C1643="","",YEAR(C1643-WEEKDAY(C1643,2)+4)&amp;"-S"&amp;TEXT(INT((C1643-DATE(YEAR(C1643-WEEKDAY(C1643,2)+4),1,3)+WEEKDAY(DATE(YEAR(C1643-WEEKDAY(C1643,2)+4),1,3),2)+5)/7),"00"))</f>
        <v/>
      </c>
    </row>
    <row r="1644" ht="18" customHeight="1">
      <c r="A1644" s="39" t="n">
        <v>1639</v>
      </c>
      <c r="B1644" s="33">
        <f>IF(C1644="","",IF(P1644="À RENSEIGNER","GIC",P1644)&amp;"-C"&amp;TEXT(A1644,"00000"))</f>
        <v/>
      </c>
      <c r="C1644" s="32" t="n"/>
      <c r="D1644" s="36" t="n"/>
      <c r="E1644" s="36" t="n"/>
      <c r="F1644" s="36" t="n"/>
      <c r="G1644" s="42" t="n"/>
      <c r="H1644" s="37" t="n"/>
      <c r="I1644" s="37" t="n"/>
      <c r="J1644" s="32" t="n"/>
      <c r="K1644" s="32" t="n"/>
      <c r="L1644" s="43" t="n"/>
      <c r="M1644" s="36" t="n"/>
      <c r="N1644" s="44" t="n"/>
      <c r="O1644" s="36" t="n"/>
      <c r="P1644" s="33">
        <f>IF(C1644="","",Commercial_Id)</f>
        <v/>
      </c>
      <c r="Q1644" s="34">
        <f>IF(AC1644="","",IF(AD1644=1,"C"&amp;TEXT(SUM(AD$6:AD1644),"0000"),INDEX(Q$6:Q1643,MATCH(AC1644,AC$6:AC1643,0))))</f>
        <v/>
      </c>
      <c r="R1644" s="34">
        <f>IF(C1644="","",IF(L1644="☑ Oui","Annulée",IF(OR(E1644="Vente directe",K1644&lt;&gt;""),"Livrée",IF(J1644&lt;&gt;"","Confirmée","En attente"))))</f>
        <v/>
      </c>
      <c r="S1644" s="34">
        <f>IF(F1644="","",IFERROR(VLOOKUP(F1644,T_Produits,2,FALSE),""))</f>
        <v/>
      </c>
      <c r="T1644" s="40">
        <f>IF(F1644="","",IFERROR(1/(1/VLOOKUP(F1644,T_Produits,3,FALSE)),""))</f>
        <v/>
      </c>
      <c r="U1644" s="40">
        <f>IF(H1644&lt;&gt;"",H1644,T1644)</f>
        <v/>
      </c>
      <c r="V1644" s="40">
        <f>IF(OR(G1644="",U1644=""),"",G1644*U1644-N(I1644))</f>
        <v/>
      </c>
      <c r="W1644" s="39">
        <f>IF(D1644="","",IFERROR(VALUE(MID(D1644,LEN(D1644)-3,3)),""))</f>
        <v/>
      </c>
      <c r="X1644" s="33">
        <f>IF(W1644="","",P1644&amp;"|"&amp;W1644)</f>
        <v/>
      </c>
      <c r="Y1644" s="33">
        <f>IF(W1644="","",IF(P1644="À RENSEIGNER","GIC",P1644)&amp;"-"&amp;TEXT(W1644,"000"))</f>
        <v/>
      </c>
      <c r="Z1644" s="33">
        <f>IF(X1644="","",IFERROR(INDEX(Cl_nom,MATCH(X1644,Cl_cle,0)),"(client introuvable)"))</f>
        <v/>
      </c>
      <c r="AA1644" s="33">
        <f>IF(X1644="","",IFERROR(INDEX(Cl_quartier,MATCH(X1644,Cl_cle,0))&amp;"",""))</f>
        <v/>
      </c>
      <c r="AB1644" s="45">
        <f>IF(R1644&lt;&gt;"Livrée",0,IF(K1644&lt;&gt;"",K1644,C1644))</f>
        <v/>
      </c>
      <c r="AC1644" s="33">
        <f>IF(OR(C1644="",W1644=""),"",P1644&amp;"|"&amp;W1644&amp;"|"&amp;C1644&amp;"|"&amp;E1644)</f>
        <v/>
      </c>
      <c r="AD1644" s="39">
        <f>IF(AC1644="","",IF(COUNTIF(AC$6:AC1644,AC1644)=1,1,0))</f>
        <v/>
      </c>
      <c r="AE1644" s="39">
        <f>IF(AB1644=0,"",IF(COUNTIFS(X$6:X1644,X1644,AB$6:AB1644,AB1644)=1,1,0))</f>
        <v/>
      </c>
      <c r="AF1644" s="34">
        <f>IF(C1644="","",YEAR(C1644-WEEKDAY(C1644,2)+4)&amp;"-S"&amp;TEXT(INT((C1644-DATE(YEAR(C1644-WEEKDAY(C1644,2)+4),1,3)+WEEKDAY(DATE(YEAR(C1644-WEEKDAY(C1644,2)+4),1,3),2)+5)/7),"00"))</f>
        <v/>
      </c>
    </row>
    <row r="1645" ht="18" customHeight="1">
      <c r="A1645" s="39" t="n">
        <v>1640</v>
      </c>
      <c r="B1645" s="33">
        <f>IF(C1645="","",IF(P1645="À RENSEIGNER","GIC",P1645)&amp;"-C"&amp;TEXT(A1645,"00000"))</f>
        <v/>
      </c>
      <c r="C1645" s="32" t="n"/>
      <c r="D1645" s="36" t="n"/>
      <c r="E1645" s="36" t="n"/>
      <c r="F1645" s="36" t="n"/>
      <c r="G1645" s="42" t="n"/>
      <c r="H1645" s="37" t="n"/>
      <c r="I1645" s="37" t="n"/>
      <c r="J1645" s="32" t="n"/>
      <c r="K1645" s="32" t="n"/>
      <c r="L1645" s="43" t="n"/>
      <c r="M1645" s="36" t="n"/>
      <c r="N1645" s="44" t="n"/>
      <c r="O1645" s="36" t="n"/>
      <c r="P1645" s="33">
        <f>IF(C1645="","",Commercial_Id)</f>
        <v/>
      </c>
      <c r="Q1645" s="34">
        <f>IF(AC1645="","",IF(AD1645=1,"C"&amp;TEXT(SUM(AD$6:AD1645),"0000"),INDEX(Q$6:Q1644,MATCH(AC1645,AC$6:AC1644,0))))</f>
        <v/>
      </c>
      <c r="R1645" s="34">
        <f>IF(C1645="","",IF(L1645="☑ Oui","Annulée",IF(OR(E1645="Vente directe",K1645&lt;&gt;""),"Livrée",IF(J1645&lt;&gt;"","Confirmée","En attente"))))</f>
        <v/>
      </c>
      <c r="S1645" s="34">
        <f>IF(F1645="","",IFERROR(VLOOKUP(F1645,T_Produits,2,FALSE),""))</f>
        <v/>
      </c>
      <c r="T1645" s="40">
        <f>IF(F1645="","",IFERROR(1/(1/VLOOKUP(F1645,T_Produits,3,FALSE)),""))</f>
        <v/>
      </c>
      <c r="U1645" s="40">
        <f>IF(H1645&lt;&gt;"",H1645,T1645)</f>
        <v/>
      </c>
      <c r="V1645" s="40">
        <f>IF(OR(G1645="",U1645=""),"",G1645*U1645-N(I1645))</f>
        <v/>
      </c>
      <c r="W1645" s="39">
        <f>IF(D1645="","",IFERROR(VALUE(MID(D1645,LEN(D1645)-3,3)),""))</f>
        <v/>
      </c>
      <c r="X1645" s="33">
        <f>IF(W1645="","",P1645&amp;"|"&amp;W1645)</f>
        <v/>
      </c>
      <c r="Y1645" s="33">
        <f>IF(W1645="","",IF(P1645="À RENSEIGNER","GIC",P1645)&amp;"-"&amp;TEXT(W1645,"000"))</f>
        <v/>
      </c>
      <c r="Z1645" s="33">
        <f>IF(X1645="","",IFERROR(INDEX(Cl_nom,MATCH(X1645,Cl_cle,0)),"(client introuvable)"))</f>
        <v/>
      </c>
      <c r="AA1645" s="33">
        <f>IF(X1645="","",IFERROR(INDEX(Cl_quartier,MATCH(X1645,Cl_cle,0))&amp;"",""))</f>
        <v/>
      </c>
      <c r="AB1645" s="45">
        <f>IF(R1645&lt;&gt;"Livrée",0,IF(K1645&lt;&gt;"",K1645,C1645))</f>
        <v/>
      </c>
      <c r="AC1645" s="33">
        <f>IF(OR(C1645="",W1645=""),"",P1645&amp;"|"&amp;W1645&amp;"|"&amp;C1645&amp;"|"&amp;E1645)</f>
        <v/>
      </c>
      <c r="AD1645" s="39">
        <f>IF(AC1645="","",IF(COUNTIF(AC$6:AC1645,AC1645)=1,1,0))</f>
        <v/>
      </c>
      <c r="AE1645" s="39">
        <f>IF(AB1645=0,"",IF(COUNTIFS(X$6:X1645,X1645,AB$6:AB1645,AB1645)=1,1,0))</f>
        <v/>
      </c>
      <c r="AF1645" s="34">
        <f>IF(C1645="","",YEAR(C1645-WEEKDAY(C1645,2)+4)&amp;"-S"&amp;TEXT(INT((C1645-DATE(YEAR(C1645-WEEKDAY(C1645,2)+4),1,3)+WEEKDAY(DATE(YEAR(C1645-WEEKDAY(C1645,2)+4),1,3),2)+5)/7),"00"))</f>
        <v/>
      </c>
    </row>
    <row r="1646" ht="18" customHeight="1">
      <c r="A1646" s="39" t="n">
        <v>1641</v>
      </c>
      <c r="B1646" s="33">
        <f>IF(C1646="","",IF(P1646="À RENSEIGNER","GIC",P1646)&amp;"-C"&amp;TEXT(A1646,"00000"))</f>
        <v/>
      </c>
      <c r="C1646" s="32" t="n"/>
      <c r="D1646" s="36" t="n"/>
      <c r="E1646" s="36" t="n"/>
      <c r="F1646" s="36" t="n"/>
      <c r="G1646" s="42" t="n"/>
      <c r="H1646" s="37" t="n"/>
      <c r="I1646" s="37" t="n"/>
      <c r="J1646" s="32" t="n"/>
      <c r="K1646" s="32" t="n"/>
      <c r="L1646" s="43" t="n"/>
      <c r="M1646" s="36" t="n"/>
      <c r="N1646" s="44" t="n"/>
      <c r="O1646" s="36" t="n"/>
      <c r="P1646" s="33">
        <f>IF(C1646="","",Commercial_Id)</f>
        <v/>
      </c>
      <c r="Q1646" s="34">
        <f>IF(AC1646="","",IF(AD1646=1,"C"&amp;TEXT(SUM(AD$6:AD1646),"0000"),INDEX(Q$6:Q1645,MATCH(AC1646,AC$6:AC1645,0))))</f>
        <v/>
      </c>
      <c r="R1646" s="34">
        <f>IF(C1646="","",IF(L1646="☑ Oui","Annulée",IF(OR(E1646="Vente directe",K1646&lt;&gt;""),"Livrée",IF(J1646&lt;&gt;"","Confirmée","En attente"))))</f>
        <v/>
      </c>
      <c r="S1646" s="34">
        <f>IF(F1646="","",IFERROR(VLOOKUP(F1646,T_Produits,2,FALSE),""))</f>
        <v/>
      </c>
      <c r="T1646" s="40">
        <f>IF(F1646="","",IFERROR(1/(1/VLOOKUP(F1646,T_Produits,3,FALSE)),""))</f>
        <v/>
      </c>
      <c r="U1646" s="40">
        <f>IF(H1646&lt;&gt;"",H1646,T1646)</f>
        <v/>
      </c>
      <c r="V1646" s="40">
        <f>IF(OR(G1646="",U1646=""),"",G1646*U1646-N(I1646))</f>
        <v/>
      </c>
      <c r="W1646" s="39">
        <f>IF(D1646="","",IFERROR(VALUE(MID(D1646,LEN(D1646)-3,3)),""))</f>
        <v/>
      </c>
      <c r="X1646" s="33">
        <f>IF(W1646="","",P1646&amp;"|"&amp;W1646)</f>
        <v/>
      </c>
      <c r="Y1646" s="33">
        <f>IF(W1646="","",IF(P1646="À RENSEIGNER","GIC",P1646)&amp;"-"&amp;TEXT(W1646,"000"))</f>
        <v/>
      </c>
      <c r="Z1646" s="33">
        <f>IF(X1646="","",IFERROR(INDEX(Cl_nom,MATCH(X1646,Cl_cle,0)),"(client introuvable)"))</f>
        <v/>
      </c>
      <c r="AA1646" s="33">
        <f>IF(X1646="","",IFERROR(INDEX(Cl_quartier,MATCH(X1646,Cl_cle,0))&amp;"",""))</f>
        <v/>
      </c>
      <c r="AB1646" s="45">
        <f>IF(R1646&lt;&gt;"Livrée",0,IF(K1646&lt;&gt;"",K1646,C1646))</f>
        <v/>
      </c>
      <c r="AC1646" s="33">
        <f>IF(OR(C1646="",W1646=""),"",P1646&amp;"|"&amp;W1646&amp;"|"&amp;C1646&amp;"|"&amp;E1646)</f>
        <v/>
      </c>
      <c r="AD1646" s="39">
        <f>IF(AC1646="","",IF(COUNTIF(AC$6:AC1646,AC1646)=1,1,0))</f>
        <v/>
      </c>
      <c r="AE1646" s="39">
        <f>IF(AB1646=0,"",IF(COUNTIFS(X$6:X1646,X1646,AB$6:AB1646,AB1646)=1,1,0))</f>
        <v/>
      </c>
      <c r="AF1646" s="34">
        <f>IF(C1646="","",YEAR(C1646-WEEKDAY(C1646,2)+4)&amp;"-S"&amp;TEXT(INT((C1646-DATE(YEAR(C1646-WEEKDAY(C1646,2)+4),1,3)+WEEKDAY(DATE(YEAR(C1646-WEEKDAY(C1646,2)+4),1,3),2)+5)/7),"00"))</f>
        <v/>
      </c>
    </row>
    <row r="1647" ht="18" customHeight="1">
      <c r="A1647" s="39" t="n">
        <v>1642</v>
      </c>
      <c r="B1647" s="33">
        <f>IF(C1647="","",IF(P1647="À RENSEIGNER","GIC",P1647)&amp;"-C"&amp;TEXT(A1647,"00000"))</f>
        <v/>
      </c>
      <c r="C1647" s="32" t="n"/>
      <c r="D1647" s="36" t="n"/>
      <c r="E1647" s="36" t="n"/>
      <c r="F1647" s="36" t="n"/>
      <c r="G1647" s="42" t="n"/>
      <c r="H1647" s="37" t="n"/>
      <c r="I1647" s="37" t="n"/>
      <c r="J1647" s="32" t="n"/>
      <c r="K1647" s="32" t="n"/>
      <c r="L1647" s="43" t="n"/>
      <c r="M1647" s="36" t="n"/>
      <c r="N1647" s="44" t="n"/>
      <c r="O1647" s="36" t="n"/>
      <c r="P1647" s="33">
        <f>IF(C1647="","",Commercial_Id)</f>
        <v/>
      </c>
      <c r="Q1647" s="34">
        <f>IF(AC1647="","",IF(AD1647=1,"C"&amp;TEXT(SUM(AD$6:AD1647),"0000"),INDEX(Q$6:Q1646,MATCH(AC1647,AC$6:AC1646,0))))</f>
        <v/>
      </c>
      <c r="R1647" s="34">
        <f>IF(C1647="","",IF(L1647="☑ Oui","Annulée",IF(OR(E1647="Vente directe",K1647&lt;&gt;""),"Livrée",IF(J1647&lt;&gt;"","Confirmée","En attente"))))</f>
        <v/>
      </c>
      <c r="S1647" s="34">
        <f>IF(F1647="","",IFERROR(VLOOKUP(F1647,T_Produits,2,FALSE),""))</f>
        <v/>
      </c>
      <c r="T1647" s="40">
        <f>IF(F1647="","",IFERROR(1/(1/VLOOKUP(F1647,T_Produits,3,FALSE)),""))</f>
        <v/>
      </c>
      <c r="U1647" s="40">
        <f>IF(H1647&lt;&gt;"",H1647,T1647)</f>
        <v/>
      </c>
      <c r="V1647" s="40">
        <f>IF(OR(G1647="",U1647=""),"",G1647*U1647-N(I1647))</f>
        <v/>
      </c>
      <c r="W1647" s="39">
        <f>IF(D1647="","",IFERROR(VALUE(MID(D1647,LEN(D1647)-3,3)),""))</f>
        <v/>
      </c>
      <c r="X1647" s="33">
        <f>IF(W1647="","",P1647&amp;"|"&amp;W1647)</f>
        <v/>
      </c>
      <c r="Y1647" s="33">
        <f>IF(W1647="","",IF(P1647="À RENSEIGNER","GIC",P1647)&amp;"-"&amp;TEXT(W1647,"000"))</f>
        <v/>
      </c>
      <c r="Z1647" s="33">
        <f>IF(X1647="","",IFERROR(INDEX(Cl_nom,MATCH(X1647,Cl_cle,0)),"(client introuvable)"))</f>
        <v/>
      </c>
      <c r="AA1647" s="33">
        <f>IF(X1647="","",IFERROR(INDEX(Cl_quartier,MATCH(X1647,Cl_cle,0))&amp;"",""))</f>
        <v/>
      </c>
      <c r="AB1647" s="45">
        <f>IF(R1647&lt;&gt;"Livrée",0,IF(K1647&lt;&gt;"",K1647,C1647))</f>
        <v/>
      </c>
      <c r="AC1647" s="33">
        <f>IF(OR(C1647="",W1647=""),"",P1647&amp;"|"&amp;W1647&amp;"|"&amp;C1647&amp;"|"&amp;E1647)</f>
        <v/>
      </c>
      <c r="AD1647" s="39">
        <f>IF(AC1647="","",IF(COUNTIF(AC$6:AC1647,AC1647)=1,1,0))</f>
        <v/>
      </c>
      <c r="AE1647" s="39">
        <f>IF(AB1647=0,"",IF(COUNTIFS(X$6:X1647,X1647,AB$6:AB1647,AB1647)=1,1,0))</f>
        <v/>
      </c>
      <c r="AF1647" s="34">
        <f>IF(C1647="","",YEAR(C1647-WEEKDAY(C1647,2)+4)&amp;"-S"&amp;TEXT(INT((C1647-DATE(YEAR(C1647-WEEKDAY(C1647,2)+4),1,3)+WEEKDAY(DATE(YEAR(C1647-WEEKDAY(C1647,2)+4),1,3),2)+5)/7),"00"))</f>
        <v/>
      </c>
    </row>
    <row r="1648" ht="18" customHeight="1">
      <c r="A1648" s="39" t="n">
        <v>1643</v>
      </c>
      <c r="B1648" s="33">
        <f>IF(C1648="","",IF(P1648="À RENSEIGNER","GIC",P1648)&amp;"-C"&amp;TEXT(A1648,"00000"))</f>
        <v/>
      </c>
      <c r="C1648" s="32" t="n"/>
      <c r="D1648" s="36" t="n"/>
      <c r="E1648" s="36" t="n"/>
      <c r="F1648" s="36" t="n"/>
      <c r="G1648" s="42" t="n"/>
      <c r="H1648" s="37" t="n"/>
      <c r="I1648" s="37" t="n"/>
      <c r="J1648" s="32" t="n"/>
      <c r="K1648" s="32" t="n"/>
      <c r="L1648" s="43" t="n"/>
      <c r="M1648" s="36" t="n"/>
      <c r="N1648" s="44" t="n"/>
      <c r="O1648" s="36" t="n"/>
      <c r="P1648" s="33">
        <f>IF(C1648="","",Commercial_Id)</f>
        <v/>
      </c>
      <c r="Q1648" s="34">
        <f>IF(AC1648="","",IF(AD1648=1,"C"&amp;TEXT(SUM(AD$6:AD1648),"0000"),INDEX(Q$6:Q1647,MATCH(AC1648,AC$6:AC1647,0))))</f>
        <v/>
      </c>
      <c r="R1648" s="34">
        <f>IF(C1648="","",IF(L1648="☑ Oui","Annulée",IF(OR(E1648="Vente directe",K1648&lt;&gt;""),"Livrée",IF(J1648&lt;&gt;"","Confirmée","En attente"))))</f>
        <v/>
      </c>
      <c r="S1648" s="34">
        <f>IF(F1648="","",IFERROR(VLOOKUP(F1648,T_Produits,2,FALSE),""))</f>
        <v/>
      </c>
      <c r="T1648" s="40">
        <f>IF(F1648="","",IFERROR(1/(1/VLOOKUP(F1648,T_Produits,3,FALSE)),""))</f>
        <v/>
      </c>
      <c r="U1648" s="40">
        <f>IF(H1648&lt;&gt;"",H1648,T1648)</f>
        <v/>
      </c>
      <c r="V1648" s="40">
        <f>IF(OR(G1648="",U1648=""),"",G1648*U1648-N(I1648))</f>
        <v/>
      </c>
      <c r="W1648" s="39">
        <f>IF(D1648="","",IFERROR(VALUE(MID(D1648,LEN(D1648)-3,3)),""))</f>
        <v/>
      </c>
      <c r="X1648" s="33">
        <f>IF(W1648="","",P1648&amp;"|"&amp;W1648)</f>
        <v/>
      </c>
      <c r="Y1648" s="33">
        <f>IF(W1648="","",IF(P1648="À RENSEIGNER","GIC",P1648)&amp;"-"&amp;TEXT(W1648,"000"))</f>
        <v/>
      </c>
      <c r="Z1648" s="33">
        <f>IF(X1648="","",IFERROR(INDEX(Cl_nom,MATCH(X1648,Cl_cle,0)),"(client introuvable)"))</f>
        <v/>
      </c>
      <c r="AA1648" s="33">
        <f>IF(X1648="","",IFERROR(INDEX(Cl_quartier,MATCH(X1648,Cl_cle,0))&amp;"",""))</f>
        <v/>
      </c>
      <c r="AB1648" s="45">
        <f>IF(R1648&lt;&gt;"Livrée",0,IF(K1648&lt;&gt;"",K1648,C1648))</f>
        <v/>
      </c>
      <c r="AC1648" s="33">
        <f>IF(OR(C1648="",W1648=""),"",P1648&amp;"|"&amp;W1648&amp;"|"&amp;C1648&amp;"|"&amp;E1648)</f>
        <v/>
      </c>
      <c r="AD1648" s="39">
        <f>IF(AC1648="","",IF(COUNTIF(AC$6:AC1648,AC1648)=1,1,0))</f>
        <v/>
      </c>
      <c r="AE1648" s="39">
        <f>IF(AB1648=0,"",IF(COUNTIFS(X$6:X1648,X1648,AB$6:AB1648,AB1648)=1,1,0))</f>
        <v/>
      </c>
      <c r="AF1648" s="34">
        <f>IF(C1648="","",YEAR(C1648-WEEKDAY(C1648,2)+4)&amp;"-S"&amp;TEXT(INT((C1648-DATE(YEAR(C1648-WEEKDAY(C1648,2)+4),1,3)+WEEKDAY(DATE(YEAR(C1648-WEEKDAY(C1648,2)+4),1,3),2)+5)/7),"00"))</f>
        <v/>
      </c>
    </row>
    <row r="1649" ht="18" customHeight="1">
      <c r="A1649" s="39" t="n">
        <v>1644</v>
      </c>
      <c r="B1649" s="33">
        <f>IF(C1649="","",IF(P1649="À RENSEIGNER","GIC",P1649)&amp;"-C"&amp;TEXT(A1649,"00000"))</f>
        <v/>
      </c>
      <c r="C1649" s="32" t="n"/>
      <c r="D1649" s="36" t="n"/>
      <c r="E1649" s="36" t="n"/>
      <c r="F1649" s="36" t="n"/>
      <c r="G1649" s="42" t="n"/>
      <c r="H1649" s="37" t="n"/>
      <c r="I1649" s="37" t="n"/>
      <c r="J1649" s="32" t="n"/>
      <c r="K1649" s="32" t="n"/>
      <c r="L1649" s="43" t="n"/>
      <c r="M1649" s="36" t="n"/>
      <c r="N1649" s="44" t="n"/>
      <c r="O1649" s="36" t="n"/>
      <c r="P1649" s="33">
        <f>IF(C1649="","",Commercial_Id)</f>
        <v/>
      </c>
      <c r="Q1649" s="34">
        <f>IF(AC1649="","",IF(AD1649=1,"C"&amp;TEXT(SUM(AD$6:AD1649),"0000"),INDEX(Q$6:Q1648,MATCH(AC1649,AC$6:AC1648,0))))</f>
        <v/>
      </c>
      <c r="R1649" s="34">
        <f>IF(C1649="","",IF(L1649="☑ Oui","Annulée",IF(OR(E1649="Vente directe",K1649&lt;&gt;""),"Livrée",IF(J1649&lt;&gt;"","Confirmée","En attente"))))</f>
        <v/>
      </c>
      <c r="S1649" s="34">
        <f>IF(F1649="","",IFERROR(VLOOKUP(F1649,T_Produits,2,FALSE),""))</f>
        <v/>
      </c>
      <c r="T1649" s="40">
        <f>IF(F1649="","",IFERROR(1/(1/VLOOKUP(F1649,T_Produits,3,FALSE)),""))</f>
        <v/>
      </c>
      <c r="U1649" s="40">
        <f>IF(H1649&lt;&gt;"",H1649,T1649)</f>
        <v/>
      </c>
      <c r="V1649" s="40">
        <f>IF(OR(G1649="",U1649=""),"",G1649*U1649-N(I1649))</f>
        <v/>
      </c>
      <c r="W1649" s="39">
        <f>IF(D1649="","",IFERROR(VALUE(MID(D1649,LEN(D1649)-3,3)),""))</f>
        <v/>
      </c>
      <c r="X1649" s="33">
        <f>IF(W1649="","",P1649&amp;"|"&amp;W1649)</f>
        <v/>
      </c>
      <c r="Y1649" s="33">
        <f>IF(W1649="","",IF(P1649="À RENSEIGNER","GIC",P1649)&amp;"-"&amp;TEXT(W1649,"000"))</f>
        <v/>
      </c>
      <c r="Z1649" s="33">
        <f>IF(X1649="","",IFERROR(INDEX(Cl_nom,MATCH(X1649,Cl_cle,0)),"(client introuvable)"))</f>
        <v/>
      </c>
      <c r="AA1649" s="33">
        <f>IF(X1649="","",IFERROR(INDEX(Cl_quartier,MATCH(X1649,Cl_cle,0))&amp;"",""))</f>
        <v/>
      </c>
      <c r="AB1649" s="45">
        <f>IF(R1649&lt;&gt;"Livrée",0,IF(K1649&lt;&gt;"",K1649,C1649))</f>
        <v/>
      </c>
      <c r="AC1649" s="33">
        <f>IF(OR(C1649="",W1649=""),"",P1649&amp;"|"&amp;W1649&amp;"|"&amp;C1649&amp;"|"&amp;E1649)</f>
        <v/>
      </c>
      <c r="AD1649" s="39">
        <f>IF(AC1649="","",IF(COUNTIF(AC$6:AC1649,AC1649)=1,1,0))</f>
        <v/>
      </c>
      <c r="AE1649" s="39">
        <f>IF(AB1649=0,"",IF(COUNTIFS(X$6:X1649,X1649,AB$6:AB1649,AB1649)=1,1,0))</f>
        <v/>
      </c>
      <c r="AF1649" s="34">
        <f>IF(C1649="","",YEAR(C1649-WEEKDAY(C1649,2)+4)&amp;"-S"&amp;TEXT(INT((C1649-DATE(YEAR(C1649-WEEKDAY(C1649,2)+4),1,3)+WEEKDAY(DATE(YEAR(C1649-WEEKDAY(C1649,2)+4),1,3),2)+5)/7),"00"))</f>
        <v/>
      </c>
    </row>
    <row r="1650" ht="18" customHeight="1">
      <c r="A1650" s="39" t="n">
        <v>1645</v>
      </c>
      <c r="B1650" s="33">
        <f>IF(C1650="","",IF(P1650="À RENSEIGNER","GIC",P1650)&amp;"-C"&amp;TEXT(A1650,"00000"))</f>
        <v/>
      </c>
      <c r="C1650" s="32" t="n"/>
      <c r="D1650" s="36" t="n"/>
      <c r="E1650" s="36" t="n"/>
      <c r="F1650" s="36" t="n"/>
      <c r="G1650" s="42" t="n"/>
      <c r="H1650" s="37" t="n"/>
      <c r="I1650" s="37" t="n"/>
      <c r="J1650" s="32" t="n"/>
      <c r="K1650" s="32" t="n"/>
      <c r="L1650" s="43" t="n"/>
      <c r="M1650" s="36" t="n"/>
      <c r="N1650" s="44" t="n"/>
      <c r="O1650" s="36" t="n"/>
      <c r="P1650" s="33">
        <f>IF(C1650="","",Commercial_Id)</f>
        <v/>
      </c>
      <c r="Q1650" s="34">
        <f>IF(AC1650="","",IF(AD1650=1,"C"&amp;TEXT(SUM(AD$6:AD1650),"0000"),INDEX(Q$6:Q1649,MATCH(AC1650,AC$6:AC1649,0))))</f>
        <v/>
      </c>
      <c r="R1650" s="34">
        <f>IF(C1650="","",IF(L1650="☑ Oui","Annulée",IF(OR(E1650="Vente directe",K1650&lt;&gt;""),"Livrée",IF(J1650&lt;&gt;"","Confirmée","En attente"))))</f>
        <v/>
      </c>
      <c r="S1650" s="34">
        <f>IF(F1650="","",IFERROR(VLOOKUP(F1650,T_Produits,2,FALSE),""))</f>
        <v/>
      </c>
      <c r="T1650" s="40">
        <f>IF(F1650="","",IFERROR(1/(1/VLOOKUP(F1650,T_Produits,3,FALSE)),""))</f>
        <v/>
      </c>
      <c r="U1650" s="40">
        <f>IF(H1650&lt;&gt;"",H1650,T1650)</f>
        <v/>
      </c>
      <c r="V1650" s="40">
        <f>IF(OR(G1650="",U1650=""),"",G1650*U1650-N(I1650))</f>
        <v/>
      </c>
      <c r="W1650" s="39">
        <f>IF(D1650="","",IFERROR(VALUE(MID(D1650,LEN(D1650)-3,3)),""))</f>
        <v/>
      </c>
      <c r="X1650" s="33">
        <f>IF(W1650="","",P1650&amp;"|"&amp;W1650)</f>
        <v/>
      </c>
      <c r="Y1650" s="33">
        <f>IF(W1650="","",IF(P1650="À RENSEIGNER","GIC",P1650)&amp;"-"&amp;TEXT(W1650,"000"))</f>
        <v/>
      </c>
      <c r="Z1650" s="33">
        <f>IF(X1650="","",IFERROR(INDEX(Cl_nom,MATCH(X1650,Cl_cle,0)),"(client introuvable)"))</f>
        <v/>
      </c>
      <c r="AA1650" s="33">
        <f>IF(X1650="","",IFERROR(INDEX(Cl_quartier,MATCH(X1650,Cl_cle,0))&amp;"",""))</f>
        <v/>
      </c>
      <c r="AB1650" s="45">
        <f>IF(R1650&lt;&gt;"Livrée",0,IF(K1650&lt;&gt;"",K1650,C1650))</f>
        <v/>
      </c>
      <c r="AC1650" s="33">
        <f>IF(OR(C1650="",W1650=""),"",P1650&amp;"|"&amp;W1650&amp;"|"&amp;C1650&amp;"|"&amp;E1650)</f>
        <v/>
      </c>
      <c r="AD1650" s="39">
        <f>IF(AC1650="","",IF(COUNTIF(AC$6:AC1650,AC1650)=1,1,0))</f>
        <v/>
      </c>
      <c r="AE1650" s="39">
        <f>IF(AB1650=0,"",IF(COUNTIFS(X$6:X1650,X1650,AB$6:AB1650,AB1650)=1,1,0))</f>
        <v/>
      </c>
      <c r="AF1650" s="34">
        <f>IF(C1650="","",YEAR(C1650-WEEKDAY(C1650,2)+4)&amp;"-S"&amp;TEXT(INT((C1650-DATE(YEAR(C1650-WEEKDAY(C1650,2)+4),1,3)+WEEKDAY(DATE(YEAR(C1650-WEEKDAY(C1650,2)+4),1,3),2)+5)/7),"00"))</f>
        <v/>
      </c>
    </row>
    <row r="1651" ht="18" customHeight="1">
      <c r="A1651" s="39" t="n">
        <v>1646</v>
      </c>
      <c r="B1651" s="33">
        <f>IF(C1651="","",IF(P1651="À RENSEIGNER","GIC",P1651)&amp;"-C"&amp;TEXT(A1651,"00000"))</f>
        <v/>
      </c>
      <c r="C1651" s="32" t="n"/>
      <c r="D1651" s="36" t="n"/>
      <c r="E1651" s="36" t="n"/>
      <c r="F1651" s="36" t="n"/>
      <c r="G1651" s="42" t="n"/>
      <c r="H1651" s="37" t="n"/>
      <c r="I1651" s="37" t="n"/>
      <c r="J1651" s="32" t="n"/>
      <c r="K1651" s="32" t="n"/>
      <c r="L1651" s="43" t="n"/>
      <c r="M1651" s="36" t="n"/>
      <c r="N1651" s="44" t="n"/>
      <c r="O1651" s="36" t="n"/>
      <c r="P1651" s="33">
        <f>IF(C1651="","",Commercial_Id)</f>
        <v/>
      </c>
      <c r="Q1651" s="34">
        <f>IF(AC1651="","",IF(AD1651=1,"C"&amp;TEXT(SUM(AD$6:AD1651),"0000"),INDEX(Q$6:Q1650,MATCH(AC1651,AC$6:AC1650,0))))</f>
        <v/>
      </c>
      <c r="R1651" s="34">
        <f>IF(C1651="","",IF(L1651="☑ Oui","Annulée",IF(OR(E1651="Vente directe",K1651&lt;&gt;""),"Livrée",IF(J1651&lt;&gt;"","Confirmée","En attente"))))</f>
        <v/>
      </c>
      <c r="S1651" s="34">
        <f>IF(F1651="","",IFERROR(VLOOKUP(F1651,T_Produits,2,FALSE),""))</f>
        <v/>
      </c>
      <c r="T1651" s="40">
        <f>IF(F1651="","",IFERROR(1/(1/VLOOKUP(F1651,T_Produits,3,FALSE)),""))</f>
        <v/>
      </c>
      <c r="U1651" s="40">
        <f>IF(H1651&lt;&gt;"",H1651,T1651)</f>
        <v/>
      </c>
      <c r="V1651" s="40">
        <f>IF(OR(G1651="",U1651=""),"",G1651*U1651-N(I1651))</f>
        <v/>
      </c>
      <c r="W1651" s="39">
        <f>IF(D1651="","",IFERROR(VALUE(MID(D1651,LEN(D1651)-3,3)),""))</f>
        <v/>
      </c>
      <c r="X1651" s="33">
        <f>IF(W1651="","",P1651&amp;"|"&amp;W1651)</f>
        <v/>
      </c>
      <c r="Y1651" s="33">
        <f>IF(W1651="","",IF(P1651="À RENSEIGNER","GIC",P1651)&amp;"-"&amp;TEXT(W1651,"000"))</f>
        <v/>
      </c>
      <c r="Z1651" s="33">
        <f>IF(X1651="","",IFERROR(INDEX(Cl_nom,MATCH(X1651,Cl_cle,0)),"(client introuvable)"))</f>
        <v/>
      </c>
      <c r="AA1651" s="33">
        <f>IF(X1651="","",IFERROR(INDEX(Cl_quartier,MATCH(X1651,Cl_cle,0))&amp;"",""))</f>
        <v/>
      </c>
      <c r="AB1651" s="45">
        <f>IF(R1651&lt;&gt;"Livrée",0,IF(K1651&lt;&gt;"",K1651,C1651))</f>
        <v/>
      </c>
      <c r="AC1651" s="33">
        <f>IF(OR(C1651="",W1651=""),"",P1651&amp;"|"&amp;W1651&amp;"|"&amp;C1651&amp;"|"&amp;E1651)</f>
        <v/>
      </c>
      <c r="AD1651" s="39">
        <f>IF(AC1651="","",IF(COUNTIF(AC$6:AC1651,AC1651)=1,1,0))</f>
        <v/>
      </c>
      <c r="AE1651" s="39">
        <f>IF(AB1651=0,"",IF(COUNTIFS(X$6:X1651,X1651,AB$6:AB1651,AB1651)=1,1,0))</f>
        <v/>
      </c>
      <c r="AF1651" s="34">
        <f>IF(C1651="","",YEAR(C1651-WEEKDAY(C1651,2)+4)&amp;"-S"&amp;TEXT(INT((C1651-DATE(YEAR(C1651-WEEKDAY(C1651,2)+4),1,3)+WEEKDAY(DATE(YEAR(C1651-WEEKDAY(C1651,2)+4),1,3),2)+5)/7),"00"))</f>
        <v/>
      </c>
    </row>
    <row r="1652" ht="18" customHeight="1">
      <c r="A1652" s="39" t="n">
        <v>1647</v>
      </c>
      <c r="B1652" s="33">
        <f>IF(C1652="","",IF(P1652="À RENSEIGNER","GIC",P1652)&amp;"-C"&amp;TEXT(A1652,"00000"))</f>
        <v/>
      </c>
      <c r="C1652" s="32" t="n"/>
      <c r="D1652" s="36" t="n"/>
      <c r="E1652" s="36" t="n"/>
      <c r="F1652" s="36" t="n"/>
      <c r="G1652" s="42" t="n"/>
      <c r="H1652" s="37" t="n"/>
      <c r="I1652" s="37" t="n"/>
      <c r="J1652" s="32" t="n"/>
      <c r="K1652" s="32" t="n"/>
      <c r="L1652" s="43" t="n"/>
      <c r="M1652" s="36" t="n"/>
      <c r="N1652" s="44" t="n"/>
      <c r="O1652" s="36" t="n"/>
      <c r="P1652" s="33">
        <f>IF(C1652="","",Commercial_Id)</f>
        <v/>
      </c>
      <c r="Q1652" s="34">
        <f>IF(AC1652="","",IF(AD1652=1,"C"&amp;TEXT(SUM(AD$6:AD1652),"0000"),INDEX(Q$6:Q1651,MATCH(AC1652,AC$6:AC1651,0))))</f>
        <v/>
      </c>
      <c r="R1652" s="34">
        <f>IF(C1652="","",IF(L1652="☑ Oui","Annulée",IF(OR(E1652="Vente directe",K1652&lt;&gt;""),"Livrée",IF(J1652&lt;&gt;"","Confirmée","En attente"))))</f>
        <v/>
      </c>
      <c r="S1652" s="34">
        <f>IF(F1652="","",IFERROR(VLOOKUP(F1652,T_Produits,2,FALSE),""))</f>
        <v/>
      </c>
      <c r="T1652" s="40">
        <f>IF(F1652="","",IFERROR(1/(1/VLOOKUP(F1652,T_Produits,3,FALSE)),""))</f>
        <v/>
      </c>
      <c r="U1652" s="40">
        <f>IF(H1652&lt;&gt;"",H1652,T1652)</f>
        <v/>
      </c>
      <c r="V1652" s="40">
        <f>IF(OR(G1652="",U1652=""),"",G1652*U1652-N(I1652))</f>
        <v/>
      </c>
      <c r="W1652" s="39">
        <f>IF(D1652="","",IFERROR(VALUE(MID(D1652,LEN(D1652)-3,3)),""))</f>
        <v/>
      </c>
      <c r="X1652" s="33">
        <f>IF(W1652="","",P1652&amp;"|"&amp;W1652)</f>
        <v/>
      </c>
      <c r="Y1652" s="33">
        <f>IF(W1652="","",IF(P1652="À RENSEIGNER","GIC",P1652)&amp;"-"&amp;TEXT(W1652,"000"))</f>
        <v/>
      </c>
      <c r="Z1652" s="33">
        <f>IF(X1652="","",IFERROR(INDEX(Cl_nom,MATCH(X1652,Cl_cle,0)),"(client introuvable)"))</f>
        <v/>
      </c>
      <c r="AA1652" s="33">
        <f>IF(X1652="","",IFERROR(INDEX(Cl_quartier,MATCH(X1652,Cl_cle,0))&amp;"",""))</f>
        <v/>
      </c>
      <c r="AB1652" s="45">
        <f>IF(R1652&lt;&gt;"Livrée",0,IF(K1652&lt;&gt;"",K1652,C1652))</f>
        <v/>
      </c>
      <c r="AC1652" s="33">
        <f>IF(OR(C1652="",W1652=""),"",P1652&amp;"|"&amp;W1652&amp;"|"&amp;C1652&amp;"|"&amp;E1652)</f>
        <v/>
      </c>
      <c r="AD1652" s="39">
        <f>IF(AC1652="","",IF(COUNTIF(AC$6:AC1652,AC1652)=1,1,0))</f>
        <v/>
      </c>
      <c r="AE1652" s="39">
        <f>IF(AB1652=0,"",IF(COUNTIFS(X$6:X1652,X1652,AB$6:AB1652,AB1652)=1,1,0))</f>
        <v/>
      </c>
      <c r="AF1652" s="34">
        <f>IF(C1652="","",YEAR(C1652-WEEKDAY(C1652,2)+4)&amp;"-S"&amp;TEXT(INT((C1652-DATE(YEAR(C1652-WEEKDAY(C1652,2)+4),1,3)+WEEKDAY(DATE(YEAR(C1652-WEEKDAY(C1652,2)+4),1,3),2)+5)/7),"00"))</f>
        <v/>
      </c>
    </row>
    <row r="1653" ht="18" customHeight="1">
      <c r="A1653" s="39" t="n">
        <v>1648</v>
      </c>
      <c r="B1653" s="33">
        <f>IF(C1653="","",IF(P1653="À RENSEIGNER","GIC",P1653)&amp;"-C"&amp;TEXT(A1653,"00000"))</f>
        <v/>
      </c>
      <c r="C1653" s="32" t="n"/>
      <c r="D1653" s="36" t="n"/>
      <c r="E1653" s="36" t="n"/>
      <c r="F1653" s="36" t="n"/>
      <c r="G1653" s="42" t="n"/>
      <c r="H1653" s="37" t="n"/>
      <c r="I1653" s="37" t="n"/>
      <c r="J1653" s="32" t="n"/>
      <c r="K1653" s="32" t="n"/>
      <c r="L1653" s="43" t="n"/>
      <c r="M1653" s="36" t="n"/>
      <c r="N1653" s="44" t="n"/>
      <c r="O1653" s="36" t="n"/>
      <c r="P1653" s="33">
        <f>IF(C1653="","",Commercial_Id)</f>
        <v/>
      </c>
      <c r="Q1653" s="34">
        <f>IF(AC1653="","",IF(AD1653=1,"C"&amp;TEXT(SUM(AD$6:AD1653),"0000"),INDEX(Q$6:Q1652,MATCH(AC1653,AC$6:AC1652,0))))</f>
        <v/>
      </c>
      <c r="R1653" s="34">
        <f>IF(C1653="","",IF(L1653="☑ Oui","Annulée",IF(OR(E1653="Vente directe",K1653&lt;&gt;""),"Livrée",IF(J1653&lt;&gt;"","Confirmée","En attente"))))</f>
        <v/>
      </c>
      <c r="S1653" s="34">
        <f>IF(F1653="","",IFERROR(VLOOKUP(F1653,T_Produits,2,FALSE),""))</f>
        <v/>
      </c>
      <c r="T1653" s="40">
        <f>IF(F1653="","",IFERROR(1/(1/VLOOKUP(F1653,T_Produits,3,FALSE)),""))</f>
        <v/>
      </c>
      <c r="U1653" s="40">
        <f>IF(H1653&lt;&gt;"",H1653,T1653)</f>
        <v/>
      </c>
      <c r="V1653" s="40">
        <f>IF(OR(G1653="",U1653=""),"",G1653*U1653-N(I1653))</f>
        <v/>
      </c>
      <c r="W1653" s="39">
        <f>IF(D1653="","",IFERROR(VALUE(MID(D1653,LEN(D1653)-3,3)),""))</f>
        <v/>
      </c>
      <c r="X1653" s="33">
        <f>IF(W1653="","",P1653&amp;"|"&amp;W1653)</f>
        <v/>
      </c>
      <c r="Y1653" s="33">
        <f>IF(W1653="","",IF(P1653="À RENSEIGNER","GIC",P1653)&amp;"-"&amp;TEXT(W1653,"000"))</f>
        <v/>
      </c>
      <c r="Z1653" s="33">
        <f>IF(X1653="","",IFERROR(INDEX(Cl_nom,MATCH(X1653,Cl_cle,0)),"(client introuvable)"))</f>
        <v/>
      </c>
      <c r="AA1653" s="33">
        <f>IF(X1653="","",IFERROR(INDEX(Cl_quartier,MATCH(X1653,Cl_cle,0))&amp;"",""))</f>
        <v/>
      </c>
      <c r="AB1653" s="45">
        <f>IF(R1653&lt;&gt;"Livrée",0,IF(K1653&lt;&gt;"",K1653,C1653))</f>
        <v/>
      </c>
      <c r="AC1653" s="33">
        <f>IF(OR(C1653="",W1653=""),"",P1653&amp;"|"&amp;W1653&amp;"|"&amp;C1653&amp;"|"&amp;E1653)</f>
        <v/>
      </c>
      <c r="AD1653" s="39">
        <f>IF(AC1653="","",IF(COUNTIF(AC$6:AC1653,AC1653)=1,1,0))</f>
        <v/>
      </c>
      <c r="AE1653" s="39">
        <f>IF(AB1653=0,"",IF(COUNTIFS(X$6:X1653,X1653,AB$6:AB1653,AB1653)=1,1,0))</f>
        <v/>
      </c>
      <c r="AF1653" s="34">
        <f>IF(C1653="","",YEAR(C1653-WEEKDAY(C1653,2)+4)&amp;"-S"&amp;TEXT(INT((C1653-DATE(YEAR(C1653-WEEKDAY(C1653,2)+4),1,3)+WEEKDAY(DATE(YEAR(C1653-WEEKDAY(C1653,2)+4),1,3),2)+5)/7),"00"))</f>
        <v/>
      </c>
    </row>
    <row r="1654" ht="18" customHeight="1">
      <c r="A1654" s="39" t="n">
        <v>1649</v>
      </c>
      <c r="B1654" s="33">
        <f>IF(C1654="","",IF(P1654="À RENSEIGNER","GIC",P1654)&amp;"-C"&amp;TEXT(A1654,"00000"))</f>
        <v/>
      </c>
      <c r="C1654" s="32" t="n"/>
      <c r="D1654" s="36" t="n"/>
      <c r="E1654" s="36" t="n"/>
      <c r="F1654" s="36" t="n"/>
      <c r="G1654" s="42" t="n"/>
      <c r="H1654" s="37" t="n"/>
      <c r="I1654" s="37" t="n"/>
      <c r="J1654" s="32" t="n"/>
      <c r="K1654" s="32" t="n"/>
      <c r="L1654" s="43" t="n"/>
      <c r="M1654" s="36" t="n"/>
      <c r="N1654" s="44" t="n"/>
      <c r="O1654" s="36" t="n"/>
      <c r="P1654" s="33">
        <f>IF(C1654="","",Commercial_Id)</f>
        <v/>
      </c>
      <c r="Q1654" s="34">
        <f>IF(AC1654="","",IF(AD1654=1,"C"&amp;TEXT(SUM(AD$6:AD1654),"0000"),INDEX(Q$6:Q1653,MATCH(AC1654,AC$6:AC1653,0))))</f>
        <v/>
      </c>
      <c r="R1654" s="34">
        <f>IF(C1654="","",IF(L1654="☑ Oui","Annulée",IF(OR(E1654="Vente directe",K1654&lt;&gt;""),"Livrée",IF(J1654&lt;&gt;"","Confirmée","En attente"))))</f>
        <v/>
      </c>
      <c r="S1654" s="34">
        <f>IF(F1654="","",IFERROR(VLOOKUP(F1654,T_Produits,2,FALSE),""))</f>
        <v/>
      </c>
      <c r="T1654" s="40">
        <f>IF(F1654="","",IFERROR(1/(1/VLOOKUP(F1654,T_Produits,3,FALSE)),""))</f>
        <v/>
      </c>
      <c r="U1654" s="40">
        <f>IF(H1654&lt;&gt;"",H1654,T1654)</f>
        <v/>
      </c>
      <c r="V1654" s="40">
        <f>IF(OR(G1654="",U1654=""),"",G1654*U1654-N(I1654))</f>
        <v/>
      </c>
      <c r="W1654" s="39">
        <f>IF(D1654="","",IFERROR(VALUE(MID(D1654,LEN(D1654)-3,3)),""))</f>
        <v/>
      </c>
      <c r="X1654" s="33">
        <f>IF(W1654="","",P1654&amp;"|"&amp;W1654)</f>
        <v/>
      </c>
      <c r="Y1654" s="33">
        <f>IF(W1654="","",IF(P1654="À RENSEIGNER","GIC",P1654)&amp;"-"&amp;TEXT(W1654,"000"))</f>
        <v/>
      </c>
      <c r="Z1654" s="33">
        <f>IF(X1654="","",IFERROR(INDEX(Cl_nom,MATCH(X1654,Cl_cle,0)),"(client introuvable)"))</f>
        <v/>
      </c>
      <c r="AA1654" s="33">
        <f>IF(X1654="","",IFERROR(INDEX(Cl_quartier,MATCH(X1654,Cl_cle,0))&amp;"",""))</f>
        <v/>
      </c>
      <c r="AB1654" s="45">
        <f>IF(R1654&lt;&gt;"Livrée",0,IF(K1654&lt;&gt;"",K1654,C1654))</f>
        <v/>
      </c>
      <c r="AC1654" s="33">
        <f>IF(OR(C1654="",W1654=""),"",P1654&amp;"|"&amp;W1654&amp;"|"&amp;C1654&amp;"|"&amp;E1654)</f>
        <v/>
      </c>
      <c r="AD1654" s="39">
        <f>IF(AC1654="","",IF(COUNTIF(AC$6:AC1654,AC1654)=1,1,0))</f>
        <v/>
      </c>
      <c r="AE1654" s="39">
        <f>IF(AB1654=0,"",IF(COUNTIFS(X$6:X1654,X1654,AB$6:AB1654,AB1654)=1,1,0))</f>
        <v/>
      </c>
      <c r="AF1654" s="34">
        <f>IF(C1654="","",YEAR(C1654-WEEKDAY(C1654,2)+4)&amp;"-S"&amp;TEXT(INT((C1654-DATE(YEAR(C1654-WEEKDAY(C1654,2)+4),1,3)+WEEKDAY(DATE(YEAR(C1654-WEEKDAY(C1654,2)+4),1,3),2)+5)/7),"00"))</f>
        <v/>
      </c>
    </row>
    <row r="1655" ht="18" customHeight="1">
      <c r="A1655" s="39" t="n">
        <v>1650</v>
      </c>
      <c r="B1655" s="33">
        <f>IF(C1655="","",IF(P1655="À RENSEIGNER","GIC",P1655)&amp;"-C"&amp;TEXT(A1655,"00000"))</f>
        <v/>
      </c>
      <c r="C1655" s="32" t="n"/>
      <c r="D1655" s="36" t="n"/>
      <c r="E1655" s="36" t="n"/>
      <c r="F1655" s="36" t="n"/>
      <c r="G1655" s="42" t="n"/>
      <c r="H1655" s="37" t="n"/>
      <c r="I1655" s="37" t="n"/>
      <c r="J1655" s="32" t="n"/>
      <c r="K1655" s="32" t="n"/>
      <c r="L1655" s="43" t="n"/>
      <c r="M1655" s="36" t="n"/>
      <c r="N1655" s="44" t="n"/>
      <c r="O1655" s="36" t="n"/>
      <c r="P1655" s="33">
        <f>IF(C1655="","",Commercial_Id)</f>
        <v/>
      </c>
      <c r="Q1655" s="34">
        <f>IF(AC1655="","",IF(AD1655=1,"C"&amp;TEXT(SUM(AD$6:AD1655),"0000"),INDEX(Q$6:Q1654,MATCH(AC1655,AC$6:AC1654,0))))</f>
        <v/>
      </c>
      <c r="R1655" s="34">
        <f>IF(C1655="","",IF(L1655="☑ Oui","Annulée",IF(OR(E1655="Vente directe",K1655&lt;&gt;""),"Livrée",IF(J1655&lt;&gt;"","Confirmée","En attente"))))</f>
        <v/>
      </c>
      <c r="S1655" s="34">
        <f>IF(F1655="","",IFERROR(VLOOKUP(F1655,T_Produits,2,FALSE),""))</f>
        <v/>
      </c>
      <c r="T1655" s="40">
        <f>IF(F1655="","",IFERROR(1/(1/VLOOKUP(F1655,T_Produits,3,FALSE)),""))</f>
        <v/>
      </c>
      <c r="U1655" s="40">
        <f>IF(H1655&lt;&gt;"",H1655,T1655)</f>
        <v/>
      </c>
      <c r="V1655" s="40">
        <f>IF(OR(G1655="",U1655=""),"",G1655*U1655-N(I1655))</f>
        <v/>
      </c>
      <c r="W1655" s="39">
        <f>IF(D1655="","",IFERROR(VALUE(MID(D1655,LEN(D1655)-3,3)),""))</f>
        <v/>
      </c>
      <c r="X1655" s="33">
        <f>IF(W1655="","",P1655&amp;"|"&amp;W1655)</f>
        <v/>
      </c>
      <c r="Y1655" s="33">
        <f>IF(W1655="","",IF(P1655="À RENSEIGNER","GIC",P1655)&amp;"-"&amp;TEXT(W1655,"000"))</f>
        <v/>
      </c>
      <c r="Z1655" s="33">
        <f>IF(X1655="","",IFERROR(INDEX(Cl_nom,MATCH(X1655,Cl_cle,0)),"(client introuvable)"))</f>
        <v/>
      </c>
      <c r="AA1655" s="33">
        <f>IF(X1655="","",IFERROR(INDEX(Cl_quartier,MATCH(X1655,Cl_cle,0))&amp;"",""))</f>
        <v/>
      </c>
      <c r="AB1655" s="45">
        <f>IF(R1655&lt;&gt;"Livrée",0,IF(K1655&lt;&gt;"",K1655,C1655))</f>
        <v/>
      </c>
      <c r="AC1655" s="33">
        <f>IF(OR(C1655="",W1655=""),"",P1655&amp;"|"&amp;W1655&amp;"|"&amp;C1655&amp;"|"&amp;E1655)</f>
        <v/>
      </c>
      <c r="AD1655" s="39">
        <f>IF(AC1655="","",IF(COUNTIF(AC$6:AC1655,AC1655)=1,1,0))</f>
        <v/>
      </c>
      <c r="AE1655" s="39">
        <f>IF(AB1655=0,"",IF(COUNTIFS(X$6:X1655,X1655,AB$6:AB1655,AB1655)=1,1,0))</f>
        <v/>
      </c>
      <c r="AF1655" s="34">
        <f>IF(C1655="","",YEAR(C1655-WEEKDAY(C1655,2)+4)&amp;"-S"&amp;TEXT(INT((C1655-DATE(YEAR(C1655-WEEKDAY(C1655,2)+4),1,3)+WEEKDAY(DATE(YEAR(C1655-WEEKDAY(C1655,2)+4),1,3),2)+5)/7),"00"))</f>
        <v/>
      </c>
    </row>
    <row r="1656" ht="18" customHeight="1">
      <c r="A1656" s="39" t="n">
        <v>1651</v>
      </c>
      <c r="B1656" s="33">
        <f>IF(C1656="","",IF(P1656="À RENSEIGNER","GIC",P1656)&amp;"-C"&amp;TEXT(A1656,"00000"))</f>
        <v/>
      </c>
      <c r="C1656" s="32" t="n"/>
      <c r="D1656" s="36" t="n"/>
      <c r="E1656" s="36" t="n"/>
      <c r="F1656" s="36" t="n"/>
      <c r="G1656" s="42" t="n"/>
      <c r="H1656" s="37" t="n"/>
      <c r="I1656" s="37" t="n"/>
      <c r="J1656" s="32" t="n"/>
      <c r="K1656" s="32" t="n"/>
      <c r="L1656" s="43" t="n"/>
      <c r="M1656" s="36" t="n"/>
      <c r="N1656" s="44" t="n"/>
      <c r="O1656" s="36" t="n"/>
      <c r="P1656" s="33">
        <f>IF(C1656="","",Commercial_Id)</f>
        <v/>
      </c>
      <c r="Q1656" s="34">
        <f>IF(AC1656="","",IF(AD1656=1,"C"&amp;TEXT(SUM(AD$6:AD1656),"0000"),INDEX(Q$6:Q1655,MATCH(AC1656,AC$6:AC1655,0))))</f>
        <v/>
      </c>
      <c r="R1656" s="34">
        <f>IF(C1656="","",IF(L1656="☑ Oui","Annulée",IF(OR(E1656="Vente directe",K1656&lt;&gt;""),"Livrée",IF(J1656&lt;&gt;"","Confirmée","En attente"))))</f>
        <v/>
      </c>
      <c r="S1656" s="34">
        <f>IF(F1656="","",IFERROR(VLOOKUP(F1656,T_Produits,2,FALSE),""))</f>
        <v/>
      </c>
      <c r="T1656" s="40">
        <f>IF(F1656="","",IFERROR(1/(1/VLOOKUP(F1656,T_Produits,3,FALSE)),""))</f>
        <v/>
      </c>
      <c r="U1656" s="40">
        <f>IF(H1656&lt;&gt;"",H1656,T1656)</f>
        <v/>
      </c>
      <c r="V1656" s="40">
        <f>IF(OR(G1656="",U1656=""),"",G1656*U1656-N(I1656))</f>
        <v/>
      </c>
      <c r="W1656" s="39">
        <f>IF(D1656="","",IFERROR(VALUE(MID(D1656,LEN(D1656)-3,3)),""))</f>
        <v/>
      </c>
      <c r="X1656" s="33">
        <f>IF(W1656="","",P1656&amp;"|"&amp;W1656)</f>
        <v/>
      </c>
      <c r="Y1656" s="33">
        <f>IF(W1656="","",IF(P1656="À RENSEIGNER","GIC",P1656)&amp;"-"&amp;TEXT(W1656,"000"))</f>
        <v/>
      </c>
      <c r="Z1656" s="33">
        <f>IF(X1656="","",IFERROR(INDEX(Cl_nom,MATCH(X1656,Cl_cle,0)),"(client introuvable)"))</f>
        <v/>
      </c>
      <c r="AA1656" s="33">
        <f>IF(X1656="","",IFERROR(INDEX(Cl_quartier,MATCH(X1656,Cl_cle,0))&amp;"",""))</f>
        <v/>
      </c>
      <c r="AB1656" s="45">
        <f>IF(R1656&lt;&gt;"Livrée",0,IF(K1656&lt;&gt;"",K1656,C1656))</f>
        <v/>
      </c>
      <c r="AC1656" s="33">
        <f>IF(OR(C1656="",W1656=""),"",P1656&amp;"|"&amp;W1656&amp;"|"&amp;C1656&amp;"|"&amp;E1656)</f>
        <v/>
      </c>
      <c r="AD1656" s="39">
        <f>IF(AC1656="","",IF(COUNTIF(AC$6:AC1656,AC1656)=1,1,0))</f>
        <v/>
      </c>
      <c r="AE1656" s="39">
        <f>IF(AB1656=0,"",IF(COUNTIFS(X$6:X1656,X1656,AB$6:AB1656,AB1656)=1,1,0))</f>
        <v/>
      </c>
      <c r="AF1656" s="34">
        <f>IF(C1656="","",YEAR(C1656-WEEKDAY(C1656,2)+4)&amp;"-S"&amp;TEXT(INT((C1656-DATE(YEAR(C1656-WEEKDAY(C1656,2)+4),1,3)+WEEKDAY(DATE(YEAR(C1656-WEEKDAY(C1656,2)+4),1,3),2)+5)/7),"00"))</f>
        <v/>
      </c>
    </row>
    <row r="1657" ht="18" customHeight="1">
      <c r="A1657" s="39" t="n">
        <v>1652</v>
      </c>
      <c r="B1657" s="33">
        <f>IF(C1657="","",IF(P1657="À RENSEIGNER","GIC",P1657)&amp;"-C"&amp;TEXT(A1657,"00000"))</f>
        <v/>
      </c>
      <c r="C1657" s="32" t="n"/>
      <c r="D1657" s="36" t="n"/>
      <c r="E1657" s="36" t="n"/>
      <c r="F1657" s="36" t="n"/>
      <c r="G1657" s="42" t="n"/>
      <c r="H1657" s="37" t="n"/>
      <c r="I1657" s="37" t="n"/>
      <c r="J1657" s="32" t="n"/>
      <c r="K1657" s="32" t="n"/>
      <c r="L1657" s="43" t="n"/>
      <c r="M1657" s="36" t="n"/>
      <c r="N1657" s="44" t="n"/>
      <c r="O1657" s="36" t="n"/>
      <c r="P1657" s="33">
        <f>IF(C1657="","",Commercial_Id)</f>
        <v/>
      </c>
      <c r="Q1657" s="34">
        <f>IF(AC1657="","",IF(AD1657=1,"C"&amp;TEXT(SUM(AD$6:AD1657),"0000"),INDEX(Q$6:Q1656,MATCH(AC1657,AC$6:AC1656,0))))</f>
        <v/>
      </c>
      <c r="R1657" s="34">
        <f>IF(C1657="","",IF(L1657="☑ Oui","Annulée",IF(OR(E1657="Vente directe",K1657&lt;&gt;""),"Livrée",IF(J1657&lt;&gt;"","Confirmée","En attente"))))</f>
        <v/>
      </c>
      <c r="S1657" s="34">
        <f>IF(F1657="","",IFERROR(VLOOKUP(F1657,T_Produits,2,FALSE),""))</f>
        <v/>
      </c>
      <c r="T1657" s="40">
        <f>IF(F1657="","",IFERROR(1/(1/VLOOKUP(F1657,T_Produits,3,FALSE)),""))</f>
        <v/>
      </c>
      <c r="U1657" s="40">
        <f>IF(H1657&lt;&gt;"",H1657,T1657)</f>
        <v/>
      </c>
      <c r="V1657" s="40">
        <f>IF(OR(G1657="",U1657=""),"",G1657*U1657-N(I1657))</f>
        <v/>
      </c>
      <c r="W1657" s="39">
        <f>IF(D1657="","",IFERROR(VALUE(MID(D1657,LEN(D1657)-3,3)),""))</f>
        <v/>
      </c>
      <c r="X1657" s="33">
        <f>IF(W1657="","",P1657&amp;"|"&amp;W1657)</f>
        <v/>
      </c>
      <c r="Y1657" s="33">
        <f>IF(W1657="","",IF(P1657="À RENSEIGNER","GIC",P1657)&amp;"-"&amp;TEXT(W1657,"000"))</f>
        <v/>
      </c>
      <c r="Z1657" s="33">
        <f>IF(X1657="","",IFERROR(INDEX(Cl_nom,MATCH(X1657,Cl_cle,0)),"(client introuvable)"))</f>
        <v/>
      </c>
      <c r="AA1657" s="33">
        <f>IF(X1657="","",IFERROR(INDEX(Cl_quartier,MATCH(X1657,Cl_cle,0))&amp;"",""))</f>
        <v/>
      </c>
      <c r="AB1657" s="45">
        <f>IF(R1657&lt;&gt;"Livrée",0,IF(K1657&lt;&gt;"",K1657,C1657))</f>
        <v/>
      </c>
      <c r="AC1657" s="33">
        <f>IF(OR(C1657="",W1657=""),"",P1657&amp;"|"&amp;W1657&amp;"|"&amp;C1657&amp;"|"&amp;E1657)</f>
        <v/>
      </c>
      <c r="AD1657" s="39">
        <f>IF(AC1657="","",IF(COUNTIF(AC$6:AC1657,AC1657)=1,1,0))</f>
        <v/>
      </c>
      <c r="AE1657" s="39">
        <f>IF(AB1657=0,"",IF(COUNTIFS(X$6:X1657,X1657,AB$6:AB1657,AB1657)=1,1,0))</f>
        <v/>
      </c>
      <c r="AF1657" s="34">
        <f>IF(C1657="","",YEAR(C1657-WEEKDAY(C1657,2)+4)&amp;"-S"&amp;TEXT(INT((C1657-DATE(YEAR(C1657-WEEKDAY(C1657,2)+4),1,3)+WEEKDAY(DATE(YEAR(C1657-WEEKDAY(C1657,2)+4),1,3),2)+5)/7),"00"))</f>
        <v/>
      </c>
    </row>
    <row r="1658" ht="18" customHeight="1">
      <c r="A1658" s="39" t="n">
        <v>1653</v>
      </c>
      <c r="B1658" s="33">
        <f>IF(C1658="","",IF(P1658="À RENSEIGNER","GIC",P1658)&amp;"-C"&amp;TEXT(A1658,"00000"))</f>
        <v/>
      </c>
      <c r="C1658" s="32" t="n"/>
      <c r="D1658" s="36" t="n"/>
      <c r="E1658" s="36" t="n"/>
      <c r="F1658" s="36" t="n"/>
      <c r="G1658" s="42" t="n"/>
      <c r="H1658" s="37" t="n"/>
      <c r="I1658" s="37" t="n"/>
      <c r="J1658" s="32" t="n"/>
      <c r="K1658" s="32" t="n"/>
      <c r="L1658" s="43" t="n"/>
      <c r="M1658" s="36" t="n"/>
      <c r="N1658" s="44" t="n"/>
      <c r="O1658" s="36" t="n"/>
      <c r="P1658" s="33">
        <f>IF(C1658="","",Commercial_Id)</f>
        <v/>
      </c>
      <c r="Q1658" s="34">
        <f>IF(AC1658="","",IF(AD1658=1,"C"&amp;TEXT(SUM(AD$6:AD1658),"0000"),INDEX(Q$6:Q1657,MATCH(AC1658,AC$6:AC1657,0))))</f>
        <v/>
      </c>
      <c r="R1658" s="34">
        <f>IF(C1658="","",IF(L1658="☑ Oui","Annulée",IF(OR(E1658="Vente directe",K1658&lt;&gt;""),"Livrée",IF(J1658&lt;&gt;"","Confirmée","En attente"))))</f>
        <v/>
      </c>
      <c r="S1658" s="34">
        <f>IF(F1658="","",IFERROR(VLOOKUP(F1658,T_Produits,2,FALSE),""))</f>
        <v/>
      </c>
      <c r="T1658" s="40">
        <f>IF(F1658="","",IFERROR(1/(1/VLOOKUP(F1658,T_Produits,3,FALSE)),""))</f>
        <v/>
      </c>
      <c r="U1658" s="40">
        <f>IF(H1658&lt;&gt;"",H1658,T1658)</f>
        <v/>
      </c>
      <c r="V1658" s="40">
        <f>IF(OR(G1658="",U1658=""),"",G1658*U1658-N(I1658))</f>
        <v/>
      </c>
      <c r="W1658" s="39">
        <f>IF(D1658="","",IFERROR(VALUE(MID(D1658,LEN(D1658)-3,3)),""))</f>
        <v/>
      </c>
      <c r="X1658" s="33">
        <f>IF(W1658="","",P1658&amp;"|"&amp;W1658)</f>
        <v/>
      </c>
      <c r="Y1658" s="33">
        <f>IF(W1658="","",IF(P1658="À RENSEIGNER","GIC",P1658)&amp;"-"&amp;TEXT(W1658,"000"))</f>
        <v/>
      </c>
      <c r="Z1658" s="33">
        <f>IF(X1658="","",IFERROR(INDEX(Cl_nom,MATCH(X1658,Cl_cle,0)),"(client introuvable)"))</f>
        <v/>
      </c>
      <c r="AA1658" s="33">
        <f>IF(X1658="","",IFERROR(INDEX(Cl_quartier,MATCH(X1658,Cl_cle,0))&amp;"",""))</f>
        <v/>
      </c>
      <c r="AB1658" s="45">
        <f>IF(R1658&lt;&gt;"Livrée",0,IF(K1658&lt;&gt;"",K1658,C1658))</f>
        <v/>
      </c>
      <c r="AC1658" s="33">
        <f>IF(OR(C1658="",W1658=""),"",P1658&amp;"|"&amp;W1658&amp;"|"&amp;C1658&amp;"|"&amp;E1658)</f>
        <v/>
      </c>
      <c r="AD1658" s="39">
        <f>IF(AC1658="","",IF(COUNTIF(AC$6:AC1658,AC1658)=1,1,0))</f>
        <v/>
      </c>
      <c r="AE1658" s="39">
        <f>IF(AB1658=0,"",IF(COUNTIFS(X$6:X1658,X1658,AB$6:AB1658,AB1658)=1,1,0))</f>
        <v/>
      </c>
      <c r="AF1658" s="34">
        <f>IF(C1658="","",YEAR(C1658-WEEKDAY(C1658,2)+4)&amp;"-S"&amp;TEXT(INT((C1658-DATE(YEAR(C1658-WEEKDAY(C1658,2)+4),1,3)+WEEKDAY(DATE(YEAR(C1658-WEEKDAY(C1658,2)+4),1,3),2)+5)/7),"00"))</f>
        <v/>
      </c>
    </row>
    <row r="1659" ht="18" customHeight="1">
      <c r="A1659" s="39" t="n">
        <v>1654</v>
      </c>
      <c r="B1659" s="33">
        <f>IF(C1659="","",IF(P1659="À RENSEIGNER","GIC",P1659)&amp;"-C"&amp;TEXT(A1659,"00000"))</f>
        <v/>
      </c>
      <c r="C1659" s="32" t="n"/>
      <c r="D1659" s="36" t="n"/>
      <c r="E1659" s="36" t="n"/>
      <c r="F1659" s="36" t="n"/>
      <c r="G1659" s="42" t="n"/>
      <c r="H1659" s="37" t="n"/>
      <c r="I1659" s="37" t="n"/>
      <c r="J1659" s="32" t="n"/>
      <c r="K1659" s="32" t="n"/>
      <c r="L1659" s="43" t="n"/>
      <c r="M1659" s="36" t="n"/>
      <c r="N1659" s="44" t="n"/>
      <c r="O1659" s="36" t="n"/>
      <c r="P1659" s="33">
        <f>IF(C1659="","",Commercial_Id)</f>
        <v/>
      </c>
      <c r="Q1659" s="34">
        <f>IF(AC1659="","",IF(AD1659=1,"C"&amp;TEXT(SUM(AD$6:AD1659),"0000"),INDEX(Q$6:Q1658,MATCH(AC1659,AC$6:AC1658,0))))</f>
        <v/>
      </c>
      <c r="R1659" s="34">
        <f>IF(C1659="","",IF(L1659="☑ Oui","Annulée",IF(OR(E1659="Vente directe",K1659&lt;&gt;""),"Livrée",IF(J1659&lt;&gt;"","Confirmée","En attente"))))</f>
        <v/>
      </c>
      <c r="S1659" s="34">
        <f>IF(F1659="","",IFERROR(VLOOKUP(F1659,T_Produits,2,FALSE),""))</f>
        <v/>
      </c>
      <c r="T1659" s="40">
        <f>IF(F1659="","",IFERROR(1/(1/VLOOKUP(F1659,T_Produits,3,FALSE)),""))</f>
        <v/>
      </c>
      <c r="U1659" s="40">
        <f>IF(H1659&lt;&gt;"",H1659,T1659)</f>
        <v/>
      </c>
      <c r="V1659" s="40">
        <f>IF(OR(G1659="",U1659=""),"",G1659*U1659-N(I1659))</f>
        <v/>
      </c>
      <c r="W1659" s="39">
        <f>IF(D1659="","",IFERROR(VALUE(MID(D1659,LEN(D1659)-3,3)),""))</f>
        <v/>
      </c>
      <c r="X1659" s="33">
        <f>IF(W1659="","",P1659&amp;"|"&amp;W1659)</f>
        <v/>
      </c>
      <c r="Y1659" s="33">
        <f>IF(W1659="","",IF(P1659="À RENSEIGNER","GIC",P1659)&amp;"-"&amp;TEXT(W1659,"000"))</f>
        <v/>
      </c>
      <c r="Z1659" s="33">
        <f>IF(X1659="","",IFERROR(INDEX(Cl_nom,MATCH(X1659,Cl_cle,0)),"(client introuvable)"))</f>
        <v/>
      </c>
      <c r="AA1659" s="33">
        <f>IF(X1659="","",IFERROR(INDEX(Cl_quartier,MATCH(X1659,Cl_cle,0))&amp;"",""))</f>
        <v/>
      </c>
      <c r="AB1659" s="45">
        <f>IF(R1659&lt;&gt;"Livrée",0,IF(K1659&lt;&gt;"",K1659,C1659))</f>
        <v/>
      </c>
      <c r="AC1659" s="33">
        <f>IF(OR(C1659="",W1659=""),"",P1659&amp;"|"&amp;W1659&amp;"|"&amp;C1659&amp;"|"&amp;E1659)</f>
        <v/>
      </c>
      <c r="AD1659" s="39">
        <f>IF(AC1659="","",IF(COUNTIF(AC$6:AC1659,AC1659)=1,1,0))</f>
        <v/>
      </c>
      <c r="AE1659" s="39">
        <f>IF(AB1659=0,"",IF(COUNTIFS(X$6:X1659,X1659,AB$6:AB1659,AB1659)=1,1,0))</f>
        <v/>
      </c>
      <c r="AF1659" s="34">
        <f>IF(C1659="","",YEAR(C1659-WEEKDAY(C1659,2)+4)&amp;"-S"&amp;TEXT(INT((C1659-DATE(YEAR(C1659-WEEKDAY(C1659,2)+4),1,3)+WEEKDAY(DATE(YEAR(C1659-WEEKDAY(C1659,2)+4),1,3),2)+5)/7),"00"))</f>
        <v/>
      </c>
    </row>
    <row r="1660" ht="18" customHeight="1">
      <c r="A1660" s="39" t="n">
        <v>1655</v>
      </c>
      <c r="B1660" s="33">
        <f>IF(C1660="","",IF(P1660="À RENSEIGNER","GIC",P1660)&amp;"-C"&amp;TEXT(A1660,"00000"))</f>
        <v/>
      </c>
      <c r="C1660" s="32" t="n"/>
      <c r="D1660" s="36" t="n"/>
      <c r="E1660" s="36" t="n"/>
      <c r="F1660" s="36" t="n"/>
      <c r="G1660" s="42" t="n"/>
      <c r="H1660" s="37" t="n"/>
      <c r="I1660" s="37" t="n"/>
      <c r="J1660" s="32" t="n"/>
      <c r="K1660" s="32" t="n"/>
      <c r="L1660" s="43" t="n"/>
      <c r="M1660" s="36" t="n"/>
      <c r="N1660" s="44" t="n"/>
      <c r="O1660" s="36" t="n"/>
      <c r="P1660" s="33">
        <f>IF(C1660="","",Commercial_Id)</f>
        <v/>
      </c>
      <c r="Q1660" s="34">
        <f>IF(AC1660="","",IF(AD1660=1,"C"&amp;TEXT(SUM(AD$6:AD1660),"0000"),INDEX(Q$6:Q1659,MATCH(AC1660,AC$6:AC1659,0))))</f>
        <v/>
      </c>
      <c r="R1660" s="34">
        <f>IF(C1660="","",IF(L1660="☑ Oui","Annulée",IF(OR(E1660="Vente directe",K1660&lt;&gt;""),"Livrée",IF(J1660&lt;&gt;"","Confirmée","En attente"))))</f>
        <v/>
      </c>
      <c r="S1660" s="34">
        <f>IF(F1660="","",IFERROR(VLOOKUP(F1660,T_Produits,2,FALSE),""))</f>
        <v/>
      </c>
      <c r="T1660" s="40">
        <f>IF(F1660="","",IFERROR(1/(1/VLOOKUP(F1660,T_Produits,3,FALSE)),""))</f>
        <v/>
      </c>
      <c r="U1660" s="40">
        <f>IF(H1660&lt;&gt;"",H1660,T1660)</f>
        <v/>
      </c>
      <c r="V1660" s="40">
        <f>IF(OR(G1660="",U1660=""),"",G1660*U1660-N(I1660))</f>
        <v/>
      </c>
      <c r="W1660" s="39">
        <f>IF(D1660="","",IFERROR(VALUE(MID(D1660,LEN(D1660)-3,3)),""))</f>
        <v/>
      </c>
      <c r="X1660" s="33">
        <f>IF(W1660="","",P1660&amp;"|"&amp;W1660)</f>
        <v/>
      </c>
      <c r="Y1660" s="33">
        <f>IF(W1660="","",IF(P1660="À RENSEIGNER","GIC",P1660)&amp;"-"&amp;TEXT(W1660,"000"))</f>
        <v/>
      </c>
      <c r="Z1660" s="33">
        <f>IF(X1660="","",IFERROR(INDEX(Cl_nom,MATCH(X1660,Cl_cle,0)),"(client introuvable)"))</f>
        <v/>
      </c>
      <c r="AA1660" s="33">
        <f>IF(X1660="","",IFERROR(INDEX(Cl_quartier,MATCH(X1660,Cl_cle,0))&amp;"",""))</f>
        <v/>
      </c>
      <c r="AB1660" s="45">
        <f>IF(R1660&lt;&gt;"Livrée",0,IF(K1660&lt;&gt;"",K1660,C1660))</f>
        <v/>
      </c>
      <c r="AC1660" s="33">
        <f>IF(OR(C1660="",W1660=""),"",P1660&amp;"|"&amp;W1660&amp;"|"&amp;C1660&amp;"|"&amp;E1660)</f>
        <v/>
      </c>
      <c r="AD1660" s="39">
        <f>IF(AC1660="","",IF(COUNTIF(AC$6:AC1660,AC1660)=1,1,0))</f>
        <v/>
      </c>
      <c r="AE1660" s="39">
        <f>IF(AB1660=0,"",IF(COUNTIFS(X$6:X1660,X1660,AB$6:AB1660,AB1660)=1,1,0))</f>
        <v/>
      </c>
      <c r="AF1660" s="34">
        <f>IF(C1660="","",YEAR(C1660-WEEKDAY(C1660,2)+4)&amp;"-S"&amp;TEXT(INT((C1660-DATE(YEAR(C1660-WEEKDAY(C1660,2)+4),1,3)+WEEKDAY(DATE(YEAR(C1660-WEEKDAY(C1660,2)+4),1,3),2)+5)/7),"00"))</f>
        <v/>
      </c>
    </row>
    <row r="1661" ht="18" customHeight="1">
      <c r="A1661" s="39" t="n">
        <v>1656</v>
      </c>
      <c r="B1661" s="33">
        <f>IF(C1661="","",IF(P1661="À RENSEIGNER","GIC",P1661)&amp;"-C"&amp;TEXT(A1661,"00000"))</f>
        <v/>
      </c>
      <c r="C1661" s="32" t="n"/>
      <c r="D1661" s="36" t="n"/>
      <c r="E1661" s="36" t="n"/>
      <c r="F1661" s="36" t="n"/>
      <c r="G1661" s="42" t="n"/>
      <c r="H1661" s="37" t="n"/>
      <c r="I1661" s="37" t="n"/>
      <c r="J1661" s="32" t="n"/>
      <c r="K1661" s="32" t="n"/>
      <c r="L1661" s="43" t="n"/>
      <c r="M1661" s="36" t="n"/>
      <c r="N1661" s="44" t="n"/>
      <c r="O1661" s="36" t="n"/>
      <c r="P1661" s="33">
        <f>IF(C1661="","",Commercial_Id)</f>
        <v/>
      </c>
      <c r="Q1661" s="34">
        <f>IF(AC1661="","",IF(AD1661=1,"C"&amp;TEXT(SUM(AD$6:AD1661),"0000"),INDEX(Q$6:Q1660,MATCH(AC1661,AC$6:AC1660,0))))</f>
        <v/>
      </c>
      <c r="R1661" s="34">
        <f>IF(C1661="","",IF(L1661="☑ Oui","Annulée",IF(OR(E1661="Vente directe",K1661&lt;&gt;""),"Livrée",IF(J1661&lt;&gt;"","Confirmée","En attente"))))</f>
        <v/>
      </c>
      <c r="S1661" s="34">
        <f>IF(F1661="","",IFERROR(VLOOKUP(F1661,T_Produits,2,FALSE),""))</f>
        <v/>
      </c>
      <c r="T1661" s="40">
        <f>IF(F1661="","",IFERROR(1/(1/VLOOKUP(F1661,T_Produits,3,FALSE)),""))</f>
        <v/>
      </c>
      <c r="U1661" s="40">
        <f>IF(H1661&lt;&gt;"",H1661,T1661)</f>
        <v/>
      </c>
      <c r="V1661" s="40">
        <f>IF(OR(G1661="",U1661=""),"",G1661*U1661-N(I1661))</f>
        <v/>
      </c>
      <c r="W1661" s="39">
        <f>IF(D1661="","",IFERROR(VALUE(MID(D1661,LEN(D1661)-3,3)),""))</f>
        <v/>
      </c>
      <c r="X1661" s="33">
        <f>IF(W1661="","",P1661&amp;"|"&amp;W1661)</f>
        <v/>
      </c>
      <c r="Y1661" s="33">
        <f>IF(W1661="","",IF(P1661="À RENSEIGNER","GIC",P1661)&amp;"-"&amp;TEXT(W1661,"000"))</f>
        <v/>
      </c>
      <c r="Z1661" s="33">
        <f>IF(X1661="","",IFERROR(INDEX(Cl_nom,MATCH(X1661,Cl_cle,0)),"(client introuvable)"))</f>
        <v/>
      </c>
      <c r="AA1661" s="33">
        <f>IF(X1661="","",IFERROR(INDEX(Cl_quartier,MATCH(X1661,Cl_cle,0))&amp;"",""))</f>
        <v/>
      </c>
      <c r="AB1661" s="45">
        <f>IF(R1661&lt;&gt;"Livrée",0,IF(K1661&lt;&gt;"",K1661,C1661))</f>
        <v/>
      </c>
      <c r="AC1661" s="33">
        <f>IF(OR(C1661="",W1661=""),"",P1661&amp;"|"&amp;W1661&amp;"|"&amp;C1661&amp;"|"&amp;E1661)</f>
        <v/>
      </c>
      <c r="AD1661" s="39">
        <f>IF(AC1661="","",IF(COUNTIF(AC$6:AC1661,AC1661)=1,1,0))</f>
        <v/>
      </c>
      <c r="AE1661" s="39">
        <f>IF(AB1661=0,"",IF(COUNTIFS(X$6:X1661,X1661,AB$6:AB1661,AB1661)=1,1,0))</f>
        <v/>
      </c>
      <c r="AF1661" s="34">
        <f>IF(C1661="","",YEAR(C1661-WEEKDAY(C1661,2)+4)&amp;"-S"&amp;TEXT(INT((C1661-DATE(YEAR(C1661-WEEKDAY(C1661,2)+4),1,3)+WEEKDAY(DATE(YEAR(C1661-WEEKDAY(C1661,2)+4),1,3),2)+5)/7),"00"))</f>
        <v/>
      </c>
    </row>
    <row r="1662" ht="18" customHeight="1">
      <c r="A1662" s="39" t="n">
        <v>1657</v>
      </c>
      <c r="B1662" s="33">
        <f>IF(C1662="","",IF(P1662="À RENSEIGNER","GIC",P1662)&amp;"-C"&amp;TEXT(A1662,"00000"))</f>
        <v/>
      </c>
      <c r="C1662" s="32" t="n"/>
      <c r="D1662" s="36" t="n"/>
      <c r="E1662" s="36" t="n"/>
      <c r="F1662" s="36" t="n"/>
      <c r="G1662" s="42" t="n"/>
      <c r="H1662" s="37" t="n"/>
      <c r="I1662" s="37" t="n"/>
      <c r="J1662" s="32" t="n"/>
      <c r="K1662" s="32" t="n"/>
      <c r="L1662" s="43" t="n"/>
      <c r="M1662" s="36" t="n"/>
      <c r="N1662" s="44" t="n"/>
      <c r="O1662" s="36" t="n"/>
      <c r="P1662" s="33">
        <f>IF(C1662="","",Commercial_Id)</f>
        <v/>
      </c>
      <c r="Q1662" s="34">
        <f>IF(AC1662="","",IF(AD1662=1,"C"&amp;TEXT(SUM(AD$6:AD1662),"0000"),INDEX(Q$6:Q1661,MATCH(AC1662,AC$6:AC1661,0))))</f>
        <v/>
      </c>
      <c r="R1662" s="34">
        <f>IF(C1662="","",IF(L1662="☑ Oui","Annulée",IF(OR(E1662="Vente directe",K1662&lt;&gt;""),"Livrée",IF(J1662&lt;&gt;"","Confirmée","En attente"))))</f>
        <v/>
      </c>
      <c r="S1662" s="34">
        <f>IF(F1662="","",IFERROR(VLOOKUP(F1662,T_Produits,2,FALSE),""))</f>
        <v/>
      </c>
      <c r="T1662" s="40">
        <f>IF(F1662="","",IFERROR(1/(1/VLOOKUP(F1662,T_Produits,3,FALSE)),""))</f>
        <v/>
      </c>
      <c r="U1662" s="40">
        <f>IF(H1662&lt;&gt;"",H1662,T1662)</f>
        <v/>
      </c>
      <c r="V1662" s="40">
        <f>IF(OR(G1662="",U1662=""),"",G1662*U1662-N(I1662))</f>
        <v/>
      </c>
      <c r="W1662" s="39">
        <f>IF(D1662="","",IFERROR(VALUE(MID(D1662,LEN(D1662)-3,3)),""))</f>
        <v/>
      </c>
      <c r="X1662" s="33">
        <f>IF(W1662="","",P1662&amp;"|"&amp;W1662)</f>
        <v/>
      </c>
      <c r="Y1662" s="33">
        <f>IF(W1662="","",IF(P1662="À RENSEIGNER","GIC",P1662)&amp;"-"&amp;TEXT(W1662,"000"))</f>
        <v/>
      </c>
      <c r="Z1662" s="33">
        <f>IF(X1662="","",IFERROR(INDEX(Cl_nom,MATCH(X1662,Cl_cle,0)),"(client introuvable)"))</f>
        <v/>
      </c>
      <c r="AA1662" s="33">
        <f>IF(X1662="","",IFERROR(INDEX(Cl_quartier,MATCH(X1662,Cl_cle,0))&amp;"",""))</f>
        <v/>
      </c>
      <c r="AB1662" s="45">
        <f>IF(R1662&lt;&gt;"Livrée",0,IF(K1662&lt;&gt;"",K1662,C1662))</f>
        <v/>
      </c>
      <c r="AC1662" s="33">
        <f>IF(OR(C1662="",W1662=""),"",P1662&amp;"|"&amp;W1662&amp;"|"&amp;C1662&amp;"|"&amp;E1662)</f>
        <v/>
      </c>
      <c r="AD1662" s="39">
        <f>IF(AC1662="","",IF(COUNTIF(AC$6:AC1662,AC1662)=1,1,0))</f>
        <v/>
      </c>
      <c r="AE1662" s="39">
        <f>IF(AB1662=0,"",IF(COUNTIFS(X$6:X1662,X1662,AB$6:AB1662,AB1662)=1,1,0))</f>
        <v/>
      </c>
      <c r="AF1662" s="34">
        <f>IF(C1662="","",YEAR(C1662-WEEKDAY(C1662,2)+4)&amp;"-S"&amp;TEXT(INT((C1662-DATE(YEAR(C1662-WEEKDAY(C1662,2)+4),1,3)+WEEKDAY(DATE(YEAR(C1662-WEEKDAY(C1662,2)+4),1,3),2)+5)/7),"00"))</f>
        <v/>
      </c>
    </row>
    <row r="1663" ht="18" customHeight="1">
      <c r="A1663" s="39" t="n">
        <v>1658</v>
      </c>
      <c r="B1663" s="33">
        <f>IF(C1663="","",IF(P1663="À RENSEIGNER","GIC",P1663)&amp;"-C"&amp;TEXT(A1663,"00000"))</f>
        <v/>
      </c>
      <c r="C1663" s="32" t="n"/>
      <c r="D1663" s="36" t="n"/>
      <c r="E1663" s="36" t="n"/>
      <c r="F1663" s="36" t="n"/>
      <c r="G1663" s="42" t="n"/>
      <c r="H1663" s="37" t="n"/>
      <c r="I1663" s="37" t="n"/>
      <c r="J1663" s="32" t="n"/>
      <c r="K1663" s="32" t="n"/>
      <c r="L1663" s="43" t="n"/>
      <c r="M1663" s="36" t="n"/>
      <c r="N1663" s="44" t="n"/>
      <c r="O1663" s="36" t="n"/>
      <c r="P1663" s="33">
        <f>IF(C1663="","",Commercial_Id)</f>
        <v/>
      </c>
      <c r="Q1663" s="34">
        <f>IF(AC1663="","",IF(AD1663=1,"C"&amp;TEXT(SUM(AD$6:AD1663),"0000"),INDEX(Q$6:Q1662,MATCH(AC1663,AC$6:AC1662,0))))</f>
        <v/>
      </c>
      <c r="R1663" s="34">
        <f>IF(C1663="","",IF(L1663="☑ Oui","Annulée",IF(OR(E1663="Vente directe",K1663&lt;&gt;""),"Livrée",IF(J1663&lt;&gt;"","Confirmée","En attente"))))</f>
        <v/>
      </c>
      <c r="S1663" s="34">
        <f>IF(F1663="","",IFERROR(VLOOKUP(F1663,T_Produits,2,FALSE),""))</f>
        <v/>
      </c>
      <c r="T1663" s="40">
        <f>IF(F1663="","",IFERROR(1/(1/VLOOKUP(F1663,T_Produits,3,FALSE)),""))</f>
        <v/>
      </c>
      <c r="U1663" s="40">
        <f>IF(H1663&lt;&gt;"",H1663,T1663)</f>
        <v/>
      </c>
      <c r="V1663" s="40">
        <f>IF(OR(G1663="",U1663=""),"",G1663*U1663-N(I1663))</f>
        <v/>
      </c>
      <c r="W1663" s="39">
        <f>IF(D1663="","",IFERROR(VALUE(MID(D1663,LEN(D1663)-3,3)),""))</f>
        <v/>
      </c>
      <c r="X1663" s="33">
        <f>IF(W1663="","",P1663&amp;"|"&amp;W1663)</f>
        <v/>
      </c>
      <c r="Y1663" s="33">
        <f>IF(W1663="","",IF(P1663="À RENSEIGNER","GIC",P1663)&amp;"-"&amp;TEXT(W1663,"000"))</f>
        <v/>
      </c>
      <c r="Z1663" s="33">
        <f>IF(X1663="","",IFERROR(INDEX(Cl_nom,MATCH(X1663,Cl_cle,0)),"(client introuvable)"))</f>
        <v/>
      </c>
      <c r="AA1663" s="33">
        <f>IF(X1663="","",IFERROR(INDEX(Cl_quartier,MATCH(X1663,Cl_cle,0))&amp;"",""))</f>
        <v/>
      </c>
      <c r="AB1663" s="45">
        <f>IF(R1663&lt;&gt;"Livrée",0,IF(K1663&lt;&gt;"",K1663,C1663))</f>
        <v/>
      </c>
      <c r="AC1663" s="33">
        <f>IF(OR(C1663="",W1663=""),"",P1663&amp;"|"&amp;W1663&amp;"|"&amp;C1663&amp;"|"&amp;E1663)</f>
        <v/>
      </c>
      <c r="AD1663" s="39">
        <f>IF(AC1663="","",IF(COUNTIF(AC$6:AC1663,AC1663)=1,1,0))</f>
        <v/>
      </c>
      <c r="AE1663" s="39">
        <f>IF(AB1663=0,"",IF(COUNTIFS(X$6:X1663,X1663,AB$6:AB1663,AB1663)=1,1,0))</f>
        <v/>
      </c>
      <c r="AF1663" s="34">
        <f>IF(C1663="","",YEAR(C1663-WEEKDAY(C1663,2)+4)&amp;"-S"&amp;TEXT(INT((C1663-DATE(YEAR(C1663-WEEKDAY(C1663,2)+4),1,3)+WEEKDAY(DATE(YEAR(C1663-WEEKDAY(C1663,2)+4),1,3),2)+5)/7),"00"))</f>
        <v/>
      </c>
    </row>
    <row r="1664" ht="18" customHeight="1">
      <c r="A1664" s="39" t="n">
        <v>1659</v>
      </c>
      <c r="B1664" s="33">
        <f>IF(C1664="","",IF(P1664="À RENSEIGNER","GIC",P1664)&amp;"-C"&amp;TEXT(A1664,"00000"))</f>
        <v/>
      </c>
      <c r="C1664" s="32" t="n"/>
      <c r="D1664" s="36" t="n"/>
      <c r="E1664" s="36" t="n"/>
      <c r="F1664" s="36" t="n"/>
      <c r="G1664" s="42" t="n"/>
      <c r="H1664" s="37" t="n"/>
      <c r="I1664" s="37" t="n"/>
      <c r="J1664" s="32" t="n"/>
      <c r="K1664" s="32" t="n"/>
      <c r="L1664" s="43" t="n"/>
      <c r="M1664" s="36" t="n"/>
      <c r="N1664" s="44" t="n"/>
      <c r="O1664" s="36" t="n"/>
      <c r="P1664" s="33">
        <f>IF(C1664="","",Commercial_Id)</f>
        <v/>
      </c>
      <c r="Q1664" s="34">
        <f>IF(AC1664="","",IF(AD1664=1,"C"&amp;TEXT(SUM(AD$6:AD1664),"0000"),INDEX(Q$6:Q1663,MATCH(AC1664,AC$6:AC1663,0))))</f>
        <v/>
      </c>
      <c r="R1664" s="34">
        <f>IF(C1664="","",IF(L1664="☑ Oui","Annulée",IF(OR(E1664="Vente directe",K1664&lt;&gt;""),"Livrée",IF(J1664&lt;&gt;"","Confirmée","En attente"))))</f>
        <v/>
      </c>
      <c r="S1664" s="34">
        <f>IF(F1664="","",IFERROR(VLOOKUP(F1664,T_Produits,2,FALSE),""))</f>
        <v/>
      </c>
      <c r="T1664" s="40">
        <f>IF(F1664="","",IFERROR(1/(1/VLOOKUP(F1664,T_Produits,3,FALSE)),""))</f>
        <v/>
      </c>
      <c r="U1664" s="40">
        <f>IF(H1664&lt;&gt;"",H1664,T1664)</f>
        <v/>
      </c>
      <c r="V1664" s="40">
        <f>IF(OR(G1664="",U1664=""),"",G1664*U1664-N(I1664))</f>
        <v/>
      </c>
      <c r="W1664" s="39">
        <f>IF(D1664="","",IFERROR(VALUE(MID(D1664,LEN(D1664)-3,3)),""))</f>
        <v/>
      </c>
      <c r="X1664" s="33">
        <f>IF(W1664="","",P1664&amp;"|"&amp;W1664)</f>
        <v/>
      </c>
      <c r="Y1664" s="33">
        <f>IF(W1664="","",IF(P1664="À RENSEIGNER","GIC",P1664)&amp;"-"&amp;TEXT(W1664,"000"))</f>
        <v/>
      </c>
      <c r="Z1664" s="33">
        <f>IF(X1664="","",IFERROR(INDEX(Cl_nom,MATCH(X1664,Cl_cle,0)),"(client introuvable)"))</f>
        <v/>
      </c>
      <c r="AA1664" s="33">
        <f>IF(X1664="","",IFERROR(INDEX(Cl_quartier,MATCH(X1664,Cl_cle,0))&amp;"",""))</f>
        <v/>
      </c>
      <c r="AB1664" s="45">
        <f>IF(R1664&lt;&gt;"Livrée",0,IF(K1664&lt;&gt;"",K1664,C1664))</f>
        <v/>
      </c>
      <c r="AC1664" s="33">
        <f>IF(OR(C1664="",W1664=""),"",P1664&amp;"|"&amp;W1664&amp;"|"&amp;C1664&amp;"|"&amp;E1664)</f>
        <v/>
      </c>
      <c r="AD1664" s="39">
        <f>IF(AC1664="","",IF(COUNTIF(AC$6:AC1664,AC1664)=1,1,0))</f>
        <v/>
      </c>
      <c r="AE1664" s="39">
        <f>IF(AB1664=0,"",IF(COUNTIFS(X$6:X1664,X1664,AB$6:AB1664,AB1664)=1,1,0))</f>
        <v/>
      </c>
      <c r="AF1664" s="34">
        <f>IF(C1664="","",YEAR(C1664-WEEKDAY(C1664,2)+4)&amp;"-S"&amp;TEXT(INT((C1664-DATE(YEAR(C1664-WEEKDAY(C1664,2)+4),1,3)+WEEKDAY(DATE(YEAR(C1664-WEEKDAY(C1664,2)+4),1,3),2)+5)/7),"00"))</f>
        <v/>
      </c>
    </row>
    <row r="1665" ht="18" customHeight="1">
      <c r="A1665" s="39" t="n">
        <v>1660</v>
      </c>
      <c r="B1665" s="33">
        <f>IF(C1665="","",IF(P1665="À RENSEIGNER","GIC",P1665)&amp;"-C"&amp;TEXT(A1665,"00000"))</f>
        <v/>
      </c>
      <c r="C1665" s="32" t="n"/>
      <c r="D1665" s="36" t="n"/>
      <c r="E1665" s="36" t="n"/>
      <c r="F1665" s="36" t="n"/>
      <c r="G1665" s="42" t="n"/>
      <c r="H1665" s="37" t="n"/>
      <c r="I1665" s="37" t="n"/>
      <c r="J1665" s="32" t="n"/>
      <c r="K1665" s="32" t="n"/>
      <c r="L1665" s="43" t="n"/>
      <c r="M1665" s="36" t="n"/>
      <c r="N1665" s="44" t="n"/>
      <c r="O1665" s="36" t="n"/>
      <c r="P1665" s="33">
        <f>IF(C1665="","",Commercial_Id)</f>
        <v/>
      </c>
      <c r="Q1665" s="34">
        <f>IF(AC1665="","",IF(AD1665=1,"C"&amp;TEXT(SUM(AD$6:AD1665),"0000"),INDEX(Q$6:Q1664,MATCH(AC1665,AC$6:AC1664,0))))</f>
        <v/>
      </c>
      <c r="R1665" s="34">
        <f>IF(C1665="","",IF(L1665="☑ Oui","Annulée",IF(OR(E1665="Vente directe",K1665&lt;&gt;""),"Livrée",IF(J1665&lt;&gt;"","Confirmée","En attente"))))</f>
        <v/>
      </c>
      <c r="S1665" s="34">
        <f>IF(F1665="","",IFERROR(VLOOKUP(F1665,T_Produits,2,FALSE),""))</f>
        <v/>
      </c>
      <c r="T1665" s="40">
        <f>IF(F1665="","",IFERROR(1/(1/VLOOKUP(F1665,T_Produits,3,FALSE)),""))</f>
        <v/>
      </c>
      <c r="U1665" s="40">
        <f>IF(H1665&lt;&gt;"",H1665,T1665)</f>
        <v/>
      </c>
      <c r="V1665" s="40">
        <f>IF(OR(G1665="",U1665=""),"",G1665*U1665-N(I1665))</f>
        <v/>
      </c>
      <c r="W1665" s="39">
        <f>IF(D1665="","",IFERROR(VALUE(MID(D1665,LEN(D1665)-3,3)),""))</f>
        <v/>
      </c>
      <c r="X1665" s="33">
        <f>IF(W1665="","",P1665&amp;"|"&amp;W1665)</f>
        <v/>
      </c>
      <c r="Y1665" s="33">
        <f>IF(W1665="","",IF(P1665="À RENSEIGNER","GIC",P1665)&amp;"-"&amp;TEXT(W1665,"000"))</f>
        <v/>
      </c>
      <c r="Z1665" s="33">
        <f>IF(X1665="","",IFERROR(INDEX(Cl_nom,MATCH(X1665,Cl_cle,0)),"(client introuvable)"))</f>
        <v/>
      </c>
      <c r="AA1665" s="33">
        <f>IF(X1665="","",IFERROR(INDEX(Cl_quartier,MATCH(X1665,Cl_cle,0))&amp;"",""))</f>
        <v/>
      </c>
      <c r="AB1665" s="45">
        <f>IF(R1665&lt;&gt;"Livrée",0,IF(K1665&lt;&gt;"",K1665,C1665))</f>
        <v/>
      </c>
      <c r="AC1665" s="33">
        <f>IF(OR(C1665="",W1665=""),"",P1665&amp;"|"&amp;W1665&amp;"|"&amp;C1665&amp;"|"&amp;E1665)</f>
        <v/>
      </c>
      <c r="AD1665" s="39">
        <f>IF(AC1665="","",IF(COUNTIF(AC$6:AC1665,AC1665)=1,1,0))</f>
        <v/>
      </c>
      <c r="AE1665" s="39">
        <f>IF(AB1665=0,"",IF(COUNTIFS(X$6:X1665,X1665,AB$6:AB1665,AB1665)=1,1,0))</f>
        <v/>
      </c>
      <c r="AF1665" s="34">
        <f>IF(C1665="","",YEAR(C1665-WEEKDAY(C1665,2)+4)&amp;"-S"&amp;TEXT(INT((C1665-DATE(YEAR(C1665-WEEKDAY(C1665,2)+4),1,3)+WEEKDAY(DATE(YEAR(C1665-WEEKDAY(C1665,2)+4),1,3),2)+5)/7),"00"))</f>
        <v/>
      </c>
    </row>
    <row r="1666" ht="18" customHeight="1">
      <c r="A1666" s="39" t="n">
        <v>1661</v>
      </c>
      <c r="B1666" s="33">
        <f>IF(C1666="","",IF(P1666="À RENSEIGNER","GIC",P1666)&amp;"-C"&amp;TEXT(A1666,"00000"))</f>
        <v/>
      </c>
      <c r="C1666" s="32" t="n"/>
      <c r="D1666" s="36" t="n"/>
      <c r="E1666" s="36" t="n"/>
      <c r="F1666" s="36" t="n"/>
      <c r="G1666" s="42" t="n"/>
      <c r="H1666" s="37" t="n"/>
      <c r="I1666" s="37" t="n"/>
      <c r="J1666" s="32" t="n"/>
      <c r="K1666" s="32" t="n"/>
      <c r="L1666" s="43" t="n"/>
      <c r="M1666" s="36" t="n"/>
      <c r="N1666" s="44" t="n"/>
      <c r="O1666" s="36" t="n"/>
      <c r="P1666" s="33">
        <f>IF(C1666="","",Commercial_Id)</f>
        <v/>
      </c>
      <c r="Q1666" s="34">
        <f>IF(AC1666="","",IF(AD1666=1,"C"&amp;TEXT(SUM(AD$6:AD1666),"0000"),INDEX(Q$6:Q1665,MATCH(AC1666,AC$6:AC1665,0))))</f>
        <v/>
      </c>
      <c r="R1666" s="34">
        <f>IF(C1666="","",IF(L1666="☑ Oui","Annulée",IF(OR(E1666="Vente directe",K1666&lt;&gt;""),"Livrée",IF(J1666&lt;&gt;"","Confirmée","En attente"))))</f>
        <v/>
      </c>
      <c r="S1666" s="34">
        <f>IF(F1666="","",IFERROR(VLOOKUP(F1666,T_Produits,2,FALSE),""))</f>
        <v/>
      </c>
      <c r="T1666" s="40">
        <f>IF(F1666="","",IFERROR(1/(1/VLOOKUP(F1666,T_Produits,3,FALSE)),""))</f>
        <v/>
      </c>
      <c r="U1666" s="40">
        <f>IF(H1666&lt;&gt;"",H1666,T1666)</f>
        <v/>
      </c>
      <c r="V1666" s="40">
        <f>IF(OR(G1666="",U1666=""),"",G1666*U1666-N(I1666))</f>
        <v/>
      </c>
      <c r="W1666" s="39">
        <f>IF(D1666="","",IFERROR(VALUE(MID(D1666,LEN(D1666)-3,3)),""))</f>
        <v/>
      </c>
      <c r="X1666" s="33">
        <f>IF(W1666="","",P1666&amp;"|"&amp;W1666)</f>
        <v/>
      </c>
      <c r="Y1666" s="33">
        <f>IF(W1666="","",IF(P1666="À RENSEIGNER","GIC",P1666)&amp;"-"&amp;TEXT(W1666,"000"))</f>
        <v/>
      </c>
      <c r="Z1666" s="33">
        <f>IF(X1666="","",IFERROR(INDEX(Cl_nom,MATCH(X1666,Cl_cle,0)),"(client introuvable)"))</f>
        <v/>
      </c>
      <c r="AA1666" s="33">
        <f>IF(X1666="","",IFERROR(INDEX(Cl_quartier,MATCH(X1666,Cl_cle,0))&amp;"",""))</f>
        <v/>
      </c>
      <c r="AB1666" s="45">
        <f>IF(R1666&lt;&gt;"Livrée",0,IF(K1666&lt;&gt;"",K1666,C1666))</f>
        <v/>
      </c>
      <c r="AC1666" s="33">
        <f>IF(OR(C1666="",W1666=""),"",P1666&amp;"|"&amp;W1666&amp;"|"&amp;C1666&amp;"|"&amp;E1666)</f>
        <v/>
      </c>
      <c r="AD1666" s="39">
        <f>IF(AC1666="","",IF(COUNTIF(AC$6:AC1666,AC1666)=1,1,0))</f>
        <v/>
      </c>
      <c r="AE1666" s="39">
        <f>IF(AB1666=0,"",IF(COUNTIFS(X$6:X1666,X1666,AB$6:AB1666,AB1666)=1,1,0))</f>
        <v/>
      </c>
      <c r="AF1666" s="34">
        <f>IF(C1666="","",YEAR(C1666-WEEKDAY(C1666,2)+4)&amp;"-S"&amp;TEXT(INT((C1666-DATE(YEAR(C1666-WEEKDAY(C1666,2)+4),1,3)+WEEKDAY(DATE(YEAR(C1666-WEEKDAY(C1666,2)+4),1,3),2)+5)/7),"00"))</f>
        <v/>
      </c>
    </row>
    <row r="1667" ht="18" customHeight="1">
      <c r="A1667" s="39" t="n">
        <v>1662</v>
      </c>
      <c r="B1667" s="33">
        <f>IF(C1667="","",IF(P1667="À RENSEIGNER","GIC",P1667)&amp;"-C"&amp;TEXT(A1667,"00000"))</f>
        <v/>
      </c>
      <c r="C1667" s="32" t="n"/>
      <c r="D1667" s="36" t="n"/>
      <c r="E1667" s="36" t="n"/>
      <c r="F1667" s="36" t="n"/>
      <c r="G1667" s="42" t="n"/>
      <c r="H1667" s="37" t="n"/>
      <c r="I1667" s="37" t="n"/>
      <c r="J1667" s="32" t="n"/>
      <c r="K1667" s="32" t="n"/>
      <c r="L1667" s="43" t="n"/>
      <c r="M1667" s="36" t="n"/>
      <c r="N1667" s="44" t="n"/>
      <c r="O1667" s="36" t="n"/>
      <c r="P1667" s="33">
        <f>IF(C1667="","",Commercial_Id)</f>
        <v/>
      </c>
      <c r="Q1667" s="34">
        <f>IF(AC1667="","",IF(AD1667=1,"C"&amp;TEXT(SUM(AD$6:AD1667),"0000"),INDEX(Q$6:Q1666,MATCH(AC1667,AC$6:AC1666,0))))</f>
        <v/>
      </c>
      <c r="R1667" s="34">
        <f>IF(C1667="","",IF(L1667="☑ Oui","Annulée",IF(OR(E1667="Vente directe",K1667&lt;&gt;""),"Livrée",IF(J1667&lt;&gt;"","Confirmée","En attente"))))</f>
        <v/>
      </c>
      <c r="S1667" s="34">
        <f>IF(F1667="","",IFERROR(VLOOKUP(F1667,T_Produits,2,FALSE),""))</f>
        <v/>
      </c>
      <c r="T1667" s="40">
        <f>IF(F1667="","",IFERROR(1/(1/VLOOKUP(F1667,T_Produits,3,FALSE)),""))</f>
        <v/>
      </c>
      <c r="U1667" s="40">
        <f>IF(H1667&lt;&gt;"",H1667,T1667)</f>
        <v/>
      </c>
      <c r="V1667" s="40">
        <f>IF(OR(G1667="",U1667=""),"",G1667*U1667-N(I1667))</f>
        <v/>
      </c>
      <c r="W1667" s="39">
        <f>IF(D1667="","",IFERROR(VALUE(MID(D1667,LEN(D1667)-3,3)),""))</f>
        <v/>
      </c>
      <c r="X1667" s="33">
        <f>IF(W1667="","",P1667&amp;"|"&amp;W1667)</f>
        <v/>
      </c>
      <c r="Y1667" s="33">
        <f>IF(W1667="","",IF(P1667="À RENSEIGNER","GIC",P1667)&amp;"-"&amp;TEXT(W1667,"000"))</f>
        <v/>
      </c>
      <c r="Z1667" s="33">
        <f>IF(X1667="","",IFERROR(INDEX(Cl_nom,MATCH(X1667,Cl_cle,0)),"(client introuvable)"))</f>
        <v/>
      </c>
      <c r="AA1667" s="33">
        <f>IF(X1667="","",IFERROR(INDEX(Cl_quartier,MATCH(X1667,Cl_cle,0))&amp;"",""))</f>
        <v/>
      </c>
      <c r="AB1667" s="45">
        <f>IF(R1667&lt;&gt;"Livrée",0,IF(K1667&lt;&gt;"",K1667,C1667))</f>
        <v/>
      </c>
      <c r="AC1667" s="33">
        <f>IF(OR(C1667="",W1667=""),"",P1667&amp;"|"&amp;W1667&amp;"|"&amp;C1667&amp;"|"&amp;E1667)</f>
        <v/>
      </c>
      <c r="AD1667" s="39">
        <f>IF(AC1667="","",IF(COUNTIF(AC$6:AC1667,AC1667)=1,1,0))</f>
        <v/>
      </c>
      <c r="AE1667" s="39">
        <f>IF(AB1667=0,"",IF(COUNTIFS(X$6:X1667,X1667,AB$6:AB1667,AB1667)=1,1,0))</f>
        <v/>
      </c>
      <c r="AF1667" s="34">
        <f>IF(C1667="","",YEAR(C1667-WEEKDAY(C1667,2)+4)&amp;"-S"&amp;TEXT(INT((C1667-DATE(YEAR(C1667-WEEKDAY(C1667,2)+4),1,3)+WEEKDAY(DATE(YEAR(C1667-WEEKDAY(C1667,2)+4),1,3),2)+5)/7),"00"))</f>
        <v/>
      </c>
    </row>
    <row r="1668" ht="18" customHeight="1">
      <c r="A1668" s="39" t="n">
        <v>1663</v>
      </c>
      <c r="B1668" s="33">
        <f>IF(C1668="","",IF(P1668="À RENSEIGNER","GIC",P1668)&amp;"-C"&amp;TEXT(A1668,"00000"))</f>
        <v/>
      </c>
      <c r="C1668" s="32" t="n"/>
      <c r="D1668" s="36" t="n"/>
      <c r="E1668" s="36" t="n"/>
      <c r="F1668" s="36" t="n"/>
      <c r="G1668" s="42" t="n"/>
      <c r="H1668" s="37" t="n"/>
      <c r="I1668" s="37" t="n"/>
      <c r="J1668" s="32" t="n"/>
      <c r="K1668" s="32" t="n"/>
      <c r="L1668" s="43" t="n"/>
      <c r="M1668" s="36" t="n"/>
      <c r="N1668" s="44" t="n"/>
      <c r="O1668" s="36" t="n"/>
      <c r="P1668" s="33">
        <f>IF(C1668="","",Commercial_Id)</f>
        <v/>
      </c>
      <c r="Q1668" s="34">
        <f>IF(AC1668="","",IF(AD1668=1,"C"&amp;TEXT(SUM(AD$6:AD1668),"0000"),INDEX(Q$6:Q1667,MATCH(AC1668,AC$6:AC1667,0))))</f>
        <v/>
      </c>
      <c r="R1668" s="34">
        <f>IF(C1668="","",IF(L1668="☑ Oui","Annulée",IF(OR(E1668="Vente directe",K1668&lt;&gt;""),"Livrée",IF(J1668&lt;&gt;"","Confirmée","En attente"))))</f>
        <v/>
      </c>
      <c r="S1668" s="34">
        <f>IF(F1668="","",IFERROR(VLOOKUP(F1668,T_Produits,2,FALSE),""))</f>
        <v/>
      </c>
      <c r="T1668" s="40">
        <f>IF(F1668="","",IFERROR(1/(1/VLOOKUP(F1668,T_Produits,3,FALSE)),""))</f>
        <v/>
      </c>
      <c r="U1668" s="40">
        <f>IF(H1668&lt;&gt;"",H1668,T1668)</f>
        <v/>
      </c>
      <c r="V1668" s="40">
        <f>IF(OR(G1668="",U1668=""),"",G1668*U1668-N(I1668))</f>
        <v/>
      </c>
      <c r="W1668" s="39">
        <f>IF(D1668="","",IFERROR(VALUE(MID(D1668,LEN(D1668)-3,3)),""))</f>
        <v/>
      </c>
      <c r="X1668" s="33">
        <f>IF(W1668="","",P1668&amp;"|"&amp;W1668)</f>
        <v/>
      </c>
      <c r="Y1668" s="33">
        <f>IF(W1668="","",IF(P1668="À RENSEIGNER","GIC",P1668)&amp;"-"&amp;TEXT(W1668,"000"))</f>
        <v/>
      </c>
      <c r="Z1668" s="33">
        <f>IF(X1668="","",IFERROR(INDEX(Cl_nom,MATCH(X1668,Cl_cle,0)),"(client introuvable)"))</f>
        <v/>
      </c>
      <c r="AA1668" s="33">
        <f>IF(X1668="","",IFERROR(INDEX(Cl_quartier,MATCH(X1668,Cl_cle,0))&amp;"",""))</f>
        <v/>
      </c>
      <c r="AB1668" s="45">
        <f>IF(R1668&lt;&gt;"Livrée",0,IF(K1668&lt;&gt;"",K1668,C1668))</f>
        <v/>
      </c>
      <c r="AC1668" s="33">
        <f>IF(OR(C1668="",W1668=""),"",P1668&amp;"|"&amp;W1668&amp;"|"&amp;C1668&amp;"|"&amp;E1668)</f>
        <v/>
      </c>
      <c r="AD1668" s="39">
        <f>IF(AC1668="","",IF(COUNTIF(AC$6:AC1668,AC1668)=1,1,0))</f>
        <v/>
      </c>
      <c r="AE1668" s="39">
        <f>IF(AB1668=0,"",IF(COUNTIFS(X$6:X1668,X1668,AB$6:AB1668,AB1668)=1,1,0))</f>
        <v/>
      </c>
      <c r="AF1668" s="34">
        <f>IF(C1668="","",YEAR(C1668-WEEKDAY(C1668,2)+4)&amp;"-S"&amp;TEXT(INT((C1668-DATE(YEAR(C1668-WEEKDAY(C1668,2)+4),1,3)+WEEKDAY(DATE(YEAR(C1668-WEEKDAY(C1668,2)+4),1,3),2)+5)/7),"00"))</f>
        <v/>
      </c>
    </row>
    <row r="1669" ht="18" customHeight="1">
      <c r="A1669" s="39" t="n">
        <v>1664</v>
      </c>
      <c r="B1669" s="33">
        <f>IF(C1669="","",IF(P1669="À RENSEIGNER","GIC",P1669)&amp;"-C"&amp;TEXT(A1669,"00000"))</f>
        <v/>
      </c>
      <c r="C1669" s="32" t="n"/>
      <c r="D1669" s="36" t="n"/>
      <c r="E1669" s="36" t="n"/>
      <c r="F1669" s="36" t="n"/>
      <c r="G1669" s="42" t="n"/>
      <c r="H1669" s="37" t="n"/>
      <c r="I1669" s="37" t="n"/>
      <c r="J1669" s="32" t="n"/>
      <c r="K1669" s="32" t="n"/>
      <c r="L1669" s="43" t="n"/>
      <c r="M1669" s="36" t="n"/>
      <c r="N1669" s="44" t="n"/>
      <c r="O1669" s="36" t="n"/>
      <c r="P1669" s="33">
        <f>IF(C1669="","",Commercial_Id)</f>
        <v/>
      </c>
      <c r="Q1669" s="34">
        <f>IF(AC1669="","",IF(AD1669=1,"C"&amp;TEXT(SUM(AD$6:AD1669),"0000"),INDEX(Q$6:Q1668,MATCH(AC1669,AC$6:AC1668,0))))</f>
        <v/>
      </c>
      <c r="R1669" s="34">
        <f>IF(C1669="","",IF(L1669="☑ Oui","Annulée",IF(OR(E1669="Vente directe",K1669&lt;&gt;""),"Livrée",IF(J1669&lt;&gt;"","Confirmée","En attente"))))</f>
        <v/>
      </c>
      <c r="S1669" s="34">
        <f>IF(F1669="","",IFERROR(VLOOKUP(F1669,T_Produits,2,FALSE),""))</f>
        <v/>
      </c>
      <c r="T1669" s="40">
        <f>IF(F1669="","",IFERROR(1/(1/VLOOKUP(F1669,T_Produits,3,FALSE)),""))</f>
        <v/>
      </c>
      <c r="U1669" s="40">
        <f>IF(H1669&lt;&gt;"",H1669,T1669)</f>
        <v/>
      </c>
      <c r="V1669" s="40">
        <f>IF(OR(G1669="",U1669=""),"",G1669*U1669-N(I1669))</f>
        <v/>
      </c>
      <c r="W1669" s="39">
        <f>IF(D1669="","",IFERROR(VALUE(MID(D1669,LEN(D1669)-3,3)),""))</f>
        <v/>
      </c>
      <c r="X1669" s="33">
        <f>IF(W1669="","",P1669&amp;"|"&amp;W1669)</f>
        <v/>
      </c>
      <c r="Y1669" s="33">
        <f>IF(W1669="","",IF(P1669="À RENSEIGNER","GIC",P1669)&amp;"-"&amp;TEXT(W1669,"000"))</f>
        <v/>
      </c>
      <c r="Z1669" s="33">
        <f>IF(X1669="","",IFERROR(INDEX(Cl_nom,MATCH(X1669,Cl_cle,0)),"(client introuvable)"))</f>
        <v/>
      </c>
      <c r="AA1669" s="33">
        <f>IF(X1669="","",IFERROR(INDEX(Cl_quartier,MATCH(X1669,Cl_cle,0))&amp;"",""))</f>
        <v/>
      </c>
      <c r="AB1669" s="45">
        <f>IF(R1669&lt;&gt;"Livrée",0,IF(K1669&lt;&gt;"",K1669,C1669))</f>
        <v/>
      </c>
      <c r="AC1669" s="33">
        <f>IF(OR(C1669="",W1669=""),"",P1669&amp;"|"&amp;W1669&amp;"|"&amp;C1669&amp;"|"&amp;E1669)</f>
        <v/>
      </c>
      <c r="AD1669" s="39">
        <f>IF(AC1669="","",IF(COUNTIF(AC$6:AC1669,AC1669)=1,1,0))</f>
        <v/>
      </c>
      <c r="AE1669" s="39">
        <f>IF(AB1669=0,"",IF(COUNTIFS(X$6:X1669,X1669,AB$6:AB1669,AB1669)=1,1,0))</f>
        <v/>
      </c>
      <c r="AF1669" s="34">
        <f>IF(C1669="","",YEAR(C1669-WEEKDAY(C1669,2)+4)&amp;"-S"&amp;TEXT(INT((C1669-DATE(YEAR(C1669-WEEKDAY(C1669,2)+4),1,3)+WEEKDAY(DATE(YEAR(C1669-WEEKDAY(C1669,2)+4),1,3),2)+5)/7),"00"))</f>
        <v/>
      </c>
    </row>
    <row r="1670" ht="18" customHeight="1">
      <c r="A1670" s="39" t="n">
        <v>1665</v>
      </c>
      <c r="B1670" s="33">
        <f>IF(C1670="","",IF(P1670="À RENSEIGNER","GIC",P1670)&amp;"-C"&amp;TEXT(A1670,"00000"))</f>
        <v/>
      </c>
      <c r="C1670" s="32" t="n"/>
      <c r="D1670" s="36" t="n"/>
      <c r="E1670" s="36" t="n"/>
      <c r="F1670" s="36" t="n"/>
      <c r="G1670" s="42" t="n"/>
      <c r="H1670" s="37" t="n"/>
      <c r="I1670" s="37" t="n"/>
      <c r="J1670" s="32" t="n"/>
      <c r="K1670" s="32" t="n"/>
      <c r="L1670" s="43" t="n"/>
      <c r="M1670" s="36" t="n"/>
      <c r="N1670" s="44" t="n"/>
      <c r="O1670" s="36" t="n"/>
      <c r="P1670" s="33">
        <f>IF(C1670="","",Commercial_Id)</f>
        <v/>
      </c>
      <c r="Q1670" s="34">
        <f>IF(AC1670="","",IF(AD1670=1,"C"&amp;TEXT(SUM(AD$6:AD1670),"0000"),INDEX(Q$6:Q1669,MATCH(AC1670,AC$6:AC1669,0))))</f>
        <v/>
      </c>
      <c r="R1670" s="34">
        <f>IF(C1670="","",IF(L1670="☑ Oui","Annulée",IF(OR(E1670="Vente directe",K1670&lt;&gt;""),"Livrée",IF(J1670&lt;&gt;"","Confirmée","En attente"))))</f>
        <v/>
      </c>
      <c r="S1670" s="34">
        <f>IF(F1670="","",IFERROR(VLOOKUP(F1670,T_Produits,2,FALSE),""))</f>
        <v/>
      </c>
      <c r="T1670" s="40">
        <f>IF(F1670="","",IFERROR(1/(1/VLOOKUP(F1670,T_Produits,3,FALSE)),""))</f>
        <v/>
      </c>
      <c r="U1670" s="40">
        <f>IF(H1670&lt;&gt;"",H1670,T1670)</f>
        <v/>
      </c>
      <c r="V1670" s="40">
        <f>IF(OR(G1670="",U1670=""),"",G1670*U1670-N(I1670))</f>
        <v/>
      </c>
      <c r="W1670" s="39">
        <f>IF(D1670="","",IFERROR(VALUE(MID(D1670,LEN(D1670)-3,3)),""))</f>
        <v/>
      </c>
      <c r="X1670" s="33">
        <f>IF(W1670="","",P1670&amp;"|"&amp;W1670)</f>
        <v/>
      </c>
      <c r="Y1670" s="33">
        <f>IF(W1670="","",IF(P1670="À RENSEIGNER","GIC",P1670)&amp;"-"&amp;TEXT(W1670,"000"))</f>
        <v/>
      </c>
      <c r="Z1670" s="33">
        <f>IF(X1670="","",IFERROR(INDEX(Cl_nom,MATCH(X1670,Cl_cle,0)),"(client introuvable)"))</f>
        <v/>
      </c>
      <c r="AA1670" s="33">
        <f>IF(X1670="","",IFERROR(INDEX(Cl_quartier,MATCH(X1670,Cl_cle,0))&amp;"",""))</f>
        <v/>
      </c>
      <c r="AB1670" s="45">
        <f>IF(R1670&lt;&gt;"Livrée",0,IF(K1670&lt;&gt;"",K1670,C1670))</f>
        <v/>
      </c>
      <c r="AC1670" s="33">
        <f>IF(OR(C1670="",W1670=""),"",P1670&amp;"|"&amp;W1670&amp;"|"&amp;C1670&amp;"|"&amp;E1670)</f>
        <v/>
      </c>
      <c r="AD1670" s="39">
        <f>IF(AC1670="","",IF(COUNTIF(AC$6:AC1670,AC1670)=1,1,0))</f>
        <v/>
      </c>
      <c r="AE1670" s="39">
        <f>IF(AB1670=0,"",IF(COUNTIFS(X$6:X1670,X1670,AB$6:AB1670,AB1670)=1,1,0))</f>
        <v/>
      </c>
      <c r="AF1670" s="34">
        <f>IF(C1670="","",YEAR(C1670-WEEKDAY(C1670,2)+4)&amp;"-S"&amp;TEXT(INT((C1670-DATE(YEAR(C1670-WEEKDAY(C1670,2)+4),1,3)+WEEKDAY(DATE(YEAR(C1670-WEEKDAY(C1670,2)+4),1,3),2)+5)/7),"00"))</f>
        <v/>
      </c>
    </row>
    <row r="1671" ht="18" customHeight="1">
      <c r="A1671" s="39" t="n">
        <v>1666</v>
      </c>
      <c r="B1671" s="33">
        <f>IF(C1671="","",IF(P1671="À RENSEIGNER","GIC",P1671)&amp;"-C"&amp;TEXT(A1671,"00000"))</f>
        <v/>
      </c>
      <c r="C1671" s="32" t="n"/>
      <c r="D1671" s="36" t="n"/>
      <c r="E1671" s="36" t="n"/>
      <c r="F1671" s="36" t="n"/>
      <c r="G1671" s="42" t="n"/>
      <c r="H1671" s="37" t="n"/>
      <c r="I1671" s="37" t="n"/>
      <c r="J1671" s="32" t="n"/>
      <c r="K1671" s="32" t="n"/>
      <c r="L1671" s="43" t="n"/>
      <c r="M1671" s="36" t="n"/>
      <c r="N1671" s="44" t="n"/>
      <c r="O1671" s="36" t="n"/>
      <c r="P1671" s="33">
        <f>IF(C1671="","",Commercial_Id)</f>
        <v/>
      </c>
      <c r="Q1671" s="34">
        <f>IF(AC1671="","",IF(AD1671=1,"C"&amp;TEXT(SUM(AD$6:AD1671),"0000"),INDEX(Q$6:Q1670,MATCH(AC1671,AC$6:AC1670,0))))</f>
        <v/>
      </c>
      <c r="R1671" s="34">
        <f>IF(C1671="","",IF(L1671="☑ Oui","Annulée",IF(OR(E1671="Vente directe",K1671&lt;&gt;""),"Livrée",IF(J1671&lt;&gt;"","Confirmée","En attente"))))</f>
        <v/>
      </c>
      <c r="S1671" s="34">
        <f>IF(F1671="","",IFERROR(VLOOKUP(F1671,T_Produits,2,FALSE),""))</f>
        <v/>
      </c>
      <c r="T1671" s="40">
        <f>IF(F1671="","",IFERROR(1/(1/VLOOKUP(F1671,T_Produits,3,FALSE)),""))</f>
        <v/>
      </c>
      <c r="U1671" s="40">
        <f>IF(H1671&lt;&gt;"",H1671,T1671)</f>
        <v/>
      </c>
      <c r="V1671" s="40">
        <f>IF(OR(G1671="",U1671=""),"",G1671*U1671-N(I1671))</f>
        <v/>
      </c>
      <c r="W1671" s="39">
        <f>IF(D1671="","",IFERROR(VALUE(MID(D1671,LEN(D1671)-3,3)),""))</f>
        <v/>
      </c>
      <c r="X1671" s="33">
        <f>IF(W1671="","",P1671&amp;"|"&amp;W1671)</f>
        <v/>
      </c>
      <c r="Y1671" s="33">
        <f>IF(W1671="","",IF(P1671="À RENSEIGNER","GIC",P1671)&amp;"-"&amp;TEXT(W1671,"000"))</f>
        <v/>
      </c>
      <c r="Z1671" s="33">
        <f>IF(X1671="","",IFERROR(INDEX(Cl_nom,MATCH(X1671,Cl_cle,0)),"(client introuvable)"))</f>
        <v/>
      </c>
      <c r="AA1671" s="33">
        <f>IF(X1671="","",IFERROR(INDEX(Cl_quartier,MATCH(X1671,Cl_cle,0))&amp;"",""))</f>
        <v/>
      </c>
      <c r="AB1671" s="45">
        <f>IF(R1671&lt;&gt;"Livrée",0,IF(K1671&lt;&gt;"",K1671,C1671))</f>
        <v/>
      </c>
      <c r="AC1671" s="33">
        <f>IF(OR(C1671="",W1671=""),"",P1671&amp;"|"&amp;W1671&amp;"|"&amp;C1671&amp;"|"&amp;E1671)</f>
        <v/>
      </c>
      <c r="AD1671" s="39">
        <f>IF(AC1671="","",IF(COUNTIF(AC$6:AC1671,AC1671)=1,1,0))</f>
        <v/>
      </c>
      <c r="AE1671" s="39">
        <f>IF(AB1671=0,"",IF(COUNTIFS(X$6:X1671,X1671,AB$6:AB1671,AB1671)=1,1,0))</f>
        <v/>
      </c>
      <c r="AF1671" s="34">
        <f>IF(C1671="","",YEAR(C1671-WEEKDAY(C1671,2)+4)&amp;"-S"&amp;TEXT(INT((C1671-DATE(YEAR(C1671-WEEKDAY(C1671,2)+4),1,3)+WEEKDAY(DATE(YEAR(C1671-WEEKDAY(C1671,2)+4),1,3),2)+5)/7),"00"))</f>
        <v/>
      </c>
    </row>
    <row r="1672" ht="18" customHeight="1">
      <c r="A1672" s="39" t="n">
        <v>1667</v>
      </c>
      <c r="B1672" s="33">
        <f>IF(C1672="","",IF(P1672="À RENSEIGNER","GIC",P1672)&amp;"-C"&amp;TEXT(A1672,"00000"))</f>
        <v/>
      </c>
      <c r="C1672" s="32" t="n"/>
      <c r="D1672" s="36" t="n"/>
      <c r="E1672" s="36" t="n"/>
      <c r="F1672" s="36" t="n"/>
      <c r="G1672" s="42" t="n"/>
      <c r="H1672" s="37" t="n"/>
      <c r="I1672" s="37" t="n"/>
      <c r="J1672" s="32" t="n"/>
      <c r="K1672" s="32" t="n"/>
      <c r="L1672" s="43" t="n"/>
      <c r="M1672" s="36" t="n"/>
      <c r="N1672" s="44" t="n"/>
      <c r="O1672" s="36" t="n"/>
      <c r="P1672" s="33">
        <f>IF(C1672="","",Commercial_Id)</f>
        <v/>
      </c>
      <c r="Q1672" s="34">
        <f>IF(AC1672="","",IF(AD1672=1,"C"&amp;TEXT(SUM(AD$6:AD1672),"0000"),INDEX(Q$6:Q1671,MATCH(AC1672,AC$6:AC1671,0))))</f>
        <v/>
      </c>
      <c r="R1672" s="34">
        <f>IF(C1672="","",IF(L1672="☑ Oui","Annulée",IF(OR(E1672="Vente directe",K1672&lt;&gt;""),"Livrée",IF(J1672&lt;&gt;"","Confirmée","En attente"))))</f>
        <v/>
      </c>
      <c r="S1672" s="34">
        <f>IF(F1672="","",IFERROR(VLOOKUP(F1672,T_Produits,2,FALSE),""))</f>
        <v/>
      </c>
      <c r="T1672" s="40">
        <f>IF(F1672="","",IFERROR(1/(1/VLOOKUP(F1672,T_Produits,3,FALSE)),""))</f>
        <v/>
      </c>
      <c r="U1672" s="40">
        <f>IF(H1672&lt;&gt;"",H1672,T1672)</f>
        <v/>
      </c>
      <c r="V1672" s="40">
        <f>IF(OR(G1672="",U1672=""),"",G1672*U1672-N(I1672))</f>
        <v/>
      </c>
      <c r="W1672" s="39">
        <f>IF(D1672="","",IFERROR(VALUE(MID(D1672,LEN(D1672)-3,3)),""))</f>
        <v/>
      </c>
      <c r="X1672" s="33">
        <f>IF(W1672="","",P1672&amp;"|"&amp;W1672)</f>
        <v/>
      </c>
      <c r="Y1672" s="33">
        <f>IF(W1672="","",IF(P1672="À RENSEIGNER","GIC",P1672)&amp;"-"&amp;TEXT(W1672,"000"))</f>
        <v/>
      </c>
      <c r="Z1672" s="33">
        <f>IF(X1672="","",IFERROR(INDEX(Cl_nom,MATCH(X1672,Cl_cle,0)),"(client introuvable)"))</f>
        <v/>
      </c>
      <c r="AA1672" s="33">
        <f>IF(X1672="","",IFERROR(INDEX(Cl_quartier,MATCH(X1672,Cl_cle,0))&amp;"",""))</f>
        <v/>
      </c>
      <c r="AB1672" s="45">
        <f>IF(R1672&lt;&gt;"Livrée",0,IF(K1672&lt;&gt;"",K1672,C1672))</f>
        <v/>
      </c>
      <c r="AC1672" s="33">
        <f>IF(OR(C1672="",W1672=""),"",P1672&amp;"|"&amp;W1672&amp;"|"&amp;C1672&amp;"|"&amp;E1672)</f>
        <v/>
      </c>
      <c r="AD1672" s="39">
        <f>IF(AC1672="","",IF(COUNTIF(AC$6:AC1672,AC1672)=1,1,0))</f>
        <v/>
      </c>
      <c r="AE1672" s="39">
        <f>IF(AB1672=0,"",IF(COUNTIFS(X$6:X1672,X1672,AB$6:AB1672,AB1672)=1,1,0))</f>
        <v/>
      </c>
      <c r="AF1672" s="34">
        <f>IF(C1672="","",YEAR(C1672-WEEKDAY(C1672,2)+4)&amp;"-S"&amp;TEXT(INT((C1672-DATE(YEAR(C1672-WEEKDAY(C1672,2)+4),1,3)+WEEKDAY(DATE(YEAR(C1672-WEEKDAY(C1672,2)+4),1,3),2)+5)/7),"00"))</f>
        <v/>
      </c>
    </row>
    <row r="1673" ht="18" customHeight="1">
      <c r="A1673" s="39" t="n">
        <v>1668</v>
      </c>
      <c r="B1673" s="33">
        <f>IF(C1673="","",IF(P1673="À RENSEIGNER","GIC",P1673)&amp;"-C"&amp;TEXT(A1673,"00000"))</f>
        <v/>
      </c>
      <c r="C1673" s="32" t="n"/>
      <c r="D1673" s="36" t="n"/>
      <c r="E1673" s="36" t="n"/>
      <c r="F1673" s="36" t="n"/>
      <c r="G1673" s="42" t="n"/>
      <c r="H1673" s="37" t="n"/>
      <c r="I1673" s="37" t="n"/>
      <c r="J1673" s="32" t="n"/>
      <c r="K1673" s="32" t="n"/>
      <c r="L1673" s="43" t="n"/>
      <c r="M1673" s="36" t="n"/>
      <c r="N1673" s="44" t="n"/>
      <c r="O1673" s="36" t="n"/>
      <c r="P1673" s="33">
        <f>IF(C1673="","",Commercial_Id)</f>
        <v/>
      </c>
      <c r="Q1673" s="34">
        <f>IF(AC1673="","",IF(AD1673=1,"C"&amp;TEXT(SUM(AD$6:AD1673),"0000"),INDEX(Q$6:Q1672,MATCH(AC1673,AC$6:AC1672,0))))</f>
        <v/>
      </c>
      <c r="R1673" s="34">
        <f>IF(C1673="","",IF(L1673="☑ Oui","Annulée",IF(OR(E1673="Vente directe",K1673&lt;&gt;""),"Livrée",IF(J1673&lt;&gt;"","Confirmée","En attente"))))</f>
        <v/>
      </c>
      <c r="S1673" s="34">
        <f>IF(F1673="","",IFERROR(VLOOKUP(F1673,T_Produits,2,FALSE),""))</f>
        <v/>
      </c>
      <c r="T1673" s="40">
        <f>IF(F1673="","",IFERROR(1/(1/VLOOKUP(F1673,T_Produits,3,FALSE)),""))</f>
        <v/>
      </c>
      <c r="U1673" s="40">
        <f>IF(H1673&lt;&gt;"",H1673,T1673)</f>
        <v/>
      </c>
      <c r="V1673" s="40">
        <f>IF(OR(G1673="",U1673=""),"",G1673*U1673-N(I1673))</f>
        <v/>
      </c>
      <c r="W1673" s="39">
        <f>IF(D1673="","",IFERROR(VALUE(MID(D1673,LEN(D1673)-3,3)),""))</f>
        <v/>
      </c>
      <c r="X1673" s="33">
        <f>IF(W1673="","",P1673&amp;"|"&amp;W1673)</f>
        <v/>
      </c>
      <c r="Y1673" s="33">
        <f>IF(W1673="","",IF(P1673="À RENSEIGNER","GIC",P1673)&amp;"-"&amp;TEXT(W1673,"000"))</f>
        <v/>
      </c>
      <c r="Z1673" s="33">
        <f>IF(X1673="","",IFERROR(INDEX(Cl_nom,MATCH(X1673,Cl_cle,0)),"(client introuvable)"))</f>
        <v/>
      </c>
      <c r="AA1673" s="33">
        <f>IF(X1673="","",IFERROR(INDEX(Cl_quartier,MATCH(X1673,Cl_cle,0))&amp;"",""))</f>
        <v/>
      </c>
      <c r="AB1673" s="45">
        <f>IF(R1673&lt;&gt;"Livrée",0,IF(K1673&lt;&gt;"",K1673,C1673))</f>
        <v/>
      </c>
      <c r="AC1673" s="33">
        <f>IF(OR(C1673="",W1673=""),"",P1673&amp;"|"&amp;W1673&amp;"|"&amp;C1673&amp;"|"&amp;E1673)</f>
        <v/>
      </c>
      <c r="AD1673" s="39">
        <f>IF(AC1673="","",IF(COUNTIF(AC$6:AC1673,AC1673)=1,1,0))</f>
        <v/>
      </c>
      <c r="AE1673" s="39">
        <f>IF(AB1673=0,"",IF(COUNTIFS(X$6:X1673,X1673,AB$6:AB1673,AB1673)=1,1,0))</f>
        <v/>
      </c>
      <c r="AF1673" s="34">
        <f>IF(C1673="","",YEAR(C1673-WEEKDAY(C1673,2)+4)&amp;"-S"&amp;TEXT(INT((C1673-DATE(YEAR(C1673-WEEKDAY(C1673,2)+4),1,3)+WEEKDAY(DATE(YEAR(C1673-WEEKDAY(C1673,2)+4),1,3),2)+5)/7),"00"))</f>
        <v/>
      </c>
    </row>
    <row r="1674" ht="18" customHeight="1">
      <c r="A1674" s="39" t="n">
        <v>1669</v>
      </c>
      <c r="B1674" s="33">
        <f>IF(C1674="","",IF(P1674="À RENSEIGNER","GIC",P1674)&amp;"-C"&amp;TEXT(A1674,"00000"))</f>
        <v/>
      </c>
      <c r="C1674" s="32" t="n"/>
      <c r="D1674" s="36" t="n"/>
      <c r="E1674" s="36" t="n"/>
      <c r="F1674" s="36" t="n"/>
      <c r="G1674" s="42" t="n"/>
      <c r="H1674" s="37" t="n"/>
      <c r="I1674" s="37" t="n"/>
      <c r="J1674" s="32" t="n"/>
      <c r="K1674" s="32" t="n"/>
      <c r="L1674" s="43" t="n"/>
      <c r="M1674" s="36" t="n"/>
      <c r="N1674" s="44" t="n"/>
      <c r="O1674" s="36" t="n"/>
      <c r="P1674" s="33">
        <f>IF(C1674="","",Commercial_Id)</f>
        <v/>
      </c>
      <c r="Q1674" s="34">
        <f>IF(AC1674="","",IF(AD1674=1,"C"&amp;TEXT(SUM(AD$6:AD1674),"0000"),INDEX(Q$6:Q1673,MATCH(AC1674,AC$6:AC1673,0))))</f>
        <v/>
      </c>
      <c r="R1674" s="34">
        <f>IF(C1674="","",IF(L1674="☑ Oui","Annulée",IF(OR(E1674="Vente directe",K1674&lt;&gt;""),"Livrée",IF(J1674&lt;&gt;"","Confirmée","En attente"))))</f>
        <v/>
      </c>
      <c r="S1674" s="34">
        <f>IF(F1674="","",IFERROR(VLOOKUP(F1674,T_Produits,2,FALSE),""))</f>
        <v/>
      </c>
      <c r="T1674" s="40">
        <f>IF(F1674="","",IFERROR(1/(1/VLOOKUP(F1674,T_Produits,3,FALSE)),""))</f>
        <v/>
      </c>
      <c r="U1674" s="40">
        <f>IF(H1674&lt;&gt;"",H1674,T1674)</f>
        <v/>
      </c>
      <c r="V1674" s="40">
        <f>IF(OR(G1674="",U1674=""),"",G1674*U1674-N(I1674))</f>
        <v/>
      </c>
      <c r="W1674" s="39">
        <f>IF(D1674="","",IFERROR(VALUE(MID(D1674,LEN(D1674)-3,3)),""))</f>
        <v/>
      </c>
      <c r="X1674" s="33">
        <f>IF(W1674="","",P1674&amp;"|"&amp;W1674)</f>
        <v/>
      </c>
      <c r="Y1674" s="33">
        <f>IF(W1674="","",IF(P1674="À RENSEIGNER","GIC",P1674)&amp;"-"&amp;TEXT(W1674,"000"))</f>
        <v/>
      </c>
      <c r="Z1674" s="33">
        <f>IF(X1674="","",IFERROR(INDEX(Cl_nom,MATCH(X1674,Cl_cle,0)),"(client introuvable)"))</f>
        <v/>
      </c>
      <c r="AA1674" s="33">
        <f>IF(X1674="","",IFERROR(INDEX(Cl_quartier,MATCH(X1674,Cl_cle,0))&amp;"",""))</f>
        <v/>
      </c>
      <c r="AB1674" s="45">
        <f>IF(R1674&lt;&gt;"Livrée",0,IF(K1674&lt;&gt;"",K1674,C1674))</f>
        <v/>
      </c>
      <c r="AC1674" s="33">
        <f>IF(OR(C1674="",W1674=""),"",P1674&amp;"|"&amp;W1674&amp;"|"&amp;C1674&amp;"|"&amp;E1674)</f>
        <v/>
      </c>
      <c r="AD1674" s="39">
        <f>IF(AC1674="","",IF(COUNTIF(AC$6:AC1674,AC1674)=1,1,0))</f>
        <v/>
      </c>
      <c r="AE1674" s="39">
        <f>IF(AB1674=0,"",IF(COUNTIFS(X$6:X1674,X1674,AB$6:AB1674,AB1674)=1,1,0))</f>
        <v/>
      </c>
      <c r="AF1674" s="34">
        <f>IF(C1674="","",YEAR(C1674-WEEKDAY(C1674,2)+4)&amp;"-S"&amp;TEXT(INT((C1674-DATE(YEAR(C1674-WEEKDAY(C1674,2)+4),1,3)+WEEKDAY(DATE(YEAR(C1674-WEEKDAY(C1674,2)+4),1,3),2)+5)/7),"00"))</f>
        <v/>
      </c>
    </row>
    <row r="1675" ht="18" customHeight="1">
      <c r="A1675" s="39" t="n">
        <v>1670</v>
      </c>
      <c r="B1675" s="33">
        <f>IF(C1675="","",IF(P1675="À RENSEIGNER","GIC",P1675)&amp;"-C"&amp;TEXT(A1675,"00000"))</f>
        <v/>
      </c>
      <c r="C1675" s="32" t="n"/>
      <c r="D1675" s="36" t="n"/>
      <c r="E1675" s="36" t="n"/>
      <c r="F1675" s="36" t="n"/>
      <c r="G1675" s="42" t="n"/>
      <c r="H1675" s="37" t="n"/>
      <c r="I1675" s="37" t="n"/>
      <c r="J1675" s="32" t="n"/>
      <c r="K1675" s="32" t="n"/>
      <c r="L1675" s="43" t="n"/>
      <c r="M1675" s="36" t="n"/>
      <c r="N1675" s="44" t="n"/>
      <c r="O1675" s="36" t="n"/>
      <c r="P1675" s="33">
        <f>IF(C1675="","",Commercial_Id)</f>
        <v/>
      </c>
      <c r="Q1675" s="34">
        <f>IF(AC1675="","",IF(AD1675=1,"C"&amp;TEXT(SUM(AD$6:AD1675),"0000"),INDEX(Q$6:Q1674,MATCH(AC1675,AC$6:AC1674,0))))</f>
        <v/>
      </c>
      <c r="R1675" s="34">
        <f>IF(C1675="","",IF(L1675="☑ Oui","Annulée",IF(OR(E1675="Vente directe",K1675&lt;&gt;""),"Livrée",IF(J1675&lt;&gt;"","Confirmée","En attente"))))</f>
        <v/>
      </c>
      <c r="S1675" s="34">
        <f>IF(F1675="","",IFERROR(VLOOKUP(F1675,T_Produits,2,FALSE),""))</f>
        <v/>
      </c>
      <c r="T1675" s="40">
        <f>IF(F1675="","",IFERROR(1/(1/VLOOKUP(F1675,T_Produits,3,FALSE)),""))</f>
        <v/>
      </c>
      <c r="U1675" s="40">
        <f>IF(H1675&lt;&gt;"",H1675,T1675)</f>
        <v/>
      </c>
      <c r="V1675" s="40">
        <f>IF(OR(G1675="",U1675=""),"",G1675*U1675-N(I1675))</f>
        <v/>
      </c>
      <c r="W1675" s="39">
        <f>IF(D1675="","",IFERROR(VALUE(MID(D1675,LEN(D1675)-3,3)),""))</f>
        <v/>
      </c>
      <c r="X1675" s="33">
        <f>IF(W1675="","",P1675&amp;"|"&amp;W1675)</f>
        <v/>
      </c>
      <c r="Y1675" s="33">
        <f>IF(W1675="","",IF(P1675="À RENSEIGNER","GIC",P1675)&amp;"-"&amp;TEXT(W1675,"000"))</f>
        <v/>
      </c>
      <c r="Z1675" s="33">
        <f>IF(X1675="","",IFERROR(INDEX(Cl_nom,MATCH(X1675,Cl_cle,0)),"(client introuvable)"))</f>
        <v/>
      </c>
      <c r="AA1675" s="33">
        <f>IF(X1675="","",IFERROR(INDEX(Cl_quartier,MATCH(X1675,Cl_cle,0))&amp;"",""))</f>
        <v/>
      </c>
      <c r="AB1675" s="45">
        <f>IF(R1675&lt;&gt;"Livrée",0,IF(K1675&lt;&gt;"",K1675,C1675))</f>
        <v/>
      </c>
      <c r="AC1675" s="33">
        <f>IF(OR(C1675="",W1675=""),"",P1675&amp;"|"&amp;W1675&amp;"|"&amp;C1675&amp;"|"&amp;E1675)</f>
        <v/>
      </c>
      <c r="AD1675" s="39">
        <f>IF(AC1675="","",IF(COUNTIF(AC$6:AC1675,AC1675)=1,1,0))</f>
        <v/>
      </c>
      <c r="AE1675" s="39">
        <f>IF(AB1675=0,"",IF(COUNTIFS(X$6:X1675,X1675,AB$6:AB1675,AB1675)=1,1,0))</f>
        <v/>
      </c>
      <c r="AF1675" s="34">
        <f>IF(C1675="","",YEAR(C1675-WEEKDAY(C1675,2)+4)&amp;"-S"&amp;TEXT(INT((C1675-DATE(YEAR(C1675-WEEKDAY(C1675,2)+4),1,3)+WEEKDAY(DATE(YEAR(C1675-WEEKDAY(C1675,2)+4),1,3),2)+5)/7),"00"))</f>
        <v/>
      </c>
    </row>
    <row r="1676" ht="18" customHeight="1">
      <c r="A1676" s="39" t="n">
        <v>1671</v>
      </c>
      <c r="B1676" s="33">
        <f>IF(C1676="","",IF(P1676="À RENSEIGNER","GIC",P1676)&amp;"-C"&amp;TEXT(A1676,"00000"))</f>
        <v/>
      </c>
      <c r="C1676" s="32" t="n"/>
      <c r="D1676" s="36" t="n"/>
      <c r="E1676" s="36" t="n"/>
      <c r="F1676" s="36" t="n"/>
      <c r="G1676" s="42" t="n"/>
      <c r="H1676" s="37" t="n"/>
      <c r="I1676" s="37" t="n"/>
      <c r="J1676" s="32" t="n"/>
      <c r="K1676" s="32" t="n"/>
      <c r="L1676" s="43" t="n"/>
      <c r="M1676" s="36" t="n"/>
      <c r="N1676" s="44" t="n"/>
      <c r="O1676" s="36" t="n"/>
      <c r="P1676" s="33">
        <f>IF(C1676="","",Commercial_Id)</f>
        <v/>
      </c>
      <c r="Q1676" s="34">
        <f>IF(AC1676="","",IF(AD1676=1,"C"&amp;TEXT(SUM(AD$6:AD1676),"0000"),INDEX(Q$6:Q1675,MATCH(AC1676,AC$6:AC1675,0))))</f>
        <v/>
      </c>
      <c r="R1676" s="34">
        <f>IF(C1676="","",IF(L1676="☑ Oui","Annulée",IF(OR(E1676="Vente directe",K1676&lt;&gt;""),"Livrée",IF(J1676&lt;&gt;"","Confirmée","En attente"))))</f>
        <v/>
      </c>
      <c r="S1676" s="34">
        <f>IF(F1676="","",IFERROR(VLOOKUP(F1676,T_Produits,2,FALSE),""))</f>
        <v/>
      </c>
      <c r="T1676" s="40">
        <f>IF(F1676="","",IFERROR(1/(1/VLOOKUP(F1676,T_Produits,3,FALSE)),""))</f>
        <v/>
      </c>
      <c r="U1676" s="40">
        <f>IF(H1676&lt;&gt;"",H1676,T1676)</f>
        <v/>
      </c>
      <c r="V1676" s="40">
        <f>IF(OR(G1676="",U1676=""),"",G1676*U1676-N(I1676))</f>
        <v/>
      </c>
      <c r="W1676" s="39">
        <f>IF(D1676="","",IFERROR(VALUE(MID(D1676,LEN(D1676)-3,3)),""))</f>
        <v/>
      </c>
      <c r="X1676" s="33">
        <f>IF(W1676="","",P1676&amp;"|"&amp;W1676)</f>
        <v/>
      </c>
      <c r="Y1676" s="33">
        <f>IF(W1676="","",IF(P1676="À RENSEIGNER","GIC",P1676)&amp;"-"&amp;TEXT(W1676,"000"))</f>
        <v/>
      </c>
      <c r="Z1676" s="33">
        <f>IF(X1676="","",IFERROR(INDEX(Cl_nom,MATCH(X1676,Cl_cle,0)),"(client introuvable)"))</f>
        <v/>
      </c>
      <c r="AA1676" s="33">
        <f>IF(X1676="","",IFERROR(INDEX(Cl_quartier,MATCH(X1676,Cl_cle,0))&amp;"",""))</f>
        <v/>
      </c>
      <c r="AB1676" s="45">
        <f>IF(R1676&lt;&gt;"Livrée",0,IF(K1676&lt;&gt;"",K1676,C1676))</f>
        <v/>
      </c>
      <c r="AC1676" s="33">
        <f>IF(OR(C1676="",W1676=""),"",P1676&amp;"|"&amp;W1676&amp;"|"&amp;C1676&amp;"|"&amp;E1676)</f>
        <v/>
      </c>
      <c r="AD1676" s="39">
        <f>IF(AC1676="","",IF(COUNTIF(AC$6:AC1676,AC1676)=1,1,0))</f>
        <v/>
      </c>
      <c r="AE1676" s="39">
        <f>IF(AB1676=0,"",IF(COUNTIFS(X$6:X1676,X1676,AB$6:AB1676,AB1676)=1,1,0))</f>
        <v/>
      </c>
      <c r="AF1676" s="34">
        <f>IF(C1676="","",YEAR(C1676-WEEKDAY(C1676,2)+4)&amp;"-S"&amp;TEXT(INT((C1676-DATE(YEAR(C1676-WEEKDAY(C1676,2)+4),1,3)+WEEKDAY(DATE(YEAR(C1676-WEEKDAY(C1676,2)+4),1,3),2)+5)/7),"00"))</f>
        <v/>
      </c>
    </row>
    <row r="1677" ht="18" customHeight="1">
      <c r="A1677" s="39" t="n">
        <v>1672</v>
      </c>
      <c r="B1677" s="33">
        <f>IF(C1677="","",IF(P1677="À RENSEIGNER","GIC",P1677)&amp;"-C"&amp;TEXT(A1677,"00000"))</f>
        <v/>
      </c>
      <c r="C1677" s="32" t="n"/>
      <c r="D1677" s="36" t="n"/>
      <c r="E1677" s="36" t="n"/>
      <c r="F1677" s="36" t="n"/>
      <c r="G1677" s="42" t="n"/>
      <c r="H1677" s="37" t="n"/>
      <c r="I1677" s="37" t="n"/>
      <c r="J1677" s="32" t="n"/>
      <c r="K1677" s="32" t="n"/>
      <c r="L1677" s="43" t="n"/>
      <c r="M1677" s="36" t="n"/>
      <c r="N1677" s="44" t="n"/>
      <c r="O1677" s="36" t="n"/>
      <c r="P1677" s="33">
        <f>IF(C1677="","",Commercial_Id)</f>
        <v/>
      </c>
      <c r="Q1677" s="34">
        <f>IF(AC1677="","",IF(AD1677=1,"C"&amp;TEXT(SUM(AD$6:AD1677),"0000"),INDEX(Q$6:Q1676,MATCH(AC1677,AC$6:AC1676,0))))</f>
        <v/>
      </c>
      <c r="R1677" s="34">
        <f>IF(C1677="","",IF(L1677="☑ Oui","Annulée",IF(OR(E1677="Vente directe",K1677&lt;&gt;""),"Livrée",IF(J1677&lt;&gt;"","Confirmée","En attente"))))</f>
        <v/>
      </c>
      <c r="S1677" s="34">
        <f>IF(F1677="","",IFERROR(VLOOKUP(F1677,T_Produits,2,FALSE),""))</f>
        <v/>
      </c>
      <c r="T1677" s="40">
        <f>IF(F1677="","",IFERROR(1/(1/VLOOKUP(F1677,T_Produits,3,FALSE)),""))</f>
        <v/>
      </c>
      <c r="U1677" s="40">
        <f>IF(H1677&lt;&gt;"",H1677,T1677)</f>
        <v/>
      </c>
      <c r="V1677" s="40">
        <f>IF(OR(G1677="",U1677=""),"",G1677*U1677-N(I1677))</f>
        <v/>
      </c>
      <c r="W1677" s="39">
        <f>IF(D1677="","",IFERROR(VALUE(MID(D1677,LEN(D1677)-3,3)),""))</f>
        <v/>
      </c>
      <c r="X1677" s="33">
        <f>IF(W1677="","",P1677&amp;"|"&amp;W1677)</f>
        <v/>
      </c>
      <c r="Y1677" s="33">
        <f>IF(W1677="","",IF(P1677="À RENSEIGNER","GIC",P1677)&amp;"-"&amp;TEXT(W1677,"000"))</f>
        <v/>
      </c>
      <c r="Z1677" s="33">
        <f>IF(X1677="","",IFERROR(INDEX(Cl_nom,MATCH(X1677,Cl_cle,0)),"(client introuvable)"))</f>
        <v/>
      </c>
      <c r="AA1677" s="33">
        <f>IF(X1677="","",IFERROR(INDEX(Cl_quartier,MATCH(X1677,Cl_cle,0))&amp;"",""))</f>
        <v/>
      </c>
      <c r="AB1677" s="45">
        <f>IF(R1677&lt;&gt;"Livrée",0,IF(K1677&lt;&gt;"",K1677,C1677))</f>
        <v/>
      </c>
      <c r="AC1677" s="33">
        <f>IF(OR(C1677="",W1677=""),"",P1677&amp;"|"&amp;W1677&amp;"|"&amp;C1677&amp;"|"&amp;E1677)</f>
        <v/>
      </c>
      <c r="AD1677" s="39">
        <f>IF(AC1677="","",IF(COUNTIF(AC$6:AC1677,AC1677)=1,1,0))</f>
        <v/>
      </c>
      <c r="AE1677" s="39">
        <f>IF(AB1677=0,"",IF(COUNTIFS(X$6:X1677,X1677,AB$6:AB1677,AB1677)=1,1,0))</f>
        <v/>
      </c>
      <c r="AF1677" s="34">
        <f>IF(C1677="","",YEAR(C1677-WEEKDAY(C1677,2)+4)&amp;"-S"&amp;TEXT(INT((C1677-DATE(YEAR(C1677-WEEKDAY(C1677,2)+4),1,3)+WEEKDAY(DATE(YEAR(C1677-WEEKDAY(C1677,2)+4),1,3),2)+5)/7),"00"))</f>
        <v/>
      </c>
    </row>
    <row r="1678" ht="18" customHeight="1">
      <c r="A1678" s="39" t="n">
        <v>1673</v>
      </c>
      <c r="B1678" s="33">
        <f>IF(C1678="","",IF(P1678="À RENSEIGNER","GIC",P1678)&amp;"-C"&amp;TEXT(A1678,"00000"))</f>
        <v/>
      </c>
      <c r="C1678" s="32" t="n"/>
      <c r="D1678" s="36" t="n"/>
      <c r="E1678" s="36" t="n"/>
      <c r="F1678" s="36" t="n"/>
      <c r="G1678" s="42" t="n"/>
      <c r="H1678" s="37" t="n"/>
      <c r="I1678" s="37" t="n"/>
      <c r="J1678" s="32" t="n"/>
      <c r="K1678" s="32" t="n"/>
      <c r="L1678" s="43" t="n"/>
      <c r="M1678" s="36" t="n"/>
      <c r="N1678" s="44" t="n"/>
      <c r="O1678" s="36" t="n"/>
      <c r="P1678" s="33">
        <f>IF(C1678="","",Commercial_Id)</f>
        <v/>
      </c>
      <c r="Q1678" s="34">
        <f>IF(AC1678="","",IF(AD1678=1,"C"&amp;TEXT(SUM(AD$6:AD1678),"0000"),INDEX(Q$6:Q1677,MATCH(AC1678,AC$6:AC1677,0))))</f>
        <v/>
      </c>
      <c r="R1678" s="34">
        <f>IF(C1678="","",IF(L1678="☑ Oui","Annulée",IF(OR(E1678="Vente directe",K1678&lt;&gt;""),"Livrée",IF(J1678&lt;&gt;"","Confirmée","En attente"))))</f>
        <v/>
      </c>
      <c r="S1678" s="34">
        <f>IF(F1678="","",IFERROR(VLOOKUP(F1678,T_Produits,2,FALSE),""))</f>
        <v/>
      </c>
      <c r="T1678" s="40">
        <f>IF(F1678="","",IFERROR(1/(1/VLOOKUP(F1678,T_Produits,3,FALSE)),""))</f>
        <v/>
      </c>
      <c r="U1678" s="40">
        <f>IF(H1678&lt;&gt;"",H1678,T1678)</f>
        <v/>
      </c>
      <c r="V1678" s="40">
        <f>IF(OR(G1678="",U1678=""),"",G1678*U1678-N(I1678))</f>
        <v/>
      </c>
      <c r="W1678" s="39">
        <f>IF(D1678="","",IFERROR(VALUE(MID(D1678,LEN(D1678)-3,3)),""))</f>
        <v/>
      </c>
      <c r="X1678" s="33">
        <f>IF(W1678="","",P1678&amp;"|"&amp;W1678)</f>
        <v/>
      </c>
      <c r="Y1678" s="33">
        <f>IF(W1678="","",IF(P1678="À RENSEIGNER","GIC",P1678)&amp;"-"&amp;TEXT(W1678,"000"))</f>
        <v/>
      </c>
      <c r="Z1678" s="33">
        <f>IF(X1678="","",IFERROR(INDEX(Cl_nom,MATCH(X1678,Cl_cle,0)),"(client introuvable)"))</f>
        <v/>
      </c>
      <c r="AA1678" s="33">
        <f>IF(X1678="","",IFERROR(INDEX(Cl_quartier,MATCH(X1678,Cl_cle,0))&amp;"",""))</f>
        <v/>
      </c>
      <c r="AB1678" s="45">
        <f>IF(R1678&lt;&gt;"Livrée",0,IF(K1678&lt;&gt;"",K1678,C1678))</f>
        <v/>
      </c>
      <c r="AC1678" s="33">
        <f>IF(OR(C1678="",W1678=""),"",P1678&amp;"|"&amp;W1678&amp;"|"&amp;C1678&amp;"|"&amp;E1678)</f>
        <v/>
      </c>
      <c r="AD1678" s="39">
        <f>IF(AC1678="","",IF(COUNTIF(AC$6:AC1678,AC1678)=1,1,0))</f>
        <v/>
      </c>
      <c r="AE1678" s="39">
        <f>IF(AB1678=0,"",IF(COUNTIFS(X$6:X1678,X1678,AB$6:AB1678,AB1678)=1,1,0))</f>
        <v/>
      </c>
      <c r="AF1678" s="34">
        <f>IF(C1678="","",YEAR(C1678-WEEKDAY(C1678,2)+4)&amp;"-S"&amp;TEXT(INT((C1678-DATE(YEAR(C1678-WEEKDAY(C1678,2)+4),1,3)+WEEKDAY(DATE(YEAR(C1678-WEEKDAY(C1678,2)+4),1,3),2)+5)/7),"00"))</f>
        <v/>
      </c>
    </row>
    <row r="1679" ht="18" customHeight="1">
      <c r="A1679" s="39" t="n">
        <v>1674</v>
      </c>
      <c r="B1679" s="33">
        <f>IF(C1679="","",IF(P1679="À RENSEIGNER","GIC",P1679)&amp;"-C"&amp;TEXT(A1679,"00000"))</f>
        <v/>
      </c>
      <c r="C1679" s="32" t="n"/>
      <c r="D1679" s="36" t="n"/>
      <c r="E1679" s="36" t="n"/>
      <c r="F1679" s="36" t="n"/>
      <c r="G1679" s="42" t="n"/>
      <c r="H1679" s="37" t="n"/>
      <c r="I1679" s="37" t="n"/>
      <c r="J1679" s="32" t="n"/>
      <c r="K1679" s="32" t="n"/>
      <c r="L1679" s="43" t="n"/>
      <c r="M1679" s="36" t="n"/>
      <c r="N1679" s="44" t="n"/>
      <c r="O1679" s="36" t="n"/>
      <c r="P1679" s="33">
        <f>IF(C1679="","",Commercial_Id)</f>
        <v/>
      </c>
      <c r="Q1679" s="34">
        <f>IF(AC1679="","",IF(AD1679=1,"C"&amp;TEXT(SUM(AD$6:AD1679),"0000"),INDEX(Q$6:Q1678,MATCH(AC1679,AC$6:AC1678,0))))</f>
        <v/>
      </c>
      <c r="R1679" s="34">
        <f>IF(C1679="","",IF(L1679="☑ Oui","Annulée",IF(OR(E1679="Vente directe",K1679&lt;&gt;""),"Livrée",IF(J1679&lt;&gt;"","Confirmée","En attente"))))</f>
        <v/>
      </c>
      <c r="S1679" s="34">
        <f>IF(F1679="","",IFERROR(VLOOKUP(F1679,T_Produits,2,FALSE),""))</f>
        <v/>
      </c>
      <c r="T1679" s="40">
        <f>IF(F1679="","",IFERROR(1/(1/VLOOKUP(F1679,T_Produits,3,FALSE)),""))</f>
        <v/>
      </c>
      <c r="U1679" s="40">
        <f>IF(H1679&lt;&gt;"",H1679,T1679)</f>
        <v/>
      </c>
      <c r="V1679" s="40">
        <f>IF(OR(G1679="",U1679=""),"",G1679*U1679-N(I1679))</f>
        <v/>
      </c>
      <c r="W1679" s="39">
        <f>IF(D1679="","",IFERROR(VALUE(MID(D1679,LEN(D1679)-3,3)),""))</f>
        <v/>
      </c>
      <c r="X1679" s="33">
        <f>IF(W1679="","",P1679&amp;"|"&amp;W1679)</f>
        <v/>
      </c>
      <c r="Y1679" s="33">
        <f>IF(W1679="","",IF(P1679="À RENSEIGNER","GIC",P1679)&amp;"-"&amp;TEXT(W1679,"000"))</f>
        <v/>
      </c>
      <c r="Z1679" s="33">
        <f>IF(X1679="","",IFERROR(INDEX(Cl_nom,MATCH(X1679,Cl_cle,0)),"(client introuvable)"))</f>
        <v/>
      </c>
      <c r="AA1679" s="33">
        <f>IF(X1679="","",IFERROR(INDEX(Cl_quartier,MATCH(X1679,Cl_cle,0))&amp;"",""))</f>
        <v/>
      </c>
      <c r="AB1679" s="45">
        <f>IF(R1679&lt;&gt;"Livrée",0,IF(K1679&lt;&gt;"",K1679,C1679))</f>
        <v/>
      </c>
      <c r="AC1679" s="33">
        <f>IF(OR(C1679="",W1679=""),"",P1679&amp;"|"&amp;W1679&amp;"|"&amp;C1679&amp;"|"&amp;E1679)</f>
        <v/>
      </c>
      <c r="AD1679" s="39">
        <f>IF(AC1679="","",IF(COUNTIF(AC$6:AC1679,AC1679)=1,1,0))</f>
        <v/>
      </c>
      <c r="AE1679" s="39">
        <f>IF(AB1679=0,"",IF(COUNTIFS(X$6:X1679,X1679,AB$6:AB1679,AB1679)=1,1,0))</f>
        <v/>
      </c>
      <c r="AF1679" s="34">
        <f>IF(C1679="","",YEAR(C1679-WEEKDAY(C1679,2)+4)&amp;"-S"&amp;TEXT(INT((C1679-DATE(YEAR(C1679-WEEKDAY(C1679,2)+4),1,3)+WEEKDAY(DATE(YEAR(C1679-WEEKDAY(C1679,2)+4),1,3),2)+5)/7),"00"))</f>
        <v/>
      </c>
    </row>
    <row r="1680" ht="18" customHeight="1">
      <c r="A1680" s="39" t="n">
        <v>1675</v>
      </c>
      <c r="B1680" s="33">
        <f>IF(C1680="","",IF(P1680="À RENSEIGNER","GIC",P1680)&amp;"-C"&amp;TEXT(A1680,"00000"))</f>
        <v/>
      </c>
      <c r="C1680" s="32" t="n"/>
      <c r="D1680" s="36" t="n"/>
      <c r="E1680" s="36" t="n"/>
      <c r="F1680" s="36" t="n"/>
      <c r="G1680" s="42" t="n"/>
      <c r="H1680" s="37" t="n"/>
      <c r="I1680" s="37" t="n"/>
      <c r="J1680" s="32" t="n"/>
      <c r="K1680" s="32" t="n"/>
      <c r="L1680" s="43" t="n"/>
      <c r="M1680" s="36" t="n"/>
      <c r="N1680" s="44" t="n"/>
      <c r="O1680" s="36" t="n"/>
      <c r="P1680" s="33">
        <f>IF(C1680="","",Commercial_Id)</f>
        <v/>
      </c>
      <c r="Q1680" s="34">
        <f>IF(AC1680="","",IF(AD1680=1,"C"&amp;TEXT(SUM(AD$6:AD1680),"0000"),INDEX(Q$6:Q1679,MATCH(AC1680,AC$6:AC1679,0))))</f>
        <v/>
      </c>
      <c r="R1680" s="34">
        <f>IF(C1680="","",IF(L1680="☑ Oui","Annulée",IF(OR(E1680="Vente directe",K1680&lt;&gt;""),"Livrée",IF(J1680&lt;&gt;"","Confirmée","En attente"))))</f>
        <v/>
      </c>
      <c r="S1680" s="34">
        <f>IF(F1680="","",IFERROR(VLOOKUP(F1680,T_Produits,2,FALSE),""))</f>
        <v/>
      </c>
      <c r="T1680" s="40">
        <f>IF(F1680="","",IFERROR(1/(1/VLOOKUP(F1680,T_Produits,3,FALSE)),""))</f>
        <v/>
      </c>
      <c r="U1680" s="40">
        <f>IF(H1680&lt;&gt;"",H1680,T1680)</f>
        <v/>
      </c>
      <c r="V1680" s="40">
        <f>IF(OR(G1680="",U1680=""),"",G1680*U1680-N(I1680))</f>
        <v/>
      </c>
      <c r="W1680" s="39">
        <f>IF(D1680="","",IFERROR(VALUE(MID(D1680,LEN(D1680)-3,3)),""))</f>
        <v/>
      </c>
      <c r="X1680" s="33">
        <f>IF(W1680="","",P1680&amp;"|"&amp;W1680)</f>
        <v/>
      </c>
      <c r="Y1680" s="33">
        <f>IF(W1680="","",IF(P1680="À RENSEIGNER","GIC",P1680)&amp;"-"&amp;TEXT(W1680,"000"))</f>
        <v/>
      </c>
      <c r="Z1680" s="33">
        <f>IF(X1680="","",IFERROR(INDEX(Cl_nom,MATCH(X1680,Cl_cle,0)),"(client introuvable)"))</f>
        <v/>
      </c>
      <c r="AA1680" s="33">
        <f>IF(X1680="","",IFERROR(INDEX(Cl_quartier,MATCH(X1680,Cl_cle,0))&amp;"",""))</f>
        <v/>
      </c>
      <c r="AB1680" s="45">
        <f>IF(R1680&lt;&gt;"Livrée",0,IF(K1680&lt;&gt;"",K1680,C1680))</f>
        <v/>
      </c>
      <c r="AC1680" s="33">
        <f>IF(OR(C1680="",W1680=""),"",P1680&amp;"|"&amp;W1680&amp;"|"&amp;C1680&amp;"|"&amp;E1680)</f>
        <v/>
      </c>
      <c r="AD1680" s="39">
        <f>IF(AC1680="","",IF(COUNTIF(AC$6:AC1680,AC1680)=1,1,0))</f>
        <v/>
      </c>
      <c r="AE1680" s="39">
        <f>IF(AB1680=0,"",IF(COUNTIFS(X$6:X1680,X1680,AB$6:AB1680,AB1680)=1,1,0))</f>
        <v/>
      </c>
      <c r="AF1680" s="34">
        <f>IF(C1680="","",YEAR(C1680-WEEKDAY(C1680,2)+4)&amp;"-S"&amp;TEXT(INT((C1680-DATE(YEAR(C1680-WEEKDAY(C1680,2)+4),1,3)+WEEKDAY(DATE(YEAR(C1680-WEEKDAY(C1680,2)+4),1,3),2)+5)/7),"00"))</f>
        <v/>
      </c>
    </row>
    <row r="1681" ht="18" customHeight="1">
      <c r="A1681" s="39" t="n">
        <v>1676</v>
      </c>
      <c r="B1681" s="33">
        <f>IF(C1681="","",IF(P1681="À RENSEIGNER","GIC",P1681)&amp;"-C"&amp;TEXT(A1681,"00000"))</f>
        <v/>
      </c>
      <c r="C1681" s="32" t="n"/>
      <c r="D1681" s="36" t="n"/>
      <c r="E1681" s="36" t="n"/>
      <c r="F1681" s="36" t="n"/>
      <c r="G1681" s="42" t="n"/>
      <c r="H1681" s="37" t="n"/>
      <c r="I1681" s="37" t="n"/>
      <c r="J1681" s="32" t="n"/>
      <c r="K1681" s="32" t="n"/>
      <c r="L1681" s="43" t="n"/>
      <c r="M1681" s="36" t="n"/>
      <c r="N1681" s="44" t="n"/>
      <c r="O1681" s="36" t="n"/>
      <c r="P1681" s="33">
        <f>IF(C1681="","",Commercial_Id)</f>
        <v/>
      </c>
      <c r="Q1681" s="34">
        <f>IF(AC1681="","",IF(AD1681=1,"C"&amp;TEXT(SUM(AD$6:AD1681),"0000"),INDEX(Q$6:Q1680,MATCH(AC1681,AC$6:AC1680,0))))</f>
        <v/>
      </c>
      <c r="R1681" s="34">
        <f>IF(C1681="","",IF(L1681="☑ Oui","Annulée",IF(OR(E1681="Vente directe",K1681&lt;&gt;""),"Livrée",IF(J1681&lt;&gt;"","Confirmée","En attente"))))</f>
        <v/>
      </c>
      <c r="S1681" s="34">
        <f>IF(F1681="","",IFERROR(VLOOKUP(F1681,T_Produits,2,FALSE),""))</f>
        <v/>
      </c>
      <c r="T1681" s="40">
        <f>IF(F1681="","",IFERROR(1/(1/VLOOKUP(F1681,T_Produits,3,FALSE)),""))</f>
        <v/>
      </c>
      <c r="U1681" s="40">
        <f>IF(H1681&lt;&gt;"",H1681,T1681)</f>
        <v/>
      </c>
      <c r="V1681" s="40">
        <f>IF(OR(G1681="",U1681=""),"",G1681*U1681-N(I1681))</f>
        <v/>
      </c>
      <c r="W1681" s="39">
        <f>IF(D1681="","",IFERROR(VALUE(MID(D1681,LEN(D1681)-3,3)),""))</f>
        <v/>
      </c>
      <c r="X1681" s="33">
        <f>IF(W1681="","",P1681&amp;"|"&amp;W1681)</f>
        <v/>
      </c>
      <c r="Y1681" s="33">
        <f>IF(W1681="","",IF(P1681="À RENSEIGNER","GIC",P1681)&amp;"-"&amp;TEXT(W1681,"000"))</f>
        <v/>
      </c>
      <c r="Z1681" s="33">
        <f>IF(X1681="","",IFERROR(INDEX(Cl_nom,MATCH(X1681,Cl_cle,0)),"(client introuvable)"))</f>
        <v/>
      </c>
      <c r="AA1681" s="33">
        <f>IF(X1681="","",IFERROR(INDEX(Cl_quartier,MATCH(X1681,Cl_cle,0))&amp;"",""))</f>
        <v/>
      </c>
      <c r="AB1681" s="45">
        <f>IF(R1681&lt;&gt;"Livrée",0,IF(K1681&lt;&gt;"",K1681,C1681))</f>
        <v/>
      </c>
      <c r="AC1681" s="33">
        <f>IF(OR(C1681="",W1681=""),"",P1681&amp;"|"&amp;W1681&amp;"|"&amp;C1681&amp;"|"&amp;E1681)</f>
        <v/>
      </c>
      <c r="AD1681" s="39">
        <f>IF(AC1681="","",IF(COUNTIF(AC$6:AC1681,AC1681)=1,1,0))</f>
        <v/>
      </c>
      <c r="AE1681" s="39">
        <f>IF(AB1681=0,"",IF(COUNTIFS(X$6:X1681,X1681,AB$6:AB1681,AB1681)=1,1,0))</f>
        <v/>
      </c>
      <c r="AF1681" s="34">
        <f>IF(C1681="","",YEAR(C1681-WEEKDAY(C1681,2)+4)&amp;"-S"&amp;TEXT(INT((C1681-DATE(YEAR(C1681-WEEKDAY(C1681,2)+4),1,3)+WEEKDAY(DATE(YEAR(C1681-WEEKDAY(C1681,2)+4),1,3),2)+5)/7),"00"))</f>
        <v/>
      </c>
    </row>
    <row r="1682" ht="18" customHeight="1">
      <c r="A1682" s="39" t="n">
        <v>1677</v>
      </c>
      <c r="B1682" s="33">
        <f>IF(C1682="","",IF(P1682="À RENSEIGNER","GIC",P1682)&amp;"-C"&amp;TEXT(A1682,"00000"))</f>
        <v/>
      </c>
      <c r="C1682" s="32" t="n"/>
      <c r="D1682" s="36" t="n"/>
      <c r="E1682" s="36" t="n"/>
      <c r="F1682" s="36" t="n"/>
      <c r="G1682" s="42" t="n"/>
      <c r="H1682" s="37" t="n"/>
      <c r="I1682" s="37" t="n"/>
      <c r="J1682" s="32" t="n"/>
      <c r="K1682" s="32" t="n"/>
      <c r="L1682" s="43" t="n"/>
      <c r="M1682" s="36" t="n"/>
      <c r="N1682" s="44" t="n"/>
      <c r="O1682" s="36" t="n"/>
      <c r="P1682" s="33">
        <f>IF(C1682="","",Commercial_Id)</f>
        <v/>
      </c>
      <c r="Q1682" s="34">
        <f>IF(AC1682="","",IF(AD1682=1,"C"&amp;TEXT(SUM(AD$6:AD1682),"0000"),INDEX(Q$6:Q1681,MATCH(AC1682,AC$6:AC1681,0))))</f>
        <v/>
      </c>
      <c r="R1682" s="34">
        <f>IF(C1682="","",IF(L1682="☑ Oui","Annulée",IF(OR(E1682="Vente directe",K1682&lt;&gt;""),"Livrée",IF(J1682&lt;&gt;"","Confirmée","En attente"))))</f>
        <v/>
      </c>
      <c r="S1682" s="34">
        <f>IF(F1682="","",IFERROR(VLOOKUP(F1682,T_Produits,2,FALSE),""))</f>
        <v/>
      </c>
      <c r="T1682" s="40">
        <f>IF(F1682="","",IFERROR(1/(1/VLOOKUP(F1682,T_Produits,3,FALSE)),""))</f>
        <v/>
      </c>
      <c r="U1682" s="40">
        <f>IF(H1682&lt;&gt;"",H1682,T1682)</f>
        <v/>
      </c>
      <c r="V1682" s="40">
        <f>IF(OR(G1682="",U1682=""),"",G1682*U1682-N(I1682))</f>
        <v/>
      </c>
      <c r="W1682" s="39">
        <f>IF(D1682="","",IFERROR(VALUE(MID(D1682,LEN(D1682)-3,3)),""))</f>
        <v/>
      </c>
      <c r="X1682" s="33">
        <f>IF(W1682="","",P1682&amp;"|"&amp;W1682)</f>
        <v/>
      </c>
      <c r="Y1682" s="33">
        <f>IF(W1682="","",IF(P1682="À RENSEIGNER","GIC",P1682)&amp;"-"&amp;TEXT(W1682,"000"))</f>
        <v/>
      </c>
      <c r="Z1682" s="33">
        <f>IF(X1682="","",IFERROR(INDEX(Cl_nom,MATCH(X1682,Cl_cle,0)),"(client introuvable)"))</f>
        <v/>
      </c>
      <c r="AA1682" s="33">
        <f>IF(X1682="","",IFERROR(INDEX(Cl_quartier,MATCH(X1682,Cl_cle,0))&amp;"",""))</f>
        <v/>
      </c>
      <c r="AB1682" s="45">
        <f>IF(R1682&lt;&gt;"Livrée",0,IF(K1682&lt;&gt;"",K1682,C1682))</f>
        <v/>
      </c>
      <c r="AC1682" s="33">
        <f>IF(OR(C1682="",W1682=""),"",P1682&amp;"|"&amp;W1682&amp;"|"&amp;C1682&amp;"|"&amp;E1682)</f>
        <v/>
      </c>
      <c r="AD1682" s="39">
        <f>IF(AC1682="","",IF(COUNTIF(AC$6:AC1682,AC1682)=1,1,0))</f>
        <v/>
      </c>
      <c r="AE1682" s="39">
        <f>IF(AB1682=0,"",IF(COUNTIFS(X$6:X1682,X1682,AB$6:AB1682,AB1682)=1,1,0))</f>
        <v/>
      </c>
      <c r="AF1682" s="34">
        <f>IF(C1682="","",YEAR(C1682-WEEKDAY(C1682,2)+4)&amp;"-S"&amp;TEXT(INT((C1682-DATE(YEAR(C1682-WEEKDAY(C1682,2)+4),1,3)+WEEKDAY(DATE(YEAR(C1682-WEEKDAY(C1682,2)+4),1,3),2)+5)/7),"00"))</f>
        <v/>
      </c>
    </row>
    <row r="1683" ht="18" customHeight="1">
      <c r="A1683" s="39" t="n">
        <v>1678</v>
      </c>
      <c r="B1683" s="33">
        <f>IF(C1683="","",IF(P1683="À RENSEIGNER","GIC",P1683)&amp;"-C"&amp;TEXT(A1683,"00000"))</f>
        <v/>
      </c>
      <c r="C1683" s="32" t="n"/>
      <c r="D1683" s="36" t="n"/>
      <c r="E1683" s="36" t="n"/>
      <c r="F1683" s="36" t="n"/>
      <c r="G1683" s="42" t="n"/>
      <c r="H1683" s="37" t="n"/>
      <c r="I1683" s="37" t="n"/>
      <c r="J1683" s="32" t="n"/>
      <c r="K1683" s="32" t="n"/>
      <c r="L1683" s="43" t="n"/>
      <c r="M1683" s="36" t="n"/>
      <c r="N1683" s="44" t="n"/>
      <c r="O1683" s="36" t="n"/>
      <c r="P1683" s="33">
        <f>IF(C1683="","",Commercial_Id)</f>
        <v/>
      </c>
      <c r="Q1683" s="34">
        <f>IF(AC1683="","",IF(AD1683=1,"C"&amp;TEXT(SUM(AD$6:AD1683),"0000"),INDEX(Q$6:Q1682,MATCH(AC1683,AC$6:AC1682,0))))</f>
        <v/>
      </c>
      <c r="R1683" s="34">
        <f>IF(C1683="","",IF(L1683="☑ Oui","Annulée",IF(OR(E1683="Vente directe",K1683&lt;&gt;""),"Livrée",IF(J1683&lt;&gt;"","Confirmée","En attente"))))</f>
        <v/>
      </c>
      <c r="S1683" s="34">
        <f>IF(F1683="","",IFERROR(VLOOKUP(F1683,T_Produits,2,FALSE),""))</f>
        <v/>
      </c>
      <c r="T1683" s="40">
        <f>IF(F1683="","",IFERROR(1/(1/VLOOKUP(F1683,T_Produits,3,FALSE)),""))</f>
        <v/>
      </c>
      <c r="U1683" s="40">
        <f>IF(H1683&lt;&gt;"",H1683,T1683)</f>
        <v/>
      </c>
      <c r="V1683" s="40">
        <f>IF(OR(G1683="",U1683=""),"",G1683*U1683-N(I1683))</f>
        <v/>
      </c>
      <c r="W1683" s="39">
        <f>IF(D1683="","",IFERROR(VALUE(MID(D1683,LEN(D1683)-3,3)),""))</f>
        <v/>
      </c>
      <c r="X1683" s="33">
        <f>IF(W1683="","",P1683&amp;"|"&amp;W1683)</f>
        <v/>
      </c>
      <c r="Y1683" s="33">
        <f>IF(W1683="","",IF(P1683="À RENSEIGNER","GIC",P1683)&amp;"-"&amp;TEXT(W1683,"000"))</f>
        <v/>
      </c>
      <c r="Z1683" s="33">
        <f>IF(X1683="","",IFERROR(INDEX(Cl_nom,MATCH(X1683,Cl_cle,0)),"(client introuvable)"))</f>
        <v/>
      </c>
      <c r="AA1683" s="33">
        <f>IF(X1683="","",IFERROR(INDEX(Cl_quartier,MATCH(X1683,Cl_cle,0))&amp;"",""))</f>
        <v/>
      </c>
      <c r="AB1683" s="45">
        <f>IF(R1683&lt;&gt;"Livrée",0,IF(K1683&lt;&gt;"",K1683,C1683))</f>
        <v/>
      </c>
      <c r="AC1683" s="33">
        <f>IF(OR(C1683="",W1683=""),"",P1683&amp;"|"&amp;W1683&amp;"|"&amp;C1683&amp;"|"&amp;E1683)</f>
        <v/>
      </c>
      <c r="AD1683" s="39">
        <f>IF(AC1683="","",IF(COUNTIF(AC$6:AC1683,AC1683)=1,1,0))</f>
        <v/>
      </c>
      <c r="AE1683" s="39">
        <f>IF(AB1683=0,"",IF(COUNTIFS(X$6:X1683,X1683,AB$6:AB1683,AB1683)=1,1,0))</f>
        <v/>
      </c>
      <c r="AF1683" s="34">
        <f>IF(C1683="","",YEAR(C1683-WEEKDAY(C1683,2)+4)&amp;"-S"&amp;TEXT(INT((C1683-DATE(YEAR(C1683-WEEKDAY(C1683,2)+4),1,3)+WEEKDAY(DATE(YEAR(C1683-WEEKDAY(C1683,2)+4),1,3),2)+5)/7),"00"))</f>
        <v/>
      </c>
    </row>
    <row r="1684" ht="18" customHeight="1">
      <c r="A1684" s="39" t="n">
        <v>1679</v>
      </c>
      <c r="B1684" s="33">
        <f>IF(C1684="","",IF(P1684="À RENSEIGNER","GIC",P1684)&amp;"-C"&amp;TEXT(A1684,"00000"))</f>
        <v/>
      </c>
      <c r="C1684" s="32" t="n"/>
      <c r="D1684" s="36" t="n"/>
      <c r="E1684" s="36" t="n"/>
      <c r="F1684" s="36" t="n"/>
      <c r="G1684" s="42" t="n"/>
      <c r="H1684" s="37" t="n"/>
      <c r="I1684" s="37" t="n"/>
      <c r="J1684" s="32" t="n"/>
      <c r="K1684" s="32" t="n"/>
      <c r="L1684" s="43" t="n"/>
      <c r="M1684" s="36" t="n"/>
      <c r="N1684" s="44" t="n"/>
      <c r="O1684" s="36" t="n"/>
      <c r="P1684" s="33">
        <f>IF(C1684="","",Commercial_Id)</f>
        <v/>
      </c>
      <c r="Q1684" s="34">
        <f>IF(AC1684="","",IF(AD1684=1,"C"&amp;TEXT(SUM(AD$6:AD1684),"0000"),INDEX(Q$6:Q1683,MATCH(AC1684,AC$6:AC1683,0))))</f>
        <v/>
      </c>
      <c r="R1684" s="34">
        <f>IF(C1684="","",IF(L1684="☑ Oui","Annulée",IF(OR(E1684="Vente directe",K1684&lt;&gt;""),"Livrée",IF(J1684&lt;&gt;"","Confirmée","En attente"))))</f>
        <v/>
      </c>
      <c r="S1684" s="34">
        <f>IF(F1684="","",IFERROR(VLOOKUP(F1684,T_Produits,2,FALSE),""))</f>
        <v/>
      </c>
      <c r="T1684" s="40">
        <f>IF(F1684="","",IFERROR(1/(1/VLOOKUP(F1684,T_Produits,3,FALSE)),""))</f>
        <v/>
      </c>
      <c r="U1684" s="40">
        <f>IF(H1684&lt;&gt;"",H1684,T1684)</f>
        <v/>
      </c>
      <c r="V1684" s="40">
        <f>IF(OR(G1684="",U1684=""),"",G1684*U1684-N(I1684))</f>
        <v/>
      </c>
      <c r="W1684" s="39">
        <f>IF(D1684="","",IFERROR(VALUE(MID(D1684,LEN(D1684)-3,3)),""))</f>
        <v/>
      </c>
      <c r="X1684" s="33">
        <f>IF(W1684="","",P1684&amp;"|"&amp;W1684)</f>
        <v/>
      </c>
      <c r="Y1684" s="33">
        <f>IF(W1684="","",IF(P1684="À RENSEIGNER","GIC",P1684)&amp;"-"&amp;TEXT(W1684,"000"))</f>
        <v/>
      </c>
      <c r="Z1684" s="33">
        <f>IF(X1684="","",IFERROR(INDEX(Cl_nom,MATCH(X1684,Cl_cle,0)),"(client introuvable)"))</f>
        <v/>
      </c>
      <c r="AA1684" s="33">
        <f>IF(X1684="","",IFERROR(INDEX(Cl_quartier,MATCH(X1684,Cl_cle,0))&amp;"",""))</f>
        <v/>
      </c>
      <c r="AB1684" s="45">
        <f>IF(R1684&lt;&gt;"Livrée",0,IF(K1684&lt;&gt;"",K1684,C1684))</f>
        <v/>
      </c>
      <c r="AC1684" s="33">
        <f>IF(OR(C1684="",W1684=""),"",P1684&amp;"|"&amp;W1684&amp;"|"&amp;C1684&amp;"|"&amp;E1684)</f>
        <v/>
      </c>
      <c r="AD1684" s="39">
        <f>IF(AC1684="","",IF(COUNTIF(AC$6:AC1684,AC1684)=1,1,0))</f>
        <v/>
      </c>
      <c r="AE1684" s="39">
        <f>IF(AB1684=0,"",IF(COUNTIFS(X$6:X1684,X1684,AB$6:AB1684,AB1684)=1,1,0))</f>
        <v/>
      </c>
      <c r="AF1684" s="34">
        <f>IF(C1684="","",YEAR(C1684-WEEKDAY(C1684,2)+4)&amp;"-S"&amp;TEXT(INT((C1684-DATE(YEAR(C1684-WEEKDAY(C1684,2)+4),1,3)+WEEKDAY(DATE(YEAR(C1684-WEEKDAY(C1684,2)+4),1,3),2)+5)/7),"00"))</f>
        <v/>
      </c>
    </row>
    <row r="1685" ht="18" customHeight="1">
      <c r="A1685" s="39" t="n">
        <v>1680</v>
      </c>
      <c r="B1685" s="33">
        <f>IF(C1685="","",IF(P1685="À RENSEIGNER","GIC",P1685)&amp;"-C"&amp;TEXT(A1685,"00000"))</f>
        <v/>
      </c>
      <c r="C1685" s="32" t="n"/>
      <c r="D1685" s="36" t="n"/>
      <c r="E1685" s="36" t="n"/>
      <c r="F1685" s="36" t="n"/>
      <c r="G1685" s="42" t="n"/>
      <c r="H1685" s="37" t="n"/>
      <c r="I1685" s="37" t="n"/>
      <c r="J1685" s="32" t="n"/>
      <c r="K1685" s="32" t="n"/>
      <c r="L1685" s="43" t="n"/>
      <c r="M1685" s="36" t="n"/>
      <c r="N1685" s="44" t="n"/>
      <c r="O1685" s="36" t="n"/>
      <c r="P1685" s="33">
        <f>IF(C1685="","",Commercial_Id)</f>
        <v/>
      </c>
      <c r="Q1685" s="34">
        <f>IF(AC1685="","",IF(AD1685=1,"C"&amp;TEXT(SUM(AD$6:AD1685),"0000"),INDEX(Q$6:Q1684,MATCH(AC1685,AC$6:AC1684,0))))</f>
        <v/>
      </c>
      <c r="R1685" s="34">
        <f>IF(C1685="","",IF(L1685="☑ Oui","Annulée",IF(OR(E1685="Vente directe",K1685&lt;&gt;""),"Livrée",IF(J1685&lt;&gt;"","Confirmée","En attente"))))</f>
        <v/>
      </c>
      <c r="S1685" s="34">
        <f>IF(F1685="","",IFERROR(VLOOKUP(F1685,T_Produits,2,FALSE),""))</f>
        <v/>
      </c>
      <c r="T1685" s="40">
        <f>IF(F1685="","",IFERROR(1/(1/VLOOKUP(F1685,T_Produits,3,FALSE)),""))</f>
        <v/>
      </c>
      <c r="U1685" s="40">
        <f>IF(H1685&lt;&gt;"",H1685,T1685)</f>
        <v/>
      </c>
      <c r="V1685" s="40">
        <f>IF(OR(G1685="",U1685=""),"",G1685*U1685-N(I1685))</f>
        <v/>
      </c>
      <c r="W1685" s="39">
        <f>IF(D1685="","",IFERROR(VALUE(MID(D1685,LEN(D1685)-3,3)),""))</f>
        <v/>
      </c>
      <c r="X1685" s="33">
        <f>IF(W1685="","",P1685&amp;"|"&amp;W1685)</f>
        <v/>
      </c>
      <c r="Y1685" s="33">
        <f>IF(W1685="","",IF(P1685="À RENSEIGNER","GIC",P1685)&amp;"-"&amp;TEXT(W1685,"000"))</f>
        <v/>
      </c>
      <c r="Z1685" s="33">
        <f>IF(X1685="","",IFERROR(INDEX(Cl_nom,MATCH(X1685,Cl_cle,0)),"(client introuvable)"))</f>
        <v/>
      </c>
      <c r="AA1685" s="33">
        <f>IF(X1685="","",IFERROR(INDEX(Cl_quartier,MATCH(X1685,Cl_cle,0))&amp;"",""))</f>
        <v/>
      </c>
      <c r="AB1685" s="45">
        <f>IF(R1685&lt;&gt;"Livrée",0,IF(K1685&lt;&gt;"",K1685,C1685))</f>
        <v/>
      </c>
      <c r="AC1685" s="33">
        <f>IF(OR(C1685="",W1685=""),"",P1685&amp;"|"&amp;W1685&amp;"|"&amp;C1685&amp;"|"&amp;E1685)</f>
        <v/>
      </c>
      <c r="AD1685" s="39">
        <f>IF(AC1685="","",IF(COUNTIF(AC$6:AC1685,AC1685)=1,1,0))</f>
        <v/>
      </c>
      <c r="AE1685" s="39">
        <f>IF(AB1685=0,"",IF(COUNTIFS(X$6:X1685,X1685,AB$6:AB1685,AB1685)=1,1,0))</f>
        <v/>
      </c>
      <c r="AF1685" s="34">
        <f>IF(C1685="","",YEAR(C1685-WEEKDAY(C1685,2)+4)&amp;"-S"&amp;TEXT(INT((C1685-DATE(YEAR(C1685-WEEKDAY(C1685,2)+4),1,3)+WEEKDAY(DATE(YEAR(C1685-WEEKDAY(C1685,2)+4),1,3),2)+5)/7),"00"))</f>
        <v/>
      </c>
    </row>
    <row r="1686" ht="18" customHeight="1">
      <c r="A1686" s="39" t="n">
        <v>1681</v>
      </c>
      <c r="B1686" s="33">
        <f>IF(C1686="","",IF(P1686="À RENSEIGNER","GIC",P1686)&amp;"-C"&amp;TEXT(A1686,"00000"))</f>
        <v/>
      </c>
      <c r="C1686" s="32" t="n"/>
      <c r="D1686" s="36" t="n"/>
      <c r="E1686" s="36" t="n"/>
      <c r="F1686" s="36" t="n"/>
      <c r="G1686" s="42" t="n"/>
      <c r="H1686" s="37" t="n"/>
      <c r="I1686" s="37" t="n"/>
      <c r="J1686" s="32" t="n"/>
      <c r="K1686" s="32" t="n"/>
      <c r="L1686" s="43" t="n"/>
      <c r="M1686" s="36" t="n"/>
      <c r="N1686" s="44" t="n"/>
      <c r="O1686" s="36" t="n"/>
      <c r="P1686" s="33">
        <f>IF(C1686="","",Commercial_Id)</f>
        <v/>
      </c>
      <c r="Q1686" s="34">
        <f>IF(AC1686="","",IF(AD1686=1,"C"&amp;TEXT(SUM(AD$6:AD1686),"0000"),INDEX(Q$6:Q1685,MATCH(AC1686,AC$6:AC1685,0))))</f>
        <v/>
      </c>
      <c r="R1686" s="34">
        <f>IF(C1686="","",IF(L1686="☑ Oui","Annulée",IF(OR(E1686="Vente directe",K1686&lt;&gt;""),"Livrée",IF(J1686&lt;&gt;"","Confirmée","En attente"))))</f>
        <v/>
      </c>
      <c r="S1686" s="34">
        <f>IF(F1686="","",IFERROR(VLOOKUP(F1686,T_Produits,2,FALSE),""))</f>
        <v/>
      </c>
      <c r="T1686" s="40">
        <f>IF(F1686="","",IFERROR(1/(1/VLOOKUP(F1686,T_Produits,3,FALSE)),""))</f>
        <v/>
      </c>
      <c r="U1686" s="40">
        <f>IF(H1686&lt;&gt;"",H1686,T1686)</f>
        <v/>
      </c>
      <c r="V1686" s="40">
        <f>IF(OR(G1686="",U1686=""),"",G1686*U1686-N(I1686))</f>
        <v/>
      </c>
      <c r="W1686" s="39">
        <f>IF(D1686="","",IFERROR(VALUE(MID(D1686,LEN(D1686)-3,3)),""))</f>
        <v/>
      </c>
      <c r="X1686" s="33">
        <f>IF(W1686="","",P1686&amp;"|"&amp;W1686)</f>
        <v/>
      </c>
      <c r="Y1686" s="33">
        <f>IF(W1686="","",IF(P1686="À RENSEIGNER","GIC",P1686)&amp;"-"&amp;TEXT(W1686,"000"))</f>
        <v/>
      </c>
      <c r="Z1686" s="33">
        <f>IF(X1686="","",IFERROR(INDEX(Cl_nom,MATCH(X1686,Cl_cle,0)),"(client introuvable)"))</f>
        <v/>
      </c>
      <c r="AA1686" s="33">
        <f>IF(X1686="","",IFERROR(INDEX(Cl_quartier,MATCH(X1686,Cl_cle,0))&amp;"",""))</f>
        <v/>
      </c>
      <c r="AB1686" s="45">
        <f>IF(R1686&lt;&gt;"Livrée",0,IF(K1686&lt;&gt;"",K1686,C1686))</f>
        <v/>
      </c>
      <c r="AC1686" s="33">
        <f>IF(OR(C1686="",W1686=""),"",P1686&amp;"|"&amp;W1686&amp;"|"&amp;C1686&amp;"|"&amp;E1686)</f>
        <v/>
      </c>
      <c r="AD1686" s="39">
        <f>IF(AC1686="","",IF(COUNTIF(AC$6:AC1686,AC1686)=1,1,0))</f>
        <v/>
      </c>
      <c r="AE1686" s="39">
        <f>IF(AB1686=0,"",IF(COUNTIFS(X$6:X1686,X1686,AB$6:AB1686,AB1686)=1,1,0))</f>
        <v/>
      </c>
      <c r="AF1686" s="34">
        <f>IF(C1686="","",YEAR(C1686-WEEKDAY(C1686,2)+4)&amp;"-S"&amp;TEXT(INT((C1686-DATE(YEAR(C1686-WEEKDAY(C1686,2)+4),1,3)+WEEKDAY(DATE(YEAR(C1686-WEEKDAY(C1686,2)+4),1,3),2)+5)/7),"00"))</f>
        <v/>
      </c>
    </row>
    <row r="1687" ht="18" customHeight="1">
      <c r="A1687" s="39" t="n">
        <v>1682</v>
      </c>
      <c r="B1687" s="33">
        <f>IF(C1687="","",IF(P1687="À RENSEIGNER","GIC",P1687)&amp;"-C"&amp;TEXT(A1687,"00000"))</f>
        <v/>
      </c>
      <c r="C1687" s="32" t="n"/>
      <c r="D1687" s="36" t="n"/>
      <c r="E1687" s="36" t="n"/>
      <c r="F1687" s="36" t="n"/>
      <c r="G1687" s="42" t="n"/>
      <c r="H1687" s="37" t="n"/>
      <c r="I1687" s="37" t="n"/>
      <c r="J1687" s="32" t="n"/>
      <c r="K1687" s="32" t="n"/>
      <c r="L1687" s="43" t="n"/>
      <c r="M1687" s="36" t="n"/>
      <c r="N1687" s="44" t="n"/>
      <c r="O1687" s="36" t="n"/>
      <c r="P1687" s="33">
        <f>IF(C1687="","",Commercial_Id)</f>
        <v/>
      </c>
      <c r="Q1687" s="34">
        <f>IF(AC1687="","",IF(AD1687=1,"C"&amp;TEXT(SUM(AD$6:AD1687),"0000"),INDEX(Q$6:Q1686,MATCH(AC1687,AC$6:AC1686,0))))</f>
        <v/>
      </c>
      <c r="R1687" s="34">
        <f>IF(C1687="","",IF(L1687="☑ Oui","Annulée",IF(OR(E1687="Vente directe",K1687&lt;&gt;""),"Livrée",IF(J1687&lt;&gt;"","Confirmée","En attente"))))</f>
        <v/>
      </c>
      <c r="S1687" s="34">
        <f>IF(F1687="","",IFERROR(VLOOKUP(F1687,T_Produits,2,FALSE),""))</f>
        <v/>
      </c>
      <c r="T1687" s="40">
        <f>IF(F1687="","",IFERROR(1/(1/VLOOKUP(F1687,T_Produits,3,FALSE)),""))</f>
        <v/>
      </c>
      <c r="U1687" s="40">
        <f>IF(H1687&lt;&gt;"",H1687,T1687)</f>
        <v/>
      </c>
      <c r="V1687" s="40">
        <f>IF(OR(G1687="",U1687=""),"",G1687*U1687-N(I1687))</f>
        <v/>
      </c>
      <c r="W1687" s="39">
        <f>IF(D1687="","",IFERROR(VALUE(MID(D1687,LEN(D1687)-3,3)),""))</f>
        <v/>
      </c>
      <c r="X1687" s="33">
        <f>IF(W1687="","",P1687&amp;"|"&amp;W1687)</f>
        <v/>
      </c>
      <c r="Y1687" s="33">
        <f>IF(W1687="","",IF(P1687="À RENSEIGNER","GIC",P1687)&amp;"-"&amp;TEXT(W1687,"000"))</f>
        <v/>
      </c>
      <c r="Z1687" s="33">
        <f>IF(X1687="","",IFERROR(INDEX(Cl_nom,MATCH(X1687,Cl_cle,0)),"(client introuvable)"))</f>
        <v/>
      </c>
      <c r="AA1687" s="33">
        <f>IF(X1687="","",IFERROR(INDEX(Cl_quartier,MATCH(X1687,Cl_cle,0))&amp;"",""))</f>
        <v/>
      </c>
      <c r="AB1687" s="45">
        <f>IF(R1687&lt;&gt;"Livrée",0,IF(K1687&lt;&gt;"",K1687,C1687))</f>
        <v/>
      </c>
      <c r="AC1687" s="33">
        <f>IF(OR(C1687="",W1687=""),"",P1687&amp;"|"&amp;W1687&amp;"|"&amp;C1687&amp;"|"&amp;E1687)</f>
        <v/>
      </c>
      <c r="AD1687" s="39">
        <f>IF(AC1687="","",IF(COUNTIF(AC$6:AC1687,AC1687)=1,1,0))</f>
        <v/>
      </c>
      <c r="AE1687" s="39">
        <f>IF(AB1687=0,"",IF(COUNTIFS(X$6:X1687,X1687,AB$6:AB1687,AB1687)=1,1,0))</f>
        <v/>
      </c>
      <c r="AF1687" s="34">
        <f>IF(C1687="","",YEAR(C1687-WEEKDAY(C1687,2)+4)&amp;"-S"&amp;TEXT(INT((C1687-DATE(YEAR(C1687-WEEKDAY(C1687,2)+4),1,3)+WEEKDAY(DATE(YEAR(C1687-WEEKDAY(C1687,2)+4),1,3),2)+5)/7),"00"))</f>
        <v/>
      </c>
    </row>
    <row r="1688" ht="18" customHeight="1">
      <c r="A1688" s="39" t="n">
        <v>1683</v>
      </c>
      <c r="B1688" s="33">
        <f>IF(C1688="","",IF(P1688="À RENSEIGNER","GIC",P1688)&amp;"-C"&amp;TEXT(A1688,"00000"))</f>
        <v/>
      </c>
      <c r="C1688" s="32" t="n"/>
      <c r="D1688" s="36" t="n"/>
      <c r="E1688" s="36" t="n"/>
      <c r="F1688" s="36" t="n"/>
      <c r="G1688" s="42" t="n"/>
      <c r="H1688" s="37" t="n"/>
      <c r="I1688" s="37" t="n"/>
      <c r="J1688" s="32" t="n"/>
      <c r="K1688" s="32" t="n"/>
      <c r="L1688" s="43" t="n"/>
      <c r="M1688" s="36" t="n"/>
      <c r="N1688" s="44" t="n"/>
      <c r="O1688" s="36" t="n"/>
      <c r="P1688" s="33">
        <f>IF(C1688="","",Commercial_Id)</f>
        <v/>
      </c>
      <c r="Q1688" s="34">
        <f>IF(AC1688="","",IF(AD1688=1,"C"&amp;TEXT(SUM(AD$6:AD1688),"0000"),INDEX(Q$6:Q1687,MATCH(AC1688,AC$6:AC1687,0))))</f>
        <v/>
      </c>
      <c r="R1688" s="34">
        <f>IF(C1688="","",IF(L1688="☑ Oui","Annulée",IF(OR(E1688="Vente directe",K1688&lt;&gt;""),"Livrée",IF(J1688&lt;&gt;"","Confirmée","En attente"))))</f>
        <v/>
      </c>
      <c r="S1688" s="34">
        <f>IF(F1688="","",IFERROR(VLOOKUP(F1688,T_Produits,2,FALSE),""))</f>
        <v/>
      </c>
      <c r="T1688" s="40">
        <f>IF(F1688="","",IFERROR(1/(1/VLOOKUP(F1688,T_Produits,3,FALSE)),""))</f>
        <v/>
      </c>
      <c r="U1688" s="40">
        <f>IF(H1688&lt;&gt;"",H1688,T1688)</f>
        <v/>
      </c>
      <c r="V1688" s="40">
        <f>IF(OR(G1688="",U1688=""),"",G1688*U1688-N(I1688))</f>
        <v/>
      </c>
      <c r="W1688" s="39">
        <f>IF(D1688="","",IFERROR(VALUE(MID(D1688,LEN(D1688)-3,3)),""))</f>
        <v/>
      </c>
      <c r="X1688" s="33">
        <f>IF(W1688="","",P1688&amp;"|"&amp;W1688)</f>
        <v/>
      </c>
      <c r="Y1688" s="33">
        <f>IF(W1688="","",IF(P1688="À RENSEIGNER","GIC",P1688)&amp;"-"&amp;TEXT(W1688,"000"))</f>
        <v/>
      </c>
      <c r="Z1688" s="33">
        <f>IF(X1688="","",IFERROR(INDEX(Cl_nom,MATCH(X1688,Cl_cle,0)),"(client introuvable)"))</f>
        <v/>
      </c>
      <c r="AA1688" s="33">
        <f>IF(X1688="","",IFERROR(INDEX(Cl_quartier,MATCH(X1688,Cl_cle,0))&amp;"",""))</f>
        <v/>
      </c>
      <c r="AB1688" s="45">
        <f>IF(R1688&lt;&gt;"Livrée",0,IF(K1688&lt;&gt;"",K1688,C1688))</f>
        <v/>
      </c>
      <c r="AC1688" s="33">
        <f>IF(OR(C1688="",W1688=""),"",P1688&amp;"|"&amp;W1688&amp;"|"&amp;C1688&amp;"|"&amp;E1688)</f>
        <v/>
      </c>
      <c r="AD1688" s="39">
        <f>IF(AC1688="","",IF(COUNTIF(AC$6:AC1688,AC1688)=1,1,0))</f>
        <v/>
      </c>
      <c r="AE1688" s="39">
        <f>IF(AB1688=0,"",IF(COUNTIFS(X$6:X1688,X1688,AB$6:AB1688,AB1688)=1,1,0))</f>
        <v/>
      </c>
      <c r="AF1688" s="34">
        <f>IF(C1688="","",YEAR(C1688-WEEKDAY(C1688,2)+4)&amp;"-S"&amp;TEXT(INT((C1688-DATE(YEAR(C1688-WEEKDAY(C1688,2)+4),1,3)+WEEKDAY(DATE(YEAR(C1688-WEEKDAY(C1688,2)+4),1,3),2)+5)/7),"00"))</f>
        <v/>
      </c>
    </row>
    <row r="1689" ht="18" customHeight="1">
      <c r="A1689" s="39" t="n">
        <v>1684</v>
      </c>
      <c r="B1689" s="33">
        <f>IF(C1689="","",IF(P1689="À RENSEIGNER","GIC",P1689)&amp;"-C"&amp;TEXT(A1689,"00000"))</f>
        <v/>
      </c>
      <c r="C1689" s="32" t="n"/>
      <c r="D1689" s="36" t="n"/>
      <c r="E1689" s="36" t="n"/>
      <c r="F1689" s="36" t="n"/>
      <c r="G1689" s="42" t="n"/>
      <c r="H1689" s="37" t="n"/>
      <c r="I1689" s="37" t="n"/>
      <c r="J1689" s="32" t="n"/>
      <c r="K1689" s="32" t="n"/>
      <c r="L1689" s="43" t="n"/>
      <c r="M1689" s="36" t="n"/>
      <c r="N1689" s="44" t="n"/>
      <c r="O1689" s="36" t="n"/>
      <c r="P1689" s="33">
        <f>IF(C1689="","",Commercial_Id)</f>
        <v/>
      </c>
      <c r="Q1689" s="34">
        <f>IF(AC1689="","",IF(AD1689=1,"C"&amp;TEXT(SUM(AD$6:AD1689),"0000"),INDEX(Q$6:Q1688,MATCH(AC1689,AC$6:AC1688,0))))</f>
        <v/>
      </c>
      <c r="R1689" s="34">
        <f>IF(C1689="","",IF(L1689="☑ Oui","Annulée",IF(OR(E1689="Vente directe",K1689&lt;&gt;""),"Livrée",IF(J1689&lt;&gt;"","Confirmée","En attente"))))</f>
        <v/>
      </c>
      <c r="S1689" s="34">
        <f>IF(F1689="","",IFERROR(VLOOKUP(F1689,T_Produits,2,FALSE),""))</f>
        <v/>
      </c>
      <c r="T1689" s="40">
        <f>IF(F1689="","",IFERROR(1/(1/VLOOKUP(F1689,T_Produits,3,FALSE)),""))</f>
        <v/>
      </c>
      <c r="U1689" s="40">
        <f>IF(H1689&lt;&gt;"",H1689,T1689)</f>
        <v/>
      </c>
      <c r="V1689" s="40">
        <f>IF(OR(G1689="",U1689=""),"",G1689*U1689-N(I1689))</f>
        <v/>
      </c>
      <c r="W1689" s="39">
        <f>IF(D1689="","",IFERROR(VALUE(MID(D1689,LEN(D1689)-3,3)),""))</f>
        <v/>
      </c>
      <c r="X1689" s="33">
        <f>IF(W1689="","",P1689&amp;"|"&amp;W1689)</f>
        <v/>
      </c>
      <c r="Y1689" s="33">
        <f>IF(W1689="","",IF(P1689="À RENSEIGNER","GIC",P1689)&amp;"-"&amp;TEXT(W1689,"000"))</f>
        <v/>
      </c>
      <c r="Z1689" s="33">
        <f>IF(X1689="","",IFERROR(INDEX(Cl_nom,MATCH(X1689,Cl_cle,0)),"(client introuvable)"))</f>
        <v/>
      </c>
      <c r="AA1689" s="33">
        <f>IF(X1689="","",IFERROR(INDEX(Cl_quartier,MATCH(X1689,Cl_cle,0))&amp;"",""))</f>
        <v/>
      </c>
      <c r="AB1689" s="45">
        <f>IF(R1689&lt;&gt;"Livrée",0,IF(K1689&lt;&gt;"",K1689,C1689))</f>
        <v/>
      </c>
      <c r="AC1689" s="33">
        <f>IF(OR(C1689="",W1689=""),"",P1689&amp;"|"&amp;W1689&amp;"|"&amp;C1689&amp;"|"&amp;E1689)</f>
        <v/>
      </c>
      <c r="AD1689" s="39">
        <f>IF(AC1689="","",IF(COUNTIF(AC$6:AC1689,AC1689)=1,1,0))</f>
        <v/>
      </c>
      <c r="AE1689" s="39">
        <f>IF(AB1689=0,"",IF(COUNTIFS(X$6:X1689,X1689,AB$6:AB1689,AB1689)=1,1,0))</f>
        <v/>
      </c>
      <c r="AF1689" s="34">
        <f>IF(C1689="","",YEAR(C1689-WEEKDAY(C1689,2)+4)&amp;"-S"&amp;TEXT(INT((C1689-DATE(YEAR(C1689-WEEKDAY(C1689,2)+4),1,3)+WEEKDAY(DATE(YEAR(C1689-WEEKDAY(C1689,2)+4),1,3),2)+5)/7),"00"))</f>
        <v/>
      </c>
    </row>
    <row r="1690" ht="18" customHeight="1">
      <c r="A1690" s="39" t="n">
        <v>1685</v>
      </c>
      <c r="B1690" s="33">
        <f>IF(C1690="","",IF(P1690="À RENSEIGNER","GIC",P1690)&amp;"-C"&amp;TEXT(A1690,"00000"))</f>
        <v/>
      </c>
      <c r="C1690" s="32" t="n"/>
      <c r="D1690" s="36" t="n"/>
      <c r="E1690" s="36" t="n"/>
      <c r="F1690" s="36" t="n"/>
      <c r="G1690" s="42" t="n"/>
      <c r="H1690" s="37" t="n"/>
      <c r="I1690" s="37" t="n"/>
      <c r="J1690" s="32" t="n"/>
      <c r="K1690" s="32" t="n"/>
      <c r="L1690" s="43" t="n"/>
      <c r="M1690" s="36" t="n"/>
      <c r="N1690" s="44" t="n"/>
      <c r="O1690" s="36" t="n"/>
      <c r="P1690" s="33">
        <f>IF(C1690="","",Commercial_Id)</f>
        <v/>
      </c>
      <c r="Q1690" s="34">
        <f>IF(AC1690="","",IF(AD1690=1,"C"&amp;TEXT(SUM(AD$6:AD1690),"0000"),INDEX(Q$6:Q1689,MATCH(AC1690,AC$6:AC1689,0))))</f>
        <v/>
      </c>
      <c r="R1690" s="34">
        <f>IF(C1690="","",IF(L1690="☑ Oui","Annulée",IF(OR(E1690="Vente directe",K1690&lt;&gt;""),"Livrée",IF(J1690&lt;&gt;"","Confirmée","En attente"))))</f>
        <v/>
      </c>
      <c r="S1690" s="34">
        <f>IF(F1690="","",IFERROR(VLOOKUP(F1690,T_Produits,2,FALSE),""))</f>
        <v/>
      </c>
      <c r="T1690" s="40">
        <f>IF(F1690="","",IFERROR(1/(1/VLOOKUP(F1690,T_Produits,3,FALSE)),""))</f>
        <v/>
      </c>
      <c r="U1690" s="40">
        <f>IF(H1690&lt;&gt;"",H1690,T1690)</f>
        <v/>
      </c>
      <c r="V1690" s="40">
        <f>IF(OR(G1690="",U1690=""),"",G1690*U1690-N(I1690))</f>
        <v/>
      </c>
      <c r="W1690" s="39">
        <f>IF(D1690="","",IFERROR(VALUE(MID(D1690,LEN(D1690)-3,3)),""))</f>
        <v/>
      </c>
      <c r="X1690" s="33">
        <f>IF(W1690="","",P1690&amp;"|"&amp;W1690)</f>
        <v/>
      </c>
      <c r="Y1690" s="33">
        <f>IF(W1690="","",IF(P1690="À RENSEIGNER","GIC",P1690)&amp;"-"&amp;TEXT(W1690,"000"))</f>
        <v/>
      </c>
      <c r="Z1690" s="33">
        <f>IF(X1690="","",IFERROR(INDEX(Cl_nom,MATCH(X1690,Cl_cle,0)),"(client introuvable)"))</f>
        <v/>
      </c>
      <c r="AA1690" s="33">
        <f>IF(X1690="","",IFERROR(INDEX(Cl_quartier,MATCH(X1690,Cl_cle,0))&amp;"",""))</f>
        <v/>
      </c>
      <c r="AB1690" s="45">
        <f>IF(R1690&lt;&gt;"Livrée",0,IF(K1690&lt;&gt;"",K1690,C1690))</f>
        <v/>
      </c>
      <c r="AC1690" s="33">
        <f>IF(OR(C1690="",W1690=""),"",P1690&amp;"|"&amp;W1690&amp;"|"&amp;C1690&amp;"|"&amp;E1690)</f>
        <v/>
      </c>
      <c r="AD1690" s="39">
        <f>IF(AC1690="","",IF(COUNTIF(AC$6:AC1690,AC1690)=1,1,0))</f>
        <v/>
      </c>
      <c r="AE1690" s="39">
        <f>IF(AB1690=0,"",IF(COUNTIFS(X$6:X1690,X1690,AB$6:AB1690,AB1690)=1,1,0))</f>
        <v/>
      </c>
      <c r="AF1690" s="34">
        <f>IF(C1690="","",YEAR(C1690-WEEKDAY(C1690,2)+4)&amp;"-S"&amp;TEXT(INT((C1690-DATE(YEAR(C1690-WEEKDAY(C1690,2)+4),1,3)+WEEKDAY(DATE(YEAR(C1690-WEEKDAY(C1690,2)+4),1,3),2)+5)/7),"00"))</f>
        <v/>
      </c>
    </row>
    <row r="1691" ht="18" customHeight="1">
      <c r="A1691" s="39" t="n">
        <v>1686</v>
      </c>
      <c r="B1691" s="33">
        <f>IF(C1691="","",IF(P1691="À RENSEIGNER","GIC",P1691)&amp;"-C"&amp;TEXT(A1691,"00000"))</f>
        <v/>
      </c>
      <c r="C1691" s="32" t="n"/>
      <c r="D1691" s="36" t="n"/>
      <c r="E1691" s="36" t="n"/>
      <c r="F1691" s="36" t="n"/>
      <c r="G1691" s="42" t="n"/>
      <c r="H1691" s="37" t="n"/>
      <c r="I1691" s="37" t="n"/>
      <c r="J1691" s="32" t="n"/>
      <c r="K1691" s="32" t="n"/>
      <c r="L1691" s="43" t="n"/>
      <c r="M1691" s="36" t="n"/>
      <c r="N1691" s="44" t="n"/>
      <c r="O1691" s="36" t="n"/>
      <c r="P1691" s="33">
        <f>IF(C1691="","",Commercial_Id)</f>
        <v/>
      </c>
      <c r="Q1691" s="34">
        <f>IF(AC1691="","",IF(AD1691=1,"C"&amp;TEXT(SUM(AD$6:AD1691),"0000"),INDEX(Q$6:Q1690,MATCH(AC1691,AC$6:AC1690,0))))</f>
        <v/>
      </c>
      <c r="R1691" s="34">
        <f>IF(C1691="","",IF(L1691="☑ Oui","Annulée",IF(OR(E1691="Vente directe",K1691&lt;&gt;""),"Livrée",IF(J1691&lt;&gt;"","Confirmée","En attente"))))</f>
        <v/>
      </c>
      <c r="S1691" s="34">
        <f>IF(F1691="","",IFERROR(VLOOKUP(F1691,T_Produits,2,FALSE),""))</f>
        <v/>
      </c>
      <c r="T1691" s="40">
        <f>IF(F1691="","",IFERROR(1/(1/VLOOKUP(F1691,T_Produits,3,FALSE)),""))</f>
        <v/>
      </c>
      <c r="U1691" s="40">
        <f>IF(H1691&lt;&gt;"",H1691,T1691)</f>
        <v/>
      </c>
      <c r="V1691" s="40">
        <f>IF(OR(G1691="",U1691=""),"",G1691*U1691-N(I1691))</f>
        <v/>
      </c>
      <c r="W1691" s="39">
        <f>IF(D1691="","",IFERROR(VALUE(MID(D1691,LEN(D1691)-3,3)),""))</f>
        <v/>
      </c>
      <c r="X1691" s="33">
        <f>IF(W1691="","",P1691&amp;"|"&amp;W1691)</f>
        <v/>
      </c>
      <c r="Y1691" s="33">
        <f>IF(W1691="","",IF(P1691="À RENSEIGNER","GIC",P1691)&amp;"-"&amp;TEXT(W1691,"000"))</f>
        <v/>
      </c>
      <c r="Z1691" s="33">
        <f>IF(X1691="","",IFERROR(INDEX(Cl_nom,MATCH(X1691,Cl_cle,0)),"(client introuvable)"))</f>
        <v/>
      </c>
      <c r="AA1691" s="33">
        <f>IF(X1691="","",IFERROR(INDEX(Cl_quartier,MATCH(X1691,Cl_cle,0))&amp;"",""))</f>
        <v/>
      </c>
      <c r="AB1691" s="45">
        <f>IF(R1691&lt;&gt;"Livrée",0,IF(K1691&lt;&gt;"",K1691,C1691))</f>
        <v/>
      </c>
      <c r="AC1691" s="33">
        <f>IF(OR(C1691="",W1691=""),"",P1691&amp;"|"&amp;W1691&amp;"|"&amp;C1691&amp;"|"&amp;E1691)</f>
        <v/>
      </c>
      <c r="AD1691" s="39">
        <f>IF(AC1691="","",IF(COUNTIF(AC$6:AC1691,AC1691)=1,1,0))</f>
        <v/>
      </c>
      <c r="AE1691" s="39">
        <f>IF(AB1691=0,"",IF(COUNTIFS(X$6:X1691,X1691,AB$6:AB1691,AB1691)=1,1,0))</f>
        <v/>
      </c>
      <c r="AF1691" s="34">
        <f>IF(C1691="","",YEAR(C1691-WEEKDAY(C1691,2)+4)&amp;"-S"&amp;TEXT(INT((C1691-DATE(YEAR(C1691-WEEKDAY(C1691,2)+4),1,3)+WEEKDAY(DATE(YEAR(C1691-WEEKDAY(C1691,2)+4),1,3),2)+5)/7),"00"))</f>
        <v/>
      </c>
    </row>
    <row r="1692" ht="18" customHeight="1">
      <c r="A1692" s="39" t="n">
        <v>1687</v>
      </c>
      <c r="B1692" s="33">
        <f>IF(C1692="","",IF(P1692="À RENSEIGNER","GIC",P1692)&amp;"-C"&amp;TEXT(A1692,"00000"))</f>
        <v/>
      </c>
      <c r="C1692" s="32" t="n"/>
      <c r="D1692" s="36" t="n"/>
      <c r="E1692" s="36" t="n"/>
      <c r="F1692" s="36" t="n"/>
      <c r="G1692" s="42" t="n"/>
      <c r="H1692" s="37" t="n"/>
      <c r="I1692" s="37" t="n"/>
      <c r="J1692" s="32" t="n"/>
      <c r="K1692" s="32" t="n"/>
      <c r="L1692" s="43" t="n"/>
      <c r="M1692" s="36" t="n"/>
      <c r="N1692" s="44" t="n"/>
      <c r="O1692" s="36" t="n"/>
      <c r="P1692" s="33">
        <f>IF(C1692="","",Commercial_Id)</f>
        <v/>
      </c>
      <c r="Q1692" s="34">
        <f>IF(AC1692="","",IF(AD1692=1,"C"&amp;TEXT(SUM(AD$6:AD1692),"0000"),INDEX(Q$6:Q1691,MATCH(AC1692,AC$6:AC1691,0))))</f>
        <v/>
      </c>
      <c r="R1692" s="34">
        <f>IF(C1692="","",IF(L1692="☑ Oui","Annulée",IF(OR(E1692="Vente directe",K1692&lt;&gt;""),"Livrée",IF(J1692&lt;&gt;"","Confirmée","En attente"))))</f>
        <v/>
      </c>
      <c r="S1692" s="34">
        <f>IF(F1692="","",IFERROR(VLOOKUP(F1692,T_Produits,2,FALSE),""))</f>
        <v/>
      </c>
      <c r="T1692" s="40">
        <f>IF(F1692="","",IFERROR(1/(1/VLOOKUP(F1692,T_Produits,3,FALSE)),""))</f>
        <v/>
      </c>
      <c r="U1692" s="40">
        <f>IF(H1692&lt;&gt;"",H1692,T1692)</f>
        <v/>
      </c>
      <c r="V1692" s="40">
        <f>IF(OR(G1692="",U1692=""),"",G1692*U1692-N(I1692))</f>
        <v/>
      </c>
      <c r="W1692" s="39">
        <f>IF(D1692="","",IFERROR(VALUE(MID(D1692,LEN(D1692)-3,3)),""))</f>
        <v/>
      </c>
      <c r="X1692" s="33">
        <f>IF(W1692="","",P1692&amp;"|"&amp;W1692)</f>
        <v/>
      </c>
      <c r="Y1692" s="33">
        <f>IF(W1692="","",IF(P1692="À RENSEIGNER","GIC",P1692)&amp;"-"&amp;TEXT(W1692,"000"))</f>
        <v/>
      </c>
      <c r="Z1692" s="33">
        <f>IF(X1692="","",IFERROR(INDEX(Cl_nom,MATCH(X1692,Cl_cle,0)),"(client introuvable)"))</f>
        <v/>
      </c>
      <c r="AA1692" s="33">
        <f>IF(X1692="","",IFERROR(INDEX(Cl_quartier,MATCH(X1692,Cl_cle,0))&amp;"",""))</f>
        <v/>
      </c>
      <c r="AB1692" s="45">
        <f>IF(R1692&lt;&gt;"Livrée",0,IF(K1692&lt;&gt;"",K1692,C1692))</f>
        <v/>
      </c>
      <c r="AC1692" s="33">
        <f>IF(OR(C1692="",W1692=""),"",P1692&amp;"|"&amp;W1692&amp;"|"&amp;C1692&amp;"|"&amp;E1692)</f>
        <v/>
      </c>
      <c r="AD1692" s="39">
        <f>IF(AC1692="","",IF(COUNTIF(AC$6:AC1692,AC1692)=1,1,0))</f>
        <v/>
      </c>
      <c r="AE1692" s="39">
        <f>IF(AB1692=0,"",IF(COUNTIFS(X$6:X1692,X1692,AB$6:AB1692,AB1692)=1,1,0))</f>
        <v/>
      </c>
      <c r="AF1692" s="34">
        <f>IF(C1692="","",YEAR(C1692-WEEKDAY(C1692,2)+4)&amp;"-S"&amp;TEXT(INT((C1692-DATE(YEAR(C1692-WEEKDAY(C1692,2)+4),1,3)+WEEKDAY(DATE(YEAR(C1692-WEEKDAY(C1692,2)+4),1,3),2)+5)/7),"00"))</f>
        <v/>
      </c>
    </row>
    <row r="1693" ht="18" customHeight="1">
      <c r="A1693" s="39" t="n">
        <v>1688</v>
      </c>
      <c r="B1693" s="33">
        <f>IF(C1693="","",IF(P1693="À RENSEIGNER","GIC",P1693)&amp;"-C"&amp;TEXT(A1693,"00000"))</f>
        <v/>
      </c>
      <c r="C1693" s="32" t="n"/>
      <c r="D1693" s="36" t="n"/>
      <c r="E1693" s="36" t="n"/>
      <c r="F1693" s="36" t="n"/>
      <c r="G1693" s="42" t="n"/>
      <c r="H1693" s="37" t="n"/>
      <c r="I1693" s="37" t="n"/>
      <c r="J1693" s="32" t="n"/>
      <c r="K1693" s="32" t="n"/>
      <c r="L1693" s="43" t="n"/>
      <c r="M1693" s="36" t="n"/>
      <c r="N1693" s="44" t="n"/>
      <c r="O1693" s="36" t="n"/>
      <c r="P1693" s="33">
        <f>IF(C1693="","",Commercial_Id)</f>
        <v/>
      </c>
      <c r="Q1693" s="34">
        <f>IF(AC1693="","",IF(AD1693=1,"C"&amp;TEXT(SUM(AD$6:AD1693),"0000"),INDEX(Q$6:Q1692,MATCH(AC1693,AC$6:AC1692,0))))</f>
        <v/>
      </c>
      <c r="R1693" s="34">
        <f>IF(C1693="","",IF(L1693="☑ Oui","Annulée",IF(OR(E1693="Vente directe",K1693&lt;&gt;""),"Livrée",IF(J1693&lt;&gt;"","Confirmée","En attente"))))</f>
        <v/>
      </c>
      <c r="S1693" s="34">
        <f>IF(F1693="","",IFERROR(VLOOKUP(F1693,T_Produits,2,FALSE),""))</f>
        <v/>
      </c>
      <c r="T1693" s="40">
        <f>IF(F1693="","",IFERROR(1/(1/VLOOKUP(F1693,T_Produits,3,FALSE)),""))</f>
        <v/>
      </c>
      <c r="U1693" s="40">
        <f>IF(H1693&lt;&gt;"",H1693,T1693)</f>
        <v/>
      </c>
      <c r="V1693" s="40">
        <f>IF(OR(G1693="",U1693=""),"",G1693*U1693-N(I1693))</f>
        <v/>
      </c>
      <c r="W1693" s="39">
        <f>IF(D1693="","",IFERROR(VALUE(MID(D1693,LEN(D1693)-3,3)),""))</f>
        <v/>
      </c>
      <c r="X1693" s="33">
        <f>IF(W1693="","",P1693&amp;"|"&amp;W1693)</f>
        <v/>
      </c>
      <c r="Y1693" s="33">
        <f>IF(W1693="","",IF(P1693="À RENSEIGNER","GIC",P1693)&amp;"-"&amp;TEXT(W1693,"000"))</f>
        <v/>
      </c>
      <c r="Z1693" s="33">
        <f>IF(X1693="","",IFERROR(INDEX(Cl_nom,MATCH(X1693,Cl_cle,0)),"(client introuvable)"))</f>
        <v/>
      </c>
      <c r="AA1693" s="33">
        <f>IF(X1693="","",IFERROR(INDEX(Cl_quartier,MATCH(X1693,Cl_cle,0))&amp;"",""))</f>
        <v/>
      </c>
      <c r="AB1693" s="45">
        <f>IF(R1693&lt;&gt;"Livrée",0,IF(K1693&lt;&gt;"",K1693,C1693))</f>
        <v/>
      </c>
      <c r="AC1693" s="33">
        <f>IF(OR(C1693="",W1693=""),"",P1693&amp;"|"&amp;W1693&amp;"|"&amp;C1693&amp;"|"&amp;E1693)</f>
        <v/>
      </c>
      <c r="AD1693" s="39">
        <f>IF(AC1693="","",IF(COUNTIF(AC$6:AC1693,AC1693)=1,1,0))</f>
        <v/>
      </c>
      <c r="AE1693" s="39">
        <f>IF(AB1693=0,"",IF(COUNTIFS(X$6:X1693,X1693,AB$6:AB1693,AB1693)=1,1,0))</f>
        <v/>
      </c>
      <c r="AF1693" s="34">
        <f>IF(C1693="","",YEAR(C1693-WEEKDAY(C1693,2)+4)&amp;"-S"&amp;TEXT(INT((C1693-DATE(YEAR(C1693-WEEKDAY(C1693,2)+4),1,3)+WEEKDAY(DATE(YEAR(C1693-WEEKDAY(C1693,2)+4),1,3),2)+5)/7),"00"))</f>
        <v/>
      </c>
    </row>
    <row r="1694" ht="18" customHeight="1">
      <c r="A1694" s="39" t="n">
        <v>1689</v>
      </c>
      <c r="B1694" s="33">
        <f>IF(C1694="","",IF(P1694="À RENSEIGNER","GIC",P1694)&amp;"-C"&amp;TEXT(A1694,"00000"))</f>
        <v/>
      </c>
      <c r="C1694" s="32" t="n"/>
      <c r="D1694" s="36" t="n"/>
      <c r="E1694" s="36" t="n"/>
      <c r="F1694" s="36" t="n"/>
      <c r="G1694" s="42" t="n"/>
      <c r="H1694" s="37" t="n"/>
      <c r="I1694" s="37" t="n"/>
      <c r="J1694" s="32" t="n"/>
      <c r="K1694" s="32" t="n"/>
      <c r="L1694" s="43" t="n"/>
      <c r="M1694" s="36" t="n"/>
      <c r="N1694" s="44" t="n"/>
      <c r="O1694" s="36" t="n"/>
      <c r="P1694" s="33">
        <f>IF(C1694="","",Commercial_Id)</f>
        <v/>
      </c>
      <c r="Q1694" s="34">
        <f>IF(AC1694="","",IF(AD1694=1,"C"&amp;TEXT(SUM(AD$6:AD1694),"0000"),INDEX(Q$6:Q1693,MATCH(AC1694,AC$6:AC1693,0))))</f>
        <v/>
      </c>
      <c r="R1694" s="34">
        <f>IF(C1694="","",IF(L1694="☑ Oui","Annulée",IF(OR(E1694="Vente directe",K1694&lt;&gt;""),"Livrée",IF(J1694&lt;&gt;"","Confirmée","En attente"))))</f>
        <v/>
      </c>
      <c r="S1694" s="34">
        <f>IF(F1694="","",IFERROR(VLOOKUP(F1694,T_Produits,2,FALSE),""))</f>
        <v/>
      </c>
      <c r="T1694" s="40">
        <f>IF(F1694="","",IFERROR(1/(1/VLOOKUP(F1694,T_Produits,3,FALSE)),""))</f>
        <v/>
      </c>
      <c r="U1694" s="40">
        <f>IF(H1694&lt;&gt;"",H1694,T1694)</f>
        <v/>
      </c>
      <c r="V1694" s="40">
        <f>IF(OR(G1694="",U1694=""),"",G1694*U1694-N(I1694))</f>
        <v/>
      </c>
      <c r="W1694" s="39">
        <f>IF(D1694="","",IFERROR(VALUE(MID(D1694,LEN(D1694)-3,3)),""))</f>
        <v/>
      </c>
      <c r="X1694" s="33">
        <f>IF(W1694="","",P1694&amp;"|"&amp;W1694)</f>
        <v/>
      </c>
      <c r="Y1694" s="33">
        <f>IF(W1694="","",IF(P1694="À RENSEIGNER","GIC",P1694)&amp;"-"&amp;TEXT(W1694,"000"))</f>
        <v/>
      </c>
      <c r="Z1694" s="33">
        <f>IF(X1694="","",IFERROR(INDEX(Cl_nom,MATCH(X1694,Cl_cle,0)),"(client introuvable)"))</f>
        <v/>
      </c>
      <c r="AA1694" s="33">
        <f>IF(X1694="","",IFERROR(INDEX(Cl_quartier,MATCH(X1694,Cl_cle,0))&amp;"",""))</f>
        <v/>
      </c>
      <c r="AB1694" s="45">
        <f>IF(R1694&lt;&gt;"Livrée",0,IF(K1694&lt;&gt;"",K1694,C1694))</f>
        <v/>
      </c>
      <c r="AC1694" s="33">
        <f>IF(OR(C1694="",W1694=""),"",P1694&amp;"|"&amp;W1694&amp;"|"&amp;C1694&amp;"|"&amp;E1694)</f>
        <v/>
      </c>
      <c r="AD1694" s="39">
        <f>IF(AC1694="","",IF(COUNTIF(AC$6:AC1694,AC1694)=1,1,0))</f>
        <v/>
      </c>
      <c r="AE1694" s="39">
        <f>IF(AB1694=0,"",IF(COUNTIFS(X$6:X1694,X1694,AB$6:AB1694,AB1694)=1,1,0))</f>
        <v/>
      </c>
      <c r="AF1694" s="34">
        <f>IF(C1694="","",YEAR(C1694-WEEKDAY(C1694,2)+4)&amp;"-S"&amp;TEXT(INT((C1694-DATE(YEAR(C1694-WEEKDAY(C1694,2)+4),1,3)+WEEKDAY(DATE(YEAR(C1694-WEEKDAY(C1694,2)+4),1,3),2)+5)/7),"00"))</f>
        <v/>
      </c>
    </row>
    <row r="1695" ht="18" customHeight="1">
      <c r="A1695" s="39" t="n">
        <v>1690</v>
      </c>
      <c r="B1695" s="33">
        <f>IF(C1695="","",IF(P1695="À RENSEIGNER","GIC",P1695)&amp;"-C"&amp;TEXT(A1695,"00000"))</f>
        <v/>
      </c>
      <c r="C1695" s="32" t="n"/>
      <c r="D1695" s="36" t="n"/>
      <c r="E1695" s="36" t="n"/>
      <c r="F1695" s="36" t="n"/>
      <c r="G1695" s="42" t="n"/>
      <c r="H1695" s="37" t="n"/>
      <c r="I1695" s="37" t="n"/>
      <c r="J1695" s="32" t="n"/>
      <c r="K1695" s="32" t="n"/>
      <c r="L1695" s="43" t="n"/>
      <c r="M1695" s="36" t="n"/>
      <c r="N1695" s="44" t="n"/>
      <c r="O1695" s="36" t="n"/>
      <c r="P1695" s="33">
        <f>IF(C1695="","",Commercial_Id)</f>
        <v/>
      </c>
      <c r="Q1695" s="34">
        <f>IF(AC1695="","",IF(AD1695=1,"C"&amp;TEXT(SUM(AD$6:AD1695),"0000"),INDEX(Q$6:Q1694,MATCH(AC1695,AC$6:AC1694,0))))</f>
        <v/>
      </c>
      <c r="R1695" s="34">
        <f>IF(C1695="","",IF(L1695="☑ Oui","Annulée",IF(OR(E1695="Vente directe",K1695&lt;&gt;""),"Livrée",IF(J1695&lt;&gt;"","Confirmée","En attente"))))</f>
        <v/>
      </c>
      <c r="S1695" s="34">
        <f>IF(F1695="","",IFERROR(VLOOKUP(F1695,T_Produits,2,FALSE),""))</f>
        <v/>
      </c>
      <c r="T1695" s="40">
        <f>IF(F1695="","",IFERROR(1/(1/VLOOKUP(F1695,T_Produits,3,FALSE)),""))</f>
        <v/>
      </c>
      <c r="U1695" s="40">
        <f>IF(H1695&lt;&gt;"",H1695,T1695)</f>
        <v/>
      </c>
      <c r="V1695" s="40">
        <f>IF(OR(G1695="",U1695=""),"",G1695*U1695-N(I1695))</f>
        <v/>
      </c>
      <c r="W1695" s="39">
        <f>IF(D1695="","",IFERROR(VALUE(MID(D1695,LEN(D1695)-3,3)),""))</f>
        <v/>
      </c>
      <c r="X1695" s="33">
        <f>IF(W1695="","",P1695&amp;"|"&amp;W1695)</f>
        <v/>
      </c>
      <c r="Y1695" s="33">
        <f>IF(W1695="","",IF(P1695="À RENSEIGNER","GIC",P1695)&amp;"-"&amp;TEXT(W1695,"000"))</f>
        <v/>
      </c>
      <c r="Z1695" s="33">
        <f>IF(X1695="","",IFERROR(INDEX(Cl_nom,MATCH(X1695,Cl_cle,0)),"(client introuvable)"))</f>
        <v/>
      </c>
      <c r="AA1695" s="33">
        <f>IF(X1695="","",IFERROR(INDEX(Cl_quartier,MATCH(X1695,Cl_cle,0))&amp;"",""))</f>
        <v/>
      </c>
      <c r="AB1695" s="45">
        <f>IF(R1695&lt;&gt;"Livrée",0,IF(K1695&lt;&gt;"",K1695,C1695))</f>
        <v/>
      </c>
      <c r="AC1695" s="33">
        <f>IF(OR(C1695="",W1695=""),"",P1695&amp;"|"&amp;W1695&amp;"|"&amp;C1695&amp;"|"&amp;E1695)</f>
        <v/>
      </c>
      <c r="AD1695" s="39">
        <f>IF(AC1695="","",IF(COUNTIF(AC$6:AC1695,AC1695)=1,1,0))</f>
        <v/>
      </c>
      <c r="AE1695" s="39">
        <f>IF(AB1695=0,"",IF(COUNTIFS(X$6:X1695,X1695,AB$6:AB1695,AB1695)=1,1,0))</f>
        <v/>
      </c>
      <c r="AF1695" s="34">
        <f>IF(C1695="","",YEAR(C1695-WEEKDAY(C1695,2)+4)&amp;"-S"&amp;TEXT(INT((C1695-DATE(YEAR(C1695-WEEKDAY(C1695,2)+4),1,3)+WEEKDAY(DATE(YEAR(C1695-WEEKDAY(C1695,2)+4),1,3),2)+5)/7),"00"))</f>
        <v/>
      </c>
    </row>
    <row r="1696" ht="18" customHeight="1">
      <c r="A1696" s="39" t="n">
        <v>1691</v>
      </c>
      <c r="B1696" s="33">
        <f>IF(C1696="","",IF(P1696="À RENSEIGNER","GIC",P1696)&amp;"-C"&amp;TEXT(A1696,"00000"))</f>
        <v/>
      </c>
      <c r="C1696" s="32" t="n"/>
      <c r="D1696" s="36" t="n"/>
      <c r="E1696" s="36" t="n"/>
      <c r="F1696" s="36" t="n"/>
      <c r="G1696" s="42" t="n"/>
      <c r="H1696" s="37" t="n"/>
      <c r="I1696" s="37" t="n"/>
      <c r="J1696" s="32" t="n"/>
      <c r="K1696" s="32" t="n"/>
      <c r="L1696" s="43" t="n"/>
      <c r="M1696" s="36" t="n"/>
      <c r="N1696" s="44" t="n"/>
      <c r="O1696" s="36" t="n"/>
      <c r="P1696" s="33">
        <f>IF(C1696="","",Commercial_Id)</f>
        <v/>
      </c>
      <c r="Q1696" s="34">
        <f>IF(AC1696="","",IF(AD1696=1,"C"&amp;TEXT(SUM(AD$6:AD1696),"0000"),INDEX(Q$6:Q1695,MATCH(AC1696,AC$6:AC1695,0))))</f>
        <v/>
      </c>
      <c r="R1696" s="34">
        <f>IF(C1696="","",IF(L1696="☑ Oui","Annulée",IF(OR(E1696="Vente directe",K1696&lt;&gt;""),"Livrée",IF(J1696&lt;&gt;"","Confirmée","En attente"))))</f>
        <v/>
      </c>
      <c r="S1696" s="34">
        <f>IF(F1696="","",IFERROR(VLOOKUP(F1696,T_Produits,2,FALSE),""))</f>
        <v/>
      </c>
      <c r="T1696" s="40">
        <f>IF(F1696="","",IFERROR(1/(1/VLOOKUP(F1696,T_Produits,3,FALSE)),""))</f>
        <v/>
      </c>
      <c r="U1696" s="40">
        <f>IF(H1696&lt;&gt;"",H1696,T1696)</f>
        <v/>
      </c>
      <c r="V1696" s="40">
        <f>IF(OR(G1696="",U1696=""),"",G1696*U1696-N(I1696))</f>
        <v/>
      </c>
      <c r="W1696" s="39">
        <f>IF(D1696="","",IFERROR(VALUE(MID(D1696,LEN(D1696)-3,3)),""))</f>
        <v/>
      </c>
      <c r="X1696" s="33">
        <f>IF(W1696="","",P1696&amp;"|"&amp;W1696)</f>
        <v/>
      </c>
      <c r="Y1696" s="33">
        <f>IF(W1696="","",IF(P1696="À RENSEIGNER","GIC",P1696)&amp;"-"&amp;TEXT(W1696,"000"))</f>
        <v/>
      </c>
      <c r="Z1696" s="33">
        <f>IF(X1696="","",IFERROR(INDEX(Cl_nom,MATCH(X1696,Cl_cle,0)),"(client introuvable)"))</f>
        <v/>
      </c>
      <c r="AA1696" s="33">
        <f>IF(X1696="","",IFERROR(INDEX(Cl_quartier,MATCH(X1696,Cl_cle,0))&amp;"",""))</f>
        <v/>
      </c>
      <c r="AB1696" s="45">
        <f>IF(R1696&lt;&gt;"Livrée",0,IF(K1696&lt;&gt;"",K1696,C1696))</f>
        <v/>
      </c>
      <c r="AC1696" s="33">
        <f>IF(OR(C1696="",W1696=""),"",P1696&amp;"|"&amp;W1696&amp;"|"&amp;C1696&amp;"|"&amp;E1696)</f>
        <v/>
      </c>
      <c r="AD1696" s="39">
        <f>IF(AC1696="","",IF(COUNTIF(AC$6:AC1696,AC1696)=1,1,0))</f>
        <v/>
      </c>
      <c r="AE1696" s="39">
        <f>IF(AB1696=0,"",IF(COUNTIFS(X$6:X1696,X1696,AB$6:AB1696,AB1696)=1,1,0))</f>
        <v/>
      </c>
      <c r="AF1696" s="34">
        <f>IF(C1696="","",YEAR(C1696-WEEKDAY(C1696,2)+4)&amp;"-S"&amp;TEXT(INT((C1696-DATE(YEAR(C1696-WEEKDAY(C1696,2)+4),1,3)+WEEKDAY(DATE(YEAR(C1696-WEEKDAY(C1696,2)+4),1,3),2)+5)/7),"00"))</f>
        <v/>
      </c>
    </row>
    <row r="1697" ht="18" customHeight="1">
      <c r="A1697" s="39" t="n">
        <v>1692</v>
      </c>
      <c r="B1697" s="33">
        <f>IF(C1697="","",IF(P1697="À RENSEIGNER","GIC",P1697)&amp;"-C"&amp;TEXT(A1697,"00000"))</f>
        <v/>
      </c>
      <c r="C1697" s="32" t="n"/>
      <c r="D1697" s="36" t="n"/>
      <c r="E1697" s="36" t="n"/>
      <c r="F1697" s="36" t="n"/>
      <c r="G1697" s="42" t="n"/>
      <c r="H1697" s="37" t="n"/>
      <c r="I1697" s="37" t="n"/>
      <c r="J1697" s="32" t="n"/>
      <c r="K1697" s="32" t="n"/>
      <c r="L1697" s="43" t="n"/>
      <c r="M1697" s="36" t="n"/>
      <c r="N1697" s="44" t="n"/>
      <c r="O1697" s="36" t="n"/>
      <c r="P1697" s="33">
        <f>IF(C1697="","",Commercial_Id)</f>
        <v/>
      </c>
      <c r="Q1697" s="34">
        <f>IF(AC1697="","",IF(AD1697=1,"C"&amp;TEXT(SUM(AD$6:AD1697),"0000"),INDEX(Q$6:Q1696,MATCH(AC1697,AC$6:AC1696,0))))</f>
        <v/>
      </c>
      <c r="R1697" s="34">
        <f>IF(C1697="","",IF(L1697="☑ Oui","Annulée",IF(OR(E1697="Vente directe",K1697&lt;&gt;""),"Livrée",IF(J1697&lt;&gt;"","Confirmée","En attente"))))</f>
        <v/>
      </c>
      <c r="S1697" s="34">
        <f>IF(F1697="","",IFERROR(VLOOKUP(F1697,T_Produits,2,FALSE),""))</f>
        <v/>
      </c>
      <c r="T1697" s="40">
        <f>IF(F1697="","",IFERROR(1/(1/VLOOKUP(F1697,T_Produits,3,FALSE)),""))</f>
        <v/>
      </c>
      <c r="U1697" s="40">
        <f>IF(H1697&lt;&gt;"",H1697,T1697)</f>
        <v/>
      </c>
      <c r="V1697" s="40">
        <f>IF(OR(G1697="",U1697=""),"",G1697*U1697-N(I1697))</f>
        <v/>
      </c>
      <c r="W1697" s="39">
        <f>IF(D1697="","",IFERROR(VALUE(MID(D1697,LEN(D1697)-3,3)),""))</f>
        <v/>
      </c>
      <c r="X1697" s="33">
        <f>IF(W1697="","",P1697&amp;"|"&amp;W1697)</f>
        <v/>
      </c>
      <c r="Y1697" s="33">
        <f>IF(W1697="","",IF(P1697="À RENSEIGNER","GIC",P1697)&amp;"-"&amp;TEXT(W1697,"000"))</f>
        <v/>
      </c>
      <c r="Z1697" s="33">
        <f>IF(X1697="","",IFERROR(INDEX(Cl_nom,MATCH(X1697,Cl_cle,0)),"(client introuvable)"))</f>
        <v/>
      </c>
      <c r="AA1697" s="33">
        <f>IF(X1697="","",IFERROR(INDEX(Cl_quartier,MATCH(X1697,Cl_cle,0))&amp;"",""))</f>
        <v/>
      </c>
      <c r="AB1697" s="45">
        <f>IF(R1697&lt;&gt;"Livrée",0,IF(K1697&lt;&gt;"",K1697,C1697))</f>
        <v/>
      </c>
      <c r="AC1697" s="33">
        <f>IF(OR(C1697="",W1697=""),"",P1697&amp;"|"&amp;W1697&amp;"|"&amp;C1697&amp;"|"&amp;E1697)</f>
        <v/>
      </c>
      <c r="AD1697" s="39">
        <f>IF(AC1697="","",IF(COUNTIF(AC$6:AC1697,AC1697)=1,1,0))</f>
        <v/>
      </c>
      <c r="AE1697" s="39">
        <f>IF(AB1697=0,"",IF(COUNTIFS(X$6:X1697,X1697,AB$6:AB1697,AB1697)=1,1,0))</f>
        <v/>
      </c>
      <c r="AF1697" s="34">
        <f>IF(C1697="","",YEAR(C1697-WEEKDAY(C1697,2)+4)&amp;"-S"&amp;TEXT(INT((C1697-DATE(YEAR(C1697-WEEKDAY(C1697,2)+4),1,3)+WEEKDAY(DATE(YEAR(C1697-WEEKDAY(C1697,2)+4),1,3),2)+5)/7),"00"))</f>
        <v/>
      </c>
    </row>
    <row r="1698" ht="18" customHeight="1">
      <c r="A1698" s="39" t="n">
        <v>1693</v>
      </c>
      <c r="B1698" s="33">
        <f>IF(C1698="","",IF(P1698="À RENSEIGNER","GIC",P1698)&amp;"-C"&amp;TEXT(A1698,"00000"))</f>
        <v/>
      </c>
      <c r="C1698" s="32" t="n"/>
      <c r="D1698" s="36" t="n"/>
      <c r="E1698" s="36" t="n"/>
      <c r="F1698" s="36" t="n"/>
      <c r="G1698" s="42" t="n"/>
      <c r="H1698" s="37" t="n"/>
      <c r="I1698" s="37" t="n"/>
      <c r="J1698" s="32" t="n"/>
      <c r="K1698" s="32" t="n"/>
      <c r="L1698" s="43" t="n"/>
      <c r="M1698" s="36" t="n"/>
      <c r="N1698" s="44" t="n"/>
      <c r="O1698" s="36" t="n"/>
      <c r="P1698" s="33">
        <f>IF(C1698="","",Commercial_Id)</f>
        <v/>
      </c>
      <c r="Q1698" s="34">
        <f>IF(AC1698="","",IF(AD1698=1,"C"&amp;TEXT(SUM(AD$6:AD1698),"0000"),INDEX(Q$6:Q1697,MATCH(AC1698,AC$6:AC1697,0))))</f>
        <v/>
      </c>
      <c r="R1698" s="34">
        <f>IF(C1698="","",IF(L1698="☑ Oui","Annulée",IF(OR(E1698="Vente directe",K1698&lt;&gt;""),"Livrée",IF(J1698&lt;&gt;"","Confirmée","En attente"))))</f>
        <v/>
      </c>
      <c r="S1698" s="34">
        <f>IF(F1698="","",IFERROR(VLOOKUP(F1698,T_Produits,2,FALSE),""))</f>
        <v/>
      </c>
      <c r="T1698" s="40">
        <f>IF(F1698="","",IFERROR(1/(1/VLOOKUP(F1698,T_Produits,3,FALSE)),""))</f>
        <v/>
      </c>
      <c r="U1698" s="40">
        <f>IF(H1698&lt;&gt;"",H1698,T1698)</f>
        <v/>
      </c>
      <c r="V1698" s="40">
        <f>IF(OR(G1698="",U1698=""),"",G1698*U1698-N(I1698))</f>
        <v/>
      </c>
      <c r="W1698" s="39">
        <f>IF(D1698="","",IFERROR(VALUE(MID(D1698,LEN(D1698)-3,3)),""))</f>
        <v/>
      </c>
      <c r="X1698" s="33">
        <f>IF(W1698="","",P1698&amp;"|"&amp;W1698)</f>
        <v/>
      </c>
      <c r="Y1698" s="33">
        <f>IF(W1698="","",IF(P1698="À RENSEIGNER","GIC",P1698)&amp;"-"&amp;TEXT(W1698,"000"))</f>
        <v/>
      </c>
      <c r="Z1698" s="33">
        <f>IF(X1698="","",IFERROR(INDEX(Cl_nom,MATCH(X1698,Cl_cle,0)),"(client introuvable)"))</f>
        <v/>
      </c>
      <c r="AA1698" s="33">
        <f>IF(X1698="","",IFERROR(INDEX(Cl_quartier,MATCH(X1698,Cl_cle,0))&amp;"",""))</f>
        <v/>
      </c>
      <c r="AB1698" s="45">
        <f>IF(R1698&lt;&gt;"Livrée",0,IF(K1698&lt;&gt;"",K1698,C1698))</f>
        <v/>
      </c>
      <c r="AC1698" s="33">
        <f>IF(OR(C1698="",W1698=""),"",P1698&amp;"|"&amp;W1698&amp;"|"&amp;C1698&amp;"|"&amp;E1698)</f>
        <v/>
      </c>
      <c r="AD1698" s="39">
        <f>IF(AC1698="","",IF(COUNTIF(AC$6:AC1698,AC1698)=1,1,0))</f>
        <v/>
      </c>
      <c r="AE1698" s="39">
        <f>IF(AB1698=0,"",IF(COUNTIFS(X$6:X1698,X1698,AB$6:AB1698,AB1698)=1,1,0))</f>
        <v/>
      </c>
      <c r="AF1698" s="34">
        <f>IF(C1698="","",YEAR(C1698-WEEKDAY(C1698,2)+4)&amp;"-S"&amp;TEXT(INT((C1698-DATE(YEAR(C1698-WEEKDAY(C1698,2)+4),1,3)+WEEKDAY(DATE(YEAR(C1698-WEEKDAY(C1698,2)+4),1,3),2)+5)/7),"00"))</f>
        <v/>
      </c>
    </row>
    <row r="1699" ht="18" customHeight="1">
      <c r="A1699" s="39" t="n">
        <v>1694</v>
      </c>
      <c r="B1699" s="33">
        <f>IF(C1699="","",IF(P1699="À RENSEIGNER","GIC",P1699)&amp;"-C"&amp;TEXT(A1699,"00000"))</f>
        <v/>
      </c>
      <c r="C1699" s="32" t="n"/>
      <c r="D1699" s="36" t="n"/>
      <c r="E1699" s="36" t="n"/>
      <c r="F1699" s="36" t="n"/>
      <c r="G1699" s="42" t="n"/>
      <c r="H1699" s="37" t="n"/>
      <c r="I1699" s="37" t="n"/>
      <c r="J1699" s="32" t="n"/>
      <c r="K1699" s="32" t="n"/>
      <c r="L1699" s="43" t="n"/>
      <c r="M1699" s="36" t="n"/>
      <c r="N1699" s="44" t="n"/>
      <c r="O1699" s="36" t="n"/>
      <c r="P1699" s="33">
        <f>IF(C1699="","",Commercial_Id)</f>
        <v/>
      </c>
      <c r="Q1699" s="34">
        <f>IF(AC1699="","",IF(AD1699=1,"C"&amp;TEXT(SUM(AD$6:AD1699),"0000"),INDEX(Q$6:Q1698,MATCH(AC1699,AC$6:AC1698,0))))</f>
        <v/>
      </c>
      <c r="R1699" s="34">
        <f>IF(C1699="","",IF(L1699="☑ Oui","Annulée",IF(OR(E1699="Vente directe",K1699&lt;&gt;""),"Livrée",IF(J1699&lt;&gt;"","Confirmée","En attente"))))</f>
        <v/>
      </c>
      <c r="S1699" s="34">
        <f>IF(F1699="","",IFERROR(VLOOKUP(F1699,T_Produits,2,FALSE),""))</f>
        <v/>
      </c>
      <c r="T1699" s="40">
        <f>IF(F1699="","",IFERROR(1/(1/VLOOKUP(F1699,T_Produits,3,FALSE)),""))</f>
        <v/>
      </c>
      <c r="U1699" s="40">
        <f>IF(H1699&lt;&gt;"",H1699,T1699)</f>
        <v/>
      </c>
      <c r="V1699" s="40">
        <f>IF(OR(G1699="",U1699=""),"",G1699*U1699-N(I1699))</f>
        <v/>
      </c>
      <c r="W1699" s="39">
        <f>IF(D1699="","",IFERROR(VALUE(MID(D1699,LEN(D1699)-3,3)),""))</f>
        <v/>
      </c>
      <c r="X1699" s="33">
        <f>IF(W1699="","",P1699&amp;"|"&amp;W1699)</f>
        <v/>
      </c>
      <c r="Y1699" s="33">
        <f>IF(W1699="","",IF(P1699="À RENSEIGNER","GIC",P1699)&amp;"-"&amp;TEXT(W1699,"000"))</f>
        <v/>
      </c>
      <c r="Z1699" s="33">
        <f>IF(X1699="","",IFERROR(INDEX(Cl_nom,MATCH(X1699,Cl_cle,0)),"(client introuvable)"))</f>
        <v/>
      </c>
      <c r="AA1699" s="33">
        <f>IF(X1699="","",IFERROR(INDEX(Cl_quartier,MATCH(X1699,Cl_cle,0))&amp;"",""))</f>
        <v/>
      </c>
      <c r="AB1699" s="45">
        <f>IF(R1699&lt;&gt;"Livrée",0,IF(K1699&lt;&gt;"",K1699,C1699))</f>
        <v/>
      </c>
      <c r="AC1699" s="33">
        <f>IF(OR(C1699="",W1699=""),"",P1699&amp;"|"&amp;W1699&amp;"|"&amp;C1699&amp;"|"&amp;E1699)</f>
        <v/>
      </c>
      <c r="AD1699" s="39">
        <f>IF(AC1699="","",IF(COUNTIF(AC$6:AC1699,AC1699)=1,1,0))</f>
        <v/>
      </c>
      <c r="AE1699" s="39">
        <f>IF(AB1699=0,"",IF(COUNTIFS(X$6:X1699,X1699,AB$6:AB1699,AB1699)=1,1,0))</f>
        <v/>
      </c>
      <c r="AF1699" s="34">
        <f>IF(C1699="","",YEAR(C1699-WEEKDAY(C1699,2)+4)&amp;"-S"&amp;TEXT(INT((C1699-DATE(YEAR(C1699-WEEKDAY(C1699,2)+4),1,3)+WEEKDAY(DATE(YEAR(C1699-WEEKDAY(C1699,2)+4),1,3),2)+5)/7),"00"))</f>
        <v/>
      </c>
    </row>
    <row r="1700" ht="18" customHeight="1">
      <c r="A1700" s="39" t="n">
        <v>1695</v>
      </c>
      <c r="B1700" s="33">
        <f>IF(C1700="","",IF(P1700="À RENSEIGNER","GIC",P1700)&amp;"-C"&amp;TEXT(A1700,"00000"))</f>
        <v/>
      </c>
      <c r="C1700" s="32" t="n"/>
      <c r="D1700" s="36" t="n"/>
      <c r="E1700" s="36" t="n"/>
      <c r="F1700" s="36" t="n"/>
      <c r="G1700" s="42" t="n"/>
      <c r="H1700" s="37" t="n"/>
      <c r="I1700" s="37" t="n"/>
      <c r="J1700" s="32" t="n"/>
      <c r="K1700" s="32" t="n"/>
      <c r="L1700" s="43" t="n"/>
      <c r="M1700" s="36" t="n"/>
      <c r="N1700" s="44" t="n"/>
      <c r="O1700" s="36" t="n"/>
      <c r="P1700" s="33">
        <f>IF(C1700="","",Commercial_Id)</f>
        <v/>
      </c>
      <c r="Q1700" s="34">
        <f>IF(AC1700="","",IF(AD1700=1,"C"&amp;TEXT(SUM(AD$6:AD1700),"0000"),INDEX(Q$6:Q1699,MATCH(AC1700,AC$6:AC1699,0))))</f>
        <v/>
      </c>
      <c r="R1700" s="34">
        <f>IF(C1700="","",IF(L1700="☑ Oui","Annulée",IF(OR(E1700="Vente directe",K1700&lt;&gt;""),"Livrée",IF(J1700&lt;&gt;"","Confirmée","En attente"))))</f>
        <v/>
      </c>
      <c r="S1700" s="34">
        <f>IF(F1700="","",IFERROR(VLOOKUP(F1700,T_Produits,2,FALSE),""))</f>
        <v/>
      </c>
      <c r="T1700" s="40">
        <f>IF(F1700="","",IFERROR(1/(1/VLOOKUP(F1700,T_Produits,3,FALSE)),""))</f>
        <v/>
      </c>
      <c r="U1700" s="40">
        <f>IF(H1700&lt;&gt;"",H1700,T1700)</f>
        <v/>
      </c>
      <c r="V1700" s="40">
        <f>IF(OR(G1700="",U1700=""),"",G1700*U1700-N(I1700))</f>
        <v/>
      </c>
      <c r="W1700" s="39">
        <f>IF(D1700="","",IFERROR(VALUE(MID(D1700,LEN(D1700)-3,3)),""))</f>
        <v/>
      </c>
      <c r="X1700" s="33">
        <f>IF(W1700="","",P1700&amp;"|"&amp;W1700)</f>
        <v/>
      </c>
      <c r="Y1700" s="33">
        <f>IF(W1700="","",IF(P1700="À RENSEIGNER","GIC",P1700)&amp;"-"&amp;TEXT(W1700,"000"))</f>
        <v/>
      </c>
      <c r="Z1700" s="33">
        <f>IF(X1700="","",IFERROR(INDEX(Cl_nom,MATCH(X1700,Cl_cle,0)),"(client introuvable)"))</f>
        <v/>
      </c>
      <c r="AA1700" s="33">
        <f>IF(X1700="","",IFERROR(INDEX(Cl_quartier,MATCH(X1700,Cl_cle,0))&amp;"",""))</f>
        <v/>
      </c>
      <c r="AB1700" s="45">
        <f>IF(R1700&lt;&gt;"Livrée",0,IF(K1700&lt;&gt;"",K1700,C1700))</f>
        <v/>
      </c>
      <c r="AC1700" s="33">
        <f>IF(OR(C1700="",W1700=""),"",P1700&amp;"|"&amp;W1700&amp;"|"&amp;C1700&amp;"|"&amp;E1700)</f>
        <v/>
      </c>
      <c r="AD1700" s="39">
        <f>IF(AC1700="","",IF(COUNTIF(AC$6:AC1700,AC1700)=1,1,0))</f>
        <v/>
      </c>
      <c r="AE1700" s="39">
        <f>IF(AB1700=0,"",IF(COUNTIFS(X$6:X1700,X1700,AB$6:AB1700,AB1700)=1,1,0))</f>
        <v/>
      </c>
      <c r="AF1700" s="34">
        <f>IF(C1700="","",YEAR(C1700-WEEKDAY(C1700,2)+4)&amp;"-S"&amp;TEXT(INT((C1700-DATE(YEAR(C1700-WEEKDAY(C1700,2)+4),1,3)+WEEKDAY(DATE(YEAR(C1700-WEEKDAY(C1700,2)+4),1,3),2)+5)/7),"00"))</f>
        <v/>
      </c>
    </row>
    <row r="1701" ht="18" customHeight="1">
      <c r="A1701" s="39" t="n">
        <v>1696</v>
      </c>
      <c r="B1701" s="33">
        <f>IF(C1701="","",IF(P1701="À RENSEIGNER","GIC",P1701)&amp;"-C"&amp;TEXT(A1701,"00000"))</f>
        <v/>
      </c>
      <c r="C1701" s="32" t="n"/>
      <c r="D1701" s="36" t="n"/>
      <c r="E1701" s="36" t="n"/>
      <c r="F1701" s="36" t="n"/>
      <c r="G1701" s="42" t="n"/>
      <c r="H1701" s="37" t="n"/>
      <c r="I1701" s="37" t="n"/>
      <c r="J1701" s="32" t="n"/>
      <c r="K1701" s="32" t="n"/>
      <c r="L1701" s="43" t="n"/>
      <c r="M1701" s="36" t="n"/>
      <c r="N1701" s="44" t="n"/>
      <c r="O1701" s="36" t="n"/>
      <c r="P1701" s="33">
        <f>IF(C1701="","",Commercial_Id)</f>
        <v/>
      </c>
      <c r="Q1701" s="34">
        <f>IF(AC1701="","",IF(AD1701=1,"C"&amp;TEXT(SUM(AD$6:AD1701),"0000"),INDEX(Q$6:Q1700,MATCH(AC1701,AC$6:AC1700,0))))</f>
        <v/>
      </c>
      <c r="R1701" s="34">
        <f>IF(C1701="","",IF(L1701="☑ Oui","Annulée",IF(OR(E1701="Vente directe",K1701&lt;&gt;""),"Livrée",IF(J1701&lt;&gt;"","Confirmée","En attente"))))</f>
        <v/>
      </c>
      <c r="S1701" s="34">
        <f>IF(F1701="","",IFERROR(VLOOKUP(F1701,T_Produits,2,FALSE),""))</f>
        <v/>
      </c>
      <c r="T1701" s="40">
        <f>IF(F1701="","",IFERROR(1/(1/VLOOKUP(F1701,T_Produits,3,FALSE)),""))</f>
        <v/>
      </c>
      <c r="U1701" s="40">
        <f>IF(H1701&lt;&gt;"",H1701,T1701)</f>
        <v/>
      </c>
      <c r="V1701" s="40">
        <f>IF(OR(G1701="",U1701=""),"",G1701*U1701-N(I1701))</f>
        <v/>
      </c>
      <c r="W1701" s="39">
        <f>IF(D1701="","",IFERROR(VALUE(MID(D1701,LEN(D1701)-3,3)),""))</f>
        <v/>
      </c>
      <c r="X1701" s="33">
        <f>IF(W1701="","",P1701&amp;"|"&amp;W1701)</f>
        <v/>
      </c>
      <c r="Y1701" s="33">
        <f>IF(W1701="","",IF(P1701="À RENSEIGNER","GIC",P1701)&amp;"-"&amp;TEXT(W1701,"000"))</f>
        <v/>
      </c>
      <c r="Z1701" s="33">
        <f>IF(X1701="","",IFERROR(INDEX(Cl_nom,MATCH(X1701,Cl_cle,0)),"(client introuvable)"))</f>
        <v/>
      </c>
      <c r="AA1701" s="33">
        <f>IF(X1701="","",IFERROR(INDEX(Cl_quartier,MATCH(X1701,Cl_cle,0))&amp;"",""))</f>
        <v/>
      </c>
      <c r="AB1701" s="45">
        <f>IF(R1701&lt;&gt;"Livrée",0,IF(K1701&lt;&gt;"",K1701,C1701))</f>
        <v/>
      </c>
      <c r="AC1701" s="33">
        <f>IF(OR(C1701="",W1701=""),"",P1701&amp;"|"&amp;W1701&amp;"|"&amp;C1701&amp;"|"&amp;E1701)</f>
        <v/>
      </c>
      <c r="AD1701" s="39">
        <f>IF(AC1701="","",IF(COUNTIF(AC$6:AC1701,AC1701)=1,1,0))</f>
        <v/>
      </c>
      <c r="AE1701" s="39">
        <f>IF(AB1701=0,"",IF(COUNTIFS(X$6:X1701,X1701,AB$6:AB1701,AB1701)=1,1,0))</f>
        <v/>
      </c>
      <c r="AF1701" s="34">
        <f>IF(C1701="","",YEAR(C1701-WEEKDAY(C1701,2)+4)&amp;"-S"&amp;TEXT(INT((C1701-DATE(YEAR(C1701-WEEKDAY(C1701,2)+4),1,3)+WEEKDAY(DATE(YEAR(C1701-WEEKDAY(C1701,2)+4),1,3),2)+5)/7),"00"))</f>
        <v/>
      </c>
    </row>
    <row r="1702" ht="18" customHeight="1">
      <c r="A1702" s="39" t="n">
        <v>1697</v>
      </c>
      <c r="B1702" s="33">
        <f>IF(C1702="","",IF(P1702="À RENSEIGNER","GIC",P1702)&amp;"-C"&amp;TEXT(A1702,"00000"))</f>
        <v/>
      </c>
      <c r="C1702" s="32" t="n"/>
      <c r="D1702" s="36" t="n"/>
      <c r="E1702" s="36" t="n"/>
      <c r="F1702" s="36" t="n"/>
      <c r="G1702" s="42" t="n"/>
      <c r="H1702" s="37" t="n"/>
      <c r="I1702" s="37" t="n"/>
      <c r="J1702" s="32" t="n"/>
      <c r="K1702" s="32" t="n"/>
      <c r="L1702" s="43" t="n"/>
      <c r="M1702" s="36" t="n"/>
      <c r="N1702" s="44" t="n"/>
      <c r="O1702" s="36" t="n"/>
      <c r="P1702" s="33">
        <f>IF(C1702="","",Commercial_Id)</f>
        <v/>
      </c>
      <c r="Q1702" s="34">
        <f>IF(AC1702="","",IF(AD1702=1,"C"&amp;TEXT(SUM(AD$6:AD1702),"0000"),INDEX(Q$6:Q1701,MATCH(AC1702,AC$6:AC1701,0))))</f>
        <v/>
      </c>
      <c r="R1702" s="34">
        <f>IF(C1702="","",IF(L1702="☑ Oui","Annulée",IF(OR(E1702="Vente directe",K1702&lt;&gt;""),"Livrée",IF(J1702&lt;&gt;"","Confirmée","En attente"))))</f>
        <v/>
      </c>
      <c r="S1702" s="34">
        <f>IF(F1702="","",IFERROR(VLOOKUP(F1702,T_Produits,2,FALSE),""))</f>
        <v/>
      </c>
      <c r="T1702" s="40">
        <f>IF(F1702="","",IFERROR(1/(1/VLOOKUP(F1702,T_Produits,3,FALSE)),""))</f>
        <v/>
      </c>
      <c r="U1702" s="40">
        <f>IF(H1702&lt;&gt;"",H1702,T1702)</f>
        <v/>
      </c>
      <c r="V1702" s="40">
        <f>IF(OR(G1702="",U1702=""),"",G1702*U1702-N(I1702))</f>
        <v/>
      </c>
      <c r="W1702" s="39">
        <f>IF(D1702="","",IFERROR(VALUE(MID(D1702,LEN(D1702)-3,3)),""))</f>
        <v/>
      </c>
      <c r="X1702" s="33">
        <f>IF(W1702="","",P1702&amp;"|"&amp;W1702)</f>
        <v/>
      </c>
      <c r="Y1702" s="33">
        <f>IF(W1702="","",IF(P1702="À RENSEIGNER","GIC",P1702)&amp;"-"&amp;TEXT(W1702,"000"))</f>
        <v/>
      </c>
      <c r="Z1702" s="33">
        <f>IF(X1702="","",IFERROR(INDEX(Cl_nom,MATCH(X1702,Cl_cle,0)),"(client introuvable)"))</f>
        <v/>
      </c>
      <c r="AA1702" s="33">
        <f>IF(X1702="","",IFERROR(INDEX(Cl_quartier,MATCH(X1702,Cl_cle,0))&amp;"",""))</f>
        <v/>
      </c>
      <c r="AB1702" s="45">
        <f>IF(R1702&lt;&gt;"Livrée",0,IF(K1702&lt;&gt;"",K1702,C1702))</f>
        <v/>
      </c>
      <c r="AC1702" s="33">
        <f>IF(OR(C1702="",W1702=""),"",P1702&amp;"|"&amp;W1702&amp;"|"&amp;C1702&amp;"|"&amp;E1702)</f>
        <v/>
      </c>
      <c r="AD1702" s="39">
        <f>IF(AC1702="","",IF(COUNTIF(AC$6:AC1702,AC1702)=1,1,0))</f>
        <v/>
      </c>
      <c r="AE1702" s="39">
        <f>IF(AB1702=0,"",IF(COUNTIFS(X$6:X1702,X1702,AB$6:AB1702,AB1702)=1,1,0))</f>
        <v/>
      </c>
      <c r="AF1702" s="34">
        <f>IF(C1702="","",YEAR(C1702-WEEKDAY(C1702,2)+4)&amp;"-S"&amp;TEXT(INT((C1702-DATE(YEAR(C1702-WEEKDAY(C1702,2)+4),1,3)+WEEKDAY(DATE(YEAR(C1702-WEEKDAY(C1702,2)+4),1,3),2)+5)/7),"00"))</f>
        <v/>
      </c>
    </row>
    <row r="1703" ht="18" customHeight="1">
      <c r="A1703" s="39" t="n">
        <v>1698</v>
      </c>
      <c r="B1703" s="33">
        <f>IF(C1703="","",IF(P1703="À RENSEIGNER","GIC",P1703)&amp;"-C"&amp;TEXT(A1703,"00000"))</f>
        <v/>
      </c>
      <c r="C1703" s="32" t="n"/>
      <c r="D1703" s="36" t="n"/>
      <c r="E1703" s="36" t="n"/>
      <c r="F1703" s="36" t="n"/>
      <c r="G1703" s="42" t="n"/>
      <c r="H1703" s="37" t="n"/>
      <c r="I1703" s="37" t="n"/>
      <c r="J1703" s="32" t="n"/>
      <c r="K1703" s="32" t="n"/>
      <c r="L1703" s="43" t="n"/>
      <c r="M1703" s="36" t="n"/>
      <c r="N1703" s="44" t="n"/>
      <c r="O1703" s="36" t="n"/>
      <c r="P1703" s="33">
        <f>IF(C1703="","",Commercial_Id)</f>
        <v/>
      </c>
      <c r="Q1703" s="34">
        <f>IF(AC1703="","",IF(AD1703=1,"C"&amp;TEXT(SUM(AD$6:AD1703),"0000"),INDEX(Q$6:Q1702,MATCH(AC1703,AC$6:AC1702,0))))</f>
        <v/>
      </c>
      <c r="R1703" s="34">
        <f>IF(C1703="","",IF(L1703="☑ Oui","Annulée",IF(OR(E1703="Vente directe",K1703&lt;&gt;""),"Livrée",IF(J1703&lt;&gt;"","Confirmée","En attente"))))</f>
        <v/>
      </c>
      <c r="S1703" s="34">
        <f>IF(F1703="","",IFERROR(VLOOKUP(F1703,T_Produits,2,FALSE),""))</f>
        <v/>
      </c>
      <c r="T1703" s="40">
        <f>IF(F1703="","",IFERROR(1/(1/VLOOKUP(F1703,T_Produits,3,FALSE)),""))</f>
        <v/>
      </c>
      <c r="U1703" s="40">
        <f>IF(H1703&lt;&gt;"",H1703,T1703)</f>
        <v/>
      </c>
      <c r="V1703" s="40">
        <f>IF(OR(G1703="",U1703=""),"",G1703*U1703-N(I1703))</f>
        <v/>
      </c>
      <c r="W1703" s="39">
        <f>IF(D1703="","",IFERROR(VALUE(MID(D1703,LEN(D1703)-3,3)),""))</f>
        <v/>
      </c>
      <c r="X1703" s="33">
        <f>IF(W1703="","",P1703&amp;"|"&amp;W1703)</f>
        <v/>
      </c>
      <c r="Y1703" s="33">
        <f>IF(W1703="","",IF(P1703="À RENSEIGNER","GIC",P1703)&amp;"-"&amp;TEXT(W1703,"000"))</f>
        <v/>
      </c>
      <c r="Z1703" s="33">
        <f>IF(X1703="","",IFERROR(INDEX(Cl_nom,MATCH(X1703,Cl_cle,0)),"(client introuvable)"))</f>
        <v/>
      </c>
      <c r="AA1703" s="33">
        <f>IF(X1703="","",IFERROR(INDEX(Cl_quartier,MATCH(X1703,Cl_cle,0))&amp;"",""))</f>
        <v/>
      </c>
      <c r="AB1703" s="45">
        <f>IF(R1703&lt;&gt;"Livrée",0,IF(K1703&lt;&gt;"",K1703,C1703))</f>
        <v/>
      </c>
      <c r="AC1703" s="33">
        <f>IF(OR(C1703="",W1703=""),"",P1703&amp;"|"&amp;W1703&amp;"|"&amp;C1703&amp;"|"&amp;E1703)</f>
        <v/>
      </c>
      <c r="AD1703" s="39">
        <f>IF(AC1703="","",IF(COUNTIF(AC$6:AC1703,AC1703)=1,1,0))</f>
        <v/>
      </c>
      <c r="AE1703" s="39">
        <f>IF(AB1703=0,"",IF(COUNTIFS(X$6:X1703,X1703,AB$6:AB1703,AB1703)=1,1,0))</f>
        <v/>
      </c>
      <c r="AF1703" s="34">
        <f>IF(C1703="","",YEAR(C1703-WEEKDAY(C1703,2)+4)&amp;"-S"&amp;TEXT(INT((C1703-DATE(YEAR(C1703-WEEKDAY(C1703,2)+4),1,3)+WEEKDAY(DATE(YEAR(C1703-WEEKDAY(C1703,2)+4),1,3),2)+5)/7),"00"))</f>
        <v/>
      </c>
    </row>
    <row r="1704" ht="18" customHeight="1">
      <c r="A1704" s="39" t="n">
        <v>1699</v>
      </c>
      <c r="B1704" s="33">
        <f>IF(C1704="","",IF(P1704="À RENSEIGNER","GIC",P1704)&amp;"-C"&amp;TEXT(A1704,"00000"))</f>
        <v/>
      </c>
      <c r="C1704" s="32" t="n"/>
      <c r="D1704" s="36" t="n"/>
      <c r="E1704" s="36" t="n"/>
      <c r="F1704" s="36" t="n"/>
      <c r="G1704" s="42" t="n"/>
      <c r="H1704" s="37" t="n"/>
      <c r="I1704" s="37" t="n"/>
      <c r="J1704" s="32" t="n"/>
      <c r="K1704" s="32" t="n"/>
      <c r="L1704" s="43" t="n"/>
      <c r="M1704" s="36" t="n"/>
      <c r="N1704" s="44" t="n"/>
      <c r="O1704" s="36" t="n"/>
      <c r="P1704" s="33">
        <f>IF(C1704="","",Commercial_Id)</f>
        <v/>
      </c>
      <c r="Q1704" s="34">
        <f>IF(AC1704="","",IF(AD1704=1,"C"&amp;TEXT(SUM(AD$6:AD1704),"0000"),INDEX(Q$6:Q1703,MATCH(AC1704,AC$6:AC1703,0))))</f>
        <v/>
      </c>
      <c r="R1704" s="34">
        <f>IF(C1704="","",IF(L1704="☑ Oui","Annulée",IF(OR(E1704="Vente directe",K1704&lt;&gt;""),"Livrée",IF(J1704&lt;&gt;"","Confirmée","En attente"))))</f>
        <v/>
      </c>
      <c r="S1704" s="34">
        <f>IF(F1704="","",IFERROR(VLOOKUP(F1704,T_Produits,2,FALSE),""))</f>
        <v/>
      </c>
      <c r="T1704" s="40">
        <f>IF(F1704="","",IFERROR(1/(1/VLOOKUP(F1704,T_Produits,3,FALSE)),""))</f>
        <v/>
      </c>
      <c r="U1704" s="40">
        <f>IF(H1704&lt;&gt;"",H1704,T1704)</f>
        <v/>
      </c>
      <c r="V1704" s="40">
        <f>IF(OR(G1704="",U1704=""),"",G1704*U1704-N(I1704))</f>
        <v/>
      </c>
      <c r="W1704" s="39">
        <f>IF(D1704="","",IFERROR(VALUE(MID(D1704,LEN(D1704)-3,3)),""))</f>
        <v/>
      </c>
      <c r="X1704" s="33">
        <f>IF(W1704="","",P1704&amp;"|"&amp;W1704)</f>
        <v/>
      </c>
      <c r="Y1704" s="33">
        <f>IF(W1704="","",IF(P1704="À RENSEIGNER","GIC",P1704)&amp;"-"&amp;TEXT(W1704,"000"))</f>
        <v/>
      </c>
      <c r="Z1704" s="33">
        <f>IF(X1704="","",IFERROR(INDEX(Cl_nom,MATCH(X1704,Cl_cle,0)),"(client introuvable)"))</f>
        <v/>
      </c>
      <c r="AA1704" s="33">
        <f>IF(X1704="","",IFERROR(INDEX(Cl_quartier,MATCH(X1704,Cl_cle,0))&amp;"",""))</f>
        <v/>
      </c>
      <c r="AB1704" s="45">
        <f>IF(R1704&lt;&gt;"Livrée",0,IF(K1704&lt;&gt;"",K1704,C1704))</f>
        <v/>
      </c>
      <c r="AC1704" s="33">
        <f>IF(OR(C1704="",W1704=""),"",P1704&amp;"|"&amp;W1704&amp;"|"&amp;C1704&amp;"|"&amp;E1704)</f>
        <v/>
      </c>
      <c r="AD1704" s="39">
        <f>IF(AC1704="","",IF(COUNTIF(AC$6:AC1704,AC1704)=1,1,0))</f>
        <v/>
      </c>
      <c r="AE1704" s="39">
        <f>IF(AB1704=0,"",IF(COUNTIFS(X$6:X1704,X1704,AB$6:AB1704,AB1704)=1,1,0))</f>
        <v/>
      </c>
      <c r="AF1704" s="34">
        <f>IF(C1704="","",YEAR(C1704-WEEKDAY(C1704,2)+4)&amp;"-S"&amp;TEXT(INT((C1704-DATE(YEAR(C1704-WEEKDAY(C1704,2)+4),1,3)+WEEKDAY(DATE(YEAR(C1704-WEEKDAY(C1704,2)+4),1,3),2)+5)/7),"00"))</f>
        <v/>
      </c>
    </row>
    <row r="1705" ht="18" customHeight="1">
      <c r="A1705" s="39" t="n">
        <v>1700</v>
      </c>
      <c r="B1705" s="33">
        <f>IF(C1705="","",IF(P1705="À RENSEIGNER","GIC",P1705)&amp;"-C"&amp;TEXT(A1705,"00000"))</f>
        <v/>
      </c>
      <c r="C1705" s="32" t="n"/>
      <c r="D1705" s="36" t="n"/>
      <c r="E1705" s="36" t="n"/>
      <c r="F1705" s="36" t="n"/>
      <c r="G1705" s="42" t="n"/>
      <c r="H1705" s="37" t="n"/>
      <c r="I1705" s="37" t="n"/>
      <c r="J1705" s="32" t="n"/>
      <c r="K1705" s="32" t="n"/>
      <c r="L1705" s="43" t="n"/>
      <c r="M1705" s="36" t="n"/>
      <c r="N1705" s="44" t="n"/>
      <c r="O1705" s="36" t="n"/>
      <c r="P1705" s="33">
        <f>IF(C1705="","",Commercial_Id)</f>
        <v/>
      </c>
      <c r="Q1705" s="34">
        <f>IF(AC1705="","",IF(AD1705=1,"C"&amp;TEXT(SUM(AD$6:AD1705),"0000"),INDEX(Q$6:Q1704,MATCH(AC1705,AC$6:AC1704,0))))</f>
        <v/>
      </c>
      <c r="R1705" s="34">
        <f>IF(C1705="","",IF(L1705="☑ Oui","Annulée",IF(OR(E1705="Vente directe",K1705&lt;&gt;""),"Livrée",IF(J1705&lt;&gt;"","Confirmée","En attente"))))</f>
        <v/>
      </c>
      <c r="S1705" s="34">
        <f>IF(F1705="","",IFERROR(VLOOKUP(F1705,T_Produits,2,FALSE),""))</f>
        <v/>
      </c>
      <c r="T1705" s="40">
        <f>IF(F1705="","",IFERROR(1/(1/VLOOKUP(F1705,T_Produits,3,FALSE)),""))</f>
        <v/>
      </c>
      <c r="U1705" s="40">
        <f>IF(H1705&lt;&gt;"",H1705,T1705)</f>
        <v/>
      </c>
      <c r="V1705" s="40">
        <f>IF(OR(G1705="",U1705=""),"",G1705*U1705-N(I1705))</f>
        <v/>
      </c>
      <c r="W1705" s="39">
        <f>IF(D1705="","",IFERROR(VALUE(MID(D1705,LEN(D1705)-3,3)),""))</f>
        <v/>
      </c>
      <c r="X1705" s="33">
        <f>IF(W1705="","",P1705&amp;"|"&amp;W1705)</f>
        <v/>
      </c>
      <c r="Y1705" s="33">
        <f>IF(W1705="","",IF(P1705="À RENSEIGNER","GIC",P1705)&amp;"-"&amp;TEXT(W1705,"000"))</f>
        <v/>
      </c>
      <c r="Z1705" s="33">
        <f>IF(X1705="","",IFERROR(INDEX(Cl_nom,MATCH(X1705,Cl_cle,0)),"(client introuvable)"))</f>
        <v/>
      </c>
      <c r="AA1705" s="33">
        <f>IF(X1705="","",IFERROR(INDEX(Cl_quartier,MATCH(X1705,Cl_cle,0))&amp;"",""))</f>
        <v/>
      </c>
      <c r="AB1705" s="45">
        <f>IF(R1705&lt;&gt;"Livrée",0,IF(K1705&lt;&gt;"",K1705,C1705))</f>
        <v/>
      </c>
      <c r="AC1705" s="33">
        <f>IF(OR(C1705="",W1705=""),"",P1705&amp;"|"&amp;W1705&amp;"|"&amp;C1705&amp;"|"&amp;E1705)</f>
        <v/>
      </c>
      <c r="AD1705" s="39">
        <f>IF(AC1705="","",IF(COUNTIF(AC$6:AC1705,AC1705)=1,1,0))</f>
        <v/>
      </c>
      <c r="AE1705" s="39">
        <f>IF(AB1705=0,"",IF(COUNTIFS(X$6:X1705,X1705,AB$6:AB1705,AB1705)=1,1,0))</f>
        <v/>
      </c>
      <c r="AF1705" s="34">
        <f>IF(C1705="","",YEAR(C1705-WEEKDAY(C1705,2)+4)&amp;"-S"&amp;TEXT(INT((C1705-DATE(YEAR(C1705-WEEKDAY(C1705,2)+4),1,3)+WEEKDAY(DATE(YEAR(C1705-WEEKDAY(C1705,2)+4),1,3),2)+5)/7),"00"))</f>
        <v/>
      </c>
    </row>
    <row r="1706" ht="18" customHeight="1">
      <c r="A1706" s="39" t="n">
        <v>1701</v>
      </c>
      <c r="B1706" s="33">
        <f>IF(C1706="","",IF(P1706="À RENSEIGNER","GIC",P1706)&amp;"-C"&amp;TEXT(A1706,"00000"))</f>
        <v/>
      </c>
      <c r="C1706" s="32" t="n"/>
      <c r="D1706" s="36" t="n"/>
      <c r="E1706" s="36" t="n"/>
      <c r="F1706" s="36" t="n"/>
      <c r="G1706" s="42" t="n"/>
      <c r="H1706" s="37" t="n"/>
      <c r="I1706" s="37" t="n"/>
      <c r="J1706" s="32" t="n"/>
      <c r="K1706" s="32" t="n"/>
      <c r="L1706" s="43" t="n"/>
      <c r="M1706" s="36" t="n"/>
      <c r="N1706" s="44" t="n"/>
      <c r="O1706" s="36" t="n"/>
      <c r="P1706" s="33">
        <f>IF(C1706="","",Commercial_Id)</f>
        <v/>
      </c>
      <c r="Q1706" s="34">
        <f>IF(AC1706="","",IF(AD1706=1,"C"&amp;TEXT(SUM(AD$6:AD1706),"0000"),INDEX(Q$6:Q1705,MATCH(AC1706,AC$6:AC1705,0))))</f>
        <v/>
      </c>
      <c r="R1706" s="34">
        <f>IF(C1706="","",IF(L1706="☑ Oui","Annulée",IF(OR(E1706="Vente directe",K1706&lt;&gt;""),"Livrée",IF(J1706&lt;&gt;"","Confirmée","En attente"))))</f>
        <v/>
      </c>
      <c r="S1706" s="34">
        <f>IF(F1706="","",IFERROR(VLOOKUP(F1706,T_Produits,2,FALSE),""))</f>
        <v/>
      </c>
      <c r="T1706" s="40">
        <f>IF(F1706="","",IFERROR(1/(1/VLOOKUP(F1706,T_Produits,3,FALSE)),""))</f>
        <v/>
      </c>
      <c r="U1706" s="40">
        <f>IF(H1706&lt;&gt;"",H1706,T1706)</f>
        <v/>
      </c>
      <c r="V1706" s="40">
        <f>IF(OR(G1706="",U1706=""),"",G1706*U1706-N(I1706))</f>
        <v/>
      </c>
      <c r="W1706" s="39">
        <f>IF(D1706="","",IFERROR(VALUE(MID(D1706,LEN(D1706)-3,3)),""))</f>
        <v/>
      </c>
      <c r="X1706" s="33">
        <f>IF(W1706="","",P1706&amp;"|"&amp;W1706)</f>
        <v/>
      </c>
      <c r="Y1706" s="33">
        <f>IF(W1706="","",IF(P1706="À RENSEIGNER","GIC",P1706)&amp;"-"&amp;TEXT(W1706,"000"))</f>
        <v/>
      </c>
      <c r="Z1706" s="33">
        <f>IF(X1706="","",IFERROR(INDEX(Cl_nom,MATCH(X1706,Cl_cle,0)),"(client introuvable)"))</f>
        <v/>
      </c>
      <c r="AA1706" s="33">
        <f>IF(X1706="","",IFERROR(INDEX(Cl_quartier,MATCH(X1706,Cl_cle,0))&amp;"",""))</f>
        <v/>
      </c>
      <c r="AB1706" s="45">
        <f>IF(R1706&lt;&gt;"Livrée",0,IF(K1706&lt;&gt;"",K1706,C1706))</f>
        <v/>
      </c>
      <c r="AC1706" s="33">
        <f>IF(OR(C1706="",W1706=""),"",P1706&amp;"|"&amp;W1706&amp;"|"&amp;C1706&amp;"|"&amp;E1706)</f>
        <v/>
      </c>
      <c r="AD1706" s="39">
        <f>IF(AC1706="","",IF(COUNTIF(AC$6:AC1706,AC1706)=1,1,0))</f>
        <v/>
      </c>
      <c r="AE1706" s="39">
        <f>IF(AB1706=0,"",IF(COUNTIFS(X$6:X1706,X1706,AB$6:AB1706,AB1706)=1,1,0))</f>
        <v/>
      </c>
      <c r="AF1706" s="34">
        <f>IF(C1706="","",YEAR(C1706-WEEKDAY(C1706,2)+4)&amp;"-S"&amp;TEXT(INT((C1706-DATE(YEAR(C1706-WEEKDAY(C1706,2)+4),1,3)+WEEKDAY(DATE(YEAR(C1706-WEEKDAY(C1706,2)+4),1,3),2)+5)/7),"00"))</f>
        <v/>
      </c>
    </row>
    <row r="1707" ht="18" customHeight="1">
      <c r="A1707" s="39" t="n">
        <v>1702</v>
      </c>
      <c r="B1707" s="33">
        <f>IF(C1707="","",IF(P1707="À RENSEIGNER","GIC",P1707)&amp;"-C"&amp;TEXT(A1707,"00000"))</f>
        <v/>
      </c>
      <c r="C1707" s="32" t="n"/>
      <c r="D1707" s="36" t="n"/>
      <c r="E1707" s="36" t="n"/>
      <c r="F1707" s="36" t="n"/>
      <c r="G1707" s="42" t="n"/>
      <c r="H1707" s="37" t="n"/>
      <c r="I1707" s="37" t="n"/>
      <c r="J1707" s="32" t="n"/>
      <c r="K1707" s="32" t="n"/>
      <c r="L1707" s="43" t="n"/>
      <c r="M1707" s="36" t="n"/>
      <c r="N1707" s="44" t="n"/>
      <c r="O1707" s="36" t="n"/>
      <c r="P1707" s="33">
        <f>IF(C1707="","",Commercial_Id)</f>
        <v/>
      </c>
      <c r="Q1707" s="34">
        <f>IF(AC1707="","",IF(AD1707=1,"C"&amp;TEXT(SUM(AD$6:AD1707),"0000"),INDEX(Q$6:Q1706,MATCH(AC1707,AC$6:AC1706,0))))</f>
        <v/>
      </c>
      <c r="R1707" s="34">
        <f>IF(C1707="","",IF(L1707="☑ Oui","Annulée",IF(OR(E1707="Vente directe",K1707&lt;&gt;""),"Livrée",IF(J1707&lt;&gt;"","Confirmée","En attente"))))</f>
        <v/>
      </c>
      <c r="S1707" s="34">
        <f>IF(F1707="","",IFERROR(VLOOKUP(F1707,T_Produits,2,FALSE),""))</f>
        <v/>
      </c>
      <c r="T1707" s="40">
        <f>IF(F1707="","",IFERROR(1/(1/VLOOKUP(F1707,T_Produits,3,FALSE)),""))</f>
        <v/>
      </c>
      <c r="U1707" s="40">
        <f>IF(H1707&lt;&gt;"",H1707,T1707)</f>
        <v/>
      </c>
      <c r="V1707" s="40">
        <f>IF(OR(G1707="",U1707=""),"",G1707*U1707-N(I1707))</f>
        <v/>
      </c>
      <c r="W1707" s="39">
        <f>IF(D1707="","",IFERROR(VALUE(MID(D1707,LEN(D1707)-3,3)),""))</f>
        <v/>
      </c>
      <c r="X1707" s="33">
        <f>IF(W1707="","",P1707&amp;"|"&amp;W1707)</f>
        <v/>
      </c>
      <c r="Y1707" s="33">
        <f>IF(W1707="","",IF(P1707="À RENSEIGNER","GIC",P1707)&amp;"-"&amp;TEXT(W1707,"000"))</f>
        <v/>
      </c>
      <c r="Z1707" s="33">
        <f>IF(X1707="","",IFERROR(INDEX(Cl_nom,MATCH(X1707,Cl_cle,0)),"(client introuvable)"))</f>
        <v/>
      </c>
      <c r="AA1707" s="33">
        <f>IF(X1707="","",IFERROR(INDEX(Cl_quartier,MATCH(X1707,Cl_cle,0))&amp;"",""))</f>
        <v/>
      </c>
      <c r="AB1707" s="45">
        <f>IF(R1707&lt;&gt;"Livrée",0,IF(K1707&lt;&gt;"",K1707,C1707))</f>
        <v/>
      </c>
      <c r="AC1707" s="33">
        <f>IF(OR(C1707="",W1707=""),"",P1707&amp;"|"&amp;W1707&amp;"|"&amp;C1707&amp;"|"&amp;E1707)</f>
        <v/>
      </c>
      <c r="AD1707" s="39">
        <f>IF(AC1707="","",IF(COUNTIF(AC$6:AC1707,AC1707)=1,1,0))</f>
        <v/>
      </c>
      <c r="AE1707" s="39">
        <f>IF(AB1707=0,"",IF(COUNTIFS(X$6:X1707,X1707,AB$6:AB1707,AB1707)=1,1,0))</f>
        <v/>
      </c>
      <c r="AF1707" s="34">
        <f>IF(C1707="","",YEAR(C1707-WEEKDAY(C1707,2)+4)&amp;"-S"&amp;TEXT(INT((C1707-DATE(YEAR(C1707-WEEKDAY(C1707,2)+4),1,3)+WEEKDAY(DATE(YEAR(C1707-WEEKDAY(C1707,2)+4),1,3),2)+5)/7),"00"))</f>
        <v/>
      </c>
    </row>
    <row r="1708" ht="18" customHeight="1">
      <c r="A1708" s="39" t="n">
        <v>1703</v>
      </c>
      <c r="B1708" s="33">
        <f>IF(C1708="","",IF(P1708="À RENSEIGNER","GIC",P1708)&amp;"-C"&amp;TEXT(A1708,"00000"))</f>
        <v/>
      </c>
      <c r="C1708" s="32" t="n"/>
      <c r="D1708" s="36" t="n"/>
      <c r="E1708" s="36" t="n"/>
      <c r="F1708" s="36" t="n"/>
      <c r="G1708" s="42" t="n"/>
      <c r="H1708" s="37" t="n"/>
      <c r="I1708" s="37" t="n"/>
      <c r="J1708" s="32" t="n"/>
      <c r="K1708" s="32" t="n"/>
      <c r="L1708" s="43" t="n"/>
      <c r="M1708" s="36" t="n"/>
      <c r="N1708" s="44" t="n"/>
      <c r="O1708" s="36" t="n"/>
      <c r="P1708" s="33">
        <f>IF(C1708="","",Commercial_Id)</f>
        <v/>
      </c>
      <c r="Q1708" s="34">
        <f>IF(AC1708="","",IF(AD1708=1,"C"&amp;TEXT(SUM(AD$6:AD1708),"0000"),INDEX(Q$6:Q1707,MATCH(AC1708,AC$6:AC1707,0))))</f>
        <v/>
      </c>
      <c r="R1708" s="34">
        <f>IF(C1708="","",IF(L1708="☑ Oui","Annulée",IF(OR(E1708="Vente directe",K1708&lt;&gt;""),"Livrée",IF(J1708&lt;&gt;"","Confirmée","En attente"))))</f>
        <v/>
      </c>
      <c r="S1708" s="34">
        <f>IF(F1708="","",IFERROR(VLOOKUP(F1708,T_Produits,2,FALSE),""))</f>
        <v/>
      </c>
      <c r="T1708" s="40">
        <f>IF(F1708="","",IFERROR(1/(1/VLOOKUP(F1708,T_Produits,3,FALSE)),""))</f>
        <v/>
      </c>
      <c r="U1708" s="40">
        <f>IF(H1708&lt;&gt;"",H1708,T1708)</f>
        <v/>
      </c>
      <c r="V1708" s="40">
        <f>IF(OR(G1708="",U1708=""),"",G1708*U1708-N(I1708))</f>
        <v/>
      </c>
      <c r="W1708" s="39">
        <f>IF(D1708="","",IFERROR(VALUE(MID(D1708,LEN(D1708)-3,3)),""))</f>
        <v/>
      </c>
      <c r="X1708" s="33">
        <f>IF(W1708="","",P1708&amp;"|"&amp;W1708)</f>
        <v/>
      </c>
      <c r="Y1708" s="33">
        <f>IF(W1708="","",IF(P1708="À RENSEIGNER","GIC",P1708)&amp;"-"&amp;TEXT(W1708,"000"))</f>
        <v/>
      </c>
      <c r="Z1708" s="33">
        <f>IF(X1708="","",IFERROR(INDEX(Cl_nom,MATCH(X1708,Cl_cle,0)),"(client introuvable)"))</f>
        <v/>
      </c>
      <c r="AA1708" s="33">
        <f>IF(X1708="","",IFERROR(INDEX(Cl_quartier,MATCH(X1708,Cl_cle,0))&amp;"",""))</f>
        <v/>
      </c>
      <c r="AB1708" s="45">
        <f>IF(R1708&lt;&gt;"Livrée",0,IF(K1708&lt;&gt;"",K1708,C1708))</f>
        <v/>
      </c>
      <c r="AC1708" s="33">
        <f>IF(OR(C1708="",W1708=""),"",P1708&amp;"|"&amp;W1708&amp;"|"&amp;C1708&amp;"|"&amp;E1708)</f>
        <v/>
      </c>
      <c r="AD1708" s="39">
        <f>IF(AC1708="","",IF(COUNTIF(AC$6:AC1708,AC1708)=1,1,0))</f>
        <v/>
      </c>
      <c r="AE1708" s="39">
        <f>IF(AB1708=0,"",IF(COUNTIFS(X$6:X1708,X1708,AB$6:AB1708,AB1708)=1,1,0))</f>
        <v/>
      </c>
      <c r="AF1708" s="34">
        <f>IF(C1708="","",YEAR(C1708-WEEKDAY(C1708,2)+4)&amp;"-S"&amp;TEXT(INT((C1708-DATE(YEAR(C1708-WEEKDAY(C1708,2)+4),1,3)+WEEKDAY(DATE(YEAR(C1708-WEEKDAY(C1708,2)+4),1,3),2)+5)/7),"00"))</f>
        <v/>
      </c>
    </row>
    <row r="1709" ht="18" customHeight="1">
      <c r="A1709" s="39" t="n">
        <v>1704</v>
      </c>
      <c r="B1709" s="33">
        <f>IF(C1709="","",IF(P1709="À RENSEIGNER","GIC",P1709)&amp;"-C"&amp;TEXT(A1709,"00000"))</f>
        <v/>
      </c>
      <c r="C1709" s="32" t="n"/>
      <c r="D1709" s="36" t="n"/>
      <c r="E1709" s="36" t="n"/>
      <c r="F1709" s="36" t="n"/>
      <c r="G1709" s="42" t="n"/>
      <c r="H1709" s="37" t="n"/>
      <c r="I1709" s="37" t="n"/>
      <c r="J1709" s="32" t="n"/>
      <c r="K1709" s="32" t="n"/>
      <c r="L1709" s="43" t="n"/>
      <c r="M1709" s="36" t="n"/>
      <c r="N1709" s="44" t="n"/>
      <c r="O1709" s="36" t="n"/>
      <c r="P1709" s="33">
        <f>IF(C1709="","",Commercial_Id)</f>
        <v/>
      </c>
      <c r="Q1709" s="34">
        <f>IF(AC1709="","",IF(AD1709=1,"C"&amp;TEXT(SUM(AD$6:AD1709),"0000"),INDEX(Q$6:Q1708,MATCH(AC1709,AC$6:AC1708,0))))</f>
        <v/>
      </c>
      <c r="R1709" s="34">
        <f>IF(C1709="","",IF(L1709="☑ Oui","Annulée",IF(OR(E1709="Vente directe",K1709&lt;&gt;""),"Livrée",IF(J1709&lt;&gt;"","Confirmée","En attente"))))</f>
        <v/>
      </c>
      <c r="S1709" s="34">
        <f>IF(F1709="","",IFERROR(VLOOKUP(F1709,T_Produits,2,FALSE),""))</f>
        <v/>
      </c>
      <c r="T1709" s="40">
        <f>IF(F1709="","",IFERROR(1/(1/VLOOKUP(F1709,T_Produits,3,FALSE)),""))</f>
        <v/>
      </c>
      <c r="U1709" s="40">
        <f>IF(H1709&lt;&gt;"",H1709,T1709)</f>
        <v/>
      </c>
      <c r="V1709" s="40">
        <f>IF(OR(G1709="",U1709=""),"",G1709*U1709-N(I1709))</f>
        <v/>
      </c>
      <c r="W1709" s="39">
        <f>IF(D1709="","",IFERROR(VALUE(MID(D1709,LEN(D1709)-3,3)),""))</f>
        <v/>
      </c>
      <c r="X1709" s="33">
        <f>IF(W1709="","",P1709&amp;"|"&amp;W1709)</f>
        <v/>
      </c>
      <c r="Y1709" s="33">
        <f>IF(W1709="","",IF(P1709="À RENSEIGNER","GIC",P1709)&amp;"-"&amp;TEXT(W1709,"000"))</f>
        <v/>
      </c>
      <c r="Z1709" s="33">
        <f>IF(X1709="","",IFERROR(INDEX(Cl_nom,MATCH(X1709,Cl_cle,0)),"(client introuvable)"))</f>
        <v/>
      </c>
      <c r="AA1709" s="33">
        <f>IF(X1709="","",IFERROR(INDEX(Cl_quartier,MATCH(X1709,Cl_cle,0))&amp;"",""))</f>
        <v/>
      </c>
      <c r="AB1709" s="45">
        <f>IF(R1709&lt;&gt;"Livrée",0,IF(K1709&lt;&gt;"",K1709,C1709))</f>
        <v/>
      </c>
      <c r="AC1709" s="33">
        <f>IF(OR(C1709="",W1709=""),"",P1709&amp;"|"&amp;W1709&amp;"|"&amp;C1709&amp;"|"&amp;E1709)</f>
        <v/>
      </c>
      <c r="AD1709" s="39">
        <f>IF(AC1709="","",IF(COUNTIF(AC$6:AC1709,AC1709)=1,1,0))</f>
        <v/>
      </c>
      <c r="AE1709" s="39">
        <f>IF(AB1709=0,"",IF(COUNTIFS(X$6:X1709,X1709,AB$6:AB1709,AB1709)=1,1,0))</f>
        <v/>
      </c>
      <c r="AF1709" s="34">
        <f>IF(C1709="","",YEAR(C1709-WEEKDAY(C1709,2)+4)&amp;"-S"&amp;TEXT(INT((C1709-DATE(YEAR(C1709-WEEKDAY(C1709,2)+4),1,3)+WEEKDAY(DATE(YEAR(C1709-WEEKDAY(C1709,2)+4),1,3),2)+5)/7),"00"))</f>
        <v/>
      </c>
    </row>
    <row r="1710" ht="18" customHeight="1">
      <c r="A1710" s="39" t="n">
        <v>1705</v>
      </c>
      <c r="B1710" s="33">
        <f>IF(C1710="","",IF(P1710="À RENSEIGNER","GIC",P1710)&amp;"-C"&amp;TEXT(A1710,"00000"))</f>
        <v/>
      </c>
      <c r="C1710" s="32" t="n"/>
      <c r="D1710" s="36" t="n"/>
      <c r="E1710" s="36" t="n"/>
      <c r="F1710" s="36" t="n"/>
      <c r="G1710" s="42" t="n"/>
      <c r="H1710" s="37" t="n"/>
      <c r="I1710" s="37" t="n"/>
      <c r="J1710" s="32" t="n"/>
      <c r="K1710" s="32" t="n"/>
      <c r="L1710" s="43" t="n"/>
      <c r="M1710" s="36" t="n"/>
      <c r="N1710" s="44" t="n"/>
      <c r="O1710" s="36" t="n"/>
      <c r="P1710" s="33">
        <f>IF(C1710="","",Commercial_Id)</f>
        <v/>
      </c>
      <c r="Q1710" s="34">
        <f>IF(AC1710="","",IF(AD1710=1,"C"&amp;TEXT(SUM(AD$6:AD1710),"0000"),INDEX(Q$6:Q1709,MATCH(AC1710,AC$6:AC1709,0))))</f>
        <v/>
      </c>
      <c r="R1710" s="34">
        <f>IF(C1710="","",IF(L1710="☑ Oui","Annulée",IF(OR(E1710="Vente directe",K1710&lt;&gt;""),"Livrée",IF(J1710&lt;&gt;"","Confirmée","En attente"))))</f>
        <v/>
      </c>
      <c r="S1710" s="34">
        <f>IF(F1710="","",IFERROR(VLOOKUP(F1710,T_Produits,2,FALSE),""))</f>
        <v/>
      </c>
      <c r="T1710" s="40">
        <f>IF(F1710="","",IFERROR(1/(1/VLOOKUP(F1710,T_Produits,3,FALSE)),""))</f>
        <v/>
      </c>
      <c r="U1710" s="40">
        <f>IF(H1710&lt;&gt;"",H1710,T1710)</f>
        <v/>
      </c>
      <c r="V1710" s="40">
        <f>IF(OR(G1710="",U1710=""),"",G1710*U1710-N(I1710))</f>
        <v/>
      </c>
      <c r="W1710" s="39">
        <f>IF(D1710="","",IFERROR(VALUE(MID(D1710,LEN(D1710)-3,3)),""))</f>
        <v/>
      </c>
      <c r="X1710" s="33">
        <f>IF(W1710="","",P1710&amp;"|"&amp;W1710)</f>
        <v/>
      </c>
      <c r="Y1710" s="33">
        <f>IF(W1710="","",IF(P1710="À RENSEIGNER","GIC",P1710)&amp;"-"&amp;TEXT(W1710,"000"))</f>
        <v/>
      </c>
      <c r="Z1710" s="33">
        <f>IF(X1710="","",IFERROR(INDEX(Cl_nom,MATCH(X1710,Cl_cle,0)),"(client introuvable)"))</f>
        <v/>
      </c>
      <c r="AA1710" s="33">
        <f>IF(X1710="","",IFERROR(INDEX(Cl_quartier,MATCH(X1710,Cl_cle,0))&amp;"",""))</f>
        <v/>
      </c>
      <c r="AB1710" s="45">
        <f>IF(R1710&lt;&gt;"Livrée",0,IF(K1710&lt;&gt;"",K1710,C1710))</f>
        <v/>
      </c>
      <c r="AC1710" s="33">
        <f>IF(OR(C1710="",W1710=""),"",P1710&amp;"|"&amp;W1710&amp;"|"&amp;C1710&amp;"|"&amp;E1710)</f>
        <v/>
      </c>
      <c r="AD1710" s="39">
        <f>IF(AC1710="","",IF(COUNTIF(AC$6:AC1710,AC1710)=1,1,0))</f>
        <v/>
      </c>
      <c r="AE1710" s="39">
        <f>IF(AB1710=0,"",IF(COUNTIFS(X$6:X1710,X1710,AB$6:AB1710,AB1710)=1,1,0))</f>
        <v/>
      </c>
      <c r="AF1710" s="34">
        <f>IF(C1710="","",YEAR(C1710-WEEKDAY(C1710,2)+4)&amp;"-S"&amp;TEXT(INT((C1710-DATE(YEAR(C1710-WEEKDAY(C1710,2)+4),1,3)+WEEKDAY(DATE(YEAR(C1710-WEEKDAY(C1710,2)+4),1,3),2)+5)/7),"00"))</f>
        <v/>
      </c>
    </row>
    <row r="1711" ht="18" customHeight="1">
      <c r="A1711" s="39" t="n">
        <v>1706</v>
      </c>
      <c r="B1711" s="33">
        <f>IF(C1711="","",IF(P1711="À RENSEIGNER","GIC",P1711)&amp;"-C"&amp;TEXT(A1711,"00000"))</f>
        <v/>
      </c>
      <c r="C1711" s="32" t="n"/>
      <c r="D1711" s="36" t="n"/>
      <c r="E1711" s="36" t="n"/>
      <c r="F1711" s="36" t="n"/>
      <c r="G1711" s="42" t="n"/>
      <c r="H1711" s="37" t="n"/>
      <c r="I1711" s="37" t="n"/>
      <c r="J1711" s="32" t="n"/>
      <c r="K1711" s="32" t="n"/>
      <c r="L1711" s="43" t="n"/>
      <c r="M1711" s="36" t="n"/>
      <c r="N1711" s="44" t="n"/>
      <c r="O1711" s="36" t="n"/>
      <c r="P1711" s="33">
        <f>IF(C1711="","",Commercial_Id)</f>
        <v/>
      </c>
      <c r="Q1711" s="34">
        <f>IF(AC1711="","",IF(AD1711=1,"C"&amp;TEXT(SUM(AD$6:AD1711),"0000"),INDEX(Q$6:Q1710,MATCH(AC1711,AC$6:AC1710,0))))</f>
        <v/>
      </c>
      <c r="R1711" s="34">
        <f>IF(C1711="","",IF(L1711="☑ Oui","Annulée",IF(OR(E1711="Vente directe",K1711&lt;&gt;""),"Livrée",IF(J1711&lt;&gt;"","Confirmée","En attente"))))</f>
        <v/>
      </c>
      <c r="S1711" s="34">
        <f>IF(F1711="","",IFERROR(VLOOKUP(F1711,T_Produits,2,FALSE),""))</f>
        <v/>
      </c>
      <c r="T1711" s="40">
        <f>IF(F1711="","",IFERROR(1/(1/VLOOKUP(F1711,T_Produits,3,FALSE)),""))</f>
        <v/>
      </c>
      <c r="U1711" s="40">
        <f>IF(H1711&lt;&gt;"",H1711,T1711)</f>
        <v/>
      </c>
      <c r="V1711" s="40">
        <f>IF(OR(G1711="",U1711=""),"",G1711*U1711-N(I1711))</f>
        <v/>
      </c>
      <c r="W1711" s="39">
        <f>IF(D1711="","",IFERROR(VALUE(MID(D1711,LEN(D1711)-3,3)),""))</f>
        <v/>
      </c>
      <c r="X1711" s="33">
        <f>IF(W1711="","",P1711&amp;"|"&amp;W1711)</f>
        <v/>
      </c>
      <c r="Y1711" s="33">
        <f>IF(W1711="","",IF(P1711="À RENSEIGNER","GIC",P1711)&amp;"-"&amp;TEXT(W1711,"000"))</f>
        <v/>
      </c>
      <c r="Z1711" s="33">
        <f>IF(X1711="","",IFERROR(INDEX(Cl_nom,MATCH(X1711,Cl_cle,0)),"(client introuvable)"))</f>
        <v/>
      </c>
      <c r="AA1711" s="33">
        <f>IF(X1711="","",IFERROR(INDEX(Cl_quartier,MATCH(X1711,Cl_cle,0))&amp;"",""))</f>
        <v/>
      </c>
      <c r="AB1711" s="45">
        <f>IF(R1711&lt;&gt;"Livrée",0,IF(K1711&lt;&gt;"",K1711,C1711))</f>
        <v/>
      </c>
      <c r="AC1711" s="33">
        <f>IF(OR(C1711="",W1711=""),"",P1711&amp;"|"&amp;W1711&amp;"|"&amp;C1711&amp;"|"&amp;E1711)</f>
        <v/>
      </c>
      <c r="AD1711" s="39">
        <f>IF(AC1711="","",IF(COUNTIF(AC$6:AC1711,AC1711)=1,1,0))</f>
        <v/>
      </c>
      <c r="AE1711" s="39">
        <f>IF(AB1711=0,"",IF(COUNTIFS(X$6:X1711,X1711,AB$6:AB1711,AB1711)=1,1,0))</f>
        <v/>
      </c>
      <c r="AF1711" s="34">
        <f>IF(C1711="","",YEAR(C1711-WEEKDAY(C1711,2)+4)&amp;"-S"&amp;TEXT(INT((C1711-DATE(YEAR(C1711-WEEKDAY(C1711,2)+4),1,3)+WEEKDAY(DATE(YEAR(C1711-WEEKDAY(C1711,2)+4),1,3),2)+5)/7),"00"))</f>
        <v/>
      </c>
    </row>
    <row r="1712" ht="18" customHeight="1">
      <c r="A1712" s="39" t="n">
        <v>1707</v>
      </c>
      <c r="B1712" s="33">
        <f>IF(C1712="","",IF(P1712="À RENSEIGNER","GIC",P1712)&amp;"-C"&amp;TEXT(A1712,"00000"))</f>
        <v/>
      </c>
      <c r="C1712" s="32" t="n"/>
      <c r="D1712" s="36" t="n"/>
      <c r="E1712" s="36" t="n"/>
      <c r="F1712" s="36" t="n"/>
      <c r="G1712" s="42" t="n"/>
      <c r="H1712" s="37" t="n"/>
      <c r="I1712" s="37" t="n"/>
      <c r="J1712" s="32" t="n"/>
      <c r="K1712" s="32" t="n"/>
      <c r="L1712" s="43" t="n"/>
      <c r="M1712" s="36" t="n"/>
      <c r="N1712" s="44" t="n"/>
      <c r="O1712" s="36" t="n"/>
      <c r="P1712" s="33">
        <f>IF(C1712="","",Commercial_Id)</f>
        <v/>
      </c>
      <c r="Q1712" s="34">
        <f>IF(AC1712="","",IF(AD1712=1,"C"&amp;TEXT(SUM(AD$6:AD1712),"0000"),INDEX(Q$6:Q1711,MATCH(AC1712,AC$6:AC1711,0))))</f>
        <v/>
      </c>
      <c r="R1712" s="34">
        <f>IF(C1712="","",IF(L1712="☑ Oui","Annulée",IF(OR(E1712="Vente directe",K1712&lt;&gt;""),"Livrée",IF(J1712&lt;&gt;"","Confirmée","En attente"))))</f>
        <v/>
      </c>
      <c r="S1712" s="34">
        <f>IF(F1712="","",IFERROR(VLOOKUP(F1712,T_Produits,2,FALSE),""))</f>
        <v/>
      </c>
      <c r="T1712" s="40">
        <f>IF(F1712="","",IFERROR(1/(1/VLOOKUP(F1712,T_Produits,3,FALSE)),""))</f>
        <v/>
      </c>
      <c r="U1712" s="40">
        <f>IF(H1712&lt;&gt;"",H1712,T1712)</f>
        <v/>
      </c>
      <c r="V1712" s="40">
        <f>IF(OR(G1712="",U1712=""),"",G1712*U1712-N(I1712))</f>
        <v/>
      </c>
      <c r="W1712" s="39">
        <f>IF(D1712="","",IFERROR(VALUE(MID(D1712,LEN(D1712)-3,3)),""))</f>
        <v/>
      </c>
      <c r="X1712" s="33">
        <f>IF(W1712="","",P1712&amp;"|"&amp;W1712)</f>
        <v/>
      </c>
      <c r="Y1712" s="33">
        <f>IF(W1712="","",IF(P1712="À RENSEIGNER","GIC",P1712)&amp;"-"&amp;TEXT(W1712,"000"))</f>
        <v/>
      </c>
      <c r="Z1712" s="33">
        <f>IF(X1712="","",IFERROR(INDEX(Cl_nom,MATCH(X1712,Cl_cle,0)),"(client introuvable)"))</f>
        <v/>
      </c>
      <c r="AA1712" s="33">
        <f>IF(X1712="","",IFERROR(INDEX(Cl_quartier,MATCH(X1712,Cl_cle,0))&amp;"",""))</f>
        <v/>
      </c>
      <c r="AB1712" s="45">
        <f>IF(R1712&lt;&gt;"Livrée",0,IF(K1712&lt;&gt;"",K1712,C1712))</f>
        <v/>
      </c>
      <c r="AC1712" s="33">
        <f>IF(OR(C1712="",W1712=""),"",P1712&amp;"|"&amp;W1712&amp;"|"&amp;C1712&amp;"|"&amp;E1712)</f>
        <v/>
      </c>
      <c r="AD1712" s="39">
        <f>IF(AC1712="","",IF(COUNTIF(AC$6:AC1712,AC1712)=1,1,0))</f>
        <v/>
      </c>
      <c r="AE1712" s="39">
        <f>IF(AB1712=0,"",IF(COUNTIFS(X$6:X1712,X1712,AB$6:AB1712,AB1712)=1,1,0))</f>
        <v/>
      </c>
      <c r="AF1712" s="34">
        <f>IF(C1712="","",YEAR(C1712-WEEKDAY(C1712,2)+4)&amp;"-S"&amp;TEXT(INT((C1712-DATE(YEAR(C1712-WEEKDAY(C1712,2)+4),1,3)+WEEKDAY(DATE(YEAR(C1712-WEEKDAY(C1712,2)+4),1,3),2)+5)/7),"00"))</f>
        <v/>
      </c>
    </row>
    <row r="1713" ht="18" customHeight="1">
      <c r="A1713" s="39" t="n">
        <v>1708</v>
      </c>
      <c r="B1713" s="33">
        <f>IF(C1713="","",IF(P1713="À RENSEIGNER","GIC",P1713)&amp;"-C"&amp;TEXT(A1713,"00000"))</f>
        <v/>
      </c>
      <c r="C1713" s="32" t="n"/>
      <c r="D1713" s="36" t="n"/>
      <c r="E1713" s="36" t="n"/>
      <c r="F1713" s="36" t="n"/>
      <c r="G1713" s="42" t="n"/>
      <c r="H1713" s="37" t="n"/>
      <c r="I1713" s="37" t="n"/>
      <c r="J1713" s="32" t="n"/>
      <c r="K1713" s="32" t="n"/>
      <c r="L1713" s="43" t="n"/>
      <c r="M1713" s="36" t="n"/>
      <c r="N1713" s="44" t="n"/>
      <c r="O1713" s="36" t="n"/>
      <c r="P1713" s="33">
        <f>IF(C1713="","",Commercial_Id)</f>
        <v/>
      </c>
      <c r="Q1713" s="34">
        <f>IF(AC1713="","",IF(AD1713=1,"C"&amp;TEXT(SUM(AD$6:AD1713),"0000"),INDEX(Q$6:Q1712,MATCH(AC1713,AC$6:AC1712,0))))</f>
        <v/>
      </c>
      <c r="R1713" s="34">
        <f>IF(C1713="","",IF(L1713="☑ Oui","Annulée",IF(OR(E1713="Vente directe",K1713&lt;&gt;""),"Livrée",IF(J1713&lt;&gt;"","Confirmée","En attente"))))</f>
        <v/>
      </c>
      <c r="S1713" s="34">
        <f>IF(F1713="","",IFERROR(VLOOKUP(F1713,T_Produits,2,FALSE),""))</f>
        <v/>
      </c>
      <c r="T1713" s="40">
        <f>IF(F1713="","",IFERROR(1/(1/VLOOKUP(F1713,T_Produits,3,FALSE)),""))</f>
        <v/>
      </c>
      <c r="U1713" s="40">
        <f>IF(H1713&lt;&gt;"",H1713,T1713)</f>
        <v/>
      </c>
      <c r="V1713" s="40">
        <f>IF(OR(G1713="",U1713=""),"",G1713*U1713-N(I1713))</f>
        <v/>
      </c>
      <c r="W1713" s="39">
        <f>IF(D1713="","",IFERROR(VALUE(MID(D1713,LEN(D1713)-3,3)),""))</f>
        <v/>
      </c>
      <c r="X1713" s="33">
        <f>IF(W1713="","",P1713&amp;"|"&amp;W1713)</f>
        <v/>
      </c>
      <c r="Y1713" s="33">
        <f>IF(W1713="","",IF(P1713="À RENSEIGNER","GIC",P1713)&amp;"-"&amp;TEXT(W1713,"000"))</f>
        <v/>
      </c>
      <c r="Z1713" s="33">
        <f>IF(X1713="","",IFERROR(INDEX(Cl_nom,MATCH(X1713,Cl_cle,0)),"(client introuvable)"))</f>
        <v/>
      </c>
      <c r="AA1713" s="33">
        <f>IF(X1713="","",IFERROR(INDEX(Cl_quartier,MATCH(X1713,Cl_cle,0))&amp;"",""))</f>
        <v/>
      </c>
      <c r="AB1713" s="45">
        <f>IF(R1713&lt;&gt;"Livrée",0,IF(K1713&lt;&gt;"",K1713,C1713))</f>
        <v/>
      </c>
      <c r="AC1713" s="33">
        <f>IF(OR(C1713="",W1713=""),"",P1713&amp;"|"&amp;W1713&amp;"|"&amp;C1713&amp;"|"&amp;E1713)</f>
        <v/>
      </c>
      <c r="AD1713" s="39">
        <f>IF(AC1713="","",IF(COUNTIF(AC$6:AC1713,AC1713)=1,1,0))</f>
        <v/>
      </c>
      <c r="AE1713" s="39">
        <f>IF(AB1713=0,"",IF(COUNTIFS(X$6:X1713,X1713,AB$6:AB1713,AB1713)=1,1,0))</f>
        <v/>
      </c>
      <c r="AF1713" s="34">
        <f>IF(C1713="","",YEAR(C1713-WEEKDAY(C1713,2)+4)&amp;"-S"&amp;TEXT(INT((C1713-DATE(YEAR(C1713-WEEKDAY(C1713,2)+4),1,3)+WEEKDAY(DATE(YEAR(C1713-WEEKDAY(C1713,2)+4),1,3),2)+5)/7),"00"))</f>
        <v/>
      </c>
    </row>
    <row r="1714" ht="18" customHeight="1">
      <c r="A1714" s="39" t="n">
        <v>1709</v>
      </c>
      <c r="B1714" s="33">
        <f>IF(C1714="","",IF(P1714="À RENSEIGNER","GIC",P1714)&amp;"-C"&amp;TEXT(A1714,"00000"))</f>
        <v/>
      </c>
      <c r="C1714" s="32" t="n"/>
      <c r="D1714" s="36" t="n"/>
      <c r="E1714" s="36" t="n"/>
      <c r="F1714" s="36" t="n"/>
      <c r="G1714" s="42" t="n"/>
      <c r="H1714" s="37" t="n"/>
      <c r="I1714" s="37" t="n"/>
      <c r="J1714" s="32" t="n"/>
      <c r="K1714" s="32" t="n"/>
      <c r="L1714" s="43" t="n"/>
      <c r="M1714" s="36" t="n"/>
      <c r="N1714" s="44" t="n"/>
      <c r="O1714" s="36" t="n"/>
      <c r="P1714" s="33">
        <f>IF(C1714="","",Commercial_Id)</f>
        <v/>
      </c>
      <c r="Q1714" s="34">
        <f>IF(AC1714="","",IF(AD1714=1,"C"&amp;TEXT(SUM(AD$6:AD1714),"0000"),INDEX(Q$6:Q1713,MATCH(AC1714,AC$6:AC1713,0))))</f>
        <v/>
      </c>
      <c r="R1714" s="34">
        <f>IF(C1714="","",IF(L1714="☑ Oui","Annulée",IF(OR(E1714="Vente directe",K1714&lt;&gt;""),"Livrée",IF(J1714&lt;&gt;"","Confirmée","En attente"))))</f>
        <v/>
      </c>
      <c r="S1714" s="34">
        <f>IF(F1714="","",IFERROR(VLOOKUP(F1714,T_Produits,2,FALSE),""))</f>
        <v/>
      </c>
      <c r="T1714" s="40">
        <f>IF(F1714="","",IFERROR(1/(1/VLOOKUP(F1714,T_Produits,3,FALSE)),""))</f>
        <v/>
      </c>
      <c r="U1714" s="40">
        <f>IF(H1714&lt;&gt;"",H1714,T1714)</f>
        <v/>
      </c>
      <c r="V1714" s="40">
        <f>IF(OR(G1714="",U1714=""),"",G1714*U1714-N(I1714))</f>
        <v/>
      </c>
      <c r="W1714" s="39">
        <f>IF(D1714="","",IFERROR(VALUE(MID(D1714,LEN(D1714)-3,3)),""))</f>
        <v/>
      </c>
      <c r="X1714" s="33">
        <f>IF(W1714="","",P1714&amp;"|"&amp;W1714)</f>
        <v/>
      </c>
      <c r="Y1714" s="33">
        <f>IF(W1714="","",IF(P1714="À RENSEIGNER","GIC",P1714)&amp;"-"&amp;TEXT(W1714,"000"))</f>
        <v/>
      </c>
      <c r="Z1714" s="33">
        <f>IF(X1714="","",IFERROR(INDEX(Cl_nom,MATCH(X1714,Cl_cle,0)),"(client introuvable)"))</f>
        <v/>
      </c>
      <c r="AA1714" s="33">
        <f>IF(X1714="","",IFERROR(INDEX(Cl_quartier,MATCH(X1714,Cl_cle,0))&amp;"",""))</f>
        <v/>
      </c>
      <c r="AB1714" s="45">
        <f>IF(R1714&lt;&gt;"Livrée",0,IF(K1714&lt;&gt;"",K1714,C1714))</f>
        <v/>
      </c>
      <c r="AC1714" s="33">
        <f>IF(OR(C1714="",W1714=""),"",P1714&amp;"|"&amp;W1714&amp;"|"&amp;C1714&amp;"|"&amp;E1714)</f>
        <v/>
      </c>
      <c r="AD1714" s="39">
        <f>IF(AC1714="","",IF(COUNTIF(AC$6:AC1714,AC1714)=1,1,0))</f>
        <v/>
      </c>
      <c r="AE1714" s="39">
        <f>IF(AB1714=0,"",IF(COUNTIFS(X$6:X1714,X1714,AB$6:AB1714,AB1714)=1,1,0))</f>
        <v/>
      </c>
      <c r="AF1714" s="34">
        <f>IF(C1714="","",YEAR(C1714-WEEKDAY(C1714,2)+4)&amp;"-S"&amp;TEXT(INT((C1714-DATE(YEAR(C1714-WEEKDAY(C1714,2)+4),1,3)+WEEKDAY(DATE(YEAR(C1714-WEEKDAY(C1714,2)+4),1,3),2)+5)/7),"00"))</f>
        <v/>
      </c>
    </row>
    <row r="1715" ht="18" customHeight="1">
      <c r="A1715" s="39" t="n">
        <v>1710</v>
      </c>
      <c r="B1715" s="33">
        <f>IF(C1715="","",IF(P1715="À RENSEIGNER","GIC",P1715)&amp;"-C"&amp;TEXT(A1715,"00000"))</f>
        <v/>
      </c>
      <c r="C1715" s="32" t="n"/>
      <c r="D1715" s="36" t="n"/>
      <c r="E1715" s="36" t="n"/>
      <c r="F1715" s="36" t="n"/>
      <c r="G1715" s="42" t="n"/>
      <c r="H1715" s="37" t="n"/>
      <c r="I1715" s="37" t="n"/>
      <c r="J1715" s="32" t="n"/>
      <c r="K1715" s="32" t="n"/>
      <c r="L1715" s="43" t="n"/>
      <c r="M1715" s="36" t="n"/>
      <c r="N1715" s="44" t="n"/>
      <c r="O1715" s="36" t="n"/>
      <c r="P1715" s="33">
        <f>IF(C1715="","",Commercial_Id)</f>
        <v/>
      </c>
      <c r="Q1715" s="34">
        <f>IF(AC1715="","",IF(AD1715=1,"C"&amp;TEXT(SUM(AD$6:AD1715),"0000"),INDEX(Q$6:Q1714,MATCH(AC1715,AC$6:AC1714,0))))</f>
        <v/>
      </c>
      <c r="R1715" s="34">
        <f>IF(C1715="","",IF(L1715="☑ Oui","Annulée",IF(OR(E1715="Vente directe",K1715&lt;&gt;""),"Livrée",IF(J1715&lt;&gt;"","Confirmée","En attente"))))</f>
        <v/>
      </c>
      <c r="S1715" s="34">
        <f>IF(F1715="","",IFERROR(VLOOKUP(F1715,T_Produits,2,FALSE),""))</f>
        <v/>
      </c>
      <c r="T1715" s="40">
        <f>IF(F1715="","",IFERROR(1/(1/VLOOKUP(F1715,T_Produits,3,FALSE)),""))</f>
        <v/>
      </c>
      <c r="U1715" s="40">
        <f>IF(H1715&lt;&gt;"",H1715,T1715)</f>
        <v/>
      </c>
      <c r="V1715" s="40">
        <f>IF(OR(G1715="",U1715=""),"",G1715*U1715-N(I1715))</f>
        <v/>
      </c>
      <c r="W1715" s="39">
        <f>IF(D1715="","",IFERROR(VALUE(MID(D1715,LEN(D1715)-3,3)),""))</f>
        <v/>
      </c>
      <c r="X1715" s="33">
        <f>IF(W1715="","",P1715&amp;"|"&amp;W1715)</f>
        <v/>
      </c>
      <c r="Y1715" s="33">
        <f>IF(W1715="","",IF(P1715="À RENSEIGNER","GIC",P1715)&amp;"-"&amp;TEXT(W1715,"000"))</f>
        <v/>
      </c>
      <c r="Z1715" s="33">
        <f>IF(X1715="","",IFERROR(INDEX(Cl_nom,MATCH(X1715,Cl_cle,0)),"(client introuvable)"))</f>
        <v/>
      </c>
      <c r="AA1715" s="33">
        <f>IF(X1715="","",IFERROR(INDEX(Cl_quartier,MATCH(X1715,Cl_cle,0))&amp;"",""))</f>
        <v/>
      </c>
      <c r="AB1715" s="45">
        <f>IF(R1715&lt;&gt;"Livrée",0,IF(K1715&lt;&gt;"",K1715,C1715))</f>
        <v/>
      </c>
      <c r="AC1715" s="33">
        <f>IF(OR(C1715="",W1715=""),"",P1715&amp;"|"&amp;W1715&amp;"|"&amp;C1715&amp;"|"&amp;E1715)</f>
        <v/>
      </c>
      <c r="AD1715" s="39">
        <f>IF(AC1715="","",IF(COUNTIF(AC$6:AC1715,AC1715)=1,1,0))</f>
        <v/>
      </c>
      <c r="AE1715" s="39">
        <f>IF(AB1715=0,"",IF(COUNTIFS(X$6:X1715,X1715,AB$6:AB1715,AB1715)=1,1,0))</f>
        <v/>
      </c>
      <c r="AF1715" s="34">
        <f>IF(C1715="","",YEAR(C1715-WEEKDAY(C1715,2)+4)&amp;"-S"&amp;TEXT(INT((C1715-DATE(YEAR(C1715-WEEKDAY(C1715,2)+4),1,3)+WEEKDAY(DATE(YEAR(C1715-WEEKDAY(C1715,2)+4),1,3),2)+5)/7),"00"))</f>
        <v/>
      </c>
    </row>
    <row r="1716" ht="18" customHeight="1">
      <c r="A1716" s="39" t="n">
        <v>1711</v>
      </c>
      <c r="B1716" s="33">
        <f>IF(C1716="","",IF(P1716="À RENSEIGNER","GIC",P1716)&amp;"-C"&amp;TEXT(A1716,"00000"))</f>
        <v/>
      </c>
      <c r="C1716" s="32" t="n"/>
      <c r="D1716" s="36" t="n"/>
      <c r="E1716" s="36" t="n"/>
      <c r="F1716" s="36" t="n"/>
      <c r="G1716" s="42" t="n"/>
      <c r="H1716" s="37" t="n"/>
      <c r="I1716" s="37" t="n"/>
      <c r="J1716" s="32" t="n"/>
      <c r="K1716" s="32" t="n"/>
      <c r="L1716" s="43" t="n"/>
      <c r="M1716" s="36" t="n"/>
      <c r="N1716" s="44" t="n"/>
      <c r="O1716" s="36" t="n"/>
      <c r="P1716" s="33">
        <f>IF(C1716="","",Commercial_Id)</f>
        <v/>
      </c>
      <c r="Q1716" s="34">
        <f>IF(AC1716="","",IF(AD1716=1,"C"&amp;TEXT(SUM(AD$6:AD1716),"0000"),INDEX(Q$6:Q1715,MATCH(AC1716,AC$6:AC1715,0))))</f>
        <v/>
      </c>
      <c r="R1716" s="34">
        <f>IF(C1716="","",IF(L1716="☑ Oui","Annulée",IF(OR(E1716="Vente directe",K1716&lt;&gt;""),"Livrée",IF(J1716&lt;&gt;"","Confirmée","En attente"))))</f>
        <v/>
      </c>
      <c r="S1716" s="34">
        <f>IF(F1716="","",IFERROR(VLOOKUP(F1716,T_Produits,2,FALSE),""))</f>
        <v/>
      </c>
      <c r="T1716" s="40">
        <f>IF(F1716="","",IFERROR(1/(1/VLOOKUP(F1716,T_Produits,3,FALSE)),""))</f>
        <v/>
      </c>
      <c r="U1716" s="40">
        <f>IF(H1716&lt;&gt;"",H1716,T1716)</f>
        <v/>
      </c>
      <c r="V1716" s="40">
        <f>IF(OR(G1716="",U1716=""),"",G1716*U1716-N(I1716))</f>
        <v/>
      </c>
      <c r="W1716" s="39">
        <f>IF(D1716="","",IFERROR(VALUE(MID(D1716,LEN(D1716)-3,3)),""))</f>
        <v/>
      </c>
      <c r="X1716" s="33">
        <f>IF(W1716="","",P1716&amp;"|"&amp;W1716)</f>
        <v/>
      </c>
      <c r="Y1716" s="33">
        <f>IF(W1716="","",IF(P1716="À RENSEIGNER","GIC",P1716)&amp;"-"&amp;TEXT(W1716,"000"))</f>
        <v/>
      </c>
      <c r="Z1716" s="33">
        <f>IF(X1716="","",IFERROR(INDEX(Cl_nom,MATCH(X1716,Cl_cle,0)),"(client introuvable)"))</f>
        <v/>
      </c>
      <c r="AA1716" s="33">
        <f>IF(X1716="","",IFERROR(INDEX(Cl_quartier,MATCH(X1716,Cl_cle,0))&amp;"",""))</f>
        <v/>
      </c>
      <c r="AB1716" s="45">
        <f>IF(R1716&lt;&gt;"Livrée",0,IF(K1716&lt;&gt;"",K1716,C1716))</f>
        <v/>
      </c>
      <c r="AC1716" s="33">
        <f>IF(OR(C1716="",W1716=""),"",P1716&amp;"|"&amp;W1716&amp;"|"&amp;C1716&amp;"|"&amp;E1716)</f>
        <v/>
      </c>
      <c r="AD1716" s="39">
        <f>IF(AC1716="","",IF(COUNTIF(AC$6:AC1716,AC1716)=1,1,0))</f>
        <v/>
      </c>
      <c r="AE1716" s="39">
        <f>IF(AB1716=0,"",IF(COUNTIFS(X$6:X1716,X1716,AB$6:AB1716,AB1716)=1,1,0))</f>
        <v/>
      </c>
      <c r="AF1716" s="34">
        <f>IF(C1716="","",YEAR(C1716-WEEKDAY(C1716,2)+4)&amp;"-S"&amp;TEXT(INT((C1716-DATE(YEAR(C1716-WEEKDAY(C1716,2)+4),1,3)+WEEKDAY(DATE(YEAR(C1716-WEEKDAY(C1716,2)+4),1,3),2)+5)/7),"00"))</f>
        <v/>
      </c>
    </row>
    <row r="1717" ht="18" customHeight="1">
      <c r="A1717" s="39" t="n">
        <v>1712</v>
      </c>
      <c r="B1717" s="33">
        <f>IF(C1717="","",IF(P1717="À RENSEIGNER","GIC",P1717)&amp;"-C"&amp;TEXT(A1717,"00000"))</f>
        <v/>
      </c>
      <c r="C1717" s="32" t="n"/>
      <c r="D1717" s="36" t="n"/>
      <c r="E1717" s="36" t="n"/>
      <c r="F1717" s="36" t="n"/>
      <c r="G1717" s="42" t="n"/>
      <c r="H1717" s="37" t="n"/>
      <c r="I1717" s="37" t="n"/>
      <c r="J1717" s="32" t="n"/>
      <c r="K1717" s="32" t="n"/>
      <c r="L1717" s="43" t="n"/>
      <c r="M1717" s="36" t="n"/>
      <c r="N1717" s="44" t="n"/>
      <c r="O1717" s="36" t="n"/>
      <c r="P1717" s="33">
        <f>IF(C1717="","",Commercial_Id)</f>
        <v/>
      </c>
      <c r="Q1717" s="34">
        <f>IF(AC1717="","",IF(AD1717=1,"C"&amp;TEXT(SUM(AD$6:AD1717),"0000"),INDEX(Q$6:Q1716,MATCH(AC1717,AC$6:AC1716,0))))</f>
        <v/>
      </c>
      <c r="R1717" s="34">
        <f>IF(C1717="","",IF(L1717="☑ Oui","Annulée",IF(OR(E1717="Vente directe",K1717&lt;&gt;""),"Livrée",IF(J1717&lt;&gt;"","Confirmée","En attente"))))</f>
        <v/>
      </c>
      <c r="S1717" s="34">
        <f>IF(F1717="","",IFERROR(VLOOKUP(F1717,T_Produits,2,FALSE),""))</f>
        <v/>
      </c>
      <c r="T1717" s="40">
        <f>IF(F1717="","",IFERROR(1/(1/VLOOKUP(F1717,T_Produits,3,FALSE)),""))</f>
        <v/>
      </c>
      <c r="U1717" s="40">
        <f>IF(H1717&lt;&gt;"",H1717,T1717)</f>
        <v/>
      </c>
      <c r="V1717" s="40">
        <f>IF(OR(G1717="",U1717=""),"",G1717*U1717-N(I1717))</f>
        <v/>
      </c>
      <c r="W1717" s="39">
        <f>IF(D1717="","",IFERROR(VALUE(MID(D1717,LEN(D1717)-3,3)),""))</f>
        <v/>
      </c>
      <c r="X1717" s="33">
        <f>IF(W1717="","",P1717&amp;"|"&amp;W1717)</f>
        <v/>
      </c>
      <c r="Y1717" s="33">
        <f>IF(W1717="","",IF(P1717="À RENSEIGNER","GIC",P1717)&amp;"-"&amp;TEXT(W1717,"000"))</f>
        <v/>
      </c>
      <c r="Z1717" s="33">
        <f>IF(X1717="","",IFERROR(INDEX(Cl_nom,MATCH(X1717,Cl_cle,0)),"(client introuvable)"))</f>
        <v/>
      </c>
      <c r="AA1717" s="33">
        <f>IF(X1717="","",IFERROR(INDEX(Cl_quartier,MATCH(X1717,Cl_cle,0))&amp;"",""))</f>
        <v/>
      </c>
      <c r="AB1717" s="45">
        <f>IF(R1717&lt;&gt;"Livrée",0,IF(K1717&lt;&gt;"",K1717,C1717))</f>
        <v/>
      </c>
      <c r="AC1717" s="33">
        <f>IF(OR(C1717="",W1717=""),"",P1717&amp;"|"&amp;W1717&amp;"|"&amp;C1717&amp;"|"&amp;E1717)</f>
        <v/>
      </c>
      <c r="AD1717" s="39">
        <f>IF(AC1717="","",IF(COUNTIF(AC$6:AC1717,AC1717)=1,1,0))</f>
        <v/>
      </c>
      <c r="AE1717" s="39">
        <f>IF(AB1717=0,"",IF(COUNTIFS(X$6:X1717,X1717,AB$6:AB1717,AB1717)=1,1,0))</f>
        <v/>
      </c>
      <c r="AF1717" s="34">
        <f>IF(C1717="","",YEAR(C1717-WEEKDAY(C1717,2)+4)&amp;"-S"&amp;TEXT(INT((C1717-DATE(YEAR(C1717-WEEKDAY(C1717,2)+4),1,3)+WEEKDAY(DATE(YEAR(C1717-WEEKDAY(C1717,2)+4),1,3),2)+5)/7),"00"))</f>
        <v/>
      </c>
    </row>
    <row r="1718" ht="18" customHeight="1">
      <c r="A1718" s="39" t="n">
        <v>1713</v>
      </c>
      <c r="B1718" s="33">
        <f>IF(C1718="","",IF(P1718="À RENSEIGNER","GIC",P1718)&amp;"-C"&amp;TEXT(A1718,"00000"))</f>
        <v/>
      </c>
      <c r="C1718" s="32" t="n"/>
      <c r="D1718" s="36" t="n"/>
      <c r="E1718" s="36" t="n"/>
      <c r="F1718" s="36" t="n"/>
      <c r="G1718" s="42" t="n"/>
      <c r="H1718" s="37" t="n"/>
      <c r="I1718" s="37" t="n"/>
      <c r="J1718" s="32" t="n"/>
      <c r="K1718" s="32" t="n"/>
      <c r="L1718" s="43" t="n"/>
      <c r="M1718" s="36" t="n"/>
      <c r="N1718" s="44" t="n"/>
      <c r="O1718" s="36" t="n"/>
      <c r="P1718" s="33">
        <f>IF(C1718="","",Commercial_Id)</f>
        <v/>
      </c>
      <c r="Q1718" s="34">
        <f>IF(AC1718="","",IF(AD1718=1,"C"&amp;TEXT(SUM(AD$6:AD1718),"0000"),INDEX(Q$6:Q1717,MATCH(AC1718,AC$6:AC1717,0))))</f>
        <v/>
      </c>
      <c r="R1718" s="34">
        <f>IF(C1718="","",IF(L1718="☑ Oui","Annulée",IF(OR(E1718="Vente directe",K1718&lt;&gt;""),"Livrée",IF(J1718&lt;&gt;"","Confirmée","En attente"))))</f>
        <v/>
      </c>
      <c r="S1718" s="34">
        <f>IF(F1718="","",IFERROR(VLOOKUP(F1718,T_Produits,2,FALSE),""))</f>
        <v/>
      </c>
      <c r="T1718" s="40">
        <f>IF(F1718="","",IFERROR(1/(1/VLOOKUP(F1718,T_Produits,3,FALSE)),""))</f>
        <v/>
      </c>
      <c r="U1718" s="40">
        <f>IF(H1718&lt;&gt;"",H1718,T1718)</f>
        <v/>
      </c>
      <c r="V1718" s="40">
        <f>IF(OR(G1718="",U1718=""),"",G1718*U1718-N(I1718))</f>
        <v/>
      </c>
      <c r="W1718" s="39">
        <f>IF(D1718="","",IFERROR(VALUE(MID(D1718,LEN(D1718)-3,3)),""))</f>
        <v/>
      </c>
      <c r="X1718" s="33">
        <f>IF(W1718="","",P1718&amp;"|"&amp;W1718)</f>
        <v/>
      </c>
      <c r="Y1718" s="33">
        <f>IF(W1718="","",IF(P1718="À RENSEIGNER","GIC",P1718)&amp;"-"&amp;TEXT(W1718,"000"))</f>
        <v/>
      </c>
      <c r="Z1718" s="33">
        <f>IF(X1718="","",IFERROR(INDEX(Cl_nom,MATCH(X1718,Cl_cle,0)),"(client introuvable)"))</f>
        <v/>
      </c>
      <c r="AA1718" s="33">
        <f>IF(X1718="","",IFERROR(INDEX(Cl_quartier,MATCH(X1718,Cl_cle,0))&amp;"",""))</f>
        <v/>
      </c>
      <c r="AB1718" s="45">
        <f>IF(R1718&lt;&gt;"Livrée",0,IF(K1718&lt;&gt;"",K1718,C1718))</f>
        <v/>
      </c>
      <c r="AC1718" s="33">
        <f>IF(OR(C1718="",W1718=""),"",P1718&amp;"|"&amp;W1718&amp;"|"&amp;C1718&amp;"|"&amp;E1718)</f>
        <v/>
      </c>
      <c r="AD1718" s="39">
        <f>IF(AC1718="","",IF(COUNTIF(AC$6:AC1718,AC1718)=1,1,0))</f>
        <v/>
      </c>
      <c r="AE1718" s="39">
        <f>IF(AB1718=0,"",IF(COUNTIFS(X$6:X1718,X1718,AB$6:AB1718,AB1718)=1,1,0))</f>
        <v/>
      </c>
      <c r="AF1718" s="34">
        <f>IF(C1718="","",YEAR(C1718-WEEKDAY(C1718,2)+4)&amp;"-S"&amp;TEXT(INT((C1718-DATE(YEAR(C1718-WEEKDAY(C1718,2)+4),1,3)+WEEKDAY(DATE(YEAR(C1718-WEEKDAY(C1718,2)+4),1,3),2)+5)/7),"00"))</f>
        <v/>
      </c>
    </row>
    <row r="1719" ht="18" customHeight="1">
      <c r="A1719" s="39" t="n">
        <v>1714</v>
      </c>
      <c r="B1719" s="33">
        <f>IF(C1719="","",IF(P1719="À RENSEIGNER","GIC",P1719)&amp;"-C"&amp;TEXT(A1719,"00000"))</f>
        <v/>
      </c>
      <c r="C1719" s="32" t="n"/>
      <c r="D1719" s="36" t="n"/>
      <c r="E1719" s="36" t="n"/>
      <c r="F1719" s="36" t="n"/>
      <c r="G1719" s="42" t="n"/>
      <c r="H1719" s="37" t="n"/>
      <c r="I1719" s="37" t="n"/>
      <c r="J1719" s="32" t="n"/>
      <c r="K1719" s="32" t="n"/>
      <c r="L1719" s="43" t="n"/>
      <c r="M1719" s="36" t="n"/>
      <c r="N1719" s="44" t="n"/>
      <c r="O1719" s="36" t="n"/>
      <c r="P1719" s="33">
        <f>IF(C1719="","",Commercial_Id)</f>
        <v/>
      </c>
      <c r="Q1719" s="34">
        <f>IF(AC1719="","",IF(AD1719=1,"C"&amp;TEXT(SUM(AD$6:AD1719),"0000"),INDEX(Q$6:Q1718,MATCH(AC1719,AC$6:AC1718,0))))</f>
        <v/>
      </c>
      <c r="R1719" s="34">
        <f>IF(C1719="","",IF(L1719="☑ Oui","Annulée",IF(OR(E1719="Vente directe",K1719&lt;&gt;""),"Livrée",IF(J1719&lt;&gt;"","Confirmée","En attente"))))</f>
        <v/>
      </c>
      <c r="S1719" s="34">
        <f>IF(F1719="","",IFERROR(VLOOKUP(F1719,T_Produits,2,FALSE),""))</f>
        <v/>
      </c>
      <c r="T1719" s="40">
        <f>IF(F1719="","",IFERROR(1/(1/VLOOKUP(F1719,T_Produits,3,FALSE)),""))</f>
        <v/>
      </c>
      <c r="U1719" s="40">
        <f>IF(H1719&lt;&gt;"",H1719,T1719)</f>
        <v/>
      </c>
      <c r="V1719" s="40">
        <f>IF(OR(G1719="",U1719=""),"",G1719*U1719-N(I1719))</f>
        <v/>
      </c>
      <c r="W1719" s="39">
        <f>IF(D1719="","",IFERROR(VALUE(MID(D1719,LEN(D1719)-3,3)),""))</f>
        <v/>
      </c>
      <c r="X1719" s="33">
        <f>IF(W1719="","",P1719&amp;"|"&amp;W1719)</f>
        <v/>
      </c>
      <c r="Y1719" s="33">
        <f>IF(W1719="","",IF(P1719="À RENSEIGNER","GIC",P1719)&amp;"-"&amp;TEXT(W1719,"000"))</f>
        <v/>
      </c>
      <c r="Z1719" s="33">
        <f>IF(X1719="","",IFERROR(INDEX(Cl_nom,MATCH(X1719,Cl_cle,0)),"(client introuvable)"))</f>
        <v/>
      </c>
      <c r="AA1719" s="33">
        <f>IF(X1719="","",IFERROR(INDEX(Cl_quartier,MATCH(X1719,Cl_cle,0))&amp;"",""))</f>
        <v/>
      </c>
      <c r="AB1719" s="45">
        <f>IF(R1719&lt;&gt;"Livrée",0,IF(K1719&lt;&gt;"",K1719,C1719))</f>
        <v/>
      </c>
      <c r="AC1719" s="33">
        <f>IF(OR(C1719="",W1719=""),"",P1719&amp;"|"&amp;W1719&amp;"|"&amp;C1719&amp;"|"&amp;E1719)</f>
        <v/>
      </c>
      <c r="AD1719" s="39">
        <f>IF(AC1719="","",IF(COUNTIF(AC$6:AC1719,AC1719)=1,1,0))</f>
        <v/>
      </c>
      <c r="AE1719" s="39">
        <f>IF(AB1719=0,"",IF(COUNTIFS(X$6:X1719,X1719,AB$6:AB1719,AB1719)=1,1,0))</f>
        <v/>
      </c>
      <c r="AF1719" s="34">
        <f>IF(C1719="","",YEAR(C1719-WEEKDAY(C1719,2)+4)&amp;"-S"&amp;TEXT(INT((C1719-DATE(YEAR(C1719-WEEKDAY(C1719,2)+4),1,3)+WEEKDAY(DATE(YEAR(C1719-WEEKDAY(C1719,2)+4),1,3),2)+5)/7),"00"))</f>
        <v/>
      </c>
    </row>
    <row r="1720" ht="18" customHeight="1">
      <c r="A1720" s="39" t="n">
        <v>1715</v>
      </c>
      <c r="B1720" s="33">
        <f>IF(C1720="","",IF(P1720="À RENSEIGNER","GIC",P1720)&amp;"-C"&amp;TEXT(A1720,"00000"))</f>
        <v/>
      </c>
      <c r="C1720" s="32" t="n"/>
      <c r="D1720" s="36" t="n"/>
      <c r="E1720" s="36" t="n"/>
      <c r="F1720" s="36" t="n"/>
      <c r="G1720" s="42" t="n"/>
      <c r="H1720" s="37" t="n"/>
      <c r="I1720" s="37" t="n"/>
      <c r="J1720" s="32" t="n"/>
      <c r="K1720" s="32" t="n"/>
      <c r="L1720" s="43" t="n"/>
      <c r="M1720" s="36" t="n"/>
      <c r="N1720" s="44" t="n"/>
      <c r="O1720" s="36" t="n"/>
      <c r="P1720" s="33">
        <f>IF(C1720="","",Commercial_Id)</f>
        <v/>
      </c>
      <c r="Q1720" s="34">
        <f>IF(AC1720="","",IF(AD1720=1,"C"&amp;TEXT(SUM(AD$6:AD1720),"0000"),INDEX(Q$6:Q1719,MATCH(AC1720,AC$6:AC1719,0))))</f>
        <v/>
      </c>
      <c r="R1720" s="34">
        <f>IF(C1720="","",IF(L1720="☑ Oui","Annulée",IF(OR(E1720="Vente directe",K1720&lt;&gt;""),"Livrée",IF(J1720&lt;&gt;"","Confirmée","En attente"))))</f>
        <v/>
      </c>
      <c r="S1720" s="34">
        <f>IF(F1720="","",IFERROR(VLOOKUP(F1720,T_Produits,2,FALSE),""))</f>
        <v/>
      </c>
      <c r="T1720" s="40">
        <f>IF(F1720="","",IFERROR(1/(1/VLOOKUP(F1720,T_Produits,3,FALSE)),""))</f>
        <v/>
      </c>
      <c r="U1720" s="40">
        <f>IF(H1720&lt;&gt;"",H1720,T1720)</f>
        <v/>
      </c>
      <c r="V1720" s="40">
        <f>IF(OR(G1720="",U1720=""),"",G1720*U1720-N(I1720))</f>
        <v/>
      </c>
      <c r="W1720" s="39">
        <f>IF(D1720="","",IFERROR(VALUE(MID(D1720,LEN(D1720)-3,3)),""))</f>
        <v/>
      </c>
      <c r="X1720" s="33">
        <f>IF(W1720="","",P1720&amp;"|"&amp;W1720)</f>
        <v/>
      </c>
      <c r="Y1720" s="33">
        <f>IF(W1720="","",IF(P1720="À RENSEIGNER","GIC",P1720)&amp;"-"&amp;TEXT(W1720,"000"))</f>
        <v/>
      </c>
      <c r="Z1720" s="33">
        <f>IF(X1720="","",IFERROR(INDEX(Cl_nom,MATCH(X1720,Cl_cle,0)),"(client introuvable)"))</f>
        <v/>
      </c>
      <c r="AA1720" s="33">
        <f>IF(X1720="","",IFERROR(INDEX(Cl_quartier,MATCH(X1720,Cl_cle,0))&amp;"",""))</f>
        <v/>
      </c>
      <c r="AB1720" s="45">
        <f>IF(R1720&lt;&gt;"Livrée",0,IF(K1720&lt;&gt;"",K1720,C1720))</f>
        <v/>
      </c>
      <c r="AC1720" s="33">
        <f>IF(OR(C1720="",W1720=""),"",P1720&amp;"|"&amp;W1720&amp;"|"&amp;C1720&amp;"|"&amp;E1720)</f>
        <v/>
      </c>
      <c r="AD1720" s="39">
        <f>IF(AC1720="","",IF(COUNTIF(AC$6:AC1720,AC1720)=1,1,0))</f>
        <v/>
      </c>
      <c r="AE1720" s="39">
        <f>IF(AB1720=0,"",IF(COUNTIFS(X$6:X1720,X1720,AB$6:AB1720,AB1720)=1,1,0))</f>
        <v/>
      </c>
      <c r="AF1720" s="34">
        <f>IF(C1720="","",YEAR(C1720-WEEKDAY(C1720,2)+4)&amp;"-S"&amp;TEXT(INT((C1720-DATE(YEAR(C1720-WEEKDAY(C1720,2)+4),1,3)+WEEKDAY(DATE(YEAR(C1720-WEEKDAY(C1720,2)+4),1,3),2)+5)/7),"00"))</f>
        <v/>
      </c>
    </row>
    <row r="1721" ht="18" customHeight="1">
      <c r="A1721" s="39" t="n">
        <v>1716</v>
      </c>
      <c r="B1721" s="33">
        <f>IF(C1721="","",IF(P1721="À RENSEIGNER","GIC",P1721)&amp;"-C"&amp;TEXT(A1721,"00000"))</f>
        <v/>
      </c>
      <c r="C1721" s="32" t="n"/>
      <c r="D1721" s="36" t="n"/>
      <c r="E1721" s="36" t="n"/>
      <c r="F1721" s="36" t="n"/>
      <c r="G1721" s="42" t="n"/>
      <c r="H1721" s="37" t="n"/>
      <c r="I1721" s="37" t="n"/>
      <c r="J1721" s="32" t="n"/>
      <c r="K1721" s="32" t="n"/>
      <c r="L1721" s="43" t="n"/>
      <c r="M1721" s="36" t="n"/>
      <c r="N1721" s="44" t="n"/>
      <c r="O1721" s="36" t="n"/>
      <c r="P1721" s="33">
        <f>IF(C1721="","",Commercial_Id)</f>
        <v/>
      </c>
      <c r="Q1721" s="34">
        <f>IF(AC1721="","",IF(AD1721=1,"C"&amp;TEXT(SUM(AD$6:AD1721),"0000"),INDEX(Q$6:Q1720,MATCH(AC1721,AC$6:AC1720,0))))</f>
        <v/>
      </c>
      <c r="R1721" s="34">
        <f>IF(C1721="","",IF(L1721="☑ Oui","Annulée",IF(OR(E1721="Vente directe",K1721&lt;&gt;""),"Livrée",IF(J1721&lt;&gt;"","Confirmée","En attente"))))</f>
        <v/>
      </c>
      <c r="S1721" s="34">
        <f>IF(F1721="","",IFERROR(VLOOKUP(F1721,T_Produits,2,FALSE),""))</f>
        <v/>
      </c>
      <c r="T1721" s="40">
        <f>IF(F1721="","",IFERROR(1/(1/VLOOKUP(F1721,T_Produits,3,FALSE)),""))</f>
        <v/>
      </c>
      <c r="U1721" s="40">
        <f>IF(H1721&lt;&gt;"",H1721,T1721)</f>
        <v/>
      </c>
      <c r="V1721" s="40">
        <f>IF(OR(G1721="",U1721=""),"",G1721*U1721-N(I1721))</f>
        <v/>
      </c>
      <c r="W1721" s="39">
        <f>IF(D1721="","",IFERROR(VALUE(MID(D1721,LEN(D1721)-3,3)),""))</f>
        <v/>
      </c>
      <c r="X1721" s="33">
        <f>IF(W1721="","",P1721&amp;"|"&amp;W1721)</f>
        <v/>
      </c>
      <c r="Y1721" s="33">
        <f>IF(W1721="","",IF(P1721="À RENSEIGNER","GIC",P1721)&amp;"-"&amp;TEXT(W1721,"000"))</f>
        <v/>
      </c>
      <c r="Z1721" s="33">
        <f>IF(X1721="","",IFERROR(INDEX(Cl_nom,MATCH(X1721,Cl_cle,0)),"(client introuvable)"))</f>
        <v/>
      </c>
      <c r="AA1721" s="33">
        <f>IF(X1721="","",IFERROR(INDEX(Cl_quartier,MATCH(X1721,Cl_cle,0))&amp;"",""))</f>
        <v/>
      </c>
      <c r="AB1721" s="45">
        <f>IF(R1721&lt;&gt;"Livrée",0,IF(K1721&lt;&gt;"",K1721,C1721))</f>
        <v/>
      </c>
      <c r="AC1721" s="33">
        <f>IF(OR(C1721="",W1721=""),"",P1721&amp;"|"&amp;W1721&amp;"|"&amp;C1721&amp;"|"&amp;E1721)</f>
        <v/>
      </c>
      <c r="AD1721" s="39">
        <f>IF(AC1721="","",IF(COUNTIF(AC$6:AC1721,AC1721)=1,1,0))</f>
        <v/>
      </c>
      <c r="AE1721" s="39">
        <f>IF(AB1721=0,"",IF(COUNTIFS(X$6:X1721,X1721,AB$6:AB1721,AB1721)=1,1,0))</f>
        <v/>
      </c>
      <c r="AF1721" s="34">
        <f>IF(C1721="","",YEAR(C1721-WEEKDAY(C1721,2)+4)&amp;"-S"&amp;TEXT(INT((C1721-DATE(YEAR(C1721-WEEKDAY(C1721,2)+4),1,3)+WEEKDAY(DATE(YEAR(C1721-WEEKDAY(C1721,2)+4),1,3),2)+5)/7),"00"))</f>
        <v/>
      </c>
    </row>
    <row r="1722" ht="18" customHeight="1">
      <c r="A1722" s="39" t="n">
        <v>1717</v>
      </c>
      <c r="B1722" s="33">
        <f>IF(C1722="","",IF(P1722="À RENSEIGNER","GIC",P1722)&amp;"-C"&amp;TEXT(A1722,"00000"))</f>
        <v/>
      </c>
      <c r="C1722" s="32" t="n"/>
      <c r="D1722" s="36" t="n"/>
      <c r="E1722" s="36" t="n"/>
      <c r="F1722" s="36" t="n"/>
      <c r="G1722" s="42" t="n"/>
      <c r="H1722" s="37" t="n"/>
      <c r="I1722" s="37" t="n"/>
      <c r="J1722" s="32" t="n"/>
      <c r="K1722" s="32" t="n"/>
      <c r="L1722" s="43" t="n"/>
      <c r="M1722" s="36" t="n"/>
      <c r="N1722" s="44" t="n"/>
      <c r="O1722" s="36" t="n"/>
      <c r="P1722" s="33">
        <f>IF(C1722="","",Commercial_Id)</f>
        <v/>
      </c>
      <c r="Q1722" s="34">
        <f>IF(AC1722="","",IF(AD1722=1,"C"&amp;TEXT(SUM(AD$6:AD1722),"0000"),INDEX(Q$6:Q1721,MATCH(AC1722,AC$6:AC1721,0))))</f>
        <v/>
      </c>
      <c r="R1722" s="34">
        <f>IF(C1722="","",IF(L1722="☑ Oui","Annulée",IF(OR(E1722="Vente directe",K1722&lt;&gt;""),"Livrée",IF(J1722&lt;&gt;"","Confirmée","En attente"))))</f>
        <v/>
      </c>
      <c r="S1722" s="34">
        <f>IF(F1722="","",IFERROR(VLOOKUP(F1722,T_Produits,2,FALSE),""))</f>
        <v/>
      </c>
      <c r="T1722" s="40">
        <f>IF(F1722="","",IFERROR(1/(1/VLOOKUP(F1722,T_Produits,3,FALSE)),""))</f>
        <v/>
      </c>
      <c r="U1722" s="40">
        <f>IF(H1722&lt;&gt;"",H1722,T1722)</f>
        <v/>
      </c>
      <c r="V1722" s="40">
        <f>IF(OR(G1722="",U1722=""),"",G1722*U1722-N(I1722))</f>
        <v/>
      </c>
      <c r="W1722" s="39">
        <f>IF(D1722="","",IFERROR(VALUE(MID(D1722,LEN(D1722)-3,3)),""))</f>
        <v/>
      </c>
      <c r="X1722" s="33">
        <f>IF(W1722="","",P1722&amp;"|"&amp;W1722)</f>
        <v/>
      </c>
      <c r="Y1722" s="33">
        <f>IF(W1722="","",IF(P1722="À RENSEIGNER","GIC",P1722)&amp;"-"&amp;TEXT(W1722,"000"))</f>
        <v/>
      </c>
      <c r="Z1722" s="33">
        <f>IF(X1722="","",IFERROR(INDEX(Cl_nom,MATCH(X1722,Cl_cle,0)),"(client introuvable)"))</f>
        <v/>
      </c>
      <c r="AA1722" s="33">
        <f>IF(X1722="","",IFERROR(INDEX(Cl_quartier,MATCH(X1722,Cl_cle,0))&amp;"",""))</f>
        <v/>
      </c>
      <c r="AB1722" s="45">
        <f>IF(R1722&lt;&gt;"Livrée",0,IF(K1722&lt;&gt;"",K1722,C1722))</f>
        <v/>
      </c>
      <c r="AC1722" s="33">
        <f>IF(OR(C1722="",W1722=""),"",P1722&amp;"|"&amp;W1722&amp;"|"&amp;C1722&amp;"|"&amp;E1722)</f>
        <v/>
      </c>
      <c r="AD1722" s="39">
        <f>IF(AC1722="","",IF(COUNTIF(AC$6:AC1722,AC1722)=1,1,0))</f>
        <v/>
      </c>
      <c r="AE1722" s="39">
        <f>IF(AB1722=0,"",IF(COUNTIFS(X$6:X1722,X1722,AB$6:AB1722,AB1722)=1,1,0))</f>
        <v/>
      </c>
      <c r="AF1722" s="34">
        <f>IF(C1722="","",YEAR(C1722-WEEKDAY(C1722,2)+4)&amp;"-S"&amp;TEXT(INT((C1722-DATE(YEAR(C1722-WEEKDAY(C1722,2)+4),1,3)+WEEKDAY(DATE(YEAR(C1722-WEEKDAY(C1722,2)+4),1,3),2)+5)/7),"00"))</f>
        <v/>
      </c>
    </row>
    <row r="1723" ht="18" customHeight="1">
      <c r="A1723" s="39" t="n">
        <v>1718</v>
      </c>
      <c r="B1723" s="33">
        <f>IF(C1723="","",IF(P1723="À RENSEIGNER","GIC",P1723)&amp;"-C"&amp;TEXT(A1723,"00000"))</f>
        <v/>
      </c>
      <c r="C1723" s="32" t="n"/>
      <c r="D1723" s="36" t="n"/>
      <c r="E1723" s="36" t="n"/>
      <c r="F1723" s="36" t="n"/>
      <c r="G1723" s="42" t="n"/>
      <c r="H1723" s="37" t="n"/>
      <c r="I1723" s="37" t="n"/>
      <c r="J1723" s="32" t="n"/>
      <c r="K1723" s="32" t="n"/>
      <c r="L1723" s="43" t="n"/>
      <c r="M1723" s="36" t="n"/>
      <c r="N1723" s="44" t="n"/>
      <c r="O1723" s="36" t="n"/>
      <c r="P1723" s="33">
        <f>IF(C1723="","",Commercial_Id)</f>
        <v/>
      </c>
      <c r="Q1723" s="34">
        <f>IF(AC1723="","",IF(AD1723=1,"C"&amp;TEXT(SUM(AD$6:AD1723),"0000"),INDEX(Q$6:Q1722,MATCH(AC1723,AC$6:AC1722,0))))</f>
        <v/>
      </c>
      <c r="R1723" s="34">
        <f>IF(C1723="","",IF(L1723="☑ Oui","Annulée",IF(OR(E1723="Vente directe",K1723&lt;&gt;""),"Livrée",IF(J1723&lt;&gt;"","Confirmée","En attente"))))</f>
        <v/>
      </c>
      <c r="S1723" s="34">
        <f>IF(F1723="","",IFERROR(VLOOKUP(F1723,T_Produits,2,FALSE),""))</f>
        <v/>
      </c>
      <c r="T1723" s="40">
        <f>IF(F1723="","",IFERROR(1/(1/VLOOKUP(F1723,T_Produits,3,FALSE)),""))</f>
        <v/>
      </c>
      <c r="U1723" s="40">
        <f>IF(H1723&lt;&gt;"",H1723,T1723)</f>
        <v/>
      </c>
      <c r="V1723" s="40">
        <f>IF(OR(G1723="",U1723=""),"",G1723*U1723-N(I1723))</f>
        <v/>
      </c>
      <c r="W1723" s="39">
        <f>IF(D1723="","",IFERROR(VALUE(MID(D1723,LEN(D1723)-3,3)),""))</f>
        <v/>
      </c>
      <c r="X1723" s="33">
        <f>IF(W1723="","",P1723&amp;"|"&amp;W1723)</f>
        <v/>
      </c>
      <c r="Y1723" s="33">
        <f>IF(W1723="","",IF(P1723="À RENSEIGNER","GIC",P1723)&amp;"-"&amp;TEXT(W1723,"000"))</f>
        <v/>
      </c>
      <c r="Z1723" s="33">
        <f>IF(X1723="","",IFERROR(INDEX(Cl_nom,MATCH(X1723,Cl_cle,0)),"(client introuvable)"))</f>
        <v/>
      </c>
      <c r="AA1723" s="33">
        <f>IF(X1723="","",IFERROR(INDEX(Cl_quartier,MATCH(X1723,Cl_cle,0))&amp;"",""))</f>
        <v/>
      </c>
      <c r="AB1723" s="45">
        <f>IF(R1723&lt;&gt;"Livrée",0,IF(K1723&lt;&gt;"",K1723,C1723))</f>
        <v/>
      </c>
      <c r="AC1723" s="33">
        <f>IF(OR(C1723="",W1723=""),"",P1723&amp;"|"&amp;W1723&amp;"|"&amp;C1723&amp;"|"&amp;E1723)</f>
        <v/>
      </c>
      <c r="AD1723" s="39">
        <f>IF(AC1723="","",IF(COUNTIF(AC$6:AC1723,AC1723)=1,1,0))</f>
        <v/>
      </c>
      <c r="AE1723" s="39">
        <f>IF(AB1723=0,"",IF(COUNTIFS(X$6:X1723,X1723,AB$6:AB1723,AB1723)=1,1,0))</f>
        <v/>
      </c>
      <c r="AF1723" s="34">
        <f>IF(C1723="","",YEAR(C1723-WEEKDAY(C1723,2)+4)&amp;"-S"&amp;TEXT(INT((C1723-DATE(YEAR(C1723-WEEKDAY(C1723,2)+4),1,3)+WEEKDAY(DATE(YEAR(C1723-WEEKDAY(C1723,2)+4),1,3),2)+5)/7),"00"))</f>
        <v/>
      </c>
    </row>
    <row r="1724" ht="18" customHeight="1">
      <c r="A1724" s="39" t="n">
        <v>1719</v>
      </c>
      <c r="B1724" s="33">
        <f>IF(C1724="","",IF(P1724="À RENSEIGNER","GIC",P1724)&amp;"-C"&amp;TEXT(A1724,"00000"))</f>
        <v/>
      </c>
      <c r="C1724" s="32" t="n"/>
      <c r="D1724" s="36" t="n"/>
      <c r="E1724" s="36" t="n"/>
      <c r="F1724" s="36" t="n"/>
      <c r="G1724" s="42" t="n"/>
      <c r="H1724" s="37" t="n"/>
      <c r="I1724" s="37" t="n"/>
      <c r="J1724" s="32" t="n"/>
      <c r="K1724" s="32" t="n"/>
      <c r="L1724" s="43" t="n"/>
      <c r="M1724" s="36" t="n"/>
      <c r="N1724" s="44" t="n"/>
      <c r="O1724" s="36" t="n"/>
      <c r="P1724" s="33">
        <f>IF(C1724="","",Commercial_Id)</f>
        <v/>
      </c>
      <c r="Q1724" s="34">
        <f>IF(AC1724="","",IF(AD1724=1,"C"&amp;TEXT(SUM(AD$6:AD1724),"0000"),INDEX(Q$6:Q1723,MATCH(AC1724,AC$6:AC1723,0))))</f>
        <v/>
      </c>
      <c r="R1724" s="34">
        <f>IF(C1724="","",IF(L1724="☑ Oui","Annulée",IF(OR(E1724="Vente directe",K1724&lt;&gt;""),"Livrée",IF(J1724&lt;&gt;"","Confirmée","En attente"))))</f>
        <v/>
      </c>
      <c r="S1724" s="34">
        <f>IF(F1724="","",IFERROR(VLOOKUP(F1724,T_Produits,2,FALSE),""))</f>
        <v/>
      </c>
      <c r="T1724" s="40">
        <f>IF(F1724="","",IFERROR(1/(1/VLOOKUP(F1724,T_Produits,3,FALSE)),""))</f>
        <v/>
      </c>
      <c r="U1724" s="40">
        <f>IF(H1724&lt;&gt;"",H1724,T1724)</f>
        <v/>
      </c>
      <c r="V1724" s="40">
        <f>IF(OR(G1724="",U1724=""),"",G1724*U1724-N(I1724))</f>
        <v/>
      </c>
      <c r="W1724" s="39">
        <f>IF(D1724="","",IFERROR(VALUE(MID(D1724,LEN(D1724)-3,3)),""))</f>
        <v/>
      </c>
      <c r="X1724" s="33">
        <f>IF(W1724="","",P1724&amp;"|"&amp;W1724)</f>
        <v/>
      </c>
      <c r="Y1724" s="33">
        <f>IF(W1724="","",IF(P1724="À RENSEIGNER","GIC",P1724)&amp;"-"&amp;TEXT(W1724,"000"))</f>
        <v/>
      </c>
      <c r="Z1724" s="33">
        <f>IF(X1724="","",IFERROR(INDEX(Cl_nom,MATCH(X1724,Cl_cle,0)),"(client introuvable)"))</f>
        <v/>
      </c>
      <c r="AA1724" s="33">
        <f>IF(X1724="","",IFERROR(INDEX(Cl_quartier,MATCH(X1724,Cl_cle,0))&amp;"",""))</f>
        <v/>
      </c>
      <c r="AB1724" s="45">
        <f>IF(R1724&lt;&gt;"Livrée",0,IF(K1724&lt;&gt;"",K1724,C1724))</f>
        <v/>
      </c>
      <c r="AC1724" s="33">
        <f>IF(OR(C1724="",W1724=""),"",P1724&amp;"|"&amp;W1724&amp;"|"&amp;C1724&amp;"|"&amp;E1724)</f>
        <v/>
      </c>
      <c r="AD1724" s="39">
        <f>IF(AC1724="","",IF(COUNTIF(AC$6:AC1724,AC1724)=1,1,0))</f>
        <v/>
      </c>
      <c r="AE1724" s="39">
        <f>IF(AB1724=0,"",IF(COUNTIFS(X$6:X1724,X1724,AB$6:AB1724,AB1724)=1,1,0))</f>
        <v/>
      </c>
      <c r="AF1724" s="34">
        <f>IF(C1724="","",YEAR(C1724-WEEKDAY(C1724,2)+4)&amp;"-S"&amp;TEXT(INT((C1724-DATE(YEAR(C1724-WEEKDAY(C1724,2)+4),1,3)+WEEKDAY(DATE(YEAR(C1724-WEEKDAY(C1724,2)+4),1,3),2)+5)/7),"00"))</f>
        <v/>
      </c>
    </row>
    <row r="1725" ht="18" customHeight="1">
      <c r="A1725" s="39" t="n">
        <v>1720</v>
      </c>
      <c r="B1725" s="33">
        <f>IF(C1725="","",IF(P1725="À RENSEIGNER","GIC",P1725)&amp;"-C"&amp;TEXT(A1725,"00000"))</f>
        <v/>
      </c>
      <c r="C1725" s="32" t="n"/>
      <c r="D1725" s="36" t="n"/>
      <c r="E1725" s="36" t="n"/>
      <c r="F1725" s="36" t="n"/>
      <c r="G1725" s="42" t="n"/>
      <c r="H1725" s="37" t="n"/>
      <c r="I1725" s="37" t="n"/>
      <c r="J1725" s="32" t="n"/>
      <c r="K1725" s="32" t="n"/>
      <c r="L1725" s="43" t="n"/>
      <c r="M1725" s="36" t="n"/>
      <c r="N1725" s="44" t="n"/>
      <c r="O1725" s="36" t="n"/>
      <c r="P1725" s="33">
        <f>IF(C1725="","",Commercial_Id)</f>
        <v/>
      </c>
      <c r="Q1725" s="34">
        <f>IF(AC1725="","",IF(AD1725=1,"C"&amp;TEXT(SUM(AD$6:AD1725),"0000"),INDEX(Q$6:Q1724,MATCH(AC1725,AC$6:AC1724,0))))</f>
        <v/>
      </c>
      <c r="R1725" s="34">
        <f>IF(C1725="","",IF(L1725="☑ Oui","Annulée",IF(OR(E1725="Vente directe",K1725&lt;&gt;""),"Livrée",IF(J1725&lt;&gt;"","Confirmée","En attente"))))</f>
        <v/>
      </c>
      <c r="S1725" s="34">
        <f>IF(F1725="","",IFERROR(VLOOKUP(F1725,T_Produits,2,FALSE),""))</f>
        <v/>
      </c>
      <c r="T1725" s="40">
        <f>IF(F1725="","",IFERROR(1/(1/VLOOKUP(F1725,T_Produits,3,FALSE)),""))</f>
        <v/>
      </c>
      <c r="U1725" s="40">
        <f>IF(H1725&lt;&gt;"",H1725,T1725)</f>
        <v/>
      </c>
      <c r="V1725" s="40">
        <f>IF(OR(G1725="",U1725=""),"",G1725*U1725-N(I1725))</f>
        <v/>
      </c>
      <c r="W1725" s="39">
        <f>IF(D1725="","",IFERROR(VALUE(MID(D1725,LEN(D1725)-3,3)),""))</f>
        <v/>
      </c>
      <c r="X1725" s="33">
        <f>IF(W1725="","",P1725&amp;"|"&amp;W1725)</f>
        <v/>
      </c>
      <c r="Y1725" s="33">
        <f>IF(W1725="","",IF(P1725="À RENSEIGNER","GIC",P1725)&amp;"-"&amp;TEXT(W1725,"000"))</f>
        <v/>
      </c>
      <c r="Z1725" s="33">
        <f>IF(X1725="","",IFERROR(INDEX(Cl_nom,MATCH(X1725,Cl_cle,0)),"(client introuvable)"))</f>
        <v/>
      </c>
      <c r="AA1725" s="33">
        <f>IF(X1725="","",IFERROR(INDEX(Cl_quartier,MATCH(X1725,Cl_cle,0))&amp;"",""))</f>
        <v/>
      </c>
      <c r="AB1725" s="45">
        <f>IF(R1725&lt;&gt;"Livrée",0,IF(K1725&lt;&gt;"",K1725,C1725))</f>
        <v/>
      </c>
      <c r="AC1725" s="33">
        <f>IF(OR(C1725="",W1725=""),"",P1725&amp;"|"&amp;W1725&amp;"|"&amp;C1725&amp;"|"&amp;E1725)</f>
        <v/>
      </c>
      <c r="AD1725" s="39">
        <f>IF(AC1725="","",IF(COUNTIF(AC$6:AC1725,AC1725)=1,1,0))</f>
        <v/>
      </c>
      <c r="AE1725" s="39">
        <f>IF(AB1725=0,"",IF(COUNTIFS(X$6:X1725,X1725,AB$6:AB1725,AB1725)=1,1,0))</f>
        <v/>
      </c>
      <c r="AF1725" s="34">
        <f>IF(C1725="","",YEAR(C1725-WEEKDAY(C1725,2)+4)&amp;"-S"&amp;TEXT(INT((C1725-DATE(YEAR(C1725-WEEKDAY(C1725,2)+4),1,3)+WEEKDAY(DATE(YEAR(C1725-WEEKDAY(C1725,2)+4),1,3),2)+5)/7),"00"))</f>
        <v/>
      </c>
    </row>
    <row r="1726" ht="18" customHeight="1">
      <c r="A1726" s="39" t="n">
        <v>1721</v>
      </c>
      <c r="B1726" s="33">
        <f>IF(C1726="","",IF(P1726="À RENSEIGNER","GIC",P1726)&amp;"-C"&amp;TEXT(A1726,"00000"))</f>
        <v/>
      </c>
      <c r="C1726" s="32" t="n"/>
      <c r="D1726" s="36" t="n"/>
      <c r="E1726" s="36" t="n"/>
      <c r="F1726" s="36" t="n"/>
      <c r="G1726" s="42" t="n"/>
      <c r="H1726" s="37" t="n"/>
      <c r="I1726" s="37" t="n"/>
      <c r="J1726" s="32" t="n"/>
      <c r="K1726" s="32" t="n"/>
      <c r="L1726" s="43" t="n"/>
      <c r="M1726" s="36" t="n"/>
      <c r="N1726" s="44" t="n"/>
      <c r="O1726" s="36" t="n"/>
      <c r="P1726" s="33">
        <f>IF(C1726="","",Commercial_Id)</f>
        <v/>
      </c>
      <c r="Q1726" s="34">
        <f>IF(AC1726="","",IF(AD1726=1,"C"&amp;TEXT(SUM(AD$6:AD1726),"0000"),INDEX(Q$6:Q1725,MATCH(AC1726,AC$6:AC1725,0))))</f>
        <v/>
      </c>
      <c r="R1726" s="34">
        <f>IF(C1726="","",IF(L1726="☑ Oui","Annulée",IF(OR(E1726="Vente directe",K1726&lt;&gt;""),"Livrée",IF(J1726&lt;&gt;"","Confirmée","En attente"))))</f>
        <v/>
      </c>
      <c r="S1726" s="34">
        <f>IF(F1726="","",IFERROR(VLOOKUP(F1726,T_Produits,2,FALSE),""))</f>
        <v/>
      </c>
      <c r="T1726" s="40">
        <f>IF(F1726="","",IFERROR(1/(1/VLOOKUP(F1726,T_Produits,3,FALSE)),""))</f>
        <v/>
      </c>
      <c r="U1726" s="40">
        <f>IF(H1726&lt;&gt;"",H1726,T1726)</f>
        <v/>
      </c>
      <c r="V1726" s="40">
        <f>IF(OR(G1726="",U1726=""),"",G1726*U1726-N(I1726))</f>
        <v/>
      </c>
      <c r="W1726" s="39">
        <f>IF(D1726="","",IFERROR(VALUE(MID(D1726,LEN(D1726)-3,3)),""))</f>
        <v/>
      </c>
      <c r="X1726" s="33">
        <f>IF(W1726="","",P1726&amp;"|"&amp;W1726)</f>
        <v/>
      </c>
      <c r="Y1726" s="33">
        <f>IF(W1726="","",IF(P1726="À RENSEIGNER","GIC",P1726)&amp;"-"&amp;TEXT(W1726,"000"))</f>
        <v/>
      </c>
      <c r="Z1726" s="33">
        <f>IF(X1726="","",IFERROR(INDEX(Cl_nom,MATCH(X1726,Cl_cle,0)),"(client introuvable)"))</f>
        <v/>
      </c>
      <c r="AA1726" s="33">
        <f>IF(X1726="","",IFERROR(INDEX(Cl_quartier,MATCH(X1726,Cl_cle,0))&amp;"",""))</f>
        <v/>
      </c>
      <c r="AB1726" s="45">
        <f>IF(R1726&lt;&gt;"Livrée",0,IF(K1726&lt;&gt;"",K1726,C1726))</f>
        <v/>
      </c>
      <c r="AC1726" s="33">
        <f>IF(OR(C1726="",W1726=""),"",P1726&amp;"|"&amp;W1726&amp;"|"&amp;C1726&amp;"|"&amp;E1726)</f>
        <v/>
      </c>
      <c r="AD1726" s="39">
        <f>IF(AC1726="","",IF(COUNTIF(AC$6:AC1726,AC1726)=1,1,0))</f>
        <v/>
      </c>
      <c r="AE1726" s="39">
        <f>IF(AB1726=0,"",IF(COUNTIFS(X$6:X1726,X1726,AB$6:AB1726,AB1726)=1,1,0))</f>
        <v/>
      </c>
      <c r="AF1726" s="34">
        <f>IF(C1726="","",YEAR(C1726-WEEKDAY(C1726,2)+4)&amp;"-S"&amp;TEXT(INT((C1726-DATE(YEAR(C1726-WEEKDAY(C1726,2)+4),1,3)+WEEKDAY(DATE(YEAR(C1726-WEEKDAY(C1726,2)+4),1,3),2)+5)/7),"00"))</f>
        <v/>
      </c>
    </row>
    <row r="1727" ht="18" customHeight="1">
      <c r="A1727" s="39" t="n">
        <v>1722</v>
      </c>
      <c r="B1727" s="33">
        <f>IF(C1727="","",IF(P1727="À RENSEIGNER","GIC",P1727)&amp;"-C"&amp;TEXT(A1727,"00000"))</f>
        <v/>
      </c>
      <c r="C1727" s="32" t="n"/>
      <c r="D1727" s="36" t="n"/>
      <c r="E1727" s="36" t="n"/>
      <c r="F1727" s="36" t="n"/>
      <c r="G1727" s="42" t="n"/>
      <c r="H1727" s="37" t="n"/>
      <c r="I1727" s="37" t="n"/>
      <c r="J1727" s="32" t="n"/>
      <c r="K1727" s="32" t="n"/>
      <c r="L1727" s="43" t="n"/>
      <c r="M1727" s="36" t="n"/>
      <c r="N1727" s="44" t="n"/>
      <c r="O1727" s="36" t="n"/>
      <c r="P1727" s="33">
        <f>IF(C1727="","",Commercial_Id)</f>
        <v/>
      </c>
      <c r="Q1727" s="34">
        <f>IF(AC1727="","",IF(AD1727=1,"C"&amp;TEXT(SUM(AD$6:AD1727),"0000"),INDEX(Q$6:Q1726,MATCH(AC1727,AC$6:AC1726,0))))</f>
        <v/>
      </c>
      <c r="R1727" s="34">
        <f>IF(C1727="","",IF(L1727="☑ Oui","Annulée",IF(OR(E1727="Vente directe",K1727&lt;&gt;""),"Livrée",IF(J1727&lt;&gt;"","Confirmée","En attente"))))</f>
        <v/>
      </c>
      <c r="S1727" s="34">
        <f>IF(F1727="","",IFERROR(VLOOKUP(F1727,T_Produits,2,FALSE),""))</f>
        <v/>
      </c>
      <c r="T1727" s="40">
        <f>IF(F1727="","",IFERROR(1/(1/VLOOKUP(F1727,T_Produits,3,FALSE)),""))</f>
        <v/>
      </c>
      <c r="U1727" s="40">
        <f>IF(H1727&lt;&gt;"",H1727,T1727)</f>
        <v/>
      </c>
      <c r="V1727" s="40">
        <f>IF(OR(G1727="",U1727=""),"",G1727*U1727-N(I1727))</f>
        <v/>
      </c>
      <c r="W1727" s="39">
        <f>IF(D1727="","",IFERROR(VALUE(MID(D1727,LEN(D1727)-3,3)),""))</f>
        <v/>
      </c>
      <c r="X1727" s="33">
        <f>IF(W1727="","",P1727&amp;"|"&amp;W1727)</f>
        <v/>
      </c>
      <c r="Y1727" s="33">
        <f>IF(W1727="","",IF(P1727="À RENSEIGNER","GIC",P1727)&amp;"-"&amp;TEXT(W1727,"000"))</f>
        <v/>
      </c>
      <c r="Z1727" s="33">
        <f>IF(X1727="","",IFERROR(INDEX(Cl_nom,MATCH(X1727,Cl_cle,0)),"(client introuvable)"))</f>
        <v/>
      </c>
      <c r="AA1727" s="33">
        <f>IF(X1727="","",IFERROR(INDEX(Cl_quartier,MATCH(X1727,Cl_cle,0))&amp;"",""))</f>
        <v/>
      </c>
      <c r="AB1727" s="45">
        <f>IF(R1727&lt;&gt;"Livrée",0,IF(K1727&lt;&gt;"",K1727,C1727))</f>
        <v/>
      </c>
      <c r="AC1727" s="33">
        <f>IF(OR(C1727="",W1727=""),"",P1727&amp;"|"&amp;W1727&amp;"|"&amp;C1727&amp;"|"&amp;E1727)</f>
        <v/>
      </c>
      <c r="AD1727" s="39">
        <f>IF(AC1727="","",IF(COUNTIF(AC$6:AC1727,AC1727)=1,1,0))</f>
        <v/>
      </c>
      <c r="AE1727" s="39">
        <f>IF(AB1727=0,"",IF(COUNTIFS(X$6:X1727,X1727,AB$6:AB1727,AB1727)=1,1,0))</f>
        <v/>
      </c>
      <c r="AF1727" s="34">
        <f>IF(C1727="","",YEAR(C1727-WEEKDAY(C1727,2)+4)&amp;"-S"&amp;TEXT(INT((C1727-DATE(YEAR(C1727-WEEKDAY(C1727,2)+4),1,3)+WEEKDAY(DATE(YEAR(C1727-WEEKDAY(C1727,2)+4),1,3),2)+5)/7),"00"))</f>
        <v/>
      </c>
    </row>
    <row r="1728" ht="18" customHeight="1">
      <c r="A1728" s="39" t="n">
        <v>1723</v>
      </c>
      <c r="B1728" s="33">
        <f>IF(C1728="","",IF(P1728="À RENSEIGNER","GIC",P1728)&amp;"-C"&amp;TEXT(A1728,"00000"))</f>
        <v/>
      </c>
      <c r="C1728" s="32" t="n"/>
      <c r="D1728" s="36" t="n"/>
      <c r="E1728" s="36" t="n"/>
      <c r="F1728" s="36" t="n"/>
      <c r="G1728" s="42" t="n"/>
      <c r="H1728" s="37" t="n"/>
      <c r="I1728" s="37" t="n"/>
      <c r="J1728" s="32" t="n"/>
      <c r="K1728" s="32" t="n"/>
      <c r="L1728" s="43" t="n"/>
      <c r="M1728" s="36" t="n"/>
      <c r="N1728" s="44" t="n"/>
      <c r="O1728" s="36" t="n"/>
      <c r="P1728" s="33">
        <f>IF(C1728="","",Commercial_Id)</f>
        <v/>
      </c>
      <c r="Q1728" s="34">
        <f>IF(AC1728="","",IF(AD1728=1,"C"&amp;TEXT(SUM(AD$6:AD1728),"0000"),INDEX(Q$6:Q1727,MATCH(AC1728,AC$6:AC1727,0))))</f>
        <v/>
      </c>
      <c r="R1728" s="34">
        <f>IF(C1728="","",IF(L1728="☑ Oui","Annulée",IF(OR(E1728="Vente directe",K1728&lt;&gt;""),"Livrée",IF(J1728&lt;&gt;"","Confirmée","En attente"))))</f>
        <v/>
      </c>
      <c r="S1728" s="34">
        <f>IF(F1728="","",IFERROR(VLOOKUP(F1728,T_Produits,2,FALSE),""))</f>
        <v/>
      </c>
      <c r="T1728" s="40">
        <f>IF(F1728="","",IFERROR(1/(1/VLOOKUP(F1728,T_Produits,3,FALSE)),""))</f>
        <v/>
      </c>
      <c r="U1728" s="40">
        <f>IF(H1728&lt;&gt;"",H1728,T1728)</f>
        <v/>
      </c>
      <c r="V1728" s="40">
        <f>IF(OR(G1728="",U1728=""),"",G1728*U1728-N(I1728))</f>
        <v/>
      </c>
      <c r="W1728" s="39">
        <f>IF(D1728="","",IFERROR(VALUE(MID(D1728,LEN(D1728)-3,3)),""))</f>
        <v/>
      </c>
      <c r="X1728" s="33">
        <f>IF(W1728="","",P1728&amp;"|"&amp;W1728)</f>
        <v/>
      </c>
      <c r="Y1728" s="33">
        <f>IF(W1728="","",IF(P1728="À RENSEIGNER","GIC",P1728)&amp;"-"&amp;TEXT(W1728,"000"))</f>
        <v/>
      </c>
      <c r="Z1728" s="33">
        <f>IF(X1728="","",IFERROR(INDEX(Cl_nom,MATCH(X1728,Cl_cle,0)),"(client introuvable)"))</f>
        <v/>
      </c>
      <c r="AA1728" s="33">
        <f>IF(X1728="","",IFERROR(INDEX(Cl_quartier,MATCH(X1728,Cl_cle,0))&amp;"",""))</f>
        <v/>
      </c>
      <c r="AB1728" s="45">
        <f>IF(R1728&lt;&gt;"Livrée",0,IF(K1728&lt;&gt;"",K1728,C1728))</f>
        <v/>
      </c>
      <c r="AC1728" s="33">
        <f>IF(OR(C1728="",W1728=""),"",P1728&amp;"|"&amp;W1728&amp;"|"&amp;C1728&amp;"|"&amp;E1728)</f>
        <v/>
      </c>
      <c r="AD1728" s="39">
        <f>IF(AC1728="","",IF(COUNTIF(AC$6:AC1728,AC1728)=1,1,0))</f>
        <v/>
      </c>
      <c r="AE1728" s="39">
        <f>IF(AB1728=0,"",IF(COUNTIFS(X$6:X1728,X1728,AB$6:AB1728,AB1728)=1,1,0))</f>
        <v/>
      </c>
      <c r="AF1728" s="34">
        <f>IF(C1728="","",YEAR(C1728-WEEKDAY(C1728,2)+4)&amp;"-S"&amp;TEXT(INT((C1728-DATE(YEAR(C1728-WEEKDAY(C1728,2)+4),1,3)+WEEKDAY(DATE(YEAR(C1728-WEEKDAY(C1728,2)+4),1,3),2)+5)/7),"00"))</f>
        <v/>
      </c>
    </row>
    <row r="1729" ht="18" customHeight="1">
      <c r="A1729" s="39" t="n">
        <v>1724</v>
      </c>
      <c r="B1729" s="33">
        <f>IF(C1729="","",IF(P1729="À RENSEIGNER","GIC",P1729)&amp;"-C"&amp;TEXT(A1729,"00000"))</f>
        <v/>
      </c>
      <c r="C1729" s="32" t="n"/>
      <c r="D1729" s="36" t="n"/>
      <c r="E1729" s="36" t="n"/>
      <c r="F1729" s="36" t="n"/>
      <c r="G1729" s="42" t="n"/>
      <c r="H1729" s="37" t="n"/>
      <c r="I1729" s="37" t="n"/>
      <c r="J1729" s="32" t="n"/>
      <c r="K1729" s="32" t="n"/>
      <c r="L1729" s="43" t="n"/>
      <c r="M1729" s="36" t="n"/>
      <c r="N1729" s="44" t="n"/>
      <c r="O1729" s="36" t="n"/>
      <c r="P1729" s="33">
        <f>IF(C1729="","",Commercial_Id)</f>
        <v/>
      </c>
      <c r="Q1729" s="34">
        <f>IF(AC1729="","",IF(AD1729=1,"C"&amp;TEXT(SUM(AD$6:AD1729),"0000"),INDEX(Q$6:Q1728,MATCH(AC1729,AC$6:AC1728,0))))</f>
        <v/>
      </c>
      <c r="R1729" s="34">
        <f>IF(C1729="","",IF(L1729="☑ Oui","Annulée",IF(OR(E1729="Vente directe",K1729&lt;&gt;""),"Livrée",IF(J1729&lt;&gt;"","Confirmée","En attente"))))</f>
        <v/>
      </c>
      <c r="S1729" s="34">
        <f>IF(F1729="","",IFERROR(VLOOKUP(F1729,T_Produits,2,FALSE),""))</f>
        <v/>
      </c>
      <c r="T1729" s="40">
        <f>IF(F1729="","",IFERROR(1/(1/VLOOKUP(F1729,T_Produits,3,FALSE)),""))</f>
        <v/>
      </c>
      <c r="U1729" s="40">
        <f>IF(H1729&lt;&gt;"",H1729,T1729)</f>
        <v/>
      </c>
      <c r="V1729" s="40">
        <f>IF(OR(G1729="",U1729=""),"",G1729*U1729-N(I1729))</f>
        <v/>
      </c>
      <c r="W1729" s="39">
        <f>IF(D1729="","",IFERROR(VALUE(MID(D1729,LEN(D1729)-3,3)),""))</f>
        <v/>
      </c>
      <c r="X1729" s="33">
        <f>IF(W1729="","",P1729&amp;"|"&amp;W1729)</f>
        <v/>
      </c>
      <c r="Y1729" s="33">
        <f>IF(W1729="","",IF(P1729="À RENSEIGNER","GIC",P1729)&amp;"-"&amp;TEXT(W1729,"000"))</f>
        <v/>
      </c>
      <c r="Z1729" s="33">
        <f>IF(X1729="","",IFERROR(INDEX(Cl_nom,MATCH(X1729,Cl_cle,0)),"(client introuvable)"))</f>
        <v/>
      </c>
      <c r="AA1729" s="33">
        <f>IF(X1729="","",IFERROR(INDEX(Cl_quartier,MATCH(X1729,Cl_cle,0))&amp;"",""))</f>
        <v/>
      </c>
      <c r="AB1729" s="45">
        <f>IF(R1729&lt;&gt;"Livrée",0,IF(K1729&lt;&gt;"",K1729,C1729))</f>
        <v/>
      </c>
      <c r="AC1729" s="33">
        <f>IF(OR(C1729="",W1729=""),"",P1729&amp;"|"&amp;W1729&amp;"|"&amp;C1729&amp;"|"&amp;E1729)</f>
        <v/>
      </c>
      <c r="AD1729" s="39">
        <f>IF(AC1729="","",IF(COUNTIF(AC$6:AC1729,AC1729)=1,1,0))</f>
        <v/>
      </c>
      <c r="AE1729" s="39">
        <f>IF(AB1729=0,"",IF(COUNTIFS(X$6:X1729,X1729,AB$6:AB1729,AB1729)=1,1,0))</f>
        <v/>
      </c>
      <c r="AF1729" s="34">
        <f>IF(C1729="","",YEAR(C1729-WEEKDAY(C1729,2)+4)&amp;"-S"&amp;TEXT(INT((C1729-DATE(YEAR(C1729-WEEKDAY(C1729,2)+4),1,3)+WEEKDAY(DATE(YEAR(C1729-WEEKDAY(C1729,2)+4),1,3),2)+5)/7),"00"))</f>
        <v/>
      </c>
    </row>
    <row r="1730" ht="18" customHeight="1">
      <c r="A1730" s="39" t="n">
        <v>1725</v>
      </c>
      <c r="B1730" s="33">
        <f>IF(C1730="","",IF(P1730="À RENSEIGNER","GIC",P1730)&amp;"-C"&amp;TEXT(A1730,"00000"))</f>
        <v/>
      </c>
      <c r="C1730" s="32" t="n"/>
      <c r="D1730" s="36" t="n"/>
      <c r="E1730" s="36" t="n"/>
      <c r="F1730" s="36" t="n"/>
      <c r="G1730" s="42" t="n"/>
      <c r="H1730" s="37" t="n"/>
      <c r="I1730" s="37" t="n"/>
      <c r="J1730" s="32" t="n"/>
      <c r="K1730" s="32" t="n"/>
      <c r="L1730" s="43" t="n"/>
      <c r="M1730" s="36" t="n"/>
      <c r="N1730" s="44" t="n"/>
      <c r="O1730" s="36" t="n"/>
      <c r="P1730" s="33">
        <f>IF(C1730="","",Commercial_Id)</f>
        <v/>
      </c>
      <c r="Q1730" s="34">
        <f>IF(AC1730="","",IF(AD1730=1,"C"&amp;TEXT(SUM(AD$6:AD1730),"0000"),INDEX(Q$6:Q1729,MATCH(AC1730,AC$6:AC1729,0))))</f>
        <v/>
      </c>
      <c r="R1730" s="34">
        <f>IF(C1730="","",IF(L1730="☑ Oui","Annulée",IF(OR(E1730="Vente directe",K1730&lt;&gt;""),"Livrée",IF(J1730&lt;&gt;"","Confirmée","En attente"))))</f>
        <v/>
      </c>
      <c r="S1730" s="34">
        <f>IF(F1730="","",IFERROR(VLOOKUP(F1730,T_Produits,2,FALSE),""))</f>
        <v/>
      </c>
      <c r="T1730" s="40">
        <f>IF(F1730="","",IFERROR(1/(1/VLOOKUP(F1730,T_Produits,3,FALSE)),""))</f>
        <v/>
      </c>
      <c r="U1730" s="40">
        <f>IF(H1730&lt;&gt;"",H1730,T1730)</f>
        <v/>
      </c>
      <c r="V1730" s="40">
        <f>IF(OR(G1730="",U1730=""),"",G1730*U1730-N(I1730))</f>
        <v/>
      </c>
      <c r="W1730" s="39">
        <f>IF(D1730="","",IFERROR(VALUE(MID(D1730,LEN(D1730)-3,3)),""))</f>
        <v/>
      </c>
      <c r="X1730" s="33">
        <f>IF(W1730="","",P1730&amp;"|"&amp;W1730)</f>
        <v/>
      </c>
      <c r="Y1730" s="33">
        <f>IF(W1730="","",IF(P1730="À RENSEIGNER","GIC",P1730)&amp;"-"&amp;TEXT(W1730,"000"))</f>
        <v/>
      </c>
      <c r="Z1730" s="33">
        <f>IF(X1730="","",IFERROR(INDEX(Cl_nom,MATCH(X1730,Cl_cle,0)),"(client introuvable)"))</f>
        <v/>
      </c>
      <c r="AA1730" s="33">
        <f>IF(X1730="","",IFERROR(INDEX(Cl_quartier,MATCH(X1730,Cl_cle,0))&amp;"",""))</f>
        <v/>
      </c>
      <c r="AB1730" s="45">
        <f>IF(R1730&lt;&gt;"Livrée",0,IF(K1730&lt;&gt;"",K1730,C1730))</f>
        <v/>
      </c>
      <c r="AC1730" s="33">
        <f>IF(OR(C1730="",W1730=""),"",P1730&amp;"|"&amp;W1730&amp;"|"&amp;C1730&amp;"|"&amp;E1730)</f>
        <v/>
      </c>
      <c r="AD1730" s="39">
        <f>IF(AC1730="","",IF(COUNTIF(AC$6:AC1730,AC1730)=1,1,0))</f>
        <v/>
      </c>
      <c r="AE1730" s="39">
        <f>IF(AB1730=0,"",IF(COUNTIFS(X$6:X1730,X1730,AB$6:AB1730,AB1730)=1,1,0))</f>
        <v/>
      </c>
      <c r="AF1730" s="34">
        <f>IF(C1730="","",YEAR(C1730-WEEKDAY(C1730,2)+4)&amp;"-S"&amp;TEXT(INT((C1730-DATE(YEAR(C1730-WEEKDAY(C1730,2)+4),1,3)+WEEKDAY(DATE(YEAR(C1730-WEEKDAY(C1730,2)+4),1,3),2)+5)/7),"00"))</f>
        <v/>
      </c>
    </row>
    <row r="1731" ht="18" customHeight="1">
      <c r="A1731" s="39" t="n">
        <v>1726</v>
      </c>
      <c r="B1731" s="33">
        <f>IF(C1731="","",IF(P1731="À RENSEIGNER","GIC",P1731)&amp;"-C"&amp;TEXT(A1731,"00000"))</f>
        <v/>
      </c>
      <c r="C1731" s="32" t="n"/>
      <c r="D1731" s="36" t="n"/>
      <c r="E1731" s="36" t="n"/>
      <c r="F1731" s="36" t="n"/>
      <c r="G1731" s="42" t="n"/>
      <c r="H1731" s="37" t="n"/>
      <c r="I1731" s="37" t="n"/>
      <c r="J1731" s="32" t="n"/>
      <c r="K1731" s="32" t="n"/>
      <c r="L1731" s="43" t="n"/>
      <c r="M1731" s="36" t="n"/>
      <c r="N1731" s="44" t="n"/>
      <c r="O1731" s="36" t="n"/>
      <c r="P1731" s="33">
        <f>IF(C1731="","",Commercial_Id)</f>
        <v/>
      </c>
      <c r="Q1731" s="34">
        <f>IF(AC1731="","",IF(AD1731=1,"C"&amp;TEXT(SUM(AD$6:AD1731),"0000"),INDEX(Q$6:Q1730,MATCH(AC1731,AC$6:AC1730,0))))</f>
        <v/>
      </c>
      <c r="R1731" s="34">
        <f>IF(C1731="","",IF(L1731="☑ Oui","Annulée",IF(OR(E1731="Vente directe",K1731&lt;&gt;""),"Livrée",IF(J1731&lt;&gt;"","Confirmée","En attente"))))</f>
        <v/>
      </c>
      <c r="S1731" s="34">
        <f>IF(F1731="","",IFERROR(VLOOKUP(F1731,T_Produits,2,FALSE),""))</f>
        <v/>
      </c>
      <c r="T1731" s="40">
        <f>IF(F1731="","",IFERROR(1/(1/VLOOKUP(F1731,T_Produits,3,FALSE)),""))</f>
        <v/>
      </c>
      <c r="U1731" s="40">
        <f>IF(H1731&lt;&gt;"",H1731,T1731)</f>
        <v/>
      </c>
      <c r="V1731" s="40">
        <f>IF(OR(G1731="",U1731=""),"",G1731*U1731-N(I1731))</f>
        <v/>
      </c>
      <c r="W1731" s="39">
        <f>IF(D1731="","",IFERROR(VALUE(MID(D1731,LEN(D1731)-3,3)),""))</f>
        <v/>
      </c>
      <c r="X1731" s="33">
        <f>IF(W1731="","",P1731&amp;"|"&amp;W1731)</f>
        <v/>
      </c>
      <c r="Y1731" s="33">
        <f>IF(W1731="","",IF(P1731="À RENSEIGNER","GIC",P1731)&amp;"-"&amp;TEXT(W1731,"000"))</f>
        <v/>
      </c>
      <c r="Z1731" s="33">
        <f>IF(X1731="","",IFERROR(INDEX(Cl_nom,MATCH(X1731,Cl_cle,0)),"(client introuvable)"))</f>
        <v/>
      </c>
      <c r="AA1731" s="33">
        <f>IF(X1731="","",IFERROR(INDEX(Cl_quartier,MATCH(X1731,Cl_cle,0))&amp;"",""))</f>
        <v/>
      </c>
      <c r="AB1731" s="45">
        <f>IF(R1731&lt;&gt;"Livrée",0,IF(K1731&lt;&gt;"",K1731,C1731))</f>
        <v/>
      </c>
      <c r="AC1731" s="33">
        <f>IF(OR(C1731="",W1731=""),"",P1731&amp;"|"&amp;W1731&amp;"|"&amp;C1731&amp;"|"&amp;E1731)</f>
        <v/>
      </c>
      <c r="AD1731" s="39">
        <f>IF(AC1731="","",IF(COUNTIF(AC$6:AC1731,AC1731)=1,1,0))</f>
        <v/>
      </c>
      <c r="AE1731" s="39">
        <f>IF(AB1731=0,"",IF(COUNTIFS(X$6:X1731,X1731,AB$6:AB1731,AB1731)=1,1,0))</f>
        <v/>
      </c>
      <c r="AF1731" s="34">
        <f>IF(C1731="","",YEAR(C1731-WEEKDAY(C1731,2)+4)&amp;"-S"&amp;TEXT(INT((C1731-DATE(YEAR(C1731-WEEKDAY(C1731,2)+4),1,3)+WEEKDAY(DATE(YEAR(C1731-WEEKDAY(C1731,2)+4),1,3),2)+5)/7),"00"))</f>
        <v/>
      </c>
    </row>
    <row r="1732" ht="18" customHeight="1">
      <c r="A1732" s="39" t="n">
        <v>1727</v>
      </c>
      <c r="B1732" s="33">
        <f>IF(C1732="","",IF(P1732="À RENSEIGNER","GIC",P1732)&amp;"-C"&amp;TEXT(A1732,"00000"))</f>
        <v/>
      </c>
      <c r="C1732" s="32" t="n"/>
      <c r="D1732" s="36" t="n"/>
      <c r="E1732" s="36" t="n"/>
      <c r="F1732" s="36" t="n"/>
      <c r="G1732" s="42" t="n"/>
      <c r="H1732" s="37" t="n"/>
      <c r="I1732" s="37" t="n"/>
      <c r="J1732" s="32" t="n"/>
      <c r="K1732" s="32" t="n"/>
      <c r="L1732" s="43" t="n"/>
      <c r="M1732" s="36" t="n"/>
      <c r="N1732" s="44" t="n"/>
      <c r="O1732" s="36" t="n"/>
      <c r="P1732" s="33">
        <f>IF(C1732="","",Commercial_Id)</f>
        <v/>
      </c>
      <c r="Q1732" s="34">
        <f>IF(AC1732="","",IF(AD1732=1,"C"&amp;TEXT(SUM(AD$6:AD1732),"0000"),INDEX(Q$6:Q1731,MATCH(AC1732,AC$6:AC1731,0))))</f>
        <v/>
      </c>
      <c r="R1732" s="34">
        <f>IF(C1732="","",IF(L1732="☑ Oui","Annulée",IF(OR(E1732="Vente directe",K1732&lt;&gt;""),"Livrée",IF(J1732&lt;&gt;"","Confirmée","En attente"))))</f>
        <v/>
      </c>
      <c r="S1732" s="34">
        <f>IF(F1732="","",IFERROR(VLOOKUP(F1732,T_Produits,2,FALSE),""))</f>
        <v/>
      </c>
      <c r="T1732" s="40">
        <f>IF(F1732="","",IFERROR(1/(1/VLOOKUP(F1732,T_Produits,3,FALSE)),""))</f>
        <v/>
      </c>
      <c r="U1732" s="40">
        <f>IF(H1732&lt;&gt;"",H1732,T1732)</f>
        <v/>
      </c>
      <c r="V1732" s="40">
        <f>IF(OR(G1732="",U1732=""),"",G1732*U1732-N(I1732))</f>
        <v/>
      </c>
      <c r="W1732" s="39">
        <f>IF(D1732="","",IFERROR(VALUE(MID(D1732,LEN(D1732)-3,3)),""))</f>
        <v/>
      </c>
      <c r="X1732" s="33">
        <f>IF(W1732="","",P1732&amp;"|"&amp;W1732)</f>
        <v/>
      </c>
      <c r="Y1732" s="33">
        <f>IF(W1732="","",IF(P1732="À RENSEIGNER","GIC",P1732)&amp;"-"&amp;TEXT(W1732,"000"))</f>
        <v/>
      </c>
      <c r="Z1732" s="33">
        <f>IF(X1732="","",IFERROR(INDEX(Cl_nom,MATCH(X1732,Cl_cle,0)),"(client introuvable)"))</f>
        <v/>
      </c>
      <c r="AA1732" s="33">
        <f>IF(X1732="","",IFERROR(INDEX(Cl_quartier,MATCH(X1732,Cl_cle,0))&amp;"",""))</f>
        <v/>
      </c>
      <c r="AB1732" s="45">
        <f>IF(R1732&lt;&gt;"Livrée",0,IF(K1732&lt;&gt;"",K1732,C1732))</f>
        <v/>
      </c>
      <c r="AC1732" s="33">
        <f>IF(OR(C1732="",W1732=""),"",P1732&amp;"|"&amp;W1732&amp;"|"&amp;C1732&amp;"|"&amp;E1732)</f>
        <v/>
      </c>
      <c r="AD1732" s="39">
        <f>IF(AC1732="","",IF(COUNTIF(AC$6:AC1732,AC1732)=1,1,0))</f>
        <v/>
      </c>
      <c r="AE1732" s="39">
        <f>IF(AB1732=0,"",IF(COUNTIFS(X$6:X1732,X1732,AB$6:AB1732,AB1732)=1,1,0))</f>
        <v/>
      </c>
      <c r="AF1732" s="34">
        <f>IF(C1732="","",YEAR(C1732-WEEKDAY(C1732,2)+4)&amp;"-S"&amp;TEXT(INT((C1732-DATE(YEAR(C1732-WEEKDAY(C1732,2)+4),1,3)+WEEKDAY(DATE(YEAR(C1732-WEEKDAY(C1732,2)+4),1,3),2)+5)/7),"00"))</f>
        <v/>
      </c>
    </row>
    <row r="1733" ht="18" customHeight="1">
      <c r="A1733" s="39" t="n">
        <v>1728</v>
      </c>
      <c r="B1733" s="33">
        <f>IF(C1733="","",IF(P1733="À RENSEIGNER","GIC",P1733)&amp;"-C"&amp;TEXT(A1733,"00000"))</f>
        <v/>
      </c>
      <c r="C1733" s="32" t="n"/>
      <c r="D1733" s="36" t="n"/>
      <c r="E1733" s="36" t="n"/>
      <c r="F1733" s="36" t="n"/>
      <c r="G1733" s="42" t="n"/>
      <c r="H1733" s="37" t="n"/>
      <c r="I1733" s="37" t="n"/>
      <c r="J1733" s="32" t="n"/>
      <c r="K1733" s="32" t="n"/>
      <c r="L1733" s="43" t="n"/>
      <c r="M1733" s="36" t="n"/>
      <c r="N1733" s="44" t="n"/>
      <c r="O1733" s="36" t="n"/>
      <c r="P1733" s="33">
        <f>IF(C1733="","",Commercial_Id)</f>
        <v/>
      </c>
      <c r="Q1733" s="34">
        <f>IF(AC1733="","",IF(AD1733=1,"C"&amp;TEXT(SUM(AD$6:AD1733),"0000"),INDEX(Q$6:Q1732,MATCH(AC1733,AC$6:AC1732,0))))</f>
        <v/>
      </c>
      <c r="R1733" s="34">
        <f>IF(C1733="","",IF(L1733="☑ Oui","Annulée",IF(OR(E1733="Vente directe",K1733&lt;&gt;""),"Livrée",IF(J1733&lt;&gt;"","Confirmée","En attente"))))</f>
        <v/>
      </c>
      <c r="S1733" s="34">
        <f>IF(F1733="","",IFERROR(VLOOKUP(F1733,T_Produits,2,FALSE),""))</f>
        <v/>
      </c>
      <c r="T1733" s="40">
        <f>IF(F1733="","",IFERROR(1/(1/VLOOKUP(F1733,T_Produits,3,FALSE)),""))</f>
        <v/>
      </c>
      <c r="U1733" s="40">
        <f>IF(H1733&lt;&gt;"",H1733,T1733)</f>
        <v/>
      </c>
      <c r="V1733" s="40">
        <f>IF(OR(G1733="",U1733=""),"",G1733*U1733-N(I1733))</f>
        <v/>
      </c>
      <c r="W1733" s="39">
        <f>IF(D1733="","",IFERROR(VALUE(MID(D1733,LEN(D1733)-3,3)),""))</f>
        <v/>
      </c>
      <c r="X1733" s="33">
        <f>IF(W1733="","",P1733&amp;"|"&amp;W1733)</f>
        <v/>
      </c>
      <c r="Y1733" s="33">
        <f>IF(W1733="","",IF(P1733="À RENSEIGNER","GIC",P1733)&amp;"-"&amp;TEXT(W1733,"000"))</f>
        <v/>
      </c>
      <c r="Z1733" s="33">
        <f>IF(X1733="","",IFERROR(INDEX(Cl_nom,MATCH(X1733,Cl_cle,0)),"(client introuvable)"))</f>
        <v/>
      </c>
      <c r="AA1733" s="33">
        <f>IF(X1733="","",IFERROR(INDEX(Cl_quartier,MATCH(X1733,Cl_cle,0))&amp;"",""))</f>
        <v/>
      </c>
      <c r="AB1733" s="45">
        <f>IF(R1733&lt;&gt;"Livrée",0,IF(K1733&lt;&gt;"",K1733,C1733))</f>
        <v/>
      </c>
      <c r="AC1733" s="33">
        <f>IF(OR(C1733="",W1733=""),"",P1733&amp;"|"&amp;W1733&amp;"|"&amp;C1733&amp;"|"&amp;E1733)</f>
        <v/>
      </c>
      <c r="AD1733" s="39">
        <f>IF(AC1733="","",IF(COUNTIF(AC$6:AC1733,AC1733)=1,1,0))</f>
        <v/>
      </c>
      <c r="AE1733" s="39">
        <f>IF(AB1733=0,"",IF(COUNTIFS(X$6:X1733,X1733,AB$6:AB1733,AB1733)=1,1,0))</f>
        <v/>
      </c>
      <c r="AF1733" s="34">
        <f>IF(C1733="","",YEAR(C1733-WEEKDAY(C1733,2)+4)&amp;"-S"&amp;TEXT(INT((C1733-DATE(YEAR(C1733-WEEKDAY(C1733,2)+4),1,3)+WEEKDAY(DATE(YEAR(C1733-WEEKDAY(C1733,2)+4),1,3),2)+5)/7),"00"))</f>
        <v/>
      </c>
    </row>
    <row r="1734" ht="18" customHeight="1">
      <c r="A1734" s="39" t="n">
        <v>1729</v>
      </c>
      <c r="B1734" s="33">
        <f>IF(C1734="","",IF(P1734="À RENSEIGNER","GIC",P1734)&amp;"-C"&amp;TEXT(A1734,"00000"))</f>
        <v/>
      </c>
      <c r="C1734" s="32" t="n"/>
      <c r="D1734" s="36" t="n"/>
      <c r="E1734" s="36" t="n"/>
      <c r="F1734" s="36" t="n"/>
      <c r="G1734" s="42" t="n"/>
      <c r="H1734" s="37" t="n"/>
      <c r="I1734" s="37" t="n"/>
      <c r="J1734" s="32" t="n"/>
      <c r="K1734" s="32" t="n"/>
      <c r="L1734" s="43" t="n"/>
      <c r="M1734" s="36" t="n"/>
      <c r="N1734" s="44" t="n"/>
      <c r="O1734" s="36" t="n"/>
      <c r="P1734" s="33">
        <f>IF(C1734="","",Commercial_Id)</f>
        <v/>
      </c>
      <c r="Q1734" s="34">
        <f>IF(AC1734="","",IF(AD1734=1,"C"&amp;TEXT(SUM(AD$6:AD1734),"0000"),INDEX(Q$6:Q1733,MATCH(AC1734,AC$6:AC1733,0))))</f>
        <v/>
      </c>
      <c r="R1734" s="34">
        <f>IF(C1734="","",IF(L1734="☑ Oui","Annulée",IF(OR(E1734="Vente directe",K1734&lt;&gt;""),"Livrée",IF(J1734&lt;&gt;"","Confirmée","En attente"))))</f>
        <v/>
      </c>
      <c r="S1734" s="34">
        <f>IF(F1734="","",IFERROR(VLOOKUP(F1734,T_Produits,2,FALSE),""))</f>
        <v/>
      </c>
      <c r="T1734" s="40">
        <f>IF(F1734="","",IFERROR(1/(1/VLOOKUP(F1734,T_Produits,3,FALSE)),""))</f>
        <v/>
      </c>
      <c r="U1734" s="40">
        <f>IF(H1734&lt;&gt;"",H1734,T1734)</f>
        <v/>
      </c>
      <c r="V1734" s="40">
        <f>IF(OR(G1734="",U1734=""),"",G1734*U1734-N(I1734))</f>
        <v/>
      </c>
      <c r="W1734" s="39">
        <f>IF(D1734="","",IFERROR(VALUE(MID(D1734,LEN(D1734)-3,3)),""))</f>
        <v/>
      </c>
      <c r="X1734" s="33">
        <f>IF(W1734="","",P1734&amp;"|"&amp;W1734)</f>
        <v/>
      </c>
      <c r="Y1734" s="33">
        <f>IF(W1734="","",IF(P1734="À RENSEIGNER","GIC",P1734)&amp;"-"&amp;TEXT(W1734,"000"))</f>
        <v/>
      </c>
      <c r="Z1734" s="33">
        <f>IF(X1734="","",IFERROR(INDEX(Cl_nom,MATCH(X1734,Cl_cle,0)),"(client introuvable)"))</f>
        <v/>
      </c>
      <c r="AA1734" s="33">
        <f>IF(X1734="","",IFERROR(INDEX(Cl_quartier,MATCH(X1734,Cl_cle,0))&amp;"",""))</f>
        <v/>
      </c>
      <c r="AB1734" s="45">
        <f>IF(R1734&lt;&gt;"Livrée",0,IF(K1734&lt;&gt;"",K1734,C1734))</f>
        <v/>
      </c>
      <c r="AC1734" s="33">
        <f>IF(OR(C1734="",W1734=""),"",P1734&amp;"|"&amp;W1734&amp;"|"&amp;C1734&amp;"|"&amp;E1734)</f>
        <v/>
      </c>
      <c r="AD1734" s="39">
        <f>IF(AC1734="","",IF(COUNTIF(AC$6:AC1734,AC1734)=1,1,0))</f>
        <v/>
      </c>
      <c r="AE1734" s="39">
        <f>IF(AB1734=0,"",IF(COUNTIFS(X$6:X1734,X1734,AB$6:AB1734,AB1734)=1,1,0))</f>
        <v/>
      </c>
      <c r="AF1734" s="34">
        <f>IF(C1734="","",YEAR(C1734-WEEKDAY(C1734,2)+4)&amp;"-S"&amp;TEXT(INT((C1734-DATE(YEAR(C1734-WEEKDAY(C1734,2)+4),1,3)+WEEKDAY(DATE(YEAR(C1734-WEEKDAY(C1734,2)+4),1,3),2)+5)/7),"00"))</f>
        <v/>
      </c>
    </row>
    <row r="1735" ht="18" customHeight="1">
      <c r="A1735" s="39" t="n">
        <v>1730</v>
      </c>
      <c r="B1735" s="33">
        <f>IF(C1735="","",IF(P1735="À RENSEIGNER","GIC",P1735)&amp;"-C"&amp;TEXT(A1735,"00000"))</f>
        <v/>
      </c>
      <c r="C1735" s="32" t="n"/>
      <c r="D1735" s="36" t="n"/>
      <c r="E1735" s="36" t="n"/>
      <c r="F1735" s="36" t="n"/>
      <c r="G1735" s="42" t="n"/>
      <c r="H1735" s="37" t="n"/>
      <c r="I1735" s="37" t="n"/>
      <c r="J1735" s="32" t="n"/>
      <c r="K1735" s="32" t="n"/>
      <c r="L1735" s="43" t="n"/>
      <c r="M1735" s="36" t="n"/>
      <c r="N1735" s="44" t="n"/>
      <c r="O1735" s="36" t="n"/>
      <c r="P1735" s="33">
        <f>IF(C1735="","",Commercial_Id)</f>
        <v/>
      </c>
      <c r="Q1735" s="34">
        <f>IF(AC1735="","",IF(AD1735=1,"C"&amp;TEXT(SUM(AD$6:AD1735),"0000"),INDEX(Q$6:Q1734,MATCH(AC1735,AC$6:AC1734,0))))</f>
        <v/>
      </c>
      <c r="R1735" s="34">
        <f>IF(C1735="","",IF(L1735="☑ Oui","Annulée",IF(OR(E1735="Vente directe",K1735&lt;&gt;""),"Livrée",IF(J1735&lt;&gt;"","Confirmée","En attente"))))</f>
        <v/>
      </c>
      <c r="S1735" s="34">
        <f>IF(F1735="","",IFERROR(VLOOKUP(F1735,T_Produits,2,FALSE),""))</f>
        <v/>
      </c>
      <c r="T1735" s="40">
        <f>IF(F1735="","",IFERROR(1/(1/VLOOKUP(F1735,T_Produits,3,FALSE)),""))</f>
        <v/>
      </c>
      <c r="U1735" s="40">
        <f>IF(H1735&lt;&gt;"",H1735,T1735)</f>
        <v/>
      </c>
      <c r="V1735" s="40">
        <f>IF(OR(G1735="",U1735=""),"",G1735*U1735-N(I1735))</f>
        <v/>
      </c>
      <c r="W1735" s="39">
        <f>IF(D1735="","",IFERROR(VALUE(MID(D1735,LEN(D1735)-3,3)),""))</f>
        <v/>
      </c>
      <c r="X1735" s="33">
        <f>IF(W1735="","",P1735&amp;"|"&amp;W1735)</f>
        <v/>
      </c>
      <c r="Y1735" s="33">
        <f>IF(W1735="","",IF(P1735="À RENSEIGNER","GIC",P1735)&amp;"-"&amp;TEXT(W1735,"000"))</f>
        <v/>
      </c>
      <c r="Z1735" s="33">
        <f>IF(X1735="","",IFERROR(INDEX(Cl_nom,MATCH(X1735,Cl_cle,0)),"(client introuvable)"))</f>
        <v/>
      </c>
      <c r="AA1735" s="33">
        <f>IF(X1735="","",IFERROR(INDEX(Cl_quartier,MATCH(X1735,Cl_cle,0))&amp;"",""))</f>
        <v/>
      </c>
      <c r="AB1735" s="45">
        <f>IF(R1735&lt;&gt;"Livrée",0,IF(K1735&lt;&gt;"",K1735,C1735))</f>
        <v/>
      </c>
      <c r="AC1735" s="33">
        <f>IF(OR(C1735="",W1735=""),"",P1735&amp;"|"&amp;W1735&amp;"|"&amp;C1735&amp;"|"&amp;E1735)</f>
        <v/>
      </c>
      <c r="AD1735" s="39">
        <f>IF(AC1735="","",IF(COUNTIF(AC$6:AC1735,AC1735)=1,1,0))</f>
        <v/>
      </c>
      <c r="AE1735" s="39">
        <f>IF(AB1735=0,"",IF(COUNTIFS(X$6:X1735,X1735,AB$6:AB1735,AB1735)=1,1,0))</f>
        <v/>
      </c>
      <c r="AF1735" s="34">
        <f>IF(C1735="","",YEAR(C1735-WEEKDAY(C1735,2)+4)&amp;"-S"&amp;TEXT(INT((C1735-DATE(YEAR(C1735-WEEKDAY(C1735,2)+4),1,3)+WEEKDAY(DATE(YEAR(C1735-WEEKDAY(C1735,2)+4),1,3),2)+5)/7),"00"))</f>
        <v/>
      </c>
    </row>
    <row r="1736" ht="18" customHeight="1">
      <c r="A1736" s="39" t="n">
        <v>1731</v>
      </c>
      <c r="B1736" s="33">
        <f>IF(C1736="","",IF(P1736="À RENSEIGNER","GIC",P1736)&amp;"-C"&amp;TEXT(A1736,"00000"))</f>
        <v/>
      </c>
      <c r="C1736" s="32" t="n"/>
      <c r="D1736" s="36" t="n"/>
      <c r="E1736" s="36" t="n"/>
      <c r="F1736" s="36" t="n"/>
      <c r="G1736" s="42" t="n"/>
      <c r="H1736" s="37" t="n"/>
      <c r="I1736" s="37" t="n"/>
      <c r="J1736" s="32" t="n"/>
      <c r="K1736" s="32" t="n"/>
      <c r="L1736" s="43" t="n"/>
      <c r="M1736" s="36" t="n"/>
      <c r="N1736" s="44" t="n"/>
      <c r="O1736" s="36" t="n"/>
      <c r="P1736" s="33">
        <f>IF(C1736="","",Commercial_Id)</f>
        <v/>
      </c>
      <c r="Q1736" s="34">
        <f>IF(AC1736="","",IF(AD1736=1,"C"&amp;TEXT(SUM(AD$6:AD1736),"0000"),INDEX(Q$6:Q1735,MATCH(AC1736,AC$6:AC1735,0))))</f>
        <v/>
      </c>
      <c r="R1736" s="34">
        <f>IF(C1736="","",IF(L1736="☑ Oui","Annulée",IF(OR(E1736="Vente directe",K1736&lt;&gt;""),"Livrée",IF(J1736&lt;&gt;"","Confirmée","En attente"))))</f>
        <v/>
      </c>
      <c r="S1736" s="34">
        <f>IF(F1736="","",IFERROR(VLOOKUP(F1736,T_Produits,2,FALSE),""))</f>
        <v/>
      </c>
      <c r="T1736" s="40">
        <f>IF(F1736="","",IFERROR(1/(1/VLOOKUP(F1736,T_Produits,3,FALSE)),""))</f>
        <v/>
      </c>
      <c r="U1736" s="40">
        <f>IF(H1736&lt;&gt;"",H1736,T1736)</f>
        <v/>
      </c>
      <c r="V1736" s="40">
        <f>IF(OR(G1736="",U1736=""),"",G1736*U1736-N(I1736))</f>
        <v/>
      </c>
      <c r="W1736" s="39">
        <f>IF(D1736="","",IFERROR(VALUE(MID(D1736,LEN(D1736)-3,3)),""))</f>
        <v/>
      </c>
      <c r="X1736" s="33">
        <f>IF(W1736="","",P1736&amp;"|"&amp;W1736)</f>
        <v/>
      </c>
      <c r="Y1736" s="33">
        <f>IF(W1736="","",IF(P1736="À RENSEIGNER","GIC",P1736)&amp;"-"&amp;TEXT(W1736,"000"))</f>
        <v/>
      </c>
      <c r="Z1736" s="33">
        <f>IF(X1736="","",IFERROR(INDEX(Cl_nom,MATCH(X1736,Cl_cle,0)),"(client introuvable)"))</f>
        <v/>
      </c>
      <c r="AA1736" s="33">
        <f>IF(X1736="","",IFERROR(INDEX(Cl_quartier,MATCH(X1736,Cl_cle,0))&amp;"",""))</f>
        <v/>
      </c>
      <c r="AB1736" s="45">
        <f>IF(R1736&lt;&gt;"Livrée",0,IF(K1736&lt;&gt;"",K1736,C1736))</f>
        <v/>
      </c>
      <c r="AC1736" s="33">
        <f>IF(OR(C1736="",W1736=""),"",P1736&amp;"|"&amp;W1736&amp;"|"&amp;C1736&amp;"|"&amp;E1736)</f>
        <v/>
      </c>
      <c r="AD1736" s="39">
        <f>IF(AC1736="","",IF(COUNTIF(AC$6:AC1736,AC1736)=1,1,0))</f>
        <v/>
      </c>
      <c r="AE1736" s="39">
        <f>IF(AB1736=0,"",IF(COUNTIFS(X$6:X1736,X1736,AB$6:AB1736,AB1736)=1,1,0))</f>
        <v/>
      </c>
      <c r="AF1736" s="34">
        <f>IF(C1736="","",YEAR(C1736-WEEKDAY(C1736,2)+4)&amp;"-S"&amp;TEXT(INT((C1736-DATE(YEAR(C1736-WEEKDAY(C1736,2)+4),1,3)+WEEKDAY(DATE(YEAR(C1736-WEEKDAY(C1736,2)+4),1,3),2)+5)/7),"00"))</f>
        <v/>
      </c>
    </row>
    <row r="1737" ht="18" customHeight="1">
      <c r="A1737" s="39" t="n">
        <v>1732</v>
      </c>
      <c r="B1737" s="33">
        <f>IF(C1737="","",IF(P1737="À RENSEIGNER","GIC",P1737)&amp;"-C"&amp;TEXT(A1737,"00000"))</f>
        <v/>
      </c>
      <c r="C1737" s="32" t="n"/>
      <c r="D1737" s="36" t="n"/>
      <c r="E1737" s="36" t="n"/>
      <c r="F1737" s="36" t="n"/>
      <c r="G1737" s="42" t="n"/>
      <c r="H1737" s="37" t="n"/>
      <c r="I1737" s="37" t="n"/>
      <c r="J1737" s="32" t="n"/>
      <c r="K1737" s="32" t="n"/>
      <c r="L1737" s="43" t="n"/>
      <c r="M1737" s="36" t="n"/>
      <c r="N1737" s="44" t="n"/>
      <c r="O1737" s="36" t="n"/>
      <c r="P1737" s="33">
        <f>IF(C1737="","",Commercial_Id)</f>
        <v/>
      </c>
      <c r="Q1737" s="34">
        <f>IF(AC1737="","",IF(AD1737=1,"C"&amp;TEXT(SUM(AD$6:AD1737),"0000"),INDEX(Q$6:Q1736,MATCH(AC1737,AC$6:AC1736,0))))</f>
        <v/>
      </c>
      <c r="R1737" s="34">
        <f>IF(C1737="","",IF(L1737="☑ Oui","Annulée",IF(OR(E1737="Vente directe",K1737&lt;&gt;""),"Livrée",IF(J1737&lt;&gt;"","Confirmée","En attente"))))</f>
        <v/>
      </c>
      <c r="S1737" s="34">
        <f>IF(F1737="","",IFERROR(VLOOKUP(F1737,T_Produits,2,FALSE),""))</f>
        <v/>
      </c>
      <c r="T1737" s="40">
        <f>IF(F1737="","",IFERROR(1/(1/VLOOKUP(F1737,T_Produits,3,FALSE)),""))</f>
        <v/>
      </c>
      <c r="U1737" s="40">
        <f>IF(H1737&lt;&gt;"",H1737,T1737)</f>
        <v/>
      </c>
      <c r="V1737" s="40">
        <f>IF(OR(G1737="",U1737=""),"",G1737*U1737-N(I1737))</f>
        <v/>
      </c>
      <c r="W1737" s="39">
        <f>IF(D1737="","",IFERROR(VALUE(MID(D1737,LEN(D1737)-3,3)),""))</f>
        <v/>
      </c>
      <c r="X1737" s="33">
        <f>IF(W1737="","",P1737&amp;"|"&amp;W1737)</f>
        <v/>
      </c>
      <c r="Y1737" s="33">
        <f>IF(W1737="","",IF(P1737="À RENSEIGNER","GIC",P1737)&amp;"-"&amp;TEXT(W1737,"000"))</f>
        <v/>
      </c>
      <c r="Z1737" s="33">
        <f>IF(X1737="","",IFERROR(INDEX(Cl_nom,MATCH(X1737,Cl_cle,0)),"(client introuvable)"))</f>
        <v/>
      </c>
      <c r="AA1737" s="33">
        <f>IF(X1737="","",IFERROR(INDEX(Cl_quartier,MATCH(X1737,Cl_cle,0))&amp;"",""))</f>
        <v/>
      </c>
      <c r="AB1737" s="45">
        <f>IF(R1737&lt;&gt;"Livrée",0,IF(K1737&lt;&gt;"",K1737,C1737))</f>
        <v/>
      </c>
      <c r="AC1737" s="33">
        <f>IF(OR(C1737="",W1737=""),"",P1737&amp;"|"&amp;W1737&amp;"|"&amp;C1737&amp;"|"&amp;E1737)</f>
        <v/>
      </c>
      <c r="AD1737" s="39">
        <f>IF(AC1737="","",IF(COUNTIF(AC$6:AC1737,AC1737)=1,1,0))</f>
        <v/>
      </c>
      <c r="AE1737" s="39">
        <f>IF(AB1737=0,"",IF(COUNTIFS(X$6:X1737,X1737,AB$6:AB1737,AB1737)=1,1,0))</f>
        <v/>
      </c>
      <c r="AF1737" s="34">
        <f>IF(C1737="","",YEAR(C1737-WEEKDAY(C1737,2)+4)&amp;"-S"&amp;TEXT(INT((C1737-DATE(YEAR(C1737-WEEKDAY(C1737,2)+4),1,3)+WEEKDAY(DATE(YEAR(C1737-WEEKDAY(C1737,2)+4),1,3),2)+5)/7),"00"))</f>
        <v/>
      </c>
    </row>
    <row r="1738" ht="18" customHeight="1">
      <c r="A1738" s="39" t="n">
        <v>1733</v>
      </c>
      <c r="B1738" s="33">
        <f>IF(C1738="","",IF(P1738="À RENSEIGNER","GIC",P1738)&amp;"-C"&amp;TEXT(A1738,"00000"))</f>
        <v/>
      </c>
      <c r="C1738" s="32" t="n"/>
      <c r="D1738" s="36" t="n"/>
      <c r="E1738" s="36" t="n"/>
      <c r="F1738" s="36" t="n"/>
      <c r="G1738" s="42" t="n"/>
      <c r="H1738" s="37" t="n"/>
      <c r="I1738" s="37" t="n"/>
      <c r="J1738" s="32" t="n"/>
      <c r="K1738" s="32" t="n"/>
      <c r="L1738" s="43" t="n"/>
      <c r="M1738" s="36" t="n"/>
      <c r="N1738" s="44" t="n"/>
      <c r="O1738" s="36" t="n"/>
      <c r="P1738" s="33">
        <f>IF(C1738="","",Commercial_Id)</f>
        <v/>
      </c>
      <c r="Q1738" s="34">
        <f>IF(AC1738="","",IF(AD1738=1,"C"&amp;TEXT(SUM(AD$6:AD1738),"0000"),INDEX(Q$6:Q1737,MATCH(AC1738,AC$6:AC1737,0))))</f>
        <v/>
      </c>
      <c r="R1738" s="34">
        <f>IF(C1738="","",IF(L1738="☑ Oui","Annulée",IF(OR(E1738="Vente directe",K1738&lt;&gt;""),"Livrée",IF(J1738&lt;&gt;"","Confirmée","En attente"))))</f>
        <v/>
      </c>
      <c r="S1738" s="34">
        <f>IF(F1738="","",IFERROR(VLOOKUP(F1738,T_Produits,2,FALSE),""))</f>
        <v/>
      </c>
      <c r="T1738" s="40">
        <f>IF(F1738="","",IFERROR(1/(1/VLOOKUP(F1738,T_Produits,3,FALSE)),""))</f>
        <v/>
      </c>
      <c r="U1738" s="40">
        <f>IF(H1738&lt;&gt;"",H1738,T1738)</f>
        <v/>
      </c>
      <c r="V1738" s="40">
        <f>IF(OR(G1738="",U1738=""),"",G1738*U1738-N(I1738))</f>
        <v/>
      </c>
      <c r="W1738" s="39">
        <f>IF(D1738="","",IFERROR(VALUE(MID(D1738,LEN(D1738)-3,3)),""))</f>
        <v/>
      </c>
      <c r="X1738" s="33">
        <f>IF(W1738="","",P1738&amp;"|"&amp;W1738)</f>
        <v/>
      </c>
      <c r="Y1738" s="33">
        <f>IF(W1738="","",IF(P1738="À RENSEIGNER","GIC",P1738)&amp;"-"&amp;TEXT(W1738,"000"))</f>
        <v/>
      </c>
      <c r="Z1738" s="33">
        <f>IF(X1738="","",IFERROR(INDEX(Cl_nom,MATCH(X1738,Cl_cle,0)),"(client introuvable)"))</f>
        <v/>
      </c>
      <c r="AA1738" s="33">
        <f>IF(X1738="","",IFERROR(INDEX(Cl_quartier,MATCH(X1738,Cl_cle,0))&amp;"",""))</f>
        <v/>
      </c>
      <c r="AB1738" s="45">
        <f>IF(R1738&lt;&gt;"Livrée",0,IF(K1738&lt;&gt;"",K1738,C1738))</f>
        <v/>
      </c>
      <c r="AC1738" s="33">
        <f>IF(OR(C1738="",W1738=""),"",P1738&amp;"|"&amp;W1738&amp;"|"&amp;C1738&amp;"|"&amp;E1738)</f>
        <v/>
      </c>
      <c r="AD1738" s="39">
        <f>IF(AC1738="","",IF(COUNTIF(AC$6:AC1738,AC1738)=1,1,0))</f>
        <v/>
      </c>
      <c r="AE1738" s="39">
        <f>IF(AB1738=0,"",IF(COUNTIFS(X$6:X1738,X1738,AB$6:AB1738,AB1738)=1,1,0))</f>
        <v/>
      </c>
      <c r="AF1738" s="34">
        <f>IF(C1738="","",YEAR(C1738-WEEKDAY(C1738,2)+4)&amp;"-S"&amp;TEXT(INT((C1738-DATE(YEAR(C1738-WEEKDAY(C1738,2)+4),1,3)+WEEKDAY(DATE(YEAR(C1738-WEEKDAY(C1738,2)+4),1,3),2)+5)/7),"00"))</f>
        <v/>
      </c>
    </row>
    <row r="1739" ht="18" customHeight="1">
      <c r="A1739" s="39" t="n">
        <v>1734</v>
      </c>
      <c r="B1739" s="33">
        <f>IF(C1739="","",IF(P1739="À RENSEIGNER","GIC",P1739)&amp;"-C"&amp;TEXT(A1739,"00000"))</f>
        <v/>
      </c>
      <c r="C1739" s="32" t="n"/>
      <c r="D1739" s="36" t="n"/>
      <c r="E1739" s="36" t="n"/>
      <c r="F1739" s="36" t="n"/>
      <c r="G1739" s="42" t="n"/>
      <c r="H1739" s="37" t="n"/>
      <c r="I1739" s="37" t="n"/>
      <c r="J1739" s="32" t="n"/>
      <c r="K1739" s="32" t="n"/>
      <c r="L1739" s="43" t="n"/>
      <c r="M1739" s="36" t="n"/>
      <c r="N1739" s="44" t="n"/>
      <c r="O1739" s="36" t="n"/>
      <c r="P1739" s="33">
        <f>IF(C1739="","",Commercial_Id)</f>
        <v/>
      </c>
      <c r="Q1739" s="34">
        <f>IF(AC1739="","",IF(AD1739=1,"C"&amp;TEXT(SUM(AD$6:AD1739),"0000"),INDEX(Q$6:Q1738,MATCH(AC1739,AC$6:AC1738,0))))</f>
        <v/>
      </c>
      <c r="R1739" s="34">
        <f>IF(C1739="","",IF(L1739="☑ Oui","Annulée",IF(OR(E1739="Vente directe",K1739&lt;&gt;""),"Livrée",IF(J1739&lt;&gt;"","Confirmée","En attente"))))</f>
        <v/>
      </c>
      <c r="S1739" s="34">
        <f>IF(F1739="","",IFERROR(VLOOKUP(F1739,T_Produits,2,FALSE),""))</f>
        <v/>
      </c>
      <c r="T1739" s="40">
        <f>IF(F1739="","",IFERROR(1/(1/VLOOKUP(F1739,T_Produits,3,FALSE)),""))</f>
        <v/>
      </c>
      <c r="U1739" s="40">
        <f>IF(H1739&lt;&gt;"",H1739,T1739)</f>
        <v/>
      </c>
      <c r="V1739" s="40">
        <f>IF(OR(G1739="",U1739=""),"",G1739*U1739-N(I1739))</f>
        <v/>
      </c>
      <c r="W1739" s="39">
        <f>IF(D1739="","",IFERROR(VALUE(MID(D1739,LEN(D1739)-3,3)),""))</f>
        <v/>
      </c>
      <c r="X1739" s="33">
        <f>IF(W1739="","",P1739&amp;"|"&amp;W1739)</f>
        <v/>
      </c>
      <c r="Y1739" s="33">
        <f>IF(W1739="","",IF(P1739="À RENSEIGNER","GIC",P1739)&amp;"-"&amp;TEXT(W1739,"000"))</f>
        <v/>
      </c>
      <c r="Z1739" s="33">
        <f>IF(X1739="","",IFERROR(INDEX(Cl_nom,MATCH(X1739,Cl_cle,0)),"(client introuvable)"))</f>
        <v/>
      </c>
      <c r="AA1739" s="33">
        <f>IF(X1739="","",IFERROR(INDEX(Cl_quartier,MATCH(X1739,Cl_cle,0))&amp;"",""))</f>
        <v/>
      </c>
      <c r="AB1739" s="45">
        <f>IF(R1739&lt;&gt;"Livrée",0,IF(K1739&lt;&gt;"",K1739,C1739))</f>
        <v/>
      </c>
      <c r="AC1739" s="33">
        <f>IF(OR(C1739="",W1739=""),"",P1739&amp;"|"&amp;W1739&amp;"|"&amp;C1739&amp;"|"&amp;E1739)</f>
        <v/>
      </c>
      <c r="AD1739" s="39">
        <f>IF(AC1739="","",IF(COUNTIF(AC$6:AC1739,AC1739)=1,1,0))</f>
        <v/>
      </c>
      <c r="AE1739" s="39">
        <f>IF(AB1739=0,"",IF(COUNTIFS(X$6:X1739,X1739,AB$6:AB1739,AB1739)=1,1,0))</f>
        <v/>
      </c>
      <c r="AF1739" s="34">
        <f>IF(C1739="","",YEAR(C1739-WEEKDAY(C1739,2)+4)&amp;"-S"&amp;TEXT(INT((C1739-DATE(YEAR(C1739-WEEKDAY(C1739,2)+4),1,3)+WEEKDAY(DATE(YEAR(C1739-WEEKDAY(C1739,2)+4),1,3),2)+5)/7),"00"))</f>
        <v/>
      </c>
    </row>
    <row r="1740" ht="18" customHeight="1">
      <c r="A1740" s="39" t="n">
        <v>1735</v>
      </c>
      <c r="B1740" s="33">
        <f>IF(C1740="","",IF(P1740="À RENSEIGNER","GIC",P1740)&amp;"-C"&amp;TEXT(A1740,"00000"))</f>
        <v/>
      </c>
      <c r="C1740" s="32" t="n"/>
      <c r="D1740" s="36" t="n"/>
      <c r="E1740" s="36" t="n"/>
      <c r="F1740" s="36" t="n"/>
      <c r="G1740" s="42" t="n"/>
      <c r="H1740" s="37" t="n"/>
      <c r="I1740" s="37" t="n"/>
      <c r="J1740" s="32" t="n"/>
      <c r="K1740" s="32" t="n"/>
      <c r="L1740" s="43" t="n"/>
      <c r="M1740" s="36" t="n"/>
      <c r="N1740" s="44" t="n"/>
      <c r="O1740" s="36" t="n"/>
      <c r="P1740" s="33">
        <f>IF(C1740="","",Commercial_Id)</f>
        <v/>
      </c>
      <c r="Q1740" s="34">
        <f>IF(AC1740="","",IF(AD1740=1,"C"&amp;TEXT(SUM(AD$6:AD1740),"0000"),INDEX(Q$6:Q1739,MATCH(AC1740,AC$6:AC1739,0))))</f>
        <v/>
      </c>
      <c r="R1740" s="34">
        <f>IF(C1740="","",IF(L1740="☑ Oui","Annulée",IF(OR(E1740="Vente directe",K1740&lt;&gt;""),"Livrée",IF(J1740&lt;&gt;"","Confirmée","En attente"))))</f>
        <v/>
      </c>
      <c r="S1740" s="34">
        <f>IF(F1740="","",IFERROR(VLOOKUP(F1740,T_Produits,2,FALSE),""))</f>
        <v/>
      </c>
      <c r="T1740" s="40">
        <f>IF(F1740="","",IFERROR(1/(1/VLOOKUP(F1740,T_Produits,3,FALSE)),""))</f>
        <v/>
      </c>
      <c r="U1740" s="40">
        <f>IF(H1740&lt;&gt;"",H1740,T1740)</f>
        <v/>
      </c>
      <c r="V1740" s="40">
        <f>IF(OR(G1740="",U1740=""),"",G1740*U1740-N(I1740))</f>
        <v/>
      </c>
      <c r="W1740" s="39">
        <f>IF(D1740="","",IFERROR(VALUE(MID(D1740,LEN(D1740)-3,3)),""))</f>
        <v/>
      </c>
      <c r="X1740" s="33">
        <f>IF(W1740="","",P1740&amp;"|"&amp;W1740)</f>
        <v/>
      </c>
      <c r="Y1740" s="33">
        <f>IF(W1740="","",IF(P1740="À RENSEIGNER","GIC",P1740)&amp;"-"&amp;TEXT(W1740,"000"))</f>
        <v/>
      </c>
      <c r="Z1740" s="33">
        <f>IF(X1740="","",IFERROR(INDEX(Cl_nom,MATCH(X1740,Cl_cle,0)),"(client introuvable)"))</f>
        <v/>
      </c>
      <c r="AA1740" s="33">
        <f>IF(X1740="","",IFERROR(INDEX(Cl_quartier,MATCH(X1740,Cl_cle,0))&amp;"",""))</f>
        <v/>
      </c>
      <c r="AB1740" s="45">
        <f>IF(R1740&lt;&gt;"Livrée",0,IF(K1740&lt;&gt;"",K1740,C1740))</f>
        <v/>
      </c>
      <c r="AC1740" s="33">
        <f>IF(OR(C1740="",W1740=""),"",P1740&amp;"|"&amp;W1740&amp;"|"&amp;C1740&amp;"|"&amp;E1740)</f>
        <v/>
      </c>
      <c r="AD1740" s="39">
        <f>IF(AC1740="","",IF(COUNTIF(AC$6:AC1740,AC1740)=1,1,0))</f>
        <v/>
      </c>
      <c r="AE1740" s="39">
        <f>IF(AB1740=0,"",IF(COUNTIFS(X$6:X1740,X1740,AB$6:AB1740,AB1740)=1,1,0))</f>
        <v/>
      </c>
      <c r="AF1740" s="34">
        <f>IF(C1740="","",YEAR(C1740-WEEKDAY(C1740,2)+4)&amp;"-S"&amp;TEXT(INT((C1740-DATE(YEAR(C1740-WEEKDAY(C1740,2)+4),1,3)+WEEKDAY(DATE(YEAR(C1740-WEEKDAY(C1740,2)+4),1,3),2)+5)/7),"00"))</f>
        <v/>
      </c>
    </row>
    <row r="1741" ht="18" customHeight="1">
      <c r="A1741" s="39" t="n">
        <v>1736</v>
      </c>
      <c r="B1741" s="33">
        <f>IF(C1741="","",IF(P1741="À RENSEIGNER","GIC",P1741)&amp;"-C"&amp;TEXT(A1741,"00000"))</f>
        <v/>
      </c>
      <c r="C1741" s="32" t="n"/>
      <c r="D1741" s="36" t="n"/>
      <c r="E1741" s="36" t="n"/>
      <c r="F1741" s="36" t="n"/>
      <c r="G1741" s="42" t="n"/>
      <c r="H1741" s="37" t="n"/>
      <c r="I1741" s="37" t="n"/>
      <c r="J1741" s="32" t="n"/>
      <c r="K1741" s="32" t="n"/>
      <c r="L1741" s="43" t="n"/>
      <c r="M1741" s="36" t="n"/>
      <c r="N1741" s="44" t="n"/>
      <c r="O1741" s="36" t="n"/>
      <c r="P1741" s="33">
        <f>IF(C1741="","",Commercial_Id)</f>
        <v/>
      </c>
      <c r="Q1741" s="34">
        <f>IF(AC1741="","",IF(AD1741=1,"C"&amp;TEXT(SUM(AD$6:AD1741),"0000"),INDEX(Q$6:Q1740,MATCH(AC1741,AC$6:AC1740,0))))</f>
        <v/>
      </c>
      <c r="R1741" s="34">
        <f>IF(C1741="","",IF(L1741="☑ Oui","Annulée",IF(OR(E1741="Vente directe",K1741&lt;&gt;""),"Livrée",IF(J1741&lt;&gt;"","Confirmée","En attente"))))</f>
        <v/>
      </c>
      <c r="S1741" s="34">
        <f>IF(F1741="","",IFERROR(VLOOKUP(F1741,T_Produits,2,FALSE),""))</f>
        <v/>
      </c>
      <c r="T1741" s="40">
        <f>IF(F1741="","",IFERROR(1/(1/VLOOKUP(F1741,T_Produits,3,FALSE)),""))</f>
        <v/>
      </c>
      <c r="U1741" s="40">
        <f>IF(H1741&lt;&gt;"",H1741,T1741)</f>
        <v/>
      </c>
      <c r="V1741" s="40">
        <f>IF(OR(G1741="",U1741=""),"",G1741*U1741-N(I1741))</f>
        <v/>
      </c>
      <c r="W1741" s="39">
        <f>IF(D1741="","",IFERROR(VALUE(MID(D1741,LEN(D1741)-3,3)),""))</f>
        <v/>
      </c>
      <c r="X1741" s="33">
        <f>IF(W1741="","",P1741&amp;"|"&amp;W1741)</f>
        <v/>
      </c>
      <c r="Y1741" s="33">
        <f>IF(W1741="","",IF(P1741="À RENSEIGNER","GIC",P1741)&amp;"-"&amp;TEXT(W1741,"000"))</f>
        <v/>
      </c>
      <c r="Z1741" s="33">
        <f>IF(X1741="","",IFERROR(INDEX(Cl_nom,MATCH(X1741,Cl_cle,0)),"(client introuvable)"))</f>
        <v/>
      </c>
      <c r="AA1741" s="33">
        <f>IF(X1741="","",IFERROR(INDEX(Cl_quartier,MATCH(X1741,Cl_cle,0))&amp;"",""))</f>
        <v/>
      </c>
      <c r="AB1741" s="45">
        <f>IF(R1741&lt;&gt;"Livrée",0,IF(K1741&lt;&gt;"",K1741,C1741))</f>
        <v/>
      </c>
      <c r="AC1741" s="33">
        <f>IF(OR(C1741="",W1741=""),"",P1741&amp;"|"&amp;W1741&amp;"|"&amp;C1741&amp;"|"&amp;E1741)</f>
        <v/>
      </c>
      <c r="AD1741" s="39">
        <f>IF(AC1741="","",IF(COUNTIF(AC$6:AC1741,AC1741)=1,1,0))</f>
        <v/>
      </c>
      <c r="AE1741" s="39">
        <f>IF(AB1741=0,"",IF(COUNTIFS(X$6:X1741,X1741,AB$6:AB1741,AB1741)=1,1,0))</f>
        <v/>
      </c>
      <c r="AF1741" s="34">
        <f>IF(C1741="","",YEAR(C1741-WEEKDAY(C1741,2)+4)&amp;"-S"&amp;TEXT(INT((C1741-DATE(YEAR(C1741-WEEKDAY(C1741,2)+4),1,3)+WEEKDAY(DATE(YEAR(C1741-WEEKDAY(C1741,2)+4),1,3),2)+5)/7),"00"))</f>
        <v/>
      </c>
    </row>
    <row r="1742" ht="18" customHeight="1">
      <c r="A1742" s="39" t="n">
        <v>1737</v>
      </c>
      <c r="B1742" s="33">
        <f>IF(C1742="","",IF(P1742="À RENSEIGNER","GIC",P1742)&amp;"-C"&amp;TEXT(A1742,"00000"))</f>
        <v/>
      </c>
      <c r="C1742" s="32" t="n"/>
      <c r="D1742" s="36" t="n"/>
      <c r="E1742" s="36" t="n"/>
      <c r="F1742" s="36" t="n"/>
      <c r="G1742" s="42" t="n"/>
      <c r="H1742" s="37" t="n"/>
      <c r="I1742" s="37" t="n"/>
      <c r="J1742" s="32" t="n"/>
      <c r="K1742" s="32" t="n"/>
      <c r="L1742" s="43" t="n"/>
      <c r="M1742" s="36" t="n"/>
      <c r="N1742" s="44" t="n"/>
      <c r="O1742" s="36" t="n"/>
      <c r="P1742" s="33">
        <f>IF(C1742="","",Commercial_Id)</f>
        <v/>
      </c>
      <c r="Q1742" s="34">
        <f>IF(AC1742="","",IF(AD1742=1,"C"&amp;TEXT(SUM(AD$6:AD1742),"0000"),INDEX(Q$6:Q1741,MATCH(AC1742,AC$6:AC1741,0))))</f>
        <v/>
      </c>
      <c r="R1742" s="34">
        <f>IF(C1742="","",IF(L1742="☑ Oui","Annulée",IF(OR(E1742="Vente directe",K1742&lt;&gt;""),"Livrée",IF(J1742&lt;&gt;"","Confirmée","En attente"))))</f>
        <v/>
      </c>
      <c r="S1742" s="34">
        <f>IF(F1742="","",IFERROR(VLOOKUP(F1742,T_Produits,2,FALSE),""))</f>
        <v/>
      </c>
      <c r="T1742" s="40">
        <f>IF(F1742="","",IFERROR(1/(1/VLOOKUP(F1742,T_Produits,3,FALSE)),""))</f>
        <v/>
      </c>
      <c r="U1742" s="40">
        <f>IF(H1742&lt;&gt;"",H1742,T1742)</f>
        <v/>
      </c>
      <c r="V1742" s="40">
        <f>IF(OR(G1742="",U1742=""),"",G1742*U1742-N(I1742))</f>
        <v/>
      </c>
      <c r="W1742" s="39">
        <f>IF(D1742="","",IFERROR(VALUE(MID(D1742,LEN(D1742)-3,3)),""))</f>
        <v/>
      </c>
      <c r="X1742" s="33">
        <f>IF(W1742="","",P1742&amp;"|"&amp;W1742)</f>
        <v/>
      </c>
      <c r="Y1742" s="33">
        <f>IF(W1742="","",IF(P1742="À RENSEIGNER","GIC",P1742)&amp;"-"&amp;TEXT(W1742,"000"))</f>
        <v/>
      </c>
      <c r="Z1742" s="33">
        <f>IF(X1742="","",IFERROR(INDEX(Cl_nom,MATCH(X1742,Cl_cle,0)),"(client introuvable)"))</f>
        <v/>
      </c>
      <c r="AA1742" s="33">
        <f>IF(X1742="","",IFERROR(INDEX(Cl_quartier,MATCH(X1742,Cl_cle,0))&amp;"",""))</f>
        <v/>
      </c>
      <c r="AB1742" s="45">
        <f>IF(R1742&lt;&gt;"Livrée",0,IF(K1742&lt;&gt;"",K1742,C1742))</f>
        <v/>
      </c>
      <c r="AC1742" s="33">
        <f>IF(OR(C1742="",W1742=""),"",P1742&amp;"|"&amp;W1742&amp;"|"&amp;C1742&amp;"|"&amp;E1742)</f>
        <v/>
      </c>
      <c r="AD1742" s="39">
        <f>IF(AC1742="","",IF(COUNTIF(AC$6:AC1742,AC1742)=1,1,0))</f>
        <v/>
      </c>
      <c r="AE1742" s="39">
        <f>IF(AB1742=0,"",IF(COUNTIFS(X$6:X1742,X1742,AB$6:AB1742,AB1742)=1,1,0))</f>
        <v/>
      </c>
      <c r="AF1742" s="34">
        <f>IF(C1742="","",YEAR(C1742-WEEKDAY(C1742,2)+4)&amp;"-S"&amp;TEXT(INT((C1742-DATE(YEAR(C1742-WEEKDAY(C1742,2)+4),1,3)+WEEKDAY(DATE(YEAR(C1742-WEEKDAY(C1742,2)+4),1,3),2)+5)/7),"00"))</f>
        <v/>
      </c>
    </row>
    <row r="1743" ht="18" customHeight="1">
      <c r="A1743" s="39" t="n">
        <v>1738</v>
      </c>
      <c r="B1743" s="33">
        <f>IF(C1743="","",IF(P1743="À RENSEIGNER","GIC",P1743)&amp;"-C"&amp;TEXT(A1743,"00000"))</f>
        <v/>
      </c>
      <c r="C1743" s="32" t="n"/>
      <c r="D1743" s="36" t="n"/>
      <c r="E1743" s="36" t="n"/>
      <c r="F1743" s="36" t="n"/>
      <c r="G1743" s="42" t="n"/>
      <c r="H1743" s="37" t="n"/>
      <c r="I1743" s="37" t="n"/>
      <c r="J1743" s="32" t="n"/>
      <c r="K1743" s="32" t="n"/>
      <c r="L1743" s="43" t="n"/>
      <c r="M1743" s="36" t="n"/>
      <c r="N1743" s="44" t="n"/>
      <c r="O1743" s="36" t="n"/>
      <c r="P1743" s="33">
        <f>IF(C1743="","",Commercial_Id)</f>
        <v/>
      </c>
      <c r="Q1743" s="34">
        <f>IF(AC1743="","",IF(AD1743=1,"C"&amp;TEXT(SUM(AD$6:AD1743),"0000"),INDEX(Q$6:Q1742,MATCH(AC1743,AC$6:AC1742,0))))</f>
        <v/>
      </c>
      <c r="R1743" s="34">
        <f>IF(C1743="","",IF(L1743="☑ Oui","Annulée",IF(OR(E1743="Vente directe",K1743&lt;&gt;""),"Livrée",IF(J1743&lt;&gt;"","Confirmée","En attente"))))</f>
        <v/>
      </c>
      <c r="S1743" s="34">
        <f>IF(F1743="","",IFERROR(VLOOKUP(F1743,T_Produits,2,FALSE),""))</f>
        <v/>
      </c>
      <c r="T1743" s="40">
        <f>IF(F1743="","",IFERROR(1/(1/VLOOKUP(F1743,T_Produits,3,FALSE)),""))</f>
        <v/>
      </c>
      <c r="U1743" s="40">
        <f>IF(H1743&lt;&gt;"",H1743,T1743)</f>
        <v/>
      </c>
      <c r="V1743" s="40">
        <f>IF(OR(G1743="",U1743=""),"",G1743*U1743-N(I1743))</f>
        <v/>
      </c>
      <c r="W1743" s="39">
        <f>IF(D1743="","",IFERROR(VALUE(MID(D1743,LEN(D1743)-3,3)),""))</f>
        <v/>
      </c>
      <c r="X1743" s="33">
        <f>IF(W1743="","",P1743&amp;"|"&amp;W1743)</f>
        <v/>
      </c>
      <c r="Y1743" s="33">
        <f>IF(W1743="","",IF(P1743="À RENSEIGNER","GIC",P1743)&amp;"-"&amp;TEXT(W1743,"000"))</f>
        <v/>
      </c>
      <c r="Z1743" s="33">
        <f>IF(X1743="","",IFERROR(INDEX(Cl_nom,MATCH(X1743,Cl_cle,0)),"(client introuvable)"))</f>
        <v/>
      </c>
      <c r="AA1743" s="33">
        <f>IF(X1743="","",IFERROR(INDEX(Cl_quartier,MATCH(X1743,Cl_cle,0))&amp;"",""))</f>
        <v/>
      </c>
      <c r="AB1743" s="45">
        <f>IF(R1743&lt;&gt;"Livrée",0,IF(K1743&lt;&gt;"",K1743,C1743))</f>
        <v/>
      </c>
      <c r="AC1743" s="33">
        <f>IF(OR(C1743="",W1743=""),"",P1743&amp;"|"&amp;W1743&amp;"|"&amp;C1743&amp;"|"&amp;E1743)</f>
        <v/>
      </c>
      <c r="AD1743" s="39">
        <f>IF(AC1743="","",IF(COUNTIF(AC$6:AC1743,AC1743)=1,1,0))</f>
        <v/>
      </c>
      <c r="AE1743" s="39">
        <f>IF(AB1743=0,"",IF(COUNTIFS(X$6:X1743,X1743,AB$6:AB1743,AB1743)=1,1,0))</f>
        <v/>
      </c>
      <c r="AF1743" s="34">
        <f>IF(C1743="","",YEAR(C1743-WEEKDAY(C1743,2)+4)&amp;"-S"&amp;TEXT(INT((C1743-DATE(YEAR(C1743-WEEKDAY(C1743,2)+4),1,3)+WEEKDAY(DATE(YEAR(C1743-WEEKDAY(C1743,2)+4),1,3),2)+5)/7),"00"))</f>
        <v/>
      </c>
    </row>
    <row r="1744" ht="18" customHeight="1">
      <c r="A1744" s="39" t="n">
        <v>1739</v>
      </c>
      <c r="B1744" s="33">
        <f>IF(C1744="","",IF(P1744="À RENSEIGNER","GIC",P1744)&amp;"-C"&amp;TEXT(A1744,"00000"))</f>
        <v/>
      </c>
      <c r="C1744" s="32" t="n"/>
      <c r="D1744" s="36" t="n"/>
      <c r="E1744" s="36" t="n"/>
      <c r="F1744" s="36" t="n"/>
      <c r="G1744" s="42" t="n"/>
      <c r="H1744" s="37" t="n"/>
      <c r="I1744" s="37" t="n"/>
      <c r="J1744" s="32" t="n"/>
      <c r="K1744" s="32" t="n"/>
      <c r="L1744" s="43" t="n"/>
      <c r="M1744" s="36" t="n"/>
      <c r="N1744" s="44" t="n"/>
      <c r="O1744" s="36" t="n"/>
      <c r="P1744" s="33">
        <f>IF(C1744="","",Commercial_Id)</f>
        <v/>
      </c>
      <c r="Q1744" s="34">
        <f>IF(AC1744="","",IF(AD1744=1,"C"&amp;TEXT(SUM(AD$6:AD1744),"0000"),INDEX(Q$6:Q1743,MATCH(AC1744,AC$6:AC1743,0))))</f>
        <v/>
      </c>
      <c r="R1744" s="34">
        <f>IF(C1744="","",IF(L1744="☑ Oui","Annulée",IF(OR(E1744="Vente directe",K1744&lt;&gt;""),"Livrée",IF(J1744&lt;&gt;"","Confirmée","En attente"))))</f>
        <v/>
      </c>
      <c r="S1744" s="34">
        <f>IF(F1744="","",IFERROR(VLOOKUP(F1744,T_Produits,2,FALSE),""))</f>
        <v/>
      </c>
      <c r="T1744" s="40">
        <f>IF(F1744="","",IFERROR(1/(1/VLOOKUP(F1744,T_Produits,3,FALSE)),""))</f>
        <v/>
      </c>
      <c r="U1744" s="40">
        <f>IF(H1744&lt;&gt;"",H1744,T1744)</f>
        <v/>
      </c>
      <c r="V1744" s="40">
        <f>IF(OR(G1744="",U1744=""),"",G1744*U1744-N(I1744))</f>
        <v/>
      </c>
      <c r="W1744" s="39">
        <f>IF(D1744="","",IFERROR(VALUE(MID(D1744,LEN(D1744)-3,3)),""))</f>
        <v/>
      </c>
      <c r="X1744" s="33">
        <f>IF(W1744="","",P1744&amp;"|"&amp;W1744)</f>
        <v/>
      </c>
      <c r="Y1744" s="33">
        <f>IF(W1744="","",IF(P1744="À RENSEIGNER","GIC",P1744)&amp;"-"&amp;TEXT(W1744,"000"))</f>
        <v/>
      </c>
      <c r="Z1744" s="33">
        <f>IF(X1744="","",IFERROR(INDEX(Cl_nom,MATCH(X1744,Cl_cle,0)),"(client introuvable)"))</f>
        <v/>
      </c>
      <c r="AA1744" s="33">
        <f>IF(X1744="","",IFERROR(INDEX(Cl_quartier,MATCH(X1744,Cl_cle,0))&amp;"",""))</f>
        <v/>
      </c>
      <c r="AB1744" s="45">
        <f>IF(R1744&lt;&gt;"Livrée",0,IF(K1744&lt;&gt;"",K1744,C1744))</f>
        <v/>
      </c>
      <c r="AC1744" s="33">
        <f>IF(OR(C1744="",W1744=""),"",P1744&amp;"|"&amp;W1744&amp;"|"&amp;C1744&amp;"|"&amp;E1744)</f>
        <v/>
      </c>
      <c r="AD1744" s="39">
        <f>IF(AC1744="","",IF(COUNTIF(AC$6:AC1744,AC1744)=1,1,0))</f>
        <v/>
      </c>
      <c r="AE1744" s="39">
        <f>IF(AB1744=0,"",IF(COUNTIFS(X$6:X1744,X1744,AB$6:AB1744,AB1744)=1,1,0))</f>
        <v/>
      </c>
      <c r="AF1744" s="34">
        <f>IF(C1744="","",YEAR(C1744-WEEKDAY(C1744,2)+4)&amp;"-S"&amp;TEXT(INT((C1744-DATE(YEAR(C1744-WEEKDAY(C1744,2)+4),1,3)+WEEKDAY(DATE(YEAR(C1744-WEEKDAY(C1744,2)+4),1,3),2)+5)/7),"00"))</f>
        <v/>
      </c>
    </row>
    <row r="1745" ht="18" customHeight="1">
      <c r="A1745" s="39" t="n">
        <v>1740</v>
      </c>
      <c r="B1745" s="33">
        <f>IF(C1745="","",IF(P1745="À RENSEIGNER","GIC",P1745)&amp;"-C"&amp;TEXT(A1745,"00000"))</f>
        <v/>
      </c>
      <c r="C1745" s="32" t="n"/>
      <c r="D1745" s="36" t="n"/>
      <c r="E1745" s="36" t="n"/>
      <c r="F1745" s="36" t="n"/>
      <c r="G1745" s="42" t="n"/>
      <c r="H1745" s="37" t="n"/>
      <c r="I1745" s="37" t="n"/>
      <c r="J1745" s="32" t="n"/>
      <c r="K1745" s="32" t="n"/>
      <c r="L1745" s="43" t="n"/>
      <c r="M1745" s="36" t="n"/>
      <c r="N1745" s="44" t="n"/>
      <c r="O1745" s="36" t="n"/>
      <c r="P1745" s="33">
        <f>IF(C1745="","",Commercial_Id)</f>
        <v/>
      </c>
      <c r="Q1745" s="34">
        <f>IF(AC1745="","",IF(AD1745=1,"C"&amp;TEXT(SUM(AD$6:AD1745),"0000"),INDEX(Q$6:Q1744,MATCH(AC1745,AC$6:AC1744,0))))</f>
        <v/>
      </c>
      <c r="R1745" s="34">
        <f>IF(C1745="","",IF(L1745="☑ Oui","Annulée",IF(OR(E1745="Vente directe",K1745&lt;&gt;""),"Livrée",IF(J1745&lt;&gt;"","Confirmée","En attente"))))</f>
        <v/>
      </c>
      <c r="S1745" s="34">
        <f>IF(F1745="","",IFERROR(VLOOKUP(F1745,T_Produits,2,FALSE),""))</f>
        <v/>
      </c>
      <c r="T1745" s="40">
        <f>IF(F1745="","",IFERROR(1/(1/VLOOKUP(F1745,T_Produits,3,FALSE)),""))</f>
        <v/>
      </c>
      <c r="U1745" s="40">
        <f>IF(H1745&lt;&gt;"",H1745,T1745)</f>
        <v/>
      </c>
      <c r="V1745" s="40">
        <f>IF(OR(G1745="",U1745=""),"",G1745*U1745-N(I1745))</f>
        <v/>
      </c>
      <c r="W1745" s="39">
        <f>IF(D1745="","",IFERROR(VALUE(MID(D1745,LEN(D1745)-3,3)),""))</f>
        <v/>
      </c>
      <c r="X1745" s="33">
        <f>IF(W1745="","",P1745&amp;"|"&amp;W1745)</f>
        <v/>
      </c>
      <c r="Y1745" s="33">
        <f>IF(W1745="","",IF(P1745="À RENSEIGNER","GIC",P1745)&amp;"-"&amp;TEXT(W1745,"000"))</f>
        <v/>
      </c>
      <c r="Z1745" s="33">
        <f>IF(X1745="","",IFERROR(INDEX(Cl_nom,MATCH(X1745,Cl_cle,0)),"(client introuvable)"))</f>
        <v/>
      </c>
      <c r="AA1745" s="33">
        <f>IF(X1745="","",IFERROR(INDEX(Cl_quartier,MATCH(X1745,Cl_cle,0))&amp;"",""))</f>
        <v/>
      </c>
      <c r="AB1745" s="45">
        <f>IF(R1745&lt;&gt;"Livrée",0,IF(K1745&lt;&gt;"",K1745,C1745))</f>
        <v/>
      </c>
      <c r="AC1745" s="33">
        <f>IF(OR(C1745="",W1745=""),"",P1745&amp;"|"&amp;W1745&amp;"|"&amp;C1745&amp;"|"&amp;E1745)</f>
        <v/>
      </c>
      <c r="AD1745" s="39">
        <f>IF(AC1745="","",IF(COUNTIF(AC$6:AC1745,AC1745)=1,1,0))</f>
        <v/>
      </c>
      <c r="AE1745" s="39">
        <f>IF(AB1745=0,"",IF(COUNTIFS(X$6:X1745,X1745,AB$6:AB1745,AB1745)=1,1,0))</f>
        <v/>
      </c>
      <c r="AF1745" s="34">
        <f>IF(C1745="","",YEAR(C1745-WEEKDAY(C1745,2)+4)&amp;"-S"&amp;TEXT(INT((C1745-DATE(YEAR(C1745-WEEKDAY(C1745,2)+4),1,3)+WEEKDAY(DATE(YEAR(C1745-WEEKDAY(C1745,2)+4),1,3),2)+5)/7),"00"))</f>
        <v/>
      </c>
    </row>
    <row r="1746" ht="18" customHeight="1">
      <c r="A1746" s="39" t="n">
        <v>1741</v>
      </c>
      <c r="B1746" s="33">
        <f>IF(C1746="","",IF(P1746="À RENSEIGNER","GIC",P1746)&amp;"-C"&amp;TEXT(A1746,"00000"))</f>
        <v/>
      </c>
      <c r="C1746" s="32" t="n"/>
      <c r="D1746" s="36" t="n"/>
      <c r="E1746" s="36" t="n"/>
      <c r="F1746" s="36" t="n"/>
      <c r="G1746" s="42" t="n"/>
      <c r="H1746" s="37" t="n"/>
      <c r="I1746" s="37" t="n"/>
      <c r="J1746" s="32" t="n"/>
      <c r="K1746" s="32" t="n"/>
      <c r="L1746" s="43" t="n"/>
      <c r="M1746" s="36" t="n"/>
      <c r="N1746" s="44" t="n"/>
      <c r="O1746" s="36" t="n"/>
      <c r="P1746" s="33">
        <f>IF(C1746="","",Commercial_Id)</f>
        <v/>
      </c>
      <c r="Q1746" s="34">
        <f>IF(AC1746="","",IF(AD1746=1,"C"&amp;TEXT(SUM(AD$6:AD1746),"0000"),INDEX(Q$6:Q1745,MATCH(AC1746,AC$6:AC1745,0))))</f>
        <v/>
      </c>
      <c r="R1746" s="34">
        <f>IF(C1746="","",IF(L1746="☑ Oui","Annulée",IF(OR(E1746="Vente directe",K1746&lt;&gt;""),"Livrée",IF(J1746&lt;&gt;"","Confirmée","En attente"))))</f>
        <v/>
      </c>
      <c r="S1746" s="34">
        <f>IF(F1746="","",IFERROR(VLOOKUP(F1746,T_Produits,2,FALSE),""))</f>
        <v/>
      </c>
      <c r="T1746" s="40">
        <f>IF(F1746="","",IFERROR(1/(1/VLOOKUP(F1746,T_Produits,3,FALSE)),""))</f>
        <v/>
      </c>
      <c r="U1746" s="40">
        <f>IF(H1746&lt;&gt;"",H1746,T1746)</f>
        <v/>
      </c>
      <c r="V1746" s="40">
        <f>IF(OR(G1746="",U1746=""),"",G1746*U1746-N(I1746))</f>
        <v/>
      </c>
      <c r="W1746" s="39">
        <f>IF(D1746="","",IFERROR(VALUE(MID(D1746,LEN(D1746)-3,3)),""))</f>
        <v/>
      </c>
      <c r="X1746" s="33">
        <f>IF(W1746="","",P1746&amp;"|"&amp;W1746)</f>
        <v/>
      </c>
      <c r="Y1746" s="33">
        <f>IF(W1746="","",IF(P1746="À RENSEIGNER","GIC",P1746)&amp;"-"&amp;TEXT(W1746,"000"))</f>
        <v/>
      </c>
      <c r="Z1746" s="33">
        <f>IF(X1746="","",IFERROR(INDEX(Cl_nom,MATCH(X1746,Cl_cle,0)),"(client introuvable)"))</f>
        <v/>
      </c>
      <c r="AA1746" s="33">
        <f>IF(X1746="","",IFERROR(INDEX(Cl_quartier,MATCH(X1746,Cl_cle,0))&amp;"",""))</f>
        <v/>
      </c>
      <c r="AB1746" s="45">
        <f>IF(R1746&lt;&gt;"Livrée",0,IF(K1746&lt;&gt;"",K1746,C1746))</f>
        <v/>
      </c>
      <c r="AC1746" s="33">
        <f>IF(OR(C1746="",W1746=""),"",P1746&amp;"|"&amp;W1746&amp;"|"&amp;C1746&amp;"|"&amp;E1746)</f>
        <v/>
      </c>
      <c r="AD1746" s="39">
        <f>IF(AC1746="","",IF(COUNTIF(AC$6:AC1746,AC1746)=1,1,0))</f>
        <v/>
      </c>
      <c r="AE1746" s="39">
        <f>IF(AB1746=0,"",IF(COUNTIFS(X$6:X1746,X1746,AB$6:AB1746,AB1746)=1,1,0))</f>
        <v/>
      </c>
      <c r="AF1746" s="34">
        <f>IF(C1746="","",YEAR(C1746-WEEKDAY(C1746,2)+4)&amp;"-S"&amp;TEXT(INT((C1746-DATE(YEAR(C1746-WEEKDAY(C1746,2)+4),1,3)+WEEKDAY(DATE(YEAR(C1746-WEEKDAY(C1746,2)+4),1,3),2)+5)/7),"00"))</f>
        <v/>
      </c>
    </row>
    <row r="1747" ht="18" customHeight="1">
      <c r="A1747" s="39" t="n">
        <v>1742</v>
      </c>
      <c r="B1747" s="33">
        <f>IF(C1747="","",IF(P1747="À RENSEIGNER","GIC",P1747)&amp;"-C"&amp;TEXT(A1747,"00000"))</f>
        <v/>
      </c>
      <c r="C1747" s="32" t="n"/>
      <c r="D1747" s="36" t="n"/>
      <c r="E1747" s="36" t="n"/>
      <c r="F1747" s="36" t="n"/>
      <c r="G1747" s="42" t="n"/>
      <c r="H1747" s="37" t="n"/>
      <c r="I1747" s="37" t="n"/>
      <c r="J1747" s="32" t="n"/>
      <c r="K1747" s="32" t="n"/>
      <c r="L1747" s="43" t="n"/>
      <c r="M1747" s="36" t="n"/>
      <c r="N1747" s="44" t="n"/>
      <c r="O1747" s="36" t="n"/>
      <c r="P1747" s="33">
        <f>IF(C1747="","",Commercial_Id)</f>
        <v/>
      </c>
      <c r="Q1747" s="34">
        <f>IF(AC1747="","",IF(AD1747=1,"C"&amp;TEXT(SUM(AD$6:AD1747),"0000"),INDEX(Q$6:Q1746,MATCH(AC1747,AC$6:AC1746,0))))</f>
        <v/>
      </c>
      <c r="R1747" s="34">
        <f>IF(C1747="","",IF(L1747="☑ Oui","Annulée",IF(OR(E1747="Vente directe",K1747&lt;&gt;""),"Livrée",IF(J1747&lt;&gt;"","Confirmée","En attente"))))</f>
        <v/>
      </c>
      <c r="S1747" s="34">
        <f>IF(F1747="","",IFERROR(VLOOKUP(F1747,T_Produits,2,FALSE),""))</f>
        <v/>
      </c>
      <c r="T1747" s="40">
        <f>IF(F1747="","",IFERROR(1/(1/VLOOKUP(F1747,T_Produits,3,FALSE)),""))</f>
        <v/>
      </c>
      <c r="U1747" s="40">
        <f>IF(H1747&lt;&gt;"",H1747,T1747)</f>
        <v/>
      </c>
      <c r="V1747" s="40">
        <f>IF(OR(G1747="",U1747=""),"",G1747*U1747-N(I1747))</f>
        <v/>
      </c>
      <c r="W1747" s="39">
        <f>IF(D1747="","",IFERROR(VALUE(MID(D1747,LEN(D1747)-3,3)),""))</f>
        <v/>
      </c>
      <c r="X1747" s="33">
        <f>IF(W1747="","",P1747&amp;"|"&amp;W1747)</f>
        <v/>
      </c>
      <c r="Y1747" s="33">
        <f>IF(W1747="","",IF(P1747="À RENSEIGNER","GIC",P1747)&amp;"-"&amp;TEXT(W1747,"000"))</f>
        <v/>
      </c>
      <c r="Z1747" s="33">
        <f>IF(X1747="","",IFERROR(INDEX(Cl_nom,MATCH(X1747,Cl_cle,0)),"(client introuvable)"))</f>
        <v/>
      </c>
      <c r="AA1747" s="33">
        <f>IF(X1747="","",IFERROR(INDEX(Cl_quartier,MATCH(X1747,Cl_cle,0))&amp;"",""))</f>
        <v/>
      </c>
      <c r="AB1747" s="45">
        <f>IF(R1747&lt;&gt;"Livrée",0,IF(K1747&lt;&gt;"",K1747,C1747))</f>
        <v/>
      </c>
      <c r="AC1747" s="33">
        <f>IF(OR(C1747="",W1747=""),"",P1747&amp;"|"&amp;W1747&amp;"|"&amp;C1747&amp;"|"&amp;E1747)</f>
        <v/>
      </c>
      <c r="AD1747" s="39">
        <f>IF(AC1747="","",IF(COUNTIF(AC$6:AC1747,AC1747)=1,1,0))</f>
        <v/>
      </c>
      <c r="AE1747" s="39">
        <f>IF(AB1747=0,"",IF(COUNTIFS(X$6:X1747,X1747,AB$6:AB1747,AB1747)=1,1,0))</f>
        <v/>
      </c>
      <c r="AF1747" s="34">
        <f>IF(C1747="","",YEAR(C1747-WEEKDAY(C1747,2)+4)&amp;"-S"&amp;TEXT(INT((C1747-DATE(YEAR(C1747-WEEKDAY(C1747,2)+4),1,3)+WEEKDAY(DATE(YEAR(C1747-WEEKDAY(C1747,2)+4),1,3),2)+5)/7),"00"))</f>
        <v/>
      </c>
    </row>
    <row r="1748" ht="18" customHeight="1">
      <c r="A1748" s="39" t="n">
        <v>1743</v>
      </c>
      <c r="B1748" s="33">
        <f>IF(C1748="","",IF(P1748="À RENSEIGNER","GIC",P1748)&amp;"-C"&amp;TEXT(A1748,"00000"))</f>
        <v/>
      </c>
      <c r="C1748" s="32" t="n"/>
      <c r="D1748" s="36" t="n"/>
      <c r="E1748" s="36" t="n"/>
      <c r="F1748" s="36" t="n"/>
      <c r="G1748" s="42" t="n"/>
      <c r="H1748" s="37" t="n"/>
      <c r="I1748" s="37" t="n"/>
      <c r="J1748" s="32" t="n"/>
      <c r="K1748" s="32" t="n"/>
      <c r="L1748" s="43" t="n"/>
      <c r="M1748" s="36" t="n"/>
      <c r="N1748" s="44" t="n"/>
      <c r="O1748" s="36" t="n"/>
      <c r="P1748" s="33">
        <f>IF(C1748="","",Commercial_Id)</f>
        <v/>
      </c>
      <c r="Q1748" s="34">
        <f>IF(AC1748="","",IF(AD1748=1,"C"&amp;TEXT(SUM(AD$6:AD1748),"0000"),INDEX(Q$6:Q1747,MATCH(AC1748,AC$6:AC1747,0))))</f>
        <v/>
      </c>
      <c r="R1748" s="34">
        <f>IF(C1748="","",IF(L1748="☑ Oui","Annulée",IF(OR(E1748="Vente directe",K1748&lt;&gt;""),"Livrée",IF(J1748&lt;&gt;"","Confirmée","En attente"))))</f>
        <v/>
      </c>
      <c r="S1748" s="34">
        <f>IF(F1748="","",IFERROR(VLOOKUP(F1748,T_Produits,2,FALSE),""))</f>
        <v/>
      </c>
      <c r="T1748" s="40">
        <f>IF(F1748="","",IFERROR(1/(1/VLOOKUP(F1748,T_Produits,3,FALSE)),""))</f>
        <v/>
      </c>
      <c r="U1748" s="40">
        <f>IF(H1748&lt;&gt;"",H1748,T1748)</f>
        <v/>
      </c>
      <c r="V1748" s="40">
        <f>IF(OR(G1748="",U1748=""),"",G1748*U1748-N(I1748))</f>
        <v/>
      </c>
      <c r="W1748" s="39">
        <f>IF(D1748="","",IFERROR(VALUE(MID(D1748,LEN(D1748)-3,3)),""))</f>
        <v/>
      </c>
      <c r="X1748" s="33">
        <f>IF(W1748="","",P1748&amp;"|"&amp;W1748)</f>
        <v/>
      </c>
      <c r="Y1748" s="33">
        <f>IF(W1748="","",IF(P1748="À RENSEIGNER","GIC",P1748)&amp;"-"&amp;TEXT(W1748,"000"))</f>
        <v/>
      </c>
      <c r="Z1748" s="33">
        <f>IF(X1748="","",IFERROR(INDEX(Cl_nom,MATCH(X1748,Cl_cle,0)),"(client introuvable)"))</f>
        <v/>
      </c>
      <c r="AA1748" s="33">
        <f>IF(X1748="","",IFERROR(INDEX(Cl_quartier,MATCH(X1748,Cl_cle,0))&amp;"",""))</f>
        <v/>
      </c>
      <c r="AB1748" s="45">
        <f>IF(R1748&lt;&gt;"Livrée",0,IF(K1748&lt;&gt;"",K1748,C1748))</f>
        <v/>
      </c>
      <c r="AC1748" s="33">
        <f>IF(OR(C1748="",W1748=""),"",P1748&amp;"|"&amp;W1748&amp;"|"&amp;C1748&amp;"|"&amp;E1748)</f>
        <v/>
      </c>
      <c r="AD1748" s="39">
        <f>IF(AC1748="","",IF(COUNTIF(AC$6:AC1748,AC1748)=1,1,0))</f>
        <v/>
      </c>
      <c r="AE1748" s="39">
        <f>IF(AB1748=0,"",IF(COUNTIFS(X$6:X1748,X1748,AB$6:AB1748,AB1748)=1,1,0))</f>
        <v/>
      </c>
      <c r="AF1748" s="34">
        <f>IF(C1748="","",YEAR(C1748-WEEKDAY(C1748,2)+4)&amp;"-S"&amp;TEXT(INT((C1748-DATE(YEAR(C1748-WEEKDAY(C1748,2)+4),1,3)+WEEKDAY(DATE(YEAR(C1748-WEEKDAY(C1748,2)+4),1,3),2)+5)/7),"00"))</f>
        <v/>
      </c>
    </row>
    <row r="1749" ht="18" customHeight="1">
      <c r="A1749" s="39" t="n">
        <v>1744</v>
      </c>
      <c r="B1749" s="33">
        <f>IF(C1749="","",IF(P1749="À RENSEIGNER","GIC",P1749)&amp;"-C"&amp;TEXT(A1749,"00000"))</f>
        <v/>
      </c>
      <c r="C1749" s="32" t="n"/>
      <c r="D1749" s="36" t="n"/>
      <c r="E1749" s="36" t="n"/>
      <c r="F1749" s="36" t="n"/>
      <c r="G1749" s="42" t="n"/>
      <c r="H1749" s="37" t="n"/>
      <c r="I1749" s="37" t="n"/>
      <c r="J1749" s="32" t="n"/>
      <c r="K1749" s="32" t="n"/>
      <c r="L1749" s="43" t="n"/>
      <c r="M1749" s="36" t="n"/>
      <c r="N1749" s="44" t="n"/>
      <c r="O1749" s="36" t="n"/>
      <c r="P1749" s="33">
        <f>IF(C1749="","",Commercial_Id)</f>
        <v/>
      </c>
      <c r="Q1749" s="34">
        <f>IF(AC1749="","",IF(AD1749=1,"C"&amp;TEXT(SUM(AD$6:AD1749),"0000"),INDEX(Q$6:Q1748,MATCH(AC1749,AC$6:AC1748,0))))</f>
        <v/>
      </c>
      <c r="R1749" s="34">
        <f>IF(C1749="","",IF(L1749="☑ Oui","Annulée",IF(OR(E1749="Vente directe",K1749&lt;&gt;""),"Livrée",IF(J1749&lt;&gt;"","Confirmée","En attente"))))</f>
        <v/>
      </c>
      <c r="S1749" s="34">
        <f>IF(F1749="","",IFERROR(VLOOKUP(F1749,T_Produits,2,FALSE),""))</f>
        <v/>
      </c>
      <c r="T1749" s="40">
        <f>IF(F1749="","",IFERROR(1/(1/VLOOKUP(F1749,T_Produits,3,FALSE)),""))</f>
        <v/>
      </c>
      <c r="U1749" s="40">
        <f>IF(H1749&lt;&gt;"",H1749,T1749)</f>
        <v/>
      </c>
      <c r="V1749" s="40">
        <f>IF(OR(G1749="",U1749=""),"",G1749*U1749-N(I1749))</f>
        <v/>
      </c>
      <c r="W1749" s="39">
        <f>IF(D1749="","",IFERROR(VALUE(MID(D1749,LEN(D1749)-3,3)),""))</f>
        <v/>
      </c>
      <c r="X1749" s="33">
        <f>IF(W1749="","",P1749&amp;"|"&amp;W1749)</f>
        <v/>
      </c>
      <c r="Y1749" s="33">
        <f>IF(W1749="","",IF(P1749="À RENSEIGNER","GIC",P1749)&amp;"-"&amp;TEXT(W1749,"000"))</f>
        <v/>
      </c>
      <c r="Z1749" s="33">
        <f>IF(X1749="","",IFERROR(INDEX(Cl_nom,MATCH(X1749,Cl_cle,0)),"(client introuvable)"))</f>
        <v/>
      </c>
      <c r="AA1749" s="33">
        <f>IF(X1749="","",IFERROR(INDEX(Cl_quartier,MATCH(X1749,Cl_cle,0))&amp;"",""))</f>
        <v/>
      </c>
      <c r="AB1749" s="45">
        <f>IF(R1749&lt;&gt;"Livrée",0,IF(K1749&lt;&gt;"",K1749,C1749))</f>
        <v/>
      </c>
      <c r="AC1749" s="33">
        <f>IF(OR(C1749="",W1749=""),"",P1749&amp;"|"&amp;W1749&amp;"|"&amp;C1749&amp;"|"&amp;E1749)</f>
        <v/>
      </c>
      <c r="AD1749" s="39">
        <f>IF(AC1749="","",IF(COUNTIF(AC$6:AC1749,AC1749)=1,1,0))</f>
        <v/>
      </c>
      <c r="AE1749" s="39">
        <f>IF(AB1749=0,"",IF(COUNTIFS(X$6:X1749,X1749,AB$6:AB1749,AB1749)=1,1,0))</f>
        <v/>
      </c>
      <c r="AF1749" s="34">
        <f>IF(C1749="","",YEAR(C1749-WEEKDAY(C1749,2)+4)&amp;"-S"&amp;TEXT(INT((C1749-DATE(YEAR(C1749-WEEKDAY(C1749,2)+4),1,3)+WEEKDAY(DATE(YEAR(C1749-WEEKDAY(C1749,2)+4),1,3),2)+5)/7),"00"))</f>
        <v/>
      </c>
    </row>
    <row r="1750" ht="18" customHeight="1">
      <c r="A1750" s="39" t="n">
        <v>1745</v>
      </c>
      <c r="B1750" s="33">
        <f>IF(C1750="","",IF(P1750="À RENSEIGNER","GIC",P1750)&amp;"-C"&amp;TEXT(A1750,"00000"))</f>
        <v/>
      </c>
      <c r="C1750" s="32" t="n"/>
      <c r="D1750" s="36" t="n"/>
      <c r="E1750" s="36" t="n"/>
      <c r="F1750" s="36" t="n"/>
      <c r="G1750" s="42" t="n"/>
      <c r="H1750" s="37" t="n"/>
      <c r="I1750" s="37" t="n"/>
      <c r="J1750" s="32" t="n"/>
      <c r="K1750" s="32" t="n"/>
      <c r="L1750" s="43" t="n"/>
      <c r="M1750" s="36" t="n"/>
      <c r="N1750" s="44" t="n"/>
      <c r="O1750" s="36" t="n"/>
      <c r="P1750" s="33">
        <f>IF(C1750="","",Commercial_Id)</f>
        <v/>
      </c>
      <c r="Q1750" s="34">
        <f>IF(AC1750="","",IF(AD1750=1,"C"&amp;TEXT(SUM(AD$6:AD1750),"0000"),INDEX(Q$6:Q1749,MATCH(AC1750,AC$6:AC1749,0))))</f>
        <v/>
      </c>
      <c r="R1750" s="34">
        <f>IF(C1750="","",IF(L1750="☑ Oui","Annulée",IF(OR(E1750="Vente directe",K1750&lt;&gt;""),"Livrée",IF(J1750&lt;&gt;"","Confirmée","En attente"))))</f>
        <v/>
      </c>
      <c r="S1750" s="34">
        <f>IF(F1750="","",IFERROR(VLOOKUP(F1750,T_Produits,2,FALSE),""))</f>
        <v/>
      </c>
      <c r="T1750" s="40">
        <f>IF(F1750="","",IFERROR(1/(1/VLOOKUP(F1750,T_Produits,3,FALSE)),""))</f>
        <v/>
      </c>
      <c r="U1750" s="40">
        <f>IF(H1750&lt;&gt;"",H1750,T1750)</f>
        <v/>
      </c>
      <c r="V1750" s="40">
        <f>IF(OR(G1750="",U1750=""),"",G1750*U1750-N(I1750))</f>
        <v/>
      </c>
      <c r="W1750" s="39">
        <f>IF(D1750="","",IFERROR(VALUE(MID(D1750,LEN(D1750)-3,3)),""))</f>
        <v/>
      </c>
      <c r="X1750" s="33">
        <f>IF(W1750="","",P1750&amp;"|"&amp;W1750)</f>
        <v/>
      </c>
      <c r="Y1750" s="33">
        <f>IF(W1750="","",IF(P1750="À RENSEIGNER","GIC",P1750)&amp;"-"&amp;TEXT(W1750,"000"))</f>
        <v/>
      </c>
      <c r="Z1750" s="33">
        <f>IF(X1750="","",IFERROR(INDEX(Cl_nom,MATCH(X1750,Cl_cle,0)),"(client introuvable)"))</f>
        <v/>
      </c>
      <c r="AA1750" s="33">
        <f>IF(X1750="","",IFERROR(INDEX(Cl_quartier,MATCH(X1750,Cl_cle,0))&amp;"",""))</f>
        <v/>
      </c>
      <c r="AB1750" s="45">
        <f>IF(R1750&lt;&gt;"Livrée",0,IF(K1750&lt;&gt;"",K1750,C1750))</f>
        <v/>
      </c>
      <c r="AC1750" s="33">
        <f>IF(OR(C1750="",W1750=""),"",P1750&amp;"|"&amp;W1750&amp;"|"&amp;C1750&amp;"|"&amp;E1750)</f>
        <v/>
      </c>
      <c r="AD1750" s="39">
        <f>IF(AC1750="","",IF(COUNTIF(AC$6:AC1750,AC1750)=1,1,0))</f>
        <v/>
      </c>
      <c r="AE1750" s="39">
        <f>IF(AB1750=0,"",IF(COUNTIFS(X$6:X1750,X1750,AB$6:AB1750,AB1750)=1,1,0))</f>
        <v/>
      </c>
      <c r="AF1750" s="34">
        <f>IF(C1750="","",YEAR(C1750-WEEKDAY(C1750,2)+4)&amp;"-S"&amp;TEXT(INT((C1750-DATE(YEAR(C1750-WEEKDAY(C1750,2)+4),1,3)+WEEKDAY(DATE(YEAR(C1750-WEEKDAY(C1750,2)+4),1,3),2)+5)/7),"00"))</f>
        <v/>
      </c>
    </row>
    <row r="1751" ht="18" customHeight="1">
      <c r="A1751" s="39" t="n">
        <v>1746</v>
      </c>
      <c r="B1751" s="33">
        <f>IF(C1751="","",IF(P1751="À RENSEIGNER","GIC",P1751)&amp;"-C"&amp;TEXT(A1751,"00000"))</f>
        <v/>
      </c>
      <c r="C1751" s="32" t="n"/>
      <c r="D1751" s="36" t="n"/>
      <c r="E1751" s="36" t="n"/>
      <c r="F1751" s="36" t="n"/>
      <c r="G1751" s="42" t="n"/>
      <c r="H1751" s="37" t="n"/>
      <c r="I1751" s="37" t="n"/>
      <c r="J1751" s="32" t="n"/>
      <c r="K1751" s="32" t="n"/>
      <c r="L1751" s="43" t="n"/>
      <c r="M1751" s="36" t="n"/>
      <c r="N1751" s="44" t="n"/>
      <c r="O1751" s="36" t="n"/>
      <c r="P1751" s="33">
        <f>IF(C1751="","",Commercial_Id)</f>
        <v/>
      </c>
      <c r="Q1751" s="34">
        <f>IF(AC1751="","",IF(AD1751=1,"C"&amp;TEXT(SUM(AD$6:AD1751),"0000"),INDEX(Q$6:Q1750,MATCH(AC1751,AC$6:AC1750,0))))</f>
        <v/>
      </c>
      <c r="R1751" s="34">
        <f>IF(C1751="","",IF(L1751="☑ Oui","Annulée",IF(OR(E1751="Vente directe",K1751&lt;&gt;""),"Livrée",IF(J1751&lt;&gt;"","Confirmée","En attente"))))</f>
        <v/>
      </c>
      <c r="S1751" s="34">
        <f>IF(F1751="","",IFERROR(VLOOKUP(F1751,T_Produits,2,FALSE),""))</f>
        <v/>
      </c>
      <c r="T1751" s="40">
        <f>IF(F1751="","",IFERROR(1/(1/VLOOKUP(F1751,T_Produits,3,FALSE)),""))</f>
        <v/>
      </c>
      <c r="U1751" s="40">
        <f>IF(H1751&lt;&gt;"",H1751,T1751)</f>
        <v/>
      </c>
      <c r="V1751" s="40">
        <f>IF(OR(G1751="",U1751=""),"",G1751*U1751-N(I1751))</f>
        <v/>
      </c>
      <c r="W1751" s="39">
        <f>IF(D1751="","",IFERROR(VALUE(MID(D1751,LEN(D1751)-3,3)),""))</f>
        <v/>
      </c>
      <c r="X1751" s="33">
        <f>IF(W1751="","",P1751&amp;"|"&amp;W1751)</f>
        <v/>
      </c>
      <c r="Y1751" s="33">
        <f>IF(W1751="","",IF(P1751="À RENSEIGNER","GIC",P1751)&amp;"-"&amp;TEXT(W1751,"000"))</f>
        <v/>
      </c>
      <c r="Z1751" s="33">
        <f>IF(X1751="","",IFERROR(INDEX(Cl_nom,MATCH(X1751,Cl_cle,0)),"(client introuvable)"))</f>
        <v/>
      </c>
      <c r="AA1751" s="33">
        <f>IF(X1751="","",IFERROR(INDEX(Cl_quartier,MATCH(X1751,Cl_cle,0))&amp;"",""))</f>
        <v/>
      </c>
      <c r="AB1751" s="45">
        <f>IF(R1751&lt;&gt;"Livrée",0,IF(K1751&lt;&gt;"",K1751,C1751))</f>
        <v/>
      </c>
      <c r="AC1751" s="33">
        <f>IF(OR(C1751="",W1751=""),"",P1751&amp;"|"&amp;W1751&amp;"|"&amp;C1751&amp;"|"&amp;E1751)</f>
        <v/>
      </c>
      <c r="AD1751" s="39">
        <f>IF(AC1751="","",IF(COUNTIF(AC$6:AC1751,AC1751)=1,1,0))</f>
        <v/>
      </c>
      <c r="AE1751" s="39">
        <f>IF(AB1751=0,"",IF(COUNTIFS(X$6:X1751,X1751,AB$6:AB1751,AB1751)=1,1,0))</f>
        <v/>
      </c>
      <c r="AF1751" s="34">
        <f>IF(C1751="","",YEAR(C1751-WEEKDAY(C1751,2)+4)&amp;"-S"&amp;TEXT(INT((C1751-DATE(YEAR(C1751-WEEKDAY(C1751,2)+4),1,3)+WEEKDAY(DATE(YEAR(C1751-WEEKDAY(C1751,2)+4),1,3),2)+5)/7),"00"))</f>
        <v/>
      </c>
    </row>
    <row r="1752" ht="18" customHeight="1">
      <c r="A1752" s="39" t="n">
        <v>1747</v>
      </c>
      <c r="B1752" s="33">
        <f>IF(C1752="","",IF(P1752="À RENSEIGNER","GIC",P1752)&amp;"-C"&amp;TEXT(A1752,"00000"))</f>
        <v/>
      </c>
      <c r="C1752" s="32" t="n"/>
      <c r="D1752" s="36" t="n"/>
      <c r="E1752" s="36" t="n"/>
      <c r="F1752" s="36" t="n"/>
      <c r="G1752" s="42" t="n"/>
      <c r="H1752" s="37" t="n"/>
      <c r="I1752" s="37" t="n"/>
      <c r="J1752" s="32" t="n"/>
      <c r="K1752" s="32" t="n"/>
      <c r="L1752" s="43" t="n"/>
      <c r="M1752" s="36" t="n"/>
      <c r="N1752" s="44" t="n"/>
      <c r="O1752" s="36" t="n"/>
      <c r="P1752" s="33">
        <f>IF(C1752="","",Commercial_Id)</f>
        <v/>
      </c>
      <c r="Q1752" s="34">
        <f>IF(AC1752="","",IF(AD1752=1,"C"&amp;TEXT(SUM(AD$6:AD1752),"0000"),INDEX(Q$6:Q1751,MATCH(AC1752,AC$6:AC1751,0))))</f>
        <v/>
      </c>
      <c r="R1752" s="34">
        <f>IF(C1752="","",IF(L1752="☑ Oui","Annulée",IF(OR(E1752="Vente directe",K1752&lt;&gt;""),"Livrée",IF(J1752&lt;&gt;"","Confirmée","En attente"))))</f>
        <v/>
      </c>
      <c r="S1752" s="34">
        <f>IF(F1752="","",IFERROR(VLOOKUP(F1752,T_Produits,2,FALSE),""))</f>
        <v/>
      </c>
      <c r="T1752" s="40">
        <f>IF(F1752="","",IFERROR(1/(1/VLOOKUP(F1752,T_Produits,3,FALSE)),""))</f>
        <v/>
      </c>
      <c r="U1752" s="40">
        <f>IF(H1752&lt;&gt;"",H1752,T1752)</f>
        <v/>
      </c>
      <c r="V1752" s="40">
        <f>IF(OR(G1752="",U1752=""),"",G1752*U1752-N(I1752))</f>
        <v/>
      </c>
      <c r="W1752" s="39">
        <f>IF(D1752="","",IFERROR(VALUE(MID(D1752,LEN(D1752)-3,3)),""))</f>
        <v/>
      </c>
      <c r="X1752" s="33">
        <f>IF(W1752="","",P1752&amp;"|"&amp;W1752)</f>
        <v/>
      </c>
      <c r="Y1752" s="33">
        <f>IF(W1752="","",IF(P1752="À RENSEIGNER","GIC",P1752)&amp;"-"&amp;TEXT(W1752,"000"))</f>
        <v/>
      </c>
      <c r="Z1752" s="33">
        <f>IF(X1752="","",IFERROR(INDEX(Cl_nom,MATCH(X1752,Cl_cle,0)),"(client introuvable)"))</f>
        <v/>
      </c>
      <c r="AA1752" s="33">
        <f>IF(X1752="","",IFERROR(INDEX(Cl_quartier,MATCH(X1752,Cl_cle,0))&amp;"",""))</f>
        <v/>
      </c>
      <c r="AB1752" s="45">
        <f>IF(R1752&lt;&gt;"Livrée",0,IF(K1752&lt;&gt;"",K1752,C1752))</f>
        <v/>
      </c>
      <c r="AC1752" s="33">
        <f>IF(OR(C1752="",W1752=""),"",P1752&amp;"|"&amp;W1752&amp;"|"&amp;C1752&amp;"|"&amp;E1752)</f>
        <v/>
      </c>
      <c r="AD1752" s="39">
        <f>IF(AC1752="","",IF(COUNTIF(AC$6:AC1752,AC1752)=1,1,0))</f>
        <v/>
      </c>
      <c r="AE1752" s="39">
        <f>IF(AB1752=0,"",IF(COUNTIFS(X$6:X1752,X1752,AB$6:AB1752,AB1752)=1,1,0))</f>
        <v/>
      </c>
      <c r="AF1752" s="34">
        <f>IF(C1752="","",YEAR(C1752-WEEKDAY(C1752,2)+4)&amp;"-S"&amp;TEXT(INT((C1752-DATE(YEAR(C1752-WEEKDAY(C1752,2)+4),1,3)+WEEKDAY(DATE(YEAR(C1752-WEEKDAY(C1752,2)+4),1,3),2)+5)/7),"00"))</f>
        <v/>
      </c>
    </row>
    <row r="1753" ht="18" customHeight="1">
      <c r="A1753" s="39" t="n">
        <v>1748</v>
      </c>
      <c r="B1753" s="33">
        <f>IF(C1753="","",IF(P1753="À RENSEIGNER","GIC",P1753)&amp;"-C"&amp;TEXT(A1753,"00000"))</f>
        <v/>
      </c>
      <c r="C1753" s="32" t="n"/>
      <c r="D1753" s="36" t="n"/>
      <c r="E1753" s="36" t="n"/>
      <c r="F1753" s="36" t="n"/>
      <c r="G1753" s="42" t="n"/>
      <c r="H1753" s="37" t="n"/>
      <c r="I1753" s="37" t="n"/>
      <c r="J1753" s="32" t="n"/>
      <c r="K1753" s="32" t="n"/>
      <c r="L1753" s="43" t="n"/>
      <c r="M1753" s="36" t="n"/>
      <c r="N1753" s="44" t="n"/>
      <c r="O1753" s="36" t="n"/>
      <c r="P1753" s="33">
        <f>IF(C1753="","",Commercial_Id)</f>
        <v/>
      </c>
      <c r="Q1753" s="34">
        <f>IF(AC1753="","",IF(AD1753=1,"C"&amp;TEXT(SUM(AD$6:AD1753),"0000"),INDEX(Q$6:Q1752,MATCH(AC1753,AC$6:AC1752,0))))</f>
        <v/>
      </c>
      <c r="R1753" s="34">
        <f>IF(C1753="","",IF(L1753="☑ Oui","Annulée",IF(OR(E1753="Vente directe",K1753&lt;&gt;""),"Livrée",IF(J1753&lt;&gt;"","Confirmée","En attente"))))</f>
        <v/>
      </c>
      <c r="S1753" s="34">
        <f>IF(F1753="","",IFERROR(VLOOKUP(F1753,T_Produits,2,FALSE),""))</f>
        <v/>
      </c>
      <c r="T1753" s="40">
        <f>IF(F1753="","",IFERROR(1/(1/VLOOKUP(F1753,T_Produits,3,FALSE)),""))</f>
        <v/>
      </c>
      <c r="U1753" s="40">
        <f>IF(H1753&lt;&gt;"",H1753,T1753)</f>
        <v/>
      </c>
      <c r="V1753" s="40">
        <f>IF(OR(G1753="",U1753=""),"",G1753*U1753-N(I1753))</f>
        <v/>
      </c>
      <c r="W1753" s="39">
        <f>IF(D1753="","",IFERROR(VALUE(MID(D1753,LEN(D1753)-3,3)),""))</f>
        <v/>
      </c>
      <c r="X1753" s="33">
        <f>IF(W1753="","",P1753&amp;"|"&amp;W1753)</f>
        <v/>
      </c>
      <c r="Y1753" s="33">
        <f>IF(W1753="","",IF(P1753="À RENSEIGNER","GIC",P1753)&amp;"-"&amp;TEXT(W1753,"000"))</f>
        <v/>
      </c>
      <c r="Z1753" s="33">
        <f>IF(X1753="","",IFERROR(INDEX(Cl_nom,MATCH(X1753,Cl_cle,0)),"(client introuvable)"))</f>
        <v/>
      </c>
      <c r="AA1753" s="33">
        <f>IF(X1753="","",IFERROR(INDEX(Cl_quartier,MATCH(X1753,Cl_cle,0))&amp;"",""))</f>
        <v/>
      </c>
      <c r="AB1753" s="45">
        <f>IF(R1753&lt;&gt;"Livrée",0,IF(K1753&lt;&gt;"",K1753,C1753))</f>
        <v/>
      </c>
      <c r="AC1753" s="33">
        <f>IF(OR(C1753="",W1753=""),"",P1753&amp;"|"&amp;W1753&amp;"|"&amp;C1753&amp;"|"&amp;E1753)</f>
        <v/>
      </c>
      <c r="AD1753" s="39">
        <f>IF(AC1753="","",IF(COUNTIF(AC$6:AC1753,AC1753)=1,1,0))</f>
        <v/>
      </c>
      <c r="AE1753" s="39">
        <f>IF(AB1753=0,"",IF(COUNTIFS(X$6:X1753,X1753,AB$6:AB1753,AB1753)=1,1,0))</f>
        <v/>
      </c>
      <c r="AF1753" s="34">
        <f>IF(C1753="","",YEAR(C1753-WEEKDAY(C1753,2)+4)&amp;"-S"&amp;TEXT(INT((C1753-DATE(YEAR(C1753-WEEKDAY(C1753,2)+4),1,3)+WEEKDAY(DATE(YEAR(C1753-WEEKDAY(C1753,2)+4),1,3),2)+5)/7),"00"))</f>
        <v/>
      </c>
    </row>
    <row r="1754" ht="18" customHeight="1">
      <c r="A1754" s="39" t="n">
        <v>1749</v>
      </c>
      <c r="B1754" s="33">
        <f>IF(C1754="","",IF(P1754="À RENSEIGNER","GIC",P1754)&amp;"-C"&amp;TEXT(A1754,"00000"))</f>
        <v/>
      </c>
      <c r="C1754" s="32" t="n"/>
      <c r="D1754" s="36" t="n"/>
      <c r="E1754" s="36" t="n"/>
      <c r="F1754" s="36" t="n"/>
      <c r="G1754" s="42" t="n"/>
      <c r="H1754" s="37" t="n"/>
      <c r="I1754" s="37" t="n"/>
      <c r="J1754" s="32" t="n"/>
      <c r="K1754" s="32" t="n"/>
      <c r="L1754" s="43" t="n"/>
      <c r="M1754" s="36" t="n"/>
      <c r="N1754" s="44" t="n"/>
      <c r="O1754" s="36" t="n"/>
      <c r="P1754" s="33">
        <f>IF(C1754="","",Commercial_Id)</f>
        <v/>
      </c>
      <c r="Q1754" s="34">
        <f>IF(AC1754="","",IF(AD1754=1,"C"&amp;TEXT(SUM(AD$6:AD1754),"0000"),INDEX(Q$6:Q1753,MATCH(AC1754,AC$6:AC1753,0))))</f>
        <v/>
      </c>
      <c r="R1754" s="34">
        <f>IF(C1754="","",IF(L1754="☑ Oui","Annulée",IF(OR(E1754="Vente directe",K1754&lt;&gt;""),"Livrée",IF(J1754&lt;&gt;"","Confirmée","En attente"))))</f>
        <v/>
      </c>
      <c r="S1754" s="34">
        <f>IF(F1754="","",IFERROR(VLOOKUP(F1754,T_Produits,2,FALSE),""))</f>
        <v/>
      </c>
      <c r="T1754" s="40">
        <f>IF(F1754="","",IFERROR(1/(1/VLOOKUP(F1754,T_Produits,3,FALSE)),""))</f>
        <v/>
      </c>
      <c r="U1754" s="40">
        <f>IF(H1754&lt;&gt;"",H1754,T1754)</f>
        <v/>
      </c>
      <c r="V1754" s="40">
        <f>IF(OR(G1754="",U1754=""),"",G1754*U1754-N(I1754))</f>
        <v/>
      </c>
      <c r="W1754" s="39">
        <f>IF(D1754="","",IFERROR(VALUE(MID(D1754,LEN(D1754)-3,3)),""))</f>
        <v/>
      </c>
      <c r="X1754" s="33">
        <f>IF(W1754="","",P1754&amp;"|"&amp;W1754)</f>
        <v/>
      </c>
      <c r="Y1754" s="33">
        <f>IF(W1754="","",IF(P1754="À RENSEIGNER","GIC",P1754)&amp;"-"&amp;TEXT(W1754,"000"))</f>
        <v/>
      </c>
      <c r="Z1754" s="33">
        <f>IF(X1754="","",IFERROR(INDEX(Cl_nom,MATCH(X1754,Cl_cle,0)),"(client introuvable)"))</f>
        <v/>
      </c>
      <c r="AA1754" s="33">
        <f>IF(X1754="","",IFERROR(INDEX(Cl_quartier,MATCH(X1754,Cl_cle,0))&amp;"",""))</f>
        <v/>
      </c>
      <c r="AB1754" s="45">
        <f>IF(R1754&lt;&gt;"Livrée",0,IF(K1754&lt;&gt;"",K1754,C1754))</f>
        <v/>
      </c>
      <c r="AC1754" s="33">
        <f>IF(OR(C1754="",W1754=""),"",P1754&amp;"|"&amp;W1754&amp;"|"&amp;C1754&amp;"|"&amp;E1754)</f>
        <v/>
      </c>
      <c r="AD1754" s="39">
        <f>IF(AC1754="","",IF(COUNTIF(AC$6:AC1754,AC1754)=1,1,0))</f>
        <v/>
      </c>
      <c r="AE1754" s="39">
        <f>IF(AB1754=0,"",IF(COUNTIFS(X$6:X1754,X1754,AB$6:AB1754,AB1754)=1,1,0))</f>
        <v/>
      </c>
      <c r="AF1754" s="34">
        <f>IF(C1754="","",YEAR(C1754-WEEKDAY(C1754,2)+4)&amp;"-S"&amp;TEXT(INT((C1754-DATE(YEAR(C1754-WEEKDAY(C1754,2)+4),1,3)+WEEKDAY(DATE(YEAR(C1754-WEEKDAY(C1754,2)+4),1,3),2)+5)/7),"00"))</f>
        <v/>
      </c>
    </row>
    <row r="1755" ht="18" customHeight="1">
      <c r="A1755" s="39" t="n">
        <v>1750</v>
      </c>
      <c r="B1755" s="33">
        <f>IF(C1755="","",IF(P1755="À RENSEIGNER","GIC",P1755)&amp;"-C"&amp;TEXT(A1755,"00000"))</f>
        <v/>
      </c>
      <c r="C1755" s="32" t="n"/>
      <c r="D1755" s="36" t="n"/>
      <c r="E1755" s="36" t="n"/>
      <c r="F1755" s="36" t="n"/>
      <c r="G1755" s="42" t="n"/>
      <c r="H1755" s="37" t="n"/>
      <c r="I1755" s="37" t="n"/>
      <c r="J1755" s="32" t="n"/>
      <c r="K1755" s="32" t="n"/>
      <c r="L1755" s="43" t="n"/>
      <c r="M1755" s="36" t="n"/>
      <c r="N1755" s="44" t="n"/>
      <c r="O1755" s="36" t="n"/>
      <c r="P1755" s="33">
        <f>IF(C1755="","",Commercial_Id)</f>
        <v/>
      </c>
      <c r="Q1755" s="34">
        <f>IF(AC1755="","",IF(AD1755=1,"C"&amp;TEXT(SUM(AD$6:AD1755),"0000"),INDEX(Q$6:Q1754,MATCH(AC1755,AC$6:AC1754,0))))</f>
        <v/>
      </c>
      <c r="R1755" s="34">
        <f>IF(C1755="","",IF(L1755="☑ Oui","Annulée",IF(OR(E1755="Vente directe",K1755&lt;&gt;""),"Livrée",IF(J1755&lt;&gt;"","Confirmée","En attente"))))</f>
        <v/>
      </c>
      <c r="S1755" s="34">
        <f>IF(F1755="","",IFERROR(VLOOKUP(F1755,T_Produits,2,FALSE),""))</f>
        <v/>
      </c>
      <c r="T1755" s="40">
        <f>IF(F1755="","",IFERROR(1/(1/VLOOKUP(F1755,T_Produits,3,FALSE)),""))</f>
        <v/>
      </c>
      <c r="U1755" s="40">
        <f>IF(H1755&lt;&gt;"",H1755,T1755)</f>
        <v/>
      </c>
      <c r="V1755" s="40">
        <f>IF(OR(G1755="",U1755=""),"",G1755*U1755-N(I1755))</f>
        <v/>
      </c>
      <c r="W1755" s="39">
        <f>IF(D1755="","",IFERROR(VALUE(MID(D1755,LEN(D1755)-3,3)),""))</f>
        <v/>
      </c>
      <c r="X1755" s="33">
        <f>IF(W1755="","",P1755&amp;"|"&amp;W1755)</f>
        <v/>
      </c>
      <c r="Y1755" s="33">
        <f>IF(W1755="","",IF(P1755="À RENSEIGNER","GIC",P1755)&amp;"-"&amp;TEXT(W1755,"000"))</f>
        <v/>
      </c>
      <c r="Z1755" s="33">
        <f>IF(X1755="","",IFERROR(INDEX(Cl_nom,MATCH(X1755,Cl_cle,0)),"(client introuvable)"))</f>
        <v/>
      </c>
      <c r="AA1755" s="33">
        <f>IF(X1755="","",IFERROR(INDEX(Cl_quartier,MATCH(X1755,Cl_cle,0))&amp;"",""))</f>
        <v/>
      </c>
      <c r="AB1755" s="45">
        <f>IF(R1755&lt;&gt;"Livrée",0,IF(K1755&lt;&gt;"",K1755,C1755))</f>
        <v/>
      </c>
      <c r="AC1755" s="33">
        <f>IF(OR(C1755="",W1755=""),"",P1755&amp;"|"&amp;W1755&amp;"|"&amp;C1755&amp;"|"&amp;E1755)</f>
        <v/>
      </c>
      <c r="AD1755" s="39">
        <f>IF(AC1755="","",IF(COUNTIF(AC$6:AC1755,AC1755)=1,1,0))</f>
        <v/>
      </c>
      <c r="AE1755" s="39">
        <f>IF(AB1755=0,"",IF(COUNTIFS(X$6:X1755,X1755,AB$6:AB1755,AB1755)=1,1,0))</f>
        <v/>
      </c>
      <c r="AF1755" s="34">
        <f>IF(C1755="","",YEAR(C1755-WEEKDAY(C1755,2)+4)&amp;"-S"&amp;TEXT(INT((C1755-DATE(YEAR(C1755-WEEKDAY(C1755,2)+4),1,3)+WEEKDAY(DATE(YEAR(C1755-WEEKDAY(C1755,2)+4),1,3),2)+5)/7),"00"))</f>
        <v/>
      </c>
    </row>
    <row r="1756" ht="18" customHeight="1">
      <c r="A1756" s="39" t="n">
        <v>1751</v>
      </c>
      <c r="B1756" s="33">
        <f>IF(C1756="","",IF(P1756="À RENSEIGNER","GIC",P1756)&amp;"-C"&amp;TEXT(A1756,"00000"))</f>
        <v/>
      </c>
      <c r="C1756" s="32" t="n"/>
      <c r="D1756" s="36" t="n"/>
      <c r="E1756" s="36" t="n"/>
      <c r="F1756" s="36" t="n"/>
      <c r="G1756" s="42" t="n"/>
      <c r="H1756" s="37" t="n"/>
      <c r="I1756" s="37" t="n"/>
      <c r="J1756" s="32" t="n"/>
      <c r="K1756" s="32" t="n"/>
      <c r="L1756" s="43" t="n"/>
      <c r="M1756" s="36" t="n"/>
      <c r="N1756" s="44" t="n"/>
      <c r="O1756" s="36" t="n"/>
      <c r="P1756" s="33">
        <f>IF(C1756="","",Commercial_Id)</f>
        <v/>
      </c>
      <c r="Q1756" s="34">
        <f>IF(AC1756="","",IF(AD1756=1,"C"&amp;TEXT(SUM(AD$6:AD1756),"0000"),INDEX(Q$6:Q1755,MATCH(AC1756,AC$6:AC1755,0))))</f>
        <v/>
      </c>
      <c r="R1756" s="34">
        <f>IF(C1756="","",IF(L1756="☑ Oui","Annulée",IF(OR(E1756="Vente directe",K1756&lt;&gt;""),"Livrée",IF(J1756&lt;&gt;"","Confirmée","En attente"))))</f>
        <v/>
      </c>
      <c r="S1756" s="34">
        <f>IF(F1756="","",IFERROR(VLOOKUP(F1756,T_Produits,2,FALSE),""))</f>
        <v/>
      </c>
      <c r="T1756" s="40">
        <f>IF(F1756="","",IFERROR(1/(1/VLOOKUP(F1756,T_Produits,3,FALSE)),""))</f>
        <v/>
      </c>
      <c r="U1756" s="40">
        <f>IF(H1756&lt;&gt;"",H1756,T1756)</f>
        <v/>
      </c>
      <c r="V1756" s="40">
        <f>IF(OR(G1756="",U1756=""),"",G1756*U1756-N(I1756))</f>
        <v/>
      </c>
      <c r="W1756" s="39">
        <f>IF(D1756="","",IFERROR(VALUE(MID(D1756,LEN(D1756)-3,3)),""))</f>
        <v/>
      </c>
      <c r="X1756" s="33">
        <f>IF(W1756="","",P1756&amp;"|"&amp;W1756)</f>
        <v/>
      </c>
      <c r="Y1756" s="33">
        <f>IF(W1756="","",IF(P1756="À RENSEIGNER","GIC",P1756)&amp;"-"&amp;TEXT(W1756,"000"))</f>
        <v/>
      </c>
      <c r="Z1756" s="33">
        <f>IF(X1756="","",IFERROR(INDEX(Cl_nom,MATCH(X1756,Cl_cle,0)),"(client introuvable)"))</f>
        <v/>
      </c>
      <c r="AA1756" s="33">
        <f>IF(X1756="","",IFERROR(INDEX(Cl_quartier,MATCH(X1756,Cl_cle,0))&amp;"",""))</f>
        <v/>
      </c>
      <c r="AB1756" s="45">
        <f>IF(R1756&lt;&gt;"Livrée",0,IF(K1756&lt;&gt;"",K1756,C1756))</f>
        <v/>
      </c>
      <c r="AC1756" s="33">
        <f>IF(OR(C1756="",W1756=""),"",P1756&amp;"|"&amp;W1756&amp;"|"&amp;C1756&amp;"|"&amp;E1756)</f>
        <v/>
      </c>
      <c r="AD1756" s="39">
        <f>IF(AC1756="","",IF(COUNTIF(AC$6:AC1756,AC1756)=1,1,0))</f>
        <v/>
      </c>
      <c r="AE1756" s="39">
        <f>IF(AB1756=0,"",IF(COUNTIFS(X$6:X1756,X1756,AB$6:AB1756,AB1756)=1,1,0))</f>
        <v/>
      </c>
      <c r="AF1756" s="34">
        <f>IF(C1756="","",YEAR(C1756-WEEKDAY(C1756,2)+4)&amp;"-S"&amp;TEXT(INT((C1756-DATE(YEAR(C1756-WEEKDAY(C1756,2)+4),1,3)+WEEKDAY(DATE(YEAR(C1756-WEEKDAY(C1756,2)+4),1,3),2)+5)/7),"00"))</f>
        <v/>
      </c>
    </row>
    <row r="1757" ht="18" customHeight="1">
      <c r="A1757" s="39" t="n">
        <v>1752</v>
      </c>
      <c r="B1757" s="33">
        <f>IF(C1757="","",IF(P1757="À RENSEIGNER","GIC",P1757)&amp;"-C"&amp;TEXT(A1757,"00000"))</f>
        <v/>
      </c>
      <c r="C1757" s="32" t="n"/>
      <c r="D1757" s="36" t="n"/>
      <c r="E1757" s="36" t="n"/>
      <c r="F1757" s="36" t="n"/>
      <c r="G1757" s="42" t="n"/>
      <c r="H1757" s="37" t="n"/>
      <c r="I1757" s="37" t="n"/>
      <c r="J1757" s="32" t="n"/>
      <c r="K1757" s="32" t="n"/>
      <c r="L1757" s="43" t="n"/>
      <c r="M1757" s="36" t="n"/>
      <c r="N1757" s="44" t="n"/>
      <c r="O1757" s="36" t="n"/>
      <c r="P1757" s="33">
        <f>IF(C1757="","",Commercial_Id)</f>
        <v/>
      </c>
      <c r="Q1757" s="34">
        <f>IF(AC1757="","",IF(AD1757=1,"C"&amp;TEXT(SUM(AD$6:AD1757),"0000"),INDEX(Q$6:Q1756,MATCH(AC1757,AC$6:AC1756,0))))</f>
        <v/>
      </c>
      <c r="R1757" s="34">
        <f>IF(C1757="","",IF(L1757="☑ Oui","Annulée",IF(OR(E1757="Vente directe",K1757&lt;&gt;""),"Livrée",IF(J1757&lt;&gt;"","Confirmée","En attente"))))</f>
        <v/>
      </c>
      <c r="S1757" s="34">
        <f>IF(F1757="","",IFERROR(VLOOKUP(F1757,T_Produits,2,FALSE),""))</f>
        <v/>
      </c>
      <c r="T1757" s="40">
        <f>IF(F1757="","",IFERROR(1/(1/VLOOKUP(F1757,T_Produits,3,FALSE)),""))</f>
        <v/>
      </c>
      <c r="U1757" s="40">
        <f>IF(H1757&lt;&gt;"",H1757,T1757)</f>
        <v/>
      </c>
      <c r="V1757" s="40">
        <f>IF(OR(G1757="",U1757=""),"",G1757*U1757-N(I1757))</f>
        <v/>
      </c>
      <c r="W1757" s="39">
        <f>IF(D1757="","",IFERROR(VALUE(MID(D1757,LEN(D1757)-3,3)),""))</f>
        <v/>
      </c>
      <c r="X1757" s="33">
        <f>IF(W1757="","",P1757&amp;"|"&amp;W1757)</f>
        <v/>
      </c>
      <c r="Y1757" s="33">
        <f>IF(W1757="","",IF(P1757="À RENSEIGNER","GIC",P1757)&amp;"-"&amp;TEXT(W1757,"000"))</f>
        <v/>
      </c>
      <c r="Z1757" s="33">
        <f>IF(X1757="","",IFERROR(INDEX(Cl_nom,MATCH(X1757,Cl_cle,0)),"(client introuvable)"))</f>
        <v/>
      </c>
      <c r="AA1757" s="33">
        <f>IF(X1757="","",IFERROR(INDEX(Cl_quartier,MATCH(X1757,Cl_cle,0))&amp;"",""))</f>
        <v/>
      </c>
      <c r="AB1757" s="45">
        <f>IF(R1757&lt;&gt;"Livrée",0,IF(K1757&lt;&gt;"",K1757,C1757))</f>
        <v/>
      </c>
      <c r="AC1757" s="33">
        <f>IF(OR(C1757="",W1757=""),"",P1757&amp;"|"&amp;W1757&amp;"|"&amp;C1757&amp;"|"&amp;E1757)</f>
        <v/>
      </c>
      <c r="AD1757" s="39">
        <f>IF(AC1757="","",IF(COUNTIF(AC$6:AC1757,AC1757)=1,1,0))</f>
        <v/>
      </c>
      <c r="AE1757" s="39">
        <f>IF(AB1757=0,"",IF(COUNTIFS(X$6:X1757,X1757,AB$6:AB1757,AB1757)=1,1,0))</f>
        <v/>
      </c>
      <c r="AF1757" s="34">
        <f>IF(C1757="","",YEAR(C1757-WEEKDAY(C1757,2)+4)&amp;"-S"&amp;TEXT(INT((C1757-DATE(YEAR(C1757-WEEKDAY(C1757,2)+4),1,3)+WEEKDAY(DATE(YEAR(C1757-WEEKDAY(C1757,2)+4),1,3),2)+5)/7),"00"))</f>
        <v/>
      </c>
    </row>
    <row r="1758" ht="18" customHeight="1">
      <c r="A1758" s="39" t="n">
        <v>1753</v>
      </c>
      <c r="B1758" s="33">
        <f>IF(C1758="","",IF(P1758="À RENSEIGNER","GIC",P1758)&amp;"-C"&amp;TEXT(A1758,"00000"))</f>
        <v/>
      </c>
      <c r="C1758" s="32" t="n"/>
      <c r="D1758" s="36" t="n"/>
      <c r="E1758" s="36" t="n"/>
      <c r="F1758" s="36" t="n"/>
      <c r="G1758" s="42" t="n"/>
      <c r="H1758" s="37" t="n"/>
      <c r="I1758" s="37" t="n"/>
      <c r="J1758" s="32" t="n"/>
      <c r="K1758" s="32" t="n"/>
      <c r="L1758" s="43" t="n"/>
      <c r="M1758" s="36" t="n"/>
      <c r="N1758" s="44" t="n"/>
      <c r="O1758" s="36" t="n"/>
      <c r="P1758" s="33">
        <f>IF(C1758="","",Commercial_Id)</f>
        <v/>
      </c>
      <c r="Q1758" s="34">
        <f>IF(AC1758="","",IF(AD1758=1,"C"&amp;TEXT(SUM(AD$6:AD1758),"0000"),INDEX(Q$6:Q1757,MATCH(AC1758,AC$6:AC1757,0))))</f>
        <v/>
      </c>
      <c r="R1758" s="34">
        <f>IF(C1758="","",IF(L1758="☑ Oui","Annulée",IF(OR(E1758="Vente directe",K1758&lt;&gt;""),"Livrée",IF(J1758&lt;&gt;"","Confirmée","En attente"))))</f>
        <v/>
      </c>
      <c r="S1758" s="34">
        <f>IF(F1758="","",IFERROR(VLOOKUP(F1758,T_Produits,2,FALSE),""))</f>
        <v/>
      </c>
      <c r="T1758" s="40">
        <f>IF(F1758="","",IFERROR(1/(1/VLOOKUP(F1758,T_Produits,3,FALSE)),""))</f>
        <v/>
      </c>
      <c r="U1758" s="40">
        <f>IF(H1758&lt;&gt;"",H1758,T1758)</f>
        <v/>
      </c>
      <c r="V1758" s="40">
        <f>IF(OR(G1758="",U1758=""),"",G1758*U1758-N(I1758))</f>
        <v/>
      </c>
      <c r="W1758" s="39">
        <f>IF(D1758="","",IFERROR(VALUE(MID(D1758,LEN(D1758)-3,3)),""))</f>
        <v/>
      </c>
      <c r="X1758" s="33">
        <f>IF(W1758="","",P1758&amp;"|"&amp;W1758)</f>
        <v/>
      </c>
      <c r="Y1758" s="33">
        <f>IF(W1758="","",IF(P1758="À RENSEIGNER","GIC",P1758)&amp;"-"&amp;TEXT(W1758,"000"))</f>
        <v/>
      </c>
      <c r="Z1758" s="33">
        <f>IF(X1758="","",IFERROR(INDEX(Cl_nom,MATCH(X1758,Cl_cle,0)),"(client introuvable)"))</f>
        <v/>
      </c>
      <c r="AA1758" s="33">
        <f>IF(X1758="","",IFERROR(INDEX(Cl_quartier,MATCH(X1758,Cl_cle,0))&amp;"",""))</f>
        <v/>
      </c>
      <c r="AB1758" s="45">
        <f>IF(R1758&lt;&gt;"Livrée",0,IF(K1758&lt;&gt;"",K1758,C1758))</f>
        <v/>
      </c>
      <c r="AC1758" s="33">
        <f>IF(OR(C1758="",W1758=""),"",P1758&amp;"|"&amp;W1758&amp;"|"&amp;C1758&amp;"|"&amp;E1758)</f>
        <v/>
      </c>
      <c r="AD1758" s="39">
        <f>IF(AC1758="","",IF(COUNTIF(AC$6:AC1758,AC1758)=1,1,0))</f>
        <v/>
      </c>
      <c r="AE1758" s="39">
        <f>IF(AB1758=0,"",IF(COUNTIFS(X$6:X1758,X1758,AB$6:AB1758,AB1758)=1,1,0))</f>
        <v/>
      </c>
      <c r="AF1758" s="34">
        <f>IF(C1758="","",YEAR(C1758-WEEKDAY(C1758,2)+4)&amp;"-S"&amp;TEXT(INT((C1758-DATE(YEAR(C1758-WEEKDAY(C1758,2)+4),1,3)+WEEKDAY(DATE(YEAR(C1758-WEEKDAY(C1758,2)+4),1,3),2)+5)/7),"00"))</f>
        <v/>
      </c>
    </row>
    <row r="1759" ht="18" customHeight="1">
      <c r="A1759" s="39" t="n">
        <v>1754</v>
      </c>
      <c r="B1759" s="33">
        <f>IF(C1759="","",IF(P1759="À RENSEIGNER","GIC",P1759)&amp;"-C"&amp;TEXT(A1759,"00000"))</f>
        <v/>
      </c>
      <c r="C1759" s="32" t="n"/>
      <c r="D1759" s="36" t="n"/>
      <c r="E1759" s="36" t="n"/>
      <c r="F1759" s="36" t="n"/>
      <c r="G1759" s="42" t="n"/>
      <c r="H1759" s="37" t="n"/>
      <c r="I1759" s="37" t="n"/>
      <c r="J1759" s="32" t="n"/>
      <c r="K1759" s="32" t="n"/>
      <c r="L1759" s="43" t="n"/>
      <c r="M1759" s="36" t="n"/>
      <c r="N1759" s="44" t="n"/>
      <c r="O1759" s="36" t="n"/>
      <c r="P1759" s="33">
        <f>IF(C1759="","",Commercial_Id)</f>
        <v/>
      </c>
      <c r="Q1759" s="34">
        <f>IF(AC1759="","",IF(AD1759=1,"C"&amp;TEXT(SUM(AD$6:AD1759),"0000"),INDEX(Q$6:Q1758,MATCH(AC1759,AC$6:AC1758,0))))</f>
        <v/>
      </c>
      <c r="R1759" s="34">
        <f>IF(C1759="","",IF(L1759="☑ Oui","Annulée",IF(OR(E1759="Vente directe",K1759&lt;&gt;""),"Livrée",IF(J1759&lt;&gt;"","Confirmée","En attente"))))</f>
        <v/>
      </c>
      <c r="S1759" s="34">
        <f>IF(F1759="","",IFERROR(VLOOKUP(F1759,T_Produits,2,FALSE),""))</f>
        <v/>
      </c>
      <c r="T1759" s="40">
        <f>IF(F1759="","",IFERROR(1/(1/VLOOKUP(F1759,T_Produits,3,FALSE)),""))</f>
        <v/>
      </c>
      <c r="U1759" s="40">
        <f>IF(H1759&lt;&gt;"",H1759,T1759)</f>
        <v/>
      </c>
      <c r="V1759" s="40">
        <f>IF(OR(G1759="",U1759=""),"",G1759*U1759-N(I1759))</f>
        <v/>
      </c>
      <c r="W1759" s="39">
        <f>IF(D1759="","",IFERROR(VALUE(MID(D1759,LEN(D1759)-3,3)),""))</f>
        <v/>
      </c>
      <c r="X1759" s="33">
        <f>IF(W1759="","",P1759&amp;"|"&amp;W1759)</f>
        <v/>
      </c>
      <c r="Y1759" s="33">
        <f>IF(W1759="","",IF(P1759="À RENSEIGNER","GIC",P1759)&amp;"-"&amp;TEXT(W1759,"000"))</f>
        <v/>
      </c>
      <c r="Z1759" s="33">
        <f>IF(X1759="","",IFERROR(INDEX(Cl_nom,MATCH(X1759,Cl_cle,0)),"(client introuvable)"))</f>
        <v/>
      </c>
      <c r="AA1759" s="33">
        <f>IF(X1759="","",IFERROR(INDEX(Cl_quartier,MATCH(X1759,Cl_cle,0))&amp;"",""))</f>
        <v/>
      </c>
      <c r="AB1759" s="45">
        <f>IF(R1759&lt;&gt;"Livrée",0,IF(K1759&lt;&gt;"",K1759,C1759))</f>
        <v/>
      </c>
      <c r="AC1759" s="33">
        <f>IF(OR(C1759="",W1759=""),"",P1759&amp;"|"&amp;W1759&amp;"|"&amp;C1759&amp;"|"&amp;E1759)</f>
        <v/>
      </c>
      <c r="AD1759" s="39">
        <f>IF(AC1759="","",IF(COUNTIF(AC$6:AC1759,AC1759)=1,1,0))</f>
        <v/>
      </c>
      <c r="AE1759" s="39">
        <f>IF(AB1759=0,"",IF(COUNTIFS(X$6:X1759,X1759,AB$6:AB1759,AB1759)=1,1,0))</f>
        <v/>
      </c>
      <c r="AF1759" s="34">
        <f>IF(C1759="","",YEAR(C1759-WEEKDAY(C1759,2)+4)&amp;"-S"&amp;TEXT(INT((C1759-DATE(YEAR(C1759-WEEKDAY(C1759,2)+4),1,3)+WEEKDAY(DATE(YEAR(C1759-WEEKDAY(C1759,2)+4),1,3),2)+5)/7),"00"))</f>
        <v/>
      </c>
    </row>
    <row r="1760" ht="18" customHeight="1">
      <c r="A1760" s="39" t="n">
        <v>1755</v>
      </c>
      <c r="B1760" s="33">
        <f>IF(C1760="","",IF(P1760="À RENSEIGNER","GIC",P1760)&amp;"-C"&amp;TEXT(A1760,"00000"))</f>
        <v/>
      </c>
      <c r="C1760" s="32" t="n"/>
      <c r="D1760" s="36" t="n"/>
      <c r="E1760" s="36" t="n"/>
      <c r="F1760" s="36" t="n"/>
      <c r="G1760" s="42" t="n"/>
      <c r="H1760" s="37" t="n"/>
      <c r="I1760" s="37" t="n"/>
      <c r="J1760" s="32" t="n"/>
      <c r="K1760" s="32" t="n"/>
      <c r="L1760" s="43" t="n"/>
      <c r="M1760" s="36" t="n"/>
      <c r="N1760" s="44" t="n"/>
      <c r="O1760" s="36" t="n"/>
      <c r="P1760" s="33">
        <f>IF(C1760="","",Commercial_Id)</f>
        <v/>
      </c>
      <c r="Q1760" s="34">
        <f>IF(AC1760="","",IF(AD1760=1,"C"&amp;TEXT(SUM(AD$6:AD1760),"0000"),INDEX(Q$6:Q1759,MATCH(AC1760,AC$6:AC1759,0))))</f>
        <v/>
      </c>
      <c r="R1760" s="34">
        <f>IF(C1760="","",IF(L1760="☑ Oui","Annulée",IF(OR(E1760="Vente directe",K1760&lt;&gt;""),"Livrée",IF(J1760&lt;&gt;"","Confirmée","En attente"))))</f>
        <v/>
      </c>
      <c r="S1760" s="34">
        <f>IF(F1760="","",IFERROR(VLOOKUP(F1760,T_Produits,2,FALSE),""))</f>
        <v/>
      </c>
      <c r="T1760" s="40">
        <f>IF(F1760="","",IFERROR(1/(1/VLOOKUP(F1760,T_Produits,3,FALSE)),""))</f>
        <v/>
      </c>
      <c r="U1760" s="40">
        <f>IF(H1760&lt;&gt;"",H1760,T1760)</f>
        <v/>
      </c>
      <c r="V1760" s="40">
        <f>IF(OR(G1760="",U1760=""),"",G1760*U1760-N(I1760))</f>
        <v/>
      </c>
      <c r="W1760" s="39">
        <f>IF(D1760="","",IFERROR(VALUE(MID(D1760,LEN(D1760)-3,3)),""))</f>
        <v/>
      </c>
      <c r="X1760" s="33">
        <f>IF(W1760="","",P1760&amp;"|"&amp;W1760)</f>
        <v/>
      </c>
      <c r="Y1760" s="33">
        <f>IF(W1760="","",IF(P1760="À RENSEIGNER","GIC",P1760)&amp;"-"&amp;TEXT(W1760,"000"))</f>
        <v/>
      </c>
      <c r="Z1760" s="33">
        <f>IF(X1760="","",IFERROR(INDEX(Cl_nom,MATCH(X1760,Cl_cle,0)),"(client introuvable)"))</f>
        <v/>
      </c>
      <c r="AA1760" s="33">
        <f>IF(X1760="","",IFERROR(INDEX(Cl_quartier,MATCH(X1760,Cl_cle,0))&amp;"",""))</f>
        <v/>
      </c>
      <c r="AB1760" s="45">
        <f>IF(R1760&lt;&gt;"Livrée",0,IF(K1760&lt;&gt;"",K1760,C1760))</f>
        <v/>
      </c>
      <c r="AC1760" s="33">
        <f>IF(OR(C1760="",W1760=""),"",P1760&amp;"|"&amp;W1760&amp;"|"&amp;C1760&amp;"|"&amp;E1760)</f>
        <v/>
      </c>
      <c r="AD1760" s="39">
        <f>IF(AC1760="","",IF(COUNTIF(AC$6:AC1760,AC1760)=1,1,0))</f>
        <v/>
      </c>
      <c r="AE1760" s="39">
        <f>IF(AB1760=0,"",IF(COUNTIFS(X$6:X1760,X1760,AB$6:AB1760,AB1760)=1,1,0))</f>
        <v/>
      </c>
      <c r="AF1760" s="34">
        <f>IF(C1760="","",YEAR(C1760-WEEKDAY(C1760,2)+4)&amp;"-S"&amp;TEXT(INT((C1760-DATE(YEAR(C1760-WEEKDAY(C1760,2)+4),1,3)+WEEKDAY(DATE(YEAR(C1760-WEEKDAY(C1760,2)+4),1,3),2)+5)/7),"00"))</f>
        <v/>
      </c>
    </row>
    <row r="1761" ht="18" customHeight="1">
      <c r="A1761" s="39" t="n">
        <v>1756</v>
      </c>
      <c r="B1761" s="33">
        <f>IF(C1761="","",IF(P1761="À RENSEIGNER","GIC",P1761)&amp;"-C"&amp;TEXT(A1761,"00000"))</f>
        <v/>
      </c>
      <c r="C1761" s="32" t="n"/>
      <c r="D1761" s="36" t="n"/>
      <c r="E1761" s="36" t="n"/>
      <c r="F1761" s="36" t="n"/>
      <c r="G1761" s="42" t="n"/>
      <c r="H1761" s="37" t="n"/>
      <c r="I1761" s="37" t="n"/>
      <c r="J1761" s="32" t="n"/>
      <c r="K1761" s="32" t="n"/>
      <c r="L1761" s="43" t="n"/>
      <c r="M1761" s="36" t="n"/>
      <c r="N1761" s="44" t="n"/>
      <c r="O1761" s="36" t="n"/>
      <c r="P1761" s="33">
        <f>IF(C1761="","",Commercial_Id)</f>
        <v/>
      </c>
      <c r="Q1761" s="34">
        <f>IF(AC1761="","",IF(AD1761=1,"C"&amp;TEXT(SUM(AD$6:AD1761),"0000"),INDEX(Q$6:Q1760,MATCH(AC1761,AC$6:AC1760,0))))</f>
        <v/>
      </c>
      <c r="R1761" s="34">
        <f>IF(C1761="","",IF(L1761="☑ Oui","Annulée",IF(OR(E1761="Vente directe",K1761&lt;&gt;""),"Livrée",IF(J1761&lt;&gt;"","Confirmée","En attente"))))</f>
        <v/>
      </c>
      <c r="S1761" s="34">
        <f>IF(F1761="","",IFERROR(VLOOKUP(F1761,T_Produits,2,FALSE),""))</f>
        <v/>
      </c>
      <c r="T1761" s="40">
        <f>IF(F1761="","",IFERROR(1/(1/VLOOKUP(F1761,T_Produits,3,FALSE)),""))</f>
        <v/>
      </c>
      <c r="U1761" s="40">
        <f>IF(H1761&lt;&gt;"",H1761,T1761)</f>
        <v/>
      </c>
      <c r="V1761" s="40">
        <f>IF(OR(G1761="",U1761=""),"",G1761*U1761-N(I1761))</f>
        <v/>
      </c>
      <c r="W1761" s="39">
        <f>IF(D1761="","",IFERROR(VALUE(MID(D1761,LEN(D1761)-3,3)),""))</f>
        <v/>
      </c>
      <c r="X1761" s="33">
        <f>IF(W1761="","",P1761&amp;"|"&amp;W1761)</f>
        <v/>
      </c>
      <c r="Y1761" s="33">
        <f>IF(W1761="","",IF(P1761="À RENSEIGNER","GIC",P1761)&amp;"-"&amp;TEXT(W1761,"000"))</f>
        <v/>
      </c>
      <c r="Z1761" s="33">
        <f>IF(X1761="","",IFERROR(INDEX(Cl_nom,MATCH(X1761,Cl_cle,0)),"(client introuvable)"))</f>
        <v/>
      </c>
      <c r="AA1761" s="33">
        <f>IF(X1761="","",IFERROR(INDEX(Cl_quartier,MATCH(X1761,Cl_cle,0))&amp;"",""))</f>
        <v/>
      </c>
      <c r="AB1761" s="45">
        <f>IF(R1761&lt;&gt;"Livrée",0,IF(K1761&lt;&gt;"",K1761,C1761))</f>
        <v/>
      </c>
      <c r="AC1761" s="33">
        <f>IF(OR(C1761="",W1761=""),"",P1761&amp;"|"&amp;W1761&amp;"|"&amp;C1761&amp;"|"&amp;E1761)</f>
        <v/>
      </c>
      <c r="AD1761" s="39">
        <f>IF(AC1761="","",IF(COUNTIF(AC$6:AC1761,AC1761)=1,1,0))</f>
        <v/>
      </c>
      <c r="AE1761" s="39">
        <f>IF(AB1761=0,"",IF(COUNTIFS(X$6:X1761,X1761,AB$6:AB1761,AB1761)=1,1,0))</f>
        <v/>
      </c>
      <c r="AF1761" s="34">
        <f>IF(C1761="","",YEAR(C1761-WEEKDAY(C1761,2)+4)&amp;"-S"&amp;TEXT(INT((C1761-DATE(YEAR(C1761-WEEKDAY(C1761,2)+4),1,3)+WEEKDAY(DATE(YEAR(C1761-WEEKDAY(C1761,2)+4),1,3),2)+5)/7),"00"))</f>
        <v/>
      </c>
    </row>
    <row r="1762" ht="18" customHeight="1">
      <c r="A1762" s="39" t="n">
        <v>1757</v>
      </c>
      <c r="B1762" s="33">
        <f>IF(C1762="","",IF(P1762="À RENSEIGNER","GIC",P1762)&amp;"-C"&amp;TEXT(A1762,"00000"))</f>
        <v/>
      </c>
      <c r="C1762" s="32" t="n"/>
      <c r="D1762" s="36" t="n"/>
      <c r="E1762" s="36" t="n"/>
      <c r="F1762" s="36" t="n"/>
      <c r="G1762" s="42" t="n"/>
      <c r="H1762" s="37" t="n"/>
      <c r="I1762" s="37" t="n"/>
      <c r="J1762" s="32" t="n"/>
      <c r="K1762" s="32" t="n"/>
      <c r="L1762" s="43" t="n"/>
      <c r="M1762" s="36" t="n"/>
      <c r="N1762" s="44" t="n"/>
      <c r="O1762" s="36" t="n"/>
      <c r="P1762" s="33">
        <f>IF(C1762="","",Commercial_Id)</f>
        <v/>
      </c>
      <c r="Q1762" s="34">
        <f>IF(AC1762="","",IF(AD1762=1,"C"&amp;TEXT(SUM(AD$6:AD1762),"0000"),INDEX(Q$6:Q1761,MATCH(AC1762,AC$6:AC1761,0))))</f>
        <v/>
      </c>
      <c r="R1762" s="34">
        <f>IF(C1762="","",IF(L1762="☑ Oui","Annulée",IF(OR(E1762="Vente directe",K1762&lt;&gt;""),"Livrée",IF(J1762&lt;&gt;"","Confirmée","En attente"))))</f>
        <v/>
      </c>
      <c r="S1762" s="34">
        <f>IF(F1762="","",IFERROR(VLOOKUP(F1762,T_Produits,2,FALSE),""))</f>
        <v/>
      </c>
      <c r="T1762" s="40">
        <f>IF(F1762="","",IFERROR(1/(1/VLOOKUP(F1762,T_Produits,3,FALSE)),""))</f>
        <v/>
      </c>
      <c r="U1762" s="40">
        <f>IF(H1762&lt;&gt;"",H1762,T1762)</f>
        <v/>
      </c>
      <c r="V1762" s="40">
        <f>IF(OR(G1762="",U1762=""),"",G1762*U1762-N(I1762))</f>
        <v/>
      </c>
      <c r="W1762" s="39">
        <f>IF(D1762="","",IFERROR(VALUE(MID(D1762,LEN(D1762)-3,3)),""))</f>
        <v/>
      </c>
      <c r="X1762" s="33">
        <f>IF(W1762="","",P1762&amp;"|"&amp;W1762)</f>
        <v/>
      </c>
      <c r="Y1762" s="33">
        <f>IF(W1762="","",IF(P1762="À RENSEIGNER","GIC",P1762)&amp;"-"&amp;TEXT(W1762,"000"))</f>
        <v/>
      </c>
      <c r="Z1762" s="33">
        <f>IF(X1762="","",IFERROR(INDEX(Cl_nom,MATCH(X1762,Cl_cle,0)),"(client introuvable)"))</f>
        <v/>
      </c>
      <c r="AA1762" s="33">
        <f>IF(X1762="","",IFERROR(INDEX(Cl_quartier,MATCH(X1762,Cl_cle,0))&amp;"",""))</f>
        <v/>
      </c>
      <c r="AB1762" s="45">
        <f>IF(R1762&lt;&gt;"Livrée",0,IF(K1762&lt;&gt;"",K1762,C1762))</f>
        <v/>
      </c>
      <c r="AC1762" s="33">
        <f>IF(OR(C1762="",W1762=""),"",P1762&amp;"|"&amp;W1762&amp;"|"&amp;C1762&amp;"|"&amp;E1762)</f>
        <v/>
      </c>
      <c r="AD1762" s="39">
        <f>IF(AC1762="","",IF(COUNTIF(AC$6:AC1762,AC1762)=1,1,0))</f>
        <v/>
      </c>
      <c r="AE1762" s="39">
        <f>IF(AB1762=0,"",IF(COUNTIFS(X$6:X1762,X1762,AB$6:AB1762,AB1762)=1,1,0))</f>
        <v/>
      </c>
      <c r="AF1762" s="34">
        <f>IF(C1762="","",YEAR(C1762-WEEKDAY(C1762,2)+4)&amp;"-S"&amp;TEXT(INT((C1762-DATE(YEAR(C1762-WEEKDAY(C1762,2)+4),1,3)+WEEKDAY(DATE(YEAR(C1762-WEEKDAY(C1762,2)+4),1,3),2)+5)/7),"00"))</f>
        <v/>
      </c>
    </row>
    <row r="1763" ht="18" customHeight="1">
      <c r="A1763" s="39" t="n">
        <v>1758</v>
      </c>
      <c r="B1763" s="33">
        <f>IF(C1763="","",IF(P1763="À RENSEIGNER","GIC",P1763)&amp;"-C"&amp;TEXT(A1763,"00000"))</f>
        <v/>
      </c>
      <c r="C1763" s="32" t="n"/>
      <c r="D1763" s="36" t="n"/>
      <c r="E1763" s="36" t="n"/>
      <c r="F1763" s="36" t="n"/>
      <c r="G1763" s="42" t="n"/>
      <c r="H1763" s="37" t="n"/>
      <c r="I1763" s="37" t="n"/>
      <c r="J1763" s="32" t="n"/>
      <c r="K1763" s="32" t="n"/>
      <c r="L1763" s="43" t="n"/>
      <c r="M1763" s="36" t="n"/>
      <c r="N1763" s="44" t="n"/>
      <c r="O1763" s="36" t="n"/>
      <c r="P1763" s="33">
        <f>IF(C1763="","",Commercial_Id)</f>
        <v/>
      </c>
      <c r="Q1763" s="34">
        <f>IF(AC1763="","",IF(AD1763=1,"C"&amp;TEXT(SUM(AD$6:AD1763),"0000"),INDEX(Q$6:Q1762,MATCH(AC1763,AC$6:AC1762,0))))</f>
        <v/>
      </c>
      <c r="R1763" s="34">
        <f>IF(C1763="","",IF(L1763="☑ Oui","Annulée",IF(OR(E1763="Vente directe",K1763&lt;&gt;""),"Livrée",IF(J1763&lt;&gt;"","Confirmée","En attente"))))</f>
        <v/>
      </c>
      <c r="S1763" s="34">
        <f>IF(F1763="","",IFERROR(VLOOKUP(F1763,T_Produits,2,FALSE),""))</f>
        <v/>
      </c>
      <c r="T1763" s="40">
        <f>IF(F1763="","",IFERROR(1/(1/VLOOKUP(F1763,T_Produits,3,FALSE)),""))</f>
        <v/>
      </c>
      <c r="U1763" s="40">
        <f>IF(H1763&lt;&gt;"",H1763,T1763)</f>
        <v/>
      </c>
      <c r="V1763" s="40">
        <f>IF(OR(G1763="",U1763=""),"",G1763*U1763-N(I1763))</f>
        <v/>
      </c>
      <c r="W1763" s="39">
        <f>IF(D1763="","",IFERROR(VALUE(MID(D1763,LEN(D1763)-3,3)),""))</f>
        <v/>
      </c>
      <c r="X1763" s="33">
        <f>IF(W1763="","",P1763&amp;"|"&amp;W1763)</f>
        <v/>
      </c>
      <c r="Y1763" s="33">
        <f>IF(W1763="","",IF(P1763="À RENSEIGNER","GIC",P1763)&amp;"-"&amp;TEXT(W1763,"000"))</f>
        <v/>
      </c>
      <c r="Z1763" s="33">
        <f>IF(X1763="","",IFERROR(INDEX(Cl_nom,MATCH(X1763,Cl_cle,0)),"(client introuvable)"))</f>
        <v/>
      </c>
      <c r="AA1763" s="33">
        <f>IF(X1763="","",IFERROR(INDEX(Cl_quartier,MATCH(X1763,Cl_cle,0))&amp;"",""))</f>
        <v/>
      </c>
      <c r="AB1763" s="45">
        <f>IF(R1763&lt;&gt;"Livrée",0,IF(K1763&lt;&gt;"",K1763,C1763))</f>
        <v/>
      </c>
      <c r="AC1763" s="33">
        <f>IF(OR(C1763="",W1763=""),"",P1763&amp;"|"&amp;W1763&amp;"|"&amp;C1763&amp;"|"&amp;E1763)</f>
        <v/>
      </c>
      <c r="AD1763" s="39">
        <f>IF(AC1763="","",IF(COUNTIF(AC$6:AC1763,AC1763)=1,1,0))</f>
        <v/>
      </c>
      <c r="AE1763" s="39">
        <f>IF(AB1763=0,"",IF(COUNTIFS(X$6:X1763,X1763,AB$6:AB1763,AB1763)=1,1,0))</f>
        <v/>
      </c>
      <c r="AF1763" s="34">
        <f>IF(C1763="","",YEAR(C1763-WEEKDAY(C1763,2)+4)&amp;"-S"&amp;TEXT(INT((C1763-DATE(YEAR(C1763-WEEKDAY(C1763,2)+4),1,3)+WEEKDAY(DATE(YEAR(C1763-WEEKDAY(C1763,2)+4),1,3),2)+5)/7),"00"))</f>
        <v/>
      </c>
    </row>
    <row r="1764" ht="18" customHeight="1">
      <c r="A1764" s="39" t="n">
        <v>1759</v>
      </c>
      <c r="B1764" s="33">
        <f>IF(C1764="","",IF(P1764="À RENSEIGNER","GIC",P1764)&amp;"-C"&amp;TEXT(A1764,"00000"))</f>
        <v/>
      </c>
      <c r="C1764" s="32" t="n"/>
      <c r="D1764" s="36" t="n"/>
      <c r="E1764" s="36" t="n"/>
      <c r="F1764" s="36" t="n"/>
      <c r="G1764" s="42" t="n"/>
      <c r="H1764" s="37" t="n"/>
      <c r="I1764" s="37" t="n"/>
      <c r="J1764" s="32" t="n"/>
      <c r="K1764" s="32" t="n"/>
      <c r="L1764" s="43" t="n"/>
      <c r="M1764" s="36" t="n"/>
      <c r="N1764" s="44" t="n"/>
      <c r="O1764" s="36" t="n"/>
      <c r="P1764" s="33">
        <f>IF(C1764="","",Commercial_Id)</f>
        <v/>
      </c>
      <c r="Q1764" s="34">
        <f>IF(AC1764="","",IF(AD1764=1,"C"&amp;TEXT(SUM(AD$6:AD1764),"0000"),INDEX(Q$6:Q1763,MATCH(AC1764,AC$6:AC1763,0))))</f>
        <v/>
      </c>
      <c r="R1764" s="34">
        <f>IF(C1764="","",IF(L1764="☑ Oui","Annulée",IF(OR(E1764="Vente directe",K1764&lt;&gt;""),"Livrée",IF(J1764&lt;&gt;"","Confirmée","En attente"))))</f>
        <v/>
      </c>
      <c r="S1764" s="34">
        <f>IF(F1764="","",IFERROR(VLOOKUP(F1764,T_Produits,2,FALSE),""))</f>
        <v/>
      </c>
      <c r="T1764" s="40">
        <f>IF(F1764="","",IFERROR(1/(1/VLOOKUP(F1764,T_Produits,3,FALSE)),""))</f>
        <v/>
      </c>
      <c r="U1764" s="40">
        <f>IF(H1764&lt;&gt;"",H1764,T1764)</f>
        <v/>
      </c>
      <c r="V1764" s="40">
        <f>IF(OR(G1764="",U1764=""),"",G1764*U1764-N(I1764))</f>
        <v/>
      </c>
      <c r="W1764" s="39">
        <f>IF(D1764="","",IFERROR(VALUE(MID(D1764,LEN(D1764)-3,3)),""))</f>
        <v/>
      </c>
      <c r="X1764" s="33">
        <f>IF(W1764="","",P1764&amp;"|"&amp;W1764)</f>
        <v/>
      </c>
      <c r="Y1764" s="33">
        <f>IF(W1764="","",IF(P1764="À RENSEIGNER","GIC",P1764)&amp;"-"&amp;TEXT(W1764,"000"))</f>
        <v/>
      </c>
      <c r="Z1764" s="33">
        <f>IF(X1764="","",IFERROR(INDEX(Cl_nom,MATCH(X1764,Cl_cle,0)),"(client introuvable)"))</f>
        <v/>
      </c>
      <c r="AA1764" s="33">
        <f>IF(X1764="","",IFERROR(INDEX(Cl_quartier,MATCH(X1764,Cl_cle,0))&amp;"",""))</f>
        <v/>
      </c>
      <c r="AB1764" s="45">
        <f>IF(R1764&lt;&gt;"Livrée",0,IF(K1764&lt;&gt;"",K1764,C1764))</f>
        <v/>
      </c>
      <c r="AC1764" s="33">
        <f>IF(OR(C1764="",W1764=""),"",P1764&amp;"|"&amp;W1764&amp;"|"&amp;C1764&amp;"|"&amp;E1764)</f>
        <v/>
      </c>
      <c r="AD1764" s="39">
        <f>IF(AC1764="","",IF(COUNTIF(AC$6:AC1764,AC1764)=1,1,0))</f>
        <v/>
      </c>
      <c r="AE1764" s="39">
        <f>IF(AB1764=0,"",IF(COUNTIFS(X$6:X1764,X1764,AB$6:AB1764,AB1764)=1,1,0))</f>
        <v/>
      </c>
      <c r="AF1764" s="34">
        <f>IF(C1764="","",YEAR(C1764-WEEKDAY(C1764,2)+4)&amp;"-S"&amp;TEXT(INT((C1764-DATE(YEAR(C1764-WEEKDAY(C1764,2)+4),1,3)+WEEKDAY(DATE(YEAR(C1764-WEEKDAY(C1764,2)+4),1,3),2)+5)/7),"00"))</f>
        <v/>
      </c>
    </row>
    <row r="1765" ht="18" customHeight="1">
      <c r="A1765" s="39" t="n">
        <v>1760</v>
      </c>
      <c r="B1765" s="33">
        <f>IF(C1765="","",IF(P1765="À RENSEIGNER","GIC",P1765)&amp;"-C"&amp;TEXT(A1765,"00000"))</f>
        <v/>
      </c>
      <c r="C1765" s="32" t="n"/>
      <c r="D1765" s="36" t="n"/>
      <c r="E1765" s="36" t="n"/>
      <c r="F1765" s="36" t="n"/>
      <c r="G1765" s="42" t="n"/>
      <c r="H1765" s="37" t="n"/>
      <c r="I1765" s="37" t="n"/>
      <c r="J1765" s="32" t="n"/>
      <c r="K1765" s="32" t="n"/>
      <c r="L1765" s="43" t="n"/>
      <c r="M1765" s="36" t="n"/>
      <c r="N1765" s="44" t="n"/>
      <c r="O1765" s="36" t="n"/>
      <c r="P1765" s="33">
        <f>IF(C1765="","",Commercial_Id)</f>
        <v/>
      </c>
      <c r="Q1765" s="34">
        <f>IF(AC1765="","",IF(AD1765=1,"C"&amp;TEXT(SUM(AD$6:AD1765),"0000"),INDEX(Q$6:Q1764,MATCH(AC1765,AC$6:AC1764,0))))</f>
        <v/>
      </c>
      <c r="R1765" s="34">
        <f>IF(C1765="","",IF(L1765="☑ Oui","Annulée",IF(OR(E1765="Vente directe",K1765&lt;&gt;""),"Livrée",IF(J1765&lt;&gt;"","Confirmée","En attente"))))</f>
        <v/>
      </c>
      <c r="S1765" s="34">
        <f>IF(F1765="","",IFERROR(VLOOKUP(F1765,T_Produits,2,FALSE),""))</f>
        <v/>
      </c>
      <c r="T1765" s="40">
        <f>IF(F1765="","",IFERROR(1/(1/VLOOKUP(F1765,T_Produits,3,FALSE)),""))</f>
        <v/>
      </c>
      <c r="U1765" s="40">
        <f>IF(H1765&lt;&gt;"",H1765,T1765)</f>
        <v/>
      </c>
      <c r="V1765" s="40">
        <f>IF(OR(G1765="",U1765=""),"",G1765*U1765-N(I1765))</f>
        <v/>
      </c>
      <c r="W1765" s="39">
        <f>IF(D1765="","",IFERROR(VALUE(MID(D1765,LEN(D1765)-3,3)),""))</f>
        <v/>
      </c>
      <c r="X1765" s="33">
        <f>IF(W1765="","",P1765&amp;"|"&amp;W1765)</f>
        <v/>
      </c>
      <c r="Y1765" s="33">
        <f>IF(W1765="","",IF(P1765="À RENSEIGNER","GIC",P1765)&amp;"-"&amp;TEXT(W1765,"000"))</f>
        <v/>
      </c>
      <c r="Z1765" s="33">
        <f>IF(X1765="","",IFERROR(INDEX(Cl_nom,MATCH(X1765,Cl_cle,0)),"(client introuvable)"))</f>
        <v/>
      </c>
      <c r="AA1765" s="33">
        <f>IF(X1765="","",IFERROR(INDEX(Cl_quartier,MATCH(X1765,Cl_cle,0))&amp;"",""))</f>
        <v/>
      </c>
      <c r="AB1765" s="45">
        <f>IF(R1765&lt;&gt;"Livrée",0,IF(K1765&lt;&gt;"",K1765,C1765))</f>
        <v/>
      </c>
      <c r="AC1765" s="33">
        <f>IF(OR(C1765="",W1765=""),"",P1765&amp;"|"&amp;W1765&amp;"|"&amp;C1765&amp;"|"&amp;E1765)</f>
        <v/>
      </c>
      <c r="AD1765" s="39">
        <f>IF(AC1765="","",IF(COUNTIF(AC$6:AC1765,AC1765)=1,1,0))</f>
        <v/>
      </c>
      <c r="AE1765" s="39">
        <f>IF(AB1765=0,"",IF(COUNTIFS(X$6:X1765,X1765,AB$6:AB1765,AB1765)=1,1,0))</f>
        <v/>
      </c>
      <c r="AF1765" s="34">
        <f>IF(C1765="","",YEAR(C1765-WEEKDAY(C1765,2)+4)&amp;"-S"&amp;TEXT(INT((C1765-DATE(YEAR(C1765-WEEKDAY(C1765,2)+4),1,3)+WEEKDAY(DATE(YEAR(C1765-WEEKDAY(C1765,2)+4),1,3),2)+5)/7),"00"))</f>
        <v/>
      </c>
    </row>
    <row r="1766" ht="18" customHeight="1">
      <c r="A1766" s="39" t="n">
        <v>1761</v>
      </c>
      <c r="B1766" s="33">
        <f>IF(C1766="","",IF(P1766="À RENSEIGNER","GIC",P1766)&amp;"-C"&amp;TEXT(A1766,"00000"))</f>
        <v/>
      </c>
      <c r="C1766" s="32" t="n"/>
      <c r="D1766" s="36" t="n"/>
      <c r="E1766" s="36" t="n"/>
      <c r="F1766" s="36" t="n"/>
      <c r="G1766" s="42" t="n"/>
      <c r="H1766" s="37" t="n"/>
      <c r="I1766" s="37" t="n"/>
      <c r="J1766" s="32" t="n"/>
      <c r="K1766" s="32" t="n"/>
      <c r="L1766" s="43" t="n"/>
      <c r="M1766" s="36" t="n"/>
      <c r="N1766" s="44" t="n"/>
      <c r="O1766" s="36" t="n"/>
      <c r="P1766" s="33">
        <f>IF(C1766="","",Commercial_Id)</f>
        <v/>
      </c>
      <c r="Q1766" s="34">
        <f>IF(AC1766="","",IF(AD1766=1,"C"&amp;TEXT(SUM(AD$6:AD1766),"0000"),INDEX(Q$6:Q1765,MATCH(AC1766,AC$6:AC1765,0))))</f>
        <v/>
      </c>
      <c r="R1766" s="34">
        <f>IF(C1766="","",IF(L1766="☑ Oui","Annulée",IF(OR(E1766="Vente directe",K1766&lt;&gt;""),"Livrée",IF(J1766&lt;&gt;"","Confirmée","En attente"))))</f>
        <v/>
      </c>
      <c r="S1766" s="34">
        <f>IF(F1766="","",IFERROR(VLOOKUP(F1766,T_Produits,2,FALSE),""))</f>
        <v/>
      </c>
      <c r="T1766" s="40">
        <f>IF(F1766="","",IFERROR(1/(1/VLOOKUP(F1766,T_Produits,3,FALSE)),""))</f>
        <v/>
      </c>
      <c r="U1766" s="40">
        <f>IF(H1766&lt;&gt;"",H1766,T1766)</f>
        <v/>
      </c>
      <c r="V1766" s="40">
        <f>IF(OR(G1766="",U1766=""),"",G1766*U1766-N(I1766))</f>
        <v/>
      </c>
      <c r="W1766" s="39">
        <f>IF(D1766="","",IFERROR(VALUE(MID(D1766,LEN(D1766)-3,3)),""))</f>
        <v/>
      </c>
      <c r="X1766" s="33">
        <f>IF(W1766="","",P1766&amp;"|"&amp;W1766)</f>
        <v/>
      </c>
      <c r="Y1766" s="33">
        <f>IF(W1766="","",IF(P1766="À RENSEIGNER","GIC",P1766)&amp;"-"&amp;TEXT(W1766,"000"))</f>
        <v/>
      </c>
      <c r="Z1766" s="33">
        <f>IF(X1766="","",IFERROR(INDEX(Cl_nom,MATCH(X1766,Cl_cle,0)),"(client introuvable)"))</f>
        <v/>
      </c>
      <c r="AA1766" s="33">
        <f>IF(X1766="","",IFERROR(INDEX(Cl_quartier,MATCH(X1766,Cl_cle,0))&amp;"",""))</f>
        <v/>
      </c>
      <c r="AB1766" s="45">
        <f>IF(R1766&lt;&gt;"Livrée",0,IF(K1766&lt;&gt;"",K1766,C1766))</f>
        <v/>
      </c>
      <c r="AC1766" s="33">
        <f>IF(OR(C1766="",W1766=""),"",P1766&amp;"|"&amp;W1766&amp;"|"&amp;C1766&amp;"|"&amp;E1766)</f>
        <v/>
      </c>
      <c r="AD1766" s="39">
        <f>IF(AC1766="","",IF(COUNTIF(AC$6:AC1766,AC1766)=1,1,0))</f>
        <v/>
      </c>
      <c r="AE1766" s="39">
        <f>IF(AB1766=0,"",IF(COUNTIFS(X$6:X1766,X1766,AB$6:AB1766,AB1766)=1,1,0))</f>
        <v/>
      </c>
      <c r="AF1766" s="34">
        <f>IF(C1766="","",YEAR(C1766-WEEKDAY(C1766,2)+4)&amp;"-S"&amp;TEXT(INT((C1766-DATE(YEAR(C1766-WEEKDAY(C1766,2)+4),1,3)+WEEKDAY(DATE(YEAR(C1766-WEEKDAY(C1766,2)+4),1,3),2)+5)/7),"00"))</f>
        <v/>
      </c>
    </row>
    <row r="1767" ht="18" customHeight="1">
      <c r="A1767" s="39" t="n">
        <v>1762</v>
      </c>
      <c r="B1767" s="33">
        <f>IF(C1767="","",IF(P1767="À RENSEIGNER","GIC",P1767)&amp;"-C"&amp;TEXT(A1767,"00000"))</f>
        <v/>
      </c>
      <c r="C1767" s="32" t="n"/>
      <c r="D1767" s="36" t="n"/>
      <c r="E1767" s="36" t="n"/>
      <c r="F1767" s="36" t="n"/>
      <c r="G1767" s="42" t="n"/>
      <c r="H1767" s="37" t="n"/>
      <c r="I1767" s="37" t="n"/>
      <c r="J1767" s="32" t="n"/>
      <c r="K1767" s="32" t="n"/>
      <c r="L1767" s="43" t="n"/>
      <c r="M1767" s="36" t="n"/>
      <c r="N1767" s="44" t="n"/>
      <c r="O1767" s="36" t="n"/>
      <c r="P1767" s="33">
        <f>IF(C1767="","",Commercial_Id)</f>
        <v/>
      </c>
      <c r="Q1767" s="34">
        <f>IF(AC1767="","",IF(AD1767=1,"C"&amp;TEXT(SUM(AD$6:AD1767),"0000"),INDEX(Q$6:Q1766,MATCH(AC1767,AC$6:AC1766,0))))</f>
        <v/>
      </c>
      <c r="R1767" s="34">
        <f>IF(C1767="","",IF(L1767="☑ Oui","Annulée",IF(OR(E1767="Vente directe",K1767&lt;&gt;""),"Livrée",IF(J1767&lt;&gt;"","Confirmée","En attente"))))</f>
        <v/>
      </c>
      <c r="S1767" s="34">
        <f>IF(F1767="","",IFERROR(VLOOKUP(F1767,T_Produits,2,FALSE),""))</f>
        <v/>
      </c>
      <c r="T1767" s="40">
        <f>IF(F1767="","",IFERROR(1/(1/VLOOKUP(F1767,T_Produits,3,FALSE)),""))</f>
        <v/>
      </c>
      <c r="U1767" s="40">
        <f>IF(H1767&lt;&gt;"",H1767,T1767)</f>
        <v/>
      </c>
      <c r="V1767" s="40">
        <f>IF(OR(G1767="",U1767=""),"",G1767*U1767-N(I1767))</f>
        <v/>
      </c>
      <c r="W1767" s="39">
        <f>IF(D1767="","",IFERROR(VALUE(MID(D1767,LEN(D1767)-3,3)),""))</f>
        <v/>
      </c>
      <c r="X1767" s="33">
        <f>IF(W1767="","",P1767&amp;"|"&amp;W1767)</f>
        <v/>
      </c>
      <c r="Y1767" s="33">
        <f>IF(W1767="","",IF(P1767="À RENSEIGNER","GIC",P1767)&amp;"-"&amp;TEXT(W1767,"000"))</f>
        <v/>
      </c>
      <c r="Z1767" s="33">
        <f>IF(X1767="","",IFERROR(INDEX(Cl_nom,MATCH(X1767,Cl_cle,0)),"(client introuvable)"))</f>
        <v/>
      </c>
      <c r="AA1767" s="33">
        <f>IF(X1767="","",IFERROR(INDEX(Cl_quartier,MATCH(X1767,Cl_cle,0))&amp;"",""))</f>
        <v/>
      </c>
      <c r="AB1767" s="45">
        <f>IF(R1767&lt;&gt;"Livrée",0,IF(K1767&lt;&gt;"",K1767,C1767))</f>
        <v/>
      </c>
      <c r="AC1767" s="33">
        <f>IF(OR(C1767="",W1767=""),"",P1767&amp;"|"&amp;W1767&amp;"|"&amp;C1767&amp;"|"&amp;E1767)</f>
        <v/>
      </c>
      <c r="AD1767" s="39">
        <f>IF(AC1767="","",IF(COUNTIF(AC$6:AC1767,AC1767)=1,1,0))</f>
        <v/>
      </c>
      <c r="AE1767" s="39">
        <f>IF(AB1767=0,"",IF(COUNTIFS(X$6:X1767,X1767,AB$6:AB1767,AB1767)=1,1,0))</f>
        <v/>
      </c>
      <c r="AF1767" s="34">
        <f>IF(C1767="","",YEAR(C1767-WEEKDAY(C1767,2)+4)&amp;"-S"&amp;TEXT(INT((C1767-DATE(YEAR(C1767-WEEKDAY(C1767,2)+4),1,3)+WEEKDAY(DATE(YEAR(C1767-WEEKDAY(C1767,2)+4),1,3),2)+5)/7),"00"))</f>
        <v/>
      </c>
    </row>
    <row r="1768" ht="18" customHeight="1">
      <c r="A1768" s="39" t="n">
        <v>1763</v>
      </c>
      <c r="B1768" s="33">
        <f>IF(C1768="","",IF(P1768="À RENSEIGNER","GIC",P1768)&amp;"-C"&amp;TEXT(A1768,"00000"))</f>
        <v/>
      </c>
      <c r="C1768" s="32" t="n"/>
      <c r="D1768" s="36" t="n"/>
      <c r="E1768" s="36" t="n"/>
      <c r="F1768" s="36" t="n"/>
      <c r="G1768" s="42" t="n"/>
      <c r="H1768" s="37" t="n"/>
      <c r="I1768" s="37" t="n"/>
      <c r="J1768" s="32" t="n"/>
      <c r="K1768" s="32" t="n"/>
      <c r="L1768" s="43" t="n"/>
      <c r="M1768" s="36" t="n"/>
      <c r="N1768" s="44" t="n"/>
      <c r="O1768" s="36" t="n"/>
      <c r="P1768" s="33">
        <f>IF(C1768="","",Commercial_Id)</f>
        <v/>
      </c>
      <c r="Q1768" s="34">
        <f>IF(AC1768="","",IF(AD1768=1,"C"&amp;TEXT(SUM(AD$6:AD1768),"0000"),INDEX(Q$6:Q1767,MATCH(AC1768,AC$6:AC1767,0))))</f>
        <v/>
      </c>
      <c r="R1768" s="34">
        <f>IF(C1768="","",IF(L1768="☑ Oui","Annulée",IF(OR(E1768="Vente directe",K1768&lt;&gt;""),"Livrée",IF(J1768&lt;&gt;"","Confirmée","En attente"))))</f>
        <v/>
      </c>
      <c r="S1768" s="34">
        <f>IF(F1768="","",IFERROR(VLOOKUP(F1768,T_Produits,2,FALSE),""))</f>
        <v/>
      </c>
      <c r="T1768" s="40">
        <f>IF(F1768="","",IFERROR(1/(1/VLOOKUP(F1768,T_Produits,3,FALSE)),""))</f>
        <v/>
      </c>
      <c r="U1768" s="40">
        <f>IF(H1768&lt;&gt;"",H1768,T1768)</f>
        <v/>
      </c>
      <c r="V1768" s="40">
        <f>IF(OR(G1768="",U1768=""),"",G1768*U1768-N(I1768))</f>
        <v/>
      </c>
      <c r="W1768" s="39">
        <f>IF(D1768="","",IFERROR(VALUE(MID(D1768,LEN(D1768)-3,3)),""))</f>
        <v/>
      </c>
      <c r="X1768" s="33">
        <f>IF(W1768="","",P1768&amp;"|"&amp;W1768)</f>
        <v/>
      </c>
      <c r="Y1768" s="33">
        <f>IF(W1768="","",IF(P1768="À RENSEIGNER","GIC",P1768)&amp;"-"&amp;TEXT(W1768,"000"))</f>
        <v/>
      </c>
      <c r="Z1768" s="33">
        <f>IF(X1768="","",IFERROR(INDEX(Cl_nom,MATCH(X1768,Cl_cle,0)),"(client introuvable)"))</f>
        <v/>
      </c>
      <c r="AA1768" s="33">
        <f>IF(X1768="","",IFERROR(INDEX(Cl_quartier,MATCH(X1768,Cl_cle,0))&amp;"",""))</f>
        <v/>
      </c>
      <c r="AB1768" s="45">
        <f>IF(R1768&lt;&gt;"Livrée",0,IF(K1768&lt;&gt;"",K1768,C1768))</f>
        <v/>
      </c>
      <c r="AC1768" s="33">
        <f>IF(OR(C1768="",W1768=""),"",P1768&amp;"|"&amp;W1768&amp;"|"&amp;C1768&amp;"|"&amp;E1768)</f>
        <v/>
      </c>
      <c r="AD1768" s="39">
        <f>IF(AC1768="","",IF(COUNTIF(AC$6:AC1768,AC1768)=1,1,0))</f>
        <v/>
      </c>
      <c r="AE1768" s="39">
        <f>IF(AB1768=0,"",IF(COUNTIFS(X$6:X1768,X1768,AB$6:AB1768,AB1768)=1,1,0))</f>
        <v/>
      </c>
      <c r="AF1768" s="34">
        <f>IF(C1768="","",YEAR(C1768-WEEKDAY(C1768,2)+4)&amp;"-S"&amp;TEXT(INT((C1768-DATE(YEAR(C1768-WEEKDAY(C1768,2)+4),1,3)+WEEKDAY(DATE(YEAR(C1768-WEEKDAY(C1768,2)+4),1,3),2)+5)/7),"00"))</f>
        <v/>
      </c>
    </row>
    <row r="1769" ht="18" customHeight="1">
      <c r="A1769" s="39" t="n">
        <v>1764</v>
      </c>
      <c r="B1769" s="33">
        <f>IF(C1769="","",IF(P1769="À RENSEIGNER","GIC",P1769)&amp;"-C"&amp;TEXT(A1769,"00000"))</f>
        <v/>
      </c>
      <c r="C1769" s="32" t="n"/>
      <c r="D1769" s="36" t="n"/>
      <c r="E1769" s="36" t="n"/>
      <c r="F1769" s="36" t="n"/>
      <c r="G1769" s="42" t="n"/>
      <c r="H1769" s="37" t="n"/>
      <c r="I1769" s="37" t="n"/>
      <c r="J1769" s="32" t="n"/>
      <c r="K1769" s="32" t="n"/>
      <c r="L1769" s="43" t="n"/>
      <c r="M1769" s="36" t="n"/>
      <c r="N1769" s="44" t="n"/>
      <c r="O1769" s="36" t="n"/>
      <c r="P1769" s="33">
        <f>IF(C1769="","",Commercial_Id)</f>
        <v/>
      </c>
      <c r="Q1769" s="34">
        <f>IF(AC1769="","",IF(AD1769=1,"C"&amp;TEXT(SUM(AD$6:AD1769),"0000"),INDEX(Q$6:Q1768,MATCH(AC1769,AC$6:AC1768,0))))</f>
        <v/>
      </c>
      <c r="R1769" s="34">
        <f>IF(C1769="","",IF(L1769="☑ Oui","Annulée",IF(OR(E1769="Vente directe",K1769&lt;&gt;""),"Livrée",IF(J1769&lt;&gt;"","Confirmée","En attente"))))</f>
        <v/>
      </c>
      <c r="S1769" s="34">
        <f>IF(F1769="","",IFERROR(VLOOKUP(F1769,T_Produits,2,FALSE),""))</f>
        <v/>
      </c>
      <c r="T1769" s="40">
        <f>IF(F1769="","",IFERROR(1/(1/VLOOKUP(F1769,T_Produits,3,FALSE)),""))</f>
        <v/>
      </c>
      <c r="U1769" s="40">
        <f>IF(H1769&lt;&gt;"",H1769,T1769)</f>
        <v/>
      </c>
      <c r="V1769" s="40">
        <f>IF(OR(G1769="",U1769=""),"",G1769*U1769-N(I1769))</f>
        <v/>
      </c>
      <c r="W1769" s="39">
        <f>IF(D1769="","",IFERROR(VALUE(MID(D1769,LEN(D1769)-3,3)),""))</f>
        <v/>
      </c>
      <c r="X1769" s="33">
        <f>IF(W1769="","",P1769&amp;"|"&amp;W1769)</f>
        <v/>
      </c>
      <c r="Y1769" s="33">
        <f>IF(W1769="","",IF(P1769="À RENSEIGNER","GIC",P1769)&amp;"-"&amp;TEXT(W1769,"000"))</f>
        <v/>
      </c>
      <c r="Z1769" s="33">
        <f>IF(X1769="","",IFERROR(INDEX(Cl_nom,MATCH(X1769,Cl_cle,0)),"(client introuvable)"))</f>
        <v/>
      </c>
      <c r="AA1769" s="33">
        <f>IF(X1769="","",IFERROR(INDEX(Cl_quartier,MATCH(X1769,Cl_cle,0))&amp;"",""))</f>
        <v/>
      </c>
      <c r="AB1769" s="45">
        <f>IF(R1769&lt;&gt;"Livrée",0,IF(K1769&lt;&gt;"",K1769,C1769))</f>
        <v/>
      </c>
      <c r="AC1769" s="33">
        <f>IF(OR(C1769="",W1769=""),"",P1769&amp;"|"&amp;W1769&amp;"|"&amp;C1769&amp;"|"&amp;E1769)</f>
        <v/>
      </c>
      <c r="AD1769" s="39">
        <f>IF(AC1769="","",IF(COUNTIF(AC$6:AC1769,AC1769)=1,1,0))</f>
        <v/>
      </c>
      <c r="AE1769" s="39">
        <f>IF(AB1769=0,"",IF(COUNTIFS(X$6:X1769,X1769,AB$6:AB1769,AB1769)=1,1,0))</f>
        <v/>
      </c>
      <c r="AF1769" s="34">
        <f>IF(C1769="","",YEAR(C1769-WEEKDAY(C1769,2)+4)&amp;"-S"&amp;TEXT(INT((C1769-DATE(YEAR(C1769-WEEKDAY(C1769,2)+4),1,3)+WEEKDAY(DATE(YEAR(C1769-WEEKDAY(C1769,2)+4),1,3),2)+5)/7),"00"))</f>
        <v/>
      </c>
    </row>
    <row r="1770" ht="18" customHeight="1">
      <c r="A1770" s="39" t="n">
        <v>1765</v>
      </c>
      <c r="B1770" s="33">
        <f>IF(C1770="","",IF(P1770="À RENSEIGNER","GIC",P1770)&amp;"-C"&amp;TEXT(A1770,"00000"))</f>
        <v/>
      </c>
      <c r="C1770" s="32" t="n"/>
      <c r="D1770" s="36" t="n"/>
      <c r="E1770" s="36" t="n"/>
      <c r="F1770" s="36" t="n"/>
      <c r="G1770" s="42" t="n"/>
      <c r="H1770" s="37" t="n"/>
      <c r="I1770" s="37" t="n"/>
      <c r="J1770" s="32" t="n"/>
      <c r="K1770" s="32" t="n"/>
      <c r="L1770" s="43" t="n"/>
      <c r="M1770" s="36" t="n"/>
      <c r="N1770" s="44" t="n"/>
      <c r="O1770" s="36" t="n"/>
      <c r="P1770" s="33">
        <f>IF(C1770="","",Commercial_Id)</f>
        <v/>
      </c>
      <c r="Q1770" s="34">
        <f>IF(AC1770="","",IF(AD1770=1,"C"&amp;TEXT(SUM(AD$6:AD1770),"0000"),INDEX(Q$6:Q1769,MATCH(AC1770,AC$6:AC1769,0))))</f>
        <v/>
      </c>
      <c r="R1770" s="34">
        <f>IF(C1770="","",IF(L1770="☑ Oui","Annulée",IF(OR(E1770="Vente directe",K1770&lt;&gt;""),"Livrée",IF(J1770&lt;&gt;"","Confirmée","En attente"))))</f>
        <v/>
      </c>
      <c r="S1770" s="34">
        <f>IF(F1770="","",IFERROR(VLOOKUP(F1770,T_Produits,2,FALSE),""))</f>
        <v/>
      </c>
      <c r="T1770" s="40">
        <f>IF(F1770="","",IFERROR(1/(1/VLOOKUP(F1770,T_Produits,3,FALSE)),""))</f>
        <v/>
      </c>
      <c r="U1770" s="40">
        <f>IF(H1770&lt;&gt;"",H1770,T1770)</f>
        <v/>
      </c>
      <c r="V1770" s="40">
        <f>IF(OR(G1770="",U1770=""),"",G1770*U1770-N(I1770))</f>
        <v/>
      </c>
      <c r="W1770" s="39">
        <f>IF(D1770="","",IFERROR(VALUE(MID(D1770,LEN(D1770)-3,3)),""))</f>
        <v/>
      </c>
      <c r="X1770" s="33">
        <f>IF(W1770="","",P1770&amp;"|"&amp;W1770)</f>
        <v/>
      </c>
      <c r="Y1770" s="33">
        <f>IF(W1770="","",IF(P1770="À RENSEIGNER","GIC",P1770)&amp;"-"&amp;TEXT(W1770,"000"))</f>
        <v/>
      </c>
      <c r="Z1770" s="33">
        <f>IF(X1770="","",IFERROR(INDEX(Cl_nom,MATCH(X1770,Cl_cle,0)),"(client introuvable)"))</f>
        <v/>
      </c>
      <c r="AA1770" s="33">
        <f>IF(X1770="","",IFERROR(INDEX(Cl_quartier,MATCH(X1770,Cl_cle,0))&amp;"",""))</f>
        <v/>
      </c>
      <c r="AB1770" s="45">
        <f>IF(R1770&lt;&gt;"Livrée",0,IF(K1770&lt;&gt;"",K1770,C1770))</f>
        <v/>
      </c>
      <c r="AC1770" s="33">
        <f>IF(OR(C1770="",W1770=""),"",P1770&amp;"|"&amp;W1770&amp;"|"&amp;C1770&amp;"|"&amp;E1770)</f>
        <v/>
      </c>
      <c r="AD1770" s="39">
        <f>IF(AC1770="","",IF(COUNTIF(AC$6:AC1770,AC1770)=1,1,0))</f>
        <v/>
      </c>
      <c r="AE1770" s="39">
        <f>IF(AB1770=0,"",IF(COUNTIFS(X$6:X1770,X1770,AB$6:AB1770,AB1770)=1,1,0))</f>
        <v/>
      </c>
      <c r="AF1770" s="34">
        <f>IF(C1770="","",YEAR(C1770-WEEKDAY(C1770,2)+4)&amp;"-S"&amp;TEXT(INT((C1770-DATE(YEAR(C1770-WEEKDAY(C1770,2)+4),1,3)+WEEKDAY(DATE(YEAR(C1770-WEEKDAY(C1770,2)+4),1,3),2)+5)/7),"00"))</f>
        <v/>
      </c>
    </row>
    <row r="1771" ht="18" customHeight="1">
      <c r="A1771" s="39" t="n">
        <v>1766</v>
      </c>
      <c r="B1771" s="33">
        <f>IF(C1771="","",IF(P1771="À RENSEIGNER","GIC",P1771)&amp;"-C"&amp;TEXT(A1771,"00000"))</f>
        <v/>
      </c>
      <c r="C1771" s="32" t="n"/>
      <c r="D1771" s="36" t="n"/>
      <c r="E1771" s="36" t="n"/>
      <c r="F1771" s="36" t="n"/>
      <c r="G1771" s="42" t="n"/>
      <c r="H1771" s="37" t="n"/>
      <c r="I1771" s="37" t="n"/>
      <c r="J1771" s="32" t="n"/>
      <c r="K1771" s="32" t="n"/>
      <c r="L1771" s="43" t="n"/>
      <c r="M1771" s="36" t="n"/>
      <c r="N1771" s="44" t="n"/>
      <c r="O1771" s="36" t="n"/>
      <c r="P1771" s="33">
        <f>IF(C1771="","",Commercial_Id)</f>
        <v/>
      </c>
      <c r="Q1771" s="34">
        <f>IF(AC1771="","",IF(AD1771=1,"C"&amp;TEXT(SUM(AD$6:AD1771),"0000"),INDEX(Q$6:Q1770,MATCH(AC1771,AC$6:AC1770,0))))</f>
        <v/>
      </c>
      <c r="R1771" s="34">
        <f>IF(C1771="","",IF(L1771="☑ Oui","Annulée",IF(OR(E1771="Vente directe",K1771&lt;&gt;""),"Livrée",IF(J1771&lt;&gt;"","Confirmée","En attente"))))</f>
        <v/>
      </c>
      <c r="S1771" s="34">
        <f>IF(F1771="","",IFERROR(VLOOKUP(F1771,T_Produits,2,FALSE),""))</f>
        <v/>
      </c>
      <c r="T1771" s="40">
        <f>IF(F1771="","",IFERROR(1/(1/VLOOKUP(F1771,T_Produits,3,FALSE)),""))</f>
        <v/>
      </c>
      <c r="U1771" s="40">
        <f>IF(H1771&lt;&gt;"",H1771,T1771)</f>
        <v/>
      </c>
      <c r="V1771" s="40">
        <f>IF(OR(G1771="",U1771=""),"",G1771*U1771-N(I1771))</f>
        <v/>
      </c>
      <c r="W1771" s="39">
        <f>IF(D1771="","",IFERROR(VALUE(MID(D1771,LEN(D1771)-3,3)),""))</f>
        <v/>
      </c>
      <c r="X1771" s="33">
        <f>IF(W1771="","",P1771&amp;"|"&amp;W1771)</f>
        <v/>
      </c>
      <c r="Y1771" s="33">
        <f>IF(W1771="","",IF(P1771="À RENSEIGNER","GIC",P1771)&amp;"-"&amp;TEXT(W1771,"000"))</f>
        <v/>
      </c>
      <c r="Z1771" s="33">
        <f>IF(X1771="","",IFERROR(INDEX(Cl_nom,MATCH(X1771,Cl_cle,0)),"(client introuvable)"))</f>
        <v/>
      </c>
      <c r="AA1771" s="33">
        <f>IF(X1771="","",IFERROR(INDEX(Cl_quartier,MATCH(X1771,Cl_cle,0))&amp;"",""))</f>
        <v/>
      </c>
      <c r="AB1771" s="45">
        <f>IF(R1771&lt;&gt;"Livrée",0,IF(K1771&lt;&gt;"",K1771,C1771))</f>
        <v/>
      </c>
      <c r="AC1771" s="33">
        <f>IF(OR(C1771="",W1771=""),"",P1771&amp;"|"&amp;W1771&amp;"|"&amp;C1771&amp;"|"&amp;E1771)</f>
        <v/>
      </c>
      <c r="AD1771" s="39">
        <f>IF(AC1771="","",IF(COUNTIF(AC$6:AC1771,AC1771)=1,1,0))</f>
        <v/>
      </c>
      <c r="AE1771" s="39">
        <f>IF(AB1771=0,"",IF(COUNTIFS(X$6:X1771,X1771,AB$6:AB1771,AB1771)=1,1,0))</f>
        <v/>
      </c>
      <c r="AF1771" s="34">
        <f>IF(C1771="","",YEAR(C1771-WEEKDAY(C1771,2)+4)&amp;"-S"&amp;TEXT(INT((C1771-DATE(YEAR(C1771-WEEKDAY(C1771,2)+4),1,3)+WEEKDAY(DATE(YEAR(C1771-WEEKDAY(C1771,2)+4),1,3),2)+5)/7),"00"))</f>
        <v/>
      </c>
    </row>
    <row r="1772" ht="18" customHeight="1">
      <c r="A1772" s="39" t="n">
        <v>1767</v>
      </c>
      <c r="B1772" s="33">
        <f>IF(C1772="","",IF(P1772="À RENSEIGNER","GIC",P1772)&amp;"-C"&amp;TEXT(A1772,"00000"))</f>
        <v/>
      </c>
      <c r="C1772" s="32" t="n"/>
      <c r="D1772" s="36" t="n"/>
      <c r="E1772" s="36" t="n"/>
      <c r="F1772" s="36" t="n"/>
      <c r="G1772" s="42" t="n"/>
      <c r="H1772" s="37" t="n"/>
      <c r="I1772" s="37" t="n"/>
      <c r="J1772" s="32" t="n"/>
      <c r="K1772" s="32" t="n"/>
      <c r="L1772" s="43" t="n"/>
      <c r="M1772" s="36" t="n"/>
      <c r="N1772" s="44" t="n"/>
      <c r="O1772" s="36" t="n"/>
      <c r="P1772" s="33">
        <f>IF(C1772="","",Commercial_Id)</f>
        <v/>
      </c>
      <c r="Q1772" s="34">
        <f>IF(AC1772="","",IF(AD1772=1,"C"&amp;TEXT(SUM(AD$6:AD1772),"0000"),INDEX(Q$6:Q1771,MATCH(AC1772,AC$6:AC1771,0))))</f>
        <v/>
      </c>
      <c r="R1772" s="34">
        <f>IF(C1772="","",IF(L1772="☑ Oui","Annulée",IF(OR(E1772="Vente directe",K1772&lt;&gt;""),"Livrée",IF(J1772&lt;&gt;"","Confirmée","En attente"))))</f>
        <v/>
      </c>
      <c r="S1772" s="34">
        <f>IF(F1772="","",IFERROR(VLOOKUP(F1772,T_Produits,2,FALSE),""))</f>
        <v/>
      </c>
      <c r="T1772" s="40">
        <f>IF(F1772="","",IFERROR(1/(1/VLOOKUP(F1772,T_Produits,3,FALSE)),""))</f>
        <v/>
      </c>
      <c r="U1772" s="40">
        <f>IF(H1772&lt;&gt;"",H1772,T1772)</f>
        <v/>
      </c>
      <c r="V1772" s="40">
        <f>IF(OR(G1772="",U1772=""),"",G1772*U1772-N(I1772))</f>
        <v/>
      </c>
      <c r="W1772" s="39">
        <f>IF(D1772="","",IFERROR(VALUE(MID(D1772,LEN(D1772)-3,3)),""))</f>
        <v/>
      </c>
      <c r="X1772" s="33">
        <f>IF(W1772="","",P1772&amp;"|"&amp;W1772)</f>
        <v/>
      </c>
      <c r="Y1772" s="33">
        <f>IF(W1772="","",IF(P1772="À RENSEIGNER","GIC",P1772)&amp;"-"&amp;TEXT(W1772,"000"))</f>
        <v/>
      </c>
      <c r="Z1772" s="33">
        <f>IF(X1772="","",IFERROR(INDEX(Cl_nom,MATCH(X1772,Cl_cle,0)),"(client introuvable)"))</f>
        <v/>
      </c>
      <c r="AA1772" s="33">
        <f>IF(X1772="","",IFERROR(INDEX(Cl_quartier,MATCH(X1772,Cl_cle,0))&amp;"",""))</f>
        <v/>
      </c>
      <c r="AB1772" s="45">
        <f>IF(R1772&lt;&gt;"Livrée",0,IF(K1772&lt;&gt;"",K1772,C1772))</f>
        <v/>
      </c>
      <c r="AC1772" s="33">
        <f>IF(OR(C1772="",W1772=""),"",P1772&amp;"|"&amp;W1772&amp;"|"&amp;C1772&amp;"|"&amp;E1772)</f>
        <v/>
      </c>
      <c r="AD1772" s="39">
        <f>IF(AC1772="","",IF(COUNTIF(AC$6:AC1772,AC1772)=1,1,0))</f>
        <v/>
      </c>
      <c r="AE1772" s="39">
        <f>IF(AB1772=0,"",IF(COUNTIFS(X$6:X1772,X1772,AB$6:AB1772,AB1772)=1,1,0))</f>
        <v/>
      </c>
      <c r="AF1772" s="34">
        <f>IF(C1772="","",YEAR(C1772-WEEKDAY(C1772,2)+4)&amp;"-S"&amp;TEXT(INT((C1772-DATE(YEAR(C1772-WEEKDAY(C1772,2)+4),1,3)+WEEKDAY(DATE(YEAR(C1772-WEEKDAY(C1772,2)+4),1,3),2)+5)/7),"00"))</f>
        <v/>
      </c>
    </row>
    <row r="1773" ht="18" customHeight="1">
      <c r="A1773" s="39" t="n">
        <v>1768</v>
      </c>
      <c r="B1773" s="33">
        <f>IF(C1773="","",IF(P1773="À RENSEIGNER","GIC",P1773)&amp;"-C"&amp;TEXT(A1773,"00000"))</f>
        <v/>
      </c>
      <c r="C1773" s="32" t="n"/>
      <c r="D1773" s="36" t="n"/>
      <c r="E1773" s="36" t="n"/>
      <c r="F1773" s="36" t="n"/>
      <c r="G1773" s="42" t="n"/>
      <c r="H1773" s="37" t="n"/>
      <c r="I1773" s="37" t="n"/>
      <c r="J1773" s="32" t="n"/>
      <c r="K1773" s="32" t="n"/>
      <c r="L1773" s="43" t="n"/>
      <c r="M1773" s="36" t="n"/>
      <c r="N1773" s="44" t="n"/>
      <c r="O1773" s="36" t="n"/>
      <c r="P1773" s="33">
        <f>IF(C1773="","",Commercial_Id)</f>
        <v/>
      </c>
      <c r="Q1773" s="34">
        <f>IF(AC1773="","",IF(AD1773=1,"C"&amp;TEXT(SUM(AD$6:AD1773),"0000"),INDEX(Q$6:Q1772,MATCH(AC1773,AC$6:AC1772,0))))</f>
        <v/>
      </c>
      <c r="R1773" s="34">
        <f>IF(C1773="","",IF(L1773="☑ Oui","Annulée",IF(OR(E1773="Vente directe",K1773&lt;&gt;""),"Livrée",IF(J1773&lt;&gt;"","Confirmée","En attente"))))</f>
        <v/>
      </c>
      <c r="S1773" s="34">
        <f>IF(F1773="","",IFERROR(VLOOKUP(F1773,T_Produits,2,FALSE),""))</f>
        <v/>
      </c>
      <c r="T1773" s="40">
        <f>IF(F1773="","",IFERROR(1/(1/VLOOKUP(F1773,T_Produits,3,FALSE)),""))</f>
        <v/>
      </c>
      <c r="U1773" s="40">
        <f>IF(H1773&lt;&gt;"",H1773,T1773)</f>
        <v/>
      </c>
      <c r="V1773" s="40">
        <f>IF(OR(G1773="",U1773=""),"",G1773*U1773-N(I1773))</f>
        <v/>
      </c>
      <c r="W1773" s="39">
        <f>IF(D1773="","",IFERROR(VALUE(MID(D1773,LEN(D1773)-3,3)),""))</f>
        <v/>
      </c>
      <c r="X1773" s="33">
        <f>IF(W1773="","",P1773&amp;"|"&amp;W1773)</f>
        <v/>
      </c>
      <c r="Y1773" s="33">
        <f>IF(W1773="","",IF(P1773="À RENSEIGNER","GIC",P1773)&amp;"-"&amp;TEXT(W1773,"000"))</f>
        <v/>
      </c>
      <c r="Z1773" s="33">
        <f>IF(X1773="","",IFERROR(INDEX(Cl_nom,MATCH(X1773,Cl_cle,0)),"(client introuvable)"))</f>
        <v/>
      </c>
      <c r="AA1773" s="33">
        <f>IF(X1773="","",IFERROR(INDEX(Cl_quartier,MATCH(X1773,Cl_cle,0))&amp;"",""))</f>
        <v/>
      </c>
      <c r="AB1773" s="45">
        <f>IF(R1773&lt;&gt;"Livrée",0,IF(K1773&lt;&gt;"",K1773,C1773))</f>
        <v/>
      </c>
      <c r="AC1773" s="33">
        <f>IF(OR(C1773="",W1773=""),"",P1773&amp;"|"&amp;W1773&amp;"|"&amp;C1773&amp;"|"&amp;E1773)</f>
        <v/>
      </c>
      <c r="AD1773" s="39">
        <f>IF(AC1773="","",IF(COUNTIF(AC$6:AC1773,AC1773)=1,1,0))</f>
        <v/>
      </c>
      <c r="AE1773" s="39">
        <f>IF(AB1773=0,"",IF(COUNTIFS(X$6:X1773,X1773,AB$6:AB1773,AB1773)=1,1,0))</f>
        <v/>
      </c>
      <c r="AF1773" s="34">
        <f>IF(C1773="","",YEAR(C1773-WEEKDAY(C1773,2)+4)&amp;"-S"&amp;TEXT(INT((C1773-DATE(YEAR(C1773-WEEKDAY(C1773,2)+4),1,3)+WEEKDAY(DATE(YEAR(C1773-WEEKDAY(C1773,2)+4),1,3),2)+5)/7),"00"))</f>
        <v/>
      </c>
    </row>
    <row r="1774" ht="18" customHeight="1">
      <c r="A1774" s="39" t="n">
        <v>1769</v>
      </c>
      <c r="B1774" s="33">
        <f>IF(C1774="","",IF(P1774="À RENSEIGNER","GIC",P1774)&amp;"-C"&amp;TEXT(A1774,"00000"))</f>
        <v/>
      </c>
      <c r="C1774" s="32" t="n"/>
      <c r="D1774" s="36" t="n"/>
      <c r="E1774" s="36" t="n"/>
      <c r="F1774" s="36" t="n"/>
      <c r="G1774" s="42" t="n"/>
      <c r="H1774" s="37" t="n"/>
      <c r="I1774" s="37" t="n"/>
      <c r="J1774" s="32" t="n"/>
      <c r="K1774" s="32" t="n"/>
      <c r="L1774" s="43" t="n"/>
      <c r="M1774" s="36" t="n"/>
      <c r="N1774" s="44" t="n"/>
      <c r="O1774" s="36" t="n"/>
      <c r="P1774" s="33">
        <f>IF(C1774="","",Commercial_Id)</f>
        <v/>
      </c>
      <c r="Q1774" s="34">
        <f>IF(AC1774="","",IF(AD1774=1,"C"&amp;TEXT(SUM(AD$6:AD1774),"0000"),INDEX(Q$6:Q1773,MATCH(AC1774,AC$6:AC1773,0))))</f>
        <v/>
      </c>
      <c r="R1774" s="34">
        <f>IF(C1774="","",IF(L1774="☑ Oui","Annulée",IF(OR(E1774="Vente directe",K1774&lt;&gt;""),"Livrée",IF(J1774&lt;&gt;"","Confirmée","En attente"))))</f>
        <v/>
      </c>
      <c r="S1774" s="34">
        <f>IF(F1774="","",IFERROR(VLOOKUP(F1774,T_Produits,2,FALSE),""))</f>
        <v/>
      </c>
      <c r="T1774" s="40">
        <f>IF(F1774="","",IFERROR(1/(1/VLOOKUP(F1774,T_Produits,3,FALSE)),""))</f>
        <v/>
      </c>
      <c r="U1774" s="40">
        <f>IF(H1774&lt;&gt;"",H1774,T1774)</f>
        <v/>
      </c>
      <c r="V1774" s="40">
        <f>IF(OR(G1774="",U1774=""),"",G1774*U1774-N(I1774))</f>
        <v/>
      </c>
      <c r="W1774" s="39">
        <f>IF(D1774="","",IFERROR(VALUE(MID(D1774,LEN(D1774)-3,3)),""))</f>
        <v/>
      </c>
      <c r="X1774" s="33">
        <f>IF(W1774="","",P1774&amp;"|"&amp;W1774)</f>
        <v/>
      </c>
      <c r="Y1774" s="33">
        <f>IF(W1774="","",IF(P1774="À RENSEIGNER","GIC",P1774)&amp;"-"&amp;TEXT(W1774,"000"))</f>
        <v/>
      </c>
      <c r="Z1774" s="33">
        <f>IF(X1774="","",IFERROR(INDEX(Cl_nom,MATCH(X1774,Cl_cle,0)),"(client introuvable)"))</f>
        <v/>
      </c>
      <c r="AA1774" s="33">
        <f>IF(X1774="","",IFERROR(INDEX(Cl_quartier,MATCH(X1774,Cl_cle,0))&amp;"",""))</f>
        <v/>
      </c>
      <c r="AB1774" s="45">
        <f>IF(R1774&lt;&gt;"Livrée",0,IF(K1774&lt;&gt;"",K1774,C1774))</f>
        <v/>
      </c>
      <c r="AC1774" s="33">
        <f>IF(OR(C1774="",W1774=""),"",P1774&amp;"|"&amp;W1774&amp;"|"&amp;C1774&amp;"|"&amp;E1774)</f>
        <v/>
      </c>
      <c r="AD1774" s="39">
        <f>IF(AC1774="","",IF(COUNTIF(AC$6:AC1774,AC1774)=1,1,0))</f>
        <v/>
      </c>
      <c r="AE1774" s="39">
        <f>IF(AB1774=0,"",IF(COUNTIFS(X$6:X1774,X1774,AB$6:AB1774,AB1774)=1,1,0))</f>
        <v/>
      </c>
      <c r="AF1774" s="34">
        <f>IF(C1774="","",YEAR(C1774-WEEKDAY(C1774,2)+4)&amp;"-S"&amp;TEXT(INT((C1774-DATE(YEAR(C1774-WEEKDAY(C1774,2)+4),1,3)+WEEKDAY(DATE(YEAR(C1774-WEEKDAY(C1774,2)+4),1,3),2)+5)/7),"00"))</f>
        <v/>
      </c>
    </row>
    <row r="1775" ht="18" customHeight="1">
      <c r="A1775" s="39" t="n">
        <v>1770</v>
      </c>
      <c r="B1775" s="33">
        <f>IF(C1775="","",IF(P1775="À RENSEIGNER","GIC",P1775)&amp;"-C"&amp;TEXT(A1775,"00000"))</f>
        <v/>
      </c>
      <c r="C1775" s="32" t="n"/>
      <c r="D1775" s="36" t="n"/>
      <c r="E1775" s="36" t="n"/>
      <c r="F1775" s="36" t="n"/>
      <c r="G1775" s="42" t="n"/>
      <c r="H1775" s="37" t="n"/>
      <c r="I1775" s="37" t="n"/>
      <c r="J1775" s="32" t="n"/>
      <c r="K1775" s="32" t="n"/>
      <c r="L1775" s="43" t="n"/>
      <c r="M1775" s="36" t="n"/>
      <c r="N1775" s="44" t="n"/>
      <c r="O1775" s="36" t="n"/>
      <c r="P1775" s="33">
        <f>IF(C1775="","",Commercial_Id)</f>
        <v/>
      </c>
      <c r="Q1775" s="34">
        <f>IF(AC1775="","",IF(AD1775=1,"C"&amp;TEXT(SUM(AD$6:AD1775),"0000"),INDEX(Q$6:Q1774,MATCH(AC1775,AC$6:AC1774,0))))</f>
        <v/>
      </c>
      <c r="R1775" s="34">
        <f>IF(C1775="","",IF(L1775="☑ Oui","Annulée",IF(OR(E1775="Vente directe",K1775&lt;&gt;""),"Livrée",IF(J1775&lt;&gt;"","Confirmée","En attente"))))</f>
        <v/>
      </c>
      <c r="S1775" s="34">
        <f>IF(F1775="","",IFERROR(VLOOKUP(F1775,T_Produits,2,FALSE),""))</f>
        <v/>
      </c>
      <c r="T1775" s="40">
        <f>IF(F1775="","",IFERROR(1/(1/VLOOKUP(F1775,T_Produits,3,FALSE)),""))</f>
        <v/>
      </c>
      <c r="U1775" s="40">
        <f>IF(H1775&lt;&gt;"",H1775,T1775)</f>
        <v/>
      </c>
      <c r="V1775" s="40">
        <f>IF(OR(G1775="",U1775=""),"",G1775*U1775-N(I1775))</f>
        <v/>
      </c>
      <c r="W1775" s="39">
        <f>IF(D1775="","",IFERROR(VALUE(MID(D1775,LEN(D1775)-3,3)),""))</f>
        <v/>
      </c>
      <c r="X1775" s="33">
        <f>IF(W1775="","",P1775&amp;"|"&amp;W1775)</f>
        <v/>
      </c>
      <c r="Y1775" s="33">
        <f>IF(W1775="","",IF(P1775="À RENSEIGNER","GIC",P1775)&amp;"-"&amp;TEXT(W1775,"000"))</f>
        <v/>
      </c>
      <c r="Z1775" s="33">
        <f>IF(X1775="","",IFERROR(INDEX(Cl_nom,MATCH(X1775,Cl_cle,0)),"(client introuvable)"))</f>
        <v/>
      </c>
      <c r="AA1775" s="33">
        <f>IF(X1775="","",IFERROR(INDEX(Cl_quartier,MATCH(X1775,Cl_cle,0))&amp;"",""))</f>
        <v/>
      </c>
      <c r="AB1775" s="45">
        <f>IF(R1775&lt;&gt;"Livrée",0,IF(K1775&lt;&gt;"",K1775,C1775))</f>
        <v/>
      </c>
      <c r="AC1775" s="33">
        <f>IF(OR(C1775="",W1775=""),"",P1775&amp;"|"&amp;W1775&amp;"|"&amp;C1775&amp;"|"&amp;E1775)</f>
        <v/>
      </c>
      <c r="AD1775" s="39">
        <f>IF(AC1775="","",IF(COUNTIF(AC$6:AC1775,AC1775)=1,1,0))</f>
        <v/>
      </c>
      <c r="AE1775" s="39">
        <f>IF(AB1775=0,"",IF(COUNTIFS(X$6:X1775,X1775,AB$6:AB1775,AB1775)=1,1,0))</f>
        <v/>
      </c>
      <c r="AF1775" s="34">
        <f>IF(C1775="","",YEAR(C1775-WEEKDAY(C1775,2)+4)&amp;"-S"&amp;TEXT(INT((C1775-DATE(YEAR(C1775-WEEKDAY(C1775,2)+4),1,3)+WEEKDAY(DATE(YEAR(C1775-WEEKDAY(C1775,2)+4),1,3),2)+5)/7),"00"))</f>
        <v/>
      </c>
    </row>
    <row r="1776" ht="18" customHeight="1">
      <c r="A1776" s="39" t="n">
        <v>1771</v>
      </c>
      <c r="B1776" s="33">
        <f>IF(C1776="","",IF(P1776="À RENSEIGNER","GIC",P1776)&amp;"-C"&amp;TEXT(A1776,"00000"))</f>
        <v/>
      </c>
      <c r="C1776" s="32" t="n"/>
      <c r="D1776" s="36" t="n"/>
      <c r="E1776" s="36" t="n"/>
      <c r="F1776" s="36" t="n"/>
      <c r="G1776" s="42" t="n"/>
      <c r="H1776" s="37" t="n"/>
      <c r="I1776" s="37" t="n"/>
      <c r="J1776" s="32" t="n"/>
      <c r="K1776" s="32" t="n"/>
      <c r="L1776" s="43" t="n"/>
      <c r="M1776" s="36" t="n"/>
      <c r="N1776" s="44" t="n"/>
      <c r="O1776" s="36" t="n"/>
      <c r="P1776" s="33">
        <f>IF(C1776="","",Commercial_Id)</f>
        <v/>
      </c>
      <c r="Q1776" s="34">
        <f>IF(AC1776="","",IF(AD1776=1,"C"&amp;TEXT(SUM(AD$6:AD1776),"0000"),INDEX(Q$6:Q1775,MATCH(AC1776,AC$6:AC1775,0))))</f>
        <v/>
      </c>
      <c r="R1776" s="34">
        <f>IF(C1776="","",IF(L1776="☑ Oui","Annulée",IF(OR(E1776="Vente directe",K1776&lt;&gt;""),"Livrée",IF(J1776&lt;&gt;"","Confirmée","En attente"))))</f>
        <v/>
      </c>
      <c r="S1776" s="34">
        <f>IF(F1776="","",IFERROR(VLOOKUP(F1776,T_Produits,2,FALSE),""))</f>
        <v/>
      </c>
      <c r="T1776" s="40">
        <f>IF(F1776="","",IFERROR(1/(1/VLOOKUP(F1776,T_Produits,3,FALSE)),""))</f>
        <v/>
      </c>
      <c r="U1776" s="40">
        <f>IF(H1776&lt;&gt;"",H1776,T1776)</f>
        <v/>
      </c>
      <c r="V1776" s="40">
        <f>IF(OR(G1776="",U1776=""),"",G1776*U1776-N(I1776))</f>
        <v/>
      </c>
      <c r="W1776" s="39">
        <f>IF(D1776="","",IFERROR(VALUE(MID(D1776,LEN(D1776)-3,3)),""))</f>
        <v/>
      </c>
      <c r="X1776" s="33">
        <f>IF(W1776="","",P1776&amp;"|"&amp;W1776)</f>
        <v/>
      </c>
      <c r="Y1776" s="33">
        <f>IF(W1776="","",IF(P1776="À RENSEIGNER","GIC",P1776)&amp;"-"&amp;TEXT(W1776,"000"))</f>
        <v/>
      </c>
      <c r="Z1776" s="33">
        <f>IF(X1776="","",IFERROR(INDEX(Cl_nom,MATCH(X1776,Cl_cle,0)),"(client introuvable)"))</f>
        <v/>
      </c>
      <c r="AA1776" s="33">
        <f>IF(X1776="","",IFERROR(INDEX(Cl_quartier,MATCH(X1776,Cl_cle,0))&amp;"",""))</f>
        <v/>
      </c>
      <c r="AB1776" s="45">
        <f>IF(R1776&lt;&gt;"Livrée",0,IF(K1776&lt;&gt;"",K1776,C1776))</f>
        <v/>
      </c>
      <c r="AC1776" s="33">
        <f>IF(OR(C1776="",W1776=""),"",P1776&amp;"|"&amp;W1776&amp;"|"&amp;C1776&amp;"|"&amp;E1776)</f>
        <v/>
      </c>
      <c r="AD1776" s="39">
        <f>IF(AC1776="","",IF(COUNTIF(AC$6:AC1776,AC1776)=1,1,0))</f>
        <v/>
      </c>
      <c r="AE1776" s="39">
        <f>IF(AB1776=0,"",IF(COUNTIFS(X$6:X1776,X1776,AB$6:AB1776,AB1776)=1,1,0))</f>
        <v/>
      </c>
      <c r="AF1776" s="34">
        <f>IF(C1776="","",YEAR(C1776-WEEKDAY(C1776,2)+4)&amp;"-S"&amp;TEXT(INT((C1776-DATE(YEAR(C1776-WEEKDAY(C1776,2)+4),1,3)+WEEKDAY(DATE(YEAR(C1776-WEEKDAY(C1776,2)+4),1,3),2)+5)/7),"00"))</f>
        <v/>
      </c>
    </row>
    <row r="1777" ht="18" customHeight="1">
      <c r="A1777" s="39" t="n">
        <v>1772</v>
      </c>
      <c r="B1777" s="33">
        <f>IF(C1777="","",IF(P1777="À RENSEIGNER","GIC",P1777)&amp;"-C"&amp;TEXT(A1777,"00000"))</f>
        <v/>
      </c>
      <c r="C1777" s="32" t="n"/>
      <c r="D1777" s="36" t="n"/>
      <c r="E1777" s="36" t="n"/>
      <c r="F1777" s="36" t="n"/>
      <c r="G1777" s="42" t="n"/>
      <c r="H1777" s="37" t="n"/>
      <c r="I1777" s="37" t="n"/>
      <c r="J1777" s="32" t="n"/>
      <c r="K1777" s="32" t="n"/>
      <c r="L1777" s="43" t="n"/>
      <c r="M1777" s="36" t="n"/>
      <c r="N1777" s="44" t="n"/>
      <c r="O1777" s="36" t="n"/>
      <c r="P1777" s="33">
        <f>IF(C1777="","",Commercial_Id)</f>
        <v/>
      </c>
      <c r="Q1777" s="34">
        <f>IF(AC1777="","",IF(AD1777=1,"C"&amp;TEXT(SUM(AD$6:AD1777),"0000"),INDEX(Q$6:Q1776,MATCH(AC1777,AC$6:AC1776,0))))</f>
        <v/>
      </c>
      <c r="R1777" s="34">
        <f>IF(C1777="","",IF(L1777="☑ Oui","Annulée",IF(OR(E1777="Vente directe",K1777&lt;&gt;""),"Livrée",IF(J1777&lt;&gt;"","Confirmée","En attente"))))</f>
        <v/>
      </c>
      <c r="S1777" s="34">
        <f>IF(F1777="","",IFERROR(VLOOKUP(F1777,T_Produits,2,FALSE),""))</f>
        <v/>
      </c>
      <c r="T1777" s="40">
        <f>IF(F1777="","",IFERROR(1/(1/VLOOKUP(F1777,T_Produits,3,FALSE)),""))</f>
        <v/>
      </c>
      <c r="U1777" s="40">
        <f>IF(H1777&lt;&gt;"",H1777,T1777)</f>
        <v/>
      </c>
      <c r="V1777" s="40">
        <f>IF(OR(G1777="",U1777=""),"",G1777*U1777-N(I1777))</f>
        <v/>
      </c>
      <c r="W1777" s="39">
        <f>IF(D1777="","",IFERROR(VALUE(MID(D1777,LEN(D1777)-3,3)),""))</f>
        <v/>
      </c>
      <c r="X1777" s="33">
        <f>IF(W1777="","",P1777&amp;"|"&amp;W1777)</f>
        <v/>
      </c>
      <c r="Y1777" s="33">
        <f>IF(W1777="","",IF(P1777="À RENSEIGNER","GIC",P1777)&amp;"-"&amp;TEXT(W1777,"000"))</f>
        <v/>
      </c>
      <c r="Z1777" s="33">
        <f>IF(X1777="","",IFERROR(INDEX(Cl_nom,MATCH(X1777,Cl_cle,0)),"(client introuvable)"))</f>
        <v/>
      </c>
      <c r="AA1777" s="33">
        <f>IF(X1777="","",IFERROR(INDEX(Cl_quartier,MATCH(X1777,Cl_cle,0))&amp;"",""))</f>
        <v/>
      </c>
      <c r="AB1777" s="45">
        <f>IF(R1777&lt;&gt;"Livrée",0,IF(K1777&lt;&gt;"",K1777,C1777))</f>
        <v/>
      </c>
      <c r="AC1777" s="33">
        <f>IF(OR(C1777="",W1777=""),"",P1777&amp;"|"&amp;W1777&amp;"|"&amp;C1777&amp;"|"&amp;E1777)</f>
        <v/>
      </c>
      <c r="AD1777" s="39">
        <f>IF(AC1777="","",IF(COUNTIF(AC$6:AC1777,AC1777)=1,1,0))</f>
        <v/>
      </c>
      <c r="AE1777" s="39">
        <f>IF(AB1777=0,"",IF(COUNTIFS(X$6:X1777,X1777,AB$6:AB1777,AB1777)=1,1,0))</f>
        <v/>
      </c>
      <c r="AF1777" s="34">
        <f>IF(C1777="","",YEAR(C1777-WEEKDAY(C1777,2)+4)&amp;"-S"&amp;TEXT(INT((C1777-DATE(YEAR(C1777-WEEKDAY(C1777,2)+4),1,3)+WEEKDAY(DATE(YEAR(C1777-WEEKDAY(C1777,2)+4),1,3),2)+5)/7),"00"))</f>
        <v/>
      </c>
    </row>
    <row r="1778" ht="18" customHeight="1">
      <c r="A1778" s="39" t="n">
        <v>1773</v>
      </c>
      <c r="B1778" s="33">
        <f>IF(C1778="","",IF(P1778="À RENSEIGNER","GIC",P1778)&amp;"-C"&amp;TEXT(A1778,"00000"))</f>
        <v/>
      </c>
      <c r="C1778" s="32" t="n"/>
      <c r="D1778" s="36" t="n"/>
      <c r="E1778" s="36" t="n"/>
      <c r="F1778" s="36" t="n"/>
      <c r="G1778" s="42" t="n"/>
      <c r="H1778" s="37" t="n"/>
      <c r="I1778" s="37" t="n"/>
      <c r="J1778" s="32" t="n"/>
      <c r="K1778" s="32" t="n"/>
      <c r="L1778" s="43" t="n"/>
      <c r="M1778" s="36" t="n"/>
      <c r="N1778" s="44" t="n"/>
      <c r="O1778" s="36" t="n"/>
      <c r="P1778" s="33">
        <f>IF(C1778="","",Commercial_Id)</f>
        <v/>
      </c>
      <c r="Q1778" s="34">
        <f>IF(AC1778="","",IF(AD1778=1,"C"&amp;TEXT(SUM(AD$6:AD1778),"0000"),INDEX(Q$6:Q1777,MATCH(AC1778,AC$6:AC1777,0))))</f>
        <v/>
      </c>
      <c r="R1778" s="34">
        <f>IF(C1778="","",IF(L1778="☑ Oui","Annulée",IF(OR(E1778="Vente directe",K1778&lt;&gt;""),"Livrée",IF(J1778&lt;&gt;"","Confirmée","En attente"))))</f>
        <v/>
      </c>
      <c r="S1778" s="34">
        <f>IF(F1778="","",IFERROR(VLOOKUP(F1778,T_Produits,2,FALSE),""))</f>
        <v/>
      </c>
      <c r="T1778" s="40">
        <f>IF(F1778="","",IFERROR(1/(1/VLOOKUP(F1778,T_Produits,3,FALSE)),""))</f>
        <v/>
      </c>
      <c r="U1778" s="40">
        <f>IF(H1778&lt;&gt;"",H1778,T1778)</f>
        <v/>
      </c>
      <c r="V1778" s="40">
        <f>IF(OR(G1778="",U1778=""),"",G1778*U1778-N(I1778))</f>
        <v/>
      </c>
      <c r="W1778" s="39">
        <f>IF(D1778="","",IFERROR(VALUE(MID(D1778,LEN(D1778)-3,3)),""))</f>
        <v/>
      </c>
      <c r="X1778" s="33">
        <f>IF(W1778="","",P1778&amp;"|"&amp;W1778)</f>
        <v/>
      </c>
      <c r="Y1778" s="33">
        <f>IF(W1778="","",IF(P1778="À RENSEIGNER","GIC",P1778)&amp;"-"&amp;TEXT(W1778,"000"))</f>
        <v/>
      </c>
      <c r="Z1778" s="33">
        <f>IF(X1778="","",IFERROR(INDEX(Cl_nom,MATCH(X1778,Cl_cle,0)),"(client introuvable)"))</f>
        <v/>
      </c>
      <c r="AA1778" s="33">
        <f>IF(X1778="","",IFERROR(INDEX(Cl_quartier,MATCH(X1778,Cl_cle,0))&amp;"",""))</f>
        <v/>
      </c>
      <c r="AB1778" s="45">
        <f>IF(R1778&lt;&gt;"Livrée",0,IF(K1778&lt;&gt;"",K1778,C1778))</f>
        <v/>
      </c>
      <c r="AC1778" s="33">
        <f>IF(OR(C1778="",W1778=""),"",P1778&amp;"|"&amp;W1778&amp;"|"&amp;C1778&amp;"|"&amp;E1778)</f>
        <v/>
      </c>
      <c r="AD1778" s="39">
        <f>IF(AC1778="","",IF(COUNTIF(AC$6:AC1778,AC1778)=1,1,0))</f>
        <v/>
      </c>
      <c r="AE1778" s="39">
        <f>IF(AB1778=0,"",IF(COUNTIFS(X$6:X1778,X1778,AB$6:AB1778,AB1778)=1,1,0))</f>
        <v/>
      </c>
      <c r="AF1778" s="34">
        <f>IF(C1778="","",YEAR(C1778-WEEKDAY(C1778,2)+4)&amp;"-S"&amp;TEXT(INT((C1778-DATE(YEAR(C1778-WEEKDAY(C1778,2)+4),1,3)+WEEKDAY(DATE(YEAR(C1778-WEEKDAY(C1778,2)+4),1,3),2)+5)/7),"00"))</f>
        <v/>
      </c>
    </row>
    <row r="1779" ht="18" customHeight="1">
      <c r="A1779" s="39" t="n">
        <v>1774</v>
      </c>
      <c r="B1779" s="33">
        <f>IF(C1779="","",IF(P1779="À RENSEIGNER","GIC",P1779)&amp;"-C"&amp;TEXT(A1779,"00000"))</f>
        <v/>
      </c>
      <c r="C1779" s="32" t="n"/>
      <c r="D1779" s="36" t="n"/>
      <c r="E1779" s="36" t="n"/>
      <c r="F1779" s="36" t="n"/>
      <c r="G1779" s="42" t="n"/>
      <c r="H1779" s="37" t="n"/>
      <c r="I1779" s="37" t="n"/>
      <c r="J1779" s="32" t="n"/>
      <c r="K1779" s="32" t="n"/>
      <c r="L1779" s="43" t="n"/>
      <c r="M1779" s="36" t="n"/>
      <c r="N1779" s="44" t="n"/>
      <c r="O1779" s="36" t="n"/>
      <c r="P1779" s="33">
        <f>IF(C1779="","",Commercial_Id)</f>
        <v/>
      </c>
      <c r="Q1779" s="34">
        <f>IF(AC1779="","",IF(AD1779=1,"C"&amp;TEXT(SUM(AD$6:AD1779),"0000"),INDEX(Q$6:Q1778,MATCH(AC1779,AC$6:AC1778,0))))</f>
        <v/>
      </c>
      <c r="R1779" s="34">
        <f>IF(C1779="","",IF(L1779="☑ Oui","Annulée",IF(OR(E1779="Vente directe",K1779&lt;&gt;""),"Livrée",IF(J1779&lt;&gt;"","Confirmée","En attente"))))</f>
        <v/>
      </c>
      <c r="S1779" s="34">
        <f>IF(F1779="","",IFERROR(VLOOKUP(F1779,T_Produits,2,FALSE),""))</f>
        <v/>
      </c>
      <c r="T1779" s="40">
        <f>IF(F1779="","",IFERROR(1/(1/VLOOKUP(F1779,T_Produits,3,FALSE)),""))</f>
        <v/>
      </c>
      <c r="U1779" s="40">
        <f>IF(H1779&lt;&gt;"",H1779,T1779)</f>
        <v/>
      </c>
      <c r="V1779" s="40">
        <f>IF(OR(G1779="",U1779=""),"",G1779*U1779-N(I1779))</f>
        <v/>
      </c>
      <c r="W1779" s="39">
        <f>IF(D1779="","",IFERROR(VALUE(MID(D1779,LEN(D1779)-3,3)),""))</f>
        <v/>
      </c>
      <c r="X1779" s="33">
        <f>IF(W1779="","",P1779&amp;"|"&amp;W1779)</f>
        <v/>
      </c>
      <c r="Y1779" s="33">
        <f>IF(W1779="","",IF(P1779="À RENSEIGNER","GIC",P1779)&amp;"-"&amp;TEXT(W1779,"000"))</f>
        <v/>
      </c>
      <c r="Z1779" s="33">
        <f>IF(X1779="","",IFERROR(INDEX(Cl_nom,MATCH(X1779,Cl_cle,0)),"(client introuvable)"))</f>
        <v/>
      </c>
      <c r="AA1779" s="33">
        <f>IF(X1779="","",IFERROR(INDEX(Cl_quartier,MATCH(X1779,Cl_cle,0))&amp;"",""))</f>
        <v/>
      </c>
      <c r="AB1779" s="45">
        <f>IF(R1779&lt;&gt;"Livrée",0,IF(K1779&lt;&gt;"",K1779,C1779))</f>
        <v/>
      </c>
      <c r="AC1779" s="33">
        <f>IF(OR(C1779="",W1779=""),"",P1779&amp;"|"&amp;W1779&amp;"|"&amp;C1779&amp;"|"&amp;E1779)</f>
        <v/>
      </c>
      <c r="AD1779" s="39">
        <f>IF(AC1779="","",IF(COUNTIF(AC$6:AC1779,AC1779)=1,1,0))</f>
        <v/>
      </c>
      <c r="AE1779" s="39">
        <f>IF(AB1779=0,"",IF(COUNTIFS(X$6:X1779,X1779,AB$6:AB1779,AB1779)=1,1,0))</f>
        <v/>
      </c>
      <c r="AF1779" s="34">
        <f>IF(C1779="","",YEAR(C1779-WEEKDAY(C1779,2)+4)&amp;"-S"&amp;TEXT(INT((C1779-DATE(YEAR(C1779-WEEKDAY(C1779,2)+4),1,3)+WEEKDAY(DATE(YEAR(C1779-WEEKDAY(C1779,2)+4),1,3),2)+5)/7),"00"))</f>
        <v/>
      </c>
    </row>
    <row r="1780" ht="18" customHeight="1">
      <c r="A1780" s="39" t="n">
        <v>1775</v>
      </c>
      <c r="B1780" s="33">
        <f>IF(C1780="","",IF(P1780="À RENSEIGNER","GIC",P1780)&amp;"-C"&amp;TEXT(A1780,"00000"))</f>
        <v/>
      </c>
      <c r="C1780" s="32" t="n"/>
      <c r="D1780" s="36" t="n"/>
      <c r="E1780" s="36" t="n"/>
      <c r="F1780" s="36" t="n"/>
      <c r="G1780" s="42" t="n"/>
      <c r="H1780" s="37" t="n"/>
      <c r="I1780" s="37" t="n"/>
      <c r="J1780" s="32" t="n"/>
      <c r="K1780" s="32" t="n"/>
      <c r="L1780" s="43" t="n"/>
      <c r="M1780" s="36" t="n"/>
      <c r="N1780" s="44" t="n"/>
      <c r="O1780" s="36" t="n"/>
      <c r="P1780" s="33">
        <f>IF(C1780="","",Commercial_Id)</f>
        <v/>
      </c>
      <c r="Q1780" s="34">
        <f>IF(AC1780="","",IF(AD1780=1,"C"&amp;TEXT(SUM(AD$6:AD1780),"0000"),INDEX(Q$6:Q1779,MATCH(AC1780,AC$6:AC1779,0))))</f>
        <v/>
      </c>
      <c r="R1780" s="34">
        <f>IF(C1780="","",IF(L1780="☑ Oui","Annulée",IF(OR(E1780="Vente directe",K1780&lt;&gt;""),"Livrée",IF(J1780&lt;&gt;"","Confirmée","En attente"))))</f>
        <v/>
      </c>
      <c r="S1780" s="34">
        <f>IF(F1780="","",IFERROR(VLOOKUP(F1780,T_Produits,2,FALSE),""))</f>
        <v/>
      </c>
      <c r="T1780" s="40">
        <f>IF(F1780="","",IFERROR(1/(1/VLOOKUP(F1780,T_Produits,3,FALSE)),""))</f>
        <v/>
      </c>
      <c r="U1780" s="40">
        <f>IF(H1780&lt;&gt;"",H1780,T1780)</f>
        <v/>
      </c>
      <c r="V1780" s="40">
        <f>IF(OR(G1780="",U1780=""),"",G1780*U1780-N(I1780))</f>
        <v/>
      </c>
      <c r="W1780" s="39">
        <f>IF(D1780="","",IFERROR(VALUE(MID(D1780,LEN(D1780)-3,3)),""))</f>
        <v/>
      </c>
      <c r="X1780" s="33">
        <f>IF(W1780="","",P1780&amp;"|"&amp;W1780)</f>
        <v/>
      </c>
      <c r="Y1780" s="33">
        <f>IF(W1780="","",IF(P1780="À RENSEIGNER","GIC",P1780)&amp;"-"&amp;TEXT(W1780,"000"))</f>
        <v/>
      </c>
      <c r="Z1780" s="33">
        <f>IF(X1780="","",IFERROR(INDEX(Cl_nom,MATCH(X1780,Cl_cle,0)),"(client introuvable)"))</f>
        <v/>
      </c>
      <c r="AA1780" s="33">
        <f>IF(X1780="","",IFERROR(INDEX(Cl_quartier,MATCH(X1780,Cl_cle,0))&amp;"",""))</f>
        <v/>
      </c>
      <c r="AB1780" s="45">
        <f>IF(R1780&lt;&gt;"Livrée",0,IF(K1780&lt;&gt;"",K1780,C1780))</f>
        <v/>
      </c>
      <c r="AC1780" s="33">
        <f>IF(OR(C1780="",W1780=""),"",P1780&amp;"|"&amp;W1780&amp;"|"&amp;C1780&amp;"|"&amp;E1780)</f>
        <v/>
      </c>
      <c r="AD1780" s="39">
        <f>IF(AC1780="","",IF(COUNTIF(AC$6:AC1780,AC1780)=1,1,0))</f>
        <v/>
      </c>
      <c r="AE1780" s="39">
        <f>IF(AB1780=0,"",IF(COUNTIFS(X$6:X1780,X1780,AB$6:AB1780,AB1780)=1,1,0))</f>
        <v/>
      </c>
      <c r="AF1780" s="34">
        <f>IF(C1780="","",YEAR(C1780-WEEKDAY(C1780,2)+4)&amp;"-S"&amp;TEXT(INT((C1780-DATE(YEAR(C1780-WEEKDAY(C1780,2)+4),1,3)+WEEKDAY(DATE(YEAR(C1780-WEEKDAY(C1780,2)+4),1,3),2)+5)/7),"00"))</f>
        <v/>
      </c>
    </row>
    <row r="1781" ht="18" customHeight="1">
      <c r="A1781" s="39" t="n">
        <v>1776</v>
      </c>
      <c r="B1781" s="33">
        <f>IF(C1781="","",IF(P1781="À RENSEIGNER","GIC",P1781)&amp;"-C"&amp;TEXT(A1781,"00000"))</f>
        <v/>
      </c>
      <c r="C1781" s="32" t="n"/>
      <c r="D1781" s="36" t="n"/>
      <c r="E1781" s="36" t="n"/>
      <c r="F1781" s="36" t="n"/>
      <c r="G1781" s="42" t="n"/>
      <c r="H1781" s="37" t="n"/>
      <c r="I1781" s="37" t="n"/>
      <c r="J1781" s="32" t="n"/>
      <c r="K1781" s="32" t="n"/>
      <c r="L1781" s="43" t="n"/>
      <c r="M1781" s="36" t="n"/>
      <c r="N1781" s="44" t="n"/>
      <c r="O1781" s="36" t="n"/>
      <c r="P1781" s="33">
        <f>IF(C1781="","",Commercial_Id)</f>
        <v/>
      </c>
      <c r="Q1781" s="34">
        <f>IF(AC1781="","",IF(AD1781=1,"C"&amp;TEXT(SUM(AD$6:AD1781),"0000"),INDEX(Q$6:Q1780,MATCH(AC1781,AC$6:AC1780,0))))</f>
        <v/>
      </c>
      <c r="R1781" s="34">
        <f>IF(C1781="","",IF(L1781="☑ Oui","Annulée",IF(OR(E1781="Vente directe",K1781&lt;&gt;""),"Livrée",IF(J1781&lt;&gt;"","Confirmée","En attente"))))</f>
        <v/>
      </c>
      <c r="S1781" s="34">
        <f>IF(F1781="","",IFERROR(VLOOKUP(F1781,T_Produits,2,FALSE),""))</f>
        <v/>
      </c>
      <c r="T1781" s="40">
        <f>IF(F1781="","",IFERROR(1/(1/VLOOKUP(F1781,T_Produits,3,FALSE)),""))</f>
        <v/>
      </c>
      <c r="U1781" s="40">
        <f>IF(H1781&lt;&gt;"",H1781,T1781)</f>
        <v/>
      </c>
      <c r="V1781" s="40">
        <f>IF(OR(G1781="",U1781=""),"",G1781*U1781-N(I1781))</f>
        <v/>
      </c>
      <c r="W1781" s="39">
        <f>IF(D1781="","",IFERROR(VALUE(MID(D1781,LEN(D1781)-3,3)),""))</f>
        <v/>
      </c>
      <c r="X1781" s="33">
        <f>IF(W1781="","",P1781&amp;"|"&amp;W1781)</f>
        <v/>
      </c>
      <c r="Y1781" s="33">
        <f>IF(W1781="","",IF(P1781="À RENSEIGNER","GIC",P1781)&amp;"-"&amp;TEXT(W1781,"000"))</f>
        <v/>
      </c>
      <c r="Z1781" s="33">
        <f>IF(X1781="","",IFERROR(INDEX(Cl_nom,MATCH(X1781,Cl_cle,0)),"(client introuvable)"))</f>
        <v/>
      </c>
      <c r="AA1781" s="33">
        <f>IF(X1781="","",IFERROR(INDEX(Cl_quartier,MATCH(X1781,Cl_cle,0))&amp;"",""))</f>
        <v/>
      </c>
      <c r="AB1781" s="45">
        <f>IF(R1781&lt;&gt;"Livrée",0,IF(K1781&lt;&gt;"",K1781,C1781))</f>
        <v/>
      </c>
      <c r="AC1781" s="33">
        <f>IF(OR(C1781="",W1781=""),"",P1781&amp;"|"&amp;W1781&amp;"|"&amp;C1781&amp;"|"&amp;E1781)</f>
        <v/>
      </c>
      <c r="AD1781" s="39">
        <f>IF(AC1781="","",IF(COUNTIF(AC$6:AC1781,AC1781)=1,1,0))</f>
        <v/>
      </c>
      <c r="AE1781" s="39">
        <f>IF(AB1781=0,"",IF(COUNTIFS(X$6:X1781,X1781,AB$6:AB1781,AB1781)=1,1,0))</f>
        <v/>
      </c>
      <c r="AF1781" s="34">
        <f>IF(C1781="","",YEAR(C1781-WEEKDAY(C1781,2)+4)&amp;"-S"&amp;TEXT(INT((C1781-DATE(YEAR(C1781-WEEKDAY(C1781,2)+4),1,3)+WEEKDAY(DATE(YEAR(C1781-WEEKDAY(C1781,2)+4),1,3),2)+5)/7),"00"))</f>
        <v/>
      </c>
    </row>
    <row r="1782" ht="18" customHeight="1">
      <c r="A1782" s="39" t="n">
        <v>1777</v>
      </c>
      <c r="B1782" s="33">
        <f>IF(C1782="","",IF(P1782="À RENSEIGNER","GIC",P1782)&amp;"-C"&amp;TEXT(A1782,"00000"))</f>
        <v/>
      </c>
      <c r="C1782" s="32" t="n"/>
      <c r="D1782" s="36" t="n"/>
      <c r="E1782" s="36" t="n"/>
      <c r="F1782" s="36" t="n"/>
      <c r="G1782" s="42" t="n"/>
      <c r="H1782" s="37" t="n"/>
      <c r="I1782" s="37" t="n"/>
      <c r="J1782" s="32" t="n"/>
      <c r="K1782" s="32" t="n"/>
      <c r="L1782" s="43" t="n"/>
      <c r="M1782" s="36" t="n"/>
      <c r="N1782" s="44" t="n"/>
      <c r="O1782" s="36" t="n"/>
      <c r="P1782" s="33">
        <f>IF(C1782="","",Commercial_Id)</f>
        <v/>
      </c>
      <c r="Q1782" s="34">
        <f>IF(AC1782="","",IF(AD1782=1,"C"&amp;TEXT(SUM(AD$6:AD1782),"0000"),INDEX(Q$6:Q1781,MATCH(AC1782,AC$6:AC1781,0))))</f>
        <v/>
      </c>
      <c r="R1782" s="34">
        <f>IF(C1782="","",IF(L1782="☑ Oui","Annulée",IF(OR(E1782="Vente directe",K1782&lt;&gt;""),"Livrée",IF(J1782&lt;&gt;"","Confirmée","En attente"))))</f>
        <v/>
      </c>
      <c r="S1782" s="34">
        <f>IF(F1782="","",IFERROR(VLOOKUP(F1782,T_Produits,2,FALSE),""))</f>
        <v/>
      </c>
      <c r="T1782" s="40">
        <f>IF(F1782="","",IFERROR(1/(1/VLOOKUP(F1782,T_Produits,3,FALSE)),""))</f>
        <v/>
      </c>
      <c r="U1782" s="40">
        <f>IF(H1782&lt;&gt;"",H1782,T1782)</f>
        <v/>
      </c>
      <c r="V1782" s="40">
        <f>IF(OR(G1782="",U1782=""),"",G1782*U1782-N(I1782))</f>
        <v/>
      </c>
      <c r="W1782" s="39">
        <f>IF(D1782="","",IFERROR(VALUE(MID(D1782,LEN(D1782)-3,3)),""))</f>
        <v/>
      </c>
      <c r="X1782" s="33">
        <f>IF(W1782="","",P1782&amp;"|"&amp;W1782)</f>
        <v/>
      </c>
      <c r="Y1782" s="33">
        <f>IF(W1782="","",IF(P1782="À RENSEIGNER","GIC",P1782)&amp;"-"&amp;TEXT(W1782,"000"))</f>
        <v/>
      </c>
      <c r="Z1782" s="33">
        <f>IF(X1782="","",IFERROR(INDEX(Cl_nom,MATCH(X1782,Cl_cle,0)),"(client introuvable)"))</f>
        <v/>
      </c>
      <c r="AA1782" s="33">
        <f>IF(X1782="","",IFERROR(INDEX(Cl_quartier,MATCH(X1782,Cl_cle,0))&amp;"",""))</f>
        <v/>
      </c>
      <c r="AB1782" s="45">
        <f>IF(R1782&lt;&gt;"Livrée",0,IF(K1782&lt;&gt;"",K1782,C1782))</f>
        <v/>
      </c>
      <c r="AC1782" s="33">
        <f>IF(OR(C1782="",W1782=""),"",P1782&amp;"|"&amp;W1782&amp;"|"&amp;C1782&amp;"|"&amp;E1782)</f>
        <v/>
      </c>
      <c r="AD1782" s="39">
        <f>IF(AC1782="","",IF(COUNTIF(AC$6:AC1782,AC1782)=1,1,0))</f>
        <v/>
      </c>
      <c r="AE1782" s="39">
        <f>IF(AB1782=0,"",IF(COUNTIFS(X$6:X1782,X1782,AB$6:AB1782,AB1782)=1,1,0))</f>
        <v/>
      </c>
      <c r="AF1782" s="34">
        <f>IF(C1782="","",YEAR(C1782-WEEKDAY(C1782,2)+4)&amp;"-S"&amp;TEXT(INT((C1782-DATE(YEAR(C1782-WEEKDAY(C1782,2)+4),1,3)+WEEKDAY(DATE(YEAR(C1782-WEEKDAY(C1782,2)+4),1,3),2)+5)/7),"00"))</f>
        <v/>
      </c>
    </row>
    <row r="1783" ht="18" customHeight="1">
      <c r="A1783" s="39" t="n">
        <v>1778</v>
      </c>
      <c r="B1783" s="33">
        <f>IF(C1783="","",IF(P1783="À RENSEIGNER","GIC",P1783)&amp;"-C"&amp;TEXT(A1783,"00000"))</f>
        <v/>
      </c>
      <c r="C1783" s="32" t="n"/>
      <c r="D1783" s="36" t="n"/>
      <c r="E1783" s="36" t="n"/>
      <c r="F1783" s="36" t="n"/>
      <c r="G1783" s="42" t="n"/>
      <c r="H1783" s="37" t="n"/>
      <c r="I1783" s="37" t="n"/>
      <c r="J1783" s="32" t="n"/>
      <c r="K1783" s="32" t="n"/>
      <c r="L1783" s="43" t="n"/>
      <c r="M1783" s="36" t="n"/>
      <c r="N1783" s="44" t="n"/>
      <c r="O1783" s="36" t="n"/>
      <c r="P1783" s="33">
        <f>IF(C1783="","",Commercial_Id)</f>
        <v/>
      </c>
      <c r="Q1783" s="34">
        <f>IF(AC1783="","",IF(AD1783=1,"C"&amp;TEXT(SUM(AD$6:AD1783),"0000"),INDEX(Q$6:Q1782,MATCH(AC1783,AC$6:AC1782,0))))</f>
        <v/>
      </c>
      <c r="R1783" s="34">
        <f>IF(C1783="","",IF(L1783="☑ Oui","Annulée",IF(OR(E1783="Vente directe",K1783&lt;&gt;""),"Livrée",IF(J1783&lt;&gt;"","Confirmée","En attente"))))</f>
        <v/>
      </c>
      <c r="S1783" s="34">
        <f>IF(F1783="","",IFERROR(VLOOKUP(F1783,T_Produits,2,FALSE),""))</f>
        <v/>
      </c>
      <c r="T1783" s="40">
        <f>IF(F1783="","",IFERROR(1/(1/VLOOKUP(F1783,T_Produits,3,FALSE)),""))</f>
        <v/>
      </c>
      <c r="U1783" s="40">
        <f>IF(H1783&lt;&gt;"",H1783,T1783)</f>
        <v/>
      </c>
      <c r="V1783" s="40">
        <f>IF(OR(G1783="",U1783=""),"",G1783*U1783-N(I1783))</f>
        <v/>
      </c>
      <c r="W1783" s="39">
        <f>IF(D1783="","",IFERROR(VALUE(MID(D1783,LEN(D1783)-3,3)),""))</f>
        <v/>
      </c>
      <c r="X1783" s="33">
        <f>IF(W1783="","",P1783&amp;"|"&amp;W1783)</f>
        <v/>
      </c>
      <c r="Y1783" s="33">
        <f>IF(W1783="","",IF(P1783="À RENSEIGNER","GIC",P1783)&amp;"-"&amp;TEXT(W1783,"000"))</f>
        <v/>
      </c>
      <c r="Z1783" s="33">
        <f>IF(X1783="","",IFERROR(INDEX(Cl_nom,MATCH(X1783,Cl_cle,0)),"(client introuvable)"))</f>
        <v/>
      </c>
      <c r="AA1783" s="33">
        <f>IF(X1783="","",IFERROR(INDEX(Cl_quartier,MATCH(X1783,Cl_cle,0))&amp;"",""))</f>
        <v/>
      </c>
      <c r="AB1783" s="45">
        <f>IF(R1783&lt;&gt;"Livrée",0,IF(K1783&lt;&gt;"",K1783,C1783))</f>
        <v/>
      </c>
      <c r="AC1783" s="33">
        <f>IF(OR(C1783="",W1783=""),"",P1783&amp;"|"&amp;W1783&amp;"|"&amp;C1783&amp;"|"&amp;E1783)</f>
        <v/>
      </c>
      <c r="AD1783" s="39">
        <f>IF(AC1783="","",IF(COUNTIF(AC$6:AC1783,AC1783)=1,1,0))</f>
        <v/>
      </c>
      <c r="AE1783" s="39">
        <f>IF(AB1783=0,"",IF(COUNTIFS(X$6:X1783,X1783,AB$6:AB1783,AB1783)=1,1,0))</f>
        <v/>
      </c>
      <c r="AF1783" s="34">
        <f>IF(C1783="","",YEAR(C1783-WEEKDAY(C1783,2)+4)&amp;"-S"&amp;TEXT(INT((C1783-DATE(YEAR(C1783-WEEKDAY(C1783,2)+4),1,3)+WEEKDAY(DATE(YEAR(C1783-WEEKDAY(C1783,2)+4),1,3),2)+5)/7),"00"))</f>
        <v/>
      </c>
    </row>
    <row r="1784" ht="18" customHeight="1">
      <c r="A1784" s="39" t="n">
        <v>1779</v>
      </c>
      <c r="B1784" s="33">
        <f>IF(C1784="","",IF(P1784="À RENSEIGNER","GIC",P1784)&amp;"-C"&amp;TEXT(A1784,"00000"))</f>
        <v/>
      </c>
      <c r="C1784" s="32" t="n"/>
      <c r="D1784" s="36" t="n"/>
      <c r="E1784" s="36" t="n"/>
      <c r="F1784" s="36" t="n"/>
      <c r="G1784" s="42" t="n"/>
      <c r="H1784" s="37" t="n"/>
      <c r="I1784" s="37" t="n"/>
      <c r="J1784" s="32" t="n"/>
      <c r="K1784" s="32" t="n"/>
      <c r="L1784" s="43" t="n"/>
      <c r="M1784" s="36" t="n"/>
      <c r="N1784" s="44" t="n"/>
      <c r="O1784" s="36" t="n"/>
      <c r="P1784" s="33">
        <f>IF(C1784="","",Commercial_Id)</f>
        <v/>
      </c>
      <c r="Q1784" s="34">
        <f>IF(AC1784="","",IF(AD1784=1,"C"&amp;TEXT(SUM(AD$6:AD1784),"0000"),INDEX(Q$6:Q1783,MATCH(AC1784,AC$6:AC1783,0))))</f>
        <v/>
      </c>
      <c r="R1784" s="34">
        <f>IF(C1784="","",IF(L1784="☑ Oui","Annulée",IF(OR(E1784="Vente directe",K1784&lt;&gt;""),"Livrée",IF(J1784&lt;&gt;"","Confirmée","En attente"))))</f>
        <v/>
      </c>
      <c r="S1784" s="34">
        <f>IF(F1784="","",IFERROR(VLOOKUP(F1784,T_Produits,2,FALSE),""))</f>
        <v/>
      </c>
      <c r="T1784" s="40">
        <f>IF(F1784="","",IFERROR(1/(1/VLOOKUP(F1784,T_Produits,3,FALSE)),""))</f>
        <v/>
      </c>
      <c r="U1784" s="40">
        <f>IF(H1784&lt;&gt;"",H1784,T1784)</f>
        <v/>
      </c>
      <c r="V1784" s="40">
        <f>IF(OR(G1784="",U1784=""),"",G1784*U1784-N(I1784))</f>
        <v/>
      </c>
      <c r="W1784" s="39">
        <f>IF(D1784="","",IFERROR(VALUE(MID(D1784,LEN(D1784)-3,3)),""))</f>
        <v/>
      </c>
      <c r="X1784" s="33">
        <f>IF(W1784="","",P1784&amp;"|"&amp;W1784)</f>
        <v/>
      </c>
      <c r="Y1784" s="33">
        <f>IF(W1784="","",IF(P1784="À RENSEIGNER","GIC",P1784)&amp;"-"&amp;TEXT(W1784,"000"))</f>
        <v/>
      </c>
      <c r="Z1784" s="33">
        <f>IF(X1784="","",IFERROR(INDEX(Cl_nom,MATCH(X1784,Cl_cle,0)),"(client introuvable)"))</f>
        <v/>
      </c>
      <c r="AA1784" s="33">
        <f>IF(X1784="","",IFERROR(INDEX(Cl_quartier,MATCH(X1784,Cl_cle,0))&amp;"",""))</f>
        <v/>
      </c>
      <c r="AB1784" s="45">
        <f>IF(R1784&lt;&gt;"Livrée",0,IF(K1784&lt;&gt;"",K1784,C1784))</f>
        <v/>
      </c>
      <c r="AC1784" s="33">
        <f>IF(OR(C1784="",W1784=""),"",P1784&amp;"|"&amp;W1784&amp;"|"&amp;C1784&amp;"|"&amp;E1784)</f>
        <v/>
      </c>
      <c r="AD1784" s="39">
        <f>IF(AC1784="","",IF(COUNTIF(AC$6:AC1784,AC1784)=1,1,0))</f>
        <v/>
      </c>
      <c r="AE1784" s="39">
        <f>IF(AB1784=0,"",IF(COUNTIFS(X$6:X1784,X1784,AB$6:AB1784,AB1784)=1,1,0))</f>
        <v/>
      </c>
      <c r="AF1784" s="34">
        <f>IF(C1784="","",YEAR(C1784-WEEKDAY(C1784,2)+4)&amp;"-S"&amp;TEXT(INT((C1784-DATE(YEAR(C1784-WEEKDAY(C1784,2)+4),1,3)+WEEKDAY(DATE(YEAR(C1784-WEEKDAY(C1784,2)+4),1,3),2)+5)/7),"00"))</f>
        <v/>
      </c>
    </row>
    <row r="1785" ht="18" customHeight="1">
      <c r="A1785" s="39" t="n">
        <v>1780</v>
      </c>
      <c r="B1785" s="33">
        <f>IF(C1785="","",IF(P1785="À RENSEIGNER","GIC",P1785)&amp;"-C"&amp;TEXT(A1785,"00000"))</f>
        <v/>
      </c>
      <c r="C1785" s="32" t="n"/>
      <c r="D1785" s="36" t="n"/>
      <c r="E1785" s="36" t="n"/>
      <c r="F1785" s="36" t="n"/>
      <c r="G1785" s="42" t="n"/>
      <c r="H1785" s="37" t="n"/>
      <c r="I1785" s="37" t="n"/>
      <c r="J1785" s="32" t="n"/>
      <c r="K1785" s="32" t="n"/>
      <c r="L1785" s="43" t="n"/>
      <c r="M1785" s="36" t="n"/>
      <c r="N1785" s="44" t="n"/>
      <c r="O1785" s="36" t="n"/>
      <c r="P1785" s="33">
        <f>IF(C1785="","",Commercial_Id)</f>
        <v/>
      </c>
      <c r="Q1785" s="34">
        <f>IF(AC1785="","",IF(AD1785=1,"C"&amp;TEXT(SUM(AD$6:AD1785),"0000"),INDEX(Q$6:Q1784,MATCH(AC1785,AC$6:AC1784,0))))</f>
        <v/>
      </c>
      <c r="R1785" s="34">
        <f>IF(C1785="","",IF(L1785="☑ Oui","Annulée",IF(OR(E1785="Vente directe",K1785&lt;&gt;""),"Livrée",IF(J1785&lt;&gt;"","Confirmée","En attente"))))</f>
        <v/>
      </c>
      <c r="S1785" s="34">
        <f>IF(F1785="","",IFERROR(VLOOKUP(F1785,T_Produits,2,FALSE),""))</f>
        <v/>
      </c>
      <c r="T1785" s="40">
        <f>IF(F1785="","",IFERROR(1/(1/VLOOKUP(F1785,T_Produits,3,FALSE)),""))</f>
        <v/>
      </c>
      <c r="U1785" s="40">
        <f>IF(H1785&lt;&gt;"",H1785,T1785)</f>
        <v/>
      </c>
      <c r="V1785" s="40">
        <f>IF(OR(G1785="",U1785=""),"",G1785*U1785-N(I1785))</f>
        <v/>
      </c>
      <c r="W1785" s="39">
        <f>IF(D1785="","",IFERROR(VALUE(MID(D1785,LEN(D1785)-3,3)),""))</f>
        <v/>
      </c>
      <c r="X1785" s="33">
        <f>IF(W1785="","",P1785&amp;"|"&amp;W1785)</f>
        <v/>
      </c>
      <c r="Y1785" s="33">
        <f>IF(W1785="","",IF(P1785="À RENSEIGNER","GIC",P1785)&amp;"-"&amp;TEXT(W1785,"000"))</f>
        <v/>
      </c>
      <c r="Z1785" s="33">
        <f>IF(X1785="","",IFERROR(INDEX(Cl_nom,MATCH(X1785,Cl_cle,0)),"(client introuvable)"))</f>
        <v/>
      </c>
      <c r="AA1785" s="33">
        <f>IF(X1785="","",IFERROR(INDEX(Cl_quartier,MATCH(X1785,Cl_cle,0))&amp;"",""))</f>
        <v/>
      </c>
      <c r="AB1785" s="45">
        <f>IF(R1785&lt;&gt;"Livrée",0,IF(K1785&lt;&gt;"",K1785,C1785))</f>
        <v/>
      </c>
      <c r="AC1785" s="33">
        <f>IF(OR(C1785="",W1785=""),"",P1785&amp;"|"&amp;W1785&amp;"|"&amp;C1785&amp;"|"&amp;E1785)</f>
        <v/>
      </c>
      <c r="AD1785" s="39">
        <f>IF(AC1785="","",IF(COUNTIF(AC$6:AC1785,AC1785)=1,1,0))</f>
        <v/>
      </c>
      <c r="AE1785" s="39">
        <f>IF(AB1785=0,"",IF(COUNTIFS(X$6:X1785,X1785,AB$6:AB1785,AB1785)=1,1,0))</f>
        <v/>
      </c>
      <c r="AF1785" s="34">
        <f>IF(C1785="","",YEAR(C1785-WEEKDAY(C1785,2)+4)&amp;"-S"&amp;TEXT(INT((C1785-DATE(YEAR(C1785-WEEKDAY(C1785,2)+4),1,3)+WEEKDAY(DATE(YEAR(C1785-WEEKDAY(C1785,2)+4),1,3),2)+5)/7),"00"))</f>
        <v/>
      </c>
    </row>
    <row r="1786" ht="18" customHeight="1">
      <c r="A1786" s="39" t="n">
        <v>1781</v>
      </c>
      <c r="B1786" s="33">
        <f>IF(C1786="","",IF(P1786="À RENSEIGNER","GIC",P1786)&amp;"-C"&amp;TEXT(A1786,"00000"))</f>
        <v/>
      </c>
      <c r="C1786" s="32" t="n"/>
      <c r="D1786" s="36" t="n"/>
      <c r="E1786" s="36" t="n"/>
      <c r="F1786" s="36" t="n"/>
      <c r="G1786" s="42" t="n"/>
      <c r="H1786" s="37" t="n"/>
      <c r="I1786" s="37" t="n"/>
      <c r="J1786" s="32" t="n"/>
      <c r="K1786" s="32" t="n"/>
      <c r="L1786" s="43" t="n"/>
      <c r="M1786" s="36" t="n"/>
      <c r="N1786" s="44" t="n"/>
      <c r="O1786" s="36" t="n"/>
      <c r="P1786" s="33">
        <f>IF(C1786="","",Commercial_Id)</f>
        <v/>
      </c>
      <c r="Q1786" s="34">
        <f>IF(AC1786="","",IF(AD1786=1,"C"&amp;TEXT(SUM(AD$6:AD1786),"0000"),INDEX(Q$6:Q1785,MATCH(AC1786,AC$6:AC1785,0))))</f>
        <v/>
      </c>
      <c r="R1786" s="34">
        <f>IF(C1786="","",IF(L1786="☑ Oui","Annulée",IF(OR(E1786="Vente directe",K1786&lt;&gt;""),"Livrée",IF(J1786&lt;&gt;"","Confirmée","En attente"))))</f>
        <v/>
      </c>
      <c r="S1786" s="34">
        <f>IF(F1786="","",IFERROR(VLOOKUP(F1786,T_Produits,2,FALSE),""))</f>
        <v/>
      </c>
      <c r="T1786" s="40">
        <f>IF(F1786="","",IFERROR(1/(1/VLOOKUP(F1786,T_Produits,3,FALSE)),""))</f>
        <v/>
      </c>
      <c r="U1786" s="40">
        <f>IF(H1786&lt;&gt;"",H1786,T1786)</f>
        <v/>
      </c>
      <c r="V1786" s="40">
        <f>IF(OR(G1786="",U1786=""),"",G1786*U1786-N(I1786))</f>
        <v/>
      </c>
      <c r="W1786" s="39">
        <f>IF(D1786="","",IFERROR(VALUE(MID(D1786,LEN(D1786)-3,3)),""))</f>
        <v/>
      </c>
      <c r="X1786" s="33">
        <f>IF(W1786="","",P1786&amp;"|"&amp;W1786)</f>
        <v/>
      </c>
      <c r="Y1786" s="33">
        <f>IF(W1786="","",IF(P1786="À RENSEIGNER","GIC",P1786)&amp;"-"&amp;TEXT(W1786,"000"))</f>
        <v/>
      </c>
      <c r="Z1786" s="33">
        <f>IF(X1786="","",IFERROR(INDEX(Cl_nom,MATCH(X1786,Cl_cle,0)),"(client introuvable)"))</f>
        <v/>
      </c>
      <c r="AA1786" s="33">
        <f>IF(X1786="","",IFERROR(INDEX(Cl_quartier,MATCH(X1786,Cl_cle,0))&amp;"",""))</f>
        <v/>
      </c>
      <c r="AB1786" s="45">
        <f>IF(R1786&lt;&gt;"Livrée",0,IF(K1786&lt;&gt;"",K1786,C1786))</f>
        <v/>
      </c>
      <c r="AC1786" s="33">
        <f>IF(OR(C1786="",W1786=""),"",P1786&amp;"|"&amp;W1786&amp;"|"&amp;C1786&amp;"|"&amp;E1786)</f>
        <v/>
      </c>
      <c r="AD1786" s="39">
        <f>IF(AC1786="","",IF(COUNTIF(AC$6:AC1786,AC1786)=1,1,0))</f>
        <v/>
      </c>
      <c r="AE1786" s="39">
        <f>IF(AB1786=0,"",IF(COUNTIFS(X$6:X1786,X1786,AB$6:AB1786,AB1786)=1,1,0))</f>
        <v/>
      </c>
      <c r="AF1786" s="34">
        <f>IF(C1786="","",YEAR(C1786-WEEKDAY(C1786,2)+4)&amp;"-S"&amp;TEXT(INT((C1786-DATE(YEAR(C1786-WEEKDAY(C1786,2)+4),1,3)+WEEKDAY(DATE(YEAR(C1786-WEEKDAY(C1786,2)+4),1,3),2)+5)/7),"00"))</f>
        <v/>
      </c>
    </row>
    <row r="1787" ht="18" customHeight="1">
      <c r="A1787" s="39" t="n">
        <v>1782</v>
      </c>
      <c r="B1787" s="33">
        <f>IF(C1787="","",IF(P1787="À RENSEIGNER","GIC",P1787)&amp;"-C"&amp;TEXT(A1787,"00000"))</f>
        <v/>
      </c>
      <c r="C1787" s="32" t="n"/>
      <c r="D1787" s="36" t="n"/>
      <c r="E1787" s="36" t="n"/>
      <c r="F1787" s="36" t="n"/>
      <c r="G1787" s="42" t="n"/>
      <c r="H1787" s="37" t="n"/>
      <c r="I1787" s="37" t="n"/>
      <c r="J1787" s="32" t="n"/>
      <c r="K1787" s="32" t="n"/>
      <c r="L1787" s="43" t="n"/>
      <c r="M1787" s="36" t="n"/>
      <c r="N1787" s="44" t="n"/>
      <c r="O1787" s="36" t="n"/>
      <c r="P1787" s="33">
        <f>IF(C1787="","",Commercial_Id)</f>
        <v/>
      </c>
      <c r="Q1787" s="34">
        <f>IF(AC1787="","",IF(AD1787=1,"C"&amp;TEXT(SUM(AD$6:AD1787),"0000"),INDEX(Q$6:Q1786,MATCH(AC1787,AC$6:AC1786,0))))</f>
        <v/>
      </c>
      <c r="R1787" s="34">
        <f>IF(C1787="","",IF(L1787="☑ Oui","Annulée",IF(OR(E1787="Vente directe",K1787&lt;&gt;""),"Livrée",IF(J1787&lt;&gt;"","Confirmée","En attente"))))</f>
        <v/>
      </c>
      <c r="S1787" s="34">
        <f>IF(F1787="","",IFERROR(VLOOKUP(F1787,T_Produits,2,FALSE),""))</f>
        <v/>
      </c>
      <c r="T1787" s="40">
        <f>IF(F1787="","",IFERROR(1/(1/VLOOKUP(F1787,T_Produits,3,FALSE)),""))</f>
        <v/>
      </c>
      <c r="U1787" s="40">
        <f>IF(H1787&lt;&gt;"",H1787,T1787)</f>
        <v/>
      </c>
      <c r="V1787" s="40">
        <f>IF(OR(G1787="",U1787=""),"",G1787*U1787-N(I1787))</f>
        <v/>
      </c>
      <c r="W1787" s="39">
        <f>IF(D1787="","",IFERROR(VALUE(MID(D1787,LEN(D1787)-3,3)),""))</f>
        <v/>
      </c>
      <c r="X1787" s="33">
        <f>IF(W1787="","",P1787&amp;"|"&amp;W1787)</f>
        <v/>
      </c>
      <c r="Y1787" s="33">
        <f>IF(W1787="","",IF(P1787="À RENSEIGNER","GIC",P1787)&amp;"-"&amp;TEXT(W1787,"000"))</f>
        <v/>
      </c>
      <c r="Z1787" s="33">
        <f>IF(X1787="","",IFERROR(INDEX(Cl_nom,MATCH(X1787,Cl_cle,0)),"(client introuvable)"))</f>
        <v/>
      </c>
      <c r="AA1787" s="33">
        <f>IF(X1787="","",IFERROR(INDEX(Cl_quartier,MATCH(X1787,Cl_cle,0))&amp;"",""))</f>
        <v/>
      </c>
      <c r="AB1787" s="45">
        <f>IF(R1787&lt;&gt;"Livrée",0,IF(K1787&lt;&gt;"",K1787,C1787))</f>
        <v/>
      </c>
      <c r="AC1787" s="33">
        <f>IF(OR(C1787="",W1787=""),"",P1787&amp;"|"&amp;W1787&amp;"|"&amp;C1787&amp;"|"&amp;E1787)</f>
        <v/>
      </c>
      <c r="AD1787" s="39">
        <f>IF(AC1787="","",IF(COUNTIF(AC$6:AC1787,AC1787)=1,1,0))</f>
        <v/>
      </c>
      <c r="AE1787" s="39">
        <f>IF(AB1787=0,"",IF(COUNTIFS(X$6:X1787,X1787,AB$6:AB1787,AB1787)=1,1,0))</f>
        <v/>
      </c>
      <c r="AF1787" s="34">
        <f>IF(C1787="","",YEAR(C1787-WEEKDAY(C1787,2)+4)&amp;"-S"&amp;TEXT(INT((C1787-DATE(YEAR(C1787-WEEKDAY(C1787,2)+4),1,3)+WEEKDAY(DATE(YEAR(C1787-WEEKDAY(C1787,2)+4),1,3),2)+5)/7),"00"))</f>
        <v/>
      </c>
    </row>
    <row r="1788" ht="18" customHeight="1">
      <c r="A1788" s="39" t="n">
        <v>1783</v>
      </c>
      <c r="B1788" s="33">
        <f>IF(C1788="","",IF(P1788="À RENSEIGNER","GIC",P1788)&amp;"-C"&amp;TEXT(A1788,"00000"))</f>
        <v/>
      </c>
      <c r="C1788" s="32" t="n"/>
      <c r="D1788" s="36" t="n"/>
      <c r="E1788" s="36" t="n"/>
      <c r="F1788" s="36" t="n"/>
      <c r="G1788" s="42" t="n"/>
      <c r="H1788" s="37" t="n"/>
      <c r="I1788" s="37" t="n"/>
      <c r="J1788" s="32" t="n"/>
      <c r="K1788" s="32" t="n"/>
      <c r="L1788" s="43" t="n"/>
      <c r="M1788" s="36" t="n"/>
      <c r="N1788" s="44" t="n"/>
      <c r="O1788" s="36" t="n"/>
      <c r="P1788" s="33">
        <f>IF(C1788="","",Commercial_Id)</f>
        <v/>
      </c>
      <c r="Q1788" s="34">
        <f>IF(AC1788="","",IF(AD1788=1,"C"&amp;TEXT(SUM(AD$6:AD1788),"0000"),INDEX(Q$6:Q1787,MATCH(AC1788,AC$6:AC1787,0))))</f>
        <v/>
      </c>
      <c r="R1788" s="34">
        <f>IF(C1788="","",IF(L1788="☑ Oui","Annulée",IF(OR(E1788="Vente directe",K1788&lt;&gt;""),"Livrée",IF(J1788&lt;&gt;"","Confirmée","En attente"))))</f>
        <v/>
      </c>
      <c r="S1788" s="34">
        <f>IF(F1788="","",IFERROR(VLOOKUP(F1788,T_Produits,2,FALSE),""))</f>
        <v/>
      </c>
      <c r="T1788" s="40">
        <f>IF(F1788="","",IFERROR(1/(1/VLOOKUP(F1788,T_Produits,3,FALSE)),""))</f>
        <v/>
      </c>
      <c r="U1788" s="40">
        <f>IF(H1788&lt;&gt;"",H1788,T1788)</f>
        <v/>
      </c>
      <c r="V1788" s="40">
        <f>IF(OR(G1788="",U1788=""),"",G1788*U1788-N(I1788))</f>
        <v/>
      </c>
      <c r="W1788" s="39">
        <f>IF(D1788="","",IFERROR(VALUE(MID(D1788,LEN(D1788)-3,3)),""))</f>
        <v/>
      </c>
      <c r="X1788" s="33">
        <f>IF(W1788="","",P1788&amp;"|"&amp;W1788)</f>
        <v/>
      </c>
      <c r="Y1788" s="33">
        <f>IF(W1788="","",IF(P1788="À RENSEIGNER","GIC",P1788)&amp;"-"&amp;TEXT(W1788,"000"))</f>
        <v/>
      </c>
      <c r="Z1788" s="33">
        <f>IF(X1788="","",IFERROR(INDEX(Cl_nom,MATCH(X1788,Cl_cle,0)),"(client introuvable)"))</f>
        <v/>
      </c>
      <c r="AA1788" s="33">
        <f>IF(X1788="","",IFERROR(INDEX(Cl_quartier,MATCH(X1788,Cl_cle,0))&amp;"",""))</f>
        <v/>
      </c>
      <c r="AB1788" s="45">
        <f>IF(R1788&lt;&gt;"Livrée",0,IF(K1788&lt;&gt;"",K1788,C1788))</f>
        <v/>
      </c>
      <c r="AC1788" s="33">
        <f>IF(OR(C1788="",W1788=""),"",P1788&amp;"|"&amp;W1788&amp;"|"&amp;C1788&amp;"|"&amp;E1788)</f>
        <v/>
      </c>
      <c r="AD1788" s="39">
        <f>IF(AC1788="","",IF(COUNTIF(AC$6:AC1788,AC1788)=1,1,0))</f>
        <v/>
      </c>
      <c r="AE1788" s="39">
        <f>IF(AB1788=0,"",IF(COUNTIFS(X$6:X1788,X1788,AB$6:AB1788,AB1788)=1,1,0))</f>
        <v/>
      </c>
      <c r="AF1788" s="34">
        <f>IF(C1788="","",YEAR(C1788-WEEKDAY(C1788,2)+4)&amp;"-S"&amp;TEXT(INT((C1788-DATE(YEAR(C1788-WEEKDAY(C1788,2)+4),1,3)+WEEKDAY(DATE(YEAR(C1788-WEEKDAY(C1788,2)+4),1,3),2)+5)/7),"00"))</f>
        <v/>
      </c>
    </row>
    <row r="1789" ht="18" customHeight="1">
      <c r="A1789" s="39" t="n">
        <v>1784</v>
      </c>
      <c r="B1789" s="33">
        <f>IF(C1789="","",IF(P1789="À RENSEIGNER","GIC",P1789)&amp;"-C"&amp;TEXT(A1789,"00000"))</f>
        <v/>
      </c>
      <c r="C1789" s="32" t="n"/>
      <c r="D1789" s="36" t="n"/>
      <c r="E1789" s="36" t="n"/>
      <c r="F1789" s="36" t="n"/>
      <c r="G1789" s="42" t="n"/>
      <c r="H1789" s="37" t="n"/>
      <c r="I1789" s="37" t="n"/>
      <c r="J1789" s="32" t="n"/>
      <c r="K1789" s="32" t="n"/>
      <c r="L1789" s="43" t="n"/>
      <c r="M1789" s="36" t="n"/>
      <c r="N1789" s="44" t="n"/>
      <c r="O1789" s="36" t="n"/>
      <c r="P1789" s="33">
        <f>IF(C1789="","",Commercial_Id)</f>
        <v/>
      </c>
      <c r="Q1789" s="34">
        <f>IF(AC1789="","",IF(AD1789=1,"C"&amp;TEXT(SUM(AD$6:AD1789),"0000"),INDEX(Q$6:Q1788,MATCH(AC1789,AC$6:AC1788,0))))</f>
        <v/>
      </c>
      <c r="R1789" s="34">
        <f>IF(C1789="","",IF(L1789="☑ Oui","Annulée",IF(OR(E1789="Vente directe",K1789&lt;&gt;""),"Livrée",IF(J1789&lt;&gt;"","Confirmée","En attente"))))</f>
        <v/>
      </c>
      <c r="S1789" s="34">
        <f>IF(F1789="","",IFERROR(VLOOKUP(F1789,T_Produits,2,FALSE),""))</f>
        <v/>
      </c>
      <c r="T1789" s="40">
        <f>IF(F1789="","",IFERROR(1/(1/VLOOKUP(F1789,T_Produits,3,FALSE)),""))</f>
        <v/>
      </c>
      <c r="U1789" s="40">
        <f>IF(H1789&lt;&gt;"",H1789,T1789)</f>
        <v/>
      </c>
      <c r="V1789" s="40">
        <f>IF(OR(G1789="",U1789=""),"",G1789*U1789-N(I1789))</f>
        <v/>
      </c>
      <c r="W1789" s="39">
        <f>IF(D1789="","",IFERROR(VALUE(MID(D1789,LEN(D1789)-3,3)),""))</f>
        <v/>
      </c>
      <c r="X1789" s="33">
        <f>IF(W1789="","",P1789&amp;"|"&amp;W1789)</f>
        <v/>
      </c>
      <c r="Y1789" s="33">
        <f>IF(W1789="","",IF(P1789="À RENSEIGNER","GIC",P1789)&amp;"-"&amp;TEXT(W1789,"000"))</f>
        <v/>
      </c>
      <c r="Z1789" s="33">
        <f>IF(X1789="","",IFERROR(INDEX(Cl_nom,MATCH(X1789,Cl_cle,0)),"(client introuvable)"))</f>
        <v/>
      </c>
      <c r="AA1789" s="33">
        <f>IF(X1789="","",IFERROR(INDEX(Cl_quartier,MATCH(X1789,Cl_cle,0))&amp;"",""))</f>
        <v/>
      </c>
      <c r="AB1789" s="45">
        <f>IF(R1789&lt;&gt;"Livrée",0,IF(K1789&lt;&gt;"",K1789,C1789))</f>
        <v/>
      </c>
      <c r="AC1789" s="33">
        <f>IF(OR(C1789="",W1789=""),"",P1789&amp;"|"&amp;W1789&amp;"|"&amp;C1789&amp;"|"&amp;E1789)</f>
        <v/>
      </c>
      <c r="AD1789" s="39">
        <f>IF(AC1789="","",IF(COUNTIF(AC$6:AC1789,AC1789)=1,1,0))</f>
        <v/>
      </c>
      <c r="AE1789" s="39">
        <f>IF(AB1789=0,"",IF(COUNTIFS(X$6:X1789,X1789,AB$6:AB1789,AB1789)=1,1,0))</f>
        <v/>
      </c>
      <c r="AF1789" s="34">
        <f>IF(C1789="","",YEAR(C1789-WEEKDAY(C1789,2)+4)&amp;"-S"&amp;TEXT(INT((C1789-DATE(YEAR(C1789-WEEKDAY(C1789,2)+4),1,3)+WEEKDAY(DATE(YEAR(C1789-WEEKDAY(C1789,2)+4),1,3),2)+5)/7),"00"))</f>
        <v/>
      </c>
    </row>
    <row r="1790" ht="18" customHeight="1">
      <c r="A1790" s="39" t="n">
        <v>1785</v>
      </c>
      <c r="B1790" s="33">
        <f>IF(C1790="","",IF(P1790="À RENSEIGNER","GIC",P1790)&amp;"-C"&amp;TEXT(A1790,"00000"))</f>
        <v/>
      </c>
      <c r="C1790" s="32" t="n"/>
      <c r="D1790" s="36" t="n"/>
      <c r="E1790" s="36" t="n"/>
      <c r="F1790" s="36" t="n"/>
      <c r="G1790" s="42" t="n"/>
      <c r="H1790" s="37" t="n"/>
      <c r="I1790" s="37" t="n"/>
      <c r="J1790" s="32" t="n"/>
      <c r="K1790" s="32" t="n"/>
      <c r="L1790" s="43" t="n"/>
      <c r="M1790" s="36" t="n"/>
      <c r="N1790" s="44" t="n"/>
      <c r="O1790" s="36" t="n"/>
      <c r="P1790" s="33">
        <f>IF(C1790="","",Commercial_Id)</f>
        <v/>
      </c>
      <c r="Q1790" s="34">
        <f>IF(AC1790="","",IF(AD1790=1,"C"&amp;TEXT(SUM(AD$6:AD1790),"0000"),INDEX(Q$6:Q1789,MATCH(AC1790,AC$6:AC1789,0))))</f>
        <v/>
      </c>
      <c r="R1790" s="34">
        <f>IF(C1790="","",IF(L1790="☑ Oui","Annulée",IF(OR(E1790="Vente directe",K1790&lt;&gt;""),"Livrée",IF(J1790&lt;&gt;"","Confirmée","En attente"))))</f>
        <v/>
      </c>
      <c r="S1790" s="34">
        <f>IF(F1790="","",IFERROR(VLOOKUP(F1790,T_Produits,2,FALSE),""))</f>
        <v/>
      </c>
      <c r="T1790" s="40">
        <f>IF(F1790="","",IFERROR(1/(1/VLOOKUP(F1790,T_Produits,3,FALSE)),""))</f>
        <v/>
      </c>
      <c r="U1790" s="40">
        <f>IF(H1790&lt;&gt;"",H1790,T1790)</f>
        <v/>
      </c>
      <c r="V1790" s="40">
        <f>IF(OR(G1790="",U1790=""),"",G1790*U1790-N(I1790))</f>
        <v/>
      </c>
      <c r="W1790" s="39">
        <f>IF(D1790="","",IFERROR(VALUE(MID(D1790,LEN(D1790)-3,3)),""))</f>
        <v/>
      </c>
      <c r="X1790" s="33">
        <f>IF(W1790="","",P1790&amp;"|"&amp;W1790)</f>
        <v/>
      </c>
      <c r="Y1790" s="33">
        <f>IF(W1790="","",IF(P1790="À RENSEIGNER","GIC",P1790)&amp;"-"&amp;TEXT(W1790,"000"))</f>
        <v/>
      </c>
      <c r="Z1790" s="33">
        <f>IF(X1790="","",IFERROR(INDEX(Cl_nom,MATCH(X1790,Cl_cle,0)),"(client introuvable)"))</f>
        <v/>
      </c>
      <c r="AA1790" s="33">
        <f>IF(X1790="","",IFERROR(INDEX(Cl_quartier,MATCH(X1790,Cl_cle,0))&amp;"",""))</f>
        <v/>
      </c>
      <c r="AB1790" s="45">
        <f>IF(R1790&lt;&gt;"Livrée",0,IF(K1790&lt;&gt;"",K1790,C1790))</f>
        <v/>
      </c>
      <c r="AC1790" s="33">
        <f>IF(OR(C1790="",W1790=""),"",P1790&amp;"|"&amp;W1790&amp;"|"&amp;C1790&amp;"|"&amp;E1790)</f>
        <v/>
      </c>
      <c r="AD1790" s="39">
        <f>IF(AC1790="","",IF(COUNTIF(AC$6:AC1790,AC1790)=1,1,0))</f>
        <v/>
      </c>
      <c r="AE1790" s="39">
        <f>IF(AB1790=0,"",IF(COUNTIFS(X$6:X1790,X1790,AB$6:AB1790,AB1790)=1,1,0))</f>
        <v/>
      </c>
      <c r="AF1790" s="34">
        <f>IF(C1790="","",YEAR(C1790-WEEKDAY(C1790,2)+4)&amp;"-S"&amp;TEXT(INT((C1790-DATE(YEAR(C1790-WEEKDAY(C1790,2)+4),1,3)+WEEKDAY(DATE(YEAR(C1790-WEEKDAY(C1790,2)+4),1,3),2)+5)/7),"00"))</f>
        <v/>
      </c>
    </row>
    <row r="1791" ht="18" customHeight="1">
      <c r="A1791" s="39" t="n">
        <v>1786</v>
      </c>
      <c r="B1791" s="33">
        <f>IF(C1791="","",IF(P1791="À RENSEIGNER","GIC",P1791)&amp;"-C"&amp;TEXT(A1791,"00000"))</f>
        <v/>
      </c>
      <c r="C1791" s="32" t="n"/>
      <c r="D1791" s="36" t="n"/>
      <c r="E1791" s="36" t="n"/>
      <c r="F1791" s="36" t="n"/>
      <c r="G1791" s="42" t="n"/>
      <c r="H1791" s="37" t="n"/>
      <c r="I1791" s="37" t="n"/>
      <c r="J1791" s="32" t="n"/>
      <c r="K1791" s="32" t="n"/>
      <c r="L1791" s="43" t="n"/>
      <c r="M1791" s="36" t="n"/>
      <c r="N1791" s="44" t="n"/>
      <c r="O1791" s="36" t="n"/>
      <c r="P1791" s="33">
        <f>IF(C1791="","",Commercial_Id)</f>
        <v/>
      </c>
      <c r="Q1791" s="34">
        <f>IF(AC1791="","",IF(AD1791=1,"C"&amp;TEXT(SUM(AD$6:AD1791),"0000"),INDEX(Q$6:Q1790,MATCH(AC1791,AC$6:AC1790,0))))</f>
        <v/>
      </c>
      <c r="R1791" s="34">
        <f>IF(C1791="","",IF(L1791="☑ Oui","Annulée",IF(OR(E1791="Vente directe",K1791&lt;&gt;""),"Livrée",IF(J1791&lt;&gt;"","Confirmée","En attente"))))</f>
        <v/>
      </c>
      <c r="S1791" s="34">
        <f>IF(F1791="","",IFERROR(VLOOKUP(F1791,T_Produits,2,FALSE),""))</f>
        <v/>
      </c>
      <c r="T1791" s="40">
        <f>IF(F1791="","",IFERROR(1/(1/VLOOKUP(F1791,T_Produits,3,FALSE)),""))</f>
        <v/>
      </c>
      <c r="U1791" s="40">
        <f>IF(H1791&lt;&gt;"",H1791,T1791)</f>
        <v/>
      </c>
      <c r="V1791" s="40">
        <f>IF(OR(G1791="",U1791=""),"",G1791*U1791-N(I1791))</f>
        <v/>
      </c>
      <c r="W1791" s="39">
        <f>IF(D1791="","",IFERROR(VALUE(MID(D1791,LEN(D1791)-3,3)),""))</f>
        <v/>
      </c>
      <c r="X1791" s="33">
        <f>IF(W1791="","",P1791&amp;"|"&amp;W1791)</f>
        <v/>
      </c>
      <c r="Y1791" s="33">
        <f>IF(W1791="","",IF(P1791="À RENSEIGNER","GIC",P1791)&amp;"-"&amp;TEXT(W1791,"000"))</f>
        <v/>
      </c>
      <c r="Z1791" s="33">
        <f>IF(X1791="","",IFERROR(INDEX(Cl_nom,MATCH(X1791,Cl_cle,0)),"(client introuvable)"))</f>
        <v/>
      </c>
      <c r="AA1791" s="33">
        <f>IF(X1791="","",IFERROR(INDEX(Cl_quartier,MATCH(X1791,Cl_cle,0))&amp;"",""))</f>
        <v/>
      </c>
      <c r="AB1791" s="45">
        <f>IF(R1791&lt;&gt;"Livrée",0,IF(K1791&lt;&gt;"",K1791,C1791))</f>
        <v/>
      </c>
      <c r="AC1791" s="33">
        <f>IF(OR(C1791="",W1791=""),"",P1791&amp;"|"&amp;W1791&amp;"|"&amp;C1791&amp;"|"&amp;E1791)</f>
        <v/>
      </c>
      <c r="AD1791" s="39">
        <f>IF(AC1791="","",IF(COUNTIF(AC$6:AC1791,AC1791)=1,1,0))</f>
        <v/>
      </c>
      <c r="AE1791" s="39">
        <f>IF(AB1791=0,"",IF(COUNTIFS(X$6:X1791,X1791,AB$6:AB1791,AB1791)=1,1,0))</f>
        <v/>
      </c>
      <c r="AF1791" s="34">
        <f>IF(C1791="","",YEAR(C1791-WEEKDAY(C1791,2)+4)&amp;"-S"&amp;TEXT(INT((C1791-DATE(YEAR(C1791-WEEKDAY(C1791,2)+4),1,3)+WEEKDAY(DATE(YEAR(C1791-WEEKDAY(C1791,2)+4),1,3),2)+5)/7),"00"))</f>
        <v/>
      </c>
    </row>
    <row r="1792" ht="18" customHeight="1">
      <c r="A1792" s="39" t="n">
        <v>1787</v>
      </c>
      <c r="B1792" s="33">
        <f>IF(C1792="","",IF(P1792="À RENSEIGNER","GIC",P1792)&amp;"-C"&amp;TEXT(A1792,"00000"))</f>
        <v/>
      </c>
      <c r="C1792" s="32" t="n"/>
      <c r="D1792" s="36" t="n"/>
      <c r="E1792" s="36" t="n"/>
      <c r="F1792" s="36" t="n"/>
      <c r="G1792" s="42" t="n"/>
      <c r="H1792" s="37" t="n"/>
      <c r="I1792" s="37" t="n"/>
      <c r="J1792" s="32" t="n"/>
      <c r="K1792" s="32" t="n"/>
      <c r="L1792" s="43" t="n"/>
      <c r="M1792" s="36" t="n"/>
      <c r="N1792" s="44" t="n"/>
      <c r="O1792" s="36" t="n"/>
      <c r="P1792" s="33">
        <f>IF(C1792="","",Commercial_Id)</f>
        <v/>
      </c>
      <c r="Q1792" s="34">
        <f>IF(AC1792="","",IF(AD1792=1,"C"&amp;TEXT(SUM(AD$6:AD1792),"0000"),INDEX(Q$6:Q1791,MATCH(AC1792,AC$6:AC1791,0))))</f>
        <v/>
      </c>
      <c r="R1792" s="34">
        <f>IF(C1792="","",IF(L1792="☑ Oui","Annulée",IF(OR(E1792="Vente directe",K1792&lt;&gt;""),"Livrée",IF(J1792&lt;&gt;"","Confirmée","En attente"))))</f>
        <v/>
      </c>
      <c r="S1792" s="34">
        <f>IF(F1792="","",IFERROR(VLOOKUP(F1792,T_Produits,2,FALSE),""))</f>
        <v/>
      </c>
      <c r="T1792" s="40">
        <f>IF(F1792="","",IFERROR(1/(1/VLOOKUP(F1792,T_Produits,3,FALSE)),""))</f>
        <v/>
      </c>
      <c r="U1792" s="40">
        <f>IF(H1792&lt;&gt;"",H1792,T1792)</f>
        <v/>
      </c>
      <c r="V1792" s="40">
        <f>IF(OR(G1792="",U1792=""),"",G1792*U1792-N(I1792))</f>
        <v/>
      </c>
      <c r="W1792" s="39">
        <f>IF(D1792="","",IFERROR(VALUE(MID(D1792,LEN(D1792)-3,3)),""))</f>
        <v/>
      </c>
      <c r="X1792" s="33">
        <f>IF(W1792="","",P1792&amp;"|"&amp;W1792)</f>
        <v/>
      </c>
      <c r="Y1792" s="33">
        <f>IF(W1792="","",IF(P1792="À RENSEIGNER","GIC",P1792)&amp;"-"&amp;TEXT(W1792,"000"))</f>
        <v/>
      </c>
      <c r="Z1792" s="33">
        <f>IF(X1792="","",IFERROR(INDEX(Cl_nom,MATCH(X1792,Cl_cle,0)),"(client introuvable)"))</f>
        <v/>
      </c>
      <c r="AA1792" s="33">
        <f>IF(X1792="","",IFERROR(INDEX(Cl_quartier,MATCH(X1792,Cl_cle,0))&amp;"",""))</f>
        <v/>
      </c>
      <c r="AB1792" s="45">
        <f>IF(R1792&lt;&gt;"Livrée",0,IF(K1792&lt;&gt;"",K1792,C1792))</f>
        <v/>
      </c>
      <c r="AC1792" s="33">
        <f>IF(OR(C1792="",W1792=""),"",P1792&amp;"|"&amp;W1792&amp;"|"&amp;C1792&amp;"|"&amp;E1792)</f>
        <v/>
      </c>
      <c r="AD1792" s="39">
        <f>IF(AC1792="","",IF(COUNTIF(AC$6:AC1792,AC1792)=1,1,0))</f>
        <v/>
      </c>
      <c r="AE1792" s="39">
        <f>IF(AB1792=0,"",IF(COUNTIFS(X$6:X1792,X1792,AB$6:AB1792,AB1792)=1,1,0))</f>
        <v/>
      </c>
      <c r="AF1792" s="34">
        <f>IF(C1792="","",YEAR(C1792-WEEKDAY(C1792,2)+4)&amp;"-S"&amp;TEXT(INT((C1792-DATE(YEAR(C1792-WEEKDAY(C1792,2)+4),1,3)+WEEKDAY(DATE(YEAR(C1792-WEEKDAY(C1792,2)+4),1,3),2)+5)/7),"00"))</f>
        <v/>
      </c>
    </row>
    <row r="1793" ht="18" customHeight="1">
      <c r="A1793" s="39" t="n">
        <v>1788</v>
      </c>
      <c r="B1793" s="33">
        <f>IF(C1793="","",IF(P1793="À RENSEIGNER","GIC",P1793)&amp;"-C"&amp;TEXT(A1793,"00000"))</f>
        <v/>
      </c>
      <c r="C1793" s="32" t="n"/>
      <c r="D1793" s="36" t="n"/>
      <c r="E1793" s="36" t="n"/>
      <c r="F1793" s="36" t="n"/>
      <c r="G1793" s="42" t="n"/>
      <c r="H1793" s="37" t="n"/>
      <c r="I1793" s="37" t="n"/>
      <c r="J1793" s="32" t="n"/>
      <c r="K1793" s="32" t="n"/>
      <c r="L1793" s="43" t="n"/>
      <c r="M1793" s="36" t="n"/>
      <c r="N1793" s="44" t="n"/>
      <c r="O1793" s="36" t="n"/>
      <c r="P1793" s="33">
        <f>IF(C1793="","",Commercial_Id)</f>
        <v/>
      </c>
      <c r="Q1793" s="34">
        <f>IF(AC1793="","",IF(AD1793=1,"C"&amp;TEXT(SUM(AD$6:AD1793),"0000"),INDEX(Q$6:Q1792,MATCH(AC1793,AC$6:AC1792,0))))</f>
        <v/>
      </c>
      <c r="R1793" s="34">
        <f>IF(C1793="","",IF(L1793="☑ Oui","Annulée",IF(OR(E1793="Vente directe",K1793&lt;&gt;""),"Livrée",IF(J1793&lt;&gt;"","Confirmée","En attente"))))</f>
        <v/>
      </c>
      <c r="S1793" s="34">
        <f>IF(F1793="","",IFERROR(VLOOKUP(F1793,T_Produits,2,FALSE),""))</f>
        <v/>
      </c>
      <c r="T1793" s="40">
        <f>IF(F1793="","",IFERROR(1/(1/VLOOKUP(F1793,T_Produits,3,FALSE)),""))</f>
        <v/>
      </c>
      <c r="U1793" s="40">
        <f>IF(H1793&lt;&gt;"",H1793,T1793)</f>
        <v/>
      </c>
      <c r="V1793" s="40">
        <f>IF(OR(G1793="",U1793=""),"",G1793*U1793-N(I1793))</f>
        <v/>
      </c>
      <c r="W1793" s="39">
        <f>IF(D1793="","",IFERROR(VALUE(MID(D1793,LEN(D1793)-3,3)),""))</f>
        <v/>
      </c>
      <c r="X1793" s="33">
        <f>IF(W1793="","",P1793&amp;"|"&amp;W1793)</f>
        <v/>
      </c>
      <c r="Y1793" s="33">
        <f>IF(W1793="","",IF(P1793="À RENSEIGNER","GIC",P1793)&amp;"-"&amp;TEXT(W1793,"000"))</f>
        <v/>
      </c>
      <c r="Z1793" s="33">
        <f>IF(X1793="","",IFERROR(INDEX(Cl_nom,MATCH(X1793,Cl_cle,0)),"(client introuvable)"))</f>
        <v/>
      </c>
      <c r="AA1793" s="33">
        <f>IF(X1793="","",IFERROR(INDEX(Cl_quartier,MATCH(X1793,Cl_cle,0))&amp;"",""))</f>
        <v/>
      </c>
      <c r="AB1793" s="45">
        <f>IF(R1793&lt;&gt;"Livrée",0,IF(K1793&lt;&gt;"",K1793,C1793))</f>
        <v/>
      </c>
      <c r="AC1793" s="33">
        <f>IF(OR(C1793="",W1793=""),"",P1793&amp;"|"&amp;W1793&amp;"|"&amp;C1793&amp;"|"&amp;E1793)</f>
        <v/>
      </c>
      <c r="AD1793" s="39">
        <f>IF(AC1793="","",IF(COUNTIF(AC$6:AC1793,AC1793)=1,1,0))</f>
        <v/>
      </c>
      <c r="AE1793" s="39">
        <f>IF(AB1793=0,"",IF(COUNTIFS(X$6:X1793,X1793,AB$6:AB1793,AB1793)=1,1,0))</f>
        <v/>
      </c>
      <c r="AF1793" s="34">
        <f>IF(C1793="","",YEAR(C1793-WEEKDAY(C1793,2)+4)&amp;"-S"&amp;TEXT(INT((C1793-DATE(YEAR(C1793-WEEKDAY(C1793,2)+4),1,3)+WEEKDAY(DATE(YEAR(C1793-WEEKDAY(C1793,2)+4),1,3),2)+5)/7),"00"))</f>
        <v/>
      </c>
    </row>
    <row r="1794" ht="18" customHeight="1">
      <c r="A1794" s="39" t="n">
        <v>1789</v>
      </c>
      <c r="B1794" s="33">
        <f>IF(C1794="","",IF(P1794="À RENSEIGNER","GIC",P1794)&amp;"-C"&amp;TEXT(A1794,"00000"))</f>
        <v/>
      </c>
      <c r="C1794" s="32" t="n"/>
      <c r="D1794" s="36" t="n"/>
      <c r="E1794" s="36" t="n"/>
      <c r="F1794" s="36" t="n"/>
      <c r="G1794" s="42" t="n"/>
      <c r="H1794" s="37" t="n"/>
      <c r="I1794" s="37" t="n"/>
      <c r="J1794" s="32" t="n"/>
      <c r="K1794" s="32" t="n"/>
      <c r="L1794" s="43" t="n"/>
      <c r="M1794" s="36" t="n"/>
      <c r="N1794" s="44" t="n"/>
      <c r="O1794" s="36" t="n"/>
      <c r="P1794" s="33">
        <f>IF(C1794="","",Commercial_Id)</f>
        <v/>
      </c>
      <c r="Q1794" s="34">
        <f>IF(AC1794="","",IF(AD1794=1,"C"&amp;TEXT(SUM(AD$6:AD1794),"0000"),INDEX(Q$6:Q1793,MATCH(AC1794,AC$6:AC1793,0))))</f>
        <v/>
      </c>
      <c r="R1794" s="34">
        <f>IF(C1794="","",IF(L1794="☑ Oui","Annulée",IF(OR(E1794="Vente directe",K1794&lt;&gt;""),"Livrée",IF(J1794&lt;&gt;"","Confirmée","En attente"))))</f>
        <v/>
      </c>
      <c r="S1794" s="34">
        <f>IF(F1794="","",IFERROR(VLOOKUP(F1794,T_Produits,2,FALSE),""))</f>
        <v/>
      </c>
      <c r="T1794" s="40">
        <f>IF(F1794="","",IFERROR(1/(1/VLOOKUP(F1794,T_Produits,3,FALSE)),""))</f>
        <v/>
      </c>
      <c r="U1794" s="40">
        <f>IF(H1794&lt;&gt;"",H1794,T1794)</f>
        <v/>
      </c>
      <c r="V1794" s="40">
        <f>IF(OR(G1794="",U1794=""),"",G1794*U1794-N(I1794))</f>
        <v/>
      </c>
      <c r="W1794" s="39">
        <f>IF(D1794="","",IFERROR(VALUE(MID(D1794,LEN(D1794)-3,3)),""))</f>
        <v/>
      </c>
      <c r="X1794" s="33">
        <f>IF(W1794="","",P1794&amp;"|"&amp;W1794)</f>
        <v/>
      </c>
      <c r="Y1794" s="33">
        <f>IF(W1794="","",IF(P1794="À RENSEIGNER","GIC",P1794)&amp;"-"&amp;TEXT(W1794,"000"))</f>
        <v/>
      </c>
      <c r="Z1794" s="33">
        <f>IF(X1794="","",IFERROR(INDEX(Cl_nom,MATCH(X1794,Cl_cle,0)),"(client introuvable)"))</f>
        <v/>
      </c>
      <c r="AA1794" s="33">
        <f>IF(X1794="","",IFERROR(INDEX(Cl_quartier,MATCH(X1794,Cl_cle,0))&amp;"",""))</f>
        <v/>
      </c>
      <c r="AB1794" s="45">
        <f>IF(R1794&lt;&gt;"Livrée",0,IF(K1794&lt;&gt;"",K1794,C1794))</f>
        <v/>
      </c>
      <c r="AC1794" s="33">
        <f>IF(OR(C1794="",W1794=""),"",P1794&amp;"|"&amp;W1794&amp;"|"&amp;C1794&amp;"|"&amp;E1794)</f>
        <v/>
      </c>
      <c r="AD1794" s="39">
        <f>IF(AC1794="","",IF(COUNTIF(AC$6:AC1794,AC1794)=1,1,0))</f>
        <v/>
      </c>
      <c r="AE1794" s="39">
        <f>IF(AB1794=0,"",IF(COUNTIFS(X$6:X1794,X1794,AB$6:AB1794,AB1794)=1,1,0))</f>
        <v/>
      </c>
      <c r="AF1794" s="34">
        <f>IF(C1794="","",YEAR(C1794-WEEKDAY(C1794,2)+4)&amp;"-S"&amp;TEXT(INT((C1794-DATE(YEAR(C1794-WEEKDAY(C1794,2)+4),1,3)+WEEKDAY(DATE(YEAR(C1794-WEEKDAY(C1794,2)+4),1,3),2)+5)/7),"00"))</f>
        <v/>
      </c>
    </row>
    <row r="1795" ht="18" customHeight="1">
      <c r="A1795" s="39" t="n">
        <v>1790</v>
      </c>
      <c r="B1795" s="33">
        <f>IF(C1795="","",IF(P1795="À RENSEIGNER","GIC",P1795)&amp;"-C"&amp;TEXT(A1795,"00000"))</f>
        <v/>
      </c>
      <c r="C1795" s="32" t="n"/>
      <c r="D1795" s="36" t="n"/>
      <c r="E1795" s="36" t="n"/>
      <c r="F1795" s="36" t="n"/>
      <c r="G1795" s="42" t="n"/>
      <c r="H1795" s="37" t="n"/>
      <c r="I1795" s="37" t="n"/>
      <c r="J1795" s="32" t="n"/>
      <c r="K1795" s="32" t="n"/>
      <c r="L1795" s="43" t="n"/>
      <c r="M1795" s="36" t="n"/>
      <c r="N1795" s="44" t="n"/>
      <c r="O1795" s="36" t="n"/>
      <c r="P1795" s="33">
        <f>IF(C1795="","",Commercial_Id)</f>
        <v/>
      </c>
      <c r="Q1795" s="34">
        <f>IF(AC1795="","",IF(AD1795=1,"C"&amp;TEXT(SUM(AD$6:AD1795),"0000"),INDEX(Q$6:Q1794,MATCH(AC1795,AC$6:AC1794,0))))</f>
        <v/>
      </c>
      <c r="R1795" s="34">
        <f>IF(C1795="","",IF(L1795="☑ Oui","Annulée",IF(OR(E1795="Vente directe",K1795&lt;&gt;""),"Livrée",IF(J1795&lt;&gt;"","Confirmée","En attente"))))</f>
        <v/>
      </c>
      <c r="S1795" s="34">
        <f>IF(F1795="","",IFERROR(VLOOKUP(F1795,T_Produits,2,FALSE),""))</f>
        <v/>
      </c>
      <c r="T1795" s="40">
        <f>IF(F1795="","",IFERROR(1/(1/VLOOKUP(F1795,T_Produits,3,FALSE)),""))</f>
        <v/>
      </c>
      <c r="U1795" s="40">
        <f>IF(H1795&lt;&gt;"",H1795,T1795)</f>
        <v/>
      </c>
      <c r="V1795" s="40">
        <f>IF(OR(G1795="",U1795=""),"",G1795*U1795-N(I1795))</f>
        <v/>
      </c>
      <c r="W1795" s="39">
        <f>IF(D1795="","",IFERROR(VALUE(MID(D1795,LEN(D1795)-3,3)),""))</f>
        <v/>
      </c>
      <c r="X1795" s="33">
        <f>IF(W1795="","",P1795&amp;"|"&amp;W1795)</f>
        <v/>
      </c>
      <c r="Y1795" s="33">
        <f>IF(W1795="","",IF(P1795="À RENSEIGNER","GIC",P1795)&amp;"-"&amp;TEXT(W1795,"000"))</f>
        <v/>
      </c>
      <c r="Z1795" s="33">
        <f>IF(X1795="","",IFERROR(INDEX(Cl_nom,MATCH(X1795,Cl_cle,0)),"(client introuvable)"))</f>
        <v/>
      </c>
      <c r="AA1795" s="33">
        <f>IF(X1795="","",IFERROR(INDEX(Cl_quartier,MATCH(X1795,Cl_cle,0))&amp;"",""))</f>
        <v/>
      </c>
      <c r="AB1795" s="45">
        <f>IF(R1795&lt;&gt;"Livrée",0,IF(K1795&lt;&gt;"",K1795,C1795))</f>
        <v/>
      </c>
      <c r="AC1795" s="33">
        <f>IF(OR(C1795="",W1795=""),"",P1795&amp;"|"&amp;W1795&amp;"|"&amp;C1795&amp;"|"&amp;E1795)</f>
        <v/>
      </c>
      <c r="AD1795" s="39">
        <f>IF(AC1795="","",IF(COUNTIF(AC$6:AC1795,AC1795)=1,1,0))</f>
        <v/>
      </c>
      <c r="AE1795" s="39">
        <f>IF(AB1795=0,"",IF(COUNTIFS(X$6:X1795,X1795,AB$6:AB1795,AB1795)=1,1,0))</f>
        <v/>
      </c>
      <c r="AF1795" s="34">
        <f>IF(C1795="","",YEAR(C1795-WEEKDAY(C1795,2)+4)&amp;"-S"&amp;TEXT(INT((C1795-DATE(YEAR(C1795-WEEKDAY(C1795,2)+4),1,3)+WEEKDAY(DATE(YEAR(C1795-WEEKDAY(C1795,2)+4),1,3),2)+5)/7),"00"))</f>
        <v/>
      </c>
    </row>
    <row r="1796" ht="18" customHeight="1">
      <c r="A1796" s="39" t="n">
        <v>1791</v>
      </c>
      <c r="B1796" s="33">
        <f>IF(C1796="","",IF(P1796="À RENSEIGNER","GIC",P1796)&amp;"-C"&amp;TEXT(A1796,"00000"))</f>
        <v/>
      </c>
      <c r="C1796" s="32" t="n"/>
      <c r="D1796" s="36" t="n"/>
      <c r="E1796" s="36" t="n"/>
      <c r="F1796" s="36" t="n"/>
      <c r="G1796" s="42" t="n"/>
      <c r="H1796" s="37" t="n"/>
      <c r="I1796" s="37" t="n"/>
      <c r="J1796" s="32" t="n"/>
      <c r="K1796" s="32" t="n"/>
      <c r="L1796" s="43" t="n"/>
      <c r="M1796" s="36" t="n"/>
      <c r="N1796" s="44" t="n"/>
      <c r="O1796" s="36" t="n"/>
      <c r="P1796" s="33">
        <f>IF(C1796="","",Commercial_Id)</f>
        <v/>
      </c>
      <c r="Q1796" s="34">
        <f>IF(AC1796="","",IF(AD1796=1,"C"&amp;TEXT(SUM(AD$6:AD1796),"0000"),INDEX(Q$6:Q1795,MATCH(AC1796,AC$6:AC1795,0))))</f>
        <v/>
      </c>
      <c r="R1796" s="34">
        <f>IF(C1796="","",IF(L1796="☑ Oui","Annulée",IF(OR(E1796="Vente directe",K1796&lt;&gt;""),"Livrée",IF(J1796&lt;&gt;"","Confirmée","En attente"))))</f>
        <v/>
      </c>
      <c r="S1796" s="34">
        <f>IF(F1796="","",IFERROR(VLOOKUP(F1796,T_Produits,2,FALSE),""))</f>
        <v/>
      </c>
      <c r="T1796" s="40">
        <f>IF(F1796="","",IFERROR(1/(1/VLOOKUP(F1796,T_Produits,3,FALSE)),""))</f>
        <v/>
      </c>
      <c r="U1796" s="40">
        <f>IF(H1796&lt;&gt;"",H1796,T1796)</f>
        <v/>
      </c>
      <c r="V1796" s="40">
        <f>IF(OR(G1796="",U1796=""),"",G1796*U1796-N(I1796))</f>
        <v/>
      </c>
      <c r="W1796" s="39">
        <f>IF(D1796="","",IFERROR(VALUE(MID(D1796,LEN(D1796)-3,3)),""))</f>
        <v/>
      </c>
      <c r="X1796" s="33">
        <f>IF(W1796="","",P1796&amp;"|"&amp;W1796)</f>
        <v/>
      </c>
      <c r="Y1796" s="33">
        <f>IF(W1796="","",IF(P1796="À RENSEIGNER","GIC",P1796)&amp;"-"&amp;TEXT(W1796,"000"))</f>
        <v/>
      </c>
      <c r="Z1796" s="33">
        <f>IF(X1796="","",IFERROR(INDEX(Cl_nom,MATCH(X1796,Cl_cle,0)),"(client introuvable)"))</f>
        <v/>
      </c>
      <c r="AA1796" s="33">
        <f>IF(X1796="","",IFERROR(INDEX(Cl_quartier,MATCH(X1796,Cl_cle,0))&amp;"",""))</f>
        <v/>
      </c>
      <c r="AB1796" s="45">
        <f>IF(R1796&lt;&gt;"Livrée",0,IF(K1796&lt;&gt;"",K1796,C1796))</f>
        <v/>
      </c>
      <c r="AC1796" s="33">
        <f>IF(OR(C1796="",W1796=""),"",P1796&amp;"|"&amp;W1796&amp;"|"&amp;C1796&amp;"|"&amp;E1796)</f>
        <v/>
      </c>
      <c r="AD1796" s="39">
        <f>IF(AC1796="","",IF(COUNTIF(AC$6:AC1796,AC1796)=1,1,0))</f>
        <v/>
      </c>
      <c r="AE1796" s="39">
        <f>IF(AB1796=0,"",IF(COUNTIFS(X$6:X1796,X1796,AB$6:AB1796,AB1796)=1,1,0))</f>
        <v/>
      </c>
      <c r="AF1796" s="34">
        <f>IF(C1796="","",YEAR(C1796-WEEKDAY(C1796,2)+4)&amp;"-S"&amp;TEXT(INT((C1796-DATE(YEAR(C1796-WEEKDAY(C1796,2)+4),1,3)+WEEKDAY(DATE(YEAR(C1796-WEEKDAY(C1796,2)+4),1,3),2)+5)/7),"00"))</f>
        <v/>
      </c>
    </row>
    <row r="1797" ht="18" customHeight="1">
      <c r="A1797" s="39" t="n">
        <v>1792</v>
      </c>
      <c r="B1797" s="33">
        <f>IF(C1797="","",IF(P1797="À RENSEIGNER","GIC",P1797)&amp;"-C"&amp;TEXT(A1797,"00000"))</f>
        <v/>
      </c>
      <c r="C1797" s="32" t="n"/>
      <c r="D1797" s="36" t="n"/>
      <c r="E1797" s="36" t="n"/>
      <c r="F1797" s="36" t="n"/>
      <c r="G1797" s="42" t="n"/>
      <c r="H1797" s="37" t="n"/>
      <c r="I1797" s="37" t="n"/>
      <c r="J1797" s="32" t="n"/>
      <c r="K1797" s="32" t="n"/>
      <c r="L1797" s="43" t="n"/>
      <c r="M1797" s="36" t="n"/>
      <c r="N1797" s="44" t="n"/>
      <c r="O1797" s="36" t="n"/>
      <c r="P1797" s="33">
        <f>IF(C1797="","",Commercial_Id)</f>
        <v/>
      </c>
      <c r="Q1797" s="34">
        <f>IF(AC1797="","",IF(AD1797=1,"C"&amp;TEXT(SUM(AD$6:AD1797),"0000"),INDEX(Q$6:Q1796,MATCH(AC1797,AC$6:AC1796,0))))</f>
        <v/>
      </c>
      <c r="R1797" s="34">
        <f>IF(C1797="","",IF(L1797="☑ Oui","Annulée",IF(OR(E1797="Vente directe",K1797&lt;&gt;""),"Livrée",IF(J1797&lt;&gt;"","Confirmée","En attente"))))</f>
        <v/>
      </c>
      <c r="S1797" s="34">
        <f>IF(F1797="","",IFERROR(VLOOKUP(F1797,T_Produits,2,FALSE),""))</f>
        <v/>
      </c>
      <c r="T1797" s="40">
        <f>IF(F1797="","",IFERROR(1/(1/VLOOKUP(F1797,T_Produits,3,FALSE)),""))</f>
        <v/>
      </c>
      <c r="U1797" s="40">
        <f>IF(H1797&lt;&gt;"",H1797,T1797)</f>
        <v/>
      </c>
      <c r="V1797" s="40">
        <f>IF(OR(G1797="",U1797=""),"",G1797*U1797-N(I1797))</f>
        <v/>
      </c>
      <c r="W1797" s="39">
        <f>IF(D1797="","",IFERROR(VALUE(MID(D1797,LEN(D1797)-3,3)),""))</f>
        <v/>
      </c>
      <c r="X1797" s="33">
        <f>IF(W1797="","",P1797&amp;"|"&amp;W1797)</f>
        <v/>
      </c>
      <c r="Y1797" s="33">
        <f>IF(W1797="","",IF(P1797="À RENSEIGNER","GIC",P1797)&amp;"-"&amp;TEXT(W1797,"000"))</f>
        <v/>
      </c>
      <c r="Z1797" s="33">
        <f>IF(X1797="","",IFERROR(INDEX(Cl_nom,MATCH(X1797,Cl_cle,0)),"(client introuvable)"))</f>
        <v/>
      </c>
      <c r="AA1797" s="33">
        <f>IF(X1797="","",IFERROR(INDEX(Cl_quartier,MATCH(X1797,Cl_cle,0))&amp;"",""))</f>
        <v/>
      </c>
      <c r="AB1797" s="45">
        <f>IF(R1797&lt;&gt;"Livrée",0,IF(K1797&lt;&gt;"",K1797,C1797))</f>
        <v/>
      </c>
      <c r="AC1797" s="33">
        <f>IF(OR(C1797="",W1797=""),"",P1797&amp;"|"&amp;W1797&amp;"|"&amp;C1797&amp;"|"&amp;E1797)</f>
        <v/>
      </c>
      <c r="AD1797" s="39">
        <f>IF(AC1797="","",IF(COUNTIF(AC$6:AC1797,AC1797)=1,1,0))</f>
        <v/>
      </c>
      <c r="AE1797" s="39">
        <f>IF(AB1797=0,"",IF(COUNTIFS(X$6:X1797,X1797,AB$6:AB1797,AB1797)=1,1,0))</f>
        <v/>
      </c>
      <c r="AF1797" s="34">
        <f>IF(C1797="","",YEAR(C1797-WEEKDAY(C1797,2)+4)&amp;"-S"&amp;TEXT(INT((C1797-DATE(YEAR(C1797-WEEKDAY(C1797,2)+4),1,3)+WEEKDAY(DATE(YEAR(C1797-WEEKDAY(C1797,2)+4),1,3),2)+5)/7),"00"))</f>
        <v/>
      </c>
    </row>
    <row r="1798" ht="18" customHeight="1">
      <c r="A1798" s="39" t="n">
        <v>1793</v>
      </c>
      <c r="B1798" s="33">
        <f>IF(C1798="","",IF(P1798="À RENSEIGNER","GIC",P1798)&amp;"-C"&amp;TEXT(A1798,"00000"))</f>
        <v/>
      </c>
      <c r="C1798" s="32" t="n"/>
      <c r="D1798" s="36" t="n"/>
      <c r="E1798" s="36" t="n"/>
      <c r="F1798" s="36" t="n"/>
      <c r="G1798" s="42" t="n"/>
      <c r="H1798" s="37" t="n"/>
      <c r="I1798" s="37" t="n"/>
      <c r="J1798" s="32" t="n"/>
      <c r="K1798" s="32" t="n"/>
      <c r="L1798" s="43" t="n"/>
      <c r="M1798" s="36" t="n"/>
      <c r="N1798" s="44" t="n"/>
      <c r="O1798" s="36" t="n"/>
      <c r="P1798" s="33">
        <f>IF(C1798="","",Commercial_Id)</f>
        <v/>
      </c>
      <c r="Q1798" s="34">
        <f>IF(AC1798="","",IF(AD1798=1,"C"&amp;TEXT(SUM(AD$6:AD1798),"0000"),INDEX(Q$6:Q1797,MATCH(AC1798,AC$6:AC1797,0))))</f>
        <v/>
      </c>
      <c r="R1798" s="34">
        <f>IF(C1798="","",IF(L1798="☑ Oui","Annulée",IF(OR(E1798="Vente directe",K1798&lt;&gt;""),"Livrée",IF(J1798&lt;&gt;"","Confirmée","En attente"))))</f>
        <v/>
      </c>
      <c r="S1798" s="34">
        <f>IF(F1798="","",IFERROR(VLOOKUP(F1798,T_Produits,2,FALSE),""))</f>
        <v/>
      </c>
      <c r="T1798" s="40">
        <f>IF(F1798="","",IFERROR(1/(1/VLOOKUP(F1798,T_Produits,3,FALSE)),""))</f>
        <v/>
      </c>
      <c r="U1798" s="40">
        <f>IF(H1798&lt;&gt;"",H1798,T1798)</f>
        <v/>
      </c>
      <c r="V1798" s="40">
        <f>IF(OR(G1798="",U1798=""),"",G1798*U1798-N(I1798))</f>
        <v/>
      </c>
      <c r="W1798" s="39">
        <f>IF(D1798="","",IFERROR(VALUE(MID(D1798,LEN(D1798)-3,3)),""))</f>
        <v/>
      </c>
      <c r="X1798" s="33">
        <f>IF(W1798="","",P1798&amp;"|"&amp;W1798)</f>
        <v/>
      </c>
      <c r="Y1798" s="33">
        <f>IF(W1798="","",IF(P1798="À RENSEIGNER","GIC",P1798)&amp;"-"&amp;TEXT(W1798,"000"))</f>
        <v/>
      </c>
      <c r="Z1798" s="33">
        <f>IF(X1798="","",IFERROR(INDEX(Cl_nom,MATCH(X1798,Cl_cle,0)),"(client introuvable)"))</f>
        <v/>
      </c>
      <c r="AA1798" s="33">
        <f>IF(X1798="","",IFERROR(INDEX(Cl_quartier,MATCH(X1798,Cl_cle,0))&amp;"",""))</f>
        <v/>
      </c>
      <c r="AB1798" s="45">
        <f>IF(R1798&lt;&gt;"Livrée",0,IF(K1798&lt;&gt;"",K1798,C1798))</f>
        <v/>
      </c>
      <c r="AC1798" s="33">
        <f>IF(OR(C1798="",W1798=""),"",P1798&amp;"|"&amp;W1798&amp;"|"&amp;C1798&amp;"|"&amp;E1798)</f>
        <v/>
      </c>
      <c r="AD1798" s="39">
        <f>IF(AC1798="","",IF(COUNTIF(AC$6:AC1798,AC1798)=1,1,0))</f>
        <v/>
      </c>
      <c r="AE1798" s="39">
        <f>IF(AB1798=0,"",IF(COUNTIFS(X$6:X1798,X1798,AB$6:AB1798,AB1798)=1,1,0))</f>
        <v/>
      </c>
      <c r="AF1798" s="34">
        <f>IF(C1798="","",YEAR(C1798-WEEKDAY(C1798,2)+4)&amp;"-S"&amp;TEXT(INT((C1798-DATE(YEAR(C1798-WEEKDAY(C1798,2)+4),1,3)+WEEKDAY(DATE(YEAR(C1798-WEEKDAY(C1798,2)+4),1,3),2)+5)/7),"00"))</f>
        <v/>
      </c>
    </row>
    <row r="1799" ht="18" customHeight="1">
      <c r="A1799" s="39" t="n">
        <v>1794</v>
      </c>
      <c r="B1799" s="33">
        <f>IF(C1799="","",IF(P1799="À RENSEIGNER","GIC",P1799)&amp;"-C"&amp;TEXT(A1799,"00000"))</f>
        <v/>
      </c>
      <c r="C1799" s="32" t="n"/>
      <c r="D1799" s="36" t="n"/>
      <c r="E1799" s="36" t="n"/>
      <c r="F1799" s="36" t="n"/>
      <c r="G1799" s="42" t="n"/>
      <c r="H1799" s="37" t="n"/>
      <c r="I1799" s="37" t="n"/>
      <c r="J1799" s="32" t="n"/>
      <c r="K1799" s="32" t="n"/>
      <c r="L1799" s="43" t="n"/>
      <c r="M1799" s="36" t="n"/>
      <c r="N1799" s="44" t="n"/>
      <c r="O1799" s="36" t="n"/>
      <c r="P1799" s="33">
        <f>IF(C1799="","",Commercial_Id)</f>
        <v/>
      </c>
      <c r="Q1799" s="34">
        <f>IF(AC1799="","",IF(AD1799=1,"C"&amp;TEXT(SUM(AD$6:AD1799),"0000"),INDEX(Q$6:Q1798,MATCH(AC1799,AC$6:AC1798,0))))</f>
        <v/>
      </c>
      <c r="R1799" s="34">
        <f>IF(C1799="","",IF(L1799="☑ Oui","Annulée",IF(OR(E1799="Vente directe",K1799&lt;&gt;""),"Livrée",IF(J1799&lt;&gt;"","Confirmée","En attente"))))</f>
        <v/>
      </c>
      <c r="S1799" s="34">
        <f>IF(F1799="","",IFERROR(VLOOKUP(F1799,T_Produits,2,FALSE),""))</f>
        <v/>
      </c>
      <c r="T1799" s="40">
        <f>IF(F1799="","",IFERROR(1/(1/VLOOKUP(F1799,T_Produits,3,FALSE)),""))</f>
        <v/>
      </c>
      <c r="U1799" s="40">
        <f>IF(H1799&lt;&gt;"",H1799,T1799)</f>
        <v/>
      </c>
      <c r="V1799" s="40">
        <f>IF(OR(G1799="",U1799=""),"",G1799*U1799-N(I1799))</f>
        <v/>
      </c>
      <c r="W1799" s="39">
        <f>IF(D1799="","",IFERROR(VALUE(MID(D1799,LEN(D1799)-3,3)),""))</f>
        <v/>
      </c>
      <c r="X1799" s="33">
        <f>IF(W1799="","",P1799&amp;"|"&amp;W1799)</f>
        <v/>
      </c>
      <c r="Y1799" s="33">
        <f>IF(W1799="","",IF(P1799="À RENSEIGNER","GIC",P1799)&amp;"-"&amp;TEXT(W1799,"000"))</f>
        <v/>
      </c>
      <c r="Z1799" s="33">
        <f>IF(X1799="","",IFERROR(INDEX(Cl_nom,MATCH(X1799,Cl_cle,0)),"(client introuvable)"))</f>
        <v/>
      </c>
      <c r="AA1799" s="33">
        <f>IF(X1799="","",IFERROR(INDEX(Cl_quartier,MATCH(X1799,Cl_cle,0))&amp;"",""))</f>
        <v/>
      </c>
      <c r="AB1799" s="45">
        <f>IF(R1799&lt;&gt;"Livrée",0,IF(K1799&lt;&gt;"",K1799,C1799))</f>
        <v/>
      </c>
      <c r="AC1799" s="33">
        <f>IF(OR(C1799="",W1799=""),"",P1799&amp;"|"&amp;W1799&amp;"|"&amp;C1799&amp;"|"&amp;E1799)</f>
        <v/>
      </c>
      <c r="AD1799" s="39">
        <f>IF(AC1799="","",IF(COUNTIF(AC$6:AC1799,AC1799)=1,1,0))</f>
        <v/>
      </c>
      <c r="AE1799" s="39">
        <f>IF(AB1799=0,"",IF(COUNTIFS(X$6:X1799,X1799,AB$6:AB1799,AB1799)=1,1,0))</f>
        <v/>
      </c>
      <c r="AF1799" s="34">
        <f>IF(C1799="","",YEAR(C1799-WEEKDAY(C1799,2)+4)&amp;"-S"&amp;TEXT(INT((C1799-DATE(YEAR(C1799-WEEKDAY(C1799,2)+4),1,3)+WEEKDAY(DATE(YEAR(C1799-WEEKDAY(C1799,2)+4),1,3),2)+5)/7),"00"))</f>
        <v/>
      </c>
    </row>
    <row r="1800" ht="18" customHeight="1">
      <c r="A1800" s="39" t="n">
        <v>1795</v>
      </c>
      <c r="B1800" s="33">
        <f>IF(C1800="","",IF(P1800="À RENSEIGNER","GIC",P1800)&amp;"-C"&amp;TEXT(A1800,"00000"))</f>
        <v/>
      </c>
      <c r="C1800" s="32" t="n"/>
      <c r="D1800" s="36" t="n"/>
      <c r="E1800" s="36" t="n"/>
      <c r="F1800" s="36" t="n"/>
      <c r="G1800" s="42" t="n"/>
      <c r="H1800" s="37" t="n"/>
      <c r="I1800" s="37" t="n"/>
      <c r="J1800" s="32" t="n"/>
      <c r="K1800" s="32" t="n"/>
      <c r="L1800" s="43" t="n"/>
      <c r="M1800" s="36" t="n"/>
      <c r="N1800" s="44" t="n"/>
      <c r="O1800" s="36" t="n"/>
      <c r="P1800" s="33">
        <f>IF(C1800="","",Commercial_Id)</f>
        <v/>
      </c>
      <c r="Q1800" s="34">
        <f>IF(AC1800="","",IF(AD1800=1,"C"&amp;TEXT(SUM(AD$6:AD1800),"0000"),INDEX(Q$6:Q1799,MATCH(AC1800,AC$6:AC1799,0))))</f>
        <v/>
      </c>
      <c r="R1800" s="34">
        <f>IF(C1800="","",IF(L1800="☑ Oui","Annulée",IF(OR(E1800="Vente directe",K1800&lt;&gt;""),"Livrée",IF(J1800&lt;&gt;"","Confirmée","En attente"))))</f>
        <v/>
      </c>
      <c r="S1800" s="34">
        <f>IF(F1800="","",IFERROR(VLOOKUP(F1800,T_Produits,2,FALSE),""))</f>
        <v/>
      </c>
      <c r="T1800" s="40">
        <f>IF(F1800="","",IFERROR(1/(1/VLOOKUP(F1800,T_Produits,3,FALSE)),""))</f>
        <v/>
      </c>
      <c r="U1800" s="40">
        <f>IF(H1800&lt;&gt;"",H1800,T1800)</f>
        <v/>
      </c>
      <c r="V1800" s="40">
        <f>IF(OR(G1800="",U1800=""),"",G1800*U1800-N(I1800))</f>
        <v/>
      </c>
      <c r="W1800" s="39">
        <f>IF(D1800="","",IFERROR(VALUE(MID(D1800,LEN(D1800)-3,3)),""))</f>
        <v/>
      </c>
      <c r="X1800" s="33">
        <f>IF(W1800="","",P1800&amp;"|"&amp;W1800)</f>
        <v/>
      </c>
      <c r="Y1800" s="33">
        <f>IF(W1800="","",IF(P1800="À RENSEIGNER","GIC",P1800)&amp;"-"&amp;TEXT(W1800,"000"))</f>
        <v/>
      </c>
      <c r="Z1800" s="33">
        <f>IF(X1800="","",IFERROR(INDEX(Cl_nom,MATCH(X1800,Cl_cle,0)),"(client introuvable)"))</f>
        <v/>
      </c>
      <c r="AA1800" s="33">
        <f>IF(X1800="","",IFERROR(INDEX(Cl_quartier,MATCH(X1800,Cl_cle,0))&amp;"",""))</f>
        <v/>
      </c>
      <c r="AB1800" s="45">
        <f>IF(R1800&lt;&gt;"Livrée",0,IF(K1800&lt;&gt;"",K1800,C1800))</f>
        <v/>
      </c>
      <c r="AC1800" s="33">
        <f>IF(OR(C1800="",W1800=""),"",P1800&amp;"|"&amp;W1800&amp;"|"&amp;C1800&amp;"|"&amp;E1800)</f>
        <v/>
      </c>
      <c r="AD1800" s="39">
        <f>IF(AC1800="","",IF(COUNTIF(AC$6:AC1800,AC1800)=1,1,0))</f>
        <v/>
      </c>
      <c r="AE1800" s="39">
        <f>IF(AB1800=0,"",IF(COUNTIFS(X$6:X1800,X1800,AB$6:AB1800,AB1800)=1,1,0))</f>
        <v/>
      </c>
      <c r="AF1800" s="34">
        <f>IF(C1800="","",YEAR(C1800-WEEKDAY(C1800,2)+4)&amp;"-S"&amp;TEXT(INT((C1800-DATE(YEAR(C1800-WEEKDAY(C1800,2)+4),1,3)+WEEKDAY(DATE(YEAR(C1800-WEEKDAY(C1800,2)+4),1,3),2)+5)/7),"00"))</f>
        <v/>
      </c>
    </row>
    <row r="1801" ht="18" customHeight="1">
      <c r="A1801" s="39" t="n">
        <v>1796</v>
      </c>
      <c r="B1801" s="33">
        <f>IF(C1801="","",IF(P1801="À RENSEIGNER","GIC",P1801)&amp;"-C"&amp;TEXT(A1801,"00000"))</f>
        <v/>
      </c>
      <c r="C1801" s="32" t="n"/>
      <c r="D1801" s="36" t="n"/>
      <c r="E1801" s="36" t="n"/>
      <c r="F1801" s="36" t="n"/>
      <c r="G1801" s="42" t="n"/>
      <c r="H1801" s="37" t="n"/>
      <c r="I1801" s="37" t="n"/>
      <c r="J1801" s="32" t="n"/>
      <c r="K1801" s="32" t="n"/>
      <c r="L1801" s="43" t="n"/>
      <c r="M1801" s="36" t="n"/>
      <c r="N1801" s="44" t="n"/>
      <c r="O1801" s="36" t="n"/>
      <c r="P1801" s="33">
        <f>IF(C1801="","",Commercial_Id)</f>
        <v/>
      </c>
      <c r="Q1801" s="34">
        <f>IF(AC1801="","",IF(AD1801=1,"C"&amp;TEXT(SUM(AD$6:AD1801),"0000"),INDEX(Q$6:Q1800,MATCH(AC1801,AC$6:AC1800,0))))</f>
        <v/>
      </c>
      <c r="R1801" s="34">
        <f>IF(C1801="","",IF(L1801="☑ Oui","Annulée",IF(OR(E1801="Vente directe",K1801&lt;&gt;""),"Livrée",IF(J1801&lt;&gt;"","Confirmée","En attente"))))</f>
        <v/>
      </c>
      <c r="S1801" s="34">
        <f>IF(F1801="","",IFERROR(VLOOKUP(F1801,T_Produits,2,FALSE),""))</f>
        <v/>
      </c>
      <c r="T1801" s="40">
        <f>IF(F1801="","",IFERROR(1/(1/VLOOKUP(F1801,T_Produits,3,FALSE)),""))</f>
        <v/>
      </c>
      <c r="U1801" s="40">
        <f>IF(H1801&lt;&gt;"",H1801,T1801)</f>
        <v/>
      </c>
      <c r="V1801" s="40">
        <f>IF(OR(G1801="",U1801=""),"",G1801*U1801-N(I1801))</f>
        <v/>
      </c>
      <c r="W1801" s="39">
        <f>IF(D1801="","",IFERROR(VALUE(MID(D1801,LEN(D1801)-3,3)),""))</f>
        <v/>
      </c>
      <c r="X1801" s="33">
        <f>IF(W1801="","",P1801&amp;"|"&amp;W1801)</f>
        <v/>
      </c>
      <c r="Y1801" s="33">
        <f>IF(W1801="","",IF(P1801="À RENSEIGNER","GIC",P1801)&amp;"-"&amp;TEXT(W1801,"000"))</f>
        <v/>
      </c>
      <c r="Z1801" s="33">
        <f>IF(X1801="","",IFERROR(INDEX(Cl_nom,MATCH(X1801,Cl_cle,0)),"(client introuvable)"))</f>
        <v/>
      </c>
      <c r="AA1801" s="33">
        <f>IF(X1801="","",IFERROR(INDEX(Cl_quartier,MATCH(X1801,Cl_cle,0))&amp;"",""))</f>
        <v/>
      </c>
      <c r="AB1801" s="45">
        <f>IF(R1801&lt;&gt;"Livrée",0,IF(K1801&lt;&gt;"",K1801,C1801))</f>
        <v/>
      </c>
      <c r="AC1801" s="33">
        <f>IF(OR(C1801="",W1801=""),"",P1801&amp;"|"&amp;W1801&amp;"|"&amp;C1801&amp;"|"&amp;E1801)</f>
        <v/>
      </c>
      <c r="AD1801" s="39">
        <f>IF(AC1801="","",IF(COUNTIF(AC$6:AC1801,AC1801)=1,1,0))</f>
        <v/>
      </c>
      <c r="AE1801" s="39">
        <f>IF(AB1801=0,"",IF(COUNTIFS(X$6:X1801,X1801,AB$6:AB1801,AB1801)=1,1,0))</f>
        <v/>
      </c>
      <c r="AF1801" s="34">
        <f>IF(C1801="","",YEAR(C1801-WEEKDAY(C1801,2)+4)&amp;"-S"&amp;TEXT(INT((C1801-DATE(YEAR(C1801-WEEKDAY(C1801,2)+4),1,3)+WEEKDAY(DATE(YEAR(C1801-WEEKDAY(C1801,2)+4),1,3),2)+5)/7),"00"))</f>
        <v/>
      </c>
    </row>
    <row r="1802" ht="18" customHeight="1">
      <c r="A1802" s="39" t="n">
        <v>1797</v>
      </c>
      <c r="B1802" s="33">
        <f>IF(C1802="","",IF(P1802="À RENSEIGNER","GIC",P1802)&amp;"-C"&amp;TEXT(A1802,"00000"))</f>
        <v/>
      </c>
      <c r="C1802" s="32" t="n"/>
      <c r="D1802" s="36" t="n"/>
      <c r="E1802" s="36" t="n"/>
      <c r="F1802" s="36" t="n"/>
      <c r="G1802" s="42" t="n"/>
      <c r="H1802" s="37" t="n"/>
      <c r="I1802" s="37" t="n"/>
      <c r="J1802" s="32" t="n"/>
      <c r="K1802" s="32" t="n"/>
      <c r="L1802" s="43" t="n"/>
      <c r="M1802" s="36" t="n"/>
      <c r="N1802" s="44" t="n"/>
      <c r="O1802" s="36" t="n"/>
      <c r="P1802" s="33">
        <f>IF(C1802="","",Commercial_Id)</f>
        <v/>
      </c>
      <c r="Q1802" s="34">
        <f>IF(AC1802="","",IF(AD1802=1,"C"&amp;TEXT(SUM(AD$6:AD1802),"0000"),INDEX(Q$6:Q1801,MATCH(AC1802,AC$6:AC1801,0))))</f>
        <v/>
      </c>
      <c r="R1802" s="34">
        <f>IF(C1802="","",IF(L1802="☑ Oui","Annulée",IF(OR(E1802="Vente directe",K1802&lt;&gt;""),"Livrée",IF(J1802&lt;&gt;"","Confirmée","En attente"))))</f>
        <v/>
      </c>
      <c r="S1802" s="34">
        <f>IF(F1802="","",IFERROR(VLOOKUP(F1802,T_Produits,2,FALSE),""))</f>
        <v/>
      </c>
      <c r="T1802" s="40">
        <f>IF(F1802="","",IFERROR(1/(1/VLOOKUP(F1802,T_Produits,3,FALSE)),""))</f>
        <v/>
      </c>
      <c r="U1802" s="40">
        <f>IF(H1802&lt;&gt;"",H1802,T1802)</f>
        <v/>
      </c>
      <c r="V1802" s="40">
        <f>IF(OR(G1802="",U1802=""),"",G1802*U1802-N(I1802))</f>
        <v/>
      </c>
      <c r="W1802" s="39">
        <f>IF(D1802="","",IFERROR(VALUE(MID(D1802,LEN(D1802)-3,3)),""))</f>
        <v/>
      </c>
      <c r="X1802" s="33">
        <f>IF(W1802="","",P1802&amp;"|"&amp;W1802)</f>
        <v/>
      </c>
      <c r="Y1802" s="33">
        <f>IF(W1802="","",IF(P1802="À RENSEIGNER","GIC",P1802)&amp;"-"&amp;TEXT(W1802,"000"))</f>
        <v/>
      </c>
      <c r="Z1802" s="33">
        <f>IF(X1802="","",IFERROR(INDEX(Cl_nom,MATCH(X1802,Cl_cle,0)),"(client introuvable)"))</f>
        <v/>
      </c>
      <c r="AA1802" s="33">
        <f>IF(X1802="","",IFERROR(INDEX(Cl_quartier,MATCH(X1802,Cl_cle,0))&amp;"",""))</f>
        <v/>
      </c>
      <c r="AB1802" s="45">
        <f>IF(R1802&lt;&gt;"Livrée",0,IF(K1802&lt;&gt;"",K1802,C1802))</f>
        <v/>
      </c>
      <c r="AC1802" s="33">
        <f>IF(OR(C1802="",W1802=""),"",P1802&amp;"|"&amp;W1802&amp;"|"&amp;C1802&amp;"|"&amp;E1802)</f>
        <v/>
      </c>
      <c r="AD1802" s="39">
        <f>IF(AC1802="","",IF(COUNTIF(AC$6:AC1802,AC1802)=1,1,0))</f>
        <v/>
      </c>
      <c r="AE1802" s="39">
        <f>IF(AB1802=0,"",IF(COUNTIFS(X$6:X1802,X1802,AB$6:AB1802,AB1802)=1,1,0))</f>
        <v/>
      </c>
      <c r="AF1802" s="34">
        <f>IF(C1802="","",YEAR(C1802-WEEKDAY(C1802,2)+4)&amp;"-S"&amp;TEXT(INT((C1802-DATE(YEAR(C1802-WEEKDAY(C1802,2)+4),1,3)+WEEKDAY(DATE(YEAR(C1802-WEEKDAY(C1802,2)+4),1,3),2)+5)/7),"00"))</f>
        <v/>
      </c>
    </row>
    <row r="1803" ht="18" customHeight="1">
      <c r="A1803" s="39" t="n">
        <v>1798</v>
      </c>
      <c r="B1803" s="33">
        <f>IF(C1803="","",IF(P1803="À RENSEIGNER","GIC",P1803)&amp;"-C"&amp;TEXT(A1803,"00000"))</f>
        <v/>
      </c>
      <c r="C1803" s="32" t="n"/>
      <c r="D1803" s="36" t="n"/>
      <c r="E1803" s="36" t="n"/>
      <c r="F1803" s="36" t="n"/>
      <c r="G1803" s="42" t="n"/>
      <c r="H1803" s="37" t="n"/>
      <c r="I1803" s="37" t="n"/>
      <c r="J1803" s="32" t="n"/>
      <c r="K1803" s="32" t="n"/>
      <c r="L1803" s="43" t="n"/>
      <c r="M1803" s="36" t="n"/>
      <c r="N1803" s="44" t="n"/>
      <c r="O1803" s="36" t="n"/>
      <c r="P1803" s="33">
        <f>IF(C1803="","",Commercial_Id)</f>
        <v/>
      </c>
      <c r="Q1803" s="34">
        <f>IF(AC1803="","",IF(AD1803=1,"C"&amp;TEXT(SUM(AD$6:AD1803),"0000"),INDEX(Q$6:Q1802,MATCH(AC1803,AC$6:AC1802,0))))</f>
        <v/>
      </c>
      <c r="R1803" s="34">
        <f>IF(C1803="","",IF(L1803="☑ Oui","Annulée",IF(OR(E1803="Vente directe",K1803&lt;&gt;""),"Livrée",IF(J1803&lt;&gt;"","Confirmée","En attente"))))</f>
        <v/>
      </c>
      <c r="S1803" s="34">
        <f>IF(F1803="","",IFERROR(VLOOKUP(F1803,T_Produits,2,FALSE),""))</f>
        <v/>
      </c>
      <c r="T1803" s="40">
        <f>IF(F1803="","",IFERROR(1/(1/VLOOKUP(F1803,T_Produits,3,FALSE)),""))</f>
        <v/>
      </c>
      <c r="U1803" s="40">
        <f>IF(H1803&lt;&gt;"",H1803,T1803)</f>
        <v/>
      </c>
      <c r="V1803" s="40">
        <f>IF(OR(G1803="",U1803=""),"",G1803*U1803-N(I1803))</f>
        <v/>
      </c>
      <c r="W1803" s="39">
        <f>IF(D1803="","",IFERROR(VALUE(MID(D1803,LEN(D1803)-3,3)),""))</f>
        <v/>
      </c>
      <c r="X1803" s="33">
        <f>IF(W1803="","",P1803&amp;"|"&amp;W1803)</f>
        <v/>
      </c>
      <c r="Y1803" s="33">
        <f>IF(W1803="","",IF(P1803="À RENSEIGNER","GIC",P1803)&amp;"-"&amp;TEXT(W1803,"000"))</f>
        <v/>
      </c>
      <c r="Z1803" s="33">
        <f>IF(X1803="","",IFERROR(INDEX(Cl_nom,MATCH(X1803,Cl_cle,0)),"(client introuvable)"))</f>
        <v/>
      </c>
      <c r="AA1803" s="33">
        <f>IF(X1803="","",IFERROR(INDEX(Cl_quartier,MATCH(X1803,Cl_cle,0))&amp;"",""))</f>
        <v/>
      </c>
      <c r="AB1803" s="45">
        <f>IF(R1803&lt;&gt;"Livrée",0,IF(K1803&lt;&gt;"",K1803,C1803))</f>
        <v/>
      </c>
      <c r="AC1803" s="33">
        <f>IF(OR(C1803="",W1803=""),"",P1803&amp;"|"&amp;W1803&amp;"|"&amp;C1803&amp;"|"&amp;E1803)</f>
        <v/>
      </c>
      <c r="AD1803" s="39">
        <f>IF(AC1803="","",IF(COUNTIF(AC$6:AC1803,AC1803)=1,1,0))</f>
        <v/>
      </c>
      <c r="AE1803" s="39">
        <f>IF(AB1803=0,"",IF(COUNTIFS(X$6:X1803,X1803,AB$6:AB1803,AB1803)=1,1,0))</f>
        <v/>
      </c>
      <c r="AF1803" s="34">
        <f>IF(C1803="","",YEAR(C1803-WEEKDAY(C1803,2)+4)&amp;"-S"&amp;TEXT(INT((C1803-DATE(YEAR(C1803-WEEKDAY(C1803,2)+4),1,3)+WEEKDAY(DATE(YEAR(C1803-WEEKDAY(C1803,2)+4),1,3),2)+5)/7),"00"))</f>
        <v/>
      </c>
    </row>
    <row r="1804" ht="18" customHeight="1">
      <c r="A1804" s="39" t="n">
        <v>1799</v>
      </c>
      <c r="B1804" s="33">
        <f>IF(C1804="","",IF(P1804="À RENSEIGNER","GIC",P1804)&amp;"-C"&amp;TEXT(A1804,"00000"))</f>
        <v/>
      </c>
      <c r="C1804" s="32" t="n"/>
      <c r="D1804" s="36" t="n"/>
      <c r="E1804" s="36" t="n"/>
      <c r="F1804" s="36" t="n"/>
      <c r="G1804" s="42" t="n"/>
      <c r="H1804" s="37" t="n"/>
      <c r="I1804" s="37" t="n"/>
      <c r="J1804" s="32" t="n"/>
      <c r="K1804" s="32" t="n"/>
      <c r="L1804" s="43" t="n"/>
      <c r="M1804" s="36" t="n"/>
      <c r="N1804" s="44" t="n"/>
      <c r="O1804" s="36" t="n"/>
      <c r="P1804" s="33">
        <f>IF(C1804="","",Commercial_Id)</f>
        <v/>
      </c>
      <c r="Q1804" s="34">
        <f>IF(AC1804="","",IF(AD1804=1,"C"&amp;TEXT(SUM(AD$6:AD1804),"0000"),INDEX(Q$6:Q1803,MATCH(AC1804,AC$6:AC1803,0))))</f>
        <v/>
      </c>
      <c r="R1804" s="34">
        <f>IF(C1804="","",IF(L1804="☑ Oui","Annulée",IF(OR(E1804="Vente directe",K1804&lt;&gt;""),"Livrée",IF(J1804&lt;&gt;"","Confirmée","En attente"))))</f>
        <v/>
      </c>
      <c r="S1804" s="34">
        <f>IF(F1804="","",IFERROR(VLOOKUP(F1804,T_Produits,2,FALSE),""))</f>
        <v/>
      </c>
      <c r="T1804" s="40">
        <f>IF(F1804="","",IFERROR(1/(1/VLOOKUP(F1804,T_Produits,3,FALSE)),""))</f>
        <v/>
      </c>
      <c r="U1804" s="40">
        <f>IF(H1804&lt;&gt;"",H1804,T1804)</f>
        <v/>
      </c>
      <c r="V1804" s="40">
        <f>IF(OR(G1804="",U1804=""),"",G1804*U1804-N(I1804))</f>
        <v/>
      </c>
      <c r="W1804" s="39">
        <f>IF(D1804="","",IFERROR(VALUE(MID(D1804,LEN(D1804)-3,3)),""))</f>
        <v/>
      </c>
      <c r="X1804" s="33">
        <f>IF(W1804="","",P1804&amp;"|"&amp;W1804)</f>
        <v/>
      </c>
      <c r="Y1804" s="33">
        <f>IF(W1804="","",IF(P1804="À RENSEIGNER","GIC",P1804)&amp;"-"&amp;TEXT(W1804,"000"))</f>
        <v/>
      </c>
      <c r="Z1804" s="33">
        <f>IF(X1804="","",IFERROR(INDEX(Cl_nom,MATCH(X1804,Cl_cle,0)),"(client introuvable)"))</f>
        <v/>
      </c>
      <c r="AA1804" s="33">
        <f>IF(X1804="","",IFERROR(INDEX(Cl_quartier,MATCH(X1804,Cl_cle,0))&amp;"",""))</f>
        <v/>
      </c>
      <c r="AB1804" s="45">
        <f>IF(R1804&lt;&gt;"Livrée",0,IF(K1804&lt;&gt;"",K1804,C1804))</f>
        <v/>
      </c>
      <c r="AC1804" s="33">
        <f>IF(OR(C1804="",W1804=""),"",P1804&amp;"|"&amp;W1804&amp;"|"&amp;C1804&amp;"|"&amp;E1804)</f>
        <v/>
      </c>
      <c r="AD1804" s="39">
        <f>IF(AC1804="","",IF(COUNTIF(AC$6:AC1804,AC1804)=1,1,0))</f>
        <v/>
      </c>
      <c r="AE1804" s="39">
        <f>IF(AB1804=0,"",IF(COUNTIFS(X$6:X1804,X1804,AB$6:AB1804,AB1804)=1,1,0))</f>
        <v/>
      </c>
      <c r="AF1804" s="34">
        <f>IF(C1804="","",YEAR(C1804-WEEKDAY(C1804,2)+4)&amp;"-S"&amp;TEXT(INT((C1804-DATE(YEAR(C1804-WEEKDAY(C1804,2)+4),1,3)+WEEKDAY(DATE(YEAR(C1804-WEEKDAY(C1804,2)+4),1,3),2)+5)/7),"00"))</f>
        <v/>
      </c>
    </row>
    <row r="1805" ht="18" customHeight="1">
      <c r="A1805" s="39" t="n">
        <v>1800</v>
      </c>
      <c r="B1805" s="33">
        <f>IF(C1805="","",IF(P1805="À RENSEIGNER","GIC",P1805)&amp;"-C"&amp;TEXT(A1805,"00000"))</f>
        <v/>
      </c>
      <c r="C1805" s="32" t="n"/>
      <c r="D1805" s="36" t="n"/>
      <c r="E1805" s="36" t="n"/>
      <c r="F1805" s="36" t="n"/>
      <c r="G1805" s="42" t="n"/>
      <c r="H1805" s="37" t="n"/>
      <c r="I1805" s="37" t="n"/>
      <c r="J1805" s="32" t="n"/>
      <c r="K1805" s="32" t="n"/>
      <c r="L1805" s="43" t="n"/>
      <c r="M1805" s="36" t="n"/>
      <c r="N1805" s="44" t="n"/>
      <c r="O1805" s="36" t="n"/>
      <c r="P1805" s="33">
        <f>IF(C1805="","",Commercial_Id)</f>
        <v/>
      </c>
      <c r="Q1805" s="34">
        <f>IF(AC1805="","",IF(AD1805=1,"C"&amp;TEXT(SUM(AD$6:AD1805),"0000"),INDEX(Q$6:Q1804,MATCH(AC1805,AC$6:AC1804,0))))</f>
        <v/>
      </c>
      <c r="R1805" s="34">
        <f>IF(C1805="","",IF(L1805="☑ Oui","Annulée",IF(OR(E1805="Vente directe",K1805&lt;&gt;""),"Livrée",IF(J1805&lt;&gt;"","Confirmée","En attente"))))</f>
        <v/>
      </c>
      <c r="S1805" s="34">
        <f>IF(F1805="","",IFERROR(VLOOKUP(F1805,T_Produits,2,FALSE),""))</f>
        <v/>
      </c>
      <c r="T1805" s="40">
        <f>IF(F1805="","",IFERROR(1/(1/VLOOKUP(F1805,T_Produits,3,FALSE)),""))</f>
        <v/>
      </c>
      <c r="U1805" s="40">
        <f>IF(H1805&lt;&gt;"",H1805,T1805)</f>
        <v/>
      </c>
      <c r="V1805" s="40">
        <f>IF(OR(G1805="",U1805=""),"",G1805*U1805-N(I1805))</f>
        <v/>
      </c>
      <c r="W1805" s="39">
        <f>IF(D1805="","",IFERROR(VALUE(MID(D1805,LEN(D1805)-3,3)),""))</f>
        <v/>
      </c>
      <c r="X1805" s="33">
        <f>IF(W1805="","",P1805&amp;"|"&amp;W1805)</f>
        <v/>
      </c>
      <c r="Y1805" s="33">
        <f>IF(W1805="","",IF(P1805="À RENSEIGNER","GIC",P1805)&amp;"-"&amp;TEXT(W1805,"000"))</f>
        <v/>
      </c>
      <c r="Z1805" s="33">
        <f>IF(X1805="","",IFERROR(INDEX(Cl_nom,MATCH(X1805,Cl_cle,0)),"(client introuvable)"))</f>
        <v/>
      </c>
      <c r="AA1805" s="33">
        <f>IF(X1805="","",IFERROR(INDEX(Cl_quartier,MATCH(X1805,Cl_cle,0))&amp;"",""))</f>
        <v/>
      </c>
      <c r="AB1805" s="45">
        <f>IF(R1805&lt;&gt;"Livrée",0,IF(K1805&lt;&gt;"",K1805,C1805))</f>
        <v/>
      </c>
      <c r="AC1805" s="33">
        <f>IF(OR(C1805="",W1805=""),"",P1805&amp;"|"&amp;W1805&amp;"|"&amp;C1805&amp;"|"&amp;E1805)</f>
        <v/>
      </c>
      <c r="AD1805" s="39">
        <f>IF(AC1805="","",IF(COUNTIF(AC$6:AC1805,AC1805)=1,1,0))</f>
        <v/>
      </c>
      <c r="AE1805" s="39">
        <f>IF(AB1805=0,"",IF(COUNTIFS(X$6:X1805,X1805,AB$6:AB1805,AB1805)=1,1,0))</f>
        <v/>
      </c>
      <c r="AF1805" s="34">
        <f>IF(C1805="","",YEAR(C1805-WEEKDAY(C1805,2)+4)&amp;"-S"&amp;TEXT(INT((C1805-DATE(YEAR(C1805-WEEKDAY(C1805,2)+4),1,3)+WEEKDAY(DATE(YEAR(C1805-WEEKDAY(C1805,2)+4),1,3),2)+5)/7),"00"))</f>
        <v/>
      </c>
    </row>
    <row r="1806" ht="18" customHeight="1">
      <c r="A1806" s="39" t="n">
        <v>1801</v>
      </c>
      <c r="B1806" s="33">
        <f>IF(C1806="","",IF(P1806="À RENSEIGNER","GIC",P1806)&amp;"-C"&amp;TEXT(A1806,"00000"))</f>
        <v/>
      </c>
      <c r="C1806" s="32" t="n"/>
      <c r="D1806" s="36" t="n"/>
      <c r="E1806" s="36" t="n"/>
      <c r="F1806" s="36" t="n"/>
      <c r="G1806" s="42" t="n"/>
      <c r="H1806" s="37" t="n"/>
      <c r="I1806" s="37" t="n"/>
      <c r="J1806" s="32" t="n"/>
      <c r="K1806" s="32" t="n"/>
      <c r="L1806" s="43" t="n"/>
      <c r="M1806" s="36" t="n"/>
      <c r="N1806" s="44" t="n"/>
      <c r="O1806" s="36" t="n"/>
      <c r="P1806" s="33">
        <f>IF(C1806="","",Commercial_Id)</f>
        <v/>
      </c>
      <c r="Q1806" s="34">
        <f>IF(AC1806="","",IF(AD1806=1,"C"&amp;TEXT(SUM(AD$6:AD1806),"0000"),INDEX(Q$6:Q1805,MATCH(AC1806,AC$6:AC1805,0))))</f>
        <v/>
      </c>
      <c r="R1806" s="34">
        <f>IF(C1806="","",IF(L1806="☑ Oui","Annulée",IF(OR(E1806="Vente directe",K1806&lt;&gt;""),"Livrée",IF(J1806&lt;&gt;"","Confirmée","En attente"))))</f>
        <v/>
      </c>
      <c r="S1806" s="34">
        <f>IF(F1806="","",IFERROR(VLOOKUP(F1806,T_Produits,2,FALSE),""))</f>
        <v/>
      </c>
      <c r="T1806" s="40">
        <f>IF(F1806="","",IFERROR(1/(1/VLOOKUP(F1806,T_Produits,3,FALSE)),""))</f>
        <v/>
      </c>
      <c r="U1806" s="40">
        <f>IF(H1806&lt;&gt;"",H1806,T1806)</f>
        <v/>
      </c>
      <c r="V1806" s="40">
        <f>IF(OR(G1806="",U1806=""),"",G1806*U1806-N(I1806))</f>
        <v/>
      </c>
      <c r="W1806" s="39">
        <f>IF(D1806="","",IFERROR(VALUE(MID(D1806,LEN(D1806)-3,3)),""))</f>
        <v/>
      </c>
      <c r="X1806" s="33">
        <f>IF(W1806="","",P1806&amp;"|"&amp;W1806)</f>
        <v/>
      </c>
      <c r="Y1806" s="33">
        <f>IF(W1806="","",IF(P1806="À RENSEIGNER","GIC",P1806)&amp;"-"&amp;TEXT(W1806,"000"))</f>
        <v/>
      </c>
      <c r="Z1806" s="33">
        <f>IF(X1806="","",IFERROR(INDEX(Cl_nom,MATCH(X1806,Cl_cle,0)),"(client introuvable)"))</f>
        <v/>
      </c>
      <c r="AA1806" s="33">
        <f>IF(X1806="","",IFERROR(INDEX(Cl_quartier,MATCH(X1806,Cl_cle,0))&amp;"",""))</f>
        <v/>
      </c>
      <c r="AB1806" s="45">
        <f>IF(R1806&lt;&gt;"Livrée",0,IF(K1806&lt;&gt;"",K1806,C1806))</f>
        <v/>
      </c>
      <c r="AC1806" s="33">
        <f>IF(OR(C1806="",W1806=""),"",P1806&amp;"|"&amp;W1806&amp;"|"&amp;C1806&amp;"|"&amp;E1806)</f>
        <v/>
      </c>
      <c r="AD1806" s="39">
        <f>IF(AC1806="","",IF(COUNTIF(AC$6:AC1806,AC1806)=1,1,0))</f>
        <v/>
      </c>
      <c r="AE1806" s="39">
        <f>IF(AB1806=0,"",IF(COUNTIFS(X$6:X1806,X1806,AB$6:AB1806,AB1806)=1,1,0))</f>
        <v/>
      </c>
      <c r="AF1806" s="34">
        <f>IF(C1806="","",YEAR(C1806-WEEKDAY(C1806,2)+4)&amp;"-S"&amp;TEXT(INT((C1806-DATE(YEAR(C1806-WEEKDAY(C1806,2)+4),1,3)+WEEKDAY(DATE(YEAR(C1806-WEEKDAY(C1806,2)+4),1,3),2)+5)/7),"00"))</f>
        <v/>
      </c>
    </row>
    <row r="1807" ht="18" customHeight="1">
      <c r="A1807" s="39" t="n">
        <v>1802</v>
      </c>
      <c r="B1807" s="33">
        <f>IF(C1807="","",IF(P1807="À RENSEIGNER","GIC",P1807)&amp;"-C"&amp;TEXT(A1807,"00000"))</f>
        <v/>
      </c>
      <c r="C1807" s="32" t="n"/>
      <c r="D1807" s="36" t="n"/>
      <c r="E1807" s="36" t="n"/>
      <c r="F1807" s="36" t="n"/>
      <c r="G1807" s="42" t="n"/>
      <c r="H1807" s="37" t="n"/>
      <c r="I1807" s="37" t="n"/>
      <c r="J1807" s="32" t="n"/>
      <c r="K1807" s="32" t="n"/>
      <c r="L1807" s="43" t="n"/>
      <c r="M1807" s="36" t="n"/>
      <c r="N1807" s="44" t="n"/>
      <c r="O1807" s="36" t="n"/>
      <c r="P1807" s="33">
        <f>IF(C1807="","",Commercial_Id)</f>
        <v/>
      </c>
      <c r="Q1807" s="34">
        <f>IF(AC1807="","",IF(AD1807=1,"C"&amp;TEXT(SUM(AD$6:AD1807),"0000"),INDEX(Q$6:Q1806,MATCH(AC1807,AC$6:AC1806,0))))</f>
        <v/>
      </c>
      <c r="R1807" s="34">
        <f>IF(C1807="","",IF(L1807="☑ Oui","Annulée",IF(OR(E1807="Vente directe",K1807&lt;&gt;""),"Livrée",IF(J1807&lt;&gt;"","Confirmée","En attente"))))</f>
        <v/>
      </c>
      <c r="S1807" s="34">
        <f>IF(F1807="","",IFERROR(VLOOKUP(F1807,T_Produits,2,FALSE),""))</f>
        <v/>
      </c>
      <c r="T1807" s="40">
        <f>IF(F1807="","",IFERROR(1/(1/VLOOKUP(F1807,T_Produits,3,FALSE)),""))</f>
        <v/>
      </c>
      <c r="U1807" s="40">
        <f>IF(H1807&lt;&gt;"",H1807,T1807)</f>
        <v/>
      </c>
      <c r="V1807" s="40">
        <f>IF(OR(G1807="",U1807=""),"",G1807*U1807-N(I1807))</f>
        <v/>
      </c>
      <c r="W1807" s="39">
        <f>IF(D1807="","",IFERROR(VALUE(MID(D1807,LEN(D1807)-3,3)),""))</f>
        <v/>
      </c>
      <c r="X1807" s="33">
        <f>IF(W1807="","",P1807&amp;"|"&amp;W1807)</f>
        <v/>
      </c>
      <c r="Y1807" s="33">
        <f>IF(W1807="","",IF(P1807="À RENSEIGNER","GIC",P1807)&amp;"-"&amp;TEXT(W1807,"000"))</f>
        <v/>
      </c>
      <c r="Z1807" s="33">
        <f>IF(X1807="","",IFERROR(INDEX(Cl_nom,MATCH(X1807,Cl_cle,0)),"(client introuvable)"))</f>
        <v/>
      </c>
      <c r="AA1807" s="33">
        <f>IF(X1807="","",IFERROR(INDEX(Cl_quartier,MATCH(X1807,Cl_cle,0))&amp;"",""))</f>
        <v/>
      </c>
      <c r="AB1807" s="45">
        <f>IF(R1807&lt;&gt;"Livrée",0,IF(K1807&lt;&gt;"",K1807,C1807))</f>
        <v/>
      </c>
      <c r="AC1807" s="33">
        <f>IF(OR(C1807="",W1807=""),"",P1807&amp;"|"&amp;W1807&amp;"|"&amp;C1807&amp;"|"&amp;E1807)</f>
        <v/>
      </c>
      <c r="AD1807" s="39">
        <f>IF(AC1807="","",IF(COUNTIF(AC$6:AC1807,AC1807)=1,1,0))</f>
        <v/>
      </c>
      <c r="AE1807" s="39">
        <f>IF(AB1807=0,"",IF(COUNTIFS(X$6:X1807,X1807,AB$6:AB1807,AB1807)=1,1,0))</f>
        <v/>
      </c>
      <c r="AF1807" s="34">
        <f>IF(C1807="","",YEAR(C1807-WEEKDAY(C1807,2)+4)&amp;"-S"&amp;TEXT(INT((C1807-DATE(YEAR(C1807-WEEKDAY(C1807,2)+4),1,3)+WEEKDAY(DATE(YEAR(C1807-WEEKDAY(C1807,2)+4),1,3),2)+5)/7),"00"))</f>
        <v/>
      </c>
    </row>
    <row r="1808" ht="18" customHeight="1">
      <c r="A1808" s="39" t="n">
        <v>1803</v>
      </c>
      <c r="B1808" s="33">
        <f>IF(C1808="","",IF(P1808="À RENSEIGNER","GIC",P1808)&amp;"-C"&amp;TEXT(A1808,"00000"))</f>
        <v/>
      </c>
      <c r="C1808" s="32" t="n"/>
      <c r="D1808" s="36" t="n"/>
      <c r="E1808" s="36" t="n"/>
      <c r="F1808" s="36" t="n"/>
      <c r="G1808" s="42" t="n"/>
      <c r="H1808" s="37" t="n"/>
      <c r="I1808" s="37" t="n"/>
      <c r="J1808" s="32" t="n"/>
      <c r="K1808" s="32" t="n"/>
      <c r="L1808" s="43" t="n"/>
      <c r="M1808" s="36" t="n"/>
      <c r="N1808" s="44" t="n"/>
      <c r="O1808" s="36" t="n"/>
      <c r="P1808" s="33">
        <f>IF(C1808="","",Commercial_Id)</f>
        <v/>
      </c>
      <c r="Q1808" s="34">
        <f>IF(AC1808="","",IF(AD1808=1,"C"&amp;TEXT(SUM(AD$6:AD1808),"0000"),INDEX(Q$6:Q1807,MATCH(AC1808,AC$6:AC1807,0))))</f>
        <v/>
      </c>
      <c r="R1808" s="34">
        <f>IF(C1808="","",IF(L1808="☑ Oui","Annulée",IF(OR(E1808="Vente directe",K1808&lt;&gt;""),"Livrée",IF(J1808&lt;&gt;"","Confirmée","En attente"))))</f>
        <v/>
      </c>
      <c r="S1808" s="34">
        <f>IF(F1808="","",IFERROR(VLOOKUP(F1808,T_Produits,2,FALSE),""))</f>
        <v/>
      </c>
      <c r="T1808" s="40">
        <f>IF(F1808="","",IFERROR(1/(1/VLOOKUP(F1808,T_Produits,3,FALSE)),""))</f>
        <v/>
      </c>
      <c r="U1808" s="40">
        <f>IF(H1808&lt;&gt;"",H1808,T1808)</f>
        <v/>
      </c>
      <c r="V1808" s="40">
        <f>IF(OR(G1808="",U1808=""),"",G1808*U1808-N(I1808))</f>
        <v/>
      </c>
      <c r="W1808" s="39">
        <f>IF(D1808="","",IFERROR(VALUE(MID(D1808,LEN(D1808)-3,3)),""))</f>
        <v/>
      </c>
      <c r="X1808" s="33">
        <f>IF(W1808="","",P1808&amp;"|"&amp;W1808)</f>
        <v/>
      </c>
      <c r="Y1808" s="33">
        <f>IF(W1808="","",IF(P1808="À RENSEIGNER","GIC",P1808)&amp;"-"&amp;TEXT(W1808,"000"))</f>
        <v/>
      </c>
      <c r="Z1808" s="33">
        <f>IF(X1808="","",IFERROR(INDEX(Cl_nom,MATCH(X1808,Cl_cle,0)),"(client introuvable)"))</f>
        <v/>
      </c>
      <c r="AA1808" s="33">
        <f>IF(X1808="","",IFERROR(INDEX(Cl_quartier,MATCH(X1808,Cl_cle,0))&amp;"",""))</f>
        <v/>
      </c>
      <c r="AB1808" s="45">
        <f>IF(R1808&lt;&gt;"Livrée",0,IF(K1808&lt;&gt;"",K1808,C1808))</f>
        <v/>
      </c>
      <c r="AC1808" s="33">
        <f>IF(OR(C1808="",W1808=""),"",P1808&amp;"|"&amp;W1808&amp;"|"&amp;C1808&amp;"|"&amp;E1808)</f>
        <v/>
      </c>
      <c r="AD1808" s="39">
        <f>IF(AC1808="","",IF(COUNTIF(AC$6:AC1808,AC1808)=1,1,0))</f>
        <v/>
      </c>
      <c r="AE1808" s="39">
        <f>IF(AB1808=0,"",IF(COUNTIFS(X$6:X1808,X1808,AB$6:AB1808,AB1808)=1,1,0))</f>
        <v/>
      </c>
      <c r="AF1808" s="34">
        <f>IF(C1808="","",YEAR(C1808-WEEKDAY(C1808,2)+4)&amp;"-S"&amp;TEXT(INT((C1808-DATE(YEAR(C1808-WEEKDAY(C1808,2)+4),1,3)+WEEKDAY(DATE(YEAR(C1808-WEEKDAY(C1808,2)+4),1,3),2)+5)/7),"00"))</f>
        <v/>
      </c>
    </row>
    <row r="1809" ht="18" customHeight="1">
      <c r="A1809" s="39" t="n">
        <v>1804</v>
      </c>
      <c r="B1809" s="33">
        <f>IF(C1809="","",IF(P1809="À RENSEIGNER","GIC",P1809)&amp;"-C"&amp;TEXT(A1809,"00000"))</f>
        <v/>
      </c>
      <c r="C1809" s="32" t="n"/>
      <c r="D1809" s="36" t="n"/>
      <c r="E1809" s="36" t="n"/>
      <c r="F1809" s="36" t="n"/>
      <c r="G1809" s="42" t="n"/>
      <c r="H1809" s="37" t="n"/>
      <c r="I1809" s="37" t="n"/>
      <c r="J1809" s="32" t="n"/>
      <c r="K1809" s="32" t="n"/>
      <c r="L1809" s="43" t="n"/>
      <c r="M1809" s="36" t="n"/>
      <c r="N1809" s="44" t="n"/>
      <c r="O1809" s="36" t="n"/>
      <c r="P1809" s="33">
        <f>IF(C1809="","",Commercial_Id)</f>
        <v/>
      </c>
      <c r="Q1809" s="34">
        <f>IF(AC1809="","",IF(AD1809=1,"C"&amp;TEXT(SUM(AD$6:AD1809),"0000"),INDEX(Q$6:Q1808,MATCH(AC1809,AC$6:AC1808,0))))</f>
        <v/>
      </c>
      <c r="R1809" s="34">
        <f>IF(C1809="","",IF(L1809="☑ Oui","Annulée",IF(OR(E1809="Vente directe",K1809&lt;&gt;""),"Livrée",IF(J1809&lt;&gt;"","Confirmée","En attente"))))</f>
        <v/>
      </c>
      <c r="S1809" s="34">
        <f>IF(F1809="","",IFERROR(VLOOKUP(F1809,T_Produits,2,FALSE),""))</f>
        <v/>
      </c>
      <c r="T1809" s="40">
        <f>IF(F1809="","",IFERROR(1/(1/VLOOKUP(F1809,T_Produits,3,FALSE)),""))</f>
        <v/>
      </c>
      <c r="U1809" s="40">
        <f>IF(H1809&lt;&gt;"",H1809,T1809)</f>
        <v/>
      </c>
      <c r="V1809" s="40">
        <f>IF(OR(G1809="",U1809=""),"",G1809*U1809-N(I1809))</f>
        <v/>
      </c>
      <c r="W1809" s="39">
        <f>IF(D1809="","",IFERROR(VALUE(MID(D1809,LEN(D1809)-3,3)),""))</f>
        <v/>
      </c>
      <c r="X1809" s="33">
        <f>IF(W1809="","",P1809&amp;"|"&amp;W1809)</f>
        <v/>
      </c>
      <c r="Y1809" s="33">
        <f>IF(W1809="","",IF(P1809="À RENSEIGNER","GIC",P1809)&amp;"-"&amp;TEXT(W1809,"000"))</f>
        <v/>
      </c>
      <c r="Z1809" s="33">
        <f>IF(X1809="","",IFERROR(INDEX(Cl_nom,MATCH(X1809,Cl_cle,0)),"(client introuvable)"))</f>
        <v/>
      </c>
      <c r="AA1809" s="33">
        <f>IF(X1809="","",IFERROR(INDEX(Cl_quartier,MATCH(X1809,Cl_cle,0))&amp;"",""))</f>
        <v/>
      </c>
      <c r="AB1809" s="45">
        <f>IF(R1809&lt;&gt;"Livrée",0,IF(K1809&lt;&gt;"",K1809,C1809))</f>
        <v/>
      </c>
      <c r="AC1809" s="33">
        <f>IF(OR(C1809="",W1809=""),"",P1809&amp;"|"&amp;W1809&amp;"|"&amp;C1809&amp;"|"&amp;E1809)</f>
        <v/>
      </c>
      <c r="AD1809" s="39">
        <f>IF(AC1809="","",IF(COUNTIF(AC$6:AC1809,AC1809)=1,1,0))</f>
        <v/>
      </c>
      <c r="AE1809" s="39">
        <f>IF(AB1809=0,"",IF(COUNTIFS(X$6:X1809,X1809,AB$6:AB1809,AB1809)=1,1,0))</f>
        <v/>
      </c>
      <c r="AF1809" s="34">
        <f>IF(C1809="","",YEAR(C1809-WEEKDAY(C1809,2)+4)&amp;"-S"&amp;TEXT(INT((C1809-DATE(YEAR(C1809-WEEKDAY(C1809,2)+4),1,3)+WEEKDAY(DATE(YEAR(C1809-WEEKDAY(C1809,2)+4),1,3),2)+5)/7),"00"))</f>
        <v/>
      </c>
    </row>
    <row r="1810" ht="18" customHeight="1">
      <c r="A1810" s="39" t="n">
        <v>1805</v>
      </c>
      <c r="B1810" s="33">
        <f>IF(C1810="","",IF(P1810="À RENSEIGNER","GIC",P1810)&amp;"-C"&amp;TEXT(A1810,"00000"))</f>
        <v/>
      </c>
      <c r="C1810" s="32" t="n"/>
      <c r="D1810" s="36" t="n"/>
      <c r="E1810" s="36" t="n"/>
      <c r="F1810" s="36" t="n"/>
      <c r="G1810" s="42" t="n"/>
      <c r="H1810" s="37" t="n"/>
      <c r="I1810" s="37" t="n"/>
      <c r="J1810" s="32" t="n"/>
      <c r="K1810" s="32" t="n"/>
      <c r="L1810" s="43" t="n"/>
      <c r="M1810" s="36" t="n"/>
      <c r="N1810" s="44" t="n"/>
      <c r="O1810" s="36" t="n"/>
      <c r="P1810" s="33">
        <f>IF(C1810="","",Commercial_Id)</f>
        <v/>
      </c>
      <c r="Q1810" s="34">
        <f>IF(AC1810="","",IF(AD1810=1,"C"&amp;TEXT(SUM(AD$6:AD1810),"0000"),INDEX(Q$6:Q1809,MATCH(AC1810,AC$6:AC1809,0))))</f>
        <v/>
      </c>
      <c r="R1810" s="34">
        <f>IF(C1810="","",IF(L1810="☑ Oui","Annulée",IF(OR(E1810="Vente directe",K1810&lt;&gt;""),"Livrée",IF(J1810&lt;&gt;"","Confirmée","En attente"))))</f>
        <v/>
      </c>
      <c r="S1810" s="34">
        <f>IF(F1810="","",IFERROR(VLOOKUP(F1810,T_Produits,2,FALSE),""))</f>
        <v/>
      </c>
      <c r="T1810" s="40">
        <f>IF(F1810="","",IFERROR(1/(1/VLOOKUP(F1810,T_Produits,3,FALSE)),""))</f>
        <v/>
      </c>
      <c r="U1810" s="40">
        <f>IF(H1810&lt;&gt;"",H1810,T1810)</f>
        <v/>
      </c>
      <c r="V1810" s="40">
        <f>IF(OR(G1810="",U1810=""),"",G1810*U1810-N(I1810))</f>
        <v/>
      </c>
      <c r="W1810" s="39">
        <f>IF(D1810="","",IFERROR(VALUE(MID(D1810,LEN(D1810)-3,3)),""))</f>
        <v/>
      </c>
      <c r="X1810" s="33">
        <f>IF(W1810="","",P1810&amp;"|"&amp;W1810)</f>
        <v/>
      </c>
      <c r="Y1810" s="33">
        <f>IF(W1810="","",IF(P1810="À RENSEIGNER","GIC",P1810)&amp;"-"&amp;TEXT(W1810,"000"))</f>
        <v/>
      </c>
      <c r="Z1810" s="33">
        <f>IF(X1810="","",IFERROR(INDEX(Cl_nom,MATCH(X1810,Cl_cle,0)),"(client introuvable)"))</f>
        <v/>
      </c>
      <c r="AA1810" s="33">
        <f>IF(X1810="","",IFERROR(INDEX(Cl_quartier,MATCH(X1810,Cl_cle,0))&amp;"",""))</f>
        <v/>
      </c>
      <c r="AB1810" s="45">
        <f>IF(R1810&lt;&gt;"Livrée",0,IF(K1810&lt;&gt;"",K1810,C1810))</f>
        <v/>
      </c>
      <c r="AC1810" s="33">
        <f>IF(OR(C1810="",W1810=""),"",P1810&amp;"|"&amp;W1810&amp;"|"&amp;C1810&amp;"|"&amp;E1810)</f>
        <v/>
      </c>
      <c r="AD1810" s="39">
        <f>IF(AC1810="","",IF(COUNTIF(AC$6:AC1810,AC1810)=1,1,0))</f>
        <v/>
      </c>
      <c r="AE1810" s="39">
        <f>IF(AB1810=0,"",IF(COUNTIFS(X$6:X1810,X1810,AB$6:AB1810,AB1810)=1,1,0))</f>
        <v/>
      </c>
      <c r="AF1810" s="34">
        <f>IF(C1810="","",YEAR(C1810-WEEKDAY(C1810,2)+4)&amp;"-S"&amp;TEXT(INT((C1810-DATE(YEAR(C1810-WEEKDAY(C1810,2)+4),1,3)+WEEKDAY(DATE(YEAR(C1810-WEEKDAY(C1810,2)+4),1,3),2)+5)/7),"00"))</f>
        <v/>
      </c>
    </row>
    <row r="1811" ht="18" customHeight="1">
      <c r="A1811" s="39" t="n">
        <v>1806</v>
      </c>
      <c r="B1811" s="33">
        <f>IF(C1811="","",IF(P1811="À RENSEIGNER","GIC",P1811)&amp;"-C"&amp;TEXT(A1811,"00000"))</f>
        <v/>
      </c>
      <c r="C1811" s="32" t="n"/>
      <c r="D1811" s="36" t="n"/>
      <c r="E1811" s="36" t="n"/>
      <c r="F1811" s="36" t="n"/>
      <c r="G1811" s="42" t="n"/>
      <c r="H1811" s="37" t="n"/>
      <c r="I1811" s="37" t="n"/>
      <c r="J1811" s="32" t="n"/>
      <c r="K1811" s="32" t="n"/>
      <c r="L1811" s="43" t="n"/>
      <c r="M1811" s="36" t="n"/>
      <c r="N1811" s="44" t="n"/>
      <c r="O1811" s="36" t="n"/>
      <c r="P1811" s="33">
        <f>IF(C1811="","",Commercial_Id)</f>
        <v/>
      </c>
      <c r="Q1811" s="34">
        <f>IF(AC1811="","",IF(AD1811=1,"C"&amp;TEXT(SUM(AD$6:AD1811),"0000"),INDEX(Q$6:Q1810,MATCH(AC1811,AC$6:AC1810,0))))</f>
        <v/>
      </c>
      <c r="R1811" s="34">
        <f>IF(C1811="","",IF(L1811="☑ Oui","Annulée",IF(OR(E1811="Vente directe",K1811&lt;&gt;""),"Livrée",IF(J1811&lt;&gt;"","Confirmée","En attente"))))</f>
        <v/>
      </c>
      <c r="S1811" s="34">
        <f>IF(F1811="","",IFERROR(VLOOKUP(F1811,T_Produits,2,FALSE),""))</f>
        <v/>
      </c>
      <c r="T1811" s="40">
        <f>IF(F1811="","",IFERROR(1/(1/VLOOKUP(F1811,T_Produits,3,FALSE)),""))</f>
        <v/>
      </c>
      <c r="U1811" s="40">
        <f>IF(H1811&lt;&gt;"",H1811,T1811)</f>
        <v/>
      </c>
      <c r="V1811" s="40">
        <f>IF(OR(G1811="",U1811=""),"",G1811*U1811-N(I1811))</f>
        <v/>
      </c>
      <c r="W1811" s="39">
        <f>IF(D1811="","",IFERROR(VALUE(MID(D1811,LEN(D1811)-3,3)),""))</f>
        <v/>
      </c>
      <c r="X1811" s="33">
        <f>IF(W1811="","",P1811&amp;"|"&amp;W1811)</f>
        <v/>
      </c>
      <c r="Y1811" s="33">
        <f>IF(W1811="","",IF(P1811="À RENSEIGNER","GIC",P1811)&amp;"-"&amp;TEXT(W1811,"000"))</f>
        <v/>
      </c>
      <c r="Z1811" s="33">
        <f>IF(X1811="","",IFERROR(INDEX(Cl_nom,MATCH(X1811,Cl_cle,0)),"(client introuvable)"))</f>
        <v/>
      </c>
      <c r="AA1811" s="33">
        <f>IF(X1811="","",IFERROR(INDEX(Cl_quartier,MATCH(X1811,Cl_cle,0))&amp;"",""))</f>
        <v/>
      </c>
      <c r="AB1811" s="45">
        <f>IF(R1811&lt;&gt;"Livrée",0,IF(K1811&lt;&gt;"",K1811,C1811))</f>
        <v/>
      </c>
      <c r="AC1811" s="33">
        <f>IF(OR(C1811="",W1811=""),"",P1811&amp;"|"&amp;W1811&amp;"|"&amp;C1811&amp;"|"&amp;E1811)</f>
        <v/>
      </c>
      <c r="AD1811" s="39">
        <f>IF(AC1811="","",IF(COUNTIF(AC$6:AC1811,AC1811)=1,1,0))</f>
        <v/>
      </c>
      <c r="AE1811" s="39">
        <f>IF(AB1811=0,"",IF(COUNTIFS(X$6:X1811,X1811,AB$6:AB1811,AB1811)=1,1,0))</f>
        <v/>
      </c>
      <c r="AF1811" s="34">
        <f>IF(C1811="","",YEAR(C1811-WEEKDAY(C1811,2)+4)&amp;"-S"&amp;TEXT(INT((C1811-DATE(YEAR(C1811-WEEKDAY(C1811,2)+4),1,3)+WEEKDAY(DATE(YEAR(C1811-WEEKDAY(C1811,2)+4),1,3),2)+5)/7),"00"))</f>
        <v/>
      </c>
    </row>
    <row r="1812" ht="18" customHeight="1">
      <c r="A1812" s="39" t="n">
        <v>1807</v>
      </c>
      <c r="B1812" s="33">
        <f>IF(C1812="","",IF(P1812="À RENSEIGNER","GIC",P1812)&amp;"-C"&amp;TEXT(A1812,"00000"))</f>
        <v/>
      </c>
      <c r="C1812" s="32" t="n"/>
      <c r="D1812" s="36" t="n"/>
      <c r="E1812" s="36" t="n"/>
      <c r="F1812" s="36" t="n"/>
      <c r="G1812" s="42" t="n"/>
      <c r="H1812" s="37" t="n"/>
      <c r="I1812" s="37" t="n"/>
      <c r="J1812" s="32" t="n"/>
      <c r="K1812" s="32" t="n"/>
      <c r="L1812" s="43" t="n"/>
      <c r="M1812" s="36" t="n"/>
      <c r="N1812" s="44" t="n"/>
      <c r="O1812" s="36" t="n"/>
      <c r="P1812" s="33">
        <f>IF(C1812="","",Commercial_Id)</f>
        <v/>
      </c>
      <c r="Q1812" s="34">
        <f>IF(AC1812="","",IF(AD1812=1,"C"&amp;TEXT(SUM(AD$6:AD1812),"0000"),INDEX(Q$6:Q1811,MATCH(AC1812,AC$6:AC1811,0))))</f>
        <v/>
      </c>
      <c r="R1812" s="34">
        <f>IF(C1812="","",IF(L1812="☑ Oui","Annulée",IF(OR(E1812="Vente directe",K1812&lt;&gt;""),"Livrée",IF(J1812&lt;&gt;"","Confirmée","En attente"))))</f>
        <v/>
      </c>
      <c r="S1812" s="34">
        <f>IF(F1812="","",IFERROR(VLOOKUP(F1812,T_Produits,2,FALSE),""))</f>
        <v/>
      </c>
      <c r="T1812" s="40">
        <f>IF(F1812="","",IFERROR(1/(1/VLOOKUP(F1812,T_Produits,3,FALSE)),""))</f>
        <v/>
      </c>
      <c r="U1812" s="40">
        <f>IF(H1812&lt;&gt;"",H1812,T1812)</f>
        <v/>
      </c>
      <c r="V1812" s="40">
        <f>IF(OR(G1812="",U1812=""),"",G1812*U1812-N(I1812))</f>
        <v/>
      </c>
      <c r="W1812" s="39">
        <f>IF(D1812="","",IFERROR(VALUE(MID(D1812,LEN(D1812)-3,3)),""))</f>
        <v/>
      </c>
      <c r="X1812" s="33">
        <f>IF(W1812="","",P1812&amp;"|"&amp;W1812)</f>
        <v/>
      </c>
      <c r="Y1812" s="33">
        <f>IF(W1812="","",IF(P1812="À RENSEIGNER","GIC",P1812)&amp;"-"&amp;TEXT(W1812,"000"))</f>
        <v/>
      </c>
      <c r="Z1812" s="33">
        <f>IF(X1812="","",IFERROR(INDEX(Cl_nom,MATCH(X1812,Cl_cle,0)),"(client introuvable)"))</f>
        <v/>
      </c>
      <c r="AA1812" s="33">
        <f>IF(X1812="","",IFERROR(INDEX(Cl_quartier,MATCH(X1812,Cl_cle,0))&amp;"",""))</f>
        <v/>
      </c>
      <c r="AB1812" s="45">
        <f>IF(R1812&lt;&gt;"Livrée",0,IF(K1812&lt;&gt;"",K1812,C1812))</f>
        <v/>
      </c>
      <c r="AC1812" s="33">
        <f>IF(OR(C1812="",W1812=""),"",P1812&amp;"|"&amp;W1812&amp;"|"&amp;C1812&amp;"|"&amp;E1812)</f>
        <v/>
      </c>
      <c r="AD1812" s="39">
        <f>IF(AC1812="","",IF(COUNTIF(AC$6:AC1812,AC1812)=1,1,0))</f>
        <v/>
      </c>
      <c r="AE1812" s="39">
        <f>IF(AB1812=0,"",IF(COUNTIFS(X$6:X1812,X1812,AB$6:AB1812,AB1812)=1,1,0))</f>
        <v/>
      </c>
      <c r="AF1812" s="34">
        <f>IF(C1812="","",YEAR(C1812-WEEKDAY(C1812,2)+4)&amp;"-S"&amp;TEXT(INT((C1812-DATE(YEAR(C1812-WEEKDAY(C1812,2)+4),1,3)+WEEKDAY(DATE(YEAR(C1812-WEEKDAY(C1812,2)+4),1,3),2)+5)/7),"00"))</f>
        <v/>
      </c>
    </row>
    <row r="1813" ht="18" customHeight="1">
      <c r="A1813" s="39" t="n">
        <v>1808</v>
      </c>
      <c r="B1813" s="33">
        <f>IF(C1813="","",IF(P1813="À RENSEIGNER","GIC",P1813)&amp;"-C"&amp;TEXT(A1813,"00000"))</f>
        <v/>
      </c>
      <c r="C1813" s="32" t="n"/>
      <c r="D1813" s="36" t="n"/>
      <c r="E1813" s="36" t="n"/>
      <c r="F1813" s="36" t="n"/>
      <c r="G1813" s="42" t="n"/>
      <c r="H1813" s="37" t="n"/>
      <c r="I1813" s="37" t="n"/>
      <c r="J1813" s="32" t="n"/>
      <c r="K1813" s="32" t="n"/>
      <c r="L1813" s="43" t="n"/>
      <c r="M1813" s="36" t="n"/>
      <c r="N1813" s="44" t="n"/>
      <c r="O1813" s="36" t="n"/>
      <c r="P1813" s="33">
        <f>IF(C1813="","",Commercial_Id)</f>
        <v/>
      </c>
      <c r="Q1813" s="34">
        <f>IF(AC1813="","",IF(AD1813=1,"C"&amp;TEXT(SUM(AD$6:AD1813),"0000"),INDEX(Q$6:Q1812,MATCH(AC1813,AC$6:AC1812,0))))</f>
        <v/>
      </c>
      <c r="R1813" s="34">
        <f>IF(C1813="","",IF(L1813="☑ Oui","Annulée",IF(OR(E1813="Vente directe",K1813&lt;&gt;""),"Livrée",IF(J1813&lt;&gt;"","Confirmée","En attente"))))</f>
        <v/>
      </c>
      <c r="S1813" s="34">
        <f>IF(F1813="","",IFERROR(VLOOKUP(F1813,T_Produits,2,FALSE),""))</f>
        <v/>
      </c>
      <c r="T1813" s="40">
        <f>IF(F1813="","",IFERROR(1/(1/VLOOKUP(F1813,T_Produits,3,FALSE)),""))</f>
        <v/>
      </c>
      <c r="U1813" s="40">
        <f>IF(H1813&lt;&gt;"",H1813,T1813)</f>
        <v/>
      </c>
      <c r="V1813" s="40">
        <f>IF(OR(G1813="",U1813=""),"",G1813*U1813-N(I1813))</f>
        <v/>
      </c>
      <c r="W1813" s="39">
        <f>IF(D1813="","",IFERROR(VALUE(MID(D1813,LEN(D1813)-3,3)),""))</f>
        <v/>
      </c>
      <c r="X1813" s="33">
        <f>IF(W1813="","",P1813&amp;"|"&amp;W1813)</f>
        <v/>
      </c>
      <c r="Y1813" s="33">
        <f>IF(W1813="","",IF(P1813="À RENSEIGNER","GIC",P1813)&amp;"-"&amp;TEXT(W1813,"000"))</f>
        <v/>
      </c>
      <c r="Z1813" s="33">
        <f>IF(X1813="","",IFERROR(INDEX(Cl_nom,MATCH(X1813,Cl_cle,0)),"(client introuvable)"))</f>
        <v/>
      </c>
      <c r="AA1813" s="33">
        <f>IF(X1813="","",IFERROR(INDEX(Cl_quartier,MATCH(X1813,Cl_cle,0))&amp;"",""))</f>
        <v/>
      </c>
      <c r="AB1813" s="45">
        <f>IF(R1813&lt;&gt;"Livrée",0,IF(K1813&lt;&gt;"",K1813,C1813))</f>
        <v/>
      </c>
      <c r="AC1813" s="33">
        <f>IF(OR(C1813="",W1813=""),"",P1813&amp;"|"&amp;W1813&amp;"|"&amp;C1813&amp;"|"&amp;E1813)</f>
        <v/>
      </c>
      <c r="AD1813" s="39">
        <f>IF(AC1813="","",IF(COUNTIF(AC$6:AC1813,AC1813)=1,1,0))</f>
        <v/>
      </c>
      <c r="AE1813" s="39">
        <f>IF(AB1813=0,"",IF(COUNTIFS(X$6:X1813,X1813,AB$6:AB1813,AB1813)=1,1,0))</f>
        <v/>
      </c>
      <c r="AF1813" s="34">
        <f>IF(C1813="","",YEAR(C1813-WEEKDAY(C1813,2)+4)&amp;"-S"&amp;TEXT(INT((C1813-DATE(YEAR(C1813-WEEKDAY(C1813,2)+4),1,3)+WEEKDAY(DATE(YEAR(C1813-WEEKDAY(C1813,2)+4),1,3),2)+5)/7),"00"))</f>
        <v/>
      </c>
    </row>
    <row r="1814" ht="18" customHeight="1">
      <c r="A1814" s="39" t="n">
        <v>1809</v>
      </c>
      <c r="B1814" s="33">
        <f>IF(C1814="","",IF(P1814="À RENSEIGNER","GIC",P1814)&amp;"-C"&amp;TEXT(A1814,"00000"))</f>
        <v/>
      </c>
      <c r="C1814" s="32" t="n"/>
      <c r="D1814" s="36" t="n"/>
      <c r="E1814" s="36" t="n"/>
      <c r="F1814" s="36" t="n"/>
      <c r="G1814" s="42" t="n"/>
      <c r="H1814" s="37" t="n"/>
      <c r="I1814" s="37" t="n"/>
      <c r="J1814" s="32" t="n"/>
      <c r="K1814" s="32" t="n"/>
      <c r="L1814" s="43" t="n"/>
      <c r="M1814" s="36" t="n"/>
      <c r="N1814" s="44" t="n"/>
      <c r="O1814" s="36" t="n"/>
      <c r="P1814" s="33">
        <f>IF(C1814="","",Commercial_Id)</f>
        <v/>
      </c>
      <c r="Q1814" s="34">
        <f>IF(AC1814="","",IF(AD1814=1,"C"&amp;TEXT(SUM(AD$6:AD1814),"0000"),INDEX(Q$6:Q1813,MATCH(AC1814,AC$6:AC1813,0))))</f>
        <v/>
      </c>
      <c r="R1814" s="34">
        <f>IF(C1814="","",IF(L1814="☑ Oui","Annulée",IF(OR(E1814="Vente directe",K1814&lt;&gt;""),"Livrée",IF(J1814&lt;&gt;"","Confirmée","En attente"))))</f>
        <v/>
      </c>
      <c r="S1814" s="34">
        <f>IF(F1814="","",IFERROR(VLOOKUP(F1814,T_Produits,2,FALSE),""))</f>
        <v/>
      </c>
      <c r="T1814" s="40">
        <f>IF(F1814="","",IFERROR(1/(1/VLOOKUP(F1814,T_Produits,3,FALSE)),""))</f>
        <v/>
      </c>
      <c r="U1814" s="40">
        <f>IF(H1814&lt;&gt;"",H1814,T1814)</f>
        <v/>
      </c>
      <c r="V1814" s="40">
        <f>IF(OR(G1814="",U1814=""),"",G1814*U1814-N(I1814))</f>
        <v/>
      </c>
      <c r="W1814" s="39">
        <f>IF(D1814="","",IFERROR(VALUE(MID(D1814,LEN(D1814)-3,3)),""))</f>
        <v/>
      </c>
      <c r="X1814" s="33">
        <f>IF(W1814="","",P1814&amp;"|"&amp;W1814)</f>
        <v/>
      </c>
      <c r="Y1814" s="33">
        <f>IF(W1814="","",IF(P1814="À RENSEIGNER","GIC",P1814)&amp;"-"&amp;TEXT(W1814,"000"))</f>
        <v/>
      </c>
      <c r="Z1814" s="33">
        <f>IF(X1814="","",IFERROR(INDEX(Cl_nom,MATCH(X1814,Cl_cle,0)),"(client introuvable)"))</f>
        <v/>
      </c>
      <c r="AA1814" s="33">
        <f>IF(X1814="","",IFERROR(INDEX(Cl_quartier,MATCH(X1814,Cl_cle,0))&amp;"",""))</f>
        <v/>
      </c>
      <c r="AB1814" s="45">
        <f>IF(R1814&lt;&gt;"Livrée",0,IF(K1814&lt;&gt;"",K1814,C1814))</f>
        <v/>
      </c>
      <c r="AC1814" s="33">
        <f>IF(OR(C1814="",W1814=""),"",P1814&amp;"|"&amp;W1814&amp;"|"&amp;C1814&amp;"|"&amp;E1814)</f>
        <v/>
      </c>
      <c r="AD1814" s="39">
        <f>IF(AC1814="","",IF(COUNTIF(AC$6:AC1814,AC1814)=1,1,0))</f>
        <v/>
      </c>
      <c r="AE1814" s="39">
        <f>IF(AB1814=0,"",IF(COUNTIFS(X$6:X1814,X1814,AB$6:AB1814,AB1814)=1,1,0))</f>
        <v/>
      </c>
      <c r="AF1814" s="34">
        <f>IF(C1814="","",YEAR(C1814-WEEKDAY(C1814,2)+4)&amp;"-S"&amp;TEXT(INT((C1814-DATE(YEAR(C1814-WEEKDAY(C1814,2)+4),1,3)+WEEKDAY(DATE(YEAR(C1814-WEEKDAY(C1814,2)+4),1,3),2)+5)/7),"00"))</f>
        <v/>
      </c>
    </row>
    <row r="1815" ht="18" customHeight="1">
      <c r="A1815" s="39" t="n">
        <v>1810</v>
      </c>
      <c r="B1815" s="33">
        <f>IF(C1815="","",IF(P1815="À RENSEIGNER","GIC",P1815)&amp;"-C"&amp;TEXT(A1815,"00000"))</f>
        <v/>
      </c>
      <c r="C1815" s="32" t="n"/>
      <c r="D1815" s="36" t="n"/>
      <c r="E1815" s="36" t="n"/>
      <c r="F1815" s="36" t="n"/>
      <c r="G1815" s="42" t="n"/>
      <c r="H1815" s="37" t="n"/>
      <c r="I1815" s="37" t="n"/>
      <c r="J1815" s="32" t="n"/>
      <c r="K1815" s="32" t="n"/>
      <c r="L1815" s="43" t="n"/>
      <c r="M1815" s="36" t="n"/>
      <c r="N1815" s="44" t="n"/>
      <c r="O1815" s="36" t="n"/>
      <c r="P1815" s="33">
        <f>IF(C1815="","",Commercial_Id)</f>
        <v/>
      </c>
      <c r="Q1815" s="34">
        <f>IF(AC1815="","",IF(AD1815=1,"C"&amp;TEXT(SUM(AD$6:AD1815),"0000"),INDEX(Q$6:Q1814,MATCH(AC1815,AC$6:AC1814,0))))</f>
        <v/>
      </c>
      <c r="R1815" s="34">
        <f>IF(C1815="","",IF(L1815="☑ Oui","Annulée",IF(OR(E1815="Vente directe",K1815&lt;&gt;""),"Livrée",IF(J1815&lt;&gt;"","Confirmée","En attente"))))</f>
        <v/>
      </c>
      <c r="S1815" s="34">
        <f>IF(F1815="","",IFERROR(VLOOKUP(F1815,T_Produits,2,FALSE),""))</f>
        <v/>
      </c>
      <c r="T1815" s="40">
        <f>IF(F1815="","",IFERROR(1/(1/VLOOKUP(F1815,T_Produits,3,FALSE)),""))</f>
        <v/>
      </c>
      <c r="U1815" s="40">
        <f>IF(H1815&lt;&gt;"",H1815,T1815)</f>
        <v/>
      </c>
      <c r="V1815" s="40">
        <f>IF(OR(G1815="",U1815=""),"",G1815*U1815-N(I1815))</f>
        <v/>
      </c>
      <c r="W1815" s="39">
        <f>IF(D1815="","",IFERROR(VALUE(MID(D1815,LEN(D1815)-3,3)),""))</f>
        <v/>
      </c>
      <c r="X1815" s="33">
        <f>IF(W1815="","",P1815&amp;"|"&amp;W1815)</f>
        <v/>
      </c>
      <c r="Y1815" s="33">
        <f>IF(W1815="","",IF(P1815="À RENSEIGNER","GIC",P1815)&amp;"-"&amp;TEXT(W1815,"000"))</f>
        <v/>
      </c>
      <c r="Z1815" s="33">
        <f>IF(X1815="","",IFERROR(INDEX(Cl_nom,MATCH(X1815,Cl_cle,0)),"(client introuvable)"))</f>
        <v/>
      </c>
      <c r="AA1815" s="33">
        <f>IF(X1815="","",IFERROR(INDEX(Cl_quartier,MATCH(X1815,Cl_cle,0))&amp;"",""))</f>
        <v/>
      </c>
      <c r="AB1815" s="45">
        <f>IF(R1815&lt;&gt;"Livrée",0,IF(K1815&lt;&gt;"",K1815,C1815))</f>
        <v/>
      </c>
      <c r="AC1815" s="33">
        <f>IF(OR(C1815="",W1815=""),"",P1815&amp;"|"&amp;W1815&amp;"|"&amp;C1815&amp;"|"&amp;E1815)</f>
        <v/>
      </c>
      <c r="AD1815" s="39">
        <f>IF(AC1815="","",IF(COUNTIF(AC$6:AC1815,AC1815)=1,1,0))</f>
        <v/>
      </c>
      <c r="AE1815" s="39">
        <f>IF(AB1815=0,"",IF(COUNTIFS(X$6:X1815,X1815,AB$6:AB1815,AB1815)=1,1,0))</f>
        <v/>
      </c>
      <c r="AF1815" s="34">
        <f>IF(C1815="","",YEAR(C1815-WEEKDAY(C1815,2)+4)&amp;"-S"&amp;TEXT(INT((C1815-DATE(YEAR(C1815-WEEKDAY(C1815,2)+4),1,3)+WEEKDAY(DATE(YEAR(C1815-WEEKDAY(C1815,2)+4),1,3),2)+5)/7),"00"))</f>
        <v/>
      </c>
    </row>
    <row r="1816" ht="18" customHeight="1">
      <c r="A1816" s="39" t="n">
        <v>1811</v>
      </c>
      <c r="B1816" s="33">
        <f>IF(C1816="","",IF(P1816="À RENSEIGNER","GIC",P1816)&amp;"-C"&amp;TEXT(A1816,"00000"))</f>
        <v/>
      </c>
      <c r="C1816" s="32" t="n"/>
      <c r="D1816" s="36" t="n"/>
      <c r="E1816" s="36" t="n"/>
      <c r="F1816" s="36" t="n"/>
      <c r="G1816" s="42" t="n"/>
      <c r="H1816" s="37" t="n"/>
      <c r="I1816" s="37" t="n"/>
      <c r="J1816" s="32" t="n"/>
      <c r="K1816" s="32" t="n"/>
      <c r="L1816" s="43" t="n"/>
      <c r="M1816" s="36" t="n"/>
      <c r="N1816" s="44" t="n"/>
      <c r="O1816" s="36" t="n"/>
      <c r="P1816" s="33">
        <f>IF(C1816="","",Commercial_Id)</f>
        <v/>
      </c>
      <c r="Q1816" s="34">
        <f>IF(AC1816="","",IF(AD1816=1,"C"&amp;TEXT(SUM(AD$6:AD1816),"0000"),INDEX(Q$6:Q1815,MATCH(AC1816,AC$6:AC1815,0))))</f>
        <v/>
      </c>
      <c r="R1816" s="34">
        <f>IF(C1816="","",IF(L1816="☑ Oui","Annulée",IF(OR(E1816="Vente directe",K1816&lt;&gt;""),"Livrée",IF(J1816&lt;&gt;"","Confirmée","En attente"))))</f>
        <v/>
      </c>
      <c r="S1816" s="34">
        <f>IF(F1816="","",IFERROR(VLOOKUP(F1816,T_Produits,2,FALSE),""))</f>
        <v/>
      </c>
      <c r="T1816" s="40">
        <f>IF(F1816="","",IFERROR(1/(1/VLOOKUP(F1816,T_Produits,3,FALSE)),""))</f>
        <v/>
      </c>
      <c r="U1816" s="40">
        <f>IF(H1816&lt;&gt;"",H1816,T1816)</f>
        <v/>
      </c>
      <c r="V1816" s="40">
        <f>IF(OR(G1816="",U1816=""),"",G1816*U1816-N(I1816))</f>
        <v/>
      </c>
      <c r="W1816" s="39">
        <f>IF(D1816="","",IFERROR(VALUE(MID(D1816,LEN(D1816)-3,3)),""))</f>
        <v/>
      </c>
      <c r="X1816" s="33">
        <f>IF(W1816="","",P1816&amp;"|"&amp;W1816)</f>
        <v/>
      </c>
      <c r="Y1816" s="33">
        <f>IF(W1816="","",IF(P1816="À RENSEIGNER","GIC",P1816)&amp;"-"&amp;TEXT(W1816,"000"))</f>
        <v/>
      </c>
      <c r="Z1816" s="33">
        <f>IF(X1816="","",IFERROR(INDEX(Cl_nom,MATCH(X1816,Cl_cle,0)),"(client introuvable)"))</f>
        <v/>
      </c>
      <c r="AA1816" s="33">
        <f>IF(X1816="","",IFERROR(INDEX(Cl_quartier,MATCH(X1816,Cl_cle,0))&amp;"",""))</f>
        <v/>
      </c>
      <c r="AB1816" s="45">
        <f>IF(R1816&lt;&gt;"Livrée",0,IF(K1816&lt;&gt;"",K1816,C1816))</f>
        <v/>
      </c>
      <c r="AC1816" s="33">
        <f>IF(OR(C1816="",W1816=""),"",P1816&amp;"|"&amp;W1816&amp;"|"&amp;C1816&amp;"|"&amp;E1816)</f>
        <v/>
      </c>
      <c r="AD1816" s="39">
        <f>IF(AC1816="","",IF(COUNTIF(AC$6:AC1816,AC1816)=1,1,0))</f>
        <v/>
      </c>
      <c r="AE1816" s="39">
        <f>IF(AB1816=0,"",IF(COUNTIFS(X$6:X1816,X1816,AB$6:AB1816,AB1816)=1,1,0))</f>
        <v/>
      </c>
      <c r="AF1816" s="34">
        <f>IF(C1816="","",YEAR(C1816-WEEKDAY(C1816,2)+4)&amp;"-S"&amp;TEXT(INT((C1816-DATE(YEAR(C1816-WEEKDAY(C1816,2)+4),1,3)+WEEKDAY(DATE(YEAR(C1816-WEEKDAY(C1816,2)+4),1,3),2)+5)/7),"00"))</f>
        <v/>
      </c>
    </row>
    <row r="1817" ht="18" customHeight="1">
      <c r="A1817" s="39" t="n">
        <v>1812</v>
      </c>
      <c r="B1817" s="33">
        <f>IF(C1817="","",IF(P1817="À RENSEIGNER","GIC",P1817)&amp;"-C"&amp;TEXT(A1817,"00000"))</f>
        <v/>
      </c>
      <c r="C1817" s="32" t="n"/>
      <c r="D1817" s="36" t="n"/>
      <c r="E1817" s="36" t="n"/>
      <c r="F1817" s="36" t="n"/>
      <c r="G1817" s="42" t="n"/>
      <c r="H1817" s="37" t="n"/>
      <c r="I1817" s="37" t="n"/>
      <c r="J1817" s="32" t="n"/>
      <c r="K1817" s="32" t="n"/>
      <c r="L1817" s="43" t="n"/>
      <c r="M1817" s="36" t="n"/>
      <c r="N1817" s="44" t="n"/>
      <c r="O1817" s="36" t="n"/>
      <c r="P1817" s="33">
        <f>IF(C1817="","",Commercial_Id)</f>
        <v/>
      </c>
      <c r="Q1817" s="34">
        <f>IF(AC1817="","",IF(AD1817=1,"C"&amp;TEXT(SUM(AD$6:AD1817),"0000"),INDEX(Q$6:Q1816,MATCH(AC1817,AC$6:AC1816,0))))</f>
        <v/>
      </c>
      <c r="R1817" s="34">
        <f>IF(C1817="","",IF(L1817="☑ Oui","Annulée",IF(OR(E1817="Vente directe",K1817&lt;&gt;""),"Livrée",IF(J1817&lt;&gt;"","Confirmée","En attente"))))</f>
        <v/>
      </c>
      <c r="S1817" s="34">
        <f>IF(F1817="","",IFERROR(VLOOKUP(F1817,T_Produits,2,FALSE),""))</f>
        <v/>
      </c>
      <c r="T1817" s="40">
        <f>IF(F1817="","",IFERROR(1/(1/VLOOKUP(F1817,T_Produits,3,FALSE)),""))</f>
        <v/>
      </c>
      <c r="U1817" s="40">
        <f>IF(H1817&lt;&gt;"",H1817,T1817)</f>
        <v/>
      </c>
      <c r="V1817" s="40">
        <f>IF(OR(G1817="",U1817=""),"",G1817*U1817-N(I1817))</f>
        <v/>
      </c>
      <c r="W1817" s="39">
        <f>IF(D1817="","",IFERROR(VALUE(MID(D1817,LEN(D1817)-3,3)),""))</f>
        <v/>
      </c>
      <c r="X1817" s="33">
        <f>IF(W1817="","",P1817&amp;"|"&amp;W1817)</f>
        <v/>
      </c>
      <c r="Y1817" s="33">
        <f>IF(W1817="","",IF(P1817="À RENSEIGNER","GIC",P1817)&amp;"-"&amp;TEXT(W1817,"000"))</f>
        <v/>
      </c>
      <c r="Z1817" s="33">
        <f>IF(X1817="","",IFERROR(INDEX(Cl_nom,MATCH(X1817,Cl_cle,0)),"(client introuvable)"))</f>
        <v/>
      </c>
      <c r="AA1817" s="33">
        <f>IF(X1817="","",IFERROR(INDEX(Cl_quartier,MATCH(X1817,Cl_cle,0))&amp;"",""))</f>
        <v/>
      </c>
      <c r="AB1817" s="45">
        <f>IF(R1817&lt;&gt;"Livrée",0,IF(K1817&lt;&gt;"",K1817,C1817))</f>
        <v/>
      </c>
      <c r="AC1817" s="33">
        <f>IF(OR(C1817="",W1817=""),"",P1817&amp;"|"&amp;W1817&amp;"|"&amp;C1817&amp;"|"&amp;E1817)</f>
        <v/>
      </c>
      <c r="AD1817" s="39">
        <f>IF(AC1817="","",IF(COUNTIF(AC$6:AC1817,AC1817)=1,1,0))</f>
        <v/>
      </c>
      <c r="AE1817" s="39">
        <f>IF(AB1817=0,"",IF(COUNTIFS(X$6:X1817,X1817,AB$6:AB1817,AB1817)=1,1,0))</f>
        <v/>
      </c>
      <c r="AF1817" s="34">
        <f>IF(C1817="","",YEAR(C1817-WEEKDAY(C1817,2)+4)&amp;"-S"&amp;TEXT(INT((C1817-DATE(YEAR(C1817-WEEKDAY(C1817,2)+4),1,3)+WEEKDAY(DATE(YEAR(C1817-WEEKDAY(C1817,2)+4),1,3),2)+5)/7),"00"))</f>
        <v/>
      </c>
    </row>
    <row r="1818" ht="18" customHeight="1">
      <c r="A1818" s="39" t="n">
        <v>1813</v>
      </c>
      <c r="B1818" s="33">
        <f>IF(C1818="","",IF(P1818="À RENSEIGNER","GIC",P1818)&amp;"-C"&amp;TEXT(A1818,"00000"))</f>
        <v/>
      </c>
      <c r="C1818" s="32" t="n"/>
      <c r="D1818" s="36" t="n"/>
      <c r="E1818" s="36" t="n"/>
      <c r="F1818" s="36" t="n"/>
      <c r="G1818" s="42" t="n"/>
      <c r="H1818" s="37" t="n"/>
      <c r="I1818" s="37" t="n"/>
      <c r="J1818" s="32" t="n"/>
      <c r="K1818" s="32" t="n"/>
      <c r="L1818" s="43" t="n"/>
      <c r="M1818" s="36" t="n"/>
      <c r="N1818" s="44" t="n"/>
      <c r="O1818" s="36" t="n"/>
      <c r="P1818" s="33">
        <f>IF(C1818="","",Commercial_Id)</f>
        <v/>
      </c>
      <c r="Q1818" s="34">
        <f>IF(AC1818="","",IF(AD1818=1,"C"&amp;TEXT(SUM(AD$6:AD1818),"0000"),INDEX(Q$6:Q1817,MATCH(AC1818,AC$6:AC1817,0))))</f>
        <v/>
      </c>
      <c r="R1818" s="34">
        <f>IF(C1818="","",IF(L1818="☑ Oui","Annulée",IF(OR(E1818="Vente directe",K1818&lt;&gt;""),"Livrée",IF(J1818&lt;&gt;"","Confirmée","En attente"))))</f>
        <v/>
      </c>
      <c r="S1818" s="34">
        <f>IF(F1818="","",IFERROR(VLOOKUP(F1818,T_Produits,2,FALSE),""))</f>
        <v/>
      </c>
      <c r="T1818" s="40">
        <f>IF(F1818="","",IFERROR(1/(1/VLOOKUP(F1818,T_Produits,3,FALSE)),""))</f>
        <v/>
      </c>
      <c r="U1818" s="40">
        <f>IF(H1818&lt;&gt;"",H1818,T1818)</f>
        <v/>
      </c>
      <c r="V1818" s="40">
        <f>IF(OR(G1818="",U1818=""),"",G1818*U1818-N(I1818))</f>
        <v/>
      </c>
      <c r="W1818" s="39">
        <f>IF(D1818="","",IFERROR(VALUE(MID(D1818,LEN(D1818)-3,3)),""))</f>
        <v/>
      </c>
      <c r="X1818" s="33">
        <f>IF(W1818="","",P1818&amp;"|"&amp;W1818)</f>
        <v/>
      </c>
      <c r="Y1818" s="33">
        <f>IF(W1818="","",IF(P1818="À RENSEIGNER","GIC",P1818)&amp;"-"&amp;TEXT(W1818,"000"))</f>
        <v/>
      </c>
      <c r="Z1818" s="33">
        <f>IF(X1818="","",IFERROR(INDEX(Cl_nom,MATCH(X1818,Cl_cle,0)),"(client introuvable)"))</f>
        <v/>
      </c>
      <c r="AA1818" s="33">
        <f>IF(X1818="","",IFERROR(INDEX(Cl_quartier,MATCH(X1818,Cl_cle,0))&amp;"",""))</f>
        <v/>
      </c>
      <c r="AB1818" s="45">
        <f>IF(R1818&lt;&gt;"Livrée",0,IF(K1818&lt;&gt;"",K1818,C1818))</f>
        <v/>
      </c>
      <c r="AC1818" s="33">
        <f>IF(OR(C1818="",W1818=""),"",P1818&amp;"|"&amp;W1818&amp;"|"&amp;C1818&amp;"|"&amp;E1818)</f>
        <v/>
      </c>
      <c r="AD1818" s="39">
        <f>IF(AC1818="","",IF(COUNTIF(AC$6:AC1818,AC1818)=1,1,0))</f>
        <v/>
      </c>
      <c r="AE1818" s="39">
        <f>IF(AB1818=0,"",IF(COUNTIFS(X$6:X1818,X1818,AB$6:AB1818,AB1818)=1,1,0))</f>
        <v/>
      </c>
      <c r="AF1818" s="34">
        <f>IF(C1818="","",YEAR(C1818-WEEKDAY(C1818,2)+4)&amp;"-S"&amp;TEXT(INT((C1818-DATE(YEAR(C1818-WEEKDAY(C1818,2)+4),1,3)+WEEKDAY(DATE(YEAR(C1818-WEEKDAY(C1818,2)+4),1,3),2)+5)/7),"00"))</f>
        <v/>
      </c>
    </row>
    <row r="1819" ht="18" customHeight="1">
      <c r="A1819" s="39" t="n">
        <v>1814</v>
      </c>
      <c r="B1819" s="33">
        <f>IF(C1819="","",IF(P1819="À RENSEIGNER","GIC",P1819)&amp;"-C"&amp;TEXT(A1819,"00000"))</f>
        <v/>
      </c>
      <c r="C1819" s="32" t="n"/>
      <c r="D1819" s="36" t="n"/>
      <c r="E1819" s="36" t="n"/>
      <c r="F1819" s="36" t="n"/>
      <c r="G1819" s="42" t="n"/>
      <c r="H1819" s="37" t="n"/>
      <c r="I1819" s="37" t="n"/>
      <c r="J1819" s="32" t="n"/>
      <c r="K1819" s="32" t="n"/>
      <c r="L1819" s="43" t="n"/>
      <c r="M1819" s="36" t="n"/>
      <c r="N1819" s="44" t="n"/>
      <c r="O1819" s="36" t="n"/>
      <c r="P1819" s="33">
        <f>IF(C1819="","",Commercial_Id)</f>
        <v/>
      </c>
      <c r="Q1819" s="34">
        <f>IF(AC1819="","",IF(AD1819=1,"C"&amp;TEXT(SUM(AD$6:AD1819),"0000"),INDEX(Q$6:Q1818,MATCH(AC1819,AC$6:AC1818,0))))</f>
        <v/>
      </c>
      <c r="R1819" s="34">
        <f>IF(C1819="","",IF(L1819="☑ Oui","Annulée",IF(OR(E1819="Vente directe",K1819&lt;&gt;""),"Livrée",IF(J1819&lt;&gt;"","Confirmée","En attente"))))</f>
        <v/>
      </c>
      <c r="S1819" s="34">
        <f>IF(F1819="","",IFERROR(VLOOKUP(F1819,T_Produits,2,FALSE),""))</f>
        <v/>
      </c>
      <c r="T1819" s="40">
        <f>IF(F1819="","",IFERROR(1/(1/VLOOKUP(F1819,T_Produits,3,FALSE)),""))</f>
        <v/>
      </c>
      <c r="U1819" s="40">
        <f>IF(H1819&lt;&gt;"",H1819,T1819)</f>
        <v/>
      </c>
      <c r="V1819" s="40">
        <f>IF(OR(G1819="",U1819=""),"",G1819*U1819-N(I1819))</f>
        <v/>
      </c>
      <c r="W1819" s="39">
        <f>IF(D1819="","",IFERROR(VALUE(MID(D1819,LEN(D1819)-3,3)),""))</f>
        <v/>
      </c>
      <c r="X1819" s="33">
        <f>IF(W1819="","",P1819&amp;"|"&amp;W1819)</f>
        <v/>
      </c>
      <c r="Y1819" s="33">
        <f>IF(W1819="","",IF(P1819="À RENSEIGNER","GIC",P1819)&amp;"-"&amp;TEXT(W1819,"000"))</f>
        <v/>
      </c>
      <c r="Z1819" s="33">
        <f>IF(X1819="","",IFERROR(INDEX(Cl_nom,MATCH(X1819,Cl_cle,0)),"(client introuvable)"))</f>
        <v/>
      </c>
      <c r="AA1819" s="33">
        <f>IF(X1819="","",IFERROR(INDEX(Cl_quartier,MATCH(X1819,Cl_cle,0))&amp;"",""))</f>
        <v/>
      </c>
      <c r="AB1819" s="45">
        <f>IF(R1819&lt;&gt;"Livrée",0,IF(K1819&lt;&gt;"",K1819,C1819))</f>
        <v/>
      </c>
      <c r="AC1819" s="33">
        <f>IF(OR(C1819="",W1819=""),"",P1819&amp;"|"&amp;W1819&amp;"|"&amp;C1819&amp;"|"&amp;E1819)</f>
        <v/>
      </c>
      <c r="AD1819" s="39">
        <f>IF(AC1819="","",IF(COUNTIF(AC$6:AC1819,AC1819)=1,1,0))</f>
        <v/>
      </c>
      <c r="AE1819" s="39">
        <f>IF(AB1819=0,"",IF(COUNTIFS(X$6:X1819,X1819,AB$6:AB1819,AB1819)=1,1,0))</f>
        <v/>
      </c>
      <c r="AF1819" s="34">
        <f>IF(C1819="","",YEAR(C1819-WEEKDAY(C1819,2)+4)&amp;"-S"&amp;TEXT(INT((C1819-DATE(YEAR(C1819-WEEKDAY(C1819,2)+4),1,3)+WEEKDAY(DATE(YEAR(C1819-WEEKDAY(C1819,2)+4),1,3),2)+5)/7),"00"))</f>
        <v/>
      </c>
    </row>
    <row r="1820" ht="18" customHeight="1">
      <c r="A1820" s="39" t="n">
        <v>1815</v>
      </c>
      <c r="B1820" s="33">
        <f>IF(C1820="","",IF(P1820="À RENSEIGNER","GIC",P1820)&amp;"-C"&amp;TEXT(A1820,"00000"))</f>
        <v/>
      </c>
      <c r="C1820" s="32" t="n"/>
      <c r="D1820" s="36" t="n"/>
      <c r="E1820" s="36" t="n"/>
      <c r="F1820" s="36" t="n"/>
      <c r="G1820" s="42" t="n"/>
      <c r="H1820" s="37" t="n"/>
      <c r="I1820" s="37" t="n"/>
      <c r="J1820" s="32" t="n"/>
      <c r="K1820" s="32" t="n"/>
      <c r="L1820" s="43" t="n"/>
      <c r="M1820" s="36" t="n"/>
      <c r="N1820" s="44" t="n"/>
      <c r="O1820" s="36" t="n"/>
      <c r="P1820" s="33">
        <f>IF(C1820="","",Commercial_Id)</f>
        <v/>
      </c>
      <c r="Q1820" s="34">
        <f>IF(AC1820="","",IF(AD1820=1,"C"&amp;TEXT(SUM(AD$6:AD1820),"0000"),INDEX(Q$6:Q1819,MATCH(AC1820,AC$6:AC1819,0))))</f>
        <v/>
      </c>
      <c r="R1820" s="34">
        <f>IF(C1820="","",IF(L1820="☑ Oui","Annulée",IF(OR(E1820="Vente directe",K1820&lt;&gt;""),"Livrée",IF(J1820&lt;&gt;"","Confirmée","En attente"))))</f>
        <v/>
      </c>
      <c r="S1820" s="34">
        <f>IF(F1820="","",IFERROR(VLOOKUP(F1820,T_Produits,2,FALSE),""))</f>
        <v/>
      </c>
      <c r="T1820" s="40">
        <f>IF(F1820="","",IFERROR(1/(1/VLOOKUP(F1820,T_Produits,3,FALSE)),""))</f>
        <v/>
      </c>
      <c r="U1820" s="40">
        <f>IF(H1820&lt;&gt;"",H1820,T1820)</f>
        <v/>
      </c>
      <c r="V1820" s="40">
        <f>IF(OR(G1820="",U1820=""),"",G1820*U1820-N(I1820))</f>
        <v/>
      </c>
      <c r="W1820" s="39">
        <f>IF(D1820="","",IFERROR(VALUE(MID(D1820,LEN(D1820)-3,3)),""))</f>
        <v/>
      </c>
      <c r="X1820" s="33">
        <f>IF(W1820="","",P1820&amp;"|"&amp;W1820)</f>
        <v/>
      </c>
      <c r="Y1820" s="33">
        <f>IF(W1820="","",IF(P1820="À RENSEIGNER","GIC",P1820)&amp;"-"&amp;TEXT(W1820,"000"))</f>
        <v/>
      </c>
      <c r="Z1820" s="33">
        <f>IF(X1820="","",IFERROR(INDEX(Cl_nom,MATCH(X1820,Cl_cle,0)),"(client introuvable)"))</f>
        <v/>
      </c>
      <c r="AA1820" s="33">
        <f>IF(X1820="","",IFERROR(INDEX(Cl_quartier,MATCH(X1820,Cl_cle,0))&amp;"",""))</f>
        <v/>
      </c>
      <c r="AB1820" s="45">
        <f>IF(R1820&lt;&gt;"Livrée",0,IF(K1820&lt;&gt;"",K1820,C1820))</f>
        <v/>
      </c>
      <c r="AC1820" s="33">
        <f>IF(OR(C1820="",W1820=""),"",P1820&amp;"|"&amp;W1820&amp;"|"&amp;C1820&amp;"|"&amp;E1820)</f>
        <v/>
      </c>
      <c r="AD1820" s="39">
        <f>IF(AC1820="","",IF(COUNTIF(AC$6:AC1820,AC1820)=1,1,0))</f>
        <v/>
      </c>
      <c r="AE1820" s="39">
        <f>IF(AB1820=0,"",IF(COUNTIFS(X$6:X1820,X1820,AB$6:AB1820,AB1820)=1,1,0))</f>
        <v/>
      </c>
      <c r="AF1820" s="34">
        <f>IF(C1820="","",YEAR(C1820-WEEKDAY(C1820,2)+4)&amp;"-S"&amp;TEXT(INT((C1820-DATE(YEAR(C1820-WEEKDAY(C1820,2)+4),1,3)+WEEKDAY(DATE(YEAR(C1820-WEEKDAY(C1820,2)+4),1,3),2)+5)/7),"00"))</f>
        <v/>
      </c>
    </row>
    <row r="1821" ht="18" customHeight="1">
      <c r="A1821" s="39" t="n">
        <v>1816</v>
      </c>
      <c r="B1821" s="33">
        <f>IF(C1821="","",IF(P1821="À RENSEIGNER","GIC",P1821)&amp;"-C"&amp;TEXT(A1821,"00000"))</f>
        <v/>
      </c>
      <c r="C1821" s="32" t="n"/>
      <c r="D1821" s="36" t="n"/>
      <c r="E1821" s="36" t="n"/>
      <c r="F1821" s="36" t="n"/>
      <c r="G1821" s="42" t="n"/>
      <c r="H1821" s="37" t="n"/>
      <c r="I1821" s="37" t="n"/>
      <c r="J1821" s="32" t="n"/>
      <c r="K1821" s="32" t="n"/>
      <c r="L1821" s="43" t="n"/>
      <c r="M1821" s="36" t="n"/>
      <c r="N1821" s="44" t="n"/>
      <c r="O1821" s="36" t="n"/>
      <c r="P1821" s="33">
        <f>IF(C1821="","",Commercial_Id)</f>
        <v/>
      </c>
      <c r="Q1821" s="34">
        <f>IF(AC1821="","",IF(AD1821=1,"C"&amp;TEXT(SUM(AD$6:AD1821),"0000"),INDEX(Q$6:Q1820,MATCH(AC1821,AC$6:AC1820,0))))</f>
        <v/>
      </c>
      <c r="R1821" s="34">
        <f>IF(C1821="","",IF(L1821="☑ Oui","Annulée",IF(OR(E1821="Vente directe",K1821&lt;&gt;""),"Livrée",IF(J1821&lt;&gt;"","Confirmée","En attente"))))</f>
        <v/>
      </c>
      <c r="S1821" s="34">
        <f>IF(F1821="","",IFERROR(VLOOKUP(F1821,T_Produits,2,FALSE),""))</f>
        <v/>
      </c>
      <c r="T1821" s="40">
        <f>IF(F1821="","",IFERROR(1/(1/VLOOKUP(F1821,T_Produits,3,FALSE)),""))</f>
        <v/>
      </c>
      <c r="U1821" s="40">
        <f>IF(H1821&lt;&gt;"",H1821,T1821)</f>
        <v/>
      </c>
      <c r="V1821" s="40">
        <f>IF(OR(G1821="",U1821=""),"",G1821*U1821-N(I1821))</f>
        <v/>
      </c>
      <c r="W1821" s="39">
        <f>IF(D1821="","",IFERROR(VALUE(MID(D1821,LEN(D1821)-3,3)),""))</f>
        <v/>
      </c>
      <c r="X1821" s="33">
        <f>IF(W1821="","",P1821&amp;"|"&amp;W1821)</f>
        <v/>
      </c>
      <c r="Y1821" s="33">
        <f>IF(W1821="","",IF(P1821="À RENSEIGNER","GIC",P1821)&amp;"-"&amp;TEXT(W1821,"000"))</f>
        <v/>
      </c>
      <c r="Z1821" s="33">
        <f>IF(X1821="","",IFERROR(INDEX(Cl_nom,MATCH(X1821,Cl_cle,0)),"(client introuvable)"))</f>
        <v/>
      </c>
      <c r="AA1821" s="33">
        <f>IF(X1821="","",IFERROR(INDEX(Cl_quartier,MATCH(X1821,Cl_cle,0))&amp;"",""))</f>
        <v/>
      </c>
      <c r="AB1821" s="45">
        <f>IF(R1821&lt;&gt;"Livrée",0,IF(K1821&lt;&gt;"",K1821,C1821))</f>
        <v/>
      </c>
      <c r="AC1821" s="33">
        <f>IF(OR(C1821="",W1821=""),"",P1821&amp;"|"&amp;W1821&amp;"|"&amp;C1821&amp;"|"&amp;E1821)</f>
        <v/>
      </c>
      <c r="AD1821" s="39">
        <f>IF(AC1821="","",IF(COUNTIF(AC$6:AC1821,AC1821)=1,1,0))</f>
        <v/>
      </c>
      <c r="AE1821" s="39">
        <f>IF(AB1821=0,"",IF(COUNTIFS(X$6:X1821,X1821,AB$6:AB1821,AB1821)=1,1,0))</f>
        <v/>
      </c>
      <c r="AF1821" s="34">
        <f>IF(C1821="","",YEAR(C1821-WEEKDAY(C1821,2)+4)&amp;"-S"&amp;TEXT(INT((C1821-DATE(YEAR(C1821-WEEKDAY(C1821,2)+4),1,3)+WEEKDAY(DATE(YEAR(C1821-WEEKDAY(C1821,2)+4),1,3),2)+5)/7),"00"))</f>
        <v/>
      </c>
    </row>
    <row r="1822" ht="18" customHeight="1">
      <c r="A1822" s="39" t="n">
        <v>1817</v>
      </c>
      <c r="B1822" s="33">
        <f>IF(C1822="","",IF(P1822="À RENSEIGNER","GIC",P1822)&amp;"-C"&amp;TEXT(A1822,"00000"))</f>
        <v/>
      </c>
      <c r="C1822" s="32" t="n"/>
      <c r="D1822" s="36" t="n"/>
      <c r="E1822" s="36" t="n"/>
      <c r="F1822" s="36" t="n"/>
      <c r="G1822" s="42" t="n"/>
      <c r="H1822" s="37" t="n"/>
      <c r="I1822" s="37" t="n"/>
      <c r="J1822" s="32" t="n"/>
      <c r="K1822" s="32" t="n"/>
      <c r="L1822" s="43" t="n"/>
      <c r="M1822" s="36" t="n"/>
      <c r="N1822" s="44" t="n"/>
      <c r="O1822" s="36" t="n"/>
      <c r="P1822" s="33">
        <f>IF(C1822="","",Commercial_Id)</f>
        <v/>
      </c>
      <c r="Q1822" s="34">
        <f>IF(AC1822="","",IF(AD1822=1,"C"&amp;TEXT(SUM(AD$6:AD1822),"0000"),INDEX(Q$6:Q1821,MATCH(AC1822,AC$6:AC1821,0))))</f>
        <v/>
      </c>
      <c r="R1822" s="34">
        <f>IF(C1822="","",IF(L1822="☑ Oui","Annulée",IF(OR(E1822="Vente directe",K1822&lt;&gt;""),"Livrée",IF(J1822&lt;&gt;"","Confirmée","En attente"))))</f>
        <v/>
      </c>
      <c r="S1822" s="34">
        <f>IF(F1822="","",IFERROR(VLOOKUP(F1822,T_Produits,2,FALSE),""))</f>
        <v/>
      </c>
      <c r="T1822" s="40">
        <f>IF(F1822="","",IFERROR(1/(1/VLOOKUP(F1822,T_Produits,3,FALSE)),""))</f>
        <v/>
      </c>
      <c r="U1822" s="40">
        <f>IF(H1822&lt;&gt;"",H1822,T1822)</f>
        <v/>
      </c>
      <c r="V1822" s="40">
        <f>IF(OR(G1822="",U1822=""),"",G1822*U1822-N(I1822))</f>
        <v/>
      </c>
      <c r="W1822" s="39">
        <f>IF(D1822="","",IFERROR(VALUE(MID(D1822,LEN(D1822)-3,3)),""))</f>
        <v/>
      </c>
      <c r="X1822" s="33">
        <f>IF(W1822="","",P1822&amp;"|"&amp;W1822)</f>
        <v/>
      </c>
      <c r="Y1822" s="33">
        <f>IF(W1822="","",IF(P1822="À RENSEIGNER","GIC",P1822)&amp;"-"&amp;TEXT(W1822,"000"))</f>
        <v/>
      </c>
      <c r="Z1822" s="33">
        <f>IF(X1822="","",IFERROR(INDEX(Cl_nom,MATCH(X1822,Cl_cle,0)),"(client introuvable)"))</f>
        <v/>
      </c>
      <c r="AA1822" s="33">
        <f>IF(X1822="","",IFERROR(INDEX(Cl_quartier,MATCH(X1822,Cl_cle,0))&amp;"",""))</f>
        <v/>
      </c>
      <c r="AB1822" s="45">
        <f>IF(R1822&lt;&gt;"Livrée",0,IF(K1822&lt;&gt;"",K1822,C1822))</f>
        <v/>
      </c>
      <c r="AC1822" s="33">
        <f>IF(OR(C1822="",W1822=""),"",P1822&amp;"|"&amp;W1822&amp;"|"&amp;C1822&amp;"|"&amp;E1822)</f>
        <v/>
      </c>
      <c r="AD1822" s="39">
        <f>IF(AC1822="","",IF(COUNTIF(AC$6:AC1822,AC1822)=1,1,0))</f>
        <v/>
      </c>
      <c r="AE1822" s="39">
        <f>IF(AB1822=0,"",IF(COUNTIFS(X$6:X1822,X1822,AB$6:AB1822,AB1822)=1,1,0))</f>
        <v/>
      </c>
      <c r="AF1822" s="34">
        <f>IF(C1822="","",YEAR(C1822-WEEKDAY(C1822,2)+4)&amp;"-S"&amp;TEXT(INT((C1822-DATE(YEAR(C1822-WEEKDAY(C1822,2)+4),1,3)+WEEKDAY(DATE(YEAR(C1822-WEEKDAY(C1822,2)+4),1,3),2)+5)/7),"00"))</f>
        <v/>
      </c>
    </row>
    <row r="1823" ht="18" customHeight="1">
      <c r="A1823" s="39" t="n">
        <v>1818</v>
      </c>
      <c r="B1823" s="33">
        <f>IF(C1823="","",IF(P1823="À RENSEIGNER","GIC",P1823)&amp;"-C"&amp;TEXT(A1823,"00000"))</f>
        <v/>
      </c>
      <c r="C1823" s="32" t="n"/>
      <c r="D1823" s="36" t="n"/>
      <c r="E1823" s="36" t="n"/>
      <c r="F1823" s="36" t="n"/>
      <c r="G1823" s="42" t="n"/>
      <c r="H1823" s="37" t="n"/>
      <c r="I1823" s="37" t="n"/>
      <c r="J1823" s="32" t="n"/>
      <c r="K1823" s="32" t="n"/>
      <c r="L1823" s="43" t="n"/>
      <c r="M1823" s="36" t="n"/>
      <c r="N1823" s="44" t="n"/>
      <c r="O1823" s="36" t="n"/>
      <c r="P1823" s="33">
        <f>IF(C1823="","",Commercial_Id)</f>
        <v/>
      </c>
      <c r="Q1823" s="34">
        <f>IF(AC1823="","",IF(AD1823=1,"C"&amp;TEXT(SUM(AD$6:AD1823),"0000"),INDEX(Q$6:Q1822,MATCH(AC1823,AC$6:AC1822,0))))</f>
        <v/>
      </c>
      <c r="R1823" s="34">
        <f>IF(C1823="","",IF(L1823="☑ Oui","Annulée",IF(OR(E1823="Vente directe",K1823&lt;&gt;""),"Livrée",IF(J1823&lt;&gt;"","Confirmée","En attente"))))</f>
        <v/>
      </c>
      <c r="S1823" s="34">
        <f>IF(F1823="","",IFERROR(VLOOKUP(F1823,T_Produits,2,FALSE),""))</f>
        <v/>
      </c>
      <c r="T1823" s="40">
        <f>IF(F1823="","",IFERROR(1/(1/VLOOKUP(F1823,T_Produits,3,FALSE)),""))</f>
        <v/>
      </c>
      <c r="U1823" s="40">
        <f>IF(H1823&lt;&gt;"",H1823,T1823)</f>
        <v/>
      </c>
      <c r="V1823" s="40">
        <f>IF(OR(G1823="",U1823=""),"",G1823*U1823-N(I1823))</f>
        <v/>
      </c>
      <c r="W1823" s="39">
        <f>IF(D1823="","",IFERROR(VALUE(MID(D1823,LEN(D1823)-3,3)),""))</f>
        <v/>
      </c>
      <c r="X1823" s="33">
        <f>IF(W1823="","",P1823&amp;"|"&amp;W1823)</f>
        <v/>
      </c>
      <c r="Y1823" s="33">
        <f>IF(W1823="","",IF(P1823="À RENSEIGNER","GIC",P1823)&amp;"-"&amp;TEXT(W1823,"000"))</f>
        <v/>
      </c>
      <c r="Z1823" s="33">
        <f>IF(X1823="","",IFERROR(INDEX(Cl_nom,MATCH(X1823,Cl_cle,0)),"(client introuvable)"))</f>
        <v/>
      </c>
      <c r="AA1823" s="33">
        <f>IF(X1823="","",IFERROR(INDEX(Cl_quartier,MATCH(X1823,Cl_cle,0))&amp;"",""))</f>
        <v/>
      </c>
      <c r="AB1823" s="45">
        <f>IF(R1823&lt;&gt;"Livrée",0,IF(K1823&lt;&gt;"",K1823,C1823))</f>
        <v/>
      </c>
      <c r="AC1823" s="33">
        <f>IF(OR(C1823="",W1823=""),"",P1823&amp;"|"&amp;W1823&amp;"|"&amp;C1823&amp;"|"&amp;E1823)</f>
        <v/>
      </c>
      <c r="AD1823" s="39">
        <f>IF(AC1823="","",IF(COUNTIF(AC$6:AC1823,AC1823)=1,1,0))</f>
        <v/>
      </c>
      <c r="AE1823" s="39">
        <f>IF(AB1823=0,"",IF(COUNTIFS(X$6:X1823,X1823,AB$6:AB1823,AB1823)=1,1,0))</f>
        <v/>
      </c>
      <c r="AF1823" s="34">
        <f>IF(C1823="","",YEAR(C1823-WEEKDAY(C1823,2)+4)&amp;"-S"&amp;TEXT(INT((C1823-DATE(YEAR(C1823-WEEKDAY(C1823,2)+4),1,3)+WEEKDAY(DATE(YEAR(C1823-WEEKDAY(C1823,2)+4),1,3),2)+5)/7),"00"))</f>
        <v/>
      </c>
    </row>
    <row r="1824" ht="18" customHeight="1">
      <c r="A1824" s="39" t="n">
        <v>1819</v>
      </c>
      <c r="B1824" s="33">
        <f>IF(C1824="","",IF(P1824="À RENSEIGNER","GIC",P1824)&amp;"-C"&amp;TEXT(A1824,"00000"))</f>
        <v/>
      </c>
      <c r="C1824" s="32" t="n"/>
      <c r="D1824" s="36" t="n"/>
      <c r="E1824" s="36" t="n"/>
      <c r="F1824" s="36" t="n"/>
      <c r="G1824" s="42" t="n"/>
      <c r="H1824" s="37" t="n"/>
      <c r="I1824" s="37" t="n"/>
      <c r="J1824" s="32" t="n"/>
      <c r="K1824" s="32" t="n"/>
      <c r="L1824" s="43" t="n"/>
      <c r="M1824" s="36" t="n"/>
      <c r="N1824" s="44" t="n"/>
      <c r="O1824" s="36" t="n"/>
      <c r="P1824" s="33">
        <f>IF(C1824="","",Commercial_Id)</f>
        <v/>
      </c>
      <c r="Q1824" s="34">
        <f>IF(AC1824="","",IF(AD1824=1,"C"&amp;TEXT(SUM(AD$6:AD1824),"0000"),INDEX(Q$6:Q1823,MATCH(AC1824,AC$6:AC1823,0))))</f>
        <v/>
      </c>
      <c r="R1824" s="34">
        <f>IF(C1824="","",IF(L1824="☑ Oui","Annulée",IF(OR(E1824="Vente directe",K1824&lt;&gt;""),"Livrée",IF(J1824&lt;&gt;"","Confirmée","En attente"))))</f>
        <v/>
      </c>
      <c r="S1824" s="34">
        <f>IF(F1824="","",IFERROR(VLOOKUP(F1824,T_Produits,2,FALSE),""))</f>
        <v/>
      </c>
      <c r="T1824" s="40">
        <f>IF(F1824="","",IFERROR(1/(1/VLOOKUP(F1824,T_Produits,3,FALSE)),""))</f>
        <v/>
      </c>
      <c r="U1824" s="40">
        <f>IF(H1824&lt;&gt;"",H1824,T1824)</f>
        <v/>
      </c>
      <c r="V1824" s="40">
        <f>IF(OR(G1824="",U1824=""),"",G1824*U1824-N(I1824))</f>
        <v/>
      </c>
      <c r="W1824" s="39">
        <f>IF(D1824="","",IFERROR(VALUE(MID(D1824,LEN(D1824)-3,3)),""))</f>
        <v/>
      </c>
      <c r="X1824" s="33">
        <f>IF(W1824="","",P1824&amp;"|"&amp;W1824)</f>
        <v/>
      </c>
      <c r="Y1824" s="33">
        <f>IF(W1824="","",IF(P1824="À RENSEIGNER","GIC",P1824)&amp;"-"&amp;TEXT(W1824,"000"))</f>
        <v/>
      </c>
      <c r="Z1824" s="33">
        <f>IF(X1824="","",IFERROR(INDEX(Cl_nom,MATCH(X1824,Cl_cle,0)),"(client introuvable)"))</f>
        <v/>
      </c>
      <c r="AA1824" s="33">
        <f>IF(X1824="","",IFERROR(INDEX(Cl_quartier,MATCH(X1824,Cl_cle,0))&amp;"",""))</f>
        <v/>
      </c>
      <c r="AB1824" s="45">
        <f>IF(R1824&lt;&gt;"Livrée",0,IF(K1824&lt;&gt;"",K1824,C1824))</f>
        <v/>
      </c>
      <c r="AC1824" s="33">
        <f>IF(OR(C1824="",W1824=""),"",P1824&amp;"|"&amp;W1824&amp;"|"&amp;C1824&amp;"|"&amp;E1824)</f>
        <v/>
      </c>
      <c r="AD1824" s="39">
        <f>IF(AC1824="","",IF(COUNTIF(AC$6:AC1824,AC1824)=1,1,0))</f>
        <v/>
      </c>
      <c r="AE1824" s="39">
        <f>IF(AB1824=0,"",IF(COUNTIFS(X$6:X1824,X1824,AB$6:AB1824,AB1824)=1,1,0))</f>
        <v/>
      </c>
      <c r="AF1824" s="34">
        <f>IF(C1824="","",YEAR(C1824-WEEKDAY(C1824,2)+4)&amp;"-S"&amp;TEXT(INT((C1824-DATE(YEAR(C1824-WEEKDAY(C1824,2)+4),1,3)+WEEKDAY(DATE(YEAR(C1824-WEEKDAY(C1824,2)+4),1,3),2)+5)/7),"00"))</f>
        <v/>
      </c>
    </row>
    <row r="1825" ht="18" customHeight="1">
      <c r="A1825" s="39" t="n">
        <v>1820</v>
      </c>
      <c r="B1825" s="33">
        <f>IF(C1825="","",IF(P1825="À RENSEIGNER","GIC",P1825)&amp;"-C"&amp;TEXT(A1825,"00000"))</f>
        <v/>
      </c>
      <c r="C1825" s="32" t="n"/>
      <c r="D1825" s="36" t="n"/>
      <c r="E1825" s="36" t="n"/>
      <c r="F1825" s="36" t="n"/>
      <c r="G1825" s="42" t="n"/>
      <c r="H1825" s="37" t="n"/>
      <c r="I1825" s="37" t="n"/>
      <c r="J1825" s="32" t="n"/>
      <c r="K1825" s="32" t="n"/>
      <c r="L1825" s="43" t="n"/>
      <c r="M1825" s="36" t="n"/>
      <c r="N1825" s="44" t="n"/>
      <c r="O1825" s="36" t="n"/>
      <c r="P1825" s="33">
        <f>IF(C1825="","",Commercial_Id)</f>
        <v/>
      </c>
      <c r="Q1825" s="34">
        <f>IF(AC1825="","",IF(AD1825=1,"C"&amp;TEXT(SUM(AD$6:AD1825),"0000"),INDEX(Q$6:Q1824,MATCH(AC1825,AC$6:AC1824,0))))</f>
        <v/>
      </c>
      <c r="R1825" s="34">
        <f>IF(C1825="","",IF(L1825="☑ Oui","Annulée",IF(OR(E1825="Vente directe",K1825&lt;&gt;""),"Livrée",IF(J1825&lt;&gt;"","Confirmée","En attente"))))</f>
        <v/>
      </c>
      <c r="S1825" s="34">
        <f>IF(F1825="","",IFERROR(VLOOKUP(F1825,T_Produits,2,FALSE),""))</f>
        <v/>
      </c>
      <c r="T1825" s="40">
        <f>IF(F1825="","",IFERROR(1/(1/VLOOKUP(F1825,T_Produits,3,FALSE)),""))</f>
        <v/>
      </c>
      <c r="U1825" s="40">
        <f>IF(H1825&lt;&gt;"",H1825,T1825)</f>
        <v/>
      </c>
      <c r="V1825" s="40">
        <f>IF(OR(G1825="",U1825=""),"",G1825*U1825-N(I1825))</f>
        <v/>
      </c>
      <c r="W1825" s="39">
        <f>IF(D1825="","",IFERROR(VALUE(MID(D1825,LEN(D1825)-3,3)),""))</f>
        <v/>
      </c>
      <c r="X1825" s="33">
        <f>IF(W1825="","",P1825&amp;"|"&amp;W1825)</f>
        <v/>
      </c>
      <c r="Y1825" s="33">
        <f>IF(W1825="","",IF(P1825="À RENSEIGNER","GIC",P1825)&amp;"-"&amp;TEXT(W1825,"000"))</f>
        <v/>
      </c>
      <c r="Z1825" s="33">
        <f>IF(X1825="","",IFERROR(INDEX(Cl_nom,MATCH(X1825,Cl_cle,0)),"(client introuvable)"))</f>
        <v/>
      </c>
      <c r="AA1825" s="33">
        <f>IF(X1825="","",IFERROR(INDEX(Cl_quartier,MATCH(X1825,Cl_cle,0))&amp;"",""))</f>
        <v/>
      </c>
      <c r="AB1825" s="45">
        <f>IF(R1825&lt;&gt;"Livrée",0,IF(K1825&lt;&gt;"",K1825,C1825))</f>
        <v/>
      </c>
      <c r="AC1825" s="33">
        <f>IF(OR(C1825="",W1825=""),"",P1825&amp;"|"&amp;W1825&amp;"|"&amp;C1825&amp;"|"&amp;E1825)</f>
        <v/>
      </c>
      <c r="AD1825" s="39">
        <f>IF(AC1825="","",IF(COUNTIF(AC$6:AC1825,AC1825)=1,1,0))</f>
        <v/>
      </c>
      <c r="AE1825" s="39">
        <f>IF(AB1825=0,"",IF(COUNTIFS(X$6:X1825,X1825,AB$6:AB1825,AB1825)=1,1,0))</f>
        <v/>
      </c>
      <c r="AF1825" s="34">
        <f>IF(C1825="","",YEAR(C1825-WEEKDAY(C1825,2)+4)&amp;"-S"&amp;TEXT(INT((C1825-DATE(YEAR(C1825-WEEKDAY(C1825,2)+4),1,3)+WEEKDAY(DATE(YEAR(C1825-WEEKDAY(C1825,2)+4),1,3),2)+5)/7),"00"))</f>
        <v/>
      </c>
    </row>
    <row r="1826" ht="18" customHeight="1">
      <c r="A1826" s="39" t="n">
        <v>1821</v>
      </c>
      <c r="B1826" s="33">
        <f>IF(C1826="","",IF(P1826="À RENSEIGNER","GIC",P1826)&amp;"-C"&amp;TEXT(A1826,"00000"))</f>
        <v/>
      </c>
      <c r="C1826" s="32" t="n"/>
      <c r="D1826" s="36" t="n"/>
      <c r="E1826" s="36" t="n"/>
      <c r="F1826" s="36" t="n"/>
      <c r="G1826" s="42" t="n"/>
      <c r="H1826" s="37" t="n"/>
      <c r="I1826" s="37" t="n"/>
      <c r="J1826" s="32" t="n"/>
      <c r="K1826" s="32" t="n"/>
      <c r="L1826" s="43" t="n"/>
      <c r="M1826" s="36" t="n"/>
      <c r="N1826" s="44" t="n"/>
      <c r="O1826" s="36" t="n"/>
      <c r="P1826" s="33">
        <f>IF(C1826="","",Commercial_Id)</f>
        <v/>
      </c>
      <c r="Q1826" s="34">
        <f>IF(AC1826="","",IF(AD1826=1,"C"&amp;TEXT(SUM(AD$6:AD1826),"0000"),INDEX(Q$6:Q1825,MATCH(AC1826,AC$6:AC1825,0))))</f>
        <v/>
      </c>
      <c r="R1826" s="34">
        <f>IF(C1826="","",IF(L1826="☑ Oui","Annulée",IF(OR(E1826="Vente directe",K1826&lt;&gt;""),"Livrée",IF(J1826&lt;&gt;"","Confirmée","En attente"))))</f>
        <v/>
      </c>
      <c r="S1826" s="34">
        <f>IF(F1826="","",IFERROR(VLOOKUP(F1826,T_Produits,2,FALSE),""))</f>
        <v/>
      </c>
      <c r="T1826" s="40">
        <f>IF(F1826="","",IFERROR(1/(1/VLOOKUP(F1826,T_Produits,3,FALSE)),""))</f>
        <v/>
      </c>
      <c r="U1826" s="40">
        <f>IF(H1826&lt;&gt;"",H1826,T1826)</f>
        <v/>
      </c>
      <c r="V1826" s="40">
        <f>IF(OR(G1826="",U1826=""),"",G1826*U1826-N(I1826))</f>
        <v/>
      </c>
      <c r="W1826" s="39">
        <f>IF(D1826="","",IFERROR(VALUE(MID(D1826,LEN(D1826)-3,3)),""))</f>
        <v/>
      </c>
      <c r="X1826" s="33">
        <f>IF(W1826="","",P1826&amp;"|"&amp;W1826)</f>
        <v/>
      </c>
      <c r="Y1826" s="33">
        <f>IF(W1826="","",IF(P1826="À RENSEIGNER","GIC",P1826)&amp;"-"&amp;TEXT(W1826,"000"))</f>
        <v/>
      </c>
      <c r="Z1826" s="33">
        <f>IF(X1826="","",IFERROR(INDEX(Cl_nom,MATCH(X1826,Cl_cle,0)),"(client introuvable)"))</f>
        <v/>
      </c>
      <c r="AA1826" s="33">
        <f>IF(X1826="","",IFERROR(INDEX(Cl_quartier,MATCH(X1826,Cl_cle,0))&amp;"",""))</f>
        <v/>
      </c>
      <c r="AB1826" s="45">
        <f>IF(R1826&lt;&gt;"Livrée",0,IF(K1826&lt;&gt;"",K1826,C1826))</f>
        <v/>
      </c>
      <c r="AC1826" s="33">
        <f>IF(OR(C1826="",W1826=""),"",P1826&amp;"|"&amp;W1826&amp;"|"&amp;C1826&amp;"|"&amp;E1826)</f>
        <v/>
      </c>
      <c r="AD1826" s="39">
        <f>IF(AC1826="","",IF(COUNTIF(AC$6:AC1826,AC1826)=1,1,0))</f>
        <v/>
      </c>
      <c r="AE1826" s="39">
        <f>IF(AB1826=0,"",IF(COUNTIFS(X$6:X1826,X1826,AB$6:AB1826,AB1826)=1,1,0))</f>
        <v/>
      </c>
      <c r="AF1826" s="34">
        <f>IF(C1826="","",YEAR(C1826-WEEKDAY(C1826,2)+4)&amp;"-S"&amp;TEXT(INT((C1826-DATE(YEAR(C1826-WEEKDAY(C1826,2)+4),1,3)+WEEKDAY(DATE(YEAR(C1826-WEEKDAY(C1826,2)+4),1,3),2)+5)/7),"00"))</f>
        <v/>
      </c>
    </row>
    <row r="1827" ht="18" customHeight="1">
      <c r="A1827" s="39" t="n">
        <v>1822</v>
      </c>
      <c r="B1827" s="33">
        <f>IF(C1827="","",IF(P1827="À RENSEIGNER","GIC",P1827)&amp;"-C"&amp;TEXT(A1827,"00000"))</f>
        <v/>
      </c>
      <c r="C1827" s="32" t="n"/>
      <c r="D1827" s="36" t="n"/>
      <c r="E1827" s="36" t="n"/>
      <c r="F1827" s="36" t="n"/>
      <c r="G1827" s="42" t="n"/>
      <c r="H1827" s="37" t="n"/>
      <c r="I1827" s="37" t="n"/>
      <c r="J1827" s="32" t="n"/>
      <c r="K1827" s="32" t="n"/>
      <c r="L1827" s="43" t="n"/>
      <c r="M1827" s="36" t="n"/>
      <c r="N1827" s="44" t="n"/>
      <c r="O1827" s="36" t="n"/>
      <c r="P1827" s="33">
        <f>IF(C1827="","",Commercial_Id)</f>
        <v/>
      </c>
      <c r="Q1827" s="34">
        <f>IF(AC1827="","",IF(AD1827=1,"C"&amp;TEXT(SUM(AD$6:AD1827),"0000"),INDEX(Q$6:Q1826,MATCH(AC1827,AC$6:AC1826,0))))</f>
        <v/>
      </c>
      <c r="R1827" s="34">
        <f>IF(C1827="","",IF(L1827="☑ Oui","Annulée",IF(OR(E1827="Vente directe",K1827&lt;&gt;""),"Livrée",IF(J1827&lt;&gt;"","Confirmée","En attente"))))</f>
        <v/>
      </c>
      <c r="S1827" s="34">
        <f>IF(F1827="","",IFERROR(VLOOKUP(F1827,T_Produits,2,FALSE),""))</f>
        <v/>
      </c>
      <c r="T1827" s="40">
        <f>IF(F1827="","",IFERROR(1/(1/VLOOKUP(F1827,T_Produits,3,FALSE)),""))</f>
        <v/>
      </c>
      <c r="U1827" s="40">
        <f>IF(H1827&lt;&gt;"",H1827,T1827)</f>
        <v/>
      </c>
      <c r="V1827" s="40">
        <f>IF(OR(G1827="",U1827=""),"",G1827*U1827-N(I1827))</f>
        <v/>
      </c>
      <c r="W1827" s="39">
        <f>IF(D1827="","",IFERROR(VALUE(MID(D1827,LEN(D1827)-3,3)),""))</f>
        <v/>
      </c>
      <c r="X1827" s="33">
        <f>IF(W1827="","",P1827&amp;"|"&amp;W1827)</f>
        <v/>
      </c>
      <c r="Y1827" s="33">
        <f>IF(W1827="","",IF(P1827="À RENSEIGNER","GIC",P1827)&amp;"-"&amp;TEXT(W1827,"000"))</f>
        <v/>
      </c>
      <c r="Z1827" s="33">
        <f>IF(X1827="","",IFERROR(INDEX(Cl_nom,MATCH(X1827,Cl_cle,0)),"(client introuvable)"))</f>
        <v/>
      </c>
      <c r="AA1827" s="33">
        <f>IF(X1827="","",IFERROR(INDEX(Cl_quartier,MATCH(X1827,Cl_cle,0))&amp;"",""))</f>
        <v/>
      </c>
      <c r="AB1827" s="45">
        <f>IF(R1827&lt;&gt;"Livrée",0,IF(K1827&lt;&gt;"",K1827,C1827))</f>
        <v/>
      </c>
      <c r="AC1827" s="33">
        <f>IF(OR(C1827="",W1827=""),"",P1827&amp;"|"&amp;W1827&amp;"|"&amp;C1827&amp;"|"&amp;E1827)</f>
        <v/>
      </c>
      <c r="AD1827" s="39">
        <f>IF(AC1827="","",IF(COUNTIF(AC$6:AC1827,AC1827)=1,1,0))</f>
        <v/>
      </c>
      <c r="AE1827" s="39">
        <f>IF(AB1827=0,"",IF(COUNTIFS(X$6:X1827,X1827,AB$6:AB1827,AB1827)=1,1,0))</f>
        <v/>
      </c>
      <c r="AF1827" s="34">
        <f>IF(C1827="","",YEAR(C1827-WEEKDAY(C1827,2)+4)&amp;"-S"&amp;TEXT(INT((C1827-DATE(YEAR(C1827-WEEKDAY(C1827,2)+4),1,3)+WEEKDAY(DATE(YEAR(C1827-WEEKDAY(C1827,2)+4),1,3),2)+5)/7),"00"))</f>
        <v/>
      </c>
    </row>
    <row r="1828" ht="18" customHeight="1">
      <c r="A1828" s="39" t="n">
        <v>1823</v>
      </c>
      <c r="B1828" s="33">
        <f>IF(C1828="","",IF(P1828="À RENSEIGNER","GIC",P1828)&amp;"-C"&amp;TEXT(A1828,"00000"))</f>
        <v/>
      </c>
      <c r="C1828" s="32" t="n"/>
      <c r="D1828" s="36" t="n"/>
      <c r="E1828" s="36" t="n"/>
      <c r="F1828" s="36" t="n"/>
      <c r="G1828" s="42" t="n"/>
      <c r="H1828" s="37" t="n"/>
      <c r="I1828" s="37" t="n"/>
      <c r="J1828" s="32" t="n"/>
      <c r="K1828" s="32" t="n"/>
      <c r="L1828" s="43" t="n"/>
      <c r="M1828" s="36" t="n"/>
      <c r="N1828" s="44" t="n"/>
      <c r="O1828" s="36" t="n"/>
      <c r="P1828" s="33">
        <f>IF(C1828="","",Commercial_Id)</f>
        <v/>
      </c>
      <c r="Q1828" s="34">
        <f>IF(AC1828="","",IF(AD1828=1,"C"&amp;TEXT(SUM(AD$6:AD1828),"0000"),INDEX(Q$6:Q1827,MATCH(AC1828,AC$6:AC1827,0))))</f>
        <v/>
      </c>
      <c r="R1828" s="34">
        <f>IF(C1828="","",IF(L1828="☑ Oui","Annulée",IF(OR(E1828="Vente directe",K1828&lt;&gt;""),"Livrée",IF(J1828&lt;&gt;"","Confirmée","En attente"))))</f>
        <v/>
      </c>
      <c r="S1828" s="34">
        <f>IF(F1828="","",IFERROR(VLOOKUP(F1828,T_Produits,2,FALSE),""))</f>
        <v/>
      </c>
      <c r="T1828" s="40">
        <f>IF(F1828="","",IFERROR(1/(1/VLOOKUP(F1828,T_Produits,3,FALSE)),""))</f>
        <v/>
      </c>
      <c r="U1828" s="40">
        <f>IF(H1828&lt;&gt;"",H1828,T1828)</f>
        <v/>
      </c>
      <c r="V1828" s="40">
        <f>IF(OR(G1828="",U1828=""),"",G1828*U1828-N(I1828))</f>
        <v/>
      </c>
      <c r="W1828" s="39">
        <f>IF(D1828="","",IFERROR(VALUE(MID(D1828,LEN(D1828)-3,3)),""))</f>
        <v/>
      </c>
      <c r="X1828" s="33">
        <f>IF(W1828="","",P1828&amp;"|"&amp;W1828)</f>
        <v/>
      </c>
      <c r="Y1828" s="33">
        <f>IF(W1828="","",IF(P1828="À RENSEIGNER","GIC",P1828)&amp;"-"&amp;TEXT(W1828,"000"))</f>
        <v/>
      </c>
      <c r="Z1828" s="33">
        <f>IF(X1828="","",IFERROR(INDEX(Cl_nom,MATCH(X1828,Cl_cle,0)),"(client introuvable)"))</f>
        <v/>
      </c>
      <c r="AA1828" s="33">
        <f>IF(X1828="","",IFERROR(INDEX(Cl_quartier,MATCH(X1828,Cl_cle,0))&amp;"",""))</f>
        <v/>
      </c>
      <c r="AB1828" s="45">
        <f>IF(R1828&lt;&gt;"Livrée",0,IF(K1828&lt;&gt;"",K1828,C1828))</f>
        <v/>
      </c>
      <c r="AC1828" s="33">
        <f>IF(OR(C1828="",W1828=""),"",P1828&amp;"|"&amp;W1828&amp;"|"&amp;C1828&amp;"|"&amp;E1828)</f>
        <v/>
      </c>
      <c r="AD1828" s="39">
        <f>IF(AC1828="","",IF(COUNTIF(AC$6:AC1828,AC1828)=1,1,0))</f>
        <v/>
      </c>
      <c r="AE1828" s="39">
        <f>IF(AB1828=0,"",IF(COUNTIFS(X$6:X1828,X1828,AB$6:AB1828,AB1828)=1,1,0))</f>
        <v/>
      </c>
      <c r="AF1828" s="34">
        <f>IF(C1828="","",YEAR(C1828-WEEKDAY(C1828,2)+4)&amp;"-S"&amp;TEXT(INT((C1828-DATE(YEAR(C1828-WEEKDAY(C1828,2)+4),1,3)+WEEKDAY(DATE(YEAR(C1828-WEEKDAY(C1828,2)+4),1,3),2)+5)/7),"00"))</f>
        <v/>
      </c>
    </row>
    <row r="1829" ht="18" customHeight="1">
      <c r="A1829" s="39" t="n">
        <v>1824</v>
      </c>
      <c r="B1829" s="33">
        <f>IF(C1829="","",IF(P1829="À RENSEIGNER","GIC",P1829)&amp;"-C"&amp;TEXT(A1829,"00000"))</f>
        <v/>
      </c>
      <c r="C1829" s="32" t="n"/>
      <c r="D1829" s="36" t="n"/>
      <c r="E1829" s="36" t="n"/>
      <c r="F1829" s="36" t="n"/>
      <c r="G1829" s="42" t="n"/>
      <c r="H1829" s="37" t="n"/>
      <c r="I1829" s="37" t="n"/>
      <c r="J1829" s="32" t="n"/>
      <c r="K1829" s="32" t="n"/>
      <c r="L1829" s="43" t="n"/>
      <c r="M1829" s="36" t="n"/>
      <c r="N1829" s="44" t="n"/>
      <c r="O1829" s="36" t="n"/>
      <c r="P1829" s="33">
        <f>IF(C1829="","",Commercial_Id)</f>
        <v/>
      </c>
      <c r="Q1829" s="34">
        <f>IF(AC1829="","",IF(AD1829=1,"C"&amp;TEXT(SUM(AD$6:AD1829),"0000"),INDEX(Q$6:Q1828,MATCH(AC1829,AC$6:AC1828,0))))</f>
        <v/>
      </c>
      <c r="R1829" s="34">
        <f>IF(C1829="","",IF(L1829="☑ Oui","Annulée",IF(OR(E1829="Vente directe",K1829&lt;&gt;""),"Livrée",IF(J1829&lt;&gt;"","Confirmée","En attente"))))</f>
        <v/>
      </c>
      <c r="S1829" s="34">
        <f>IF(F1829="","",IFERROR(VLOOKUP(F1829,T_Produits,2,FALSE),""))</f>
        <v/>
      </c>
      <c r="T1829" s="40">
        <f>IF(F1829="","",IFERROR(1/(1/VLOOKUP(F1829,T_Produits,3,FALSE)),""))</f>
        <v/>
      </c>
      <c r="U1829" s="40">
        <f>IF(H1829&lt;&gt;"",H1829,T1829)</f>
        <v/>
      </c>
      <c r="V1829" s="40">
        <f>IF(OR(G1829="",U1829=""),"",G1829*U1829-N(I1829))</f>
        <v/>
      </c>
      <c r="W1829" s="39">
        <f>IF(D1829="","",IFERROR(VALUE(MID(D1829,LEN(D1829)-3,3)),""))</f>
        <v/>
      </c>
      <c r="X1829" s="33">
        <f>IF(W1829="","",P1829&amp;"|"&amp;W1829)</f>
        <v/>
      </c>
      <c r="Y1829" s="33">
        <f>IF(W1829="","",IF(P1829="À RENSEIGNER","GIC",P1829)&amp;"-"&amp;TEXT(W1829,"000"))</f>
        <v/>
      </c>
      <c r="Z1829" s="33">
        <f>IF(X1829="","",IFERROR(INDEX(Cl_nom,MATCH(X1829,Cl_cle,0)),"(client introuvable)"))</f>
        <v/>
      </c>
      <c r="AA1829" s="33">
        <f>IF(X1829="","",IFERROR(INDEX(Cl_quartier,MATCH(X1829,Cl_cle,0))&amp;"",""))</f>
        <v/>
      </c>
      <c r="AB1829" s="45">
        <f>IF(R1829&lt;&gt;"Livrée",0,IF(K1829&lt;&gt;"",K1829,C1829))</f>
        <v/>
      </c>
      <c r="AC1829" s="33">
        <f>IF(OR(C1829="",W1829=""),"",P1829&amp;"|"&amp;W1829&amp;"|"&amp;C1829&amp;"|"&amp;E1829)</f>
        <v/>
      </c>
      <c r="AD1829" s="39">
        <f>IF(AC1829="","",IF(COUNTIF(AC$6:AC1829,AC1829)=1,1,0))</f>
        <v/>
      </c>
      <c r="AE1829" s="39">
        <f>IF(AB1829=0,"",IF(COUNTIFS(X$6:X1829,X1829,AB$6:AB1829,AB1829)=1,1,0))</f>
        <v/>
      </c>
      <c r="AF1829" s="34">
        <f>IF(C1829="","",YEAR(C1829-WEEKDAY(C1829,2)+4)&amp;"-S"&amp;TEXT(INT((C1829-DATE(YEAR(C1829-WEEKDAY(C1829,2)+4),1,3)+WEEKDAY(DATE(YEAR(C1829-WEEKDAY(C1829,2)+4),1,3),2)+5)/7),"00"))</f>
        <v/>
      </c>
    </row>
    <row r="1830" ht="18" customHeight="1">
      <c r="A1830" s="39" t="n">
        <v>1825</v>
      </c>
      <c r="B1830" s="33">
        <f>IF(C1830="","",IF(P1830="À RENSEIGNER","GIC",P1830)&amp;"-C"&amp;TEXT(A1830,"00000"))</f>
        <v/>
      </c>
      <c r="C1830" s="32" t="n"/>
      <c r="D1830" s="36" t="n"/>
      <c r="E1830" s="36" t="n"/>
      <c r="F1830" s="36" t="n"/>
      <c r="G1830" s="42" t="n"/>
      <c r="H1830" s="37" t="n"/>
      <c r="I1830" s="37" t="n"/>
      <c r="J1830" s="32" t="n"/>
      <c r="K1830" s="32" t="n"/>
      <c r="L1830" s="43" t="n"/>
      <c r="M1830" s="36" t="n"/>
      <c r="N1830" s="44" t="n"/>
      <c r="O1830" s="36" t="n"/>
      <c r="P1830" s="33">
        <f>IF(C1830="","",Commercial_Id)</f>
        <v/>
      </c>
      <c r="Q1830" s="34">
        <f>IF(AC1830="","",IF(AD1830=1,"C"&amp;TEXT(SUM(AD$6:AD1830),"0000"),INDEX(Q$6:Q1829,MATCH(AC1830,AC$6:AC1829,0))))</f>
        <v/>
      </c>
      <c r="R1830" s="34">
        <f>IF(C1830="","",IF(L1830="☑ Oui","Annulée",IF(OR(E1830="Vente directe",K1830&lt;&gt;""),"Livrée",IF(J1830&lt;&gt;"","Confirmée","En attente"))))</f>
        <v/>
      </c>
      <c r="S1830" s="34">
        <f>IF(F1830="","",IFERROR(VLOOKUP(F1830,T_Produits,2,FALSE),""))</f>
        <v/>
      </c>
      <c r="T1830" s="40">
        <f>IF(F1830="","",IFERROR(1/(1/VLOOKUP(F1830,T_Produits,3,FALSE)),""))</f>
        <v/>
      </c>
      <c r="U1830" s="40">
        <f>IF(H1830&lt;&gt;"",H1830,T1830)</f>
        <v/>
      </c>
      <c r="V1830" s="40">
        <f>IF(OR(G1830="",U1830=""),"",G1830*U1830-N(I1830))</f>
        <v/>
      </c>
      <c r="W1830" s="39">
        <f>IF(D1830="","",IFERROR(VALUE(MID(D1830,LEN(D1830)-3,3)),""))</f>
        <v/>
      </c>
      <c r="X1830" s="33">
        <f>IF(W1830="","",P1830&amp;"|"&amp;W1830)</f>
        <v/>
      </c>
      <c r="Y1830" s="33">
        <f>IF(W1830="","",IF(P1830="À RENSEIGNER","GIC",P1830)&amp;"-"&amp;TEXT(W1830,"000"))</f>
        <v/>
      </c>
      <c r="Z1830" s="33">
        <f>IF(X1830="","",IFERROR(INDEX(Cl_nom,MATCH(X1830,Cl_cle,0)),"(client introuvable)"))</f>
        <v/>
      </c>
      <c r="AA1830" s="33">
        <f>IF(X1830="","",IFERROR(INDEX(Cl_quartier,MATCH(X1830,Cl_cle,0))&amp;"",""))</f>
        <v/>
      </c>
      <c r="AB1830" s="45">
        <f>IF(R1830&lt;&gt;"Livrée",0,IF(K1830&lt;&gt;"",K1830,C1830))</f>
        <v/>
      </c>
      <c r="AC1830" s="33">
        <f>IF(OR(C1830="",W1830=""),"",P1830&amp;"|"&amp;W1830&amp;"|"&amp;C1830&amp;"|"&amp;E1830)</f>
        <v/>
      </c>
      <c r="AD1830" s="39">
        <f>IF(AC1830="","",IF(COUNTIF(AC$6:AC1830,AC1830)=1,1,0))</f>
        <v/>
      </c>
      <c r="AE1830" s="39">
        <f>IF(AB1830=0,"",IF(COUNTIFS(X$6:X1830,X1830,AB$6:AB1830,AB1830)=1,1,0))</f>
        <v/>
      </c>
      <c r="AF1830" s="34">
        <f>IF(C1830="","",YEAR(C1830-WEEKDAY(C1830,2)+4)&amp;"-S"&amp;TEXT(INT((C1830-DATE(YEAR(C1830-WEEKDAY(C1830,2)+4),1,3)+WEEKDAY(DATE(YEAR(C1830-WEEKDAY(C1830,2)+4),1,3),2)+5)/7),"00"))</f>
        <v/>
      </c>
    </row>
    <row r="1831" ht="18" customHeight="1">
      <c r="A1831" s="39" t="n">
        <v>1826</v>
      </c>
      <c r="B1831" s="33">
        <f>IF(C1831="","",IF(P1831="À RENSEIGNER","GIC",P1831)&amp;"-C"&amp;TEXT(A1831,"00000"))</f>
        <v/>
      </c>
      <c r="C1831" s="32" t="n"/>
      <c r="D1831" s="36" t="n"/>
      <c r="E1831" s="36" t="n"/>
      <c r="F1831" s="36" t="n"/>
      <c r="G1831" s="42" t="n"/>
      <c r="H1831" s="37" t="n"/>
      <c r="I1831" s="37" t="n"/>
      <c r="J1831" s="32" t="n"/>
      <c r="K1831" s="32" t="n"/>
      <c r="L1831" s="43" t="n"/>
      <c r="M1831" s="36" t="n"/>
      <c r="N1831" s="44" t="n"/>
      <c r="O1831" s="36" t="n"/>
      <c r="P1831" s="33">
        <f>IF(C1831="","",Commercial_Id)</f>
        <v/>
      </c>
      <c r="Q1831" s="34">
        <f>IF(AC1831="","",IF(AD1831=1,"C"&amp;TEXT(SUM(AD$6:AD1831),"0000"),INDEX(Q$6:Q1830,MATCH(AC1831,AC$6:AC1830,0))))</f>
        <v/>
      </c>
      <c r="R1831" s="34">
        <f>IF(C1831="","",IF(L1831="☑ Oui","Annulée",IF(OR(E1831="Vente directe",K1831&lt;&gt;""),"Livrée",IF(J1831&lt;&gt;"","Confirmée","En attente"))))</f>
        <v/>
      </c>
      <c r="S1831" s="34">
        <f>IF(F1831="","",IFERROR(VLOOKUP(F1831,T_Produits,2,FALSE),""))</f>
        <v/>
      </c>
      <c r="T1831" s="40">
        <f>IF(F1831="","",IFERROR(1/(1/VLOOKUP(F1831,T_Produits,3,FALSE)),""))</f>
        <v/>
      </c>
      <c r="U1831" s="40">
        <f>IF(H1831&lt;&gt;"",H1831,T1831)</f>
        <v/>
      </c>
      <c r="V1831" s="40">
        <f>IF(OR(G1831="",U1831=""),"",G1831*U1831-N(I1831))</f>
        <v/>
      </c>
      <c r="W1831" s="39">
        <f>IF(D1831="","",IFERROR(VALUE(MID(D1831,LEN(D1831)-3,3)),""))</f>
        <v/>
      </c>
      <c r="X1831" s="33">
        <f>IF(W1831="","",P1831&amp;"|"&amp;W1831)</f>
        <v/>
      </c>
      <c r="Y1831" s="33">
        <f>IF(W1831="","",IF(P1831="À RENSEIGNER","GIC",P1831)&amp;"-"&amp;TEXT(W1831,"000"))</f>
        <v/>
      </c>
      <c r="Z1831" s="33">
        <f>IF(X1831="","",IFERROR(INDEX(Cl_nom,MATCH(X1831,Cl_cle,0)),"(client introuvable)"))</f>
        <v/>
      </c>
      <c r="AA1831" s="33">
        <f>IF(X1831="","",IFERROR(INDEX(Cl_quartier,MATCH(X1831,Cl_cle,0))&amp;"",""))</f>
        <v/>
      </c>
      <c r="AB1831" s="45">
        <f>IF(R1831&lt;&gt;"Livrée",0,IF(K1831&lt;&gt;"",K1831,C1831))</f>
        <v/>
      </c>
      <c r="AC1831" s="33">
        <f>IF(OR(C1831="",W1831=""),"",P1831&amp;"|"&amp;W1831&amp;"|"&amp;C1831&amp;"|"&amp;E1831)</f>
        <v/>
      </c>
      <c r="AD1831" s="39">
        <f>IF(AC1831="","",IF(COUNTIF(AC$6:AC1831,AC1831)=1,1,0))</f>
        <v/>
      </c>
      <c r="AE1831" s="39">
        <f>IF(AB1831=0,"",IF(COUNTIFS(X$6:X1831,X1831,AB$6:AB1831,AB1831)=1,1,0))</f>
        <v/>
      </c>
      <c r="AF1831" s="34">
        <f>IF(C1831="","",YEAR(C1831-WEEKDAY(C1831,2)+4)&amp;"-S"&amp;TEXT(INT((C1831-DATE(YEAR(C1831-WEEKDAY(C1831,2)+4),1,3)+WEEKDAY(DATE(YEAR(C1831-WEEKDAY(C1831,2)+4),1,3),2)+5)/7),"00"))</f>
        <v/>
      </c>
    </row>
    <row r="1832" ht="18" customHeight="1">
      <c r="A1832" s="39" t="n">
        <v>1827</v>
      </c>
      <c r="B1832" s="33">
        <f>IF(C1832="","",IF(P1832="À RENSEIGNER","GIC",P1832)&amp;"-C"&amp;TEXT(A1832,"00000"))</f>
        <v/>
      </c>
      <c r="C1832" s="32" t="n"/>
      <c r="D1832" s="36" t="n"/>
      <c r="E1832" s="36" t="n"/>
      <c r="F1832" s="36" t="n"/>
      <c r="G1832" s="42" t="n"/>
      <c r="H1832" s="37" t="n"/>
      <c r="I1832" s="37" t="n"/>
      <c r="J1832" s="32" t="n"/>
      <c r="K1832" s="32" t="n"/>
      <c r="L1832" s="43" t="n"/>
      <c r="M1832" s="36" t="n"/>
      <c r="N1832" s="44" t="n"/>
      <c r="O1832" s="36" t="n"/>
      <c r="P1832" s="33">
        <f>IF(C1832="","",Commercial_Id)</f>
        <v/>
      </c>
      <c r="Q1832" s="34">
        <f>IF(AC1832="","",IF(AD1832=1,"C"&amp;TEXT(SUM(AD$6:AD1832),"0000"),INDEX(Q$6:Q1831,MATCH(AC1832,AC$6:AC1831,0))))</f>
        <v/>
      </c>
      <c r="R1832" s="34">
        <f>IF(C1832="","",IF(L1832="☑ Oui","Annulée",IF(OR(E1832="Vente directe",K1832&lt;&gt;""),"Livrée",IF(J1832&lt;&gt;"","Confirmée","En attente"))))</f>
        <v/>
      </c>
      <c r="S1832" s="34">
        <f>IF(F1832="","",IFERROR(VLOOKUP(F1832,T_Produits,2,FALSE),""))</f>
        <v/>
      </c>
      <c r="T1832" s="40">
        <f>IF(F1832="","",IFERROR(1/(1/VLOOKUP(F1832,T_Produits,3,FALSE)),""))</f>
        <v/>
      </c>
      <c r="U1832" s="40">
        <f>IF(H1832&lt;&gt;"",H1832,T1832)</f>
        <v/>
      </c>
      <c r="V1832" s="40">
        <f>IF(OR(G1832="",U1832=""),"",G1832*U1832-N(I1832))</f>
        <v/>
      </c>
      <c r="W1832" s="39">
        <f>IF(D1832="","",IFERROR(VALUE(MID(D1832,LEN(D1832)-3,3)),""))</f>
        <v/>
      </c>
      <c r="X1832" s="33">
        <f>IF(W1832="","",P1832&amp;"|"&amp;W1832)</f>
        <v/>
      </c>
      <c r="Y1832" s="33">
        <f>IF(W1832="","",IF(P1832="À RENSEIGNER","GIC",P1832)&amp;"-"&amp;TEXT(W1832,"000"))</f>
        <v/>
      </c>
      <c r="Z1832" s="33">
        <f>IF(X1832="","",IFERROR(INDEX(Cl_nom,MATCH(X1832,Cl_cle,0)),"(client introuvable)"))</f>
        <v/>
      </c>
      <c r="AA1832" s="33">
        <f>IF(X1832="","",IFERROR(INDEX(Cl_quartier,MATCH(X1832,Cl_cle,0))&amp;"",""))</f>
        <v/>
      </c>
      <c r="AB1832" s="45">
        <f>IF(R1832&lt;&gt;"Livrée",0,IF(K1832&lt;&gt;"",K1832,C1832))</f>
        <v/>
      </c>
      <c r="AC1832" s="33">
        <f>IF(OR(C1832="",W1832=""),"",P1832&amp;"|"&amp;W1832&amp;"|"&amp;C1832&amp;"|"&amp;E1832)</f>
        <v/>
      </c>
      <c r="AD1832" s="39">
        <f>IF(AC1832="","",IF(COUNTIF(AC$6:AC1832,AC1832)=1,1,0))</f>
        <v/>
      </c>
      <c r="AE1832" s="39">
        <f>IF(AB1832=0,"",IF(COUNTIFS(X$6:X1832,X1832,AB$6:AB1832,AB1832)=1,1,0))</f>
        <v/>
      </c>
      <c r="AF1832" s="34">
        <f>IF(C1832="","",YEAR(C1832-WEEKDAY(C1832,2)+4)&amp;"-S"&amp;TEXT(INT((C1832-DATE(YEAR(C1832-WEEKDAY(C1832,2)+4),1,3)+WEEKDAY(DATE(YEAR(C1832-WEEKDAY(C1832,2)+4),1,3),2)+5)/7),"00"))</f>
        <v/>
      </c>
    </row>
    <row r="1833" ht="18" customHeight="1">
      <c r="A1833" s="39" t="n">
        <v>1828</v>
      </c>
      <c r="B1833" s="33">
        <f>IF(C1833="","",IF(P1833="À RENSEIGNER","GIC",P1833)&amp;"-C"&amp;TEXT(A1833,"00000"))</f>
        <v/>
      </c>
      <c r="C1833" s="32" t="n"/>
      <c r="D1833" s="36" t="n"/>
      <c r="E1833" s="36" t="n"/>
      <c r="F1833" s="36" t="n"/>
      <c r="G1833" s="42" t="n"/>
      <c r="H1833" s="37" t="n"/>
      <c r="I1833" s="37" t="n"/>
      <c r="J1833" s="32" t="n"/>
      <c r="K1833" s="32" t="n"/>
      <c r="L1833" s="43" t="n"/>
      <c r="M1833" s="36" t="n"/>
      <c r="N1833" s="44" t="n"/>
      <c r="O1833" s="36" t="n"/>
      <c r="P1833" s="33">
        <f>IF(C1833="","",Commercial_Id)</f>
        <v/>
      </c>
      <c r="Q1833" s="34">
        <f>IF(AC1833="","",IF(AD1833=1,"C"&amp;TEXT(SUM(AD$6:AD1833),"0000"),INDEX(Q$6:Q1832,MATCH(AC1833,AC$6:AC1832,0))))</f>
        <v/>
      </c>
      <c r="R1833" s="34">
        <f>IF(C1833="","",IF(L1833="☑ Oui","Annulée",IF(OR(E1833="Vente directe",K1833&lt;&gt;""),"Livrée",IF(J1833&lt;&gt;"","Confirmée","En attente"))))</f>
        <v/>
      </c>
      <c r="S1833" s="34">
        <f>IF(F1833="","",IFERROR(VLOOKUP(F1833,T_Produits,2,FALSE),""))</f>
        <v/>
      </c>
      <c r="T1833" s="40">
        <f>IF(F1833="","",IFERROR(1/(1/VLOOKUP(F1833,T_Produits,3,FALSE)),""))</f>
        <v/>
      </c>
      <c r="U1833" s="40">
        <f>IF(H1833&lt;&gt;"",H1833,T1833)</f>
        <v/>
      </c>
      <c r="V1833" s="40">
        <f>IF(OR(G1833="",U1833=""),"",G1833*U1833-N(I1833))</f>
        <v/>
      </c>
      <c r="W1833" s="39">
        <f>IF(D1833="","",IFERROR(VALUE(MID(D1833,LEN(D1833)-3,3)),""))</f>
        <v/>
      </c>
      <c r="X1833" s="33">
        <f>IF(W1833="","",P1833&amp;"|"&amp;W1833)</f>
        <v/>
      </c>
      <c r="Y1833" s="33">
        <f>IF(W1833="","",IF(P1833="À RENSEIGNER","GIC",P1833)&amp;"-"&amp;TEXT(W1833,"000"))</f>
        <v/>
      </c>
      <c r="Z1833" s="33">
        <f>IF(X1833="","",IFERROR(INDEX(Cl_nom,MATCH(X1833,Cl_cle,0)),"(client introuvable)"))</f>
        <v/>
      </c>
      <c r="AA1833" s="33">
        <f>IF(X1833="","",IFERROR(INDEX(Cl_quartier,MATCH(X1833,Cl_cle,0))&amp;"",""))</f>
        <v/>
      </c>
      <c r="AB1833" s="45">
        <f>IF(R1833&lt;&gt;"Livrée",0,IF(K1833&lt;&gt;"",K1833,C1833))</f>
        <v/>
      </c>
      <c r="AC1833" s="33">
        <f>IF(OR(C1833="",W1833=""),"",P1833&amp;"|"&amp;W1833&amp;"|"&amp;C1833&amp;"|"&amp;E1833)</f>
        <v/>
      </c>
      <c r="AD1833" s="39">
        <f>IF(AC1833="","",IF(COUNTIF(AC$6:AC1833,AC1833)=1,1,0))</f>
        <v/>
      </c>
      <c r="AE1833" s="39">
        <f>IF(AB1833=0,"",IF(COUNTIFS(X$6:X1833,X1833,AB$6:AB1833,AB1833)=1,1,0))</f>
        <v/>
      </c>
      <c r="AF1833" s="34">
        <f>IF(C1833="","",YEAR(C1833-WEEKDAY(C1833,2)+4)&amp;"-S"&amp;TEXT(INT((C1833-DATE(YEAR(C1833-WEEKDAY(C1833,2)+4),1,3)+WEEKDAY(DATE(YEAR(C1833-WEEKDAY(C1833,2)+4),1,3),2)+5)/7),"00"))</f>
        <v/>
      </c>
    </row>
    <row r="1834" ht="18" customHeight="1">
      <c r="A1834" s="39" t="n">
        <v>1829</v>
      </c>
      <c r="B1834" s="33">
        <f>IF(C1834="","",IF(P1834="À RENSEIGNER","GIC",P1834)&amp;"-C"&amp;TEXT(A1834,"00000"))</f>
        <v/>
      </c>
      <c r="C1834" s="32" t="n"/>
      <c r="D1834" s="36" t="n"/>
      <c r="E1834" s="36" t="n"/>
      <c r="F1834" s="36" t="n"/>
      <c r="G1834" s="42" t="n"/>
      <c r="H1834" s="37" t="n"/>
      <c r="I1834" s="37" t="n"/>
      <c r="J1834" s="32" t="n"/>
      <c r="K1834" s="32" t="n"/>
      <c r="L1834" s="43" t="n"/>
      <c r="M1834" s="36" t="n"/>
      <c r="N1834" s="44" t="n"/>
      <c r="O1834" s="36" t="n"/>
      <c r="P1834" s="33">
        <f>IF(C1834="","",Commercial_Id)</f>
        <v/>
      </c>
      <c r="Q1834" s="34">
        <f>IF(AC1834="","",IF(AD1834=1,"C"&amp;TEXT(SUM(AD$6:AD1834),"0000"),INDEX(Q$6:Q1833,MATCH(AC1834,AC$6:AC1833,0))))</f>
        <v/>
      </c>
      <c r="R1834" s="34">
        <f>IF(C1834="","",IF(L1834="☑ Oui","Annulée",IF(OR(E1834="Vente directe",K1834&lt;&gt;""),"Livrée",IF(J1834&lt;&gt;"","Confirmée","En attente"))))</f>
        <v/>
      </c>
      <c r="S1834" s="34">
        <f>IF(F1834="","",IFERROR(VLOOKUP(F1834,T_Produits,2,FALSE),""))</f>
        <v/>
      </c>
      <c r="T1834" s="40">
        <f>IF(F1834="","",IFERROR(1/(1/VLOOKUP(F1834,T_Produits,3,FALSE)),""))</f>
        <v/>
      </c>
      <c r="U1834" s="40">
        <f>IF(H1834&lt;&gt;"",H1834,T1834)</f>
        <v/>
      </c>
      <c r="V1834" s="40">
        <f>IF(OR(G1834="",U1834=""),"",G1834*U1834-N(I1834))</f>
        <v/>
      </c>
      <c r="W1834" s="39">
        <f>IF(D1834="","",IFERROR(VALUE(MID(D1834,LEN(D1834)-3,3)),""))</f>
        <v/>
      </c>
      <c r="X1834" s="33">
        <f>IF(W1834="","",P1834&amp;"|"&amp;W1834)</f>
        <v/>
      </c>
      <c r="Y1834" s="33">
        <f>IF(W1834="","",IF(P1834="À RENSEIGNER","GIC",P1834)&amp;"-"&amp;TEXT(W1834,"000"))</f>
        <v/>
      </c>
      <c r="Z1834" s="33">
        <f>IF(X1834="","",IFERROR(INDEX(Cl_nom,MATCH(X1834,Cl_cle,0)),"(client introuvable)"))</f>
        <v/>
      </c>
      <c r="AA1834" s="33">
        <f>IF(X1834="","",IFERROR(INDEX(Cl_quartier,MATCH(X1834,Cl_cle,0))&amp;"",""))</f>
        <v/>
      </c>
      <c r="AB1834" s="45">
        <f>IF(R1834&lt;&gt;"Livrée",0,IF(K1834&lt;&gt;"",K1834,C1834))</f>
        <v/>
      </c>
      <c r="AC1834" s="33">
        <f>IF(OR(C1834="",W1834=""),"",P1834&amp;"|"&amp;W1834&amp;"|"&amp;C1834&amp;"|"&amp;E1834)</f>
        <v/>
      </c>
      <c r="AD1834" s="39">
        <f>IF(AC1834="","",IF(COUNTIF(AC$6:AC1834,AC1834)=1,1,0))</f>
        <v/>
      </c>
      <c r="AE1834" s="39">
        <f>IF(AB1834=0,"",IF(COUNTIFS(X$6:X1834,X1834,AB$6:AB1834,AB1834)=1,1,0))</f>
        <v/>
      </c>
      <c r="AF1834" s="34">
        <f>IF(C1834="","",YEAR(C1834-WEEKDAY(C1834,2)+4)&amp;"-S"&amp;TEXT(INT((C1834-DATE(YEAR(C1834-WEEKDAY(C1834,2)+4),1,3)+WEEKDAY(DATE(YEAR(C1834-WEEKDAY(C1834,2)+4),1,3),2)+5)/7),"00"))</f>
        <v/>
      </c>
    </row>
    <row r="1835" ht="18" customHeight="1">
      <c r="A1835" s="39" t="n">
        <v>1830</v>
      </c>
      <c r="B1835" s="33">
        <f>IF(C1835="","",IF(P1835="À RENSEIGNER","GIC",P1835)&amp;"-C"&amp;TEXT(A1835,"00000"))</f>
        <v/>
      </c>
      <c r="C1835" s="32" t="n"/>
      <c r="D1835" s="36" t="n"/>
      <c r="E1835" s="36" t="n"/>
      <c r="F1835" s="36" t="n"/>
      <c r="G1835" s="42" t="n"/>
      <c r="H1835" s="37" t="n"/>
      <c r="I1835" s="37" t="n"/>
      <c r="J1835" s="32" t="n"/>
      <c r="K1835" s="32" t="n"/>
      <c r="L1835" s="43" t="n"/>
      <c r="M1835" s="36" t="n"/>
      <c r="N1835" s="44" t="n"/>
      <c r="O1835" s="36" t="n"/>
      <c r="P1835" s="33">
        <f>IF(C1835="","",Commercial_Id)</f>
        <v/>
      </c>
      <c r="Q1835" s="34">
        <f>IF(AC1835="","",IF(AD1835=1,"C"&amp;TEXT(SUM(AD$6:AD1835),"0000"),INDEX(Q$6:Q1834,MATCH(AC1835,AC$6:AC1834,0))))</f>
        <v/>
      </c>
      <c r="R1835" s="34">
        <f>IF(C1835="","",IF(L1835="☑ Oui","Annulée",IF(OR(E1835="Vente directe",K1835&lt;&gt;""),"Livrée",IF(J1835&lt;&gt;"","Confirmée","En attente"))))</f>
        <v/>
      </c>
      <c r="S1835" s="34">
        <f>IF(F1835="","",IFERROR(VLOOKUP(F1835,T_Produits,2,FALSE),""))</f>
        <v/>
      </c>
      <c r="T1835" s="40">
        <f>IF(F1835="","",IFERROR(1/(1/VLOOKUP(F1835,T_Produits,3,FALSE)),""))</f>
        <v/>
      </c>
      <c r="U1835" s="40">
        <f>IF(H1835&lt;&gt;"",H1835,T1835)</f>
        <v/>
      </c>
      <c r="V1835" s="40">
        <f>IF(OR(G1835="",U1835=""),"",G1835*U1835-N(I1835))</f>
        <v/>
      </c>
      <c r="W1835" s="39">
        <f>IF(D1835="","",IFERROR(VALUE(MID(D1835,LEN(D1835)-3,3)),""))</f>
        <v/>
      </c>
      <c r="X1835" s="33">
        <f>IF(W1835="","",P1835&amp;"|"&amp;W1835)</f>
        <v/>
      </c>
      <c r="Y1835" s="33">
        <f>IF(W1835="","",IF(P1835="À RENSEIGNER","GIC",P1835)&amp;"-"&amp;TEXT(W1835,"000"))</f>
        <v/>
      </c>
      <c r="Z1835" s="33">
        <f>IF(X1835="","",IFERROR(INDEX(Cl_nom,MATCH(X1835,Cl_cle,0)),"(client introuvable)"))</f>
        <v/>
      </c>
      <c r="AA1835" s="33">
        <f>IF(X1835="","",IFERROR(INDEX(Cl_quartier,MATCH(X1835,Cl_cle,0))&amp;"",""))</f>
        <v/>
      </c>
      <c r="AB1835" s="45">
        <f>IF(R1835&lt;&gt;"Livrée",0,IF(K1835&lt;&gt;"",K1835,C1835))</f>
        <v/>
      </c>
      <c r="AC1835" s="33">
        <f>IF(OR(C1835="",W1835=""),"",P1835&amp;"|"&amp;W1835&amp;"|"&amp;C1835&amp;"|"&amp;E1835)</f>
        <v/>
      </c>
      <c r="AD1835" s="39">
        <f>IF(AC1835="","",IF(COUNTIF(AC$6:AC1835,AC1835)=1,1,0))</f>
        <v/>
      </c>
      <c r="AE1835" s="39">
        <f>IF(AB1835=0,"",IF(COUNTIFS(X$6:X1835,X1835,AB$6:AB1835,AB1835)=1,1,0))</f>
        <v/>
      </c>
      <c r="AF1835" s="34">
        <f>IF(C1835="","",YEAR(C1835-WEEKDAY(C1835,2)+4)&amp;"-S"&amp;TEXT(INT((C1835-DATE(YEAR(C1835-WEEKDAY(C1835,2)+4),1,3)+WEEKDAY(DATE(YEAR(C1835-WEEKDAY(C1835,2)+4),1,3),2)+5)/7),"00"))</f>
        <v/>
      </c>
    </row>
    <row r="1836" ht="18" customHeight="1">
      <c r="A1836" s="39" t="n">
        <v>1831</v>
      </c>
      <c r="B1836" s="33">
        <f>IF(C1836="","",IF(P1836="À RENSEIGNER","GIC",P1836)&amp;"-C"&amp;TEXT(A1836,"00000"))</f>
        <v/>
      </c>
      <c r="C1836" s="32" t="n"/>
      <c r="D1836" s="36" t="n"/>
      <c r="E1836" s="36" t="n"/>
      <c r="F1836" s="36" t="n"/>
      <c r="G1836" s="42" t="n"/>
      <c r="H1836" s="37" t="n"/>
      <c r="I1836" s="37" t="n"/>
      <c r="J1836" s="32" t="n"/>
      <c r="K1836" s="32" t="n"/>
      <c r="L1836" s="43" t="n"/>
      <c r="M1836" s="36" t="n"/>
      <c r="N1836" s="44" t="n"/>
      <c r="O1836" s="36" t="n"/>
      <c r="P1836" s="33">
        <f>IF(C1836="","",Commercial_Id)</f>
        <v/>
      </c>
      <c r="Q1836" s="34">
        <f>IF(AC1836="","",IF(AD1836=1,"C"&amp;TEXT(SUM(AD$6:AD1836),"0000"),INDEX(Q$6:Q1835,MATCH(AC1836,AC$6:AC1835,0))))</f>
        <v/>
      </c>
      <c r="R1836" s="34">
        <f>IF(C1836="","",IF(L1836="☑ Oui","Annulée",IF(OR(E1836="Vente directe",K1836&lt;&gt;""),"Livrée",IF(J1836&lt;&gt;"","Confirmée","En attente"))))</f>
        <v/>
      </c>
      <c r="S1836" s="34">
        <f>IF(F1836="","",IFERROR(VLOOKUP(F1836,T_Produits,2,FALSE),""))</f>
        <v/>
      </c>
      <c r="T1836" s="40">
        <f>IF(F1836="","",IFERROR(1/(1/VLOOKUP(F1836,T_Produits,3,FALSE)),""))</f>
        <v/>
      </c>
      <c r="U1836" s="40">
        <f>IF(H1836&lt;&gt;"",H1836,T1836)</f>
        <v/>
      </c>
      <c r="V1836" s="40">
        <f>IF(OR(G1836="",U1836=""),"",G1836*U1836-N(I1836))</f>
        <v/>
      </c>
      <c r="W1836" s="39">
        <f>IF(D1836="","",IFERROR(VALUE(MID(D1836,LEN(D1836)-3,3)),""))</f>
        <v/>
      </c>
      <c r="X1836" s="33">
        <f>IF(W1836="","",P1836&amp;"|"&amp;W1836)</f>
        <v/>
      </c>
      <c r="Y1836" s="33">
        <f>IF(W1836="","",IF(P1836="À RENSEIGNER","GIC",P1836)&amp;"-"&amp;TEXT(W1836,"000"))</f>
        <v/>
      </c>
      <c r="Z1836" s="33">
        <f>IF(X1836="","",IFERROR(INDEX(Cl_nom,MATCH(X1836,Cl_cle,0)),"(client introuvable)"))</f>
        <v/>
      </c>
      <c r="AA1836" s="33">
        <f>IF(X1836="","",IFERROR(INDEX(Cl_quartier,MATCH(X1836,Cl_cle,0))&amp;"",""))</f>
        <v/>
      </c>
      <c r="AB1836" s="45">
        <f>IF(R1836&lt;&gt;"Livrée",0,IF(K1836&lt;&gt;"",K1836,C1836))</f>
        <v/>
      </c>
      <c r="AC1836" s="33">
        <f>IF(OR(C1836="",W1836=""),"",P1836&amp;"|"&amp;W1836&amp;"|"&amp;C1836&amp;"|"&amp;E1836)</f>
        <v/>
      </c>
      <c r="AD1836" s="39">
        <f>IF(AC1836="","",IF(COUNTIF(AC$6:AC1836,AC1836)=1,1,0))</f>
        <v/>
      </c>
      <c r="AE1836" s="39">
        <f>IF(AB1836=0,"",IF(COUNTIFS(X$6:X1836,X1836,AB$6:AB1836,AB1836)=1,1,0))</f>
        <v/>
      </c>
      <c r="AF1836" s="34">
        <f>IF(C1836="","",YEAR(C1836-WEEKDAY(C1836,2)+4)&amp;"-S"&amp;TEXT(INT((C1836-DATE(YEAR(C1836-WEEKDAY(C1836,2)+4),1,3)+WEEKDAY(DATE(YEAR(C1836-WEEKDAY(C1836,2)+4),1,3),2)+5)/7),"00"))</f>
        <v/>
      </c>
    </row>
    <row r="1837" ht="18" customHeight="1">
      <c r="A1837" s="39" t="n">
        <v>1832</v>
      </c>
      <c r="B1837" s="33">
        <f>IF(C1837="","",IF(P1837="À RENSEIGNER","GIC",P1837)&amp;"-C"&amp;TEXT(A1837,"00000"))</f>
        <v/>
      </c>
      <c r="C1837" s="32" t="n"/>
      <c r="D1837" s="36" t="n"/>
      <c r="E1837" s="36" t="n"/>
      <c r="F1837" s="36" t="n"/>
      <c r="G1837" s="42" t="n"/>
      <c r="H1837" s="37" t="n"/>
      <c r="I1837" s="37" t="n"/>
      <c r="J1837" s="32" t="n"/>
      <c r="K1837" s="32" t="n"/>
      <c r="L1837" s="43" t="n"/>
      <c r="M1837" s="36" t="n"/>
      <c r="N1837" s="44" t="n"/>
      <c r="O1837" s="36" t="n"/>
      <c r="P1837" s="33">
        <f>IF(C1837="","",Commercial_Id)</f>
        <v/>
      </c>
      <c r="Q1837" s="34">
        <f>IF(AC1837="","",IF(AD1837=1,"C"&amp;TEXT(SUM(AD$6:AD1837),"0000"),INDEX(Q$6:Q1836,MATCH(AC1837,AC$6:AC1836,0))))</f>
        <v/>
      </c>
      <c r="R1837" s="34">
        <f>IF(C1837="","",IF(L1837="☑ Oui","Annulée",IF(OR(E1837="Vente directe",K1837&lt;&gt;""),"Livrée",IF(J1837&lt;&gt;"","Confirmée","En attente"))))</f>
        <v/>
      </c>
      <c r="S1837" s="34">
        <f>IF(F1837="","",IFERROR(VLOOKUP(F1837,T_Produits,2,FALSE),""))</f>
        <v/>
      </c>
      <c r="T1837" s="40">
        <f>IF(F1837="","",IFERROR(1/(1/VLOOKUP(F1837,T_Produits,3,FALSE)),""))</f>
        <v/>
      </c>
      <c r="U1837" s="40">
        <f>IF(H1837&lt;&gt;"",H1837,T1837)</f>
        <v/>
      </c>
      <c r="V1837" s="40">
        <f>IF(OR(G1837="",U1837=""),"",G1837*U1837-N(I1837))</f>
        <v/>
      </c>
      <c r="W1837" s="39">
        <f>IF(D1837="","",IFERROR(VALUE(MID(D1837,LEN(D1837)-3,3)),""))</f>
        <v/>
      </c>
      <c r="X1837" s="33">
        <f>IF(W1837="","",P1837&amp;"|"&amp;W1837)</f>
        <v/>
      </c>
      <c r="Y1837" s="33">
        <f>IF(W1837="","",IF(P1837="À RENSEIGNER","GIC",P1837)&amp;"-"&amp;TEXT(W1837,"000"))</f>
        <v/>
      </c>
      <c r="Z1837" s="33">
        <f>IF(X1837="","",IFERROR(INDEX(Cl_nom,MATCH(X1837,Cl_cle,0)),"(client introuvable)"))</f>
        <v/>
      </c>
      <c r="AA1837" s="33">
        <f>IF(X1837="","",IFERROR(INDEX(Cl_quartier,MATCH(X1837,Cl_cle,0))&amp;"",""))</f>
        <v/>
      </c>
      <c r="AB1837" s="45">
        <f>IF(R1837&lt;&gt;"Livrée",0,IF(K1837&lt;&gt;"",K1837,C1837))</f>
        <v/>
      </c>
      <c r="AC1837" s="33">
        <f>IF(OR(C1837="",W1837=""),"",P1837&amp;"|"&amp;W1837&amp;"|"&amp;C1837&amp;"|"&amp;E1837)</f>
        <v/>
      </c>
      <c r="AD1837" s="39">
        <f>IF(AC1837="","",IF(COUNTIF(AC$6:AC1837,AC1837)=1,1,0))</f>
        <v/>
      </c>
      <c r="AE1837" s="39">
        <f>IF(AB1837=0,"",IF(COUNTIFS(X$6:X1837,X1837,AB$6:AB1837,AB1837)=1,1,0))</f>
        <v/>
      </c>
      <c r="AF1837" s="34">
        <f>IF(C1837="","",YEAR(C1837-WEEKDAY(C1837,2)+4)&amp;"-S"&amp;TEXT(INT((C1837-DATE(YEAR(C1837-WEEKDAY(C1837,2)+4),1,3)+WEEKDAY(DATE(YEAR(C1837-WEEKDAY(C1837,2)+4),1,3),2)+5)/7),"00"))</f>
        <v/>
      </c>
    </row>
    <row r="1838" ht="18" customHeight="1">
      <c r="A1838" s="39" t="n">
        <v>1833</v>
      </c>
      <c r="B1838" s="33">
        <f>IF(C1838="","",IF(P1838="À RENSEIGNER","GIC",P1838)&amp;"-C"&amp;TEXT(A1838,"00000"))</f>
        <v/>
      </c>
      <c r="C1838" s="32" t="n"/>
      <c r="D1838" s="36" t="n"/>
      <c r="E1838" s="36" t="n"/>
      <c r="F1838" s="36" t="n"/>
      <c r="G1838" s="42" t="n"/>
      <c r="H1838" s="37" t="n"/>
      <c r="I1838" s="37" t="n"/>
      <c r="J1838" s="32" t="n"/>
      <c r="K1838" s="32" t="n"/>
      <c r="L1838" s="43" t="n"/>
      <c r="M1838" s="36" t="n"/>
      <c r="N1838" s="44" t="n"/>
      <c r="O1838" s="36" t="n"/>
      <c r="P1838" s="33">
        <f>IF(C1838="","",Commercial_Id)</f>
        <v/>
      </c>
      <c r="Q1838" s="34">
        <f>IF(AC1838="","",IF(AD1838=1,"C"&amp;TEXT(SUM(AD$6:AD1838),"0000"),INDEX(Q$6:Q1837,MATCH(AC1838,AC$6:AC1837,0))))</f>
        <v/>
      </c>
      <c r="R1838" s="34">
        <f>IF(C1838="","",IF(L1838="☑ Oui","Annulée",IF(OR(E1838="Vente directe",K1838&lt;&gt;""),"Livrée",IF(J1838&lt;&gt;"","Confirmée","En attente"))))</f>
        <v/>
      </c>
      <c r="S1838" s="34">
        <f>IF(F1838="","",IFERROR(VLOOKUP(F1838,T_Produits,2,FALSE),""))</f>
        <v/>
      </c>
      <c r="T1838" s="40">
        <f>IF(F1838="","",IFERROR(1/(1/VLOOKUP(F1838,T_Produits,3,FALSE)),""))</f>
        <v/>
      </c>
      <c r="U1838" s="40">
        <f>IF(H1838&lt;&gt;"",H1838,T1838)</f>
        <v/>
      </c>
      <c r="V1838" s="40">
        <f>IF(OR(G1838="",U1838=""),"",G1838*U1838-N(I1838))</f>
        <v/>
      </c>
      <c r="W1838" s="39">
        <f>IF(D1838="","",IFERROR(VALUE(MID(D1838,LEN(D1838)-3,3)),""))</f>
        <v/>
      </c>
      <c r="X1838" s="33">
        <f>IF(W1838="","",P1838&amp;"|"&amp;W1838)</f>
        <v/>
      </c>
      <c r="Y1838" s="33">
        <f>IF(W1838="","",IF(P1838="À RENSEIGNER","GIC",P1838)&amp;"-"&amp;TEXT(W1838,"000"))</f>
        <v/>
      </c>
      <c r="Z1838" s="33">
        <f>IF(X1838="","",IFERROR(INDEX(Cl_nom,MATCH(X1838,Cl_cle,0)),"(client introuvable)"))</f>
        <v/>
      </c>
      <c r="AA1838" s="33">
        <f>IF(X1838="","",IFERROR(INDEX(Cl_quartier,MATCH(X1838,Cl_cle,0))&amp;"",""))</f>
        <v/>
      </c>
      <c r="AB1838" s="45">
        <f>IF(R1838&lt;&gt;"Livrée",0,IF(K1838&lt;&gt;"",K1838,C1838))</f>
        <v/>
      </c>
      <c r="AC1838" s="33">
        <f>IF(OR(C1838="",W1838=""),"",P1838&amp;"|"&amp;W1838&amp;"|"&amp;C1838&amp;"|"&amp;E1838)</f>
        <v/>
      </c>
      <c r="AD1838" s="39">
        <f>IF(AC1838="","",IF(COUNTIF(AC$6:AC1838,AC1838)=1,1,0))</f>
        <v/>
      </c>
      <c r="AE1838" s="39">
        <f>IF(AB1838=0,"",IF(COUNTIFS(X$6:X1838,X1838,AB$6:AB1838,AB1838)=1,1,0))</f>
        <v/>
      </c>
      <c r="AF1838" s="34">
        <f>IF(C1838="","",YEAR(C1838-WEEKDAY(C1838,2)+4)&amp;"-S"&amp;TEXT(INT((C1838-DATE(YEAR(C1838-WEEKDAY(C1838,2)+4),1,3)+WEEKDAY(DATE(YEAR(C1838-WEEKDAY(C1838,2)+4),1,3),2)+5)/7),"00"))</f>
        <v/>
      </c>
    </row>
    <row r="1839" ht="18" customHeight="1">
      <c r="A1839" s="39" t="n">
        <v>1834</v>
      </c>
      <c r="B1839" s="33">
        <f>IF(C1839="","",IF(P1839="À RENSEIGNER","GIC",P1839)&amp;"-C"&amp;TEXT(A1839,"00000"))</f>
        <v/>
      </c>
      <c r="C1839" s="32" t="n"/>
      <c r="D1839" s="36" t="n"/>
      <c r="E1839" s="36" t="n"/>
      <c r="F1839" s="36" t="n"/>
      <c r="G1839" s="42" t="n"/>
      <c r="H1839" s="37" t="n"/>
      <c r="I1839" s="37" t="n"/>
      <c r="J1839" s="32" t="n"/>
      <c r="K1839" s="32" t="n"/>
      <c r="L1839" s="43" t="n"/>
      <c r="M1839" s="36" t="n"/>
      <c r="N1839" s="44" t="n"/>
      <c r="O1839" s="36" t="n"/>
      <c r="P1839" s="33">
        <f>IF(C1839="","",Commercial_Id)</f>
        <v/>
      </c>
      <c r="Q1839" s="34">
        <f>IF(AC1839="","",IF(AD1839=1,"C"&amp;TEXT(SUM(AD$6:AD1839),"0000"),INDEX(Q$6:Q1838,MATCH(AC1839,AC$6:AC1838,0))))</f>
        <v/>
      </c>
      <c r="R1839" s="34">
        <f>IF(C1839="","",IF(L1839="☑ Oui","Annulée",IF(OR(E1839="Vente directe",K1839&lt;&gt;""),"Livrée",IF(J1839&lt;&gt;"","Confirmée","En attente"))))</f>
        <v/>
      </c>
      <c r="S1839" s="34">
        <f>IF(F1839="","",IFERROR(VLOOKUP(F1839,T_Produits,2,FALSE),""))</f>
        <v/>
      </c>
      <c r="T1839" s="40">
        <f>IF(F1839="","",IFERROR(1/(1/VLOOKUP(F1839,T_Produits,3,FALSE)),""))</f>
        <v/>
      </c>
      <c r="U1839" s="40">
        <f>IF(H1839&lt;&gt;"",H1839,T1839)</f>
        <v/>
      </c>
      <c r="V1839" s="40">
        <f>IF(OR(G1839="",U1839=""),"",G1839*U1839-N(I1839))</f>
        <v/>
      </c>
      <c r="W1839" s="39">
        <f>IF(D1839="","",IFERROR(VALUE(MID(D1839,LEN(D1839)-3,3)),""))</f>
        <v/>
      </c>
      <c r="X1839" s="33">
        <f>IF(W1839="","",P1839&amp;"|"&amp;W1839)</f>
        <v/>
      </c>
      <c r="Y1839" s="33">
        <f>IF(W1839="","",IF(P1839="À RENSEIGNER","GIC",P1839)&amp;"-"&amp;TEXT(W1839,"000"))</f>
        <v/>
      </c>
      <c r="Z1839" s="33">
        <f>IF(X1839="","",IFERROR(INDEX(Cl_nom,MATCH(X1839,Cl_cle,0)),"(client introuvable)"))</f>
        <v/>
      </c>
      <c r="AA1839" s="33">
        <f>IF(X1839="","",IFERROR(INDEX(Cl_quartier,MATCH(X1839,Cl_cle,0))&amp;"",""))</f>
        <v/>
      </c>
      <c r="AB1839" s="45">
        <f>IF(R1839&lt;&gt;"Livrée",0,IF(K1839&lt;&gt;"",K1839,C1839))</f>
        <v/>
      </c>
      <c r="AC1839" s="33">
        <f>IF(OR(C1839="",W1839=""),"",P1839&amp;"|"&amp;W1839&amp;"|"&amp;C1839&amp;"|"&amp;E1839)</f>
        <v/>
      </c>
      <c r="AD1839" s="39">
        <f>IF(AC1839="","",IF(COUNTIF(AC$6:AC1839,AC1839)=1,1,0))</f>
        <v/>
      </c>
      <c r="AE1839" s="39">
        <f>IF(AB1839=0,"",IF(COUNTIFS(X$6:X1839,X1839,AB$6:AB1839,AB1839)=1,1,0))</f>
        <v/>
      </c>
      <c r="AF1839" s="34">
        <f>IF(C1839="","",YEAR(C1839-WEEKDAY(C1839,2)+4)&amp;"-S"&amp;TEXT(INT((C1839-DATE(YEAR(C1839-WEEKDAY(C1839,2)+4),1,3)+WEEKDAY(DATE(YEAR(C1839-WEEKDAY(C1839,2)+4),1,3),2)+5)/7),"00"))</f>
        <v/>
      </c>
    </row>
    <row r="1840" ht="18" customHeight="1">
      <c r="A1840" s="39" t="n">
        <v>1835</v>
      </c>
      <c r="B1840" s="33">
        <f>IF(C1840="","",IF(P1840="À RENSEIGNER","GIC",P1840)&amp;"-C"&amp;TEXT(A1840,"00000"))</f>
        <v/>
      </c>
      <c r="C1840" s="32" t="n"/>
      <c r="D1840" s="36" t="n"/>
      <c r="E1840" s="36" t="n"/>
      <c r="F1840" s="36" t="n"/>
      <c r="G1840" s="42" t="n"/>
      <c r="H1840" s="37" t="n"/>
      <c r="I1840" s="37" t="n"/>
      <c r="J1840" s="32" t="n"/>
      <c r="K1840" s="32" t="n"/>
      <c r="L1840" s="43" t="n"/>
      <c r="M1840" s="36" t="n"/>
      <c r="N1840" s="44" t="n"/>
      <c r="O1840" s="36" t="n"/>
      <c r="P1840" s="33">
        <f>IF(C1840="","",Commercial_Id)</f>
        <v/>
      </c>
      <c r="Q1840" s="34">
        <f>IF(AC1840="","",IF(AD1840=1,"C"&amp;TEXT(SUM(AD$6:AD1840),"0000"),INDEX(Q$6:Q1839,MATCH(AC1840,AC$6:AC1839,0))))</f>
        <v/>
      </c>
      <c r="R1840" s="34">
        <f>IF(C1840="","",IF(L1840="☑ Oui","Annulée",IF(OR(E1840="Vente directe",K1840&lt;&gt;""),"Livrée",IF(J1840&lt;&gt;"","Confirmée","En attente"))))</f>
        <v/>
      </c>
      <c r="S1840" s="34">
        <f>IF(F1840="","",IFERROR(VLOOKUP(F1840,T_Produits,2,FALSE),""))</f>
        <v/>
      </c>
      <c r="T1840" s="40">
        <f>IF(F1840="","",IFERROR(1/(1/VLOOKUP(F1840,T_Produits,3,FALSE)),""))</f>
        <v/>
      </c>
      <c r="U1840" s="40">
        <f>IF(H1840&lt;&gt;"",H1840,T1840)</f>
        <v/>
      </c>
      <c r="V1840" s="40">
        <f>IF(OR(G1840="",U1840=""),"",G1840*U1840-N(I1840))</f>
        <v/>
      </c>
      <c r="W1840" s="39">
        <f>IF(D1840="","",IFERROR(VALUE(MID(D1840,LEN(D1840)-3,3)),""))</f>
        <v/>
      </c>
      <c r="X1840" s="33">
        <f>IF(W1840="","",P1840&amp;"|"&amp;W1840)</f>
        <v/>
      </c>
      <c r="Y1840" s="33">
        <f>IF(W1840="","",IF(P1840="À RENSEIGNER","GIC",P1840)&amp;"-"&amp;TEXT(W1840,"000"))</f>
        <v/>
      </c>
      <c r="Z1840" s="33">
        <f>IF(X1840="","",IFERROR(INDEX(Cl_nom,MATCH(X1840,Cl_cle,0)),"(client introuvable)"))</f>
        <v/>
      </c>
      <c r="AA1840" s="33">
        <f>IF(X1840="","",IFERROR(INDEX(Cl_quartier,MATCH(X1840,Cl_cle,0))&amp;"",""))</f>
        <v/>
      </c>
      <c r="AB1840" s="45">
        <f>IF(R1840&lt;&gt;"Livrée",0,IF(K1840&lt;&gt;"",K1840,C1840))</f>
        <v/>
      </c>
      <c r="AC1840" s="33">
        <f>IF(OR(C1840="",W1840=""),"",P1840&amp;"|"&amp;W1840&amp;"|"&amp;C1840&amp;"|"&amp;E1840)</f>
        <v/>
      </c>
      <c r="AD1840" s="39">
        <f>IF(AC1840="","",IF(COUNTIF(AC$6:AC1840,AC1840)=1,1,0))</f>
        <v/>
      </c>
      <c r="AE1840" s="39">
        <f>IF(AB1840=0,"",IF(COUNTIFS(X$6:X1840,X1840,AB$6:AB1840,AB1840)=1,1,0))</f>
        <v/>
      </c>
      <c r="AF1840" s="34">
        <f>IF(C1840="","",YEAR(C1840-WEEKDAY(C1840,2)+4)&amp;"-S"&amp;TEXT(INT((C1840-DATE(YEAR(C1840-WEEKDAY(C1840,2)+4),1,3)+WEEKDAY(DATE(YEAR(C1840-WEEKDAY(C1840,2)+4),1,3),2)+5)/7),"00"))</f>
        <v/>
      </c>
    </row>
    <row r="1841" ht="18" customHeight="1">
      <c r="A1841" s="39" t="n">
        <v>1836</v>
      </c>
      <c r="B1841" s="33">
        <f>IF(C1841="","",IF(P1841="À RENSEIGNER","GIC",P1841)&amp;"-C"&amp;TEXT(A1841,"00000"))</f>
        <v/>
      </c>
      <c r="C1841" s="32" t="n"/>
      <c r="D1841" s="36" t="n"/>
      <c r="E1841" s="36" t="n"/>
      <c r="F1841" s="36" t="n"/>
      <c r="G1841" s="42" t="n"/>
      <c r="H1841" s="37" t="n"/>
      <c r="I1841" s="37" t="n"/>
      <c r="J1841" s="32" t="n"/>
      <c r="K1841" s="32" t="n"/>
      <c r="L1841" s="43" t="n"/>
      <c r="M1841" s="36" t="n"/>
      <c r="N1841" s="44" t="n"/>
      <c r="O1841" s="36" t="n"/>
      <c r="P1841" s="33">
        <f>IF(C1841="","",Commercial_Id)</f>
        <v/>
      </c>
      <c r="Q1841" s="34">
        <f>IF(AC1841="","",IF(AD1841=1,"C"&amp;TEXT(SUM(AD$6:AD1841),"0000"),INDEX(Q$6:Q1840,MATCH(AC1841,AC$6:AC1840,0))))</f>
        <v/>
      </c>
      <c r="R1841" s="34">
        <f>IF(C1841="","",IF(L1841="☑ Oui","Annulée",IF(OR(E1841="Vente directe",K1841&lt;&gt;""),"Livrée",IF(J1841&lt;&gt;"","Confirmée","En attente"))))</f>
        <v/>
      </c>
      <c r="S1841" s="34">
        <f>IF(F1841="","",IFERROR(VLOOKUP(F1841,T_Produits,2,FALSE),""))</f>
        <v/>
      </c>
      <c r="T1841" s="40">
        <f>IF(F1841="","",IFERROR(1/(1/VLOOKUP(F1841,T_Produits,3,FALSE)),""))</f>
        <v/>
      </c>
      <c r="U1841" s="40">
        <f>IF(H1841&lt;&gt;"",H1841,T1841)</f>
        <v/>
      </c>
      <c r="V1841" s="40">
        <f>IF(OR(G1841="",U1841=""),"",G1841*U1841-N(I1841))</f>
        <v/>
      </c>
      <c r="W1841" s="39">
        <f>IF(D1841="","",IFERROR(VALUE(MID(D1841,LEN(D1841)-3,3)),""))</f>
        <v/>
      </c>
      <c r="X1841" s="33">
        <f>IF(W1841="","",P1841&amp;"|"&amp;W1841)</f>
        <v/>
      </c>
      <c r="Y1841" s="33">
        <f>IF(W1841="","",IF(P1841="À RENSEIGNER","GIC",P1841)&amp;"-"&amp;TEXT(W1841,"000"))</f>
        <v/>
      </c>
      <c r="Z1841" s="33">
        <f>IF(X1841="","",IFERROR(INDEX(Cl_nom,MATCH(X1841,Cl_cle,0)),"(client introuvable)"))</f>
        <v/>
      </c>
      <c r="AA1841" s="33">
        <f>IF(X1841="","",IFERROR(INDEX(Cl_quartier,MATCH(X1841,Cl_cle,0))&amp;"",""))</f>
        <v/>
      </c>
      <c r="AB1841" s="45">
        <f>IF(R1841&lt;&gt;"Livrée",0,IF(K1841&lt;&gt;"",K1841,C1841))</f>
        <v/>
      </c>
      <c r="AC1841" s="33">
        <f>IF(OR(C1841="",W1841=""),"",P1841&amp;"|"&amp;W1841&amp;"|"&amp;C1841&amp;"|"&amp;E1841)</f>
        <v/>
      </c>
      <c r="AD1841" s="39">
        <f>IF(AC1841="","",IF(COUNTIF(AC$6:AC1841,AC1841)=1,1,0))</f>
        <v/>
      </c>
      <c r="AE1841" s="39">
        <f>IF(AB1841=0,"",IF(COUNTIFS(X$6:X1841,X1841,AB$6:AB1841,AB1841)=1,1,0))</f>
        <v/>
      </c>
      <c r="AF1841" s="34">
        <f>IF(C1841="","",YEAR(C1841-WEEKDAY(C1841,2)+4)&amp;"-S"&amp;TEXT(INT((C1841-DATE(YEAR(C1841-WEEKDAY(C1841,2)+4),1,3)+WEEKDAY(DATE(YEAR(C1841-WEEKDAY(C1841,2)+4),1,3),2)+5)/7),"00"))</f>
        <v/>
      </c>
    </row>
    <row r="1842" ht="18" customHeight="1">
      <c r="A1842" s="39" t="n">
        <v>1837</v>
      </c>
      <c r="B1842" s="33">
        <f>IF(C1842="","",IF(P1842="À RENSEIGNER","GIC",P1842)&amp;"-C"&amp;TEXT(A1842,"00000"))</f>
        <v/>
      </c>
      <c r="C1842" s="32" t="n"/>
      <c r="D1842" s="36" t="n"/>
      <c r="E1842" s="36" t="n"/>
      <c r="F1842" s="36" t="n"/>
      <c r="G1842" s="42" t="n"/>
      <c r="H1842" s="37" t="n"/>
      <c r="I1842" s="37" t="n"/>
      <c r="J1842" s="32" t="n"/>
      <c r="K1842" s="32" t="n"/>
      <c r="L1842" s="43" t="n"/>
      <c r="M1842" s="36" t="n"/>
      <c r="N1842" s="44" t="n"/>
      <c r="O1842" s="36" t="n"/>
      <c r="P1842" s="33">
        <f>IF(C1842="","",Commercial_Id)</f>
        <v/>
      </c>
      <c r="Q1842" s="34">
        <f>IF(AC1842="","",IF(AD1842=1,"C"&amp;TEXT(SUM(AD$6:AD1842),"0000"),INDEX(Q$6:Q1841,MATCH(AC1842,AC$6:AC1841,0))))</f>
        <v/>
      </c>
      <c r="R1842" s="34">
        <f>IF(C1842="","",IF(L1842="☑ Oui","Annulée",IF(OR(E1842="Vente directe",K1842&lt;&gt;""),"Livrée",IF(J1842&lt;&gt;"","Confirmée","En attente"))))</f>
        <v/>
      </c>
      <c r="S1842" s="34">
        <f>IF(F1842="","",IFERROR(VLOOKUP(F1842,T_Produits,2,FALSE),""))</f>
        <v/>
      </c>
      <c r="T1842" s="40">
        <f>IF(F1842="","",IFERROR(1/(1/VLOOKUP(F1842,T_Produits,3,FALSE)),""))</f>
        <v/>
      </c>
      <c r="U1842" s="40">
        <f>IF(H1842&lt;&gt;"",H1842,T1842)</f>
        <v/>
      </c>
      <c r="V1842" s="40">
        <f>IF(OR(G1842="",U1842=""),"",G1842*U1842-N(I1842))</f>
        <v/>
      </c>
      <c r="W1842" s="39">
        <f>IF(D1842="","",IFERROR(VALUE(MID(D1842,LEN(D1842)-3,3)),""))</f>
        <v/>
      </c>
      <c r="X1842" s="33">
        <f>IF(W1842="","",P1842&amp;"|"&amp;W1842)</f>
        <v/>
      </c>
      <c r="Y1842" s="33">
        <f>IF(W1842="","",IF(P1842="À RENSEIGNER","GIC",P1842)&amp;"-"&amp;TEXT(W1842,"000"))</f>
        <v/>
      </c>
      <c r="Z1842" s="33">
        <f>IF(X1842="","",IFERROR(INDEX(Cl_nom,MATCH(X1842,Cl_cle,0)),"(client introuvable)"))</f>
        <v/>
      </c>
      <c r="AA1842" s="33">
        <f>IF(X1842="","",IFERROR(INDEX(Cl_quartier,MATCH(X1842,Cl_cle,0))&amp;"",""))</f>
        <v/>
      </c>
      <c r="AB1842" s="45">
        <f>IF(R1842&lt;&gt;"Livrée",0,IF(K1842&lt;&gt;"",K1842,C1842))</f>
        <v/>
      </c>
      <c r="AC1842" s="33">
        <f>IF(OR(C1842="",W1842=""),"",P1842&amp;"|"&amp;W1842&amp;"|"&amp;C1842&amp;"|"&amp;E1842)</f>
        <v/>
      </c>
      <c r="AD1842" s="39">
        <f>IF(AC1842="","",IF(COUNTIF(AC$6:AC1842,AC1842)=1,1,0))</f>
        <v/>
      </c>
      <c r="AE1842" s="39">
        <f>IF(AB1842=0,"",IF(COUNTIFS(X$6:X1842,X1842,AB$6:AB1842,AB1842)=1,1,0))</f>
        <v/>
      </c>
      <c r="AF1842" s="34">
        <f>IF(C1842="","",YEAR(C1842-WEEKDAY(C1842,2)+4)&amp;"-S"&amp;TEXT(INT((C1842-DATE(YEAR(C1842-WEEKDAY(C1842,2)+4),1,3)+WEEKDAY(DATE(YEAR(C1842-WEEKDAY(C1842,2)+4),1,3),2)+5)/7),"00"))</f>
        <v/>
      </c>
    </row>
    <row r="1843" ht="18" customHeight="1">
      <c r="A1843" s="39" t="n">
        <v>1838</v>
      </c>
      <c r="B1843" s="33">
        <f>IF(C1843="","",IF(P1843="À RENSEIGNER","GIC",P1843)&amp;"-C"&amp;TEXT(A1843,"00000"))</f>
        <v/>
      </c>
      <c r="C1843" s="32" t="n"/>
      <c r="D1843" s="36" t="n"/>
      <c r="E1843" s="36" t="n"/>
      <c r="F1843" s="36" t="n"/>
      <c r="G1843" s="42" t="n"/>
      <c r="H1843" s="37" t="n"/>
      <c r="I1843" s="37" t="n"/>
      <c r="J1843" s="32" t="n"/>
      <c r="K1843" s="32" t="n"/>
      <c r="L1843" s="43" t="n"/>
      <c r="M1843" s="36" t="n"/>
      <c r="N1843" s="44" t="n"/>
      <c r="O1843" s="36" t="n"/>
      <c r="P1843" s="33">
        <f>IF(C1843="","",Commercial_Id)</f>
        <v/>
      </c>
      <c r="Q1843" s="34">
        <f>IF(AC1843="","",IF(AD1843=1,"C"&amp;TEXT(SUM(AD$6:AD1843),"0000"),INDEX(Q$6:Q1842,MATCH(AC1843,AC$6:AC1842,0))))</f>
        <v/>
      </c>
      <c r="R1843" s="34">
        <f>IF(C1843="","",IF(L1843="☑ Oui","Annulée",IF(OR(E1843="Vente directe",K1843&lt;&gt;""),"Livrée",IF(J1843&lt;&gt;"","Confirmée","En attente"))))</f>
        <v/>
      </c>
      <c r="S1843" s="34">
        <f>IF(F1843="","",IFERROR(VLOOKUP(F1843,T_Produits,2,FALSE),""))</f>
        <v/>
      </c>
      <c r="T1843" s="40">
        <f>IF(F1843="","",IFERROR(1/(1/VLOOKUP(F1843,T_Produits,3,FALSE)),""))</f>
        <v/>
      </c>
      <c r="U1843" s="40">
        <f>IF(H1843&lt;&gt;"",H1843,T1843)</f>
        <v/>
      </c>
      <c r="V1843" s="40">
        <f>IF(OR(G1843="",U1843=""),"",G1843*U1843-N(I1843))</f>
        <v/>
      </c>
      <c r="W1843" s="39">
        <f>IF(D1843="","",IFERROR(VALUE(MID(D1843,LEN(D1843)-3,3)),""))</f>
        <v/>
      </c>
      <c r="X1843" s="33">
        <f>IF(W1843="","",P1843&amp;"|"&amp;W1843)</f>
        <v/>
      </c>
      <c r="Y1843" s="33">
        <f>IF(W1843="","",IF(P1843="À RENSEIGNER","GIC",P1843)&amp;"-"&amp;TEXT(W1843,"000"))</f>
        <v/>
      </c>
      <c r="Z1843" s="33">
        <f>IF(X1843="","",IFERROR(INDEX(Cl_nom,MATCH(X1843,Cl_cle,0)),"(client introuvable)"))</f>
        <v/>
      </c>
      <c r="AA1843" s="33">
        <f>IF(X1843="","",IFERROR(INDEX(Cl_quartier,MATCH(X1843,Cl_cle,0))&amp;"",""))</f>
        <v/>
      </c>
      <c r="AB1843" s="45">
        <f>IF(R1843&lt;&gt;"Livrée",0,IF(K1843&lt;&gt;"",K1843,C1843))</f>
        <v/>
      </c>
      <c r="AC1843" s="33">
        <f>IF(OR(C1843="",W1843=""),"",P1843&amp;"|"&amp;W1843&amp;"|"&amp;C1843&amp;"|"&amp;E1843)</f>
        <v/>
      </c>
      <c r="AD1843" s="39">
        <f>IF(AC1843="","",IF(COUNTIF(AC$6:AC1843,AC1843)=1,1,0))</f>
        <v/>
      </c>
      <c r="AE1843" s="39">
        <f>IF(AB1843=0,"",IF(COUNTIFS(X$6:X1843,X1843,AB$6:AB1843,AB1843)=1,1,0))</f>
        <v/>
      </c>
      <c r="AF1843" s="34">
        <f>IF(C1843="","",YEAR(C1843-WEEKDAY(C1843,2)+4)&amp;"-S"&amp;TEXT(INT((C1843-DATE(YEAR(C1843-WEEKDAY(C1843,2)+4),1,3)+WEEKDAY(DATE(YEAR(C1843-WEEKDAY(C1843,2)+4),1,3),2)+5)/7),"00"))</f>
        <v/>
      </c>
    </row>
    <row r="1844" ht="18" customHeight="1">
      <c r="A1844" s="39" t="n">
        <v>1839</v>
      </c>
      <c r="B1844" s="33">
        <f>IF(C1844="","",IF(P1844="À RENSEIGNER","GIC",P1844)&amp;"-C"&amp;TEXT(A1844,"00000"))</f>
        <v/>
      </c>
      <c r="C1844" s="32" t="n"/>
      <c r="D1844" s="36" t="n"/>
      <c r="E1844" s="36" t="n"/>
      <c r="F1844" s="36" t="n"/>
      <c r="G1844" s="42" t="n"/>
      <c r="H1844" s="37" t="n"/>
      <c r="I1844" s="37" t="n"/>
      <c r="J1844" s="32" t="n"/>
      <c r="K1844" s="32" t="n"/>
      <c r="L1844" s="43" t="n"/>
      <c r="M1844" s="36" t="n"/>
      <c r="N1844" s="44" t="n"/>
      <c r="O1844" s="36" t="n"/>
      <c r="P1844" s="33">
        <f>IF(C1844="","",Commercial_Id)</f>
        <v/>
      </c>
      <c r="Q1844" s="34">
        <f>IF(AC1844="","",IF(AD1844=1,"C"&amp;TEXT(SUM(AD$6:AD1844),"0000"),INDEX(Q$6:Q1843,MATCH(AC1844,AC$6:AC1843,0))))</f>
        <v/>
      </c>
      <c r="R1844" s="34">
        <f>IF(C1844="","",IF(L1844="☑ Oui","Annulée",IF(OR(E1844="Vente directe",K1844&lt;&gt;""),"Livrée",IF(J1844&lt;&gt;"","Confirmée","En attente"))))</f>
        <v/>
      </c>
      <c r="S1844" s="34">
        <f>IF(F1844="","",IFERROR(VLOOKUP(F1844,T_Produits,2,FALSE),""))</f>
        <v/>
      </c>
      <c r="T1844" s="40">
        <f>IF(F1844="","",IFERROR(1/(1/VLOOKUP(F1844,T_Produits,3,FALSE)),""))</f>
        <v/>
      </c>
      <c r="U1844" s="40">
        <f>IF(H1844&lt;&gt;"",H1844,T1844)</f>
        <v/>
      </c>
      <c r="V1844" s="40">
        <f>IF(OR(G1844="",U1844=""),"",G1844*U1844-N(I1844))</f>
        <v/>
      </c>
      <c r="W1844" s="39">
        <f>IF(D1844="","",IFERROR(VALUE(MID(D1844,LEN(D1844)-3,3)),""))</f>
        <v/>
      </c>
      <c r="X1844" s="33">
        <f>IF(W1844="","",P1844&amp;"|"&amp;W1844)</f>
        <v/>
      </c>
      <c r="Y1844" s="33">
        <f>IF(W1844="","",IF(P1844="À RENSEIGNER","GIC",P1844)&amp;"-"&amp;TEXT(W1844,"000"))</f>
        <v/>
      </c>
      <c r="Z1844" s="33">
        <f>IF(X1844="","",IFERROR(INDEX(Cl_nom,MATCH(X1844,Cl_cle,0)),"(client introuvable)"))</f>
        <v/>
      </c>
      <c r="AA1844" s="33">
        <f>IF(X1844="","",IFERROR(INDEX(Cl_quartier,MATCH(X1844,Cl_cle,0))&amp;"",""))</f>
        <v/>
      </c>
      <c r="AB1844" s="45">
        <f>IF(R1844&lt;&gt;"Livrée",0,IF(K1844&lt;&gt;"",K1844,C1844))</f>
        <v/>
      </c>
      <c r="AC1844" s="33">
        <f>IF(OR(C1844="",W1844=""),"",P1844&amp;"|"&amp;W1844&amp;"|"&amp;C1844&amp;"|"&amp;E1844)</f>
        <v/>
      </c>
      <c r="AD1844" s="39">
        <f>IF(AC1844="","",IF(COUNTIF(AC$6:AC1844,AC1844)=1,1,0))</f>
        <v/>
      </c>
      <c r="AE1844" s="39">
        <f>IF(AB1844=0,"",IF(COUNTIFS(X$6:X1844,X1844,AB$6:AB1844,AB1844)=1,1,0))</f>
        <v/>
      </c>
      <c r="AF1844" s="34">
        <f>IF(C1844="","",YEAR(C1844-WEEKDAY(C1844,2)+4)&amp;"-S"&amp;TEXT(INT((C1844-DATE(YEAR(C1844-WEEKDAY(C1844,2)+4),1,3)+WEEKDAY(DATE(YEAR(C1844-WEEKDAY(C1844,2)+4),1,3),2)+5)/7),"00"))</f>
        <v/>
      </c>
    </row>
    <row r="1845" ht="18" customHeight="1">
      <c r="A1845" s="39" t="n">
        <v>1840</v>
      </c>
      <c r="B1845" s="33">
        <f>IF(C1845="","",IF(P1845="À RENSEIGNER","GIC",P1845)&amp;"-C"&amp;TEXT(A1845,"00000"))</f>
        <v/>
      </c>
      <c r="C1845" s="32" t="n"/>
      <c r="D1845" s="36" t="n"/>
      <c r="E1845" s="36" t="n"/>
      <c r="F1845" s="36" t="n"/>
      <c r="G1845" s="42" t="n"/>
      <c r="H1845" s="37" t="n"/>
      <c r="I1845" s="37" t="n"/>
      <c r="J1845" s="32" t="n"/>
      <c r="K1845" s="32" t="n"/>
      <c r="L1845" s="43" t="n"/>
      <c r="M1845" s="36" t="n"/>
      <c r="N1845" s="44" t="n"/>
      <c r="O1845" s="36" t="n"/>
      <c r="P1845" s="33">
        <f>IF(C1845="","",Commercial_Id)</f>
        <v/>
      </c>
      <c r="Q1845" s="34">
        <f>IF(AC1845="","",IF(AD1845=1,"C"&amp;TEXT(SUM(AD$6:AD1845),"0000"),INDEX(Q$6:Q1844,MATCH(AC1845,AC$6:AC1844,0))))</f>
        <v/>
      </c>
      <c r="R1845" s="34">
        <f>IF(C1845="","",IF(L1845="☑ Oui","Annulée",IF(OR(E1845="Vente directe",K1845&lt;&gt;""),"Livrée",IF(J1845&lt;&gt;"","Confirmée","En attente"))))</f>
        <v/>
      </c>
      <c r="S1845" s="34">
        <f>IF(F1845="","",IFERROR(VLOOKUP(F1845,T_Produits,2,FALSE),""))</f>
        <v/>
      </c>
      <c r="T1845" s="40">
        <f>IF(F1845="","",IFERROR(1/(1/VLOOKUP(F1845,T_Produits,3,FALSE)),""))</f>
        <v/>
      </c>
      <c r="U1845" s="40">
        <f>IF(H1845&lt;&gt;"",H1845,T1845)</f>
        <v/>
      </c>
      <c r="V1845" s="40">
        <f>IF(OR(G1845="",U1845=""),"",G1845*U1845-N(I1845))</f>
        <v/>
      </c>
      <c r="W1845" s="39">
        <f>IF(D1845="","",IFERROR(VALUE(MID(D1845,LEN(D1845)-3,3)),""))</f>
        <v/>
      </c>
      <c r="X1845" s="33">
        <f>IF(W1845="","",P1845&amp;"|"&amp;W1845)</f>
        <v/>
      </c>
      <c r="Y1845" s="33">
        <f>IF(W1845="","",IF(P1845="À RENSEIGNER","GIC",P1845)&amp;"-"&amp;TEXT(W1845,"000"))</f>
        <v/>
      </c>
      <c r="Z1845" s="33">
        <f>IF(X1845="","",IFERROR(INDEX(Cl_nom,MATCH(X1845,Cl_cle,0)),"(client introuvable)"))</f>
        <v/>
      </c>
      <c r="AA1845" s="33">
        <f>IF(X1845="","",IFERROR(INDEX(Cl_quartier,MATCH(X1845,Cl_cle,0))&amp;"",""))</f>
        <v/>
      </c>
      <c r="AB1845" s="45">
        <f>IF(R1845&lt;&gt;"Livrée",0,IF(K1845&lt;&gt;"",K1845,C1845))</f>
        <v/>
      </c>
      <c r="AC1845" s="33">
        <f>IF(OR(C1845="",W1845=""),"",P1845&amp;"|"&amp;W1845&amp;"|"&amp;C1845&amp;"|"&amp;E1845)</f>
        <v/>
      </c>
      <c r="AD1845" s="39">
        <f>IF(AC1845="","",IF(COUNTIF(AC$6:AC1845,AC1845)=1,1,0))</f>
        <v/>
      </c>
      <c r="AE1845" s="39">
        <f>IF(AB1845=0,"",IF(COUNTIFS(X$6:X1845,X1845,AB$6:AB1845,AB1845)=1,1,0))</f>
        <v/>
      </c>
      <c r="AF1845" s="34">
        <f>IF(C1845="","",YEAR(C1845-WEEKDAY(C1845,2)+4)&amp;"-S"&amp;TEXT(INT((C1845-DATE(YEAR(C1845-WEEKDAY(C1845,2)+4),1,3)+WEEKDAY(DATE(YEAR(C1845-WEEKDAY(C1845,2)+4),1,3),2)+5)/7),"00"))</f>
        <v/>
      </c>
    </row>
    <row r="1846" ht="18" customHeight="1">
      <c r="A1846" s="39" t="n">
        <v>1841</v>
      </c>
      <c r="B1846" s="33">
        <f>IF(C1846="","",IF(P1846="À RENSEIGNER","GIC",P1846)&amp;"-C"&amp;TEXT(A1846,"00000"))</f>
        <v/>
      </c>
      <c r="C1846" s="32" t="n"/>
      <c r="D1846" s="36" t="n"/>
      <c r="E1846" s="36" t="n"/>
      <c r="F1846" s="36" t="n"/>
      <c r="G1846" s="42" t="n"/>
      <c r="H1846" s="37" t="n"/>
      <c r="I1846" s="37" t="n"/>
      <c r="J1846" s="32" t="n"/>
      <c r="K1846" s="32" t="n"/>
      <c r="L1846" s="43" t="n"/>
      <c r="M1846" s="36" t="n"/>
      <c r="N1846" s="44" t="n"/>
      <c r="O1846" s="36" t="n"/>
      <c r="P1846" s="33">
        <f>IF(C1846="","",Commercial_Id)</f>
        <v/>
      </c>
      <c r="Q1846" s="34">
        <f>IF(AC1846="","",IF(AD1846=1,"C"&amp;TEXT(SUM(AD$6:AD1846),"0000"),INDEX(Q$6:Q1845,MATCH(AC1846,AC$6:AC1845,0))))</f>
        <v/>
      </c>
      <c r="R1846" s="34">
        <f>IF(C1846="","",IF(L1846="☑ Oui","Annulée",IF(OR(E1846="Vente directe",K1846&lt;&gt;""),"Livrée",IF(J1846&lt;&gt;"","Confirmée","En attente"))))</f>
        <v/>
      </c>
      <c r="S1846" s="34">
        <f>IF(F1846="","",IFERROR(VLOOKUP(F1846,T_Produits,2,FALSE),""))</f>
        <v/>
      </c>
      <c r="T1846" s="40">
        <f>IF(F1846="","",IFERROR(1/(1/VLOOKUP(F1846,T_Produits,3,FALSE)),""))</f>
        <v/>
      </c>
      <c r="U1846" s="40">
        <f>IF(H1846&lt;&gt;"",H1846,T1846)</f>
        <v/>
      </c>
      <c r="V1846" s="40">
        <f>IF(OR(G1846="",U1846=""),"",G1846*U1846-N(I1846))</f>
        <v/>
      </c>
      <c r="W1846" s="39">
        <f>IF(D1846="","",IFERROR(VALUE(MID(D1846,LEN(D1846)-3,3)),""))</f>
        <v/>
      </c>
      <c r="X1846" s="33">
        <f>IF(W1846="","",P1846&amp;"|"&amp;W1846)</f>
        <v/>
      </c>
      <c r="Y1846" s="33">
        <f>IF(W1846="","",IF(P1846="À RENSEIGNER","GIC",P1846)&amp;"-"&amp;TEXT(W1846,"000"))</f>
        <v/>
      </c>
      <c r="Z1846" s="33">
        <f>IF(X1846="","",IFERROR(INDEX(Cl_nom,MATCH(X1846,Cl_cle,0)),"(client introuvable)"))</f>
        <v/>
      </c>
      <c r="AA1846" s="33">
        <f>IF(X1846="","",IFERROR(INDEX(Cl_quartier,MATCH(X1846,Cl_cle,0))&amp;"",""))</f>
        <v/>
      </c>
      <c r="AB1846" s="45">
        <f>IF(R1846&lt;&gt;"Livrée",0,IF(K1846&lt;&gt;"",K1846,C1846))</f>
        <v/>
      </c>
      <c r="AC1846" s="33">
        <f>IF(OR(C1846="",W1846=""),"",P1846&amp;"|"&amp;W1846&amp;"|"&amp;C1846&amp;"|"&amp;E1846)</f>
        <v/>
      </c>
      <c r="AD1846" s="39">
        <f>IF(AC1846="","",IF(COUNTIF(AC$6:AC1846,AC1846)=1,1,0))</f>
        <v/>
      </c>
      <c r="AE1846" s="39">
        <f>IF(AB1846=0,"",IF(COUNTIFS(X$6:X1846,X1846,AB$6:AB1846,AB1846)=1,1,0))</f>
        <v/>
      </c>
      <c r="AF1846" s="34">
        <f>IF(C1846="","",YEAR(C1846-WEEKDAY(C1846,2)+4)&amp;"-S"&amp;TEXT(INT((C1846-DATE(YEAR(C1846-WEEKDAY(C1846,2)+4),1,3)+WEEKDAY(DATE(YEAR(C1846-WEEKDAY(C1846,2)+4),1,3),2)+5)/7),"00"))</f>
        <v/>
      </c>
    </row>
    <row r="1847" ht="18" customHeight="1">
      <c r="A1847" s="39" t="n">
        <v>1842</v>
      </c>
      <c r="B1847" s="33">
        <f>IF(C1847="","",IF(P1847="À RENSEIGNER","GIC",P1847)&amp;"-C"&amp;TEXT(A1847,"00000"))</f>
        <v/>
      </c>
      <c r="C1847" s="32" t="n"/>
      <c r="D1847" s="36" t="n"/>
      <c r="E1847" s="36" t="n"/>
      <c r="F1847" s="36" t="n"/>
      <c r="G1847" s="42" t="n"/>
      <c r="H1847" s="37" t="n"/>
      <c r="I1847" s="37" t="n"/>
      <c r="J1847" s="32" t="n"/>
      <c r="K1847" s="32" t="n"/>
      <c r="L1847" s="43" t="n"/>
      <c r="M1847" s="36" t="n"/>
      <c r="N1847" s="44" t="n"/>
      <c r="O1847" s="36" t="n"/>
      <c r="P1847" s="33">
        <f>IF(C1847="","",Commercial_Id)</f>
        <v/>
      </c>
      <c r="Q1847" s="34">
        <f>IF(AC1847="","",IF(AD1847=1,"C"&amp;TEXT(SUM(AD$6:AD1847),"0000"),INDEX(Q$6:Q1846,MATCH(AC1847,AC$6:AC1846,0))))</f>
        <v/>
      </c>
      <c r="R1847" s="34">
        <f>IF(C1847="","",IF(L1847="☑ Oui","Annulée",IF(OR(E1847="Vente directe",K1847&lt;&gt;""),"Livrée",IF(J1847&lt;&gt;"","Confirmée","En attente"))))</f>
        <v/>
      </c>
      <c r="S1847" s="34">
        <f>IF(F1847="","",IFERROR(VLOOKUP(F1847,T_Produits,2,FALSE),""))</f>
        <v/>
      </c>
      <c r="T1847" s="40">
        <f>IF(F1847="","",IFERROR(1/(1/VLOOKUP(F1847,T_Produits,3,FALSE)),""))</f>
        <v/>
      </c>
      <c r="U1847" s="40">
        <f>IF(H1847&lt;&gt;"",H1847,T1847)</f>
        <v/>
      </c>
      <c r="V1847" s="40">
        <f>IF(OR(G1847="",U1847=""),"",G1847*U1847-N(I1847))</f>
        <v/>
      </c>
      <c r="W1847" s="39">
        <f>IF(D1847="","",IFERROR(VALUE(MID(D1847,LEN(D1847)-3,3)),""))</f>
        <v/>
      </c>
      <c r="X1847" s="33">
        <f>IF(W1847="","",P1847&amp;"|"&amp;W1847)</f>
        <v/>
      </c>
      <c r="Y1847" s="33">
        <f>IF(W1847="","",IF(P1847="À RENSEIGNER","GIC",P1847)&amp;"-"&amp;TEXT(W1847,"000"))</f>
        <v/>
      </c>
      <c r="Z1847" s="33">
        <f>IF(X1847="","",IFERROR(INDEX(Cl_nom,MATCH(X1847,Cl_cle,0)),"(client introuvable)"))</f>
        <v/>
      </c>
      <c r="AA1847" s="33">
        <f>IF(X1847="","",IFERROR(INDEX(Cl_quartier,MATCH(X1847,Cl_cle,0))&amp;"",""))</f>
        <v/>
      </c>
      <c r="AB1847" s="45">
        <f>IF(R1847&lt;&gt;"Livrée",0,IF(K1847&lt;&gt;"",K1847,C1847))</f>
        <v/>
      </c>
      <c r="AC1847" s="33">
        <f>IF(OR(C1847="",W1847=""),"",P1847&amp;"|"&amp;W1847&amp;"|"&amp;C1847&amp;"|"&amp;E1847)</f>
        <v/>
      </c>
      <c r="AD1847" s="39">
        <f>IF(AC1847="","",IF(COUNTIF(AC$6:AC1847,AC1847)=1,1,0))</f>
        <v/>
      </c>
      <c r="AE1847" s="39">
        <f>IF(AB1847=0,"",IF(COUNTIFS(X$6:X1847,X1847,AB$6:AB1847,AB1847)=1,1,0))</f>
        <v/>
      </c>
      <c r="AF1847" s="34">
        <f>IF(C1847="","",YEAR(C1847-WEEKDAY(C1847,2)+4)&amp;"-S"&amp;TEXT(INT((C1847-DATE(YEAR(C1847-WEEKDAY(C1847,2)+4),1,3)+WEEKDAY(DATE(YEAR(C1847-WEEKDAY(C1847,2)+4),1,3),2)+5)/7),"00"))</f>
        <v/>
      </c>
    </row>
    <row r="1848" ht="18" customHeight="1">
      <c r="A1848" s="39" t="n">
        <v>1843</v>
      </c>
      <c r="B1848" s="33">
        <f>IF(C1848="","",IF(P1848="À RENSEIGNER","GIC",P1848)&amp;"-C"&amp;TEXT(A1848,"00000"))</f>
        <v/>
      </c>
      <c r="C1848" s="32" t="n"/>
      <c r="D1848" s="36" t="n"/>
      <c r="E1848" s="36" t="n"/>
      <c r="F1848" s="36" t="n"/>
      <c r="G1848" s="42" t="n"/>
      <c r="H1848" s="37" t="n"/>
      <c r="I1848" s="37" t="n"/>
      <c r="J1848" s="32" t="n"/>
      <c r="K1848" s="32" t="n"/>
      <c r="L1848" s="43" t="n"/>
      <c r="M1848" s="36" t="n"/>
      <c r="N1848" s="44" t="n"/>
      <c r="O1848" s="36" t="n"/>
      <c r="P1848" s="33">
        <f>IF(C1848="","",Commercial_Id)</f>
        <v/>
      </c>
      <c r="Q1848" s="34">
        <f>IF(AC1848="","",IF(AD1848=1,"C"&amp;TEXT(SUM(AD$6:AD1848),"0000"),INDEX(Q$6:Q1847,MATCH(AC1848,AC$6:AC1847,0))))</f>
        <v/>
      </c>
      <c r="R1848" s="34">
        <f>IF(C1848="","",IF(L1848="☑ Oui","Annulée",IF(OR(E1848="Vente directe",K1848&lt;&gt;""),"Livrée",IF(J1848&lt;&gt;"","Confirmée","En attente"))))</f>
        <v/>
      </c>
      <c r="S1848" s="34">
        <f>IF(F1848="","",IFERROR(VLOOKUP(F1848,T_Produits,2,FALSE),""))</f>
        <v/>
      </c>
      <c r="T1848" s="40">
        <f>IF(F1848="","",IFERROR(1/(1/VLOOKUP(F1848,T_Produits,3,FALSE)),""))</f>
        <v/>
      </c>
      <c r="U1848" s="40">
        <f>IF(H1848&lt;&gt;"",H1848,T1848)</f>
        <v/>
      </c>
      <c r="V1848" s="40">
        <f>IF(OR(G1848="",U1848=""),"",G1848*U1848-N(I1848))</f>
        <v/>
      </c>
      <c r="W1848" s="39">
        <f>IF(D1848="","",IFERROR(VALUE(MID(D1848,LEN(D1848)-3,3)),""))</f>
        <v/>
      </c>
      <c r="X1848" s="33">
        <f>IF(W1848="","",P1848&amp;"|"&amp;W1848)</f>
        <v/>
      </c>
      <c r="Y1848" s="33">
        <f>IF(W1848="","",IF(P1848="À RENSEIGNER","GIC",P1848)&amp;"-"&amp;TEXT(W1848,"000"))</f>
        <v/>
      </c>
      <c r="Z1848" s="33">
        <f>IF(X1848="","",IFERROR(INDEX(Cl_nom,MATCH(X1848,Cl_cle,0)),"(client introuvable)"))</f>
        <v/>
      </c>
      <c r="AA1848" s="33">
        <f>IF(X1848="","",IFERROR(INDEX(Cl_quartier,MATCH(X1848,Cl_cle,0))&amp;"",""))</f>
        <v/>
      </c>
      <c r="AB1848" s="45">
        <f>IF(R1848&lt;&gt;"Livrée",0,IF(K1848&lt;&gt;"",K1848,C1848))</f>
        <v/>
      </c>
      <c r="AC1848" s="33">
        <f>IF(OR(C1848="",W1848=""),"",P1848&amp;"|"&amp;W1848&amp;"|"&amp;C1848&amp;"|"&amp;E1848)</f>
        <v/>
      </c>
      <c r="AD1848" s="39">
        <f>IF(AC1848="","",IF(COUNTIF(AC$6:AC1848,AC1848)=1,1,0))</f>
        <v/>
      </c>
      <c r="AE1848" s="39">
        <f>IF(AB1848=0,"",IF(COUNTIFS(X$6:X1848,X1848,AB$6:AB1848,AB1848)=1,1,0))</f>
        <v/>
      </c>
      <c r="AF1848" s="34">
        <f>IF(C1848="","",YEAR(C1848-WEEKDAY(C1848,2)+4)&amp;"-S"&amp;TEXT(INT((C1848-DATE(YEAR(C1848-WEEKDAY(C1848,2)+4),1,3)+WEEKDAY(DATE(YEAR(C1848-WEEKDAY(C1848,2)+4),1,3),2)+5)/7),"00"))</f>
        <v/>
      </c>
    </row>
    <row r="1849" ht="18" customHeight="1">
      <c r="A1849" s="39" t="n">
        <v>1844</v>
      </c>
      <c r="B1849" s="33">
        <f>IF(C1849="","",IF(P1849="À RENSEIGNER","GIC",P1849)&amp;"-C"&amp;TEXT(A1849,"00000"))</f>
        <v/>
      </c>
      <c r="C1849" s="32" t="n"/>
      <c r="D1849" s="36" t="n"/>
      <c r="E1849" s="36" t="n"/>
      <c r="F1849" s="36" t="n"/>
      <c r="G1849" s="42" t="n"/>
      <c r="H1849" s="37" t="n"/>
      <c r="I1849" s="37" t="n"/>
      <c r="J1849" s="32" t="n"/>
      <c r="K1849" s="32" t="n"/>
      <c r="L1849" s="43" t="n"/>
      <c r="M1849" s="36" t="n"/>
      <c r="N1849" s="44" t="n"/>
      <c r="O1849" s="36" t="n"/>
      <c r="P1849" s="33">
        <f>IF(C1849="","",Commercial_Id)</f>
        <v/>
      </c>
      <c r="Q1849" s="34">
        <f>IF(AC1849="","",IF(AD1849=1,"C"&amp;TEXT(SUM(AD$6:AD1849),"0000"),INDEX(Q$6:Q1848,MATCH(AC1849,AC$6:AC1848,0))))</f>
        <v/>
      </c>
      <c r="R1849" s="34">
        <f>IF(C1849="","",IF(L1849="☑ Oui","Annulée",IF(OR(E1849="Vente directe",K1849&lt;&gt;""),"Livrée",IF(J1849&lt;&gt;"","Confirmée","En attente"))))</f>
        <v/>
      </c>
      <c r="S1849" s="34">
        <f>IF(F1849="","",IFERROR(VLOOKUP(F1849,T_Produits,2,FALSE),""))</f>
        <v/>
      </c>
      <c r="T1849" s="40">
        <f>IF(F1849="","",IFERROR(1/(1/VLOOKUP(F1849,T_Produits,3,FALSE)),""))</f>
        <v/>
      </c>
      <c r="U1849" s="40">
        <f>IF(H1849&lt;&gt;"",H1849,T1849)</f>
        <v/>
      </c>
      <c r="V1849" s="40">
        <f>IF(OR(G1849="",U1849=""),"",G1849*U1849-N(I1849))</f>
        <v/>
      </c>
      <c r="W1849" s="39">
        <f>IF(D1849="","",IFERROR(VALUE(MID(D1849,LEN(D1849)-3,3)),""))</f>
        <v/>
      </c>
      <c r="X1849" s="33">
        <f>IF(W1849="","",P1849&amp;"|"&amp;W1849)</f>
        <v/>
      </c>
      <c r="Y1849" s="33">
        <f>IF(W1849="","",IF(P1849="À RENSEIGNER","GIC",P1849)&amp;"-"&amp;TEXT(W1849,"000"))</f>
        <v/>
      </c>
      <c r="Z1849" s="33">
        <f>IF(X1849="","",IFERROR(INDEX(Cl_nom,MATCH(X1849,Cl_cle,0)),"(client introuvable)"))</f>
        <v/>
      </c>
      <c r="AA1849" s="33">
        <f>IF(X1849="","",IFERROR(INDEX(Cl_quartier,MATCH(X1849,Cl_cle,0))&amp;"",""))</f>
        <v/>
      </c>
      <c r="AB1849" s="45">
        <f>IF(R1849&lt;&gt;"Livrée",0,IF(K1849&lt;&gt;"",K1849,C1849))</f>
        <v/>
      </c>
      <c r="AC1849" s="33">
        <f>IF(OR(C1849="",W1849=""),"",P1849&amp;"|"&amp;W1849&amp;"|"&amp;C1849&amp;"|"&amp;E1849)</f>
        <v/>
      </c>
      <c r="AD1849" s="39">
        <f>IF(AC1849="","",IF(COUNTIF(AC$6:AC1849,AC1849)=1,1,0))</f>
        <v/>
      </c>
      <c r="AE1849" s="39">
        <f>IF(AB1849=0,"",IF(COUNTIFS(X$6:X1849,X1849,AB$6:AB1849,AB1849)=1,1,0))</f>
        <v/>
      </c>
      <c r="AF1849" s="34">
        <f>IF(C1849="","",YEAR(C1849-WEEKDAY(C1849,2)+4)&amp;"-S"&amp;TEXT(INT((C1849-DATE(YEAR(C1849-WEEKDAY(C1849,2)+4),1,3)+WEEKDAY(DATE(YEAR(C1849-WEEKDAY(C1849,2)+4),1,3),2)+5)/7),"00"))</f>
        <v/>
      </c>
    </row>
    <row r="1850" ht="18" customHeight="1">
      <c r="A1850" s="39" t="n">
        <v>1845</v>
      </c>
      <c r="B1850" s="33">
        <f>IF(C1850="","",IF(P1850="À RENSEIGNER","GIC",P1850)&amp;"-C"&amp;TEXT(A1850,"00000"))</f>
        <v/>
      </c>
      <c r="C1850" s="32" t="n"/>
      <c r="D1850" s="36" t="n"/>
      <c r="E1850" s="36" t="n"/>
      <c r="F1850" s="36" t="n"/>
      <c r="G1850" s="42" t="n"/>
      <c r="H1850" s="37" t="n"/>
      <c r="I1850" s="37" t="n"/>
      <c r="J1850" s="32" t="n"/>
      <c r="K1850" s="32" t="n"/>
      <c r="L1850" s="43" t="n"/>
      <c r="M1850" s="36" t="n"/>
      <c r="N1850" s="44" t="n"/>
      <c r="O1850" s="36" t="n"/>
      <c r="P1850" s="33">
        <f>IF(C1850="","",Commercial_Id)</f>
        <v/>
      </c>
      <c r="Q1850" s="34">
        <f>IF(AC1850="","",IF(AD1850=1,"C"&amp;TEXT(SUM(AD$6:AD1850),"0000"),INDEX(Q$6:Q1849,MATCH(AC1850,AC$6:AC1849,0))))</f>
        <v/>
      </c>
      <c r="R1850" s="34">
        <f>IF(C1850="","",IF(L1850="☑ Oui","Annulée",IF(OR(E1850="Vente directe",K1850&lt;&gt;""),"Livrée",IF(J1850&lt;&gt;"","Confirmée","En attente"))))</f>
        <v/>
      </c>
      <c r="S1850" s="34">
        <f>IF(F1850="","",IFERROR(VLOOKUP(F1850,T_Produits,2,FALSE),""))</f>
        <v/>
      </c>
      <c r="T1850" s="40">
        <f>IF(F1850="","",IFERROR(1/(1/VLOOKUP(F1850,T_Produits,3,FALSE)),""))</f>
        <v/>
      </c>
      <c r="U1850" s="40">
        <f>IF(H1850&lt;&gt;"",H1850,T1850)</f>
        <v/>
      </c>
      <c r="V1850" s="40">
        <f>IF(OR(G1850="",U1850=""),"",G1850*U1850-N(I1850))</f>
        <v/>
      </c>
      <c r="W1850" s="39">
        <f>IF(D1850="","",IFERROR(VALUE(MID(D1850,LEN(D1850)-3,3)),""))</f>
        <v/>
      </c>
      <c r="X1850" s="33">
        <f>IF(W1850="","",P1850&amp;"|"&amp;W1850)</f>
        <v/>
      </c>
      <c r="Y1850" s="33">
        <f>IF(W1850="","",IF(P1850="À RENSEIGNER","GIC",P1850)&amp;"-"&amp;TEXT(W1850,"000"))</f>
        <v/>
      </c>
      <c r="Z1850" s="33">
        <f>IF(X1850="","",IFERROR(INDEX(Cl_nom,MATCH(X1850,Cl_cle,0)),"(client introuvable)"))</f>
        <v/>
      </c>
      <c r="AA1850" s="33">
        <f>IF(X1850="","",IFERROR(INDEX(Cl_quartier,MATCH(X1850,Cl_cle,0))&amp;"",""))</f>
        <v/>
      </c>
      <c r="AB1850" s="45">
        <f>IF(R1850&lt;&gt;"Livrée",0,IF(K1850&lt;&gt;"",K1850,C1850))</f>
        <v/>
      </c>
      <c r="AC1850" s="33">
        <f>IF(OR(C1850="",W1850=""),"",P1850&amp;"|"&amp;W1850&amp;"|"&amp;C1850&amp;"|"&amp;E1850)</f>
        <v/>
      </c>
      <c r="AD1850" s="39">
        <f>IF(AC1850="","",IF(COUNTIF(AC$6:AC1850,AC1850)=1,1,0))</f>
        <v/>
      </c>
      <c r="AE1850" s="39">
        <f>IF(AB1850=0,"",IF(COUNTIFS(X$6:X1850,X1850,AB$6:AB1850,AB1850)=1,1,0))</f>
        <v/>
      </c>
      <c r="AF1850" s="34">
        <f>IF(C1850="","",YEAR(C1850-WEEKDAY(C1850,2)+4)&amp;"-S"&amp;TEXT(INT((C1850-DATE(YEAR(C1850-WEEKDAY(C1850,2)+4),1,3)+WEEKDAY(DATE(YEAR(C1850-WEEKDAY(C1850,2)+4),1,3),2)+5)/7),"00"))</f>
        <v/>
      </c>
    </row>
    <row r="1851" ht="18" customHeight="1">
      <c r="A1851" s="39" t="n">
        <v>1846</v>
      </c>
      <c r="B1851" s="33">
        <f>IF(C1851="","",IF(P1851="À RENSEIGNER","GIC",P1851)&amp;"-C"&amp;TEXT(A1851,"00000"))</f>
        <v/>
      </c>
      <c r="C1851" s="32" t="n"/>
      <c r="D1851" s="36" t="n"/>
      <c r="E1851" s="36" t="n"/>
      <c r="F1851" s="36" t="n"/>
      <c r="G1851" s="42" t="n"/>
      <c r="H1851" s="37" t="n"/>
      <c r="I1851" s="37" t="n"/>
      <c r="J1851" s="32" t="n"/>
      <c r="K1851" s="32" t="n"/>
      <c r="L1851" s="43" t="n"/>
      <c r="M1851" s="36" t="n"/>
      <c r="N1851" s="44" t="n"/>
      <c r="O1851" s="36" t="n"/>
      <c r="P1851" s="33">
        <f>IF(C1851="","",Commercial_Id)</f>
        <v/>
      </c>
      <c r="Q1851" s="34">
        <f>IF(AC1851="","",IF(AD1851=1,"C"&amp;TEXT(SUM(AD$6:AD1851),"0000"),INDEX(Q$6:Q1850,MATCH(AC1851,AC$6:AC1850,0))))</f>
        <v/>
      </c>
      <c r="R1851" s="34">
        <f>IF(C1851="","",IF(L1851="☑ Oui","Annulée",IF(OR(E1851="Vente directe",K1851&lt;&gt;""),"Livrée",IF(J1851&lt;&gt;"","Confirmée","En attente"))))</f>
        <v/>
      </c>
      <c r="S1851" s="34">
        <f>IF(F1851="","",IFERROR(VLOOKUP(F1851,T_Produits,2,FALSE),""))</f>
        <v/>
      </c>
      <c r="T1851" s="40">
        <f>IF(F1851="","",IFERROR(1/(1/VLOOKUP(F1851,T_Produits,3,FALSE)),""))</f>
        <v/>
      </c>
      <c r="U1851" s="40">
        <f>IF(H1851&lt;&gt;"",H1851,T1851)</f>
        <v/>
      </c>
      <c r="V1851" s="40">
        <f>IF(OR(G1851="",U1851=""),"",G1851*U1851-N(I1851))</f>
        <v/>
      </c>
      <c r="W1851" s="39">
        <f>IF(D1851="","",IFERROR(VALUE(MID(D1851,LEN(D1851)-3,3)),""))</f>
        <v/>
      </c>
      <c r="X1851" s="33">
        <f>IF(W1851="","",P1851&amp;"|"&amp;W1851)</f>
        <v/>
      </c>
      <c r="Y1851" s="33">
        <f>IF(W1851="","",IF(P1851="À RENSEIGNER","GIC",P1851)&amp;"-"&amp;TEXT(W1851,"000"))</f>
        <v/>
      </c>
      <c r="Z1851" s="33">
        <f>IF(X1851="","",IFERROR(INDEX(Cl_nom,MATCH(X1851,Cl_cle,0)),"(client introuvable)"))</f>
        <v/>
      </c>
      <c r="AA1851" s="33">
        <f>IF(X1851="","",IFERROR(INDEX(Cl_quartier,MATCH(X1851,Cl_cle,0))&amp;"",""))</f>
        <v/>
      </c>
      <c r="AB1851" s="45">
        <f>IF(R1851&lt;&gt;"Livrée",0,IF(K1851&lt;&gt;"",K1851,C1851))</f>
        <v/>
      </c>
      <c r="AC1851" s="33">
        <f>IF(OR(C1851="",W1851=""),"",P1851&amp;"|"&amp;W1851&amp;"|"&amp;C1851&amp;"|"&amp;E1851)</f>
        <v/>
      </c>
      <c r="AD1851" s="39">
        <f>IF(AC1851="","",IF(COUNTIF(AC$6:AC1851,AC1851)=1,1,0))</f>
        <v/>
      </c>
      <c r="AE1851" s="39">
        <f>IF(AB1851=0,"",IF(COUNTIFS(X$6:X1851,X1851,AB$6:AB1851,AB1851)=1,1,0))</f>
        <v/>
      </c>
      <c r="AF1851" s="34">
        <f>IF(C1851="","",YEAR(C1851-WEEKDAY(C1851,2)+4)&amp;"-S"&amp;TEXT(INT((C1851-DATE(YEAR(C1851-WEEKDAY(C1851,2)+4),1,3)+WEEKDAY(DATE(YEAR(C1851-WEEKDAY(C1851,2)+4),1,3),2)+5)/7),"00"))</f>
        <v/>
      </c>
    </row>
    <row r="1852" ht="18" customHeight="1">
      <c r="A1852" s="39" t="n">
        <v>1847</v>
      </c>
      <c r="B1852" s="33">
        <f>IF(C1852="","",IF(P1852="À RENSEIGNER","GIC",P1852)&amp;"-C"&amp;TEXT(A1852,"00000"))</f>
        <v/>
      </c>
      <c r="C1852" s="32" t="n"/>
      <c r="D1852" s="36" t="n"/>
      <c r="E1852" s="36" t="n"/>
      <c r="F1852" s="36" t="n"/>
      <c r="G1852" s="42" t="n"/>
      <c r="H1852" s="37" t="n"/>
      <c r="I1852" s="37" t="n"/>
      <c r="J1852" s="32" t="n"/>
      <c r="K1852" s="32" t="n"/>
      <c r="L1852" s="43" t="n"/>
      <c r="M1852" s="36" t="n"/>
      <c r="N1852" s="44" t="n"/>
      <c r="O1852" s="36" t="n"/>
      <c r="P1852" s="33">
        <f>IF(C1852="","",Commercial_Id)</f>
        <v/>
      </c>
      <c r="Q1852" s="34">
        <f>IF(AC1852="","",IF(AD1852=1,"C"&amp;TEXT(SUM(AD$6:AD1852),"0000"),INDEX(Q$6:Q1851,MATCH(AC1852,AC$6:AC1851,0))))</f>
        <v/>
      </c>
      <c r="R1852" s="34">
        <f>IF(C1852="","",IF(L1852="☑ Oui","Annulée",IF(OR(E1852="Vente directe",K1852&lt;&gt;""),"Livrée",IF(J1852&lt;&gt;"","Confirmée","En attente"))))</f>
        <v/>
      </c>
      <c r="S1852" s="34">
        <f>IF(F1852="","",IFERROR(VLOOKUP(F1852,T_Produits,2,FALSE),""))</f>
        <v/>
      </c>
      <c r="T1852" s="40">
        <f>IF(F1852="","",IFERROR(1/(1/VLOOKUP(F1852,T_Produits,3,FALSE)),""))</f>
        <v/>
      </c>
      <c r="U1852" s="40">
        <f>IF(H1852&lt;&gt;"",H1852,T1852)</f>
        <v/>
      </c>
      <c r="V1852" s="40">
        <f>IF(OR(G1852="",U1852=""),"",G1852*U1852-N(I1852))</f>
        <v/>
      </c>
      <c r="W1852" s="39">
        <f>IF(D1852="","",IFERROR(VALUE(MID(D1852,LEN(D1852)-3,3)),""))</f>
        <v/>
      </c>
      <c r="X1852" s="33">
        <f>IF(W1852="","",P1852&amp;"|"&amp;W1852)</f>
        <v/>
      </c>
      <c r="Y1852" s="33">
        <f>IF(W1852="","",IF(P1852="À RENSEIGNER","GIC",P1852)&amp;"-"&amp;TEXT(W1852,"000"))</f>
        <v/>
      </c>
      <c r="Z1852" s="33">
        <f>IF(X1852="","",IFERROR(INDEX(Cl_nom,MATCH(X1852,Cl_cle,0)),"(client introuvable)"))</f>
        <v/>
      </c>
      <c r="AA1852" s="33">
        <f>IF(X1852="","",IFERROR(INDEX(Cl_quartier,MATCH(X1852,Cl_cle,0))&amp;"",""))</f>
        <v/>
      </c>
      <c r="AB1852" s="45">
        <f>IF(R1852&lt;&gt;"Livrée",0,IF(K1852&lt;&gt;"",K1852,C1852))</f>
        <v/>
      </c>
      <c r="AC1852" s="33">
        <f>IF(OR(C1852="",W1852=""),"",P1852&amp;"|"&amp;W1852&amp;"|"&amp;C1852&amp;"|"&amp;E1852)</f>
        <v/>
      </c>
      <c r="AD1852" s="39">
        <f>IF(AC1852="","",IF(COUNTIF(AC$6:AC1852,AC1852)=1,1,0))</f>
        <v/>
      </c>
      <c r="AE1852" s="39">
        <f>IF(AB1852=0,"",IF(COUNTIFS(X$6:X1852,X1852,AB$6:AB1852,AB1852)=1,1,0))</f>
        <v/>
      </c>
      <c r="AF1852" s="34">
        <f>IF(C1852="","",YEAR(C1852-WEEKDAY(C1852,2)+4)&amp;"-S"&amp;TEXT(INT((C1852-DATE(YEAR(C1852-WEEKDAY(C1852,2)+4),1,3)+WEEKDAY(DATE(YEAR(C1852-WEEKDAY(C1852,2)+4),1,3),2)+5)/7),"00"))</f>
        <v/>
      </c>
    </row>
    <row r="1853" ht="18" customHeight="1">
      <c r="A1853" s="39" t="n">
        <v>1848</v>
      </c>
      <c r="B1853" s="33">
        <f>IF(C1853="","",IF(P1853="À RENSEIGNER","GIC",P1853)&amp;"-C"&amp;TEXT(A1853,"00000"))</f>
        <v/>
      </c>
      <c r="C1853" s="32" t="n"/>
      <c r="D1853" s="36" t="n"/>
      <c r="E1853" s="36" t="n"/>
      <c r="F1853" s="36" t="n"/>
      <c r="G1853" s="42" t="n"/>
      <c r="H1853" s="37" t="n"/>
      <c r="I1853" s="37" t="n"/>
      <c r="J1853" s="32" t="n"/>
      <c r="K1853" s="32" t="n"/>
      <c r="L1853" s="43" t="n"/>
      <c r="M1853" s="36" t="n"/>
      <c r="N1853" s="44" t="n"/>
      <c r="O1853" s="36" t="n"/>
      <c r="P1853" s="33">
        <f>IF(C1853="","",Commercial_Id)</f>
        <v/>
      </c>
      <c r="Q1853" s="34">
        <f>IF(AC1853="","",IF(AD1853=1,"C"&amp;TEXT(SUM(AD$6:AD1853),"0000"),INDEX(Q$6:Q1852,MATCH(AC1853,AC$6:AC1852,0))))</f>
        <v/>
      </c>
      <c r="R1853" s="34">
        <f>IF(C1853="","",IF(L1853="☑ Oui","Annulée",IF(OR(E1853="Vente directe",K1853&lt;&gt;""),"Livrée",IF(J1853&lt;&gt;"","Confirmée","En attente"))))</f>
        <v/>
      </c>
      <c r="S1853" s="34">
        <f>IF(F1853="","",IFERROR(VLOOKUP(F1853,T_Produits,2,FALSE),""))</f>
        <v/>
      </c>
      <c r="T1853" s="40">
        <f>IF(F1853="","",IFERROR(1/(1/VLOOKUP(F1853,T_Produits,3,FALSE)),""))</f>
        <v/>
      </c>
      <c r="U1853" s="40">
        <f>IF(H1853&lt;&gt;"",H1853,T1853)</f>
        <v/>
      </c>
      <c r="V1853" s="40">
        <f>IF(OR(G1853="",U1853=""),"",G1853*U1853-N(I1853))</f>
        <v/>
      </c>
      <c r="W1853" s="39">
        <f>IF(D1853="","",IFERROR(VALUE(MID(D1853,LEN(D1853)-3,3)),""))</f>
        <v/>
      </c>
      <c r="X1853" s="33">
        <f>IF(W1853="","",P1853&amp;"|"&amp;W1853)</f>
        <v/>
      </c>
      <c r="Y1853" s="33">
        <f>IF(W1853="","",IF(P1853="À RENSEIGNER","GIC",P1853)&amp;"-"&amp;TEXT(W1853,"000"))</f>
        <v/>
      </c>
      <c r="Z1853" s="33">
        <f>IF(X1853="","",IFERROR(INDEX(Cl_nom,MATCH(X1853,Cl_cle,0)),"(client introuvable)"))</f>
        <v/>
      </c>
      <c r="AA1853" s="33">
        <f>IF(X1853="","",IFERROR(INDEX(Cl_quartier,MATCH(X1853,Cl_cle,0))&amp;"",""))</f>
        <v/>
      </c>
      <c r="AB1853" s="45">
        <f>IF(R1853&lt;&gt;"Livrée",0,IF(K1853&lt;&gt;"",K1853,C1853))</f>
        <v/>
      </c>
      <c r="AC1853" s="33">
        <f>IF(OR(C1853="",W1853=""),"",P1853&amp;"|"&amp;W1853&amp;"|"&amp;C1853&amp;"|"&amp;E1853)</f>
        <v/>
      </c>
      <c r="AD1853" s="39">
        <f>IF(AC1853="","",IF(COUNTIF(AC$6:AC1853,AC1853)=1,1,0))</f>
        <v/>
      </c>
      <c r="AE1853" s="39">
        <f>IF(AB1853=0,"",IF(COUNTIFS(X$6:X1853,X1853,AB$6:AB1853,AB1853)=1,1,0))</f>
        <v/>
      </c>
      <c r="AF1853" s="34">
        <f>IF(C1853="","",YEAR(C1853-WEEKDAY(C1853,2)+4)&amp;"-S"&amp;TEXT(INT((C1853-DATE(YEAR(C1853-WEEKDAY(C1853,2)+4),1,3)+WEEKDAY(DATE(YEAR(C1853-WEEKDAY(C1853,2)+4),1,3),2)+5)/7),"00"))</f>
        <v/>
      </c>
    </row>
    <row r="1854" ht="18" customHeight="1">
      <c r="A1854" s="39" t="n">
        <v>1849</v>
      </c>
      <c r="B1854" s="33">
        <f>IF(C1854="","",IF(P1854="À RENSEIGNER","GIC",P1854)&amp;"-C"&amp;TEXT(A1854,"00000"))</f>
        <v/>
      </c>
      <c r="C1854" s="32" t="n"/>
      <c r="D1854" s="36" t="n"/>
      <c r="E1854" s="36" t="n"/>
      <c r="F1854" s="36" t="n"/>
      <c r="G1854" s="42" t="n"/>
      <c r="H1854" s="37" t="n"/>
      <c r="I1854" s="37" t="n"/>
      <c r="J1854" s="32" t="n"/>
      <c r="K1854" s="32" t="n"/>
      <c r="L1854" s="43" t="n"/>
      <c r="M1854" s="36" t="n"/>
      <c r="N1854" s="44" t="n"/>
      <c r="O1854" s="36" t="n"/>
      <c r="P1854" s="33">
        <f>IF(C1854="","",Commercial_Id)</f>
        <v/>
      </c>
      <c r="Q1854" s="34">
        <f>IF(AC1854="","",IF(AD1854=1,"C"&amp;TEXT(SUM(AD$6:AD1854),"0000"),INDEX(Q$6:Q1853,MATCH(AC1854,AC$6:AC1853,0))))</f>
        <v/>
      </c>
      <c r="R1854" s="34">
        <f>IF(C1854="","",IF(L1854="☑ Oui","Annulée",IF(OR(E1854="Vente directe",K1854&lt;&gt;""),"Livrée",IF(J1854&lt;&gt;"","Confirmée","En attente"))))</f>
        <v/>
      </c>
      <c r="S1854" s="34">
        <f>IF(F1854="","",IFERROR(VLOOKUP(F1854,T_Produits,2,FALSE),""))</f>
        <v/>
      </c>
      <c r="T1854" s="40">
        <f>IF(F1854="","",IFERROR(1/(1/VLOOKUP(F1854,T_Produits,3,FALSE)),""))</f>
        <v/>
      </c>
      <c r="U1854" s="40">
        <f>IF(H1854&lt;&gt;"",H1854,T1854)</f>
        <v/>
      </c>
      <c r="V1854" s="40">
        <f>IF(OR(G1854="",U1854=""),"",G1854*U1854-N(I1854))</f>
        <v/>
      </c>
      <c r="W1854" s="39">
        <f>IF(D1854="","",IFERROR(VALUE(MID(D1854,LEN(D1854)-3,3)),""))</f>
        <v/>
      </c>
      <c r="X1854" s="33">
        <f>IF(W1854="","",P1854&amp;"|"&amp;W1854)</f>
        <v/>
      </c>
      <c r="Y1854" s="33">
        <f>IF(W1854="","",IF(P1854="À RENSEIGNER","GIC",P1854)&amp;"-"&amp;TEXT(W1854,"000"))</f>
        <v/>
      </c>
      <c r="Z1854" s="33">
        <f>IF(X1854="","",IFERROR(INDEX(Cl_nom,MATCH(X1854,Cl_cle,0)),"(client introuvable)"))</f>
        <v/>
      </c>
      <c r="AA1854" s="33">
        <f>IF(X1854="","",IFERROR(INDEX(Cl_quartier,MATCH(X1854,Cl_cle,0))&amp;"",""))</f>
        <v/>
      </c>
      <c r="AB1854" s="45">
        <f>IF(R1854&lt;&gt;"Livrée",0,IF(K1854&lt;&gt;"",K1854,C1854))</f>
        <v/>
      </c>
      <c r="AC1854" s="33">
        <f>IF(OR(C1854="",W1854=""),"",P1854&amp;"|"&amp;W1854&amp;"|"&amp;C1854&amp;"|"&amp;E1854)</f>
        <v/>
      </c>
      <c r="AD1854" s="39">
        <f>IF(AC1854="","",IF(COUNTIF(AC$6:AC1854,AC1854)=1,1,0))</f>
        <v/>
      </c>
      <c r="AE1854" s="39">
        <f>IF(AB1854=0,"",IF(COUNTIFS(X$6:X1854,X1854,AB$6:AB1854,AB1854)=1,1,0))</f>
        <v/>
      </c>
      <c r="AF1854" s="34">
        <f>IF(C1854="","",YEAR(C1854-WEEKDAY(C1854,2)+4)&amp;"-S"&amp;TEXT(INT((C1854-DATE(YEAR(C1854-WEEKDAY(C1854,2)+4),1,3)+WEEKDAY(DATE(YEAR(C1854-WEEKDAY(C1854,2)+4),1,3),2)+5)/7),"00"))</f>
        <v/>
      </c>
    </row>
    <row r="1855" ht="18" customHeight="1">
      <c r="A1855" s="39" t="n">
        <v>1850</v>
      </c>
      <c r="B1855" s="33">
        <f>IF(C1855="","",IF(P1855="À RENSEIGNER","GIC",P1855)&amp;"-C"&amp;TEXT(A1855,"00000"))</f>
        <v/>
      </c>
      <c r="C1855" s="32" t="n"/>
      <c r="D1855" s="36" t="n"/>
      <c r="E1855" s="36" t="n"/>
      <c r="F1855" s="36" t="n"/>
      <c r="G1855" s="42" t="n"/>
      <c r="H1855" s="37" t="n"/>
      <c r="I1855" s="37" t="n"/>
      <c r="J1855" s="32" t="n"/>
      <c r="K1855" s="32" t="n"/>
      <c r="L1855" s="43" t="n"/>
      <c r="M1855" s="36" t="n"/>
      <c r="N1855" s="44" t="n"/>
      <c r="O1855" s="36" t="n"/>
      <c r="P1855" s="33">
        <f>IF(C1855="","",Commercial_Id)</f>
        <v/>
      </c>
      <c r="Q1855" s="34">
        <f>IF(AC1855="","",IF(AD1855=1,"C"&amp;TEXT(SUM(AD$6:AD1855),"0000"),INDEX(Q$6:Q1854,MATCH(AC1855,AC$6:AC1854,0))))</f>
        <v/>
      </c>
      <c r="R1855" s="34">
        <f>IF(C1855="","",IF(L1855="☑ Oui","Annulée",IF(OR(E1855="Vente directe",K1855&lt;&gt;""),"Livrée",IF(J1855&lt;&gt;"","Confirmée","En attente"))))</f>
        <v/>
      </c>
      <c r="S1855" s="34">
        <f>IF(F1855="","",IFERROR(VLOOKUP(F1855,T_Produits,2,FALSE),""))</f>
        <v/>
      </c>
      <c r="T1855" s="40">
        <f>IF(F1855="","",IFERROR(1/(1/VLOOKUP(F1855,T_Produits,3,FALSE)),""))</f>
        <v/>
      </c>
      <c r="U1855" s="40">
        <f>IF(H1855&lt;&gt;"",H1855,T1855)</f>
        <v/>
      </c>
      <c r="V1855" s="40">
        <f>IF(OR(G1855="",U1855=""),"",G1855*U1855-N(I1855))</f>
        <v/>
      </c>
      <c r="W1855" s="39">
        <f>IF(D1855="","",IFERROR(VALUE(MID(D1855,LEN(D1855)-3,3)),""))</f>
        <v/>
      </c>
      <c r="X1855" s="33">
        <f>IF(W1855="","",P1855&amp;"|"&amp;W1855)</f>
        <v/>
      </c>
      <c r="Y1855" s="33">
        <f>IF(W1855="","",IF(P1855="À RENSEIGNER","GIC",P1855)&amp;"-"&amp;TEXT(W1855,"000"))</f>
        <v/>
      </c>
      <c r="Z1855" s="33">
        <f>IF(X1855="","",IFERROR(INDEX(Cl_nom,MATCH(X1855,Cl_cle,0)),"(client introuvable)"))</f>
        <v/>
      </c>
      <c r="AA1855" s="33">
        <f>IF(X1855="","",IFERROR(INDEX(Cl_quartier,MATCH(X1855,Cl_cle,0))&amp;"",""))</f>
        <v/>
      </c>
      <c r="AB1855" s="45">
        <f>IF(R1855&lt;&gt;"Livrée",0,IF(K1855&lt;&gt;"",K1855,C1855))</f>
        <v/>
      </c>
      <c r="AC1855" s="33">
        <f>IF(OR(C1855="",W1855=""),"",P1855&amp;"|"&amp;W1855&amp;"|"&amp;C1855&amp;"|"&amp;E1855)</f>
        <v/>
      </c>
      <c r="AD1855" s="39">
        <f>IF(AC1855="","",IF(COUNTIF(AC$6:AC1855,AC1855)=1,1,0))</f>
        <v/>
      </c>
      <c r="AE1855" s="39">
        <f>IF(AB1855=0,"",IF(COUNTIFS(X$6:X1855,X1855,AB$6:AB1855,AB1855)=1,1,0))</f>
        <v/>
      </c>
      <c r="AF1855" s="34">
        <f>IF(C1855="","",YEAR(C1855-WEEKDAY(C1855,2)+4)&amp;"-S"&amp;TEXT(INT((C1855-DATE(YEAR(C1855-WEEKDAY(C1855,2)+4),1,3)+WEEKDAY(DATE(YEAR(C1855-WEEKDAY(C1855,2)+4),1,3),2)+5)/7),"00"))</f>
        <v/>
      </c>
    </row>
    <row r="1856" ht="18" customHeight="1">
      <c r="A1856" s="39" t="n">
        <v>1851</v>
      </c>
      <c r="B1856" s="33">
        <f>IF(C1856="","",IF(P1856="À RENSEIGNER","GIC",P1856)&amp;"-C"&amp;TEXT(A1856,"00000"))</f>
        <v/>
      </c>
      <c r="C1856" s="32" t="n"/>
      <c r="D1856" s="36" t="n"/>
      <c r="E1856" s="36" t="n"/>
      <c r="F1856" s="36" t="n"/>
      <c r="G1856" s="42" t="n"/>
      <c r="H1856" s="37" t="n"/>
      <c r="I1856" s="37" t="n"/>
      <c r="J1856" s="32" t="n"/>
      <c r="K1856" s="32" t="n"/>
      <c r="L1856" s="43" t="n"/>
      <c r="M1856" s="36" t="n"/>
      <c r="N1856" s="44" t="n"/>
      <c r="O1856" s="36" t="n"/>
      <c r="P1856" s="33">
        <f>IF(C1856="","",Commercial_Id)</f>
        <v/>
      </c>
      <c r="Q1856" s="34">
        <f>IF(AC1856="","",IF(AD1856=1,"C"&amp;TEXT(SUM(AD$6:AD1856),"0000"),INDEX(Q$6:Q1855,MATCH(AC1856,AC$6:AC1855,0))))</f>
        <v/>
      </c>
      <c r="R1856" s="34">
        <f>IF(C1856="","",IF(L1856="☑ Oui","Annulée",IF(OR(E1856="Vente directe",K1856&lt;&gt;""),"Livrée",IF(J1856&lt;&gt;"","Confirmée","En attente"))))</f>
        <v/>
      </c>
      <c r="S1856" s="34">
        <f>IF(F1856="","",IFERROR(VLOOKUP(F1856,T_Produits,2,FALSE),""))</f>
        <v/>
      </c>
      <c r="T1856" s="40">
        <f>IF(F1856="","",IFERROR(1/(1/VLOOKUP(F1856,T_Produits,3,FALSE)),""))</f>
        <v/>
      </c>
      <c r="U1856" s="40">
        <f>IF(H1856&lt;&gt;"",H1856,T1856)</f>
        <v/>
      </c>
      <c r="V1856" s="40">
        <f>IF(OR(G1856="",U1856=""),"",G1856*U1856-N(I1856))</f>
        <v/>
      </c>
      <c r="W1856" s="39">
        <f>IF(D1856="","",IFERROR(VALUE(MID(D1856,LEN(D1856)-3,3)),""))</f>
        <v/>
      </c>
      <c r="X1856" s="33">
        <f>IF(W1856="","",P1856&amp;"|"&amp;W1856)</f>
        <v/>
      </c>
      <c r="Y1856" s="33">
        <f>IF(W1856="","",IF(P1856="À RENSEIGNER","GIC",P1856)&amp;"-"&amp;TEXT(W1856,"000"))</f>
        <v/>
      </c>
      <c r="Z1856" s="33">
        <f>IF(X1856="","",IFERROR(INDEX(Cl_nom,MATCH(X1856,Cl_cle,0)),"(client introuvable)"))</f>
        <v/>
      </c>
      <c r="AA1856" s="33">
        <f>IF(X1856="","",IFERROR(INDEX(Cl_quartier,MATCH(X1856,Cl_cle,0))&amp;"",""))</f>
        <v/>
      </c>
      <c r="AB1856" s="45">
        <f>IF(R1856&lt;&gt;"Livrée",0,IF(K1856&lt;&gt;"",K1856,C1856))</f>
        <v/>
      </c>
      <c r="AC1856" s="33">
        <f>IF(OR(C1856="",W1856=""),"",P1856&amp;"|"&amp;W1856&amp;"|"&amp;C1856&amp;"|"&amp;E1856)</f>
        <v/>
      </c>
      <c r="AD1856" s="39">
        <f>IF(AC1856="","",IF(COUNTIF(AC$6:AC1856,AC1856)=1,1,0))</f>
        <v/>
      </c>
      <c r="AE1856" s="39">
        <f>IF(AB1856=0,"",IF(COUNTIFS(X$6:X1856,X1856,AB$6:AB1856,AB1856)=1,1,0))</f>
        <v/>
      </c>
      <c r="AF1856" s="34">
        <f>IF(C1856="","",YEAR(C1856-WEEKDAY(C1856,2)+4)&amp;"-S"&amp;TEXT(INT((C1856-DATE(YEAR(C1856-WEEKDAY(C1856,2)+4),1,3)+WEEKDAY(DATE(YEAR(C1856-WEEKDAY(C1856,2)+4),1,3),2)+5)/7),"00"))</f>
        <v/>
      </c>
    </row>
    <row r="1857" ht="18" customHeight="1">
      <c r="A1857" s="39" t="n">
        <v>1852</v>
      </c>
      <c r="B1857" s="33">
        <f>IF(C1857="","",IF(P1857="À RENSEIGNER","GIC",P1857)&amp;"-C"&amp;TEXT(A1857,"00000"))</f>
        <v/>
      </c>
      <c r="C1857" s="32" t="n"/>
      <c r="D1857" s="36" t="n"/>
      <c r="E1857" s="36" t="n"/>
      <c r="F1857" s="36" t="n"/>
      <c r="G1857" s="42" t="n"/>
      <c r="H1857" s="37" t="n"/>
      <c r="I1857" s="37" t="n"/>
      <c r="J1857" s="32" t="n"/>
      <c r="K1857" s="32" t="n"/>
      <c r="L1857" s="43" t="n"/>
      <c r="M1857" s="36" t="n"/>
      <c r="N1857" s="44" t="n"/>
      <c r="O1857" s="36" t="n"/>
      <c r="P1857" s="33">
        <f>IF(C1857="","",Commercial_Id)</f>
        <v/>
      </c>
      <c r="Q1857" s="34">
        <f>IF(AC1857="","",IF(AD1857=1,"C"&amp;TEXT(SUM(AD$6:AD1857),"0000"),INDEX(Q$6:Q1856,MATCH(AC1857,AC$6:AC1856,0))))</f>
        <v/>
      </c>
      <c r="R1857" s="34">
        <f>IF(C1857="","",IF(L1857="☑ Oui","Annulée",IF(OR(E1857="Vente directe",K1857&lt;&gt;""),"Livrée",IF(J1857&lt;&gt;"","Confirmée","En attente"))))</f>
        <v/>
      </c>
      <c r="S1857" s="34">
        <f>IF(F1857="","",IFERROR(VLOOKUP(F1857,T_Produits,2,FALSE),""))</f>
        <v/>
      </c>
      <c r="T1857" s="40">
        <f>IF(F1857="","",IFERROR(1/(1/VLOOKUP(F1857,T_Produits,3,FALSE)),""))</f>
        <v/>
      </c>
      <c r="U1857" s="40">
        <f>IF(H1857&lt;&gt;"",H1857,T1857)</f>
        <v/>
      </c>
      <c r="V1857" s="40">
        <f>IF(OR(G1857="",U1857=""),"",G1857*U1857-N(I1857))</f>
        <v/>
      </c>
      <c r="W1857" s="39">
        <f>IF(D1857="","",IFERROR(VALUE(MID(D1857,LEN(D1857)-3,3)),""))</f>
        <v/>
      </c>
      <c r="X1857" s="33">
        <f>IF(W1857="","",P1857&amp;"|"&amp;W1857)</f>
        <v/>
      </c>
      <c r="Y1857" s="33">
        <f>IF(W1857="","",IF(P1857="À RENSEIGNER","GIC",P1857)&amp;"-"&amp;TEXT(W1857,"000"))</f>
        <v/>
      </c>
      <c r="Z1857" s="33">
        <f>IF(X1857="","",IFERROR(INDEX(Cl_nom,MATCH(X1857,Cl_cle,0)),"(client introuvable)"))</f>
        <v/>
      </c>
      <c r="AA1857" s="33">
        <f>IF(X1857="","",IFERROR(INDEX(Cl_quartier,MATCH(X1857,Cl_cle,0))&amp;"",""))</f>
        <v/>
      </c>
      <c r="AB1857" s="45">
        <f>IF(R1857&lt;&gt;"Livrée",0,IF(K1857&lt;&gt;"",K1857,C1857))</f>
        <v/>
      </c>
      <c r="AC1857" s="33">
        <f>IF(OR(C1857="",W1857=""),"",P1857&amp;"|"&amp;W1857&amp;"|"&amp;C1857&amp;"|"&amp;E1857)</f>
        <v/>
      </c>
      <c r="AD1857" s="39">
        <f>IF(AC1857="","",IF(COUNTIF(AC$6:AC1857,AC1857)=1,1,0))</f>
        <v/>
      </c>
      <c r="AE1857" s="39">
        <f>IF(AB1857=0,"",IF(COUNTIFS(X$6:X1857,X1857,AB$6:AB1857,AB1857)=1,1,0))</f>
        <v/>
      </c>
      <c r="AF1857" s="34">
        <f>IF(C1857="","",YEAR(C1857-WEEKDAY(C1857,2)+4)&amp;"-S"&amp;TEXT(INT((C1857-DATE(YEAR(C1857-WEEKDAY(C1857,2)+4),1,3)+WEEKDAY(DATE(YEAR(C1857-WEEKDAY(C1857,2)+4),1,3),2)+5)/7),"00"))</f>
        <v/>
      </c>
    </row>
    <row r="1858" ht="18" customHeight="1">
      <c r="A1858" s="39" t="n">
        <v>1853</v>
      </c>
      <c r="B1858" s="33">
        <f>IF(C1858="","",IF(P1858="À RENSEIGNER","GIC",P1858)&amp;"-C"&amp;TEXT(A1858,"00000"))</f>
        <v/>
      </c>
      <c r="C1858" s="32" t="n"/>
      <c r="D1858" s="36" t="n"/>
      <c r="E1858" s="36" t="n"/>
      <c r="F1858" s="36" t="n"/>
      <c r="G1858" s="42" t="n"/>
      <c r="H1858" s="37" t="n"/>
      <c r="I1858" s="37" t="n"/>
      <c r="J1858" s="32" t="n"/>
      <c r="K1858" s="32" t="n"/>
      <c r="L1858" s="43" t="n"/>
      <c r="M1858" s="36" t="n"/>
      <c r="N1858" s="44" t="n"/>
      <c r="O1858" s="36" t="n"/>
      <c r="P1858" s="33">
        <f>IF(C1858="","",Commercial_Id)</f>
        <v/>
      </c>
      <c r="Q1858" s="34">
        <f>IF(AC1858="","",IF(AD1858=1,"C"&amp;TEXT(SUM(AD$6:AD1858),"0000"),INDEX(Q$6:Q1857,MATCH(AC1858,AC$6:AC1857,0))))</f>
        <v/>
      </c>
      <c r="R1858" s="34">
        <f>IF(C1858="","",IF(L1858="☑ Oui","Annulée",IF(OR(E1858="Vente directe",K1858&lt;&gt;""),"Livrée",IF(J1858&lt;&gt;"","Confirmée","En attente"))))</f>
        <v/>
      </c>
      <c r="S1858" s="34">
        <f>IF(F1858="","",IFERROR(VLOOKUP(F1858,T_Produits,2,FALSE),""))</f>
        <v/>
      </c>
      <c r="T1858" s="40">
        <f>IF(F1858="","",IFERROR(1/(1/VLOOKUP(F1858,T_Produits,3,FALSE)),""))</f>
        <v/>
      </c>
      <c r="U1858" s="40">
        <f>IF(H1858&lt;&gt;"",H1858,T1858)</f>
        <v/>
      </c>
      <c r="V1858" s="40">
        <f>IF(OR(G1858="",U1858=""),"",G1858*U1858-N(I1858))</f>
        <v/>
      </c>
      <c r="W1858" s="39">
        <f>IF(D1858="","",IFERROR(VALUE(MID(D1858,LEN(D1858)-3,3)),""))</f>
        <v/>
      </c>
      <c r="X1858" s="33">
        <f>IF(W1858="","",P1858&amp;"|"&amp;W1858)</f>
        <v/>
      </c>
      <c r="Y1858" s="33">
        <f>IF(W1858="","",IF(P1858="À RENSEIGNER","GIC",P1858)&amp;"-"&amp;TEXT(W1858,"000"))</f>
        <v/>
      </c>
      <c r="Z1858" s="33">
        <f>IF(X1858="","",IFERROR(INDEX(Cl_nom,MATCH(X1858,Cl_cle,0)),"(client introuvable)"))</f>
        <v/>
      </c>
      <c r="AA1858" s="33">
        <f>IF(X1858="","",IFERROR(INDEX(Cl_quartier,MATCH(X1858,Cl_cle,0))&amp;"",""))</f>
        <v/>
      </c>
      <c r="AB1858" s="45">
        <f>IF(R1858&lt;&gt;"Livrée",0,IF(K1858&lt;&gt;"",K1858,C1858))</f>
        <v/>
      </c>
      <c r="AC1858" s="33">
        <f>IF(OR(C1858="",W1858=""),"",P1858&amp;"|"&amp;W1858&amp;"|"&amp;C1858&amp;"|"&amp;E1858)</f>
        <v/>
      </c>
      <c r="AD1858" s="39">
        <f>IF(AC1858="","",IF(COUNTIF(AC$6:AC1858,AC1858)=1,1,0))</f>
        <v/>
      </c>
      <c r="AE1858" s="39">
        <f>IF(AB1858=0,"",IF(COUNTIFS(X$6:X1858,X1858,AB$6:AB1858,AB1858)=1,1,0))</f>
        <v/>
      </c>
      <c r="AF1858" s="34">
        <f>IF(C1858="","",YEAR(C1858-WEEKDAY(C1858,2)+4)&amp;"-S"&amp;TEXT(INT((C1858-DATE(YEAR(C1858-WEEKDAY(C1858,2)+4),1,3)+WEEKDAY(DATE(YEAR(C1858-WEEKDAY(C1858,2)+4),1,3),2)+5)/7),"00"))</f>
        <v/>
      </c>
    </row>
    <row r="1859" ht="18" customHeight="1">
      <c r="A1859" s="39" t="n">
        <v>1854</v>
      </c>
      <c r="B1859" s="33">
        <f>IF(C1859="","",IF(P1859="À RENSEIGNER","GIC",P1859)&amp;"-C"&amp;TEXT(A1859,"00000"))</f>
        <v/>
      </c>
      <c r="C1859" s="32" t="n"/>
      <c r="D1859" s="36" t="n"/>
      <c r="E1859" s="36" t="n"/>
      <c r="F1859" s="36" t="n"/>
      <c r="G1859" s="42" t="n"/>
      <c r="H1859" s="37" t="n"/>
      <c r="I1859" s="37" t="n"/>
      <c r="J1859" s="32" t="n"/>
      <c r="K1859" s="32" t="n"/>
      <c r="L1859" s="43" t="n"/>
      <c r="M1859" s="36" t="n"/>
      <c r="N1859" s="44" t="n"/>
      <c r="O1859" s="36" t="n"/>
      <c r="P1859" s="33">
        <f>IF(C1859="","",Commercial_Id)</f>
        <v/>
      </c>
      <c r="Q1859" s="34">
        <f>IF(AC1859="","",IF(AD1859=1,"C"&amp;TEXT(SUM(AD$6:AD1859),"0000"),INDEX(Q$6:Q1858,MATCH(AC1859,AC$6:AC1858,0))))</f>
        <v/>
      </c>
      <c r="R1859" s="34">
        <f>IF(C1859="","",IF(L1859="☑ Oui","Annulée",IF(OR(E1859="Vente directe",K1859&lt;&gt;""),"Livrée",IF(J1859&lt;&gt;"","Confirmée","En attente"))))</f>
        <v/>
      </c>
      <c r="S1859" s="34">
        <f>IF(F1859="","",IFERROR(VLOOKUP(F1859,T_Produits,2,FALSE),""))</f>
        <v/>
      </c>
      <c r="T1859" s="40">
        <f>IF(F1859="","",IFERROR(1/(1/VLOOKUP(F1859,T_Produits,3,FALSE)),""))</f>
        <v/>
      </c>
      <c r="U1859" s="40">
        <f>IF(H1859&lt;&gt;"",H1859,T1859)</f>
        <v/>
      </c>
      <c r="V1859" s="40">
        <f>IF(OR(G1859="",U1859=""),"",G1859*U1859-N(I1859))</f>
        <v/>
      </c>
      <c r="W1859" s="39">
        <f>IF(D1859="","",IFERROR(VALUE(MID(D1859,LEN(D1859)-3,3)),""))</f>
        <v/>
      </c>
      <c r="X1859" s="33">
        <f>IF(W1859="","",P1859&amp;"|"&amp;W1859)</f>
        <v/>
      </c>
      <c r="Y1859" s="33">
        <f>IF(W1859="","",IF(P1859="À RENSEIGNER","GIC",P1859)&amp;"-"&amp;TEXT(W1859,"000"))</f>
        <v/>
      </c>
      <c r="Z1859" s="33">
        <f>IF(X1859="","",IFERROR(INDEX(Cl_nom,MATCH(X1859,Cl_cle,0)),"(client introuvable)"))</f>
        <v/>
      </c>
      <c r="AA1859" s="33">
        <f>IF(X1859="","",IFERROR(INDEX(Cl_quartier,MATCH(X1859,Cl_cle,0))&amp;"",""))</f>
        <v/>
      </c>
      <c r="AB1859" s="45">
        <f>IF(R1859&lt;&gt;"Livrée",0,IF(K1859&lt;&gt;"",K1859,C1859))</f>
        <v/>
      </c>
      <c r="AC1859" s="33">
        <f>IF(OR(C1859="",W1859=""),"",P1859&amp;"|"&amp;W1859&amp;"|"&amp;C1859&amp;"|"&amp;E1859)</f>
        <v/>
      </c>
      <c r="AD1859" s="39">
        <f>IF(AC1859="","",IF(COUNTIF(AC$6:AC1859,AC1859)=1,1,0))</f>
        <v/>
      </c>
      <c r="AE1859" s="39">
        <f>IF(AB1859=0,"",IF(COUNTIFS(X$6:X1859,X1859,AB$6:AB1859,AB1859)=1,1,0))</f>
        <v/>
      </c>
      <c r="AF1859" s="34">
        <f>IF(C1859="","",YEAR(C1859-WEEKDAY(C1859,2)+4)&amp;"-S"&amp;TEXT(INT((C1859-DATE(YEAR(C1859-WEEKDAY(C1859,2)+4),1,3)+WEEKDAY(DATE(YEAR(C1859-WEEKDAY(C1859,2)+4),1,3),2)+5)/7),"00"))</f>
        <v/>
      </c>
    </row>
    <row r="1860" ht="18" customHeight="1">
      <c r="A1860" s="39" t="n">
        <v>1855</v>
      </c>
      <c r="B1860" s="33">
        <f>IF(C1860="","",IF(P1860="À RENSEIGNER","GIC",P1860)&amp;"-C"&amp;TEXT(A1860,"00000"))</f>
        <v/>
      </c>
      <c r="C1860" s="32" t="n"/>
      <c r="D1860" s="36" t="n"/>
      <c r="E1860" s="36" t="n"/>
      <c r="F1860" s="36" t="n"/>
      <c r="G1860" s="42" t="n"/>
      <c r="H1860" s="37" t="n"/>
      <c r="I1860" s="37" t="n"/>
      <c r="J1860" s="32" t="n"/>
      <c r="K1860" s="32" t="n"/>
      <c r="L1860" s="43" t="n"/>
      <c r="M1860" s="36" t="n"/>
      <c r="N1860" s="44" t="n"/>
      <c r="O1860" s="36" t="n"/>
      <c r="P1860" s="33">
        <f>IF(C1860="","",Commercial_Id)</f>
        <v/>
      </c>
      <c r="Q1860" s="34">
        <f>IF(AC1860="","",IF(AD1860=1,"C"&amp;TEXT(SUM(AD$6:AD1860),"0000"),INDEX(Q$6:Q1859,MATCH(AC1860,AC$6:AC1859,0))))</f>
        <v/>
      </c>
      <c r="R1860" s="34">
        <f>IF(C1860="","",IF(L1860="☑ Oui","Annulée",IF(OR(E1860="Vente directe",K1860&lt;&gt;""),"Livrée",IF(J1860&lt;&gt;"","Confirmée","En attente"))))</f>
        <v/>
      </c>
      <c r="S1860" s="34">
        <f>IF(F1860="","",IFERROR(VLOOKUP(F1860,T_Produits,2,FALSE),""))</f>
        <v/>
      </c>
      <c r="T1860" s="40">
        <f>IF(F1860="","",IFERROR(1/(1/VLOOKUP(F1860,T_Produits,3,FALSE)),""))</f>
        <v/>
      </c>
      <c r="U1860" s="40">
        <f>IF(H1860&lt;&gt;"",H1860,T1860)</f>
        <v/>
      </c>
      <c r="V1860" s="40">
        <f>IF(OR(G1860="",U1860=""),"",G1860*U1860-N(I1860))</f>
        <v/>
      </c>
      <c r="W1860" s="39">
        <f>IF(D1860="","",IFERROR(VALUE(MID(D1860,LEN(D1860)-3,3)),""))</f>
        <v/>
      </c>
      <c r="X1860" s="33">
        <f>IF(W1860="","",P1860&amp;"|"&amp;W1860)</f>
        <v/>
      </c>
      <c r="Y1860" s="33">
        <f>IF(W1860="","",IF(P1860="À RENSEIGNER","GIC",P1860)&amp;"-"&amp;TEXT(W1860,"000"))</f>
        <v/>
      </c>
      <c r="Z1860" s="33">
        <f>IF(X1860="","",IFERROR(INDEX(Cl_nom,MATCH(X1860,Cl_cle,0)),"(client introuvable)"))</f>
        <v/>
      </c>
      <c r="AA1860" s="33">
        <f>IF(X1860="","",IFERROR(INDEX(Cl_quartier,MATCH(X1860,Cl_cle,0))&amp;"",""))</f>
        <v/>
      </c>
      <c r="AB1860" s="45">
        <f>IF(R1860&lt;&gt;"Livrée",0,IF(K1860&lt;&gt;"",K1860,C1860))</f>
        <v/>
      </c>
      <c r="AC1860" s="33">
        <f>IF(OR(C1860="",W1860=""),"",P1860&amp;"|"&amp;W1860&amp;"|"&amp;C1860&amp;"|"&amp;E1860)</f>
        <v/>
      </c>
      <c r="AD1860" s="39">
        <f>IF(AC1860="","",IF(COUNTIF(AC$6:AC1860,AC1860)=1,1,0))</f>
        <v/>
      </c>
      <c r="AE1860" s="39">
        <f>IF(AB1860=0,"",IF(COUNTIFS(X$6:X1860,X1860,AB$6:AB1860,AB1860)=1,1,0))</f>
        <v/>
      </c>
      <c r="AF1860" s="34">
        <f>IF(C1860="","",YEAR(C1860-WEEKDAY(C1860,2)+4)&amp;"-S"&amp;TEXT(INT((C1860-DATE(YEAR(C1860-WEEKDAY(C1860,2)+4),1,3)+WEEKDAY(DATE(YEAR(C1860-WEEKDAY(C1860,2)+4),1,3),2)+5)/7),"00"))</f>
        <v/>
      </c>
    </row>
    <row r="1861" ht="18" customHeight="1">
      <c r="A1861" s="39" t="n">
        <v>1856</v>
      </c>
      <c r="B1861" s="33">
        <f>IF(C1861="","",IF(P1861="À RENSEIGNER","GIC",P1861)&amp;"-C"&amp;TEXT(A1861,"00000"))</f>
        <v/>
      </c>
      <c r="C1861" s="32" t="n"/>
      <c r="D1861" s="36" t="n"/>
      <c r="E1861" s="36" t="n"/>
      <c r="F1861" s="36" t="n"/>
      <c r="G1861" s="42" t="n"/>
      <c r="H1861" s="37" t="n"/>
      <c r="I1861" s="37" t="n"/>
      <c r="J1861" s="32" t="n"/>
      <c r="K1861" s="32" t="n"/>
      <c r="L1861" s="43" t="n"/>
      <c r="M1861" s="36" t="n"/>
      <c r="N1861" s="44" t="n"/>
      <c r="O1861" s="36" t="n"/>
      <c r="P1861" s="33">
        <f>IF(C1861="","",Commercial_Id)</f>
        <v/>
      </c>
      <c r="Q1861" s="34">
        <f>IF(AC1861="","",IF(AD1861=1,"C"&amp;TEXT(SUM(AD$6:AD1861),"0000"),INDEX(Q$6:Q1860,MATCH(AC1861,AC$6:AC1860,0))))</f>
        <v/>
      </c>
      <c r="R1861" s="34">
        <f>IF(C1861="","",IF(L1861="☑ Oui","Annulée",IF(OR(E1861="Vente directe",K1861&lt;&gt;""),"Livrée",IF(J1861&lt;&gt;"","Confirmée","En attente"))))</f>
        <v/>
      </c>
      <c r="S1861" s="34">
        <f>IF(F1861="","",IFERROR(VLOOKUP(F1861,T_Produits,2,FALSE),""))</f>
        <v/>
      </c>
      <c r="T1861" s="40">
        <f>IF(F1861="","",IFERROR(1/(1/VLOOKUP(F1861,T_Produits,3,FALSE)),""))</f>
        <v/>
      </c>
      <c r="U1861" s="40">
        <f>IF(H1861&lt;&gt;"",H1861,T1861)</f>
        <v/>
      </c>
      <c r="V1861" s="40">
        <f>IF(OR(G1861="",U1861=""),"",G1861*U1861-N(I1861))</f>
        <v/>
      </c>
      <c r="W1861" s="39">
        <f>IF(D1861="","",IFERROR(VALUE(MID(D1861,LEN(D1861)-3,3)),""))</f>
        <v/>
      </c>
      <c r="X1861" s="33">
        <f>IF(W1861="","",P1861&amp;"|"&amp;W1861)</f>
        <v/>
      </c>
      <c r="Y1861" s="33">
        <f>IF(W1861="","",IF(P1861="À RENSEIGNER","GIC",P1861)&amp;"-"&amp;TEXT(W1861,"000"))</f>
        <v/>
      </c>
      <c r="Z1861" s="33">
        <f>IF(X1861="","",IFERROR(INDEX(Cl_nom,MATCH(X1861,Cl_cle,0)),"(client introuvable)"))</f>
        <v/>
      </c>
      <c r="AA1861" s="33">
        <f>IF(X1861="","",IFERROR(INDEX(Cl_quartier,MATCH(X1861,Cl_cle,0))&amp;"",""))</f>
        <v/>
      </c>
      <c r="AB1861" s="45">
        <f>IF(R1861&lt;&gt;"Livrée",0,IF(K1861&lt;&gt;"",K1861,C1861))</f>
        <v/>
      </c>
      <c r="AC1861" s="33">
        <f>IF(OR(C1861="",W1861=""),"",P1861&amp;"|"&amp;W1861&amp;"|"&amp;C1861&amp;"|"&amp;E1861)</f>
        <v/>
      </c>
      <c r="AD1861" s="39">
        <f>IF(AC1861="","",IF(COUNTIF(AC$6:AC1861,AC1861)=1,1,0))</f>
        <v/>
      </c>
      <c r="AE1861" s="39">
        <f>IF(AB1861=0,"",IF(COUNTIFS(X$6:X1861,X1861,AB$6:AB1861,AB1861)=1,1,0))</f>
        <v/>
      </c>
      <c r="AF1861" s="34">
        <f>IF(C1861="","",YEAR(C1861-WEEKDAY(C1861,2)+4)&amp;"-S"&amp;TEXT(INT((C1861-DATE(YEAR(C1861-WEEKDAY(C1861,2)+4),1,3)+WEEKDAY(DATE(YEAR(C1861-WEEKDAY(C1861,2)+4),1,3),2)+5)/7),"00"))</f>
        <v/>
      </c>
    </row>
    <row r="1862" ht="18" customHeight="1">
      <c r="A1862" s="39" t="n">
        <v>1857</v>
      </c>
      <c r="B1862" s="33">
        <f>IF(C1862="","",IF(P1862="À RENSEIGNER","GIC",P1862)&amp;"-C"&amp;TEXT(A1862,"00000"))</f>
        <v/>
      </c>
      <c r="C1862" s="32" t="n"/>
      <c r="D1862" s="36" t="n"/>
      <c r="E1862" s="36" t="n"/>
      <c r="F1862" s="36" t="n"/>
      <c r="G1862" s="42" t="n"/>
      <c r="H1862" s="37" t="n"/>
      <c r="I1862" s="37" t="n"/>
      <c r="J1862" s="32" t="n"/>
      <c r="K1862" s="32" t="n"/>
      <c r="L1862" s="43" t="n"/>
      <c r="M1862" s="36" t="n"/>
      <c r="N1862" s="44" t="n"/>
      <c r="O1862" s="36" t="n"/>
      <c r="P1862" s="33">
        <f>IF(C1862="","",Commercial_Id)</f>
        <v/>
      </c>
      <c r="Q1862" s="34">
        <f>IF(AC1862="","",IF(AD1862=1,"C"&amp;TEXT(SUM(AD$6:AD1862),"0000"),INDEX(Q$6:Q1861,MATCH(AC1862,AC$6:AC1861,0))))</f>
        <v/>
      </c>
      <c r="R1862" s="34">
        <f>IF(C1862="","",IF(L1862="☑ Oui","Annulée",IF(OR(E1862="Vente directe",K1862&lt;&gt;""),"Livrée",IF(J1862&lt;&gt;"","Confirmée","En attente"))))</f>
        <v/>
      </c>
      <c r="S1862" s="34">
        <f>IF(F1862="","",IFERROR(VLOOKUP(F1862,T_Produits,2,FALSE),""))</f>
        <v/>
      </c>
      <c r="T1862" s="40">
        <f>IF(F1862="","",IFERROR(1/(1/VLOOKUP(F1862,T_Produits,3,FALSE)),""))</f>
        <v/>
      </c>
      <c r="U1862" s="40">
        <f>IF(H1862&lt;&gt;"",H1862,T1862)</f>
        <v/>
      </c>
      <c r="V1862" s="40">
        <f>IF(OR(G1862="",U1862=""),"",G1862*U1862-N(I1862))</f>
        <v/>
      </c>
      <c r="W1862" s="39">
        <f>IF(D1862="","",IFERROR(VALUE(MID(D1862,LEN(D1862)-3,3)),""))</f>
        <v/>
      </c>
      <c r="X1862" s="33">
        <f>IF(W1862="","",P1862&amp;"|"&amp;W1862)</f>
        <v/>
      </c>
      <c r="Y1862" s="33">
        <f>IF(W1862="","",IF(P1862="À RENSEIGNER","GIC",P1862)&amp;"-"&amp;TEXT(W1862,"000"))</f>
        <v/>
      </c>
      <c r="Z1862" s="33">
        <f>IF(X1862="","",IFERROR(INDEX(Cl_nom,MATCH(X1862,Cl_cle,0)),"(client introuvable)"))</f>
        <v/>
      </c>
      <c r="AA1862" s="33">
        <f>IF(X1862="","",IFERROR(INDEX(Cl_quartier,MATCH(X1862,Cl_cle,0))&amp;"",""))</f>
        <v/>
      </c>
      <c r="AB1862" s="45">
        <f>IF(R1862&lt;&gt;"Livrée",0,IF(K1862&lt;&gt;"",K1862,C1862))</f>
        <v/>
      </c>
      <c r="AC1862" s="33">
        <f>IF(OR(C1862="",W1862=""),"",P1862&amp;"|"&amp;W1862&amp;"|"&amp;C1862&amp;"|"&amp;E1862)</f>
        <v/>
      </c>
      <c r="AD1862" s="39">
        <f>IF(AC1862="","",IF(COUNTIF(AC$6:AC1862,AC1862)=1,1,0))</f>
        <v/>
      </c>
      <c r="AE1862" s="39">
        <f>IF(AB1862=0,"",IF(COUNTIFS(X$6:X1862,X1862,AB$6:AB1862,AB1862)=1,1,0))</f>
        <v/>
      </c>
      <c r="AF1862" s="34">
        <f>IF(C1862="","",YEAR(C1862-WEEKDAY(C1862,2)+4)&amp;"-S"&amp;TEXT(INT((C1862-DATE(YEAR(C1862-WEEKDAY(C1862,2)+4),1,3)+WEEKDAY(DATE(YEAR(C1862-WEEKDAY(C1862,2)+4),1,3),2)+5)/7),"00"))</f>
        <v/>
      </c>
    </row>
    <row r="1863" ht="18" customHeight="1">
      <c r="A1863" s="39" t="n">
        <v>1858</v>
      </c>
      <c r="B1863" s="33">
        <f>IF(C1863="","",IF(P1863="À RENSEIGNER","GIC",P1863)&amp;"-C"&amp;TEXT(A1863,"00000"))</f>
        <v/>
      </c>
      <c r="C1863" s="32" t="n"/>
      <c r="D1863" s="36" t="n"/>
      <c r="E1863" s="36" t="n"/>
      <c r="F1863" s="36" t="n"/>
      <c r="G1863" s="42" t="n"/>
      <c r="H1863" s="37" t="n"/>
      <c r="I1863" s="37" t="n"/>
      <c r="J1863" s="32" t="n"/>
      <c r="K1863" s="32" t="n"/>
      <c r="L1863" s="43" t="n"/>
      <c r="M1863" s="36" t="n"/>
      <c r="N1863" s="44" t="n"/>
      <c r="O1863" s="36" t="n"/>
      <c r="P1863" s="33">
        <f>IF(C1863="","",Commercial_Id)</f>
        <v/>
      </c>
      <c r="Q1863" s="34">
        <f>IF(AC1863="","",IF(AD1863=1,"C"&amp;TEXT(SUM(AD$6:AD1863),"0000"),INDEX(Q$6:Q1862,MATCH(AC1863,AC$6:AC1862,0))))</f>
        <v/>
      </c>
      <c r="R1863" s="34">
        <f>IF(C1863="","",IF(L1863="☑ Oui","Annulée",IF(OR(E1863="Vente directe",K1863&lt;&gt;""),"Livrée",IF(J1863&lt;&gt;"","Confirmée","En attente"))))</f>
        <v/>
      </c>
      <c r="S1863" s="34">
        <f>IF(F1863="","",IFERROR(VLOOKUP(F1863,T_Produits,2,FALSE),""))</f>
        <v/>
      </c>
      <c r="T1863" s="40">
        <f>IF(F1863="","",IFERROR(1/(1/VLOOKUP(F1863,T_Produits,3,FALSE)),""))</f>
        <v/>
      </c>
      <c r="U1863" s="40">
        <f>IF(H1863&lt;&gt;"",H1863,T1863)</f>
        <v/>
      </c>
      <c r="V1863" s="40">
        <f>IF(OR(G1863="",U1863=""),"",G1863*U1863-N(I1863))</f>
        <v/>
      </c>
      <c r="W1863" s="39">
        <f>IF(D1863="","",IFERROR(VALUE(MID(D1863,LEN(D1863)-3,3)),""))</f>
        <v/>
      </c>
      <c r="X1863" s="33">
        <f>IF(W1863="","",P1863&amp;"|"&amp;W1863)</f>
        <v/>
      </c>
      <c r="Y1863" s="33">
        <f>IF(W1863="","",IF(P1863="À RENSEIGNER","GIC",P1863)&amp;"-"&amp;TEXT(W1863,"000"))</f>
        <v/>
      </c>
      <c r="Z1863" s="33">
        <f>IF(X1863="","",IFERROR(INDEX(Cl_nom,MATCH(X1863,Cl_cle,0)),"(client introuvable)"))</f>
        <v/>
      </c>
      <c r="AA1863" s="33">
        <f>IF(X1863="","",IFERROR(INDEX(Cl_quartier,MATCH(X1863,Cl_cle,0))&amp;"",""))</f>
        <v/>
      </c>
      <c r="AB1863" s="45">
        <f>IF(R1863&lt;&gt;"Livrée",0,IF(K1863&lt;&gt;"",K1863,C1863))</f>
        <v/>
      </c>
      <c r="AC1863" s="33">
        <f>IF(OR(C1863="",W1863=""),"",P1863&amp;"|"&amp;W1863&amp;"|"&amp;C1863&amp;"|"&amp;E1863)</f>
        <v/>
      </c>
      <c r="AD1863" s="39">
        <f>IF(AC1863="","",IF(COUNTIF(AC$6:AC1863,AC1863)=1,1,0))</f>
        <v/>
      </c>
      <c r="AE1863" s="39">
        <f>IF(AB1863=0,"",IF(COUNTIFS(X$6:X1863,X1863,AB$6:AB1863,AB1863)=1,1,0))</f>
        <v/>
      </c>
      <c r="AF1863" s="34">
        <f>IF(C1863="","",YEAR(C1863-WEEKDAY(C1863,2)+4)&amp;"-S"&amp;TEXT(INT((C1863-DATE(YEAR(C1863-WEEKDAY(C1863,2)+4),1,3)+WEEKDAY(DATE(YEAR(C1863-WEEKDAY(C1863,2)+4),1,3),2)+5)/7),"00"))</f>
        <v/>
      </c>
    </row>
    <row r="1864" ht="18" customHeight="1">
      <c r="A1864" s="39" t="n">
        <v>1859</v>
      </c>
      <c r="B1864" s="33">
        <f>IF(C1864="","",IF(P1864="À RENSEIGNER","GIC",P1864)&amp;"-C"&amp;TEXT(A1864,"00000"))</f>
        <v/>
      </c>
      <c r="C1864" s="32" t="n"/>
      <c r="D1864" s="36" t="n"/>
      <c r="E1864" s="36" t="n"/>
      <c r="F1864" s="36" t="n"/>
      <c r="G1864" s="42" t="n"/>
      <c r="H1864" s="37" t="n"/>
      <c r="I1864" s="37" t="n"/>
      <c r="J1864" s="32" t="n"/>
      <c r="K1864" s="32" t="n"/>
      <c r="L1864" s="43" t="n"/>
      <c r="M1864" s="36" t="n"/>
      <c r="N1864" s="44" t="n"/>
      <c r="O1864" s="36" t="n"/>
      <c r="P1864" s="33">
        <f>IF(C1864="","",Commercial_Id)</f>
        <v/>
      </c>
      <c r="Q1864" s="34">
        <f>IF(AC1864="","",IF(AD1864=1,"C"&amp;TEXT(SUM(AD$6:AD1864),"0000"),INDEX(Q$6:Q1863,MATCH(AC1864,AC$6:AC1863,0))))</f>
        <v/>
      </c>
      <c r="R1864" s="34">
        <f>IF(C1864="","",IF(L1864="☑ Oui","Annulée",IF(OR(E1864="Vente directe",K1864&lt;&gt;""),"Livrée",IF(J1864&lt;&gt;"","Confirmée","En attente"))))</f>
        <v/>
      </c>
      <c r="S1864" s="34">
        <f>IF(F1864="","",IFERROR(VLOOKUP(F1864,T_Produits,2,FALSE),""))</f>
        <v/>
      </c>
      <c r="T1864" s="40">
        <f>IF(F1864="","",IFERROR(1/(1/VLOOKUP(F1864,T_Produits,3,FALSE)),""))</f>
        <v/>
      </c>
      <c r="U1864" s="40">
        <f>IF(H1864&lt;&gt;"",H1864,T1864)</f>
        <v/>
      </c>
      <c r="V1864" s="40">
        <f>IF(OR(G1864="",U1864=""),"",G1864*U1864-N(I1864))</f>
        <v/>
      </c>
      <c r="W1864" s="39">
        <f>IF(D1864="","",IFERROR(VALUE(MID(D1864,LEN(D1864)-3,3)),""))</f>
        <v/>
      </c>
      <c r="X1864" s="33">
        <f>IF(W1864="","",P1864&amp;"|"&amp;W1864)</f>
        <v/>
      </c>
      <c r="Y1864" s="33">
        <f>IF(W1864="","",IF(P1864="À RENSEIGNER","GIC",P1864)&amp;"-"&amp;TEXT(W1864,"000"))</f>
        <v/>
      </c>
      <c r="Z1864" s="33">
        <f>IF(X1864="","",IFERROR(INDEX(Cl_nom,MATCH(X1864,Cl_cle,0)),"(client introuvable)"))</f>
        <v/>
      </c>
      <c r="AA1864" s="33">
        <f>IF(X1864="","",IFERROR(INDEX(Cl_quartier,MATCH(X1864,Cl_cle,0))&amp;"",""))</f>
        <v/>
      </c>
      <c r="AB1864" s="45">
        <f>IF(R1864&lt;&gt;"Livrée",0,IF(K1864&lt;&gt;"",K1864,C1864))</f>
        <v/>
      </c>
      <c r="AC1864" s="33">
        <f>IF(OR(C1864="",W1864=""),"",P1864&amp;"|"&amp;W1864&amp;"|"&amp;C1864&amp;"|"&amp;E1864)</f>
        <v/>
      </c>
      <c r="AD1864" s="39">
        <f>IF(AC1864="","",IF(COUNTIF(AC$6:AC1864,AC1864)=1,1,0))</f>
        <v/>
      </c>
      <c r="AE1864" s="39">
        <f>IF(AB1864=0,"",IF(COUNTIFS(X$6:X1864,X1864,AB$6:AB1864,AB1864)=1,1,0))</f>
        <v/>
      </c>
      <c r="AF1864" s="34">
        <f>IF(C1864="","",YEAR(C1864-WEEKDAY(C1864,2)+4)&amp;"-S"&amp;TEXT(INT((C1864-DATE(YEAR(C1864-WEEKDAY(C1864,2)+4),1,3)+WEEKDAY(DATE(YEAR(C1864-WEEKDAY(C1864,2)+4),1,3),2)+5)/7),"00"))</f>
        <v/>
      </c>
    </row>
    <row r="1865" ht="18" customHeight="1">
      <c r="A1865" s="39" t="n">
        <v>1860</v>
      </c>
      <c r="B1865" s="33">
        <f>IF(C1865="","",IF(P1865="À RENSEIGNER","GIC",P1865)&amp;"-C"&amp;TEXT(A1865,"00000"))</f>
        <v/>
      </c>
      <c r="C1865" s="32" t="n"/>
      <c r="D1865" s="36" t="n"/>
      <c r="E1865" s="36" t="n"/>
      <c r="F1865" s="36" t="n"/>
      <c r="G1865" s="42" t="n"/>
      <c r="H1865" s="37" t="n"/>
      <c r="I1865" s="37" t="n"/>
      <c r="J1865" s="32" t="n"/>
      <c r="K1865" s="32" t="n"/>
      <c r="L1865" s="43" t="n"/>
      <c r="M1865" s="36" t="n"/>
      <c r="N1865" s="44" t="n"/>
      <c r="O1865" s="36" t="n"/>
      <c r="P1865" s="33">
        <f>IF(C1865="","",Commercial_Id)</f>
        <v/>
      </c>
      <c r="Q1865" s="34">
        <f>IF(AC1865="","",IF(AD1865=1,"C"&amp;TEXT(SUM(AD$6:AD1865),"0000"),INDEX(Q$6:Q1864,MATCH(AC1865,AC$6:AC1864,0))))</f>
        <v/>
      </c>
      <c r="R1865" s="34">
        <f>IF(C1865="","",IF(L1865="☑ Oui","Annulée",IF(OR(E1865="Vente directe",K1865&lt;&gt;""),"Livrée",IF(J1865&lt;&gt;"","Confirmée","En attente"))))</f>
        <v/>
      </c>
      <c r="S1865" s="34">
        <f>IF(F1865="","",IFERROR(VLOOKUP(F1865,T_Produits,2,FALSE),""))</f>
        <v/>
      </c>
      <c r="T1865" s="40">
        <f>IF(F1865="","",IFERROR(1/(1/VLOOKUP(F1865,T_Produits,3,FALSE)),""))</f>
        <v/>
      </c>
      <c r="U1865" s="40">
        <f>IF(H1865&lt;&gt;"",H1865,T1865)</f>
        <v/>
      </c>
      <c r="V1865" s="40">
        <f>IF(OR(G1865="",U1865=""),"",G1865*U1865-N(I1865))</f>
        <v/>
      </c>
      <c r="W1865" s="39">
        <f>IF(D1865="","",IFERROR(VALUE(MID(D1865,LEN(D1865)-3,3)),""))</f>
        <v/>
      </c>
      <c r="X1865" s="33">
        <f>IF(W1865="","",P1865&amp;"|"&amp;W1865)</f>
        <v/>
      </c>
      <c r="Y1865" s="33">
        <f>IF(W1865="","",IF(P1865="À RENSEIGNER","GIC",P1865)&amp;"-"&amp;TEXT(W1865,"000"))</f>
        <v/>
      </c>
      <c r="Z1865" s="33">
        <f>IF(X1865="","",IFERROR(INDEX(Cl_nom,MATCH(X1865,Cl_cle,0)),"(client introuvable)"))</f>
        <v/>
      </c>
      <c r="AA1865" s="33">
        <f>IF(X1865="","",IFERROR(INDEX(Cl_quartier,MATCH(X1865,Cl_cle,0))&amp;"",""))</f>
        <v/>
      </c>
      <c r="AB1865" s="45">
        <f>IF(R1865&lt;&gt;"Livrée",0,IF(K1865&lt;&gt;"",K1865,C1865))</f>
        <v/>
      </c>
      <c r="AC1865" s="33">
        <f>IF(OR(C1865="",W1865=""),"",P1865&amp;"|"&amp;W1865&amp;"|"&amp;C1865&amp;"|"&amp;E1865)</f>
        <v/>
      </c>
      <c r="AD1865" s="39">
        <f>IF(AC1865="","",IF(COUNTIF(AC$6:AC1865,AC1865)=1,1,0))</f>
        <v/>
      </c>
      <c r="AE1865" s="39">
        <f>IF(AB1865=0,"",IF(COUNTIFS(X$6:X1865,X1865,AB$6:AB1865,AB1865)=1,1,0))</f>
        <v/>
      </c>
      <c r="AF1865" s="34">
        <f>IF(C1865="","",YEAR(C1865-WEEKDAY(C1865,2)+4)&amp;"-S"&amp;TEXT(INT((C1865-DATE(YEAR(C1865-WEEKDAY(C1865,2)+4),1,3)+WEEKDAY(DATE(YEAR(C1865-WEEKDAY(C1865,2)+4),1,3),2)+5)/7),"00"))</f>
        <v/>
      </c>
    </row>
    <row r="1866" ht="18" customHeight="1">
      <c r="A1866" s="39" t="n">
        <v>1861</v>
      </c>
      <c r="B1866" s="33">
        <f>IF(C1866="","",IF(P1866="À RENSEIGNER","GIC",P1866)&amp;"-C"&amp;TEXT(A1866,"00000"))</f>
        <v/>
      </c>
      <c r="C1866" s="32" t="n"/>
      <c r="D1866" s="36" t="n"/>
      <c r="E1866" s="36" t="n"/>
      <c r="F1866" s="36" t="n"/>
      <c r="G1866" s="42" t="n"/>
      <c r="H1866" s="37" t="n"/>
      <c r="I1866" s="37" t="n"/>
      <c r="J1866" s="32" t="n"/>
      <c r="K1866" s="32" t="n"/>
      <c r="L1866" s="43" t="n"/>
      <c r="M1866" s="36" t="n"/>
      <c r="N1866" s="44" t="n"/>
      <c r="O1866" s="36" t="n"/>
      <c r="P1866" s="33">
        <f>IF(C1866="","",Commercial_Id)</f>
        <v/>
      </c>
      <c r="Q1866" s="34">
        <f>IF(AC1866="","",IF(AD1866=1,"C"&amp;TEXT(SUM(AD$6:AD1866),"0000"),INDEX(Q$6:Q1865,MATCH(AC1866,AC$6:AC1865,0))))</f>
        <v/>
      </c>
      <c r="R1866" s="34">
        <f>IF(C1866="","",IF(L1866="☑ Oui","Annulée",IF(OR(E1866="Vente directe",K1866&lt;&gt;""),"Livrée",IF(J1866&lt;&gt;"","Confirmée","En attente"))))</f>
        <v/>
      </c>
      <c r="S1866" s="34">
        <f>IF(F1866="","",IFERROR(VLOOKUP(F1866,T_Produits,2,FALSE),""))</f>
        <v/>
      </c>
      <c r="T1866" s="40">
        <f>IF(F1866="","",IFERROR(1/(1/VLOOKUP(F1866,T_Produits,3,FALSE)),""))</f>
        <v/>
      </c>
      <c r="U1866" s="40">
        <f>IF(H1866&lt;&gt;"",H1866,T1866)</f>
        <v/>
      </c>
      <c r="V1866" s="40">
        <f>IF(OR(G1866="",U1866=""),"",G1866*U1866-N(I1866))</f>
        <v/>
      </c>
      <c r="W1866" s="39">
        <f>IF(D1866="","",IFERROR(VALUE(MID(D1866,LEN(D1866)-3,3)),""))</f>
        <v/>
      </c>
      <c r="X1866" s="33">
        <f>IF(W1866="","",P1866&amp;"|"&amp;W1866)</f>
        <v/>
      </c>
      <c r="Y1866" s="33">
        <f>IF(W1866="","",IF(P1866="À RENSEIGNER","GIC",P1866)&amp;"-"&amp;TEXT(W1866,"000"))</f>
        <v/>
      </c>
      <c r="Z1866" s="33">
        <f>IF(X1866="","",IFERROR(INDEX(Cl_nom,MATCH(X1866,Cl_cle,0)),"(client introuvable)"))</f>
        <v/>
      </c>
      <c r="AA1866" s="33">
        <f>IF(X1866="","",IFERROR(INDEX(Cl_quartier,MATCH(X1866,Cl_cle,0))&amp;"",""))</f>
        <v/>
      </c>
      <c r="AB1866" s="45">
        <f>IF(R1866&lt;&gt;"Livrée",0,IF(K1866&lt;&gt;"",K1866,C1866))</f>
        <v/>
      </c>
      <c r="AC1866" s="33">
        <f>IF(OR(C1866="",W1866=""),"",P1866&amp;"|"&amp;W1866&amp;"|"&amp;C1866&amp;"|"&amp;E1866)</f>
        <v/>
      </c>
      <c r="AD1866" s="39">
        <f>IF(AC1866="","",IF(COUNTIF(AC$6:AC1866,AC1866)=1,1,0))</f>
        <v/>
      </c>
      <c r="AE1866" s="39">
        <f>IF(AB1866=0,"",IF(COUNTIFS(X$6:X1866,X1866,AB$6:AB1866,AB1866)=1,1,0))</f>
        <v/>
      </c>
      <c r="AF1866" s="34">
        <f>IF(C1866="","",YEAR(C1866-WEEKDAY(C1866,2)+4)&amp;"-S"&amp;TEXT(INT((C1866-DATE(YEAR(C1866-WEEKDAY(C1866,2)+4),1,3)+WEEKDAY(DATE(YEAR(C1866-WEEKDAY(C1866,2)+4),1,3),2)+5)/7),"00"))</f>
        <v/>
      </c>
    </row>
    <row r="1867" ht="18" customHeight="1">
      <c r="A1867" s="39" t="n">
        <v>1862</v>
      </c>
      <c r="B1867" s="33">
        <f>IF(C1867="","",IF(P1867="À RENSEIGNER","GIC",P1867)&amp;"-C"&amp;TEXT(A1867,"00000"))</f>
        <v/>
      </c>
      <c r="C1867" s="32" t="n"/>
      <c r="D1867" s="36" t="n"/>
      <c r="E1867" s="36" t="n"/>
      <c r="F1867" s="36" t="n"/>
      <c r="G1867" s="42" t="n"/>
      <c r="H1867" s="37" t="n"/>
      <c r="I1867" s="37" t="n"/>
      <c r="J1867" s="32" t="n"/>
      <c r="K1867" s="32" t="n"/>
      <c r="L1867" s="43" t="n"/>
      <c r="M1867" s="36" t="n"/>
      <c r="N1867" s="44" t="n"/>
      <c r="O1867" s="36" t="n"/>
      <c r="P1867" s="33">
        <f>IF(C1867="","",Commercial_Id)</f>
        <v/>
      </c>
      <c r="Q1867" s="34">
        <f>IF(AC1867="","",IF(AD1867=1,"C"&amp;TEXT(SUM(AD$6:AD1867),"0000"),INDEX(Q$6:Q1866,MATCH(AC1867,AC$6:AC1866,0))))</f>
        <v/>
      </c>
      <c r="R1867" s="34">
        <f>IF(C1867="","",IF(L1867="☑ Oui","Annulée",IF(OR(E1867="Vente directe",K1867&lt;&gt;""),"Livrée",IF(J1867&lt;&gt;"","Confirmée","En attente"))))</f>
        <v/>
      </c>
      <c r="S1867" s="34">
        <f>IF(F1867="","",IFERROR(VLOOKUP(F1867,T_Produits,2,FALSE),""))</f>
        <v/>
      </c>
      <c r="T1867" s="40">
        <f>IF(F1867="","",IFERROR(1/(1/VLOOKUP(F1867,T_Produits,3,FALSE)),""))</f>
        <v/>
      </c>
      <c r="U1867" s="40">
        <f>IF(H1867&lt;&gt;"",H1867,T1867)</f>
        <v/>
      </c>
      <c r="V1867" s="40">
        <f>IF(OR(G1867="",U1867=""),"",G1867*U1867-N(I1867))</f>
        <v/>
      </c>
      <c r="W1867" s="39">
        <f>IF(D1867="","",IFERROR(VALUE(MID(D1867,LEN(D1867)-3,3)),""))</f>
        <v/>
      </c>
      <c r="X1867" s="33">
        <f>IF(W1867="","",P1867&amp;"|"&amp;W1867)</f>
        <v/>
      </c>
      <c r="Y1867" s="33">
        <f>IF(W1867="","",IF(P1867="À RENSEIGNER","GIC",P1867)&amp;"-"&amp;TEXT(W1867,"000"))</f>
        <v/>
      </c>
      <c r="Z1867" s="33">
        <f>IF(X1867="","",IFERROR(INDEX(Cl_nom,MATCH(X1867,Cl_cle,0)),"(client introuvable)"))</f>
        <v/>
      </c>
      <c r="AA1867" s="33">
        <f>IF(X1867="","",IFERROR(INDEX(Cl_quartier,MATCH(X1867,Cl_cle,0))&amp;"",""))</f>
        <v/>
      </c>
      <c r="AB1867" s="45">
        <f>IF(R1867&lt;&gt;"Livrée",0,IF(K1867&lt;&gt;"",K1867,C1867))</f>
        <v/>
      </c>
      <c r="AC1867" s="33">
        <f>IF(OR(C1867="",W1867=""),"",P1867&amp;"|"&amp;W1867&amp;"|"&amp;C1867&amp;"|"&amp;E1867)</f>
        <v/>
      </c>
      <c r="AD1867" s="39">
        <f>IF(AC1867="","",IF(COUNTIF(AC$6:AC1867,AC1867)=1,1,0))</f>
        <v/>
      </c>
      <c r="AE1867" s="39">
        <f>IF(AB1867=0,"",IF(COUNTIFS(X$6:X1867,X1867,AB$6:AB1867,AB1867)=1,1,0))</f>
        <v/>
      </c>
      <c r="AF1867" s="34">
        <f>IF(C1867="","",YEAR(C1867-WEEKDAY(C1867,2)+4)&amp;"-S"&amp;TEXT(INT((C1867-DATE(YEAR(C1867-WEEKDAY(C1867,2)+4),1,3)+WEEKDAY(DATE(YEAR(C1867-WEEKDAY(C1867,2)+4),1,3),2)+5)/7),"00"))</f>
        <v/>
      </c>
    </row>
    <row r="1868" ht="18" customHeight="1">
      <c r="A1868" s="39" t="n">
        <v>1863</v>
      </c>
      <c r="B1868" s="33">
        <f>IF(C1868="","",IF(P1868="À RENSEIGNER","GIC",P1868)&amp;"-C"&amp;TEXT(A1868,"00000"))</f>
        <v/>
      </c>
      <c r="C1868" s="32" t="n"/>
      <c r="D1868" s="36" t="n"/>
      <c r="E1868" s="36" t="n"/>
      <c r="F1868" s="36" t="n"/>
      <c r="G1868" s="42" t="n"/>
      <c r="H1868" s="37" t="n"/>
      <c r="I1868" s="37" t="n"/>
      <c r="J1868" s="32" t="n"/>
      <c r="K1868" s="32" t="n"/>
      <c r="L1868" s="43" t="n"/>
      <c r="M1868" s="36" t="n"/>
      <c r="N1868" s="44" t="n"/>
      <c r="O1868" s="36" t="n"/>
      <c r="P1868" s="33">
        <f>IF(C1868="","",Commercial_Id)</f>
        <v/>
      </c>
      <c r="Q1868" s="34">
        <f>IF(AC1868="","",IF(AD1868=1,"C"&amp;TEXT(SUM(AD$6:AD1868),"0000"),INDEX(Q$6:Q1867,MATCH(AC1868,AC$6:AC1867,0))))</f>
        <v/>
      </c>
      <c r="R1868" s="34">
        <f>IF(C1868="","",IF(L1868="☑ Oui","Annulée",IF(OR(E1868="Vente directe",K1868&lt;&gt;""),"Livrée",IF(J1868&lt;&gt;"","Confirmée","En attente"))))</f>
        <v/>
      </c>
      <c r="S1868" s="34">
        <f>IF(F1868="","",IFERROR(VLOOKUP(F1868,T_Produits,2,FALSE),""))</f>
        <v/>
      </c>
      <c r="T1868" s="40">
        <f>IF(F1868="","",IFERROR(1/(1/VLOOKUP(F1868,T_Produits,3,FALSE)),""))</f>
        <v/>
      </c>
      <c r="U1868" s="40">
        <f>IF(H1868&lt;&gt;"",H1868,T1868)</f>
        <v/>
      </c>
      <c r="V1868" s="40">
        <f>IF(OR(G1868="",U1868=""),"",G1868*U1868-N(I1868))</f>
        <v/>
      </c>
      <c r="W1868" s="39">
        <f>IF(D1868="","",IFERROR(VALUE(MID(D1868,LEN(D1868)-3,3)),""))</f>
        <v/>
      </c>
      <c r="X1868" s="33">
        <f>IF(W1868="","",P1868&amp;"|"&amp;W1868)</f>
        <v/>
      </c>
      <c r="Y1868" s="33">
        <f>IF(W1868="","",IF(P1868="À RENSEIGNER","GIC",P1868)&amp;"-"&amp;TEXT(W1868,"000"))</f>
        <v/>
      </c>
      <c r="Z1868" s="33">
        <f>IF(X1868="","",IFERROR(INDEX(Cl_nom,MATCH(X1868,Cl_cle,0)),"(client introuvable)"))</f>
        <v/>
      </c>
      <c r="AA1868" s="33">
        <f>IF(X1868="","",IFERROR(INDEX(Cl_quartier,MATCH(X1868,Cl_cle,0))&amp;"",""))</f>
        <v/>
      </c>
      <c r="AB1868" s="45">
        <f>IF(R1868&lt;&gt;"Livrée",0,IF(K1868&lt;&gt;"",K1868,C1868))</f>
        <v/>
      </c>
      <c r="AC1868" s="33">
        <f>IF(OR(C1868="",W1868=""),"",P1868&amp;"|"&amp;W1868&amp;"|"&amp;C1868&amp;"|"&amp;E1868)</f>
        <v/>
      </c>
      <c r="AD1868" s="39">
        <f>IF(AC1868="","",IF(COUNTIF(AC$6:AC1868,AC1868)=1,1,0))</f>
        <v/>
      </c>
      <c r="AE1868" s="39">
        <f>IF(AB1868=0,"",IF(COUNTIFS(X$6:X1868,X1868,AB$6:AB1868,AB1868)=1,1,0))</f>
        <v/>
      </c>
      <c r="AF1868" s="34">
        <f>IF(C1868="","",YEAR(C1868-WEEKDAY(C1868,2)+4)&amp;"-S"&amp;TEXT(INT((C1868-DATE(YEAR(C1868-WEEKDAY(C1868,2)+4),1,3)+WEEKDAY(DATE(YEAR(C1868-WEEKDAY(C1868,2)+4),1,3),2)+5)/7),"00"))</f>
        <v/>
      </c>
    </row>
    <row r="1869" ht="18" customHeight="1">
      <c r="A1869" s="39" t="n">
        <v>1864</v>
      </c>
      <c r="B1869" s="33">
        <f>IF(C1869="","",IF(P1869="À RENSEIGNER","GIC",P1869)&amp;"-C"&amp;TEXT(A1869,"00000"))</f>
        <v/>
      </c>
      <c r="C1869" s="32" t="n"/>
      <c r="D1869" s="36" t="n"/>
      <c r="E1869" s="36" t="n"/>
      <c r="F1869" s="36" t="n"/>
      <c r="G1869" s="42" t="n"/>
      <c r="H1869" s="37" t="n"/>
      <c r="I1869" s="37" t="n"/>
      <c r="J1869" s="32" t="n"/>
      <c r="K1869" s="32" t="n"/>
      <c r="L1869" s="43" t="n"/>
      <c r="M1869" s="36" t="n"/>
      <c r="N1869" s="44" t="n"/>
      <c r="O1869" s="36" t="n"/>
      <c r="P1869" s="33">
        <f>IF(C1869="","",Commercial_Id)</f>
        <v/>
      </c>
      <c r="Q1869" s="34">
        <f>IF(AC1869="","",IF(AD1869=1,"C"&amp;TEXT(SUM(AD$6:AD1869),"0000"),INDEX(Q$6:Q1868,MATCH(AC1869,AC$6:AC1868,0))))</f>
        <v/>
      </c>
      <c r="R1869" s="34">
        <f>IF(C1869="","",IF(L1869="☑ Oui","Annulée",IF(OR(E1869="Vente directe",K1869&lt;&gt;""),"Livrée",IF(J1869&lt;&gt;"","Confirmée","En attente"))))</f>
        <v/>
      </c>
      <c r="S1869" s="34">
        <f>IF(F1869="","",IFERROR(VLOOKUP(F1869,T_Produits,2,FALSE),""))</f>
        <v/>
      </c>
      <c r="T1869" s="40">
        <f>IF(F1869="","",IFERROR(1/(1/VLOOKUP(F1869,T_Produits,3,FALSE)),""))</f>
        <v/>
      </c>
      <c r="U1869" s="40">
        <f>IF(H1869&lt;&gt;"",H1869,T1869)</f>
        <v/>
      </c>
      <c r="V1869" s="40">
        <f>IF(OR(G1869="",U1869=""),"",G1869*U1869-N(I1869))</f>
        <v/>
      </c>
      <c r="W1869" s="39">
        <f>IF(D1869="","",IFERROR(VALUE(MID(D1869,LEN(D1869)-3,3)),""))</f>
        <v/>
      </c>
      <c r="X1869" s="33">
        <f>IF(W1869="","",P1869&amp;"|"&amp;W1869)</f>
        <v/>
      </c>
      <c r="Y1869" s="33">
        <f>IF(W1869="","",IF(P1869="À RENSEIGNER","GIC",P1869)&amp;"-"&amp;TEXT(W1869,"000"))</f>
        <v/>
      </c>
      <c r="Z1869" s="33">
        <f>IF(X1869="","",IFERROR(INDEX(Cl_nom,MATCH(X1869,Cl_cle,0)),"(client introuvable)"))</f>
        <v/>
      </c>
      <c r="AA1869" s="33">
        <f>IF(X1869="","",IFERROR(INDEX(Cl_quartier,MATCH(X1869,Cl_cle,0))&amp;"",""))</f>
        <v/>
      </c>
      <c r="AB1869" s="45">
        <f>IF(R1869&lt;&gt;"Livrée",0,IF(K1869&lt;&gt;"",K1869,C1869))</f>
        <v/>
      </c>
      <c r="AC1869" s="33">
        <f>IF(OR(C1869="",W1869=""),"",P1869&amp;"|"&amp;W1869&amp;"|"&amp;C1869&amp;"|"&amp;E1869)</f>
        <v/>
      </c>
      <c r="AD1869" s="39">
        <f>IF(AC1869="","",IF(COUNTIF(AC$6:AC1869,AC1869)=1,1,0))</f>
        <v/>
      </c>
      <c r="AE1869" s="39">
        <f>IF(AB1869=0,"",IF(COUNTIFS(X$6:X1869,X1869,AB$6:AB1869,AB1869)=1,1,0))</f>
        <v/>
      </c>
      <c r="AF1869" s="34">
        <f>IF(C1869="","",YEAR(C1869-WEEKDAY(C1869,2)+4)&amp;"-S"&amp;TEXT(INT((C1869-DATE(YEAR(C1869-WEEKDAY(C1869,2)+4),1,3)+WEEKDAY(DATE(YEAR(C1869-WEEKDAY(C1869,2)+4),1,3),2)+5)/7),"00"))</f>
        <v/>
      </c>
    </row>
    <row r="1870" ht="18" customHeight="1">
      <c r="A1870" s="39" t="n">
        <v>1865</v>
      </c>
      <c r="B1870" s="33">
        <f>IF(C1870="","",IF(P1870="À RENSEIGNER","GIC",P1870)&amp;"-C"&amp;TEXT(A1870,"00000"))</f>
        <v/>
      </c>
      <c r="C1870" s="32" t="n"/>
      <c r="D1870" s="36" t="n"/>
      <c r="E1870" s="36" t="n"/>
      <c r="F1870" s="36" t="n"/>
      <c r="G1870" s="42" t="n"/>
      <c r="H1870" s="37" t="n"/>
      <c r="I1870" s="37" t="n"/>
      <c r="J1870" s="32" t="n"/>
      <c r="K1870" s="32" t="n"/>
      <c r="L1870" s="43" t="n"/>
      <c r="M1870" s="36" t="n"/>
      <c r="N1870" s="44" t="n"/>
      <c r="O1870" s="36" t="n"/>
      <c r="P1870" s="33">
        <f>IF(C1870="","",Commercial_Id)</f>
        <v/>
      </c>
      <c r="Q1870" s="34">
        <f>IF(AC1870="","",IF(AD1870=1,"C"&amp;TEXT(SUM(AD$6:AD1870),"0000"),INDEX(Q$6:Q1869,MATCH(AC1870,AC$6:AC1869,0))))</f>
        <v/>
      </c>
      <c r="R1870" s="34">
        <f>IF(C1870="","",IF(L1870="☑ Oui","Annulée",IF(OR(E1870="Vente directe",K1870&lt;&gt;""),"Livrée",IF(J1870&lt;&gt;"","Confirmée","En attente"))))</f>
        <v/>
      </c>
      <c r="S1870" s="34">
        <f>IF(F1870="","",IFERROR(VLOOKUP(F1870,T_Produits,2,FALSE),""))</f>
        <v/>
      </c>
      <c r="T1870" s="40">
        <f>IF(F1870="","",IFERROR(1/(1/VLOOKUP(F1870,T_Produits,3,FALSE)),""))</f>
        <v/>
      </c>
      <c r="U1870" s="40">
        <f>IF(H1870&lt;&gt;"",H1870,T1870)</f>
        <v/>
      </c>
      <c r="V1870" s="40">
        <f>IF(OR(G1870="",U1870=""),"",G1870*U1870-N(I1870))</f>
        <v/>
      </c>
      <c r="W1870" s="39">
        <f>IF(D1870="","",IFERROR(VALUE(MID(D1870,LEN(D1870)-3,3)),""))</f>
        <v/>
      </c>
      <c r="X1870" s="33">
        <f>IF(W1870="","",P1870&amp;"|"&amp;W1870)</f>
        <v/>
      </c>
      <c r="Y1870" s="33">
        <f>IF(W1870="","",IF(P1870="À RENSEIGNER","GIC",P1870)&amp;"-"&amp;TEXT(W1870,"000"))</f>
        <v/>
      </c>
      <c r="Z1870" s="33">
        <f>IF(X1870="","",IFERROR(INDEX(Cl_nom,MATCH(X1870,Cl_cle,0)),"(client introuvable)"))</f>
        <v/>
      </c>
      <c r="AA1870" s="33">
        <f>IF(X1870="","",IFERROR(INDEX(Cl_quartier,MATCH(X1870,Cl_cle,0))&amp;"",""))</f>
        <v/>
      </c>
      <c r="AB1870" s="45">
        <f>IF(R1870&lt;&gt;"Livrée",0,IF(K1870&lt;&gt;"",K1870,C1870))</f>
        <v/>
      </c>
      <c r="AC1870" s="33">
        <f>IF(OR(C1870="",W1870=""),"",P1870&amp;"|"&amp;W1870&amp;"|"&amp;C1870&amp;"|"&amp;E1870)</f>
        <v/>
      </c>
      <c r="AD1870" s="39">
        <f>IF(AC1870="","",IF(COUNTIF(AC$6:AC1870,AC1870)=1,1,0))</f>
        <v/>
      </c>
      <c r="AE1870" s="39">
        <f>IF(AB1870=0,"",IF(COUNTIFS(X$6:X1870,X1870,AB$6:AB1870,AB1870)=1,1,0))</f>
        <v/>
      </c>
      <c r="AF1870" s="34">
        <f>IF(C1870="","",YEAR(C1870-WEEKDAY(C1870,2)+4)&amp;"-S"&amp;TEXT(INT((C1870-DATE(YEAR(C1870-WEEKDAY(C1870,2)+4),1,3)+WEEKDAY(DATE(YEAR(C1870-WEEKDAY(C1870,2)+4),1,3),2)+5)/7),"00"))</f>
        <v/>
      </c>
    </row>
    <row r="1871" ht="18" customHeight="1">
      <c r="A1871" s="39" t="n">
        <v>1866</v>
      </c>
      <c r="B1871" s="33">
        <f>IF(C1871="","",IF(P1871="À RENSEIGNER","GIC",P1871)&amp;"-C"&amp;TEXT(A1871,"00000"))</f>
        <v/>
      </c>
      <c r="C1871" s="32" t="n"/>
      <c r="D1871" s="36" t="n"/>
      <c r="E1871" s="36" t="n"/>
      <c r="F1871" s="36" t="n"/>
      <c r="G1871" s="42" t="n"/>
      <c r="H1871" s="37" t="n"/>
      <c r="I1871" s="37" t="n"/>
      <c r="J1871" s="32" t="n"/>
      <c r="K1871" s="32" t="n"/>
      <c r="L1871" s="43" t="n"/>
      <c r="M1871" s="36" t="n"/>
      <c r="N1871" s="44" t="n"/>
      <c r="O1871" s="36" t="n"/>
      <c r="P1871" s="33">
        <f>IF(C1871="","",Commercial_Id)</f>
        <v/>
      </c>
      <c r="Q1871" s="34">
        <f>IF(AC1871="","",IF(AD1871=1,"C"&amp;TEXT(SUM(AD$6:AD1871),"0000"),INDEX(Q$6:Q1870,MATCH(AC1871,AC$6:AC1870,0))))</f>
        <v/>
      </c>
      <c r="R1871" s="34">
        <f>IF(C1871="","",IF(L1871="☑ Oui","Annulée",IF(OR(E1871="Vente directe",K1871&lt;&gt;""),"Livrée",IF(J1871&lt;&gt;"","Confirmée","En attente"))))</f>
        <v/>
      </c>
      <c r="S1871" s="34">
        <f>IF(F1871="","",IFERROR(VLOOKUP(F1871,T_Produits,2,FALSE),""))</f>
        <v/>
      </c>
      <c r="T1871" s="40">
        <f>IF(F1871="","",IFERROR(1/(1/VLOOKUP(F1871,T_Produits,3,FALSE)),""))</f>
        <v/>
      </c>
      <c r="U1871" s="40">
        <f>IF(H1871&lt;&gt;"",H1871,T1871)</f>
        <v/>
      </c>
      <c r="V1871" s="40">
        <f>IF(OR(G1871="",U1871=""),"",G1871*U1871-N(I1871))</f>
        <v/>
      </c>
      <c r="W1871" s="39">
        <f>IF(D1871="","",IFERROR(VALUE(MID(D1871,LEN(D1871)-3,3)),""))</f>
        <v/>
      </c>
      <c r="X1871" s="33">
        <f>IF(W1871="","",P1871&amp;"|"&amp;W1871)</f>
        <v/>
      </c>
      <c r="Y1871" s="33">
        <f>IF(W1871="","",IF(P1871="À RENSEIGNER","GIC",P1871)&amp;"-"&amp;TEXT(W1871,"000"))</f>
        <v/>
      </c>
      <c r="Z1871" s="33">
        <f>IF(X1871="","",IFERROR(INDEX(Cl_nom,MATCH(X1871,Cl_cle,0)),"(client introuvable)"))</f>
        <v/>
      </c>
      <c r="AA1871" s="33">
        <f>IF(X1871="","",IFERROR(INDEX(Cl_quartier,MATCH(X1871,Cl_cle,0))&amp;"",""))</f>
        <v/>
      </c>
      <c r="AB1871" s="45">
        <f>IF(R1871&lt;&gt;"Livrée",0,IF(K1871&lt;&gt;"",K1871,C1871))</f>
        <v/>
      </c>
      <c r="AC1871" s="33">
        <f>IF(OR(C1871="",W1871=""),"",P1871&amp;"|"&amp;W1871&amp;"|"&amp;C1871&amp;"|"&amp;E1871)</f>
        <v/>
      </c>
      <c r="AD1871" s="39">
        <f>IF(AC1871="","",IF(COUNTIF(AC$6:AC1871,AC1871)=1,1,0))</f>
        <v/>
      </c>
      <c r="AE1871" s="39">
        <f>IF(AB1871=0,"",IF(COUNTIFS(X$6:X1871,X1871,AB$6:AB1871,AB1871)=1,1,0))</f>
        <v/>
      </c>
      <c r="AF1871" s="34">
        <f>IF(C1871="","",YEAR(C1871-WEEKDAY(C1871,2)+4)&amp;"-S"&amp;TEXT(INT((C1871-DATE(YEAR(C1871-WEEKDAY(C1871,2)+4),1,3)+WEEKDAY(DATE(YEAR(C1871-WEEKDAY(C1871,2)+4),1,3),2)+5)/7),"00"))</f>
        <v/>
      </c>
    </row>
    <row r="1872" ht="18" customHeight="1">
      <c r="A1872" s="39" t="n">
        <v>1867</v>
      </c>
      <c r="B1872" s="33">
        <f>IF(C1872="","",IF(P1872="À RENSEIGNER","GIC",P1872)&amp;"-C"&amp;TEXT(A1872,"00000"))</f>
        <v/>
      </c>
      <c r="C1872" s="32" t="n"/>
      <c r="D1872" s="36" t="n"/>
      <c r="E1872" s="36" t="n"/>
      <c r="F1872" s="36" t="n"/>
      <c r="G1872" s="42" t="n"/>
      <c r="H1872" s="37" t="n"/>
      <c r="I1872" s="37" t="n"/>
      <c r="J1872" s="32" t="n"/>
      <c r="K1872" s="32" t="n"/>
      <c r="L1872" s="43" t="n"/>
      <c r="M1872" s="36" t="n"/>
      <c r="N1872" s="44" t="n"/>
      <c r="O1872" s="36" t="n"/>
      <c r="P1872" s="33">
        <f>IF(C1872="","",Commercial_Id)</f>
        <v/>
      </c>
      <c r="Q1872" s="34">
        <f>IF(AC1872="","",IF(AD1872=1,"C"&amp;TEXT(SUM(AD$6:AD1872),"0000"),INDEX(Q$6:Q1871,MATCH(AC1872,AC$6:AC1871,0))))</f>
        <v/>
      </c>
      <c r="R1872" s="34">
        <f>IF(C1872="","",IF(L1872="☑ Oui","Annulée",IF(OR(E1872="Vente directe",K1872&lt;&gt;""),"Livrée",IF(J1872&lt;&gt;"","Confirmée","En attente"))))</f>
        <v/>
      </c>
      <c r="S1872" s="34">
        <f>IF(F1872="","",IFERROR(VLOOKUP(F1872,T_Produits,2,FALSE),""))</f>
        <v/>
      </c>
      <c r="T1872" s="40">
        <f>IF(F1872="","",IFERROR(1/(1/VLOOKUP(F1872,T_Produits,3,FALSE)),""))</f>
        <v/>
      </c>
      <c r="U1872" s="40">
        <f>IF(H1872&lt;&gt;"",H1872,T1872)</f>
        <v/>
      </c>
      <c r="V1872" s="40">
        <f>IF(OR(G1872="",U1872=""),"",G1872*U1872-N(I1872))</f>
        <v/>
      </c>
      <c r="W1872" s="39">
        <f>IF(D1872="","",IFERROR(VALUE(MID(D1872,LEN(D1872)-3,3)),""))</f>
        <v/>
      </c>
      <c r="X1872" s="33">
        <f>IF(W1872="","",P1872&amp;"|"&amp;W1872)</f>
        <v/>
      </c>
      <c r="Y1872" s="33">
        <f>IF(W1872="","",IF(P1872="À RENSEIGNER","GIC",P1872)&amp;"-"&amp;TEXT(W1872,"000"))</f>
        <v/>
      </c>
      <c r="Z1872" s="33">
        <f>IF(X1872="","",IFERROR(INDEX(Cl_nom,MATCH(X1872,Cl_cle,0)),"(client introuvable)"))</f>
        <v/>
      </c>
      <c r="AA1872" s="33">
        <f>IF(X1872="","",IFERROR(INDEX(Cl_quartier,MATCH(X1872,Cl_cle,0))&amp;"",""))</f>
        <v/>
      </c>
      <c r="AB1872" s="45">
        <f>IF(R1872&lt;&gt;"Livrée",0,IF(K1872&lt;&gt;"",K1872,C1872))</f>
        <v/>
      </c>
      <c r="AC1872" s="33">
        <f>IF(OR(C1872="",W1872=""),"",P1872&amp;"|"&amp;W1872&amp;"|"&amp;C1872&amp;"|"&amp;E1872)</f>
        <v/>
      </c>
      <c r="AD1872" s="39">
        <f>IF(AC1872="","",IF(COUNTIF(AC$6:AC1872,AC1872)=1,1,0))</f>
        <v/>
      </c>
      <c r="AE1872" s="39">
        <f>IF(AB1872=0,"",IF(COUNTIFS(X$6:X1872,X1872,AB$6:AB1872,AB1872)=1,1,0))</f>
        <v/>
      </c>
      <c r="AF1872" s="34">
        <f>IF(C1872="","",YEAR(C1872-WEEKDAY(C1872,2)+4)&amp;"-S"&amp;TEXT(INT((C1872-DATE(YEAR(C1872-WEEKDAY(C1872,2)+4),1,3)+WEEKDAY(DATE(YEAR(C1872-WEEKDAY(C1872,2)+4),1,3),2)+5)/7),"00"))</f>
        <v/>
      </c>
    </row>
    <row r="1873" ht="18" customHeight="1">
      <c r="A1873" s="39" t="n">
        <v>1868</v>
      </c>
      <c r="B1873" s="33">
        <f>IF(C1873="","",IF(P1873="À RENSEIGNER","GIC",P1873)&amp;"-C"&amp;TEXT(A1873,"00000"))</f>
        <v/>
      </c>
      <c r="C1873" s="32" t="n"/>
      <c r="D1873" s="36" t="n"/>
      <c r="E1873" s="36" t="n"/>
      <c r="F1873" s="36" t="n"/>
      <c r="G1873" s="42" t="n"/>
      <c r="H1873" s="37" t="n"/>
      <c r="I1873" s="37" t="n"/>
      <c r="J1873" s="32" t="n"/>
      <c r="K1873" s="32" t="n"/>
      <c r="L1873" s="43" t="n"/>
      <c r="M1873" s="36" t="n"/>
      <c r="N1873" s="44" t="n"/>
      <c r="O1873" s="36" t="n"/>
      <c r="P1873" s="33">
        <f>IF(C1873="","",Commercial_Id)</f>
        <v/>
      </c>
      <c r="Q1873" s="34">
        <f>IF(AC1873="","",IF(AD1873=1,"C"&amp;TEXT(SUM(AD$6:AD1873),"0000"),INDEX(Q$6:Q1872,MATCH(AC1873,AC$6:AC1872,0))))</f>
        <v/>
      </c>
      <c r="R1873" s="34">
        <f>IF(C1873="","",IF(L1873="☑ Oui","Annulée",IF(OR(E1873="Vente directe",K1873&lt;&gt;""),"Livrée",IF(J1873&lt;&gt;"","Confirmée","En attente"))))</f>
        <v/>
      </c>
      <c r="S1873" s="34">
        <f>IF(F1873="","",IFERROR(VLOOKUP(F1873,T_Produits,2,FALSE),""))</f>
        <v/>
      </c>
      <c r="T1873" s="40">
        <f>IF(F1873="","",IFERROR(1/(1/VLOOKUP(F1873,T_Produits,3,FALSE)),""))</f>
        <v/>
      </c>
      <c r="U1873" s="40">
        <f>IF(H1873&lt;&gt;"",H1873,T1873)</f>
        <v/>
      </c>
      <c r="V1873" s="40">
        <f>IF(OR(G1873="",U1873=""),"",G1873*U1873-N(I1873))</f>
        <v/>
      </c>
      <c r="W1873" s="39">
        <f>IF(D1873="","",IFERROR(VALUE(MID(D1873,LEN(D1873)-3,3)),""))</f>
        <v/>
      </c>
      <c r="X1873" s="33">
        <f>IF(W1873="","",P1873&amp;"|"&amp;W1873)</f>
        <v/>
      </c>
      <c r="Y1873" s="33">
        <f>IF(W1873="","",IF(P1873="À RENSEIGNER","GIC",P1873)&amp;"-"&amp;TEXT(W1873,"000"))</f>
        <v/>
      </c>
      <c r="Z1873" s="33">
        <f>IF(X1873="","",IFERROR(INDEX(Cl_nom,MATCH(X1873,Cl_cle,0)),"(client introuvable)"))</f>
        <v/>
      </c>
      <c r="AA1873" s="33">
        <f>IF(X1873="","",IFERROR(INDEX(Cl_quartier,MATCH(X1873,Cl_cle,0))&amp;"",""))</f>
        <v/>
      </c>
      <c r="AB1873" s="45">
        <f>IF(R1873&lt;&gt;"Livrée",0,IF(K1873&lt;&gt;"",K1873,C1873))</f>
        <v/>
      </c>
      <c r="AC1873" s="33">
        <f>IF(OR(C1873="",W1873=""),"",P1873&amp;"|"&amp;W1873&amp;"|"&amp;C1873&amp;"|"&amp;E1873)</f>
        <v/>
      </c>
      <c r="AD1873" s="39">
        <f>IF(AC1873="","",IF(COUNTIF(AC$6:AC1873,AC1873)=1,1,0))</f>
        <v/>
      </c>
      <c r="AE1873" s="39">
        <f>IF(AB1873=0,"",IF(COUNTIFS(X$6:X1873,X1873,AB$6:AB1873,AB1873)=1,1,0))</f>
        <v/>
      </c>
      <c r="AF1873" s="34">
        <f>IF(C1873="","",YEAR(C1873-WEEKDAY(C1873,2)+4)&amp;"-S"&amp;TEXT(INT((C1873-DATE(YEAR(C1873-WEEKDAY(C1873,2)+4),1,3)+WEEKDAY(DATE(YEAR(C1873-WEEKDAY(C1873,2)+4),1,3),2)+5)/7),"00"))</f>
        <v/>
      </c>
    </row>
    <row r="1874" ht="18" customHeight="1">
      <c r="A1874" s="39" t="n">
        <v>1869</v>
      </c>
      <c r="B1874" s="33">
        <f>IF(C1874="","",IF(P1874="À RENSEIGNER","GIC",P1874)&amp;"-C"&amp;TEXT(A1874,"00000"))</f>
        <v/>
      </c>
      <c r="C1874" s="32" t="n"/>
      <c r="D1874" s="36" t="n"/>
      <c r="E1874" s="36" t="n"/>
      <c r="F1874" s="36" t="n"/>
      <c r="G1874" s="42" t="n"/>
      <c r="H1874" s="37" t="n"/>
      <c r="I1874" s="37" t="n"/>
      <c r="J1874" s="32" t="n"/>
      <c r="K1874" s="32" t="n"/>
      <c r="L1874" s="43" t="n"/>
      <c r="M1874" s="36" t="n"/>
      <c r="N1874" s="44" t="n"/>
      <c r="O1874" s="36" t="n"/>
      <c r="P1874" s="33">
        <f>IF(C1874="","",Commercial_Id)</f>
        <v/>
      </c>
      <c r="Q1874" s="34">
        <f>IF(AC1874="","",IF(AD1874=1,"C"&amp;TEXT(SUM(AD$6:AD1874),"0000"),INDEX(Q$6:Q1873,MATCH(AC1874,AC$6:AC1873,0))))</f>
        <v/>
      </c>
      <c r="R1874" s="34">
        <f>IF(C1874="","",IF(L1874="☑ Oui","Annulée",IF(OR(E1874="Vente directe",K1874&lt;&gt;""),"Livrée",IF(J1874&lt;&gt;"","Confirmée","En attente"))))</f>
        <v/>
      </c>
      <c r="S1874" s="34">
        <f>IF(F1874="","",IFERROR(VLOOKUP(F1874,T_Produits,2,FALSE),""))</f>
        <v/>
      </c>
      <c r="T1874" s="40">
        <f>IF(F1874="","",IFERROR(1/(1/VLOOKUP(F1874,T_Produits,3,FALSE)),""))</f>
        <v/>
      </c>
      <c r="U1874" s="40">
        <f>IF(H1874&lt;&gt;"",H1874,T1874)</f>
        <v/>
      </c>
      <c r="V1874" s="40">
        <f>IF(OR(G1874="",U1874=""),"",G1874*U1874-N(I1874))</f>
        <v/>
      </c>
      <c r="W1874" s="39">
        <f>IF(D1874="","",IFERROR(VALUE(MID(D1874,LEN(D1874)-3,3)),""))</f>
        <v/>
      </c>
      <c r="X1874" s="33">
        <f>IF(W1874="","",P1874&amp;"|"&amp;W1874)</f>
        <v/>
      </c>
      <c r="Y1874" s="33">
        <f>IF(W1874="","",IF(P1874="À RENSEIGNER","GIC",P1874)&amp;"-"&amp;TEXT(W1874,"000"))</f>
        <v/>
      </c>
      <c r="Z1874" s="33">
        <f>IF(X1874="","",IFERROR(INDEX(Cl_nom,MATCH(X1874,Cl_cle,0)),"(client introuvable)"))</f>
        <v/>
      </c>
      <c r="AA1874" s="33">
        <f>IF(X1874="","",IFERROR(INDEX(Cl_quartier,MATCH(X1874,Cl_cle,0))&amp;"",""))</f>
        <v/>
      </c>
      <c r="AB1874" s="45">
        <f>IF(R1874&lt;&gt;"Livrée",0,IF(K1874&lt;&gt;"",K1874,C1874))</f>
        <v/>
      </c>
      <c r="AC1874" s="33">
        <f>IF(OR(C1874="",W1874=""),"",P1874&amp;"|"&amp;W1874&amp;"|"&amp;C1874&amp;"|"&amp;E1874)</f>
        <v/>
      </c>
      <c r="AD1874" s="39">
        <f>IF(AC1874="","",IF(COUNTIF(AC$6:AC1874,AC1874)=1,1,0))</f>
        <v/>
      </c>
      <c r="AE1874" s="39">
        <f>IF(AB1874=0,"",IF(COUNTIFS(X$6:X1874,X1874,AB$6:AB1874,AB1874)=1,1,0))</f>
        <v/>
      </c>
      <c r="AF1874" s="34">
        <f>IF(C1874="","",YEAR(C1874-WEEKDAY(C1874,2)+4)&amp;"-S"&amp;TEXT(INT((C1874-DATE(YEAR(C1874-WEEKDAY(C1874,2)+4),1,3)+WEEKDAY(DATE(YEAR(C1874-WEEKDAY(C1874,2)+4),1,3),2)+5)/7),"00"))</f>
        <v/>
      </c>
    </row>
    <row r="1875" ht="18" customHeight="1">
      <c r="A1875" s="39" t="n">
        <v>1870</v>
      </c>
      <c r="B1875" s="33">
        <f>IF(C1875="","",IF(P1875="À RENSEIGNER","GIC",P1875)&amp;"-C"&amp;TEXT(A1875,"00000"))</f>
        <v/>
      </c>
      <c r="C1875" s="32" t="n"/>
      <c r="D1875" s="36" t="n"/>
      <c r="E1875" s="36" t="n"/>
      <c r="F1875" s="36" t="n"/>
      <c r="G1875" s="42" t="n"/>
      <c r="H1875" s="37" t="n"/>
      <c r="I1875" s="37" t="n"/>
      <c r="J1875" s="32" t="n"/>
      <c r="K1875" s="32" t="n"/>
      <c r="L1875" s="43" t="n"/>
      <c r="M1875" s="36" t="n"/>
      <c r="N1875" s="44" t="n"/>
      <c r="O1875" s="36" t="n"/>
      <c r="P1875" s="33">
        <f>IF(C1875="","",Commercial_Id)</f>
        <v/>
      </c>
      <c r="Q1875" s="34">
        <f>IF(AC1875="","",IF(AD1875=1,"C"&amp;TEXT(SUM(AD$6:AD1875),"0000"),INDEX(Q$6:Q1874,MATCH(AC1875,AC$6:AC1874,0))))</f>
        <v/>
      </c>
      <c r="R1875" s="34">
        <f>IF(C1875="","",IF(L1875="☑ Oui","Annulée",IF(OR(E1875="Vente directe",K1875&lt;&gt;""),"Livrée",IF(J1875&lt;&gt;"","Confirmée","En attente"))))</f>
        <v/>
      </c>
      <c r="S1875" s="34">
        <f>IF(F1875="","",IFERROR(VLOOKUP(F1875,T_Produits,2,FALSE),""))</f>
        <v/>
      </c>
      <c r="T1875" s="40">
        <f>IF(F1875="","",IFERROR(1/(1/VLOOKUP(F1875,T_Produits,3,FALSE)),""))</f>
        <v/>
      </c>
      <c r="U1875" s="40">
        <f>IF(H1875&lt;&gt;"",H1875,T1875)</f>
        <v/>
      </c>
      <c r="V1875" s="40">
        <f>IF(OR(G1875="",U1875=""),"",G1875*U1875-N(I1875))</f>
        <v/>
      </c>
      <c r="W1875" s="39">
        <f>IF(D1875="","",IFERROR(VALUE(MID(D1875,LEN(D1875)-3,3)),""))</f>
        <v/>
      </c>
      <c r="X1875" s="33">
        <f>IF(W1875="","",P1875&amp;"|"&amp;W1875)</f>
        <v/>
      </c>
      <c r="Y1875" s="33">
        <f>IF(W1875="","",IF(P1875="À RENSEIGNER","GIC",P1875)&amp;"-"&amp;TEXT(W1875,"000"))</f>
        <v/>
      </c>
      <c r="Z1875" s="33">
        <f>IF(X1875="","",IFERROR(INDEX(Cl_nom,MATCH(X1875,Cl_cle,0)),"(client introuvable)"))</f>
        <v/>
      </c>
      <c r="AA1875" s="33">
        <f>IF(X1875="","",IFERROR(INDEX(Cl_quartier,MATCH(X1875,Cl_cle,0))&amp;"",""))</f>
        <v/>
      </c>
      <c r="AB1875" s="45">
        <f>IF(R1875&lt;&gt;"Livrée",0,IF(K1875&lt;&gt;"",K1875,C1875))</f>
        <v/>
      </c>
      <c r="AC1875" s="33">
        <f>IF(OR(C1875="",W1875=""),"",P1875&amp;"|"&amp;W1875&amp;"|"&amp;C1875&amp;"|"&amp;E1875)</f>
        <v/>
      </c>
      <c r="AD1875" s="39">
        <f>IF(AC1875="","",IF(COUNTIF(AC$6:AC1875,AC1875)=1,1,0))</f>
        <v/>
      </c>
      <c r="AE1875" s="39">
        <f>IF(AB1875=0,"",IF(COUNTIFS(X$6:X1875,X1875,AB$6:AB1875,AB1875)=1,1,0))</f>
        <v/>
      </c>
      <c r="AF1875" s="34">
        <f>IF(C1875="","",YEAR(C1875-WEEKDAY(C1875,2)+4)&amp;"-S"&amp;TEXT(INT((C1875-DATE(YEAR(C1875-WEEKDAY(C1875,2)+4),1,3)+WEEKDAY(DATE(YEAR(C1875-WEEKDAY(C1875,2)+4),1,3),2)+5)/7),"00"))</f>
        <v/>
      </c>
    </row>
    <row r="1876" ht="18" customHeight="1">
      <c r="A1876" s="39" t="n">
        <v>1871</v>
      </c>
      <c r="B1876" s="33">
        <f>IF(C1876="","",IF(P1876="À RENSEIGNER","GIC",P1876)&amp;"-C"&amp;TEXT(A1876,"00000"))</f>
        <v/>
      </c>
      <c r="C1876" s="32" t="n"/>
      <c r="D1876" s="36" t="n"/>
      <c r="E1876" s="36" t="n"/>
      <c r="F1876" s="36" t="n"/>
      <c r="G1876" s="42" t="n"/>
      <c r="H1876" s="37" t="n"/>
      <c r="I1876" s="37" t="n"/>
      <c r="J1876" s="32" t="n"/>
      <c r="K1876" s="32" t="n"/>
      <c r="L1876" s="43" t="n"/>
      <c r="M1876" s="36" t="n"/>
      <c r="N1876" s="44" t="n"/>
      <c r="O1876" s="36" t="n"/>
      <c r="P1876" s="33">
        <f>IF(C1876="","",Commercial_Id)</f>
        <v/>
      </c>
      <c r="Q1876" s="34">
        <f>IF(AC1876="","",IF(AD1876=1,"C"&amp;TEXT(SUM(AD$6:AD1876),"0000"),INDEX(Q$6:Q1875,MATCH(AC1876,AC$6:AC1875,0))))</f>
        <v/>
      </c>
      <c r="R1876" s="34">
        <f>IF(C1876="","",IF(L1876="☑ Oui","Annulée",IF(OR(E1876="Vente directe",K1876&lt;&gt;""),"Livrée",IF(J1876&lt;&gt;"","Confirmée","En attente"))))</f>
        <v/>
      </c>
      <c r="S1876" s="34">
        <f>IF(F1876="","",IFERROR(VLOOKUP(F1876,T_Produits,2,FALSE),""))</f>
        <v/>
      </c>
      <c r="T1876" s="40">
        <f>IF(F1876="","",IFERROR(1/(1/VLOOKUP(F1876,T_Produits,3,FALSE)),""))</f>
        <v/>
      </c>
      <c r="U1876" s="40">
        <f>IF(H1876&lt;&gt;"",H1876,T1876)</f>
        <v/>
      </c>
      <c r="V1876" s="40">
        <f>IF(OR(G1876="",U1876=""),"",G1876*U1876-N(I1876))</f>
        <v/>
      </c>
      <c r="W1876" s="39">
        <f>IF(D1876="","",IFERROR(VALUE(MID(D1876,LEN(D1876)-3,3)),""))</f>
        <v/>
      </c>
      <c r="X1876" s="33">
        <f>IF(W1876="","",P1876&amp;"|"&amp;W1876)</f>
        <v/>
      </c>
      <c r="Y1876" s="33">
        <f>IF(W1876="","",IF(P1876="À RENSEIGNER","GIC",P1876)&amp;"-"&amp;TEXT(W1876,"000"))</f>
        <v/>
      </c>
      <c r="Z1876" s="33">
        <f>IF(X1876="","",IFERROR(INDEX(Cl_nom,MATCH(X1876,Cl_cle,0)),"(client introuvable)"))</f>
        <v/>
      </c>
      <c r="AA1876" s="33">
        <f>IF(X1876="","",IFERROR(INDEX(Cl_quartier,MATCH(X1876,Cl_cle,0))&amp;"",""))</f>
        <v/>
      </c>
      <c r="AB1876" s="45">
        <f>IF(R1876&lt;&gt;"Livrée",0,IF(K1876&lt;&gt;"",K1876,C1876))</f>
        <v/>
      </c>
      <c r="AC1876" s="33">
        <f>IF(OR(C1876="",W1876=""),"",P1876&amp;"|"&amp;W1876&amp;"|"&amp;C1876&amp;"|"&amp;E1876)</f>
        <v/>
      </c>
      <c r="AD1876" s="39">
        <f>IF(AC1876="","",IF(COUNTIF(AC$6:AC1876,AC1876)=1,1,0))</f>
        <v/>
      </c>
      <c r="AE1876" s="39">
        <f>IF(AB1876=0,"",IF(COUNTIFS(X$6:X1876,X1876,AB$6:AB1876,AB1876)=1,1,0))</f>
        <v/>
      </c>
      <c r="AF1876" s="34">
        <f>IF(C1876="","",YEAR(C1876-WEEKDAY(C1876,2)+4)&amp;"-S"&amp;TEXT(INT((C1876-DATE(YEAR(C1876-WEEKDAY(C1876,2)+4),1,3)+WEEKDAY(DATE(YEAR(C1876-WEEKDAY(C1876,2)+4),1,3),2)+5)/7),"00"))</f>
        <v/>
      </c>
    </row>
    <row r="1877" ht="18" customHeight="1">
      <c r="A1877" s="39" t="n">
        <v>1872</v>
      </c>
      <c r="B1877" s="33">
        <f>IF(C1877="","",IF(P1877="À RENSEIGNER","GIC",P1877)&amp;"-C"&amp;TEXT(A1877,"00000"))</f>
        <v/>
      </c>
      <c r="C1877" s="32" t="n"/>
      <c r="D1877" s="36" t="n"/>
      <c r="E1877" s="36" t="n"/>
      <c r="F1877" s="36" t="n"/>
      <c r="G1877" s="42" t="n"/>
      <c r="H1877" s="37" t="n"/>
      <c r="I1877" s="37" t="n"/>
      <c r="J1877" s="32" t="n"/>
      <c r="K1877" s="32" t="n"/>
      <c r="L1877" s="43" t="n"/>
      <c r="M1877" s="36" t="n"/>
      <c r="N1877" s="44" t="n"/>
      <c r="O1877" s="36" t="n"/>
      <c r="P1877" s="33">
        <f>IF(C1877="","",Commercial_Id)</f>
        <v/>
      </c>
      <c r="Q1877" s="34">
        <f>IF(AC1877="","",IF(AD1877=1,"C"&amp;TEXT(SUM(AD$6:AD1877),"0000"),INDEX(Q$6:Q1876,MATCH(AC1877,AC$6:AC1876,0))))</f>
        <v/>
      </c>
      <c r="R1877" s="34">
        <f>IF(C1877="","",IF(L1877="☑ Oui","Annulée",IF(OR(E1877="Vente directe",K1877&lt;&gt;""),"Livrée",IF(J1877&lt;&gt;"","Confirmée","En attente"))))</f>
        <v/>
      </c>
      <c r="S1877" s="34">
        <f>IF(F1877="","",IFERROR(VLOOKUP(F1877,T_Produits,2,FALSE),""))</f>
        <v/>
      </c>
      <c r="T1877" s="40">
        <f>IF(F1877="","",IFERROR(1/(1/VLOOKUP(F1877,T_Produits,3,FALSE)),""))</f>
        <v/>
      </c>
      <c r="U1877" s="40">
        <f>IF(H1877&lt;&gt;"",H1877,T1877)</f>
        <v/>
      </c>
      <c r="V1877" s="40">
        <f>IF(OR(G1877="",U1877=""),"",G1877*U1877-N(I1877))</f>
        <v/>
      </c>
      <c r="W1877" s="39">
        <f>IF(D1877="","",IFERROR(VALUE(MID(D1877,LEN(D1877)-3,3)),""))</f>
        <v/>
      </c>
      <c r="X1877" s="33">
        <f>IF(W1877="","",P1877&amp;"|"&amp;W1877)</f>
        <v/>
      </c>
      <c r="Y1877" s="33">
        <f>IF(W1877="","",IF(P1877="À RENSEIGNER","GIC",P1877)&amp;"-"&amp;TEXT(W1877,"000"))</f>
        <v/>
      </c>
      <c r="Z1877" s="33">
        <f>IF(X1877="","",IFERROR(INDEX(Cl_nom,MATCH(X1877,Cl_cle,0)),"(client introuvable)"))</f>
        <v/>
      </c>
      <c r="AA1877" s="33">
        <f>IF(X1877="","",IFERROR(INDEX(Cl_quartier,MATCH(X1877,Cl_cle,0))&amp;"",""))</f>
        <v/>
      </c>
      <c r="AB1877" s="45">
        <f>IF(R1877&lt;&gt;"Livrée",0,IF(K1877&lt;&gt;"",K1877,C1877))</f>
        <v/>
      </c>
      <c r="AC1877" s="33">
        <f>IF(OR(C1877="",W1877=""),"",P1877&amp;"|"&amp;W1877&amp;"|"&amp;C1877&amp;"|"&amp;E1877)</f>
        <v/>
      </c>
      <c r="AD1877" s="39">
        <f>IF(AC1877="","",IF(COUNTIF(AC$6:AC1877,AC1877)=1,1,0))</f>
        <v/>
      </c>
      <c r="AE1877" s="39">
        <f>IF(AB1877=0,"",IF(COUNTIFS(X$6:X1877,X1877,AB$6:AB1877,AB1877)=1,1,0))</f>
        <v/>
      </c>
      <c r="AF1877" s="34">
        <f>IF(C1877="","",YEAR(C1877-WEEKDAY(C1877,2)+4)&amp;"-S"&amp;TEXT(INT((C1877-DATE(YEAR(C1877-WEEKDAY(C1877,2)+4),1,3)+WEEKDAY(DATE(YEAR(C1877-WEEKDAY(C1877,2)+4),1,3),2)+5)/7),"00"))</f>
        <v/>
      </c>
    </row>
    <row r="1878" ht="18" customHeight="1">
      <c r="A1878" s="39" t="n">
        <v>1873</v>
      </c>
      <c r="B1878" s="33">
        <f>IF(C1878="","",IF(P1878="À RENSEIGNER","GIC",P1878)&amp;"-C"&amp;TEXT(A1878,"00000"))</f>
        <v/>
      </c>
      <c r="C1878" s="32" t="n"/>
      <c r="D1878" s="36" t="n"/>
      <c r="E1878" s="36" t="n"/>
      <c r="F1878" s="36" t="n"/>
      <c r="G1878" s="42" t="n"/>
      <c r="H1878" s="37" t="n"/>
      <c r="I1878" s="37" t="n"/>
      <c r="J1878" s="32" t="n"/>
      <c r="K1878" s="32" t="n"/>
      <c r="L1878" s="43" t="n"/>
      <c r="M1878" s="36" t="n"/>
      <c r="N1878" s="44" t="n"/>
      <c r="O1878" s="36" t="n"/>
      <c r="P1878" s="33">
        <f>IF(C1878="","",Commercial_Id)</f>
        <v/>
      </c>
      <c r="Q1878" s="34">
        <f>IF(AC1878="","",IF(AD1878=1,"C"&amp;TEXT(SUM(AD$6:AD1878),"0000"),INDEX(Q$6:Q1877,MATCH(AC1878,AC$6:AC1877,0))))</f>
        <v/>
      </c>
      <c r="R1878" s="34">
        <f>IF(C1878="","",IF(L1878="☑ Oui","Annulée",IF(OR(E1878="Vente directe",K1878&lt;&gt;""),"Livrée",IF(J1878&lt;&gt;"","Confirmée","En attente"))))</f>
        <v/>
      </c>
      <c r="S1878" s="34">
        <f>IF(F1878="","",IFERROR(VLOOKUP(F1878,T_Produits,2,FALSE),""))</f>
        <v/>
      </c>
      <c r="T1878" s="40">
        <f>IF(F1878="","",IFERROR(1/(1/VLOOKUP(F1878,T_Produits,3,FALSE)),""))</f>
        <v/>
      </c>
      <c r="U1878" s="40">
        <f>IF(H1878&lt;&gt;"",H1878,T1878)</f>
        <v/>
      </c>
      <c r="V1878" s="40">
        <f>IF(OR(G1878="",U1878=""),"",G1878*U1878-N(I1878))</f>
        <v/>
      </c>
      <c r="W1878" s="39">
        <f>IF(D1878="","",IFERROR(VALUE(MID(D1878,LEN(D1878)-3,3)),""))</f>
        <v/>
      </c>
      <c r="X1878" s="33">
        <f>IF(W1878="","",P1878&amp;"|"&amp;W1878)</f>
        <v/>
      </c>
      <c r="Y1878" s="33">
        <f>IF(W1878="","",IF(P1878="À RENSEIGNER","GIC",P1878)&amp;"-"&amp;TEXT(W1878,"000"))</f>
        <v/>
      </c>
      <c r="Z1878" s="33">
        <f>IF(X1878="","",IFERROR(INDEX(Cl_nom,MATCH(X1878,Cl_cle,0)),"(client introuvable)"))</f>
        <v/>
      </c>
      <c r="AA1878" s="33">
        <f>IF(X1878="","",IFERROR(INDEX(Cl_quartier,MATCH(X1878,Cl_cle,0))&amp;"",""))</f>
        <v/>
      </c>
      <c r="AB1878" s="45">
        <f>IF(R1878&lt;&gt;"Livrée",0,IF(K1878&lt;&gt;"",K1878,C1878))</f>
        <v/>
      </c>
      <c r="AC1878" s="33">
        <f>IF(OR(C1878="",W1878=""),"",P1878&amp;"|"&amp;W1878&amp;"|"&amp;C1878&amp;"|"&amp;E1878)</f>
        <v/>
      </c>
      <c r="AD1878" s="39">
        <f>IF(AC1878="","",IF(COUNTIF(AC$6:AC1878,AC1878)=1,1,0))</f>
        <v/>
      </c>
      <c r="AE1878" s="39">
        <f>IF(AB1878=0,"",IF(COUNTIFS(X$6:X1878,X1878,AB$6:AB1878,AB1878)=1,1,0))</f>
        <v/>
      </c>
      <c r="AF1878" s="34">
        <f>IF(C1878="","",YEAR(C1878-WEEKDAY(C1878,2)+4)&amp;"-S"&amp;TEXT(INT((C1878-DATE(YEAR(C1878-WEEKDAY(C1878,2)+4),1,3)+WEEKDAY(DATE(YEAR(C1878-WEEKDAY(C1878,2)+4),1,3),2)+5)/7),"00"))</f>
        <v/>
      </c>
    </row>
    <row r="1879" ht="18" customHeight="1">
      <c r="A1879" s="39" t="n">
        <v>1874</v>
      </c>
      <c r="B1879" s="33">
        <f>IF(C1879="","",IF(P1879="À RENSEIGNER","GIC",P1879)&amp;"-C"&amp;TEXT(A1879,"00000"))</f>
        <v/>
      </c>
      <c r="C1879" s="32" t="n"/>
      <c r="D1879" s="36" t="n"/>
      <c r="E1879" s="36" t="n"/>
      <c r="F1879" s="36" t="n"/>
      <c r="G1879" s="42" t="n"/>
      <c r="H1879" s="37" t="n"/>
      <c r="I1879" s="37" t="n"/>
      <c r="J1879" s="32" t="n"/>
      <c r="K1879" s="32" t="n"/>
      <c r="L1879" s="43" t="n"/>
      <c r="M1879" s="36" t="n"/>
      <c r="N1879" s="44" t="n"/>
      <c r="O1879" s="36" t="n"/>
      <c r="P1879" s="33">
        <f>IF(C1879="","",Commercial_Id)</f>
        <v/>
      </c>
      <c r="Q1879" s="34">
        <f>IF(AC1879="","",IF(AD1879=1,"C"&amp;TEXT(SUM(AD$6:AD1879),"0000"),INDEX(Q$6:Q1878,MATCH(AC1879,AC$6:AC1878,0))))</f>
        <v/>
      </c>
      <c r="R1879" s="34">
        <f>IF(C1879="","",IF(L1879="☑ Oui","Annulée",IF(OR(E1879="Vente directe",K1879&lt;&gt;""),"Livrée",IF(J1879&lt;&gt;"","Confirmée","En attente"))))</f>
        <v/>
      </c>
      <c r="S1879" s="34">
        <f>IF(F1879="","",IFERROR(VLOOKUP(F1879,T_Produits,2,FALSE),""))</f>
        <v/>
      </c>
      <c r="T1879" s="40">
        <f>IF(F1879="","",IFERROR(1/(1/VLOOKUP(F1879,T_Produits,3,FALSE)),""))</f>
        <v/>
      </c>
      <c r="U1879" s="40">
        <f>IF(H1879&lt;&gt;"",H1879,T1879)</f>
        <v/>
      </c>
      <c r="V1879" s="40">
        <f>IF(OR(G1879="",U1879=""),"",G1879*U1879-N(I1879))</f>
        <v/>
      </c>
      <c r="W1879" s="39">
        <f>IF(D1879="","",IFERROR(VALUE(MID(D1879,LEN(D1879)-3,3)),""))</f>
        <v/>
      </c>
      <c r="X1879" s="33">
        <f>IF(W1879="","",P1879&amp;"|"&amp;W1879)</f>
        <v/>
      </c>
      <c r="Y1879" s="33">
        <f>IF(W1879="","",IF(P1879="À RENSEIGNER","GIC",P1879)&amp;"-"&amp;TEXT(W1879,"000"))</f>
        <v/>
      </c>
      <c r="Z1879" s="33">
        <f>IF(X1879="","",IFERROR(INDEX(Cl_nom,MATCH(X1879,Cl_cle,0)),"(client introuvable)"))</f>
        <v/>
      </c>
      <c r="AA1879" s="33">
        <f>IF(X1879="","",IFERROR(INDEX(Cl_quartier,MATCH(X1879,Cl_cle,0))&amp;"",""))</f>
        <v/>
      </c>
      <c r="AB1879" s="45">
        <f>IF(R1879&lt;&gt;"Livrée",0,IF(K1879&lt;&gt;"",K1879,C1879))</f>
        <v/>
      </c>
      <c r="AC1879" s="33">
        <f>IF(OR(C1879="",W1879=""),"",P1879&amp;"|"&amp;W1879&amp;"|"&amp;C1879&amp;"|"&amp;E1879)</f>
        <v/>
      </c>
      <c r="AD1879" s="39">
        <f>IF(AC1879="","",IF(COUNTIF(AC$6:AC1879,AC1879)=1,1,0))</f>
        <v/>
      </c>
      <c r="AE1879" s="39">
        <f>IF(AB1879=0,"",IF(COUNTIFS(X$6:X1879,X1879,AB$6:AB1879,AB1879)=1,1,0))</f>
        <v/>
      </c>
      <c r="AF1879" s="34">
        <f>IF(C1879="","",YEAR(C1879-WEEKDAY(C1879,2)+4)&amp;"-S"&amp;TEXT(INT((C1879-DATE(YEAR(C1879-WEEKDAY(C1879,2)+4),1,3)+WEEKDAY(DATE(YEAR(C1879-WEEKDAY(C1879,2)+4),1,3),2)+5)/7),"00"))</f>
        <v/>
      </c>
    </row>
    <row r="1880" ht="18" customHeight="1">
      <c r="A1880" s="39" t="n">
        <v>1875</v>
      </c>
      <c r="B1880" s="33">
        <f>IF(C1880="","",IF(P1880="À RENSEIGNER","GIC",P1880)&amp;"-C"&amp;TEXT(A1880,"00000"))</f>
        <v/>
      </c>
      <c r="C1880" s="32" t="n"/>
      <c r="D1880" s="36" t="n"/>
      <c r="E1880" s="36" t="n"/>
      <c r="F1880" s="36" t="n"/>
      <c r="G1880" s="42" t="n"/>
      <c r="H1880" s="37" t="n"/>
      <c r="I1880" s="37" t="n"/>
      <c r="J1880" s="32" t="n"/>
      <c r="K1880" s="32" t="n"/>
      <c r="L1880" s="43" t="n"/>
      <c r="M1880" s="36" t="n"/>
      <c r="N1880" s="44" t="n"/>
      <c r="O1880" s="36" t="n"/>
      <c r="P1880" s="33">
        <f>IF(C1880="","",Commercial_Id)</f>
        <v/>
      </c>
      <c r="Q1880" s="34">
        <f>IF(AC1880="","",IF(AD1880=1,"C"&amp;TEXT(SUM(AD$6:AD1880),"0000"),INDEX(Q$6:Q1879,MATCH(AC1880,AC$6:AC1879,0))))</f>
        <v/>
      </c>
      <c r="R1880" s="34">
        <f>IF(C1880="","",IF(L1880="☑ Oui","Annulée",IF(OR(E1880="Vente directe",K1880&lt;&gt;""),"Livrée",IF(J1880&lt;&gt;"","Confirmée","En attente"))))</f>
        <v/>
      </c>
      <c r="S1880" s="34">
        <f>IF(F1880="","",IFERROR(VLOOKUP(F1880,T_Produits,2,FALSE),""))</f>
        <v/>
      </c>
      <c r="T1880" s="40">
        <f>IF(F1880="","",IFERROR(1/(1/VLOOKUP(F1880,T_Produits,3,FALSE)),""))</f>
        <v/>
      </c>
      <c r="U1880" s="40">
        <f>IF(H1880&lt;&gt;"",H1880,T1880)</f>
        <v/>
      </c>
      <c r="V1880" s="40">
        <f>IF(OR(G1880="",U1880=""),"",G1880*U1880-N(I1880))</f>
        <v/>
      </c>
      <c r="W1880" s="39">
        <f>IF(D1880="","",IFERROR(VALUE(MID(D1880,LEN(D1880)-3,3)),""))</f>
        <v/>
      </c>
      <c r="X1880" s="33">
        <f>IF(W1880="","",P1880&amp;"|"&amp;W1880)</f>
        <v/>
      </c>
      <c r="Y1880" s="33">
        <f>IF(W1880="","",IF(P1880="À RENSEIGNER","GIC",P1880)&amp;"-"&amp;TEXT(W1880,"000"))</f>
        <v/>
      </c>
      <c r="Z1880" s="33">
        <f>IF(X1880="","",IFERROR(INDEX(Cl_nom,MATCH(X1880,Cl_cle,0)),"(client introuvable)"))</f>
        <v/>
      </c>
      <c r="AA1880" s="33">
        <f>IF(X1880="","",IFERROR(INDEX(Cl_quartier,MATCH(X1880,Cl_cle,0))&amp;"",""))</f>
        <v/>
      </c>
      <c r="AB1880" s="45">
        <f>IF(R1880&lt;&gt;"Livrée",0,IF(K1880&lt;&gt;"",K1880,C1880))</f>
        <v/>
      </c>
      <c r="AC1880" s="33">
        <f>IF(OR(C1880="",W1880=""),"",P1880&amp;"|"&amp;W1880&amp;"|"&amp;C1880&amp;"|"&amp;E1880)</f>
        <v/>
      </c>
      <c r="AD1880" s="39">
        <f>IF(AC1880="","",IF(COUNTIF(AC$6:AC1880,AC1880)=1,1,0))</f>
        <v/>
      </c>
      <c r="AE1880" s="39">
        <f>IF(AB1880=0,"",IF(COUNTIFS(X$6:X1880,X1880,AB$6:AB1880,AB1880)=1,1,0))</f>
        <v/>
      </c>
      <c r="AF1880" s="34">
        <f>IF(C1880="","",YEAR(C1880-WEEKDAY(C1880,2)+4)&amp;"-S"&amp;TEXT(INT((C1880-DATE(YEAR(C1880-WEEKDAY(C1880,2)+4),1,3)+WEEKDAY(DATE(YEAR(C1880-WEEKDAY(C1880,2)+4),1,3),2)+5)/7),"00"))</f>
        <v/>
      </c>
    </row>
    <row r="1881" ht="18" customHeight="1">
      <c r="A1881" s="39" t="n">
        <v>1876</v>
      </c>
      <c r="B1881" s="33">
        <f>IF(C1881="","",IF(P1881="À RENSEIGNER","GIC",P1881)&amp;"-C"&amp;TEXT(A1881,"00000"))</f>
        <v/>
      </c>
      <c r="C1881" s="32" t="n"/>
      <c r="D1881" s="36" t="n"/>
      <c r="E1881" s="36" t="n"/>
      <c r="F1881" s="36" t="n"/>
      <c r="G1881" s="42" t="n"/>
      <c r="H1881" s="37" t="n"/>
      <c r="I1881" s="37" t="n"/>
      <c r="J1881" s="32" t="n"/>
      <c r="K1881" s="32" t="n"/>
      <c r="L1881" s="43" t="n"/>
      <c r="M1881" s="36" t="n"/>
      <c r="N1881" s="44" t="n"/>
      <c r="O1881" s="36" t="n"/>
      <c r="P1881" s="33">
        <f>IF(C1881="","",Commercial_Id)</f>
        <v/>
      </c>
      <c r="Q1881" s="34">
        <f>IF(AC1881="","",IF(AD1881=1,"C"&amp;TEXT(SUM(AD$6:AD1881),"0000"),INDEX(Q$6:Q1880,MATCH(AC1881,AC$6:AC1880,0))))</f>
        <v/>
      </c>
      <c r="R1881" s="34">
        <f>IF(C1881="","",IF(L1881="☑ Oui","Annulée",IF(OR(E1881="Vente directe",K1881&lt;&gt;""),"Livrée",IF(J1881&lt;&gt;"","Confirmée","En attente"))))</f>
        <v/>
      </c>
      <c r="S1881" s="34">
        <f>IF(F1881="","",IFERROR(VLOOKUP(F1881,T_Produits,2,FALSE),""))</f>
        <v/>
      </c>
      <c r="T1881" s="40">
        <f>IF(F1881="","",IFERROR(1/(1/VLOOKUP(F1881,T_Produits,3,FALSE)),""))</f>
        <v/>
      </c>
      <c r="U1881" s="40">
        <f>IF(H1881&lt;&gt;"",H1881,T1881)</f>
        <v/>
      </c>
      <c r="V1881" s="40">
        <f>IF(OR(G1881="",U1881=""),"",G1881*U1881-N(I1881))</f>
        <v/>
      </c>
      <c r="W1881" s="39">
        <f>IF(D1881="","",IFERROR(VALUE(MID(D1881,LEN(D1881)-3,3)),""))</f>
        <v/>
      </c>
      <c r="X1881" s="33">
        <f>IF(W1881="","",P1881&amp;"|"&amp;W1881)</f>
        <v/>
      </c>
      <c r="Y1881" s="33">
        <f>IF(W1881="","",IF(P1881="À RENSEIGNER","GIC",P1881)&amp;"-"&amp;TEXT(W1881,"000"))</f>
        <v/>
      </c>
      <c r="Z1881" s="33">
        <f>IF(X1881="","",IFERROR(INDEX(Cl_nom,MATCH(X1881,Cl_cle,0)),"(client introuvable)"))</f>
        <v/>
      </c>
      <c r="AA1881" s="33">
        <f>IF(X1881="","",IFERROR(INDEX(Cl_quartier,MATCH(X1881,Cl_cle,0))&amp;"",""))</f>
        <v/>
      </c>
      <c r="AB1881" s="45">
        <f>IF(R1881&lt;&gt;"Livrée",0,IF(K1881&lt;&gt;"",K1881,C1881))</f>
        <v/>
      </c>
      <c r="AC1881" s="33">
        <f>IF(OR(C1881="",W1881=""),"",P1881&amp;"|"&amp;W1881&amp;"|"&amp;C1881&amp;"|"&amp;E1881)</f>
        <v/>
      </c>
      <c r="AD1881" s="39">
        <f>IF(AC1881="","",IF(COUNTIF(AC$6:AC1881,AC1881)=1,1,0))</f>
        <v/>
      </c>
      <c r="AE1881" s="39">
        <f>IF(AB1881=0,"",IF(COUNTIFS(X$6:X1881,X1881,AB$6:AB1881,AB1881)=1,1,0))</f>
        <v/>
      </c>
      <c r="AF1881" s="34">
        <f>IF(C1881="","",YEAR(C1881-WEEKDAY(C1881,2)+4)&amp;"-S"&amp;TEXT(INT((C1881-DATE(YEAR(C1881-WEEKDAY(C1881,2)+4),1,3)+WEEKDAY(DATE(YEAR(C1881-WEEKDAY(C1881,2)+4),1,3),2)+5)/7),"00"))</f>
        <v/>
      </c>
    </row>
    <row r="1882" ht="18" customHeight="1">
      <c r="A1882" s="39" t="n">
        <v>1877</v>
      </c>
      <c r="B1882" s="33">
        <f>IF(C1882="","",IF(P1882="À RENSEIGNER","GIC",P1882)&amp;"-C"&amp;TEXT(A1882,"00000"))</f>
        <v/>
      </c>
      <c r="C1882" s="32" t="n"/>
      <c r="D1882" s="36" t="n"/>
      <c r="E1882" s="36" t="n"/>
      <c r="F1882" s="36" t="n"/>
      <c r="G1882" s="42" t="n"/>
      <c r="H1882" s="37" t="n"/>
      <c r="I1882" s="37" t="n"/>
      <c r="J1882" s="32" t="n"/>
      <c r="K1882" s="32" t="n"/>
      <c r="L1882" s="43" t="n"/>
      <c r="M1882" s="36" t="n"/>
      <c r="N1882" s="44" t="n"/>
      <c r="O1882" s="36" t="n"/>
      <c r="P1882" s="33">
        <f>IF(C1882="","",Commercial_Id)</f>
        <v/>
      </c>
      <c r="Q1882" s="34">
        <f>IF(AC1882="","",IF(AD1882=1,"C"&amp;TEXT(SUM(AD$6:AD1882),"0000"),INDEX(Q$6:Q1881,MATCH(AC1882,AC$6:AC1881,0))))</f>
        <v/>
      </c>
      <c r="R1882" s="34">
        <f>IF(C1882="","",IF(L1882="☑ Oui","Annulée",IF(OR(E1882="Vente directe",K1882&lt;&gt;""),"Livrée",IF(J1882&lt;&gt;"","Confirmée","En attente"))))</f>
        <v/>
      </c>
      <c r="S1882" s="34">
        <f>IF(F1882="","",IFERROR(VLOOKUP(F1882,T_Produits,2,FALSE),""))</f>
        <v/>
      </c>
      <c r="T1882" s="40">
        <f>IF(F1882="","",IFERROR(1/(1/VLOOKUP(F1882,T_Produits,3,FALSE)),""))</f>
        <v/>
      </c>
      <c r="U1882" s="40">
        <f>IF(H1882&lt;&gt;"",H1882,T1882)</f>
        <v/>
      </c>
      <c r="V1882" s="40">
        <f>IF(OR(G1882="",U1882=""),"",G1882*U1882-N(I1882))</f>
        <v/>
      </c>
      <c r="W1882" s="39">
        <f>IF(D1882="","",IFERROR(VALUE(MID(D1882,LEN(D1882)-3,3)),""))</f>
        <v/>
      </c>
      <c r="X1882" s="33">
        <f>IF(W1882="","",P1882&amp;"|"&amp;W1882)</f>
        <v/>
      </c>
      <c r="Y1882" s="33">
        <f>IF(W1882="","",IF(P1882="À RENSEIGNER","GIC",P1882)&amp;"-"&amp;TEXT(W1882,"000"))</f>
        <v/>
      </c>
      <c r="Z1882" s="33">
        <f>IF(X1882="","",IFERROR(INDEX(Cl_nom,MATCH(X1882,Cl_cle,0)),"(client introuvable)"))</f>
        <v/>
      </c>
      <c r="AA1882" s="33">
        <f>IF(X1882="","",IFERROR(INDEX(Cl_quartier,MATCH(X1882,Cl_cle,0))&amp;"",""))</f>
        <v/>
      </c>
      <c r="AB1882" s="45">
        <f>IF(R1882&lt;&gt;"Livrée",0,IF(K1882&lt;&gt;"",K1882,C1882))</f>
        <v/>
      </c>
      <c r="AC1882" s="33">
        <f>IF(OR(C1882="",W1882=""),"",P1882&amp;"|"&amp;W1882&amp;"|"&amp;C1882&amp;"|"&amp;E1882)</f>
        <v/>
      </c>
      <c r="AD1882" s="39">
        <f>IF(AC1882="","",IF(COUNTIF(AC$6:AC1882,AC1882)=1,1,0))</f>
        <v/>
      </c>
      <c r="AE1882" s="39">
        <f>IF(AB1882=0,"",IF(COUNTIFS(X$6:X1882,X1882,AB$6:AB1882,AB1882)=1,1,0))</f>
        <v/>
      </c>
      <c r="AF1882" s="34">
        <f>IF(C1882="","",YEAR(C1882-WEEKDAY(C1882,2)+4)&amp;"-S"&amp;TEXT(INT((C1882-DATE(YEAR(C1882-WEEKDAY(C1882,2)+4),1,3)+WEEKDAY(DATE(YEAR(C1882-WEEKDAY(C1882,2)+4),1,3),2)+5)/7),"00"))</f>
        <v/>
      </c>
    </row>
    <row r="1883" ht="18" customHeight="1">
      <c r="A1883" s="39" t="n">
        <v>1878</v>
      </c>
      <c r="B1883" s="33">
        <f>IF(C1883="","",IF(P1883="À RENSEIGNER","GIC",P1883)&amp;"-C"&amp;TEXT(A1883,"00000"))</f>
        <v/>
      </c>
      <c r="C1883" s="32" t="n"/>
      <c r="D1883" s="36" t="n"/>
      <c r="E1883" s="36" t="n"/>
      <c r="F1883" s="36" t="n"/>
      <c r="G1883" s="42" t="n"/>
      <c r="H1883" s="37" t="n"/>
      <c r="I1883" s="37" t="n"/>
      <c r="J1883" s="32" t="n"/>
      <c r="K1883" s="32" t="n"/>
      <c r="L1883" s="43" t="n"/>
      <c r="M1883" s="36" t="n"/>
      <c r="N1883" s="44" t="n"/>
      <c r="O1883" s="36" t="n"/>
      <c r="P1883" s="33">
        <f>IF(C1883="","",Commercial_Id)</f>
        <v/>
      </c>
      <c r="Q1883" s="34">
        <f>IF(AC1883="","",IF(AD1883=1,"C"&amp;TEXT(SUM(AD$6:AD1883),"0000"),INDEX(Q$6:Q1882,MATCH(AC1883,AC$6:AC1882,0))))</f>
        <v/>
      </c>
      <c r="R1883" s="34">
        <f>IF(C1883="","",IF(L1883="☑ Oui","Annulée",IF(OR(E1883="Vente directe",K1883&lt;&gt;""),"Livrée",IF(J1883&lt;&gt;"","Confirmée","En attente"))))</f>
        <v/>
      </c>
      <c r="S1883" s="34">
        <f>IF(F1883="","",IFERROR(VLOOKUP(F1883,T_Produits,2,FALSE),""))</f>
        <v/>
      </c>
      <c r="T1883" s="40">
        <f>IF(F1883="","",IFERROR(1/(1/VLOOKUP(F1883,T_Produits,3,FALSE)),""))</f>
        <v/>
      </c>
      <c r="U1883" s="40">
        <f>IF(H1883&lt;&gt;"",H1883,T1883)</f>
        <v/>
      </c>
      <c r="V1883" s="40">
        <f>IF(OR(G1883="",U1883=""),"",G1883*U1883-N(I1883))</f>
        <v/>
      </c>
      <c r="W1883" s="39">
        <f>IF(D1883="","",IFERROR(VALUE(MID(D1883,LEN(D1883)-3,3)),""))</f>
        <v/>
      </c>
      <c r="X1883" s="33">
        <f>IF(W1883="","",P1883&amp;"|"&amp;W1883)</f>
        <v/>
      </c>
      <c r="Y1883" s="33">
        <f>IF(W1883="","",IF(P1883="À RENSEIGNER","GIC",P1883)&amp;"-"&amp;TEXT(W1883,"000"))</f>
        <v/>
      </c>
      <c r="Z1883" s="33">
        <f>IF(X1883="","",IFERROR(INDEX(Cl_nom,MATCH(X1883,Cl_cle,0)),"(client introuvable)"))</f>
        <v/>
      </c>
      <c r="AA1883" s="33">
        <f>IF(X1883="","",IFERROR(INDEX(Cl_quartier,MATCH(X1883,Cl_cle,0))&amp;"",""))</f>
        <v/>
      </c>
      <c r="AB1883" s="45">
        <f>IF(R1883&lt;&gt;"Livrée",0,IF(K1883&lt;&gt;"",K1883,C1883))</f>
        <v/>
      </c>
      <c r="AC1883" s="33">
        <f>IF(OR(C1883="",W1883=""),"",P1883&amp;"|"&amp;W1883&amp;"|"&amp;C1883&amp;"|"&amp;E1883)</f>
        <v/>
      </c>
      <c r="AD1883" s="39">
        <f>IF(AC1883="","",IF(COUNTIF(AC$6:AC1883,AC1883)=1,1,0))</f>
        <v/>
      </c>
      <c r="AE1883" s="39">
        <f>IF(AB1883=0,"",IF(COUNTIFS(X$6:X1883,X1883,AB$6:AB1883,AB1883)=1,1,0))</f>
        <v/>
      </c>
      <c r="AF1883" s="34">
        <f>IF(C1883="","",YEAR(C1883-WEEKDAY(C1883,2)+4)&amp;"-S"&amp;TEXT(INT((C1883-DATE(YEAR(C1883-WEEKDAY(C1883,2)+4),1,3)+WEEKDAY(DATE(YEAR(C1883-WEEKDAY(C1883,2)+4),1,3),2)+5)/7),"00"))</f>
        <v/>
      </c>
    </row>
    <row r="1884" ht="18" customHeight="1">
      <c r="A1884" s="39" t="n">
        <v>1879</v>
      </c>
      <c r="B1884" s="33">
        <f>IF(C1884="","",IF(P1884="À RENSEIGNER","GIC",P1884)&amp;"-C"&amp;TEXT(A1884,"00000"))</f>
        <v/>
      </c>
      <c r="C1884" s="32" t="n"/>
      <c r="D1884" s="36" t="n"/>
      <c r="E1884" s="36" t="n"/>
      <c r="F1884" s="36" t="n"/>
      <c r="G1884" s="42" t="n"/>
      <c r="H1884" s="37" t="n"/>
      <c r="I1884" s="37" t="n"/>
      <c r="J1884" s="32" t="n"/>
      <c r="K1884" s="32" t="n"/>
      <c r="L1884" s="43" t="n"/>
      <c r="M1884" s="36" t="n"/>
      <c r="N1884" s="44" t="n"/>
      <c r="O1884" s="36" t="n"/>
      <c r="P1884" s="33">
        <f>IF(C1884="","",Commercial_Id)</f>
        <v/>
      </c>
      <c r="Q1884" s="34">
        <f>IF(AC1884="","",IF(AD1884=1,"C"&amp;TEXT(SUM(AD$6:AD1884),"0000"),INDEX(Q$6:Q1883,MATCH(AC1884,AC$6:AC1883,0))))</f>
        <v/>
      </c>
      <c r="R1884" s="34">
        <f>IF(C1884="","",IF(L1884="☑ Oui","Annulée",IF(OR(E1884="Vente directe",K1884&lt;&gt;""),"Livrée",IF(J1884&lt;&gt;"","Confirmée","En attente"))))</f>
        <v/>
      </c>
      <c r="S1884" s="34">
        <f>IF(F1884="","",IFERROR(VLOOKUP(F1884,T_Produits,2,FALSE),""))</f>
        <v/>
      </c>
      <c r="T1884" s="40">
        <f>IF(F1884="","",IFERROR(1/(1/VLOOKUP(F1884,T_Produits,3,FALSE)),""))</f>
        <v/>
      </c>
      <c r="U1884" s="40">
        <f>IF(H1884&lt;&gt;"",H1884,T1884)</f>
        <v/>
      </c>
      <c r="V1884" s="40">
        <f>IF(OR(G1884="",U1884=""),"",G1884*U1884-N(I1884))</f>
        <v/>
      </c>
      <c r="W1884" s="39">
        <f>IF(D1884="","",IFERROR(VALUE(MID(D1884,LEN(D1884)-3,3)),""))</f>
        <v/>
      </c>
      <c r="X1884" s="33">
        <f>IF(W1884="","",P1884&amp;"|"&amp;W1884)</f>
        <v/>
      </c>
      <c r="Y1884" s="33">
        <f>IF(W1884="","",IF(P1884="À RENSEIGNER","GIC",P1884)&amp;"-"&amp;TEXT(W1884,"000"))</f>
        <v/>
      </c>
      <c r="Z1884" s="33">
        <f>IF(X1884="","",IFERROR(INDEX(Cl_nom,MATCH(X1884,Cl_cle,0)),"(client introuvable)"))</f>
        <v/>
      </c>
      <c r="AA1884" s="33">
        <f>IF(X1884="","",IFERROR(INDEX(Cl_quartier,MATCH(X1884,Cl_cle,0))&amp;"",""))</f>
        <v/>
      </c>
      <c r="AB1884" s="45">
        <f>IF(R1884&lt;&gt;"Livrée",0,IF(K1884&lt;&gt;"",K1884,C1884))</f>
        <v/>
      </c>
      <c r="AC1884" s="33">
        <f>IF(OR(C1884="",W1884=""),"",P1884&amp;"|"&amp;W1884&amp;"|"&amp;C1884&amp;"|"&amp;E1884)</f>
        <v/>
      </c>
      <c r="AD1884" s="39">
        <f>IF(AC1884="","",IF(COUNTIF(AC$6:AC1884,AC1884)=1,1,0))</f>
        <v/>
      </c>
      <c r="AE1884" s="39">
        <f>IF(AB1884=0,"",IF(COUNTIFS(X$6:X1884,X1884,AB$6:AB1884,AB1884)=1,1,0))</f>
        <v/>
      </c>
      <c r="AF1884" s="34">
        <f>IF(C1884="","",YEAR(C1884-WEEKDAY(C1884,2)+4)&amp;"-S"&amp;TEXT(INT((C1884-DATE(YEAR(C1884-WEEKDAY(C1884,2)+4),1,3)+WEEKDAY(DATE(YEAR(C1884-WEEKDAY(C1884,2)+4),1,3),2)+5)/7),"00"))</f>
        <v/>
      </c>
    </row>
    <row r="1885" ht="18" customHeight="1">
      <c r="A1885" s="39" t="n">
        <v>1880</v>
      </c>
      <c r="B1885" s="33">
        <f>IF(C1885="","",IF(P1885="À RENSEIGNER","GIC",P1885)&amp;"-C"&amp;TEXT(A1885,"00000"))</f>
        <v/>
      </c>
      <c r="C1885" s="32" t="n"/>
      <c r="D1885" s="36" t="n"/>
      <c r="E1885" s="36" t="n"/>
      <c r="F1885" s="36" t="n"/>
      <c r="G1885" s="42" t="n"/>
      <c r="H1885" s="37" t="n"/>
      <c r="I1885" s="37" t="n"/>
      <c r="J1885" s="32" t="n"/>
      <c r="K1885" s="32" t="n"/>
      <c r="L1885" s="43" t="n"/>
      <c r="M1885" s="36" t="n"/>
      <c r="N1885" s="44" t="n"/>
      <c r="O1885" s="36" t="n"/>
      <c r="P1885" s="33">
        <f>IF(C1885="","",Commercial_Id)</f>
        <v/>
      </c>
      <c r="Q1885" s="34">
        <f>IF(AC1885="","",IF(AD1885=1,"C"&amp;TEXT(SUM(AD$6:AD1885),"0000"),INDEX(Q$6:Q1884,MATCH(AC1885,AC$6:AC1884,0))))</f>
        <v/>
      </c>
      <c r="R1885" s="34">
        <f>IF(C1885="","",IF(L1885="☑ Oui","Annulée",IF(OR(E1885="Vente directe",K1885&lt;&gt;""),"Livrée",IF(J1885&lt;&gt;"","Confirmée","En attente"))))</f>
        <v/>
      </c>
      <c r="S1885" s="34">
        <f>IF(F1885="","",IFERROR(VLOOKUP(F1885,T_Produits,2,FALSE),""))</f>
        <v/>
      </c>
      <c r="T1885" s="40">
        <f>IF(F1885="","",IFERROR(1/(1/VLOOKUP(F1885,T_Produits,3,FALSE)),""))</f>
        <v/>
      </c>
      <c r="U1885" s="40">
        <f>IF(H1885&lt;&gt;"",H1885,T1885)</f>
        <v/>
      </c>
      <c r="V1885" s="40">
        <f>IF(OR(G1885="",U1885=""),"",G1885*U1885-N(I1885))</f>
        <v/>
      </c>
      <c r="W1885" s="39">
        <f>IF(D1885="","",IFERROR(VALUE(MID(D1885,LEN(D1885)-3,3)),""))</f>
        <v/>
      </c>
      <c r="X1885" s="33">
        <f>IF(W1885="","",P1885&amp;"|"&amp;W1885)</f>
        <v/>
      </c>
      <c r="Y1885" s="33">
        <f>IF(W1885="","",IF(P1885="À RENSEIGNER","GIC",P1885)&amp;"-"&amp;TEXT(W1885,"000"))</f>
        <v/>
      </c>
      <c r="Z1885" s="33">
        <f>IF(X1885="","",IFERROR(INDEX(Cl_nom,MATCH(X1885,Cl_cle,0)),"(client introuvable)"))</f>
        <v/>
      </c>
      <c r="AA1885" s="33">
        <f>IF(X1885="","",IFERROR(INDEX(Cl_quartier,MATCH(X1885,Cl_cle,0))&amp;"",""))</f>
        <v/>
      </c>
      <c r="AB1885" s="45">
        <f>IF(R1885&lt;&gt;"Livrée",0,IF(K1885&lt;&gt;"",K1885,C1885))</f>
        <v/>
      </c>
      <c r="AC1885" s="33">
        <f>IF(OR(C1885="",W1885=""),"",P1885&amp;"|"&amp;W1885&amp;"|"&amp;C1885&amp;"|"&amp;E1885)</f>
        <v/>
      </c>
      <c r="AD1885" s="39">
        <f>IF(AC1885="","",IF(COUNTIF(AC$6:AC1885,AC1885)=1,1,0))</f>
        <v/>
      </c>
      <c r="AE1885" s="39">
        <f>IF(AB1885=0,"",IF(COUNTIFS(X$6:X1885,X1885,AB$6:AB1885,AB1885)=1,1,0))</f>
        <v/>
      </c>
      <c r="AF1885" s="34">
        <f>IF(C1885="","",YEAR(C1885-WEEKDAY(C1885,2)+4)&amp;"-S"&amp;TEXT(INT((C1885-DATE(YEAR(C1885-WEEKDAY(C1885,2)+4),1,3)+WEEKDAY(DATE(YEAR(C1885-WEEKDAY(C1885,2)+4),1,3),2)+5)/7),"00"))</f>
        <v/>
      </c>
    </row>
    <row r="1886" ht="18" customHeight="1">
      <c r="A1886" s="39" t="n">
        <v>1881</v>
      </c>
      <c r="B1886" s="33">
        <f>IF(C1886="","",IF(P1886="À RENSEIGNER","GIC",P1886)&amp;"-C"&amp;TEXT(A1886,"00000"))</f>
        <v/>
      </c>
      <c r="C1886" s="32" t="n"/>
      <c r="D1886" s="36" t="n"/>
      <c r="E1886" s="36" t="n"/>
      <c r="F1886" s="36" t="n"/>
      <c r="G1886" s="42" t="n"/>
      <c r="H1886" s="37" t="n"/>
      <c r="I1886" s="37" t="n"/>
      <c r="J1886" s="32" t="n"/>
      <c r="K1886" s="32" t="n"/>
      <c r="L1886" s="43" t="n"/>
      <c r="M1886" s="36" t="n"/>
      <c r="N1886" s="44" t="n"/>
      <c r="O1886" s="36" t="n"/>
      <c r="P1886" s="33">
        <f>IF(C1886="","",Commercial_Id)</f>
        <v/>
      </c>
      <c r="Q1886" s="34">
        <f>IF(AC1886="","",IF(AD1886=1,"C"&amp;TEXT(SUM(AD$6:AD1886),"0000"),INDEX(Q$6:Q1885,MATCH(AC1886,AC$6:AC1885,0))))</f>
        <v/>
      </c>
      <c r="R1886" s="34">
        <f>IF(C1886="","",IF(L1886="☑ Oui","Annulée",IF(OR(E1886="Vente directe",K1886&lt;&gt;""),"Livrée",IF(J1886&lt;&gt;"","Confirmée","En attente"))))</f>
        <v/>
      </c>
      <c r="S1886" s="34">
        <f>IF(F1886="","",IFERROR(VLOOKUP(F1886,T_Produits,2,FALSE),""))</f>
        <v/>
      </c>
      <c r="T1886" s="40">
        <f>IF(F1886="","",IFERROR(1/(1/VLOOKUP(F1886,T_Produits,3,FALSE)),""))</f>
        <v/>
      </c>
      <c r="U1886" s="40">
        <f>IF(H1886&lt;&gt;"",H1886,T1886)</f>
        <v/>
      </c>
      <c r="V1886" s="40">
        <f>IF(OR(G1886="",U1886=""),"",G1886*U1886-N(I1886))</f>
        <v/>
      </c>
      <c r="W1886" s="39">
        <f>IF(D1886="","",IFERROR(VALUE(MID(D1886,LEN(D1886)-3,3)),""))</f>
        <v/>
      </c>
      <c r="X1886" s="33">
        <f>IF(W1886="","",P1886&amp;"|"&amp;W1886)</f>
        <v/>
      </c>
      <c r="Y1886" s="33">
        <f>IF(W1886="","",IF(P1886="À RENSEIGNER","GIC",P1886)&amp;"-"&amp;TEXT(W1886,"000"))</f>
        <v/>
      </c>
      <c r="Z1886" s="33">
        <f>IF(X1886="","",IFERROR(INDEX(Cl_nom,MATCH(X1886,Cl_cle,0)),"(client introuvable)"))</f>
        <v/>
      </c>
      <c r="AA1886" s="33">
        <f>IF(X1886="","",IFERROR(INDEX(Cl_quartier,MATCH(X1886,Cl_cle,0))&amp;"",""))</f>
        <v/>
      </c>
      <c r="AB1886" s="45">
        <f>IF(R1886&lt;&gt;"Livrée",0,IF(K1886&lt;&gt;"",K1886,C1886))</f>
        <v/>
      </c>
      <c r="AC1886" s="33">
        <f>IF(OR(C1886="",W1886=""),"",P1886&amp;"|"&amp;W1886&amp;"|"&amp;C1886&amp;"|"&amp;E1886)</f>
        <v/>
      </c>
      <c r="AD1886" s="39">
        <f>IF(AC1886="","",IF(COUNTIF(AC$6:AC1886,AC1886)=1,1,0))</f>
        <v/>
      </c>
      <c r="AE1886" s="39">
        <f>IF(AB1886=0,"",IF(COUNTIFS(X$6:X1886,X1886,AB$6:AB1886,AB1886)=1,1,0))</f>
        <v/>
      </c>
      <c r="AF1886" s="34">
        <f>IF(C1886="","",YEAR(C1886-WEEKDAY(C1886,2)+4)&amp;"-S"&amp;TEXT(INT((C1886-DATE(YEAR(C1886-WEEKDAY(C1886,2)+4),1,3)+WEEKDAY(DATE(YEAR(C1886-WEEKDAY(C1886,2)+4),1,3),2)+5)/7),"00"))</f>
        <v/>
      </c>
    </row>
    <row r="1887" ht="18" customHeight="1">
      <c r="A1887" s="39" t="n">
        <v>1882</v>
      </c>
      <c r="B1887" s="33">
        <f>IF(C1887="","",IF(P1887="À RENSEIGNER","GIC",P1887)&amp;"-C"&amp;TEXT(A1887,"00000"))</f>
        <v/>
      </c>
      <c r="C1887" s="32" t="n"/>
      <c r="D1887" s="36" t="n"/>
      <c r="E1887" s="36" t="n"/>
      <c r="F1887" s="36" t="n"/>
      <c r="G1887" s="42" t="n"/>
      <c r="H1887" s="37" t="n"/>
      <c r="I1887" s="37" t="n"/>
      <c r="J1887" s="32" t="n"/>
      <c r="K1887" s="32" t="n"/>
      <c r="L1887" s="43" t="n"/>
      <c r="M1887" s="36" t="n"/>
      <c r="N1887" s="44" t="n"/>
      <c r="O1887" s="36" t="n"/>
      <c r="P1887" s="33">
        <f>IF(C1887="","",Commercial_Id)</f>
        <v/>
      </c>
      <c r="Q1887" s="34">
        <f>IF(AC1887="","",IF(AD1887=1,"C"&amp;TEXT(SUM(AD$6:AD1887),"0000"),INDEX(Q$6:Q1886,MATCH(AC1887,AC$6:AC1886,0))))</f>
        <v/>
      </c>
      <c r="R1887" s="34">
        <f>IF(C1887="","",IF(L1887="☑ Oui","Annulée",IF(OR(E1887="Vente directe",K1887&lt;&gt;""),"Livrée",IF(J1887&lt;&gt;"","Confirmée","En attente"))))</f>
        <v/>
      </c>
      <c r="S1887" s="34">
        <f>IF(F1887="","",IFERROR(VLOOKUP(F1887,T_Produits,2,FALSE),""))</f>
        <v/>
      </c>
      <c r="T1887" s="40">
        <f>IF(F1887="","",IFERROR(1/(1/VLOOKUP(F1887,T_Produits,3,FALSE)),""))</f>
        <v/>
      </c>
      <c r="U1887" s="40">
        <f>IF(H1887&lt;&gt;"",H1887,T1887)</f>
        <v/>
      </c>
      <c r="V1887" s="40">
        <f>IF(OR(G1887="",U1887=""),"",G1887*U1887-N(I1887))</f>
        <v/>
      </c>
      <c r="W1887" s="39">
        <f>IF(D1887="","",IFERROR(VALUE(MID(D1887,LEN(D1887)-3,3)),""))</f>
        <v/>
      </c>
      <c r="X1887" s="33">
        <f>IF(W1887="","",P1887&amp;"|"&amp;W1887)</f>
        <v/>
      </c>
      <c r="Y1887" s="33">
        <f>IF(W1887="","",IF(P1887="À RENSEIGNER","GIC",P1887)&amp;"-"&amp;TEXT(W1887,"000"))</f>
        <v/>
      </c>
      <c r="Z1887" s="33">
        <f>IF(X1887="","",IFERROR(INDEX(Cl_nom,MATCH(X1887,Cl_cle,0)),"(client introuvable)"))</f>
        <v/>
      </c>
      <c r="AA1887" s="33">
        <f>IF(X1887="","",IFERROR(INDEX(Cl_quartier,MATCH(X1887,Cl_cle,0))&amp;"",""))</f>
        <v/>
      </c>
      <c r="AB1887" s="45">
        <f>IF(R1887&lt;&gt;"Livrée",0,IF(K1887&lt;&gt;"",K1887,C1887))</f>
        <v/>
      </c>
      <c r="AC1887" s="33">
        <f>IF(OR(C1887="",W1887=""),"",P1887&amp;"|"&amp;W1887&amp;"|"&amp;C1887&amp;"|"&amp;E1887)</f>
        <v/>
      </c>
      <c r="AD1887" s="39">
        <f>IF(AC1887="","",IF(COUNTIF(AC$6:AC1887,AC1887)=1,1,0))</f>
        <v/>
      </c>
      <c r="AE1887" s="39">
        <f>IF(AB1887=0,"",IF(COUNTIFS(X$6:X1887,X1887,AB$6:AB1887,AB1887)=1,1,0))</f>
        <v/>
      </c>
      <c r="AF1887" s="34">
        <f>IF(C1887="","",YEAR(C1887-WEEKDAY(C1887,2)+4)&amp;"-S"&amp;TEXT(INT((C1887-DATE(YEAR(C1887-WEEKDAY(C1887,2)+4),1,3)+WEEKDAY(DATE(YEAR(C1887-WEEKDAY(C1887,2)+4),1,3),2)+5)/7),"00"))</f>
        <v/>
      </c>
    </row>
    <row r="1888" ht="18" customHeight="1">
      <c r="A1888" s="39" t="n">
        <v>1883</v>
      </c>
      <c r="B1888" s="33">
        <f>IF(C1888="","",IF(P1888="À RENSEIGNER","GIC",P1888)&amp;"-C"&amp;TEXT(A1888,"00000"))</f>
        <v/>
      </c>
      <c r="C1888" s="32" t="n"/>
      <c r="D1888" s="36" t="n"/>
      <c r="E1888" s="36" t="n"/>
      <c r="F1888" s="36" t="n"/>
      <c r="G1888" s="42" t="n"/>
      <c r="H1888" s="37" t="n"/>
      <c r="I1888" s="37" t="n"/>
      <c r="J1888" s="32" t="n"/>
      <c r="K1888" s="32" t="n"/>
      <c r="L1888" s="43" t="n"/>
      <c r="M1888" s="36" t="n"/>
      <c r="N1888" s="44" t="n"/>
      <c r="O1888" s="36" t="n"/>
      <c r="P1888" s="33">
        <f>IF(C1888="","",Commercial_Id)</f>
        <v/>
      </c>
      <c r="Q1888" s="34">
        <f>IF(AC1888="","",IF(AD1888=1,"C"&amp;TEXT(SUM(AD$6:AD1888),"0000"),INDEX(Q$6:Q1887,MATCH(AC1888,AC$6:AC1887,0))))</f>
        <v/>
      </c>
      <c r="R1888" s="34">
        <f>IF(C1888="","",IF(L1888="☑ Oui","Annulée",IF(OR(E1888="Vente directe",K1888&lt;&gt;""),"Livrée",IF(J1888&lt;&gt;"","Confirmée","En attente"))))</f>
        <v/>
      </c>
      <c r="S1888" s="34">
        <f>IF(F1888="","",IFERROR(VLOOKUP(F1888,T_Produits,2,FALSE),""))</f>
        <v/>
      </c>
      <c r="T1888" s="40">
        <f>IF(F1888="","",IFERROR(1/(1/VLOOKUP(F1888,T_Produits,3,FALSE)),""))</f>
        <v/>
      </c>
      <c r="U1888" s="40">
        <f>IF(H1888&lt;&gt;"",H1888,T1888)</f>
        <v/>
      </c>
      <c r="V1888" s="40">
        <f>IF(OR(G1888="",U1888=""),"",G1888*U1888-N(I1888))</f>
        <v/>
      </c>
      <c r="W1888" s="39">
        <f>IF(D1888="","",IFERROR(VALUE(MID(D1888,LEN(D1888)-3,3)),""))</f>
        <v/>
      </c>
      <c r="X1888" s="33">
        <f>IF(W1888="","",P1888&amp;"|"&amp;W1888)</f>
        <v/>
      </c>
      <c r="Y1888" s="33">
        <f>IF(W1888="","",IF(P1888="À RENSEIGNER","GIC",P1888)&amp;"-"&amp;TEXT(W1888,"000"))</f>
        <v/>
      </c>
      <c r="Z1888" s="33">
        <f>IF(X1888="","",IFERROR(INDEX(Cl_nom,MATCH(X1888,Cl_cle,0)),"(client introuvable)"))</f>
        <v/>
      </c>
      <c r="AA1888" s="33">
        <f>IF(X1888="","",IFERROR(INDEX(Cl_quartier,MATCH(X1888,Cl_cle,0))&amp;"",""))</f>
        <v/>
      </c>
      <c r="AB1888" s="45">
        <f>IF(R1888&lt;&gt;"Livrée",0,IF(K1888&lt;&gt;"",K1888,C1888))</f>
        <v/>
      </c>
      <c r="AC1888" s="33">
        <f>IF(OR(C1888="",W1888=""),"",P1888&amp;"|"&amp;W1888&amp;"|"&amp;C1888&amp;"|"&amp;E1888)</f>
        <v/>
      </c>
      <c r="AD1888" s="39">
        <f>IF(AC1888="","",IF(COUNTIF(AC$6:AC1888,AC1888)=1,1,0))</f>
        <v/>
      </c>
      <c r="AE1888" s="39">
        <f>IF(AB1888=0,"",IF(COUNTIFS(X$6:X1888,X1888,AB$6:AB1888,AB1888)=1,1,0))</f>
        <v/>
      </c>
      <c r="AF1888" s="34">
        <f>IF(C1888="","",YEAR(C1888-WEEKDAY(C1888,2)+4)&amp;"-S"&amp;TEXT(INT((C1888-DATE(YEAR(C1888-WEEKDAY(C1888,2)+4),1,3)+WEEKDAY(DATE(YEAR(C1888-WEEKDAY(C1888,2)+4),1,3),2)+5)/7),"00"))</f>
        <v/>
      </c>
    </row>
    <row r="1889" ht="18" customHeight="1">
      <c r="A1889" s="39" t="n">
        <v>1884</v>
      </c>
      <c r="B1889" s="33">
        <f>IF(C1889="","",IF(P1889="À RENSEIGNER","GIC",P1889)&amp;"-C"&amp;TEXT(A1889,"00000"))</f>
        <v/>
      </c>
      <c r="C1889" s="32" t="n"/>
      <c r="D1889" s="36" t="n"/>
      <c r="E1889" s="36" t="n"/>
      <c r="F1889" s="36" t="n"/>
      <c r="G1889" s="42" t="n"/>
      <c r="H1889" s="37" t="n"/>
      <c r="I1889" s="37" t="n"/>
      <c r="J1889" s="32" t="n"/>
      <c r="K1889" s="32" t="n"/>
      <c r="L1889" s="43" t="n"/>
      <c r="M1889" s="36" t="n"/>
      <c r="N1889" s="44" t="n"/>
      <c r="O1889" s="36" t="n"/>
      <c r="P1889" s="33">
        <f>IF(C1889="","",Commercial_Id)</f>
        <v/>
      </c>
      <c r="Q1889" s="34">
        <f>IF(AC1889="","",IF(AD1889=1,"C"&amp;TEXT(SUM(AD$6:AD1889),"0000"),INDEX(Q$6:Q1888,MATCH(AC1889,AC$6:AC1888,0))))</f>
        <v/>
      </c>
      <c r="R1889" s="34">
        <f>IF(C1889="","",IF(L1889="☑ Oui","Annulée",IF(OR(E1889="Vente directe",K1889&lt;&gt;""),"Livrée",IF(J1889&lt;&gt;"","Confirmée","En attente"))))</f>
        <v/>
      </c>
      <c r="S1889" s="34">
        <f>IF(F1889="","",IFERROR(VLOOKUP(F1889,T_Produits,2,FALSE),""))</f>
        <v/>
      </c>
      <c r="T1889" s="40">
        <f>IF(F1889="","",IFERROR(1/(1/VLOOKUP(F1889,T_Produits,3,FALSE)),""))</f>
        <v/>
      </c>
      <c r="U1889" s="40">
        <f>IF(H1889&lt;&gt;"",H1889,T1889)</f>
        <v/>
      </c>
      <c r="V1889" s="40">
        <f>IF(OR(G1889="",U1889=""),"",G1889*U1889-N(I1889))</f>
        <v/>
      </c>
      <c r="W1889" s="39">
        <f>IF(D1889="","",IFERROR(VALUE(MID(D1889,LEN(D1889)-3,3)),""))</f>
        <v/>
      </c>
      <c r="X1889" s="33">
        <f>IF(W1889="","",P1889&amp;"|"&amp;W1889)</f>
        <v/>
      </c>
      <c r="Y1889" s="33">
        <f>IF(W1889="","",IF(P1889="À RENSEIGNER","GIC",P1889)&amp;"-"&amp;TEXT(W1889,"000"))</f>
        <v/>
      </c>
      <c r="Z1889" s="33">
        <f>IF(X1889="","",IFERROR(INDEX(Cl_nom,MATCH(X1889,Cl_cle,0)),"(client introuvable)"))</f>
        <v/>
      </c>
      <c r="AA1889" s="33">
        <f>IF(X1889="","",IFERROR(INDEX(Cl_quartier,MATCH(X1889,Cl_cle,0))&amp;"",""))</f>
        <v/>
      </c>
      <c r="AB1889" s="45">
        <f>IF(R1889&lt;&gt;"Livrée",0,IF(K1889&lt;&gt;"",K1889,C1889))</f>
        <v/>
      </c>
      <c r="AC1889" s="33">
        <f>IF(OR(C1889="",W1889=""),"",P1889&amp;"|"&amp;W1889&amp;"|"&amp;C1889&amp;"|"&amp;E1889)</f>
        <v/>
      </c>
      <c r="AD1889" s="39">
        <f>IF(AC1889="","",IF(COUNTIF(AC$6:AC1889,AC1889)=1,1,0))</f>
        <v/>
      </c>
      <c r="AE1889" s="39">
        <f>IF(AB1889=0,"",IF(COUNTIFS(X$6:X1889,X1889,AB$6:AB1889,AB1889)=1,1,0))</f>
        <v/>
      </c>
      <c r="AF1889" s="34">
        <f>IF(C1889="","",YEAR(C1889-WEEKDAY(C1889,2)+4)&amp;"-S"&amp;TEXT(INT((C1889-DATE(YEAR(C1889-WEEKDAY(C1889,2)+4),1,3)+WEEKDAY(DATE(YEAR(C1889-WEEKDAY(C1889,2)+4),1,3),2)+5)/7),"00"))</f>
        <v/>
      </c>
    </row>
    <row r="1890" ht="18" customHeight="1">
      <c r="A1890" s="39" t="n">
        <v>1885</v>
      </c>
      <c r="B1890" s="33">
        <f>IF(C1890="","",IF(P1890="À RENSEIGNER","GIC",P1890)&amp;"-C"&amp;TEXT(A1890,"00000"))</f>
        <v/>
      </c>
      <c r="C1890" s="32" t="n"/>
      <c r="D1890" s="36" t="n"/>
      <c r="E1890" s="36" t="n"/>
      <c r="F1890" s="36" t="n"/>
      <c r="G1890" s="42" t="n"/>
      <c r="H1890" s="37" t="n"/>
      <c r="I1890" s="37" t="n"/>
      <c r="J1890" s="32" t="n"/>
      <c r="K1890" s="32" t="n"/>
      <c r="L1890" s="43" t="n"/>
      <c r="M1890" s="36" t="n"/>
      <c r="N1890" s="44" t="n"/>
      <c r="O1890" s="36" t="n"/>
      <c r="P1890" s="33">
        <f>IF(C1890="","",Commercial_Id)</f>
        <v/>
      </c>
      <c r="Q1890" s="34">
        <f>IF(AC1890="","",IF(AD1890=1,"C"&amp;TEXT(SUM(AD$6:AD1890),"0000"),INDEX(Q$6:Q1889,MATCH(AC1890,AC$6:AC1889,0))))</f>
        <v/>
      </c>
      <c r="R1890" s="34">
        <f>IF(C1890="","",IF(L1890="☑ Oui","Annulée",IF(OR(E1890="Vente directe",K1890&lt;&gt;""),"Livrée",IF(J1890&lt;&gt;"","Confirmée","En attente"))))</f>
        <v/>
      </c>
      <c r="S1890" s="34">
        <f>IF(F1890="","",IFERROR(VLOOKUP(F1890,T_Produits,2,FALSE),""))</f>
        <v/>
      </c>
      <c r="T1890" s="40">
        <f>IF(F1890="","",IFERROR(1/(1/VLOOKUP(F1890,T_Produits,3,FALSE)),""))</f>
        <v/>
      </c>
      <c r="U1890" s="40">
        <f>IF(H1890&lt;&gt;"",H1890,T1890)</f>
        <v/>
      </c>
      <c r="V1890" s="40">
        <f>IF(OR(G1890="",U1890=""),"",G1890*U1890-N(I1890))</f>
        <v/>
      </c>
      <c r="W1890" s="39">
        <f>IF(D1890="","",IFERROR(VALUE(MID(D1890,LEN(D1890)-3,3)),""))</f>
        <v/>
      </c>
      <c r="X1890" s="33">
        <f>IF(W1890="","",P1890&amp;"|"&amp;W1890)</f>
        <v/>
      </c>
      <c r="Y1890" s="33">
        <f>IF(W1890="","",IF(P1890="À RENSEIGNER","GIC",P1890)&amp;"-"&amp;TEXT(W1890,"000"))</f>
        <v/>
      </c>
      <c r="Z1890" s="33">
        <f>IF(X1890="","",IFERROR(INDEX(Cl_nom,MATCH(X1890,Cl_cle,0)),"(client introuvable)"))</f>
        <v/>
      </c>
      <c r="AA1890" s="33">
        <f>IF(X1890="","",IFERROR(INDEX(Cl_quartier,MATCH(X1890,Cl_cle,0))&amp;"",""))</f>
        <v/>
      </c>
      <c r="AB1890" s="45">
        <f>IF(R1890&lt;&gt;"Livrée",0,IF(K1890&lt;&gt;"",K1890,C1890))</f>
        <v/>
      </c>
      <c r="AC1890" s="33">
        <f>IF(OR(C1890="",W1890=""),"",P1890&amp;"|"&amp;W1890&amp;"|"&amp;C1890&amp;"|"&amp;E1890)</f>
        <v/>
      </c>
      <c r="AD1890" s="39">
        <f>IF(AC1890="","",IF(COUNTIF(AC$6:AC1890,AC1890)=1,1,0))</f>
        <v/>
      </c>
      <c r="AE1890" s="39">
        <f>IF(AB1890=0,"",IF(COUNTIFS(X$6:X1890,X1890,AB$6:AB1890,AB1890)=1,1,0))</f>
        <v/>
      </c>
      <c r="AF1890" s="34">
        <f>IF(C1890="","",YEAR(C1890-WEEKDAY(C1890,2)+4)&amp;"-S"&amp;TEXT(INT((C1890-DATE(YEAR(C1890-WEEKDAY(C1890,2)+4),1,3)+WEEKDAY(DATE(YEAR(C1890-WEEKDAY(C1890,2)+4),1,3),2)+5)/7),"00"))</f>
        <v/>
      </c>
    </row>
    <row r="1891" ht="18" customHeight="1">
      <c r="A1891" s="39" t="n">
        <v>1886</v>
      </c>
      <c r="B1891" s="33">
        <f>IF(C1891="","",IF(P1891="À RENSEIGNER","GIC",P1891)&amp;"-C"&amp;TEXT(A1891,"00000"))</f>
        <v/>
      </c>
      <c r="C1891" s="32" t="n"/>
      <c r="D1891" s="36" t="n"/>
      <c r="E1891" s="36" t="n"/>
      <c r="F1891" s="36" t="n"/>
      <c r="G1891" s="42" t="n"/>
      <c r="H1891" s="37" t="n"/>
      <c r="I1891" s="37" t="n"/>
      <c r="J1891" s="32" t="n"/>
      <c r="K1891" s="32" t="n"/>
      <c r="L1891" s="43" t="n"/>
      <c r="M1891" s="36" t="n"/>
      <c r="N1891" s="44" t="n"/>
      <c r="O1891" s="36" t="n"/>
      <c r="P1891" s="33">
        <f>IF(C1891="","",Commercial_Id)</f>
        <v/>
      </c>
      <c r="Q1891" s="34">
        <f>IF(AC1891="","",IF(AD1891=1,"C"&amp;TEXT(SUM(AD$6:AD1891),"0000"),INDEX(Q$6:Q1890,MATCH(AC1891,AC$6:AC1890,0))))</f>
        <v/>
      </c>
      <c r="R1891" s="34">
        <f>IF(C1891="","",IF(L1891="☑ Oui","Annulée",IF(OR(E1891="Vente directe",K1891&lt;&gt;""),"Livrée",IF(J1891&lt;&gt;"","Confirmée","En attente"))))</f>
        <v/>
      </c>
      <c r="S1891" s="34">
        <f>IF(F1891="","",IFERROR(VLOOKUP(F1891,T_Produits,2,FALSE),""))</f>
        <v/>
      </c>
      <c r="T1891" s="40">
        <f>IF(F1891="","",IFERROR(1/(1/VLOOKUP(F1891,T_Produits,3,FALSE)),""))</f>
        <v/>
      </c>
      <c r="U1891" s="40">
        <f>IF(H1891&lt;&gt;"",H1891,T1891)</f>
        <v/>
      </c>
      <c r="V1891" s="40">
        <f>IF(OR(G1891="",U1891=""),"",G1891*U1891-N(I1891))</f>
        <v/>
      </c>
      <c r="W1891" s="39">
        <f>IF(D1891="","",IFERROR(VALUE(MID(D1891,LEN(D1891)-3,3)),""))</f>
        <v/>
      </c>
      <c r="X1891" s="33">
        <f>IF(W1891="","",P1891&amp;"|"&amp;W1891)</f>
        <v/>
      </c>
      <c r="Y1891" s="33">
        <f>IF(W1891="","",IF(P1891="À RENSEIGNER","GIC",P1891)&amp;"-"&amp;TEXT(W1891,"000"))</f>
        <v/>
      </c>
      <c r="Z1891" s="33">
        <f>IF(X1891="","",IFERROR(INDEX(Cl_nom,MATCH(X1891,Cl_cle,0)),"(client introuvable)"))</f>
        <v/>
      </c>
      <c r="AA1891" s="33">
        <f>IF(X1891="","",IFERROR(INDEX(Cl_quartier,MATCH(X1891,Cl_cle,0))&amp;"",""))</f>
        <v/>
      </c>
      <c r="AB1891" s="45">
        <f>IF(R1891&lt;&gt;"Livrée",0,IF(K1891&lt;&gt;"",K1891,C1891))</f>
        <v/>
      </c>
      <c r="AC1891" s="33">
        <f>IF(OR(C1891="",W1891=""),"",P1891&amp;"|"&amp;W1891&amp;"|"&amp;C1891&amp;"|"&amp;E1891)</f>
        <v/>
      </c>
      <c r="AD1891" s="39">
        <f>IF(AC1891="","",IF(COUNTIF(AC$6:AC1891,AC1891)=1,1,0))</f>
        <v/>
      </c>
      <c r="AE1891" s="39">
        <f>IF(AB1891=0,"",IF(COUNTIFS(X$6:X1891,X1891,AB$6:AB1891,AB1891)=1,1,0))</f>
        <v/>
      </c>
      <c r="AF1891" s="34">
        <f>IF(C1891="","",YEAR(C1891-WEEKDAY(C1891,2)+4)&amp;"-S"&amp;TEXT(INT((C1891-DATE(YEAR(C1891-WEEKDAY(C1891,2)+4),1,3)+WEEKDAY(DATE(YEAR(C1891-WEEKDAY(C1891,2)+4),1,3),2)+5)/7),"00"))</f>
        <v/>
      </c>
    </row>
    <row r="1892" ht="18" customHeight="1">
      <c r="A1892" s="39" t="n">
        <v>1887</v>
      </c>
      <c r="B1892" s="33">
        <f>IF(C1892="","",IF(P1892="À RENSEIGNER","GIC",P1892)&amp;"-C"&amp;TEXT(A1892,"00000"))</f>
        <v/>
      </c>
      <c r="C1892" s="32" t="n"/>
      <c r="D1892" s="36" t="n"/>
      <c r="E1892" s="36" t="n"/>
      <c r="F1892" s="36" t="n"/>
      <c r="G1892" s="42" t="n"/>
      <c r="H1892" s="37" t="n"/>
      <c r="I1892" s="37" t="n"/>
      <c r="J1892" s="32" t="n"/>
      <c r="K1892" s="32" t="n"/>
      <c r="L1892" s="43" t="n"/>
      <c r="M1892" s="36" t="n"/>
      <c r="N1892" s="44" t="n"/>
      <c r="O1892" s="36" t="n"/>
      <c r="P1892" s="33">
        <f>IF(C1892="","",Commercial_Id)</f>
        <v/>
      </c>
      <c r="Q1892" s="34">
        <f>IF(AC1892="","",IF(AD1892=1,"C"&amp;TEXT(SUM(AD$6:AD1892),"0000"),INDEX(Q$6:Q1891,MATCH(AC1892,AC$6:AC1891,0))))</f>
        <v/>
      </c>
      <c r="R1892" s="34">
        <f>IF(C1892="","",IF(L1892="☑ Oui","Annulée",IF(OR(E1892="Vente directe",K1892&lt;&gt;""),"Livrée",IF(J1892&lt;&gt;"","Confirmée","En attente"))))</f>
        <v/>
      </c>
      <c r="S1892" s="34">
        <f>IF(F1892="","",IFERROR(VLOOKUP(F1892,T_Produits,2,FALSE),""))</f>
        <v/>
      </c>
      <c r="T1892" s="40">
        <f>IF(F1892="","",IFERROR(1/(1/VLOOKUP(F1892,T_Produits,3,FALSE)),""))</f>
        <v/>
      </c>
      <c r="U1892" s="40">
        <f>IF(H1892&lt;&gt;"",H1892,T1892)</f>
        <v/>
      </c>
      <c r="V1892" s="40">
        <f>IF(OR(G1892="",U1892=""),"",G1892*U1892-N(I1892))</f>
        <v/>
      </c>
      <c r="W1892" s="39">
        <f>IF(D1892="","",IFERROR(VALUE(MID(D1892,LEN(D1892)-3,3)),""))</f>
        <v/>
      </c>
      <c r="X1892" s="33">
        <f>IF(W1892="","",P1892&amp;"|"&amp;W1892)</f>
        <v/>
      </c>
      <c r="Y1892" s="33">
        <f>IF(W1892="","",IF(P1892="À RENSEIGNER","GIC",P1892)&amp;"-"&amp;TEXT(W1892,"000"))</f>
        <v/>
      </c>
      <c r="Z1892" s="33">
        <f>IF(X1892="","",IFERROR(INDEX(Cl_nom,MATCH(X1892,Cl_cle,0)),"(client introuvable)"))</f>
        <v/>
      </c>
      <c r="AA1892" s="33">
        <f>IF(X1892="","",IFERROR(INDEX(Cl_quartier,MATCH(X1892,Cl_cle,0))&amp;"",""))</f>
        <v/>
      </c>
      <c r="AB1892" s="45">
        <f>IF(R1892&lt;&gt;"Livrée",0,IF(K1892&lt;&gt;"",K1892,C1892))</f>
        <v/>
      </c>
      <c r="AC1892" s="33">
        <f>IF(OR(C1892="",W1892=""),"",P1892&amp;"|"&amp;W1892&amp;"|"&amp;C1892&amp;"|"&amp;E1892)</f>
        <v/>
      </c>
      <c r="AD1892" s="39">
        <f>IF(AC1892="","",IF(COUNTIF(AC$6:AC1892,AC1892)=1,1,0))</f>
        <v/>
      </c>
      <c r="AE1892" s="39">
        <f>IF(AB1892=0,"",IF(COUNTIFS(X$6:X1892,X1892,AB$6:AB1892,AB1892)=1,1,0))</f>
        <v/>
      </c>
      <c r="AF1892" s="34">
        <f>IF(C1892="","",YEAR(C1892-WEEKDAY(C1892,2)+4)&amp;"-S"&amp;TEXT(INT((C1892-DATE(YEAR(C1892-WEEKDAY(C1892,2)+4),1,3)+WEEKDAY(DATE(YEAR(C1892-WEEKDAY(C1892,2)+4),1,3),2)+5)/7),"00"))</f>
        <v/>
      </c>
    </row>
    <row r="1893" ht="18" customHeight="1">
      <c r="A1893" s="39" t="n">
        <v>1888</v>
      </c>
      <c r="B1893" s="33">
        <f>IF(C1893="","",IF(P1893="À RENSEIGNER","GIC",P1893)&amp;"-C"&amp;TEXT(A1893,"00000"))</f>
        <v/>
      </c>
      <c r="C1893" s="32" t="n"/>
      <c r="D1893" s="36" t="n"/>
      <c r="E1893" s="36" t="n"/>
      <c r="F1893" s="36" t="n"/>
      <c r="G1893" s="42" t="n"/>
      <c r="H1893" s="37" t="n"/>
      <c r="I1893" s="37" t="n"/>
      <c r="J1893" s="32" t="n"/>
      <c r="K1893" s="32" t="n"/>
      <c r="L1893" s="43" t="n"/>
      <c r="M1893" s="36" t="n"/>
      <c r="N1893" s="44" t="n"/>
      <c r="O1893" s="36" t="n"/>
      <c r="P1893" s="33">
        <f>IF(C1893="","",Commercial_Id)</f>
        <v/>
      </c>
      <c r="Q1893" s="34">
        <f>IF(AC1893="","",IF(AD1893=1,"C"&amp;TEXT(SUM(AD$6:AD1893),"0000"),INDEX(Q$6:Q1892,MATCH(AC1893,AC$6:AC1892,0))))</f>
        <v/>
      </c>
      <c r="R1893" s="34">
        <f>IF(C1893="","",IF(L1893="☑ Oui","Annulée",IF(OR(E1893="Vente directe",K1893&lt;&gt;""),"Livrée",IF(J1893&lt;&gt;"","Confirmée","En attente"))))</f>
        <v/>
      </c>
      <c r="S1893" s="34">
        <f>IF(F1893="","",IFERROR(VLOOKUP(F1893,T_Produits,2,FALSE),""))</f>
        <v/>
      </c>
      <c r="T1893" s="40">
        <f>IF(F1893="","",IFERROR(1/(1/VLOOKUP(F1893,T_Produits,3,FALSE)),""))</f>
        <v/>
      </c>
      <c r="U1893" s="40">
        <f>IF(H1893&lt;&gt;"",H1893,T1893)</f>
        <v/>
      </c>
      <c r="V1893" s="40">
        <f>IF(OR(G1893="",U1893=""),"",G1893*U1893-N(I1893))</f>
        <v/>
      </c>
      <c r="W1893" s="39">
        <f>IF(D1893="","",IFERROR(VALUE(MID(D1893,LEN(D1893)-3,3)),""))</f>
        <v/>
      </c>
      <c r="X1893" s="33">
        <f>IF(W1893="","",P1893&amp;"|"&amp;W1893)</f>
        <v/>
      </c>
      <c r="Y1893" s="33">
        <f>IF(W1893="","",IF(P1893="À RENSEIGNER","GIC",P1893)&amp;"-"&amp;TEXT(W1893,"000"))</f>
        <v/>
      </c>
      <c r="Z1893" s="33">
        <f>IF(X1893="","",IFERROR(INDEX(Cl_nom,MATCH(X1893,Cl_cle,0)),"(client introuvable)"))</f>
        <v/>
      </c>
      <c r="AA1893" s="33">
        <f>IF(X1893="","",IFERROR(INDEX(Cl_quartier,MATCH(X1893,Cl_cle,0))&amp;"",""))</f>
        <v/>
      </c>
      <c r="AB1893" s="45">
        <f>IF(R1893&lt;&gt;"Livrée",0,IF(K1893&lt;&gt;"",K1893,C1893))</f>
        <v/>
      </c>
      <c r="AC1893" s="33">
        <f>IF(OR(C1893="",W1893=""),"",P1893&amp;"|"&amp;W1893&amp;"|"&amp;C1893&amp;"|"&amp;E1893)</f>
        <v/>
      </c>
      <c r="AD1893" s="39">
        <f>IF(AC1893="","",IF(COUNTIF(AC$6:AC1893,AC1893)=1,1,0))</f>
        <v/>
      </c>
      <c r="AE1893" s="39">
        <f>IF(AB1893=0,"",IF(COUNTIFS(X$6:X1893,X1893,AB$6:AB1893,AB1893)=1,1,0))</f>
        <v/>
      </c>
      <c r="AF1893" s="34">
        <f>IF(C1893="","",YEAR(C1893-WEEKDAY(C1893,2)+4)&amp;"-S"&amp;TEXT(INT((C1893-DATE(YEAR(C1893-WEEKDAY(C1893,2)+4),1,3)+WEEKDAY(DATE(YEAR(C1893-WEEKDAY(C1893,2)+4),1,3),2)+5)/7),"00"))</f>
        <v/>
      </c>
    </row>
    <row r="1894" ht="18" customHeight="1">
      <c r="A1894" s="39" t="n">
        <v>1889</v>
      </c>
      <c r="B1894" s="33">
        <f>IF(C1894="","",IF(P1894="À RENSEIGNER","GIC",P1894)&amp;"-C"&amp;TEXT(A1894,"00000"))</f>
        <v/>
      </c>
      <c r="C1894" s="32" t="n"/>
      <c r="D1894" s="36" t="n"/>
      <c r="E1894" s="36" t="n"/>
      <c r="F1894" s="36" t="n"/>
      <c r="G1894" s="42" t="n"/>
      <c r="H1894" s="37" t="n"/>
      <c r="I1894" s="37" t="n"/>
      <c r="J1894" s="32" t="n"/>
      <c r="K1894" s="32" t="n"/>
      <c r="L1894" s="43" t="n"/>
      <c r="M1894" s="36" t="n"/>
      <c r="N1894" s="44" t="n"/>
      <c r="O1894" s="36" t="n"/>
      <c r="P1894" s="33">
        <f>IF(C1894="","",Commercial_Id)</f>
        <v/>
      </c>
      <c r="Q1894" s="34">
        <f>IF(AC1894="","",IF(AD1894=1,"C"&amp;TEXT(SUM(AD$6:AD1894),"0000"),INDEX(Q$6:Q1893,MATCH(AC1894,AC$6:AC1893,0))))</f>
        <v/>
      </c>
      <c r="R1894" s="34">
        <f>IF(C1894="","",IF(L1894="☑ Oui","Annulée",IF(OR(E1894="Vente directe",K1894&lt;&gt;""),"Livrée",IF(J1894&lt;&gt;"","Confirmée","En attente"))))</f>
        <v/>
      </c>
      <c r="S1894" s="34">
        <f>IF(F1894="","",IFERROR(VLOOKUP(F1894,T_Produits,2,FALSE),""))</f>
        <v/>
      </c>
      <c r="T1894" s="40">
        <f>IF(F1894="","",IFERROR(1/(1/VLOOKUP(F1894,T_Produits,3,FALSE)),""))</f>
        <v/>
      </c>
      <c r="U1894" s="40">
        <f>IF(H1894&lt;&gt;"",H1894,T1894)</f>
        <v/>
      </c>
      <c r="V1894" s="40">
        <f>IF(OR(G1894="",U1894=""),"",G1894*U1894-N(I1894))</f>
        <v/>
      </c>
      <c r="W1894" s="39">
        <f>IF(D1894="","",IFERROR(VALUE(MID(D1894,LEN(D1894)-3,3)),""))</f>
        <v/>
      </c>
      <c r="X1894" s="33">
        <f>IF(W1894="","",P1894&amp;"|"&amp;W1894)</f>
        <v/>
      </c>
      <c r="Y1894" s="33">
        <f>IF(W1894="","",IF(P1894="À RENSEIGNER","GIC",P1894)&amp;"-"&amp;TEXT(W1894,"000"))</f>
        <v/>
      </c>
      <c r="Z1894" s="33">
        <f>IF(X1894="","",IFERROR(INDEX(Cl_nom,MATCH(X1894,Cl_cle,0)),"(client introuvable)"))</f>
        <v/>
      </c>
      <c r="AA1894" s="33">
        <f>IF(X1894="","",IFERROR(INDEX(Cl_quartier,MATCH(X1894,Cl_cle,0))&amp;"",""))</f>
        <v/>
      </c>
      <c r="AB1894" s="45">
        <f>IF(R1894&lt;&gt;"Livrée",0,IF(K1894&lt;&gt;"",K1894,C1894))</f>
        <v/>
      </c>
      <c r="AC1894" s="33">
        <f>IF(OR(C1894="",W1894=""),"",P1894&amp;"|"&amp;W1894&amp;"|"&amp;C1894&amp;"|"&amp;E1894)</f>
        <v/>
      </c>
      <c r="AD1894" s="39">
        <f>IF(AC1894="","",IF(COUNTIF(AC$6:AC1894,AC1894)=1,1,0))</f>
        <v/>
      </c>
      <c r="AE1894" s="39">
        <f>IF(AB1894=0,"",IF(COUNTIFS(X$6:X1894,X1894,AB$6:AB1894,AB1894)=1,1,0))</f>
        <v/>
      </c>
      <c r="AF1894" s="34">
        <f>IF(C1894="","",YEAR(C1894-WEEKDAY(C1894,2)+4)&amp;"-S"&amp;TEXT(INT((C1894-DATE(YEAR(C1894-WEEKDAY(C1894,2)+4),1,3)+WEEKDAY(DATE(YEAR(C1894-WEEKDAY(C1894,2)+4),1,3),2)+5)/7),"00"))</f>
        <v/>
      </c>
    </row>
    <row r="1895" ht="18" customHeight="1">
      <c r="A1895" s="39" t="n">
        <v>1890</v>
      </c>
      <c r="B1895" s="33">
        <f>IF(C1895="","",IF(P1895="À RENSEIGNER","GIC",P1895)&amp;"-C"&amp;TEXT(A1895,"00000"))</f>
        <v/>
      </c>
      <c r="C1895" s="32" t="n"/>
      <c r="D1895" s="36" t="n"/>
      <c r="E1895" s="36" t="n"/>
      <c r="F1895" s="36" t="n"/>
      <c r="G1895" s="42" t="n"/>
      <c r="H1895" s="37" t="n"/>
      <c r="I1895" s="37" t="n"/>
      <c r="J1895" s="32" t="n"/>
      <c r="K1895" s="32" t="n"/>
      <c r="L1895" s="43" t="n"/>
      <c r="M1895" s="36" t="n"/>
      <c r="N1895" s="44" t="n"/>
      <c r="O1895" s="36" t="n"/>
      <c r="P1895" s="33">
        <f>IF(C1895="","",Commercial_Id)</f>
        <v/>
      </c>
      <c r="Q1895" s="34">
        <f>IF(AC1895="","",IF(AD1895=1,"C"&amp;TEXT(SUM(AD$6:AD1895),"0000"),INDEX(Q$6:Q1894,MATCH(AC1895,AC$6:AC1894,0))))</f>
        <v/>
      </c>
      <c r="R1895" s="34">
        <f>IF(C1895="","",IF(L1895="☑ Oui","Annulée",IF(OR(E1895="Vente directe",K1895&lt;&gt;""),"Livrée",IF(J1895&lt;&gt;"","Confirmée","En attente"))))</f>
        <v/>
      </c>
      <c r="S1895" s="34">
        <f>IF(F1895="","",IFERROR(VLOOKUP(F1895,T_Produits,2,FALSE),""))</f>
        <v/>
      </c>
      <c r="T1895" s="40">
        <f>IF(F1895="","",IFERROR(1/(1/VLOOKUP(F1895,T_Produits,3,FALSE)),""))</f>
        <v/>
      </c>
      <c r="U1895" s="40">
        <f>IF(H1895&lt;&gt;"",H1895,T1895)</f>
        <v/>
      </c>
      <c r="V1895" s="40">
        <f>IF(OR(G1895="",U1895=""),"",G1895*U1895-N(I1895))</f>
        <v/>
      </c>
      <c r="W1895" s="39">
        <f>IF(D1895="","",IFERROR(VALUE(MID(D1895,LEN(D1895)-3,3)),""))</f>
        <v/>
      </c>
      <c r="X1895" s="33">
        <f>IF(W1895="","",P1895&amp;"|"&amp;W1895)</f>
        <v/>
      </c>
      <c r="Y1895" s="33">
        <f>IF(W1895="","",IF(P1895="À RENSEIGNER","GIC",P1895)&amp;"-"&amp;TEXT(W1895,"000"))</f>
        <v/>
      </c>
      <c r="Z1895" s="33">
        <f>IF(X1895="","",IFERROR(INDEX(Cl_nom,MATCH(X1895,Cl_cle,0)),"(client introuvable)"))</f>
        <v/>
      </c>
      <c r="AA1895" s="33">
        <f>IF(X1895="","",IFERROR(INDEX(Cl_quartier,MATCH(X1895,Cl_cle,0))&amp;"",""))</f>
        <v/>
      </c>
      <c r="AB1895" s="45">
        <f>IF(R1895&lt;&gt;"Livrée",0,IF(K1895&lt;&gt;"",K1895,C1895))</f>
        <v/>
      </c>
      <c r="AC1895" s="33">
        <f>IF(OR(C1895="",W1895=""),"",P1895&amp;"|"&amp;W1895&amp;"|"&amp;C1895&amp;"|"&amp;E1895)</f>
        <v/>
      </c>
      <c r="AD1895" s="39">
        <f>IF(AC1895="","",IF(COUNTIF(AC$6:AC1895,AC1895)=1,1,0))</f>
        <v/>
      </c>
      <c r="AE1895" s="39">
        <f>IF(AB1895=0,"",IF(COUNTIFS(X$6:X1895,X1895,AB$6:AB1895,AB1895)=1,1,0))</f>
        <v/>
      </c>
      <c r="AF1895" s="34">
        <f>IF(C1895="","",YEAR(C1895-WEEKDAY(C1895,2)+4)&amp;"-S"&amp;TEXT(INT((C1895-DATE(YEAR(C1895-WEEKDAY(C1895,2)+4),1,3)+WEEKDAY(DATE(YEAR(C1895-WEEKDAY(C1895,2)+4),1,3),2)+5)/7),"00"))</f>
        <v/>
      </c>
    </row>
    <row r="1896" ht="18" customHeight="1">
      <c r="A1896" s="39" t="n">
        <v>1891</v>
      </c>
      <c r="B1896" s="33">
        <f>IF(C1896="","",IF(P1896="À RENSEIGNER","GIC",P1896)&amp;"-C"&amp;TEXT(A1896,"00000"))</f>
        <v/>
      </c>
      <c r="C1896" s="32" t="n"/>
      <c r="D1896" s="36" t="n"/>
      <c r="E1896" s="36" t="n"/>
      <c r="F1896" s="36" t="n"/>
      <c r="G1896" s="42" t="n"/>
      <c r="H1896" s="37" t="n"/>
      <c r="I1896" s="37" t="n"/>
      <c r="J1896" s="32" t="n"/>
      <c r="K1896" s="32" t="n"/>
      <c r="L1896" s="43" t="n"/>
      <c r="M1896" s="36" t="n"/>
      <c r="N1896" s="44" t="n"/>
      <c r="O1896" s="36" t="n"/>
      <c r="P1896" s="33">
        <f>IF(C1896="","",Commercial_Id)</f>
        <v/>
      </c>
      <c r="Q1896" s="34">
        <f>IF(AC1896="","",IF(AD1896=1,"C"&amp;TEXT(SUM(AD$6:AD1896),"0000"),INDEX(Q$6:Q1895,MATCH(AC1896,AC$6:AC1895,0))))</f>
        <v/>
      </c>
      <c r="R1896" s="34">
        <f>IF(C1896="","",IF(L1896="☑ Oui","Annulée",IF(OR(E1896="Vente directe",K1896&lt;&gt;""),"Livrée",IF(J1896&lt;&gt;"","Confirmée","En attente"))))</f>
        <v/>
      </c>
      <c r="S1896" s="34">
        <f>IF(F1896="","",IFERROR(VLOOKUP(F1896,T_Produits,2,FALSE),""))</f>
        <v/>
      </c>
      <c r="T1896" s="40">
        <f>IF(F1896="","",IFERROR(1/(1/VLOOKUP(F1896,T_Produits,3,FALSE)),""))</f>
        <v/>
      </c>
      <c r="U1896" s="40">
        <f>IF(H1896&lt;&gt;"",H1896,T1896)</f>
        <v/>
      </c>
      <c r="V1896" s="40">
        <f>IF(OR(G1896="",U1896=""),"",G1896*U1896-N(I1896))</f>
        <v/>
      </c>
      <c r="W1896" s="39">
        <f>IF(D1896="","",IFERROR(VALUE(MID(D1896,LEN(D1896)-3,3)),""))</f>
        <v/>
      </c>
      <c r="X1896" s="33">
        <f>IF(W1896="","",P1896&amp;"|"&amp;W1896)</f>
        <v/>
      </c>
      <c r="Y1896" s="33">
        <f>IF(W1896="","",IF(P1896="À RENSEIGNER","GIC",P1896)&amp;"-"&amp;TEXT(W1896,"000"))</f>
        <v/>
      </c>
      <c r="Z1896" s="33">
        <f>IF(X1896="","",IFERROR(INDEX(Cl_nom,MATCH(X1896,Cl_cle,0)),"(client introuvable)"))</f>
        <v/>
      </c>
      <c r="AA1896" s="33">
        <f>IF(X1896="","",IFERROR(INDEX(Cl_quartier,MATCH(X1896,Cl_cle,0))&amp;"",""))</f>
        <v/>
      </c>
      <c r="AB1896" s="45">
        <f>IF(R1896&lt;&gt;"Livrée",0,IF(K1896&lt;&gt;"",K1896,C1896))</f>
        <v/>
      </c>
      <c r="AC1896" s="33">
        <f>IF(OR(C1896="",W1896=""),"",P1896&amp;"|"&amp;W1896&amp;"|"&amp;C1896&amp;"|"&amp;E1896)</f>
        <v/>
      </c>
      <c r="AD1896" s="39">
        <f>IF(AC1896="","",IF(COUNTIF(AC$6:AC1896,AC1896)=1,1,0))</f>
        <v/>
      </c>
      <c r="AE1896" s="39">
        <f>IF(AB1896=0,"",IF(COUNTIFS(X$6:X1896,X1896,AB$6:AB1896,AB1896)=1,1,0))</f>
        <v/>
      </c>
      <c r="AF1896" s="34">
        <f>IF(C1896="","",YEAR(C1896-WEEKDAY(C1896,2)+4)&amp;"-S"&amp;TEXT(INT((C1896-DATE(YEAR(C1896-WEEKDAY(C1896,2)+4),1,3)+WEEKDAY(DATE(YEAR(C1896-WEEKDAY(C1896,2)+4),1,3),2)+5)/7),"00"))</f>
        <v/>
      </c>
    </row>
    <row r="1897" ht="18" customHeight="1">
      <c r="A1897" s="39" t="n">
        <v>1892</v>
      </c>
      <c r="B1897" s="33">
        <f>IF(C1897="","",IF(P1897="À RENSEIGNER","GIC",P1897)&amp;"-C"&amp;TEXT(A1897,"00000"))</f>
        <v/>
      </c>
      <c r="C1897" s="32" t="n"/>
      <c r="D1897" s="36" t="n"/>
      <c r="E1897" s="36" t="n"/>
      <c r="F1897" s="36" t="n"/>
      <c r="G1897" s="42" t="n"/>
      <c r="H1897" s="37" t="n"/>
      <c r="I1897" s="37" t="n"/>
      <c r="J1897" s="32" t="n"/>
      <c r="K1897" s="32" t="n"/>
      <c r="L1897" s="43" t="n"/>
      <c r="M1897" s="36" t="n"/>
      <c r="N1897" s="44" t="n"/>
      <c r="O1897" s="36" t="n"/>
      <c r="P1897" s="33">
        <f>IF(C1897="","",Commercial_Id)</f>
        <v/>
      </c>
      <c r="Q1897" s="34">
        <f>IF(AC1897="","",IF(AD1897=1,"C"&amp;TEXT(SUM(AD$6:AD1897),"0000"),INDEX(Q$6:Q1896,MATCH(AC1897,AC$6:AC1896,0))))</f>
        <v/>
      </c>
      <c r="R1897" s="34">
        <f>IF(C1897="","",IF(L1897="☑ Oui","Annulée",IF(OR(E1897="Vente directe",K1897&lt;&gt;""),"Livrée",IF(J1897&lt;&gt;"","Confirmée","En attente"))))</f>
        <v/>
      </c>
      <c r="S1897" s="34">
        <f>IF(F1897="","",IFERROR(VLOOKUP(F1897,T_Produits,2,FALSE),""))</f>
        <v/>
      </c>
      <c r="T1897" s="40">
        <f>IF(F1897="","",IFERROR(1/(1/VLOOKUP(F1897,T_Produits,3,FALSE)),""))</f>
        <v/>
      </c>
      <c r="U1897" s="40">
        <f>IF(H1897&lt;&gt;"",H1897,T1897)</f>
        <v/>
      </c>
      <c r="V1897" s="40">
        <f>IF(OR(G1897="",U1897=""),"",G1897*U1897-N(I1897))</f>
        <v/>
      </c>
      <c r="W1897" s="39">
        <f>IF(D1897="","",IFERROR(VALUE(MID(D1897,LEN(D1897)-3,3)),""))</f>
        <v/>
      </c>
      <c r="X1897" s="33">
        <f>IF(W1897="","",P1897&amp;"|"&amp;W1897)</f>
        <v/>
      </c>
      <c r="Y1897" s="33">
        <f>IF(W1897="","",IF(P1897="À RENSEIGNER","GIC",P1897)&amp;"-"&amp;TEXT(W1897,"000"))</f>
        <v/>
      </c>
      <c r="Z1897" s="33">
        <f>IF(X1897="","",IFERROR(INDEX(Cl_nom,MATCH(X1897,Cl_cle,0)),"(client introuvable)"))</f>
        <v/>
      </c>
      <c r="AA1897" s="33">
        <f>IF(X1897="","",IFERROR(INDEX(Cl_quartier,MATCH(X1897,Cl_cle,0))&amp;"",""))</f>
        <v/>
      </c>
      <c r="AB1897" s="45">
        <f>IF(R1897&lt;&gt;"Livrée",0,IF(K1897&lt;&gt;"",K1897,C1897))</f>
        <v/>
      </c>
      <c r="AC1897" s="33">
        <f>IF(OR(C1897="",W1897=""),"",P1897&amp;"|"&amp;W1897&amp;"|"&amp;C1897&amp;"|"&amp;E1897)</f>
        <v/>
      </c>
      <c r="AD1897" s="39">
        <f>IF(AC1897="","",IF(COUNTIF(AC$6:AC1897,AC1897)=1,1,0))</f>
        <v/>
      </c>
      <c r="AE1897" s="39">
        <f>IF(AB1897=0,"",IF(COUNTIFS(X$6:X1897,X1897,AB$6:AB1897,AB1897)=1,1,0))</f>
        <v/>
      </c>
      <c r="AF1897" s="34">
        <f>IF(C1897="","",YEAR(C1897-WEEKDAY(C1897,2)+4)&amp;"-S"&amp;TEXT(INT((C1897-DATE(YEAR(C1897-WEEKDAY(C1897,2)+4),1,3)+WEEKDAY(DATE(YEAR(C1897-WEEKDAY(C1897,2)+4),1,3),2)+5)/7),"00"))</f>
        <v/>
      </c>
    </row>
    <row r="1898" ht="18" customHeight="1">
      <c r="A1898" s="39" t="n">
        <v>1893</v>
      </c>
      <c r="B1898" s="33">
        <f>IF(C1898="","",IF(P1898="À RENSEIGNER","GIC",P1898)&amp;"-C"&amp;TEXT(A1898,"00000"))</f>
        <v/>
      </c>
      <c r="C1898" s="32" t="n"/>
      <c r="D1898" s="36" t="n"/>
      <c r="E1898" s="36" t="n"/>
      <c r="F1898" s="36" t="n"/>
      <c r="G1898" s="42" t="n"/>
      <c r="H1898" s="37" t="n"/>
      <c r="I1898" s="37" t="n"/>
      <c r="J1898" s="32" t="n"/>
      <c r="K1898" s="32" t="n"/>
      <c r="L1898" s="43" t="n"/>
      <c r="M1898" s="36" t="n"/>
      <c r="N1898" s="44" t="n"/>
      <c r="O1898" s="36" t="n"/>
      <c r="P1898" s="33">
        <f>IF(C1898="","",Commercial_Id)</f>
        <v/>
      </c>
      <c r="Q1898" s="34">
        <f>IF(AC1898="","",IF(AD1898=1,"C"&amp;TEXT(SUM(AD$6:AD1898),"0000"),INDEX(Q$6:Q1897,MATCH(AC1898,AC$6:AC1897,0))))</f>
        <v/>
      </c>
      <c r="R1898" s="34">
        <f>IF(C1898="","",IF(L1898="☑ Oui","Annulée",IF(OR(E1898="Vente directe",K1898&lt;&gt;""),"Livrée",IF(J1898&lt;&gt;"","Confirmée","En attente"))))</f>
        <v/>
      </c>
      <c r="S1898" s="34">
        <f>IF(F1898="","",IFERROR(VLOOKUP(F1898,T_Produits,2,FALSE),""))</f>
        <v/>
      </c>
      <c r="T1898" s="40">
        <f>IF(F1898="","",IFERROR(1/(1/VLOOKUP(F1898,T_Produits,3,FALSE)),""))</f>
        <v/>
      </c>
      <c r="U1898" s="40">
        <f>IF(H1898&lt;&gt;"",H1898,T1898)</f>
        <v/>
      </c>
      <c r="V1898" s="40">
        <f>IF(OR(G1898="",U1898=""),"",G1898*U1898-N(I1898))</f>
        <v/>
      </c>
      <c r="W1898" s="39">
        <f>IF(D1898="","",IFERROR(VALUE(MID(D1898,LEN(D1898)-3,3)),""))</f>
        <v/>
      </c>
      <c r="X1898" s="33">
        <f>IF(W1898="","",P1898&amp;"|"&amp;W1898)</f>
        <v/>
      </c>
      <c r="Y1898" s="33">
        <f>IF(W1898="","",IF(P1898="À RENSEIGNER","GIC",P1898)&amp;"-"&amp;TEXT(W1898,"000"))</f>
        <v/>
      </c>
      <c r="Z1898" s="33">
        <f>IF(X1898="","",IFERROR(INDEX(Cl_nom,MATCH(X1898,Cl_cle,0)),"(client introuvable)"))</f>
        <v/>
      </c>
      <c r="AA1898" s="33">
        <f>IF(X1898="","",IFERROR(INDEX(Cl_quartier,MATCH(X1898,Cl_cle,0))&amp;"",""))</f>
        <v/>
      </c>
      <c r="AB1898" s="45">
        <f>IF(R1898&lt;&gt;"Livrée",0,IF(K1898&lt;&gt;"",K1898,C1898))</f>
        <v/>
      </c>
      <c r="AC1898" s="33">
        <f>IF(OR(C1898="",W1898=""),"",P1898&amp;"|"&amp;W1898&amp;"|"&amp;C1898&amp;"|"&amp;E1898)</f>
        <v/>
      </c>
      <c r="AD1898" s="39">
        <f>IF(AC1898="","",IF(COUNTIF(AC$6:AC1898,AC1898)=1,1,0))</f>
        <v/>
      </c>
      <c r="AE1898" s="39">
        <f>IF(AB1898=0,"",IF(COUNTIFS(X$6:X1898,X1898,AB$6:AB1898,AB1898)=1,1,0))</f>
        <v/>
      </c>
      <c r="AF1898" s="34">
        <f>IF(C1898="","",YEAR(C1898-WEEKDAY(C1898,2)+4)&amp;"-S"&amp;TEXT(INT((C1898-DATE(YEAR(C1898-WEEKDAY(C1898,2)+4),1,3)+WEEKDAY(DATE(YEAR(C1898-WEEKDAY(C1898,2)+4),1,3),2)+5)/7),"00"))</f>
        <v/>
      </c>
    </row>
    <row r="1899" ht="18" customHeight="1">
      <c r="A1899" s="39" t="n">
        <v>1894</v>
      </c>
      <c r="B1899" s="33">
        <f>IF(C1899="","",IF(P1899="À RENSEIGNER","GIC",P1899)&amp;"-C"&amp;TEXT(A1899,"00000"))</f>
        <v/>
      </c>
      <c r="C1899" s="32" t="n"/>
      <c r="D1899" s="36" t="n"/>
      <c r="E1899" s="36" t="n"/>
      <c r="F1899" s="36" t="n"/>
      <c r="G1899" s="42" t="n"/>
      <c r="H1899" s="37" t="n"/>
      <c r="I1899" s="37" t="n"/>
      <c r="J1899" s="32" t="n"/>
      <c r="K1899" s="32" t="n"/>
      <c r="L1899" s="43" t="n"/>
      <c r="M1899" s="36" t="n"/>
      <c r="N1899" s="44" t="n"/>
      <c r="O1899" s="36" t="n"/>
      <c r="P1899" s="33">
        <f>IF(C1899="","",Commercial_Id)</f>
        <v/>
      </c>
      <c r="Q1899" s="34">
        <f>IF(AC1899="","",IF(AD1899=1,"C"&amp;TEXT(SUM(AD$6:AD1899),"0000"),INDEX(Q$6:Q1898,MATCH(AC1899,AC$6:AC1898,0))))</f>
        <v/>
      </c>
      <c r="R1899" s="34">
        <f>IF(C1899="","",IF(L1899="☑ Oui","Annulée",IF(OR(E1899="Vente directe",K1899&lt;&gt;""),"Livrée",IF(J1899&lt;&gt;"","Confirmée","En attente"))))</f>
        <v/>
      </c>
      <c r="S1899" s="34">
        <f>IF(F1899="","",IFERROR(VLOOKUP(F1899,T_Produits,2,FALSE),""))</f>
        <v/>
      </c>
      <c r="T1899" s="40">
        <f>IF(F1899="","",IFERROR(1/(1/VLOOKUP(F1899,T_Produits,3,FALSE)),""))</f>
        <v/>
      </c>
      <c r="U1899" s="40">
        <f>IF(H1899&lt;&gt;"",H1899,T1899)</f>
        <v/>
      </c>
      <c r="V1899" s="40">
        <f>IF(OR(G1899="",U1899=""),"",G1899*U1899-N(I1899))</f>
        <v/>
      </c>
      <c r="W1899" s="39">
        <f>IF(D1899="","",IFERROR(VALUE(MID(D1899,LEN(D1899)-3,3)),""))</f>
        <v/>
      </c>
      <c r="X1899" s="33">
        <f>IF(W1899="","",P1899&amp;"|"&amp;W1899)</f>
        <v/>
      </c>
      <c r="Y1899" s="33">
        <f>IF(W1899="","",IF(P1899="À RENSEIGNER","GIC",P1899)&amp;"-"&amp;TEXT(W1899,"000"))</f>
        <v/>
      </c>
      <c r="Z1899" s="33">
        <f>IF(X1899="","",IFERROR(INDEX(Cl_nom,MATCH(X1899,Cl_cle,0)),"(client introuvable)"))</f>
        <v/>
      </c>
      <c r="AA1899" s="33">
        <f>IF(X1899="","",IFERROR(INDEX(Cl_quartier,MATCH(X1899,Cl_cle,0))&amp;"",""))</f>
        <v/>
      </c>
      <c r="AB1899" s="45">
        <f>IF(R1899&lt;&gt;"Livrée",0,IF(K1899&lt;&gt;"",K1899,C1899))</f>
        <v/>
      </c>
      <c r="AC1899" s="33">
        <f>IF(OR(C1899="",W1899=""),"",P1899&amp;"|"&amp;W1899&amp;"|"&amp;C1899&amp;"|"&amp;E1899)</f>
        <v/>
      </c>
      <c r="AD1899" s="39">
        <f>IF(AC1899="","",IF(COUNTIF(AC$6:AC1899,AC1899)=1,1,0))</f>
        <v/>
      </c>
      <c r="AE1899" s="39">
        <f>IF(AB1899=0,"",IF(COUNTIFS(X$6:X1899,X1899,AB$6:AB1899,AB1899)=1,1,0))</f>
        <v/>
      </c>
      <c r="AF1899" s="34">
        <f>IF(C1899="","",YEAR(C1899-WEEKDAY(C1899,2)+4)&amp;"-S"&amp;TEXT(INT((C1899-DATE(YEAR(C1899-WEEKDAY(C1899,2)+4),1,3)+WEEKDAY(DATE(YEAR(C1899-WEEKDAY(C1899,2)+4),1,3),2)+5)/7),"00"))</f>
        <v/>
      </c>
    </row>
    <row r="1900" ht="18" customHeight="1">
      <c r="A1900" s="39" t="n">
        <v>1895</v>
      </c>
      <c r="B1900" s="33">
        <f>IF(C1900="","",IF(P1900="À RENSEIGNER","GIC",P1900)&amp;"-C"&amp;TEXT(A1900,"00000"))</f>
        <v/>
      </c>
      <c r="C1900" s="32" t="n"/>
      <c r="D1900" s="36" t="n"/>
      <c r="E1900" s="36" t="n"/>
      <c r="F1900" s="36" t="n"/>
      <c r="G1900" s="42" t="n"/>
      <c r="H1900" s="37" t="n"/>
      <c r="I1900" s="37" t="n"/>
      <c r="J1900" s="32" t="n"/>
      <c r="K1900" s="32" t="n"/>
      <c r="L1900" s="43" t="n"/>
      <c r="M1900" s="36" t="n"/>
      <c r="N1900" s="44" t="n"/>
      <c r="O1900" s="36" t="n"/>
      <c r="P1900" s="33">
        <f>IF(C1900="","",Commercial_Id)</f>
        <v/>
      </c>
      <c r="Q1900" s="34">
        <f>IF(AC1900="","",IF(AD1900=1,"C"&amp;TEXT(SUM(AD$6:AD1900),"0000"),INDEX(Q$6:Q1899,MATCH(AC1900,AC$6:AC1899,0))))</f>
        <v/>
      </c>
      <c r="R1900" s="34">
        <f>IF(C1900="","",IF(L1900="☑ Oui","Annulée",IF(OR(E1900="Vente directe",K1900&lt;&gt;""),"Livrée",IF(J1900&lt;&gt;"","Confirmée","En attente"))))</f>
        <v/>
      </c>
      <c r="S1900" s="34">
        <f>IF(F1900="","",IFERROR(VLOOKUP(F1900,T_Produits,2,FALSE),""))</f>
        <v/>
      </c>
      <c r="T1900" s="40">
        <f>IF(F1900="","",IFERROR(1/(1/VLOOKUP(F1900,T_Produits,3,FALSE)),""))</f>
        <v/>
      </c>
      <c r="U1900" s="40">
        <f>IF(H1900&lt;&gt;"",H1900,T1900)</f>
        <v/>
      </c>
      <c r="V1900" s="40">
        <f>IF(OR(G1900="",U1900=""),"",G1900*U1900-N(I1900))</f>
        <v/>
      </c>
      <c r="W1900" s="39">
        <f>IF(D1900="","",IFERROR(VALUE(MID(D1900,LEN(D1900)-3,3)),""))</f>
        <v/>
      </c>
      <c r="X1900" s="33">
        <f>IF(W1900="","",P1900&amp;"|"&amp;W1900)</f>
        <v/>
      </c>
      <c r="Y1900" s="33">
        <f>IF(W1900="","",IF(P1900="À RENSEIGNER","GIC",P1900)&amp;"-"&amp;TEXT(W1900,"000"))</f>
        <v/>
      </c>
      <c r="Z1900" s="33">
        <f>IF(X1900="","",IFERROR(INDEX(Cl_nom,MATCH(X1900,Cl_cle,0)),"(client introuvable)"))</f>
        <v/>
      </c>
      <c r="AA1900" s="33">
        <f>IF(X1900="","",IFERROR(INDEX(Cl_quartier,MATCH(X1900,Cl_cle,0))&amp;"",""))</f>
        <v/>
      </c>
      <c r="AB1900" s="45">
        <f>IF(R1900&lt;&gt;"Livrée",0,IF(K1900&lt;&gt;"",K1900,C1900))</f>
        <v/>
      </c>
      <c r="AC1900" s="33">
        <f>IF(OR(C1900="",W1900=""),"",P1900&amp;"|"&amp;W1900&amp;"|"&amp;C1900&amp;"|"&amp;E1900)</f>
        <v/>
      </c>
      <c r="AD1900" s="39">
        <f>IF(AC1900="","",IF(COUNTIF(AC$6:AC1900,AC1900)=1,1,0))</f>
        <v/>
      </c>
      <c r="AE1900" s="39">
        <f>IF(AB1900=0,"",IF(COUNTIFS(X$6:X1900,X1900,AB$6:AB1900,AB1900)=1,1,0))</f>
        <v/>
      </c>
      <c r="AF1900" s="34">
        <f>IF(C1900="","",YEAR(C1900-WEEKDAY(C1900,2)+4)&amp;"-S"&amp;TEXT(INT((C1900-DATE(YEAR(C1900-WEEKDAY(C1900,2)+4),1,3)+WEEKDAY(DATE(YEAR(C1900-WEEKDAY(C1900,2)+4),1,3),2)+5)/7),"00"))</f>
        <v/>
      </c>
    </row>
    <row r="1901" ht="18" customHeight="1">
      <c r="A1901" s="39" t="n">
        <v>1896</v>
      </c>
      <c r="B1901" s="33">
        <f>IF(C1901="","",IF(P1901="À RENSEIGNER","GIC",P1901)&amp;"-C"&amp;TEXT(A1901,"00000"))</f>
        <v/>
      </c>
      <c r="C1901" s="32" t="n"/>
      <c r="D1901" s="36" t="n"/>
      <c r="E1901" s="36" t="n"/>
      <c r="F1901" s="36" t="n"/>
      <c r="G1901" s="42" t="n"/>
      <c r="H1901" s="37" t="n"/>
      <c r="I1901" s="37" t="n"/>
      <c r="J1901" s="32" t="n"/>
      <c r="K1901" s="32" t="n"/>
      <c r="L1901" s="43" t="n"/>
      <c r="M1901" s="36" t="n"/>
      <c r="N1901" s="44" t="n"/>
      <c r="O1901" s="36" t="n"/>
      <c r="P1901" s="33">
        <f>IF(C1901="","",Commercial_Id)</f>
        <v/>
      </c>
      <c r="Q1901" s="34">
        <f>IF(AC1901="","",IF(AD1901=1,"C"&amp;TEXT(SUM(AD$6:AD1901),"0000"),INDEX(Q$6:Q1900,MATCH(AC1901,AC$6:AC1900,0))))</f>
        <v/>
      </c>
      <c r="R1901" s="34">
        <f>IF(C1901="","",IF(L1901="☑ Oui","Annulée",IF(OR(E1901="Vente directe",K1901&lt;&gt;""),"Livrée",IF(J1901&lt;&gt;"","Confirmée","En attente"))))</f>
        <v/>
      </c>
      <c r="S1901" s="34">
        <f>IF(F1901="","",IFERROR(VLOOKUP(F1901,T_Produits,2,FALSE),""))</f>
        <v/>
      </c>
      <c r="T1901" s="40">
        <f>IF(F1901="","",IFERROR(1/(1/VLOOKUP(F1901,T_Produits,3,FALSE)),""))</f>
        <v/>
      </c>
      <c r="U1901" s="40">
        <f>IF(H1901&lt;&gt;"",H1901,T1901)</f>
        <v/>
      </c>
      <c r="V1901" s="40">
        <f>IF(OR(G1901="",U1901=""),"",G1901*U1901-N(I1901))</f>
        <v/>
      </c>
      <c r="W1901" s="39">
        <f>IF(D1901="","",IFERROR(VALUE(MID(D1901,LEN(D1901)-3,3)),""))</f>
        <v/>
      </c>
      <c r="X1901" s="33">
        <f>IF(W1901="","",P1901&amp;"|"&amp;W1901)</f>
        <v/>
      </c>
      <c r="Y1901" s="33">
        <f>IF(W1901="","",IF(P1901="À RENSEIGNER","GIC",P1901)&amp;"-"&amp;TEXT(W1901,"000"))</f>
        <v/>
      </c>
      <c r="Z1901" s="33">
        <f>IF(X1901="","",IFERROR(INDEX(Cl_nom,MATCH(X1901,Cl_cle,0)),"(client introuvable)"))</f>
        <v/>
      </c>
      <c r="AA1901" s="33">
        <f>IF(X1901="","",IFERROR(INDEX(Cl_quartier,MATCH(X1901,Cl_cle,0))&amp;"",""))</f>
        <v/>
      </c>
      <c r="AB1901" s="45">
        <f>IF(R1901&lt;&gt;"Livrée",0,IF(K1901&lt;&gt;"",K1901,C1901))</f>
        <v/>
      </c>
      <c r="AC1901" s="33">
        <f>IF(OR(C1901="",W1901=""),"",P1901&amp;"|"&amp;W1901&amp;"|"&amp;C1901&amp;"|"&amp;E1901)</f>
        <v/>
      </c>
      <c r="AD1901" s="39">
        <f>IF(AC1901="","",IF(COUNTIF(AC$6:AC1901,AC1901)=1,1,0))</f>
        <v/>
      </c>
      <c r="AE1901" s="39">
        <f>IF(AB1901=0,"",IF(COUNTIFS(X$6:X1901,X1901,AB$6:AB1901,AB1901)=1,1,0))</f>
        <v/>
      </c>
      <c r="AF1901" s="34">
        <f>IF(C1901="","",YEAR(C1901-WEEKDAY(C1901,2)+4)&amp;"-S"&amp;TEXT(INT((C1901-DATE(YEAR(C1901-WEEKDAY(C1901,2)+4),1,3)+WEEKDAY(DATE(YEAR(C1901-WEEKDAY(C1901,2)+4),1,3),2)+5)/7),"00"))</f>
        <v/>
      </c>
    </row>
    <row r="1902" ht="18" customHeight="1">
      <c r="A1902" s="39" t="n">
        <v>1897</v>
      </c>
      <c r="B1902" s="33">
        <f>IF(C1902="","",IF(P1902="À RENSEIGNER","GIC",P1902)&amp;"-C"&amp;TEXT(A1902,"00000"))</f>
        <v/>
      </c>
      <c r="C1902" s="32" t="n"/>
      <c r="D1902" s="36" t="n"/>
      <c r="E1902" s="36" t="n"/>
      <c r="F1902" s="36" t="n"/>
      <c r="G1902" s="42" t="n"/>
      <c r="H1902" s="37" t="n"/>
      <c r="I1902" s="37" t="n"/>
      <c r="J1902" s="32" t="n"/>
      <c r="K1902" s="32" t="n"/>
      <c r="L1902" s="43" t="n"/>
      <c r="M1902" s="36" t="n"/>
      <c r="N1902" s="44" t="n"/>
      <c r="O1902" s="36" t="n"/>
      <c r="P1902" s="33">
        <f>IF(C1902="","",Commercial_Id)</f>
        <v/>
      </c>
      <c r="Q1902" s="34">
        <f>IF(AC1902="","",IF(AD1902=1,"C"&amp;TEXT(SUM(AD$6:AD1902),"0000"),INDEX(Q$6:Q1901,MATCH(AC1902,AC$6:AC1901,0))))</f>
        <v/>
      </c>
      <c r="R1902" s="34">
        <f>IF(C1902="","",IF(L1902="☑ Oui","Annulée",IF(OR(E1902="Vente directe",K1902&lt;&gt;""),"Livrée",IF(J1902&lt;&gt;"","Confirmée","En attente"))))</f>
        <v/>
      </c>
      <c r="S1902" s="34">
        <f>IF(F1902="","",IFERROR(VLOOKUP(F1902,T_Produits,2,FALSE),""))</f>
        <v/>
      </c>
      <c r="T1902" s="40">
        <f>IF(F1902="","",IFERROR(1/(1/VLOOKUP(F1902,T_Produits,3,FALSE)),""))</f>
        <v/>
      </c>
      <c r="U1902" s="40">
        <f>IF(H1902&lt;&gt;"",H1902,T1902)</f>
        <v/>
      </c>
      <c r="V1902" s="40">
        <f>IF(OR(G1902="",U1902=""),"",G1902*U1902-N(I1902))</f>
        <v/>
      </c>
      <c r="W1902" s="39">
        <f>IF(D1902="","",IFERROR(VALUE(MID(D1902,LEN(D1902)-3,3)),""))</f>
        <v/>
      </c>
      <c r="X1902" s="33">
        <f>IF(W1902="","",P1902&amp;"|"&amp;W1902)</f>
        <v/>
      </c>
      <c r="Y1902" s="33">
        <f>IF(W1902="","",IF(P1902="À RENSEIGNER","GIC",P1902)&amp;"-"&amp;TEXT(W1902,"000"))</f>
        <v/>
      </c>
      <c r="Z1902" s="33">
        <f>IF(X1902="","",IFERROR(INDEX(Cl_nom,MATCH(X1902,Cl_cle,0)),"(client introuvable)"))</f>
        <v/>
      </c>
      <c r="AA1902" s="33">
        <f>IF(X1902="","",IFERROR(INDEX(Cl_quartier,MATCH(X1902,Cl_cle,0))&amp;"",""))</f>
        <v/>
      </c>
      <c r="AB1902" s="45">
        <f>IF(R1902&lt;&gt;"Livrée",0,IF(K1902&lt;&gt;"",K1902,C1902))</f>
        <v/>
      </c>
      <c r="AC1902" s="33">
        <f>IF(OR(C1902="",W1902=""),"",P1902&amp;"|"&amp;W1902&amp;"|"&amp;C1902&amp;"|"&amp;E1902)</f>
        <v/>
      </c>
      <c r="AD1902" s="39">
        <f>IF(AC1902="","",IF(COUNTIF(AC$6:AC1902,AC1902)=1,1,0))</f>
        <v/>
      </c>
      <c r="AE1902" s="39">
        <f>IF(AB1902=0,"",IF(COUNTIFS(X$6:X1902,X1902,AB$6:AB1902,AB1902)=1,1,0))</f>
        <v/>
      </c>
      <c r="AF1902" s="34">
        <f>IF(C1902="","",YEAR(C1902-WEEKDAY(C1902,2)+4)&amp;"-S"&amp;TEXT(INT((C1902-DATE(YEAR(C1902-WEEKDAY(C1902,2)+4),1,3)+WEEKDAY(DATE(YEAR(C1902-WEEKDAY(C1902,2)+4),1,3),2)+5)/7),"00"))</f>
        <v/>
      </c>
    </row>
    <row r="1903" ht="18" customHeight="1">
      <c r="A1903" s="39" t="n">
        <v>1898</v>
      </c>
      <c r="B1903" s="33">
        <f>IF(C1903="","",IF(P1903="À RENSEIGNER","GIC",P1903)&amp;"-C"&amp;TEXT(A1903,"00000"))</f>
        <v/>
      </c>
      <c r="C1903" s="32" t="n"/>
      <c r="D1903" s="36" t="n"/>
      <c r="E1903" s="36" t="n"/>
      <c r="F1903" s="36" t="n"/>
      <c r="G1903" s="42" t="n"/>
      <c r="H1903" s="37" t="n"/>
      <c r="I1903" s="37" t="n"/>
      <c r="J1903" s="32" t="n"/>
      <c r="K1903" s="32" t="n"/>
      <c r="L1903" s="43" t="n"/>
      <c r="M1903" s="36" t="n"/>
      <c r="N1903" s="44" t="n"/>
      <c r="O1903" s="36" t="n"/>
      <c r="P1903" s="33">
        <f>IF(C1903="","",Commercial_Id)</f>
        <v/>
      </c>
      <c r="Q1903" s="34">
        <f>IF(AC1903="","",IF(AD1903=1,"C"&amp;TEXT(SUM(AD$6:AD1903),"0000"),INDEX(Q$6:Q1902,MATCH(AC1903,AC$6:AC1902,0))))</f>
        <v/>
      </c>
      <c r="R1903" s="34">
        <f>IF(C1903="","",IF(L1903="☑ Oui","Annulée",IF(OR(E1903="Vente directe",K1903&lt;&gt;""),"Livrée",IF(J1903&lt;&gt;"","Confirmée","En attente"))))</f>
        <v/>
      </c>
      <c r="S1903" s="34">
        <f>IF(F1903="","",IFERROR(VLOOKUP(F1903,T_Produits,2,FALSE),""))</f>
        <v/>
      </c>
      <c r="T1903" s="40">
        <f>IF(F1903="","",IFERROR(1/(1/VLOOKUP(F1903,T_Produits,3,FALSE)),""))</f>
        <v/>
      </c>
      <c r="U1903" s="40">
        <f>IF(H1903&lt;&gt;"",H1903,T1903)</f>
        <v/>
      </c>
      <c r="V1903" s="40">
        <f>IF(OR(G1903="",U1903=""),"",G1903*U1903-N(I1903))</f>
        <v/>
      </c>
      <c r="W1903" s="39">
        <f>IF(D1903="","",IFERROR(VALUE(MID(D1903,LEN(D1903)-3,3)),""))</f>
        <v/>
      </c>
      <c r="X1903" s="33">
        <f>IF(W1903="","",P1903&amp;"|"&amp;W1903)</f>
        <v/>
      </c>
      <c r="Y1903" s="33">
        <f>IF(W1903="","",IF(P1903="À RENSEIGNER","GIC",P1903)&amp;"-"&amp;TEXT(W1903,"000"))</f>
        <v/>
      </c>
      <c r="Z1903" s="33">
        <f>IF(X1903="","",IFERROR(INDEX(Cl_nom,MATCH(X1903,Cl_cle,0)),"(client introuvable)"))</f>
        <v/>
      </c>
      <c r="AA1903" s="33">
        <f>IF(X1903="","",IFERROR(INDEX(Cl_quartier,MATCH(X1903,Cl_cle,0))&amp;"",""))</f>
        <v/>
      </c>
      <c r="AB1903" s="45">
        <f>IF(R1903&lt;&gt;"Livrée",0,IF(K1903&lt;&gt;"",K1903,C1903))</f>
        <v/>
      </c>
      <c r="AC1903" s="33">
        <f>IF(OR(C1903="",W1903=""),"",P1903&amp;"|"&amp;W1903&amp;"|"&amp;C1903&amp;"|"&amp;E1903)</f>
        <v/>
      </c>
      <c r="AD1903" s="39">
        <f>IF(AC1903="","",IF(COUNTIF(AC$6:AC1903,AC1903)=1,1,0))</f>
        <v/>
      </c>
      <c r="AE1903" s="39">
        <f>IF(AB1903=0,"",IF(COUNTIFS(X$6:X1903,X1903,AB$6:AB1903,AB1903)=1,1,0))</f>
        <v/>
      </c>
      <c r="AF1903" s="34">
        <f>IF(C1903="","",YEAR(C1903-WEEKDAY(C1903,2)+4)&amp;"-S"&amp;TEXT(INT((C1903-DATE(YEAR(C1903-WEEKDAY(C1903,2)+4),1,3)+WEEKDAY(DATE(YEAR(C1903-WEEKDAY(C1903,2)+4),1,3),2)+5)/7),"00"))</f>
        <v/>
      </c>
    </row>
    <row r="1904" ht="18" customHeight="1">
      <c r="A1904" s="39" t="n">
        <v>1899</v>
      </c>
      <c r="B1904" s="33">
        <f>IF(C1904="","",IF(P1904="À RENSEIGNER","GIC",P1904)&amp;"-C"&amp;TEXT(A1904,"00000"))</f>
        <v/>
      </c>
      <c r="C1904" s="32" t="n"/>
      <c r="D1904" s="36" t="n"/>
      <c r="E1904" s="36" t="n"/>
      <c r="F1904" s="36" t="n"/>
      <c r="G1904" s="42" t="n"/>
      <c r="H1904" s="37" t="n"/>
      <c r="I1904" s="37" t="n"/>
      <c r="J1904" s="32" t="n"/>
      <c r="K1904" s="32" t="n"/>
      <c r="L1904" s="43" t="n"/>
      <c r="M1904" s="36" t="n"/>
      <c r="N1904" s="44" t="n"/>
      <c r="O1904" s="36" t="n"/>
      <c r="P1904" s="33">
        <f>IF(C1904="","",Commercial_Id)</f>
        <v/>
      </c>
      <c r="Q1904" s="34">
        <f>IF(AC1904="","",IF(AD1904=1,"C"&amp;TEXT(SUM(AD$6:AD1904),"0000"),INDEX(Q$6:Q1903,MATCH(AC1904,AC$6:AC1903,0))))</f>
        <v/>
      </c>
      <c r="R1904" s="34">
        <f>IF(C1904="","",IF(L1904="☑ Oui","Annulée",IF(OR(E1904="Vente directe",K1904&lt;&gt;""),"Livrée",IF(J1904&lt;&gt;"","Confirmée","En attente"))))</f>
        <v/>
      </c>
      <c r="S1904" s="34">
        <f>IF(F1904="","",IFERROR(VLOOKUP(F1904,T_Produits,2,FALSE),""))</f>
        <v/>
      </c>
      <c r="T1904" s="40">
        <f>IF(F1904="","",IFERROR(1/(1/VLOOKUP(F1904,T_Produits,3,FALSE)),""))</f>
        <v/>
      </c>
      <c r="U1904" s="40">
        <f>IF(H1904&lt;&gt;"",H1904,T1904)</f>
        <v/>
      </c>
      <c r="V1904" s="40">
        <f>IF(OR(G1904="",U1904=""),"",G1904*U1904-N(I1904))</f>
        <v/>
      </c>
      <c r="W1904" s="39">
        <f>IF(D1904="","",IFERROR(VALUE(MID(D1904,LEN(D1904)-3,3)),""))</f>
        <v/>
      </c>
      <c r="X1904" s="33">
        <f>IF(W1904="","",P1904&amp;"|"&amp;W1904)</f>
        <v/>
      </c>
      <c r="Y1904" s="33">
        <f>IF(W1904="","",IF(P1904="À RENSEIGNER","GIC",P1904)&amp;"-"&amp;TEXT(W1904,"000"))</f>
        <v/>
      </c>
      <c r="Z1904" s="33">
        <f>IF(X1904="","",IFERROR(INDEX(Cl_nom,MATCH(X1904,Cl_cle,0)),"(client introuvable)"))</f>
        <v/>
      </c>
      <c r="AA1904" s="33">
        <f>IF(X1904="","",IFERROR(INDEX(Cl_quartier,MATCH(X1904,Cl_cle,0))&amp;"",""))</f>
        <v/>
      </c>
      <c r="AB1904" s="45">
        <f>IF(R1904&lt;&gt;"Livrée",0,IF(K1904&lt;&gt;"",K1904,C1904))</f>
        <v/>
      </c>
      <c r="AC1904" s="33">
        <f>IF(OR(C1904="",W1904=""),"",P1904&amp;"|"&amp;W1904&amp;"|"&amp;C1904&amp;"|"&amp;E1904)</f>
        <v/>
      </c>
      <c r="AD1904" s="39">
        <f>IF(AC1904="","",IF(COUNTIF(AC$6:AC1904,AC1904)=1,1,0))</f>
        <v/>
      </c>
      <c r="AE1904" s="39">
        <f>IF(AB1904=0,"",IF(COUNTIFS(X$6:X1904,X1904,AB$6:AB1904,AB1904)=1,1,0))</f>
        <v/>
      </c>
      <c r="AF1904" s="34">
        <f>IF(C1904="","",YEAR(C1904-WEEKDAY(C1904,2)+4)&amp;"-S"&amp;TEXT(INT((C1904-DATE(YEAR(C1904-WEEKDAY(C1904,2)+4),1,3)+WEEKDAY(DATE(YEAR(C1904-WEEKDAY(C1904,2)+4),1,3),2)+5)/7),"00"))</f>
        <v/>
      </c>
    </row>
    <row r="1905" ht="18" customHeight="1">
      <c r="A1905" s="39" t="n">
        <v>1900</v>
      </c>
      <c r="B1905" s="33">
        <f>IF(C1905="","",IF(P1905="À RENSEIGNER","GIC",P1905)&amp;"-C"&amp;TEXT(A1905,"00000"))</f>
        <v/>
      </c>
      <c r="C1905" s="32" t="n"/>
      <c r="D1905" s="36" t="n"/>
      <c r="E1905" s="36" t="n"/>
      <c r="F1905" s="36" t="n"/>
      <c r="G1905" s="42" t="n"/>
      <c r="H1905" s="37" t="n"/>
      <c r="I1905" s="37" t="n"/>
      <c r="J1905" s="32" t="n"/>
      <c r="K1905" s="32" t="n"/>
      <c r="L1905" s="43" t="n"/>
      <c r="M1905" s="36" t="n"/>
      <c r="N1905" s="44" t="n"/>
      <c r="O1905" s="36" t="n"/>
      <c r="P1905" s="33">
        <f>IF(C1905="","",Commercial_Id)</f>
        <v/>
      </c>
      <c r="Q1905" s="34">
        <f>IF(AC1905="","",IF(AD1905=1,"C"&amp;TEXT(SUM(AD$6:AD1905),"0000"),INDEX(Q$6:Q1904,MATCH(AC1905,AC$6:AC1904,0))))</f>
        <v/>
      </c>
      <c r="R1905" s="34">
        <f>IF(C1905="","",IF(L1905="☑ Oui","Annulée",IF(OR(E1905="Vente directe",K1905&lt;&gt;""),"Livrée",IF(J1905&lt;&gt;"","Confirmée","En attente"))))</f>
        <v/>
      </c>
      <c r="S1905" s="34">
        <f>IF(F1905="","",IFERROR(VLOOKUP(F1905,T_Produits,2,FALSE),""))</f>
        <v/>
      </c>
      <c r="T1905" s="40">
        <f>IF(F1905="","",IFERROR(1/(1/VLOOKUP(F1905,T_Produits,3,FALSE)),""))</f>
        <v/>
      </c>
      <c r="U1905" s="40">
        <f>IF(H1905&lt;&gt;"",H1905,T1905)</f>
        <v/>
      </c>
      <c r="V1905" s="40">
        <f>IF(OR(G1905="",U1905=""),"",G1905*U1905-N(I1905))</f>
        <v/>
      </c>
      <c r="W1905" s="39">
        <f>IF(D1905="","",IFERROR(VALUE(MID(D1905,LEN(D1905)-3,3)),""))</f>
        <v/>
      </c>
      <c r="X1905" s="33">
        <f>IF(W1905="","",P1905&amp;"|"&amp;W1905)</f>
        <v/>
      </c>
      <c r="Y1905" s="33">
        <f>IF(W1905="","",IF(P1905="À RENSEIGNER","GIC",P1905)&amp;"-"&amp;TEXT(W1905,"000"))</f>
        <v/>
      </c>
      <c r="Z1905" s="33">
        <f>IF(X1905="","",IFERROR(INDEX(Cl_nom,MATCH(X1905,Cl_cle,0)),"(client introuvable)"))</f>
        <v/>
      </c>
      <c r="AA1905" s="33">
        <f>IF(X1905="","",IFERROR(INDEX(Cl_quartier,MATCH(X1905,Cl_cle,0))&amp;"",""))</f>
        <v/>
      </c>
      <c r="AB1905" s="45">
        <f>IF(R1905&lt;&gt;"Livrée",0,IF(K1905&lt;&gt;"",K1905,C1905))</f>
        <v/>
      </c>
      <c r="AC1905" s="33">
        <f>IF(OR(C1905="",W1905=""),"",P1905&amp;"|"&amp;W1905&amp;"|"&amp;C1905&amp;"|"&amp;E1905)</f>
        <v/>
      </c>
      <c r="AD1905" s="39">
        <f>IF(AC1905="","",IF(COUNTIF(AC$6:AC1905,AC1905)=1,1,0))</f>
        <v/>
      </c>
      <c r="AE1905" s="39">
        <f>IF(AB1905=0,"",IF(COUNTIFS(X$6:X1905,X1905,AB$6:AB1905,AB1905)=1,1,0))</f>
        <v/>
      </c>
      <c r="AF1905" s="34">
        <f>IF(C1905="","",YEAR(C1905-WEEKDAY(C1905,2)+4)&amp;"-S"&amp;TEXT(INT((C1905-DATE(YEAR(C1905-WEEKDAY(C1905,2)+4),1,3)+WEEKDAY(DATE(YEAR(C1905-WEEKDAY(C1905,2)+4),1,3),2)+5)/7),"00"))</f>
        <v/>
      </c>
    </row>
    <row r="1906" ht="18" customHeight="1">
      <c r="A1906" s="39" t="n">
        <v>1901</v>
      </c>
      <c r="B1906" s="33">
        <f>IF(C1906="","",IF(P1906="À RENSEIGNER","GIC",P1906)&amp;"-C"&amp;TEXT(A1906,"00000"))</f>
        <v/>
      </c>
      <c r="C1906" s="32" t="n"/>
      <c r="D1906" s="36" t="n"/>
      <c r="E1906" s="36" t="n"/>
      <c r="F1906" s="36" t="n"/>
      <c r="G1906" s="42" t="n"/>
      <c r="H1906" s="37" t="n"/>
      <c r="I1906" s="37" t="n"/>
      <c r="J1906" s="32" t="n"/>
      <c r="K1906" s="32" t="n"/>
      <c r="L1906" s="43" t="n"/>
      <c r="M1906" s="36" t="n"/>
      <c r="N1906" s="44" t="n"/>
      <c r="O1906" s="36" t="n"/>
      <c r="P1906" s="33">
        <f>IF(C1906="","",Commercial_Id)</f>
        <v/>
      </c>
      <c r="Q1906" s="34">
        <f>IF(AC1906="","",IF(AD1906=1,"C"&amp;TEXT(SUM(AD$6:AD1906),"0000"),INDEX(Q$6:Q1905,MATCH(AC1906,AC$6:AC1905,0))))</f>
        <v/>
      </c>
      <c r="R1906" s="34">
        <f>IF(C1906="","",IF(L1906="☑ Oui","Annulée",IF(OR(E1906="Vente directe",K1906&lt;&gt;""),"Livrée",IF(J1906&lt;&gt;"","Confirmée","En attente"))))</f>
        <v/>
      </c>
      <c r="S1906" s="34">
        <f>IF(F1906="","",IFERROR(VLOOKUP(F1906,T_Produits,2,FALSE),""))</f>
        <v/>
      </c>
      <c r="T1906" s="40">
        <f>IF(F1906="","",IFERROR(1/(1/VLOOKUP(F1906,T_Produits,3,FALSE)),""))</f>
        <v/>
      </c>
      <c r="U1906" s="40">
        <f>IF(H1906&lt;&gt;"",H1906,T1906)</f>
        <v/>
      </c>
      <c r="V1906" s="40">
        <f>IF(OR(G1906="",U1906=""),"",G1906*U1906-N(I1906))</f>
        <v/>
      </c>
      <c r="W1906" s="39">
        <f>IF(D1906="","",IFERROR(VALUE(MID(D1906,LEN(D1906)-3,3)),""))</f>
        <v/>
      </c>
      <c r="X1906" s="33">
        <f>IF(W1906="","",P1906&amp;"|"&amp;W1906)</f>
        <v/>
      </c>
      <c r="Y1906" s="33">
        <f>IF(W1906="","",IF(P1906="À RENSEIGNER","GIC",P1906)&amp;"-"&amp;TEXT(W1906,"000"))</f>
        <v/>
      </c>
      <c r="Z1906" s="33">
        <f>IF(X1906="","",IFERROR(INDEX(Cl_nom,MATCH(X1906,Cl_cle,0)),"(client introuvable)"))</f>
        <v/>
      </c>
      <c r="AA1906" s="33">
        <f>IF(X1906="","",IFERROR(INDEX(Cl_quartier,MATCH(X1906,Cl_cle,0))&amp;"",""))</f>
        <v/>
      </c>
      <c r="AB1906" s="45">
        <f>IF(R1906&lt;&gt;"Livrée",0,IF(K1906&lt;&gt;"",K1906,C1906))</f>
        <v/>
      </c>
      <c r="AC1906" s="33">
        <f>IF(OR(C1906="",W1906=""),"",P1906&amp;"|"&amp;W1906&amp;"|"&amp;C1906&amp;"|"&amp;E1906)</f>
        <v/>
      </c>
      <c r="AD1906" s="39">
        <f>IF(AC1906="","",IF(COUNTIF(AC$6:AC1906,AC1906)=1,1,0))</f>
        <v/>
      </c>
      <c r="AE1906" s="39">
        <f>IF(AB1906=0,"",IF(COUNTIFS(X$6:X1906,X1906,AB$6:AB1906,AB1906)=1,1,0))</f>
        <v/>
      </c>
      <c r="AF1906" s="34">
        <f>IF(C1906="","",YEAR(C1906-WEEKDAY(C1906,2)+4)&amp;"-S"&amp;TEXT(INT((C1906-DATE(YEAR(C1906-WEEKDAY(C1906,2)+4),1,3)+WEEKDAY(DATE(YEAR(C1906-WEEKDAY(C1906,2)+4),1,3),2)+5)/7),"00"))</f>
        <v/>
      </c>
    </row>
    <row r="1907" ht="18" customHeight="1">
      <c r="A1907" s="39" t="n">
        <v>1902</v>
      </c>
      <c r="B1907" s="33">
        <f>IF(C1907="","",IF(P1907="À RENSEIGNER","GIC",P1907)&amp;"-C"&amp;TEXT(A1907,"00000"))</f>
        <v/>
      </c>
      <c r="C1907" s="32" t="n"/>
      <c r="D1907" s="36" t="n"/>
      <c r="E1907" s="36" t="n"/>
      <c r="F1907" s="36" t="n"/>
      <c r="G1907" s="42" t="n"/>
      <c r="H1907" s="37" t="n"/>
      <c r="I1907" s="37" t="n"/>
      <c r="J1907" s="32" t="n"/>
      <c r="K1907" s="32" t="n"/>
      <c r="L1907" s="43" t="n"/>
      <c r="M1907" s="36" t="n"/>
      <c r="N1907" s="44" t="n"/>
      <c r="O1907" s="36" t="n"/>
      <c r="P1907" s="33">
        <f>IF(C1907="","",Commercial_Id)</f>
        <v/>
      </c>
      <c r="Q1907" s="34">
        <f>IF(AC1907="","",IF(AD1907=1,"C"&amp;TEXT(SUM(AD$6:AD1907),"0000"),INDEX(Q$6:Q1906,MATCH(AC1907,AC$6:AC1906,0))))</f>
        <v/>
      </c>
      <c r="R1907" s="34">
        <f>IF(C1907="","",IF(L1907="☑ Oui","Annulée",IF(OR(E1907="Vente directe",K1907&lt;&gt;""),"Livrée",IF(J1907&lt;&gt;"","Confirmée","En attente"))))</f>
        <v/>
      </c>
      <c r="S1907" s="34">
        <f>IF(F1907="","",IFERROR(VLOOKUP(F1907,T_Produits,2,FALSE),""))</f>
        <v/>
      </c>
      <c r="T1907" s="40">
        <f>IF(F1907="","",IFERROR(1/(1/VLOOKUP(F1907,T_Produits,3,FALSE)),""))</f>
        <v/>
      </c>
      <c r="U1907" s="40">
        <f>IF(H1907&lt;&gt;"",H1907,T1907)</f>
        <v/>
      </c>
      <c r="V1907" s="40">
        <f>IF(OR(G1907="",U1907=""),"",G1907*U1907-N(I1907))</f>
        <v/>
      </c>
      <c r="W1907" s="39">
        <f>IF(D1907="","",IFERROR(VALUE(MID(D1907,LEN(D1907)-3,3)),""))</f>
        <v/>
      </c>
      <c r="X1907" s="33">
        <f>IF(W1907="","",P1907&amp;"|"&amp;W1907)</f>
        <v/>
      </c>
      <c r="Y1907" s="33">
        <f>IF(W1907="","",IF(P1907="À RENSEIGNER","GIC",P1907)&amp;"-"&amp;TEXT(W1907,"000"))</f>
        <v/>
      </c>
      <c r="Z1907" s="33">
        <f>IF(X1907="","",IFERROR(INDEX(Cl_nom,MATCH(X1907,Cl_cle,0)),"(client introuvable)"))</f>
        <v/>
      </c>
      <c r="AA1907" s="33">
        <f>IF(X1907="","",IFERROR(INDEX(Cl_quartier,MATCH(X1907,Cl_cle,0))&amp;"",""))</f>
        <v/>
      </c>
      <c r="AB1907" s="45">
        <f>IF(R1907&lt;&gt;"Livrée",0,IF(K1907&lt;&gt;"",K1907,C1907))</f>
        <v/>
      </c>
      <c r="AC1907" s="33">
        <f>IF(OR(C1907="",W1907=""),"",P1907&amp;"|"&amp;W1907&amp;"|"&amp;C1907&amp;"|"&amp;E1907)</f>
        <v/>
      </c>
      <c r="AD1907" s="39">
        <f>IF(AC1907="","",IF(COUNTIF(AC$6:AC1907,AC1907)=1,1,0))</f>
        <v/>
      </c>
      <c r="AE1907" s="39">
        <f>IF(AB1907=0,"",IF(COUNTIFS(X$6:X1907,X1907,AB$6:AB1907,AB1907)=1,1,0))</f>
        <v/>
      </c>
      <c r="AF1907" s="34">
        <f>IF(C1907="","",YEAR(C1907-WEEKDAY(C1907,2)+4)&amp;"-S"&amp;TEXT(INT((C1907-DATE(YEAR(C1907-WEEKDAY(C1907,2)+4),1,3)+WEEKDAY(DATE(YEAR(C1907-WEEKDAY(C1907,2)+4),1,3),2)+5)/7),"00"))</f>
        <v/>
      </c>
    </row>
    <row r="1908" ht="18" customHeight="1">
      <c r="A1908" s="39" t="n">
        <v>1903</v>
      </c>
      <c r="B1908" s="33">
        <f>IF(C1908="","",IF(P1908="À RENSEIGNER","GIC",P1908)&amp;"-C"&amp;TEXT(A1908,"00000"))</f>
        <v/>
      </c>
      <c r="C1908" s="32" t="n"/>
      <c r="D1908" s="36" t="n"/>
      <c r="E1908" s="36" t="n"/>
      <c r="F1908" s="36" t="n"/>
      <c r="G1908" s="42" t="n"/>
      <c r="H1908" s="37" t="n"/>
      <c r="I1908" s="37" t="n"/>
      <c r="J1908" s="32" t="n"/>
      <c r="K1908" s="32" t="n"/>
      <c r="L1908" s="43" t="n"/>
      <c r="M1908" s="36" t="n"/>
      <c r="N1908" s="44" t="n"/>
      <c r="O1908" s="36" t="n"/>
      <c r="P1908" s="33">
        <f>IF(C1908="","",Commercial_Id)</f>
        <v/>
      </c>
      <c r="Q1908" s="34">
        <f>IF(AC1908="","",IF(AD1908=1,"C"&amp;TEXT(SUM(AD$6:AD1908),"0000"),INDEX(Q$6:Q1907,MATCH(AC1908,AC$6:AC1907,0))))</f>
        <v/>
      </c>
      <c r="R1908" s="34">
        <f>IF(C1908="","",IF(L1908="☑ Oui","Annulée",IF(OR(E1908="Vente directe",K1908&lt;&gt;""),"Livrée",IF(J1908&lt;&gt;"","Confirmée","En attente"))))</f>
        <v/>
      </c>
      <c r="S1908" s="34">
        <f>IF(F1908="","",IFERROR(VLOOKUP(F1908,T_Produits,2,FALSE),""))</f>
        <v/>
      </c>
      <c r="T1908" s="40">
        <f>IF(F1908="","",IFERROR(1/(1/VLOOKUP(F1908,T_Produits,3,FALSE)),""))</f>
        <v/>
      </c>
      <c r="U1908" s="40">
        <f>IF(H1908&lt;&gt;"",H1908,T1908)</f>
        <v/>
      </c>
      <c r="V1908" s="40">
        <f>IF(OR(G1908="",U1908=""),"",G1908*U1908-N(I1908))</f>
        <v/>
      </c>
      <c r="W1908" s="39">
        <f>IF(D1908="","",IFERROR(VALUE(MID(D1908,LEN(D1908)-3,3)),""))</f>
        <v/>
      </c>
      <c r="X1908" s="33">
        <f>IF(W1908="","",P1908&amp;"|"&amp;W1908)</f>
        <v/>
      </c>
      <c r="Y1908" s="33">
        <f>IF(W1908="","",IF(P1908="À RENSEIGNER","GIC",P1908)&amp;"-"&amp;TEXT(W1908,"000"))</f>
        <v/>
      </c>
      <c r="Z1908" s="33">
        <f>IF(X1908="","",IFERROR(INDEX(Cl_nom,MATCH(X1908,Cl_cle,0)),"(client introuvable)"))</f>
        <v/>
      </c>
      <c r="AA1908" s="33">
        <f>IF(X1908="","",IFERROR(INDEX(Cl_quartier,MATCH(X1908,Cl_cle,0))&amp;"",""))</f>
        <v/>
      </c>
      <c r="AB1908" s="45">
        <f>IF(R1908&lt;&gt;"Livrée",0,IF(K1908&lt;&gt;"",K1908,C1908))</f>
        <v/>
      </c>
      <c r="AC1908" s="33">
        <f>IF(OR(C1908="",W1908=""),"",P1908&amp;"|"&amp;W1908&amp;"|"&amp;C1908&amp;"|"&amp;E1908)</f>
        <v/>
      </c>
      <c r="AD1908" s="39">
        <f>IF(AC1908="","",IF(COUNTIF(AC$6:AC1908,AC1908)=1,1,0))</f>
        <v/>
      </c>
      <c r="AE1908" s="39">
        <f>IF(AB1908=0,"",IF(COUNTIFS(X$6:X1908,X1908,AB$6:AB1908,AB1908)=1,1,0))</f>
        <v/>
      </c>
      <c r="AF1908" s="34">
        <f>IF(C1908="","",YEAR(C1908-WEEKDAY(C1908,2)+4)&amp;"-S"&amp;TEXT(INT((C1908-DATE(YEAR(C1908-WEEKDAY(C1908,2)+4),1,3)+WEEKDAY(DATE(YEAR(C1908-WEEKDAY(C1908,2)+4),1,3),2)+5)/7),"00"))</f>
        <v/>
      </c>
    </row>
    <row r="1909" ht="18" customHeight="1">
      <c r="A1909" s="39" t="n">
        <v>1904</v>
      </c>
      <c r="B1909" s="33">
        <f>IF(C1909="","",IF(P1909="À RENSEIGNER","GIC",P1909)&amp;"-C"&amp;TEXT(A1909,"00000"))</f>
        <v/>
      </c>
      <c r="C1909" s="32" t="n"/>
      <c r="D1909" s="36" t="n"/>
      <c r="E1909" s="36" t="n"/>
      <c r="F1909" s="36" t="n"/>
      <c r="G1909" s="42" t="n"/>
      <c r="H1909" s="37" t="n"/>
      <c r="I1909" s="37" t="n"/>
      <c r="J1909" s="32" t="n"/>
      <c r="K1909" s="32" t="n"/>
      <c r="L1909" s="43" t="n"/>
      <c r="M1909" s="36" t="n"/>
      <c r="N1909" s="44" t="n"/>
      <c r="O1909" s="36" t="n"/>
      <c r="P1909" s="33">
        <f>IF(C1909="","",Commercial_Id)</f>
        <v/>
      </c>
      <c r="Q1909" s="34">
        <f>IF(AC1909="","",IF(AD1909=1,"C"&amp;TEXT(SUM(AD$6:AD1909),"0000"),INDEX(Q$6:Q1908,MATCH(AC1909,AC$6:AC1908,0))))</f>
        <v/>
      </c>
      <c r="R1909" s="34">
        <f>IF(C1909="","",IF(L1909="☑ Oui","Annulée",IF(OR(E1909="Vente directe",K1909&lt;&gt;""),"Livrée",IF(J1909&lt;&gt;"","Confirmée","En attente"))))</f>
        <v/>
      </c>
      <c r="S1909" s="34">
        <f>IF(F1909="","",IFERROR(VLOOKUP(F1909,T_Produits,2,FALSE),""))</f>
        <v/>
      </c>
      <c r="T1909" s="40">
        <f>IF(F1909="","",IFERROR(1/(1/VLOOKUP(F1909,T_Produits,3,FALSE)),""))</f>
        <v/>
      </c>
      <c r="U1909" s="40">
        <f>IF(H1909&lt;&gt;"",H1909,T1909)</f>
        <v/>
      </c>
      <c r="V1909" s="40">
        <f>IF(OR(G1909="",U1909=""),"",G1909*U1909-N(I1909))</f>
        <v/>
      </c>
      <c r="W1909" s="39">
        <f>IF(D1909="","",IFERROR(VALUE(MID(D1909,LEN(D1909)-3,3)),""))</f>
        <v/>
      </c>
      <c r="X1909" s="33">
        <f>IF(W1909="","",P1909&amp;"|"&amp;W1909)</f>
        <v/>
      </c>
      <c r="Y1909" s="33">
        <f>IF(W1909="","",IF(P1909="À RENSEIGNER","GIC",P1909)&amp;"-"&amp;TEXT(W1909,"000"))</f>
        <v/>
      </c>
      <c r="Z1909" s="33">
        <f>IF(X1909="","",IFERROR(INDEX(Cl_nom,MATCH(X1909,Cl_cle,0)),"(client introuvable)"))</f>
        <v/>
      </c>
      <c r="AA1909" s="33">
        <f>IF(X1909="","",IFERROR(INDEX(Cl_quartier,MATCH(X1909,Cl_cle,0))&amp;"",""))</f>
        <v/>
      </c>
      <c r="AB1909" s="45">
        <f>IF(R1909&lt;&gt;"Livrée",0,IF(K1909&lt;&gt;"",K1909,C1909))</f>
        <v/>
      </c>
      <c r="AC1909" s="33">
        <f>IF(OR(C1909="",W1909=""),"",P1909&amp;"|"&amp;W1909&amp;"|"&amp;C1909&amp;"|"&amp;E1909)</f>
        <v/>
      </c>
      <c r="AD1909" s="39">
        <f>IF(AC1909="","",IF(COUNTIF(AC$6:AC1909,AC1909)=1,1,0))</f>
        <v/>
      </c>
      <c r="AE1909" s="39">
        <f>IF(AB1909=0,"",IF(COUNTIFS(X$6:X1909,X1909,AB$6:AB1909,AB1909)=1,1,0))</f>
        <v/>
      </c>
      <c r="AF1909" s="34">
        <f>IF(C1909="","",YEAR(C1909-WEEKDAY(C1909,2)+4)&amp;"-S"&amp;TEXT(INT((C1909-DATE(YEAR(C1909-WEEKDAY(C1909,2)+4),1,3)+WEEKDAY(DATE(YEAR(C1909-WEEKDAY(C1909,2)+4),1,3),2)+5)/7),"00"))</f>
        <v/>
      </c>
    </row>
    <row r="1910" ht="18" customHeight="1">
      <c r="A1910" s="39" t="n">
        <v>1905</v>
      </c>
      <c r="B1910" s="33">
        <f>IF(C1910="","",IF(P1910="À RENSEIGNER","GIC",P1910)&amp;"-C"&amp;TEXT(A1910,"00000"))</f>
        <v/>
      </c>
      <c r="C1910" s="32" t="n"/>
      <c r="D1910" s="36" t="n"/>
      <c r="E1910" s="36" t="n"/>
      <c r="F1910" s="36" t="n"/>
      <c r="G1910" s="42" t="n"/>
      <c r="H1910" s="37" t="n"/>
      <c r="I1910" s="37" t="n"/>
      <c r="J1910" s="32" t="n"/>
      <c r="K1910" s="32" t="n"/>
      <c r="L1910" s="43" t="n"/>
      <c r="M1910" s="36" t="n"/>
      <c r="N1910" s="44" t="n"/>
      <c r="O1910" s="36" t="n"/>
      <c r="P1910" s="33">
        <f>IF(C1910="","",Commercial_Id)</f>
        <v/>
      </c>
      <c r="Q1910" s="34">
        <f>IF(AC1910="","",IF(AD1910=1,"C"&amp;TEXT(SUM(AD$6:AD1910),"0000"),INDEX(Q$6:Q1909,MATCH(AC1910,AC$6:AC1909,0))))</f>
        <v/>
      </c>
      <c r="R1910" s="34">
        <f>IF(C1910="","",IF(L1910="☑ Oui","Annulée",IF(OR(E1910="Vente directe",K1910&lt;&gt;""),"Livrée",IF(J1910&lt;&gt;"","Confirmée","En attente"))))</f>
        <v/>
      </c>
      <c r="S1910" s="34">
        <f>IF(F1910="","",IFERROR(VLOOKUP(F1910,T_Produits,2,FALSE),""))</f>
        <v/>
      </c>
      <c r="T1910" s="40">
        <f>IF(F1910="","",IFERROR(1/(1/VLOOKUP(F1910,T_Produits,3,FALSE)),""))</f>
        <v/>
      </c>
      <c r="U1910" s="40">
        <f>IF(H1910&lt;&gt;"",H1910,T1910)</f>
        <v/>
      </c>
      <c r="V1910" s="40">
        <f>IF(OR(G1910="",U1910=""),"",G1910*U1910-N(I1910))</f>
        <v/>
      </c>
      <c r="W1910" s="39">
        <f>IF(D1910="","",IFERROR(VALUE(MID(D1910,LEN(D1910)-3,3)),""))</f>
        <v/>
      </c>
      <c r="X1910" s="33">
        <f>IF(W1910="","",P1910&amp;"|"&amp;W1910)</f>
        <v/>
      </c>
      <c r="Y1910" s="33">
        <f>IF(W1910="","",IF(P1910="À RENSEIGNER","GIC",P1910)&amp;"-"&amp;TEXT(W1910,"000"))</f>
        <v/>
      </c>
      <c r="Z1910" s="33">
        <f>IF(X1910="","",IFERROR(INDEX(Cl_nom,MATCH(X1910,Cl_cle,0)),"(client introuvable)"))</f>
        <v/>
      </c>
      <c r="AA1910" s="33">
        <f>IF(X1910="","",IFERROR(INDEX(Cl_quartier,MATCH(X1910,Cl_cle,0))&amp;"",""))</f>
        <v/>
      </c>
      <c r="AB1910" s="45">
        <f>IF(R1910&lt;&gt;"Livrée",0,IF(K1910&lt;&gt;"",K1910,C1910))</f>
        <v/>
      </c>
      <c r="AC1910" s="33">
        <f>IF(OR(C1910="",W1910=""),"",P1910&amp;"|"&amp;W1910&amp;"|"&amp;C1910&amp;"|"&amp;E1910)</f>
        <v/>
      </c>
      <c r="AD1910" s="39">
        <f>IF(AC1910="","",IF(COUNTIF(AC$6:AC1910,AC1910)=1,1,0))</f>
        <v/>
      </c>
      <c r="AE1910" s="39">
        <f>IF(AB1910=0,"",IF(COUNTIFS(X$6:X1910,X1910,AB$6:AB1910,AB1910)=1,1,0))</f>
        <v/>
      </c>
      <c r="AF1910" s="34">
        <f>IF(C1910="","",YEAR(C1910-WEEKDAY(C1910,2)+4)&amp;"-S"&amp;TEXT(INT((C1910-DATE(YEAR(C1910-WEEKDAY(C1910,2)+4),1,3)+WEEKDAY(DATE(YEAR(C1910-WEEKDAY(C1910,2)+4),1,3),2)+5)/7),"00"))</f>
        <v/>
      </c>
    </row>
    <row r="1911" ht="18" customHeight="1">
      <c r="A1911" s="39" t="n">
        <v>1906</v>
      </c>
      <c r="B1911" s="33">
        <f>IF(C1911="","",IF(P1911="À RENSEIGNER","GIC",P1911)&amp;"-C"&amp;TEXT(A1911,"00000"))</f>
        <v/>
      </c>
      <c r="C1911" s="32" t="n"/>
      <c r="D1911" s="36" t="n"/>
      <c r="E1911" s="36" t="n"/>
      <c r="F1911" s="36" t="n"/>
      <c r="G1911" s="42" t="n"/>
      <c r="H1911" s="37" t="n"/>
      <c r="I1911" s="37" t="n"/>
      <c r="J1911" s="32" t="n"/>
      <c r="K1911" s="32" t="n"/>
      <c r="L1911" s="43" t="n"/>
      <c r="M1911" s="36" t="n"/>
      <c r="N1911" s="44" t="n"/>
      <c r="O1911" s="36" t="n"/>
      <c r="P1911" s="33">
        <f>IF(C1911="","",Commercial_Id)</f>
        <v/>
      </c>
      <c r="Q1911" s="34">
        <f>IF(AC1911="","",IF(AD1911=1,"C"&amp;TEXT(SUM(AD$6:AD1911),"0000"),INDEX(Q$6:Q1910,MATCH(AC1911,AC$6:AC1910,0))))</f>
        <v/>
      </c>
      <c r="R1911" s="34">
        <f>IF(C1911="","",IF(L1911="☑ Oui","Annulée",IF(OR(E1911="Vente directe",K1911&lt;&gt;""),"Livrée",IF(J1911&lt;&gt;"","Confirmée","En attente"))))</f>
        <v/>
      </c>
      <c r="S1911" s="34">
        <f>IF(F1911="","",IFERROR(VLOOKUP(F1911,T_Produits,2,FALSE),""))</f>
        <v/>
      </c>
      <c r="T1911" s="40">
        <f>IF(F1911="","",IFERROR(1/(1/VLOOKUP(F1911,T_Produits,3,FALSE)),""))</f>
        <v/>
      </c>
      <c r="U1911" s="40">
        <f>IF(H1911&lt;&gt;"",H1911,T1911)</f>
        <v/>
      </c>
      <c r="V1911" s="40">
        <f>IF(OR(G1911="",U1911=""),"",G1911*U1911-N(I1911))</f>
        <v/>
      </c>
      <c r="W1911" s="39">
        <f>IF(D1911="","",IFERROR(VALUE(MID(D1911,LEN(D1911)-3,3)),""))</f>
        <v/>
      </c>
      <c r="X1911" s="33">
        <f>IF(W1911="","",P1911&amp;"|"&amp;W1911)</f>
        <v/>
      </c>
      <c r="Y1911" s="33">
        <f>IF(W1911="","",IF(P1911="À RENSEIGNER","GIC",P1911)&amp;"-"&amp;TEXT(W1911,"000"))</f>
        <v/>
      </c>
      <c r="Z1911" s="33">
        <f>IF(X1911="","",IFERROR(INDEX(Cl_nom,MATCH(X1911,Cl_cle,0)),"(client introuvable)"))</f>
        <v/>
      </c>
      <c r="AA1911" s="33">
        <f>IF(X1911="","",IFERROR(INDEX(Cl_quartier,MATCH(X1911,Cl_cle,0))&amp;"",""))</f>
        <v/>
      </c>
      <c r="AB1911" s="45">
        <f>IF(R1911&lt;&gt;"Livrée",0,IF(K1911&lt;&gt;"",K1911,C1911))</f>
        <v/>
      </c>
      <c r="AC1911" s="33">
        <f>IF(OR(C1911="",W1911=""),"",P1911&amp;"|"&amp;W1911&amp;"|"&amp;C1911&amp;"|"&amp;E1911)</f>
        <v/>
      </c>
      <c r="AD1911" s="39">
        <f>IF(AC1911="","",IF(COUNTIF(AC$6:AC1911,AC1911)=1,1,0))</f>
        <v/>
      </c>
      <c r="AE1911" s="39">
        <f>IF(AB1911=0,"",IF(COUNTIFS(X$6:X1911,X1911,AB$6:AB1911,AB1911)=1,1,0))</f>
        <v/>
      </c>
      <c r="AF1911" s="34">
        <f>IF(C1911="","",YEAR(C1911-WEEKDAY(C1911,2)+4)&amp;"-S"&amp;TEXT(INT((C1911-DATE(YEAR(C1911-WEEKDAY(C1911,2)+4),1,3)+WEEKDAY(DATE(YEAR(C1911-WEEKDAY(C1911,2)+4),1,3),2)+5)/7),"00"))</f>
        <v/>
      </c>
    </row>
    <row r="1912" ht="18" customHeight="1">
      <c r="A1912" s="39" t="n">
        <v>1907</v>
      </c>
      <c r="B1912" s="33">
        <f>IF(C1912="","",IF(P1912="À RENSEIGNER","GIC",P1912)&amp;"-C"&amp;TEXT(A1912,"00000"))</f>
        <v/>
      </c>
      <c r="C1912" s="32" t="n"/>
      <c r="D1912" s="36" t="n"/>
      <c r="E1912" s="36" t="n"/>
      <c r="F1912" s="36" t="n"/>
      <c r="G1912" s="42" t="n"/>
      <c r="H1912" s="37" t="n"/>
      <c r="I1912" s="37" t="n"/>
      <c r="J1912" s="32" t="n"/>
      <c r="K1912" s="32" t="n"/>
      <c r="L1912" s="43" t="n"/>
      <c r="M1912" s="36" t="n"/>
      <c r="N1912" s="44" t="n"/>
      <c r="O1912" s="36" t="n"/>
      <c r="P1912" s="33">
        <f>IF(C1912="","",Commercial_Id)</f>
        <v/>
      </c>
      <c r="Q1912" s="34">
        <f>IF(AC1912="","",IF(AD1912=1,"C"&amp;TEXT(SUM(AD$6:AD1912),"0000"),INDEX(Q$6:Q1911,MATCH(AC1912,AC$6:AC1911,0))))</f>
        <v/>
      </c>
      <c r="R1912" s="34">
        <f>IF(C1912="","",IF(L1912="☑ Oui","Annulée",IF(OR(E1912="Vente directe",K1912&lt;&gt;""),"Livrée",IF(J1912&lt;&gt;"","Confirmée","En attente"))))</f>
        <v/>
      </c>
      <c r="S1912" s="34">
        <f>IF(F1912="","",IFERROR(VLOOKUP(F1912,T_Produits,2,FALSE),""))</f>
        <v/>
      </c>
      <c r="T1912" s="40">
        <f>IF(F1912="","",IFERROR(1/(1/VLOOKUP(F1912,T_Produits,3,FALSE)),""))</f>
        <v/>
      </c>
      <c r="U1912" s="40">
        <f>IF(H1912&lt;&gt;"",H1912,T1912)</f>
        <v/>
      </c>
      <c r="V1912" s="40">
        <f>IF(OR(G1912="",U1912=""),"",G1912*U1912-N(I1912))</f>
        <v/>
      </c>
      <c r="W1912" s="39">
        <f>IF(D1912="","",IFERROR(VALUE(MID(D1912,LEN(D1912)-3,3)),""))</f>
        <v/>
      </c>
      <c r="X1912" s="33">
        <f>IF(W1912="","",P1912&amp;"|"&amp;W1912)</f>
        <v/>
      </c>
      <c r="Y1912" s="33">
        <f>IF(W1912="","",IF(P1912="À RENSEIGNER","GIC",P1912)&amp;"-"&amp;TEXT(W1912,"000"))</f>
        <v/>
      </c>
      <c r="Z1912" s="33">
        <f>IF(X1912="","",IFERROR(INDEX(Cl_nom,MATCH(X1912,Cl_cle,0)),"(client introuvable)"))</f>
        <v/>
      </c>
      <c r="AA1912" s="33">
        <f>IF(X1912="","",IFERROR(INDEX(Cl_quartier,MATCH(X1912,Cl_cle,0))&amp;"",""))</f>
        <v/>
      </c>
      <c r="AB1912" s="45">
        <f>IF(R1912&lt;&gt;"Livrée",0,IF(K1912&lt;&gt;"",K1912,C1912))</f>
        <v/>
      </c>
      <c r="AC1912" s="33">
        <f>IF(OR(C1912="",W1912=""),"",P1912&amp;"|"&amp;W1912&amp;"|"&amp;C1912&amp;"|"&amp;E1912)</f>
        <v/>
      </c>
      <c r="AD1912" s="39">
        <f>IF(AC1912="","",IF(COUNTIF(AC$6:AC1912,AC1912)=1,1,0))</f>
        <v/>
      </c>
      <c r="AE1912" s="39">
        <f>IF(AB1912=0,"",IF(COUNTIFS(X$6:X1912,X1912,AB$6:AB1912,AB1912)=1,1,0))</f>
        <v/>
      </c>
      <c r="AF1912" s="34">
        <f>IF(C1912="","",YEAR(C1912-WEEKDAY(C1912,2)+4)&amp;"-S"&amp;TEXT(INT((C1912-DATE(YEAR(C1912-WEEKDAY(C1912,2)+4),1,3)+WEEKDAY(DATE(YEAR(C1912-WEEKDAY(C1912,2)+4),1,3),2)+5)/7),"00"))</f>
        <v/>
      </c>
    </row>
    <row r="1913" ht="18" customHeight="1">
      <c r="A1913" s="39" t="n">
        <v>1908</v>
      </c>
      <c r="B1913" s="33">
        <f>IF(C1913="","",IF(P1913="À RENSEIGNER","GIC",P1913)&amp;"-C"&amp;TEXT(A1913,"00000"))</f>
        <v/>
      </c>
      <c r="C1913" s="32" t="n"/>
      <c r="D1913" s="36" t="n"/>
      <c r="E1913" s="36" t="n"/>
      <c r="F1913" s="36" t="n"/>
      <c r="G1913" s="42" t="n"/>
      <c r="H1913" s="37" t="n"/>
      <c r="I1913" s="37" t="n"/>
      <c r="J1913" s="32" t="n"/>
      <c r="K1913" s="32" t="n"/>
      <c r="L1913" s="43" t="n"/>
      <c r="M1913" s="36" t="n"/>
      <c r="N1913" s="44" t="n"/>
      <c r="O1913" s="36" t="n"/>
      <c r="P1913" s="33">
        <f>IF(C1913="","",Commercial_Id)</f>
        <v/>
      </c>
      <c r="Q1913" s="34">
        <f>IF(AC1913="","",IF(AD1913=1,"C"&amp;TEXT(SUM(AD$6:AD1913),"0000"),INDEX(Q$6:Q1912,MATCH(AC1913,AC$6:AC1912,0))))</f>
        <v/>
      </c>
      <c r="R1913" s="34">
        <f>IF(C1913="","",IF(L1913="☑ Oui","Annulée",IF(OR(E1913="Vente directe",K1913&lt;&gt;""),"Livrée",IF(J1913&lt;&gt;"","Confirmée","En attente"))))</f>
        <v/>
      </c>
      <c r="S1913" s="34">
        <f>IF(F1913="","",IFERROR(VLOOKUP(F1913,T_Produits,2,FALSE),""))</f>
        <v/>
      </c>
      <c r="T1913" s="40">
        <f>IF(F1913="","",IFERROR(1/(1/VLOOKUP(F1913,T_Produits,3,FALSE)),""))</f>
        <v/>
      </c>
      <c r="U1913" s="40">
        <f>IF(H1913&lt;&gt;"",H1913,T1913)</f>
        <v/>
      </c>
      <c r="V1913" s="40">
        <f>IF(OR(G1913="",U1913=""),"",G1913*U1913-N(I1913))</f>
        <v/>
      </c>
      <c r="W1913" s="39">
        <f>IF(D1913="","",IFERROR(VALUE(MID(D1913,LEN(D1913)-3,3)),""))</f>
        <v/>
      </c>
      <c r="X1913" s="33">
        <f>IF(W1913="","",P1913&amp;"|"&amp;W1913)</f>
        <v/>
      </c>
      <c r="Y1913" s="33">
        <f>IF(W1913="","",IF(P1913="À RENSEIGNER","GIC",P1913)&amp;"-"&amp;TEXT(W1913,"000"))</f>
        <v/>
      </c>
      <c r="Z1913" s="33">
        <f>IF(X1913="","",IFERROR(INDEX(Cl_nom,MATCH(X1913,Cl_cle,0)),"(client introuvable)"))</f>
        <v/>
      </c>
      <c r="AA1913" s="33">
        <f>IF(X1913="","",IFERROR(INDEX(Cl_quartier,MATCH(X1913,Cl_cle,0))&amp;"",""))</f>
        <v/>
      </c>
      <c r="AB1913" s="45">
        <f>IF(R1913&lt;&gt;"Livrée",0,IF(K1913&lt;&gt;"",K1913,C1913))</f>
        <v/>
      </c>
      <c r="AC1913" s="33">
        <f>IF(OR(C1913="",W1913=""),"",P1913&amp;"|"&amp;W1913&amp;"|"&amp;C1913&amp;"|"&amp;E1913)</f>
        <v/>
      </c>
      <c r="AD1913" s="39">
        <f>IF(AC1913="","",IF(COUNTIF(AC$6:AC1913,AC1913)=1,1,0))</f>
        <v/>
      </c>
      <c r="AE1913" s="39">
        <f>IF(AB1913=0,"",IF(COUNTIFS(X$6:X1913,X1913,AB$6:AB1913,AB1913)=1,1,0))</f>
        <v/>
      </c>
      <c r="AF1913" s="34">
        <f>IF(C1913="","",YEAR(C1913-WEEKDAY(C1913,2)+4)&amp;"-S"&amp;TEXT(INT((C1913-DATE(YEAR(C1913-WEEKDAY(C1913,2)+4),1,3)+WEEKDAY(DATE(YEAR(C1913-WEEKDAY(C1913,2)+4),1,3),2)+5)/7),"00"))</f>
        <v/>
      </c>
    </row>
    <row r="1914" ht="18" customHeight="1">
      <c r="A1914" s="39" t="n">
        <v>1909</v>
      </c>
      <c r="B1914" s="33">
        <f>IF(C1914="","",IF(P1914="À RENSEIGNER","GIC",P1914)&amp;"-C"&amp;TEXT(A1914,"00000"))</f>
        <v/>
      </c>
      <c r="C1914" s="32" t="n"/>
      <c r="D1914" s="36" t="n"/>
      <c r="E1914" s="36" t="n"/>
      <c r="F1914" s="36" t="n"/>
      <c r="G1914" s="42" t="n"/>
      <c r="H1914" s="37" t="n"/>
      <c r="I1914" s="37" t="n"/>
      <c r="J1914" s="32" t="n"/>
      <c r="K1914" s="32" t="n"/>
      <c r="L1914" s="43" t="n"/>
      <c r="M1914" s="36" t="n"/>
      <c r="N1914" s="44" t="n"/>
      <c r="O1914" s="36" t="n"/>
      <c r="P1914" s="33">
        <f>IF(C1914="","",Commercial_Id)</f>
        <v/>
      </c>
      <c r="Q1914" s="34">
        <f>IF(AC1914="","",IF(AD1914=1,"C"&amp;TEXT(SUM(AD$6:AD1914),"0000"),INDEX(Q$6:Q1913,MATCH(AC1914,AC$6:AC1913,0))))</f>
        <v/>
      </c>
      <c r="R1914" s="34">
        <f>IF(C1914="","",IF(L1914="☑ Oui","Annulée",IF(OR(E1914="Vente directe",K1914&lt;&gt;""),"Livrée",IF(J1914&lt;&gt;"","Confirmée","En attente"))))</f>
        <v/>
      </c>
      <c r="S1914" s="34">
        <f>IF(F1914="","",IFERROR(VLOOKUP(F1914,T_Produits,2,FALSE),""))</f>
        <v/>
      </c>
      <c r="T1914" s="40">
        <f>IF(F1914="","",IFERROR(1/(1/VLOOKUP(F1914,T_Produits,3,FALSE)),""))</f>
        <v/>
      </c>
      <c r="U1914" s="40">
        <f>IF(H1914&lt;&gt;"",H1914,T1914)</f>
        <v/>
      </c>
      <c r="V1914" s="40">
        <f>IF(OR(G1914="",U1914=""),"",G1914*U1914-N(I1914))</f>
        <v/>
      </c>
      <c r="W1914" s="39">
        <f>IF(D1914="","",IFERROR(VALUE(MID(D1914,LEN(D1914)-3,3)),""))</f>
        <v/>
      </c>
      <c r="X1914" s="33">
        <f>IF(W1914="","",P1914&amp;"|"&amp;W1914)</f>
        <v/>
      </c>
      <c r="Y1914" s="33">
        <f>IF(W1914="","",IF(P1914="À RENSEIGNER","GIC",P1914)&amp;"-"&amp;TEXT(W1914,"000"))</f>
        <v/>
      </c>
      <c r="Z1914" s="33">
        <f>IF(X1914="","",IFERROR(INDEX(Cl_nom,MATCH(X1914,Cl_cle,0)),"(client introuvable)"))</f>
        <v/>
      </c>
      <c r="AA1914" s="33">
        <f>IF(X1914="","",IFERROR(INDEX(Cl_quartier,MATCH(X1914,Cl_cle,0))&amp;"",""))</f>
        <v/>
      </c>
      <c r="AB1914" s="45">
        <f>IF(R1914&lt;&gt;"Livrée",0,IF(K1914&lt;&gt;"",K1914,C1914))</f>
        <v/>
      </c>
      <c r="AC1914" s="33">
        <f>IF(OR(C1914="",W1914=""),"",P1914&amp;"|"&amp;W1914&amp;"|"&amp;C1914&amp;"|"&amp;E1914)</f>
        <v/>
      </c>
      <c r="AD1914" s="39">
        <f>IF(AC1914="","",IF(COUNTIF(AC$6:AC1914,AC1914)=1,1,0))</f>
        <v/>
      </c>
      <c r="AE1914" s="39">
        <f>IF(AB1914=0,"",IF(COUNTIFS(X$6:X1914,X1914,AB$6:AB1914,AB1914)=1,1,0))</f>
        <v/>
      </c>
      <c r="AF1914" s="34">
        <f>IF(C1914="","",YEAR(C1914-WEEKDAY(C1914,2)+4)&amp;"-S"&amp;TEXT(INT((C1914-DATE(YEAR(C1914-WEEKDAY(C1914,2)+4),1,3)+WEEKDAY(DATE(YEAR(C1914-WEEKDAY(C1914,2)+4),1,3),2)+5)/7),"00"))</f>
        <v/>
      </c>
    </row>
    <row r="1915" ht="18" customHeight="1">
      <c r="A1915" s="39" t="n">
        <v>1910</v>
      </c>
      <c r="B1915" s="33">
        <f>IF(C1915="","",IF(P1915="À RENSEIGNER","GIC",P1915)&amp;"-C"&amp;TEXT(A1915,"00000"))</f>
        <v/>
      </c>
      <c r="C1915" s="32" t="n"/>
      <c r="D1915" s="36" t="n"/>
      <c r="E1915" s="36" t="n"/>
      <c r="F1915" s="36" t="n"/>
      <c r="G1915" s="42" t="n"/>
      <c r="H1915" s="37" t="n"/>
      <c r="I1915" s="37" t="n"/>
      <c r="J1915" s="32" t="n"/>
      <c r="K1915" s="32" t="n"/>
      <c r="L1915" s="43" t="n"/>
      <c r="M1915" s="36" t="n"/>
      <c r="N1915" s="44" t="n"/>
      <c r="O1915" s="36" t="n"/>
      <c r="P1915" s="33">
        <f>IF(C1915="","",Commercial_Id)</f>
        <v/>
      </c>
      <c r="Q1915" s="34">
        <f>IF(AC1915="","",IF(AD1915=1,"C"&amp;TEXT(SUM(AD$6:AD1915),"0000"),INDEX(Q$6:Q1914,MATCH(AC1915,AC$6:AC1914,0))))</f>
        <v/>
      </c>
      <c r="R1915" s="34">
        <f>IF(C1915="","",IF(L1915="☑ Oui","Annulée",IF(OR(E1915="Vente directe",K1915&lt;&gt;""),"Livrée",IF(J1915&lt;&gt;"","Confirmée","En attente"))))</f>
        <v/>
      </c>
      <c r="S1915" s="34">
        <f>IF(F1915="","",IFERROR(VLOOKUP(F1915,T_Produits,2,FALSE),""))</f>
        <v/>
      </c>
      <c r="T1915" s="40">
        <f>IF(F1915="","",IFERROR(1/(1/VLOOKUP(F1915,T_Produits,3,FALSE)),""))</f>
        <v/>
      </c>
      <c r="U1915" s="40">
        <f>IF(H1915&lt;&gt;"",H1915,T1915)</f>
        <v/>
      </c>
      <c r="V1915" s="40">
        <f>IF(OR(G1915="",U1915=""),"",G1915*U1915-N(I1915))</f>
        <v/>
      </c>
      <c r="W1915" s="39">
        <f>IF(D1915="","",IFERROR(VALUE(MID(D1915,LEN(D1915)-3,3)),""))</f>
        <v/>
      </c>
      <c r="X1915" s="33">
        <f>IF(W1915="","",P1915&amp;"|"&amp;W1915)</f>
        <v/>
      </c>
      <c r="Y1915" s="33">
        <f>IF(W1915="","",IF(P1915="À RENSEIGNER","GIC",P1915)&amp;"-"&amp;TEXT(W1915,"000"))</f>
        <v/>
      </c>
      <c r="Z1915" s="33">
        <f>IF(X1915="","",IFERROR(INDEX(Cl_nom,MATCH(X1915,Cl_cle,0)),"(client introuvable)"))</f>
        <v/>
      </c>
      <c r="AA1915" s="33">
        <f>IF(X1915="","",IFERROR(INDEX(Cl_quartier,MATCH(X1915,Cl_cle,0))&amp;"",""))</f>
        <v/>
      </c>
      <c r="AB1915" s="45">
        <f>IF(R1915&lt;&gt;"Livrée",0,IF(K1915&lt;&gt;"",K1915,C1915))</f>
        <v/>
      </c>
      <c r="AC1915" s="33">
        <f>IF(OR(C1915="",W1915=""),"",P1915&amp;"|"&amp;W1915&amp;"|"&amp;C1915&amp;"|"&amp;E1915)</f>
        <v/>
      </c>
      <c r="AD1915" s="39">
        <f>IF(AC1915="","",IF(COUNTIF(AC$6:AC1915,AC1915)=1,1,0))</f>
        <v/>
      </c>
      <c r="AE1915" s="39">
        <f>IF(AB1915=0,"",IF(COUNTIFS(X$6:X1915,X1915,AB$6:AB1915,AB1915)=1,1,0))</f>
        <v/>
      </c>
      <c r="AF1915" s="34">
        <f>IF(C1915="","",YEAR(C1915-WEEKDAY(C1915,2)+4)&amp;"-S"&amp;TEXT(INT((C1915-DATE(YEAR(C1915-WEEKDAY(C1915,2)+4),1,3)+WEEKDAY(DATE(YEAR(C1915-WEEKDAY(C1915,2)+4),1,3),2)+5)/7),"00"))</f>
        <v/>
      </c>
    </row>
    <row r="1916" ht="18" customHeight="1">
      <c r="A1916" s="39" t="n">
        <v>1911</v>
      </c>
      <c r="B1916" s="33">
        <f>IF(C1916="","",IF(P1916="À RENSEIGNER","GIC",P1916)&amp;"-C"&amp;TEXT(A1916,"00000"))</f>
        <v/>
      </c>
      <c r="C1916" s="32" t="n"/>
      <c r="D1916" s="36" t="n"/>
      <c r="E1916" s="36" t="n"/>
      <c r="F1916" s="36" t="n"/>
      <c r="G1916" s="42" t="n"/>
      <c r="H1916" s="37" t="n"/>
      <c r="I1916" s="37" t="n"/>
      <c r="J1916" s="32" t="n"/>
      <c r="K1916" s="32" t="n"/>
      <c r="L1916" s="43" t="n"/>
      <c r="M1916" s="36" t="n"/>
      <c r="N1916" s="44" t="n"/>
      <c r="O1916" s="36" t="n"/>
      <c r="P1916" s="33">
        <f>IF(C1916="","",Commercial_Id)</f>
        <v/>
      </c>
      <c r="Q1916" s="34">
        <f>IF(AC1916="","",IF(AD1916=1,"C"&amp;TEXT(SUM(AD$6:AD1916),"0000"),INDEX(Q$6:Q1915,MATCH(AC1916,AC$6:AC1915,0))))</f>
        <v/>
      </c>
      <c r="R1916" s="34">
        <f>IF(C1916="","",IF(L1916="☑ Oui","Annulée",IF(OR(E1916="Vente directe",K1916&lt;&gt;""),"Livrée",IF(J1916&lt;&gt;"","Confirmée","En attente"))))</f>
        <v/>
      </c>
      <c r="S1916" s="34">
        <f>IF(F1916="","",IFERROR(VLOOKUP(F1916,T_Produits,2,FALSE),""))</f>
        <v/>
      </c>
      <c r="T1916" s="40">
        <f>IF(F1916="","",IFERROR(1/(1/VLOOKUP(F1916,T_Produits,3,FALSE)),""))</f>
        <v/>
      </c>
      <c r="U1916" s="40">
        <f>IF(H1916&lt;&gt;"",H1916,T1916)</f>
        <v/>
      </c>
      <c r="V1916" s="40">
        <f>IF(OR(G1916="",U1916=""),"",G1916*U1916-N(I1916))</f>
        <v/>
      </c>
      <c r="W1916" s="39">
        <f>IF(D1916="","",IFERROR(VALUE(MID(D1916,LEN(D1916)-3,3)),""))</f>
        <v/>
      </c>
      <c r="X1916" s="33">
        <f>IF(W1916="","",P1916&amp;"|"&amp;W1916)</f>
        <v/>
      </c>
      <c r="Y1916" s="33">
        <f>IF(W1916="","",IF(P1916="À RENSEIGNER","GIC",P1916)&amp;"-"&amp;TEXT(W1916,"000"))</f>
        <v/>
      </c>
      <c r="Z1916" s="33">
        <f>IF(X1916="","",IFERROR(INDEX(Cl_nom,MATCH(X1916,Cl_cle,0)),"(client introuvable)"))</f>
        <v/>
      </c>
      <c r="AA1916" s="33">
        <f>IF(X1916="","",IFERROR(INDEX(Cl_quartier,MATCH(X1916,Cl_cle,0))&amp;"",""))</f>
        <v/>
      </c>
      <c r="AB1916" s="45">
        <f>IF(R1916&lt;&gt;"Livrée",0,IF(K1916&lt;&gt;"",K1916,C1916))</f>
        <v/>
      </c>
      <c r="AC1916" s="33">
        <f>IF(OR(C1916="",W1916=""),"",P1916&amp;"|"&amp;W1916&amp;"|"&amp;C1916&amp;"|"&amp;E1916)</f>
        <v/>
      </c>
      <c r="AD1916" s="39">
        <f>IF(AC1916="","",IF(COUNTIF(AC$6:AC1916,AC1916)=1,1,0))</f>
        <v/>
      </c>
      <c r="AE1916" s="39">
        <f>IF(AB1916=0,"",IF(COUNTIFS(X$6:X1916,X1916,AB$6:AB1916,AB1916)=1,1,0))</f>
        <v/>
      </c>
      <c r="AF1916" s="34">
        <f>IF(C1916="","",YEAR(C1916-WEEKDAY(C1916,2)+4)&amp;"-S"&amp;TEXT(INT((C1916-DATE(YEAR(C1916-WEEKDAY(C1916,2)+4),1,3)+WEEKDAY(DATE(YEAR(C1916-WEEKDAY(C1916,2)+4),1,3),2)+5)/7),"00"))</f>
        <v/>
      </c>
    </row>
    <row r="1917" ht="18" customHeight="1">
      <c r="A1917" s="39" t="n">
        <v>1912</v>
      </c>
      <c r="B1917" s="33">
        <f>IF(C1917="","",IF(P1917="À RENSEIGNER","GIC",P1917)&amp;"-C"&amp;TEXT(A1917,"00000"))</f>
        <v/>
      </c>
      <c r="C1917" s="32" t="n"/>
      <c r="D1917" s="36" t="n"/>
      <c r="E1917" s="36" t="n"/>
      <c r="F1917" s="36" t="n"/>
      <c r="G1917" s="42" t="n"/>
      <c r="H1917" s="37" t="n"/>
      <c r="I1917" s="37" t="n"/>
      <c r="J1917" s="32" t="n"/>
      <c r="K1917" s="32" t="n"/>
      <c r="L1917" s="43" t="n"/>
      <c r="M1917" s="36" t="n"/>
      <c r="N1917" s="44" t="n"/>
      <c r="O1917" s="36" t="n"/>
      <c r="P1917" s="33">
        <f>IF(C1917="","",Commercial_Id)</f>
        <v/>
      </c>
      <c r="Q1917" s="34">
        <f>IF(AC1917="","",IF(AD1917=1,"C"&amp;TEXT(SUM(AD$6:AD1917),"0000"),INDEX(Q$6:Q1916,MATCH(AC1917,AC$6:AC1916,0))))</f>
        <v/>
      </c>
      <c r="R1917" s="34">
        <f>IF(C1917="","",IF(L1917="☑ Oui","Annulée",IF(OR(E1917="Vente directe",K1917&lt;&gt;""),"Livrée",IF(J1917&lt;&gt;"","Confirmée","En attente"))))</f>
        <v/>
      </c>
      <c r="S1917" s="34">
        <f>IF(F1917="","",IFERROR(VLOOKUP(F1917,T_Produits,2,FALSE),""))</f>
        <v/>
      </c>
      <c r="T1917" s="40">
        <f>IF(F1917="","",IFERROR(1/(1/VLOOKUP(F1917,T_Produits,3,FALSE)),""))</f>
        <v/>
      </c>
      <c r="U1917" s="40">
        <f>IF(H1917&lt;&gt;"",H1917,T1917)</f>
        <v/>
      </c>
      <c r="V1917" s="40">
        <f>IF(OR(G1917="",U1917=""),"",G1917*U1917-N(I1917))</f>
        <v/>
      </c>
      <c r="W1917" s="39">
        <f>IF(D1917="","",IFERROR(VALUE(MID(D1917,LEN(D1917)-3,3)),""))</f>
        <v/>
      </c>
      <c r="X1917" s="33">
        <f>IF(W1917="","",P1917&amp;"|"&amp;W1917)</f>
        <v/>
      </c>
      <c r="Y1917" s="33">
        <f>IF(W1917="","",IF(P1917="À RENSEIGNER","GIC",P1917)&amp;"-"&amp;TEXT(W1917,"000"))</f>
        <v/>
      </c>
      <c r="Z1917" s="33">
        <f>IF(X1917="","",IFERROR(INDEX(Cl_nom,MATCH(X1917,Cl_cle,0)),"(client introuvable)"))</f>
        <v/>
      </c>
      <c r="AA1917" s="33">
        <f>IF(X1917="","",IFERROR(INDEX(Cl_quartier,MATCH(X1917,Cl_cle,0))&amp;"",""))</f>
        <v/>
      </c>
      <c r="AB1917" s="45">
        <f>IF(R1917&lt;&gt;"Livrée",0,IF(K1917&lt;&gt;"",K1917,C1917))</f>
        <v/>
      </c>
      <c r="AC1917" s="33">
        <f>IF(OR(C1917="",W1917=""),"",P1917&amp;"|"&amp;W1917&amp;"|"&amp;C1917&amp;"|"&amp;E1917)</f>
        <v/>
      </c>
      <c r="AD1917" s="39">
        <f>IF(AC1917="","",IF(COUNTIF(AC$6:AC1917,AC1917)=1,1,0))</f>
        <v/>
      </c>
      <c r="AE1917" s="39">
        <f>IF(AB1917=0,"",IF(COUNTIFS(X$6:X1917,X1917,AB$6:AB1917,AB1917)=1,1,0))</f>
        <v/>
      </c>
      <c r="AF1917" s="34">
        <f>IF(C1917="","",YEAR(C1917-WEEKDAY(C1917,2)+4)&amp;"-S"&amp;TEXT(INT((C1917-DATE(YEAR(C1917-WEEKDAY(C1917,2)+4),1,3)+WEEKDAY(DATE(YEAR(C1917-WEEKDAY(C1917,2)+4),1,3),2)+5)/7),"00"))</f>
        <v/>
      </c>
    </row>
    <row r="1918" ht="18" customHeight="1">
      <c r="A1918" s="39" t="n">
        <v>1913</v>
      </c>
      <c r="B1918" s="33">
        <f>IF(C1918="","",IF(P1918="À RENSEIGNER","GIC",P1918)&amp;"-C"&amp;TEXT(A1918,"00000"))</f>
        <v/>
      </c>
      <c r="C1918" s="32" t="n"/>
      <c r="D1918" s="36" t="n"/>
      <c r="E1918" s="36" t="n"/>
      <c r="F1918" s="36" t="n"/>
      <c r="G1918" s="42" t="n"/>
      <c r="H1918" s="37" t="n"/>
      <c r="I1918" s="37" t="n"/>
      <c r="J1918" s="32" t="n"/>
      <c r="K1918" s="32" t="n"/>
      <c r="L1918" s="43" t="n"/>
      <c r="M1918" s="36" t="n"/>
      <c r="N1918" s="44" t="n"/>
      <c r="O1918" s="36" t="n"/>
      <c r="P1918" s="33">
        <f>IF(C1918="","",Commercial_Id)</f>
        <v/>
      </c>
      <c r="Q1918" s="34">
        <f>IF(AC1918="","",IF(AD1918=1,"C"&amp;TEXT(SUM(AD$6:AD1918),"0000"),INDEX(Q$6:Q1917,MATCH(AC1918,AC$6:AC1917,0))))</f>
        <v/>
      </c>
      <c r="R1918" s="34">
        <f>IF(C1918="","",IF(L1918="☑ Oui","Annulée",IF(OR(E1918="Vente directe",K1918&lt;&gt;""),"Livrée",IF(J1918&lt;&gt;"","Confirmée","En attente"))))</f>
        <v/>
      </c>
      <c r="S1918" s="34">
        <f>IF(F1918="","",IFERROR(VLOOKUP(F1918,T_Produits,2,FALSE),""))</f>
        <v/>
      </c>
      <c r="T1918" s="40">
        <f>IF(F1918="","",IFERROR(1/(1/VLOOKUP(F1918,T_Produits,3,FALSE)),""))</f>
        <v/>
      </c>
      <c r="U1918" s="40">
        <f>IF(H1918&lt;&gt;"",H1918,T1918)</f>
        <v/>
      </c>
      <c r="V1918" s="40">
        <f>IF(OR(G1918="",U1918=""),"",G1918*U1918-N(I1918))</f>
        <v/>
      </c>
      <c r="W1918" s="39">
        <f>IF(D1918="","",IFERROR(VALUE(MID(D1918,LEN(D1918)-3,3)),""))</f>
        <v/>
      </c>
      <c r="X1918" s="33">
        <f>IF(W1918="","",P1918&amp;"|"&amp;W1918)</f>
        <v/>
      </c>
      <c r="Y1918" s="33">
        <f>IF(W1918="","",IF(P1918="À RENSEIGNER","GIC",P1918)&amp;"-"&amp;TEXT(W1918,"000"))</f>
        <v/>
      </c>
      <c r="Z1918" s="33">
        <f>IF(X1918="","",IFERROR(INDEX(Cl_nom,MATCH(X1918,Cl_cle,0)),"(client introuvable)"))</f>
        <v/>
      </c>
      <c r="AA1918" s="33">
        <f>IF(X1918="","",IFERROR(INDEX(Cl_quartier,MATCH(X1918,Cl_cle,0))&amp;"",""))</f>
        <v/>
      </c>
      <c r="AB1918" s="45">
        <f>IF(R1918&lt;&gt;"Livrée",0,IF(K1918&lt;&gt;"",K1918,C1918))</f>
        <v/>
      </c>
      <c r="AC1918" s="33">
        <f>IF(OR(C1918="",W1918=""),"",P1918&amp;"|"&amp;W1918&amp;"|"&amp;C1918&amp;"|"&amp;E1918)</f>
        <v/>
      </c>
      <c r="AD1918" s="39">
        <f>IF(AC1918="","",IF(COUNTIF(AC$6:AC1918,AC1918)=1,1,0))</f>
        <v/>
      </c>
      <c r="AE1918" s="39">
        <f>IF(AB1918=0,"",IF(COUNTIFS(X$6:X1918,X1918,AB$6:AB1918,AB1918)=1,1,0))</f>
        <v/>
      </c>
      <c r="AF1918" s="34">
        <f>IF(C1918="","",YEAR(C1918-WEEKDAY(C1918,2)+4)&amp;"-S"&amp;TEXT(INT((C1918-DATE(YEAR(C1918-WEEKDAY(C1918,2)+4),1,3)+WEEKDAY(DATE(YEAR(C1918-WEEKDAY(C1918,2)+4),1,3),2)+5)/7),"00"))</f>
        <v/>
      </c>
    </row>
    <row r="1919" ht="18" customHeight="1">
      <c r="A1919" s="39" t="n">
        <v>1914</v>
      </c>
      <c r="B1919" s="33">
        <f>IF(C1919="","",IF(P1919="À RENSEIGNER","GIC",P1919)&amp;"-C"&amp;TEXT(A1919,"00000"))</f>
        <v/>
      </c>
      <c r="C1919" s="32" t="n"/>
      <c r="D1919" s="36" t="n"/>
      <c r="E1919" s="36" t="n"/>
      <c r="F1919" s="36" t="n"/>
      <c r="G1919" s="42" t="n"/>
      <c r="H1919" s="37" t="n"/>
      <c r="I1919" s="37" t="n"/>
      <c r="J1919" s="32" t="n"/>
      <c r="K1919" s="32" t="n"/>
      <c r="L1919" s="43" t="n"/>
      <c r="M1919" s="36" t="n"/>
      <c r="N1919" s="44" t="n"/>
      <c r="O1919" s="36" t="n"/>
      <c r="P1919" s="33">
        <f>IF(C1919="","",Commercial_Id)</f>
        <v/>
      </c>
      <c r="Q1919" s="34">
        <f>IF(AC1919="","",IF(AD1919=1,"C"&amp;TEXT(SUM(AD$6:AD1919),"0000"),INDEX(Q$6:Q1918,MATCH(AC1919,AC$6:AC1918,0))))</f>
        <v/>
      </c>
      <c r="R1919" s="34">
        <f>IF(C1919="","",IF(L1919="☑ Oui","Annulée",IF(OR(E1919="Vente directe",K1919&lt;&gt;""),"Livrée",IF(J1919&lt;&gt;"","Confirmée","En attente"))))</f>
        <v/>
      </c>
      <c r="S1919" s="34">
        <f>IF(F1919="","",IFERROR(VLOOKUP(F1919,T_Produits,2,FALSE),""))</f>
        <v/>
      </c>
      <c r="T1919" s="40">
        <f>IF(F1919="","",IFERROR(1/(1/VLOOKUP(F1919,T_Produits,3,FALSE)),""))</f>
        <v/>
      </c>
      <c r="U1919" s="40">
        <f>IF(H1919&lt;&gt;"",H1919,T1919)</f>
        <v/>
      </c>
      <c r="V1919" s="40">
        <f>IF(OR(G1919="",U1919=""),"",G1919*U1919-N(I1919))</f>
        <v/>
      </c>
      <c r="W1919" s="39">
        <f>IF(D1919="","",IFERROR(VALUE(MID(D1919,LEN(D1919)-3,3)),""))</f>
        <v/>
      </c>
      <c r="X1919" s="33">
        <f>IF(W1919="","",P1919&amp;"|"&amp;W1919)</f>
        <v/>
      </c>
      <c r="Y1919" s="33">
        <f>IF(W1919="","",IF(P1919="À RENSEIGNER","GIC",P1919)&amp;"-"&amp;TEXT(W1919,"000"))</f>
        <v/>
      </c>
      <c r="Z1919" s="33">
        <f>IF(X1919="","",IFERROR(INDEX(Cl_nom,MATCH(X1919,Cl_cle,0)),"(client introuvable)"))</f>
        <v/>
      </c>
      <c r="AA1919" s="33">
        <f>IF(X1919="","",IFERROR(INDEX(Cl_quartier,MATCH(X1919,Cl_cle,0))&amp;"",""))</f>
        <v/>
      </c>
      <c r="AB1919" s="45">
        <f>IF(R1919&lt;&gt;"Livrée",0,IF(K1919&lt;&gt;"",K1919,C1919))</f>
        <v/>
      </c>
      <c r="AC1919" s="33">
        <f>IF(OR(C1919="",W1919=""),"",P1919&amp;"|"&amp;W1919&amp;"|"&amp;C1919&amp;"|"&amp;E1919)</f>
        <v/>
      </c>
      <c r="AD1919" s="39">
        <f>IF(AC1919="","",IF(COUNTIF(AC$6:AC1919,AC1919)=1,1,0))</f>
        <v/>
      </c>
      <c r="AE1919" s="39">
        <f>IF(AB1919=0,"",IF(COUNTIFS(X$6:X1919,X1919,AB$6:AB1919,AB1919)=1,1,0))</f>
        <v/>
      </c>
      <c r="AF1919" s="34">
        <f>IF(C1919="","",YEAR(C1919-WEEKDAY(C1919,2)+4)&amp;"-S"&amp;TEXT(INT((C1919-DATE(YEAR(C1919-WEEKDAY(C1919,2)+4),1,3)+WEEKDAY(DATE(YEAR(C1919-WEEKDAY(C1919,2)+4),1,3),2)+5)/7),"00"))</f>
        <v/>
      </c>
    </row>
    <row r="1920" ht="18" customHeight="1">
      <c r="A1920" s="39" t="n">
        <v>1915</v>
      </c>
      <c r="B1920" s="33">
        <f>IF(C1920="","",IF(P1920="À RENSEIGNER","GIC",P1920)&amp;"-C"&amp;TEXT(A1920,"00000"))</f>
        <v/>
      </c>
      <c r="C1920" s="32" t="n"/>
      <c r="D1920" s="36" t="n"/>
      <c r="E1920" s="36" t="n"/>
      <c r="F1920" s="36" t="n"/>
      <c r="G1920" s="42" t="n"/>
      <c r="H1920" s="37" t="n"/>
      <c r="I1920" s="37" t="n"/>
      <c r="J1920" s="32" t="n"/>
      <c r="K1920" s="32" t="n"/>
      <c r="L1920" s="43" t="n"/>
      <c r="M1920" s="36" t="n"/>
      <c r="N1920" s="44" t="n"/>
      <c r="O1920" s="36" t="n"/>
      <c r="P1920" s="33">
        <f>IF(C1920="","",Commercial_Id)</f>
        <v/>
      </c>
      <c r="Q1920" s="34">
        <f>IF(AC1920="","",IF(AD1920=1,"C"&amp;TEXT(SUM(AD$6:AD1920),"0000"),INDEX(Q$6:Q1919,MATCH(AC1920,AC$6:AC1919,0))))</f>
        <v/>
      </c>
      <c r="R1920" s="34">
        <f>IF(C1920="","",IF(L1920="☑ Oui","Annulée",IF(OR(E1920="Vente directe",K1920&lt;&gt;""),"Livrée",IF(J1920&lt;&gt;"","Confirmée","En attente"))))</f>
        <v/>
      </c>
      <c r="S1920" s="34">
        <f>IF(F1920="","",IFERROR(VLOOKUP(F1920,T_Produits,2,FALSE),""))</f>
        <v/>
      </c>
      <c r="T1920" s="40">
        <f>IF(F1920="","",IFERROR(1/(1/VLOOKUP(F1920,T_Produits,3,FALSE)),""))</f>
        <v/>
      </c>
      <c r="U1920" s="40">
        <f>IF(H1920&lt;&gt;"",H1920,T1920)</f>
        <v/>
      </c>
      <c r="V1920" s="40">
        <f>IF(OR(G1920="",U1920=""),"",G1920*U1920-N(I1920))</f>
        <v/>
      </c>
      <c r="W1920" s="39">
        <f>IF(D1920="","",IFERROR(VALUE(MID(D1920,LEN(D1920)-3,3)),""))</f>
        <v/>
      </c>
      <c r="X1920" s="33">
        <f>IF(W1920="","",P1920&amp;"|"&amp;W1920)</f>
        <v/>
      </c>
      <c r="Y1920" s="33">
        <f>IF(W1920="","",IF(P1920="À RENSEIGNER","GIC",P1920)&amp;"-"&amp;TEXT(W1920,"000"))</f>
        <v/>
      </c>
      <c r="Z1920" s="33">
        <f>IF(X1920="","",IFERROR(INDEX(Cl_nom,MATCH(X1920,Cl_cle,0)),"(client introuvable)"))</f>
        <v/>
      </c>
      <c r="AA1920" s="33">
        <f>IF(X1920="","",IFERROR(INDEX(Cl_quartier,MATCH(X1920,Cl_cle,0))&amp;"",""))</f>
        <v/>
      </c>
      <c r="AB1920" s="45">
        <f>IF(R1920&lt;&gt;"Livrée",0,IF(K1920&lt;&gt;"",K1920,C1920))</f>
        <v/>
      </c>
      <c r="AC1920" s="33">
        <f>IF(OR(C1920="",W1920=""),"",P1920&amp;"|"&amp;W1920&amp;"|"&amp;C1920&amp;"|"&amp;E1920)</f>
        <v/>
      </c>
      <c r="AD1920" s="39">
        <f>IF(AC1920="","",IF(COUNTIF(AC$6:AC1920,AC1920)=1,1,0))</f>
        <v/>
      </c>
      <c r="AE1920" s="39">
        <f>IF(AB1920=0,"",IF(COUNTIFS(X$6:X1920,X1920,AB$6:AB1920,AB1920)=1,1,0))</f>
        <v/>
      </c>
      <c r="AF1920" s="34">
        <f>IF(C1920="","",YEAR(C1920-WEEKDAY(C1920,2)+4)&amp;"-S"&amp;TEXT(INT((C1920-DATE(YEAR(C1920-WEEKDAY(C1920,2)+4),1,3)+WEEKDAY(DATE(YEAR(C1920-WEEKDAY(C1920,2)+4),1,3),2)+5)/7),"00"))</f>
        <v/>
      </c>
    </row>
    <row r="1921" ht="18" customHeight="1">
      <c r="A1921" s="39" t="n">
        <v>1916</v>
      </c>
      <c r="B1921" s="33">
        <f>IF(C1921="","",IF(P1921="À RENSEIGNER","GIC",P1921)&amp;"-C"&amp;TEXT(A1921,"00000"))</f>
        <v/>
      </c>
      <c r="C1921" s="32" t="n"/>
      <c r="D1921" s="36" t="n"/>
      <c r="E1921" s="36" t="n"/>
      <c r="F1921" s="36" t="n"/>
      <c r="G1921" s="42" t="n"/>
      <c r="H1921" s="37" t="n"/>
      <c r="I1921" s="37" t="n"/>
      <c r="J1921" s="32" t="n"/>
      <c r="K1921" s="32" t="n"/>
      <c r="L1921" s="43" t="n"/>
      <c r="M1921" s="36" t="n"/>
      <c r="N1921" s="44" t="n"/>
      <c r="O1921" s="36" t="n"/>
      <c r="P1921" s="33">
        <f>IF(C1921="","",Commercial_Id)</f>
        <v/>
      </c>
      <c r="Q1921" s="34">
        <f>IF(AC1921="","",IF(AD1921=1,"C"&amp;TEXT(SUM(AD$6:AD1921),"0000"),INDEX(Q$6:Q1920,MATCH(AC1921,AC$6:AC1920,0))))</f>
        <v/>
      </c>
      <c r="R1921" s="34">
        <f>IF(C1921="","",IF(L1921="☑ Oui","Annulée",IF(OR(E1921="Vente directe",K1921&lt;&gt;""),"Livrée",IF(J1921&lt;&gt;"","Confirmée","En attente"))))</f>
        <v/>
      </c>
      <c r="S1921" s="34">
        <f>IF(F1921="","",IFERROR(VLOOKUP(F1921,T_Produits,2,FALSE),""))</f>
        <v/>
      </c>
      <c r="T1921" s="40">
        <f>IF(F1921="","",IFERROR(1/(1/VLOOKUP(F1921,T_Produits,3,FALSE)),""))</f>
        <v/>
      </c>
      <c r="U1921" s="40">
        <f>IF(H1921&lt;&gt;"",H1921,T1921)</f>
        <v/>
      </c>
      <c r="V1921" s="40">
        <f>IF(OR(G1921="",U1921=""),"",G1921*U1921-N(I1921))</f>
        <v/>
      </c>
      <c r="W1921" s="39">
        <f>IF(D1921="","",IFERROR(VALUE(MID(D1921,LEN(D1921)-3,3)),""))</f>
        <v/>
      </c>
      <c r="X1921" s="33">
        <f>IF(W1921="","",P1921&amp;"|"&amp;W1921)</f>
        <v/>
      </c>
      <c r="Y1921" s="33">
        <f>IF(W1921="","",IF(P1921="À RENSEIGNER","GIC",P1921)&amp;"-"&amp;TEXT(W1921,"000"))</f>
        <v/>
      </c>
      <c r="Z1921" s="33">
        <f>IF(X1921="","",IFERROR(INDEX(Cl_nom,MATCH(X1921,Cl_cle,0)),"(client introuvable)"))</f>
        <v/>
      </c>
      <c r="AA1921" s="33">
        <f>IF(X1921="","",IFERROR(INDEX(Cl_quartier,MATCH(X1921,Cl_cle,0))&amp;"",""))</f>
        <v/>
      </c>
      <c r="AB1921" s="45">
        <f>IF(R1921&lt;&gt;"Livrée",0,IF(K1921&lt;&gt;"",K1921,C1921))</f>
        <v/>
      </c>
      <c r="AC1921" s="33">
        <f>IF(OR(C1921="",W1921=""),"",P1921&amp;"|"&amp;W1921&amp;"|"&amp;C1921&amp;"|"&amp;E1921)</f>
        <v/>
      </c>
      <c r="AD1921" s="39">
        <f>IF(AC1921="","",IF(COUNTIF(AC$6:AC1921,AC1921)=1,1,0))</f>
        <v/>
      </c>
      <c r="AE1921" s="39">
        <f>IF(AB1921=0,"",IF(COUNTIFS(X$6:X1921,X1921,AB$6:AB1921,AB1921)=1,1,0))</f>
        <v/>
      </c>
      <c r="AF1921" s="34">
        <f>IF(C1921="","",YEAR(C1921-WEEKDAY(C1921,2)+4)&amp;"-S"&amp;TEXT(INT((C1921-DATE(YEAR(C1921-WEEKDAY(C1921,2)+4),1,3)+WEEKDAY(DATE(YEAR(C1921-WEEKDAY(C1921,2)+4),1,3),2)+5)/7),"00"))</f>
        <v/>
      </c>
    </row>
    <row r="1922" ht="18" customHeight="1">
      <c r="A1922" s="39" t="n">
        <v>1917</v>
      </c>
      <c r="B1922" s="33">
        <f>IF(C1922="","",IF(P1922="À RENSEIGNER","GIC",P1922)&amp;"-C"&amp;TEXT(A1922,"00000"))</f>
        <v/>
      </c>
      <c r="C1922" s="32" t="n"/>
      <c r="D1922" s="36" t="n"/>
      <c r="E1922" s="36" t="n"/>
      <c r="F1922" s="36" t="n"/>
      <c r="G1922" s="42" t="n"/>
      <c r="H1922" s="37" t="n"/>
      <c r="I1922" s="37" t="n"/>
      <c r="J1922" s="32" t="n"/>
      <c r="K1922" s="32" t="n"/>
      <c r="L1922" s="43" t="n"/>
      <c r="M1922" s="36" t="n"/>
      <c r="N1922" s="44" t="n"/>
      <c r="O1922" s="36" t="n"/>
      <c r="P1922" s="33">
        <f>IF(C1922="","",Commercial_Id)</f>
        <v/>
      </c>
      <c r="Q1922" s="34">
        <f>IF(AC1922="","",IF(AD1922=1,"C"&amp;TEXT(SUM(AD$6:AD1922),"0000"),INDEX(Q$6:Q1921,MATCH(AC1922,AC$6:AC1921,0))))</f>
        <v/>
      </c>
      <c r="R1922" s="34">
        <f>IF(C1922="","",IF(L1922="☑ Oui","Annulée",IF(OR(E1922="Vente directe",K1922&lt;&gt;""),"Livrée",IF(J1922&lt;&gt;"","Confirmée","En attente"))))</f>
        <v/>
      </c>
      <c r="S1922" s="34">
        <f>IF(F1922="","",IFERROR(VLOOKUP(F1922,T_Produits,2,FALSE),""))</f>
        <v/>
      </c>
      <c r="T1922" s="40">
        <f>IF(F1922="","",IFERROR(1/(1/VLOOKUP(F1922,T_Produits,3,FALSE)),""))</f>
        <v/>
      </c>
      <c r="U1922" s="40">
        <f>IF(H1922&lt;&gt;"",H1922,T1922)</f>
        <v/>
      </c>
      <c r="V1922" s="40">
        <f>IF(OR(G1922="",U1922=""),"",G1922*U1922-N(I1922))</f>
        <v/>
      </c>
      <c r="W1922" s="39">
        <f>IF(D1922="","",IFERROR(VALUE(MID(D1922,LEN(D1922)-3,3)),""))</f>
        <v/>
      </c>
      <c r="X1922" s="33">
        <f>IF(W1922="","",P1922&amp;"|"&amp;W1922)</f>
        <v/>
      </c>
      <c r="Y1922" s="33">
        <f>IF(W1922="","",IF(P1922="À RENSEIGNER","GIC",P1922)&amp;"-"&amp;TEXT(W1922,"000"))</f>
        <v/>
      </c>
      <c r="Z1922" s="33">
        <f>IF(X1922="","",IFERROR(INDEX(Cl_nom,MATCH(X1922,Cl_cle,0)),"(client introuvable)"))</f>
        <v/>
      </c>
      <c r="AA1922" s="33">
        <f>IF(X1922="","",IFERROR(INDEX(Cl_quartier,MATCH(X1922,Cl_cle,0))&amp;"",""))</f>
        <v/>
      </c>
      <c r="AB1922" s="45">
        <f>IF(R1922&lt;&gt;"Livrée",0,IF(K1922&lt;&gt;"",K1922,C1922))</f>
        <v/>
      </c>
      <c r="AC1922" s="33">
        <f>IF(OR(C1922="",W1922=""),"",P1922&amp;"|"&amp;W1922&amp;"|"&amp;C1922&amp;"|"&amp;E1922)</f>
        <v/>
      </c>
      <c r="AD1922" s="39">
        <f>IF(AC1922="","",IF(COUNTIF(AC$6:AC1922,AC1922)=1,1,0))</f>
        <v/>
      </c>
      <c r="AE1922" s="39">
        <f>IF(AB1922=0,"",IF(COUNTIFS(X$6:X1922,X1922,AB$6:AB1922,AB1922)=1,1,0))</f>
        <v/>
      </c>
      <c r="AF1922" s="34">
        <f>IF(C1922="","",YEAR(C1922-WEEKDAY(C1922,2)+4)&amp;"-S"&amp;TEXT(INT((C1922-DATE(YEAR(C1922-WEEKDAY(C1922,2)+4),1,3)+WEEKDAY(DATE(YEAR(C1922-WEEKDAY(C1922,2)+4),1,3),2)+5)/7),"00"))</f>
        <v/>
      </c>
    </row>
    <row r="1923" ht="18" customHeight="1">
      <c r="A1923" s="39" t="n">
        <v>1918</v>
      </c>
      <c r="B1923" s="33">
        <f>IF(C1923="","",IF(P1923="À RENSEIGNER","GIC",P1923)&amp;"-C"&amp;TEXT(A1923,"00000"))</f>
        <v/>
      </c>
      <c r="C1923" s="32" t="n"/>
      <c r="D1923" s="36" t="n"/>
      <c r="E1923" s="36" t="n"/>
      <c r="F1923" s="36" t="n"/>
      <c r="G1923" s="42" t="n"/>
      <c r="H1923" s="37" t="n"/>
      <c r="I1923" s="37" t="n"/>
      <c r="J1923" s="32" t="n"/>
      <c r="K1923" s="32" t="n"/>
      <c r="L1923" s="43" t="n"/>
      <c r="M1923" s="36" t="n"/>
      <c r="N1923" s="44" t="n"/>
      <c r="O1923" s="36" t="n"/>
      <c r="P1923" s="33">
        <f>IF(C1923="","",Commercial_Id)</f>
        <v/>
      </c>
      <c r="Q1923" s="34">
        <f>IF(AC1923="","",IF(AD1923=1,"C"&amp;TEXT(SUM(AD$6:AD1923),"0000"),INDEX(Q$6:Q1922,MATCH(AC1923,AC$6:AC1922,0))))</f>
        <v/>
      </c>
      <c r="R1923" s="34">
        <f>IF(C1923="","",IF(L1923="☑ Oui","Annulée",IF(OR(E1923="Vente directe",K1923&lt;&gt;""),"Livrée",IF(J1923&lt;&gt;"","Confirmée","En attente"))))</f>
        <v/>
      </c>
      <c r="S1923" s="34">
        <f>IF(F1923="","",IFERROR(VLOOKUP(F1923,T_Produits,2,FALSE),""))</f>
        <v/>
      </c>
      <c r="T1923" s="40">
        <f>IF(F1923="","",IFERROR(1/(1/VLOOKUP(F1923,T_Produits,3,FALSE)),""))</f>
        <v/>
      </c>
      <c r="U1923" s="40">
        <f>IF(H1923&lt;&gt;"",H1923,T1923)</f>
        <v/>
      </c>
      <c r="V1923" s="40">
        <f>IF(OR(G1923="",U1923=""),"",G1923*U1923-N(I1923))</f>
        <v/>
      </c>
      <c r="W1923" s="39">
        <f>IF(D1923="","",IFERROR(VALUE(MID(D1923,LEN(D1923)-3,3)),""))</f>
        <v/>
      </c>
      <c r="X1923" s="33">
        <f>IF(W1923="","",P1923&amp;"|"&amp;W1923)</f>
        <v/>
      </c>
      <c r="Y1923" s="33">
        <f>IF(W1923="","",IF(P1923="À RENSEIGNER","GIC",P1923)&amp;"-"&amp;TEXT(W1923,"000"))</f>
        <v/>
      </c>
      <c r="Z1923" s="33">
        <f>IF(X1923="","",IFERROR(INDEX(Cl_nom,MATCH(X1923,Cl_cle,0)),"(client introuvable)"))</f>
        <v/>
      </c>
      <c r="AA1923" s="33">
        <f>IF(X1923="","",IFERROR(INDEX(Cl_quartier,MATCH(X1923,Cl_cle,0))&amp;"",""))</f>
        <v/>
      </c>
      <c r="AB1923" s="45">
        <f>IF(R1923&lt;&gt;"Livrée",0,IF(K1923&lt;&gt;"",K1923,C1923))</f>
        <v/>
      </c>
      <c r="AC1923" s="33">
        <f>IF(OR(C1923="",W1923=""),"",P1923&amp;"|"&amp;W1923&amp;"|"&amp;C1923&amp;"|"&amp;E1923)</f>
        <v/>
      </c>
      <c r="AD1923" s="39">
        <f>IF(AC1923="","",IF(COUNTIF(AC$6:AC1923,AC1923)=1,1,0))</f>
        <v/>
      </c>
      <c r="AE1923" s="39">
        <f>IF(AB1923=0,"",IF(COUNTIFS(X$6:X1923,X1923,AB$6:AB1923,AB1923)=1,1,0))</f>
        <v/>
      </c>
      <c r="AF1923" s="34">
        <f>IF(C1923="","",YEAR(C1923-WEEKDAY(C1923,2)+4)&amp;"-S"&amp;TEXT(INT((C1923-DATE(YEAR(C1923-WEEKDAY(C1923,2)+4),1,3)+WEEKDAY(DATE(YEAR(C1923-WEEKDAY(C1923,2)+4),1,3),2)+5)/7),"00"))</f>
        <v/>
      </c>
    </row>
    <row r="1924" ht="18" customHeight="1">
      <c r="A1924" s="39" t="n">
        <v>1919</v>
      </c>
      <c r="B1924" s="33">
        <f>IF(C1924="","",IF(P1924="À RENSEIGNER","GIC",P1924)&amp;"-C"&amp;TEXT(A1924,"00000"))</f>
        <v/>
      </c>
      <c r="C1924" s="32" t="n"/>
      <c r="D1924" s="36" t="n"/>
      <c r="E1924" s="36" t="n"/>
      <c r="F1924" s="36" t="n"/>
      <c r="G1924" s="42" t="n"/>
      <c r="H1924" s="37" t="n"/>
      <c r="I1924" s="37" t="n"/>
      <c r="J1924" s="32" t="n"/>
      <c r="K1924" s="32" t="n"/>
      <c r="L1924" s="43" t="n"/>
      <c r="M1924" s="36" t="n"/>
      <c r="N1924" s="44" t="n"/>
      <c r="O1924" s="36" t="n"/>
      <c r="P1924" s="33">
        <f>IF(C1924="","",Commercial_Id)</f>
        <v/>
      </c>
      <c r="Q1924" s="34">
        <f>IF(AC1924="","",IF(AD1924=1,"C"&amp;TEXT(SUM(AD$6:AD1924),"0000"),INDEX(Q$6:Q1923,MATCH(AC1924,AC$6:AC1923,0))))</f>
        <v/>
      </c>
      <c r="R1924" s="34">
        <f>IF(C1924="","",IF(L1924="☑ Oui","Annulée",IF(OR(E1924="Vente directe",K1924&lt;&gt;""),"Livrée",IF(J1924&lt;&gt;"","Confirmée","En attente"))))</f>
        <v/>
      </c>
      <c r="S1924" s="34">
        <f>IF(F1924="","",IFERROR(VLOOKUP(F1924,T_Produits,2,FALSE),""))</f>
        <v/>
      </c>
      <c r="T1924" s="40">
        <f>IF(F1924="","",IFERROR(1/(1/VLOOKUP(F1924,T_Produits,3,FALSE)),""))</f>
        <v/>
      </c>
      <c r="U1924" s="40">
        <f>IF(H1924&lt;&gt;"",H1924,T1924)</f>
        <v/>
      </c>
      <c r="V1924" s="40">
        <f>IF(OR(G1924="",U1924=""),"",G1924*U1924-N(I1924))</f>
        <v/>
      </c>
      <c r="W1924" s="39">
        <f>IF(D1924="","",IFERROR(VALUE(MID(D1924,LEN(D1924)-3,3)),""))</f>
        <v/>
      </c>
      <c r="X1924" s="33">
        <f>IF(W1924="","",P1924&amp;"|"&amp;W1924)</f>
        <v/>
      </c>
      <c r="Y1924" s="33">
        <f>IF(W1924="","",IF(P1924="À RENSEIGNER","GIC",P1924)&amp;"-"&amp;TEXT(W1924,"000"))</f>
        <v/>
      </c>
      <c r="Z1924" s="33">
        <f>IF(X1924="","",IFERROR(INDEX(Cl_nom,MATCH(X1924,Cl_cle,0)),"(client introuvable)"))</f>
        <v/>
      </c>
      <c r="AA1924" s="33">
        <f>IF(X1924="","",IFERROR(INDEX(Cl_quartier,MATCH(X1924,Cl_cle,0))&amp;"",""))</f>
        <v/>
      </c>
      <c r="AB1924" s="45">
        <f>IF(R1924&lt;&gt;"Livrée",0,IF(K1924&lt;&gt;"",K1924,C1924))</f>
        <v/>
      </c>
      <c r="AC1924" s="33">
        <f>IF(OR(C1924="",W1924=""),"",P1924&amp;"|"&amp;W1924&amp;"|"&amp;C1924&amp;"|"&amp;E1924)</f>
        <v/>
      </c>
      <c r="AD1924" s="39">
        <f>IF(AC1924="","",IF(COUNTIF(AC$6:AC1924,AC1924)=1,1,0))</f>
        <v/>
      </c>
      <c r="AE1924" s="39">
        <f>IF(AB1924=0,"",IF(COUNTIFS(X$6:X1924,X1924,AB$6:AB1924,AB1924)=1,1,0))</f>
        <v/>
      </c>
      <c r="AF1924" s="34">
        <f>IF(C1924="","",YEAR(C1924-WEEKDAY(C1924,2)+4)&amp;"-S"&amp;TEXT(INT((C1924-DATE(YEAR(C1924-WEEKDAY(C1924,2)+4),1,3)+WEEKDAY(DATE(YEAR(C1924-WEEKDAY(C1924,2)+4),1,3),2)+5)/7),"00"))</f>
        <v/>
      </c>
    </row>
    <row r="1925" ht="18" customHeight="1">
      <c r="A1925" s="39" t="n">
        <v>1920</v>
      </c>
      <c r="B1925" s="33">
        <f>IF(C1925="","",IF(P1925="À RENSEIGNER","GIC",P1925)&amp;"-C"&amp;TEXT(A1925,"00000"))</f>
        <v/>
      </c>
      <c r="C1925" s="32" t="n"/>
      <c r="D1925" s="36" t="n"/>
      <c r="E1925" s="36" t="n"/>
      <c r="F1925" s="36" t="n"/>
      <c r="G1925" s="42" t="n"/>
      <c r="H1925" s="37" t="n"/>
      <c r="I1925" s="37" t="n"/>
      <c r="J1925" s="32" t="n"/>
      <c r="K1925" s="32" t="n"/>
      <c r="L1925" s="43" t="n"/>
      <c r="M1925" s="36" t="n"/>
      <c r="N1925" s="44" t="n"/>
      <c r="O1925" s="36" t="n"/>
      <c r="P1925" s="33">
        <f>IF(C1925="","",Commercial_Id)</f>
        <v/>
      </c>
      <c r="Q1925" s="34">
        <f>IF(AC1925="","",IF(AD1925=1,"C"&amp;TEXT(SUM(AD$6:AD1925),"0000"),INDEX(Q$6:Q1924,MATCH(AC1925,AC$6:AC1924,0))))</f>
        <v/>
      </c>
      <c r="R1925" s="34">
        <f>IF(C1925="","",IF(L1925="☑ Oui","Annulée",IF(OR(E1925="Vente directe",K1925&lt;&gt;""),"Livrée",IF(J1925&lt;&gt;"","Confirmée","En attente"))))</f>
        <v/>
      </c>
      <c r="S1925" s="34">
        <f>IF(F1925="","",IFERROR(VLOOKUP(F1925,T_Produits,2,FALSE),""))</f>
        <v/>
      </c>
      <c r="T1925" s="40">
        <f>IF(F1925="","",IFERROR(1/(1/VLOOKUP(F1925,T_Produits,3,FALSE)),""))</f>
        <v/>
      </c>
      <c r="U1925" s="40">
        <f>IF(H1925&lt;&gt;"",H1925,T1925)</f>
        <v/>
      </c>
      <c r="V1925" s="40">
        <f>IF(OR(G1925="",U1925=""),"",G1925*U1925-N(I1925))</f>
        <v/>
      </c>
      <c r="W1925" s="39">
        <f>IF(D1925="","",IFERROR(VALUE(MID(D1925,LEN(D1925)-3,3)),""))</f>
        <v/>
      </c>
      <c r="X1925" s="33">
        <f>IF(W1925="","",P1925&amp;"|"&amp;W1925)</f>
        <v/>
      </c>
      <c r="Y1925" s="33">
        <f>IF(W1925="","",IF(P1925="À RENSEIGNER","GIC",P1925)&amp;"-"&amp;TEXT(W1925,"000"))</f>
        <v/>
      </c>
      <c r="Z1925" s="33">
        <f>IF(X1925="","",IFERROR(INDEX(Cl_nom,MATCH(X1925,Cl_cle,0)),"(client introuvable)"))</f>
        <v/>
      </c>
      <c r="AA1925" s="33">
        <f>IF(X1925="","",IFERROR(INDEX(Cl_quartier,MATCH(X1925,Cl_cle,0))&amp;"",""))</f>
        <v/>
      </c>
      <c r="AB1925" s="45">
        <f>IF(R1925&lt;&gt;"Livrée",0,IF(K1925&lt;&gt;"",K1925,C1925))</f>
        <v/>
      </c>
      <c r="AC1925" s="33">
        <f>IF(OR(C1925="",W1925=""),"",P1925&amp;"|"&amp;W1925&amp;"|"&amp;C1925&amp;"|"&amp;E1925)</f>
        <v/>
      </c>
      <c r="AD1925" s="39">
        <f>IF(AC1925="","",IF(COUNTIF(AC$6:AC1925,AC1925)=1,1,0))</f>
        <v/>
      </c>
      <c r="AE1925" s="39">
        <f>IF(AB1925=0,"",IF(COUNTIFS(X$6:X1925,X1925,AB$6:AB1925,AB1925)=1,1,0))</f>
        <v/>
      </c>
      <c r="AF1925" s="34">
        <f>IF(C1925="","",YEAR(C1925-WEEKDAY(C1925,2)+4)&amp;"-S"&amp;TEXT(INT((C1925-DATE(YEAR(C1925-WEEKDAY(C1925,2)+4),1,3)+WEEKDAY(DATE(YEAR(C1925-WEEKDAY(C1925,2)+4),1,3),2)+5)/7),"00"))</f>
        <v/>
      </c>
    </row>
    <row r="1926" ht="18" customHeight="1">
      <c r="A1926" s="39" t="n">
        <v>1921</v>
      </c>
      <c r="B1926" s="33">
        <f>IF(C1926="","",IF(P1926="À RENSEIGNER","GIC",P1926)&amp;"-C"&amp;TEXT(A1926,"00000"))</f>
        <v/>
      </c>
      <c r="C1926" s="32" t="n"/>
      <c r="D1926" s="36" t="n"/>
      <c r="E1926" s="36" t="n"/>
      <c r="F1926" s="36" t="n"/>
      <c r="G1926" s="42" t="n"/>
      <c r="H1926" s="37" t="n"/>
      <c r="I1926" s="37" t="n"/>
      <c r="J1926" s="32" t="n"/>
      <c r="K1926" s="32" t="n"/>
      <c r="L1926" s="43" t="n"/>
      <c r="M1926" s="36" t="n"/>
      <c r="N1926" s="44" t="n"/>
      <c r="O1926" s="36" t="n"/>
      <c r="P1926" s="33">
        <f>IF(C1926="","",Commercial_Id)</f>
        <v/>
      </c>
      <c r="Q1926" s="34">
        <f>IF(AC1926="","",IF(AD1926=1,"C"&amp;TEXT(SUM(AD$6:AD1926),"0000"),INDEX(Q$6:Q1925,MATCH(AC1926,AC$6:AC1925,0))))</f>
        <v/>
      </c>
      <c r="R1926" s="34">
        <f>IF(C1926="","",IF(L1926="☑ Oui","Annulée",IF(OR(E1926="Vente directe",K1926&lt;&gt;""),"Livrée",IF(J1926&lt;&gt;"","Confirmée","En attente"))))</f>
        <v/>
      </c>
      <c r="S1926" s="34">
        <f>IF(F1926="","",IFERROR(VLOOKUP(F1926,T_Produits,2,FALSE),""))</f>
        <v/>
      </c>
      <c r="T1926" s="40">
        <f>IF(F1926="","",IFERROR(1/(1/VLOOKUP(F1926,T_Produits,3,FALSE)),""))</f>
        <v/>
      </c>
      <c r="U1926" s="40">
        <f>IF(H1926&lt;&gt;"",H1926,T1926)</f>
        <v/>
      </c>
      <c r="V1926" s="40">
        <f>IF(OR(G1926="",U1926=""),"",G1926*U1926-N(I1926))</f>
        <v/>
      </c>
      <c r="W1926" s="39">
        <f>IF(D1926="","",IFERROR(VALUE(MID(D1926,LEN(D1926)-3,3)),""))</f>
        <v/>
      </c>
      <c r="X1926" s="33">
        <f>IF(W1926="","",P1926&amp;"|"&amp;W1926)</f>
        <v/>
      </c>
      <c r="Y1926" s="33">
        <f>IF(W1926="","",IF(P1926="À RENSEIGNER","GIC",P1926)&amp;"-"&amp;TEXT(W1926,"000"))</f>
        <v/>
      </c>
      <c r="Z1926" s="33">
        <f>IF(X1926="","",IFERROR(INDEX(Cl_nom,MATCH(X1926,Cl_cle,0)),"(client introuvable)"))</f>
        <v/>
      </c>
      <c r="AA1926" s="33">
        <f>IF(X1926="","",IFERROR(INDEX(Cl_quartier,MATCH(X1926,Cl_cle,0))&amp;"",""))</f>
        <v/>
      </c>
      <c r="AB1926" s="45">
        <f>IF(R1926&lt;&gt;"Livrée",0,IF(K1926&lt;&gt;"",K1926,C1926))</f>
        <v/>
      </c>
      <c r="AC1926" s="33">
        <f>IF(OR(C1926="",W1926=""),"",P1926&amp;"|"&amp;W1926&amp;"|"&amp;C1926&amp;"|"&amp;E1926)</f>
        <v/>
      </c>
      <c r="AD1926" s="39">
        <f>IF(AC1926="","",IF(COUNTIF(AC$6:AC1926,AC1926)=1,1,0))</f>
        <v/>
      </c>
      <c r="AE1926" s="39">
        <f>IF(AB1926=0,"",IF(COUNTIFS(X$6:X1926,X1926,AB$6:AB1926,AB1926)=1,1,0))</f>
        <v/>
      </c>
      <c r="AF1926" s="34">
        <f>IF(C1926="","",YEAR(C1926-WEEKDAY(C1926,2)+4)&amp;"-S"&amp;TEXT(INT((C1926-DATE(YEAR(C1926-WEEKDAY(C1926,2)+4),1,3)+WEEKDAY(DATE(YEAR(C1926-WEEKDAY(C1926,2)+4),1,3),2)+5)/7),"00"))</f>
        <v/>
      </c>
    </row>
    <row r="1927" ht="18" customHeight="1">
      <c r="A1927" s="39" t="n">
        <v>1922</v>
      </c>
      <c r="B1927" s="33">
        <f>IF(C1927="","",IF(P1927="À RENSEIGNER","GIC",P1927)&amp;"-C"&amp;TEXT(A1927,"00000"))</f>
        <v/>
      </c>
      <c r="C1927" s="32" t="n"/>
      <c r="D1927" s="36" t="n"/>
      <c r="E1927" s="36" t="n"/>
      <c r="F1927" s="36" t="n"/>
      <c r="G1927" s="42" t="n"/>
      <c r="H1927" s="37" t="n"/>
      <c r="I1927" s="37" t="n"/>
      <c r="J1927" s="32" t="n"/>
      <c r="K1927" s="32" t="n"/>
      <c r="L1927" s="43" t="n"/>
      <c r="M1927" s="36" t="n"/>
      <c r="N1927" s="44" t="n"/>
      <c r="O1927" s="36" t="n"/>
      <c r="P1927" s="33">
        <f>IF(C1927="","",Commercial_Id)</f>
        <v/>
      </c>
      <c r="Q1927" s="34">
        <f>IF(AC1927="","",IF(AD1927=1,"C"&amp;TEXT(SUM(AD$6:AD1927),"0000"),INDEX(Q$6:Q1926,MATCH(AC1927,AC$6:AC1926,0))))</f>
        <v/>
      </c>
      <c r="R1927" s="34">
        <f>IF(C1927="","",IF(L1927="☑ Oui","Annulée",IF(OR(E1927="Vente directe",K1927&lt;&gt;""),"Livrée",IF(J1927&lt;&gt;"","Confirmée","En attente"))))</f>
        <v/>
      </c>
      <c r="S1927" s="34">
        <f>IF(F1927="","",IFERROR(VLOOKUP(F1927,T_Produits,2,FALSE),""))</f>
        <v/>
      </c>
      <c r="T1927" s="40">
        <f>IF(F1927="","",IFERROR(1/(1/VLOOKUP(F1927,T_Produits,3,FALSE)),""))</f>
        <v/>
      </c>
      <c r="U1927" s="40">
        <f>IF(H1927&lt;&gt;"",H1927,T1927)</f>
        <v/>
      </c>
      <c r="V1927" s="40">
        <f>IF(OR(G1927="",U1927=""),"",G1927*U1927-N(I1927))</f>
        <v/>
      </c>
      <c r="W1927" s="39">
        <f>IF(D1927="","",IFERROR(VALUE(MID(D1927,LEN(D1927)-3,3)),""))</f>
        <v/>
      </c>
      <c r="X1927" s="33">
        <f>IF(W1927="","",P1927&amp;"|"&amp;W1927)</f>
        <v/>
      </c>
      <c r="Y1927" s="33">
        <f>IF(W1927="","",IF(P1927="À RENSEIGNER","GIC",P1927)&amp;"-"&amp;TEXT(W1927,"000"))</f>
        <v/>
      </c>
      <c r="Z1927" s="33">
        <f>IF(X1927="","",IFERROR(INDEX(Cl_nom,MATCH(X1927,Cl_cle,0)),"(client introuvable)"))</f>
        <v/>
      </c>
      <c r="AA1927" s="33">
        <f>IF(X1927="","",IFERROR(INDEX(Cl_quartier,MATCH(X1927,Cl_cle,0))&amp;"",""))</f>
        <v/>
      </c>
      <c r="AB1927" s="45">
        <f>IF(R1927&lt;&gt;"Livrée",0,IF(K1927&lt;&gt;"",K1927,C1927))</f>
        <v/>
      </c>
      <c r="AC1927" s="33">
        <f>IF(OR(C1927="",W1927=""),"",P1927&amp;"|"&amp;W1927&amp;"|"&amp;C1927&amp;"|"&amp;E1927)</f>
        <v/>
      </c>
      <c r="AD1927" s="39">
        <f>IF(AC1927="","",IF(COUNTIF(AC$6:AC1927,AC1927)=1,1,0))</f>
        <v/>
      </c>
      <c r="AE1927" s="39">
        <f>IF(AB1927=0,"",IF(COUNTIFS(X$6:X1927,X1927,AB$6:AB1927,AB1927)=1,1,0))</f>
        <v/>
      </c>
      <c r="AF1927" s="34">
        <f>IF(C1927="","",YEAR(C1927-WEEKDAY(C1927,2)+4)&amp;"-S"&amp;TEXT(INT((C1927-DATE(YEAR(C1927-WEEKDAY(C1927,2)+4),1,3)+WEEKDAY(DATE(YEAR(C1927-WEEKDAY(C1927,2)+4),1,3),2)+5)/7),"00"))</f>
        <v/>
      </c>
    </row>
    <row r="1928" ht="18" customHeight="1">
      <c r="A1928" s="39" t="n">
        <v>1923</v>
      </c>
      <c r="B1928" s="33">
        <f>IF(C1928="","",IF(P1928="À RENSEIGNER","GIC",P1928)&amp;"-C"&amp;TEXT(A1928,"00000"))</f>
        <v/>
      </c>
      <c r="C1928" s="32" t="n"/>
      <c r="D1928" s="36" t="n"/>
      <c r="E1928" s="36" t="n"/>
      <c r="F1928" s="36" t="n"/>
      <c r="G1928" s="42" t="n"/>
      <c r="H1928" s="37" t="n"/>
      <c r="I1928" s="37" t="n"/>
      <c r="J1928" s="32" t="n"/>
      <c r="K1928" s="32" t="n"/>
      <c r="L1928" s="43" t="n"/>
      <c r="M1928" s="36" t="n"/>
      <c r="N1928" s="44" t="n"/>
      <c r="O1928" s="36" t="n"/>
      <c r="P1928" s="33">
        <f>IF(C1928="","",Commercial_Id)</f>
        <v/>
      </c>
      <c r="Q1928" s="34">
        <f>IF(AC1928="","",IF(AD1928=1,"C"&amp;TEXT(SUM(AD$6:AD1928),"0000"),INDEX(Q$6:Q1927,MATCH(AC1928,AC$6:AC1927,0))))</f>
        <v/>
      </c>
      <c r="R1928" s="34">
        <f>IF(C1928="","",IF(L1928="☑ Oui","Annulée",IF(OR(E1928="Vente directe",K1928&lt;&gt;""),"Livrée",IF(J1928&lt;&gt;"","Confirmée","En attente"))))</f>
        <v/>
      </c>
      <c r="S1928" s="34">
        <f>IF(F1928="","",IFERROR(VLOOKUP(F1928,T_Produits,2,FALSE),""))</f>
        <v/>
      </c>
      <c r="T1928" s="40">
        <f>IF(F1928="","",IFERROR(1/(1/VLOOKUP(F1928,T_Produits,3,FALSE)),""))</f>
        <v/>
      </c>
      <c r="U1928" s="40">
        <f>IF(H1928&lt;&gt;"",H1928,T1928)</f>
        <v/>
      </c>
      <c r="V1928" s="40">
        <f>IF(OR(G1928="",U1928=""),"",G1928*U1928-N(I1928))</f>
        <v/>
      </c>
      <c r="W1928" s="39">
        <f>IF(D1928="","",IFERROR(VALUE(MID(D1928,LEN(D1928)-3,3)),""))</f>
        <v/>
      </c>
      <c r="X1928" s="33">
        <f>IF(W1928="","",P1928&amp;"|"&amp;W1928)</f>
        <v/>
      </c>
      <c r="Y1928" s="33">
        <f>IF(W1928="","",IF(P1928="À RENSEIGNER","GIC",P1928)&amp;"-"&amp;TEXT(W1928,"000"))</f>
        <v/>
      </c>
      <c r="Z1928" s="33">
        <f>IF(X1928="","",IFERROR(INDEX(Cl_nom,MATCH(X1928,Cl_cle,0)),"(client introuvable)"))</f>
        <v/>
      </c>
      <c r="AA1928" s="33">
        <f>IF(X1928="","",IFERROR(INDEX(Cl_quartier,MATCH(X1928,Cl_cle,0))&amp;"",""))</f>
        <v/>
      </c>
      <c r="AB1928" s="45">
        <f>IF(R1928&lt;&gt;"Livrée",0,IF(K1928&lt;&gt;"",K1928,C1928))</f>
        <v/>
      </c>
      <c r="AC1928" s="33">
        <f>IF(OR(C1928="",W1928=""),"",P1928&amp;"|"&amp;W1928&amp;"|"&amp;C1928&amp;"|"&amp;E1928)</f>
        <v/>
      </c>
      <c r="AD1928" s="39">
        <f>IF(AC1928="","",IF(COUNTIF(AC$6:AC1928,AC1928)=1,1,0))</f>
        <v/>
      </c>
      <c r="AE1928" s="39">
        <f>IF(AB1928=0,"",IF(COUNTIFS(X$6:X1928,X1928,AB$6:AB1928,AB1928)=1,1,0))</f>
        <v/>
      </c>
      <c r="AF1928" s="34">
        <f>IF(C1928="","",YEAR(C1928-WEEKDAY(C1928,2)+4)&amp;"-S"&amp;TEXT(INT((C1928-DATE(YEAR(C1928-WEEKDAY(C1928,2)+4),1,3)+WEEKDAY(DATE(YEAR(C1928-WEEKDAY(C1928,2)+4),1,3),2)+5)/7),"00"))</f>
        <v/>
      </c>
    </row>
    <row r="1929" ht="18" customHeight="1">
      <c r="A1929" s="39" t="n">
        <v>1924</v>
      </c>
      <c r="B1929" s="33">
        <f>IF(C1929="","",IF(P1929="À RENSEIGNER","GIC",P1929)&amp;"-C"&amp;TEXT(A1929,"00000"))</f>
        <v/>
      </c>
      <c r="C1929" s="32" t="n"/>
      <c r="D1929" s="36" t="n"/>
      <c r="E1929" s="36" t="n"/>
      <c r="F1929" s="36" t="n"/>
      <c r="G1929" s="42" t="n"/>
      <c r="H1929" s="37" t="n"/>
      <c r="I1929" s="37" t="n"/>
      <c r="J1929" s="32" t="n"/>
      <c r="K1929" s="32" t="n"/>
      <c r="L1929" s="43" t="n"/>
      <c r="M1929" s="36" t="n"/>
      <c r="N1929" s="44" t="n"/>
      <c r="O1929" s="36" t="n"/>
      <c r="P1929" s="33">
        <f>IF(C1929="","",Commercial_Id)</f>
        <v/>
      </c>
      <c r="Q1929" s="34">
        <f>IF(AC1929="","",IF(AD1929=1,"C"&amp;TEXT(SUM(AD$6:AD1929),"0000"),INDEX(Q$6:Q1928,MATCH(AC1929,AC$6:AC1928,0))))</f>
        <v/>
      </c>
      <c r="R1929" s="34">
        <f>IF(C1929="","",IF(L1929="☑ Oui","Annulée",IF(OR(E1929="Vente directe",K1929&lt;&gt;""),"Livrée",IF(J1929&lt;&gt;"","Confirmée","En attente"))))</f>
        <v/>
      </c>
      <c r="S1929" s="34">
        <f>IF(F1929="","",IFERROR(VLOOKUP(F1929,T_Produits,2,FALSE),""))</f>
        <v/>
      </c>
      <c r="T1929" s="40">
        <f>IF(F1929="","",IFERROR(1/(1/VLOOKUP(F1929,T_Produits,3,FALSE)),""))</f>
        <v/>
      </c>
      <c r="U1929" s="40">
        <f>IF(H1929&lt;&gt;"",H1929,T1929)</f>
        <v/>
      </c>
      <c r="V1929" s="40">
        <f>IF(OR(G1929="",U1929=""),"",G1929*U1929-N(I1929))</f>
        <v/>
      </c>
      <c r="W1929" s="39">
        <f>IF(D1929="","",IFERROR(VALUE(MID(D1929,LEN(D1929)-3,3)),""))</f>
        <v/>
      </c>
      <c r="X1929" s="33">
        <f>IF(W1929="","",P1929&amp;"|"&amp;W1929)</f>
        <v/>
      </c>
      <c r="Y1929" s="33">
        <f>IF(W1929="","",IF(P1929="À RENSEIGNER","GIC",P1929)&amp;"-"&amp;TEXT(W1929,"000"))</f>
        <v/>
      </c>
      <c r="Z1929" s="33">
        <f>IF(X1929="","",IFERROR(INDEX(Cl_nom,MATCH(X1929,Cl_cle,0)),"(client introuvable)"))</f>
        <v/>
      </c>
      <c r="AA1929" s="33">
        <f>IF(X1929="","",IFERROR(INDEX(Cl_quartier,MATCH(X1929,Cl_cle,0))&amp;"",""))</f>
        <v/>
      </c>
      <c r="AB1929" s="45">
        <f>IF(R1929&lt;&gt;"Livrée",0,IF(K1929&lt;&gt;"",K1929,C1929))</f>
        <v/>
      </c>
      <c r="AC1929" s="33">
        <f>IF(OR(C1929="",W1929=""),"",P1929&amp;"|"&amp;W1929&amp;"|"&amp;C1929&amp;"|"&amp;E1929)</f>
        <v/>
      </c>
      <c r="AD1929" s="39">
        <f>IF(AC1929="","",IF(COUNTIF(AC$6:AC1929,AC1929)=1,1,0))</f>
        <v/>
      </c>
      <c r="AE1929" s="39">
        <f>IF(AB1929=0,"",IF(COUNTIFS(X$6:X1929,X1929,AB$6:AB1929,AB1929)=1,1,0))</f>
        <v/>
      </c>
      <c r="AF1929" s="34">
        <f>IF(C1929="","",YEAR(C1929-WEEKDAY(C1929,2)+4)&amp;"-S"&amp;TEXT(INT((C1929-DATE(YEAR(C1929-WEEKDAY(C1929,2)+4),1,3)+WEEKDAY(DATE(YEAR(C1929-WEEKDAY(C1929,2)+4),1,3),2)+5)/7),"00"))</f>
        <v/>
      </c>
    </row>
    <row r="1930" ht="18" customHeight="1">
      <c r="A1930" s="39" t="n">
        <v>1925</v>
      </c>
      <c r="B1930" s="33">
        <f>IF(C1930="","",IF(P1930="À RENSEIGNER","GIC",P1930)&amp;"-C"&amp;TEXT(A1930,"00000"))</f>
        <v/>
      </c>
      <c r="C1930" s="32" t="n"/>
      <c r="D1930" s="36" t="n"/>
      <c r="E1930" s="36" t="n"/>
      <c r="F1930" s="36" t="n"/>
      <c r="G1930" s="42" t="n"/>
      <c r="H1930" s="37" t="n"/>
      <c r="I1930" s="37" t="n"/>
      <c r="J1930" s="32" t="n"/>
      <c r="K1930" s="32" t="n"/>
      <c r="L1930" s="43" t="n"/>
      <c r="M1930" s="36" t="n"/>
      <c r="N1930" s="44" t="n"/>
      <c r="O1930" s="36" t="n"/>
      <c r="P1930" s="33">
        <f>IF(C1930="","",Commercial_Id)</f>
        <v/>
      </c>
      <c r="Q1930" s="34">
        <f>IF(AC1930="","",IF(AD1930=1,"C"&amp;TEXT(SUM(AD$6:AD1930),"0000"),INDEX(Q$6:Q1929,MATCH(AC1930,AC$6:AC1929,0))))</f>
        <v/>
      </c>
      <c r="R1930" s="34">
        <f>IF(C1930="","",IF(L1930="☑ Oui","Annulée",IF(OR(E1930="Vente directe",K1930&lt;&gt;""),"Livrée",IF(J1930&lt;&gt;"","Confirmée","En attente"))))</f>
        <v/>
      </c>
      <c r="S1930" s="34">
        <f>IF(F1930="","",IFERROR(VLOOKUP(F1930,T_Produits,2,FALSE),""))</f>
        <v/>
      </c>
      <c r="T1930" s="40">
        <f>IF(F1930="","",IFERROR(1/(1/VLOOKUP(F1930,T_Produits,3,FALSE)),""))</f>
        <v/>
      </c>
      <c r="U1930" s="40">
        <f>IF(H1930&lt;&gt;"",H1930,T1930)</f>
        <v/>
      </c>
      <c r="V1930" s="40">
        <f>IF(OR(G1930="",U1930=""),"",G1930*U1930-N(I1930))</f>
        <v/>
      </c>
      <c r="W1930" s="39">
        <f>IF(D1930="","",IFERROR(VALUE(MID(D1930,LEN(D1930)-3,3)),""))</f>
        <v/>
      </c>
      <c r="X1930" s="33">
        <f>IF(W1930="","",P1930&amp;"|"&amp;W1930)</f>
        <v/>
      </c>
      <c r="Y1930" s="33">
        <f>IF(W1930="","",IF(P1930="À RENSEIGNER","GIC",P1930)&amp;"-"&amp;TEXT(W1930,"000"))</f>
        <v/>
      </c>
      <c r="Z1930" s="33">
        <f>IF(X1930="","",IFERROR(INDEX(Cl_nom,MATCH(X1930,Cl_cle,0)),"(client introuvable)"))</f>
        <v/>
      </c>
      <c r="AA1930" s="33">
        <f>IF(X1930="","",IFERROR(INDEX(Cl_quartier,MATCH(X1930,Cl_cle,0))&amp;"",""))</f>
        <v/>
      </c>
      <c r="AB1930" s="45">
        <f>IF(R1930&lt;&gt;"Livrée",0,IF(K1930&lt;&gt;"",K1930,C1930))</f>
        <v/>
      </c>
      <c r="AC1930" s="33">
        <f>IF(OR(C1930="",W1930=""),"",P1930&amp;"|"&amp;W1930&amp;"|"&amp;C1930&amp;"|"&amp;E1930)</f>
        <v/>
      </c>
      <c r="AD1930" s="39">
        <f>IF(AC1930="","",IF(COUNTIF(AC$6:AC1930,AC1930)=1,1,0))</f>
        <v/>
      </c>
      <c r="AE1930" s="39">
        <f>IF(AB1930=0,"",IF(COUNTIFS(X$6:X1930,X1930,AB$6:AB1930,AB1930)=1,1,0))</f>
        <v/>
      </c>
      <c r="AF1930" s="34">
        <f>IF(C1930="","",YEAR(C1930-WEEKDAY(C1930,2)+4)&amp;"-S"&amp;TEXT(INT((C1930-DATE(YEAR(C1930-WEEKDAY(C1930,2)+4),1,3)+WEEKDAY(DATE(YEAR(C1930-WEEKDAY(C1930,2)+4),1,3),2)+5)/7),"00"))</f>
        <v/>
      </c>
    </row>
    <row r="1931" ht="18" customHeight="1">
      <c r="A1931" s="39" t="n">
        <v>1926</v>
      </c>
      <c r="B1931" s="33">
        <f>IF(C1931="","",IF(P1931="À RENSEIGNER","GIC",P1931)&amp;"-C"&amp;TEXT(A1931,"00000"))</f>
        <v/>
      </c>
      <c r="C1931" s="32" t="n"/>
      <c r="D1931" s="36" t="n"/>
      <c r="E1931" s="36" t="n"/>
      <c r="F1931" s="36" t="n"/>
      <c r="G1931" s="42" t="n"/>
      <c r="H1931" s="37" t="n"/>
      <c r="I1931" s="37" t="n"/>
      <c r="J1931" s="32" t="n"/>
      <c r="K1931" s="32" t="n"/>
      <c r="L1931" s="43" t="n"/>
      <c r="M1931" s="36" t="n"/>
      <c r="N1931" s="44" t="n"/>
      <c r="O1931" s="36" t="n"/>
      <c r="P1931" s="33">
        <f>IF(C1931="","",Commercial_Id)</f>
        <v/>
      </c>
      <c r="Q1931" s="34">
        <f>IF(AC1931="","",IF(AD1931=1,"C"&amp;TEXT(SUM(AD$6:AD1931),"0000"),INDEX(Q$6:Q1930,MATCH(AC1931,AC$6:AC1930,0))))</f>
        <v/>
      </c>
      <c r="R1931" s="34">
        <f>IF(C1931="","",IF(L1931="☑ Oui","Annulée",IF(OR(E1931="Vente directe",K1931&lt;&gt;""),"Livrée",IF(J1931&lt;&gt;"","Confirmée","En attente"))))</f>
        <v/>
      </c>
      <c r="S1931" s="34">
        <f>IF(F1931="","",IFERROR(VLOOKUP(F1931,T_Produits,2,FALSE),""))</f>
        <v/>
      </c>
      <c r="T1931" s="40">
        <f>IF(F1931="","",IFERROR(1/(1/VLOOKUP(F1931,T_Produits,3,FALSE)),""))</f>
        <v/>
      </c>
      <c r="U1931" s="40">
        <f>IF(H1931&lt;&gt;"",H1931,T1931)</f>
        <v/>
      </c>
      <c r="V1931" s="40">
        <f>IF(OR(G1931="",U1931=""),"",G1931*U1931-N(I1931))</f>
        <v/>
      </c>
      <c r="W1931" s="39">
        <f>IF(D1931="","",IFERROR(VALUE(MID(D1931,LEN(D1931)-3,3)),""))</f>
        <v/>
      </c>
      <c r="X1931" s="33">
        <f>IF(W1931="","",P1931&amp;"|"&amp;W1931)</f>
        <v/>
      </c>
      <c r="Y1931" s="33">
        <f>IF(W1931="","",IF(P1931="À RENSEIGNER","GIC",P1931)&amp;"-"&amp;TEXT(W1931,"000"))</f>
        <v/>
      </c>
      <c r="Z1931" s="33">
        <f>IF(X1931="","",IFERROR(INDEX(Cl_nom,MATCH(X1931,Cl_cle,0)),"(client introuvable)"))</f>
        <v/>
      </c>
      <c r="AA1931" s="33">
        <f>IF(X1931="","",IFERROR(INDEX(Cl_quartier,MATCH(X1931,Cl_cle,0))&amp;"",""))</f>
        <v/>
      </c>
      <c r="AB1931" s="45">
        <f>IF(R1931&lt;&gt;"Livrée",0,IF(K1931&lt;&gt;"",K1931,C1931))</f>
        <v/>
      </c>
      <c r="AC1931" s="33">
        <f>IF(OR(C1931="",W1931=""),"",P1931&amp;"|"&amp;W1931&amp;"|"&amp;C1931&amp;"|"&amp;E1931)</f>
        <v/>
      </c>
      <c r="AD1931" s="39">
        <f>IF(AC1931="","",IF(COUNTIF(AC$6:AC1931,AC1931)=1,1,0))</f>
        <v/>
      </c>
      <c r="AE1931" s="39">
        <f>IF(AB1931=0,"",IF(COUNTIFS(X$6:X1931,X1931,AB$6:AB1931,AB1931)=1,1,0))</f>
        <v/>
      </c>
      <c r="AF1931" s="34">
        <f>IF(C1931="","",YEAR(C1931-WEEKDAY(C1931,2)+4)&amp;"-S"&amp;TEXT(INT((C1931-DATE(YEAR(C1931-WEEKDAY(C1931,2)+4),1,3)+WEEKDAY(DATE(YEAR(C1931-WEEKDAY(C1931,2)+4),1,3),2)+5)/7),"00"))</f>
        <v/>
      </c>
    </row>
    <row r="1932" ht="18" customHeight="1">
      <c r="A1932" s="39" t="n">
        <v>1927</v>
      </c>
      <c r="B1932" s="33">
        <f>IF(C1932="","",IF(P1932="À RENSEIGNER","GIC",P1932)&amp;"-C"&amp;TEXT(A1932,"00000"))</f>
        <v/>
      </c>
      <c r="C1932" s="32" t="n"/>
      <c r="D1932" s="36" t="n"/>
      <c r="E1932" s="36" t="n"/>
      <c r="F1932" s="36" t="n"/>
      <c r="G1932" s="42" t="n"/>
      <c r="H1932" s="37" t="n"/>
      <c r="I1932" s="37" t="n"/>
      <c r="J1932" s="32" t="n"/>
      <c r="K1932" s="32" t="n"/>
      <c r="L1932" s="43" t="n"/>
      <c r="M1932" s="36" t="n"/>
      <c r="N1932" s="44" t="n"/>
      <c r="O1932" s="36" t="n"/>
      <c r="P1932" s="33">
        <f>IF(C1932="","",Commercial_Id)</f>
        <v/>
      </c>
      <c r="Q1932" s="34">
        <f>IF(AC1932="","",IF(AD1932=1,"C"&amp;TEXT(SUM(AD$6:AD1932),"0000"),INDEX(Q$6:Q1931,MATCH(AC1932,AC$6:AC1931,0))))</f>
        <v/>
      </c>
      <c r="R1932" s="34">
        <f>IF(C1932="","",IF(L1932="☑ Oui","Annulée",IF(OR(E1932="Vente directe",K1932&lt;&gt;""),"Livrée",IF(J1932&lt;&gt;"","Confirmée","En attente"))))</f>
        <v/>
      </c>
      <c r="S1932" s="34">
        <f>IF(F1932="","",IFERROR(VLOOKUP(F1932,T_Produits,2,FALSE),""))</f>
        <v/>
      </c>
      <c r="T1932" s="40">
        <f>IF(F1932="","",IFERROR(1/(1/VLOOKUP(F1932,T_Produits,3,FALSE)),""))</f>
        <v/>
      </c>
      <c r="U1932" s="40">
        <f>IF(H1932&lt;&gt;"",H1932,T1932)</f>
        <v/>
      </c>
      <c r="V1932" s="40">
        <f>IF(OR(G1932="",U1932=""),"",G1932*U1932-N(I1932))</f>
        <v/>
      </c>
      <c r="W1932" s="39">
        <f>IF(D1932="","",IFERROR(VALUE(MID(D1932,LEN(D1932)-3,3)),""))</f>
        <v/>
      </c>
      <c r="X1932" s="33">
        <f>IF(W1932="","",P1932&amp;"|"&amp;W1932)</f>
        <v/>
      </c>
      <c r="Y1932" s="33">
        <f>IF(W1932="","",IF(P1932="À RENSEIGNER","GIC",P1932)&amp;"-"&amp;TEXT(W1932,"000"))</f>
        <v/>
      </c>
      <c r="Z1932" s="33">
        <f>IF(X1932="","",IFERROR(INDEX(Cl_nom,MATCH(X1932,Cl_cle,0)),"(client introuvable)"))</f>
        <v/>
      </c>
      <c r="AA1932" s="33">
        <f>IF(X1932="","",IFERROR(INDEX(Cl_quartier,MATCH(X1932,Cl_cle,0))&amp;"",""))</f>
        <v/>
      </c>
      <c r="AB1932" s="45">
        <f>IF(R1932&lt;&gt;"Livrée",0,IF(K1932&lt;&gt;"",K1932,C1932))</f>
        <v/>
      </c>
      <c r="AC1932" s="33">
        <f>IF(OR(C1932="",W1932=""),"",P1932&amp;"|"&amp;W1932&amp;"|"&amp;C1932&amp;"|"&amp;E1932)</f>
        <v/>
      </c>
      <c r="AD1932" s="39">
        <f>IF(AC1932="","",IF(COUNTIF(AC$6:AC1932,AC1932)=1,1,0))</f>
        <v/>
      </c>
      <c r="AE1932" s="39">
        <f>IF(AB1932=0,"",IF(COUNTIFS(X$6:X1932,X1932,AB$6:AB1932,AB1932)=1,1,0))</f>
        <v/>
      </c>
      <c r="AF1932" s="34">
        <f>IF(C1932="","",YEAR(C1932-WEEKDAY(C1932,2)+4)&amp;"-S"&amp;TEXT(INT((C1932-DATE(YEAR(C1932-WEEKDAY(C1932,2)+4),1,3)+WEEKDAY(DATE(YEAR(C1932-WEEKDAY(C1932,2)+4),1,3),2)+5)/7),"00"))</f>
        <v/>
      </c>
    </row>
    <row r="1933" ht="18" customHeight="1">
      <c r="A1933" s="39" t="n">
        <v>1928</v>
      </c>
      <c r="B1933" s="33">
        <f>IF(C1933="","",IF(P1933="À RENSEIGNER","GIC",P1933)&amp;"-C"&amp;TEXT(A1933,"00000"))</f>
        <v/>
      </c>
      <c r="C1933" s="32" t="n"/>
      <c r="D1933" s="36" t="n"/>
      <c r="E1933" s="36" t="n"/>
      <c r="F1933" s="36" t="n"/>
      <c r="G1933" s="42" t="n"/>
      <c r="H1933" s="37" t="n"/>
      <c r="I1933" s="37" t="n"/>
      <c r="J1933" s="32" t="n"/>
      <c r="K1933" s="32" t="n"/>
      <c r="L1933" s="43" t="n"/>
      <c r="M1933" s="36" t="n"/>
      <c r="N1933" s="44" t="n"/>
      <c r="O1933" s="36" t="n"/>
      <c r="P1933" s="33">
        <f>IF(C1933="","",Commercial_Id)</f>
        <v/>
      </c>
      <c r="Q1933" s="34">
        <f>IF(AC1933="","",IF(AD1933=1,"C"&amp;TEXT(SUM(AD$6:AD1933),"0000"),INDEX(Q$6:Q1932,MATCH(AC1933,AC$6:AC1932,0))))</f>
        <v/>
      </c>
      <c r="R1933" s="34">
        <f>IF(C1933="","",IF(L1933="☑ Oui","Annulée",IF(OR(E1933="Vente directe",K1933&lt;&gt;""),"Livrée",IF(J1933&lt;&gt;"","Confirmée","En attente"))))</f>
        <v/>
      </c>
      <c r="S1933" s="34">
        <f>IF(F1933="","",IFERROR(VLOOKUP(F1933,T_Produits,2,FALSE),""))</f>
        <v/>
      </c>
      <c r="T1933" s="40">
        <f>IF(F1933="","",IFERROR(1/(1/VLOOKUP(F1933,T_Produits,3,FALSE)),""))</f>
        <v/>
      </c>
      <c r="U1933" s="40">
        <f>IF(H1933&lt;&gt;"",H1933,T1933)</f>
        <v/>
      </c>
      <c r="V1933" s="40">
        <f>IF(OR(G1933="",U1933=""),"",G1933*U1933-N(I1933))</f>
        <v/>
      </c>
      <c r="W1933" s="39">
        <f>IF(D1933="","",IFERROR(VALUE(MID(D1933,LEN(D1933)-3,3)),""))</f>
        <v/>
      </c>
      <c r="X1933" s="33">
        <f>IF(W1933="","",P1933&amp;"|"&amp;W1933)</f>
        <v/>
      </c>
      <c r="Y1933" s="33">
        <f>IF(W1933="","",IF(P1933="À RENSEIGNER","GIC",P1933)&amp;"-"&amp;TEXT(W1933,"000"))</f>
        <v/>
      </c>
      <c r="Z1933" s="33">
        <f>IF(X1933="","",IFERROR(INDEX(Cl_nom,MATCH(X1933,Cl_cle,0)),"(client introuvable)"))</f>
        <v/>
      </c>
      <c r="AA1933" s="33">
        <f>IF(X1933="","",IFERROR(INDEX(Cl_quartier,MATCH(X1933,Cl_cle,0))&amp;"",""))</f>
        <v/>
      </c>
      <c r="AB1933" s="45">
        <f>IF(R1933&lt;&gt;"Livrée",0,IF(K1933&lt;&gt;"",K1933,C1933))</f>
        <v/>
      </c>
      <c r="AC1933" s="33">
        <f>IF(OR(C1933="",W1933=""),"",P1933&amp;"|"&amp;W1933&amp;"|"&amp;C1933&amp;"|"&amp;E1933)</f>
        <v/>
      </c>
      <c r="AD1933" s="39">
        <f>IF(AC1933="","",IF(COUNTIF(AC$6:AC1933,AC1933)=1,1,0))</f>
        <v/>
      </c>
      <c r="AE1933" s="39">
        <f>IF(AB1933=0,"",IF(COUNTIFS(X$6:X1933,X1933,AB$6:AB1933,AB1933)=1,1,0))</f>
        <v/>
      </c>
      <c r="AF1933" s="34">
        <f>IF(C1933="","",YEAR(C1933-WEEKDAY(C1933,2)+4)&amp;"-S"&amp;TEXT(INT((C1933-DATE(YEAR(C1933-WEEKDAY(C1933,2)+4),1,3)+WEEKDAY(DATE(YEAR(C1933-WEEKDAY(C1933,2)+4),1,3),2)+5)/7),"00"))</f>
        <v/>
      </c>
    </row>
    <row r="1934" ht="18" customHeight="1">
      <c r="A1934" s="39" t="n">
        <v>1929</v>
      </c>
      <c r="B1934" s="33">
        <f>IF(C1934="","",IF(P1934="À RENSEIGNER","GIC",P1934)&amp;"-C"&amp;TEXT(A1934,"00000"))</f>
        <v/>
      </c>
      <c r="C1934" s="32" t="n"/>
      <c r="D1934" s="36" t="n"/>
      <c r="E1934" s="36" t="n"/>
      <c r="F1934" s="36" t="n"/>
      <c r="G1934" s="42" t="n"/>
      <c r="H1934" s="37" t="n"/>
      <c r="I1934" s="37" t="n"/>
      <c r="J1934" s="32" t="n"/>
      <c r="K1934" s="32" t="n"/>
      <c r="L1934" s="43" t="n"/>
      <c r="M1934" s="36" t="n"/>
      <c r="N1934" s="44" t="n"/>
      <c r="O1934" s="36" t="n"/>
      <c r="P1934" s="33">
        <f>IF(C1934="","",Commercial_Id)</f>
        <v/>
      </c>
      <c r="Q1934" s="34">
        <f>IF(AC1934="","",IF(AD1934=1,"C"&amp;TEXT(SUM(AD$6:AD1934),"0000"),INDEX(Q$6:Q1933,MATCH(AC1934,AC$6:AC1933,0))))</f>
        <v/>
      </c>
      <c r="R1934" s="34">
        <f>IF(C1934="","",IF(L1934="☑ Oui","Annulée",IF(OR(E1934="Vente directe",K1934&lt;&gt;""),"Livrée",IF(J1934&lt;&gt;"","Confirmée","En attente"))))</f>
        <v/>
      </c>
      <c r="S1934" s="34">
        <f>IF(F1934="","",IFERROR(VLOOKUP(F1934,T_Produits,2,FALSE),""))</f>
        <v/>
      </c>
      <c r="T1934" s="40">
        <f>IF(F1934="","",IFERROR(1/(1/VLOOKUP(F1934,T_Produits,3,FALSE)),""))</f>
        <v/>
      </c>
      <c r="U1934" s="40">
        <f>IF(H1934&lt;&gt;"",H1934,T1934)</f>
        <v/>
      </c>
      <c r="V1934" s="40">
        <f>IF(OR(G1934="",U1934=""),"",G1934*U1934-N(I1934))</f>
        <v/>
      </c>
      <c r="W1934" s="39">
        <f>IF(D1934="","",IFERROR(VALUE(MID(D1934,LEN(D1934)-3,3)),""))</f>
        <v/>
      </c>
      <c r="X1934" s="33">
        <f>IF(W1934="","",P1934&amp;"|"&amp;W1934)</f>
        <v/>
      </c>
      <c r="Y1934" s="33">
        <f>IF(W1934="","",IF(P1934="À RENSEIGNER","GIC",P1934)&amp;"-"&amp;TEXT(W1934,"000"))</f>
        <v/>
      </c>
      <c r="Z1934" s="33">
        <f>IF(X1934="","",IFERROR(INDEX(Cl_nom,MATCH(X1934,Cl_cle,0)),"(client introuvable)"))</f>
        <v/>
      </c>
      <c r="AA1934" s="33">
        <f>IF(X1934="","",IFERROR(INDEX(Cl_quartier,MATCH(X1934,Cl_cle,0))&amp;"",""))</f>
        <v/>
      </c>
      <c r="AB1934" s="45">
        <f>IF(R1934&lt;&gt;"Livrée",0,IF(K1934&lt;&gt;"",K1934,C1934))</f>
        <v/>
      </c>
      <c r="AC1934" s="33">
        <f>IF(OR(C1934="",W1934=""),"",P1934&amp;"|"&amp;W1934&amp;"|"&amp;C1934&amp;"|"&amp;E1934)</f>
        <v/>
      </c>
      <c r="AD1934" s="39">
        <f>IF(AC1934="","",IF(COUNTIF(AC$6:AC1934,AC1934)=1,1,0))</f>
        <v/>
      </c>
      <c r="AE1934" s="39">
        <f>IF(AB1934=0,"",IF(COUNTIFS(X$6:X1934,X1934,AB$6:AB1934,AB1934)=1,1,0))</f>
        <v/>
      </c>
      <c r="AF1934" s="34">
        <f>IF(C1934="","",YEAR(C1934-WEEKDAY(C1934,2)+4)&amp;"-S"&amp;TEXT(INT((C1934-DATE(YEAR(C1934-WEEKDAY(C1934,2)+4),1,3)+WEEKDAY(DATE(YEAR(C1934-WEEKDAY(C1934,2)+4),1,3),2)+5)/7),"00"))</f>
        <v/>
      </c>
    </row>
    <row r="1935" ht="18" customHeight="1">
      <c r="A1935" s="39" t="n">
        <v>1930</v>
      </c>
      <c r="B1935" s="33">
        <f>IF(C1935="","",IF(P1935="À RENSEIGNER","GIC",P1935)&amp;"-C"&amp;TEXT(A1935,"00000"))</f>
        <v/>
      </c>
      <c r="C1935" s="32" t="n"/>
      <c r="D1935" s="36" t="n"/>
      <c r="E1935" s="36" t="n"/>
      <c r="F1935" s="36" t="n"/>
      <c r="G1935" s="42" t="n"/>
      <c r="H1935" s="37" t="n"/>
      <c r="I1935" s="37" t="n"/>
      <c r="J1935" s="32" t="n"/>
      <c r="K1935" s="32" t="n"/>
      <c r="L1935" s="43" t="n"/>
      <c r="M1935" s="36" t="n"/>
      <c r="N1935" s="44" t="n"/>
      <c r="O1935" s="36" t="n"/>
      <c r="P1935" s="33">
        <f>IF(C1935="","",Commercial_Id)</f>
        <v/>
      </c>
      <c r="Q1935" s="34">
        <f>IF(AC1935="","",IF(AD1935=1,"C"&amp;TEXT(SUM(AD$6:AD1935),"0000"),INDEX(Q$6:Q1934,MATCH(AC1935,AC$6:AC1934,0))))</f>
        <v/>
      </c>
      <c r="R1935" s="34">
        <f>IF(C1935="","",IF(L1935="☑ Oui","Annulée",IF(OR(E1935="Vente directe",K1935&lt;&gt;""),"Livrée",IF(J1935&lt;&gt;"","Confirmée","En attente"))))</f>
        <v/>
      </c>
      <c r="S1935" s="34">
        <f>IF(F1935="","",IFERROR(VLOOKUP(F1935,T_Produits,2,FALSE),""))</f>
        <v/>
      </c>
      <c r="T1935" s="40">
        <f>IF(F1935="","",IFERROR(1/(1/VLOOKUP(F1935,T_Produits,3,FALSE)),""))</f>
        <v/>
      </c>
      <c r="U1935" s="40">
        <f>IF(H1935&lt;&gt;"",H1935,T1935)</f>
        <v/>
      </c>
      <c r="V1935" s="40">
        <f>IF(OR(G1935="",U1935=""),"",G1935*U1935-N(I1935))</f>
        <v/>
      </c>
      <c r="W1935" s="39">
        <f>IF(D1935="","",IFERROR(VALUE(MID(D1935,LEN(D1935)-3,3)),""))</f>
        <v/>
      </c>
      <c r="X1935" s="33">
        <f>IF(W1935="","",P1935&amp;"|"&amp;W1935)</f>
        <v/>
      </c>
      <c r="Y1935" s="33">
        <f>IF(W1935="","",IF(P1935="À RENSEIGNER","GIC",P1935)&amp;"-"&amp;TEXT(W1935,"000"))</f>
        <v/>
      </c>
      <c r="Z1935" s="33">
        <f>IF(X1935="","",IFERROR(INDEX(Cl_nom,MATCH(X1935,Cl_cle,0)),"(client introuvable)"))</f>
        <v/>
      </c>
      <c r="AA1935" s="33">
        <f>IF(X1935="","",IFERROR(INDEX(Cl_quartier,MATCH(X1935,Cl_cle,0))&amp;"",""))</f>
        <v/>
      </c>
      <c r="AB1935" s="45">
        <f>IF(R1935&lt;&gt;"Livrée",0,IF(K1935&lt;&gt;"",K1935,C1935))</f>
        <v/>
      </c>
      <c r="AC1935" s="33">
        <f>IF(OR(C1935="",W1935=""),"",P1935&amp;"|"&amp;W1935&amp;"|"&amp;C1935&amp;"|"&amp;E1935)</f>
        <v/>
      </c>
      <c r="AD1935" s="39">
        <f>IF(AC1935="","",IF(COUNTIF(AC$6:AC1935,AC1935)=1,1,0))</f>
        <v/>
      </c>
      <c r="AE1935" s="39">
        <f>IF(AB1935=0,"",IF(COUNTIFS(X$6:X1935,X1935,AB$6:AB1935,AB1935)=1,1,0))</f>
        <v/>
      </c>
      <c r="AF1935" s="34">
        <f>IF(C1935="","",YEAR(C1935-WEEKDAY(C1935,2)+4)&amp;"-S"&amp;TEXT(INT((C1935-DATE(YEAR(C1935-WEEKDAY(C1935,2)+4),1,3)+WEEKDAY(DATE(YEAR(C1935-WEEKDAY(C1935,2)+4),1,3),2)+5)/7),"00"))</f>
        <v/>
      </c>
    </row>
    <row r="1936" ht="18" customHeight="1">
      <c r="A1936" s="39" t="n">
        <v>1931</v>
      </c>
      <c r="B1936" s="33">
        <f>IF(C1936="","",IF(P1936="À RENSEIGNER","GIC",P1936)&amp;"-C"&amp;TEXT(A1936,"00000"))</f>
        <v/>
      </c>
      <c r="C1936" s="32" t="n"/>
      <c r="D1936" s="36" t="n"/>
      <c r="E1936" s="36" t="n"/>
      <c r="F1936" s="36" t="n"/>
      <c r="G1936" s="42" t="n"/>
      <c r="H1936" s="37" t="n"/>
      <c r="I1936" s="37" t="n"/>
      <c r="J1936" s="32" t="n"/>
      <c r="K1936" s="32" t="n"/>
      <c r="L1936" s="43" t="n"/>
      <c r="M1936" s="36" t="n"/>
      <c r="N1936" s="44" t="n"/>
      <c r="O1936" s="36" t="n"/>
      <c r="P1936" s="33">
        <f>IF(C1936="","",Commercial_Id)</f>
        <v/>
      </c>
      <c r="Q1936" s="34">
        <f>IF(AC1936="","",IF(AD1936=1,"C"&amp;TEXT(SUM(AD$6:AD1936),"0000"),INDEX(Q$6:Q1935,MATCH(AC1936,AC$6:AC1935,0))))</f>
        <v/>
      </c>
      <c r="R1936" s="34">
        <f>IF(C1936="","",IF(L1936="☑ Oui","Annulée",IF(OR(E1936="Vente directe",K1936&lt;&gt;""),"Livrée",IF(J1936&lt;&gt;"","Confirmée","En attente"))))</f>
        <v/>
      </c>
      <c r="S1936" s="34">
        <f>IF(F1936="","",IFERROR(VLOOKUP(F1936,T_Produits,2,FALSE),""))</f>
        <v/>
      </c>
      <c r="T1936" s="40">
        <f>IF(F1936="","",IFERROR(1/(1/VLOOKUP(F1936,T_Produits,3,FALSE)),""))</f>
        <v/>
      </c>
      <c r="U1936" s="40">
        <f>IF(H1936&lt;&gt;"",H1936,T1936)</f>
        <v/>
      </c>
      <c r="V1936" s="40">
        <f>IF(OR(G1936="",U1936=""),"",G1936*U1936-N(I1936))</f>
        <v/>
      </c>
      <c r="W1936" s="39">
        <f>IF(D1936="","",IFERROR(VALUE(MID(D1936,LEN(D1936)-3,3)),""))</f>
        <v/>
      </c>
      <c r="X1936" s="33">
        <f>IF(W1936="","",P1936&amp;"|"&amp;W1936)</f>
        <v/>
      </c>
      <c r="Y1936" s="33">
        <f>IF(W1936="","",IF(P1936="À RENSEIGNER","GIC",P1936)&amp;"-"&amp;TEXT(W1936,"000"))</f>
        <v/>
      </c>
      <c r="Z1936" s="33">
        <f>IF(X1936="","",IFERROR(INDEX(Cl_nom,MATCH(X1936,Cl_cle,0)),"(client introuvable)"))</f>
        <v/>
      </c>
      <c r="AA1936" s="33">
        <f>IF(X1936="","",IFERROR(INDEX(Cl_quartier,MATCH(X1936,Cl_cle,0))&amp;"",""))</f>
        <v/>
      </c>
      <c r="AB1936" s="45">
        <f>IF(R1936&lt;&gt;"Livrée",0,IF(K1936&lt;&gt;"",K1936,C1936))</f>
        <v/>
      </c>
      <c r="AC1936" s="33">
        <f>IF(OR(C1936="",W1936=""),"",P1936&amp;"|"&amp;W1936&amp;"|"&amp;C1936&amp;"|"&amp;E1936)</f>
        <v/>
      </c>
      <c r="AD1936" s="39">
        <f>IF(AC1936="","",IF(COUNTIF(AC$6:AC1936,AC1936)=1,1,0))</f>
        <v/>
      </c>
      <c r="AE1936" s="39">
        <f>IF(AB1936=0,"",IF(COUNTIFS(X$6:X1936,X1936,AB$6:AB1936,AB1936)=1,1,0))</f>
        <v/>
      </c>
      <c r="AF1936" s="34">
        <f>IF(C1936="","",YEAR(C1936-WEEKDAY(C1936,2)+4)&amp;"-S"&amp;TEXT(INT((C1936-DATE(YEAR(C1936-WEEKDAY(C1936,2)+4),1,3)+WEEKDAY(DATE(YEAR(C1936-WEEKDAY(C1936,2)+4),1,3),2)+5)/7),"00"))</f>
        <v/>
      </c>
    </row>
    <row r="1937" ht="18" customHeight="1">
      <c r="A1937" s="39" t="n">
        <v>1932</v>
      </c>
      <c r="B1937" s="33">
        <f>IF(C1937="","",IF(P1937="À RENSEIGNER","GIC",P1937)&amp;"-C"&amp;TEXT(A1937,"00000"))</f>
        <v/>
      </c>
      <c r="C1937" s="32" t="n"/>
      <c r="D1937" s="36" t="n"/>
      <c r="E1937" s="36" t="n"/>
      <c r="F1937" s="36" t="n"/>
      <c r="G1937" s="42" t="n"/>
      <c r="H1937" s="37" t="n"/>
      <c r="I1937" s="37" t="n"/>
      <c r="J1937" s="32" t="n"/>
      <c r="K1937" s="32" t="n"/>
      <c r="L1937" s="43" t="n"/>
      <c r="M1937" s="36" t="n"/>
      <c r="N1937" s="44" t="n"/>
      <c r="O1937" s="36" t="n"/>
      <c r="P1937" s="33">
        <f>IF(C1937="","",Commercial_Id)</f>
        <v/>
      </c>
      <c r="Q1937" s="34">
        <f>IF(AC1937="","",IF(AD1937=1,"C"&amp;TEXT(SUM(AD$6:AD1937),"0000"),INDEX(Q$6:Q1936,MATCH(AC1937,AC$6:AC1936,0))))</f>
        <v/>
      </c>
      <c r="R1937" s="34">
        <f>IF(C1937="","",IF(L1937="☑ Oui","Annulée",IF(OR(E1937="Vente directe",K1937&lt;&gt;""),"Livrée",IF(J1937&lt;&gt;"","Confirmée","En attente"))))</f>
        <v/>
      </c>
      <c r="S1937" s="34">
        <f>IF(F1937="","",IFERROR(VLOOKUP(F1937,T_Produits,2,FALSE),""))</f>
        <v/>
      </c>
      <c r="T1937" s="40">
        <f>IF(F1937="","",IFERROR(1/(1/VLOOKUP(F1937,T_Produits,3,FALSE)),""))</f>
        <v/>
      </c>
      <c r="U1937" s="40">
        <f>IF(H1937&lt;&gt;"",H1937,T1937)</f>
        <v/>
      </c>
      <c r="V1937" s="40">
        <f>IF(OR(G1937="",U1937=""),"",G1937*U1937-N(I1937))</f>
        <v/>
      </c>
      <c r="W1937" s="39">
        <f>IF(D1937="","",IFERROR(VALUE(MID(D1937,LEN(D1937)-3,3)),""))</f>
        <v/>
      </c>
      <c r="X1937" s="33">
        <f>IF(W1937="","",P1937&amp;"|"&amp;W1937)</f>
        <v/>
      </c>
      <c r="Y1937" s="33">
        <f>IF(W1937="","",IF(P1937="À RENSEIGNER","GIC",P1937)&amp;"-"&amp;TEXT(W1937,"000"))</f>
        <v/>
      </c>
      <c r="Z1937" s="33">
        <f>IF(X1937="","",IFERROR(INDEX(Cl_nom,MATCH(X1937,Cl_cle,0)),"(client introuvable)"))</f>
        <v/>
      </c>
      <c r="AA1937" s="33">
        <f>IF(X1937="","",IFERROR(INDEX(Cl_quartier,MATCH(X1937,Cl_cle,0))&amp;"",""))</f>
        <v/>
      </c>
      <c r="AB1937" s="45">
        <f>IF(R1937&lt;&gt;"Livrée",0,IF(K1937&lt;&gt;"",K1937,C1937))</f>
        <v/>
      </c>
      <c r="AC1937" s="33">
        <f>IF(OR(C1937="",W1937=""),"",P1937&amp;"|"&amp;W1937&amp;"|"&amp;C1937&amp;"|"&amp;E1937)</f>
        <v/>
      </c>
      <c r="AD1937" s="39">
        <f>IF(AC1937="","",IF(COUNTIF(AC$6:AC1937,AC1937)=1,1,0))</f>
        <v/>
      </c>
      <c r="AE1937" s="39">
        <f>IF(AB1937=0,"",IF(COUNTIFS(X$6:X1937,X1937,AB$6:AB1937,AB1937)=1,1,0))</f>
        <v/>
      </c>
      <c r="AF1937" s="34">
        <f>IF(C1937="","",YEAR(C1937-WEEKDAY(C1937,2)+4)&amp;"-S"&amp;TEXT(INT((C1937-DATE(YEAR(C1937-WEEKDAY(C1937,2)+4),1,3)+WEEKDAY(DATE(YEAR(C1937-WEEKDAY(C1937,2)+4),1,3),2)+5)/7),"00"))</f>
        <v/>
      </c>
    </row>
    <row r="1938" ht="18" customHeight="1">
      <c r="A1938" s="39" t="n">
        <v>1933</v>
      </c>
      <c r="B1938" s="33">
        <f>IF(C1938="","",IF(P1938="À RENSEIGNER","GIC",P1938)&amp;"-C"&amp;TEXT(A1938,"00000"))</f>
        <v/>
      </c>
      <c r="C1938" s="32" t="n"/>
      <c r="D1938" s="36" t="n"/>
      <c r="E1938" s="36" t="n"/>
      <c r="F1938" s="36" t="n"/>
      <c r="G1938" s="42" t="n"/>
      <c r="H1938" s="37" t="n"/>
      <c r="I1938" s="37" t="n"/>
      <c r="J1938" s="32" t="n"/>
      <c r="K1938" s="32" t="n"/>
      <c r="L1938" s="43" t="n"/>
      <c r="M1938" s="36" t="n"/>
      <c r="N1938" s="44" t="n"/>
      <c r="O1938" s="36" t="n"/>
      <c r="P1938" s="33">
        <f>IF(C1938="","",Commercial_Id)</f>
        <v/>
      </c>
      <c r="Q1938" s="34">
        <f>IF(AC1938="","",IF(AD1938=1,"C"&amp;TEXT(SUM(AD$6:AD1938),"0000"),INDEX(Q$6:Q1937,MATCH(AC1938,AC$6:AC1937,0))))</f>
        <v/>
      </c>
      <c r="R1938" s="34">
        <f>IF(C1938="","",IF(L1938="☑ Oui","Annulée",IF(OR(E1938="Vente directe",K1938&lt;&gt;""),"Livrée",IF(J1938&lt;&gt;"","Confirmée","En attente"))))</f>
        <v/>
      </c>
      <c r="S1938" s="34">
        <f>IF(F1938="","",IFERROR(VLOOKUP(F1938,T_Produits,2,FALSE),""))</f>
        <v/>
      </c>
      <c r="T1938" s="40">
        <f>IF(F1938="","",IFERROR(1/(1/VLOOKUP(F1938,T_Produits,3,FALSE)),""))</f>
        <v/>
      </c>
      <c r="U1938" s="40">
        <f>IF(H1938&lt;&gt;"",H1938,T1938)</f>
        <v/>
      </c>
      <c r="V1938" s="40">
        <f>IF(OR(G1938="",U1938=""),"",G1938*U1938-N(I1938))</f>
        <v/>
      </c>
      <c r="W1938" s="39">
        <f>IF(D1938="","",IFERROR(VALUE(MID(D1938,LEN(D1938)-3,3)),""))</f>
        <v/>
      </c>
      <c r="X1938" s="33">
        <f>IF(W1938="","",P1938&amp;"|"&amp;W1938)</f>
        <v/>
      </c>
      <c r="Y1938" s="33">
        <f>IF(W1938="","",IF(P1938="À RENSEIGNER","GIC",P1938)&amp;"-"&amp;TEXT(W1938,"000"))</f>
        <v/>
      </c>
      <c r="Z1938" s="33">
        <f>IF(X1938="","",IFERROR(INDEX(Cl_nom,MATCH(X1938,Cl_cle,0)),"(client introuvable)"))</f>
        <v/>
      </c>
      <c r="AA1938" s="33">
        <f>IF(X1938="","",IFERROR(INDEX(Cl_quartier,MATCH(X1938,Cl_cle,0))&amp;"",""))</f>
        <v/>
      </c>
      <c r="AB1938" s="45">
        <f>IF(R1938&lt;&gt;"Livrée",0,IF(K1938&lt;&gt;"",K1938,C1938))</f>
        <v/>
      </c>
      <c r="AC1938" s="33">
        <f>IF(OR(C1938="",W1938=""),"",P1938&amp;"|"&amp;W1938&amp;"|"&amp;C1938&amp;"|"&amp;E1938)</f>
        <v/>
      </c>
      <c r="AD1938" s="39">
        <f>IF(AC1938="","",IF(COUNTIF(AC$6:AC1938,AC1938)=1,1,0))</f>
        <v/>
      </c>
      <c r="AE1938" s="39">
        <f>IF(AB1938=0,"",IF(COUNTIFS(X$6:X1938,X1938,AB$6:AB1938,AB1938)=1,1,0))</f>
        <v/>
      </c>
      <c r="AF1938" s="34">
        <f>IF(C1938="","",YEAR(C1938-WEEKDAY(C1938,2)+4)&amp;"-S"&amp;TEXT(INT((C1938-DATE(YEAR(C1938-WEEKDAY(C1938,2)+4),1,3)+WEEKDAY(DATE(YEAR(C1938-WEEKDAY(C1938,2)+4),1,3),2)+5)/7),"00"))</f>
        <v/>
      </c>
    </row>
    <row r="1939" ht="18" customHeight="1">
      <c r="A1939" s="39" t="n">
        <v>1934</v>
      </c>
      <c r="B1939" s="33">
        <f>IF(C1939="","",IF(P1939="À RENSEIGNER","GIC",P1939)&amp;"-C"&amp;TEXT(A1939,"00000"))</f>
        <v/>
      </c>
      <c r="C1939" s="32" t="n"/>
      <c r="D1939" s="36" t="n"/>
      <c r="E1939" s="36" t="n"/>
      <c r="F1939" s="36" t="n"/>
      <c r="G1939" s="42" t="n"/>
      <c r="H1939" s="37" t="n"/>
      <c r="I1939" s="37" t="n"/>
      <c r="J1939" s="32" t="n"/>
      <c r="K1939" s="32" t="n"/>
      <c r="L1939" s="43" t="n"/>
      <c r="M1939" s="36" t="n"/>
      <c r="N1939" s="44" t="n"/>
      <c r="O1939" s="36" t="n"/>
      <c r="P1939" s="33">
        <f>IF(C1939="","",Commercial_Id)</f>
        <v/>
      </c>
      <c r="Q1939" s="34">
        <f>IF(AC1939="","",IF(AD1939=1,"C"&amp;TEXT(SUM(AD$6:AD1939),"0000"),INDEX(Q$6:Q1938,MATCH(AC1939,AC$6:AC1938,0))))</f>
        <v/>
      </c>
      <c r="R1939" s="34">
        <f>IF(C1939="","",IF(L1939="☑ Oui","Annulée",IF(OR(E1939="Vente directe",K1939&lt;&gt;""),"Livrée",IF(J1939&lt;&gt;"","Confirmée","En attente"))))</f>
        <v/>
      </c>
      <c r="S1939" s="34">
        <f>IF(F1939="","",IFERROR(VLOOKUP(F1939,T_Produits,2,FALSE),""))</f>
        <v/>
      </c>
      <c r="T1939" s="40">
        <f>IF(F1939="","",IFERROR(1/(1/VLOOKUP(F1939,T_Produits,3,FALSE)),""))</f>
        <v/>
      </c>
      <c r="U1939" s="40">
        <f>IF(H1939&lt;&gt;"",H1939,T1939)</f>
        <v/>
      </c>
      <c r="V1939" s="40">
        <f>IF(OR(G1939="",U1939=""),"",G1939*U1939-N(I1939))</f>
        <v/>
      </c>
      <c r="W1939" s="39">
        <f>IF(D1939="","",IFERROR(VALUE(MID(D1939,LEN(D1939)-3,3)),""))</f>
        <v/>
      </c>
      <c r="X1939" s="33">
        <f>IF(W1939="","",P1939&amp;"|"&amp;W1939)</f>
        <v/>
      </c>
      <c r="Y1939" s="33">
        <f>IF(W1939="","",IF(P1939="À RENSEIGNER","GIC",P1939)&amp;"-"&amp;TEXT(W1939,"000"))</f>
        <v/>
      </c>
      <c r="Z1939" s="33">
        <f>IF(X1939="","",IFERROR(INDEX(Cl_nom,MATCH(X1939,Cl_cle,0)),"(client introuvable)"))</f>
        <v/>
      </c>
      <c r="AA1939" s="33">
        <f>IF(X1939="","",IFERROR(INDEX(Cl_quartier,MATCH(X1939,Cl_cle,0))&amp;"",""))</f>
        <v/>
      </c>
      <c r="AB1939" s="45">
        <f>IF(R1939&lt;&gt;"Livrée",0,IF(K1939&lt;&gt;"",K1939,C1939))</f>
        <v/>
      </c>
      <c r="AC1939" s="33">
        <f>IF(OR(C1939="",W1939=""),"",P1939&amp;"|"&amp;W1939&amp;"|"&amp;C1939&amp;"|"&amp;E1939)</f>
        <v/>
      </c>
      <c r="AD1939" s="39">
        <f>IF(AC1939="","",IF(COUNTIF(AC$6:AC1939,AC1939)=1,1,0))</f>
        <v/>
      </c>
      <c r="AE1939" s="39">
        <f>IF(AB1939=0,"",IF(COUNTIFS(X$6:X1939,X1939,AB$6:AB1939,AB1939)=1,1,0))</f>
        <v/>
      </c>
      <c r="AF1939" s="34">
        <f>IF(C1939="","",YEAR(C1939-WEEKDAY(C1939,2)+4)&amp;"-S"&amp;TEXT(INT((C1939-DATE(YEAR(C1939-WEEKDAY(C1939,2)+4),1,3)+WEEKDAY(DATE(YEAR(C1939-WEEKDAY(C1939,2)+4),1,3),2)+5)/7),"00"))</f>
        <v/>
      </c>
    </row>
    <row r="1940" ht="18" customHeight="1">
      <c r="A1940" s="39" t="n">
        <v>1935</v>
      </c>
      <c r="B1940" s="33">
        <f>IF(C1940="","",IF(P1940="À RENSEIGNER","GIC",P1940)&amp;"-C"&amp;TEXT(A1940,"00000"))</f>
        <v/>
      </c>
      <c r="C1940" s="32" t="n"/>
      <c r="D1940" s="36" t="n"/>
      <c r="E1940" s="36" t="n"/>
      <c r="F1940" s="36" t="n"/>
      <c r="G1940" s="42" t="n"/>
      <c r="H1940" s="37" t="n"/>
      <c r="I1940" s="37" t="n"/>
      <c r="J1940" s="32" t="n"/>
      <c r="K1940" s="32" t="n"/>
      <c r="L1940" s="43" t="n"/>
      <c r="M1940" s="36" t="n"/>
      <c r="N1940" s="44" t="n"/>
      <c r="O1940" s="36" t="n"/>
      <c r="P1940" s="33">
        <f>IF(C1940="","",Commercial_Id)</f>
        <v/>
      </c>
      <c r="Q1940" s="34">
        <f>IF(AC1940="","",IF(AD1940=1,"C"&amp;TEXT(SUM(AD$6:AD1940),"0000"),INDEX(Q$6:Q1939,MATCH(AC1940,AC$6:AC1939,0))))</f>
        <v/>
      </c>
      <c r="R1940" s="34">
        <f>IF(C1940="","",IF(L1940="☑ Oui","Annulée",IF(OR(E1940="Vente directe",K1940&lt;&gt;""),"Livrée",IF(J1940&lt;&gt;"","Confirmée","En attente"))))</f>
        <v/>
      </c>
      <c r="S1940" s="34">
        <f>IF(F1940="","",IFERROR(VLOOKUP(F1940,T_Produits,2,FALSE),""))</f>
        <v/>
      </c>
      <c r="T1940" s="40">
        <f>IF(F1940="","",IFERROR(1/(1/VLOOKUP(F1940,T_Produits,3,FALSE)),""))</f>
        <v/>
      </c>
      <c r="U1940" s="40">
        <f>IF(H1940&lt;&gt;"",H1940,T1940)</f>
        <v/>
      </c>
      <c r="V1940" s="40">
        <f>IF(OR(G1940="",U1940=""),"",G1940*U1940-N(I1940))</f>
        <v/>
      </c>
      <c r="W1940" s="39">
        <f>IF(D1940="","",IFERROR(VALUE(MID(D1940,LEN(D1940)-3,3)),""))</f>
        <v/>
      </c>
      <c r="X1940" s="33">
        <f>IF(W1940="","",P1940&amp;"|"&amp;W1940)</f>
        <v/>
      </c>
      <c r="Y1940" s="33">
        <f>IF(W1940="","",IF(P1940="À RENSEIGNER","GIC",P1940)&amp;"-"&amp;TEXT(W1940,"000"))</f>
        <v/>
      </c>
      <c r="Z1940" s="33">
        <f>IF(X1940="","",IFERROR(INDEX(Cl_nom,MATCH(X1940,Cl_cle,0)),"(client introuvable)"))</f>
        <v/>
      </c>
      <c r="AA1940" s="33">
        <f>IF(X1940="","",IFERROR(INDEX(Cl_quartier,MATCH(X1940,Cl_cle,0))&amp;"",""))</f>
        <v/>
      </c>
      <c r="AB1940" s="45">
        <f>IF(R1940&lt;&gt;"Livrée",0,IF(K1940&lt;&gt;"",K1940,C1940))</f>
        <v/>
      </c>
      <c r="AC1940" s="33">
        <f>IF(OR(C1940="",W1940=""),"",P1940&amp;"|"&amp;W1940&amp;"|"&amp;C1940&amp;"|"&amp;E1940)</f>
        <v/>
      </c>
      <c r="AD1940" s="39">
        <f>IF(AC1940="","",IF(COUNTIF(AC$6:AC1940,AC1940)=1,1,0))</f>
        <v/>
      </c>
      <c r="AE1940" s="39">
        <f>IF(AB1940=0,"",IF(COUNTIFS(X$6:X1940,X1940,AB$6:AB1940,AB1940)=1,1,0))</f>
        <v/>
      </c>
      <c r="AF1940" s="34">
        <f>IF(C1940="","",YEAR(C1940-WEEKDAY(C1940,2)+4)&amp;"-S"&amp;TEXT(INT((C1940-DATE(YEAR(C1940-WEEKDAY(C1940,2)+4),1,3)+WEEKDAY(DATE(YEAR(C1940-WEEKDAY(C1940,2)+4),1,3),2)+5)/7),"00"))</f>
        <v/>
      </c>
    </row>
    <row r="1941" ht="18" customHeight="1">
      <c r="A1941" s="39" t="n">
        <v>1936</v>
      </c>
      <c r="B1941" s="33">
        <f>IF(C1941="","",IF(P1941="À RENSEIGNER","GIC",P1941)&amp;"-C"&amp;TEXT(A1941,"00000"))</f>
        <v/>
      </c>
      <c r="C1941" s="32" t="n"/>
      <c r="D1941" s="36" t="n"/>
      <c r="E1941" s="36" t="n"/>
      <c r="F1941" s="36" t="n"/>
      <c r="G1941" s="42" t="n"/>
      <c r="H1941" s="37" t="n"/>
      <c r="I1941" s="37" t="n"/>
      <c r="J1941" s="32" t="n"/>
      <c r="K1941" s="32" t="n"/>
      <c r="L1941" s="43" t="n"/>
      <c r="M1941" s="36" t="n"/>
      <c r="N1941" s="44" t="n"/>
      <c r="O1941" s="36" t="n"/>
      <c r="P1941" s="33">
        <f>IF(C1941="","",Commercial_Id)</f>
        <v/>
      </c>
      <c r="Q1941" s="34">
        <f>IF(AC1941="","",IF(AD1941=1,"C"&amp;TEXT(SUM(AD$6:AD1941),"0000"),INDEX(Q$6:Q1940,MATCH(AC1941,AC$6:AC1940,0))))</f>
        <v/>
      </c>
      <c r="R1941" s="34">
        <f>IF(C1941="","",IF(L1941="☑ Oui","Annulée",IF(OR(E1941="Vente directe",K1941&lt;&gt;""),"Livrée",IF(J1941&lt;&gt;"","Confirmée","En attente"))))</f>
        <v/>
      </c>
      <c r="S1941" s="34">
        <f>IF(F1941="","",IFERROR(VLOOKUP(F1941,T_Produits,2,FALSE),""))</f>
        <v/>
      </c>
      <c r="T1941" s="40">
        <f>IF(F1941="","",IFERROR(1/(1/VLOOKUP(F1941,T_Produits,3,FALSE)),""))</f>
        <v/>
      </c>
      <c r="U1941" s="40">
        <f>IF(H1941&lt;&gt;"",H1941,T1941)</f>
        <v/>
      </c>
      <c r="V1941" s="40">
        <f>IF(OR(G1941="",U1941=""),"",G1941*U1941-N(I1941))</f>
        <v/>
      </c>
      <c r="W1941" s="39">
        <f>IF(D1941="","",IFERROR(VALUE(MID(D1941,LEN(D1941)-3,3)),""))</f>
        <v/>
      </c>
      <c r="X1941" s="33">
        <f>IF(W1941="","",P1941&amp;"|"&amp;W1941)</f>
        <v/>
      </c>
      <c r="Y1941" s="33">
        <f>IF(W1941="","",IF(P1941="À RENSEIGNER","GIC",P1941)&amp;"-"&amp;TEXT(W1941,"000"))</f>
        <v/>
      </c>
      <c r="Z1941" s="33">
        <f>IF(X1941="","",IFERROR(INDEX(Cl_nom,MATCH(X1941,Cl_cle,0)),"(client introuvable)"))</f>
        <v/>
      </c>
      <c r="AA1941" s="33">
        <f>IF(X1941="","",IFERROR(INDEX(Cl_quartier,MATCH(X1941,Cl_cle,0))&amp;"",""))</f>
        <v/>
      </c>
      <c r="AB1941" s="45">
        <f>IF(R1941&lt;&gt;"Livrée",0,IF(K1941&lt;&gt;"",K1941,C1941))</f>
        <v/>
      </c>
      <c r="AC1941" s="33">
        <f>IF(OR(C1941="",W1941=""),"",P1941&amp;"|"&amp;W1941&amp;"|"&amp;C1941&amp;"|"&amp;E1941)</f>
        <v/>
      </c>
      <c r="AD1941" s="39">
        <f>IF(AC1941="","",IF(COUNTIF(AC$6:AC1941,AC1941)=1,1,0))</f>
        <v/>
      </c>
      <c r="AE1941" s="39">
        <f>IF(AB1941=0,"",IF(COUNTIFS(X$6:X1941,X1941,AB$6:AB1941,AB1941)=1,1,0))</f>
        <v/>
      </c>
      <c r="AF1941" s="34">
        <f>IF(C1941="","",YEAR(C1941-WEEKDAY(C1941,2)+4)&amp;"-S"&amp;TEXT(INT((C1941-DATE(YEAR(C1941-WEEKDAY(C1941,2)+4),1,3)+WEEKDAY(DATE(YEAR(C1941-WEEKDAY(C1941,2)+4),1,3),2)+5)/7),"00"))</f>
        <v/>
      </c>
    </row>
    <row r="1942" ht="18" customHeight="1">
      <c r="A1942" s="39" t="n">
        <v>1937</v>
      </c>
      <c r="B1942" s="33">
        <f>IF(C1942="","",IF(P1942="À RENSEIGNER","GIC",P1942)&amp;"-C"&amp;TEXT(A1942,"00000"))</f>
        <v/>
      </c>
      <c r="C1942" s="32" t="n"/>
      <c r="D1942" s="36" t="n"/>
      <c r="E1942" s="36" t="n"/>
      <c r="F1942" s="36" t="n"/>
      <c r="G1942" s="42" t="n"/>
      <c r="H1942" s="37" t="n"/>
      <c r="I1942" s="37" t="n"/>
      <c r="J1942" s="32" t="n"/>
      <c r="K1942" s="32" t="n"/>
      <c r="L1942" s="43" t="n"/>
      <c r="M1942" s="36" t="n"/>
      <c r="N1942" s="44" t="n"/>
      <c r="O1942" s="36" t="n"/>
      <c r="P1942" s="33">
        <f>IF(C1942="","",Commercial_Id)</f>
        <v/>
      </c>
      <c r="Q1942" s="34">
        <f>IF(AC1942="","",IF(AD1942=1,"C"&amp;TEXT(SUM(AD$6:AD1942),"0000"),INDEX(Q$6:Q1941,MATCH(AC1942,AC$6:AC1941,0))))</f>
        <v/>
      </c>
      <c r="R1942" s="34">
        <f>IF(C1942="","",IF(L1942="☑ Oui","Annulée",IF(OR(E1942="Vente directe",K1942&lt;&gt;""),"Livrée",IF(J1942&lt;&gt;"","Confirmée","En attente"))))</f>
        <v/>
      </c>
      <c r="S1942" s="34">
        <f>IF(F1942="","",IFERROR(VLOOKUP(F1942,T_Produits,2,FALSE),""))</f>
        <v/>
      </c>
      <c r="T1942" s="40">
        <f>IF(F1942="","",IFERROR(1/(1/VLOOKUP(F1942,T_Produits,3,FALSE)),""))</f>
        <v/>
      </c>
      <c r="U1942" s="40">
        <f>IF(H1942&lt;&gt;"",H1942,T1942)</f>
        <v/>
      </c>
      <c r="V1942" s="40">
        <f>IF(OR(G1942="",U1942=""),"",G1942*U1942-N(I1942))</f>
        <v/>
      </c>
      <c r="W1942" s="39">
        <f>IF(D1942="","",IFERROR(VALUE(MID(D1942,LEN(D1942)-3,3)),""))</f>
        <v/>
      </c>
      <c r="X1942" s="33">
        <f>IF(W1942="","",P1942&amp;"|"&amp;W1942)</f>
        <v/>
      </c>
      <c r="Y1942" s="33">
        <f>IF(W1942="","",IF(P1942="À RENSEIGNER","GIC",P1942)&amp;"-"&amp;TEXT(W1942,"000"))</f>
        <v/>
      </c>
      <c r="Z1942" s="33">
        <f>IF(X1942="","",IFERROR(INDEX(Cl_nom,MATCH(X1942,Cl_cle,0)),"(client introuvable)"))</f>
        <v/>
      </c>
      <c r="AA1942" s="33">
        <f>IF(X1942="","",IFERROR(INDEX(Cl_quartier,MATCH(X1942,Cl_cle,0))&amp;"",""))</f>
        <v/>
      </c>
      <c r="AB1942" s="45">
        <f>IF(R1942&lt;&gt;"Livrée",0,IF(K1942&lt;&gt;"",K1942,C1942))</f>
        <v/>
      </c>
      <c r="AC1942" s="33">
        <f>IF(OR(C1942="",W1942=""),"",P1942&amp;"|"&amp;W1942&amp;"|"&amp;C1942&amp;"|"&amp;E1942)</f>
        <v/>
      </c>
      <c r="AD1942" s="39">
        <f>IF(AC1942="","",IF(COUNTIF(AC$6:AC1942,AC1942)=1,1,0))</f>
        <v/>
      </c>
      <c r="AE1942" s="39">
        <f>IF(AB1942=0,"",IF(COUNTIFS(X$6:X1942,X1942,AB$6:AB1942,AB1942)=1,1,0))</f>
        <v/>
      </c>
      <c r="AF1942" s="34">
        <f>IF(C1942="","",YEAR(C1942-WEEKDAY(C1942,2)+4)&amp;"-S"&amp;TEXT(INT((C1942-DATE(YEAR(C1942-WEEKDAY(C1942,2)+4),1,3)+WEEKDAY(DATE(YEAR(C1942-WEEKDAY(C1942,2)+4),1,3),2)+5)/7),"00"))</f>
        <v/>
      </c>
    </row>
    <row r="1943" ht="18" customHeight="1">
      <c r="A1943" s="39" t="n">
        <v>1938</v>
      </c>
      <c r="B1943" s="33">
        <f>IF(C1943="","",IF(P1943="À RENSEIGNER","GIC",P1943)&amp;"-C"&amp;TEXT(A1943,"00000"))</f>
        <v/>
      </c>
      <c r="C1943" s="32" t="n"/>
      <c r="D1943" s="36" t="n"/>
      <c r="E1943" s="36" t="n"/>
      <c r="F1943" s="36" t="n"/>
      <c r="G1943" s="42" t="n"/>
      <c r="H1943" s="37" t="n"/>
      <c r="I1943" s="37" t="n"/>
      <c r="J1943" s="32" t="n"/>
      <c r="K1943" s="32" t="n"/>
      <c r="L1943" s="43" t="n"/>
      <c r="M1943" s="36" t="n"/>
      <c r="N1943" s="44" t="n"/>
      <c r="O1943" s="36" t="n"/>
      <c r="P1943" s="33">
        <f>IF(C1943="","",Commercial_Id)</f>
        <v/>
      </c>
      <c r="Q1943" s="34">
        <f>IF(AC1943="","",IF(AD1943=1,"C"&amp;TEXT(SUM(AD$6:AD1943),"0000"),INDEX(Q$6:Q1942,MATCH(AC1943,AC$6:AC1942,0))))</f>
        <v/>
      </c>
      <c r="R1943" s="34">
        <f>IF(C1943="","",IF(L1943="☑ Oui","Annulée",IF(OR(E1943="Vente directe",K1943&lt;&gt;""),"Livrée",IF(J1943&lt;&gt;"","Confirmée","En attente"))))</f>
        <v/>
      </c>
      <c r="S1943" s="34">
        <f>IF(F1943="","",IFERROR(VLOOKUP(F1943,T_Produits,2,FALSE),""))</f>
        <v/>
      </c>
      <c r="T1943" s="40">
        <f>IF(F1943="","",IFERROR(1/(1/VLOOKUP(F1943,T_Produits,3,FALSE)),""))</f>
        <v/>
      </c>
      <c r="U1943" s="40">
        <f>IF(H1943&lt;&gt;"",H1943,T1943)</f>
        <v/>
      </c>
      <c r="V1943" s="40">
        <f>IF(OR(G1943="",U1943=""),"",G1943*U1943-N(I1943))</f>
        <v/>
      </c>
      <c r="W1943" s="39">
        <f>IF(D1943="","",IFERROR(VALUE(MID(D1943,LEN(D1943)-3,3)),""))</f>
        <v/>
      </c>
      <c r="X1943" s="33">
        <f>IF(W1943="","",P1943&amp;"|"&amp;W1943)</f>
        <v/>
      </c>
      <c r="Y1943" s="33">
        <f>IF(W1943="","",IF(P1943="À RENSEIGNER","GIC",P1943)&amp;"-"&amp;TEXT(W1943,"000"))</f>
        <v/>
      </c>
      <c r="Z1943" s="33">
        <f>IF(X1943="","",IFERROR(INDEX(Cl_nom,MATCH(X1943,Cl_cle,0)),"(client introuvable)"))</f>
        <v/>
      </c>
      <c r="AA1943" s="33">
        <f>IF(X1943="","",IFERROR(INDEX(Cl_quartier,MATCH(X1943,Cl_cle,0))&amp;"",""))</f>
        <v/>
      </c>
      <c r="AB1943" s="45">
        <f>IF(R1943&lt;&gt;"Livrée",0,IF(K1943&lt;&gt;"",K1943,C1943))</f>
        <v/>
      </c>
      <c r="AC1943" s="33">
        <f>IF(OR(C1943="",W1943=""),"",P1943&amp;"|"&amp;W1943&amp;"|"&amp;C1943&amp;"|"&amp;E1943)</f>
        <v/>
      </c>
      <c r="AD1943" s="39">
        <f>IF(AC1943="","",IF(COUNTIF(AC$6:AC1943,AC1943)=1,1,0))</f>
        <v/>
      </c>
      <c r="AE1943" s="39">
        <f>IF(AB1943=0,"",IF(COUNTIFS(X$6:X1943,X1943,AB$6:AB1943,AB1943)=1,1,0))</f>
        <v/>
      </c>
      <c r="AF1943" s="34">
        <f>IF(C1943="","",YEAR(C1943-WEEKDAY(C1943,2)+4)&amp;"-S"&amp;TEXT(INT((C1943-DATE(YEAR(C1943-WEEKDAY(C1943,2)+4),1,3)+WEEKDAY(DATE(YEAR(C1943-WEEKDAY(C1943,2)+4),1,3),2)+5)/7),"00"))</f>
        <v/>
      </c>
    </row>
    <row r="1944" ht="18" customHeight="1">
      <c r="A1944" s="39" t="n">
        <v>1939</v>
      </c>
      <c r="B1944" s="33">
        <f>IF(C1944="","",IF(P1944="À RENSEIGNER","GIC",P1944)&amp;"-C"&amp;TEXT(A1944,"00000"))</f>
        <v/>
      </c>
      <c r="C1944" s="32" t="n"/>
      <c r="D1944" s="36" t="n"/>
      <c r="E1944" s="36" t="n"/>
      <c r="F1944" s="36" t="n"/>
      <c r="G1944" s="42" t="n"/>
      <c r="H1944" s="37" t="n"/>
      <c r="I1944" s="37" t="n"/>
      <c r="J1944" s="32" t="n"/>
      <c r="K1944" s="32" t="n"/>
      <c r="L1944" s="43" t="n"/>
      <c r="M1944" s="36" t="n"/>
      <c r="N1944" s="44" t="n"/>
      <c r="O1944" s="36" t="n"/>
      <c r="P1944" s="33">
        <f>IF(C1944="","",Commercial_Id)</f>
        <v/>
      </c>
      <c r="Q1944" s="34">
        <f>IF(AC1944="","",IF(AD1944=1,"C"&amp;TEXT(SUM(AD$6:AD1944),"0000"),INDEX(Q$6:Q1943,MATCH(AC1944,AC$6:AC1943,0))))</f>
        <v/>
      </c>
      <c r="R1944" s="34">
        <f>IF(C1944="","",IF(L1944="☑ Oui","Annulée",IF(OR(E1944="Vente directe",K1944&lt;&gt;""),"Livrée",IF(J1944&lt;&gt;"","Confirmée","En attente"))))</f>
        <v/>
      </c>
      <c r="S1944" s="34">
        <f>IF(F1944="","",IFERROR(VLOOKUP(F1944,T_Produits,2,FALSE),""))</f>
        <v/>
      </c>
      <c r="T1944" s="40">
        <f>IF(F1944="","",IFERROR(1/(1/VLOOKUP(F1944,T_Produits,3,FALSE)),""))</f>
        <v/>
      </c>
      <c r="U1944" s="40">
        <f>IF(H1944&lt;&gt;"",H1944,T1944)</f>
        <v/>
      </c>
      <c r="V1944" s="40">
        <f>IF(OR(G1944="",U1944=""),"",G1944*U1944-N(I1944))</f>
        <v/>
      </c>
      <c r="W1944" s="39">
        <f>IF(D1944="","",IFERROR(VALUE(MID(D1944,LEN(D1944)-3,3)),""))</f>
        <v/>
      </c>
      <c r="X1944" s="33">
        <f>IF(W1944="","",P1944&amp;"|"&amp;W1944)</f>
        <v/>
      </c>
      <c r="Y1944" s="33">
        <f>IF(W1944="","",IF(P1944="À RENSEIGNER","GIC",P1944)&amp;"-"&amp;TEXT(W1944,"000"))</f>
        <v/>
      </c>
      <c r="Z1944" s="33">
        <f>IF(X1944="","",IFERROR(INDEX(Cl_nom,MATCH(X1944,Cl_cle,0)),"(client introuvable)"))</f>
        <v/>
      </c>
      <c r="AA1944" s="33">
        <f>IF(X1944="","",IFERROR(INDEX(Cl_quartier,MATCH(X1944,Cl_cle,0))&amp;"",""))</f>
        <v/>
      </c>
      <c r="AB1944" s="45">
        <f>IF(R1944&lt;&gt;"Livrée",0,IF(K1944&lt;&gt;"",K1944,C1944))</f>
        <v/>
      </c>
      <c r="AC1944" s="33">
        <f>IF(OR(C1944="",W1944=""),"",P1944&amp;"|"&amp;W1944&amp;"|"&amp;C1944&amp;"|"&amp;E1944)</f>
        <v/>
      </c>
      <c r="AD1944" s="39">
        <f>IF(AC1944="","",IF(COUNTIF(AC$6:AC1944,AC1944)=1,1,0))</f>
        <v/>
      </c>
      <c r="AE1944" s="39">
        <f>IF(AB1944=0,"",IF(COUNTIFS(X$6:X1944,X1944,AB$6:AB1944,AB1944)=1,1,0))</f>
        <v/>
      </c>
      <c r="AF1944" s="34">
        <f>IF(C1944="","",YEAR(C1944-WEEKDAY(C1944,2)+4)&amp;"-S"&amp;TEXT(INT((C1944-DATE(YEAR(C1944-WEEKDAY(C1944,2)+4),1,3)+WEEKDAY(DATE(YEAR(C1944-WEEKDAY(C1944,2)+4),1,3),2)+5)/7),"00"))</f>
        <v/>
      </c>
    </row>
    <row r="1945" ht="18" customHeight="1">
      <c r="A1945" s="39" t="n">
        <v>1940</v>
      </c>
      <c r="B1945" s="33">
        <f>IF(C1945="","",IF(P1945="À RENSEIGNER","GIC",P1945)&amp;"-C"&amp;TEXT(A1945,"00000"))</f>
        <v/>
      </c>
      <c r="C1945" s="32" t="n"/>
      <c r="D1945" s="36" t="n"/>
      <c r="E1945" s="36" t="n"/>
      <c r="F1945" s="36" t="n"/>
      <c r="G1945" s="42" t="n"/>
      <c r="H1945" s="37" t="n"/>
      <c r="I1945" s="37" t="n"/>
      <c r="J1945" s="32" t="n"/>
      <c r="K1945" s="32" t="n"/>
      <c r="L1945" s="43" t="n"/>
      <c r="M1945" s="36" t="n"/>
      <c r="N1945" s="44" t="n"/>
      <c r="O1945" s="36" t="n"/>
      <c r="P1945" s="33">
        <f>IF(C1945="","",Commercial_Id)</f>
        <v/>
      </c>
      <c r="Q1945" s="34">
        <f>IF(AC1945="","",IF(AD1945=1,"C"&amp;TEXT(SUM(AD$6:AD1945),"0000"),INDEX(Q$6:Q1944,MATCH(AC1945,AC$6:AC1944,0))))</f>
        <v/>
      </c>
      <c r="R1945" s="34">
        <f>IF(C1945="","",IF(L1945="☑ Oui","Annulée",IF(OR(E1945="Vente directe",K1945&lt;&gt;""),"Livrée",IF(J1945&lt;&gt;"","Confirmée","En attente"))))</f>
        <v/>
      </c>
      <c r="S1945" s="34">
        <f>IF(F1945="","",IFERROR(VLOOKUP(F1945,T_Produits,2,FALSE),""))</f>
        <v/>
      </c>
      <c r="T1945" s="40">
        <f>IF(F1945="","",IFERROR(1/(1/VLOOKUP(F1945,T_Produits,3,FALSE)),""))</f>
        <v/>
      </c>
      <c r="U1945" s="40">
        <f>IF(H1945&lt;&gt;"",H1945,T1945)</f>
        <v/>
      </c>
      <c r="V1945" s="40">
        <f>IF(OR(G1945="",U1945=""),"",G1945*U1945-N(I1945))</f>
        <v/>
      </c>
      <c r="W1945" s="39">
        <f>IF(D1945="","",IFERROR(VALUE(MID(D1945,LEN(D1945)-3,3)),""))</f>
        <v/>
      </c>
      <c r="X1945" s="33">
        <f>IF(W1945="","",P1945&amp;"|"&amp;W1945)</f>
        <v/>
      </c>
      <c r="Y1945" s="33">
        <f>IF(W1945="","",IF(P1945="À RENSEIGNER","GIC",P1945)&amp;"-"&amp;TEXT(W1945,"000"))</f>
        <v/>
      </c>
      <c r="Z1945" s="33">
        <f>IF(X1945="","",IFERROR(INDEX(Cl_nom,MATCH(X1945,Cl_cle,0)),"(client introuvable)"))</f>
        <v/>
      </c>
      <c r="AA1945" s="33">
        <f>IF(X1945="","",IFERROR(INDEX(Cl_quartier,MATCH(X1945,Cl_cle,0))&amp;"",""))</f>
        <v/>
      </c>
      <c r="AB1945" s="45">
        <f>IF(R1945&lt;&gt;"Livrée",0,IF(K1945&lt;&gt;"",K1945,C1945))</f>
        <v/>
      </c>
      <c r="AC1945" s="33">
        <f>IF(OR(C1945="",W1945=""),"",P1945&amp;"|"&amp;W1945&amp;"|"&amp;C1945&amp;"|"&amp;E1945)</f>
        <v/>
      </c>
      <c r="AD1945" s="39">
        <f>IF(AC1945="","",IF(COUNTIF(AC$6:AC1945,AC1945)=1,1,0))</f>
        <v/>
      </c>
      <c r="AE1945" s="39">
        <f>IF(AB1945=0,"",IF(COUNTIFS(X$6:X1945,X1945,AB$6:AB1945,AB1945)=1,1,0))</f>
        <v/>
      </c>
      <c r="AF1945" s="34">
        <f>IF(C1945="","",YEAR(C1945-WEEKDAY(C1945,2)+4)&amp;"-S"&amp;TEXT(INT((C1945-DATE(YEAR(C1945-WEEKDAY(C1945,2)+4),1,3)+WEEKDAY(DATE(YEAR(C1945-WEEKDAY(C1945,2)+4),1,3),2)+5)/7),"00"))</f>
        <v/>
      </c>
    </row>
    <row r="1946" ht="18" customHeight="1">
      <c r="A1946" s="39" t="n">
        <v>1941</v>
      </c>
      <c r="B1946" s="33">
        <f>IF(C1946="","",IF(P1946="À RENSEIGNER","GIC",P1946)&amp;"-C"&amp;TEXT(A1946,"00000"))</f>
        <v/>
      </c>
      <c r="C1946" s="32" t="n"/>
      <c r="D1946" s="36" t="n"/>
      <c r="E1946" s="36" t="n"/>
      <c r="F1946" s="36" t="n"/>
      <c r="G1946" s="42" t="n"/>
      <c r="H1946" s="37" t="n"/>
      <c r="I1946" s="37" t="n"/>
      <c r="J1946" s="32" t="n"/>
      <c r="K1946" s="32" t="n"/>
      <c r="L1946" s="43" t="n"/>
      <c r="M1946" s="36" t="n"/>
      <c r="N1946" s="44" t="n"/>
      <c r="O1946" s="36" t="n"/>
      <c r="P1946" s="33">
        <f>IF(C1946="","",Commercial_Id)</f>
        <v/>
      </c>
      <c r="Q1946" s="34">
        <f>IF(AC1946="","",IF(AD1946=1,"C"&amp;TEXT(SUM(AD$6:AD1946),"0000"),INDEX(Q$6:Q1945,MATCH(AC1946,AC$6:AC1945,0))))</f>
        <v/>
      </c>
      <c r="R1946" s="34">
        <f>IF(C1946="","",IF(L1946="☑ Oui","Annulée",IF(OR(E1946="Vente directe",K1946&lt;&gt;""),"Livrée",IF(J1946&lt;&gt;"","Confirmée","En attente"))))</f>
        <v/>
      </c>
      <c r="S1946" s="34">
        <f>IF(F1946="","",IFERROR(VLOOKUP(F1946,T_Produits,2,FALSE),""))</f>
        <v/>
      </c>
      <c r="T1946" s="40">
        <f>IF(F1946="","",IFERROR(1/(1/VLOOKUP(F1946,T_Produits,3,FALSE)),""))</f>
        <v/>
      </c>
      <c r="U1946" s="40">
        <f>IF(H1946&lt;&gt;"",H1946,T1946)</f>
        <v/>
      </c>
      <c r="V1946" s="40">
        <f>IF(OR(G1946="",U1946=""),"",G1946*U1946-N(I1946))</f>
        <v/>
      </c>
      <c r="W1946" s="39">
        <f>IF(D1946="","",IFERROR(VALUE(MID(D1946,LEN(D1946)-3,3)),""))</f>
        <v/>
      </c>
      <c r="X1946" s="33">
        <f>IF(W1946="","",P1946&amp;"|"&amp;W1946)</f>
        <v/>
      </c>
      <c r="Y1946" s="33">
        <f>IF(W1946="","",IF(P1946="À RENSEIGNER","GIC",P1946)&amp;"-"&amp;TEXT(W1946,"000"))</f>
        <v/>
      </c>
      <c r="Z1946" s="33">
        <f>IF(X1946="","",IFERROR(INDEX(Cl_nom,MATCH(X1946,Cl_cle,0)),"(client introuvable)"))</f>
        <v/>
      </c>
      <c r="AA1946" s="33">
        <f>IF(X1946="","",IFERROR(INDEX(Cl_quartier,MATCH(X1946,Cl_cle,0))&amp;"",""))</f>
        <v/>
      </c>
      <c r="AB1946" s="45">
        <f>IF(R1946&lt;&gt;"Livrée",0,IF(K1946&lt;&gt;"",K1946,C1946))</f>
        <v/>
      </c>
      <c r="AC1946" s="33">
        <f>IF(OR(C1946="",W1946=""),"",P1946&amp;"|"&amp;W1946&amp;"|"&amp;C1946&amp;"|"&amp;E1946)</f>
        <v/>
      </c>
      <c r="AD1946" s="39">
        <f>IF(AC1946="","",IF(COUNTIF(AC$6:AC1946,AC1946)=1,1,0))</f>
        <v/>
      </c>
      <c r="AE1946" s="39">
        <f>IF(AB1946=0,"",IF(COUNTIFS(X$6:X1946,X1946,AB$6:AB1946,AB1946)=1,1,0))</f>
        <v/>
      </c>
      <c r="AF1946" s="34">
        <f>IF(C1946="","",YEAR(C1946-WEEKDAY(C1946,2)+4)&amp;"-S"&amp;TEXT(INT((C1946-DATE(YEAR(C1946-WEEKDAY(C1946,2)+4),1,3)+WEEKDAY(DATE(YEAR(C1946-WEEKDAY(C1946,2)+4),1,3),2)+5)/7),"00"))</f>
        <v/>
      </c>
    </row>
    <row r="1947" ht="18" customHeight="1">
      <c r="A1947" s="39" t="n">
        <v>1942</v>
      </c>
      <c r="B1947" s="33">
        <f>IF(C1947="","",IF(P1947="À RENSEIGNER","GIC",P1947)&amp;"-C"&amp;TEXT(A1947,"00000"))</f>
        <v/>
      </c>
      <c r="C1947" s="32" t="n"/>
      <c r="D1947" s="36" t="n"/>
      <c r="E1947" s="36" t="n"/>
      <c r="F1947" s="36" t="n"/>
      <c r="G1947" s="42" t="n"/>
      <c r="H1947" s="37" t="n"/>
      <c r="I1947" s="37" t="n"/>
      <c r="J1947" s="32" t="n"/>
      <c r="K1947" s="32" t="n"/>
      <c r="L1947" s="43" t="n"/>
      <c r="M1947" s="36" t="n"/>
      <c r="N1947" s="44" t="n"/>
      <c r="O1947" s="36" t="n"/>
      <c r="P1947" s="33">
        <f>IF(C1947="","",Commercial_Id)</f>
        <v/>
      </c>
      <c r="Q1947" s="34">
        <f>IF(AC1947="","",IF(AD1947=1,"C"&amp;TEXT(SUM(AD$6:AD1947),"0000"),INDEX(Q$6:Q1946,MATCH(AC1947,AC$6:AC1946,0))))</f>
        <v/>
      </c>
      <c r="R1947" s="34">
        <f>IF(C1947="","",IF(L1947="☑ Oui","Annulée",IF(OR(E1947="Vente directe",K1947&lt;&gt;""),"Livrée",IF(J1947&lt;&gt;"","Confirmée","En attente"))))</f>
        <v/>
      </c>
      <c r="S1947" s="34">
        <f>IF(F1947="","",IFERROR(VLOOKUP(F1947,T_Produits,2,FALSE),""))</f>
        <v/>
      </c>
      <c r="T1947" s="40">
        <f>IF(F1947="","",IFERROR(1/(1/VLOOKUP(F1947,T_Produits,3,FALSE)),""))</f>
        <v/>
      </c>
      <c r="U1947" s="40">
        <f>IF(H1947&lt;&gt;"",H1947,T1947)</f>
        <v/>
      </c>
      <c r="V1947" s="40">
        <f>IF(OR(G1947="",U1947=""),"",G1947*U1947-N(I1947))</f>
        <v/>
      </c>
      <c r="W1947" s="39">
        <f>IF(D1947="","",IFERROR(VALUE(MID(D1947,LEN(D1947)-3,3)),""))</f>
        <v/>
      </c>
      <c r="X1947" s="33">
        <f>IF(W1947="","",P1947&amp;"|"&amp;W1947)</f>
        <v/>
      </c>
      <c r="Y1947" s="33">
        <f>IF(W1947="","",IF(P1947="À RENSEIGNER","GIC",P1947)&amp;"-"&amp;TEXT(W1947,"000"))</f>
        <v/>
      </c>
      <c r="Z1947" s="33">
        <f>IF(X1947="","",IFERROR(INDEX(Cl_nom,MATCH(X1947,Cl_cle,0)),"(client introuvable)"))</f>
        <v/>
      </c>
      <c r="AA1947" s="33">
        <f>IF(X1947="","",IFERROR(INDEX(Cl_quartier,MATCH(X1947,Cl_cle,0))&amp;"",""))</f>
        <v/>
      </c>
      <c r="AB1947" s="45">
        <f>IF(R1947&lt;&gt;"Livrée",0,IF(K1947&lt;&gt;"",K1947,C1947))</f>
        <v/>
      </c>
      <c r="AC1947" s="33">
        <f>IF(OR(C1947="",W1947=""),"",P1947&amp;"|"&amp;W1947&amp;"|"&amp;C1947&amp;"|"&amp;E1947)</f>
        <v/>
      </c>
      <c r="AD1947" s="39">
        <f>IF(AC1947="","",IF(COUNTIF(AC$6:AC1947,AC1947)=1,1,0))</f>
        <v/>
      </c>
      <c r="AE1947" s="39">
        <f>IF(AB1947=0,"",IF(COUNTIFS(X$6:X1947,X1947,AB$6:AB1947,AB1947)=1,1,0))</f>
        <v/>
      </c>
      <c r="AF1947" s="34">
        <f>IF(C1947="","",YEAR(C1947-WEEKDAY(C1947,2)+4)&amp;"-S"&amp;TEXT(INT((C1947-DATE(YEAR(C1947-WEEKDAY(C1947,2)+4),1,3)+WEEKDAY(DATE(YEAR(C1947-WEEKDAY(C1947,2)+4),1,3),2)+5)/7),"00"))</f>
        <v/>
      </c>
    </row>
    <row r="1948" ht="18" customHeight="1">
      <c r="A1948" s="39" t="n">
        <v>1943</v>
      </c>
      <c r="B1948" s="33">
        <f>IF(C1948="","",IF(P1948="À RENSEIGNER","GIC",P1948)&amp;"-C"&amp;TEXT(A1948,"00000"))</f>
        <v/>
      </c>
      <c r="C1948" s="32" t="n"/>
      <c r="D1948" s="36" t="n"/>
      <c r="E1948" s="36" t="n"/>
      <c r="F1948" s="36" t="n"/>
      <c r="G1948" s="42" t="n"/>
      <c r="H1948" s="37" t="n"/>
      <c r="I1948" s="37" t="n"/>
      <c r="J1948" s="32" t="n"/>
      <c r="K1948" s="32" t="n"/>
      <c r="L1948" s="43" t="n"/>
      <c r="M1948" s="36" t="n"/>
      <c r="N1948" s="44" t="n"/>
      <c r="O1948" s="36" t="n"/>
      <c r="P1948" s="33">
        <f>IF(C1948="","",Commercial_Id)</f>
        <v/>
      </c>
      <c r="Q1948" s="34">
        <f>IF(AC1948="","",IF(AD1948=1,"C"&amp;TEXT(SUM(AD$6:AD1948),"0000"),INDEX(Q$6:Q1947,MATCH(AC1948,AC$6:AC1947,0))))</f>
        <v/>
      </c>
      <c r="R1948" s="34">
        <f>IF(C1948="","",IF(L1948="☑ Oui","Annulée",IF(OR(E1948="Vente directe",K1948&lt;&gt;""),"Livrée",IF(J1948&lt;&gt;"","Confirmée","En attente"))))</f>
        <v/>
      </c>
      <c r="S1948" s="34">
        <f>IF(F1948="","",IFERROR(VLOOKUP(F1948,T_Produits,2,FALSE),""))</f>
        <v/>
      </c>
      <c r="T1948" s="40">
        <f>IF(F1948="","",IFERROR(1/(1/VLOOKUP(F1948,T_Produits,3,FALSE)),""))</f>
        <v/>
      </c>
      <c r="U1948" s="40">
        <f>IF(H1948&lt;&gt;"",H1948,T1948)</f>
        <v/>
      </c>
      <c r="V1948" s="40">
        <f>IF(OR(G1948="",U1948=""),"",G1948*U1948-N(I1948))</f>
        <v/>
      </c>
      <c r="W1948" s="39">
        <f>IF(D1948="","",IFERROR(VALUE(MID(D1948,LEN(D1948)-3,3)),""))</f>
        <v/>
      </c>
      <c r="X1948" s="33">
        <f>IF(W1948="","",P1948&amp;"|"&amp;W1948)</f>
        <v/>
      </c>
      <c r="Y1948" s="33">
        <f>IF(W1948="","",IF(P1948="À RENSEIGNER","GIC",P1948)&amp;"-"&amp;TEXT(W1948,"000"))</f>
        <v/>
      </c>
      <c r="Z1948" s="33">
        <f>IF(X1948="","",IFERROR(INDEX(Cl_nom,MATCH(X1948,Cl_cle,0)),"(client introuvable)"))</f>
        <v/>
      </c>
      <c r="AA1948" s="33">
        <f>IF(X1948="","",IFERROR(INDEX(Cl_quartier,MATCH(X1948,Cl_cle,0))&amp;"",""))</f>
        <v/>
      </c>
      <c r="AB1948" s="45">
        <f>IF(R1948&lt;&gt;"Livrée",0,IF(K1948&lt;&gt;"",K1948,C1948))</f>
        <v/>
      </c>
      <c r="AC1948" s="33">
        <f>IF(OR(C1948="",W1948=""),"",P1948&amp;"|"&amp;W1948&amp;"|"&amp;C1948&amp;"|"&amp;E1948)</f>
        <v/>
      </c>
      <c r="AD1948" s="39">
        <f>IF(AC1948="","",IF(COUNTIF(AC$6:AC1948,AC1948)=1,1,0))</f>
        <v/>
      </c>
      <c r="AE1948" s="39">
        <f>IF(AB1948=0,"",IF(COUNTIFS(X$6:X1948,X1948,AB$6:AB1948,AB1948)=1,1,0))</f>
        <v/>
      </c>
      <c r="AF1948" s="34">
        <f>IF(C1948="","",YEAR(C1948-WEEKDAY(C1948,2)+4)&amp;"-S"&amp;TEXT(INT((C1948-DATE(YEAR(C1948-WEEKDAY(C1948,2)+4),1,3)+WEEKDAY(DATE(YEAR(C1948-WEEKDAY(C1948,2)+4),1,3),2)+5)/7),"00"))</f>
        <v/>
      </c>
    </row>
    <row r="1949" ht="18" customHeight="1">
      <c r="A1949" s="39" t="n">
        <v>1944</v>
      </c>
      <c r="B1949" s="33">
        <f>IF(C1949="","",IF(P1949="À RENSEIGNER","GIC",P1949)&amp;"-C"&amp;TEXT(A1949,"00000"))</f>
        <v/>
      </c>
      <c r="C1949" s="32" t="n"/>
      <c r="D1949" s="36" t="n"/>
      <c r="E1949" s="36" t="n"/>
      <c r="F1949" s="36" t="n"/>
      <c r="G1949" s="42" t="n"/>
      <c r="H1949" s="37" t="n"/>
      <c r="I1949" s="37" t="n"/>
      <c r="J1949" s="32" t="n"/>
      <c r="K1949" s="32" t="n"/>
      <c r="L1949" s="43" t="n"/>
      <c r="M1949" s="36" t="n"/>
      <c r="N1949" s="44" t="n"/>
      <c r="O1949" s="36" t="n"/>
      <c r="P1949" s="33">
        <f>IF(C1949="","",Commercial_Id)</f>
        <v/>
      </c>
      <c r="Q1949" s="34">
        <f>IF(AC1949="","",IF(AD1949=1,"C"&amp;TEXT(SUM(AD$6:AD1949),"0000"),INDEX(Q$6:Q1948,MATCH(AC1949,AC$6:AC1948,0))))</f>
        <v/>
      </c>
      <c r="R1949" s="34">
        <f>IF(C1949="","",IF(L1949="☑ Oui","Annulée",IF(OR(E1949="Vente directe",K1949&lt;&gt;""),"Livrée",IF(J1949&lt;&gt;"","Confirmée","En attente"))))</f>
        <v/>
      </c>
      <c r="S1949" s="34">
        <f>IF(F1949="","",IFERROR(VLOOKUP(F1949,T_Produits,2,FALSE),""))</f>
        <v/>
      </c>
      <c r="T1949" s="40">
        <f>IF(F1949="","",IFERROR(1/(1/VLOOKUP(F1949,T_Produits,3,FALSE)),""))</f>
        <v/>
      </c>
      <c r="U1949" s="40">
        <f>IF(H1949&lt;&gt;"",H1949,T1949)</f>
        <v/>
      </c>
      <c r="V1949" s="40">
        <f>IF(OR(G1949="",U1949=""),"",G1949*U1949-N(I1949))</f>
        <v/>
      </c>
      <c r="W1949" s="39">
        <f>IF(D1949="","",IFERROR(VALUE(MID(D1949,LEN(D1949)-3,3)),""))</f>
        <v/>
      </c>
      <c r="X1949" s="33">
        <f>IF(W1949="","",P1949&amp;"|"&amp;W1949)</f>
        <v/>
      </c>
      <c r="Y1949" s="33">
        <f>IF(W1949="","",IF(P1949="À RENSEIGNER","GIC",P1949)&amp;"-"&amp;TEXT(W1949,"000"))</f>
        <v/>
      </c>
      <c r="Z1949" s="33">
        <f>IF(X1949="","",IFERROR(INDEX(Cl_nom,MATCH(X1949,Cl_cle,0)),"(client introuvable)"))</f>
        <v/>
      </c>
      <c r="AA1949" s="33">
        <f>IF(X1949="","",IFERROR(INDEX(Cl_quartier,MATCH(X1949,Cl_cle,0))&amp;"",""))</f>
        <v/>
      </c>
      <c r="AB1949" s="45">
        <f>IF(R1949&lt;&gt;"Livrée",0,IF(K1949&lt;&gt;"",K1949,C1949))</f>
        <v/>
      </c>
      <c r="AC1949" s="33">
        <f>IF(OR(C1949="",W1949=""),"",P1949&amp;"|"&amp;W1949&amp;"|"&amp;C1949&amp;"|"&amp;E1949)</f>
        <v/>
      </c>
      <c r="AD1949" s="39">
        <f>IF(AC1949="","",IF(COUNTIF(AC$6:AC1949,AC1949)=1,1,0))</f>
        <v/>
      </c>
      <c r="AE1949" s="39">
        <f>IF(AB1949=0,"",IF(COUNTIFS(X$6:X1949,X1949,AB$6:AB1949,AB1949)=1,1,0))</f>
        <v/>
      </c>
      <c r="AF1949" s="34">
        <f>IF(C1949="","",YEAR(C1949-WEEKDAY(C1949,2)+4)&amp;"-S"&amp;TEXT(INT((C1949-DATE(YEAR(C1949-WEEKDAY(C1949,2)+4),1,3)+WEEKDAY(DATE(YEAR(C1949-WEEKDAY(C1949,2)+4),1,3),2)+5)/7),"00"))</f>
        <v/>
      </c>
    </row>
    <row r="1950" ht="18" customHeight="1">
      <c r="A1950" s="39" t="n">
        <v>1945</v>
      </c>
      <c r="B1950" s="33">
        <f>IF(C1950="","",IF(P1950="À RENSEIGNER","GIC",P1950)&amp;"-C"&amp;TEXT(A1950,"00000"))</f>
        <v/>
      </c>
      <c r="C1950" s="32" t="n"/>
      <c r="D1950" s="36" t="n"/>
      <c r="E1950" s="36" t="n"/>
      <c r="F1950" s="36" t="n"/>
      <c r="G1950" s="42" t="n"/>
      <c r="H1950" s="37" t="n"/>
      <c r="I1950" s="37" t="n"/>
      <c r="J1950" s="32" t="n"/>
      <c r="K1950" s="32" t="n"/>
      <c r="L1950" s="43" t="n"/>
      <c r="M1950" s="36" t="n"/>
      <c r="N1950" s="44" t="n"/>
      <c r="O1950" s="36" t="n"/>
      <c r="P1950" s="33">
        <f>IF(C1950="","",Commercial_Id)</f>
        <v/>
      </c>
      <c r="Q1950" s="34">
        <f>IF(AC1950="","",IF(AD1950=1,"C"&amp;TEXT(SUM(AD$6:AD1950),"0000"),INDEX(Q$6:Q1949,MATCH(AC1950,AC$6:AC1949,0))))</f>
        <v/>
      </c>
      <c r="R1950" s="34">
        <f>IF(C1950="","",IF(L1950="☑ Oui","Annulée",IF(OR(E1950="Vente directe",K1950&lt;&gt;""),"Livrée",IF(J1950&lt;&gt;"","Confirmée","En attente"))))</f>
        <v/>
      </c>
      <c r="S1950" s="34">
        <f>IF(F1950="","",IFERROR(VLOOKUP(F1950,T_Produits,2,FALSE),""))</f>
        <v/>
      </c>
      <c r="T1950" s="40">
        <f>IF(F1950="","",IFERROR(1/(1/VLOOKUP(F1950,T_Produits,3,FALSE)),""))</f>
        <v/>
      </c>
      <c r="U1950" s="40">
        <f>IF(H1950&lt;&gt;"",H1950,T1950)</f>
        <v/>
      </c>
      <c r="V1950" s="40">
        <f>IF(OR(G1950="",U1950=""),"",G1950*U1950-N(I1950))</f>
        <v/>
      </c>
      <c r="W1950" s="39">
        <f>IF(D1950="","",IFERROR(VALUE(MID(D1950,LEN(D1950)-3,3)),""))</f>
        <v/>
      </c>
      <c r="X1950" s="33">
        <f>IF(W1950="","",P1950&amp;"|"&amp;W1950)</f>
        <v/>
      </c>
      <c r="Y1950" s="33">
        <f>IF(W1950="","",IF(P1950="À RENSEIGNER","GIC",P1950)&amp;"-"&amp;TEXT(W1950,"000"))</f>
        <v/>
      </c>
      <c r="Z1950" s="33">
        <f>IF(X1950="","",IFERROR(INDEX(Cl_nom,MATCH(X1950,Cl_cle,0)),"(client introuvable)"))</f>
        <v/>
      </c>
      <c r="AA1950" s="33">
        <f>IF(X1950="","",IFERROR(INDEX(Cl_quartier,MATCH(X1950,Cl_cle,0))&amp;"",""))</f>
        <v/>
      </c>
      <c r="AB1950" s="45">
        <f>IF(R1950&lt;&gt;"Livrée",0,IF(K1950&lt;&gt;"",K1950,C1950))</f>
        <v/>
      </c>
      <c r="AC1950" s="33">
        <f>IF(OR(C1950="",W1950=""),"",P1950&amp;"|"&amp;W1950&amp;"|"&amp;C1950&amp;"|"&amp;E1950)</f>
        <v/>
      </c>
      <c r="AD1950" s="39">
        <f>IF(AC1950="","",IF(COUNTIF(AC$6:AC1950,AC1950)=1,1,0))</f>
        <v/>
      </c>
      <c r="AE1950" s="39">
        <f>IF(AB1950=0,"",IF(COUNTIFS(X$6:X1950,X1950,AB$6:AB1950,AB1950)=1,1,0))</f>
        <v/>
      </c>
      <c r="AF1950" s="34">
        <f>IF(C1950="","",YEAR(C1950-WEEKDAY(C1950,2)+4)&amp;"-S"&amp;TEXT(INT((C1950-DATE(YEAR(C1950-WEEKDAY(C1950,2)+4),1,3)+WEEKDAY(DATE(YEAR(C1950-WEEKDAY(C1950,2)+4),1,3),2)+5)/7),"00"))</f>
        <v/>
      </c>
    </row>
    <row r="1951" ht="18" customHeight="1">
      <c r="A1951" s="39" t="n">
        <v>1946</v>
      </c>
      <c r="B1951" s="33">
        <f>IF(C1951="","",IF(P1951="À RENSEIGNER","GIC",P1951)&amp;"-C"&amp;TEXT(A1951,"00000"))</f>
        <v/>
      </c>
      <c r="C1951" s="32" t="n"/>
      <c r="D1951" s="36" t="n"/>
      <c r="E1951" s="36" t="n"/>
      <c r="F1951" s="36" t="n"/>
      <c r="G1951" s="42" t="n"/>
      <c r="H1951" s="37" t="n"/>
      <c r="I1951" s="37" t="n"/>
      <c r="J1951" s="32" t="n"/>
      <c r="K1951" s="32" t="n"/>
      <c r="L1951" s="43" t="n"/>
      <c r="M1951" s="36" t="n"/>
      <c r="N1951" s="44" t="n"/>
      <c r="O1951" s="36" t="n"/>
      <c r="P1951" s="33">
        <f>IF(C1951="","",Commercial_Id)</f>
        <v/>
      </c>
      <c r="Q1951" s="34">
        <f>IF(AC1951="","",IF(AD1951=1,"C"&amp;TEXT(SUM(AD$6:AD1951),"0000"),INDEX(Q$6:Q1950,MATCH(AC1951,AC$6:AC1950,0))))</f>
        <v/>
      </c>
      <c r="R1951" s="34">
        <f>IF(C1951="","",IF(L1951="☑ Oui","Annulée",IF(OR(E1951="Vente directe",K1951&lt;&gt;""),"Livrée",IF(J1951&lt;&gt;"","Confirmée","En attente"))))</f>
        <v/>
      </c>
      <c r="S1951" s="34">
        <f>IF(F1951="","",IFERROR(VLOOKUP(F1951,T_Produits,2,FALSE),""))</f>
        <v/>
      </c>
      <c r="T1951" s="40">
        <f>IF(F1951="","",IFERROR(1/(1/VLOOKUP(F1951,T_Produits,3,FALSE)),""))</f>
        <v/>
      </c>
      <c r="U1951" s="40">
        <f>IF(H1951&lt;&gt;"",H1951,T1951)</f>
        <v/>
      </c>
      <c r="V1951" s="40">
        <f>IF(OR(G1951="",U1951=""),"",G1951*U1951-N(I1951))</f>
        <v/>
      </c>
      <c r="W1951" s="39">
        <f>IF(D1951="","",IFERROR(VALUE(MID(D1951,LEN(D1951)-3,3)),""))</f>
        <v/>
      </c>
      <c r="X1951" s="33">
        <f>IF(W1951="","",P1951&amp;"|"&amp;W1951)</f>
        <v/>
      </c>
      <c r="Y1951" s="33">
        <f>IF(W1951="","",IF(P1951="À RENSEIGNER","GIC",P1951)&amp;"-"&amp;TEXT(W1951,"000"))</f>
        <v/>
      </c>
      <c r="Z1951" s="33">
        <f>IF(X1951="","",IFERROR(INDEX(Cl_nom,MATCH(X1951,Cl_cle,0)),"(client introuvable)"))</f>
        <v/>
      </c>
      <c r="AA1951" s="33">
        <f>IF(X1951="","",IFERROR(INDEX(Cl_quartier,MATCH(X1951,Cl_cle,0))&amp;"",""))</f>
        <v/>
      </c>
      <c r="AB1951" s="45">
        <f>IF(R1951&lt;&gt;"Livrée",0,IF(K1951&lt;&gt;"",K1951,C1951))</f>
        <v/>
      </c>
      <c r="AC1951" s="33">
        <f>IF(OR(C1951="",W1951=""),"",P1951&amp;"|"&amp;W1951&amp;"|"&amp;C1951&amp;"|"&amp;E1951)</f>
        <v/>
      </c>
      <c r="AD1951" s="39">
        <f>IF(AC1951="","",IF(COUNTIF(AC$6:AC1951,AC1951)=1,1,0))</f>
        <v/>
      </c>
      <c r="AE1951" s="39">
        <f>IF(AB1951=0,"",IF(COUNTIFS(X$6:X1951,X1951,AB$6:AB1951,AB1951)=1,1,0))</f>
        <v/>
      </c>
      <c r="AF1951" s="34">
        <f>IF(C1951="","",YEAR(C1951-WEEKDAY(C1951,2)+4)&amp;"-S"&amp;TEXT(INT((C1951-DATE(YEAR(C1951-WEEKDAY(C1951,2)+4),1,3)+WEEKDAY(DATE(YEAR(C1951-WEEKDAY(C1951,2)+4),1,3),2)+5)/7),"00"))</f>
        <v/>
      </c>
    </row>
    <row r="1952" ht="18" customHeight="1">
      <c r="A1952" s="39" t="n">
        <v>1947</v>
      </c>
      <c r="B1952" s="33">
        <f>IF(C1952="","",IF(P1952="À RENSEIGNER","GIC",P1952)&amp;"-C"&amp;TEXT(A1952,"00000"))</f>
        <v/>
      </c>
      <c r="C1952" s="32" t="n"/>
      <c r="D1952" s="36" t="n"/>
      <c r="E1952" s="36" t="n"/>
      <c r="F1952" s="36" t="n"/>
      <c r="G1952" s="42" t="n"/>
      <c r="H1952" s="37" t="n"/>
      <c r="I1952" s="37" t="n"/>
      <c r="J1952" s="32" t="n"/>
      <c r="K1952" s="32" t="n"/>
      <c r="L1952" s="43" t="n"/>
      <c r="M1952" s="36" t="n"/>
      <c r="N1952" s="44" t="n"/>
      <c r="O1952" s="36" t="n"/>
      <c r="P1952" s="33">
        <f>IF(C1952="","",Commercial_Id)</f>
        <v/>
      </c>
      <c r="Q1952" s="34">
        <f>IF(AC1952="","",IF(AD1952=1,"C"&amp;TEXT(SUM(AD$6:AD1952),"0000"),INDEX(Q$6:Q1951,MATCH(AC1952,AC$6:AC1951,0))))</f>
        <v/>
      </c>
      <c r="R1952" s="34">
        <f>IF(C1952="","",IF(L1952="☑ Oui","Annulée",IF(OR(E1952="Vente directe",K1952&lt;&gt;""),"Livrée",IF(J1952&lt;&gt;"","Confirmée","En attente"))))</f>
        <v/>
      </c>
      <c r="S1952" s="34">
        <f>IF(F1952="","",IFERROR(VLOOKUP(F1952,T_Produits,2,FALSE),""))</f>
        <v/>
      </c>
      <c r="T1952" s="40">
        <f>IF(F1952="","",IFERROR(1/(1/VLOOKUP(F1952,T_Produits,3,FALSE)),""))</f>
        <v/>
      </c>
      <c r="U1952" s="40">
        <f>IF(H1952&lt;&gt;"",H1952,T1952)</f>
        <v/>
      </c>
      <c r="V1952" s="40">
        <f>IF(OR(G1952="",U1952=""),"",G1952*U1952-N(I1952))</f>
        <v/>
      </c>
      <c r="W1952" s="39">
        <f>IF(D1952="","",IFERROR(VALUE(MID(D1952,LEN(D1952)-3,3)),""))</f>
        <v/>
      </c>
      <c r="X1952" s="33">
        <f>IF(W1952="","",P1952&amp;"|"&amp;W1952)</f>
        <v/>
      </c>
      <c r="Y1952" s="33">
        <f>IF(W1952="","",IF(P1952="À RENSEIGNER","GIC",P1952)&amp;"-"&amp;TEXT(W1952,"000"))</f>
        <v/>
      </c>
      <c r="Z1952" s="33">
        <f>IF(X1952="","",IFERROR(INDEX(Cl_nom,MATCH(X1952,Cl_cle,0)),"(client introuvable)"))</f>
        <v/>
      </c>
      <c r="AA1952" s="33">
        <f>IF(X1952="","",IFERROR(INDEX(Cl_quartier,MATCH(X1952,Cl_cle,0))&amp;"",""))</f>
        <v/>
      </c>
      <c r="AB1952" s="45">
        <f>IF(R1952&lt;&gt;"Livrée",0,IF(K1952&lt;&gt;"",K1952,C1952))</f>
        <v/>
      </c>
      <c r="AC1952" s="33">
        <f>IF(OR(C1952="",W1952=""),"",P1952&amp;"|"&amp;W1952&amp;"|"&amp;C1952&amp;"|"&amp;E1952)</f>
        <v/>
      </c>
      <c r="AD1952" s="39">
        <f>IF(AC1952="","",IF(COUNTIF(AC$6:AC1952,AC1952)=1,1,0))</f>
        <v/>
      </c>
      <c r="AE1952" s="39">
        <f>IF(AB1952=0,"",IF(COUNTIFS(X$6:X1952,X1952,AB$6:AB1952,AB1952)=1,1,0))</f>
        <v/>
      </c>
      <c r="AF1952" s="34">
        <f>IF(C1952="","",YEAR(C1952-WEEKDAY(C1952,2)+4)&amp;"-S"&amp;TEXT(INT((C1952-DATE(YEAR(C1952-WEEKDAY(C1952,2)+4),1,3)+WEEKDAY(DATE(YEAR(C1952-WEEKDAY(C1952,2)+4),1,3),2)+5)/7),"00"))</f>
        <v/>
      </c>
    </row>
    <row r="1953" ht="18" customHeight="1">
      <c r="A1953" s="39" t="n">
        <v>1948</v>
      </c>
      <c r="B1953" s="33">
        <f>IF(C1953="","",IF(P1953="À RENSEIGNER","GIC",P1953)&amp;"-C"&amp;TEXT(A1953,"00000"))</f>
        <v/>
      </c>
      <c r="C1953" s="32" t="n"/>
      <c r="D1953" s="36" t="n"/>
      <c r="E1953" s="36" t="n"/>
      <c r="F1953" s="36" t="n"/>
      <c r="G1953" s="42" t="n"/>
      <c r="H1953" s="37" t="n"/>
      <c r="I1953" s="37" t="n"/>
      <c r="J1953" s="32" t="n"/>
      <c r="K1953" s="32" t="n"/>
      <c r="L1953" s="43" t="n"/>
      <c r="M1953" s="36" t="n"/>
      <c r="N1953" s="44" t="n"/>
      <c r="O1953" s="36" t="n"/>
      <c r="P1953" s="33">
        <f>IF(C1953="","",Commercial_Id)</f>
        <v/>
      </c>
      <c r="Q1953" s="34">
        <f>IF(AC1953="","",IF(AD1953=1,"C"&amp;TEXT(SUM(AD$6:AD1953),"0000"),INDEX(Q$6:Q1952,MATCH(AC1953,AC$6:AC1952,0))))</f>
        <v/>
      </c>
      <c r="R1953" s="34">
        <f>IF(C1953="","",IF(L1953="☑ Oui","Annulée",IF(OR(E1953="Vente directe",K1953&lt;&gt;""),"Livrée",IF(J1953&lt;&gt;"","Confirmée","En attente"))))</f>
        <v/>
      </c>
      <c r="S1953" s="34">
        <f>IF(F1953="","",IFERROR(VLOOKUP(F1953,T_Produits,2,FALSE),""))</f>
        <v/>
      </c>
      <c r="T1953" s="40">
        <f>IF(F1953="","",IFERROR(1/(1/VLOOKUP(F1953,T_Produits,3,FALSE)),""))</f>
        <v/>
      </c>
      <c r="U1953" s="40">
        <f>IF(H1953&lt;&gt;"",H1953,T1953)</f>
        <v/>
      </c>
      <c r="V1953" s="40">
        <f>IF(OR(G1953="",U1953=""),"",G1953*U1953-N(I1953))</f>
        <v/>
      </c>
      <c r="W1953" s="39">
        <f>IF(D1953="","",IFERROR(VALUE(MID(D1953,LEN(D1953)-3,3)),""))</f>
        <v/>
      </c>
      <c r="X1953" s="33">
        <f>IF(W1953="","",P1953&amp;"|"&amp;W1953)</f>
        <v/>
      </c>
      <c r="Y1953" s="33">
        <f>IF(W1953="","",IF(P1953="À RENSEIGNER","GIC",P1953)&amp;"-"&amp;TEXT(W1953,"000"))</f>
        <v/>
      </c>
      <c r="Z1953" s="33">
        <f>IF(X1953="","",IFERROR(INDEX(Cl_nom,MATCH(X1953,Cl_cle,0)),"(client introuvable)"))</f>
        <v/>
      </c>
      <c r="AA1953" s="33">
        <f>IF(X1953="","",IFERROR(INDEX(Cl_quartier,MATCH(X1953,Cl_cle,0))&amp;"",""))</f>
        <v/>
      </c>
      <c r="AB1953" s="45">
        <f>IF(R1953&lt;&gt;"Livrée",0,IF(K1953&lt;&gt;"",K1953,C1953))</f>
        <v/>
      </c>
      <c r="AC1953" s="33">
        <f>IF(OR(C1953="",W1953=""),"",P1953&amp;"|"&amp;W1953&amp;"|"&amp;C1953&amp;"|"&amp;E1953)</f>
        <v/>
      </c>
      <c r="AD1953" s="39">
        <f>IF(AC1953="","",IF(COUNTIF(AC$6:AC1953,AC1953)=1,1,0))</f>
        <v/>
      </c>
      <c r="AE1953" s="39">
        <f>IF(AB1953=0,"",IF(COUNTIFS(X$6:X1953,X1953,AB$6:AB1953,AB1953)=1,1,0))</f>
        <v/>
      </c>
      <c r="AF1953" s="34">
        <f>IF(C1953="","",YEAR(C1953-WEEKDAY(C1953,2)+4)&amp;"-S"&amp;TEXT(INT((C1953-DATE(YEAR(C1953-WEEKDAY(C1953,2)+4),1,3)+WEEKDAY(DATE(YEAR(C1953-WEEKDAY(C1953,2)+4),1,3),2)+5)/7),"00"))</f>
        <v/>
      </c>
    </row>
    <row r="1954" ht="18" customHeight="1">
      <c r="A1954" s="39" t="n">
        <v>1949</v>
      </c>
      <c r="B1954" s="33">
        <f>IF(C1954="","",IF(P1954="À RENSEIGNER","GIC",P1954)&amp;"-C"&amp;TEXT(A1954,"00000"))</f>
        <v/>
      </c>
      <c r="C1954" s="32" t="n"/>
      <c r="D1954" s="36" t="n"/>
      <c r="E1954" s="36" t="n"/>
      <c r="F1954" s="36" t="n"/>
      <c r="G1954" s="42" t="n"/>
      <c r="H1954" s="37" t="n"/>
      <c r="I1954" s="37" t="n"/>
      <c r="J1954" s="32" t="n"/>
      <c r="K1954" s="32" t="n"/>
      <c r="L1954" s="43" t="n"/>
      <c r="M1954" s="36" t="n"/>
      <c r="N1954" s="44" t="n"/>
      <c r="O1954" s="36" t="n"/>
      <c r="P1954" s="33">
        <f>IF(C1954="","",Commercial_Id)</f>
        <v/>
      </c>
      <c r="Q1954" s="34">
        <f>IF(AC1954="","",IF(AD1954=1,"C"&amp;TEXT(SUM(AD$6:AD1954),"0000"),INDEX(Q$6:Q1953,MATCH(AC1954,AC$6:AC1953,0))))</f>
        <v/>
      </c>
      <c r="R1954" s="34">
        <f>IF(C1954="","",IF(L1954="☑ Oui","Annulée",IF(OR(E1954="Vente directe",K1954&lt;&gt;""),"Livrée",IF(J1954&lt;&gt;"","Confirmée","En attente"))))</f>
        <v/>
      </c>
      <c r="S1954" s="34">
        <f>IF(F1954="","",IFERROR(VLOOKUP(F1954,T_Produits,2,FALSE),""))</f>
        <v/>
      </c>
      <c r="T1954" s="40">
        <f>IF(F1954="","",IFERROR(1/(1/VLOOKUP(F1954,T_Produits,3,FALSE)),""))</f>
        <v/>
      </c>
      <c r="U1954" s="40">
        <f>IF(H1954&lt;&gt;"",H1954,T1954)</f>
        <v/>
      </c>
      <c r="V1954" s="40">
        <f>IF(OR(G1954="",U1954=""),"",G1954*U1954-N(I1954))</f>
        <v/>
      </c>
      <c r="W1954" s="39">
        <f>IF(D1954="","",IFERROR(VALUE(MID(D1954,LEN(D1954)-3,3)),""))</f>
        <v/>
      </c>
      <c r="X1954" s="33">
        <f>IF(W1954="","",P1954&amp;"|"&amp;W1954)</f>
        <v/>
      </c>
      <c r="Y1954" s="33">
        <f>IF(W1954="","",IF(P1954="À RENSEIGNER","GIC",P1954)&amp;"-"&amp;TEXT(W1954,"000"))</f>
        <v/>
      </c>
      <c r="Z1954" s="33">
        <f>IF(X1954="","",IFERROR(INDEX(Cl_nom,MATCH(X1954,Cl_cle,0)),"(client introuvable)"))</f>
        <v/>
      </c>
      <c r="AA1954" s="33">
        <f>IF(X1954="","",IFERROR(INDEX(Cl_quartier,MATCH(X1954,Cl_cle,0))&amp;"",""))</f>
        <v/>
      </c>
      <c r="AB1954" s="45">
        <f>IF(R1954&lt;&gt;"Livrée",0,IF(K1954&lt;&gt;"",K1954,C1954))</f>
        <v/>
      </c>
      <c r="AC1954" s="33">
        <f>IF(OR(C1954="",W1954=""),"",P1954&amp;"|"&amp;W1954&amp;"|"&amp;C1954&amp;"|"&amp;E1954)</f>
        <v/>
      </c>
      <c r="AD1954" s="39">
        <f>IF(AC1954="","",IF(COUNTIF(AC$6:AC1954,AC1954)=1,1,0))</f>
        <v/>
      </c>
      <c r="AE1954" s="39">
        <f>IF(AB1954=0,"",IF(COUNTIFS(X$6:X1954,X1954,AB$6:AB1954,AB1954)=1,1,0))</f>
        <v/>
      </c>
      <c r="AF1954" s="34">
        <f>IF(C1954="","",YEAR(C1954-WEEKDAY(C1954,2)+4)&amp;"-S"&amp;TEXT(INT((C1954-DATE(YEAR(C1954-WEEKDAY(C1954,2)+4),1,3)+WEEKDAY(DATE(YEAR(C1954-WEEKDAY(C1954,2)+4),1,3),2)+5)/7),"00"))</f>
        <v/>
      </c>
    </row>
    <row r="1955" ht="18" customHeight="1">
      <c r="A1955" s="39" t="n">
        <v>1950</v>
      </c>
      <c r="B1955" s="33">
        <f>IF(C1955="","",IF(P1955="À RENSEIGNER","GIC",P1955)&amp;"-C"&amp;TEXT(A1955,"00000"))</f>
        <v/>
      </c>
      <c r="C1955" s="32" t="n"/>
      <c r="D1955" s="36" t="n"/>
      <c r="E1955" s="36" t="n"/>
      <c r="F1955" s="36" t="n"/>
      <c r="G1955" s="42" t="n"/>
      <c r="H1955" s="37" t="n"/>
      <c r="I1955" s="37" t="n"/>
      <c r="J1955" s="32" t="n"/>
      <c r="K1955" s="32" t="n"/>
      <c r="L1955" s="43" t="n"/>
      <c r="M1955" s="36" t="n"/>
      <c r="N1955" s="44" t="n"/>
      <c r="O1955" s="36" t="n"/>
      <c r="P1955" s="33">
        <f>IF(C1955="","",Commercial_Id)</f>
        <v/>
      </c>
      <c r="Q1955" s="34">
        <f>IF(AC1955="","",IF(AD1955=1,"C"&amp;TEXT(SUM(AD$6:AD1955),"0000"),INDEX(Q$6:Q1954,MATCH(AC1955,AC$6:AC1954,0))))</f>
        <v/>
      </c>
      <c r="R1955" s="34">
        <f>IF(C1955="","",IF(L1955="☑ Oui","Annulée",IF(OR(E1955="Vente directe",K1955&lt;&gt;""),"Livrée",IF(J1955&lt;&gt;"","Confirmée","En attente"))))</f>
        <v/>
      </c>
      <c r="S1955" s="34">
        <f>IF(F1955="","",IFERROR(VLOOKUP(F1955,T_Produits,2,FALSE),""))</f>
        <v/>
      </c>
      <c r="T1955" s="40">
        <f>IF(F1955="","",IFERROR(1/(1/VLOOKUP(F1955,T_Produits,3,FALSE)),""))</f>
        <v/>
      </c>
      <c r="U1955" s="40">
        <f>IF(H1955&lt;&gt;"",H1955,T1955)</f>
        <v/>
      </c>
      <c r="V1955" s="40">
        <f>IF(OR(G1955="",U1955=""),"",G1955*U1955-N(I1955))</f>
        <v/>
      </c>
      <c r="W1955" s="39">
        <f>IF(D1955="","",IFERROR(VALUE(MID(D1955,LEN(D1955)-3,3)),""))</f>
        <v/>
      </c>
      <c r="X1955" s="33">
        <f>IF(W1955="","",P1955&amp;"|"&amp;W1955)</f>
        <v/>
      </c>
      <c r="Y1955" s="33">
        <f>IF(W1955="","",IF(P1955="À RENSEIGNER","GIC",P1955)&amp;"-"&amp;TEXT(W1955,"000"))</f>
        <v/>
      </c>
      <c r="Z1955" s="33">
        <f>IF(X1955="","",IFERROR(INDEX(Cl_nom,MATCH(X1955,Cl_cle,0)),"(client introuvable)"))</f>
        <v/>
      </c>
      <c r="AA1955" s="33">
        <f>IF(X1955="","",IFERROR(INDEX(Cl_quartier,MATCH(X1955,Cl_cle,0))&amp;"",""))</f>
        <v/>
      </c>
      <c r="AB1955" s="45">
        <f>IF(R1955&lt;&gt;"Livrée",0,IF(K1955&lt;&gt;"",K1955,C1955))</f>
        <v/>
      </c>
      <c r="AC1955" s="33">
        <f>IF(OR(C1955="",W1955=""),"",P1955&amp;"|"&amp;W1955&amp;"|"&amp;C1955&amp;"|"&amp;E1955)</f>
        <v/>
      </c>
      <c r="AD1955" s="39">
        <f>IF(AC1955="","",IF(COUNTIF(AC$6:AC1955,AC1955)=1,1,0))</f>
        <v/>
      </c>
      <c r="AE1955" s="39">
        <f>IF(AB1955=0,"",IF(COUNTIFS(X$6:X1955,X1955,AB$6:AB1955,AB1955)=1,1,0))</f>
        <v/>
      </c>
      <c r="AF1955" s="34">
        <f>IF(C1955="","",YEAR(C1955-WEEKDAY(C1955,2)+4)&amp;"-S"&amp;TEXT(INT((C1955-DATE(YEAR(C1955-WEEKDAY(C1955,2)+4),1,3)+WEEKDAY(DATE(YEAR(C1955-WEEKDAY(C1955,2)+4),1,3),2)+5)/7),"00"))</f>
        <v/>
      </c>
    </row>
    <row r="1956" ht="18" customHeight="1">
      <c r="A1956" s="39" t="n">
        <v>1951</v>
      </c>
      <c r="B1956" s="33">
        <f>IF(C1956="","",IF(P1956="À RENSEIGNER","GIC",P1956)&amp;"-C"&amp;TEXT(A1956,"00000"))</f>
        <v/>
      </c>
      <c r="C1956" s="32" t="n"/>
      <c r="D1956" s="36" t="n"/>
      <c r="E1956" s="36" t="n"/>
      <c r="F1956" s="36" t="n"/>
      <c r="G1956" s="42" t="n"/>
      <c r="H1956" s="37" t="n"/>
      <c r="I1956" s="37" t="n"/>
      <c r="J1956" s="32" t="n"/>
      <c r="K1956" s="32" t="n"/>
      <c r="L1956" s="43" t="n"/>
      <c r="M1956" s="36" t="n"/>
      <c r="N1956" s="44" t="n"/>
      <c r="O1956" s="36" t="n"/>
      <c r="P1956" s="33">
        <f>IF(C1956="","",Commercial_Id)</f>
        <v/>
      </c>
      <c r="Q1956" s="34">
        <f>IF(AC1956="","",IF(AD1956=1,"C"&amp;TEXT(SUM(AD$6:AD1956),"0000"),INDEX(Q$6:Q1955,MATCH(AC1956,AC$6:AC1955,0))))</f>
        <v/>
      </c>
      <c r="R1956" s="34">
        <f>IF(C1956="","",IF(L1956="☑ Oui","Annulée",IF(OR(E1956="Vente directe",K1956&lt;&gt;""),"Livrée",IF(J1956&lt;&gt;"","Confirmée","En attente"))))</f>
        <v/>
      </c>
      <c r="S1956" s="34">
        <f>IF(F1956="","",IFERROR(VLOOKUP(F1956,T_Produits,2,FALSE),""))</f>
        <v/>
      </c>
      <c r="T1956" s="40">
        <f>IF(F1956="","",IFERROR(1/(1/VLOOKUP(F1956,T_Produits,3,FALSE)),""))</f>
        <v/>
      </c>
      <c r="U1956" s="40">
        <f>IF(H1956&lt;&gt;"",H1956,T1956)</f>
        <v/>
      </c>
      <c r="V1956" s="40">
        <f>IF(OR(G1956="",U1956=""),"",G1956*U1956-N(I1956))</f>
        <v/>
      </c>
      <c r="W1956" s="39">
        <f>IF(D1956="","",IFERROR(VALUE(MID(D1956,LEN(D1956)-3,3)),""))</f>
        <v/>
      </c>
      <c r="X1956" s="33">
        <f>IF(W1956="","",P1956&amp;"|"&amp;W1956)</f>
        <v/>
      </c>
      <c r="Y1956" s="33">
        <f>IF(W1956="","",IF(P1956="À RENSEIGNER","GIC",P1956)&amp;"-"&amp;TEXT(W1956,"000"))</f>
        <v/>
      </c>
      <c r="Z1956" s="33">
        <f>IF(X1956="","",IFERROR(INDEX(Cl_nom,MATCH(X1956,Cl_cle,0)),"(client introuvable)"))</f>
        <v/>
      </c>
      <c r="AA1956" s="33">
        <f>IF(X1956="","",IFERROR(INDEX(Cl_quartier,MATCH(X1956,Cl_cle,0))&amp;"",""))</f>
        <v/>
      </c>
      <c r="AB1956" s="45">
        <f>IF(R1956&lt;&gt;"Livrée",0,IF(K1956&lt;&gt;"",K1956,C1956))</f>
        <v/>
      </c>
      <c r="AC1956" s="33">
        <f>IF(OR(C1956="",W1956=""),"",P1956&amp;"|"&amp;W1956&amp;"|"&amp;C1956&amp;"|"&amp;E1956)</f>
        <v/>
      </c>
      <c r="AD1956" s="39">
        <f>IF(AC1956="","",IF(COUNTIF(AC$6:AC1956,AC1956)=1,1,0))</f>
        <v/>
      </c>
      <c r="AE1956" s="39">
        <f>IF(AB1956=0,"",IF(COUNTIFS(X$6:X1956,X1956,AB$6:AB1956,AB1956)=1,1,0))</f>
        <v/>
      </c>
      <c r="AF1956" s="34">
        <f>IF(C1956="","",YEAR(C1956-WEEKDAY(C1956,2)+4)&amp;"-S"&amp;TEXT(INT((C1956-DATE(YEAR(C1956-WEEKDAY(C1956,2)+4),1,3)+WEEKDAY(DATE(YEAR(C1956-WEEKDAY(C1956,2)+4),1,3),2)+5)/7),"00"))</f>
        <v/>
      </c>
    </row>
    <row r="1957" ht="18" customHeight="1">
      <c r="A1957" s="39" t="n">
        <v>1952</v>
      </c>
      <c r="B1957" s="33">
        <f>IF(C1957="","",IF(P1957="À RENSEIGNER","GIC",P1957)&amp;"-C"&amp;TEXT(A1957,"00000"))</f>
        <v/>
      </c>
      <c r="C1957" s="32" t="n"/>
      <c r="D1957" s="36" t="n"/>
      <c r="E1957" s="36" t="n"/>
      <c r="F1957" s="36" t="n"/>
      <c r="G1957" s="42" t="n"/>
      <c r="H1957" s="37" t="n"/>
      <c r="I1957" s="37" t="n"/>
      <c r="J1957" s="32" t="n"/>
      <c r="K1957" s="32" t="n"/>
      <c r="L1957" s="43" t="n"/>
      <c r="M1957" s="36" t="n"/>
      <c r="N1957" s="44" t="n"/>
      <c r="O1957" s="36" t="n"/>
      <c r="P1957" s="33">
        <f>IF(C1957="","",Commercial_Id)</f>
        <v/>
      </c>
      <c r="Q1957" s="34">
        <f>IF(AC1957="","",IF(AD1957=1,"C"&amp;TEXT(SUM(AD$6:AD1957),"0000"),INDEX(Q$6:Q1956,MATCH(AC1957,AC$6:AC1956,0))))</f>
        <v/>
      </c>
      <c r="R1957" s="34">
        <f>IF(C1957="","",IF(L1957="☑ Oui","Annulée",IF(OR(E1957="Vente directe",K1957&lt;&gt;""),"Livrée",IF(J1957&lt;&gt;"","Confirmée","En attente"))))</f>
        <v/>
      </c>
      <c r="S1957" s="34">
        <f>IF(F1957="","",IFERROR(VLOOKUP(F1957,T_Produits,2,FALSE),""))</f>
        <v/>
      </c>
      <c r="T1957" s="40">
        <f>IF(F1957="","",IFERROR(1/(1/VLOOKUP(F1957,T_Produits,3,FALSE)),""))</f>
        <v/>
      </c>
      <c r="U1957" s="40">
        <f>IF(H1957&lt;&gt;"",H1957,T1957)</f>
        <v/>
      </c>
      <c r="V1957" s="40">
        <f>IF(OR(G1957="",U1957=""),"",G1957*U1957-N(I1957))</f>
        <v/>
      </c>
      <c r="W1957" s="39">
        <f>IF(D1957="","",IFERROR(VALUE(MID(D1957,LEN(D1957)-3,3)),""))</f>
        <v/>
      </c>
      <c r="X1957" s="33">
        <f>IF(W1957="","",P1957&amp;"|"&amp;W1957)</f>
        <v/>
      </c>
      <c r="Y1957" s="33">
        <f>IF(W1957="","",IF(P1957="À RENSEIGNER","GIC",P1957)&amp;"-"&amp;TEXT(W1957,"000"))</f>
        <v/>
      </c>
      <c r="Z1957" s="33">
        <f>IF(X1957="","",IFERROR(INDEX(Cl_nom,MATCH(X1957,Cl_cle,0)),"(client introuvable)"))</f>
        <v/>
      </c>
      <c r="AA1957" s="33">
        <f>IF(X1957="","",IFERROR(INDEX(Cl_quartier,MATCH(X1957,Cl_cle,0))&amp;"",""))</f>
        <v/>
      </c>
      <c r="AB1957" s="45">
        <f>IF(R1957&lt;&gt;"Livrée",0,IF(K1957&lt;&gt;"",K1957,C1957))</f>
        <v/>
      </c>
      <c r="AC1957" s="33">
        <f>IF(OR(C1957="",W1957=""),"",P1957&amp;"|"&amp;W1957&amp;"|"&amp;C1957&amp;"|"&amp;E1957)</f>
        <v/>
      </c>
      <c r="AD1957" s="39">
        <f>IF(AC1957="","",IF(COUNTIF(AC$6:AC1957,AC1957)=1,1,0))</f>
        <v/>
      </c>
      <c r="AE1957" s="39">
        <f>IF(AB1957=0,"",IF(COUNTIFS(X$6:X1957,X1957,AB$6:AB1957,AB1957)=1,1,0))</f>
        <v/>
      </c>
      <c r="AF1957" s="34">
        <f>IF(C1957="","",YEAR(C1957-WEEKDAY(C1957,2)+4)&amp;"-S"&amp;TEXT(INT((C1957-DATE(YEAR(C1957-WEEKDAY(C1957,2)+4),1,3)+WEEKDAY(DATE(YEAR(C1957-WEEKDAY(C1957,2)+4),1,3),2)+5)/7),"00"))</f>
        <v/>
      </c>
    </row>
    <row r="1958" ht="18" customHeight="1">
      <c r="A1958" s="39" t="n">
        <v>1953</v>
      </c>
      <c r="B1958" s="33">
        <f>IF(C1958="","",IF(P1958="À RENSEIGNER","GIC",P1958)&amp;"-C"&amp;TEXT(A1958,"00000"))</f>
        <v/>
      </c>
      <c r="C1958" s="32" t="n"/>
      <c r="D1958" s="36" t="n"/>
      <c r="E1958" s="36" t="n"/>
      <c r="F1958" s="36" t="n"/>
      <c r="G1958" s="42" t="n"/>
      <c r="H1958" s="37" t="n"/>
      <c r="I1958" s="37" t="n"/>
      <c r="J1958" s="32" t="n"/>
      <c r="K1958" s="32" t="n"/>
      <c r="L1958" s="43" t="n"/>
      <c r="M1958" s="36" t="n"/>
      <c r="N1958" s="44" t="n"/>
      <c r="O1958" s="36" t="n"/>
      <c r="P1958" s="33">
        <f>IF(C1958="","",Commercial_Id)</f>
        <v/>
      </c>
      <c r="Q1958" s="34">
        <f>IF(AC1958="","",IF(AD1958=1,"C"&amp;TEXT(SUM(AD$6:AD1958),"0000"),INDEX(Q$6:Q1957,MATCH(AC1958,AC$6:AC1957,0))))</f>
        <v/>
      </c>
      <c r="R1958" s="34">
        <f>IF(C1958="","",IF(L1958="☑ Oui","Annulée",IF(OR(E1958="Vente directe",K1958&lt;&gt;""),"Livrée",IF(J1958&lt;&gt;"","Confirmée","En attente"))))</f>
        <v/>
      </c>
      <c r="S1958" s="34">
        <f>IF(F1958="","",IFERROR(VLOOKUP(F1958,T_Produits,2,FALSE),""))</f>
        <v/>
      </c>
      <c r="T1958" s="40">
        <f>IF(F1958="","",IFERROR(1/(1/VLOOKUP(F1958,T_Produits,3,FALSE)),""))</f>
        <v/>
      </c>
      <c r="U1958" s="40">
        <f>IF(H1958&lt;&gt;"",H1958,T1958)</f>
        <v/>
      </c>
      <c r="V1958" s="40">
        <f>IF(OR(G1958="",U1958=""),"",G1958*U1958-N(I1958))</f>
        <v/>
      </c>
      <c r="W1958" s="39">
        <f>IF(D1958="","",IFERROR(VALUE(MID(D1958,LEN(D1958)-3,3)),""))</f>
        <v/>
      </c>
      <c r="X1958" s="33">
        <f>IF(W1958="","",P1958&amp;"|"&amp;W1958)</f>
        <v/>
      </c>
      <c r="Y1958" s="33">
        <f>IF(W1958="","",IF(P1958="À RENSEIGNER","GIC",P1958)&amp;"-"&amp;TEXT(W1958,"000"))</f>
        <v/>
      </c>
      <c r="Z1958" s="33">
        <f>IF(X1958="","",IFERROR(INDEX(Cl_nom,MATCH(X1958,Cl_cle,0)),"(client introuvable)"))</f>
        <v/>
      </c>
      <c r="AA1958" s="33">
        <f>IF(X1958="","",IFERROR(INDEX(Cl_quartier,MATCH(X1958,Cl_cle,0))&amp;"",""))</f>
        <v/>
      </c>
      <c r="AB1958" s="45">
        <f>IF(R1958&lt;&gt;"Livrée",0,IF(K1958&lt;&gt;"",K1958,C1958))</f>
        <v/>
      </c>
      <c r="AC1958" s="33">
        <f>IF(OR(C1958="",W1958=""),"",P1958&amp;"|"&amp;W1958&amp;"|"&amp;C1958&amp;"|"&amp;E1958)</f>
        <v/>
      </c>
      <c r="AD1958" s="39">
        <f>IF(AC1958="","",IF(COUNTIF(AC$6:AC1958,AC1958)=1,1,0))</f>
        <v/>
      </c>
      <c r="AE1958" s="39">
        <f>IF(AB1958=0,"",IF(COUNTIFS(X$6:X1958,X1958,AB$6:AB1958,AB1958)=1,1,0))</f>
        <v/>
      </c>
      <c r="AF1958" s="34">
        <f>IF(C1958="","",YEAR(C1958-WEEKDAY(C1958,2)+4)&amp;"-S"&amp;TEXT(INT((C1958-DATE(YEAR(C1958-WEEKDAY(C1958,2)+4),1,3)+WEEKDAY(DATE(YEAR(C1958-WEEKDAY(C1958,2)+4),1,3),2)+5)/7),"00"))</f>
        <v/>
      </c>
    </row>
    <row r="1959" ht="18" customHeight="1">
      <c r="A1959" s="39" t="n">
        <v>1954</v>
      </c>
      <c r="B1959" s="33">
        <f>IF(C1959="","",IF(P1959="À RENSEIGNER","GIC",P1959)&amp;"-C"&amp;TEXT(A1959,"00000"))</f>
        <v/>
      </c>
      <c r="C1959" s="32" t="n"/>
      <c r="D1959" s="36" t="n"/>
      <c r="E1959" s="36" t="n"/>
      <c r="F1959" s="36" t="n"/>
      <c r="G1959" s="42" t="n"/>
      <c r="H1959" s="37" t="n"/>
      <c r="I1959" s="37" t="n"/>
      <c r="J1959" s="32" t="n"/>
      <c r="K1959" s="32" t="n"/>
      <c r="L1959" s="43" t="n"/>
      <c r="M1959" s="36" t="n"/>
      <c r="N1959" s="44" t="n"/>
      <c r="O1959" s="36" t="n"/>
      <c r="P1959" s="33">
        <f>IF(C1959="","",Commercial_Id)</f>
        <v/>
      </c>
      <c r="Q1959" s="34">
        <f>IF(AC1959="","",IF(AD1959=1,"C"&amp;TEXT(SUM(AD$6:AD1959),"0000"),INDEX(Q$6:Q1958,MATCH(AC1959,AC$6:AC1958,0))))</f>
        <v/>
      </c>
      <c r="R1959" s="34">
        <f>IF(C1959="","",IF(L1959="☑ Oui","Annulée",IF(OR(E1959="Vente directe",K1959&lt;&gt;""),"Livrée",IF(J1959&lt;&gt;"","Confirmée","En attente"))))</f>
        <v/>
      </c>
      <c r="S1959" s="34">
        <f>IF(F1959="","",IFERROR(VLOOKUP(F1959,T_Produits,2,FALSE),""))</f>
        <v/>
      </c>
      <c r="T1959" s="40">
        <f>IF(F1959="","",IFERROR(1/(1/VLOOKUP(F1959,T_Produits,3,FALSE)),""))</f>
        <v/>
      </c>
      <c r="U1959" s="40">
        <f>IF(H1959&lt;&gt;"",H1959,T1959)</f>
        <v/>
      </c>
      <c r="V1959" s="40">
        <f>IF(OR(G1959="",U1959=""),"",G1959*U1959-N(I1959))</f>
        <v/>
      </c>
      <c r="W1959" s="39">
        <f>IF(D1959="","",IFERROR(VALUE(MID(D1959,LEN(D1959)-3,3)),""))</f>
        <v/>
      </c>
      <c r="X1959" s="33">
        <f>IF(W1959="","",P1959&amp;"|"&amp;W1959)</f>
        <v/>
      </c>
      <c r="Y1959" s="33">
        <f>IF(W1959="","",IF(P1959="À RENSEIGNER","GIC",P1959)&amp;"-"&amp;TEXT(W1959,"000"))</f>
        <v/>
      </c>
      <c r="Z1959" s="33">
        <f>IF(X1959="","",IFERROR(INDEX(Cl_nom,MATCH(X1959,Cl_cle,0)),"(client introuvable)"))</f>
        <v/>
      </c>
      <c r="AA1959" s="33">
        <f>IF(X1959="","",IFERROR(INDEX(Cl_quartier,MATCH(X1959,Cl_cle,0))&amp;"",""))</f>
        <v/>
      </c>
      <c r="AB1959" s="45">
        <f>IF(R1959&lt;&gt;"Livrée",0,IF(K1959&lt;&gt;"",K1959,C1959))</f>
        <v/>
      </c>
      <c r="AC1959" s="33">
        <f>IF(OR(C1959="",W1959=""),"",P1959&amp;"|"&amp;W1959&amp;"|"&amp;C1959&amp;"|"&amp;E1959)</f>
        <v/>
      </c>
      <c r="AD1959" s="39">
        <f>IF(AC1959="","",IF(COUNTIF(AC$6:AC1959,AC1959)=1,1,0))</f>
        <v/>
      </c>
      <c r="AE1959" s="39">
        <f>IF(AB1959=0,"",IF(COUNTIFS(X$6:X1959,X1959,AB$6:AB1959,AB1959)=1,1,0))</f>
        <v/>
      </c>
      <c r="AF1959" s="34">
        <f>IF(C1959="","",YEAR(C1959-WEEKDAY(C1959,2)+4)&amp;"-S"&amp;TEXT(INT((C1959-DATE(YEAR(C1959-WEEKDAY(C1959,2)+4),1,3)+WEEKDAY(DATE(YEAR(C1959-WEEKDAY(C1959,2)+4),1,3),2)+5)/7),"00"))</f>
        <v/>
      </c>
    </row>
    <row r="1960" ht="18" customHeight="1">
      <c r="A1960" s="39" t="n">
        <v>1955</v>
      </c>
      <c r="B1960" s="33">
        <f>IF(C1960="","",IF(P1960="À RENSEIGNER","GIC",P1960)&amp;"-C"&amp;TEXT(A1960,"00000"))</f>
        <v/>
      </c>
      <c r="C1960" s="32" t="n"/>
      <c r="D1960" s="36" t="n"/>
      <c r="E1960" s="36" t="n"/>
      <c r="F1960" s="36" t="n"/>
      <c r="G1960" s="42" t="n"/>
      <c r="H1960" s="37" t="n"/>
      <c r="I1960" s="37" t="n"/>
      <c r="J1960" s="32" t="n"/>
      <c r="K1960" s="32" t="n"/>
      <c r="L1960" s="43" t="n"/>
      <c r="M1960" s="36" t="n"/>
      <c r="N1960" s="44" t="n"/>
      <c r="O1960" s="36" t="n"/>
      <c r="P1960" s="33">
        <f>IF(C1960="","",Commercial_Id)</f>
        <v/>
      </c>
      <c r="Q1960" s="34">
        <f>IF(AC1960="","",IF(AD1960=1,"C"&amp;TEXT(SUM(AD$6:AD1960),"0000"),INDEX(Q$6:Q1959,MATCH(AC1960,AC$6:AC1959,0))))</f>
        <v/>
      </c>
      <c r="R1960" s="34">
        <f>IF(C1960="","",IF(L1960="☑ Oui","Annulée",IF(OR(E1960="Vente directe",K1960&lt;&gt;""),"Livrée",IF(J1960&lt;&gt;"","Confirmée","En attente"))))</f>
        <v/>
      </c>
      <c r="S1960" s="34">
        <f>IF(F1960="","",IFERROR(VLOOKUP(F1960,T_Produits,2,FALSE),""))</f>
        <v/>
      </c>
      <c r="T1960" s="40">
        <f>IF(F1960="","",IFERROR(1/(1/VLOOKUP(F1960,T_Produits,3,FALSE)),""))</f>
        <v/>
      </c>
      <c r="U1960" s="40">
        <f>IF(H1960&lt;&gt;"",H1960,T1960)</f>
        <v/>
      </c>
      <c r="V1960" s="40">
        <f>IF(OR(G1960="",U1960=""),"",G1960*U1960-N(I1960))</f>
        <v/>
      </c>
      <c r="W1960" s="39">
        <f>IF(D1960="","",IFERROR(VALUE(MID(D1960,LEN(D1960)-3,3)),""))</f>
        <v/>
      </c>
      <c r="X1960" s="33">
        <f>IF(W1960="","",P1960&amp;"|"&amp;W1960)</f>
        <v/>
      </c>
      <c r="Y1960" s="33">
        <f>IF(W1960="","",IF(P1960="À RENSEIGNER","GIC",P1960)&amp;"-"&amp;TEXT(W1960,"000"))</f>
        <v/>
      </c>
      <c r="Z1960" s="33">
        <f>IF(X1960="","",IFERROR(INDEX(Cl_nom,MATCH(X1960,Cl_cle,0)),"(client introuvable)"))</f>
        <v/>
      </c>
      <c r="AA1960" s="33">
        <f>IF(X1960="","",IFERROR(INDEX(Cl_quartier,MATCH(X1960,Cl_cle,0))&amp;"",""))</f>
        <v/>
      </c>
      <c r="AB1960" s="45">
        <f>IF(R1960&lt;&gt;"Livrée",0,IF(K1960&lt;&gt;"",K1960,C1960))</f>
        <v/>
      </c>
      <c r="AC1960" s="33">
        <f>IF(OR(C1960="",W1960=""),"",P1960&amp;"|"&amp;W1960&amp;"|"&amp;C1960&amp;"|"&amp;E1960)</f>
        <v/>
      </c>
      <c r="AD1960" s="39">
        <f>IF(AC1960="","",IF(COUNTIF(AC$6:AC1960,AC1960)=1,1,0))</f>
        <v/>
      </c>
      <c r="AE1960" s="39">
        <f>IF(AB1960=0,"",IF(COUNTIFS(X$6:X1960,X1960,AB$6:AB1960,AB1960)=1,1,0))</f>
        <v/>
      </c>
      <c r="AF1960" s="34">
        <f>IF(C1960="","",YEAR(C1960-WEEKDAY(C1960,2)+4)&amp;"-S"&amp;TEXT(INT((C1960-DATE(YEAR(C1960-WEEKDAY(C1960,2)+4),1,3)+WEEKDAY(DATE(YEAR(C1960-WEEKDAY(C1960,2)+4),1,3),2)+5)/7),"00"))</f>
        <v/>
      </c>
    </row>
    <row r="1961" ht="18" customHeight="1">
      <c r="A1961" s="39" t="n">
        <v>1956</v>
      </c>
      <c r="B1961" s="33">
        <f>IF(C1961="","",IF(P1961="À RENSEIGNER","GIC",P1961)&amp;"-C"&amp;TEXT(A1961,"00000"))</f>
        <v/>
      </c>
      <c r="C1961" s="32" t="n"/>
      <c r="D1961" s="36" t="n"/>
      <c r="E1961" s="36" t="n"/>
      <c r="F1961" s="36" t="n"/>
      <c r="G1961" s="42" t="n"/>
      <c r="H1961" s="37" t="n"/>
      <c r="I1961" s="37" t="n"/>
      <c r="J1961" s="32" t="n"/>
      <c r="K1961" s="32" t="n"/>
      <c r="L1961" s="43" t="n"/>
      <c r="M1961" s="36" t="n"/>
      <c r="N1961" s="44" t="n"/>
      <c r="O1961" s="36" t="n"/>
      <c r="P1961" s="33">
        <f>IF(C1961="","",Commercial_Id)</f>
        <v/>
      </c>
      <c r="Q1961" s="34">
        <f>IF(AC1961="","",IF(AD1961=1,"C"&amp;TEXT(SUM(AD$6:AD1961),"0000"),INDEX(Q$6:Q1960,MATCH(AC1961,AC$6:AC1960,0))))</f>
        <v/>
      </c>
      <c r="R1961" s="34">
        <f>IF(C1961="","",IF(L1961="☑ Oui","Annulée",IF(OR(E1961="Vente directe",K1961&lt;&gt;""),"Livrée",IF(J1961&lt;&gt;"","Confirmée","En attente"))))</f>
        <v/>
      </c>
      <c r="S1961" s="34">
        <f>IF(F1961="","",IFERROR(VLOOKUP(F1961,T_Produits,2,FALSE),""))</f>
        <v/>
      </c>
      <c r="T1961" s="40">
        <f>IF(F1961="","",IFERROR(1/(1/VLOOKUP(F1961,T_Produits,3,FALSE)),""))</f>
        <v/>
      </c>
      <c r="U1961" s="40">
        <f>IF(H1961&lt;&gt;"",H1961,T1961)</f>
        <v/>
      </c>
      <c r="V1961" s="40">
        <f>IF(OR(G1961="",U1961=""),"",G1961*U1961-N(I1961))</f>
        <v/>
      </c>
      <c r="W1961" s="39">
        <f>IF(D1961="","",IFERROR(VALUE(MID(D1961,LEN(D1961)-3,3)),""))</f>
        <v/>
      </c>
      <c r="X1961" s="33">
        <f>IF(W1961="","",P1961&amp;"|"&amp;W1961)</f>
        <v/>
      </c>
      <c r="Y1961" s="33">
        <f>IF(W1961="","",IF(P1961="À RENSEIGNER","GIC",P1961)&amp;"-"&amp;TEXT(W1961,"000"))</f>
        <v/>
      </c>
      <c r="Z1961" s="33">
        <f>IF(X1961="","",IFERROR(INDEX(Cl_nom,MATCH(X1961,Cl_cle,0)),"(client introuvable)"))</f>
        <v/>
      </c>
      <c r="AA1961" s="33">
        <f>IF(X1961="","",IFERROR(INDEX(Cl_quartier,MATCH(X1961,Cl_cle,0))&amp;"",""))</f>
        <v/>
      </c>
      <c r="AB1961" s="45">
        <f>IF(R1961&lt;&gt;"Livrée",0,IF(K1961&lt;&gt;"",K1961,C1961))</f>
        <v/>
      </c>
      <c r="AC1961" s="33">
        <f>IF(OR(C1961="",W1961=""),"",P1961&amp;"|"&amp;W1961&amp;"|"&amp;C1961&amp;"|"&amp;E1961)</f>
        <v/>
      </c>
      <c r="AD1961" s="39">
        <f>IF(AC1961="","",IF(COUNTIF(AC$6:AC1961,AC1961)=1,1,0))</f>
        <v/>
      </c>
      <c r="AE1961" s="39">
        <f>IF(AB1961=0,"",IF(COUNTIFS(X$6:X1961,X1961,AB$6:AB1961,AB1961)=1,1,0))</f>
        <v/>
      </c>
      <c r="AF1961" s="34">
        <f>IF(C1961="","",YEAR(C1961-WEEKDAY(C1961,2)+4)&amp;"-S"&amp;TEXT(INT((C1961-DATE(YEAR(C1961-WEEKDAY(C1961,2)+4),1,3)+WEEKDAY(DATE(YEAR(C1961-WEEKDAY(C1961,2)+4),1,3),2)+5)/7),"00"))</f>
        <v/>
      </c>
    </row>
    <row r="1962" ht="18" customHeight="1">
      <c r="A1962" s="39" t="n">
        <v>1957</v>
      </c>
      <c r="B1962" s="33">
        <f>IF(C1962="","",IF(P1962="À RENSEIGNER","GIC",P1962)&amp;"-C"&amp;TEXT(A1962,"00000"))</f>
        <v/>
      </c>
      <c r="C1962" s="32" t="n"/>
      <c r="D1962" s="36" t="n"/>
      <c r="E1962" s="36" t="n"/>
      <c r="F1962" s="36" t="n"/>
      <c r="G1962" s="42" t="n"/>
      <c r="H1962" s="37" t="n"/>
      <c r="I1962" s="37" t="n"/>
      <c r="J1962" s="32" t="n"/>
      <c r="K1962" s="32" t="n"/>
      <c r="L1962" s="43" t="n"/>
      <c r="M1962" s="36" t="n"/>
      <c r="N1962" s="44" t="n"/>
      <c r="O1962" s="36" t="n"/>
      <c r="P1962" s="33">
        <f>IF(C1962="","",Commercial_Id)</f>
        <v/>
      </c>
      <c r="Q1962" s="34">
        <f>IF(AC1962="","",IF(AD1962=1,"C"&amp;TEXT(SUM(AD$6:AD1962),"0000"),INDEX(Q$6:Q1961,MATCH(AC1962,AC$6:AC1961,0))))</f>
        <v/>
      </c>
      <c r="R1962" s="34">
        <f>IF(C1962="","",IF(L1962="☑ Oui","Annulée",IF(OR(E1962="Vente directe",K1962&lt;&gt;""),"Livrée",IF(J1962&lt;&gt;"","Confirmée","En attente"))))</f>
        <v/>
      </c>
      <c r="S1962" s="34">
        <f>IF(F1962="","",IFERROR(VLOOKUP(F1962,T_Produits,2,FALSE),""))</f>
        <v/>
      </c>
      <c r="T1962" s="40">
        <f>IF(F1962="","",IFERROR(1/(1/VLOOKUP(F1962,T_Produits,3,FALSE)),""))</f>
        <v/>
      </c>
      <c r="U1962" s="40">
        <f>IF(H1962&lt;&gt;"",H1962,T1962)</f>
        <v/>
      </c>
      <c r="V1962" s="40">
        <f>IF(OR(G1962="",U1962=""),"",G1962*U1962-N(I1962))</f>
        <v/>
      </c>
      <c r="W1962" s="39">
        <f>IF(D1962="","",IFERROR(VALUE(MID(D1962,LEN(D1962)-3,3)),""))</f>
        <v/>
      </c>
      <c r="X1962" s="33">
        <f>IF(W1962="","",P1962&amp;"|"&amp;W1962)</f>
        <v/>
      </c>
      <c r="Y1962" s="33">
        <f>IF(W1962="","",IF(P1962="À RENSEIGNER","GIC",P1962)&amp;"-"&amp;TEXT(W1962,"000"))</f>
        <v/>
      </c>
      <c r="Z1962" s="33">
        <f>IF(X1962="","",IFERROR(INDEX(Cl_nom,MATCH(X1962,Cl_cle,0)),"(client introuvable)"))</f>
        <v/>
      </c>
      <c r="AA1962" s="33">
        <f>IF(X1962="","",IFERROR(INDEX(Cl_quartier,MATCH(X1962,Cl_cle,0))&amp;"",""))</f>
        <v/>
      </c>
      <c r="AB1962" s="45">
        <f>IF(R1962&lt;&gt;"Livrée",0,IF(K1962&lt;&gt;"",K1962,C1962))</f>
        <v/>
      </c>
      <c r="AC1962" s="33">
        <f>IF(OR(C1962="",W1962=""),"",P1962&amp;"|"&amp;W1962&amp;"|"&amp;C1962&amp;"|"&amp;E1962)</f>
        <v/>
      </c>
      <c r="AD1962" s="39">
        <f>IF(AC1962="","",IF(COUNTIF(AC$6:AC1962,AC1962)=1,1,0))</f>
        <v/>
      </c>
      <c r="AE1962" s="39">
        <f>IF(AB1962=0,"",IF(COUNTIFS(X$6:X1962,X1962,AB$6:AB1962,AB1962)=1,1,0))</f>
        <v/>
      </c>
      <c r="AF1962" s="34">
        <f>IF(C1962="","",YEAR(C1962-WEEKDAY(C1962,2)+4)&amp;"-S"&amp;TEXT(INT((C1962-DATE(YEAR(C1962-WEEKDAY(C1962,2)+4),1,3)+WEEKDAY(DATE(YEAR(C1962-WEEKDAY(C1962,2)+4),1,3),2)+5)/7),"00"))</f>
        <v/>
      </c>
    </row>
    <row r="1963" ht="18" customHeight="1">
      <c r="A1963" s="39" t="n">
        <v>1958</v>
      </c>
      <c r="B1963" s="33">
        <f>IF(C1963="","",IF(P1963="À RENSEIGNER","GIC",P1963)&amp;"-C"&amp;TEXT(A1963,"00000"))</f>
        <v/>
      </c>
      <c r="C1963" s="32" t="n"/>
      <c r="D1963" s="36" t="n"/>
      <c r="E1963" s="36" t="n"/>
      <c r="F1963" s="36" t="n"/>
      <c r="G1963" s="42" t="n"/>
      <c r="H1963" s="37" t="n"/>
      <c r="I1963" s="37" t="n"/>
      <c r="J1963" s="32" t="n"/>
      <c r="K1963" s="32" t="n"/>
      <c r="L1963" s="43" t="n"/>
      <c r="M1963" s="36" t="n"/>
      <c r="N1963" s="44" t="n"/>
      <c r="O1963" s="36" t="n"/>
      <c r="P1963" s="33">
        <f>IF(C1963="","",Commercial_Id)</f>
        <v/>
      </c>
      <c r="Q1963" s="34">
        <f>IF(AC1963="","",IF(AD1963=1,"C"&amp;TEXT(SUM(AD$6:AD1963),"0000"),INDEX(Q$6:Q1962,MATCH(AC1963,AC$6:AC1962,0))))</f>
        <v/>
      </c>
      <c r="R1963" s="34">
        <f>IF(C1963="","",IF(L1963="☑ Oui","Annulée",IF(OR(E1963="Vente directe",K1963&lt;&gt;""),"Livrée",IF(J1963&lt;&gt;"","Confirmée","En attente"))))</f>
        <v/>
      </c>
      <c r="S1963" s="34">
        <f>IF(F1963="","",IFERROR(VLOOKUP(F1963,T_Produits,2,FALSE),""))</f>
        <v/>
      </c>
      <c r="T1963" s="40">
        <f>IF(F1963="","",IFERROR(1/(1/VLOOKUP(F1963,T_Produits,3,FALSE)),""))</f>
        <v/>
      </c>
      <c r="U1963" s="40">
        <f>IF(H1963&lt;&gt;"",H1963,T1963)</f>
        <v/>
      </c>
      <c r="V1963" s="40">
        <f>IF(OR(G1963="",U1963=""),"",G1963*U1963-N(I1963))</f>
        <v/>
      </c>
      <c r="W1963" s="39">
        <f>IF(D1963="","",IFERROR(VALUE(MID(D1963,LEN(D1963)-3,3)),""))</f>
        <v/>
      </c>
      <c r="X1963" s="33">
        <f>IF(W1963="","",P1963&amp;"|"&amp;W1963)</f>
        <v/>
      </c>
      <c r="Y1963" s="33">
        <f>IF(W1963="","",IF(P1963="À RENSEIGNER","GIC",P1963)&amp;"-"&amp;TEXT(W1963,"000"))</f>
        <v/>
      </c>
      <c r="Z1963" s="33">
        <f>IF(X1963="","",IFERROR(INDEX(Cl_nom,MATCH(X1963,Cl_cle,0)),"(client introuvable)"))</f>
        <v/>
      </c>
      <c r="AA1963" s="33">
        <f>IF(X1963="","",IFERROR(INDEX(Cl_quartier,MATCH(X1963,Cl_cle,0))&amp;"",""))</f>
        <v/>
      </c>
      <c r="AB1963" s="45">
        <f>IF(R1963&lt;&gt;"Livrée",0,IF(K1963&lt;&gt;"",K1963,C1963))</f>
        <v/>
      </c>
      <c r="AC1963" s="33">
        <f>IF(OR(C1963="",W1963=""),"",P1963&amp;"|"&amp;W1963&amp;"|"&amp;C1963&amp;"|"&amp;E1963)</f>
        <v/>
      </c>
      <c r="AD1963" s="39">
        <f>IF(AC1963="","",IF(COUNTIF(AC$6:AC1963,AC1963)=1,1,0))</f>
        <v/>
      </c>
      <c r="AE1963" s="39">
        <f>IF(AB1963=0,"",IF(COUNTIFS(X$6:X1963,X1963,AB$6:AB1963,AB1963)=1,1,0))</f>
        <v/>
      </c>
      <c r="AF1963" s="34">
        <f>IF(C1963="","",YEAR(C1963-WEEKDAY(C1963,2)+4)&amp;"-S"&amp;TEXT(INT((C1963-DATE(YEAR(C1963-WEEKDAY(C1963,2)+4),1,3)+WEEKDAY(DATE(YEAR(C1963-WEEKDAY(C1963,2)+4),1,3),2)+5)/7),"00"))</f>
        <v/>
      </c>
    </row>
    <row r="1964" ht="18" customHeight="1">
      <c r="A1964" s="39" t="n">
        <v>1959</v>
      </c>
      <c r="B1964" s="33">
        <f>IF(C1964="","",IF(P1964="À RENSEIGNER","GIC",P1964)&amp;"-C"&amp;TEXT(A1964,"00000"))</f>
        <v/>
      </c>
      <c r="C1964" s="32" t="n"/>
      <c r="D1964" s="36" t="n"/>
      <c r="E1964" s="36" t="n"/>
      <c r="F1964" s="36" t="n"/>
      <c r="G1964" s="42" t="n"/>
      <c r="H1964" s="37" t="n"/>
      <c r="I1964" s="37" t="n"/>
      <c r="J1964" s="32" t="n"/>
      <c r="K1964" s="32" t="n"/>
      <c r="L1964" s="43" t="n"/>
      <c r="M1964" s="36" t="n"/>
      <c r="N1964" s="44" t="n"/>
      <c r="O1964" s="36" t="n"/>
      <c r="P1964" s="33">
        <f>IF(C1964="","",Commercial_Id)</f>
        <v/>
      </c>
      <c r="Q1964" s="34">
        <f>IF(AC1964="","",IF(AD1964=1,"C"&amp;TEXT(SUM(AD$6:AD1964),"0000"),INDEX(Q$6:Q1963,MATCH(AC1964,AC$6:AC1963,0))))</f>
        <v/>
      </c>
      <c r="R1964" s="34">
        <f>IF(C1964="","",IF(L1964="☑ Oui","Annulée",IF(OR(E1964="Vente directe",K1964&lt;&gt;""),"Livrée",IF(J1964&lt;&gt;"","Confirmée","En attente"))))</f>
        <v/>
      </c>
      <c r="S1964" s="34">
        <f>IF(F1964="","",IFERROR(VLOOKUP(F1964,T_Produits,2,FALSE),""))</f>
        <v/>
      </c>
      <c r="T1964" s="40">
        <f>IF(F1964="","",IFERROR(1/(1/VLOOKUP(F1964,T_Produits,3,FALSE)),""))</f>
        <v/>
      </c>
      <c r="U1964" s="40">
        <f>IF(H1964&lt;&gt;"",H1964,T1964)</f>
        <v/>
      </c>
      <c r="V1964" s="40">
        <f>IF(OR(G1964="",U1964=""),"",G1964*U1964-N(I1964))</f>
        <v/>
      </c>
      <c r="W1964" s="39">
        <f>IF(D1964="","",IFERROR(VALUE(MID(D1964,LEN(D1964)-3,3)),""))</f>
        <v/>
      </c>
      <c r="X1964" s="33">
        <f>IF(W1964="","",P1964&amp;"|"&amp;W1964)</f>
        <v/>
      </c>
      <c r="Y1964" s="33">
        <f>IF(W1964="","",IF(P1964="À RENSEIGNER","GIC",P1964)&amp;"-"&amp;TEXT(W1964,"000"))</f>
        <v/>
      </c>
      <c r="Z1964" s="33">
        <f>IF(X1964="","",IFERROR(INDEX(Cl_nom,MATCH(X1964,Cl_cle,0)),"(client introuvable)"))</f>
        <v/>
      </c>
      <c r="AA1964" s="33">
        <f>IF(X1964="","",IFERROR(INDEX(Cl_quartier,MATCH(X1964,Cl_cle,0))&amp;"",""))</f>
        <v/>
      </c>
      <c r="AB1964" s="45">
        <f>IF(R1964&lt;&gt;"Livrée",0,IF(K1964&lt;&gt;"",K1964,C1964))</f>
        <v/>
      </c>
      <c r="AC1964" s="33">
        <f>IF(OR(C1964="",W1964=""),"",P1964&amp;"|"&amp;W1964&amp;"|"&amp;C1964&amp;"|"&amp;E1964)</f>
        <v/>
      </c>
      <c r="AD1964" s="39">
        <f>IF(AC1964="","",IF(COUNTIF(AC$6:AC1964,AC1964)=1,1,0))</f>
        <v/>
      </c>
      <c r="AE1964" s="39">
        <f>IF(AB1964=0,"",IF(COUNTIFS(X$6:X1964,X1964,AB$6:AB1964,AB1964)=1,1,0))</f>
        <v/>
      </c>
      <c r="AF1964" s="34">
        <f>IF(C1964="","",YEAR(C1964-WEEKDAY(C1964,2)+4)&amp;"-S"&amp;TEXT(INT((C1964-DATE(YEAR(C1964-WEEKDAY(C1964,2)+4),1,3)+WEEKDAY(DATE(YEAR(C1964-WEEKDAY(C1964,2)+4),1,3),2)+5)/7),"00"))</f>
        <v/>
      </c>
    </row>
    <row r="1965" ht="18" customHeight="1">
      <c r="A1965" s="39" t="n">
        <v>1960</v>
      </c>
      <c r="B1965" s="33">
        <f>IF(C1965="","",IF(P1965="À RENSEIGNER","GIC",P1965)&amp;"-C"&amp;TEXT(A1965,"00000"))</f>
        <v/>
      </c>
      <c r="C1965" s="32" t="n"/>
      <c r="D1965" s="36" t="n"/>
      <c r="E1965" s="36" t="n"/>
      <c r="F1965" s="36" t="n"/>
      <c r="G1965" s="42" t="n"/>
      <c r="H1965" s="37" t="n"/>
      <c r="I1965" s="37" t="n"/>
      <c r="J1965" s="32" t="n"/>
      <c r="K1965" s="32" t="n"/>
      <c r="L1965" s="43" t="n"/>
      <c r="M1965" s="36" t="n"/>
      <c r="N1965" s="44" t="n"/>
      <c r="O1965" s="36" t="n"/>
      <c r="P1965" s="33">
        <f>IF(C1965="","",Commercial_Id)</f>
        <v/>
      </c>
      <c r="Q1965" s="34">
        <f>IF(AC1965="","",IF(AD1965=1,"C"&amp;TEXT(SUM(AD$6:AD1965),"0000"),INDEX(Q$6:Q1964,MATCH(AC1965,AC$6:AC1964,0))))</f>
        <v/>
      </c>
      <c r="R1965" s="34">
        <f>IF(C1965="","",IF(L1965="☑ Oui","Annulée",IF(OR(E1965="Vente directe",K1965&lt;&gt;""),"Livrée",IF(J1965&lt;&gt;"","Confirmée","En attente"))))</f>
        <v/>
      </c>
      <c r="S1965" s="34">
        <f>IF(F1965="","",IFERROR(VLOOKUP(F1965,T_Produits,2,FALSE),""))</f>
        <v/>
      </c>
      <c r="T1965" s="40">
        <f>IF(F1965="","",IFERROR(1/(1/VLOOKUP(F1965,T_Produits,3,FALSE)),""))</f>
        <v/>
      </c>
      <c r="U1965" s="40">
        <f>IF(H1965&lt;&gt;"",H1965,T1965)</f>
        <v/>
      </c>
      <c r="V1965" s="40">
        <f>IF(OR(G1965="",U1965=""),"",G1965*U1965-N(I1965))</f>
        <v/>
      </c>
      <c r="W1965" s="39">
        <f>IF(D1965="","",IFERROR(VALUE(MID(D1965,LEN(D1965)-3,3)),""))</f>
        <v/>
      </c>
      <c r="X1965" s="33">
        <f>IF(W1965="","",P1965&amp;"|"&amp;W1965)</f>
        <v/>
      </c>
      <c r="Y1965" s="33">
        <f>IF(W1965="","",IF(P1965="À RENSEIGNER","GIC",P1965)&amp;"-"&amp;TEXT(W1965,"000"))</f>
        <v/>
      </c>
      <c r="Z1965" s="33">
        <f>IF(X1965="","",IFERROR(INDEX(Cl_nom,MATCH(X1965,Cl_cle,0)),"(client introuvable)"))</f>
        <v/>
      </c>
      <c r="AA1965" s="33">
        <f>IF(X1965="","",IFERROR(INDEX(Cl_quartier,MATCH(X1965,Cl_cle,0))&amp;"",""))</f>
        <v/>
      </c>
      <c r="AB1965" s="45">
        <f>IF(R1965&lt;&gt;"Livrée",0,IF(K1965&lt;&gt;"",K1965,C1965))</f>
        <v/>
      </c>
      <c r="AC1965" s="33">
        <f>IF(OR(C1965="",W1965=""),"",P1965&amp;"|"&amp;W1965&amp;"|"&amp;C1965&amp;"|"&amp;E1965)</f>
        <v/>
      </c>
      <c r="AD1965" s="39">
        <f>IF(AC1965="","",IF(COUNTIF(AC$6:AC1965,AC1965)=1,1,0))</f>
        <v/>
      </c>
      <c r="AE1965" s="39">
        <f>IF(AB1965=0,"",IF(COUNTIFS(X$6:X1965,X1965,AB$6:AB1965,AB1965)=1,1,0))</f>
        <v/>
      </c>
      <c r="AF1965" s="34">
        <f>IF(C1965="","",YEAR(C1965-WEEKDAY(C1965,2)+4)&amp;"-S"&amp;TEXT(INT((C1965-DATE(YEAR(C1965-WEEKDAY(C1965,2)+4),1,3)+WEEKDAY(DATE(YEAR(C1965-WEEKDAY(C1965,2)+4),1,3),2)+5)/7),"00"))</f>
        <v/>
      </c>
    </row>
    <row r="1966" ht="18" customHeight="1">
      <c r="A1966" s="39" t="n">
        <v>1961</v>
      </c>
      <c r="B1966" s="33">
        <f>IF(C1966="","",IF(P1966="À RENSEIGNER","GIC",P1966)&amp;"-C"&amp;TEXT(A1966,"00000"))</f>
        <v/>
      </c>
      <c r="C1966" s="32" t="n"/>
      <c r="D1966" s="36" t="n"/>
      <c r="E1966" s="36" t="n"/>
      <c r="F1966" s="36" t="n"/>
      <c r="G1966" s="42" t="n"/>
      <c r="H1966" s="37" t="n"/>
      <c r="I1966" s="37" t="n"/>
      <c r="J1966" s="32" t="n"/>
      <c r="K1966" s="32" t="n"/>
      <c r="L1966" s="43" t="n"/>
      <c r="M1966" s="36" t="n"/>
      <c r="N1966" s="44" t="n"/>
      <c r="O1966" s="36" t="n"/>
      <c r="P1966" s="33">
        <f>IF(C1966="","",Commercial_Id)</f>
        <v/>
      </c>
      <c r="Q1966" s="34">
        <f>IF(AC1966="","",IF(AD1966=1,"C"&amp;TEXT(SUM(AD$6:AD1966),"0000"),INDEX(Q$6:Q1965,MATCH(AC1966,AC$6:AC1965,0))))</f>
        <v/>
      </c>
      <c r="R1966" s="34">
        <f>IF(C1966="","",IF(L1966="☑ Oui","Annulée",IF(OR(E1966="Vente directe",K1966&lt;&gt;""),"Livrée",IF(J1966&lt;&gt;"","Confirmée","En attente"))))</f>
        <v/>
      </c>
      <c r="S1966" s="34">
        <f>IF(F1966="","",IFERROR(VLOOKUP(F1966,T_Produits,2,FALSE),""))</f>
        <v/>
      </c>
      <c r="T1966" s="40">
        <f>IF(F1966="","",IFERROR(1/(1/VLOOKUP(F1966,T_Produits,3,FALSE)),""))</f>
        <v/>
      </c>
      <c r="U1966" s="40">
        <f>IF(H1966&lt;&gt;"",H1966,T1966)</f>
        <v/>
      </c>
      <c r="V1966" s="40">
        <f>IF(OR(G1966="",U1966=""),"",G1966*U1966-N(I1966))</f>
        <v/>
      </c>
      <c r="W1966" s="39">
        <f>IF(D1966="","",IFERROR(VALUE(MID(D1966,LEN(D1966)-3,3)),""))</f>
        <v/>
      </c>
      <c r="X1966" s="33">
        <f>IF(W1966="","",P1966&amp;"|"&amp;W1966)</f>
        <v/>
      </c>
      <c r="Y1966" s="33">
        <f>IF(W1966="","",IF(P1966="À RENSEIGNER","GIC",P1966)&amp;"-"&amp;TEXT(W1966,"000"))</f>
        <v/>
      </c>
      <c r="Z1966" s="33">
        <f>IF(X1966="","",IFERROR(INDEX(Cl_nom,MATCH(X1966,Cl_cle,0)),"(client introuvable)"))</f>
        <v/>
      </c>
      <c r="AA1966" s="33">
        <f>IF(X1966="","",IFERROR(INDEX(Cl_quartier,MATCH(X1966,Cl_cle,0))&amp;"",""))</f>
        <v/>
      </c>
      <c r="AB1966" s="45">
        <f>IF(R1966&lt;&gt;"Livrée",0,IF(K1966&lt;&gt;"",K1966,C1966))</f>
        <v/>
      </c>
      <c r="AC1966" s="33">
        <f>IF(OR(C1966="",W1966=""),"",P1966&amp;"|"&amp;W1966&amp;"|"&amp;C1966&amp;"|"&amp;E1966)</f>
        <v/>
      </c>
      <c r="AD1966" s="39">
        <f>IF(AC1966="","",IF(COUNTIF(AC$6:AC1966,AC1966)=1,1,0))</f>
        <v/>
      </c>
      <c r="AE1966" s="39">
        <f>IF(AB1966=0,"",IF(COUNTIFS(X$6:X1966,X1966,AB$6:AB1966,AB1966)=1,1,0))</f>
        <v/>
      </c>
      <c r="AF1966" s="34">
        <f>IF(C1966="","",YEAR(C1966-WEEKDAY(C1966,2)+4)&amp;"-S"&amp;TEXT(INT((C1966-DATE(YEAR(C1966-WEEKDAY(C1966,2)+4),1,3)+WEEKDAY(DATE(YEAR(C1966-WEEKDAY(C1966,2)+4),1,3),2)+5)/7),"00"))</f>
        <v/>
      </c>
    </row>
    <row r="1967" ht="18" customHeight="1">
      <c r="A1967" s="39" t="n">
        <v>1962</v>
      </c>
      <c r="B1967" s="33">
        <f>IF(C1967="","",IF(P1967="À RENSEIGNER","GIC",P1967)&amp;"-C"&amp;TEXT(A1967,"00000"))</f>
        <v/>
      </c>
      <c r="C1967" s="32" t="n"/>
      <c r="D1967" s="36" t="n"/>
      <c r="E1967" s="36" t="n"/>
      <c r="F1967" s="36" t="n"/>
      <c r="G1967" s="42" t="n"/>
      <c r="H1967" s="37" t="n"/>
      <c r="I1967" s="37" t="n"/>
      <c r="J1967" s="32" t="n"/>
      <c r="K1967" s="32" t="n"/>
      <c r="L1967" s="43" t="n"/>
      <c r="M1967" s="36" t="n"/>
      <c r="N1967" s="44" t="n"/>
      <c r="O1967" s="36" t="n"/>
      <c r="P1967" s="33">
        <f>IF(C1967="","",Commercial_Id)</f>
        <v/>
      </c>
      <c r="Q1967" s="34">
        <f>IF(AC1967="","",IF(AD1967=1,"C"&amp;TEXT(SUM(AD$6:AD1967),"0000"),INDEX(Q$6:Q1966,MATCH(AC1967,AC$6:AC1966,0))))</f>
        <v/>
      </c>
      <c r="R1967" s="34">
        <f>IF(C1967="","",IF(L1967="☑ Oui","Annulée",IF(OR(E1967="Vente directe",K1967&lt;&gt;""),"Livrée",IF(J1967&lt;&gt;"","Confirmée","En attente"))))</f>
        <v/>
      </c>
      <c r="S1967" s="34">
        <f>IF(F1967="","",IFERROR(VLOOKUP(F1967,T_Produits,2,FALSE),""))</f>
        <v/>
      </c>
      <c r="T1967" s="40">
        <f>IF(F1967="","",IFERROR(1/(1/VLOOKUP(F1967,T_Produits,3,FALSE)),""))</f>
        <v/>
      </c>
      <c r="U1967" s="40">
        <f>IF(H1967&lt;&gt;"",H1967,T1967)</f>
        <v/>
      </c>
      <c r="V1967" s="40">
        <f>IF(OR(G1967="",U1967=""),"",G1967*U1967-N(I1967))</f>
        <v/>
      </c>
      <c r="W1967" s="39">
        <f>IF(D1967="","",IFERROR(VALUE(MID(D1967,LEN(D1967)-3,3)),""))</f>
        <v/>
      </c>
      <c r="X1967" s="33">
        <f>IF(W1967="","",P1967&amp;"|"&amp;W1967)</f>
        <v/>
      </c>
      <c r="Y1967" s="33">
        <f>IF(W1967="","",IF(P1967="À RENSEIGNER","GIC",P1967)&amp;"-"&amp;TEXT(W1967,"000"))</f>
        <v/>
      </c>
      <c r="Z1967" s="33">
        <f>IF(X1967="","",IFERROR(INDEX(Cl_nom,MATCH(X1967,Cl_cle,0)),"(client introuvable)"))</f>
        <v/>
      </c>
      <c r="AA1967" s="33">
        <f>IF(X1967="","",IFERROR(INDEX(Cl_quartier,MATCH(X1967,Cl_cle,0))&amp;"",""))</f>
        <v/>
      </c>
      <c r="AB1967" s="45">
        <f>IF(R1967&lt;&gt;"Livrée",0,IF(K1967&lt;&gt;"",K1967,C1967))</f>
        <v/>
      </c>
      <c r="AC1967" s="33">
        <f>IF(OR(C1967="",W1967=""),"",P1967&amp;"|"&amp;W1967&amp;"|"&amp;C1967&amp;"|"&amp;E1967)</f>
        <v/>
      </c>
      <c r="AD1967" s="39">
        <f>IF(AC1967="","",IF(COUNTIF(AC$6:AC1967,AC1967)=1,1,0))</f>
        <v/>
      </c>
      <c r="AE1967" s="39">
        <f>IF(AB1967=0,"",IF(COUNTIFS(X$6:X1967,X1967,AB$6:AB1967,AB1967)=1,1,0))</f>
        <v/>
      </c>
      <c r="AF1967" s="34">
        <f>IF(C1967="","",YEAR(C1967-WEEKDAY(C1967,2)+4)&amp;"-S"&amp;TEXT(INT((C1967-DATE(YEAR(C1967-WEEKDAY(C1967,2)+4),1,3)+WEEKDAY(DATE(YEAR(C1967-WEEKDAY(C1967,2)+4),1,3),2)+5)/7),"00"))</f>
        <v/>
      </c>
    </row>
    <row r="1968" ht="18" customHeight="1">
      <c r="A1968" s="39" t="n">
        <v>1963</v>
      </c>
      <c r="B1968" s="33">
        <f>IF(C1968="","",IF(P1968="À RENSEIGNER","GIC",P1968)&amp;"-C"&amp;TEXT(A1968,"00000"))</f>
        <v/>
      </c>
      <c r="C1968" s="32" t="n"/>
      <c r="D1968" s="36" t="n"/>
      <c r="E1968" s="36" t="n"/>
      <c r="F1968" s="36" t="n"/>
      <c r="G1968" s="42" t="n"/>
      <c r="H1968" s="37" t="n"/>
      <c r="I1968" s="37" t="n"/>
      <c r="J1968" s="32" t="n"/>
      <c r="K1968" s="32" t="n"/>
      <c r="L1968" s="43" t="n"/>
      <c r="M1968" s="36" t="n"/>
      <c r="N1968" s="44" t="n"/>
      <c r="O1968" s="36" t="n"/>
      <c r="P1968" s="33">
        <f>IF(C1968="","",Commercial_Id)</f>
        <v/>
      </c>
      <c r="Q1968" s="34">
        <f>IF(AC1968="","",IF(AD1968=1,"C"&amp;TEXT(SUM(AD$6:AD1968),"0000"),INDEX(Q$6:Q1967,MATCH(AC1968,AC$6:AC1967,0))))</f>
        <v/>
      </c>
      <c r="R1968" s="34">
        <f>IF(C1968="","",IF(L1968="☑ Oui","Annulée",IF(OR(E1968="Vente directe",K1968&lt;&gt;""),"Livrée",IF(J1968&lt;&gt;"","Confirmée","En attente"))))</f>
        <v/>
      </c>
      <c r="S1968" s="34">
        <f>IF(F1968="","",IFERROR(VLOOKUP(F1968,T_Produits,2,FALSE),""))</f>
        <v/>
      </c>
      <c r="T1968" s="40">
        <f>IF(F1968="","",IFERROR(1/(1/VLOOKUP(F1968,T_Produits,3,FALSE)),""))</f>
        <v/>
      </c>
      <c r="U1968" s="40">
        <f>IF(H1968&lt;&gt;"",H1968,T1968)</f>
        <v/>
      </c>
      <c r="V1968" s="40">
        <f>IF(OR(G1968="",U1968=""),"",G1968*U1968-N(I1968))</f>
        <v/>
      </c>
      <c r="W1968" s="39">
        <f>IF(D1968="","",IFERROR(VALUE(MID(D1968,LEN(D1968)-3,3)),""))</f>
        <v/>
      </c>
      <c r="X1968" s="33">
        <f>IF(W1968="","",P1968&amp;"|"&amp;W1968)</f>
        <v/>
      </c>
      <c r="Y1968" s="33">
        <f>IF(W1968="","",IF(P1968="À RENSEIGNER","GIC",P1968)&amp;"-"&amp;TEXT(W1968,"000"))</f>
        <v/>
      </c>
      <c r="Z1968" s="33">
        <f>IF(X1968="","",IFERROR(INDEX(Cl_nom,MATCH(X1968,Cl_cle,0)),"(client introuvable)"))</f>
        <v/>
      </c>
      <c r="AA1968" s="33">
        <f>IF(X1968="","",IFERROR(INDEX(Cl_quartier,MATCH(X1968,Cl_cle,0))&amp;"",""))</f>
        <v/>
      </c>
      <c r="AB1968" s="45">
        <f>IF(R1968&lt;&gt;"Livrée",0,IF(K1968&lt;&gt;"",K1968,C1968))</f>
        <v/>
      </c>
      <c r="AC1968" s="33">
        <f>IF(OR(C1968="",W1968=""),"",P1968&amp;"|"&amp;W1968&amp;"|"&amp;C1968&amp;"|"&amp;E1968)</f>
        <v/>
      </c>
      <c r="AD1968" s="39">
        <f>IF(AC1968="","",IF(COUNTIF(AC$6:AC1968,AC1968)=1,1,0))</f>
        <v/>
      </c>
      <c r="AE1968" s="39">
        <f>IF(AB1968=0,"",IF(COUNTIFS(X$6:X1968,X1968,AB$6:AB1968,AB1968)=1,1,0))</f>
        <v/>
      </c>
      <c r="AF1968" s="34">
        <f>IF(C1968="","",YEAR(C1968-WEEKDAY(C1968,2)+4)&amp;"-S"&amp;TEXT(INT((C1968-DATE(YEAR(C1968-WEEKDAY(C1968,2)+4),1,3)+WEEKDAY(DATE(YEAR(C1968-WEEKDAY(C1968,2)+4),1,3),2)+5)/7),"00"))</f>
        <v/>
      </c>
    </row>
    <row r="1969" ht="18" customHeight="1">
      <c r="A1969" s="39" t="n">
        <v>1964</v>
      </c>
      <c r="B1969" s="33">
        <f>IF(C1969="","",IF(P1969="À RENSEIGNER","GIC",P1969)&amp;"-C"&amp;TEXT(A1969,"00000"))</f>
        <v/>
      </c>
      <c r="C1969" s="32" t="n"/>
      <c r="D1969" s="36" t="n"/>
      <c r="E1969" s="36" t="n"/>
      <c r="F1969" s="36" t="n"/>
      <c r="G1969" s="42" t="n"/>
      <c r="H1969" s="37" t="n"/>
      <c r="I1969" s="37" t="n"/>
      <c r="J1969" s="32" t="n"/>
      <c r="K1969" s="32" t="n"/>
      <c r="L1969" s="43" t="n"/>
      <c r="M1969" s="36" t="n"/>
      <c r="N1969" s="44" t="n"/>
      <c r="O1969" s="36" t="n"/>
      <c r="P1969" s="33">
        <f>IF(C1969="","",Commercial_Id)</f>
        <v/>
      </c>
      <c r="Q1969" s="34">
        <f>IF(AC1969="","",IF(AD1969=1,"C"&amp;TEXT(SUM(AD$6:AD1969),"0000"),INDEX(Q$6:Q1968,MATCH(AC1969,AC$6:AC1968,0))))</f>
        <v/>
      </c>
      <c r="R1969" s="34">
        <f>IF(C1969="","",IF(L1969="☑ Oui","Annulée",IF(OR(E1969="Vente directe",K1969&lt;&gt;""),"Livrée",IF(J1969&lt;&gt;"","Confirmée","En attente"))))</f>
        <v/>
      </c>
      <c r="S1969" s="34">
        <f>IF(F1969="","",IFERROR(VLOOKUP(F1969,T_Produits,2,FALSE),""))</f>
        <v/>
      </c>
      <c r="T1969" s="40">
        <f>IF(F1969="","",IFERROR(1/(1/VLOOKUP(F1969,T_Produits,3,FALSE)),""))</f>
        <v/>
      </c>
      <c r="U1969" s="40">
        <f>IF(H1969&lt;&gt;"",H1969,T1969)</f>
        <v/>
      </c>
      <c r="V1969" s="40">
        <f>IF(OR(G1969="",U1969=""),"",G1969*U1969-N(I1969))</f>
        <v/>
      </c>
      <c r="W1969" s="39">
        <f>IF(D1969="","",IFERROR(VALUE(MID(D1969,LEN(D1969)-3,3)),""))</f>
        <v/>
      </c>
      <c r="X1969" s="33">
        <f>IF(W1969="","",P1969&amp;"|"&amp;W1969)</f>
        <v/>
      </c>
      <c r="Y1969" s="33">
        <f>IF(W1969="","",IF(P1969="À RENSEIGNER","GIC",P1969)&amp;"-"&amp;TEXT(W1969,"000"))</f>
        <v/>
      </c>
      <c r="Z1969" s="33">
        <f>IF(X1969="","",IFERROR(INDEX(Cl_nom,MATCH(X1969,Cl_cle,0)),"(client introuvable)"))</f>
        <v/>
      </c>
      <c r="AA1969" s="33">
        <f>IF(X1969="","",IFERROR(INDEX(Cl_quartier,MATCH(X1969,Cl_cle,0))&amp;"",""))</f>
        <v/>
      </c>
      <c r="AB1969" s="45">
        <f>IF(R1969&lt;&gt;"Livrée",0,IF(K1969&lt;&gt;"",K1969,C1969))</f>
        <v/>
      </c>
      <c r="AC1969" s="33">
        <f>IF(OR(C1969="",W1969=""),"",P1969&amp;"|"&amp;W1969&amp;"|"&amp;C1969&amp;"|"&amp;E1969)</f>
        <v/>
      </c>
      <c r="AD1969" s="39">
        <f>IF(AC1969="","",IF(COUNTIF(AC$6:AC1969,AC1969)=1,1,0))</f>
        <v/>
      </c>
      <c r="AE1969" s="39">
        <f>IF(AB1969=0,"",IF(COUNTIFS(X$6:X1969,X1969,AB$6:AB1969,AB1969)=1,1,0))</f>
        <v/>
      </c>
      <c r="AF1969" s="34">
        <f>IF(C1969="","",YEAR(C1969-WEEKDAY(C1969,2)+4)&amp;"-S"&amp;TEXT(INT((C1969-DATE(YEAR(C1969-WEEKDAY(C1969,2)+4),1,3)+WEEKDAY(DATE(YEAR(C1969-WEEKDAY(C1969,2)+4),1,3),2)+5)/7),"00"))</f>
        <v/>
      </c>
    </row>
    <row r="1970" ht="18" customHeight="1">
      <c r="A1970" s="39" t="n">
        <v>1965</v>
      </c>
      <c r="B1970" s="33">
        <f>IF(C1970="","",IF(P1970="À RENSEIGNER","GIC",P1970)&amp;"-C"&amp;TEXT(A1970,"00000"))</f>
        <v/>
      </c>
      <c r="C1970" s="32" t="n"/>
      <c r="D1970" s="36" t="n"/>
      <c r="E1970" s="36" t="n"/>
      <c r="F1970" s="36" t="n"/>
      <c r="G1970" s="42" t="n"/>
      <c r="H1970" s="37" t="n"/>
      <c r="I1970" s="37" t="n"/>
      <c r="J1970" s="32" t="n"/>
      <c r="K1970" s="32" t="n"/>
      <c r="L1970" s="43" t="n"/>
      <c r="M1970" s="36" t="n"/>
      <c r="N1970" s="44" t="n"/>
      <c r="O1970" s="36" t="n"/>
      <c r="P1970" s="33">
        <f>IF(C1970="","",Commercial_Id)</f>
        <v/>
      </c>
      <c r="Q1970" s="34">
        <f>IF(AC1970="","",IF(AD1970=1,"C"&amp;TEXT(SUM(AD$6:AD1970),"0000"),INDEX(Q$6:Q1969,MATCH(AC1970,AC$6:AC1969,0))))</f>
        <v/>
      </c>
      <c r="R1970" s="34">
        <f>IF(C1970="","",IF(L1970="☑ Oui","Annulée",IF(OR(E1970="Vente directe",K1970&lt;&gt;""),"Livrée",IF(J1970&lt;&gt;"","Confirmée","En attente"))))</f>
        <v/>
      </c>
      <c r="S1970" s="34">
        <f>IF(F1970="","",IFERROR(VLOOKUP(F1970,T_Produits,2,FALSE),""))</f>
        <v/>
      </c>
      <c r="T1970" s="40">
        <f>IF(F1970="","",IFERROR(1/(1/VLOOKUP(F1970,T_Produits,3,FALSE)),""))</f>
        <v/>
      </c>
      <c r="U1970" s="40">
        <f>IF(H1970&lt;&gt;"",H1970,T1970)</f>
        <v/>
      </c>
      <c r="V1970" s="40">
        <f>IF(OR(G1970="",U1970=""),"",G1970*U1970-N(I1970))</f>
        <v/>
      </c>
      <c r="W1970" s="39">
        <f>IF(D1970="","",IFERROR(VALUE(MID(D1970,LEN(D1970)-3,3)),""))</f>
        <v/>
      </c>
      <c r="X1970" s="33">
        <f>IF(W1970="","",P1970&amp;"|"&amp;W1970)</f>
        <v/>
      </c>
      <c r="Y1970" s="33">
        <f>IF(W1970="","",IF(P1970="À RENSEIGNER","GIC",P1970)&amp;"-"&amp;TEXT(W1970,"000"))</f>
        <v/>
      </c>
      <c r="Z1970" s="33">
        <f>IF(X1970="","",IFERROR(INDEX(Cl_nom,MATCH(X1970,Cl_cle,0)),"(client introuvable)"))</f>
        <v/>
      </c>
      <c r="AA1970" s="33">
        <f>IF(X1970="","",IFERROR(INDEX(Cl_quartier,MATCH(X1970,Cl_cle,0))&amp;"",""))</f>
        <v/>
      </c>
      <c r="AB1970" s="45">
        <f>IF(R1970&lt;&gt;"Livrée",0,IF(K1970&lt;&gt;"",K1970,C1970))</f>
        <v/>
      </c>
      <c r="AC1970" s="33">
        <f>IF(OR(C1970="",W1970=""),"",P1970&amp;"|"&amp;W1970&amp;"|"&amp;C1970&amp;"|"&amp;E1970)</f>
        <v/>
      </c>
      <c r="AD1970" s="39">
        <f>IF(AC1970="","",IF(COUNTIF(AC$6:AC1970,AC1970)=1,1,0))</f>
        <v/>
      </c>
      <c r="AE1970" s="39">
        <f>IF(AB1970=0,"",IF(COUNTIFS(X$6:X1970,X1970,AB$6:AB1970,AB1970)=1,1,0))</f>
        <v/>
      </c>
      <c r="AF1970" s="34">
        <f>IF(C1970="","",YEAR(C1970-WEEKDAY(C1970,2)+4)&amp;"-S"&amp;TEXT(INT((C1970-DATE(YEAR(C1970-WEEKDAY(C1970,2)+4),1,3)+WEEKDAY(DATE(YEAR(C1970-WEEKDAY(C1970,2)+4),1,3),2)+5)/7),"00"))</f>
        <v/>
      </c>
    </row>
    <row r="1971" ht="18" customHeight="1">
      <c r="A1971" s="39" t="n">
        <v>1966</v>
      </c>
      <c r="B1971" s="33">
        <f>IF(C1971="","",IF(P1971="À RENSEIGNER","GIC",P1971)&amp;"-C"&amp;TEXT(A1971,"00000"))</f>
        <v/>
      </c>
      <c r="C1971" s="32" t="n"/>
      <c r="D1971" s="36" t="n"/>
      <c r="E1971" s="36" t="n"/>
      <c r="F1971" s="36" t="n"/>
      <c r="G1971" s="42" t="n"/>
      <c r="H1971" s="37" t="n"/>
      <c r="I1971" s="37" t="n"/>
      <c r="J1971" s="32" t="n"/>
      <c r="K1971" s="32" t="n"/>
      <c r="L1971" s="43" t="n"/>
      <c r="M1971" s="36" t="n"/>
      <c r="N1971" s="44" t="n"/>
      <c r="O1971" s="36" t="n"/>
      <c r="P1971" s="33">
        <f>IF(C1971="","",Commercial_Id)</f>
        <v/>
      </c>
      <c r="Q1971" s="34">
        <f>IF(AC1971="","",IF(AD1971=1,"C"&amp;TEXT(SUM(AD$6:AD1971),"0000"),INDEX(Q$6:Q1970,MATCH(AC1971,AC$6:AC1970,0))))</f>
        <v/>
      </c>
      <c r="R1971" s="34">
        <f>IF(C1971="","",IF(L1971="☑ Oui","Annulée",IF(OR(E1971="Vente directe",K1971&lt;&gt;""),"Livrée",IF(J1971&lt;&gt;"","Confirmée","En attente"))))</f>
        <v/>
      </c>
      <c r="S1971" s="34">
        <f>IF(F1971="","",IFERROR(VLOOKUP(F1971,T_Produits,2,FALSE),""))</f>
        <v/>
      </c>
      <c r="T1971" s="40">
        <f>IF(F1971="","",IFERROR(1/(1/VLOOKUP(F1971,T_Produits,3,FALSE)),""))</f>
        <v/>
      </c>
      <c r="U1971" s="40">
        <f>IF(H1971&lt;&gt;"",H1971,T1971)</f>
        <v/>
      </c>
      <c r="V1971" s="40">
        <f>IF(OR(G1971="",U1971=""),"",G1971*U1971-N(I1971))</f>
        <v/>
      </c>
      <c r="W1971" s="39">
        <f>IF(D1971="","",IFERROR(VALUE(MID(D1971,LEN(D1971)-3,3)),""))</f>
        <v/>
      </c>
      <c r="X1971" s="33">
        <f>IF(W1971="","",P1971&amp;"|"&amp;W1971)</f>
        <v/>
      </c>
      <c r="Y1971" s="33">
        <f>IF(W1971="","",IF(P1971="À RENSEIGNER","GIC",P1971)&amp;"-"&amp;TEXT(W1971,"000"))</f>
        <v/>
      </c>
      <c r="Z1971" s="33">
        <f>IF(X1971="","",IFERROR(INDEX(Cl_nom,MATCH(X1971,Cl_cle,0)),"(client introuvable)"))</f>
        <v/>
      </c>
      <c r="AA1971" s="33">
        <f>IF(X1971="","",IFERROR(INDEX(Cl_quartier,MATCH(X1971,Cl_cle,0))&amp;"",""))</f>
        <v/>
      </c>
      <c r="AB1971" s="45">
        <f>IF(R1971&lt;&gt;"Livrée",0,IF(K1971&lt;&gt;"",K1971,C1971))</f>
        <v/>
      </c>
      <c r="AC1971" s="33">
        <f>IF(OR(C1971="",W1971=""),"",P1971&amp;"|"&amp;W1971&amp;"|"&amp;C1971&amp;"|"&amp;E1971)</f>
        <v/>
      </c>
      <c r="AD1971" s="39">
        <f>IF(AC1971="","",IF(COUNTIF(AC$6:AC1971,AC1971)=1,1,0))</f>
        <v/>
      </c>
      <c r="AE1971" s="39">
        <f>IF(AB1971=0,"",IF(COUNTIFS(X$6:X1971,X1971,AB$6:AB1971,AB1971)=1,1,0))</f>
        <v/>
      </c>
      <c r="AF1971" s="34">
        <f>IF(C1971="","",YEAR(C1971-WEEKDAY(C1971,2)+4)&amp;"-S"&amp;TEXT(INT((C1971-DATE(YEAR(C1971-WEEKDAY(C1971,2)+4),1,3)+WEEKDAY(DATE(YEAR(C1971-WEEKDAY(C1971,2)+4),1,3),2)+5)/7),"00"))</f>
        <v/>
      </c>
    </row>
    <row r="1972" ht="18" customHeight="1">
      <c r="A1972" s="39" t="n">
        <v>1967</v>
      </c>
      <c r="B1972" s="33">
        <f>IF(C1972="","",IF(P1972="À RENSEIGNER","GIC",P1972)&amp;"-C"&amp;TEXT(A1972,"00000"))</f>
        <v/>
      </c>
      <c r="C1972" s="32" t="n"/>
      <c r="D1972" s="36" t="n"/>
      <c r="E1972" s="36" t="n"/>
      <c r="F1972" s="36" t="n"/>
      <c r="G1972" s="42" t="n"/>
      <c r="H1972" s="37" t="n"/>
      <c r="I1972" s="37" t="n"/>
      <c r="J1972" s="32" t="n"/>
      <c r="K1972" s="32" t="n"/>
      <c r="L1972" s="43" t="n"/>
      <c r="M1972" s="36" t="n"/>
      <c r="N1972" s="44" t="n"/>
      <c r="O1972" s="36" t="n"/>
      <c r="P1972" s="33">
        <f>IF(C1972="","",Commercial_Id)</f>
        <v/>
      </c>
      <c r="Q1972" s="34">
        <f>IF(AC1972="","",IF(AD1972=1,"C"&amp;TEXT(SUM(AD$6:AD1972),"0000"),INDEX(Q$6:Q1971,MATCH(AC1972,AC$6:AC1971,0))))</f>
        <v/>
      </c>
      <c r="R1972" s="34">
        <f>IF(C1972="","",IF(L1972="☑ Oui","Annulée",IF(OR(E1972="Vente directe",K1972&lt;&gt;""),"Livrée",IF(J1972&lt;&gt;"","Confirmée","En attente"))))</f>
        <v/>
      </c>
      <c r="S1972" s="34">
        <f>IF(F1972="","",IFERROR(VLOOKUP(F1972,T_Produits,2,FALSE),""))</f>
        <v/>
      </c>
      <c r="T1972" s="40">
        <f>IF(F1972="","",IFERROR(1/(1/VLOOKUP(F1972,T_Produits,3,FALSE)),""))</f>
        <v/>
      </c>
      <c r="U1972" s="40">
        <f>IF(H1972&lt;&gt;"",H1972,T1972)</f>
        <v/>
      </c>
      <c r="V1972" s="40">
        <f>IF(OR(G1972="",U1972=""),"",G1972*U1972-N(I1972))</f>
        <v/>
      </c>
      <c r="W1972" s="39">
        <f>IF(D1972="","",IFERROR(VALUE(MID(D1972,LEN(D1972)-3,3)),""))</f>
        <v/>
      </c>
      <c r="X1972" s="33">
        <f>IF(W1972="","",P1972&amp;"|"&amp;W1972)</f>
        <v/>
      </c>
      <c r="Y1972" s="33">
        <f>IF(W1972="","",IF(P1972="À RENSEIGNER","GIC",P1972)&amp;"-"&amp;TEXT(W1972,"000"))</f>
        <v/>
      </c>
      <c r="Z1972" s="33">
        <f>IF(X1972="","",IFERROR(INDEX(Cl_nom,MATCH(X1972,Cl_cle,0)),"(client introuvable)"))</f>
        <v/>
      </c>
      <c r="AA1972" s="33">
        <f>IF(X1972="","",IFERROR(INDEX(Cl_quartier,MATCH(X1972,Cl_cle,0))&amp;"",""))</f>
        <v/>
      </c>
      <c r="AB1972" s="45">
        <f>IF(R1972&lt;&gt;"Livrée",0,IF(K1972&lt;&gt;"",K1972,C1972))</f>
        <v/>
      </c>
      <c r="AC1972" s="33">
        <f>IF(OR(C1972="",W1972=""),"",P1972&amp;"|"&amp;W1972&amp;"|"&amp;C1972&amp;"|"&amp;E1972)</f>
        <v/>
      </c>
      <c r="AD1972" s="39">
        <f>IF(AC1972="","",IF(COUNTIF(AC$6:AC1972,AC1972)=1,1,0))</f>
        <v/>
      </c>
      <c r="AE1972" s="39">
        <f>IF(AB1972=0,"",IF(COUNTIFS(X$6:X1972,X1972,AB$6:AB1972,AB1972)=1,1,0))</f>
        <v/>
      </c>
      <c r="AF1972" s="34">
        <f>IF(C1972="","",YEAR(C1972-WEEKDAY(C1972,2)+4)&amp;"-S"&amp;TEXT(INT((C1972-DATE(YEAR(C1972-WEEKDAY(C1972,2)+4),1,3)+WEEKDAY(DATE(YEAR(C1972-WEEKDAY(C1972,2)+4),1,3),2)+5)/7),"00"))</f>
        <v/>
      </c>
    </row>
    <row r="1973" ht="18" customHeight="1">
      <c r="A1973" s="39" t="n">
        <v>1968</v>
      </c>
      <c r="B1973" s="33">
        <f>IF(C1973="","",IF(P1973="À RENSEIGNER","GIC",P1973)&amp;"-C"&amp;TEXT(A1973,"00000"))</f>
        <v/>
      </c>
      <c r="C1973" s="32" t="n"/>
      <c r="D1973" s="36" t="n"/>
      <c r="E1973" s="36" t="n"/>
      <c r="F1973" s="36" t="n"/>
      <c r="G1973" s="42" t="n"/>
      <c r="H1973" s="37" t="n"/>
      <c r="I1973" s="37" t="n"/>
      <c r="J1973" s="32" t="n"/>
      <c r="K1973" s="32" t="n"/>
      <c r="L1973" s="43" t="n"/>
      <c r="M1973" s="36" t="n"/>
      <c r="N1973" s="44" t="n"/>
      <c r="O1973" s="36" t="n"/>
      <c r="P1973" s="33">
        <f>IF(C1973="","",Commercial_Id)</f>
        <v/>
      </c>
      <c r="Q1973" s="34">
        <f>IF(AC1973="","",IF(AD1973=1,"C"&amp;TEXT(SUM(AD$6:AD1973),"0000"),INDEX(Q$6:Q1972,MATCH(AC1973,AC$6:AC1972,0))))</f>
        <v/>
      </c>
      <c r="R1973" s="34">
        <f>IF(C1973="","",IF(L1973="☑ Oui","Annulée",IF(OR(E1973="Vente directe",K1973&lt;&gt;""),"Livrée",IF(J1973&lt;&gt;"","Confirmée","En attente"))))</f>
        <v/>
      </c>
      <c r="S1973" s="34">
        <f>IF(F1973="","",IFERROR(VLOOKUP(F1973,T_Produits,2,FALSE),""))</f>
        <v/>
      </c>
      <c r="T1973" s="40">
        <f>IF(F1973="","",IFERROR(1/(1/VLOOKUP(F1973,T_Produits,3,FALSE)),""))</f>
        <v/>
      </c>
      <c r="U1973" s="40">
        <f>IF(H1973&lt;&gt;"",H1973,T1973)</f>
        <v/>
      </c>
      <c r="V1973" s="40">
        <f>IF(OR(G1973="",U1973=""),"",G1973*U1973-N(I1973))</f>
        <v/>
      </c>
      <c r="W1973" s="39">
        <f>IF(D1973="","",IFERROR(VALUE(MID(D1973,LEN(D1973)-3,3)),""))</f>
        <v/>
      </c>
      <c r="X1973" s="33">
        <f>IF(W1973="","",P1973&amp;"|"&amp;W1973)</f>
        <v/>
      </c>
      <c r="Y1973" s="33">
        <f>IF(W1973="","",IF(P1973="À RENSEIGNER","GIC",P1973)&amp;"-"&amp;TEXT(W1973,"000"))</f>
        <v/>
      </c>
      <c r="Z1973" s="33">
        <f>IF(X1973="","",IFERROR(INDEX(Cl_nom,MATCH(X1973,Cl_cle,0)),"(client introuvable)"))</f>
        <v/>
      </c>
      <c r="AA1973" s="33">
        <f>IF(X1973="","",IFERROR(INDEX(Cl_quartier,MATCH(X1973,Cl_cle,0))&amp;"",""))</f>
        <v/>
      </c>
      <c r="AB1973" s="45">
        <f>IF(R1973&lt;&gt;"Livrée",0,IF(K1973&lt;&gt;"",K1973,C1973))</f>
        <v/>
      </c>
      <c r="AC1973" s="33">
        <f>IF(OR(C1973="",W1973=""),"",P1973&amp;"|"&amp;W1973&amp;"|"&amp;C1973&amp;"|"&amp;E1973)</f>
        <v/>
      </c>
      <c r="AD1973" s="39">
        <f>IF(AC1973="","",IF(COUNTIF(AC$6:AC1973,AC1973)=1,1,0))</f>
        <v/>
      </c>
      <c r="AE1973" s="39">
        <f>IF(AB1973=0,"",IF(COUNTIFS(X$6:X1973,X1973,AB$6:AB1973,AB1973)=1,1,0))</f>
        <v/>
      </c>
      <c r="AF1973" s="34">
        <f>IF(C1973="","",YEAR(C1973-WEEKDAY(C1973,2)+4)&amp;"-S"&amp;TEXT(INT((C1973-DATE(YEAR(C1973-WEEKDAY(C1973,2)+4),1,3)+WEEKDAY(DATE(YEAR(C1973-WEEKDAY(C1973,2)+4),1,3),2)+5)/7),"00"))</f>
        <v/>
      </c>
    </row>
    <row r="1974" ht="18" customHeight="1">
      <c r="A1974" s="39" t="n">
        <v>1969</v>
      </c>
      <c r="B1974" s="33">
        <f>IF(C1974="","",IF(P1974="À RENSEIGNER","GIC",P1974)&amp;"-C"&amp;TEXT(A1974,"00000"))</f>
        <v/>
      </c>
      <c r="C1974" s="32" t="n"/>
      <c r="D1974" s="36" t="n"/>
      <c r="E1974" s="36" t="n"/>
      <c r="F1974" s="36" t="n"/>
      <c r="G1974" s="42" t="n"/>
      <c r="H1974" s="37" t="n"/>
      <c r="I1974" s="37" t="n"/>
      <c r="J1974" s="32" t="n"/>
      <c r="K1974" s="32" t="n"/>
      <c r="L1974" s="43" t="n"/>
      <c r="M1974" s="36" t="n"/>
      <c r="N1974" s="44" t="n"/>
      <c r="O1974" s="36" t="n"/>
      <c r="P1974" s="33">
        <f>IF(C1974="","",Commercial_Id)</f>
        <v/>
      </c>
      <c r="Q1974" s="34">
        <f>IF(AC1974="","",IF(AD1974=1,"C"&amp;TEXT(SUM(AD$6:AD1974),"0000"),INDEX(Q$6:Q1973,MATCH(AC1974,AC$6:AC1973,0))))</f>
        <v/>
      </c>
      <c r="R1974" s="34">
        <f>IF(C1974="","",IF(L1974="☑ Oui","Annulée",IF(OR(E1974="Vente directe",K1974&lt;&gt;""),"Livrée",IF(J1974&lt;&gt;"","Confirmée","En attente"))))</f>
        <v/>
      </c>
      <c r="S1974" s="34">
        <f>IF(F1974="","",IFERROR(VLOOKUP(F1974,T_Produits,2,FALSE),""))</f>
        <v/>
      </c>
      <c r="T1974" s="40">
        <f>IF(F1974="","",IFERROR(1/(1/VLOOKUP(F1974,T_Produits,3,FALSE)),""))</f>
        <v/>
      </c>
      <c r="U1974" s="40">
        <f>IF(H1974&lt;&gt;"",H1974,T1974)</f>
        <v/>
      </c>
      <c r="V1974" s="40">
        <f>IF(OR(G1974="",U1974=""),"",G1974*U1974-N(I1974))</f>
        <v/>
      </c>
      <c r="W1974" s="39">
        <f>IF(D1974="","",IFERROR(VALUE(MID(D1974,LEN(D1974)-3,3)),""))</f>
        <v/>
      </c>
      <c r="X1974" s="33">
        <f>IF(W1974="","",P1974&amp;"|"&amp;W1974)</f>
        <v/>
      </c>
      <c r="Y1974" s="33">
        <f>IF(W1974="","",IF(P1974="À RENSEIGNER","GIC",P1974)&amp;"-"&amp;TEXT(W1974,"000"))</f>
        <v/>
      </c>
      <c r="Z1974" s="33">
        <f>IF(X1974="","",IFERROR(INDEX(Cl_nom,MATCH(X1974,Cl_cle,0)),"(client introuvable)"))</f>
        <v/>
      </c>
      <c r="AA1974" s="33">
        <f>IF(X1974="","",IFERROR(INDEX(Cl_quartier,MATCH(X1974,Cl_cle,0))&amp;"",""))</f>
        <v/>
      </c>
      <c r="AB1974" s="45">
        <f>IF(R1974&lt;&gt;"Livrée",0,IF(K1974&lt;&gt;"",K1974,C1974))</f>
        <v/>
      </c>
      <c r="AC1974" s="33">
        <f>IF(OR(C1974="",W1974=""),"",P1974&amp;"|"&amp;W1974&amp;"|"&amp;C1974&amp;"|"&amp;E1974)</f>
        <v/>
      </c>
      <c r="AD1974" s="39">
        <f>IF(AC1974="","",IF(COUNTIF(AC$6:AC1974,AC1974)=1,1,0))</f>
        <v/>
      </c>
      <c r="AE1974" s="39">
        <f>IF(AB1974=0,"",IF(COUNTIFS(X$6:X1974,X1974,AB$6:AB1974,AB1974)=1,1,0))</f>
        <v/>
      </c>
      <c r="AF1974" s="34">
        <f>IF(C1974="","",YEAR(C1974-WEEKDAY(C1974,2)+4)&amp;"-S"&amp;TEXT(INT((C1974-DATE(YEAR(C1974-WEEKDAY(C1974,2)+4),1,3)+WEEKDAY(DATE(YEAR(C1974-WEEKDAY(C1974,2)+4),1,3),2)+5)/7),"00"))</f>
        <v/>
      </c>
    </row>
    <row r="1975" ht="18" customHeight="1">
      <c r="A1975" s="39" t="n">
        <v>1970</v>
      </c>
      <c r="B1975" s="33">
        <f>IF(C1975="","",IF(P1975="À RENSEIGNER","GIC",P1975)&amp;"-C"&amp;TEXT(A1975,"00000"))</f>
        <v/>
      </c>
      <c r="C1975" s="32" t="n"/>
      <c r="D1975" s="36" t="n"/>
      <c r="E1975" s="36" t="n"/>
      <c r="F1975" s="36" t="n"/>
      <c r="G1975" s="42" t="n"/>
      <c r="H1975" s="37" t="n"/>
      <c r="I1975" s="37" t="n"/>
      <c r="J1975" s="32" t="n"/>
      <c r="K1975" s="32" t="n"/>
      <c r="L1975" s="43" t="n"/>
      <c r="M1975" s="36" t="n"/>
      <c r="N1975" s="44" t="n"/>
      <c r="O1975" s="36" t="n"/>
      <c r="P1975" s="33">
        <f>IF(C1975="","",Commercial_Id)</f>
        <v/>
      </c>
      <c r="Q1975" s="34">
        <f>IF(AC1975="","",IF(AD1975=1,"C"&amp;TEXT(SUM(AD$6:AD1975),"0000"),INDEX(Q$6:Q1974,MATCH(AC1975,AC$6:AC1974,0))))</f>
        <v/>
      </c>
      <c r="R1975" s="34">
        <f>IF(C1975="","",IF(L1975="☑ Oui","Annulée",IF(OR(E1975="Vente directe",K1975&lt;&gt;""),"Livrée",IF(J1975&lt;&gt;"","Confirmée","En attente"))))</f>
        <v/>
      </c>
      <c r="S1975" s="34">
        <f>IF(F1975="","",IFERROR(VLOOKUP(F1975,T_Produits,2,FALSE),""))</f>
        <v/>
      </c>
      <c r="T1975" s="40">
        <f>IF(F1975="","",IFERROR(1/(1/VLOOKUP(F1975,T_Produits,3,FALSE)),""))</f>
        <v/>
      </c>
      <c r="U1975" s="40">
        <f>IF(H1975&lt;&gt;"",H1975,T1975)</f>
        <v/>
      </c>
      <c r="V1975" s="40">
        <f>IF(OR(G1975="",U1975=""),"",G1975*U1975-N(I1975))</f>
        <v/>
      </c>
      <c r="W1975" s="39">
        <f>IF(D1975="","",IFERROR(VALUE(MID(D1975,LEN(D1975)-3,3)),""))</f>
        <v/>
      </c>
      <c r="X1975" s="33">
        <f>IF(W1975="","",P1975&amp;"|"&amp;W1975)</f>
        <v/>
      </c>
      <c r="Y1975" s="33">
        <f>IF(W1975="","",IF(P1975="À RENSEIGNER","GIC",P1975)&amp;"-"&amp;TEXT(W1975,"000"))</f>
        <v/>
      </c>
      <c r="Z1975" s="33">
        <f>IF(X1975="","",IFERROR(INDEX(Cl_nom,MATCH(X1975,Cl_cle,0)),"(client introuvable)"))</f>
        <v/>
      </c>
      <c r="AA1975" s="33">
        <f>IF(X1975="","",IFERROR(INDEX(Cl_quartier,MATCH(X1975,Cl_cle,0))&amp;"",""))</f>
        <v/>
      </c>
      <c r="AB1975" s="45">
        <f>IF(R1975&lt;&gt;"Livrée",0,IF(K1975&lt;&gt;"",K1975,C1975))</f>
        <v/>
      </c>
      <c r="AC1975" s="33">
        <f>IF(OR(C1975="",W1975=""),"",P1975&amp;"|"&amp;W1975&amp;"|"&amp;C1975&amp;"|"&amp;E1975)</f>
        <v/>
      </c>
      <c r="AD1975" s="39">
        <f>IF(AC1975="","",IF(COUNTIF(AC$6:AC1975,AC1975)=1,1,0))</f>
        <v/>
      </c>
      <c r="AE1975" s="39">
        <f>IF(AB1975=0,"",IF(COUNTIFS(X$6:X1975,X1975,AB$6:AB1975,AB1975)=1,1,0))</f>
        <v/>
      </c>
      <c r="AF1975" s="34">
        <f>IF(C1975="","",YEAR(C1975-WEEKDAY(C1975,2)+4)&amp;"-S"&amp;TEXT(INT((C1975-DATE(YEAR(C1975-WEEKDAY(C1975,2)+4),1,3)+WEEKDAY(DATE(YEAR(C1975-WEEKDAY(C1975,2)+4),1,3),2)+5)/7),"00"))</f>
        <v/>
      </c>
    </row>
    <row r="1976" ht="18" customHeight="1">
      <c r="A1976" s="39" t="n">
        <v>1971</v>
      </c>
      <c r="B1976" s="33">
        <f>IF(C1976="","",IF(P1976="À RENSEIGNER","GIC",P1976)&amp;"-C"&amp;TEXT(A1976,"00000"))</f>
        <v/>
      </c>
      <c r="C1976" s="32" t="n"/>
      <c r="D1976" s="36" t="n"/>
      <c r="E1976" s="36" t="n"/>
      <c r="F1976" s="36" t="n"/>
      <c r="G1976" s="42" t="n"/>
      <c r="H1976" s="37" t="n"/>
      <c r="I1976" s="37" t="n"/>
      <c r="J1976" s="32" t="n"/>
      <c r="K1976" s="32" t="n"/>
      <c r="L1976" s="43" t="n"/>
      <c r="M1976" s="36" t="n"/>
      <c r="N1976" s="44" t="n"/>
      <c r="O1976" s="36" t="n"/>
      <c r="P1976" s="33">
        <f>IF(C1976="","",Commercial_Id)</f>
        <v/>
      </c>
      <c r="Q1976" s="34">
        <f>IF(AC1976="","",IF(AD1976=1,"C"&amp;TEXT(SUM(AD$6:AD1976),"0000"),INDEX(Q$6:Q1975,MATCH(AC1976,AC$6:AC1975,0))))</f>
        <v/>
      </c>
      <c r="R1976" s="34">
        <f>IF(C1976="","",IF(L1976="☑ Oui","Annulée",IF(OR(E1976="Vente directe",K1976&lt;&gt;""),"Livrée",IF(J1976&lt;&gt;"","Confirmée","En attente"))))</f>
        <v/>
      </c>
      <c r="S1976" s="34">
        <f>IF(F1976="","",IFERROR(VLOOKUP(F1976,T_Produits,2,FALSE),""))</f>
        <v/>
      </c>
      <c r="T1976" s="40">
        <f>IF(F1976="","",IFERROR(1/(1/VLOOKUP(F1976,T_Produits,3,FALSE)),""))</f>
        <v/>
      </c>
      <c r="U1976" s="40">
        <f>IF(H1976&lt;&gt;"",H1976,T1976)</f>
        <v/>
      </c>
      <c r="V1976" s="40">
        <f>IF(OR(G1976="",U1976=""),"",G1976*U1976-N(I1976))</f>
        <v/>
      </c>
      <c r="W1976" s="39">
        <f>IF(D1976="","",IFERROR(VALUE(MID(D1976,LEN(D1976)-3,3)),""))</f>
        <v/>
      </c>
      <c r="X1976" s="33">
        <f>IF(W1976="","",P1976&amp;"|"&amp;W1976)</f>
        <v/>
      </c>
      <c r="Y1976" s="33">
        <f>IF(W1976="","",IF(P1976="À RENSEIGNER","GIC",P1976)&amp;"-"&amp;TEXT(W1976,"000"))</f>
        <v/>
      </c>
      <c r="Z1976" s="33">
        <f>IF(X1976="","",IFERROR(INDEX(Cl_nom,MATCH(X1976,Cl_cle,0)),"(client introuvable)"))</f>
        <v/>
      </c>
      <c r="AA1976" s="33">
        <f>IF(X1976="","",IFERROR(INDEX(Cl_quartier,MATCH(X1976,Cl_cle,0))&amp;"",""))</f>
        <v/>
      </c>
      <c r="AB1976" s="45">
        <f>IF(R1976&lt;&gt;"Livrée",0,IF(K1976&lt;&gt;"",K1976,C1976))</f>
        <v/>
      </c>
      <c r="AC1976" s="33">
        <f>IF(OR(C1976="",W1976=""),"",P1976&amp;"|"&amp;W1976&amp;"|"&amp;C1976&amp;"|"&amp;E1976)</f>
        <v/>
      </c>
      <c r="AD1976" s="39">
        <f>IF(AC1976="","",IF(COUNTIF(AC$6:AC1976,AC1976)=1,1,0))</f>
        <v/>
      </c>
      <c r="AE1976" s="39">
        <f>IF(AB1976=0,"",IF(COUNTIFS(X$6:X1976,X1976,AB$6:AB1976,AB1976)=1,1,0))</f>
        <v/>
      </c>
      <c r="AF1976" s="34">
        <f>IF(C1976="","",YEAR(C1976-WEEKDAY(C1976,2)+4)&amp;"-S"&amp;TEXT(INT((C1976-DATE(YEAR(C1976-WEEKDAY(C1976,2)+4),1,3)+WEEKDAY(DATE(YEAR(C1976-WEEKDAY(C1976,2)+4),1,3),2)+5)/7),"00"))</f>
        <v/>
      </c>
    </row>
    <row r="1977" ht="18" customHeight="1">
      <c r="A1977" s="39" t="n">
        <v>1972</v>
      </c>
      <c r="B1977" s="33">
        <f>IF(C1977="","",IF(P1977="À RENSEIGNER","GIC",P1977)&amp;"-C"&amp;TEXT(A1977,"00000"))</f>
        <v/>
      </c>
      <c r="C1977" s="32" t="n"/>
      <c r="D1977" s="36" t="n"/>
      <c r="E1977" s="36" t="n"/>
      <c r="F1977" s="36" t="n"/>
      <c r="G1977" s="42" t="n"/>
      <c r="H1977" s="37" t="n"/>
      <c r="I1977" s="37" t="n"/>
      <c r="J1977" s="32" t="n"/>
      <c r="K1977" s="32" t="n"/>
      <c r="L1977" s="43" t="n"/>
      <c r="M1977" s="36" t="n"/>
      <c r="N1977" s="44" t="n"/>
      <c r="O1977" s="36" t="n"/>
      <c r="P1977" s="33">
        <f>IF(C1977="","",Commercial_Id)</f>
        <v/>
      </c>
      <c r="Q1977" s="34">
        <f>IF(AC1977="","",IF(AD1977=1,"C"&amp;TEXT(SUM(AD$6:AD1977),"0000"),INDEX(Q$6:Q1976,MATCH(AC1977,AC$6:AC1976,0))))</f>
        <v/>
      </c>
      <c r="R1977" s="34">
        <f>IF(C1977="","",IF(L1977="☑ Oui","Annulée",IF(OR(E1977="Vente directe",K1977&lt;&gt;""),"Livrée",IF(J1977&lt;&gt;"","Confirmée","En attente"))))</f>
        <v/>
      </c>
      <c r="S1977" s="34">
        <f>IF(F1977="","",IFERROR(VLOOKUP(F1977,T_Produits,2,FALSE),""))</f>
        <v/>
      </c>
      <c r="T1977" s="40">
        <f>IF(F1977="","",IFERROR(1/(1/VLOOKUP(F1977,T_Produits,3,FALSE)),""))</f>
        <v/>
      </c>
      <c r="U1977" s="40">
        <f>IF(H1977&lt;&gt;"",H1977,T1977)</f>
        <v/>
      </c>
      <c r="V1977" s="40">
        <f>IF(OR(G1977="",U1977=""),"",G1977*U1977-N(I1977))</f>
        <v/>
      </c>
      <c r="W1977" s="39">
        <f>IF(D1977="","",IFERROR(VALUE(MID(D1977,LEN(D1977)-3,3)),""))</f>
        <v/>
      </c>
      <c r="X1977" s="33">
        <f>IF(W1977="","",P1977&amp;"|"&amp;W1977)</f>
        <v/>
      </c>
      <c r="Y1977" s="33">
        <f>IF(W1977="","",IF(P1977="À RENSEIGNER","GIC",P1977)&amp;"-"&amp;TEXT(W1977,"000"))</f>
        <v/>
      </c>
      <c r="Z1977" s="33">
        <f>IF(X1977="","",IFERROR(INDEX(Cl_nom,MATCH(X1977,Cl_cle,0)),"(client introuvable)"))</f>
        <v/>
      </c>
      <c r="AA1977" s="33">
        <f>IF(X1977="","",IFERROR(INDEX(Cl_quartier,MATCH(X1977,Cl_cle,0))&amp;"",""))</f>
        <v/>
      </c>
      <c r="AB1977" s="45">
        <f>IF(R1977&lt;&gt;"Livrée",0,IF(K1977&lt;&gt;"",K1977,C1977))</f>
        <v/>
      </c>
      <c r="AC1977" s="33">
        <f>IF(OR(C1977="",W1977=""),"",P1977&amp;"|"&amp;W1977&amp;"|"&amp;C1977&amp;"|"&amp;E1977)</f>
        <v/>
      </c>
      <c r="AD1977" s="39">
        <f>IF(AC1977="","",IF(COUNTIF(AC$6:AC1977,AC1977)=1,1,0))</f>
        <v/>
      </c>
      <c r="AE1977" s="39">
        <f>IF(AB1977=0,"",IF(COUNTIFS(X$6:X1977,X1977,AB$6:AB1977,AB1977)=1,1,0))</f>
        <v/>
      </c>
      <c r="AF1977" s="34">
        <f>IF(C1977="","",YEAR(C1977-WEEKDAY(C1977,2)+4)&amp;"-S"&amp;TEXT(INT((C1977-DATE(YEAR(C1977-WEEKDAY(C1977,2)+4),1,3)+WEEKDAY(DATE(YEAR(C1977-WEEKDAY(C1977,2)+4),1,3),2)+5)/7),"00"))</f>
        <v/>
      </c>
    </row>
    <row r="1978" ht="18" customHeight="1">
      <c r="A1978" s="39" t="n">
        <v>1973</v>
      </c>
      <c r="B1978" s="33">
        <f>IF(C1978="","",IF(P1978="À RENSEIGNER","GIC",P1978)&amp;"-C"&amp;TEXT(A1978,"00000"))</f>
        <v/>
      </c>
      <c r="C1978" s="32" t="n"/>
      <c r="D1978" s="36" t="n"/>
      <c r="E1978" s="36" t="n"/>
      <c r="F1978" s="36" t="n"/>
      <c r="G1978" s="42" t="n"/>
      <c r="H1978" s="37" t="n"/>
      <c r="I1978" s="37" t="n"/>
      <c r="J1978" s="32" t="n"/>
      <c r="K1978" s="32" t="n"/>
      <c r="L1978" s="43" t="n"/>
      <c r="M1978" s="36" t="n"/>
      <c r="N1978" s="44" t="n"/>
      <c r="O1978" s="36" t="n"/>
      <c r="P1978" s="33">
        <f>IF(C1978="","",Commercial_Id)</f>
        <v/>
      </c>
      <c r="Q1978" s="34">
        <f>IF(AC1978="","",IF(AD1978=1,"C"&amp;TEXT(SUM(AD$6:AD1978),"0000"),INDEX(Q$6:Q1977,MATCH(AC1978,AC$6:AC1977,0))))</f>
        <v/>
      </c>
      <c r="R1978" s="34">
        <f>IF(C1978="","",IF(L1978="☑ Oui","Annulée",IF(OR(E1978="Vente directe",K1978&lt;&gt;""),"Livrée",IF(J1978&lt;&gt;"","Confirmée","En attente"))))</f>
        <v/>
      </c>
      <c r="S1978" s="34">
        <f>IF(F1978="","",IFERROR(VLOOKUP(F1978,T_Produits,2,FALSE),""))</f>
        <v/>
      </c>
      <c r="T1978" s="40">
        <f>IF(F1978="","",IFERROR(1/(1/VLOOKUP(F1978,T_Produits,3,FALSE)),""))</f>
        <v/>
      </c>
      <c r="U1978" s="40">
        <f>IF(H1978&lt;&gt;"",H1978,T1978)</f>
        <v/>
      </c>
      <c r="V1978" s="40">
        <f>IF(OR(G1978="",U1978=""),"",G1978*U1978-N(I1978))</f>
        <v/>
      </c>
      <c r="W1978" s="39">
        <f>IF(D1978="","",IFERROR(VALUE(MID(D1978,LEN(D1978)-3,3)),""))</f>
        <v/>
      </c>
      <c r="X1978" s="33">
        <f>IF(W1978="","",P1978&amp;"|"&amp;W1978)</f>
        <v/>
      </c>
      <c r="Y1978" s="33">
        <f>IF(W1978="","",IF(P1978="À RENSEIGNER","GIC",P1978)&amp;"-"&amp;TEXT(W1978,"000"))</f>
        <v/>
      </c>
      <c r="Z1978" s="33">
        <f>IF(X1978="","",IFERROR(INDEX(Cl_nom,MATCH(X1978,Cl_cle,0)),"(client introuvable)"))</f>
        <v/>
      </c>
      <c r="AA1978" s="33">
        <f>IF(X1978="","",IFERROR(INDEX(Cl_quartier,MATCH(X1978,Cl_cle,0))&amp;"",""))</f>
        <v/>
      </c>
      <c r="AB1978" s="45">
        <f>IF(R1978&lt;&gt;"Livrée",0,IF(K1978&lt;&gt;"",K1978,C1978))</f>
        <v/>
      </c>
      <c r="AC1978" s="33">
        <f>IF(OR(C1978="",W1978=""),"",P1978&amp;"|"&amp;W1978&amp;"|"&amp;C1978&amp;"|"&amp;E1978)</f>
        <v/>
      </c>
      <c r="AD1978" s="39">
        <f>IF(AC1978="","",IF(COUNTIF(AC$6:AC1978,AC1978)=1,1,0))</f>
        <v/>
      </c>
      <c r="AE1978" s="39">
        <f>IF(AB1978=0,"",IF(COUNTIFS(X$6:X1978,X1978,AB$6:AB1978,AB1978)=1,1,0))</f>
        <v/>
      </c>
      <c r="AF1978" s="34">
        <f>IF(C1978="","",YEAR(C1978-WEEKDAY(C1978,2)+4)&amp;"-S"&amp;TEXT(INT((C1978-DATE(YEAR(C1978-WEEKDAY(C1978,2)+4),1,3)+WEEKDAY(DATE(YEAR(C1978-WEEKDAY(C1978,2)+4),1,3),2)+5)/7),"00"))</f>
        <v/>
      </c>
    </row>
    <row r="1979" ht="18" customHeight="1">
      <c r="A1979" s="39" t="n">
        <v>1974</v>
      </c>
      <c r="B1979" s="33">
        <f>IF(C1979="","",IF(P1979="À RENSEIGNER","GIC",P1979)&amp;"-C"&amp;TEXT(A1979,"00000"))</f>
        <v/>
      </c>
      <c r="C1979" s="32" t="n"/>
      <c r="D1979" s="36" t="n"/>
      <c r="E1979" s="36" t="n"/>
      <c r="F1979" s="36" t="n"/>
      <c r="G1979" s="42" t="n"/>
      <c r="H1979" s="37" t="n"/>
      <c r="I1979" s="37" t="n"/>
      <c r="J1979" s="32" t="n"/>
      <c r="K1979" s="32" t="n"/>
      <c r="L1979" s="43" t="n"/>
      <c r="M1979" s="36" t="n"/>
      <c r="N1979" s="44" t="n"/>
      <c r="O1979" s="36" t="n"/>
      <c r="P1979" s="33">
        <f>IF(C1979="","",Commercial_Id)</f>
        <v/>
      </c>
      <c r="Q1979" s="34">
        <f>IF(AC1979="","",IF(AD1979=1,"C"&amp;TEXT(SUM(AD$6:AD1979),"0000"),INDEX(Q$6:Q1978,MATCH(AC1979,AC$6:AC1978,0))))</f>
        <v/>
      </c>
      <c r="R1979" s="34">
        <f>IF(C1979="","",IF(L1979="☑ Oui","Annulée",IF(OR(E1979="Vente directe",K1979&lt;&gt;""),"Livrée",IF(J1979&lt;&gt;"","Confirmée","En attente"))))</f>
        <v/>
      </c>
      <c r="S1979" s="34">
        <f>IF(F1979="","",IFERROR(VLOOKUP(F1979,T_Produits,2,FALSE),""))</f>
        <v/>
      </c>
      <c r="T1979" s="40">
        <f>IF(F1979="","",IFERROR(1/(1/VLOOKUP(F1979,T_Produits,3,FALSE)),""))</f>
        <v/>
      </c>
      <c r="U1979" s="40">
        <f>IF(H1979&lt;&gt;"",H1979,T1979)</f>
        <v/>
      </c>
      <c r="V1979" s="40">
        <f>IF(OR(G1979="",U1979=""),"",G1979*U1979-N(I1979))</f>
        <v/>
      </c>
      <c r="W1979" s="39">
        <f>IF(D1979="","",IFERROR(VALUE(MID(D1979,LEN(D1979)-3,3)),""))</f>
        <v/>
      </c>
      <c r="X1979" s="33">
        <f>IF(W1979="","",P1979&amp;"|"&amp;W1979)</f>
        <v/>
      </c>
      <c r="Y1979" s="33">
        <f>IF(W1979="","",IF(P1979="À RENSEIGNER","GIC",P1979)&amp;"-"&amp;TEXT(W1979,"000"))</f>
        <v/>
      </c>
      <c r="Z1979" s="33">
        <f>IF(X1979="","",IFERROR(INDEX(Cl_nom,MATCH(X1979,Cl_cle,0)),"(client introuvable)"))</f>
        <v/>
      </c>
      <c r="AA1979" s="33">
        <f>IF(X1979="","",IFERROR(INDEX(Cl_quartier,MATCH(X1979,Cl_cle,0))&amp;"",""))</f>
        <v/>
      </c>
      <c r="AB1979" s="45">
        <f>IF(R1979&lt;&gt;"Livrée",0,IF(K1979&lt;&gt;"",K1979,C1979))</f>
        <v/>
      </c>
      <c r="AC1979" s="33">
        <f>IF(OR(C1979="",W1979=""),"",P1979&amp;"|"&amp;W1979&amp;"|"&amp;C1979&amp;"|"&amp;E1979)</f>
        <v/>
      </c>
      <c r="AD1979" s="39">
        <f>IF(AC1979="","",IF(COUNTIF(AC$6:AC1979,AC1979)=1,1,0))</f>
        <v/>
      </c>
      <c r="AE1979" s="39">
        <f>IF(AB1979=0,"",IF(COUNTIFS(X$6:X1979,X1979,AB$6:AB1979,AB1979)=1,1,0))</f>
        <v/>
      </c>
      <c r="AF1979" s="34">
        <f>IF(C1979="","",YEAR(C1979-WEEKDAY(C1979,2)+4)&amp;"-S"&amp;TEXT(INT((C1979-DATE(YEAR(C1979-WEEKDAY(C1979,2)+4),1,3)+WEEKDAY(DATE(YEAR(C1979-WEEKDAY(C1979,2)+4),1,3),2)+5)/7),"00"))</f>
        <v/>
      </c>
    </row>
    <row r="1980" ht="18" customHeight="1">
      <c r="A1980" s="39" t="n">
        <v>1975</v>
      </c>
      <c r="B1980" s="33">
        <f>IF(C1980="","",IF(P1980="À RENSEIGNER","GIC",P1980)&amp;"-C"&amp;TEXT(A1980,"00000"))</f>
        <v/>
      </c>
      <c r="C1980" s="32" t="n"/>
      <c r="D1980" s="36" t="n"/>
      <c r="E1980" s="36" t="n"/>
      <c r="F1980" s="36" t="n"/>
      <c r="G1980" s="42" t="n"/>
      <c r="H1980" s="37" t="n"/>
      <c r="I1980" s="37" t="n"/>
      <c r="J1980" s="32" t="n"/>
      <c r="K1980" s="32" t="n"/>
      <c r="L1980" s="43" t="n"/>
      <c r="M1980" s="36" t="n"/>
      <c r="N1980" s="44" t="n"/>
      <c r="O1980" s="36" t="n"/>
      <c r="P1980" s="33">
        <f>IF(C1980="","",Commercial_Id)</f>
        <v/>
      </c>
      <c r="Q1980" s="34">
        <f>IF(AC1980="","",IF(AD1980=1,"C"&amp;TEXT(SUM(AD$6:AD1980),"0000"),INDEX(Q$6:Q1979,MATCH(AC1980,AC$6:AC1979,0))))</f>
        <v/>
      </c>
      <c r="R1980" s="34">
        <f>IF(C1980="","",IF(L1980="☑ Oui","Annulée",IF(OR(E1980="Vente directe",K1980&lt;&gt;""),"Livrée",IF(J1980&lt;&gt;"","Confirmée","En attente"))))</f>
        <v/>
      </c>
      <c r="S1980" s="34">
        <f>IF(F1980="","",IFERROR(VLOOKUP(F1980,T_Produits,2,FALSE),""))</f>
        <v/>
      </c>
      <c r="T1980" s="40">
        <f>IF(F1980="","",IFERROR(1/(1/VLOOKUP(F1980,T_Produits,3,FALSE)),""))</f>
        <v/>
      </c>
      <c r="U1980" s="40">
        <f>IF(H1980&lt;&gt;"",H1980,T1980)</f>
        <v/>
      </c>
      <c r="V1980" s="40">
        <f>IF(OR(G1980="",U1980=""),"",G1980*U1980-N(I1980))</f>
        <v/>
      </c>
      <c r="W1980" s="39">
        <f>IF(D1980="","",IFERROR(VALUE(MID(D1980,LEN(D1980)-3,3)),""))</f>
        <v/>
      </c>
      <c r="X1980" s="33">
        <f>IF(W1980="","",P1980&amp;"|"&amp;W1980)</f>
        <v/>
      </c>
      <c r="Y1980" s="33">
        <f>IF(W1980="","",IF(P1980="À RENSEIGNER","GIC",P1980)&amp;"-"&amp;TEXT(W1980,"000"))</f>
        <v/>
      </c>
      <c r="Z1980" s="33">
        <f>IF(X1980="","",IFERROR(INDEX(Cl_nom,MATCH(X1980,Cl_cle,0)),"(client introuvable)"))</f>
        <v/>
      </c>
      <c r="AA1980" s="33">
        <f>IF(X1980="","",IFERROR(INDEX(Cl_quartier,MATCH(X1980,Cl_cle,0))&amp;"",""))</f>
        <v/>
      </c>
      <c r="AB1980" s="45">
        <f>IF(R1980&lt;&gt;"Livrée",0,IF(K1980&lt;&gt;"",K1980,C1980))</f>
        <v/>
      </c>
      <c r="AC1980" s="33">
        <f>IF(OR(C1980="",W1980=""),"",P1980&amp;"|"&amp;W1980&amp;"|"&amp;C1980&amp;"|"&amp;E1980)</f>
        <v/>
      </c>
      <c r="AD1980" s="39">
        <f>IF(AC1980="","",IF(COUNTIF(AC$6:AC1980,AC1980)=1,1,0))</f>
        <v/>
      </c>
      <c r="AE1980" s="39">
        <f>IF(AB1980=0,"",IF(COUNTIFS(X$6:X1980,X1980,AB$6:AB1980,AB1980)=1,1,0))</f>
        <v/>
      </c>
      <c r="AF1980" s="34">
        <f>IF(C1980="","",YEAR(C1980-WEEKDAY(C1980,2)+4)&amp;"-S"&amp;TEXT(INT((C1980-DATE(YEAR(C1980-WEEKDAY(C1980,2)+4),1,3)+WEEKDAY(DATE(YEAR(C1980-WEEKDAY(C1980,2)+4),1,3),2)+5)/7),"00"))</f>
        <v/>
      </c>
    </row>
    <row r="1981" ht="18" customHeight="1">
      <c r="A1981" s="39" t="n">
        <v>1976</v>
      </c>
      <c r="B1981" s="33">
        <f>IF(C1981="","",IF(P1981="À RENSEIGNER","GIC",P1981)&amp;"-C"&amp;TEXT(A1981,"00000"))</f>
        <v/>
      </c>
      <c r="C1981" s="32" t="n"/>
      <c r="D1981" s="36" t="n"/>
      <c r="E1981" s="36" t="n"/>
      <c r="F1981" s="36" t="n"/>
      <c r="G1981" s="42" t="n"/>
      <c r="H1981" s="37" t="n"/>
      <c r="I1981" s="37" t="n"/>
      <c r="J1981" s="32" t="n"/>
      <c r="K1981" s="32" t="n"/>
      <c r="L1981" s="43" t="n"/>
      <c r="M1981" s="36" t="n"/>
      <c r="N1981" s="44" t="n"/>
      <c r="O1981" s="36" t="n"/>
      <c r="P1981" s="33">
        <f>IF(C1981="","",Commercial_Id)</f>
        <v/>
      </c>
      <c r="Q1981" s="34">
        <f>IF(AC1981="","",IF(AD1981=1,"C"&amp;TEXT(SUM(AD$6:AD1981),"0000"),INDEX(Q$6:Q1980,MATCH(AC1981,AC$6:AC1980,0))))</f>
        <v/>
      </c>
      <c r="R1981" s="34">
        <f>IF(C1981="","",IF(L1981="☑ Oui","Annulée",IF(OR(E1981="Vente directe",K1981&lt;&gt;""),"Livrée",IF(J1981&lt;&gt;"","Confirmée","En attente"))))</f>
        <v/>
      </c>
      <c r="S1981" s="34">
        <f>IF(F1981="","",IFERROR(VLOOKUP(F1981,T_Produits,2,FALSE),""))</f>
        <v/>
      </c>
      <c r="T1981" s="40">
        <f>IF(F1981="","",IFERROR(1/(1/VLOOKUP(F1981,T_Produits,3,FALSE)),""))</f>
        <v/>
      </c>
      <c r="U1981" s="40">
        <f>IF(H1981&lt;&gt;"",H1981,T1981)</f>
        <v/>
      </c>
      <c r="V1981" s="40">
        <f>IF(OR(G1981="",U1981=""),"",G1981*U1981-N(I1981))</f>
        <v/>
      </c>
      <c r="W1981" s="39">
        <f>IF(D1981="","",IFERROR(VALUE(MID(D1981,LEN(D1981)-3,3)),""))</f>
        <v/>
      </c>
      <c r="X1981" s="33">
        <f>IF(W1981="","",P1981&amp;"|"&amp;W1981)</f>
        <v/>
      </c>
      <c r="Y1981" s="33">
        <f>IF(W1981="","",IF(P1981="À RENSEIGNER","GIC",P1981)&amp;"-"&amp;TEXT(W1981,"000"))</f>
        <v/>
      </c>
      <c r="Z1981" s="33">
        <f>IF(X1981="","",IFERROR(INDEX(Cl_nom,MATCH(X1981,Cl_cle,0)),"(client introuvable)"))</f>
        <v/>
      </c>
      <c r="AA1981" s="33">
        <f>IF(X1981="","",IFERROR(INDEX(Cl_quartier,MATCH(X1981,Cl_cle,0))&amp;"",""))</f>
        <v/>
      </c>
      <c r="AB1981" s="45">
        <f>IF(R1981&lt;&gt;"Livrée",0,IF(K1981&lt;&gt;"",K1981,C1981))</f>
        <v/>
      </c>
      <c r="AC1981" s="33">
        <f>IF(OR(C1981="",W1981=""),"",P1981&amp;"|"&amp;W1981&amp;"|"&amp;C1981&amp;"|"&amp;E1981)</f>
        <v/>
      </c>
      <c r="AD1981" s="39">
        <f>IF(AC1981="","",IF(COUNTIF(AC$6:AC1981,AC1981)=1,1,0))</f>
        <v/>
      </c>
      <c r="AE1981" s="39">
        <f>IF(AB1981=0,"",IF(COUNTIFS(X$6:X1981,X1981,AB$6:AB1981,AB1981)=1,1,0))</f>
        <v/>
      </c>
      <c r="AF1981" s="34">
        <f>IF(C1981="","",YEAR(C1981-WEEKDAY(C1981,2)+4)&amp;"-S"&amp;TEXT(INT((C1981-DATE(YEAR(C1981-WEEKDAY(C1981,2)+4),1,3)+WEEKDAY(DATE(YEAR(C1981-WEEKDAY(C1981,2)+4),1,3),2)+5)/7),"00"))</f>
        <v/>
      </c>
    </row>
    <row r="1982" ht="18" customHeight="1">
      <c r="A1982" s="39" t="n">
        <v>1977</v>
      </c>
      <c r="B1982" s="33">
        <f>IF(C1982="","",IF(P1982="À RENSEIGNER","GIC",P1982)&amp;"-C"&amp;TEXT(A1982,"00000"))</f>
        <v/>
      </c>
      <c r="C1982" s="32" t="n"/>
      <c r="D1982" s="36" t="n"/>
      <c r="E1982" s="36" t="n"/>
      <c r="F1982" s="36" t="n"/>
      <c r="G1982" s="42" t="n"/>
      <c r="H1982" s="37" t="n"/>
      <c r="I1982" s="37" t="n"/>
      <c r="J1982" s="32" t="n"/>
      <c r="K1982" s="32" t="n"/>
      <c r="L1982" s="43" t="n"/>
      <c r="M1982" s="36" t="n"/>
      <c r="N1982" s="44" t="n"/>
      <c r="O1982" s="36" t="n"/>
      <c r="P1982" s="33">
        <f>IF(C1982="","",Commercial_Id)</f>
        <v/>
      </c>
      <c r="Q1982" s="34">
        <f>IF(AC1982="","",IF(AD1982=1,"C"&amp;TEXT(SUM(AD$6:AD1982),"0000"),INDEX(Q$6:Q1981,MATCH(AC1982,AC$6:AC1981,0))))</f>
        <v/>
      </c>
      <c r="R1982" s="34">
        <f>IF(C1982="","",IF(L1982="☑ Oui","Annulée",IF(OR(E1982="Vente directe",K1982&lt;&gt;""),"Livrée",IF(J1982&lt;&gt;"","Confirmée","En attente"))))</f>
        <v/>
      </c>
      <c r="S1982" s="34">
        <f>IF(F1982="","",IFERROR(VLOOKUP(F1982,T_Produits,2,FALSE),""))</f>
        <v/>
      </c>
      <c r="T1982" s="40">
        <f>IF(F1982="","",IFERROR(1/(1/VLOOKUP(F1982,T_Produits,3,FALSE)),""))</f>
        <v/>
      </c>
      <c r="U1982" s="40">
        <f>IF(H1982&lt;&gt;"",H1982,T1982)</f>
        <v/>
      </c>
      <c r="V1982" s="40">
        <f>IF(OR(G1982="",U1982=""),"",G1982*U1982-N(I1982))</f>
        <v/>
      </c>
      <c r="W1982" s="39">
        <f>IF(D1982="","",IFERROR(VALUE(MID(D1982,LEN(D1982)-3,3)),""))</f>
        <v/>
      </c>
      <c r="X1982" s="33">
        <f>IF(W1982="","",P1982&amp;"|"&amp;W1982)</f>
        <v/>
      </c>
      <c r="Y1982" s="33">
        <f>IF(W1982="","",IF(P1982="À RENSEIGNER","GIC",P1982)&amp;"-"&amp;TEXT(W1982,"000"))</f>
        <v/>
      </c>
      <c r="Z1982" s="33">
        <f>IF(X1982="","",IFERROR(INDEX(Cl_nom,MATCH(X1982,Cl_cle,0)),"(client introuvable)"))</f>
        <v/>
      </c>
      <c r="AA1982" s="33">
        <f>IF(X1982="","",IFERROR(INDEX(Cl_quartier,MATCH(X1982,Cl_cle,0))&amp;"",""))</f>
        <v/>
      </c>
      <c r="AB1982" s="45">
        <f>IF(R1982&lt;&gt;"Livrée",0,IF(K1982&lt;&gt;"",K1982,C1982))</f>
        <v/>
      </c>
      <c r="AC1982" s="33">
        <f>IF(OR(C1982="",W1982=""),"",P1982&amp;"|"&amp;W1982&amp;"|"&amp;C1982&amp;"|"&amp;E1982)</f>
        <v/>
      </c>
      <c r="AD1982" s="39">
        <f>IF(AC1982="","",IF(COUNTIF(AC$6:AC1982,AC1982)=1,1,0))</f>
        <v/>
      </c>
      <c r="AE1982" s="39">
        <f>IF(AB1982=0,"",IF(COUNTIFS(X$6:X1982,X1982,AB$6:AB1982,AB1982)=1,1,0))</f>
        <v/>
      </c>
      <c r="AF1982" s="34">
        <f>IF(C1982="","",YEAR(C1982-WEEKDAY(C1982,2)+4)&amp;"-S"&amp;TEXT(INT((C1982-DATE(YEAR(C1982-WEEKDAY(C1982,2)+4),1,3)+WEEKDAY(DATE(YEAR(C1982-WEEKDAY(C1982,2)+4),1,3),2)+5)/7),"00"))</f>
        <v/>
      </c>
    </row>
    <row r="1983" ht="18" customHeight="1">
      <c r="A1983" s="39" t="n">
        <v>1978</v>
      </c>
      <c r="B1983" s="33">
        <f>IF(C1983="","",IF(P1983="À RENSEIGNER","GIC",P1983)&amp;"-C"&amp;TEXT(A1983,"00000"))</f>
        <v/>
      </c>
      <c r="C1983" s="32" t="n"/>
      <c r="D1983" s="36" t="n"/>
      <c r="E1983" s="36" t="n"/>
      <c r="F1983" s="36" t="n"/>
      <c r="G1983" s="42" t="n"/>
      <c r="H1983" s="37" t="n"/>
      <c r="I1983" s="37" t="n"/>
      <c r="J1983" s="32" t="n"/>
      <c r="K1983" s="32" t="n"/>
      <c r="L1983" s="43" t="n"/>
      <c r="M1983" s="36" t="n"/>
      <c r="N1983" s="44" t="n"/>
      <c r="O1983" s="36" t="n"/>
      <c r="P1983" s="33">
        <f>IF(C1983="","",Commercial_Id)</f>
        <v/>
      </c>
      <c r="Q1983" s="34">
        <f>IF(AC1983="","",IF(AD1983=1,"C"&amp;TEXT(SUM(AD$6:AD1983),"0000"),INDEX(Q$6:Q1982,MATCH(AC1983,AC$6:AC1982,0))))</f>
        <v/>
      </c>
      <c r="R1983" s="34">
        <f>IF(C1983="","",IF(L1983="☑ Oui","Annulée",IF(OR(E1983="Vente directe",K1983&lt;&gt;""),"Livrée",IF(J1983&lt;&gt;"","Confirmée","En attente"))))</f>
        <v/>
      </c>
      <c r="S1983" s="34">
        <f>IF(F1983="","",IFERROR(VLOOKUP(F1983,T_Produits,2,FALSE),""))</f>
        <v/>
      </c>
      <c r="T1983" s="40">
        <f>IF(F1983="","",IFERROR(1/(1/VLOOKUP(F1983,T_Produits,3,FALSE)),""))</f>
        <v/>
      </c>
      <c r="U1983" s="40">
        <f>IF(H1983&lt;&gt;"",H1983,T1983)</f>
        <v/>
      </c>
      <c r="V1983" s="40">
        <f>IF(OR(G1983="",U1983=""),"",G1983*U1983-N(I1983))</f>
        <v/>
      </c>
      <c r="W1983" s="39">
        <f>IF(D1983="","",IFERROR(VALUE(MID(D1983,LEN(D1983)-3,3)),""))</f>
        <v/>
      </c>
      <c r="X1983" s="33">
        <f>IF(W1983="","",P1983&amp;"|"&amp;W1983)</f>
        <v/>
      </c>
      <c r="Y1983" s="33">
        <f>IF(W1983="","",IF(P1983="À RENSEIGNER","GIC",P1983)&amp;"-"&amp;TEXT(W1983,"000"))</f>
        <v/>
      </c>
      <c r="Z1983" s="33">
        <f>IF(X1983="","",IFERROR(INDEX(Cl_nom,MATCH(X1983,Cl_cle,0)),"(client introuvable)"))</f>
        <v/>
      </c>
      <c r="AA1983" s="33">
        <f>IF(X1983="","",IFERROR(INDEX(Cl_quartier,MATCH(X1983,Cl_cle,0))&amp;"",""))</f>
        <v/>
      </c>
      <c r="AB1983" s="45">
        <f>IF(R1983&lt;&gt;"Livrée",0,IF(K1983&lt;&gt;"",K1983,C1983))</f>
        <v/>
      </c>
      <c r="AC1983" s="33">
        <f>IF(OR(C1983="",W1983=""),"",P1983&amp;"|"&amp;W1983&amp;"|"&amp;C1983&amp;"|"&amp;E1983)</f>
        <v/>
      </c>
      <c r="AD1983" s="39">
        <f>IF(AC1983="","",IF(COUNTIF(AC$6:AC1983,AC1983)=1,1,0))</f>
        <v/>
      </c>
      <c r="AE1983" s="39">
        <f>IF(AB1983=0,"",IF(COUNTIFS(X$6:X1983,X1983,AB$6:AB1983,AB1983)=1,1,0))</f>
        <v/>
      </c>
      <c r="AF1983" s="34">
        <f>IF(C1983="","",YEAR(C1983-WEEKDAY(C1983,2)+4)&amp;"-S"&amp;TEXT(INT((C1983-DATE(YEAR(C1983-WEEKDAY(C1983,2)+4),1,3)+WEEKDAY(DATE(YEAR(C1983-WEEKDAY(C1983,2)+4),1,3),2)+5)/7),"00"))</f>
        <v/>
      </c>
    </row>
    <row r="1984" ht="18" customHeight="1">
      <c r="A1984" s="39" t="n">
        <v>1979</v>
      </c>
      <c r="B1984" s="33">
        <f>IF(C1984="","",IF(P1984="À RENSEIGNER","GIC",P1984)&amp;"-C"&amp;TEXT(A1984,"00000"))</f>
        <v/>
      </c>
      <c r="C1984" s="32" t="n"/>
      <c r="D1984" s="36" t="n"/>
      <c r="E1984" s="36" t="n"/>
      <c r="F1984" s="36" t="n"/>
      <c r="G1984" s="42" t="n"/>
      <c r="H1984" s="37" t="n"/>
      <c r="I1984" s="37" t="n"/>
      <c r="J1984" s="32" t="n"/>
      <c r="K1984" s="32" t="n"/>
      <c r="L1984" s="43" t="n"/>
      <c r="M1984" s="36" t="n"/>
      <c r="N1984" s="44" t="n"/>
      <c r="O1984" s="36" t="n"/>
      <c r="P1984" s="33">
        <f>IF(C1984="","",Commercial_Id)</f>
        <v/>
      </c>
      <c r="Q1984" s="34">
        <f>IF(AC1984="","",IF(AD1984=1,"C"&amp;TEXT(SUM(AD$6:AD1984),"0000"),INDEX(Q$6:Q1983,MATCH(AC1984,AC$6:AC1983,0))))</f>
        <v/>
      </c>
      <c r="R1984" s="34">
        <f>IF(C1984="","",IF(L1984="☑ Oui","Annulée",IF(OR(E1984="Vente directe",K1984&lt;&gt;""),"Livrée",IF(J1984&lt;&gt;"","Confirmée","En attente"))))</f>
        <v/>
      </c>
      <c r="S1984" s="34">
        <f>IF(F1984="","",IFERROR(VLOOKUP(F1984,T_Produits,2,FALSE),""))</f>
        <v/>
      </c>
      <c r="T1984" s="40">
        <f>IF(F1984="","",IFERROR(1/(1/VLOOKUP(F1984,T_Produits,3,FALSE)),""))</f>
        <v/>
      </c>
      <c r="U1984" s="40">
        <f>IF(H1984&lt;&gt;"",H1984,T1984)</f>
        <v/>
      </c>
      <c r="V1984" s="40">
        <f>IF(OR(G1984="",U1984=""),"",G1984*U1984-N(I1984))</f>
        <v/>
      </c>
      <c r="W1984" s="39">
        <f>IF(D1984="","",IFERROR(VALUE(MID(D1984,LEN(D1984)-3,3)),""))</f>
        <v/>
      </c>
      <c r="X1984" s="33">
        <f>IF(W1984="","",P1984&amp;"|"&amp;W1984)</f>
        <v/>
      </c>
      <c r="Y1984" s="33">
        <f>IF(W1984="","",IF(P1984="À RENSEIGNER","GIC",P1984)&amp;"-"&amp;TEXT(W1984,"000"))</f>
        <v/>
      </c>
      <c r="Z1984" s="33">
        <f>IF(X1984="","",IFERROR(INDEX(Cl_nom,MATCH(X1984,Cl_cle,0)),"(client introuvable)"))</f>
        <v/>
      </c>
      <c r="AA1984" s="33">
        <f>IF(X1984="","",IFERROR(INDEX(Cl_quartier,MATCH(X1984,Cl_cle,0))&amp;"",""))</f>
        <v/>
      </c>
      <c r="AB1984" s="45">
        <f>IF(R1984&lt;&gt;"Livrée",0,IF(K1984&lt;&gt;"",K1984,C1984))</f>
        <v/>
      </c>
      <c r="AC1984" s="33">
        <f>IF(OR(C1984="",W1984=""),"",P1984&amp;"|"&amp;W1984&amp;"|"&amp;C1984&amp;"|"&amp;E1984)</f>
        <v/>
      </c>
      <c r="AD1984" s="39">
        <f>IF(AC1984="","",IF(COUNTIF(AC$6:AC1984,AC1984)=1,1,0))</f>
        <v/>
      </c>
      <c r="AE1984" s="39">
        <f>IF(AB1984=0,"",IF(COUNTIFS(X$6:X1984,X1984,AB$6:AB1984,AB1984)=1,1,0))</f>
        <v/>
      </c>
      <c r="AF1984" s="34">
        <f>IF(C1984="","",YEAR(C1984-WEEKDAY(C1984,2)+4)&amp;"-S"&amp;TEXT(INT((C1984-DATE(YEAR(C1984-WEEKDAY(C1984,2)+4),1,3)+WEEKDAY(DATE(YEAR(C1984-WEEKDAY(C1984,2)+4),1,3),2)+5)/7),"00"))</f>
        <v/>
      </c>
    </row>
    <row r="1985" ht="18" customHeight="1">
      <c r="A1985" s="39" t="n">
        <v>1980</v>
      </c>
      <c r="B1985" s="33">
        <f>IF(C1985="","",IF(P1985="À RENSEIGNER","GIC",P1985)&amp;"-C"&amp;TEXT(A1985,"00000"))</f>
        <v/>
      </c>
      <c r="C1985" s="32" t="n"/>
      <c r="D1985" s="36" t="n"/>
      <c r="E1985" s="36" t="n"/>
      <c r="F1985" s="36" t="n"/>
      <c r="G1985" s="42" t="n"/>
      <c r="H1985" s="37" t="n"/>
      <c r="I1985" s="37" t="n"/>
      <c r="J1985" s="32" t="n"/>
      <c r="K1985" s="32" t="n"/>
      <c r="L1985" s="43" t="n"/>
      <c r="M1985" s="36" t="n"/>
      <c r="N1985" s="44" t="n"/>
      <c r="O1985" s="36" t="n"/>
      <c r="P1985" s="33">
        <f>IF(C1985="","",Commercial_Id)</f>
        <v/>
      </c>
      <c r="Q1985" s="34">
        <f>IF(AC1985="","",IF(AD1985=1,"C"&amp;TEXT(SUM(AD$6:AD1985),"0000"),INDEX(Q$6:Q1984,MATCH(AC1985,AC$6:AC1984,0))))</f>
        <v/>
      </c>
      <c r="R1985" s="34">
        <f>IF(C1985="","",IF(L1985="☑ Oui","Annulée",IF(OR(E1985="Vente directe",K1985&lt;&gt;""),"Livrée",IF(J1985&lt;&gt;"","Confirmée","En attente"))))</f>
        <v/>
      </c>
      <c r="S1985" s="34">
        <f>IF(F1985="","",IFERROR(VLOOKUP(F1985,T_Produits,2,FALSE),""))</f>
        <v/>
      </c>
      <c r="T1985" s="40">
        <f>IF(F1985="","",IFERROR(1/(1/VLOOKUP(F1985,T_Produits,3,FALSE)),""))</f>
        <v/>
      </c>
      <c r="U1985" s="40">
        <f>IF(H1985&lt;&gt;"",H1985,T1985)</f>
        <v/>
      </c>
      <c r="V1985" s="40">
        <f>IF(OR(G1985="",U1985=""),"",G1985*U1985-N(I1985))</f>
        <v/>
      </c>
      <c r="W1985" s="39">
        <f>IF(D1985="","",IFERROR(VALUE(MID(D1985,LEN(D1985)-3,3)),""))</f>
        <v/>
      </c>
      <c r="X1985" s="33">
        <f>IF(W1985="","",P1985&amp;"|"&amp;W1985)</f>
        <v/>
      </c>
      <c r="Y1985" s="33">
        <f>IF(W1985="","",IF(P1985="À RENSEIGNER","GIC",P1985)&amp;"-"&amp;TEXT(W1985,"000"))</f>
        <v/>
      </c>
      <c r="Z1985" s="33">
        <f>IF(X1985="","",IFERROR(INDEX(Cl_nom,MATCH(X1985,Cl_cle,0)),"(client introuvable)"))</f>
        <v/>
      </c>
      <c r="AA1985" s="33">
        <f>IF(X1985="","",IFERROR(INDEX(Cl_quartier,MATCH(X1985,Cl_cle,0))&amp;"",""))</f>
        <v/>
      </c>
      <c r="AB1985" s="45">
        <f>IF(R1985&lt;&gt;"Livrée",0,IF(K1985&lt;&gt;"",K1985,C1985))</f>
        <v/>
      </c>
      <c r="AC1985" s="33">
        <f>IF(OR(C1985="",W1985=""),"",P1985&amp;"|"&amp;W1985&amp;"|"&amp;C1985&amp;"|"&amp;E1985)</f>
        <v/>
      </c>
      <c r="AD1985" s="39">
        <f>IF(AC1985="","",IF(COUNTIF(AC$6:AC1985,AC1985)=1,1,0))</f>
        <v/>
      </c>
      <c r="AE1985" s="39">
        <f>IF(AB1985=0,"",IF(COUNTIFS(X$6:X1985,X1985,AB$6:AB1985,AB1985)=1,1,0))</f>
        <v/>
      </c>
      <c r="AF1985" s="34">
        <f>IF(C1985="","",YEAR(C1985-WEEKDAY(C1985,2)+4)&amp;"-S"&amp;TEXT(INT((C1985-DATE(YEAR(C1985-WEEKDAY(C1985,2)+4),1,3)+WEEKDAY(DATE(YEAR(C1985-WEEKDAY(C1985,2)+4),1,3),2)+5)/7),"00"))</f>
        <v/>
      </c>
    </row>
    <row r="1986" ht="18" customHeight="1">
      <c r="A1986" s="39" t="n">
        <v>1981</v>
      </c>
      <c r="B1986" s="33">
        <f>IF(C1986="","",IF(P1986="À RENSEIGNER","GIC",P1986)&amp;"-C"&amp;TEXT(A1986,"00000"))</f>
        <v/>
      </c>
      <c r="C1986" s="32" t="n"/>
      <c r="D1986" s="36" t="n"/>
      <c r="E1986" s="36" t="n"/>
      <c r="F1986" s="36" t="n"/>
      <c r="G1986" s="42" t="n"/>
      <c r="H1986" s="37" t="n"/>
      <c r="I1986" s="37" t="n"/>
      <c r="J1986" s="32" t="n"/>
      <c r="K1986" s="32" t="n"/>
      <c r="L1986" s="43" t="n"/>
      <c r="M1986" s="36" t="n"/>
      <c r="N1986" s="44" t="n"/>
      <c r="O1986" s="36" t="n"/>
      <c r="P1986" s="33">
        <f>IF(C1986="","",Commercial_Id)</f>
        <v/>
      </c>
      <c r="Q1986" s="34">
        <f>IF(AC1986="","",IF(AD1986=1,"C"&amp;TEXT(SUM(AD$6:AD1986),"0000"),INDEX(Q$6:Q1985,MATCH(AC1986,AC$6:AC1985,0))))</f>
        <v/>
      </c>
      <c r="R1986" s="34">
        <f>IF(C1986="","",IF(L1986="☑ Oui","Annulée",IF(OR(E1986="Vente directe",K1986&lt;&gt;""),"Livrée",IF(J1986&lt;&gt;"","Confirmée","En attente"))))</f>
        <v/>
      </c>
      <c r="S1986" s="34">
        <f>IF(F1986="","",IFERROR(VLOOKUP(F1986,T_Produits,2,FALSE),""))</f>
        <v/>
      </c>
      <c r="T1986" s="40">
        <f>IF(F1986="","",IFERROR(1/(1/VLOOKUP(F1986,T_Produits,3,FALSE)),""))</f>
        <v/>
      </c>
      <c r="U1986" s="40">
        <f>IF(H1986&lt;&gt;"",H1986,T1986)</f>
        <v/>
      </c>
      <c r="V1986" s="40">
        <f>IF(OR(G1986="",U1986=""),"",G1986*U1986-N(I1986))</f>
        <v/>
      </c>
      <c r="W1986" s="39">
        <f>IF(D1986="","",IFERROR(VALUE(MID(D1986,LEN(D1986)-3,3)),""))</f>
        <v/>
      </c>
      <c r="X1986" s="33">
        <f>IF(W1986="","",P1986&amp;"|"&amp;W1986)</f>
        <v/>
      </c>
      <c r="Y1986" s="33">
        <f>IF(W1986="","",IF(P1986="À RENSEIGNER","GIC",P1986)&amp;"-"&amp;TEXT(W1986,"000"))</f>
        <v/>
      </c>
      <c r="Z1986" s="33">
        <f>IF(X1986="","",IFERROR(INDEX(Cl_nom,MATCH(X1986,Cl_cle,0)),"(client introuvable)"))</f>
        <v/>
      </c>
      <c r="AA1986" s="33">
        <f>IF(X1986="","",IFERROR(INDEX(Cl_quartier,MATCH(X1986,Cl_cle,0))&amp;"",""))</f>
        <v/>
      </c>
      <c r="AB1986" s="45">
        <f>IF(R1986&lt;&gt;"Livrée",0,IF(K1986&lt;&gt;"",K1986,C1986))</f>
        <v/>
      </c>
      <c r="AC1986" s="33">
        <f>IF(OR(C1986="",W1986=""),"",P1986&amp;"|"&amp;W1986&amp;"|"&amp;C1986&amp;"|"&amp;E1986)</f>
        <v/>
      </c>
      <c r="AD1986" s="39">
        <f>IF(AC1986="","",IF(COUNTIF(AC$6:AC1986,AC1986)=1,1,0))</f>
        <v/>
      </c>
      <c r="AE1986" s="39">
        <f>IF(AB1986=0,"",IF(COUNTIFS(X$6:X1986,X1986,AB$6:AB1986,AB1986)=1,1,0))</f>
        <v/>
      </c>
      <c r="AF1986" s="34">
        <f>IF(C1986="","",YEAR(C1986-WEEKDAY(C1986,2)+4)&amp;"-S"&amp;TEXT(INT((C1986-DATE(YEAR(C1986-WEEKDAY(C1986,2)+4),1,3)+WEEKDAY(DATE(YEAR(C1986-WEEKDAY(C1986,2)+4),1,3),2)+5)/7),"00"))</f>
        <v/>
      </c>
    </row>
    <row r="1987" ht="18" customHeight="1">
      <c r="A1987" s="39" t="n">
        <v>1982</v>
      </c>
      <c r="B1987" s="33">
        <f>IF(C1987="","",IF(P1987="À RENSEIGNER","GIC",P1987)&amp;"-C"&amp;TEXT(A1987,"00000"))</f>
        <v/>
      </c>
      <c r="C1987" s="32" t="n"/>
      <c r="D1987" s="36" t="n"/>
      <c r="E1987" s="36" t="n"/>
      <c r="F1987" s="36" t="n"/>
      <c r="G1987" s="42" t="n"/>
      <c r="H1987" s="37" t="n"/>
      <c r="I1987" s="37" t="n"/>
      <c r="J1987" s="32" t="n"/>
      <c r="K1987" s="32" t="n"/>
      <c r="L1987" s="43" t="n"/>
      <c r="M1987" s="36" t="n"/>
      <c r="N1987" s="44" t="n"/>
      <c r="O1987" s="36" t="n"/>
      <c r="P1987" s="33">
        <f>IF(C1987="","",Commercial_Id)</f>
        <v/>
      </c>
      <c r="Q1987" s="34">
        <f>IF(AC1987="","",IF(AD1987=1,"C"&amp;TEXT(SUM(AD$6:AD1987),"0000"),INDEX(Q$6:Q1986,MATCH(AC1987,AC$6:AC1986,0))))</f>
        <v/>
      </c>
      <c r="R1987" s="34">
        <f>IF(C1987="","",IF(L1987="☑ Oui","Annulée",IF(OR(E1987="Vente directe",K1987&lt;&gt;""),"Livrée",IF(J1987&lt;&gt;"","Confirmée","En attente"))))</f>
        <v/>
      </c>
      <c r="S1987" s="34">
        <f>IF(F1987="","",IFERROR(VLOOKUP(F1987,T_Produits,2,FALSE),""))</f>
        <v/>
      </c>
      <c r="T1987" s="40">
        <f>IF(F1987="","",IFERROR(1/(1/VLOOKUP(F1987,T_Produits,3,FALSE)),""))</f>
        <v/>
      </c>
      <c r="U1987" s="40">
        <f>IF(H1987&lt;&gt;"",H1987,T1987)</f>
        <v/>
      </c>
      <c r="V1987" s="40">
        <f>IF(OR(G1987="",U1987=""),"",G1987*U1987-N(I1987))</f>
        <v/>
      </c>
      <c r="W1987" s="39">
        <f>IF(D1987="","",IFERROR(VALUE(MID(D1987,LEN(D1987)-3,3)),""))</f>
        <v/>
      </c>
      <c r="X1987" s="33">
        <f>IF(W1987="","",P1987&amp;"|"&amp;W1987)</f>
        <v/>
      </c>
      <c r="Y1987" s="33">
        <f>IF(W1987="","",IF(P1987="À RENSEIGNER","GIC",P1987)&amp;"-"&amp;TEXT(W1987,"000"))</f>
        <v/>
      </c>
      <c r="Z1987" s="33">
        <f>IF(X1987="","",IFERROR(INDEX(Cl_nom,MATCH(X1987,Cl_cle,0)),"(client introuvable)"))</f>
        <v/>
      </c>
      <c r="AA1987" s="33">
        <f>IF(X1987="","",IFERROR(INDEX(Cl_quartier,MATCH(X1987,Cl_cle,0))&amp;"",""))</f>
        <v/>
      </c>
      <c r="AB1987" s="45">
        <f>IF(R1987&lt;&gt;"Livrée",0,IF(K1987&lt;&gt;"",K1987,C1987))</f>
        <v/>
      </c>
      <c r="AC1987" s="33">
        <f>IF(OR(C1987="",W1987=""),"",P1987&amp;"|"&amp;W1987&amp;"|"&amp;C1987&amp;"|"&amp;E1987)</f>
        <v/>
      </c>
      <c r="AD1987" s="39">
        <f>IF(AC1987="","",IF(COUNTIF(AC$6:AC1987,AC1987)=1,1,0))</f>
        <v/>
      </c>
      <c r="AE1987" s="39">
        <f>IF(AB1987=0,"",IF(COUNTIFS(X$6:X1987,X1987,AB$6:AB1987,AB1987)=1,1,0))</f>
        <v/>
      </c>
      <c r="AF1987" s="34">
        <f>IF(C1987="","",YEAR(C1987-WEEKDAY(C1987,2)+4)&amp;"-S"&amp;TEXT(INT((C1987-DATE(YEAR(C1987-WEEKDAY(C1987,2)+4),1,3)+WEEKDAY(DATE(YEAR(C1987-WEEKDAY(C1987,2)+4),1,3),2)+5)/7),"00"))</f>
        <v/>
      </c>
    </row>
    <row r="1988" ht="18" customHeight="1">
      <c r="A1988" s="39" t="n">
        <v>1983</v>
      </c>
      <c r="B1988" s="33">
        <f>IF(C1988="","",IF(P1988="À RENSEIGNER","GIC",P1988)&amp;"-C"&amp;TEXT(A1988,"00000"))</f>
        <v/>
      </c>
      <c r="C1988" s="32" t="n"/>
      <c r="D1988" s="36" t="n"/>
      <c r="E1988" s="36" t="n"/>
      <c r="F1988" s="36" t="n"/>
      <c r="G1988" s="42" t="n"/>
      <c r="H1988" s="37" t="n"/>
      <c r="I1988" s="37" t="n"/>
      <c r="J1988" s="32" t="n"/>
      <c r="K1988" s="32" t="n"/>
      <c r="L1988" s="43" t="n"/>
      <c r="M1988" s="36" t="n"/>
      <c r="N1988" s="44" t="n"/>
      <c r="O1988" s="36" t="n"/>
      <c r="P1988" s="33">
        <f>IF(C1988="","",Commercial_Id)</f>
        <v/>
      </c>
      <c r="Q1988" s="34">
        <f>IF(AC1988="","",IF(AD1988=1,"C"&amp;TEXT(SUM(AD$6:AD1988),"0000"),INDEX(Q$6:Q1987,MATCH(AC1988,AC$6:AC1987,0))))</f>
        <v/>
      </c>
      <c r="R1988" s="34">
        <f>IF(C1988="","",IF(L1988="☑ Oui","Annulée",IF(OR(E1988="Vente directe",K1988&lt;&gt;""),"Livrée",IF(J1988&lt;&gt;"","Confirmée","En attente"))))</f>
        <v/>
      </c>
      <c r="S1988" s="34">
        <f>IF(F1988="","",IFERROR(VLOOKUP(F1988,T_Produits,2,FALSE),""))</f>
        <v/>
      </c>
      <c r="T1988" s="40">
        <f>IF(F1988="","",IFERROR(1/(1/VLOOKUP(F1988,T_Produits,3,FALSE)),""))</f>
        <v/>
      </c>
      <c r="U1988" s="40">
        <f>IF(H1988&lt;&gt;"",H1988,T1988)</f>
        <v/>
      </c>
      <c r="V1988" s="40">
        <f>IF(OR(G1988="",U1988=""),"",G1988*U1988-N(I1988))</f>
        <v/>
      </c>
      <c r="W1988" s="39">
        <f>IF(D1988="","",IFERROR(VALUE(MID(D1988,LEN(D1988)-3,3)),""))</f>
        <v/>
      </c>
      <c r="X1988" s="33">
        <f>IF(W1988="","",P1988&amp;"|"&amp;W1988)</f>
        <v/>
      </c>
      <c r="Y1988" s="33">
        <f>IF(W1988="","",IF(P1988="À RENSEIGNER","GIC",P1988)&amp;"-"&amp;TEXT(W1988,"000"))</f>
        <v/>
      </c>
      <c r="Z1988" s="33">
        <f>IF(X1988="","",IFERROR(INDEX(Cl_nom,MATCH(X1988,Cl_cle,0)),"(client introuvable)"))</f>
        <v/>
      </c>
      <c r="AA1988" s="33">
        <f>IF(X1988="","",IFERROR(INDEX(Cl_quartier,MATCH(X1988,Cl_cle,0))&amp;"",""))</f>
        <v/>
      </c>
      <c r="AB1988" s="45">
        <f>IF(R1988&lt;&gt;"Livrée",0,IF(K1988&lt;&gt;"",K1988,C1988))</f>
        <v/>
      </c>
      <c r="AC1988" s="33">
        <f>IF(OR(C1988="",W1988=""),"",P1988&amp;"|"&amp;W1988&amp;"|"&amp;C1988&amp;"|"&amp;E1988)</f>
        <v/>
      </c>
      <c r="AD1988" s="39">
        <f>IF(AC1988="","",IF(COUNTIF(AC$6:AC1988,AC1988)=1,1,0))</f>
        <v/>
      </c>
      <c r="AE1988" s="39">
        <f>IF(AB1988=0,"",IF(COUNTIFS(X$6:X1988,X1988,AB$6:AB1988,AB1988)=1,1,0))</f>
        <v/>
      </c>
      <c r="AF1988" s="34">
        <f>IF(C1988="","",YEAR(C1988-WEEKDAY(C1988,2)+4)&amp;"-S"&amp;TEXT(INT((C1988-DATE(YEAR(C1988-WEEKDAY(C1988,2)+4),1,3)+WEEKDAY(DATE(YEAR(C1988-WEEKDAY(C1988,2)+4),1,3),2)+5)/7),"00"))</f>
        <v/>
      </c>
    </row>
    <row r="1989" ht="18" customHeight="1">
      <c r="A1989" s="39" t="n">
        <v>1984</v>
      </c>
      <c r="B1989" s="33">
        <f>IF(C1989="","",IF(P1989="À RENSEIGNER","GIC",P1989)&amp;"-C"&amp;TEXT(A1989,"00000"))</f>
        <v/>
      </c>
      <c r="C1989" s="32" t="n"/>
      <c r="D1989" s="36" t="n"/>
      <c r="E1989" s="36" t="n"/>
      <c r="F1989" s="36" t="n"/>
      <c r="G1989" s="42" t="n"/>
      <c r="H1989" s="37" t="n"/>
      <c r="I1989" s="37" t="n"/>
      <c r="J1989" s="32" t="n"/>
      <c r="K1989" s="32" t="n"/>
      <c r="L1989" s="43" t="n"/>
      <c r="M1989" s="36" t="n"/>
      <c r="N1989" s="44" t="n"/>
      <c r="O1989" s="36" t="n"/>
      <c r="P1989" s="33">
        <f>IF(C1989="","",Commercial_Id)</f>
        <v/>
      </c>
      <c r="Q1989" s="34">
        <f>IF(AC1989="","",IF(AD1989=1,"C"&amp;TEXT(SUM(AD$6:AD1989),"0000"),INDEX(Q$6:Q1988,MATCH(AC1989,AC$6:AC1988,0))))</f>
        <v/>
      </c>
      <c r="R1989" s="34">
        <f>IF(C1989="","",IF(L1989="☑ Oui","Annulée",IF(OR(E1989="Vente directe",K1989&lt;&gt;""),"Livrée",IF(J1989&lt;&gt;"","Confirmée","En attente"))))</f>
        <v/>
      </c>
      <c r="S1989" s="34">
        <f>IF(F1989="","",IFERROR(VLOOKUP(F1989,T_Produits,2,FALSE),""))</f>
        <v/>
      </c>
      <c r="T1989" s="40">
        <f>IF(F1989="","",IFERROR(1/(1/VLOOKUP(F1989,T_Produits,3,FALSE)),""))</f>
        <v/>
      </c>
      <c r="U1989" s="40">
        <f>IF(H1989&lt;&gt;"",H1989,T1989)</f>
        <v/>
      </c>
      <c r="V1989" s="40">
        <f>IF(OR(G1989="",U1989=""),"",G1989*U1989-N(I1989))</f>
        <v/>
      </c>
      <c r="W1989" s="39">
        <f>IF(D1989="","",IFERROR(VALUE(MID(D1989,LEN(D1989)-3,3)),""))</f>
        <v/>
      </c>
      <c r="X1989" s="33">
        <f>IF(W1989="","",P1989&amp;"|"&amp;W1989)</f>
        <v/>
      </c>
      <c r="Y1989" s="33">
        <f>IF(W1989="","",IF(P1989="À RENSEIGNER","GIC",P1989)&amp;"-"&amp;TEXT(W1989,"000"))</f>
        <v/>
      </c>
      <c r="Z1989" s="33">
        <f>IF(X1989="","",IFERROR(INDEX(Cl_nom,MATCH(X1989,Cl_cle,0)),"(client introuvable)"))</f>
        <v/>
      </c>
      <c r="AA1989" s="33">
        <f>IF(X1989="","",IFERROR(INDEX(Cl_quartier,MATCH(X1989,Cl_cle,0))&amp;"",""))</f>
        <v/>
      </c>
      <c r="AB1989" s="45">
        <f>IF(R1989&lt;&gt;"Livrée",0,IF(K1989&lt;&gt;"",K1989,C1989))</f>
        <v/>
      </c>
      <c r="AC1989" s="33">
        <f>IF(OR(C1989="",W1989=""),"",P1989&amp;"|"&amp;W1989&amp;"|"&amp;C1989&amp;"|"&amp;E1989)</f>
        <v/>
      </c>
      <c r="AD1989" s="39">
        <f>IF(AC1989="","",IF(COUNTIF(AC$6:AC1989,AC1989)=1,1,0))</f>
        <v/>
      </c>
      <c r="AE1989" s="39">
        <f>IF(AB1989=0,"",IF(COUNTIFS(X$6:X1989,X1989,AB$6:AB1989,AB1989)=1,1,0))</f>
        <v/>
      </c>
      <c r="AF1989" s="34">
        <f>IF(C1989="","",YEAR(C1989-WEEKDAY(C1989,2)+4)&amp;"-S"&amp;TEXT(INT((C1989-DATE(YEAR(C1989-WEEKDAY(C1989,2)+4),1,3)+WEEKDAY(DATE(YEAR(C1989-WEEKDAY(C1989,2)+4),1,3),2)+5)/7),"00"))</f>
        <v/>
      </c>
    </row>
    <row r="1990" ht="18" customHeight="1">
      <c r="A1990" s="39" t="n">
        <v>1985</v>
      </c>
      <c r="B1990" s="33">
        <f>IF(C1990="","",IF(P1990="À RENSEIGNER","GIC",P1990)&amp;"-C"&amp;TEXT(A1990,"00000"))</f>
        <v/>
      </c>
      <c r="C1990" s="32" t="n"/>
      <c r="D1990" s="36" t="n"/>
      <c r="E1990" s="36" t="n"/>
      <c r="F1990" s="36" t="n"/>
      <c r="G1990" s="42" t="n"/>
      <c r="H1990" s="37" t="n"/>
      <c r="I1990" s="37" t="n"/>
      <c r="J1990" s="32" t="n"/>
      <c r="K1990" s="32" t="n"/>
      <c r="L1990" s="43" t="n"/>
      <c r="M1990" s="36" t="n"/>
      <c r="N1990" s="44" t="n"/>
      <c r="O1990" s="36" t="n"/>
      <c r="P1990" s="33">
        <f>IF(C1990="","",Commercial_Id)</f>
        <v/>
      </c>
      <c r="Q1990" s="34">
        <f>IF(AC1990="","",IF(AD1990=1,"C"&amp;TEXT(SUM(AD$6:AD1990),"0000"),INDEX(Q$6:Q1989,MATCH(AC1990,AC$6:AC1989,0))))</f>
        <v/>
      </c>
      <c r="R1990" s="34">
        <f>IF(C1990="","",IF(L1990="☑ Oui","Annulée",IF(OR(E1990="Vente directe",K1990&lt;&gt;""),"Livrée",IF(J1990&lt;&gt;"","Confirmée","En attente"))))</f>
        <v/>
      </c>
      <c r="S1990" s="34">
        <f>IF(F1990="","",IFERROR(VLOOKUP(F1990,T_Produits,2,FALSE),""))</f>
        <v/>
      </c>
      <c r="T1990" s="40">
        <f>IF(F1990="","",IFERROR(1/(1/VLOOKUP(F1990,T_Produits,3,FALSE)),""))</f>
        <v/>
      </c>
      <c r="U1990" s="40">
        <f>IF(H1990&lt;&gt;"",H1990,T1990)</f>
        <v/>
      </c>
      <c r="V1990" s="40">
        <f>IF(OR(G1990="",U1990=""),"",G1990*U1990-N(I1990))</f>
        <v/>
      </c>
      <c r="W1990" s="39">
        <f>IF(D1990="","",IFERROR(VALUE(MID(D1990,LEN(D1990)-3,3)),""))</f>
        <v/>
      </c>
      <c r="X1990" s="33">
        <f>IF(W1990="","",P1990&amp;"|"&amp;W1990)</f>
        <v/>
      </c>
      <c r="Y1990" s="33">
        <f>IF(W1990="","",IF(P1990="À RENSEIGNER","GIC",P1990)&amp;"-"&amp;TEXT(W1990,"000"))</f>
        <v/>
      </c>
      <c r="Z1990" s="33">
        <f>IF(X1990="","",IFERROR(INDEX(Cl_nom,MATCH(X1990,Cl_cle,0)),"(client introuvable)"))</f>
        <v/>
      </c>
      <c r="AA1990" s="33">
        <f>IF(X1990="","",IFERROR(INDEX(Cl_quartier,MATCH(X1990,Cl_cle,0))&amp;"",""))</f>
        <v/>
      </c>
      <c r="AB1990" s="45">
        <f>IF(R1990&lt;&gt;"Livrée",0,IF(K1990&lt;&gt;"",K1990,C1990))</f>
        <v/>
      </c>
      <c r="AC1990" s="33">
        <f>IF(OR(C1990="",W1990=""),"",P1990&amp;"|"&amp;W1990&amp;"|"&amp;C1990&amp;"|"&amp;E1990)</f>
        <v/>
      </c>
      <c r="AD1990" s="39">
        <f>IF(AC1990="","",IF(COUNTIF(AC$6:AC1990,AC1990)=1,1,0))</f>
        <v/>
      </c>
      <c r="AE1990" s="39">
        <f>IF(AB1990=0,"",IF(COUNTIFS(X$6:X1990,X1990,AB$6:AB1990,AB1990)=1,1,0))</f>
        <v/>
      </c>
      <c r="AF1990" s="34">
        <f>IF(C1990="","",YEAR(C1990-WEEKDAY(C1990,2)+4)&amp;"-S"&amp;TEXT(INT((C1990-DATE(YEAR(C1990-WEEKDAY(C1990,2)+4),1,3)+WEEKDAY(DATE(YEAR(C1990-WEEKDAY(C1990,2)+4),1,3),2)+5)/7),"00"))</f>
        <v/>
      </c>
    </row>
    <row r="1991" ht="18" customHeight="1">
      <c r="A1991" s="39" t="n">
        <v>1986</v>
      </c>
      <c r="B1991" s="33">
        <f>IF(C1991="","",IF(P1991="À RENSEIGNER","GIC",P1991)&amp;"-C"&amp;TEXT(A1991,"00000"))</f>
        <v/>
      </c>
      <c r="C1991" s="32" t="n"/>
      <c r="D1991" s="36" t="n"/>
      <c r="E1991" s="36" t="n"/>
      <c r="F1991" s="36" t="n"/>
      <c r="G1991" s="42" t="n"/>
      <c r="H1991" s="37" t="n"/>
      <c r="I1991" s="37" t="n"/>
      <c r="J1991" s="32" t="n"/>
      <c r="K1991" s="32" t="n"/>
      <c r="L1991" s="43" t="n"/>
      <c r="M1991" s="36" t="n"/>
      <c r="N1991" s="44" t="n"/>
      <c r="O1991" s="36" t="n"/>
      <c r="P1991" s="33">
        <f>IF(C1991="","",Commercial_Id)</f>
        <v/>
      </c>
      <c r="Q1991" s="34">
        <f>IF(AC1991="","",IF(AD1991=1,"C"&amp;TEXT(SUM(AD$6:AD1991),"0000"),INDEX(Q$6:Q1990,MATCH(AC1991,AC$6:AC1990,0))))</f>
        <v/>
      </c>
      <c r="R1991" s="34">
        <f>IF(C1991="","",IF(L1991="☑ Oui","Annulée",IF(OR(E1991="Vente directe",K1991&lt;&gt;""),"Livrée",IF(J1991&lt;&gt;"","Confirmée","En attente"))))</f>
        <v/>
      </c>
      <c r="S1991" s="34">
        <f>IF(F1991="","",IFERROR(VLOOKUP(F1991,T_Produits,2,FALSE),""))</f>
        <v/>
      </c>
      <c r="T1991" s="40">
        <f>IF(F1991="","",IFERROR(1/(1/VLOOKUP(F1991,T_Produits,3,FALSE)),""))</f>
        <v/>
      </c>
      <c r="U1991" s="40">
        <f>IF(H1991&lt;&gt;"",H1991,T1991)</f>
        <v/>
      </c>
      <c r="V1991" s="40">
        <f>IF(OR(G1991="",U1991=""),"",G1991*U1991-N(I1991))</f>
        <v/>
      </c>
      <c r="W1991" s="39">
        <f>IF(D1991="","",IFERROR(VALUE(MID(D1991,LEN(D1991)-3,3)),""))</f>
        <v/>
      </c>
      <c r="X1991" s="33">
        <f>IF(W1991="","",P1991&amp;"|"&amp;W1991)</f>
        <v/>
      </c>
      <c r="Y1991" s="33">
        <f>IF(W1991="","",IF(P1991="À RENSEIGNER","GIC",P1991)&amp;"-"&amp;TEXT(W1991,"000"))</f>
        <v/>
      </c>
      <c r="Z1991" s="33">
        <f>IF(X1991="","",IFERROR(INDEX(Cl_nom,MATCH(X1991,Cl_cle,0)),"(client introuvable)"))</f>
        <v/>
      </c>
      <c r="AA1991" s="33">
        <f>IF(X1991="","",IFERROR(INDEX(Cl_quartier,MATCH(X1991,Cl_cle,0))&amp;"",""))</f>
        <v/>
      </c>
      <c r="AB1991" s="45">
        <f>IF(R1991&lt;&gt;"Livrée",0,IF(K1991&lt;&gt;"",K1991,C1991))</f>
        <v/>
      </c>
      <c r="AC1991" s="33">
        <f>IF(OR(C1991="",W1991=""),"",P1991&amp;"|"&amp;W1991&amp;"|"&amp;C1991&amp;"|"&amp;E1991)</f>
        <v/>
      </c>
      <c r="AD1991" s="39">
        <f>IF(AC1991="","",IF(COUNTIF(AC$6:AC1991,AC1991)=1,1,0))</f>
        <v/>
      </c>
      <c r="AE1991" s="39">
        <f>IF(AB1991=0,"",IF(COUNTIFS(X$6:X1991,X1991,AB$6:AB1991,AB1991)=1,1,0))</f>
        <v/>
      </c>
      <c r="AF1991" s="34">
        <f>IF(C1991="","",YEAR(C1991-WEEKDAY(C1991,2)+4)&amp;"-S"&amp;TEXT(INT((C1991-DATE(YEAR(C1991-WEEKDAY(C1991,2)+4),1,3)+WEEKDAY(DATE(YEAR(C1991-WEEKDAY(C1991,2)+4),1,3),2)+5)/7),"00"))</f>
        <v/>
      </c>
    </row>
    <row r="1992" ht="18" customHeight="1">
      <c r="A1992" s="39" t="n">
        <v>1987</v>
      </c>
      <c r="B1992" s="33">
        <f>IF(C1992="","",IF(P1992="À RENSEIGNER","GIC",P1992)&amp;"-C"&amp;TEXT(A1992,"00000"))</f>
        <v/>
      </c>
      <c r="C1992" s="32" t="n"/>
      <c r="D1992" s="36" t="n"/>
      <c r="E1992" s="36" t="n"/>
      <c r="F1992" s="36" t="n"/>
      <c r="G1992" s="42" t="n"/>
      <c r="H1992" s="37" t="n"/>
      <c r="I1992" s="37" t="n"/>
      <c r="J1992" s="32" t="n"/>
      <c r="K1992" s="32" t="n"/>
      <c r="L1992" s="43" t="n"/>
      <c r="M1992" s="36" t="n"/>
      <c r="N1992" s="44" t="n"/>
      <c r="O1992" s="36" t="n"/>
      <c r="P1992" s="33">
        <f>IF(C1992="","",Commercial_Id)</f>
        <v/>
      </c>
      <c r="Q1992" s="34">
        <f>IF(AC1992="","",IF(AD1992=1,"C"&amp;TEXT(SUM(AD$6:AD1992),"0000"),INDEX(Q$6:Q1991,MATCH(AC1992,AC$6:AC1991,0))))</f>
        <v/>
      </c>
      <c r="R1992" s="34">
        <f>IF(C1992="","",IF(L1992="☑ Oui","Annulée",IF(OR(E1992="Vente directe",K1992&lt;&gt;""),"Livrée",IF(J1992&lt;&gt;"","Confirmée","En attente"))))</f>
        <v/>
      </c>
      <c r="S1992" s="34">
        <f>IF(F1992="","",IFERROR(VLOOKUP(F1992,T_Produits,2,FALSE),""))</f>
        <v/>
      </c>
      <c r="T1992" s="40">
        <f>IF(F1992="","",IFERROR(1/(1/VLOOKUP(F1992,T_Produits,3,FALSE)),""))</f>
        <v/>
      </c>
      <c r="U1992" s="40">
        <f>IF(H1992&lt;&gt;"",H1992,T1992)</f>
        <v/>
      </c>
      <c r="V1992" s="40">
        <f>IF(OR(G1992="",U1992=""),"",G1992*U1992-N(I1992))</f>
        <v/>
      </c>
      <c r="W1992" s="39">
        <f>IF(D1992="","",IFERROR(VALUE(MID(D1992,LEN(D1992)-3,3)),""))</f>
        <v/>
      </c>
      <c r="X1992" s="33">
        <f>IF(W1992="","",P1992&amp;"|"&amp;W1992)</f>
        <v/>
      </c>
      <c r="Y1992" s="33">
        <f>IF(W1992="","",IF(P1992="À RENSEIGNER","GIC",P1992)&amp;"-"&amp;TEXT(W1992,"000"))</f>
        <v/>
      </c>
      <c r="Z1992" s="33">
        <f>IF(X1992="","",IFERROR(INDEX(Cl_nom,MATCH(X1992,Cl_cle,0)),"(client introuvable)"))</f>
        <v/>
      </c>
      <c r="AA1992" s="33">
        <f>IF(X1992="","",IFERROR(INDEX(Cl_quartier,MATCH(X1992,Cl_cle,0))&amp;"",""))</f>
        <v/>
      </c>
      <c r="AB1992" s="45">
        <f>IF(R1992&lt;&gt;"Livrée",0,IF(K1992&lt;&gt;"",K1992,C1992))</f>
        <v/>
      </c>
      <c r="AC1992" s="33">
        <f>IF(OR(C1992="",W1992=""),"",P1992&amp;"|"&amp;W1992&amp;"|"&amp;C1992&amp;"|"&amp;E1992)</f>
        <v/>
      </c>
      <c r="AD1992" s="39">
        <f>IF(AC1992="","",IF(COUNTIF(AC$6:AC1992,AC1992)=1,1,0))</f>
        <v/>
      </c>
      <c r="AE1992" s="39">
        <f>IF(AB1992=0,"",IF(COUNTIFS(X$6:X1992,X1992,AB$6:AB1992,AB1992)=1,1,0))</f>
        <v/>
      </c>
      <c r="AF1992" s="34">
        <f>IF(C1992="","",YEAR(C1992-WEEKDAY(C1992,2)+4)&amp;"-S"&amp;TEXT(INT((C1992-DATE(YEAR(C1992-WEEKDAY(C1992,2)+4),1,3)+WEEKDAY(DATE(YEAR(C1992-WEEKDAY(C1992,2)+4),1,3),2)+5)/7),"00"))</f>
        <v/>
      </c>
    </row>
    <row r="1993" ht="18" customHeight="1">
      <c r="A1993" s="39" t="n">
        <v>1988</v>
      </c>
      <c r="B1993" s="33">
        <f>IF(C1993="","",IF(P1993="À RENSEIGNER","GIC",P1993)&amp;"-C"&amp;TEXT(A1993,"00000"))</f>
        <v/>
      </c>
      <c r="C1993" s="32" t="n"/>
      <c r="D1993" s="36" t="n"/>
      <c r="E1993" s="36" t="n"/>
      <c r="F1993" s="36" t="n"/>
      <c r="G1993" s="42" t="n"/>
      <c r="H1993" s="37" t="n"/>
      <c r="I1993" s="37" t="n"/>
      <c r="J1993" s="32" t="n"/>
      <c r="K1993" s="32" t="n"/>
      <c r="L1993" s="43" t="n"/>
      <c r="M1993" s="36" t="n"/>
      <c r="N1993" s="44" t="n"/>
      <c r="O1993" s="36" t="n"/>
      <c r="P1993" s="33">
        <f>IF(C1993="","",Commercial_Id)</f>
        <v/>
      </c>
      <c r="Q1993" s="34">
        <f>IF(AC1993="","",IF(AD1993=1,"C"&amp;TEXT(SUM(AD$6:AD1993),"0000"),INDEX(Q$6:Q1992,MATCH(AC1993,AC$6:AC1992,0))))</f>
        <v/>
      </c>
      <c r="R1993" s="34">
        <f>IF(C1993="","",IF(L1993="☑ Oui","Annulée",IF(OR(E1993="Vente directe",K1993&lt;&gt;""),"Livrée",IF(J1993&lt;&gt;"","Confirmée","En attente"))))</f>
        <v/>
      </c>
      <c r="S1993" s="34">
        <f>IF(F1993="","",IFERROR(VLOOKUP(F1993,T_Produits,2,FALSE),""))</f>
        <v/>
      </c>
      <c r="T1993" s="40">
        <f>IF(F1993="","",IFERROR(1/(1/VLOOKUP(F1993,T_Produits,3,FALSE)),""))</f>
        <v/>
      </c>
      <c r="U1993" s="40">
        <f>IF(H1993&lt;&gt;"",H1993,T1993)</f>
        <v/>
      </c>
      <c r="V1993" s="40">
        <f>IF(OR(G1993="",U1993=""),"",G1993*U1993-N(I1993))</f>
        <v/>
      </c>
      <c r="W1993" s="39">
        <f>IF(D1993="","",IFERROR(VALUE(MID(D1993,LEN(D1993)-3,3)),""))</f>
        <v/>
      </c>
      <c r="X1993" s="33">
        <f>IF(W1993="","",P1993&amp;"|"&amp;W1993)</f>
        <v/>
      </c>
      <c r="Y1993" s="33">
        <f>IF(W1993="","",IF(P1993="À RENSEIGNER","GIC",P1993)&amp;"-"&amp;TEXT(W1993,"000"))</f>
        <v/>
      </c>
      <c r="Z1993" s="33">
        <f>IF(X1993="","",IFERROR(INDEX(Cl_nom,MATCH(X1993,Cl_cle,0)),"(client introuvable)"))</f>
        <v/>
      </c>
      <c r="AA1993" s="33">
        <f>IF(X1993="","",IFERROR(INDEX(Cl_quartier,MATCH(X1993,Cl_cle,0))&amp;"",""))</f>
        <v/>
      </c>
      <c r="AB1993" s="45">
        <f>IF(R1993&lt;&gt;"Livrée",0,IF(K1993&lt;&gt;"",K1993,C1993))</f>
        <v/>
      </c>
      <c r="AC1993" s="33">
        <f>IF(OR(C1993="",W1993=""),"",P1993&amp;"|"&amp;W1993&amp;"|"&amp;C1993&amp;"|"&amp;E1993)</f>
        <v/>
      </c>
      <c r="AD1993" s="39">
        <f>IF(AC1993="","",IF(COUNTIF(AC$6:AC1993,AC1993)=1,1,0))</f>
        <v/>
      </c>
      <c r="AE1993" s="39">
        <f>IF(AB1993=0,"",IF(COUNTIFS(X$6:X1993,X1993,AB$6:AB1993,AB1993)=1,1,0))</f>
        <v/>
      </c>
      <c r="AF1993" s="34">
        <f>IF(C1993="","",YEAR(C1993-WEEKDAY(C1993,2)+4)&amp;"-S"&amp;TEXT(INT((C1993-DATE(YEAR(C1993-WEEKDAY(C1993,2)+4),1,3)+WEEKDAY(DATE(YEAR(C1993-WEEKDAY(C1993,2)+4),1,3),2)+5)/7),"00"))</f>
        <v/>
      </c>
    </row>
    <row r="1994" ht="18" customHeight="1">
      <c r="A1994" s="39" t="n">
        <v>1989</v>
      </c>
      <c r="B1994" s="33">
        <f>IF(C1994="","",IF(P1994="À RENSEIGNER","GIC",P1994)&amp;"-C"&amp;TEXT(A1994,"00000"))</f>
        <v/>
      </c>
      <c r="C1994" s="32" t="n"/>
      <c r="D1994" s="36" t="n"/>
      <c r="E1994" s="36" t="n"/>
      <c r="F1994" s="36" t="n"/>
      <c r="G1994" s="42" t="n"/>
      <c r="H1994" s="37" t="n"/>
      <c r="I1994" s="37" t="n"/>
      <c r="J1994" s="32" t="n"/>
      <c r="K1994" s="32" t="n"/>
      <c r="L1994" s="43" t="n"/>
      <c r="M1994" s="36" t="n"/>
      <c r="N1994" s="44" t="n"/>
      <c r="O1994" s="36" t="n"/>
      <c r="P1994" s="33">
        <f>IF(C1994="","",Commercial_Id)</f>
        <v/>
      </c>
      <c r="Q1994" s="34">
        <f>IF(AC1994="","",IF(AD1994=1,"C"&amp;TEXT(SUM(AD$6:AD1994),"0000"),INDEX(Q$6:Q1993,MATCH(AC1994,AC$6:AC1993,0))))</f>
        <v/>
      </c>
      <c r="R1994" s="34">
        <f>IF(C1994="","",IF(L1994="☑ Oui","Annulée",IF(OR(E1994="Vente directe",K1994&lt;&gt;""),"Livrée",IF(J1994&lt;&gt;"","Confirmée","En attente"))))</f>
        <v/>
      </c>
      <c r="S1994" s="34">
        <f>IF(F1994="","",IFERROR(VLOOKUP(F1994,T_Produits,2,FALSE),""))</f>
        <v/>
      </c>
      <c r="T1994" s="40">
        <f>IF(F1994="","",IFERROR(1/(1/VLOOKUP(F1994,T_Produits,3,FALSE)),""))</f>
        <v/>
      </c>
      <c r="U1994" s="40">
        <f>IF(H1994&lt;&gt;"",H1994,T1994)</f>
        <v/>
      </c>
      <c r="V1994" s="40">
        <f>IF(OR(G1994="",U1994=""),"",G1994*U1994-N(I1994))</f>
        <v/>
      </c>
      <c r="W1994" s="39">
        <f>IF(D1994="","",IFERROR(VALUE(MID(D1994,LEN(D1994)-3,3)),""))</f>
        <v/>
      </c>
      <c r="X1994" s="33">
        <f>IF(W1994="","",P1994&amp;"|"&amp;W1994)</f>
        <v/>
      </c>
      <c r="Y1994" s="33">
        <f>IF(W1994="","",IF(P1994="À RENSEIGNER","GIC",P1994)&amp;"-"&amp;TEXT(W1994,"000"))</f>
        <v/>
      </c>
      <c r="Z1994" s="33">
        <f>IF(X1994="","",IFERROR(INDEX(Cl_nom,MATCH(X1994,Cl_cle,0)),"(client introuvable)"))</f>
        <v/>
      </c>
      <c r="AA1994" s="33">
        <f>IF(X1994="","",IFERROR(INDEX(Cl_quartier,MATCH(X1994,Cl_cle,0))&amp;"",""))</f>
        <v/>
      </c>
      <c r="AB1994" s="45">
        <f>IF(R1994&lt;&gt;"Livrée",0,IF(K1994&lt;&gt;"",K1994,C1994))</f>
        <v/>
      </c>
      <c r="AC1994" s="33">
        <f>IF(OR(C1994="",W1994=""),"",P1994&amp;"|"&amp;W1994&amp;"|"&amp;C1994&amp;"|"&amp;E1994)</f>
        <v/>
      </c>
      <c r="AD1994" s="39">
        <f>IF(AC1994="","",IF(COUNTIF(AC$6:AC1994,AC1994)=1,1,0))</f>
        <v/>
      </c>
      <c r="AE1994" s="39">
        <f>IF(AB1994=0,"",IF(COUNTIFS(X$6:X1994,X1994,AB$6:AB1994,AB1994)=1,1,0))</f>
        <v/>
      </c>
      <c r="AF1994" s="34">
        <f>IF(C1994="","",YEAR(C1994-WEEKDAY(C1994,2)+4)&amp;"-S"&amp;TEXT(INT((C1994-DATE(YEAR(C1994-WEEKDAY(C1994,2)+4),1,3)+WEEKDAY(DATE(YEAR(C1994-WEEKDAY(C1994,2)+4),1,3),2)+5)/7),"00"))</f>
        <v/>
      </c>
    </row>
    <row r="1995" ht="18" customHeight="1">
      <c r="A1995" s="39" t="n">
        <v>1990</v>
      </c>
      <c r="B1995" s="33">
        <f>IF(C1995="","",IF(P1995="À RENSEIGNER","GIC",P1995)&amp;"-C"&amp;TEXT(A1995,"00000"))</f>
        <v/>
      </c>
      <c r="C1995" s="32" t="n"/>
      <c r="D1995" s="36" t="n"/>
      <c r="E1995" s="36" t="n"/>
      <c r="F1995" s="36" t="n"/>
      <c r="G1995" s="42" t="n"/>
      <c r="H1995" s="37" t="n"/>
      <c r="I1995" s="37" t="n"/>
      <c r="J1995" s="32" t="n"/>
      <c r="K1995" s="32" t="n"/>
      <c r="L1995" s="43" t="n"/>
      <c r="M1995" s="36" t="n"/>
      <c r="N1995" s="44" t="n"/>
      <c r="O1995" s="36" t="n"/>
      <c r="P1995" s="33">
        <f>IF(C1995="","",Commercial_Id)</f>
        <v/>
      </c>
      <c r="Q1995" s="34">
        <f>IF(AC1995="","",IF(AD1995=1,"C"&amp;TEXT(SUM(AD$6:AD1995),"0000"),INDEX(Q$6:Q1994,MATCH(AC1995,AC$6:AC1994,0))))</f>
        <v/>
      </c>
      <c r="R1995" s="34">
        <f>IF(C1995="","",IF(L1995="☑ Oui","Annulée",IF(OR(E1995="Vente directe",K1995&lt;&gt;""),"Livrée",IF(J1995&lt;&gt;"","Confirmée","En attente"))))</f>
        <v/>
      </c>
      <c r="S1995" s="34">
        <f>IF(F1995="","",IFERROR(VLOOKUP(F1995,T_Produits,2,FALSE),""))</f>
        <v/>
      </c>
      <c r="T1995" s="40">
        <f>IF(F1995="","",IFERROR(1/(1/VLOOKUP(F1995,T_Produits,3,FALSE)),""))</f>
        <v/>
      </c>
      <c r="U1995" s="40">
        <f>IF(H1995&lt;&gt;"",H1995,T1995)</f>
        <v/>
      </c>
      <c r="V1995" s="40">
        <f>IF(OR(G1995="",U1995=""),"",G1995*U1995-N(I1995))</f>
        <v/>
      </c>
      <c r="W1995" s="39">
        <f>IF(D1995="","",IFERROR(VALUE(MID(D1995,LEN(D1995)-3,3)),""))</f>
        <v/>
      </c>
      <c r="X1995" s="33">
        <f>IF(W1995="","",P1995&amp;"|"&amp;W1995)</f>
        <v/>
      </c>
      <c r="Y1995" s="33">
        <f>IF(W1995="","",IF(P1995="À RENSEIGNER","GIC",P1995)&amp;"-"&amp;TEXT(W1995,"000"))</f>
        <v/>
      </c>
      <c r="Z1995" s="33">
        <f>IF(X1995="","",IFERROR(INDEX(Cl_nom,MATCH(X1995,Cl_cle,0)),"(client introuvable)"))</f>
        <v/>
      </c>
      <c r="AA1995" s="33">
        <f>IF(X1995="","",IFERROR(INDEX(Cl_quartier,MATCH(X1995,Cl_cle,0))&amp;"",""))</f>
        <v/>
      </c>
      <c r="AB1995" s="45">
        <f>IF(R1995&lt;&gt;"Livrée",0,IF(K1995&lt;&gt;"",K1995,C1995))</f>
        <v/>
      </c>
      <c r="AC1995" s="33">
        <f>IF(OR(C1995="",W1995=""),"",P1995&amp;"|"&amp;W1995&amp;"|"&amp;C1995&amp;"|"&amp;E1995)</f>
        <v/>
      </c>
      <c r="AD1995" s="39">
        <f>IF(AC1995="","",IF(COUNTIF(AC$6:AC1995,AC1995)=1,1,0))</f>
        <v/>
      </c>
      <c r="AE1995" s="39">
        <f>IF(AB1995=0,"",IF(COUNTIFS(X$6:X1995,X1995,AB$6:AB1995,AB1995)=1,1,0))</f>
        <v/>
      </c>
      <c r="AF1995" s="34">
        <f>IF(C1995="","",YEAR(C1995-WEEKDAY(C1995,2)+4)&amp;"-S"&amp;TEXT(INT((C1995-DATE(YEAR(C1995-WEEKDAY(C1995,2)+4),1,3)+WEEKDAY(DATE(YEAR(C1995-WEEKDAY(C1995,2)+4),1,3),2)+5)/7),"00"))</f>
        <v/>
      </c>
    </row>
    <row r="1996" ht="18" customHeight="1">
      <c r="A1996" s="39" t="n">
        <v>1991</v>
      </c>
      <c r="B1996" s="33">
        <f>IF(C1996="","",IF(P1996="À RENSEIGNER","GIC",P1996)&amp;"-C"&amp;TEXT(A1996,"00000"))</f>
        <v/>
      </c>
      <c r="C1996" s="32" t="n"/>
      <c r="D1996" s="36" t="n"/>
      <c r="E1996" s="36" t="n"/>
      <c r="F1996" s="36" t="n"/>
      <c r="G1996" s="42" t="n"/>
      <c r="H1996" s="37" t="n"/>
      <c r="I1996" s="37" t="n"/>
      <c r="J1996" s="32" t="n"/>
      <c r="K1996" s="32" t="n"/>
      <c r="L1996" s="43" t="n"/>
      <c r="M1996" s="36" t="n"/>
      <c r="N1996" s="44" t="n"/>
      <c r="O1996" s="36" t="n"/>
      <c r="P1996" s="33">
        <f>IF(C1996="","",Commercial_Id)</f>
        <v/>
      </c>
      <c r="Q1996" s="34">
        <f>IF(AC1996="","",IF(AD1996=1,"C"&amp;TEXT(SUM(AD$6:AD1996),"0000"),INDEX(Q$6:Q1995,MATCH(AC1996,AC$6:AC1995,0))))</f>
        <v/>
      </c>
      <c r="R1996" s="34">
        <f>IF(C1996="","",IF(L1996="☑ Oui","Annulée",IF(OR(E1996="Vente directe",K1996&lt;&gt;""),"Livrée",IF(J1996&lt;&gt;"","Confirmée","En attente"))))</f>
        <v/>
      </c>
      <c r="S1996" s="34">
        <f>IF(F1996="","",IFERROR(VLOOKUP(F1996,T_Produits,2,FALSE),""))</f>
        <v/>
      </c>
      <c r="T1996" s="40">
        <f>IF(F1996="","",IFERROR(1/(1/VLOOKUP(F1996,T_Produits,3,FALSE)),""))</f>
        <v/>
      </c>
      <c r="U1996" s="40">
        <f>IF(H1996&lt;&gt;"",H1996,T1996)</f>
        <v/>
      </c>
      <c r="V1996" s="40">
        <f>IF(OR(G1996="",U1996=""),"",G1996*U1996-N(I1996))</f>
        <v/>
      </c>
      <c r="W1996" s="39">
        <f>IF(D1996="","",IFERROR(VALUE(MID(D1996,LEN(D1996)-3,3)),""))</f>
        <v/>
      </c>
      <c r="X1996" s="33">
        <f>IF(W1996="","",P1996&amp;"|"&amp;W1996)</f>
        <v/>
      </c>
      <c r="Y1996" s="33">
        <f>IF(W1996="","",IF(P1996="À RENSEIGNER","GIC",P1996)&amp;"-"&amp;TEXT(W1996,"000"))</f>
        <v/>
      </c>
      <c r="Z1996" s="33">
        <f>IF(X1996="","",IFERROR(INDEX(Cl_nom,MATCH(X1996,Cl_cle,0)),"(client introuvable)"))</f>
        <v/>
      </c>
      <c r="AA1996" s="33">
        <f>IF(X1996="","",IFERROR(INDEX(Cl_quartier,MATCH(X1996,Cl_cle,0))&amp;"",""))</f>
        <v/>
      </c>
      <c r="AB1996" s="45">
        <f>IF(R1996&lt;&gt;"Livrée",0,IF(K1996&lt;&gt;"",K1996,C1996))</f>
        <v/>
      </c>
      <c r="AC1996" s="33">
        <f>IF(OR(C1996="",W1996=""),"",P1996&amp;"|"&amp;W1996&amp;"|"&amp;C1996&amp;"|"&amp;E1996)</f>
        <v/>
      </c>
      <c r="AD1996" s="39">
        <f>IF(AC1996="","",IF(COUNTIF(AC$6:AC1996,AC1996)=1,1,0))</f>
        <v/>
      </c>
      <c r="AE1996" s="39">
        <f>IF(AB1996=0,"",IF(COUNTIFS(X$6:X1996,X1996,AB$6:AB1996,AB1996)=1,1,0))</f>
        <v/>
      </c>
      <c r="AF1996" s="34">
        <f>IF(C1996="","",YEAR(C1996-WEEKDAY(C1996,2)+4)&amp;"-S"&amp;TEXT(INT((C1996-DATE(YEAR(C1996-WEEKDAY(C1996,2)+4),1,3)+WEEKDAY(DATE(YEAR(C1996-WEEKDAY(C1996,2)+4),1,3),2)+5)/7),"00"))</f>
        <v/>
      </c>
    </row>
    <row r="1997" ht="18" customHeight="1">
      <c r="A1997" s="39" t="n">
        <v>1992</v>
      </c>
      <c r="B1997" s="33">
        <f>IF(C1997="","",IF(P1997="À RENSEIGNER","GIC",P1997)&amp;"-C"&amp;TEXT(A1997,"00000"))</f>
        <v/>
      </c>
      <c r="C1997" s="32" t="n"/>
      <c r="D1997" s="36" t="n"/>
      <c r="E1997" s="36" t="n"/>
      <c r="F1997" s="36" t="n"/>
      <c r="G1997" s="42" t="n"/>
      <c r="H1997" s="37" t="n"/>
      <c r="I1997" s="37" t="n"/>
      <c r="J1997" s="32" t="n"/>
      <c r="K1997" s="32" t="n"/>
      <c r="L1997" s="43" t="n"/>
      <c r="M1997" s="36" t="n"/>
      <c r="N1997" s="44" t="n"/>
      <c r="O1997" s="36" t="n"/>
      <c r="P1997" s="33">
        <f>IF(C1997="","",Commercial_Id)</f>
        <v/>
      </c>
      <c r="Q1997" s="34">
        <f>IF(AC1997="","",IF(AD1997=1,"C"&amp;TEXT(SUM(AD$6:AD1997),"0000"),INDEX(Q$6:Q1996,MATCH(AC1997,AC$6:AC1996,0))))</f>
        <v/>
      </c>
      <c r="R1997" s="34">
        <f>IF(C1997="","",IF(L1997="☑ Oui","Annulée",IF(OR(E1997="Vente directe",K1997&lt;&gt;""),"Livrée",IF(J1997&lt;&gt;"","Confirmée","En attente"))))</f>
        <v/>
      </c>
      <c r="S1997" s="34">
        <f>IF(F1997="","",IFERROR(VLOOKUP(F1997,T_Produits,2,FALSE),""))</f>
        <v/>
      </c>
      <c r="T1997" s="40">
        <f>IF(F1997="","",IFERROR(1/(1/VLOOKUP(F1997,T_Produits,3,FALSE)),""))</f>
        <v/>
      </c>
      <c r="U1997" s="40">
        <f>IF(H1997&lt;&gt;"",H1997,T1997)</f>
        <v/>
      </c>
      <c r="V1997" s="40">
        <f>IF(OR(G1997="",U1997=""),"",G1997*U1997-N(I1997))</f>
        <v/>
      </c>
      <c r="W1997" s="39">
        <f>IF(D1997="","",IFERROR(VALUE(MID(D1997,LEN(D1997)-3,3)),""))</f>
        <v/>
      </c>
      <c r="X1997" s="33">
        <f>IF(W1997="","",P1997&amp;"|"&amp;W1997)</f>
        <v/>
      </c>
      <c r="Y1997" s="33">
        <f>IF(W1997="","",IF(P1997="À RENSEIGNER","GIC",P1997)&amp;"-"&amp;TEXT(W1997,"000"))</f>
        <v/>
      </c>
      <c r="Z1997" s="33">
        <f>IF(X1997="","",IFERROR(INDEX(Cl_nom,MATCH(X1997,Cl_cle,0)),"(client introuvable)"))</f>
        <v/>
      </c>
      <c r="AA1997" s="33">
        <f>IF(X1997="","",IFERROR(INDEX(Cl_quartier,MATCH(X1997,Cl_cle,0))&amp;"",""))</f>
        <v/>
      </c>
      <c r="AB1997" s="45">
        <f>IF(R1997&lt;&gt;"Livrée",0,IF(K1997&lt;&gt;"",K1997,C1997))</f>
        <v/>
      </c>
      <c r="AC1997" s="33">
        <f>IF(OR(C1997="",W1997=""),"",P1997&amp;"|"&amp;W1997&amp;"|"&amp;C1997&amp;"|"&amp;E1997)</f>
        <v/>
      </c>
      <c r="AD1997" s="39">
        <f>IF(AC1997="","",IF(COUNTIF(AC$6:AC1997,AC1997)=1,1,0))</f>
        <v/>
      </c>
      <c r="AE1997" s="39">
        <f>IF(AB1997=0,"",IF(COUNTIFS(X$6:X1997,X1997,AB$6:AB1997,AB1997)=1,1,0))</f>
        <v/>
      </c>
      <c r="AF1997" s="34">
        <f>IF(C1997="","",YEAR(C1997-WEEKDAY(C1997,2)+4)&amp;"-S"&amp;TEXT(INT((C1997-DATE(YEAR(C1997-WEEKDAY(C1997,2)+4),1,3)+WEEKDAY(DATE(YEAR(C1997-WEEKDAY(C1997,2)+4),1,3),2)+5)/7),"00"))</f>
        <v/>
      </c>
    </row>
    <row r="1998" ht="18" customHeight="1">
      <c r="A1998" s="39" t="n">
        <v>1993</v>
      </c>
      <c r="B1998" s="33">
        <f>IF(C1998="","",IF(P1998="À RENSEIGNER","GIC",P1998)&amp;"-C"&amp;TEXT(A1998,"00000"))</f>
        <v/>
      </c>
      <c r="C1998" s="32" t="n"/>
      <c r="D1998" s="36" t="n"/>
      <c r="E1998" s="36" t="n"/>
      <c r="F1998" s="36" t="n"/>
      <c r="G1998" s="42" t="n"/>
      <c r="H1998" s="37" t="n"/>
      <c r="I1998" s="37" t="n"/>
      <c r="J1998" s="32" t="n"/>
      <c r="K1998" s="32" t="n"/>
      <c r="L1998" s="43" t="n"/>
      <c r="M1998" s="36" t="n"/>
      <c r="N1998" s="44" t="n"/>
      <c r="O1998" s="36" t="n"/>
      <c r="P1998" s="33">
        <f>IF(C1998="","",Commercial_Id)</f>
        <v/>
      </c>
      <c r="Q1998" s="34">
        <f>IF(AC1998="","",IF(AD1998=1,"C"&amp;TEXT(SUM(AD$6:AD1998),"0000"),INDEX(Q$6:Q1997,MATCH(AC1998,AC$6:AC1997,0))))</f>
        <v/>
      </c>
      <c r="R1998" s="34">
        <f>IF(C1998="","",IF(L1998="☑ Oui","Annulée",IF(OR(E1998="Vente directe",K1998&lt;&gt;""),"Livrée",IF(J1998&lt;&gt;"","Confirmée","En attente"))))</f>
        <v/>
      </c>
      <c r="S1998" s="34">
        <f>IF(F1998="","",IFERROR(VLOOKUP(F1998,T_Produits,2,FALSE),""))</f>
        <v/>
      </c>
      <c r="T1998" s="40">
        <f>IF(F1998="","",IFERROR(1/(1/VLOOKUP(F1998,T_Produits,3,FALSE)),""))</f>
        <v/>
      </c>
      <c r="U1998" s="40">
        <f>IF(H1998&lt;&gt;"",H1998,T1998)</f>
        <v/>
      </c>
      <c r="V1998" s="40">
        <f>IF(OR(G1998="",U1998=""),"",G1998*U1998-N(I1998))</f>
        <v/>
      </c>
      <c r="W1998" s="39">
        <f>IF(D1998="","",IFERROR(VALUE(MID(D1998,LEN(D1998)-3,3)),""))</f>
        <v/>
      </c>
      <c r="X1998" s="33">
        <f>IF(W1998="","",P1998&amp;"|"&amp;W1998)</f>
        <v/>
      </c>
      <c r="Y1998" s="33">
        <f>IF(W1998="","",IF(P1998="À RENSEIGNER","GIC",P1998)&amp;"-"&amp;TEXT(W1998,"000"))</f>
        <v/>
      </c>
      <c r="Z1998" s="33">
        <f>IF(X1998="","",IFERROR(INDEX(Cl_nom,MATCH(X1998,Cl_cle,0)),"(client introuvable)"))</f>
        <v/>
      </c>
      <c r="AA1998" s="33">
        <f>IF(X1998="","",IFERROR(INDEX(Cl_quartier,MATCH(X1998,Cl_cle,0))&amp;"",""))</f>
        <v/>
      </c>
      <c r="AB1998" s="45">
        <f>IF(R1998&lt;&gt;"Livrée",0,IF(K1998&lt;&gt;"",K1998,C1998))</f>
        <v/>
      </c>
      <c r="AC1998" s="33">
        <f>IF(OR(C1998="",W1998=""),"",P1998&amp;"|"&amp;W1998&amp;"|"&amp;C1998&amp;"|"&amp;E1998)</f>
        <v/>
      </c>
      <c r="AD1998" s="39">
        <f>IF(AC1998="","",IF(COUNTIF(AC$6:AC1998,AC1998)=1,1,0))</f>
        <v/>
      </c>
      <c r="AE1998" s="39">
        <f>IF(AB1998=0,"",IF(COUNTIFS(X$6:X1998,X1998,AB$6:AB1998,AB1998)=1,1,0))</f>
        <v/>
      </c>
      <c r="AF1998" s="34">
        <f>IF(C1998="","",YEAR(C1998-WEEKDAY(C1998,2)+4)&amp;"-S"&amp;TEXT(INT((C1998-DATE(YEAR(C1998-WEEKDAY(C1998,2)+4),1,3)+WEEKDAY(DATE(YEAR(C1998-WEEKDAY(C1998,2)+4),1,3),2)+5)/7),"00"))</f>
        <v/>
      </c>
    </row>
    <row r="1999" ht="18" customHeight="1">
      <c r="A1999" s="39" t="n">
        <v>1994</v>
      </c>
      <c r="B1999" s="33">
        <f>IF(C1999="","",IF(P1999="À RENSEIGNER","GIC",P1999)&amp;"-C"&amp;TEXT(A1999,"00000"))</f>
        <v/>
      </c>
      <c r="C1999" s="32" t="n"/>
      <c r="D1999" s="36" t="n"/>
      <c r="E1999" s="36" t="n"/>
      <c r="F1999" s="36" t="n"/>
      <c r="G1999" s="42" t="n"/>
      <c r="H1999" s="37" t="n"/>
      <c r="I1999" s="37" t="n"/>
      <c r="J1999" s="32" t="n"/>
      <c r="K1999" s="32" t="n"/>
      <c r="L1999" s="43" t="n"/>
      <c r="M1999" s="36" t="n"/>
      <c r="N1999" s="44" t="n"/>
      <c r="O1999" s="36" t="n"/>
      <c r="P1999" s="33">
        <f>IF(C1999="","",Commercial_Id)</f>
        <v/>
      </c>
      <c r="Q1999" s="34">
        <f>IF(AC1999="","",IF(AD1999=1,"C"&amp;TEXT(SUM(AD$6:AD1999),"0000"),INDEX(Q$6:Q1998,MATCH(AC1999,AC$6:AC1998,0))))</f>
        <v/>
      </c>
      <c r="R1999" s="34">
        <f>IF(C1999="","",IF(L1999="☑ Oui","Annulée",IF(OR(E1999="Vente directe",K1999&lt;&gt;""),"Livrée",IF(J1999&lt;&gt;"","Confirmée","En attente"))))</f>
        <v/>
      </c>
      <c r="S1999" s="34">
        <f>IF(F1999="","",IFERROR(VLOOKUP(F1999,T_Produits,2,FALSE),""))</f>
        <v/>
      </c>
      <c r="T1999" s="40">
        <f>IF(F1999="","",IFERROR(1/(1/VLOOKUP(F1999,T_Produits,3,FALSE)),""))</f>
        <v/>
      </c>
      <c r="U1999" s="40">
        <f>IF(H1999&lt;&gt;"",H1999,T1999)</f>
        <v/>
      </c>
      <c r="V1999" s="40">
        <f>IF(OR(G1999="",U1999=""),"",G1999*U1999-N(I1999))</f>
        <v/>
      </c>
      <c r="W1999" s="39">
        <f>IF(D1999="","",IFERROR(VALUE(MID(D1999,LEN(D1999)-3,3)),""))</f>
        <v/>
      </c>
      <c r="X1999" s="33">
        <f>IF(W1999="","",P1999&amp;"|"&amp;W1999)</f>
        <v/>
      </c>
      <c r="Y1999" s="33">
        <f>IF(W1999="","",IF(P1999="À RENSEIGNER","GIC",P1999)&amp;"-"&amp;TEXT(W1999,"000"))</f>
        <v/>
      </c>
      <c r="Z1999" s="33">
        <f>IF(X1999="","",IFERROR(INDEX(Cl_nom,MATCH(X1999,Cl_cle,0)),"(client introuvable)"))</f>
        <v/>
      </c>
      <c r="AA1999" s="33">
        <f>IF(X1999="","",IFERROR(INDEX(Cl_quartier,MATCH(X1999,Cl_cle,0))&amp;"",""))</f>
        <v/>
      </c>
      <c r="AB1999" s="45">
        <f>IF(R1999&lt;&gt;"Livrée",0,IF(K1999&lt;&gt;"",K1999,C1999))</f>
        <v/>
      </c>
      <c r="AC1999" s="33">
        <f>IF(OR(C1999="",W1999=""),"",P1999&amp;"|"&amp;W1999&amp;"|"&amp;C1999&amp;"|"&amp;E1999)</f>
        <v/>
      </c>
      <c r="AD1999" s="39">
        <f>IF(AC1999="","",IF(COUNTIF(AC$6:AC1999,AC1999)=1,1,0))</f>
        <v/>
      </c>
      <c r="AE1999" s="39">
        <f>IF(AB1999=0,"",IF(COUNTIFS(X$6:X1999,X1999,AB$6:AB1999,AB1999)=1,1,0))</f>
        <v/>
      </c>
      <c r="AF1999" s="34">
        <f>IF(C1999="","",YEAR(C1999-WEEKDAY(C1999,2)+4)&amp;"-S"&amp;TEXT(INT((C1999-DATE(YEAR(C1999-WEEKDAY(C1999,2)+4),1,3)+WEEKDAY(DATE(YEAR(C1999-WEEKDAY(C1999,2)+4),1,3),2)+5)/7),"00"))</f>
        <v/>
      </c>
    </row>
    <row r="2000" ht="18" customHeight="1">
      <c r="A2000" s="39" t="n">
        <v>1995</v>
      </c>
      <c r="B2000" s="33">
        <f>IF(C2000="","",IF(P2000="À RENSEIGNER","GIC",P2000)&amp;"-C"&amp;TEXT(A2000,"00000"))</f>
        <v/>
      </c>
      <c r="C2000" s="32" t="n"/>
      <c r="D2000" s="36" t="n"/>
      <c r="E2000" s="36" t="n"/>
      <c r="F2000" s="36" t="n"/>
      <c r="G2000" s="42" t="n"/>
      <c r="H2000" s="37" t="n"/>
      <c r="I2000" s="37" t="n"/>
      <c r="J2000" s="32" t="n"/>
      <c r="K2000" s="32" t="n"/>
      <c r="L2000" s="43" t="n"/>
      <c r="M2000" s="36" t="n"/>
      <c r="N2000" s="44" t="n"/>
      <c r="O2000" s="36" t="n"/>
      <c r="P2000" s="33">
        <f>IF(C2000="","",Commercial_Id)</f>
        <v/>
      </c>
      <c r="Q2000" s="34">
        <f>IF(AC2000="","",IF(AD2000=1,"C"&amp;TEXT(SUM(AD$6:AD2000),"0000"),INDEX(Q$6:Q1999,MATCH(AC2000,AC$6:AC1999,0))))</f>
        <v/>
      </c>
      <c r="R2000" s="34">
        <f>IF(C2000="","",IF(L2000="☑ Oui","Annulée",IF(OR(E2000="Vente directe",K2000&lt;&gt;""),"Livrée",IF(J2000&lt;&gt;"","Confirmée","En attente"))))</f>
        <v/>
      </c>
      <c r="S2000" s="34">
        <f>IF(F2000="","",IFERROR(VLOOKUP(F2000,T_Produits,2,FALSE),""))</f>
        <v/>
      </c>
      <c r="T2000" s="40">
        <f>IF(F2000="","",IFERROR(1/(1/VLOOKUP(F2000,T_Produits,3,FALSE)),""))</f>
        <v/>
      </c>
      <c r="U2000" s="40">
        <f>IF(H2000&lt;&gt;"",H2000,T2000)</f>
        <v/>
      </c>
      <c r="V2000" s="40">
        <f>IF(OR(G2000="",U2000=""),"",G2000*U2000-N(I2000))</f>
        <v/>
      </c>
      <c r="W2000" s="39">
        <f>IF(D2000="","",IFERROR(VALUE(MID(D2000,LEN(D2000)-3,3)),""))</f>
        <v/>
      </c>
      <c r="X2000" s="33">
        <f>IF(W2000="","",P2000&amp;"|"&amp;W2000)</f>
        <v/>
      </c>
      <c r="Y2000" s="33">
        <f>IF(W2000="","",IF(P2000="À RENSEIGNER","GIC",P2000)&amp;"-"&amp;TEXT(W2000,"000"))</f>
        <v/>
      </c>
      <c r="Z2000" s="33">
        <f>IF(X2000="","",IFERROR(INDEX(Cl_nom,MATCH(X2000,Cl_cle,0)),"(client introuvable)"))</f>
        <v/>
      </c>
      <c r="AA2000" s="33">
        <f>IF(X2000="","",IFERROR(INDEX(Cl_quartier,MATCH(X2000,Cl_cle,0))&amp;"",""))</f>
        <v/>
      </c>
      <c r="AB2000" s="45">
        <f>IF(R2000&lt;&gt;"Livrée",0,IF(K2000&lt;&gt;"",K2000,C2000))</f>
        <v/>
      </c>
      <c r="AC2000" s="33">
        <f>IF(OR(C2000="",W2000=""),"",P2000&amp;"|"&amp;W2000&amp;"|"&amp;C2000&amp;"|"&amp;E2000)</f>
        <v/>
      </c>
      <c r="AD2000" s="39">
        <f>IF(AC2000="","",IF(COUNTIF(AC$6:AC2000,AC2000)=1,1,0))</f>
        <v/>
      </c>
      <c r="AE2000" s="39">
        <f>IF(AB2000=0,"",IF(COUNTIFS(X$6:X2000,X2000,AB$6:AB2000,AB2000)=1,1,0))</f>
        <v/>
      </c>
      <c r="AF2000" s="34">
        <f>IF(C2000="","",YEAR(C2000-WEEKDAY(C2000,2)+4)&amp;"-S"&amp;TEXT(INT((C2000-DATE(YEAR(C2000-WEEKDAY(C2000,2)+4),1,3)+WEEKDAY(DATE(YEAR(C2000-WEEKDAY(C2000,2)+4),1,3),2)+5)/7),"00"))</f>
        <v/>
      </c>
    </row>
    <row r="2001" ht="18" customHeight="1">
      <c r="A2001" s="39" t="n">
        <v>1996</v>
      </c>
      <c r="B2001" s="33">
        <f>IF(C2001="","",IF(P2001="À RENSEIGNER","GIC",P2001)&amp;"-C"&amp;TEXT(A2001,"00000"))</f>
        <v/>
      </c>
      <c r="C2001" s="32" t="n"/>
      <c r="D2001" s="36" t="n"/>
      <c r="E2001" s="36" t="n"/>
      <c r="F2001" s="36" t="n"/>
      <c r="G2001" s="42" t="n"/>
      <c r="H2001" s="37" t="n"/>
      <c r="I2001" s="37" t="n"/>
      <c r="J2001" s="32" t="n"/>
      <c r="K2001" s="32" t="n"/>
      <c r="L2001" s="43" t="n"/>
      <c r="M2001" s="36" t="n"/>
      <c r="N2001" s="44" t="n"/>
      <c r="O2001" s="36" t="n"/>
      <c r="P2001" s="33">
        <f>IF(C2001="","",Commercial_Id)</f>
        <v/>
      </c>
      <c r="Q2001" s="34">
        <f>IF(AC2001="","",IF(AD2001=1,"C"&amp;TEXT(SUM(AD$6:AD2001),"0000"),INDEX(Q$6:Q2000,MATCH(AC2001,AC$6:AC2000,0))))</f>
        <v/>
      </c>
      <c r="R2001" s="34">
        <f>IF(C2001="","",IF(L2001="☑ Oui","Annulée",IF(OR(E2001="Vente directe",K2001&lt;&gt;""),"Livrée",IF(J2001&lt;&gt;"","Confirmée","En attente"))))</f>
        <v/>
      </c>
      <c r="S2001" s="34">
        <f>IF(F2001="","",IFERROR(VLOOKUP(F2001,T_Produits,2,FALSE),""))</f>
        <v/>
      </c>
      <c r="T2001" s="40">
        <f>IF(F2001="","",IFERROR(1/(1/VLOOKUP(F2001,T_Produits,3,FALSE)),""))</f>
        <v/>
      </c>
      <c r="U2001" s="40">
        <f>IF(H2001&lt;&gt;"",H2001,T2001)</f>
        <v/>
      </c>
      <c r="V2001" s="40">
        <f>IF(OR(G2001="",U2001=""),"",G2001*U2001-N(I2001))</f>
        <v/>
      </c>
      <c r="W2001" s="39">
        <f>IF(D2001="","",IFERROR(VALUE(MID(D2001,LEN(D2001)-3,3)),""))</f>
        <v/>
      </c>
      <c r="X2001" s="33">
        <f>IF(W2001="","",P2001&amp;"|"&amp;W2001)</f>
        <v/>
      </c>
      <c r="Y2001" s="33">
        <f>IF(W2001="","",IF(P2001="À RENSEIGNER","GIC",P2001)&amp;"-"&amp;TEXT(W2001,"000"))</f>
        <v/>
      </c>
      <c r="Z2001" s="33">
        <f>IF(X2001="","",IFERROR(INDEX(Cl_nom,MATCH(X2001,Cl_cle,0)),"(client introuvable)"))</f>
        <v/>
      </c>
      <c r="AA2001" s="33">
        <f>IF(X2001="","",IFERROR(INDEX(Cl_quartier,MATCH(X2001,Cl_cle,0))&amp;"",""))</f>
        <v/>
      </c>
      <c r="AB2001" s="45">
        <f>IF(R2001&lt;&gt;"Livrée",0,IF(K2001&lt;&gt;"",K2001,C2001))</f>
        <v/>
      </c>
      <c r="AC2001" s="33">
        <f>IF(OR(C2001="",W2001=""),"",P2001&amp;"|"&amp;W2001&amp;"|"&amp;C2001&amp;"|"&amp;E2001)</f>
        <v/>
      </c>
      <c r="AD2001" s="39">
        <f>IF(AC2001="","",IF(COUNTIF(AC$6:AC2001,AC2001)=1,1,0))</f>
        <v/>
      </c>
      <c r="AE2001" s="39">
        <f>IF(AB2001=0,"",IF(COUNTIFS(X$6:X2001,X2001,AB$6:AB2001,AB2001)=1,1,0))</f>
        <v/>
      </c>
      <c r="AF2001" s="34">
        <f>IF(C2001="","",YEAR(C2001-WEEKDAY(C2001,2)+4)&amp;"-S"&amp;TEXT(INT((C2001-DATE(YEAR(C2001-WEEKDAY(C2001,2)+4),1,3)+WEEKDAY(DATE(YEAR(C2001-WEEKDAY(C2001,2)+4),1,3),2)+5)/7),"00"))</f>
        <v/>
      </c>
    </row>
    <row r="2002" ht="18" customHeight="1">
      <c r="A2002" s="39" t="n">
        <v>1997</v>
      </c>
      <c r="B2002" s="33">
        <f>IF(C2002="","",IF(P2002="À RENSEIGNER","GIC",P2002)&amp;"-C"&amp;TEXT(A2002,"00000"))</f>
        <v/>
      </c>
      <c r="C2002" s="32" t="n"/>
      <c r="D2002" s="36" t="n"/>
      <c r="E2002" s="36" t="n"/>
      <c r="F2002" s="36" t="n"/>
      <c r="G2002" s="42" t="n"/>
      <c r="H2002" s="37" t="n"/>
      <c r="I2002" s="37" t="n"/>
      <c r="J2002" s="32" t="n"/>
      <c r="K2002" s="32" t="n"/>
      <c r="L2002" s="43" t="n"/>
      <c r="M2002" s="36" t="n"/>
      <c r="N2002" s="44" t="n"/>
      <c r="O2002" s="36" t="n"/>
      <c r="P2002" s="33">
        <f>IF(C2002="","",Commercial_Id)</f>
        <v/>
      </c>
      <c r="Q2002" s="34">
        <f>IF(AC2002="","",IF(AD2002=1,"C"&amp;TEXT(SUM(AD$6:AD2002),"0000"),INDEX(Q$6:Q2001,MATCH(AC2002,AC$6:AC2001,0))))</f>
        <v/>
      </c>
      <c r="R2002" s="34">
        <f>IF(C2002="","",IF(L2002="☑ Oui","Annulée",IF(OR(E2002="Vente directe",K2002&lt;&gt;""),"Livrée",IF(J2002&lt;&gt;"","Confirmée","En attente"))))</f>
        <v/>
      </c>
      <c r="S2002" s="34">
        <f>IF(F2002="","",IFERROR(VLOOKUP(F2002,T_Produits,2,FALSE),""))</f>
        <v/>
      </c>
      <c r="T2002" s="40">
        <f>IF(F2002="","",IFERROR(1/(1/VLOOKUP(F2002,T_Produits,3,FALSE)),""))</f>
        <v/>
      </c>
      <c r="U2002" s="40">
        <f>IF(H2002&lt;&gt;"",H2002,T2002)</f>
        <v/>
      </c>
      <c r="V2002" s="40">
        <f>IF(OR(G2002="",U2002=""),"",G2002*U2002-N(I2002))</f>
        <v/>
      </c>
      <c r="W2002" s="39">
        <f>IF(D2002="","",IFERROR(VALUE(MID(D2002,LEN(D2002)-3,3)),""))</f>
        <v/>
      </c>
      <c r="X2002" s="33">
        <f>IF(W2002="","",P2002&amp;"|"&amp;W2002)</f>
        <v/>
      </c>
      <c r="Y2002" s="33">
        <f>IF(W2002="","",IF(P2002="À RENSEIGNER","GIC",P2002)&amp;"-"&amp;TEXT(W2002,"000"))</f>
        <v/>
      </c>
      <c r="Z2002" s="33">
        <f>IF(X2002="","",IFERROR(INDEX(Cl_nom,MATCH(X2002,Cl_cle,0)),"(client introuvable)"))</f>
        <v/>
      </c>
      <c r="AA2002" s="33">
        <f>IF(X2002="","",IFERROR(INDEX(Cl_quartier,MATCH(X2002,Cl_cle,0))&amp;"",""))</f>
        <v/>
      </c>
      <c r="AB2002" s="45">
        <f>IF(R2002&lt;&gt;"Livrée",0,IF(K2002&lt;&gt;"",K2002,C2002))</f>
        <v/>
      </c>
      <c r="AC2002" s="33">
        <f>IF(OR(C2002="",W2002=""),"",P2002&amp;"|"&amp;W2002&amp;"|"&amp;C2002&amp;"|"&amp;E2002)</f>
        <v/>
      </c>
      <c r="AD2002" s="39">
        <f>IF(AC2002="","",IF(COUNTIF(AC$6:AC2002,AC2002)=1,1,0))</f>
        <v/>
      </c>
      <c r="AE2002" s="39">
        <f>IF(AB2002=0,"",IF(COUNTIFS(X$6:X2002,X2002,AB$6:AB2002,AB2002)=1,1,0))</f>
        <v/>
      </c>
      <c r="AF2002" s="34">
        <f>IF(C2002="","",YEAR(C2002-WEEKDAY(C2002,2)+4)&amp;"-S"&amp;TEXT(INT((C2002-DATE(YEAR(C2002-WEEKDAY(C2002,2)+4),1,3)+WEEKDAY(DATE(YEAR(C2002-WEEKDAY(C2002,2)+4),1,3),2)+5)/7),"00"))</f>
        <v/>
      </c>
    </row>
    <row r="2003" ht="18" customHeight="1">
      <c r="A2003" s="39" t="n">
        <v>1998</v>
      </c>
      <c r="B2003" s="33">
        <f>IF(C2003="","",IF(P2003="À RENSEIGNER","GIC",P2003)&amp;"-C"&amp;TEXT(A2003,"00000"))</f>
        <v/>
      </c>
      <c r="C2003" s="32" t="n"/>
      <c r="D2003" s="36" t="n"/>
      <c r="E2003" s="36" t="n"/>
      <c r="F2003" s="36" t="n"/>
      <c r="G2003" s="42" t="n"/>
      <c r="H2003" s="37" t="n"/>
      <c r="I2003" s="37" t="n"/>
      <c r="J2003" s="32" t="n"/>
      <c r="K2003" s="32" t="n"/>
      <c r="L2003" s="43" t="n"/>
      <c r="M2003" s="36" t="n"/>
      <c r="N2003" s="44" t="n"/>
      <c r="O2003" s="36" t="n"/>
      <c r="P2003" s="33">
        <f>IF(C2003="","",Commercial_Id)</f>
        <v/>
      </c>
      <c r="Q2003" s="34">
        <f>IF(AC2003="","",IF(AD2003=1,"C"&amp;TEXT(SUM(AD$6:AD2003),"0000"),INDEX(Q$6:Q2002,MATCH(AC2003,AC$6:AC2002,0))))</f>
        <v/>
      </c>
      <c r="R2003" s="34">
        <f>IF(C2003="","",IF(L2003="☑ Oui","Annulée",IF(OR(E2003="Vente directe",K2003&lt;&gt;""),"Livrée",IF(J2003&lt;&gt;"","Confirmée","En attente"))))</f>
        <v/>
      </c>
      <c r="S2003" s="34">
        <f>IF(F2003="","",IFERROR(VLOOKUP(F2003,T_Produits,2,FALSE),""))</f>
        <v/>
      </c>
      <c r="T2003" s="40">
        <f>IF(F2003="","",IFERROR(1/(1/VLOOKUP(F2003,T_Produits,3,FALSE)),""))</f>
        <v/>
      </c>
      <c r="U2003" s="40">
        <f>IF(H2003&lt;&gt;"",H2003,T2003)</f>
        <v/>
      </c>
      <c r="V2003" s="40">
        <f>IF(OR(G2003="",U2003=""),"",G2003*U2003-N(I2003))</f>
        <v/>
      </c>
      <c r="W2003" s="39">
        <f>IF(D2003="","",IFERROR(VALUE(MID(D2003,LEN(D2003)-3,3)),""))</f>
        <v/>
      </c>
      <c r="X2003" s="33">
        <f>IF(W2003="","",P2003&amp;"|"&amp;W2003)</f>
        <v/>
      </c>
      <c r="Y2003" s="33">
        <f>IF(W2003="","",IF(P2003="À RENSEIGNER","GIC",P2003)&amp;"-"&amp;TEXT(W2003,"000"))</f>
        <v/>
      </c>
      <c r="Z2003" s="33">
        <f>IF(X2003="","",IFERROR(INDEX(Cl_nom,MATCH(X2003,Cl_cle,0)),"(client introuvable)"))</f>
        <v/>
      </c>
      <c r="AA2003" s="33">
        <f>IF(X2003="","",IFERROR(INDEX(Cl_quartier,MATCH(X2003,Cl_cle,0))&amp;"",""))</f>
        <v/>
      </c>
      <c r="AB2003" s="45">
        <f>IF(R2003&lt;&gt;"Livrée",0,IF(K2003&lt;&gt;"",K2003,C2003))</f>
        <v/>
      </c>
      <c r="AC2003" s="33">
        <f>IF(OR(C2003="",W2003=""),"",P2003&amp;"|"&amp;W2003&amp;"|"&amp;C2003&amp;"|"&amp;E2003)</f>
        <v/>
      </c>
      <c r="AD2003" s="39">
        <f>IF(AC2003="","",IF(COUNTIF(AC$6:AC2003,AC2003)=1,1,0))</f>
        <v/>
      </c>
      <c r="AE2003" s="39">
        <f>IF(AB2003=0,"",IF(COUNTIFS(X$6:X2003,X2003,AB$6:AB2003,AB2003)=1,1,0))</f>
        <v/>
      </c>
      <c r="AF2003" s="34">
        <f>IF(C2003="","",YEAR(C2003-WEEKDAY(C2003,2)+4)&amp;"-S"&amp;TEXT(INT((C2003-DATE(YEAR(C2003-WEEKDAY(C2003,2)+4),1,3)+WEEKDAY(DATE(YEAR(C2003-WEEKDAY(C2003,2)+4),1,3),2)+5)/7),"00"))</f>
        <v/>
      </c>
    </row>
    <row r="2004" ht="18" customHeight="1">
      <c r="A2004" s="39" t="n">
        <v>1999</v>
      </c>
      <c r="B2004" s="33">
        <f>IF(C2004="","",IF(P2004="À RENSEIGNER","GIC",P2004)&amp;"-C"&amp;TEXT(A2004,"00000"))</f>
        <v/>
      </c>
      <c r="C2004" s="32" t="n"/>
      <c r="D2004" s="36" t="n"/>
      <c r="E2004" s="36" t="n"/>
      <c r="F2004" s="36" t="n"/>
      <c r="G2004" s="42" t="n"/>
      <c r="H2004" s="37" t="n"/>
      <c r="I2004" s="37" t="n"/>
      <c r="J2004" s="32" t="n"/>
      <c r="K2004" s="32" t="n"/>
      <c r="L2004" s="43" t="n"/>
      <c r="M2004" s="36" t="n"/>
      <c r="N2004" s="44" t="n"/>
      <c r="O2004" s="36" t="n"/>
      <c r="P2004" s="33">
        <f>IF(C2004="","",Commercial_Id)</f>
        <v/>
      </c>
      <c r="Q2004" s="34">
        <f>IF(AC2004="","",IF(AD2004=1,"C"&amp;TEXT(SUM(AD$6:AD2004),"0000"),INDEX(Q$6:Q2003,MATCH(AC2004,AC$6:AC2003,0))))</f>
        <v/>
      </c>
      <c r="R2004" s="34">
        <f>IF(C2004="","",IF(L2004="☑ Oui","Annulée",IF(OR(E2004="Vente directe",K2004&lt;&gt;""),"Livrée",IF(J2004&lt;&gt;"","Confirmée","En attente"))))</f>
        <v/>
      </c>
      <c r="S2004" s="34">
        <f>IF(F2004="","",IFERROR(VLOOKUP(F2004,T_Produits,2,FALSE),""))</f>
        <v/>
      </c>
      <c r="T2004" s="40">
        <f>IF(F2004="","",IFERROR(1/(1/VLOOKUP(F2004,T_Produits,3,FALSE)),""))</f>
        <v/>
      </c>
      <c r="U2004" s="40">
        <f>IF(H2004&lt;&gt;"",H2004,T2004)</f>
        <v/>
      </c>
      <c r="V2004" s="40">
        <f>IF(OR(G2004="",U2004=""),"",G2004*U2004-N(I2004))</f>
        <v/>
      </c>
      <c r="W2004" s="39">
        <f>IF(D2004="","",IFERROR(VALUE(MID(D2004,LEN(D2004)-3,3)),""))</f>
        <v/>
      </c>
      <c r="X2004" s="33">
        <f>IF(W2004="","",P2004&amp;"|"&amp;W2004)</f>
        <v/>
      </c>
      <c r="Y2004" s="33">
        <f>IF(W2004="","",IF(P2004="À RENSEIGNER","GIC",P2004)&amp;"-"&amp;TEXT(W2004,"000"))</f>
        <v/>
      </c>
      <c r="Z2004" s="33">
        <f>IF(X2004="","",IFERROR(INDEX(Cl_nom,MATCH(X2004,Cl_cle,0)),"(client introuvable)"))</f>
        <v/>
      </c>
      <c r="AA2004" s="33">
        <f>IF(X2004="","",IFERROR(INDEX(Cl_quartier,MATCH(X2004,Cl_cle,0))&amp;"",""))</f>
        <v/>
      </c>
      <c r="AB2004" s="45">
        <f>IF(R2004&lt;&gt;"Livrée",0,IF(K2004&lt;&gt;"",K2004,C2004))</f>
        <v/>
      </c>
      <c r="AC2004" s="33">
        <f>IF(OR(C2004="",W2004=""),"",P2004&amp;"|"&amp;W2004&amp;"|"&amp;C2004&amp;"|"&amp;E2004)</f>
        <v/>
      </c>
      <c r="AD2004" s="39">
        <f>IF(AC2004="","",IF(COUNTIF(AC$6:AC2004,AC2004)=1,1,0))</f>
        <v/>
      </c>
      <c r="AE2004" s="39">
        <f>IF(AB2004=0,"",IF(COUNTIFS(X$6:X2004,X2004,AB$6:AB2004,AB2004)=1,1,0))</f>
        <v/>
      </c>
      <c r="AF2004" s="34">
        <f>IF(C2004="","",YEAR(C2004-WEEKDAY(C2004,2)+4)&amp;"-S"&amp;TEXT(INT((C2004-DATE(YEAR(C2004-WEEKDAY(C2004,2)+4),1,3)+WEEKDAY(DATE(YEAR(C2004-WEEKDAY(C2004,2)+4),1,3),2)+5)/7),"00"))</f>
        <v/>
      </c>
    </row>
    <row r="2005" ht="18" customHeight="1">
      <c r="A2005" s="39" t="n">
        <v>2000</v>
      </c>
      <c r="B2005" s="33">
        <f>IF(C2005="","",IF(P2005="À RENSEIGNER","GIC",P2005)&amp;"-C"&amp;TEXT(A2005,"00000"))</f>
        <v/>
      </c>
      <c r="C2005" s="32" t="n"/>
      <c r="D2005" s="36" t="n"/>
      <c r="E2005" s="36" t="n"/>
      <c r="F2005" s="36" t="n"/>
      <c r="G2005" s="42" t="n"/>
      <c r="H2005" s="37" t="n"/>
      <c r="I2005" s="37" t="n"/>
      <c r="J2005" s="32" t="n"/>
      <c r="K2005" s="32" t="n"/>
      <c r="L2005" s="43" t="n"/>
      <c r="M2005" s="36" t="n"/>
      <c r="N2005" s="44" t="n"/>
      <c r="O2005" s="36" t="n"/>
      <c r="P2005" s="33">
        <f>IF(C2005="","",Commercial_Id)</f>
        <v/>
      </c>
      <c r="Q2005" s="34">
        <f>IF(AC2005="","",IF(AD2005=1,"C"&amp;TEXT(SUM(AD$6:AD2005),"0000"),INDEX(Q$6:Q2004,MATCH(AC2005,AC$6:AC2004,0))))</f>
        <v/>
      </c>
      <c r="R2005" s="34">
        <f>IF(C2005="","",IF(L2005="☑ Oui","Annulée",IF(OR(E2005="Vente directe",K2005&lt;&gt;""),"Livrée",IF(J2005&lt;&gt;"","Confirmée","En attente"))))</f>
        <v/>
      </c>
      <c r="S2005" s="34">
        <f>IF(F2005="","",IFERROR(VLOOKUP(F2005,T_Produits,2,FALSE),""))</f>
        <v/>
      </c>
      <c r="T2005" s="40">
        <f>IF(F2005="","",IFERROR(1/(1/VLOOKUP(F2005,T_Produits,3,FALSE)),""))</f>
        <v/>
      </c>
      <c r="U2005" s="40">
        <f>IF(H2005&lt;&gt;"",H2005,T2005)</f>
        <v/>
      </c>
      <c r="V2005" s="40">
        <f>IF(OR(G2005="",U2005=""),"",G2005*U2005-N(I2005))</f>
        <v/>
      </c>
      <c r="W2005" s="39">
        <f>IF(D2005="","",IFERROR(VALUE(MID(D2005,LEN(D2005)-3,3)),""))</f>
        <v/>
      </c>
      <c r="X2005" s="33">
        <f>IF(W2005="","",P2005&amp;"|"&amp;W2005)</f>
        <v/>
      </c>
      <c r="Y2005" s="33">
        <f>IF(W2005="","",IF(P2005="À RENSEIGNER","GIC",P2005)&amp;"-"&amp;TEXT(W2005,"000"))</f>
        <v/>
      </c>
      <c r="Z2005" s="33">
        <f>IF(X2005="","",IFERROR(INDEX(Cl_nom,MATCH(X2005,Cl_cle,0)),"(client introuvable)"))</f>
        <v/>
      </c>
      <c r="AA2005" s="33">
        <f>IF(X2005="","",IFERROR(INDEX(Cl_quartier,MATCH(X2005,Cl_cle,0))&amp;"",""))</f>
        <v/>
      </c>
      <c r="AB2005" s="45">
        <f>IF(R2005&lt;&gt;"Livrée",0,IF(K2005&lt;&gt;"",K2005,C2005))</f>
        <v/>
      </c>
      <c r="AC2005" s="33">
        <f>IF(OR(C2005="",W2005=""),"",P2005&amp;"|"&amp;W2005&amp;"|"&amp;C2005&amp;"|"&amp;E2005)</f>
        <v/>
      </c>
      <c r="AD2005" s="39">
        <f>IF(AC2005="","",IF(COUNTIF(AC$6:AC2005,AC2005)=1,1,0))</f>
        <v/>
      </c>
      <c r="AE2005" s="39">
        <f>IF(AB2005=0,"",IF(COUNTIFS(X$6:X2005,X2005,AB$6:AB2005,AB2005)=1,1,0))</f>
        <v/>
      </c>
      <c r="AF2005" s="34">
        <f>IF(C2005="","",YEAR(C2005-WEEKDAY(C2005,2)+4)&amp;"-S"&amp;TEXT(INT((C2005-DATE(YEAR(C2005-WEEKDAY(C2005,2)+4),1,3)+WEEKDAY(DATE(YEAR(C2005-WEEKDAY(C2005,2)+4),1,3),2)+5)/7),"00"))</f>
        <v/>
      </c>
    </row>
  </sheetData>
  <autoFilter ref="A5:AF2005"/>
  <mergeCells count="1">
    <mergeCell ref="A3:B3"/>
  </mergeCells>
  <conditionalFormatting sqref="C6:C2005">
    <cfRule type="expression" priority="1" dxfId="0">
      <formula>AND(COUNTA($C6:$O6)&gt;0,C6="")</formula>
    </cfRule>
    <cfRule type="expression" priority="2" dxfId="0">
      <formula>AND(C6&lt;&gt;"",NOT(ISNUMBER(C6)))</formula>
    </cfRule>
  </conditionalFormatting>
  <conditionalFormatting sqref="D6:D2005">
    <cfRule type="expression" priority="3" dxfId="0">
      <formula>AND(COUNTA($C6:$O6)&gt;0,D6="")</formula>
    </cfRule>
  </conditionalFormatting>
  <conditionalFormatting sqref="E6:E2005">
    <cfRule type="expression" priority="4" dxfId="0">
      <formula>AND(COUNTA($C6:$O6)&gt;0,E6="")</formula>
    </cfRule>
  </conditionalFormatting>
  <conditionalFormatting sqref="F6:F2005">
    <cfRule type="expression" priority="5" dxfId="0">
      <formula>AND(COUNTA($C6:$O6)&gt;0,F6="")</formula>
    </cfRule>
  </conditionalFormatting>
  <conditionalFormatting sqref="G6:G2005">
    <cfRule type="expression" priority="6" dxfId="0">
      <formula>AND(COUNTA($C6:$O6)&gt;0,G6="")</formula>
    </cfRule>
  </conditionalFormatting>
  <conditionalFormatting sqref="H6:H2005">
    <cfRule type="expression" priority="7" dxfId="0">
      <formula>AND(F6&lt;&gt;"",U6="")</formula>
    </cfRule>
  </conditionalFormatting>
  <conditionalFormatting sqref="J6:J2005">
    <cfRule type="expression" priority="8" dxfId="0">
      <formula>AND(J6&lt;&gt;"",NOT(ISNUMBER(J6)))</formula>
    </cfRule>
  </conditionalFormatting>
  <conditionalFormatting sqref="K6:K2005">
    <cfRule type="expression" priority="9" dxfId="0">
      <formula>AND(K6&lt;&gt;"",NOT(ISNUMBER(K6)))</formula>
    </cfRule>
  </conditionalFormatting>
  <dataValidations count="11">
    <dataValidation sqref="C6:C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2005" showDropDown="0" showInputMessage="0" showErrorMessage="1" allowBlank="1" errorTitle="Valeur hors liste" error="Cette valeur n'est pas dans la liste. Choisissez-la avec la flèche à droite de la cellule." type="list" errorStyle="stop">
      <formula1>=L_Clients</formula1>
    </dataValidation>
    <dataValidation sqref="E6:E2005" showDropDown="0" showInputMessage="0" showErrorMessage="1" allowBlank="1" errorTitle="Valeur hors liste" error="Cette valeur n'est pas dans la liste. Choisissez-la avec la flèche à droite de la cellule." type="list" errorStyle="stop">
      <formula1>=L_TypeOp</formula1>
    </dataValidation>
    <dataValidation sqref="F6:F2005" showDropDown="0" showInputMessage="0" showErrorMessage="1" allowBlank="1" errorTitle="Valeur hors liste" error="Cette valeur n'est pas dans la liste. Choisissez-la avec la flèche à droite de la cellule." type="list" errorStyle="stop">
      <formula1>=L_Produit</formula1>
    </dataValidation>
    <dataValidation sqref="G6:G2005" showDropDown="0" showInputMessage="0" showErrorMessage="1" allowBlank="1" errorTitle="Valeur hors liste" error="Choisissez une quantité dans la liste ou tapez-en une autre. Cliquez sur OK pour la garder telle quelle." type="list" errorStyle="information">
      <formula1>=L_Quantites</formula1>
    </dataValidation>
    <dataValidation sqref="H6:H2005" showDropDown="0" showInputMessage="0" showErrorMessage="1" allowBlank="1" errorTitle="Nombre invalide" error="Saisissez un nombre supérieur ou égal à 0." type="decimal" errorStyle="stop" operator="greaterThanOrEqual">
      <formula1>0</formula1>
    </dataValidation>
    <dataValidation sqref="I6:I2005" showDropDown="0" showInputMessage="0" showErrorMessage="1" allowBlank="1" errorTitle="Valeur hors liste" error="Choisissez un montant dans la liste ou tapez-en un autre. Cliquez sur OK pour la garder telle quelle." type="list" errorStyle="information">
      <formula1>=L_Remises</formula1>
    </dataValidation>
    <dataValidation sqref="J6:J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=L_DatesAvenir</formula1>
    </dataValidation>
    <dataValidation sqref="K6:K20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L6:L2005" showDropDown="0" showInputMessage="0" showErrorMessage="1" allowBlank="1" errorTitle="Valeur hors liste" error="Cette valeur n'est pas dans la liste. Choisissez-la avec la flèche à droite de la cellule." type="list" errorStyle="stop">
      <formula1>=L_OuiNon</formula1>
    </dataValidation>
    <dataValidation sqref="M6:M2005" showDropDown="0" showInputMessage="0" showErrorMessage="1" allowBlank="1" errorTitle="Valeur hors liste" error="Cette valeur n'est pas dans la liste. Choisissez-la avec la flèche à droite de la cellule." type="list" errorStyle="stop">
      <formula1>=L_PaiementPrevu</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6.xml><?xml version="1.0" encoding="utf-8"?>
<worksheet xmlns="http://schemas.openxmlformats.org/spreadsheetml/2006/main">
  <sheetPr>
    <tabColor rgb="002F6EBA"/>
    <outlinePr summaryBelow="1" summaryRight="1"/>
    <pageSetUpPr fitToPage="1"/>
  </sheetPr>
  <dimension ref="A1:S15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38" customWidth="1" min="4" max="4"/>
    <col width="15" customWidth="1" min="5" max="5"/>
    <col width="16" customWidth="1" min="6" max="6"/>
    <col width="22" customWidth="1" min="7" max="7"/>
    <col width="12" customWidth="1" min="8" max="8"/>
    <col width="16" customWidth="1" min="9" max="9"/>
    <col width="18" customWidth="1" min="10" max="10"/>
    <col width="32" customWidth="1" min="11" max="11"/>
    <col width="13" customWidth="1" min="12" max="12"/>
    <col width="12" customWidth="1" min="13" max="13"/>
    <col width="9" customWidth="1" min="14" max="14"/>
    <col hidden="1" width="14" customWidth="1" min="15" max="15"/>
    <col width="12" customWidth="1" min="16" max="16"/>
    <col width="30" customWidth="1" min="17" max="17"/>
    <col width="15" customWidth="1" min="18" max="18"/>
    <col width="10" customWidth="1" min="19" max="19"/>
  </cols>
  <sheetData>
    <row r="1" ht="26" customHeight="1">
      <c r="A1" s="15" t="inlineStr">
        <is>
          <t>ENCAISSEMENTS — argent reçu des clients</t>
        </is>
      </c>
    </row>
    <row r="2" ht="18" customHeight="1">
      <c r="A2" s="2" t="inlineStr">
        <is>
          <t>Une ligne par paiement reçu. Quand vous versez l'argent à l'entreprise, choisissez la date du versement : le rapport vous dit combien d'espèces vous détenez encore.</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Tapez les premières lettres ou ouvrez la liste</t>
        </is>
      </c>
      <c r="E4" s="30" t="inlineStr">
        <is>
          <t>Entier</t>
        </is>
      </c>
      <c r="F4" s="30" t="inlineStr">
        <is>
          <t>Liste</t>
        </is>
      </c>
      <c r="G4" s="30" t="inlineStr">
        <is>
          <t>Obligatoire hors espèces</t>
        </is>
      </c>
      <c r="H4" s="30" t="inlineStr">
        <is>
          <t>Liste</t>
        </is>
      </c>
      <c r="I4" s="30" t="inlineStr">
        <is>
          <t>Vide tant que non versé</t>
        </is>
      </c>
      <c r="J4" s="30" t="inlineStr">
        <is>
          <t>Bordereau, reçu…</t>
        </is>
      </c>
      <c r="K4" s="30" t="inlineStr">
        <is>
          <t>Libre</t>
        </is>
      </c>
      <c r="L4" s="30" t="inlineStr">
        <is>
          <t>Rempli seul (Paramètres) ; remplaçable</t>
        </is>
      </c>
      <c r="M4" s="30" t="inlineStr">
        <is>
          <t>Espèces : Oui dès qu'une date de versement est saisie</t>
        </is>
      </c>
      <c r="N4" s="30" t="inlineStr">
        <is>
          <t>Calculé</t>
        </is>
      </c>
      <c r="O4" s="30" t="inlineStr">
        <is>
          <t>Technique</t>
        </is>
      </c>
      <c r="P4" s="30" t="inlineStr">
        <is>
          <t>Calculé</t>
        </is>
      </c>
      <c r="Q4" s="30" t="inlineStr">
        <is>
          <t>Calculé</t>
        </is>
      </c>
      <c r="R4" s="30" t="inlineStr">
        <is>
          <t>Après tous ses paiements</t>
        </is>
      </c>
      <c r="S4" s="30" t="inlineStr">
        <is>
          <t>Calculé (ISO)</t>
        </is>
      </c>
    </row>
    <row r="5" ht="44" customHeight="1">
      <c r="A5" s="7" t="inlineStr">
        <is>
          <t>N°</t>
        </is>
      </c>
      <c r="B5" s="7" t="inlineStr">
        <is>
          <t>Réf. de la ligne</t>
        </is>
      </c>
      <c r="C5" s="31" t="inlineStr">
        <is>
          <t>Date</t>
        </is>
      </c>
      <c r="D5" s="31" t="inlineStr">
        <is>
          <t>Client</t>
        </is>
      </c>
      <c r="E5" s="31" t="inlineStr">
        <is>
          <t>Montant encaissé (XAF)</t>
        </is>
      </c>
      <c r="F5" s="31" t="inlineStr">
        <is>
          <t>Mode de paiement</t>
        </is>
      </c>
      <c r="G5" s="31" t="inlineStr">
        <is>
          <t>Référence de la transaction</t>
        </is>
      </c>
      <c r="H5" s="31" t="inlineStr">
        <is>
          <t>Reçu remis au client ?</t>
        </is>
      </c>
      <c r="I5" s="31" t="inlineStr">
        <is>
          <t>Date du versement à l'entreprise</t>
        </is>
      </c>
      <c r="J5" s="31" t="inlineStr">
        <is>
          <t>Réf. du versement</t>
        </is>
      </c>
      <c r="K5" s="31" t="inlineStr">
        <is>
          <t>Observations</t>
        </is>
      </c>
      <c r="L5" s="7" t="inlineStr">
        <is>
          <t>Commercial</t>
        </is>
      </c>
      <c r="M5" s="7" t="inlineStr">
        <is>
          <t>Versé ? (automatique)</t>
        </is>
      </c>
      <c r="N5" s="7" t="inlineStr">
        <is>
          <t>N° client</t>
        </is>
      </c>
      <c r="O5" s="7" t="inlineStr">
        <is>
          <t>Clé client</t>
        </is>
      </c>
      <c r="P5" s="7" t="inlineStr">
        <is>
          <t>Code client</t>
        </is>
      </c>
      <c r="Q5" s="7" t="inlineStr">
        <is>
          <t>Nom du client</t>
        </is>
      </c>
      <c r="R5" s="7" t="inlineStr">
        <is>
          <t>Reste dû par le client (XAF)</t>
        </is>
      </c>
      <c r="S5" s="7" t="inlineStr">
        <is>
          <t>Semaine</t>
        </is>
      </c>
    </row>
    <row r="6" ht="18" customHeight="1">
      <c r="A6" s="39" t="n">
        <v>1</v>
      </c>
      <c r="B6" s="33">
        <f>IF(C6="","",IF(L6="À RENSEIGNER","GIC",L6)&amp;"-E"&amp;TEXT(A6,"00000"))</f>
        <v/>
      </c>
      <c r="C6" s="32" t="n"/>
      <c r="D6" s="36" t="n"/>
      <c r="E6" s="37" t="n"/>
      <c r="F6" s="36" t="n"/>
      <c r="G6" s="44" t="n"/>
      <c r="H6" s="43" t="n"/>
      <c r="I6" s="32" t="n"/>
      <c r="J6" s="44" t="n"/>
      <c r="K6" s="36" t="n"/>
      <c r="L6" s="33">
        <f>IF(C6="","",Commercial_Id)</f>
        <v/>
      </c>
      <c r="M6" s="34">
        <f>IF(OR(C6="",F6=""),"",IF(F6&lt;&gt;"Espèces","—",IF(I6&lt;&gt;"","☑ Oui","☐ Non")))</f>
        <v/>
      </c>
      <c r="N6" s="39">
        <f>IF(D6="","",IFERROR(VALUE(MID(D6,LEN(D6)-3,3)),""))</f>
        <v/>
      </c>
      <c r="O6" s="33">
        <f>IF(N6="","",L6&amp;"|"&amp;N6)</f>
        <v/>
      </c>
      <c r="P6" s="33">
        <f>IF(N6="","",IF(L6="À RENSEIGNER","GIC",L6)&amp;"-"&amp;TEXT(N6,"000"))</f>
        <v/>
      </c>
      <c r="Q6" s="33">
        <f>IF(O6="","",IFERROR(INDEX(Cl_nom,MATCH(O6,Cl_cle,0)),"(client introuvable)"))</f>
        <v/>
      </c>
      <c r="R6" s="40">
        <f>IF(O6="","",IFERROR(INDEX(Cl_reste,MATCH(O6,Cl_cle,0)),""))</f>
        <v/>
      </c>
      <c r="S6" s="34">
        <f>IF(C6="","",YEAR(C6-WEEKDAY(C6,2)+4)&amp;"-S"&amp;TEXT(INT((C6-DATE(YEAR(C6-WEEKDAY(C6,2)+4),1,3)+WEEKDAY(DATE(YEAR(C6-WEEKDAY(C6,2)+4),1,3),2)+5)/7),"00"))</f>
        <v/>
      </c>
    </row>
    <row r="7" ht="18" customHeight="1">
      <c r="A7" s="39" t="n">
        <v>2</v>
      </c>
      <c r="B7" s="33">
        <f>IF(C7="","",IF(L7="À RENSEIGNER","GIC",L7)&amp;"-E"&amp;TEXT(A7,"00000"))</f>
        <v/>
      </c>
      <c r="C7" s="32" t="n"/>
      <c r="D7" s="36" t="n"/>
      <c r="E7" s="37" t="n"/>
      <c r="F7" s="36" t="n"/>
      <c r="G7" s="44" t="n"/>
      <c r="H7" s="43" t="n"/>
      <c r="I7" s="32" t="n"/>
      <c r="J7" s="44" t="n"/>
      <c r="K7" s="36" t="n"/>
      <c r="L7" s="33">
        <f>IF(C7="","",Commercial_Id)</f>
        <v/>
      </c>
      <c r="M7" s="34">
        <f>IF(OR(C7="",F7=""),"",IF(F7&lt;&gt;"Espèces","—",IF(I7&lt;&gt;"","☑ Oui","☐ Non")))</f>
        <v/>
      </c>
      <c r="N7" s="39">
        <f>IF(D7="","",IFERROR(VALUE(MID(D7,LEN(D7)-3,3)),""))</f>
        <v/>
      </c>
      <c r="O7" s="33">
        <f>IF(N7="","",L7&amp;"|"&amp;N7)</f>
        <v/>
      </c>
      <c r="P7" s="33">
        <f>IF(N7="","",IF(L7="À RENSEIGNER","GIC",L7)&amp;"-"&amp;TEXT(N7,"000"))</f>
        <v/>
      </c>
      <c r="Q7" s="33">
        <f>IF(O7="","",IFERROR(INDEX(Cl_nom,MATCH(O7,Cl_cle,0)),"(client introuvable)"))</f>
        <v/>
      </c>
      <c r="R7" s="40">
        <f>IF(O7="","",IFERROR(INDEX(Cl_reste,MATCH(O7,Cl_cle,0)),""))</f>
        <v/>
      </c>
      <c r="S7" s="34">
        <f>IF(C7="","",YEAR(C7-WEEKDAY(C7,2)+4)&amp;"-S"&amp;TEXT(INT((C7-DATE(YEAR(C7-WEEKDAY(C7,2)+4),1,3)+WEEKDAY(DATE(YEAR(C7-WEEKDAY(C7,2)+4),1,3),2)+5)/7),"00"))</f>
        <v/>
      </c>
    </row>
    <row r="8" ht="18" customHeight="1">
      <c r="A8" s="39" t="n">
        <v>3</v>
      </c>
      <c r="B8" s="33">
        <f>IF(C8="","",IF(L8="À RENSEIGNER","GIC",L8)&amp;"-E"&amp;TEXT(A8,"00000"))</f>
        <v/>
      </c>
      <c r="C8" s="32" t="n"/>
      <c r="D8" s="36" t="n"/>
      <c r="E8" s="37" t="n"/>
      <c r="F8" s="36" t="n"/>
      <c r="G8" s="44" t="n"/>
      <c r="H8" s="43" t="n"/>
      <c r="I8" s="32" t="n"/>
      <c r="J8" s="44" t="n"/>
      <c r="K8" s="36" t="n"/>
      <c r="L8" s="33">
        <f>IF(C8="","",Commercial_Id)</f>
        <v/>
      </c>
      <c r="M8" s="34">
        <f>IF(OR(C8="",F8=""),"",IF(F8&lt;&gt;"Espèces","—",IF(I8&lt;&gt;"","☑ Oui","☐ Non")))</f>
        <v/>
      </c>
      <c r="N8" s="39">
        <f>IF(D8="","",IFERROR(VALUE(MID(D8,LEN(D8)-3,3)),""))</f>
        <v/>
      </c>
      <c r="O8" s="33">
        <f>IF(N8="","",L8&amp;"|"&amp;N8)</f>
        <v/>
      </c>
      <c r="P8" s="33">
        <f>IF(N8="","",IF(L8="À RENSEIGNER","GIC",L8)&amp;"-"&amp;TEXT(N8,"000"))</f>
        <v/>
      </c>
      <c r="Q8" s="33">
        <f>IF(O8="","",IFERROR(INDEX(Cl_nom,MATCH(O8,Cl_cle,0)),"(client introuvable)"))</f>
        <v/>
      </c>
      <c r="R8" s="40">
        <f>IF(O8="","",IFERROR(INDEX(Cl_reste,MATCH(O8,Cl_cle,0)),""))</f>
        <v/>
      </c>
      <c r="S8" s="34">
        <f>IF(C8="","",YEAR(C8-WEEKDAY(C8,2)+4)&amp;"-S"&amp;TEXT(INT((C8-DATE(YEAR(C8-WEEKDAY(C8,2)+4),1,3)+WEEKDAY(DATE(YEAR(C8-WEEKDAY(C8,2)+4),1,3),2)+5)/7),"00"))</f>
        <v/>
      </c>
    </row>
    <row r="9" ht="18" customHeight="1">
      <c r="A9" s="39" t="n">
        <v>4</v>
      </c>
      <c r="B9" s="33">
        <f>IF(C9="","",IF(L9="À RENSEIGNER","GIC",L9)&amp;"-E"&amp;TEXT(A9,"00000"))</f>
        <v/>
      </c>
      <c r="C9" s="32" t="n"/>
      <c r="D9" s="36" t="n"/>
      <c r="E9" s="37" t="n"/>
      <c r="F9" s="36" t="n"/>
      <c r="G9" s="44" t="n"/>
      <c r="H9" s="43" t="n"/>
      <c r="I9" s="32" t="n"/>
      <c r="J9" s="44" t="n"/>
      <c r="K9" s="36" t="n"/>
      <c r="L9" s="33">
        <f>IF(C9="","",Commercial_Id)</f>
        <v/>
      </c>
      <c r="M9" s="34">
        <f>IF(OR(C9="",F9=""),"",IF(F9&lt;&gt;"Espèces","—",IF(I9&lt;&gt;"","☑ Oui","☐ Non")))</f>
        <v/>
      </c>
      <c r="N9" s="39">
        <f>IF(D9="","",IFERROR(VALUE(MID(D9,LEN(D9)-3,3)),""))</f>
        <v/>
      </c>
      <c r="O9" s="33">
        <f>IF(N9="","",L9&amp;"|"&amp;N9)</f>
        <v/>
      </c>
      <c r="P9" s="33">
        <f>IF(N9="","",IF(L9="À RENSEIGNER","GIC",L9)&amp;"-"&amp;TEXT(N9,"000"))</f>
        <v/>
      </c>
      <c r="Q9" s="33">
        <f>IF(O9="","",IFERROR(INDEX(Cl_nom,MATCH(O9,Cl_cle,0)),"(client introuvable)"))</f>
        <v/>
      </c>
      <c r="R9" s="40">
        <f>IF(O9="","",IFERROR(INDEX(Cl_reste,MATCH(O9,Cl_cle,0)),""))</f>
        <v/>
      </c>
      <c r="S9" s="34">
        <f>IF(C9="","",YEAR(C9-WEEKDAY(C9,2)+4)&amp;"-S"&amp;TEXT(INT((C9-DATE(YEAR(C9-WEEKDAY(C9,2)+4),1,3)+WEEKDAY(DATE(YEAR(C9-WEEKDAY(C9,2)+4),1,3),2)+5)/7),"00"))</f>
        <v/>
      </c>
    </row>
    <row r="10" ht="18" customHeight="1">
      <c r="A10" s="39" t="n">
        <v>5</v>
      </c>
      <c r="B10" s="33">
        <f>IF(C10="","",IF(L10="À RENSEIGNER","GIC",L10)&amp;"-E"&amp;TEXT(A10,"00000"))</f>
        <v/>
      </c>
      <c r="C10" s="32" t="n"/>
      <c r="D10" s="36" t="n"/>
      <c r="E10" s="37" t="n"/>
      <c r="F10" s="36" t="n"/>
      <c r="G10" s="44" t="n"/>
      <c r="H10" s="43" t="n"/>
      <c r="I10" s="32" t="n"/>
      <c r="J10" s="44" t="n"/>
      <c r="K10" s="36" t="n"/>
      <c r="L10" s="33">
        <f>IF(C10="","",Commercial_Id)</f>
        <v/>
      </c>
      <c r="M10" s="34">
        <f>IF(OR(C10="",F10=""),"",IF(F10&lt;&gt;"Espèces","—",IF(I10&lt;&gt;"","☑ Oui","☐ Non")))</f>
        <v/>
      </c>
      <c r="N10" s="39">
        <f>IF(D10="","",IFERROR(VALUE(MID(D10,LEN(D10)-3,3)),""))</f>
        <v/>
      </c>
      <c r="O10" s="33">
        <f>IF(N10="","",L10&amp;"|"&amp;N10)</f>
        <v/>
      </c>
      <c r="P10" s="33">
        <f>IF(N10="","",IF(L10="À RENSEIGNER","GIC",L10)&amp;"-"&amp;TEXT(N10,"000"))</f>
        <v/>
      </c>
      <c r="Q10" s="33">
        <f>IF(O10="","",IFERROR(INDEX(Cl_nom,MATCH(O10,Cl_cle,0)),"(client introuvable)"))</f>
        <v/>
      </c>
      <c r="R10" s="40">
        <f>IF(O10="","",IFERROR(INDEX(Cl_reste,MATCH(O10,Cl_cle,0)),""))</f>
        <v/>
      </c>
      <c r="S10" s="34">
        <f>IF(C10="","",YEAR(C10-WEEKDAY(C10,2)+4)&amp;"-S"&amp;TEXT(INT((C10-DATE(YEAR(C10-WEEKDAY(C10,2)+4),1,3)+WEEKDAY(DATE(YEAR(C10-WEEKDAY(C10,2)+4),1,3),2)+5)/7),"00"))</f>
        <v/>
      </c>
    </row>
    <row r="11" ht="18" customHeight="1">
      <c r="A11" s="39" t="n">
        <v>6</v>
      </c>
      <c r="B11" s="33">
        <f>IF(C11="","",IF(L11="À RENSEIGNER","GIC",L11)&amp;"-E"&amp;TEXT(A11,"00000"))</f>
        <v/>
      </c>
      <c r="C11" s="32" t="n"/>
      <c r="D11" s="36" t="n"/>
      <c r="E11" s="37" t="n"/>
      <c r="F11" s="36" t="n"/>
      <c r="G11" s="44" t="n"/>
      <c r="H11" s="43" t="n"/>
      <c r="I11" s="32" t="n"/>
      <c r="J11" s="44" t="n"/>
      <c r="K11" s="36" t="n"/>
      <c r="L11" s="33">
        <f>IF(C11="","",Commercial_Id)</f>
        <v/>
      </c>
      <c r="M11" s="34">
        <f>IF(OR(C11="",F11=""),"",IF(F11&lt;&gt;"Espèces","—",IF(I11&lt;&gt;"","☑ Oui","☐ Non")))</f>
        <v/>
      </c>
      <c r="N11" s="39">
        <f>IF(D11="","",IFERROR(VALUE(MID(D11,LEN(D11)-3,3)),""))</f>
        <v/>
      </c>
      <c r="O11" s="33">
        <f>IF(N11="","",L11&amp;"|"&amp;N11)</f>
        <v/>
      </c>
      <c r="P11" s="33">
        <f>IF(N11="","",IF(L11="À RENSEIGNER","GIC",L11)&amp;"-"&amp;TEXT(N11,"000"))</f>
        <v/>
      </c>
      <c r="Q11" s="33">
        <f>IF(O11="","",IFERROR(INDEX(Cl_nom,MATCH(O11,Cl_cle,0)),"(client introuvable)"))</f>
        <v/>
      </c>
      <c r="R11" s="40">
        <f>IF(O11="","",IFERROR(INDEX(Cl_reste,MATCH(O11,Cl_cle,0)),""))</f>
        <v/>
      </c>
      <c r="S11" s="34">
        <f>IF(C11="","",YEAR(C11-WEEKDAY(C11,2)+4)&amp;"-S"&amp;TEXT(INT((C11-DATE(YEAR(C11-WEEKDAY(C11,2)+4),1,3)+WEEKDAY(DATE(YEAR(C11-WEEKDAY(C11,2)+4),1,3),2)+5)/7),"00"))</f>
        <v/>
      </c>
    </row>
    <row r="12" ht="18" customHeight="1">
      <c r="A12" s="39" t="n">
        <v>7</v>
      </c>
      <c r="B12" s="33">
        <f>IF(C12="","",IF(L12="À RENSEIGNER","GIC",L12)&amp;"-E"&amp;TEXT(A12,"00000"))</f>
        <v/>
      </c>
      <c r="C12" s="32" t="n"/>
      <c r="D12" s="36" t="n"/>
      <c r="E12" s="37" t="n"/>
      <c r="F12" s="36" t="n"/>
      <c r="G12" s="44" t="n"/>
      <c r="H12" s="43" t="n"/>
      <c r="I12" s="32" t="n"/>
      <c r="J12" s="44" t="n"/>
      <c r="K12" s="36" t="n"/>
      <c r="L12" s="33">
        <f>IF(C12="","",Commercial_Id)</f>
        <v/>
      </c>
      <c r="M12" s="34">
        <f>IF(OR(C12="",F12=""),"",IF(F12&lt;&gt;"Espèces","—",IF(I12&lt;&gt;"","☑ Oui","☐ Non")))</f>
        <v/>
      </c>
      <c r="N12" s="39">
        <f>IF(D12="","",IFERROR(VALUE(MID(D12,LEN(D12)-3,3)),""))</f>
        <v/>
      </c>
      <c r="O12" s="33">
        <f>IF(N12="","",L12&amp;"|"&amp;N12)</f>
        <v/>
      </c>
      <c r="P12" s="33">
        <f>IF(N12="","",IF(L12="À RENSEIGNER","GIC",L12)&amp;"-"&amp;TEXT(N12,"000"))</f>
        <v/>
      </c>
      <c r="Q12" s="33">
        <f>IF(O12="","",IFERROR(INDEX(Cl_nom,MATCH(O12,Cl_cle,0)),"(client introuvable)"))</f>
        <v/>
      </c>
      <c r="R12" s="40">
        <f>IF(O12="","",IFERROR(INDEX(Cl_reste,MATCH(O12,Cl_cle,0)),""))</f>
        <v/>
      </c>
      <c r="S12" s="34">
        <f>IF(C12="","",YEAR(C12-WEEKDAY(C12,2)+4)&amp;"-S"&amp;TEXT(INT((C12-DATE(YEAR(C12-WEEKDAY(C12,2)+4),1,3)+WEEKDAY(DATE(YEAR(C12-WEEKDAY(C12,2)+4),1,3),2)+5)/7),"00"))</f>
        <v/>
      </c>
    </row>
    <row r="13" ht="18" customHeight="1">
      <c r="A13" s="39" t="n">
        <v>8</v>
      </c>
      <c r="B13" s="33">
        <f>IF(C13="","",IF(L13="À RENSEIGNER","GIC",L13)&amp;"-E"&amp;TEXT(A13,"00000"))</f>
        <v/>
      </c>
      <c r="C13" s="32" t="n"/>
      <c r="D13" s="36" t="n"/>
      <c r="E13" s="37" t="n"/>
      <c r="F13" s="36" t="n"/>
      <c r="G13" s="44" t="n"/>
      <c r="H13" s="43" t="n"/>
      <c r="I13" s="32" t="n"/>
      <c r="J13" s="44" t="n"/>
      <c r="K13" s="36" t="n"/>
      <c r="L13" s="33">
        <f>IF(C13="","",Commercial_Id)</f>
        <v/>
      </c>
      <c r="M13" s="34">
        <f>IF(OR(C13="",F13=""),"",IF(F13&lt;&gt;"Espèces","—",IF(I13&lt;&gt;"","☑ Oui","☐ Non")))</f>
        <v/>
      </c>
      <c r="N13" s="39">
        <f>IF(D13="","",IFERROR(VALUE(MID(D13,LEN(D13)-3,3)),""))</f>
        <v/>
      </c>
      <c r="O13" s="33">
        <f>IF(N13="","",L13&amp;"|"&amp;N13)</f>
        <v/>
      </c>
      <c r="P13" s="33">
        <f>IF(N13="","",IF(L13="À RENSEIGNER","GIC",L13)&amp;"-"&amp;TEXT(N13,"000"))</f>
        <v/>
      </c>
      <c r="Q13" s="33">
        <f>IF(O13="","",IFERROR(INDEX(Cl_nom,MATCH(O13,Cl_cle,0)),"(client introuvable)"))</f>
        <v/>
      </c>
      <c r="R13" s="40">
        <f>IF(O13="","",IFERROR(INDEX(Cl_reste,MATCH(O13,Cl_cle,0)),""))</f>
        <v/>
      </c>
      <c r="S13" s="34">
        <f>IF(C13="","",YEAR(C13-WEEKDAY(C13,2)+4)&amp;"-S"&amp;TEXT(INT((C13-DATE(YEAR(C13-WEEKDAY(C13,2)+4),1,3)+WEEKDAY(DATE(YEAR(C13-WEEKDAY(C13,2)+4),1,3),2)+5)/7),"00"))</f>
        <v/>
      </c>
    </row>
    <row r="14" ht="18" customHeight="1">
      <c r="A14" s="39" t="n">
        <v>9</v>
      </c>
      <c r="B14" s="33">
        <f>IF(C14="","",IF(L14="À RENSEIGNER","GIC",L14)&amp;"-E"&amp;TEXT(A14,"00000"))</f>
        <v/>
      </c>
      <c r="C14" s="32" t="n"/>
      <c r="D14" s="36" t="n"/>
      <c r="E14" s="37" t="n"/>
      <c r="F14" s="36" t="n"/>
      <c r="G14" s="44" t="n"/>
      <c r="H14" s="43" t="n"/>
      <c r="I14" s="32" t="n"/>
      <c r="J14" s="44" t="n"/>
      <c r="K14" s="36" t="n"/>
      <c r="L14" s="33">
        <f>IF(C14="","",Commercial_Id)</f>
        <v/>
      </c>
      <c r="M14" s="34">
        <f>IF(OR(C14="",F14=""),"",IF(F14&lt;&gt;"Espèces","—",IF(I14&lt;&gt;"","☑ Oui","☐ Non")))</f>
        <v/>
      </c>
      <c r="N14" s="39">
        <f>IF(D14="","",IFERROR(VALUE(MID(D14,LEN(D14)-3,3)),""))</f>
        <v/>
      </c>
      <c r="O14" s="33">
        <f>IF(N14="","",L14&amp;"|"&amp;N14)</f>
        <v/>
      </c>
      <c r="P14" s="33">
        <f>IF(N14="","",IF(L14="À RENSEIGNER","GIC",L14)&amp;"-"&amp;TEXT(N14,"000"))</f>
        <v/>
      </c>
      <c r="Q14" s="33">
        <f>IF(O14="","",IFERROR(INDEX(Cl_nom,MATCH(O14,Cl_cle,0)),"(client introuvable)"))</f>
        <v/>
      </c>
      <c r="R14" s="40">
        <f>IF(O14="","",IFERROR(INDEX(Cl_reste,MATCH(O14,Cl_cle,0)),""))</f>
        <v/>
      </c>
      <c r="S14" s="34">
        <f>IF(C14="","",YEAR(C14-WEEKDAY(C14,2)+4)&amp;"-S"&amp;TEXT(INT((C14-DATE(YEAR(C14-WEEKDAY(C14,2)+4),1,3)+WEEKDAY(DATE(YEAR(C14-WEEKDAY(C14,2)+4),1,3),2)+5)/7),"00"))</f>
        <v/>
      </c>
    </row>
    <row r="15" ht="18" customHeight="1">
      <c r="A15" s="39" t="n">
        <v>10</v>
      </c>
      <c r="B15" s="33">
        <f>IF(C15="","",IF(L15="À RENSEIGNER","GIC",L15)&amp;"-E"&amp;TEXT(A15,"00000"))</f>
        <v/>
      </c>
      <c r="C15" s="32" t="n"/>
      <c r="D15" s="36" t="n"/>
      <c r="E15" s="37" t="n"/>
      <c r="F15" s="36" t="n"/>
      <c r="G15" s="44" t="n"/>
      <c r="H15" s="43" t="n"/>
      <c r="I15" s="32" t="n"/>
      <c r="J15" s="44" t="n"/>
      <c r="K15" s="36" t="n"/>
      <c r="L15" s="33">
        <f>IF(C15="","",Commercial_Id)</f>
        <v/>
      </c>
      <c r="M15" s="34">
        <f>IF(OR(C15="",F15=""),"",IF(F15&lt;&gt;"Espèces","—",IF(I15&lt;&gt;"","☑ Oui","☐ Non")))</f>
        <v/>
      </c>
      <c r="N15" s="39">
        <f>IF(D15="","",IFERROR(VALUE(MID(D15,LEN(D15)-3,3)),""))</f>
        <v/>
      </c>
      <c r="O15" s="33">
        <f>IF(N15="","",L15&amp;"|"&amp;N15)</f>
        <v/>
      </c>
      <c r="P15" s="33">
        <f>IF(N15="","",IF(L15="À RENSEIGNER","GIC",L15)&amp;"-"&amp;TEXT(N15,"000"))</f>
        <v/>
      </c>
      <c r="Q15" s="33">
        <f>IF(O15="","",IFERROR(INDEX(Cl_nom,MATCH(O15,Cl_cle,0)),"(client introuvable)"))</f>
        <v/>
      </c>
      <c r="R15" s="40">
        <f>IF(O15="","",IFERROR(INDEX(Cl_reste,MATCH(O15,Cl_cle,0)),""))</f>
        <v/>
      </c>
      <c r="S15" s="34">
        <f>IF(C15="","",YEAR(C15-WEEKDAY(C15,2)+4)&amp;"-S"&amp;TEXT(INT((C15-DATE(YEAR(C15-WEEKDAY(C15,2)+4),1,3)+WEEKDAY(DATE(YEAR(C15-WEEKDAY(C15,2)+4),1,3),2)+5)/7),"00"))</f>
        <v/>
      </c>
    </row>
    <row r="16" ht="18" customHeight="1">
      <c r="A16" s="39" t="n">
        <v>11</v>
      </c>
      <c r="B16" s="33">
        <f>IF(C16="","",IF(L16="À RENSEIGNER","GIC",L16)&amp;"-E"&amp;TEXT(A16,"00000"))</f>
        <v/>
      </c>
      <c r="C16" s="32" t="n"/>
      <c r="D16" s="36" t="n"/>
      <c r="E16" s="37" t="n"/>
      <c r="F16" s="36" t="n"/>
      <c r="G16" s="44" t="n"/>
      <c r="H16" s="43" t="n"/>
      <c r="I16" s="32" t="n"/>
      <c r="J16" s="44" t="n"/>
      <c r="K16" s="36" t="n"/>
      <c r="L16" s="33">
        <f>IF(C16="","",Commercial_Id)</f>
        <v/>
      </c>
      <c r="M16" s="34">
        <f>IF(OR(C16="",F16=""),"",IF(F16&lt;&gt;"Espèces","—",IF(I16&lt;&gt;"","☑ Oui","☐ Non")))</f>
        <v/>
      </c>
      <c r="N16" s="39">
        <f>IF(D16="","",IFERROR(VALUE(MID(D16,LEN(D16)-3,3)),""))</f>
        <v/>
      </c>
      <c r="O16" s="33">
        <f>IF(N16="","",L16&amp;"|"&amp;N16)</f>
        <v/>
      </c>
      <c r="P16" s="33">
        <f>IF(N16="","",IF(L16="À RENSEIGNER","GIC",L16)&amp;"-"&amp;TEXT(N16,"000"))</f>
        <v/>
      </c>
      <c r="Q16" s="33">
        <f>IF(O16="","",IFERROR(INDEX(Cl_nom,MATCH(O16,Cl_cle,0)),"(client introuvable)"))</f>
        <v/>
      </c>
      <c r="R16" s="40">
        <f>IF(O16="","",IFERROR(INDEX(Cl_reste,MATCH(O16,Cl_cle,0)),""))</f>
        <v/>
      </c>
      <c r="S16" s="34">
        <f>IF(C16="","",YEAR(C16-WEEKDAY(C16,2)+4)&amp;"-S"&amp;TEXT(INT((C16-DATE(YEAR(C16-WEEKDAY(C16,2)+4),1,3)+WEEKDAY(DATE(YEAR(C16-WEEKDAY(C16,2)+4),1,3),2)+5)/7),"00"))</f>
        <v/>
      </c>
    </row>
    <row r="17" ht="18" customHeight="1">
      <c r="A17" s="39" t="n">
        <v>12</v>
      </c>
      <c r="B17" s="33">
        <f>IF(C17="","",IF(L17="À RENSEIGNER","GIC",L17)&amp;"-E"&amp;TEXT(A17,"00000"))</f>
        <v/>
      </c>
      <c r="C17" s="32" t="n"/>
      <c r="D17" s="36" t="n"/>
      <c r="E17" s="37" t="n"/>
      <c r="F17" s="36" t="n"/>
      <c r="G17" s="44" t="n"/>
      <c r="H17" s="43" t="n"/>
      <c r="I17" s="32" t="n"/>
      <c r="J17" s="44" t="n"/>
      <c r="K17" s="36" t="n"/>
      <c r="L17" s="33">
        <f>IF(C17="","",Commercial_Id)</f>
        <v/>
      </c>
      <c r="M17" s="34">
        <f>IF(OR(C17="",F17=""),"",IF(F17&lt;&gt;"Espèces","—",IF(I17&lt;&gt;"","☑ Oui","☐ Non")))</f>
        <v/>
      </c>
      <c r="N17" s="39">
        <f>IF(D17="","",IFERROR(VALUE(MID(D17,LEN(D17)-3,3)),""))</f>
        <v/>
      </c>
      <c r="O17" s="33">
        <f>IF(N17="","",L17&amp;"|"&amp;N17)</f>
        <v/>
      </c>
      <c r="P17" s="33">
        <f>IF(N17="","",IF(L17="À RENSEIGNER","GIC",L17)&amp;"-"&amp;TEXT(N17,"000"))</f>
        <v/>
      </c>
      <c r="Q17" s="33">
        <f>IF(O17="","",IFERROR(INDEX(Cl_nom,MATCH(O17,Cl_cle,0)),"(client introuvable)"))</f>
        <v/>
      </c>
      <c r="R17" s="40">
        <f>IF(O17="","",IFERROR(INDEX(Cl_reste,MATCH(O17,Cl_cle,0)),""))</f>
        <v/>
      </c>
      <c r="S17" s="34">
        <f>IF(C17="","",YEAR(C17-WEEKDAY(C17,2)+4)&amp;"-S"&amp;TEXT(INT((C17-DATE(YEAR(C17-WEEKDAY(C17,2)+4),1,3)+WEEKDAY(DATE(YEAR(C17-WEEKDAY(C17,2)+4),1,3),2)+5)/7),"00"))</f>
        <v/>
      </c>
    </row>
    <row r="18" ht="18" customHeight="1">
      <c r="A18" s="39" t="n">
        <v>13</v>
      </c>
      <c r="B18" s="33">
        <f>IF(C18="","",IF(L18="À RENSEIGNER","GIC",L18)&amp;"-E"&amp;TEXT(A18,"00000"))</f>
        <v/>
      </c>
      <c r="C18" s="32" t="n"/>
      <c r="D18" s="36" t="n"/>
      <c r="E18" s="37" t="n"/>
      <c r="F18" s="36" t="n"/>
      <c r="G18" s="44" t="n"/>
      <c r="H18" s="43" t="n"/>
      <c r="I18" s="32" t="n"/>
      <c r="J18" s="44" t="n"/>
      <c r="K18" s="36" t="n"/>
      <c r="L18" s="33">
        <f>IF(C18="","",Commercial_Id)</f>
        <v/>
      </c>
      <c r="M18" s="34">
        <f>IF(OR(C18="",F18=""),"",IF(F18&lt;&gt;"Espèces","—",IF(I18&lt;&gt;"","☑ Oui","☐ Non")))</f>
        <v/>
      </c>
      <c r="N18" s="39">
        <f>IF(D18="","",IFERROR(VALUE(MID(D18,LEN(D18)-3,3)),""))</f>
        <v/>
      </c>
      <c r="O18" s="33">
        <f>IF(N18="","",L18&amp;"|"&amp;N18)</f>
        <v/>
      </c>
      <c r="P18" s="33">
        <f>IF(N18="","",IF(L18="À RENSEIGNER","GIC",L18)&amp;"-"&amp;TEXT(N18,"000"))</f>
        <v/>
      </c>
      <c r="Q18" s="33">
        <f>IF(O18="","",IFERROR(INDEX(Cl_nom,MATCH(O18,Cl_cle,0)),"(client introuvable)"))</f>
        <v/>
      </c>
      <c r="R18" s="40">
        <f>IF(O18="","",IFERROR(INDEX(Cl_reste,MATCH(O18,Cl_cle,0)),""))</f>
        <v/>
      </c>
      <c r="S18" s="34">
        <f>IF(C18="","",YEAR(C18-WEEKDAY(C18,2)+4)&amp;"-S"&amp;TEXT(INT((C18-DATE(YEAR(C18-WEEKDAY(C18,2)+4),1,3)+WEEKDAY(DATE(YEAR(C18-WEEKDAY(C18,2)+4),1,3),2)+5)/7),"00"))</f>
        <v/>
      </c>
    </row>
    <row r="19" ht="18" customHeight="1">
      <c r="A19" s="39" t="n">
        <v>14</v>
      </c>
      <c r="B19" s="33">
        <f>IF(C19="","",IF(L19="À RENSEIGNER","GIC",L19)&amp;"-E"&amp;TEXT(A19,"00000"))</f>
        <v/>
      </c>
      <c r="C19" s="32" t="n"/>
      <c r="D19" s="36" t="n"/>
      <c r="E19" s="37" t="n"/>
      <c r="F19" s="36" t="n"/>
      <c r="G19" s="44" t="n"/>
      <c r="H19" s="43" t="n"/>
      <c r="I19" s="32" t="n"/>
      <c r="J19" s="44" t="n"/>
      <c r="K19" s="36" t="n"/>
      <c r="L19" s="33">
        <f>IF(C19="","",Commercial_Id)</f>
        <v/>
      </c>
      <c r="M19" s="34">
        <f>IF(OR(C19="",F19=""),"",IF(F19&lt;&gt;"Espèces","—",IF(I19&lt;&gt;"","☑ Oui","☐ Non")))</f>
        <v/>
      </c>
      <c r="N19" s="39">
        <f>IF(D19="","",IFERROR(VALUE(MID(D19,LEN(D19)-3,3)),""))</f>
        <v/>
      </c>
      <c r="O19" s="33">
        <f>IF(N19="","",L19&amp;"|"&amp;N19)</f>
        <v/>
      </c>
      <c r="P19" s="33">
        <f>IF(N19="","",IF(L19="À RENSEIGNER","GIC",L19)&amp;"-"&amp;TEXT(N19,"000"))</f>
        <v/>
      </c>
      <c r="Q19" s="33">
        <f>IF(O19="","",IFERROR(INDEX(Cl_nom,MATCH(O19,Cl_cle,0)),"(client introuvable)"))</f>
        <v/>
      </c>
      <c r="R19" s="40">
        <f>IF(O19="","",IFERROR(INDEX(Cl_reste,MATCH(O19,Cl_cle,0)),""))</f>
        <v/>
      </c>
      <c r="S19" s="34">
        <f>IF(C19="","",YEAR(C19-WEEKDAY(C19,2)+4)&amp;"-S"&amp;TEXT(INT((C19-DATE(YEAR(C19-WEEKDAY(C19,2)+4),1,3)+WEEKDAY(DATE(YEAR(C19-WEEKDAY(C19,2)+4),1,3),2)+5)/7),"00"))</f>
        <v/>
      </c>
    </row>
    <row r="20" ht="18" customHeight="1">
      <c r="A20" s="39" t="n">
        <v>15</v>
      </c>
      <c r="B20" s="33">
        <f>IF(C20="","",IF(L20="À RENSEIGNER","GIC",L20)&amp;"-E"&amp;TEXT(A20,"00000"))</f>
        <v/>
      </c>
      <c r="C20" s="32" t="n"/>
      <c r="D20" s="36" t="n"/>
      <c r="E20" s="37" t="n"/>
      <c r="F20" s="36" t="n"/>
      <c r="G20" s="44" t="n"/>
      <c r="H20" s="43" t="n"/>
      <c r="I20" s="32" t="n"/>
      <c r="J20" s="44" t="n"/>
      <c r="K20" s="36" t="n"/>
      <c r="L20" s="33">
        <f>IF(C20="","",Commercial_Id)</f>
        <v/>
      </c>
      <c r="M20" s="34">
        <f>IF(OR(C20="",F20=""),"",IF(F20&lt;&gt;"Espèces","—",IF(I20&lt;&gt;"","☑ Oui","☐ Non")))</f>
        <v/>
      </c>
      <c r="N20" s="39">
        <f>IF(D20="","",IFERROR(VALUE(MID(D20,LEN(D20)-3,3)),""))</f>
        <v/>
      </c>
      <c r="O20" s="33">
        <f>IF(N20="","",L20&amp;"|"&amp;N20)</f>
        <v/>
      </c>
      <c r="P20" s="33">
        <f>IF(N20="","",IF(L20="À RENSEIGNER","GIC",L20)&amp;"-"&amp;TEXT(N20,"000"))</f>
        <v/>
      </c>
      <c r="Q20" s="33">
        <f>IF(O20="","",IFERROR(INDEX(Cl_nom,MATCH(O20,Cl_cle,0)),"(client introuvable)"))</f>
        <v/>
      </c>
      <c r="R20" s="40">
        <f>IF(O20="","",IFERROR(INDEX(Cl_reste,MATCH(O20,Cl_cle,0)),""))</f>
        <v/>
      </c>
      <c r="S20" s="34">
        <f>IF(C20="","",YEAR(C20-WEEKDAY(C20,2)+4)&amp;"-S"&amp;TEXT(INT((C20-DATE(YEAR(C20-WEEKDAY(C20,2)+4),1,3)+WEEKDAY(DATE(YEAR(C20-WEEKDAY(C20,2)+4),1,3),2)+5)/7),"00"))</f>
        <v/>
      </c>
    </row>
    <row r="21" ht="18" customHeight="1">
      <c r="A21" s="39" t="n">
        <v>16</v>
      </c>
      <c r="B21" s="33">
        <f>IF(C21="","",IF(L21="À RENSEIGNER","GIC",L21)&amp;"-E"&amp;TEXT(A21,"00000"))</f>
        <v/>
      </c>
      <c r="C21" s="32" t="n"/>
      <c r="D21" s="36" t="n"/>
      <c r="E21" s="37" t="n"/>
      <c r="F21" s="36" t="n"/>
      <c r="G21" s="44" t="n"/>
      <c r="H21" s="43" t="n"/>
      <c r="I21" s="32" t="n"/>
      <c r="J21" s="44" t="n"/>
      <c r="K21" s="36" t="n"/>
      <c r="L21" s="33">
        <f>IF(C21="","",Commercial_Id)</f>
        <v/>
      </c>
      <c r="M21" s="34">
        <f>IF(OR(C21="",F21=""),"",IF(F21&lt;&gt;"Espèces","—",IF(I21&lt;&gt;"","☑ Oui","☐ Non")))</f>
        <v/>
      </c>
      <c r="N21" s="39">
        <f>IF(D21="","",IFERROR(VALUE(MID(D21,LEN(D21)-3,3)),""))</f>
        <v/>
      </c>
      <c r="O21" s="33">
        <f>IF(N21="","",L21&amp;"|"&amp;N21)</f>
        <v/>
      </c>
      <c r="P21" s="33">
        <f>IF(N21="","",IF(L21="À RENSEIGNER","GIC",L21)&amp;"-"&amp;TEXT(N21,"000"))</f>
        <v/>
      </c>
      <c r="Q21" s="33">
        <f>IF(O21="","",IFERROR(INDEX(Cl_nom,MATCH(O21,Cl_cle,0)),"(client introuvable)"))</f>
        <v/>
      </c>
      <c r="R21" s="40">
        <f>IF(O21="","",IFERROR(INDEX(Cl_reste,MATCH(O21,Cl_cle,0)),""))</f>
        <v/>
      </c>
      <c r="S21" s="34">
        <f>IF(C21="","",YEAR(C21-WEEKDAY(C21,2)+4)&amp;"-S"&amp;TEXT(INT((C21-DATE(YEAR(C21-WEEKDAY(C21,2)+4),1,3)+WEEKDAY(DATE(YEAR(C21-WEEKDAY(C21,2)+4),1,3),2)+5)/7),"00"))</f>
        <v/>
      </c>
    </row>
    <row r="22" ht="18" customHeight="1">
      <c r="A22" s="39" t="n">
        <v>17</v>
      </c>
      <c r="B22" s="33">
        <f>IF(C22="","",IF(L22="À RENSEIGNER","GIC",L22)&amp;"-E"&amp;TEXT(A22,"00000"))</f>
        <v/>
      </c>
      <c r="C22" s="32" t="n"/>
      <c r="D22" s="36" t="n"/>
      <c r="E22" s="37" t="n"/>
      <c r="F22" s="36" t="n"/>
      <c r="G22" s="44" t="n"/>
      <c r="H22" s="43" t="n"/>
      <c r="I22" s="32" t="n"/>
      <c r="J22" s="44" t="n"/>
      <c r="K22" s="36" t="n"/>
      <c r="L22" s="33">
        <f>IF(C22="","",Commercial_Id)</f>
        <v/>
      </c>
      <c r="M22" s="34">
        <f>IF(OR(C22="",F22=""),"",IF(F22&lt;&gt;"Espèces","—",IF(I22&lt;&gt;"","☑ Oui","☐ Non")))</f>
        <v/>
      </c>
      <c r="N22" s="39">
        <f>IF(D22="","",IFERROR(VALUE(MID(D22,LEN(D22)-3,3)),""))</f>
        <v/>
      </c>
      <c r="O22" s="33">
        <f>IF(N22="","",L22&amp;"|"&amp;N22)</f>
        <v/>
      </c>
      <c r="P22" s="33">
        <f>IF(N22="","",IF(L22="À RENSEIGNER","GIC",L22)&amp;"-"&amp;TEXT(N22,"000"))</f>
        <v/>
      </c>
      <c r="Q22" s="33">
        <f>IF(O22="","",IFERROR(INDEX(Cl_nom,MATCH(O22,Cl_cle,0)),"(client introuvable)"))</f>
        <v/>
      </c>
      <c r="R22" s="40">
        <f>IF(O22="","",IFERROR(INDEX(Cl_reste,MATCH(O22,Cl_cle,0)),""))</f>
        <v/>
      </c>
      <c r="S22" s="34">
        <f>IF(C22="","",YEAR(C22-WEEKDAY(C22,2)+4)&amp;"-S"&amp;TEXT(INT((C22-DATE(YEAR(C22-WEEKDAY(C22,2)+4),1,3)+WEEKDAY(DATE(YEAR(C22-WEEKDAY(C22,2)+4),1,3),2)+5)/7),"00"))</f>
        <v/>
      </c>
    </row>
    <row r="23" ht="18" customHeight="1">
      <c r="A23" s="39" t="n">
        <v>18</v>
      </c>
      <c r="B23" s="33">
        <f>IF(C23="","",IF(L23="À RENSEIGNER","GIC",L23)&amp;"-E"&amp;TEXT(A23,"00000"))</f>
        <v/>
      </c>
      <c r="C23" s="32" t="n"/>
      <c r="D23" s="36" t="n"/>
      <c r="E23" s="37" t="n"/>
      <c r="F23" s="36" t="n"/>
      <c r="G23" s="44" t="n"/>
      <c r="H23" s="43" t="n"/>
      <c r="I23" s="32" t="n"/>
      <c r="J23" s="44" t="n"/>
      <c r="K23" s="36" t="n"/>
      <c r="L23" s="33">
        <f>IF(C23="","",Commercial_Id)</f>
        <v/>
      </c>
      <c r="M23" s="34">
        <f>IF(OR(C23="",F23=""),"",IF(F23&lt;&gt;"Espèces","—",IF(I23&lt;&gt;"","☑ Oui","☐ Non")))</f>
        <v/>
      </c>
      <c r="N23" s="39">
        <f>IF(D23="","",IFERROR(VALUE(MID(D23,LEN(D23)-3,3)),""))</f>
        <v/>
      </c>
      <c r="O23" s="33">
        <f>IF(N23="","",L23&amp;"|"&amp;N23)</f>
        <v/>
      </c>
      <c r="P23" s="33">
        <f>IF(N23="","",IF(L23="À RENSEIGNER","GIC",L23)&amp;"-"&amp;TEXT(N23,"000"))</f>
        <v/>
      </c>
      <c r="Q23" s="33">
        <f>IF(O23="","",IFERROR(INDEX(Cl_nom,MATCH(O23,Cl_cle,0)),"(client introuvable)"))</f>
        <v/>
      </c>
      <c r="R23" s="40">
        <f>IF(O23="","",IFERROR(INDEX(Cl_reste,MATCH(O23,Cl_cle,0)),""))</f>
        <v/>
      </c>
      <c r="S23" s="34">
        <f>IF(C23="","",YEAR(C23-WEEKDAY(C23,2)+4)&amp;"-S"&amp;TEXT(INT((C23-DATE(YEAR(C23-WEEKDAY(C23,2)+4),1,3)+WEEKDAY(DATE(YEAR(C23-WEEKDAY(C23,2)+4),1,3),2)+5)/7),"00"))</f>
        <v/>
      </c>
    </row>
    <row r="24" ht="18" customHeight="1">
      <c r="A24" s="39" t="n">
        <v>19</v>
      </c>
      <c r="B24" s="33">
        <f>IF(C24="","",IF(L24="À RENSEIGNER","GIC",L24)&amp;"-E"&amp;TEXT(A24,"00000"))</f>
        <v/>
      </c>
      <c r="C24" s="32" t="n"/>
      <c r="D24" s="36" t="n"/>
      <c r="E24" s="37" t="n"/>
      <c r="F24" s="36" t="n"/>
      <c r="G24" s="44" t="n"/>
      <c r="H24" s="43" t="n"/>
      <c r="I24" s="32" t="n"/>
      <c r="J24" s="44" t="n"/>
      <c r="K24" s="36" t="n"/>
      <c r="L24" s="33">
        <f>IF(C24="","",Commercial_Id)</f>
        <v/>
      </c>
      <c r="M24" s="34">
        <f>IF(OR(C24="",F24=""),"",IF(F24&lt;&gt;"Espèces","—",IF(I24&lt;&gt;"","☑ Oui","☐ Non")))</f>
        <v/>
      </c>
      <c r="N24" s="39">
        <f>IF(D24="","",IFERROR(VALUE(MID(D24,LEN(D24)-3,3)),""))</f>
        <v/>
      </c>
      <c r="O24" s="33">
        <f>IF(N24="","",L24&amp;"|"&amp;N24)</f>
        <v/>
      </c>
      <c r="P24" s="33">
        <f>IF(N24="","",IF(L24="À RENSEIGNER","GIC",L24)&amp;"-"&amp;TEXT(N24,"000"))</f>
        <v/>
      </c>
      <c r="Q24" s="33">
        <f>IF(O24="","",IFERROR(INDEX(Cl_nom,MATCH(O24,Cl_cle,0)),"(client introuvable)"))</f>
        <v/>
      </c>
      <c r="R24" s="40">
        <f>IF(O24="","",IFERROR(INDEX(Cl_reste,MATCH(O24,Cl_cle,0)),""))</f>
        <v/>
      </c>
      <c r="S24" s="34">
        <f>IF(C24="","",YEAR(C24-WEEKDAY(C24,2)+4)&amp;"-S"&amp;TEXT(INT((C24-DATE(YEAR(C24-WEEKDAY(C24,2)+4),1,3)+WEEKDAY(DATE(YEAR(C24-WEEKDAY(C24,2)+4),1,3),2)+5)/7),"00"))</f>
        <v/>
      </c>
    </row>
    <row r="25" ht="18" customHeight="1">
      <c r="A25" s="39" t="n">
        <v>20</v>
      </c>
      <c r="B25" s="33">
        <f>IF(C25="","",IF(L25="À RENSEIGNER","GIC",L25)&amp;"-E"&amp;TEXT(A25,"00000"))</f>
        <v/>
      </c>
      <c r="C25" s="32" t="n"/>
      <c r="D25" s="36" t="n"/>
      <c r="E25" s="37" t="n"/>
      <c r="F25" s="36" t="n"/>
      <c r="G25" s="44" t="n"/>
      <c r="H25" s="43" t="n"/>
      <c r="I25" s="32" t="n"/>
      <c r="J25" s="44" t="n"/>
      <c r="K25" s="36" t="n"/>
      <c r="L25" s="33">
        <f>IF(C25="","",Commercial_Id)</f>
        <v/>
      </c>
      <c r="M25" s="34">
        <f>IF(OR(C25="",F25=""),"",IF(F25&lt;&gt;"Espèces","—",IF(I25&lt;&gt;"","☑ Oui","☐ Non")))</f>
        <v/>
      </c>
      <c r="N25" s="39">
        <f>IF(D25="","",IFERROR(VALUE(MID(D25,LEN(D25)-3,3)),""))</f>
        <v/>
      </c>
      <c r="O25" s="33">
        <f>IF(N25="","",L25&amp;"|"&amp;N25)</f>
        <v/>
      </c>
      <c r="P25" s="33">
        <f>IF(N25="","",IF(L25="À RENSEIGNER","GIC",L25)&amp;"-"&amp;TEXT(N25,"000"))</f>
        <v/>
      </c>
      <c r="Q25" s="33">
        <f>IF(O25="","",IFERROR(INDEX(Cl_nom,MATCH(O25,Cl_cle,0)),"(client introuvable)"))</f>
        <v/>
      </c>
      <c r="R25" s="40">
        <f>IF(O25="","",IFERROR(INDEX(Cl_reste,MATCH(O25,Cl_cle,0)),""))</f>
        <v/>
      </c>
      <c r="S25" s="34">
        <f>IF(C25="","",YEAR(C25-WEEKDAY(C25,2)+4)&amp;"-S"&amp;TEXT(INT((C25-DATE(YEAR(C25-WEEKDAY(C25,2)+4),1,3)+WEEKDAY(DATE(YEAR(C25-WEEKDAY(C25,2)+4),1,3),2)+5)/7),"00"))</f>
        <v/>
      </c>
    </row>
    <row r="26" ht="18" customHeight="1">
      <c r="A26" s="39" t="n">
        <v>21</v>
      </c>
      <c r="B26" s="33">
        <f>IF(C26="","",IF(L26="À RENSEIGNER","GIC",L26)&amp;"-E"&amp;TEXT(A26,"00000"))</f>
        <v/>
      </c>
      <c r="C26" s="32" t="n"/>
      <c r="D26" s="36" t="n"/>
      <c r="E26" s="37" t="n"/>
      <c r="F26" s="36" t="n"/>
      <c r="G26" s="44" t="n"/>
      <c r="H26" s="43" t="n"/>
      <c r="I26" s="32" t="n"/>
      <c r="J26" s="44" t="n"/>
      <c r="K26" s="36" t="n"/>
      <c r="L26" s="33">
        <f>IF(C26="","",Commercial_Id)</f>
        <v/>
      </c>
      <c r="M26" s="34">
        <f>IF(OR(C26="",F26=""),"",IF(F26&lt;&gt;"Espèces","—",IF(I26&lt;&gt;"","☑ Oui","☐ Non")))</f>
        <v/>
      </c>
      <c r="N26" s="39">
        <f>IF(D26="","",IFERROR(VALUE(MID(D26,LEN(D26)-3,3)),""))</f>
        <v/>
      </c>
      <c r="O26" s="33">
        <f>IF(N26="","",L26&amp;"|"&amp;N26)</f>
        <v/>
      </c>
      <c r="P26" s="33">
        <f>IF(N26="","",IF(L26="À RENSEIGNER","GIC",L26)&amp;"-"&amp;TEXT(N26,"000"))</f>
        <v/>
      </c>
      <c r="Q26" s="33">
        <f>IF(O26="","",IFERROR(INDEX(Cl_nom,MATCH(O26,Cl_cle,0)),"(client introuvable)"))</f>
        <v/>
      </c>
      <c r="R26" s="40">
        <f>IF(O26="","",IFERROR(INDEX(Cl_reste,MATCH(O26,Cl_cle,0)),""))</f>
        <v/>
      </c>
      <c r="S26" s="34">
        <f>IF(C26="","",YEAR(C26-WEEKDAY(C26,2)+4)&amp;"-S"&amp;TEXT(INT((C26-DATE(YEAR(C26-WEEKDAY(C26,2)+4),1,3)+WEEKDAY(DATE(YEAR(C26-WEEKDAY(C26,2)+4),1,3),2)+5)/7),"00"))</f>
        <v/>
      </c>
    </row>
    <row r="27" ht="18" customHeight="1">
      <c r="A27" s="39" t="n">
        <v>22</v>
      </c>
      <c r="B27" s="33">
        <f>IF(C27="","",IF(L27="À RENSEIGNER","GIC",L27)&amp;"-E"&amp;TEXT(A27,"00000"))</f>
        <v/>
      </c>
      <c r="C27" s="32" t="n"/>
      <c r="D27" s="36" t="n"/>
      <c r="E27" s="37" t="n"/>
      <c r="F27" s="36" t="n"/>
      <c r="G27" s="44" t="n"/>
      <c r="H27" s="43" t="n"/>
      <c r="I27" s="32" t="n"/>
      <c r="J27" s="44" t="n"/>
      <c r="K27" s="36" t="n"/>
      <c r="L27" s="33">
        <f>IF(C27="","",Commercial_Id)</f>
        <v/>
      </c>
      <c r="M27" s="34">
        <f>IF(OR(C27="",F27=""),"",IF(F27&lt;&gt;"Espèces","—",IF(I27&lt;&gt;"","☑ Oui","☐ Non")))</f>
        <v/>
      </c>
      <c r="N27" s="39">
        <f>IF(D27="","",IFERROR(VALUE(MID(D27,LEN(D27)-3,3)),""))</f>
        <v/>
      </c>
      <c r="O27" s="33">
        <f>IF(N27="","",L27&amp;"|"&amp;N27)</f>
        <v/>
      </c>
      <c r="P27" s="33">
        <f>IF(N27="","",IF(L27="À RENSEIGNER","GIC",L27)&amp;"-"&amp;TEXT(N27,"000"))</f>
        <v/>
      </c>
      <c r="Q27" s="33">
        <f>IF(O27="","",IFERROR(INDEX(Cl_nom,MATCH(O27,Cl_cle,0)),"(client introuvable)"))</f>
        <v/>
      </c>
      <c r="R27" s="40">
        <f>IF(O27="","",IFERROR(INDEX(Cl_reste,MATCH(O27,Cl_cle,0)),""))</f>
        <v/>
      </c>
      <c r="S27" s="34">
        <f>IF(C27="","",YEAR(C27-WEEKDAY(C27,2)+4)&amp;"-S"&amp;TEXT(INT((C27-DATE(YEAR(C27-WEEKDAY(C27,2)+4),1,3)+WEEKDAY(DATE(YEAR(C27-WEEKDAY(C27,2)+4),1,3),2)+5)/7),"00"))</f>
        <v/>
      </c>
    </row>
    <row r="28" ht="18" customHeight="1">
      <c r="A28" s="39" t="n">
        <v>23</v>
      </c>
      <c r="B28" s="33">
        <f>IF(C28="","",IF(L28="À RENSEIGNER","GIC",L28)&amp;"-E"&amp;TEXT(A28,"00000"))</f>
        <v/>
      </c>
      <c r="C28" s="32" t="n"/>
      <c r="D28" s="36" t="n"/>
      <c r="E28" s="37" t="n"/>
      <c r="F28" s="36" t="n"/>
      <c r="G28" s="44" t="n"/>
      <c r="H28" s="43" t="n"/>
      <c r="I28" s="32" t="n"/>
      <c r="J28" s="44" t="n"/>
      <c r="K28" s="36" t="n"/>
      <c r="L28" s="33">
        <f>IF(C28="","",Commercial_Id)</f>
        <v/>
      </c>
      <c r="M28" s="34">
        <f>IF(OR(C28="",F28=""),"",IF(F28&lt;&gt;"Espèces","—",IF(I28&lt;&gt;"","☑ Oui","☐ Non")))</f>
        <v/>
      </c>
      <c r="N28" s="39">
        <f>IF(D28="","",IFERROR(VALUE(MID(D28,LEN(D28)-3,3)),""))</f>
        <v/>
      </c>
      <c r="O28" s="33">
        <f>IF(N28="","",L28&amp;"|"&amp;N28)</f>
        <v/>
      </c>
      <c r="P28" s="33">
        <f>IF(N28="","",IF(L28="À RENSEIGNER","GIC",L28)&amp;"-"&amp;TEXT(N28,"000"))</f>
        <v/>
      </c>
      <c r="Q28" s="33">
        <f>IF(O28="","",IFERROR(INDEX(Cl_nom,MATCH(O28,Cl_cle,0)),"(client introuvable)"))</f>
        <v/>
      </c>
      <c r="R28" s="40">
        <f>IF(O28="","",IFERROR(INDEX(Cl_reste,MATCH(O28,Cl_cle,0)),""))</f>
        <v/>
      </c>
      <c r="S28" s="34">
        <f>IF(C28="","",YEAR(C28-WEEKDAY(C28,2)+4)&amp;"-S"&amp;TEXT(INT((C28-DATE(YEAR(C28-WEEKDAY(C28,2)+4),1,3)+WEEKDAY(DATE(YEAR(C28-WEEKDAY(C28,2)+4),1,3),2)+5)/7),"00"))</f>
        <v/>
      </c>
    </row>
    <row r="29" ht="18" customHeight="1">
      <c r="A29" s="39" t="n">
        <v>24</v>
      </c>
      <c r="B29" s="33">
        <f>IF(C29="","",IF(L29="À RENSEIGNER","GIC",L29)&amp;"-E"&amp;TEXT(A29,"00000"))</f>
        <v/>
      </c>
      <c r="C29" s="32" t="n"/>
      <c r="D29" s="36" t="n"/>
      <c r="E29" s="37" t="n"/>
      <c r="F29" s="36" t="n"/>
      <c r="G29" s="44" t="n"/>
      <c r="H29" s="43" t="n"/>
      <c r="I29" s="32" t="n"/>
      <c r="J29" s="44" t="n"/>
      <c r="K29" s="36" t="n"/>
      <c r="L29" s="33">
        <f>IF(C29="","",Commercial_Id)</f>
        <v/>
      </c>
      <c r="M29" s="34">
        <f>IF(OR(C29="",F29=""),"",IF(F29&lt;&gt;"Espèces","—",IF(I29&lt;&gt;"","☑ Oui","☐ Non")))</f>
        <v/>
      </c>
      <c r="N29" s="39">
        <f>IF(D29="","",IFERROR(VALUE(MID(D29,LEN(D29)-3,3)),""))</f>
        <v/>
      </c>
      <c r="O29" s="33">
        <f>IF(N29="","",L29&amp;"|"&amp;N29)</f>
        <v/>
      </c>
      <c r="P29" s="33">
        <f>IF(N29="","",IF(L29="À RENSEIGNER","GIC",L29)&amp;"-"&amp;TEXT(N29,"000"))</f>
        <v/>
      </c>
      <c r="Q29" s="33">
        <f>IF(O29="","",IFERROR(INDEX(Cl_nom,MATCH(O29,Cl_cle,0)),"(client introuvable)"))</f>
        <v/>
      </c>
      <c r="R29" s="40">
        <f>IF(O29="","",IFERROR(INDEX(Cl_reste,MATCH(O29,Cl_cle,0)),""))</f>
        <v/>
      </c>
      <c r="S29" s="34">
        <f>IF(C29="","",YEAR(C29-WEEKDAY(C29,2)+4)&amp;"-S"&amp;TEXT(INT((C29-DATE(YEAR(C29-WEEKDAY(C29,2)+4),1,3)+WEEKDAY(DATE(YEAR(C29-WEEKDAY(C29,2)+4),1,3),2)+5)/7),"00"))</f>
        <v/>
      </c>
    </row>
    <row r="30" ht="18" customHeight="1">
      <c r="A30" s="39" t="n">
        <v>25</v>
      </c>
      <c r="B30" s="33">
        <f>IF(C30="","",IF(L30="À RENSEIGNER","GIC",L30)&amp;"-E"&amp;TEXT(A30,"00000"))</f>
        <v/>
      </c>
      <c r="C30" s="32" t="n"/>
      <c r="D30" s="36" t="n"/>
      <c r="E30" s="37" t="n"/>
      <c r="F30" s="36" t="n"/>
      <c r="G30" s="44" t="n"/>
      <c r="H30" s="43" t="n"/>
      <c r="I30" s="32" t="n"/>
      <c r="J30" s="44" t="n"/>
      <c r="K30" s="36" t="n"/>
      <c r="L30" s="33">
        <f>IF(C30="","",Commercial_Id)</f>
        <v/>
      </c>
      <c r="M30" s="34">
        <f>IF(OR(C30="",F30=""),"",IF(F30&lt;&gt;"Espèces","—",IF(I30&lt;&gt;"","☑ Oui","☐ Non")))</f>
        <v/>
      </c>
      <c r="N30" s="39">
        <f>IF(D30="","",IFERROR(VALUE(MID(D30,LEN(D30)-3,3)),""))</f>
        <v/>
      </c>
      <c r="O30" s="33">
        <f>IF(N30="","",L30&amp;"|"&amp;N30)</f>
        <v/>
      </c>
      <c r="P30" s="33">
        <f>IF(N30="","",IF(L30="À RENSEIGNER","GIC",L30)&amp;"-"&amp;TEXT(N30,"000"))</f>
        <v/>
      </c>
      <c r="Q30" s="33">
        <f>IF(O30="","",IFERROR(INDEX(Cl_nom,MATCH(O30,Cl_cle,0)),"(client introuvable)"))</f>
        <v/>
      </c>
      <c r="R30" s="40">
        <f>IF(O30="","",IFERROR(INDEX(Cl_reste,MATCH(O30,Cl_cle,0)),""))</f>
        <v/>
      </c>
      <c r="S30" s="34">
        <f>IF(C30="","",YEAR(C30-WEEKDAY(C30,2)+4)&amp;"-S"&amp;TEXT(INT((C30-DATE(YEAR(C30-WEEKDAY(C30,2)+4),1,3)+WEEKDAY(DATE(YEAR(C30-WEEKDAY(C30,2)+4),1,3),2)+5)/7),"00"))</f>
        <v/>
      </c>
    </row>
    <row r="31" ht="18" customHeight="1">
      <c r="A31" s="39" t="n">
        <v>26</v>
      </c>
      <c r="B31" s="33">
        <f>IF(C31="","",IF(L31="À RENSEIGNER","GIC",L31)&amp;"-E"&amp;TEXT(A31,"00000"))</f>
        <v/>
      </c>
      <c r="C31" s="32" t="n"/>
      <c r="D31" s="36" t="n"/>
      <c r="E31" s="37" t="n"/>
      <c r="F31" s="36" t="n"/>
      <c r="G31" s="44" t="n"/>
      <c r="H31" s="43" t="n"/>
      <c r="I31" s="32" t="n"/>
      <c r="J31" s="44" t="n"/>
      <c r="K31" s="36" t="n"/>
      <c r="L31" s="33">
        <f>IF(C31="","",Commercial_Id)</f>
        <v/>
      </c>
      <c r="M31" s="34">
        <f>IF(OR(C31="",F31=""),"",IF(F31&lt;&gt;"Espèces","—",IF(I31&lt;&gt;"","☑ Oui","☐ Non")))</f>
        <v/>
      </c>
      <c r="N31" s="39">
        <f>IF(D31="","",IFERROR(VALUE(MID(D31,LEN(D31)-3,3)),""))</f>
        <v/>
      </c>
      <c r="O31" s="33">
        <f>IF(N31="","",L31&amp;"|"&amp;N31)</f>
        <v/>
      </c>
      <c r="P31" s="33">
        <f>IF(N31="","",IF(L31="À RENSEIGNER","GIC",L31)&amp;"-"&amp;TEXT(N31,"000"))</f>
        <v/>
      </c>
      <c r="Q31" s="33">
        <f>IF(O31="","",IFERROR(INDEX(Cl_nom,MATCH(O31,Cl_cle,0)),"(client introuvable)"))</f>
        <v/>
      </c>
      <c r="R31" s="40">
        <f>IF(O31="","",IFERROR(INDEX(Cl_reste,MATCH(O31,Cl_cle,0)),""))</f>
        <v/>
      </c>
      <c r="S31" s="34">
        <f>IF(C31="","",YEAR(C31-WEEKDAY(C31,2)+4)&amp;"-S"&amp;TEXT(INT((C31-DATE(YEAR(C31-WEEKDAY(C31,2)+4),1,3)+WEEKDAY(DATE(YEAR(C31-WEEKDAY(C31,2)+4),1,3),2)+5)/7),"00"))</f>
        <v/>
      </c>
    </row>
    <row r="32" ht="18" customHeight="1">
      <c r="A32" s="39" t="n">
        <v>27</v>
      </c>
      <c r="B32" s="33">
        <f>IF(C32="","",IF(L32="À RENSEIGNER","GIC",L32)&amp;"-E"&amp;TEXT(A32,"00000"))</f>
        <v/>
      </c>
      <c r="C32" s="32" t="n"/>
      <c r="D32" s="36" t="n"/>
      <c r="E32" s="37" t="n"/>
      <c r="F32" s="36" t="n"/>
      <c r="G32" s="44" t="n"/>
      <c r="H32" s="43" t="n"/>
      <c r="I32" s="32" t="n"/>
      <c r="J32" s="44" t="n"/>
      <c r="K32" s="36" t="n"/>
      <c r="L32" s="33">
        <f>IF(C32="","",Commercial_Id)</f>
        <v/>
      </c>
      <c r="M32" s="34">
        <f>IF(OR(C32="",F32=""),"",IF(F32&lt;&gt;"Espèces","—",IF(I32&lt;&gt;"","☑ Oui","☐ Non")))</f>
        <v/>
      </c>
      <c r="N32" s="39">
        <f>IF(D32="","",IFERROR(VALUE(MID(D32,LEN(D32)-3,3)),""))</f>
        <v/>
      </c>
      <c r="O32" s="33">
        <f>IF(N32="","",L32&amp;"|"&amp;N32)</f>
        <v/>
      </c>
      <c r="P32" s="33">
        <f>IF(N32="","",IF(L32="À RENSEIGNER","GIC",L32)&amp;"-"&amp;TEXT(N32,"000"))</f>
        <v/>
      </c>
      <c r="Q32" s="33">
        <f>IF(O32="","",IFERROR(INDEX(Cl_nom,MATCH(O32,Cl_cle,0)),"(client introuvable)"))</f>
        <v/>
      </c>
      <c r="R32" s="40">
        <f>IF(O32="","",IFERROR(INDEX(Cl_reste,MATCH(O32,Cl_cle,0)),""))</f>
        <v/>
      </c>
      <c r="S32" s="34">
        <f>IF(C32="","",YEAR(C32-WEEKDAY(C32,2)+4)&amp;"-S"&amp;TEXT(INT((C32-DATE(YEAR(C32-WEEKDAY(C32,2)+4),1,3)+WEEKDAY(DATE(YEAR(C32-WEEKDAY(C32,2)+4),1,3),2)+5)/7),"00"))</f>
        <v/>
      </c>
    </row>
    <row r="33" ht="18" customHeight="1">
      <c r="A33" s="39" t="n">
        <v>28</v>
      </c>
      <c r="B33" s="33">
        <f>IF(C33="","",IF(L33="À RENSEIGNER","GIC",L33)&amp;"-E"&amp;TEXT(A33,"00000"))</f>
        <v/>
      </c>
      <c r="C33" s="32" t="n"/>
      <c r="D33" s="36" t="n"/>
      <c r="E33" s="37" t="n"/>
      <c r="F33" s="36" t="n"/>
      <c r="G33" s="44" t="n"/>
      <c r="H33" s="43" t="n"/>
      <c r="I33" s="32" t="n"/>
      <c r="J33" s="44" t="n"/>
      <c r="K33" s="36" t="n"/>
      <c r="L33" s="33">
        <f>IF(C33="","",Commercial_Id)</f>
        <v/>
      </c>
      <c r="M33" s="34">
        <f>IF(OR(C33="",F33=""),"",IF(F33&lt;&gt;"Espèces","—",IF(I33&lt;&gt;"","☑ Oui","☐ Non")))</f>
        <v/>
      </c>
      <c r="N33" s="39">
        <f>IF(D33="","",IFERROR(VALUE(MID(D33,LEN(D33)-3,3)),""))</f>
        <v/>
      </c>
      <c r="O33" s="33">
        <f>IF(N33="","",L33&amp;"|"&amp;N33)</f>
        <v/>
      </c>
      <c r="P33" s="33">
        <f>IF(N33="","",IF(L33="À RENSEIGNER","GIC",L33)&amp;"-"&amp;TEXT(N33,"000"))</f>
        <v/>
      </c>
      <c r="Q33" s="33">
        <f>IF(O33="","",IFERROR(INDEX(Cl_nom,MATCH(O33,Cl_cle,0)),"(client introuvable)"))</f>
        <v/>
      </c>
      <c r="R33" s="40">
        <f>IF(O33="","",IFERROR(INDEX(Cl_reste,MATCH(O33,Cl_cle,0)),""))</f>
        <v/>
      </c>
      <c r="S33" s="34">
        <f>IF(C33="","",YEAR(C33-WEEKDAY(C33,2)+4)&amp;"-S"&amp;TEXT(INT((C33-DATE(YEAR(C33-WEEKDAY(C33,2)+4),1,3)+WEEKDAY(DATE(YEAR(C33-WEEKDAY(C33,2)+4),1,3),2)+5)/7),"00"))</f>
        <v/>
      </c>
    </row>
    <row r="34" ht="18" customHeight="1">
      <c r="A34" s="39" t="n">
        <v>29</v>
      </c>
      <c r="B34" s="33">
        <f>IF(C34="","",IF(L34="À RENSEIGNER","GIC",L34)&amp;"-E"&amp;TEXT(A34,"00000"))</f>
        <v/>
      </c>
      <c r="C34" s="32" t="n"/>
      <c r="D34" s="36" t="n"/>
      <c r="E34" s="37" t="n"/>
      <c r="F34" s="36" t="n"/>
      <c r="G34" s="44" t="n"/>
      <c r="H34" s="43" t="n"/>
      <c r="I34" s="32" t="n"/>
      <c r="J34" s="44" t="n"/>
      <c r="K34" s="36" t="n"/>
      <c r="L34" s="33">
        <f>IF(C34="","",Commercial_Id)</f>
        <v/>
      </c>
      <c r="M34" s="34">
        <f>IF(OR(C34="",F34=""),"",IF(F34&lt;&gt;"Espèces","—",IF(I34&lt;&gt;"","☑ Oui","☐ Non")))</f>
        <v/>
      </c>
      <c r="N34" s="39">
        <f>IF(D34="","",IFERROR(VALUE(MID(D34,LEN(D34)-3,3)),""))</f>
        <v/>
      </c>
      <c r="O34" s="33">
        <f>IF(N34="","",L34&amp;"|"&amp;N34)</f>
        <v/>
      </c>
      <c r="P34" s="33">
        <f>IF(N34="","",IF(L34="À RENSEIGNER","GIC",L34)&amp;"-"&amp;TEXT(N34,"000"))</f>
        <v/>
      </c>
      <c r="Q34" s="33">
        <f>IF(O34="","",IFERROR(INDEX(Cl_nom,MATCH(O34,Cl_cle,0)),"(client introuvable)"))</f>
        <v/>
      </c>
      <c r="R34" s="40">
        <f>IF(O34="","",IFERROR(INDEX(Cl_reste,MATCH(O34,Cl_cle,0)),""))</f>
        <v/>
      </c>
      <c r="S34" s="34">
        <f>IF(C34="","",YEAR(C34-WEEKDAY(C34,2)+4)&amp;"-S"&amp;TEXT(INT((C34-DATE(YEAR(C34-WEEKDAY(C34,2)+4),1,3)+WEEKDAY(DATE(YEAR(C34-WEEKDAY(C34,2)+4),1,3),2)+5)/7),"00"))</f>
        <v/>
      </c>
    </row>
    <row r="35" ht="18" customHeight="1">
      <c r="A35" s="39" t="n">
        <v>30</v>
      </c>
      <c r="B35" s="33">
        <f>IF(C35="","",IF(L35="À RENSEIGNER","GIC",L35)&amp;"-E"&amp;TEXT(A35,"00000"))</f>
        <v/>
      </c>
      <c r="C35" s="32" t="n"/>
      <c r="D35" s="36" t="n"/>
      <c r="E35" s="37" t="n"/>
      <c r="F35" s="36" t="n"/>
      <c r="G35" s="44" t="n"/>
      <c r="H35" s="43" t="n"/>
      <c r="I35" s="32" t="n"/>
      <c r="J35" s="44" t="n"/>
      <c r="K35" s="36" t="n"/>
      <c r="L35" s="33">
        <f>IF(C35="","",Commercial_Id)</f>
        <v/>
      </c>
      <c r="M35" s="34">
        <f>IF(OR(C35="",F35=""),"",IF(F35&lt;&gt;"Espèces","—",IF(I35&lt;&gt;"","☑ Oui","☐ Non")))</f>
        <v/>
      </c>
      <c r="N35" s="39">
        <f>IF(D35="","",IFERROR(VALUE(MID(D35,LEN(D35)-3,3)),""))</f>
        <v/>
      </c>
      <c r="O35" s="33">
        <f>IF(N35="","",L35&amp;"|"&amp;N35)</f>
        <v/>
      </c>
      <c r="P35" s="33">
        <f>IF(N35="","",IF(L35="À RENSEIGNER","GIC",L35)&amp;"-"&amp;TEXT(N35,"000"))</f>
        <v/>
      </c>
      <c r="Q35" s="33">
        <f>IF(O35="","",IFERROR(INDEX(Cl_nom,MATCH(O35,Cl_cle,0)),"(client introuvable)"))</f>
        <v/>
      </c>
      <c r="R35" s="40">
        <f>IF(O35="","",IFERROR(INDEX(Cl_reste,MATCH(O35,Cl_cle,0)),""))</f>
        <v/>
      </c>
      <c r="S35" s="34">
        <f>IF(C35="","",YEAR(C35-WEEKDAY(C35,2)+4)&amp;"-S"&amp;TEXT(INT((C35-DATE(YEAR(C35-WEEKDAY(C35,2)+4),1,3)+WEEKDAY(DATE(YEAR(C35-WEEKDAY(C35,2)+4),1,3),2)+5)/7),"00"))</f>
        <v/>
      </c>
    </row>
    <row r="36" ht="18" customHeight="1">
      <c r="A36" s="39" t="n">
        <v>31</v>
      </c>
      <c r="B36" s="33">
        <f>IF(C36="","",IF(L36="À RENSEIGNER","GIC",L36)&amp;"-E"&amp;TEXT(A36,"00000"))</f>
        <v/>
      </c>
      <c r="C36" s="32" t="n"/>
      <c r="D36" s="36" t="n"/>
      <c r="E36" s="37" t="n"/>
      <c r="F36" s="36" t="n"/>
      <c r="G36" s="44" t="n"/>
      <c r="H36" s="43" t="n"/>
      <c r="I36" s="32" t="n"/>
      <c r="J36" s="44" t="n"/>
      <c r="K36" s="36" t="n"/>
      <c r="L36" s="33">
        <f>IF(C36="","",Commercial_Id)</f>
        <v/>
      </c>
      <c r="M36" s="34">
        <f>IF(OR(C36="",F36=""),"",IF(F36&lt;&gt;"Espèces","—",IF(I36&lt;&gt;"","☑ Oui","☐ Non")))</f>
        <v/>
      </c>
      <c r="N36" s="39">
        <f>IF(D36="","",IFERROR(VALUE(MID(D36,LEN(D36)-3,3)),""))</f>
        <v/>
      </c>
      <c r="O36" s="33">
        <f>IF(N36="","",L36&amp;"|"&amp;N36)</f>
        <v/>
      </c>
      <c r="P36" s="33">
        <f>IF(N36="","",IF(L36="À RENSEIGNER","GIC",L36)&amp;"-"&amp;TEXT(N36,"000"))</f>
        <v/>
      </c>
      <c r="Q36" s="33">
        <f>IF(O36="","",IFERROR(INDEX(Cl_nom,MATCH(O36,Cl_cle,0)),"(client introuvable)"))</f>
        <v/>
      </c>
      <c r="R36" s="40">
        <f>IF(O36="","",IFERROR(INDEX(Cl_reste,MATCH(O36,Cl_cle,0)),""))</f>
        <v/>
      </c>
      <c r="S36" s="34">
        <f>IF(C36="","",YEAR(C36-WEEKDAY(C36,2)+4)&amp;"-S"&amp;TEXT(INT((C36-DATE(YEAR(C36-WEEKDAY(C36,2)+4),1,3)+WEEKDAY(DATE(YEAR(C36-WEEKDAY(C36,2)+4),1,3),2)+5)/7),"00"))</f>
        <v/>
      </c>
    </row>
    <row r="37" ht="18" customHeight="1">
      <c r="A37" s="39" t="n">
        <v>32</v>
      </c>
      <c r="B37" s="33">
        <f>IF(C37="","",IF(L37="À RENSEIGNER","GIC",L37)&amp;"-E"&amp;TEXT(A37,"00000"))</f>
        <v/>
      </c>
      <c r="C37" s="32" t="n"/>
      <c r="D37" s="36" t="n"/>
      <c r="E37" s="37" t="n"/>
      <c r="F37" s="36" t="n"/>
      <c r="G37" s="44" t="n"/>
      <c r="H37" s="43" t="n"/>
      <c r="I37" s="32" t="n"/>
      <c r="J37" s="44" t="n"/>
      <c r="K37" s="36" t="n"/>
      <c r="L37" s="33">
        <f>IF(C37="","",Commercial_Id)</f>
        <v/>
      </c>
      <c r="M37" s="34">
        <f>IF(OR(C37="",F37=""),"",IF(F37&lt;&gt;"Espèces","—",IF(I37&lt;&gt;"","☑ Oui","☐ Non")))</f>
        <v/>
      </c>
      <c r="N37" s="39">
        <f>IF(D37="","",IFERROR(VALUE(MID(D37,LEN(D37)-3,3)),""))</f>
        <v/>
      </c>
      <c r="O37" s="33">
        <f>IF(N37="","",L37&amp;"|"&amp;N37)</f>
        <v/>
      </c>
      <c r="P37" s="33">
        <f>IF(N37="","",IF(L37="À RENSEIGNER","GIC",L37)&amp;"-"&amp;TEXT(N37,"000"))</f>
        <v/>
      </c>
      <c r="Q37" s="33">
        <f>IF(O37="","",IFERROR(INDEX(Cl_nom,MATCH(O37,Cl_cle,0)),"(client introuvable)"))</f>
        <v/>
      </c>
      <c r="R37" s="40">
        <f>IF(O37="","",IFERROR(INDEX(Cl_reste,MATCH(O37,Cl_cle,0)),""))</f>
        <v/>
      </c>
      <c r="S37" s="34">
        <f>IF(C37="","",YEAR(C37-WEEKDAY(C37,2)+4)&amp;"-S"&amp;TEXT(INT((C37-DATE(YEAR(C37-WEEKDAY(C37,2)+4),1,3)+WEEKDAY(DATE(YEAR(C37-WEEKDAY(C37,2)+4),1,3),2)+5)/7),"00"))</f>
        <v/>
      </c>
    </row>
    <row r="38" ht="18" customHeight="1">
      <c r="A38" s="39" t="n">
        <v>33</v>
      </c>
      <c r="B38" s="33">
        <f>IF(C38="","",IF(L38="À RENSEIGNER","GIC",L38)&amp;"-E"&amp;TEXT(A38,"00000"))</f>
        <v/>
      </c>
      <c r="C38" s="32" t="n"/>
      <c r="D38" s="36" t="n"/>
      <c r="E38" s="37" t="n"/>
      <c r="F38" s="36" t="n"/>
      <c r="G38" s="44" t="n"/>
      <c r="H38" s="43" t="n"/>
      <c r="I38" s="32" t="n"/>
      <c r="J38" s="44" t="n"/>
      <c r="K38" s="36" t="n"/>
      <c r="L38" s="33">
        <f>IF(C38="","",Commercial_Id)</f>
        <v/>
      </c>
      <c r="M38" s="34">
        <f>IF(OR(C38="",F38=""),"",IF(F38&lt;&gt;"Espèces","—",IF(I38&lt;&gt;"","☑ Oui","☐ Non")))</f>
        <v/>
      </c>
      <c r="N38" s="39">
        <f>IF(D38="","",IFERROR(VALUE(MID(D38,LEN(D38)-3,3)),""))</f>
        <v/>
      </c>
      <c r="O38" s="33">
        <f>IF(N38="","",L38&amp;"|"&amp;N38)</f>
        <v/>
      </c>
      <c r="P38" s="33">
        <f>IF(N38="","",IF(L38="À RENSEIGNER","GIC",L38)&amp;"-"&amp;TEXT(N38,"000"))</f>
        <v/>
      </c>
      <c r="Q38" s="33">
        <f>IF(O38="","",IFERROR(INDEX(Cl_nom,MATCH(O38,Cl_cle,0)),"(client introuvable)"))</f>
        <v/>
      </c>
      <c r="R38" s="40">
        <f>IF(O38="","",IFERROR(INDEX(Cl_reste,MATCH(O38,Cl_cle,0)),""))</f>
        <v/>
      </c>
      <c r="S38" s="34">
        <f>IF(C38="","",YEAR(C38-WEEKDAY(C38,2)+4)&amp;"-S"&amp;TEXT(INT((C38-DATE(YEAR(C38-WEEKDAY(C38,2)+4),1,3)+WEEKDAY(DATE(YEAR(C38-WEEKDAY(C38,2)+4),1,3),2)+5)/7),"00"))</f>
        <v/>
      </c>
    </row>
    <row r="39" ht="18" customHeight="1">
      <c r="A39" s="39" t="n">
        <v>34</v>
      </c>
      <c r="B39" s="33">
        <f>IF(C39="","",IF(L39="À RENSEIGNER","GIC",L39)&amp;"-E"&amp;TEXT(A39,"00000"))</f>
        <v/>
      </c>
      <c r="C39" s="32" t="n"/>
      <c r="D39" s="36" t="n"/>
      <c r="E39" s="37" t="n"/>
      <c r="F39" s="36" t="n"/>
      <c r="G39" s="44" t="n"/>
      <c r="H39" s="43" t="n"/>
      <c r="I39" s="32" t="n"/>
      <c r="J39" s="44" t="n"/>
      <c r="K39" s="36" t="n"/>
      <c r="L39" s="33">
        <f>IF(C39="","",Commercial_Id)</f>
        <v/>
      </c>
      <c r="M39" s="34">
        <f>IF(OR(C39="",F39=""),"",IF(F39&lt;&gt;"Espèces","—",IF(I39&lt;&gt;"","☑ Oui","☐ Non")))</f>
        <v/>
      </c>
      <c r="N39" s="39">
        <f>IF(D39="","",IFERROR(VALUE(MID(D39,LEN(D39)-3,3)),""))</f>
        <v/>
      </c>
      <c r="O39" s="33">
        <f>IF(N39="","",L39&amp;"|"&amp;N39)</f>
        <v/>
      </c>
      <c r="P39" s="33">
        <f>IF(N39="","",IF(L39="À RENSEIGNER","GIC",L39)&amp;"-"&amp;TEXT(N39,"000"))</f>
        <v/>
      </c>
      <c r="Q39" s="33">
        <f>IF(O39="","",IFERROR(INDEX(Cl_nom,MATCH(O39,Cl_cle,0)),"(client introuvable)"))</f>
        <v/>
      </c>
      <c r="R39" s="40">
        <f>IF(O39="","",IFERROR(INDEX(Cl_reste,MATCH(O39,Cl_cle,0)),""))</f>
        <v/>
      </c>
      <c r="S39" s="34">
        <f>IF(C39="","",YEAR(C39-WEEKDAY(C39,2)+4)&amp;"-S"&amp;TEXT(INT((C39-DATE(YEAR(C39-WEEKDAY(C39,2)+4),1,3)+WEEKDAY(DATE(YEAR(C39-WEEKDAY(C39,2)+4),1,3),2)+5)/7),"00"))</f>
        <v/>
      </c>
    </row>
    <row r="40" ht="18" customHeight="1">
      <c r="A40" s="39" t="n">
        <v>35</v>
      </c>
      <c r="B40" s="33">
        <f>IF(C40="","",IF(L40="À RENSEIGNER","GIC",L40)&amp;"-E"&amp;TEXT(A40,"00000"))</f>
        <v/>
      </c>
      <c r="C40" s="32" t="n"/>
      <c r="D40" s="36" t="n"/>
      <c r="E40" s="37" t="n"/>
      <c r="F40" s="36" t="n"/>
      <c r="G40" s="44" t="n"/>
      <c r="H40" s="43" t="n"/>
      <c r="I40" s="32" t="n"/>
      <c r="J40" s="44" t="n"/>
      <c r="K40" s="36" t="n"/>
      <c r="L40" s="33">
        <f>IF(C40="","",Commercial_Id)</f>
        <v/>
      </c>
      <c r="M40" s="34">
        <f>IF(OR(C40="",F40=""),"",IF(F40&lt;&gt;"Espèces","—",IF(I40&lt;&gt;"","☑ Oui","☐ Non")))</f>
        <v/>
      </c>
      <c r="N40" s="39">
        <f>IF(D40="","",IFERROR(VALUE(MID(D40,LEN(D40)-3,3)),""))</f>
        <v/>
      </c>
      <c r="O40" s="33">
        <f>IF(N40="","",L40&amp;"|"&amp;N40)</f>
        <v/>
      </c>
      <c r="P40" s="33">
        <f>IF(N40="","",IF(L40="À RENSEIGNER","GIC",L40)&amp;"-"&amp;TEXT(N40,"000"))</f>
        <v/>
      </c>
      <c r="Q40" s="33">
        <f>IF(O40="","",IFERROR(INDEX(Cl_nom,MATCH(O40,Cl_cle,0)),"(client introuvable)"))</f>
        <v/>
      </c>
      <c r="R40" s="40">
        <f>IF(O40="","",IFERROR(INDEX(Cl_reste,MATCH(O40,Cl_cle,0)),""))</f>
        <v/>
      </c>
      <c r="S40" s="34">
        <f>IF(C40="","",YEAR(C40-WEEKDAY(C40,2)+4)&amp;"-S"&amp;TEXT(INT((C40-DATE(YEAR(C40-WEEKDAY(C40,2)+4),1,3)+WEEKDAY(DATE(YEAR(C40-WEEKDAY(C40,2)+4),1,3),2)+5)/7),"00"))</f>
        <v/>
      </c>
    </row>
    <row r="41" ht="18" customHeight="1">
      <c r="A41" s="39" t="n">
        <v>36</v>
      </c>
      <c r="B41" s="33">
        <f>IF(C41="","",IF(L41="À RENSEIGNER","GIC",L41)&amp;"-E"&amp;TEXT(A41,"00000"))</f>
        <v/>
      </c>
      <c r="C41" s="32" t="n"/>
      <c r="D41" s="36" t="n"/>
      <c r="E41" s="37" t="n"/>
      <c r="F41" s="36" t="n"/>
      <c r="G41" s="44" t="n"/>
      <c r="H41" s="43" t="n"/>
      <c r="I41" s="32" t="n"/>
      <c r="J41" s="44" t="n"/>
      <c r="K41" s="36" t="n"/>
      <c r="L41" s="33">
        <f>IF(C41="","",Commercial_Id)</f>
        <v/>
      </c>
      <c r="M41" s="34">
        <f>IF(OR(C41="",F41=""),"",IF(F41&lt;&gt;"Espèces","—",IF(I41&lt;&gt;"","☑ Oui","☐ Non")))</f>
        <v/>
      </c>
      <c r="N41" s="39">
        <f>IF(D41="","",IFERROR(VALUE(MID(D41,LEN(D41)-3,3)),""))</f>
        <v/>
      </c>
      <c r="O41" s="33">
        <f>IF(N41="","",L41&amp;"|"&amp;N41)</f>
        <v/>
      </c>
      <c r="P41" s="33">
        <f>IF(N41="","",IF(L41="À RENSEIGNER","GIC",L41)&amp;"-"&amp;TEXT(N41,"000"))</f>
        <v/>
      </c>
      <c r="Q41" s="33">
        <f>IF(O41="","",IFERROR(INDEX(Cl_nom,MATCH(O41,Cl_cle,0)),"(client introuvable)"))</f>
        <v/>
      </c>
      <c r="R41" s="40">
        <f>IF(O41="","",IFERROR(INDEX(Cl_reste,MATCH(O41,Cl_cle,0)),""))</f>
        <v/>
      </c>
      <c r="S41" s="34">
        <f>IF(C41="","",YEAR(C41-WEEKDAY(C41,2)+4)&amp;"-S"&amp;TEXT(INT((C41-DATE(YEAR(C41-WEEKDAY(C41,2)+4),1,3)+WEEKDAY(DATE(YEAR(C41-WEEKDAY(C41,2)+4),1,3),2)+5)/7),"00"))</f>
        <v/>
      </c>
    </row>
    <row r="42" ht="18" customHeight="1">
      <c r="A42" s="39" t="n">
        <v>37</v>
      </c>
      <c r="B42" s="33">
        <f>IF(C42="","",IF(L42="À RENSEIGNER","GIC",L42)&amp;"-E"&amp;TEXT(A42,"00000"))</f>
        <v/>
      </c>
      <c r="C42" s="32" t="n"/>
      <c r="D42" s="36" t="n"/>
      <c r="E42" s="37" t="n"/>
      <c r="F42" s="36" t="n"/>
      <c r="G42" s="44" t="n"/>
      <c r="H42" s="43" t="n"/>
      <c r="I42" s="32" t="n"/>
      <c r="J42" s="44" t="n"/>
      <c r="K42" s="36" t="n"/>
      <c r="L42" s="33">
        <f>IF(C42="","",Commercial_Id)</f>
        <v/>
      </c>
      <c r="M42" s="34">
        <f>IF(OR(C42="",F42=""),"",IF(F42&lt;&gt;"Espèces","—",IF(I42&lt;&gt;"","☑ Oui","☐ Non")))</f>
        <v/>
      </c>
      <c r="N42" s="39">
        <f>IF(D42="","",IFERROR(VALUE(MID(D42,LEN(D42)-3,3)),""))</f>
        <v/>
      </c>
      <c r="O42" s="33">
        <f>IF(N42="","",L42&amp;"|"&amp;N42)</f>
        <v/>
      </c>
      <c r="P42" s="33">
        <f>IF(N42="","",IF(L42="À RENSEIGNER","GIC",L42)&amp;"-"&amp;TEXT(N42,"000"))</f>
        <v/>
      </c>
      <c r="Q42" s="33">
        <f>IF(O42="","",IFERROR(INDEX(Cl_nom,MATCH(O42,Cl_cle,0)),"(client introuvable)"))</f>
        <v/>
      </c>
      <c r="R42" s="40">
        <f>IF(O42="","",IFERROR(INDEX(Cl_reste,MATCH(O42,Cl_cle,0)),""))</f>
        <v/>
      </c>
      <c r="S42" s="34">
        <f>IF(C42="","",YEAR(C42-WEEKDAY(C42,2)+4)&amp;"-S"&amp;TEXT(INT((C42-DATE(YEAR(C42-WEEKDAY(C42,2)+4),1,3)+WEEKDAY(DATE(YEAR(C42-WEEKDAY(C42,2)+4),1,3),2)+5)/7),"00"))</f>
        <v/>
      </c>
    </row>
    <row r="43" ht="18" customHeight="1">
      <c r="A43" s="39" t="n">
        <v>38</v>
      </c>
      <c r="B43" s="33">
        <f>IF(C43="","",IF(L43="À RENSEIGNER","GIC",L43)&amp;"-E"&amp;TEXT(A43,"00000"))</f>
        <v/>
      </c>
      <c r="C43" s="32" t="n"/>
      <c r="D43" s="36" t="n"/>
      <c r="E43" s="37" t="n"/>
      <c r="F43" s="36" t="n"/>
      <c r="G43" s="44" t="n"/>
      <c r="H43" s="43" t="n"/>
      <c r="I43" s="32" t="n"/>
      <c r="J43" s="44" t="n"/>
      <c r="K43" s="36" t="n"/>
      <c r="L43" s="33">
        <f>IF(C43="","",Commercial_Id)</f>
        <v/>
      </c>
      <c r="M43" s="34">
        <f>IF(OR(C43="",F43=""),"",IF(F43&lt;&gt;"Espèces","—",IF(I43&lt;&gt;"","☑ Oui","☐ Non")))</f>
        <v/>
      </c>
      <c r="N43" s="39">
        <f>IF(D43="","",IFERROR(VALUE(MID(D43,LEN(D43)-3,3)),""))</f>
        <v/>
      </c>
      <c r="O43" s="33">
        <f>IF(N43="","",L43&amp;"|"&amp;N43)</f>
        <v/>
      </c>
      <c r="P43" s="33">
        <f>IF(N43="","",IF(L43="À RENSEIGNER","GIC",L43)&amp;"-"&amp;TEXT(N43,"000"))</f>
        <v/>
      </c>
      <c r="Q43" s="33">
        <f>IF(O43="","",IFERROR(INDEX(Cl_nom,MATCH(O43,Cl_cle,0)),"(client introuvable)"))</f>
        <v/>
      </c>
      <c r="R43" s="40">
        <f>IF(O43="","",IFERROR(INDEX(Cl_reste,MATCH(O43,Cl_cle,0)),""))</f>
        <v/>
      </c>
      <c r="S43" s="34">
        <f>IF(C43="","",YEAR(C43-WEEKDAY(C43,2)+4)&amp;"-S"&amp;TEXT(INT((C43-DATE(YEAR(C43-WEEKDAY(C43,2)+4),1,3)+WEEKDAY(DATE(YEAR(C43-WEEKDAY(C43,2)+4),1,3),2)+5)/7),"00"))</f>
        <v/>
      </c>
    </row>
    <row r="44" ht="18" customHeight="1">
      <c r="A44" s="39" t="n">
        <v>39</v>
      </c>
      <c r="B44" s="33">
        <f>IF(C44="","",IF(L44="À RENSEIGNER","GIC",L44)&amp;"-E"&amp;TEXT(A44,"00000"))</f>
        <v/>
      </c>
      <c r="C44" s="32" t="n"/>
      <c r="D44" s="36" t="n"/>
      <c r="E44" s="37" t="n"/>
      <c r="F44" s="36" t="n"/>
      <c r="G44" s="44" t="n"/>
      <c r="H44" s="43" t="n"/>
      <c r="I44" s="32" t="n"/>
      <c r="J44" s="44" t="n"/>
      <c r="K44" s="36" t="n"/>
      <c r="L44" s="33">
        <f>IF(C44="","",Commercial_Id)</f>
        <v/>
      </c>
      <c r="M44" s="34">
        <f>IF(OR(C44="",F44=""),"",IF(F44&lt;&gt;"Espèces","—",IF(I44&lt;&gt;"","☑ Oui","☐ Non")))</f>
        <v/>
      </c>
      <c r="N44" s="39">
        <f>IF(D44="","",IFERROR(VALUE(MID(D44,LEN(D44)-3,3)),""))</f>
        <v/>
      </c>
      <c r="O44" s="33">
        <f>IF(N44="","",L44&amp;"|"&amp;N44)</f>
        <v/>
      </c>
      <c r="P44" s="33">
        <f>IF(N44="","",IF(L44="À RENSEIGNER","GIC",L44)&amp;"-"&amp;TEXT(N44,"000"))</f>
        <v/>
      </c>
      <c r="Q44" s="33">
        <f>IF(O44="","",IFERROR(INDEX(Cl_nom,MATCH(O44,Cl_cle,0)),"(client introuvable)"))</f>
        <v/>
      </c>
      <c r="R44" s="40">
        <f>IF(O44="","",IFERROR(INDEX(Cl_reste,MATCH(O44,Cl_cle,0)),""))</f>
        <v/>
      </c>
      <c r="S44" s="34">
        <f>IF(C44="","",YEAR(C44-WEEKDAY(C44,2)+4)&amp;"-S"&amp;TEXT(INT((C44-DATE(YEAR(C44-WEEKDAY(C44,2)+4),1,3)+WEEKDAY(DATE(YEAR(C44-WEEKDAY(C44,2)+4),1,3),2)+5)/7),"00"))</f>
        <v/>
      </c>
    </row>
    <row r="45" ht="18" customHeight="1">
      <c r="A45" s="39" t="n">
        <v>40</v>
      </c>
      <c r="B45" s="33">
        <f>IF(C45="","",IF(L45="À RENSEIGNER","GIC",L45)&amp;"-E"&amp;TEXT(A45,"00000"))</f>
        <v/>
      </c>
      <c r="C45" s="32" t="n"/>
      <c r="D45" s="36" t="n"/>
      <c r="E45" s="37" t="n"/>
      <c r="F45" s="36" t="n"/>
      <c r="G45" s="44" t="n"/>
      <c r="H45" s="43" t="n"/>
      <c r="I45" s="32" t="n"/>
      <c r="J45" s="44" t="n"/>
      <c r="K45" s="36" t="n"/>
      <c r="L45" s="33">
        <f>IF(C45="","",Commercial_Id)</f>
        <v/>
      </c>
      <c r="M45" s="34">
        <f>IF(OR(C45="",F45=""),"",IF(F45&lt;&gt;"Espèces","—",IF(I45&lt;&gt;"","☑ Oui","☐ Non")))</f>
        <v/>
      </c>
      <c r="N45" s="39">
        <f>IF(D45="","",IFERROR(VALUE(MID(D45,LEN(D45)-3,3)),""))</f>
        <v/>
      </c>
      <c r="O45" s="33">
        <f>IF(N45="","",L45&amp;"|"&amp;N45)</f>
        <v/>
      </c>
      <c r="P45" s="33">
        <f>IF(N45="","",IF(L45="À RENSEIGNER","GIC",L45)&amp;"-"&amp;TEXT(N45,"000"))</f>
        <v/>
      </c>
      <c r="Q45" s="33">
        <f>IF(O45="","",IFERROR(INDEX(Cl_nom,MATCH(O45,Cl_cle,0)),"(client introuvable)"))</f>
        <v/>
      </c>
      <c r="R45" s="40">
        <f>IF(O45="","",IFERROR(INDEX(Cl_reste,MATCH(O45,Cl_cle,0)),""))</f>
        <v/>
      </c>
      <c r="S45" s="34">
        <f>IF(C45="","",YEAR(C45-WEEKDAY(C45,2)+4)&amp;"-S"&amp;TEXT(INT((C45-DATE(YEAR(C45-WEEKDAY(C45,2)+4),1,3)+WEEKDAY(DATE(YEAR(C45-WEEKDAY(C45,2)+4),1,3),2)+5)/7),"00"))</f>
        <v/>
      </c>
    </row>
    <row r="46" ht="18" customHeight="1">
      <c r="A46" s="39" t="n">
        <v>41</v>
      </c>
      <c r="B46" s="33">
        <f>IF(C46="","",IF(L46="À RENSEIGNER","GIC",L46)&amp;"-E"&amp;TEXT(A46,"00000"))</f>
        <v/>
      </c>
      <c r="C46" s="32" t="n"/>
      <c r="D46" s="36" t="n"/>
      <c r="E46" s="37" t="n"/>
      <c r="F46" s="36" t="n"/>
      <c r="G46" s="44" t="n"/>
      <c r="H46" s="43" t="n"/>
      <c r="I46" s="32" t="n"/>
      <c r="J46" s="44" t="n"/>
      <c r="K46" s="36" t="n"/>
      <c r="L46" s="33">
        <f>IF(C46="","",Commercial_Id)</f>
        <v/>
      </c>
      <c r="M46" s="34">
        <f>IF(OR(C46="",F46=""),"",IF(F46&lt;&gt;"Espèces","—",IF(I46&lt;&gt;"","☑ Oui","☐ Non")))</f>
        <v/>
      </c>
      <c r="N46" s="39">
        <f>IF(D46="","",IFERROR(VALUE(MID(D46,LEN(D46)-3,3)),""))</f>
        <v/>
      </c>
      <c r="O46" s="33">
        <f>IF(N46="","",L46&amp;"|"&amp;N46)</f>
        <v/>
      </c>
      <c r="P46" s="33">
        <f>IF(N46="","",IF(L46="À RENSEIGNER","GIC",L46)&amp;"-"&amp;TEXT(N46,"000"))</f>
        <v/>
      </c>
      <c r="Q46" s="33">
        <f>IF(O46="","",IFERROR(INDEX(Cl_nom,MATCH(O46,Cl_cle,0)),"(client introuvable)"))</f>
        <v/>
      </c>
      <c r="R46" s="40">
        <f>IF(O46="","",IFERROR(INDEX(Cl_reste,MATCH(O46,Cl_cle,0)),""))</f>
        <v/>
      </c>
      <c r="S46" s="34">
        <f>IF(C46="","",YEAR(C46-WEEKDAY(C46,2)+4)&amp;"-S"&amp;TEXT(INT((C46-DATE(YEAR(C46-WEEKDAY(C46,2)+4),1,3)+WEEKDAY(DATE(YEAR(C46-WEEKDAY(C46,2)+4),1,3),2)+5)/7),"00"))</f>
        <v/>
      </c>
    </row>
    <row r="47" ht="18" customHeight="1">
      <c r="A47" s="39" t="n">
        <v>42</v>
      </c>
      <c r="B47" s="33">
        <f>IF(C47="","",IF(L47="À RENSEIGNER","GIC",L47)&amp;"-E"&amp;TEXT(A47,"00000"))</f>
        <v/>
      </c>
      <c r="C47" s="32" t="n"/>
      <c r="D47" s="36" t="n"/>
      <c r="E47" s="37" t="n"/>
      <c r="F47" s="36" t="n"/>
      <c r="G47" s="44" t="n"/>
      <c r="H47" s="43" t="n"/>
      <c r="I47" s="32" t="n"/>
      <c r="J47" s="44" t="n"/>
      <c r="K47" s="36" t="n"/>
      <c r="L47" s="33">
        <f>IF(C47="","",Commercial_Id)</f>
        <v/>
      </c>
      <c r="M47" s="34">
        <f>IF(OR(C47="",F47=""),"",IF(F47&lt;&gt;"Espèces","—",IF(I47&lt;&gt;"","☑ Oui","☐ Non")))</f>
        <v/>
      </c>
      <c r="N47" s="39">
        <f>IF(D47="","",IFERROR(VALUE(MID(D47,LEN(D47)-3,3)),""))</f>
        <v/>
      </c>
      <c r="O47" s="33">
        <f>IF(N47="","",L47&amp;"|"&amp;N47)</f>
        <v/>
      </c>
      <c r="P47" s="33">
        <f>IF(N47="","",IF(L47="À RENSEIGNER","GIC",L47)&amp;"-"&amp;TEXT(N47,"000"))</f>
        <v/>
      </c>
      <c r="Q47" s="33">
        <f>IF(O47="","",IFERROR(INDEX(Cl_nom,MATCH(O47,Cl_cle,0)),"(client introuvable)"))</f>
        <v/>
      </c>
      <c r="R47" s="40">
        <f>IF(O47="","",IFERROR(INDEX(Cl_reste,MATCH(O47,Cl_cle,0)),""))</f>
        <v/>
      </c>
      <c r="S47" s="34">
        <f>IF(C47="","",YEAR(C47-WEEKDAY(C47,2)+4)&amp;"-S"&amp;TEXT(INT((C47-DATE(YEAR(C47-WEEKDAY(C47,2)+4),1,3)+WEEKDAY(DATE(YEAR(C47-WEEKDAY(C47,2)+4),1,3),2)+5)/7),"00"))</f>
        <v/>
      </c>
    </row>
    <row r="48" ht="18" customHeight="1">
      <c r="A48" s="39" t="n">
        <v>43</v>
      </c>
      <c r="B48" s="33">
        <f>IF(C48="","",IF(L48="À RENSEIGNER","GIC",L48)&amp;"-E"&amp;TEXT(A48,"00000"))</f>
        <v/>
      </c>
      <c r="C48" s="32" t="n"/>
      <c r="D48" s="36" t="n"/>
      <c r="E48" s="37" t="n"/>
      <c r="F48" s="36" t="n"/>
      <c r="G48" s="44" t="n"/>
      <c r="H48" s="43" t="n"/>
      <c r="I48" s="32" t="n"/>
      <c r="J48" s="44" t="n"/>
      <c r="K48" s="36" t="n"/>
      <c r="L48" s="33">
        <f>IF(C48="","",Commercial_Id)</f>
        <v/>
      </c>
      <c r="M48" s="34">
        <f>IF(OR(C48="",F48=""),"",IF(F48&lt;&gt;"Espèces","—",IF(I48&lt;&gt;"","☑ Oui","☐ Non")))</f>
        <v/>
      </c>
      <c r="N48" s="39">
        <f>IF(D48="","",IFERROR(VALUE(MID(D48,LEN(D48)-3,3)),""))</f>
        <v/>
      </c>
      <c r="O48" s="33">
        <f>IF(N48="","",L48&amp;"|"&amp;N48)</f>
        <v/>
      </c>
      <c r="P48" s="33">
        <f>IF(N48="","",IF(L48="À RENSEIGNER","GIC",L48)&amp;"-"&amp;TEXT(N48,"000"))</f>
        <v/>
      </c>
      <c r="Q48" s="33">
        <f>IF(O48="","",IFERROR(INDEX(Cl_nom,MATCH(O48,Cl_cle,0)),"(client introuvable)"))</f>
        <v/>
      </c>
      <c r="R48" s="40">
        <f>IF(O48="","",IFERROR(INDEX(Cl_reste,MATCH(O48,Cl_cle,0)),""))</f>
        <v/>
      </c>
      <c r="S48" s="34">
        <f>IF(C48="","",YEAR(C48-WEEKDAY(C48,2)+4)&amp;"-S"&amp;TEXT(INT((C48-DATE(YEAR(C48-WEEKDAY(C48,2)+4),1,3)+WEEKDAY(DATE(YEAR(C48-WEEKDAY(C48,2)+4),1,3),2)+5)/7),"00"))</f>
        <v/>
      </c>
    </row>
    <row r="49" ht="18" customHeight="1">
      <c r="A49" s="39" t="n">
        <v>44</v>
      </c>
      <c r="B49" s="33">
        <f>IF(C49="","",IF(L49="À RENSEIGNER","GIC",L49)&amp;"-E"&amp;TEXT(A49,"00000"))</f>
        <v/>
      </c>
      <c r="C49" s="32" t="n"/>
      <c r="D49" s="36" t="n"/>
      <c r="E49" s="37" t="n"/>
      <c r="F49" s="36" t="n"/>
      <c r="G49" s="44" t="n"/>
      <c r="H49" s="43" t="n"/>
      <c r="I49" s="32" t="n"/>
      <c r="J49" s="44" t="n"/>
      <c r="K49" s="36" t="n"/>
      <c r="L49" s="33">
        <f>IF(C49="","",Commercial_Id)</f>
        <v/>
      </c>
      <c r="M49" s="34">
        <f>IF(OR(C49="",F49=""),"",IF(F49&lt;&gt;"Espèces","—",IF(I49&lt;&gt;"","☑ Oui","☐ Non")))</f>
        <v/>
      </c>
      <c r="N49" s="39">
        <f>IF(D49="","",IFERROR(VALUE(MID(D49,LEN(D49)-3,3)),""))</f>
        <v/>
      </c>
      <c r="O49" s="33">
        <f>IF(N49="","",L49&amp;"|"&amp;N49)</f>
        <v/>
      </c>
      <c r="P49" s="33">
        <f>IF(N49="","",IF(L49="À RENSEIGNER","GIC",L49)&amp;"-"&amp;TEXT(N49,"000"))</f>
        <v/>
      </c>
      <c r="Q49" s="33">
        <f>IF(O49="","",IFERROR(INDEX(Cl_nom,MATCH(O49,Cl_cle,0)),"(client introuvable)"))</f>
        <v/>
      </c>
      <c r="R49" s="40">
        <f>IF(O49="","",IFERROR(INDEX(Cl_reste,MATCH(O49,Cl_cle,0)),""))</f>
        <v/>
      </c>
      <c r="S49" s="34">
        <f>IF(C49="","",YEAR(C49-WEEKDAY(C49,2)+4)&amp;"-S"&amp;TEXT(INT((C49-DATE(YEAR(C49-WEEKDAY(C49,2)+4),1,3)+WEEKDAY(DATE(YEAR(C49-WEEKDAY(C49,2)+4),1,3),2)+5)/7),"00"))</f>
        <v/>
      </c>
    </row>
    <row r="50" ht="18" customHeight="1">
      <c r="A50" s="39" t="n">
        <v>45</v>
      </c>
      <c r="B50" s="33">
        <f>IF(C50="","",IF(L50="À RENSEIGNER","GIC",L50)&amp;"-E"&amp;TEXT(A50,"00000"))</f>
        <v/>
      </c>
      <c r="C50" s="32" t="n"/>
      <c r="D50" s="36" t="n"/>
      <c r="E50" s="37" t="n"/>
      <c r="F50" s="36" t="n"/>
      <c r="G50" s="44" t="n"/>
      <c r="H50" s="43" t="n"/>
      <c r="I50" s="32" t="n"/>
      <c r="J50" s="44" t="n"/>
      <c r="K50" s="36" t="n"/>
      <c r="L50" s="33">
        <f>IF(C50="","",Commercial_Id)</f>
        <v/>
      </c>
      <c r="M50" s="34">
        <f>IF(OR(C50="",F50=""),"",IF(F50&lt;&gt;"Espèces","—",IF(I50&lt;&gt;"","☑ Oui","☐ Non")))</f>
        <v/>
      </c>
      <c r="N50" s="39">
        <f>IF(D50="","",IFERROR(VALUE(MID(D50,LEN(D50)-3,3)),""))</f>
        <v/>
      </c>
      <c r="O50" s="33">
        <f>IF(N50="","",L50&amp;"|"&amp;N50)</f>
        <v/>
      </c>
      <c r="P50" s="33">
        <f>IF(N50="","",IF(L50="À RENSEIGNER","GIC",L50)&amp;"-"&amp;TEXT(N50,"000"))</f>
        <v/>
      </c>
      <c r="Q50" s="33">
        <f>IF(O50="","",IFERROR(INDEX(Cl_nom,MATCH(O50,Cl_cle,0)),"(client introuvable)"))</f>
        <v/>
      </c>
      <c r="R50" s="40">
        <f>IF(O50="","",IFERROR(INDEX(Cl_reste,MATCH(O50,Cl_cle,0)),""))</f>
        <v/>
      </c>
      <c r="S50" s="34">
        <f>IF(C50="","",YEAR(C50-WEEKDAY(C50,2)+4)&amp;"-S"&amp;TEXT(INT((C50-DATE(YEAR(C50-WEEKDAY(C50,2)+4),1,3)+WEEKDAY(DATE(YEAR(C50-WEEKDAY(C50,2)+4),1,3),2)+5)/7),"00"))</f>
        <v/>
      </c>
    </row>
    <row r="51" ht="18" customHeight="1">
      <c r="A51" s="39" t="n">
        <v>46</v>
      </c>
      <c r="B51" s="33">
        <f>IF(C51="","",IF(L51="À RENSEIGNER","GIC",L51)&amp;"-E"&amp;TEXT(A51,"00000"))</f>
        <v/>
      </c>
      <c r="C51" s="32" t="n"/>
      <c r="D51" s="36" t="n"/>
      <c r="E51" s="37" t="n"/>
      <c r="F51" s="36" t="n"/>
      <c r="G51" s="44" t="n"/>
      <c r="H51" s="43" t="n"/>
      <c r="I51" s="32" t="n"/>
      <c r="J51" s="44" t="n"/>
      <c r="K51" s="36" t="n"/>
      <c r="L51" s="33">
        <f>IF(C51="","",Commercial_Id)</f>
        <v/>
      </c>
      <c r="M51" s="34">
        <f>IF(OR(C51="",F51=""),"",IF(F51&lt;&gt;"Espèces","—",IF(I51&lt;&gt;"","☑ Oui","☐ Non")))</f>
        <v/>
      </c>
      <c r="N51" s="39">
        <f>IF(D51="","",IFERROR(VALUE(MID(D51,LEN(D51)-3,3)),""))</f>
        <v/>
      </c>
      <c r="O51" s="33">
        <f>IF(N51="","",L51&amp;"|"&amp;N51)</f>
        <v/>
      </c>
      <c r="P51" s="33">
        <f>IF(N51="","",IF(L51="À RENSEIGNER","GIC",L51)&amp;"-"&amp;TEXT(N51,"000"))</f>
        <v/>
      </c>
      <c r="Q51" s="33">
        <f>IF(O51="","",IFERROR(INDEX(Cl_nom,MATCH(O51,Cl_cle,0)),"(client introuvable)"))</f>
        <v/>
      </c>
      <c r="R51" s="40">
        <f>IF(O51="","",IFERROR(INDEX(Cl_reste,MATCH(O51,Cl_cle,0)),""))</f>
        <v/>
      </c>
      <c r="S51" s="34">
        <f>IF(C51="","",YEAR(C51-WEEKDAY(C51,2)+4)&amp;"-S"&amp;TEXT(INT((C51-DATE(YEAR(C51-WEEKDAY(C51,2)+4),1,3)+WEEKDAY(DATE(YEAR(C51-WEEKDAY(C51,2)+4),1,3),2)+5)/7),"00"))</f>
        <v/>
      </c>
    </row>
    <row r="52" ht="18" customHeight="1">
      <c r="A52" s="39" t="n">
        <v>47</v>
      </c>
      <c r="B52" s="33">
        <f>IF(C52="","",IF(L52="À RENSEIGNER","GIC",L52)&amp;"-E"&amp;TEXT(A52,"00000"))</f>
        <v/>
      </c>
      <c r="C52" s="32" t="n"/>
      <c r="D52" s="36" t="n"/>
      <c r="E52" s="37" t="n"/>
      <c r="F52" s="36" t="n"/>
      <c r="G52" s="44" t="n"/>
      <c r="H52" s="43" t="n"/>
      <c r="I52" s="32" t="n"/>
      <c r="J52" s="44" t="n"/>
      <c r="K52" s="36" t="n"/>
      <c r="L52" s="33">
        <f>IF(C52="","",Commercial_Id)</f>
        <v/>
      </c>
      <c r="M52" s="34">
        <f>IF(OR(C52="",F52=""),"",IF(F52&lt;&gt;"Espèces","—",IF(I52&lt;&gt;"","☑ Oui","☐ Non")))</f>
        <v/>
      </c>
      <c r="N52" s="39">
        <f>IF(D52="","",IFERROR(VALUE(MID(D52,LEN(D52)-3,3)),""))</f>
        <v/>
      </c>
      <c r="O52" s="33">
        <f>IF(N52="","",L52&amp;"|"&amp;N52)</f>
        <v/>
      </c>
      <c r="P52" s="33">
        <f>IF(N52="","",IF(L52="À RENSEIGNER","GIC",L52)&amp;"-"&amp;TEXT(N52,"000"))</f>
        <v/>
      </c>
      <c r="Q52" s="33">
        <f>IF(O52="","",IFERROR(INDEX(Cl_nom,MATCH(O52,Cl_cle,0)),"(client introuvable)"))</f>
        <v/>
      </c>
      <c r="R52" s="40">
        <f>IF(O52="","",IFERROR(INDEX(Cl_reste,MATCH(O52,Cl_cle,0)),""))</f>
        <v/>
      </c>
      <c r="S52" s="34">
        <f>IF(C52="","",YEAR(C52-WEEKDAY(C52,2)+4)&amp;"-S"&amp;TEXT(INT((C52-DATE(YEAR(C52-WEEKDAY(C52,2)+4),1,3)+WEEKDAY(DATE(YEAR(C52-WEEKDAY(C52,2)+4),1,3),2)+5)/7),"00"))</f>
        <v/>
      </c>
    </row>
    <row r="53" ht="18" customHeight="1">
      <c r="A53" s="39" t="n">
        <v>48</v>
      </c>
      <c r="B53" s="33">
        <f>IF(C53="","",IF(L53="À RENSEIGNER","GIC",L53)&amp;"-E"&amp;TEXT(A53,"00000"))</f>
        <v/>
      </c>
      <c r="C53" s="32" t="n"/>
      <c r="D53" s="36" t="n"/>
      <c r="E53" s="37" t="n"/>
      <c r="F53" s="36" t="n"/>
      <c r="G53" s="44" t="n"/>
      <c r="H53" s="43" t="n"/>
      <c r="I53" s="32" t="n"/>
      <c r="J53" s="44" t="n"/>
      <c r="K53" s="36" t="n"/>
      <c r="L53" s="33">
        <f>IF(C53="","",Commercial_Id)</f>
        <v/>
      </c>
      <c r="M53" s="34">
        <f>IF(OR(C53="",F53=""),"",IF(F53&lt;&gt;"Espèces","—",IF(I53&lt;&gt;"","☑ Oui","☐ Non")))</f>
        <v/>
      </c>
      <c r="N53" s="39">
        <f>IF(D53="","",IFERROR(VALUE(MID(D53,LEN(D53)-3,3)),""))</f>
        <v/>
      </c>
      <c r="O53" s="33">
        <f>IF(N53="","",L53&amp;"|"&amp;N53)</f>
        <v/>
      </c>
      <c r="P53" s="33">
        <f>IF(N53="","",IF(L53="À RENSEIGNER","GIC",L53)&amp;"-"&amp;TEXT(N53,"000"))</f>
        <v/>
      </c>
      <c r="Q53" s="33">
        <f>IF(O53="","",IFERROR(INDEX(Cl_nom,MATCH(O53,Cl_cle,0)),"(client introuvable)"))</f>
        <v/>
      </c>
      <c r="R53" s="40">
        <f>IF(O53="","",IFERROR(INDEX(Cl_reste,MATCH(O53,Cl_cle,0)),""))</f>
        <v/>
      </c>
      <c r="S53" s="34">
        <f>IF(C53="","",YEAR(C53-WEEKDAY(C53,2)+4)&amp;"-S"&amp;TEXT(INT((C53-DATE(YEAR(C53-WEEKDAY(C53,2)+4),1,3)+WEEKDAY(DATE(YEAR(C53-WEEKDAY(C53,2)+4),1,3),2)+5)/7),"00"))</f>
        <v/>
      </c>
    </row>
    <row r="54" ht="18" customHeight="1">
      <c r="A54" s="39" t="n">
        <v>49</v>
      </c>
      <c r="B54" s="33">
        <f>IF(C54="","",IF(L54="À RENSEIGNER","GIC",L54)&amp;"-E"&amp;TEXT(A54,"00000"))</f>
        <v/>
      </c>
      <c r="C54" s="32" t="n"/>
      <c r="D54" s="36" t="n"/>
      <c r="E54" s="37" t="n"/>
      <c r="F54" s="36" t="n"/>
      <c r="G54" s="44" t="n"/>
      <c r="H54" s="43" t="n"/>
      <c r="I54" s="32" t="n"/>
      <c r="J54" s="44" t="n"/>
      <c r="K54" s="36" t="n"/>
      <c r="L54" s="33">
        <f>IF(C54="","",Commercial_Id)</f>
        <v/>
      </c>
      <c r="M54" s="34">
        <f>IF(OR(C54="",F54=""),"",IF(F54&lt;&gt;"Espèces","—",IF(I54&lt;&gt;"","☑ Oui","☐ Non")))</f>
        <v/>
      </c>
      <c r="N54" s="39">
        <f>IF(D54="","",IFERROR(VALUE(MID(D54,LEN(D54)-3,3)),""))</f>
        <v/>
      </c>
      <c r="O54" s="33">
        <f>IF(N54="","",L54&amp;"|"&amp;N54)</f>
        <v/>
      </c>
      <c r="P54" s="33">
        <f>IF(N54="","",IF(L54="À RENSEIGNER","GIC",L54)&amp;"-"&amp;TEXT(N54,"000"))</f>
        <v/>
      </c>
      <c r="Q54" s="33">
        <f>IF(O54="","",IFERROR(INDEX(Cl_nom,MATCH(O54,Cl_cle,0)),"(client introuvable)"))</f>
        <v/>
      </c>
      <c r="R54" s="40">
        <f>IF(O54="","",IFERROR(INDEX(Cl_reste,MATCH(O54,Cl_cle,0)),""))</f>
        <v/>
      </c>
      <c r="S54" s="34">
        <f>IF(C54="","",YEAR(C54-WEEKDAY(C54,2)+4)&amp;"-S"&amp;TEXT(INT((C54-DATE(YEAR(C54-WEEKDAY(C54,2)+4),1,3)+WEEKDAY(DATE(YEAR(C54-WEEKDAY(C54,2)+4),1,3),2)+5)/7),"00"))</f>
        <v/>
      </c>
    </row>
    <row r="55" ht="18" customHeight="1">
      <c r="A55" s="39" t="n">
        <v>50</v>
      </c>
      <c r="B55" s="33">
        <f>IF(C55="","",IF(L55="À RENSEIGNER","GIC",L55)&amp;"-E"&amp;TEXT(A55,"00000"))</f>
        <v/>
      </c>
      <c r="C55" s="32" t="n"/>
      <c r="D55" s="36" t="n"/>
      <c r="E55" s="37" t="n"/>
      <c r="F55" s="36" t="n"/>
      <c r="G55" s="44" t="n"/>
      <c r="H55" s="43" t="n"/>
      <c r="I55" s="32" t="n"/>
      <c r="J55" s="44" t="n"/>
      <c r="K55" s="36" t="n"/>
      <c r="L55" s="33">
        <f>IF(C55="","",Commercial_Id)</f>
        <v/>
      </c>
      <c r="M55" s="34">
        <f>IF(OR(C55="",F55=""),"",IF(F55&lt;&gt;"Espèces","—",IF(I55&lt;&gt;"","☑ Oui","☐ Non")))</f>
        <v/>
      </c>
      <c r="N55" s="39">
        <f>IF(D55="","",IFERROR(VALUE(MID(D55,LEN(D55)-3,3)),""))</f>
        <v/>
      </c>
      <c r="O55" s="33">
        <f>IF(N55="","",L55&amp;"|"&amp;N55)</f>
        <v/>
      </c>
      <c r="P55" s="33">
        <f>IF(N55="","",IF(L55="À RENSEIGNER","GIC",L55)&amp;"-"&amp;TEXT(N55,"000"))</f>
        <v/>
      </c>
      <c r="Q55" s="33">
        <f>IF(O55="","",IFERROR(INDEX(Cl_nom,MATCH(O55,Cl_cle,0)),"(client introuvable)"))</f>
        <v/>
      </c>
      <c r="R55" s="40">
        <f>IF(O55="","",IFERROR(INDEX(Cl_reste,MATCH(O55,Cl_cle,0)),""))</f>
        <v/>
      </c>
      <c r="S55" s="34">
        <f>IF(C55="","",YEAR(C55-WEEKDAY(C55,2)+4)&amp;"-S"&amp;TEXT(INT((C55-DATE(YEAR(C55-WEEKDAY(C55,2)+4),1,3)+WEEKDAY(DATE(YEAR(C55-WEEKDAY(C55,2)+4),1,3),2)+5)/7),"00"))</f>
        <v/>
      </c>
    </row>
    <row r="56" ht="18" customHeight="1">
      <c r="A56" s="39" t="n">
        <v>51</v>
      </c>
      <c r="B56" s="33">
        <f>IF(C56="","",IF(L56="À RENSEIGNER","GIC",L56)&amp;"-E"&amp;TEXT(A56,"00000"))</f>
        <v/>
      </c>
      <c r="C56" s="32" t="n"/>
      <c r="D56" s="36" t="n"/>
      <c r="E56" s="37" t="n"/>
      <c r="F56" s="36" t="n"/>
      <c r="G56" s="44" t="n"/>
      <c r="H56" s="43" t="n"/>
      <c r="I56" s="32" t="n"/>
      <c r="J56" s="44" t="n"/>
      <c r="K56" s="36" t="n"/>
      <c r="L56" s="33">
        <f>IF(C56="","",Commercial_Id)</f>
        <v/>
      </c>
      <c r="M56" s="34">
        <f>IF(OR(C56="",F56=""),"",IF(F56&lt;&gt;"Espèces","—",IF(I56&lt;&gt;"","☑ Oui","☐ Non")))</f>
        <v/>
      </c>
      <c r="N56" s="39">
        <f>IF(D56="","",IFERROR(VALUE(MID(D56,LEN(D56)-3,3)),""))</f>
        <v/>
      </c>
      <c r="O56" s="33">
        <f>IF(N56="","",L56&amp;"|"&amp;N56)</f>
        <v/>
      </c>
      <c r="P56" s="33">
        <f>IF(N56="","",IF(L56="À RENSEIGNER","GIC",L56)&amp;"-"&amp;TEXT(N56,"000"))</f>
        <v/>
      </c>
      <c r="Q56" s="33">
        <f>IF(O56="","",IFERROR(INDEX(Cl_nom,MATCH(O56,Cl_cle,0)),"(client introuvable)"))</f>
        <v/>
      </c>
      <c r="R56" s="40">
        <f>IF(O56="","",IFERROR(INDEX(Cl_reste,MATCH(O56,Cl_cle,0)),""))</f>
        <v/>
      </c>
      <c r="S56" s="34">
        <f>IF(C56="","",YEAR(C56-WEEKDAY(C56,2)+4)&amp;"-S"&amp;TEXT(INT((C56-DATE(YEAR(C56-WEEKDAY(C56,2)+4),1,3)+WEEKDAY(DATE(YEAR(C56-WEEKDAY(C56,2)+4),1,3),2)+5)/7),"00"))</f>
        <v/>
      </c>
    </row>
    <row r="57" ht="18" customHeight="1">
      <c r="A57" s="39" t="n">
        <v>52</v>
      </c>
      <c r="B57" s="33">
        <f>IF(C57="","",IF(L57="À RENSEIGNER","GIC",L57)&amp;"-E"&amp;TEXT(A57,"00000"))</f>
        <v/>
      </c>
      <c r="C57" s="32" t="n"/>
      <c r="D57" s="36" t="n"/>
      <c r="E57" s="37" t="n"/>
      <c r="F57" s="36" t="n"/>
      <c r="G57" s="44" t="n"/>
      <c r="H57" s="43" t="n"/>
      <c r="I57" s="32" t="n"/>
      <c r="J57" s="44" t="n"/>
      <c r="K57" s="36" t="n"/>
      <c r="L57" s="33">
        <f>IF(C57="","",Commercial_Id)</f>
        <v/>
      </c>
      <c r="M57" s="34">
        <f>IF(OR(C57="",F57=""),"",IF(F57&lt;&gt;"Espèces","—",IF(I57&lt;&gt;"","☑ Oui","☐ Non")))</f>
        <v/>
      </c>
      <c r="N57" s="39">
        <f>IF(D57="","",IFERROR(VALUE(MID(D57,LEN(D57)-3,3)),""))</f>
        <v/>
      </c>
      <c r="O57" s="33">
        <f>IF(N57="","",L57&amp;"|"&amp;N57)</f>
        <v/>
      </c>
      <c r="P57" s="33">
        <f>IF(N57="","",IF(L57="À RENSEIGNER","GIC",L57)&amp;"-"&amp;TEXT(N57,"000"))</f>
        <v/>
      </c>
      <c r="Q57" s="33">
        <f>IF(O57="","",IFERROR(INDEX(Cl_nom,MATCH(O57,Cl_cle,0)),"(client introuvable)"))</f>
        <v/>
      </c>
      <c r="R57" s="40">
        <f>IF(O57="","",IFERROR(INDEX(Cl_reste,MATCH(O57,Cl_cle,0)),""))</f>
        <v/>
      </c>
      <c r="S57" s="34">
        <f>IF(C57="","",YEAR(C57-WEEKDAY(C57,2)+4)&amp;"-S"&amp;TEXT(INT((C57-DATE(YEAR(C57-WEEKDAY(C57,2)+4),1,3)+WEEKDAY(DATE(YEAR(C57-WEEKDAY(C57,2)+4),1,3),2)+5)/7),"00"))</f>
        <v/>
      </c>
    </row>
    <row r="58" ht="18" customHeight="1">
      <c r="A58" s="39" t="n">
        <v>53</v>
      </c>
      <c r="B58" s="33">
        <f>IF(C58="","",IF(L58="À RENSEIGNER","GIC",L58)&amp;"-E"&amp;TEXT(A58,"00000"))</f>
        <v/>
      </c>
      <c r="C58" s="32" t="n"/>
      <c r="D58" s="36" t="n"/>
      <c r="E58" s="37" t="n"/>
      <c r="F58" s="36" t="n"/>
      <c r="G58" s="44" t="n"/>
      <c r="H58" s="43" t="n"/>
      <c r="I58" s="32" t="n"/>
      <c r="J58" s="44" t="n"/>
      <c r="K58" s="36" t="n"/>
      <c r="L58" s="33">
        <f>IF(C58="","",Commercial_Id)</f>
        <v/>
      </c>
      <c r="M58" s="34">
        <f>IF(OR(C58="",F58=""),"",IF(F58&lt;&gt;"Espèces","—",IF(I58&lt;&gt;"","☑ Oui","☐ Non")))</f>
        <v/>
      </c>
      <c r="N58" s="39">
        <f>IF(D58="","",IFERROR(VALUE(MID(D58,LEN(D58)-3,3)),""))</f>
        <v/>
      </c>
      <c r="O58" s="33">
        <f>IF(N58="","",L58&amp;"|"&amp;N58)</f>
        <v/>
      </c>
      <c r="P58" s="33">
        <f>IF(N58="","",IF(L58="À RENSEIGNER","GIC",L58)&amp;"-"&amp;TEXT(N58,"000"))</f>
        <v/>
      </c>
      <c r="Q58" s="33">
        <f>IF(O58="","",IFERROR(INDEX(Cl_nom,MATCH(O58,Cl_cle,0)),"(client introuvable)"))</f>
        <v/>
      </c>
      <c r="R58" s="40">
        <f>IF(O58="","",IFERROR(INDEX(Cl_reste,MATCH(O58,Cl_cle,0)),""))</f>
        <v/>
      </c>
      <c r="S58" s="34">
        <f>IF(C58="","",YEAR(C58-WEEKDAY(C58,2)+4)&amp;"-S"&amp;TEXT(INT((C58-DATE(YEAR(C58-WEEKDAY(C58,2)+4),1,3)+WEEKDAY(DATE(YEAR(C58-WEEKDAY(C58,2)+4),1,3),2)+5)/7),"00"))</f>
        <v/>
      </c>
    </row>
    <row r="59" ht="18" customHeight="1">
      <c r="A59" s="39" t="n">
        <v>54</v>
      </c>
      <c r="B59" s="33">
        <f>IF(C59="","",IF(L59="À RENSEIGNER","GIC",L59)&amp;"-E"&amp;TEXT(A59,"00000"))</f>
        <v/>
      </c>
      <c r="C59" s="32" t="n"/>
      <c r="D59" s="36" t="n"/>
      <c r="E59" s="37" t="n"/>
      <c r="F59" s="36" t="n"/>
      <c r="G59" s="44" t="n"/>
      <c r="H59" s="43" t="n"/>
      <c r="I59" s="32" t="n"/>
      <c r="J59" s="44" t="n"/>
      <c r="K59" s="36" t="n"/>
      <c r="L59" s="33">
        <f>IF(C59="","",Commercial_Id)</f>
        <v/>
      </c>
      <c r="M59" s="34">
        <f>IF(OR(C59="",F59=""),"",IF(F59&lt;&gt;"Espèces","—",IF(I59&lt;&gt;"","☑ Oui","☐ Non")))</f>
        <v/>
      </c>
      <c r="N59" s="39">
        <f>IF(D59="","",IFERROR(VALUE(MID(D59,LEN(D59)-3,3)),""))</f>
        <v/>
      </c>
      <c r="O59" s="33">
        <f>IF(N59="","",L59&amp;"|"&amp;N59)</f>
        <v/>
      </c>
      <c r="P59" s="33">
        <f>IF(N59="","",IF(L59="À RENSEIGNER","GIC",L59)&amp;"-"&amp;TEXT(N59,"000"))</f>
        <v/>
      </c>
      <c r="Q59" s="33">
        <f>IF(O59="","",IFERROR(INDEX(Cl_nom,MATCH(O59,Cl_cle,0)),"(client introuvable)"))</f>
        <v/>
      </c>
      <c r="R59" s="40">
        <f>IF(O59="","",IFERROR(INDEX(Cl_reste,MATCH(O59,Cl_cle,0)),""))</f>
        <v/>
      </c>
      <c r="S59" s="34">
        <f>IF(C59="","",YEAR(C59-WEEKDAY(C59,2)+4)&amp;"-S"&amp;TEXT(INT((C59-DATE(YEAR(C59-WEEKDAY(C59,2)+4),1,3)+WEEKDAY(DATE(YEAR(C59-WEEKDAY(C59,2)+4),1,3),2)+5)/7),"00"))</f>
        <v/>
      </c>
    </row>
    <row r="60" ht="18" customHeight="1">
      <c r="A60" s="39" t="n">
        <v>55</v>
      </c>
      <c r="B60" s="33">
        <f>IF(C60="","",IF(L60="À RENSEIGNER","GIC",L60)&amp;"-E"&amp;TEXT(A60,"00000"))</f>
        <v/>
      </c>
      <c r="C60" s="32" t="n"/>
      <c r="D60" s="36" t="n"/>
      <c r="E60" s="37" t="n"/>
      <c r="F60" s="36" t="n"/>
      <c r="G60" s="44" t="n"/>
      <c r="H60" s="43" t="n"/>
      <c r="I60" s="32" t="n"/>
      <c r="J60" s="44" t="n"/>
      <c r="K60" s="36" t="n"/>
      <c r="L60" s="33">
        <f>IF(C60="","",Commercial_Id)</f>
        <v/>
      </c>
      <c r="M60" s="34">
        <f>IF(OR(C60="",F60=""),"",IF(F60&lt;&gt;"Espèces","—",IF(I60&lt;&gt;"","☑ Oui","☐ Non")))</f>
        <v/>
      </c>
      <c r="N60" s="39">
        <f>IF(D60="","",IFERROR(VALUE(MID(D60,LEN(D60)-3,3)),""))</f>
        <v/>
      </c>
      <c r="O60" s="33">
        <f>IF(N60="","",L60&amp;"|"&amp;N60)</f>
        <v/>
      </c>
      <c r="P60" s="33">
        <f>IF(N60="","",IF(L60="À RENSEIGNER","GIC",L60)&amp;"-"&amp;TEXT(N60,"000"))</f>
        <v/>
      </c>
      <c r="Q60" s="33">
        <f>IF(O60="","",IFERROR(INDEX(Cl_nom,MATCH(O60,Cl_cle,0)),"(client introuvable)"))</f>
        <v/>
      </c>
      <c r="R60" s="40">
        <f>IF(O60="","",IFERROR(INDEX(Cl_reste,MATCH(O60,Cl_cle,0)),""))</f>
        <v/>
      </c>
      <c r="S60" s="34">
        <f>IF(C60="","",YEAR(C60-WEEKDAY(C60,2)+4)&amp;"-S"&amp;TEXT(INT((C60-DATE(YEAR(C60-WEEKDAY(C60,2)+4),1,3)+WEEKDAY(DATE(YEAR(C60-WEEKDAY(C60,2)+4),1,3),2)+5)/7),"00"))</f>
        <v/>
      </c>
    </row>
    <row r="61" ht="18" customHeight="1">
      <c r="A61" s="39" t="n">
        <v>56</v>
      </c>
      <c r="B61" s="33">
        <f>IF(C61="","",IF(L61="À RENSEIGNER","GIC",L61)&amp;"-E"&amp;TEXT(A61,"00000"))</f>
        <v/>
      </c>
      <c r="C61" s="32" t="n"/>
      <c r="D61" s="36" t="n"/>
      <c r="E61" s="37" t="n"/>
      <c r="F61" s="36" t="n"/>
      <c r="G61" s="44" t="n"/>
      <c r="H61" s="43" t="n"/>
      <c r="I61" s="32" t="n"/>
      <c r="J61" s="44" t="n"/>
      <c r="K61" s="36" t="n"/>
      <c r="L61" s="33">
        <f>IF(C61="","",Commercial_Id)</f>
        <v/>
      </c>
      <c r="M61" s="34">
        <f>IF(OR(C61="",F61=""),"",IF(F61&lt;&gt;"Espèces","—",IF(I61&lt;&gt;"","☑ Oui","☐ Non")))</f>
        <v/>
      </c>
      <c r="N61" s="39">
        <f>IF(D61="","",IFERROR(VALUE(MID(D61,LEN(D61)-3,3)),""))</f>
        <v/>
      </c>
      <c r="O61" s="33">
        <f>IF(N61="","",L61&amp;"|"&amp;N61)</f>
        <v/>
      </c>
      <c r="P61" s="33">
        <f>IF(N61="","",IF(L61="À RENSEIGNER","GIC",L61)&amp;"-"&amp;TEXT(N61,"000"))</f>
        <v/>
      </c>
      <c r="Q61" s="33">
        <f>IF(O61="","",IFERROR(INDEX(Cl_nom,MATCH(O61,Cl_cle,0)),"(client introuvable)"))</f>
        <v/>
      </c>
      <c r="R61" s="40">
        <f>IF(O61="","",IFERROR(INDEX(Cl_reste,MATCH(O61,Cl_cle,0)),""))</f>
        <v/>
      </c>
      <c r="S61" s="34">
        <f>IF(C61="","",YEAR(C61-WEEKDAY(C61,2)+4)&amp;"-S"&amp;TEXT(INT((C61-DATE(YEAR(C61-WEEKDAY(C61,2)+4),1,3)+WEEKDAY(DATE(YEAR(C61-WEEKDAY(C61,2)+4),1,3),2)+5)/7),"00"))</f>
        <v/>
      </c>
    </row>
    <row r="62" ht="18" customHeight="1">
      <c r="A62" s="39" t="n">
        <v>57</v>
      </c>
      <c r="B62" s="33">
        <f>IF(C62="","",IF(L62="À RENSEIGNER","GIC",L62)&amp;"-E"&amp;TEXT(A62,"00000"))</f>
        <v/>
      </c>
      <c r="C62" s="32" t="n"/>
      <c r="D62" s="36" t="n"/>
      <c r="E62" s="37" t="n"/>
      <c r="F62" s="36" t="n"/>
      <c r="G62" s="44" t="n"/>
      <c r="H62" s="43" t="n"/>
      <c r="I62" s="32" t="n"/>
      <c r="J62" s="44" t="n"/>
      <c r="K62" s="36" t="n"/>
      <c r="L62" s="33">
        <f>IF(C62="","",Commercial_Id)</f>
        <v/>
      </c>
      <c r="M62" s="34">
        <f>IF(OR(C62="",F62=""),"",IF(F62&lt;&gt;"Espèces","—",IF(I62&lt;&gt;"","☑ Oui","☐ Non")))</f>
        <v/>
      </c>
      <c r="N62" s="39">
        <f>IF(D62="","",IFERROR(VALUE(MID(D62,LEN(D62)-3,3)),""))</f>
        <v/>
      </c>
      <c r="O62" s="33">
        <f>IF(N62="","",L62&amp;"|"&amp;N62)</f>
        <v/>
      </c>
      <c r="P62" s="33">
        <f>IF(N62="","",IF(L62="À RENSEIGNER","GIC",L62)&amp;"-"&amp;TEXT(N62,"000"))</f>
        <v/>
      </c>
      <c r="Q62" s="33">
        <f>IF(O62="","",IFERROR(INDEX(Cl_nom,MATCH(O62,Cl_cle,0)),"(client introuvable)"))</f>
        <v/>
      </c>
      <c r="R62" s="40">
        <f>IF(O62="","",IFERROR(INDEX(Cl_reste,MATCH(O62,Cl_cle,0)),""))</f>
        <v/>
      </c>
      <c r="S62" s="34">
        <f>IF(C62="","",YEAR(C62-WEEKDAY(C62,2)+4)&amp;"-S"&amp;TEXT(INT((C62-DATE(YEAR(C62-WEEKDAY(C62,2)+4),1,3)+WEEKDAY(DATE(YEAR(C62-WEEKDAY(C62,2)+4),1,3),2)+5)/7),"00"))</f>
        <v/>
      </c>
    </row>
    <row r="63" ht="18" customHeight="1">
      <c r="A63" s="39" t="n">
        <v>58</v>
      </c>
      <c r="B63" s="33">
        <f>IF(C63="","",IF(L63="À RENSEIGNER","GIC",L63)&amp;"-E"&amp;TEXT(A63,"00000"))</f>
        <v/>
      </c>
      <c r="C63" s="32" t="n"/>
      <c r="D63" s="36" t="n"/>
      <c r="E63" s="37" t="n"/>
      <c r="F63" s="36" t="n"/>
      <c r="G63" s="44" t="n"/>
      <c r="H63" s="43" t="n"/>
      <c r="I63" s="32" t="n"/>
      <c r="J63" s="44" t="n"/>
      <c r="K63" s="36" t="n"/>
      <c r="L63" s="33">
        <f>IF(C63="","",Commercial_Id)</f>
        <v/>
      </c>
      <c r="M63" s="34">
        <f>IF(OR(C63="",F63=""),"",IF(F63&lt;&gt;"Espèces","—",IF(I63&lt;&gt;"","☑ Oui","☐ Non")))</f>
        <v/>
      </c>
      <c r="N63" s="39">
        <f>IF(D63="","",IFERROR(VALUE(MID(D63,LEN(D63)-3,3)),""))</f>
        <v/>
      </c>
      <c r="O63" s="33">
        <f>IF(N63="","",L63&amp;"|"&amp;N63)</f>
        <v/>
      </c>
      <c r="P63" s="33">
        <f>IF(N63="","",IF(L63="À RENSEIGNER","GIC",L63)&amp;"-"&amp;TEXT(N63,"000"))</f>
        <v/>
      </c>
      <c r="Q63" s="33">
        <f>IF(O63="","",IFERROR(INDEX(Cl_nom,MATCH(O63,Cl_cle,0)),"(client introuvable)"))</f>
        <v/>
      </c>
      <c r="R63" s="40">
        <f>IF(O63="","",IFERROR(INDEX(Cl_reste,MATCH(O63,Cl_cle,0)),""))</f>
        <v/>
      </c>
      <c r="S63" s="34">
        <f>IF(C63="","",YEAR(C63-WEEKDAY(C63,2)+4)&amp;"-S"&amp;TEXT(INT((C63-DATE(YEAR(C63-WEEKDAY(C63,2)+4),1,3)+WEEKDAY(DATE(YEAR(C63-WEEKDAY(C63,2)+4),1,3),2)+5)/7),"00"))</f>
        <v/>
      </c>
    </row>
    <row r="64" ht="18" customHeight="1">
      <c r="A64" s="39" t="n">
        <v>59</v>
      </c>
      <c r="B64" s="33">
        <f>IF(C64="","",IF(L64="À RENSEIGNER","GIC",L64)&amp;"-E"&amp;TEXT(A64,"00000"))</f>
        <v/>
      </c>
      <c r="C64" s="32" t="n"/>
      <c r="D64" s="36" t="n"/>
      <c r="E64" s="37" t="n"/>
      <c r="F64" s="36" t="n"/>
      <c r="G64" s="44" t="n"/>
      <c r="H64" s="43" t="n"/>
      <c r="I64" s="32" t="n"/>
      <c r="J64" s="44" t="n"/>
      <c r="K64" s="36" t="n"/>
      <c r="L64" s="33">
        <f>IF(C64="","",Commercial_Id)</f>
        <v/>
      </c>
      <c r="M64" s="34">
        <f>IF(OR(C64="",F64=""),"",IF(F64&lt;&gt;"Espèces","—",IF(I64&lt;&gt;"","☑ Oui","☐ Non")))</f>
        <v/>
      </c>
      <c r="N64" s="39">
        <f>IF(D64="","",IFERROR(VALUE(MID(D64,LEN(D64)-3,3)),""))</f>
        <v/>
      </c>
      <c r="O64" s="33">
        <f>IF(N64="","",L64&amp;"|"&amp;N64)</f>
        <v/>
      </c>
      <c r="P64" s="33">
        <f>IF(N64="","",IF(L64="À RENSEIGNER","GIC",L64)&amp;"-"&amp;TEXT(N64,"000"))</f>
        <v/>
      </c>
      <c r="Q64" s="33">
        <f>IF(O64="","",IFERROR(INDEX(Cl_nom,MATCH(O64,Cl_cle,0)),"(client introuvable)"))</f>
        <v/>
      </c>
      <c r="R64" s="40">
        <f>IF(O64="","",IFERROR(INDEX(Cl_reste,MATCH(O64,Cl_cle,0)),""))</f>
        <v/>
      </c>
      <c r="S64" s="34">
        <f>IF(C64="","",YEAR(C64-WEEKDAY(C64,2)+4)&amp;"-S"&amp;TEXT(INT((C64-DATE(YEAR(C64-WEEKDAY(C64,2)+4),1,3)+WEEKDAY(DATE(YEAR(C64-WEEKDAY(C64,2)+4),1,3),2)+5)/7),"00"))</f>
        <v/>
      </c>
    </row>
    <row r="65" ht="18" customHeight="1">
      <c r="A65" s="39" t="n">
        <v>60</v>
      </c>
      <c r="B65" s="33">
        <f>IF(C65="","",IF(L65="À RENSEIGNER","GIC",L65)&amp;"-E"&amp;TEXT(A65,"00000"))</f>
        <v/>
      </c>
      <c r="C65" s="32" t="n"/>
      <c r="D65" s="36" t="n"/>
      <c r="E65" s="37" t="n"/>
      <c r="F65" s="36" t="n"/>
      <c r="G65" s="44" t="n"/>
      <c r="H65" s="43" t="n"/>
      <c r="I65" s="32" t="n"/>
      <c r="J65" s="44" t="n"/>
      <c r="K65" s="36" t="n"/>
      <c r="L65" s="33">
        <f>IF(C65="","",Commercial_Id)</f>
        <v/>
      </c>
      <c r="M65" s="34">
        <f>IF(OR(C65="",F65=""),"",IF(F65&lt;&gt;"Espèces","—",IF(I65&lt;&gt;"","☑ Oui","☐ Non")))</f>
        <v/>
      </c>
      <c r="N65" s="39">
        <f>IF(D65="","",IFERROR(VALUE(MID(D65,LEN(D65)-3,3)),""))</f>
        <v/>
      </c>
      <c r="O65" s="33">
        <f>IF(N65="","",L65&amp;"|"&amp;N65)</f>
        <v/>
      </c>
      <c r="P65" s="33">
        <f>IF(N65="","",IF(L65="À RENSEIGNER","GIC",L65)&amp;"-"&amp;TEXT(N65,"000"))</f>
        <v/>
      </c>
      <c r="Q65" s="33">
        <f>IF(O65="","",IFERROR(INDEX(Cl_nom,MATCH(O65,Cl_cle,0)),"(client introuvable)"))</f>
        <v/>
      </c>
      <c r="R65" s="40">
        <f>IF(O65="","",IFERROR(INDEX(Cl_reste,MATCH(O65,Cl_cle,0)),""))</f>
        <v/>
      </c>
      <c r="S65" s="34">
        <f>IF(C65="","",YEAR(C65-WEEKDAY(C65,2)+4)&amp;"-S"&amp;TEXT(INT((C65-DATE(YEAR(C65-WEEKDAY(C65,2)+4),1,3)+WEEKDAY(DATE(YEAR(C65-WEEKDAY(C65,2)+4),1,3),2)+5)/7),"00"))</f>
        <v/>
      </c>
    </row>
    <row r="66" ht="18" customHeight="1">
      <c r="A66" s="39" t="n">
        <v>61</v>
      </c>
      <c r="B66" s="33">
        <f>IF(C66="","",IF(L66="À RENSEIGNER","GIC",L66)&amp;"-E"&amp;TEXT(A66,"00000"))</f>
        <v/>
      </c>
      <c r="C66" s="32" t="n"/>
      <c r="D66" s="36" t="n"/>
      <c r="E66" s="37" t="n"/>
      <c r="F66" s="36" t="n"/>
      <c r="G66" s="44" t="n"/>
      <c r="H66" s="43" t="n"/>
      <c r="I66" s="32" t="n"/>
      <c r="J66" s="44" t="n"/>
      <c r="K66" s="36" t="n"/>
      <c r="L66" s="33">
        <f>IF(C66="","",Commercial_Id)</f>
        <v/>
      </c>
      <c r="M66" s="34">
        <f>IF(OR(C66="",F66=""),"",IF(F66&lt;&gt;"Espèces","—",IF(I66&lt;&gt;"","☑ Oui","☐ Non")))</f>
        <v/>
      </c>
      <c r="N66" s="39">
        <f>IF(D66="","",IFERROR(VALUE(MID(D66,LEN(D66)-3,3)),""))</f>
        <v/>
      </c>
      <c r="O66" s="33">
        <f>IF(N66="","",L66&amp;"|"&amp;N66)</f>
        <v/>
      </c>
      <c r="P66" s="33">
        <f>IF(N66="","",IF(L66="À RENSEIGNER","GIC",L66)&amp;"-"&amp;TEXT(N66,"000"))</f>
        <v/>
      </c>
      <c r="Q66" s="33">
        <f>IF(O66="","",IFERROR(INDEX(Cl_nom,MATCH(O66,Cl_cle,0)),"(client introuvable)"))</f>
        <v/>
      </c>
      <c r="R66" s="40">
        <f>IF(O66="","",IFERROR(INDEX(Cl_reste,MATCH(O66,Cl_cle,0)),""))</f>
        <v/>
      </c>
      <c r="S66" s="34">
        <f>IF(C66="","",YEAR(C66-WEEKDAY(C66,2)+4)&amp;"-S"&amp;TEXT(INT((C66-DATE(YEAR(C66-WEEKDAY(C66,2)+4),1,3)+WEEKDAY(DATE(YEAR(C66-WEEKDAY(C66,2)+4),1,3),2)+5)/7),"00"))</f>
        <v/>
      </c>
    </row>
    <row r="67" ht="18" customHeight="1">
      <c r="A67" s="39" t="n">
        <v>62</v>
      </c>
      <c r="B67" s="33">
        <f>IF(C67="","",IF(L67="À RENSEIGNER","GIC",L67)&amp;"-E"&amp;TEXT(A67,"00000"))</f>
        <v/>
      </c>
      <c r="C67" s="32" t="n"/>
      <c r="D67" s="36" t="n"/>
      <c r="E67" s="37" t="n"/>
      <c r="F67" s="36" t="n"/>
      <c r="G67" s="44" t="n"/>
      <c r="H67" s="43" t="n"/>
      <c r="I67" s="32" t="n"/>
      <c r="J67" s="44" t="n"/>
      <c r="K67" s="36" t="n"/>
      <c r="L67" s="33">
        <f>IF(C67="","",Commercial_Id)</f>
        <v/>
      </c>
      <c r="M67" s="34">
        <f>IF(OR(C67="",F67=""),"",IF(F67&lt;&gt;"Espèces","—",IF(I67&lt;&gt;"","☑ Oui","☐ Non")))</f>
        <v/>
      </c>
      <c r="N67" s="39">
        <f>IF(D67="","",IFERROR(VALUE(MID(D67,LEN(D67)-3,3)),""))</f>
        <v/>
      </c>
      <c r="O67" s="33">
        <f>IF(N67="","",L67&amp;"|"&amp;N67)</f>
        <v/>
      </c>
      <c r="P67" s="33">
        <f>IF(N67="","",IF(L67="À RENSEIGNER","GIC",L67)&amp;"-"&amp;TEXT(N67,"000"))</f>
        <v/>
      </c>
      <c r="Q67" s="33">
        <f>IF(O67="","",IFERROR(INDEX(Cl_nom,MATCH(O67,Cl_cle,0)),"(client introuvable)"))</f>
        <v/>
      </c>
      <c r="R67" s="40">
        <f>IF(O67="","",IFERROR(INDEX(Cl_reste,MATCH(O67,Cl_cle,0)),""))</f>
        <v/>
      </c>
      <c r="S67" s="34">
        <f>IF(C67="","",YEAR(C67-WEEKDAY(C67,2)+4)&amp;"-S"&amp;TEXT(INT((C67-DATE(YEAR(C67-WEEKDAY(C67,2)+4),1,3)+WEEKDAY(DATE(YEAR(C67-WEEKDAY(C67,2)+4),1,3),2)+5)/7),"00"))</f>
        <v/>
      </c>
    </row>
    <row r="68" ht="18" customHeight="1">
      <c r="A68" s="39" t="n">
        <v>63</v>
      </c>
      <c r="B68" s="33">
        <f>IF(C68="","",IF(L68="À RENSEIGNER","GIC",L68)&amp;"-E"&amp;TEXT(A68,"00000"))</f>
        <v/>
      </c>
      <c r="C68" s="32" t="n"/>
      <c r="D68" s="36" t="n"/>
      <c r="E68" s="37" t="n"/>
      <c r="F68" s="36" t="n"/>
      <c r="G68" s="44" t="n"/>
      <c r="H68" s="43" t="n"/>
      <c r="I68" s="32" t="n"/>
      <c r="J68" s="44" t="n"/>
      <c r="K68" s="36" t="n"/>
      <c r="L68" s="33">
        <f>IF(C68="","",Commercial_Id)</f>
        <v/>
      </c>
      <c r="M68" s="34">
        <f>IF(OR(C68="",F68=""),"",IF(F68&lt;&gt;"Espèces","—",IF(I68&lt;&gt;"","☑ Oui","☐ Non")))</f>
        <v/>
      </c>
      <c r="N68" s="39">
        <f>IF(D68="","",IFERROR(VALUE(MID(D68,LEN(D68)-3,3)),""))</f>
        <v/>
      </c>
      <c r="O68" s="33">
        <f>IF(N68="","",L68&amp;"|"&amp;N68)</f>
        <v/>
      </c>
      <c r="P68" s="33">
        <f>IF(N68="","",IF(L68="À RENSEIGNER","GIC",L68)&amp;"-"&amp;TEXT(N68,"000"))</f>
        <v/>
      </c>
      <c r="Q68" s="33">
        <f>IF(O68="","",IFERROR(INDEX(Cl_nom,MATCH(O68,Cl_cle,0)),"(client introuvable)"))</f>
        <v/>
      </c>
      <c r="R68" s="40">
        <f>IF(O68="","",IFERROR(INDEX(Cl_reste,MATCH(O68,Cl_cle,0)),""))</f>
        <v/>
      </c>
      <c r="S68" s="34">
        <f>IF(C68="","",YEAR(C68-WEEKDAY(C68,2)+4)&amp;"-S"&amp;TEXT(INT((C68-DATE(YEAR(C68-WEEKDAY(C68,2)+4),1,3)+WEEKDAY(DATE(YEAR(C68-WEEKDAY(C68,2)+4),1,3),2)+5)/7),"00"))</f>
        <v/>
      </c>
    </row>
    <row r="69" ht="18" customHeight="1">
      <c r="A69" s="39" t="n">
        <v>64</v>
      </c>
      <c r="B69" s="33">
        <f>IF(C69="","",IF(L69="À RENSEIGNER","GIC",L69)&amp;"-E"&amp;TEXT(A69,"00000"))</f>
        <v/>
      </c>
      <c r="C69" s="32" t="n"/>
      <c r="D69" s="36" t="n"/>
      <c r="E69" s="37" t="n"/>
      <c r="F69" s="36" t="n"/>
      <c r="G69" s="44" t="n"/>
      <c r="H69" s="43" t="n"/>
      <c r="I69" s="32" t="n"/>
      <c r="J69" s="44" t="n"/>
      <c r="K69" s="36" t="n"/>
      <c r="L69" s="33">
        <f>IF(C69="","",Commercial_Id)</f>
        <v/>
      </c>
      <c r="M69" s="34">
        <f>IF(OR(C69="",F69=""),"",IF(F69&lt;&gt;"Espèces","—",IF(I69&lt;&gt;"","☑ Oui","☐ Non")))</f>
        <v/>
      </c>
      <c r="N69" s="39">
        <f>IF(D69="","",IFERROR(VALUE(MID(D69,LEN(D69)-3,3)),""))</f>
        <v/>
      </c>
      <c r="O69" s="33">
        <f>IF(N69="","",L69&amp;"|"&amp;N69)</f>
        <v/>
      </c>
      <c r="P69" s="33">
        <f>IF(N69="","",IF(L69="À RENSEIGNER","GIC",L69)&amp;"-"&amp;TEXT(N69,"000"))</f>
        <v/>
      </c>
      <c r="Q69" s="33">
        <f>IF(O69="","",IFERROR(INDEX(Cl_nom,MATCH(O69,Cl_cle,0)),"(client introuvable)"))</f>
        <v/>
      </c>
      <c r="R69" s="40">
        <f>IF(O69="","",IFERROR(INDEX(Cl_reste,MATCH(O69,Cl_cle,0)),""))</f>
        <v/>
      </c>
      <c r="S69" s="34">
        <f>IF(C69="","",YEAR(C69-WEEKDAY(C69,2)+4)&amp;"-S"&amp;TEXT(INT((C69-DATE(YEAR(C69-WEEKDAY(C69,2)+4),1,3)+WEEKDAY(DATE(YEAR(C69-WEEKDAY(C69,2)+4),1,3),2)+5)/7),"00"))</f>
        <v/>
      </c>
    </row>
    <row r="70" ht="18" customHeight="1">
      <c r="A70" s="39" t="n">
        <v>65</v>
      </c>
      <c r="B70" s="33">
        <f>IF(C70="","",IF(L70="À RENSEIGNER","GIC",L70)&amp;"-E"&amp;TEXT(A70,"00000"))</f>
        <v/>
      </c>
      <c r="C70" s="32" t="n"/>
      <c r="D70" s="36" t="n"/>
      <c r="E70" s="37" t="n"/>
      <c r="F70" s="36" t="n"/>
      <c r="G70" s="44" t="n"/>
      <c r="H70" s="43" t="n"/>
      <c r="I70" s="32" t="n"/>
      <c r="J70" s="44" t="n"/>
      <c r="K70" s="36" t="n"/>
      <c r="L70" s="33">
        <f>IF(C70="","",Commercial_Id)</f>
        <v/>
      </c>
      <c r="M70" s="34">
        <f>IF(OR(C70="",F70=""),"",IF(F70&lt;&gt;"Espèces","—",IF(I70&lt;&gt;"","☑ Oui","☐ Non")))</f>
        <v/>
      </c>
      <c r="N70" s="39">
        <f>IF(D70="","",IFERROR(VALUE(MID(D70,LEN(D70)-3,3)),""))</f>
        <v/>
      </c>
      <c r="O70" s="33">
        <f>IF(N70="","",L70&amp;"|"&amp;N70)</f>
        <v/>
      </c>
      <c r="P70" s="33">
        <f>IF(N70="","",IF(L70="À RENSEIGNER","GIC",L70)&amp;"-"&amp;TEXT(N70,"000"))</f>
        <v/>
      </c>
      <c r="Q70" s="33">
        <f>IF(O70="","",IFERROR(INDEX(Cl_nom,MATCH(O70,Cl_cle,0)),"(client introuvable)"))</f>
        <v/>
      </c>
      <c r="R70" s="40">
        <f>IF(O70="","",IFERROR(INDEX(Cl_reste,MATCH(O70,Cl_cle,0)),""))</f>
        <v/>
      </c>
      <c r="S70" s="34">
        <f>IF(C70="","",YEAR(C70-WEEKDAY(C70,2)+4)&amp;"-S"&amp;TEXT(INT((C70-DATE(YEAR(C70-WEEKDAY(C70,2)+4),1,3)+WEEKDAY(DATE(YEAR(C70-WEEKDAY(C70,2)+4),1,3),2)+5)/7),"00"))</f>
        <v/>
      </c>
    </row>
    <row r="71" ht="18" customHeight="1">
      <c r="A71" s="39" t="n">
        <v>66</v>
      </c>
      <c r="B71" s="33">
        <f>IF(C71="","",IF(L71="À RENSEIGNER","GIC",L71)&amp;"-E"&amp;TEXT(A71,"00000"))</f>
        <v/>
      </c>
      <c r="C71" s="32" t="n"/>
      <c r="D71" s="36" t="n"/>
      <c r="E71" s="37" t="n"/>
      <c r="F71" s="36" t="n"/>
      <c r="G71" s="44" t="n"/>
      <c r="H71" s="43" t="n"/>
      <c r="I71" s="32" t="n"/>
      <c r="J71" s="44" t="n"/>
      <c r="K71" s="36" t="n"/>
      <c r="L71" s="33">
        <f>IF(C71="","",Commercial_Id)</f>
        <v/>
      </c>
      <c r="M71" s="34">
        <f>IF(OR(C71="",F71=""),"",IF(F71&lt;&gt;"Espèces","—",IF(I71&lt;&gt;"","☑ Oui","☐ Non")))</f>
        <v/>
      </c>
      <c r="N71" s="39">
        <f>IF(D71="","",IFERROR(VALUE(MID(D71,LEN(D71)-3,3)),""))</f>
        <v/>
      </c>
      <c r="O71" s="33">
        <f>IF(N71="","",L71&amp;"|"&amp;N71)</f>
        <v/>
      </c>
      <c r="P71" s="33">
        <f>IF(N71="","",IF(L71="À RENSEIGNER","GIC",L71)&amp;"-"&amp;TEXT(N71,"000"))</f>
        <v/>
      </c>
      <c r="Q71" s="33">
        <f>IF(O71="","",IFERROR(INDEX(Cl_nom,MATCH(O71,Cl_cle,0)),"(client introuvable)"))</f>
        <v/>
      </c>
      <c r="R71" s="40">
        <f>IF(O71="","",IFERROR(INDEX(Cl_reste,MATCH(O71,Cl_cle,0)),""))</f>
        <v/>
      </c>
      <c r="S71" s="34">
        <f>IF(C71="","",YEAR(C71-WEEKDAY(C71,2)+4)&amp;"-S"&amp;TEXT(INT((C71-DATE(YEAR(C71-WEEKDAY(C71,2)+4),1,3)+WEEKDAY(DATE(YEAR(C71-WEEKDAY(C71,2)+4),1,3),2)+5)/7),"00"))</f>
        <v/>
      </c>
    </row>
    <row r="72" ht="18" customHeight="1">
      <c r="A72" s="39" t="n">
        <v>67</v>
      </c>
      <c r="B72" s="33">
        <f>IF(C72="","",IF(L72="À RENSEIGNER","GIC",L72)&amp;"-E"&amp;TEXT(A72,"00000"))</f>
        <v/>
      </c>
      <c r="C72" s="32" t="n"/>
      <c r="D72" s="36" t="n"/>
      <c r="E72" s="37" t="n"/>
      <c r="F72" s="36" t="n"/>
      <c r="G72" s="44" t="n"/>
      <c r="H72" s="43" t="n"/>
      <c r="I72" s="32" t="n"/>
      <c r="J72" s="44" t="n"/>
      <c r="K72" s="36" t="n"/>
      <c r="L72" s="33">
        <f>IF(C72="","",Commercial_Id)</f>
        <v/>
      </c>
      <c r="M72" s="34">
        <f>IF(OR(C72="",F72=""),"",IF(F72&lt;&gt;"Espèces","—",IF(I72&lt;&gt;"","☑ Oui","☐ Non")))</f>
        <v/>
      </c>
      <c r="N72" s="39">
        <f>IF(D72="","",IFERROR(VALUE(MID(D72,LEN(D72)-3,3)),""))</f>
        <v/>
      </c>
      <c r="O72" s="33">
        <f>IF(N72="","",L72&amp;"|"&amp;N72)</f>
        <v/>
      </c>
      <c r="P72" s="33">
        <f>IF(N72="","",IF(L72="À RENSEIGNER","GIC",L72)&amp;"-"&amp;TEXT(N72,"000"))</f>
        <v/>
      </c>
      <c r="Q72" s="33">
        <f>IF(O72="","",IFERROR(INDEX(Cl_nom,MATCH(O72,Cl_cle,0)),"(client introuvable)"))</f>
        <v/>
      </c>
      <c r="R72" s="40">
        <f>IF(O72="","",IFERROR(INDEX(Cl_reste,MATCH(O72,Cl_cle,0)),""))</f>
        <v/>
      </c>
      <c r="S72" s="34">
        <f>IF(C72="","",YEAR(C72-WEEKDAY(C72,2)+4)&amp;"-S"&amp;TEXT(INT((C72-DATE(YEAR(C72-WEEKDAY(C72,2)+4),1,3)+WEEKDAY(DATE(YEAR(C72-WEEKDAY(C72,2)+4),1,3),2)+5)/7),"00"))</f>
        <v/>
      </c>
    </row>
    <row r="73" ht="18" customHeight="1">
      <c r="A73" s="39" t="n">
        <v>68</v>
      </c>
      <c r="B73" s="33">
        <f>IF(C73="","",IF(L73="À RENSEIGNER","GIC",L73)&amp;"-E"&amp;TEXT(A73,"00000"))</f>
        <v/>
      </c>
      <c r="C73" s="32" t="n"/>
      <c r="D73" s="36" t="n"/>
      <c r="E73" s="37" t="n"/>
      <c r="F73" s="36" t="n"/>
      <c r="G73" s="44" t="n"/>
      <c r="H73" s="43" t="n"/>
      <c r="I73" s="32" t="n"/>
      <c r="J73" s="44" t="n"/>
      <c r="K73" s="36" t="n"/>
      <c r="L73" s="33">
        <f>IF(C73="","",Commercial_Id)</f>
        <v/>
      </c>
      <c r="M73" s="34">
        <f>IF(OR(C73="",F73=""),"",IF(F73&lt;&gt;"Espèces","—",IF(I73&lt;&gt;"","☑ Oui","☐ Non")))</f>
        <v/>
      </c>
      <c r="N73" s="39">
        <f>IF(D73="","",IFERROR(VALUE(MID(D73,LEN(D73)-3,3)),""))</f>
        <v/>
      </c>
      <c r="O73" s="33">
        <f>IF(N73="","",L73&amp;"|"&amp;N73)</f>
        <v/>
      </c>
      <c r="P73" s="33">
        <f>IF(N73="","",IF(L73="À RENSEIGNER","GIC",L73)&amp;"-"&amp;TEXT(N73,"000"))</f>
        <v/>
      </c>
      <c r="Q73" s="33">
        <f>IF(O73="","",IFERROR(INDEX(Cl_nom,MATCH(O73,Cl_cle,0)),"(client introuvable)"))</f>
        <v/>
      </c>
      <c r="R73" s="40">
        <f>IF(O73="","",IFERROR(INDEX(Cl_reste,MATCH(O73,Cl_cle,0)),""))</f>
        <v/>
      </c>
      <c r="S73" s="34">
        <f>IF(C73="","",YEAR(C73-WEEKDAY(C73,2)+4)&amp;"-S"&amp;TEXT(INT((C73-DATE(YEAR(C73-WEEKDAY(C73,2)+4),1,3)+WEEKDAY(DATE(YEAR(C73-WEEKDAY(C73,2)+4),1,3),2)+5)/7),"00"))</f>
        <v/>
      </c>
    </row>
    <row r="74" ht="18" customHeight="1">
      <c r="A74" s="39" t="n">
        <v>69</v>
      </c>
      <c r="B74" s="33">
        <f>IF(C74="","",IF(L74="À RENSEIGNER","GIC",L74)&amp;"-E"&amp;TEXT(A74,"00000"))</f>
        <v/>
      </c>
      <c r="C74" s="32" t="n"/>
      <c r="D74" s="36" t="n"/>
      <c r="E74" s="37" t="n"/>
      <c r="F74" s="36" t="n"/>
      <c r="G74" s="44" t="n"/>
      <c r="H74" s="43" t="n"/>
      <c r="I74" s="32" t="n"/>
      <c r="J74" s="44" t="n"/>
      <c r="K74" s="36" t="n"/>
      <c r="L74" s="33">
        <f>IF(C74="","",Commercial_Id)</f>
        <v/>
      </c>
      <c r="M74" s="34">
        <f>IF(OR(C74="",F74=""),"",IF(F74&lt;&gt;"Espèces","—",IF(I74&lt;&gt;"","☑ Oui","☐ Non")))</f>
        <v/>
      </c>
      <c r="N74" s="39">
        <f>IF(D74="","",IFERROR(VALUE(MID(D74,LEN(D74)-3,3)),""))</f>
        <v/>
      </c>
      <c r="O74" s="33">
        <f>IF(N74="","",L74&amp;"|"&amp;N74)</f>
        <v/>
      </c>
      <c r="P74" s="33">
        <f>IF(N74="","",IF(L74="À RENSEIGNER","GIC",L74)&amp;"-"&amp;TEXT(N74,"000"))</f>
        <v/>
      </c>
      <c r="Q74" s="33">
        <f>IF(O74="","",IFERROR(INDEX(Cl_nom,MATCH(O74,Cl_cle,0)),"(client introuvable)"))</f>
        <v/>
      </c>
      <c r="R74" s="40">
        <f>IF(O74="","",IFERROR(INDEX(Cl_reste,MATCH(O74,Cl_cle,0)),""))</f>
        <v/>
      </c>
      <c r="S74" s="34">
        <f>IF(C74="","",YEAR(C74-WEEKDAY(C74,2)+4)&amp;"-S"&amp;TEXT(INT((C74-DATE(YEAR(C74-WEEKDAY(C74,2)+4),1,3)+WEEKDAY(DATE(YEAR(C74-WEEKDAY(C74,2)+4),1,3),2)+5)/7),"00"))</f>
        <v/>
      </c>
    </row>
    <row r="75" ht="18" customHeight="1">
      <c r="A75" s="39" t="n">
        <v>70</v>
      </c>
      <c r="B75" s="33">
        <f>IF(C75="","",IF(L75="À RENSEIGNER","GIC",L75)&amp;"-E"&amp;TEXT(A75,"00000"))</f>
        <v/>
      </c>
      <c r="C75" s="32" t="n"/>
      <c r="D75" s="36" t="n"/>
      <c r="E75" s="37" t="n"/>
      <c r="F75" s="36" t="n"/>
      <c r="G75" s="44" t="n"/>
      <c r="H75" s="43" t="n"/>
      <c r="I75" s="32" t="n"/>
      <c r="J75" s="44" t="n"/>
      <c r="K75" s="36" t="n"/>
      <c r="L75" s="33">
        <f>IF(C75="","",Commercial_Id)</f>
        <v/>
      </c>
      <c r="M75" s="34">
        <f>IF(OR(C75="",F75=""),"",IF(F75&lt;&gt;"Espèces","—",IF(I75&lt;&gt;"","☑ Oui","☐ Non")))</f>
        <v/>
      </c>
      <c r="N75" s="39">
        <f>IF(D75="","",IFERROR(VALUE(MID(D75,LEN(D75)-3,3)),""))</f>
        <v/>
      </c>
      <c r="O75" s="33">
        <f>IF(N75="","",L75&amp;"|"&amp;N75)</f>
        <v/>
      </c>
      <c r="P75" s="33">
        <f>IF(N75="","",IF(L75="À RENSEIGNER","GIC",L75)&amp;"-"&amp;TEXT(N75,"000"))</f>
        <v/>
      </c>
      <c r="Q75" s="33">
        <f>IF(O75="","",IFERROR(INDEX(Cl_nom,MATCH(O75,Cl_cle,0)),"(client introuvable)"))</f>
        <v/>
      </c>
      <c r="R75" s="40">
        <f>IF(O75="","",IFERROR(INDEX(Cl_reste,MATCH(O75,Cl_cle,0)),""))</f>
        <v/>
      </c>
      <c r="S75" s="34">
        <f>IF(C75="","",YEAR(C75-WEEKDAY(C75,2)+4)&amp;"-S"&amp;TEXT(INT((C75-DATE(YEAR(C75-WEEKDAY(C75,2)+4),1,3)+WEEKDAY(DATE(YEAR(C75-WEEKDAY(C75,2)+4),1,3),2)+5)/7),"00"))</f>
        <v/>
      </c>
    </row>
    <row r="76" ht="18" customHeight="1">
      <c r="A76" s="39" t="n">
        <v>71</v>
      </c>
      <c r="B76" s="33">
        <f>IF(C76="","",IF(L76="À RENSEIGNER","GIC",L76)&amp;"-E"&amp;TEXT(A76,"00000"))</f>
        <v/>
      </c>
      <c r="C76" s="32" t="n"/>
      <c r="D76" s="36" t="n"/>
      <c r="E76" s="37" t="n"/>
      <c r="F76" s="36" t="n"/>
      <c r="G76" s="44" t="n"/>
      <c r="H76" s="43" t="n"/>
      <c r="I76" s="32" t="n"/>
      <c r="J76" s="44" t="n"/>
      <c r="K76" s="36" t="n"/>
      <c r="L76" s="33">
        <f>IF(C76="","",Commercial_Id)</f>
        <v/>
      </c>
      <c r="M76" s="34">
        <f>IF(OR(C76="",F76=""),"",IF(F76&lt;&gt;"Espèces","—",IF(I76&lt;&gt;"","☑ Oui","☐ Non")))</f>
        <v/>
      </c>
      <c r="N76" s="39">
        <f>IF(D76="","",IFERROR(VALUE(MID(D76,LEN(D76)-3,3)),""))</f>
        <v/>
      </c>
      <c r="O76" s="33">
        <f>IF(N76="","",L76&amp;"|"&amp;N76)</f>
        <v/>
      </c>
      <c r="P76" s="33">
        <f>IF(N76="","",IF(L76="À RENSEIGNER","GIC",L76)&amp;"-"&amp;TEXT(N76,"000"))</f>
        <v/>
      </c>
      <c r="Q76" s="33">
        <f>IF(O76="","",IFERROR(INDEX(Cl_nom,MATCH(O76,Cl_cle,0)),"(client introuvable)"))</f>
        <v/>
      </c>
      <c r="R76" s="40">
        <f>IF(O76="","",IFERROR(INDEX(Cl_reste,MATCH(O76,Cl_cle,0)),""))</f>
        <v/>
      </c>
      <c r="S76" s="34">
        <f>IF(C76="","",YEAR(C76-WEEKDAY(C76,2)+4)&amp;"-S"&amp;TEXT(INT((C76-DATE(YEAR(C76-WEEKDAY(C76,2)+4),1,3)+WEEKDAY(DATE(YEAR(C76-WEEKDAY(C76,2)+4),1,3),2)+5)/7),"00"))</f>
        <v/>
      </c>
    </row>
    <row r="77" ht="18" customHeight="1">
      <c r="A77" s="39" t="n">
        <v>72</v>
      </c>
      <c r="B77" s="33">
        <f>IF(C77="","",IF(L77="À RENSEIGNER","GIC",L77)&amp;"-E"&amp;TEXT(A77,"00000"))</f>
        <v/>
      </c>
      <c r="C77" s="32" t="n"/>
      <c r="D77" s="36" t="n"/>
      <c r="E77" s="37" t="n"/>
      <c r="F77" s="36" t="n"/>
      <c r="G77" s="44" t="n"/>
      <c r="H77" s="43" t="n"/>
      <c r="I77" s="32" t="n"/>
      <c r="J77" s="44" t="n"/>
      <c r="K77" s="36" t="n"/>
      <c r="L77" s="33">
        <f>IF(C77="","",Commercial_Id)</f>
        <v/>
      </c>
      <c r="M77" s="34">
        <f>IF(OR(C77="",F77=""),"",IF(F77&lt;&gt;"Espèces","—",IF(I77&lt;&gt;"","☑ Oui","☐ Non")))</f>
        <v/>
      </c>
      <c r="N77" s="39">
        <f>IF(D77="","",IFERROR(VALUE(MID(D77,LEN(D77)-3,3)),""))</f>
        <v/>
      </c>
      <c r="O77" s="33">
        <f>IF(N77="","",L77&amp;"|"&amp;N77)</f>
        <v/>
      </c>
      <c r="P77" s="33">
        <f>IF(N77="","",IF(L77="À RENSEIGNER","GIC",L77)&amp;"-"&amp;TEXT(N77,"000"))</f>
        <v/>
      </c>
      <c r="Q77" s="33">
        <f>IF(O77="","",IFERROR(INDEX(Cl_nom,MATCH(O77,Cl_cle,0)),"(client introuvable)"))</f>
        <v/>
      </c>
      <c r="R77" s="40">
        <f>IF(O77="","",IFERROR(INDEX(Cl_reste,MATCH(O77,Cl_cle,0)),""))</f>
        <v/>
      </c>
      <c r="S77" s="34">
        <f>IF(C77="","",YEAR(C77-WEEKDAY(C77,2)+4)&amp;"-S"&amp;TEXT(INT((C77-DATE(YEAR(C77-WEEKDAY(C77,2)+4),1,3)+WEEKDAY(DATE(YEAR(C77-WEEKDAY(C77,2)+4),1,3),2)+5)/7),"00"))</f>
        <v/>
      </c>
    </row>
    <row r="78" ht="18" customHeight="1">
      <c r="A78" s="39" t="n">
        <v>73</v>
      </c>
      <c r="B78" s="33">
        <f>IF(C78="","",IF(L78="À RENSEIGNER","GIC",L78)&amp;"-E"&amp;TEXT(A78,"00000"))</f>
        <v/>
      </c>
      <c r="C78" s="32" t="n"/>
      <c r="D78" s="36" t="n"/>
      <c r="E78" s="37" t="n"/>
      <c r="F78" s="36" t="n"/>
      <c r="G78" s="44" t="n"/>
      <c r="H78" s="43" t="n"/>
      <c r="I78" s="32" t="n"/>
      <c r="J78" s="44" t="n"/>
      <c r="K78" s="36" t="n"/>
      <c r="L78" s="33">
        <f>IF(C78="","",Commercial_Id)</f>
        <v/>
      </c>
      <c r="M78" s="34">
        <f>IF(OR(C78="",F78=""),"",IF(F78&lt;&gt;"Espèces","—",IF(I78&lt;&gt;"","☑ Oui","☐ Non")))</f>
        <v/>
      </c>
      <c r="N78" s="39">
        <f>IF(D78="","",IFERROR(VALUE(MID(D78,LEN(D78)-3,3)),""))</f>
        <v/>
      </c>
      <c r="O78" s="33">
        <f>IF(N78="","",L78&amp;"|"&amp;N78)</f>
        <v/>
      </c>
      <c r="P78" s="33">
        <f>IF(N78="","",IF(L78="À RENSEIGNER","GIC",L78)&amp;"-"&amp;TEXT(N78,"000"))</f>
        <v/>
      </c>
      <c r="Q78" s="33">
        <f>IF(O78="","",IFERROR(INDEX(Cl_nom,MATCH(O78,Cl_cle,0)),"(client introuvable)"))</f>
        <v/>
      </c>
      <c r="R78" s="40">
        <f>IF(O78="","",IFERROR(INDEX(Cl_reste,MATCH(O78,Cl_cle,0)),""))</f>
        <v/>
      </c>
      <c r="S78" s="34">
        <f>IF(C78="","",YEAR(C78-WEEKDAY(C78,2)+4)&amp;"-S"&amp;TEXT(INT((C78-DATE(YEAR(C78-WEEKDAY(C78,2)+4),1,3)+WEEKDAY(DATE(YEAR(C78-WEEKDAY(C78,2)+4),1,3),2)+5)/7),"00"))</f>
        <v/>
      </c>
    </row>
    <row r="79" ht="18" customHeight="1">
      <c r="A79" s="39" t="n">
        <v>74</v>
      </c>
      <c r="B79" s="33">
        <f>IF(C79="","",IF(L79="À RENSEIGNER","GIC",L79)&amp;"-E"&amp;TEXT(A79,"00000"))</f>
        <v/>
      </c>
      <c r="C79" s="32" t="n"/>
      <c r="D79" s="36" t="n"/>
      <c r="E79" s="37" t="n"/>
      <c r="F79" s="36" t="n"/>
      <c r="G79" s="44" t="n"/>
      <c r="H79" s="43" t="n"/>
      <c r="I79" s="32" t="n"/>
      <c r="J79" s="44" t="n"/>
      <c r="K79" s="36" t="n"/>
      <c r="L79" s="33">
        <f>IF(C79="","",Commercial_Id)</f>
        <v/>
      </c>
      <c r="M79" s="34">
        <f>IF(OR(C79="",F79=""),"",IF(F79&lt;&gt;"Espèces","—",IF(I79&lt;&gt;"","☑ Oui","☐ Non")))</f>
        <v/>
      </c>
      <c r="N79" s="39">
        <f>IF(D79="","",IFERROR(VALUE(MID(D79,LEN(D79)-3,3)),""))</f>
        <v/>
      </c>
      <c r="O79" s="33">
        <f>IF(N79="","",L79&amp;"|"&amp;N79)</f>
        <v/>
      </c>
      <c r="P79" s="33">
        <f>IF(N79="","",IF(L79="À RENSEIGNER","GIC",L79)&amp;"-"&amp;TEXT(N79,"000"))</f>
        <v/>
      </c>
      <c r="Q79" s="33">
        <f>IF(O79="","",IFERROR(INDEX(Cl_nom,MATCH(O79,Cl_cle,0)),"(client introuvable)"))</f>
        <v/>
      </c>
      <c r="R79" s="40">
        <f>IF(O79="","",IFERROR(INDEX(Cl_reste,MATCH(O79,Cl_cle,0)),""))</f>
        <v/>
      </c>
      <c r="S79" s="34">
        <f>IF(C79="","",YEAR(C79-WEEKDAY(C79,2)+4)&amp;"-S"&amp;TEXT(INT((C79-DATE(YEAR(C79-WEEKDAY(C79,2)+4),1,3)+WEEKDAY(DATE(YEAR(C79-WEEKDAY(C79,2)+4),1,3),2)+5)/7),"00"))</f>
        <v/>
      </c>
    </row>
    <row r="80" ht="18" customHeight="1">
      <c r="A80" s="39" t="n">
        <v>75</v>
      </c>
      <c r="B80" s="33">
        <f>IF(C80="","",IF(L80="À RENSEIGNER","GIC",L80)&amp;"-E"&amp;TEXT(A80,"00000"))</f>
        <v/>
      </c>
      <c r="C80" s="32" t="n"/>
      <c r="D80" s="36" t="n"/>
      <c r="E80" s="37" t="n"/>
      <c r="F80" s="36" t="n"/>
      <c r="G80" s="44" t="n"/>
      <c r="H80" s="43" t="n"/>
      <c r="I80" s="32" t="n"/>
      <c r="J80" s="44" t="n"/>
      <c r="K80" s="36" t="n"/>
      <c r="L80" s="33">
        <f>IF(C80="","",Commercial_Id)</f>
        <v/>
      </c>
      <c r="M80" s="34">
        <f>IF(OR(C80="",F80=""),"",IF(F80&lt;&gt;"Espèces","—",IF(I80&lt;&gt;"","☑ Oui","☐ Non")))</f>
        <v/>
      </c>
      <c r="N80" s="39">
        <f>IF(D80="","",IFERROR(VALUE(MID(D80,LEN(D80)-3,3)),""))</f>
        <v/>
      </c>
      <c r="O80" s="33">
        <f>IF(N80="","",L80&amp;"|"&amp;N80)</f>
        <v/>
      </c>
      <c r="P80" s="33">
        <f>IF(N80="","",IF(L80="À RENSEIGNER","GIC",L80)&amp;"-"&amp;TEXT(N80,"000"))</f>
        <v/>
      </c>
      <c r="Q80" s="33">
        <f>IF(O80="","",IFERROR(INDEX(Cl_nom,MATCH(O80,Cl_cle,0)),"(client introuvable)"))</f>
        <v/>
      </c>
      <c r="R80" s="40">
        <f>IF(O80="","",IFERROR(INDEX(Cl_reste,MATCH(O80,Cl_cle,0)),""))</f>
        <v/>
      </c>
      <c r="S80" s="34">
        <f>IF(C80="","",YEAR(C80-WEEKDAY(C80,2)+4)&amp;"-S"&amp;TEXT(INT((C80-DATE(YEAR(C80-WEEKDAY(C80,2)+4),1,3)+WEEKDAY(DATE(YEAR(C80-WEEKDAY(C80,2)+4),1,3),2)+5)/7),"00"))</f>
        <v/>
      </c>
    </row>
    <row r="81" ht="18" customHeight="1">
      <c r="A81" s="39" t="n">
        <v>76</v>
      </c>
      <c r="B81" s="33">
        <f>IF(C81="","",IF(L81="À RENSEIGNER","GIC",L81)&amp;"-E"&amp;TEXT(A81,"00000"))</f>
        <v/>
      </c>
      <c r="C81" s="32" t="n"/>
      <c r="D81" s="36" t="n"/>
      <c r="E81" s="37" t="n"/>
      <c r="F81" s="36" t="n"/>
      <c r="G81" s="44" t="n"/>
      <c r="H81" s="43" t="n"/>
      <c r="I81" s="32" t="n"/>
      <c r="J81" s="44" t="n"/>
      <c r="K81" s="36" t="n"/>
      <c r="L81" s="33">
        <f>IF(C81="","",Commercial_Id)</f>
        <v/>
      </c>
      <c r="M81" s="34">
        <f>IF(OR(C81="",F81=""),"",IF(F81&lt;&gt;"Espèces","—",IF(I81&lt;&gt;"","☑ Oui","☐ Non")))</f>
        <v/>
      </c>
      <c r="N81" s="39">
        <f>IF(D81="","",IFERROR(VALUE(MID(D81,LEN(D81)-3,3)),""))</f>
        <v/>
      </c>
      <c r="O81" s="33">
        <f>IF(N81="","",L81&amp;"|"&amp;N81)</f>
        <v/>
      </c>
      <c r="P81" s="33">
        <f>IF(N81="","",IF(L81="À RENSEIGNER","GIC",L81)&amp;"-"&amp;TEXT(N81,"000"))</f>
        <v/>
      </c>
      <c r="Q81" s="33">
        <f>IF(O81="","",IFERROR(INDEX(Cl_nom,MATCH(O81,Cl_cle,0)),"(client introuvable)"))</f>
        <v/>
      </c>
      <c r="R81" s="40">
        <f>IF(O81="","",IFERROR(INDEX(Cl_reste,MATCH(O81,Cl_cle,0)),""))</f>
        <v/>
      </c>
      <c r="S81" s="34">
        <f>IF(C81="","",YEAR(C81-WEEKDAY(C81,2)+4)&amp;"-S"&amp;TEXT(INT((C81-DATE(YEAR(C81-WEEKDAY(C81,2)+4),1,3)+WEEKDAY(DATE(YEAR(C81-WEEKDAY(C81,2)+4),1,3),2)+5)/7),"00"))</f>
        <v/>
      </c>
    </row>
    <row r="82" ht="18" customHeight="1">
      <c r="A82" s="39" t="n">
        <v>77</v>
      </c>
      <c r="B82" s="33">
        <f>IF(C82="","",IF(L82="À RENSEIGNER","GIC",L82)&amp;"-E"&amp;TEXT(A82,"00000"))</f>
        <v/>
      </c>
      <c r="C82" s="32" t="n"/>
      <c r="D82" s="36" t="n"/>
      <c r="E82" s="37" t="n"/>
      <c r="F82" s="36" t="n"/>
      <c r="G82" s="44" t="n"/>
      <c r="H82" s="43" t="n"/>
      <c r="I82" s="32" t="n"/>
      <c r="J82" s="44" t="n"/>
      <c r="K82" s="36" t="n"/>
      <c r="L82" s="33">
        <f>IF(C82="","",Commercial_Id)</f>
        <v/>
      </c>
      <c r="M82" s="34">
        <f>IF(OR(C82="",F82=""),"",IF(F82&lt;&gt;"Espèces","—",IF(I82&lt;&gt;"","☑ Oui","☐ Non")))</f>
        <v/>
      </c>
      <c r="N82" s="39">
        <f>IF(D82="","",IFERROR(VALUE(MID(D82,LEN(D82)-3,3)),""))</f>
        <v/>
      </c>
      <c r="O82" s="33">
        <f>IF(N82="","",L82&amp;"|"&amp;N82)</f>
        <v/>
      </c>
      <c r="P82" s="33">
        <f>IF(N82="","",IF(L82="À RENSEIGNER","GIC",L82)&amp;"-"&amp;TEXT(N82,"000"))</f>
        <v/>
      </c>
      <c r="Q82" s="33">
        <f>IF(O82="","",IFERROR(INDEX(Cl_nom,MATCH(O82,Cl_cle,0)),"(client introuvable)"))</f>
        <v/>
      </c>
      <c r="R82" s="40">
        <f>IF(O82="","",IFERROR(INDEX(Cl_reste,MATCH(O82,Cl_cle,0)),""))</f>
        <v/>
      </c>
      <c r="S82" s="34">
        <f>IF(C82="","",YEAR(C82-WEEKDAY(C82,2)+4)&amp;"-S"&amp;TEXT(INT((C82-DATE(YEAR(C82-WEEKDAY(C82,2)+4),1,3)+WEEKDAY(DATE(YEAR(C82-WEEKDAY(C82,2)+4),1,3),2)+5)/7),"00"))</f>
        <v/>
      </c>
    </row>
    <row r="83" ht="18" customHeight="1">
      <c r="A83" s="39" t="n">
        <v>78</v>
      </c>
      <c r="B83" s="33">
        <f>IF(C83="","",IF(L83="À RENSEIGNER","GIC",L83)&amp;"-E"&amp;TEXT(A83,"00000"))</f>
        <v/>
      </c>
      <c r="C83" s="32" t="n"/>
      <c r="D83" s="36" t="n"/>
      <c r="E83" s="37" t="n"/>
      <c r="F83" s="36" t="n"/>
      <c r="G83" s="44" t="n"/>
      <c r="H83" s="43" t="n"/>
      <c r="I83" s="32" t="n"/>
      <c r="J83" s="44" t="n"/>
      <c r="K83" s="36" t="n"/>
      <c r="L83" s="33">
        <f>IF(C83="","",Commercial_Id)</f>
        <v/>
      </c>
      <c r="M83" s="34">
        <f>IF(OR(C83="",F83=""),"",IF(F83&lt;&gt;"Espèces","—",IF(I83&lt;&gt;"","☑ Oui","☐ Non")))</f>
        <v/>
      </c>
      <c r="N83" s="39">
        <f>IF(D83="","",IFERROR(VALUE(MID(D83,LEN(D83)-3,3)),""))</f>
        <v/>
      </c>
      <c r="O83" s="33">
        <f>IF(N83="","",L83&amp;"|"&amp;N83)</f>
        <v/>
      </c>
      <c r="P83" s="33">
        <f>IF(N83="","",IF(L83="À RENSEIGNER","GIC",L83)&amp;"-"&amp;TEXT(N83,"000"))</f>
        <v/>
      </c>
      <c r="Q83" s="33">
        <f>IF(O83="","",IFERROR(INDEX(Cl_nom,MATCH(O83,Cl_cle,0)),"(client introuvable)"))</f>
        <v/>
      </c>
      <c r="R83" s="40">
        <f>IF(O83="","",IFERROR(INDEX(Cl_reste,MATCH(O83,Cl_cle,0)),""))</f>
        <v/>
      </c>
      <c r="S83" s="34">
        <f>IF(C83="","",YEAR(C83-WEEKDAY(C83,2)+4)&amp;"-S"&amp;TEXT(INT((C83-DATE(YEAR(C83-WEEKDAY(C83,2)+4),1,3)+WEEKDAY(DATE(YEAR(C83-WEEKDAY(C83,2)+4),1,3),2)+5)/7),"00"))</f>
        <v/>
      </c>
    </row>
    <row r="84" ht="18" customHeight="1">
      <c r="A84" s="39" t="n">
        <v>79</v>
      </c>
      <c r="B84" s="33">
        <f>IF(C84="","",IF(L84="À RENSEIGNER","GIC",L84)&amp;"-E"&amp;TEXT(A84,"00000"))</f>
        <v/>
      </c>
      <c r="C84" s="32" t="n"/>
      <c r="D84" s="36" t="n"/>
      <c r="E84" s="37" t="n"/>
      <c r="F84" s="36" t="n"/>
      <c r="G84" s="44" t="n"/>
      <c r="H84" s="43" t="n"/>
      <c r="I84" s="32" t="n"/>
      <c r="J84" s="44" t="n"/>
      <c r="K84" s="36" t="n"/>
      <c r="L84" s="33">
        <f>IF(C84="","",Commercial_Id)</f>
        <v/>
      </c>
      <c r="M84" s="34">
        <f>IF(OR(C84="",F84=""),"",IF(F84&lt;&gt;"Espèces","—",IF(I84&lt;&gt;"","☑ Oui","☐ Non")))</f>
        <v/>
      </c>
      <c r="N84" s="39">
        <f>IF(D84="","",IFERROR(VALUE(MID(D84,LEN(D84)-3,3)),""))</f>
        <v/>
      </c>
      <c r="O84" s="33">
        <f>IF(N84="","",L84&amp;"|"&amp;N84)</f>
        <v/>
      </c>
      <c r="P84" s="33">
        <f>IF(N84="","",IF(L84="À RENSEIGNER","GIC",L84)&amp;"-"&amp;TEXT(N84,"000"))</f>
        <v/>
      </c>
      <c r="Q84" s="33">
        <f>IF(O84="","",IFERROR(INDEX(Cl_nom,MATCH(O84,Cl_cle,0)),"(client introuvable)"))</f>
        <v/>
      </c>
      <c r="R84" s="40">
        <f>IF(O84="","",IFERROR(INDEX(Cl_reste,MATCH(O84,Cl_cle,0)),""))</f>
        <v/>
      </c>
      <c r="S84" s="34">
        <f>IF(C84="","",YEAR(C84-WEEKDAY(C84,2)+4)&amp;"-S"&amp;TEXT(INT((C84-DATE(YEAR(C84-WEEKDAY(C84,2)+4),1,3)+WEEKDAY(DATE(YEAR(C84-WEEKDAY(C84,2)+4),1,3),2)+5)/7),"00"))</f>
        <v/>
      </c>
    </row>
    <row r="85" ht="18" customHeight="1">
      <c r="A85" s="39" t="n">
        <v>80</v>
      </c>
      <c r="B85" s="33">
        <f>IF(C85="","",IF(L85="À RENSEIGNER","GIC",L85)&amp;"-E"&amp;TEXT(A85,"00000"))</f>
        <v/>
      </c>
      <c r="C85" s="32" t="n"/>
      <c r="D85" s="36" t="n"/>
      <c r="E85" s="37" t="n"/>
      <c r="F85" s="36" t="n"/>
      <c r="G85" s="44" t="n"/>
      <c r="H85" s="43" t="n"/>
      <c r="I85" s="32" t="n"/>
      <c r="J85" s="44" t="n"/>
      <c r="K85" s="36" t="n"/>
      <c r="L85" s="33">
        <f>IF(C85="","",Commercial_Id)</f>
        <v/>
      </c>
      <c r="M85" s="34">
        <f>IF(OR(C85="",F85=""),"",IF(F85&lt;&gt;"Espèces","—",IF(I85&lt;&gt;"","☑ Oui","☐ Non")))</f>
        <v/>
      </c>
      <c r="N85" s="39">
        <f>IF(D85="","",IFERROR(VALUE(MID(D85,LEN(D85)-3,3)),""))</f>
        <v/>
      </c>
      <c r="O85" s="33">
        <f>IF(N85="","",L85&amp;"|"&amp;N85)</f>
        <v/>
      </c>
      <c r="P85" s="33">
        <f>IF(N85="","",IF(L85="À RENSEIGNER","GIC",L85)&amp;"-"&amp;TEXT(N85,"000"))</f>
        <v/>
      </c>
      <c r="Q85" s="33">
        <f>IF(O85="","",IFERROR(INDEX(Cl_nom,MATCH(O85,Cl_cle,0)),"(client introuvable)"))</f>
        <v/>
      </c>
      <c r="R85" s="40">
        <f>IF(O85="","",IFERROR(INDEX(Cl_reste,MATCH(O85,Cl_cle,0)),""))</f>
        <v/>
      </c>
      <c r="S85" s="34">
        <f>IF(C85="","",YEAR(C85-WEEKDAY(C85,2)+4)&amp;"-S"&amp;TEXT(INT((C85-DATE(YEAR(C85-WEEKDAY(C85,2)+4),1,3)+WEEKDAY(DATE(YEAR(C85-WEEKDAY(C85,2)+4),1,3),2)+5)/7),"00"))</f>
        <v/>
      </c>
    </row>
    <row r="86" ht="18" customHeight="1">
      <c r="A86" s="39" t="n">
        <v>81</v>
      </c>
      <c r="B86" s="33">
        <f>IF(C86="","",IF(L86="À RENSEIGNER","GIC",L86)&amp;"-E"&amp;TEXT(A86,"00000"))</f>
        <v/>
      </c>
      <c r="C86" s="32" t="n"/>
      <c r="D86" s="36" t="n"/>
      <c r="E86" s="37" t="n"/>
      <c r="F86" s="36" t="n"/>
      <c r="G86" s="44" t="n"/>
      <c r="H86" s="43" t="n"/>
      <c r="I86" s="32" t="n"/>
      <c r="J86" s="44" t="n"/>
      <c r="K86" s="36" t="n"/>
      <c r="L86" s="33">
        <f>IF(C86="","",Commercial_Id)</f>
        <v/>
      </c>
      <c r="M86" s="34">
        <f>IF(OR(C86="",F86=""),"",IF(F86&lt;&gt;"Espèces","—",IF(I86&lt;&gt;"","☑ Oui","☐ Non")))</f>
        <v/>
      </c>
      <c r="N86" s="39">
        <f>IF(D86="","",IFERROR(VALUE(MID(D86,LEN(D86)-3,3)),""))</f>
        <v/>
      </c>
      <c r="O86" s="33">
        <f>IF(N86="","",L86&amp;"|"&amp;N86)</f>
        <v/>
      </c>
      <c r="P86" s="33">
        <f>IF(N86="","",IF(L86="À RENSEIGNER","GIC",L86)&amp;"-"&amp;TEXT(N86,"000"))</f>
        <v/>
      </c>
      <c r="Q86" s="33">
        <f>IF(O86="","",IFERROR(INDEX(Cl_nom,MATCH(O86,Cl_cle,0)),"(client introuvable)"))</f>
        <v/>
      </c>
      <c r="R86" s="40">
        <f>IF(O86="","",IFERROR(INDEX(Cl_reste,MATCH(O86,Cl_cle,0)),""))</f>
        <v/>
      </c>
      <c r="S86" s="34">
        <f>IF(C86="","",YEAR(C86-WEEKDAY(C86,2)+4)&amp;"-S"&amp;TEXT(INT((C86-DATE(YEAR(C86-WEEKDAY(C86,2)+4),1,3)+WEEKDAY(DATE(YEAR(C86-WEEKDAY(C86,2)+4),1,3),2)+5)/7),"00"))</f>
        <v/>
      </c>
    </row>
    <row r="87" ht="18" customHeight="1">
      <c r="A87" s="39" t="n">
        <v>82</v>
      </c>
      <c r="B87" s="33">
        <f>IF(C87="","",IF(L87="À RENSEIGNER","GIC",L87)&amp;"-E"&amp;TEXT(A87,"00000"))</f>
        <v/>
      </c>
      <c r="C87" s="32" t="n"/>
      <c r="D87" s="36" t="n"/>
      <c r="E87" s="37" t="n"/>
      <c r="F87" s="36" t="n"/>
      <c r="G87" s="44" t="n"/>
      <c r="H87" s="43" t="n"/>
      <c r="I87" s="32" t="n"/>
      <c r="J87" s="44" t="n"/>
      <c r="K87" s="36" t="n"/>
      <c r="L87" s="33">
        <f>IF(C87="","",Commercial_Id)</f>
        <v/>
      </c>
      <c r="M87" s="34">
        <f>IF(OR(C87="",F87=""),"",IF(F87&lt;&gt;"Espèces","—",IF(I87&lt;&gt;"","☑ Oui","☐ Non")))</f>
        <v/>
      </c>
      <c r="N87" s="39">
        <f>IF(D87="","",IFERROR(VALUE(MID(D87,LEN(D87)-3,3)),""))</f>
        <v/>
      </c>
      <c r="O87" s="33">
        <f>IF(N87="","",L87&amp;"|"&amp;N87)</f>
        <v/>
      </c>
      <c r="P87" s="33">
        <f>IF(N87="","",IF(L87="À RENSEIGNER","GIC",L87)&amp;"-"&amp;TEXT(N87,"000"))</f>
        <v/>
      </c>
      <c r="Q87" s="33">
        <f>IF(O87="","",IFERROR(INDEX(Cl_nom,MATCH(O87,Cl_cle,0)),"(client introuvable)"))</f>
        <v/>
      </c>
      <c r="R87" s="40">
        <f>IF(O87="","",IFERROR(INDEX(Cl_reste,MATCH(O87,Cl_cle,0)),""))</f>
        <v/>
      </c>
      <c r="S87" s="34">
        <f>IF(C87="","",YEAR(C87-WEEKDAY(C87,2)+4)&amp;"-S"&amp;TEXT(INT((C87-DATE(YEAR(C87-WEEKDAY(C87,2)+4),1,3)+WEEKDAY(DATE(YEAR(C87-WEEKDAY(C87,2)+4),1,3),2)+5)/7),"00"))</f>
        <v/>
      </c>
    </row>
    <row r="88" ht="18" customHeight="1">
      <c r="A88" s="39" t="n">
        <v>83</v>
      </c>
      <c r="B88" s="33">
        <f>IF(C88="","",IF(L88="À RENSEIGNER","GIC",L88)&amp;"-E"&amp;TEXT(A88,"00000"))</f>
        <v/>
      </c>
      <c r="C88" s="32" t="n"/>
      <c r="D88" s="36" t="n"/>
      <c r="E88" s="37" t="n"/>
      <c r="F88" s="36" t="n"/>
      <c r="G88" s="44" t="n"/>
      <c r="H88" s="43" t="n"/>
      <c r="I88" s="32" t="n"/>
      <c r="J88" s="44" t="n"/>
      <c r="K88" s="36" t="n"/>
      <c r="L88" s="33">
        <f>IF(C88="","",Commercial_Id)</f>
        <v/>
      </c>
      <c r="M88" s="34">
        <f>IF(OR(C88="",F88=""),"",IF(F88&lt;&gt;"Espèces","—",IF(I88&lt;&gt;"","☑ Oui","☐ Non")))</f>
        <v/>
      </c>
      <c r="N88" s="39">
        <f>IF(D88="","",IFERROR(VALUE(MID(D88,LEN(D88)-3,3)),""))</f>
        <v/>
      </c>
      <c r="O88" s="33">
        <f>IF(N88="","",L88&amp;"|"&amp;N88)</f>
        <v/>
      </c>
      <c r="P88" s="33">
        <f>IF(N88="","",IF(L88="À RENSEIGNER","GIC",L88)&amp;"-"&amp;TEXT(N88,"000"))</f>
        <v/>
      </c>
      <c r="Q88" s="33">
        <f>IF(O88="","",IFERROR(INDEX(Cl_nom,MATCH(O88,Cl_cle,0)),"(client introuvable)"))</f>
        <v/>
      </c>
      <c r="R88" s="40">
        <f>IF(O88="","",IFERROR(INDEX(Cl_reste,MATCH(O88,Cl_cle,0)),""))</f>
        <v/>
      </c>
      <c r="S88" s="34">
        <f>IF(C88="","",YEAR(C88-WEEKDAY(C88,2)+4)&amp;"-S"&amp;TEXT(INT((C88-DATE(YEAR(C88-WEEKDAY(C88,2)+4),1,3)+WEEKDAY(DATE(YEAR(C88-WEEKDAY(C88,2)+4),1,3),2)+5)/7),"00"))</f>
        <v/>
      </c>
    </row>
    <row r="89" ht="18" customHeight="1">
      <c r="A89" s="39" t="n">
        <v>84</v>
      </c>
      <c r="B89" s="33">
        <f>IF(C89="","",IF(L89="À RENSEIGNER","GIC",L89)&amp;"-E"&amp;TEXT(A89,"00000"))</f>
        <v/>
      </c>
      <c r="C89" s="32" t="n"/>
      <c r="D89" s="36" t="n"/>
      <c r="E89" s="37" t="n"/>
      <c r="F89" s="36" t="n"/>
      <c r="G89" s="44" t="n"/>
      <c r="H89" s="43" t="n"/>
      <c r="I89" s="32" t="n"/>
      <c r="J89" s="44" t="n"/>
      <c r="K89" s="36" t="n"/>
      <c r="L89" s="33">
        <f>IF(C89="","",Commercial_Id)</f>
        <v/>
      </c>
      <c r="M89" s="34">
        <f>IF(OR(C89="",F89=""),"",IF(F89&lt;&gt;"Espèces","—",IF(I89&lt;&gt;"","☑ Oui","☐ Non")))</f>
        <v/>
      </c>
      <c r="N89" s="39">
        <f>IF(D89="","",IFERROR(VALUE(MID(D89,LEN(D89)-3,3)),""))</f>
        <v/>
      </c>
      <c r="O89" s="33">
        <f>IF(N89="","",L89&amp;"|"&amp;N89)</f>
        <v/>
      </c>
      <c r="P89" s="33">
        <f>IF(N89="","",IF(L89="À RENSEIGNER","GIC",L89)&amp;"-"&amp;TEXT(N89,"000"))</f>
        <v/>
      </c>
      <c r="Q89" s="33">
        <f>IF(O89="","",IFERROR(INDEX(Cl_nom,MATCH(O89,Cl_cle,0)),"(client introuvable)"))</f>
        <v/>
      </c>
      <c r="R89" s="40">
        <f>IF(O89="","",IFERROR(INDEX(Cl_reste,MATCH(O89,Cl_cle,0)),""))</f>
        <v/>
      </c>
      <c r="S89" s="34">
        <f>IF(C89="","",YEAR(C89-WEEKDAY(C89,2)+4)&amp;"-S"&amp;TEXT(INT((C89-DATE(YEAR(C89-WEEKDAY(C89,2)+4),1,3)+WEEKDAY(DATE(YEAR(C89-WEEKDAY(C89,2)+4),1,3),2)+5)/7),"00"))</f>
        <v/>
      </c>
    </row>
    <row r="90" ht="18" customHeight="1">
      <c r="A90" s="39" t="n">
        <v>85</v>
      </c>
      <c r="B90" s="33">
        <f>IF(C90="","",IF(L90="À RENSEIGNER","GIC",L90)&amp;"-E"&amp;TEXT(A90,"00000"))</f>
        <v/>
      </c>
      <c r="C90" s="32" t="n"/>
      <c r="D90" s="36" t="n"/>
      <c r="E90" s="37" t="n"/>
      <c r="F90" s="36" t="n"/>
      <c r="G90" s="44" t="n"/>
      <c r="H90" s="43" t="n"/>
      <c r="I90" s="32" t="n"/>
      <c r="J90" s="44" t="n"/>
      <c r="K90" s="36" t="n"/>
      <c r="L90" s="33">
        <f>IF(C90="","",Commercial_Id)</f>
        <v/>
      </c>
      <c r="M90" s="34">
        <f>IF(OR(C90="",F90=""),"",IF(F90&lt;&gt;"Espèces","—",IF(I90&lt;&gt;"","☑ Oui","☐ Non")))</f>
        <v/>
      </c>
      <c r="N90" s="39">
        <f>IF(D90="","",IFERROR(VALUE(MID(D90,LEN(D90)-3,3)),""))</f>
        <v/>
      </c>
      <c r="O90" s="33">
        <f>IF(N90="","",L90&amp;"|"&amp;N90)</f>
        <v/>
      </c>
      <c r="P90" s="33">
        <f>IF(N90="","",IF(L90="À RENSEIGNER","GIC",L90)&amp;"-"&amp;TEXT(N90,"000"))</f>
        <v/>
      </c>
      <c r="Q90" s="33">
        <f>IF(O90="","",IFERROR(INDEX(Cl_nom,MATCH(O90,Cl_cle,0)),"(client introuvable)"))</f>
        <v/>
      </c>
      <c r="R90" s="40">
        <f>IF(O90="","",IFERROR(INDEX(Cl_reste,MATCH(O90,Cl_cle,0)),""))</f>
        <v/>
      </c>
      <c r="S90" s="34">
        <f>IF(C90="","",YEAR(C90-WEEKDAY(C90,2)+4)&amp;"-S"&amp;TEXT(INT((C90-DATE(YEAR(C90-WEEKDAY(C90,2)+4),1,3)+WEEKDAY(DATE(YEAR(C90-WEEKDAY(C90,2)+4),1,3),2)+5)/7),"00"))</f>
        <v/>
      </c>
    </row>
    <row r="91" ht="18" customHeight="1">
      <c r="A91" s="39" t="n">
        <v>86</v>
      </c>
      <c r="B91" s="33">
        <f>IF(C91="","",IF(L91="À RENSEIGNER","GIC",L91)&amp;"-E"&amp;TEXT(A91,"00000"))</f>
        <v/>
      </c>
      <c r="C91" s="32" t="n"/>
      <c r="D91" s="36" t="n"/>
      <c r="E91" s="37" t="n"/>
      <c r="F91" s="36" t="n"/>
      <c r="G91" s="44" t="n"/>
      <c r="H91" s="43" t="n"/>
      <c r="I91" s="32" t="n"/>
      <c r="J91" s="44" t="n"/>
      <c r="K91" s="36" t="n"/>
      <c r="L91" s="33">
        <f>IF(C91="","",Commercial_Id)</f>
        <v/>
      </c>
      <c r="M91" s="34">
        <f>IF(OR(C91="",F91=""),"",IF(F91&lt;&gt;"Espèces","—",IF(I91&lt;&gt;"","☑ Oui","☐ Non")))</f>
        <v/>
      </c>
      <c r="N91" s="39">
        <f>IF(D91="","",IFERROR(VALUE(MID(D91,LEN(D91)-3,3)),""))</f>
        <v/>
      </c>
      <c r="O91" s="33">
        <f>IF(N91="","",L91&amp;"|"&amp;N91)</f>
        <v/>
      </c>
      <c r="P91" s="33">
        <f>IF(N91="","",IF(L91="À RENSEIGNER","GIC",L91)&amp;"-"&amp;TEXT(N91,"000"))</f>
        <v/>
      </c>
      <c r="Q91" s="33">
        <f>IF(O91="","",IFERROR(INDEX(Cl_nom,MATCH(O91,Cl_cle,0)),"(client introuvable)"))</f>
        <v/>
      </c>
      <c r="R91" s="40">
        <f>IF(O91="","",IFERROR(INDEX(Cl_reste,MATCH(O91,Cl_cle,0)),""))</f>
        <v/>
      </c>
      <c r="S91" s="34">
        <f>IF(C91="","",YEAR(C91-WEEKDAY(C91,2)+4)&amp;"-S"&amp;TEXT(INT((C91-DATE(YEAR(C91-WEEKDAY(C91,2)+4),1,3)+WEEKDAY(DATE(YEAR(C91-WEEKDAY(C91,2)+4),1,3),2)+5)/7),"00"))</f>
        <v/>
      </c>
    </row>
    <row r="92" ht="18" customHeight="1">
      <c r="A92" s="39" t="n">
        <v>87</v>
      </c>
      <c r="B92" s="33">
        <f>IF(C92="","",IF(L92="À RENSEIGNER","GIC",L92)&amp;"-E"&amp;TEXT(A92,"00000"))</f>
        <v/>
      </c>
      <c r="C92" s="32" t="n"/>
      <c r="D92" s="36" t="n"/>
      <c r="E92" s="37" t="n"/>
      <c r="F92" s="36" t="n"/>
      <c r="G92" s="44" t="n"/>
      <c r="H92" s="43" t="n"/>
      <c r="I92" s="32" t="n"/>
      <c r="J92" s="44" t="n"/>
      <c r="K92" s="36" t="n"/>
      <c r="L92" s="33">
        <f>IF(C92="","",Commercial_Id)</f>
        <v/>
      </c>
      <c r="M92" s="34">
        <f>IF(OR(C92="",F92=""),"",IF(F92&lt;&gt;"Espèces","—",IF(I92&lt;&gt;"","☑ Oui","☐ Non")))</f>
        <v/>
      </c>
      <c r="N92" s="39">
        <f>IF(D92="","",IFERROR(VALUE(MID(D92,LEN(D92)-3,3)),""))</f>
        <v/>
      </c>
      <c r="O92" s="33">
        <f>IF(N92="","",L92&amp;"|"&amp;N92)</f>
        <v/>
      </c>
      <c r="P92" s="33">
        <f>IF(N92="","",IF(L92="À RENSEIGNER","GIC",L92)&amp;"-"&amp;TEXT(N92,"000"))</f>
        <v/>
      </c>
      <c r="Q92" s="33">
        <f>IF(O92="","",IFERROR(INDEX(Cl_nom,MATCH(O92,Cl_cle,0)),"(client introuvable)"))</f>
        <v/>
      </c>
      <c r="R92" s="40">
        <f>IF(O92="","",IFERROR(INDEX(Cl_reste,MATCH(O92,Cl_cle,0)),""))</f>
        <v/>
      </c>
      <c r="S92" s="34">
        <f>IF(C92="","",YEAR(C92-WEEKDAY(C92,2)+4)&amp;"-S"&amp;TEXT(INT((C92-DATE(YEAR(C92-WEEKDAY(C92,2)+4),1,3)+WEEKDAY(DATE(YEAR(C92-WEEKDAY(C92,2)+4),1,3),2)+5)/7),"00"))</f>
        <v/>
      </c>
    </row>
    <row r="93" ht="18" customHeight="1">
      <c r="A93" s="39" t="n">
        <v>88</v>
      </c>
      <c r="B93" s="33">
        <f>IF(C93="","",IF(L93="À RENSEIGNER","GIC",L93)&amp;"-E"&amp;TEXT(A93,"00000"))</f>
        <v/>
      </c>
      <c r="C93" s="32" t="n"/>
      <c r="D93" s="36" t="n"/>
      <c r="E93" s="37" t="n"/>
      <c r="F93" s="36" t="n"/>
      <c r="G93" s="44" t="n"/>
      <c r="H93" s="43" t="n"/>
      <c r="I93" s="32" t="n"/>
      <c r="J93" s="44" t="n"/>
      <c r="K93" s="36" t="n"/>
      <c r="L93" s="33">
        <f>IF(C93="","",Commercial_Id)</f>
        <v/>
      </c>
      <c r="M93" s="34">
        <f>IF(OR(C93="",F93=""),"",IF(F93&lt;&gt;"Espèces","—",IF(I93&lt;&gt;"","☑ Oui","☐ Non")))</f>
        <v/>
      </c>
      <c r="N93" s="39">
        <f>IF(D93="","",IFERROR(VALUE(MID(D93,LEN(D93)-3,3)),""))</f>
        <v/>
      </c>
      <c r="O93" s="33">
        <f>IF(N93="","",L93&amp;"|"&amp;N93)</f>
        <v/>
      </c>
      <c r="P93" s="33">
        <f>IF(N93="","",IF(L93="À RENSEIGNER","GIC",L93)&amp;"-"&amp;TEXT(N93,"000"))</f>
        <v/>
      </c>
      <c r="Q93" s="33">
        <f>IF(O93="","",IFERROR(INDEX(Cl_nom,MATCH(O93,Cl_cle,0)),"(client introuvable)"))</f>
        <v/>
      </c>
      <c r="R93" s="40">
        <f>IF(O93="","",IFERROR(INDEX(Cl_reste,MATCH(O93,Cl_cle,0)),""))</f>
        <v/>
      </c>
      <c r="S93" s="34">
        <f>IF(C93="","",YEAR(C93-WEEKDAY(C93,2)+4)&amp;"-S"&amp;TEXT(INT((C93-DATE(YEAR(C93-WEEKDAY(C93,2)+4),1,3)+WEEKDAY(DATE(YEAR(C93-WEEKDAY(C93,2)+4),1,3),2)+5)/7),"00"))</f>
        <v/>
      </c>
    </row>
    <row r="94" ht="18" customHeight="1">
      <c r="A94" s="39" t="n">
        <v>89</v>
      </c>
      <c r="B94" s="33">
        <f>IF(C94="","",IF(L94="À RENSEIGNER","GIC",L94)&amp;"-E"&amp;TEXT(A94,"00000"))</f>
        <v/>
      </c>
      <c r="C94" s="32" t="n"/>
      <c r="D94" s="36" t="n"/>
      <c r="E94" s="37" t="n"/>
      <c r="F94" s="36" t="n"/>
      <c r="G94" s="44" t="n"/>
      <c r="H94" s="43" t="n"/>
      <c r="I94" s="32" t="n"/>
      <c r="J94" s="44" t="n"/>
      <c r="K94" s="36" t="n"/>
      <c r="L94" s="33">
        <f>IF(C94="","",Commercial_Id)</f>
        <v/>
      </c>
      <c r="M94" s="34">
        <f>IF(OR(C94="",F94=""),"",IF(F94&lt;&gt;"Espèces","—",IF(I94&lt;&gt;"","☑ Oui","☐ Non")))</f>
        <v/>
      </c>
      <c r="N94" s="39">
        <f>IF(D94="","",IFERROR(VALUE(MID(D94,LEN(D94)-3,3)),""))</f>
        <v/>
      </c>
      <c r="O94" s="33">
        <f>IF(N94="","",L94&amp;"|"&amp;N94)</f>
        <v/>
      </c>
      <c r="P94" s="33">
        <f>IF(N94="","",IF(L94="À RENSEIGNER","GIC",L94)&amp;"-"&amp;TEXT(N94,"000"))</f>
        <v/>
      </c>
      <c r="Q94" s="33">
        <f>IF(O94="","",IFERROR(INDEX(Cl_nom,MATCH(O94,Cl_cle,0)),"(client introuvable)"))</f>
        <v/>
      </c>
      <c r="R94" s="40">
        <f>IF(O94="","",IFERROR(INDEX(Cl_reste,MATCH(O94,Cl_cle,0)),""))</f>
        <v/>
      </c>
      <c r="S94" s="34">
        <f>IF(C94="","",YEAR(C94-WEEKDAY(C94,2)+4)&amp;"-S"&amp;TEXT(INT((C94-DATE(YEAR(C94-WEEKDAY(C94,2)+4),1,3)+WEEKDAY(DATE(YEAR(C94-WEEKDAY(C94,2)+4),1,3),2)+5)/7),"00"))</f>
        <v/>
      </c>
    </row>
    <row r="95" ht="18" customHeight="1">
      <c r="A95" s="39" t="n">
        <v>90</v>
      </c>
      <c r="B95" s="33">
        <f>IF(C95="","",IF(L95="À RENSEIGNER","GIC",L95)&amp;"-E"&amp;TEXT(A95,"00000"))</f>
        <v/>
      </c>
      <c r="C95" s="32" t="n"/>
      <c r="D95" s="36" t="n"/>
      <c r="E95" s="37" t="n"/>
      <c r="F95" s="36" t="n"/>
      <c r="G95" s="44" t="n"/>
      <c r="H95" s="43" t="n"/>
      <c r="I95" s="32" t="n"/>
      <c r="J95" s="44" t="n"/>
      <c r="K95" s="36" t="n"/>
      <c r="L95" s="33">
        <f>IF(C95="","",Commercial_Id)</f>
        <v/>
      </c>
      <c r="M95" s="34">
        <f>IF(OR(C95="",F95=""),"",IF(F95&lt;&gt;"Espèces","—",IF(I95&lt;&gt;"","☑ Oui","☐ Non")))</f>
        <v/>
      </c>
      <c r="N95" s="39">
        <f>IF(D95="","",IFERROR(VALUE(MID(D95,LEN(D95)-3,3)),""))</f>
        <v/>
      </c>
      <c r="O95" s="33">
        <f>IF(N95="","",L95&amp;"|"&amp;N95)</f>
        <v/>
      </c>
      <c r="P95" s="33">
        <f>IF(N95="","",IF(L95="À RENSEIGNER","GIC",L95)&amp;"-"&amp;TEXT(N95,"000"))</f>
        <v/>
      </c>
      <c r="Q95" s="33">
        <f>IF(O95="","",IFERROR(INDEX(Cl_nom,MATCH(O95,Cl_cle,0)),"(client introuvable)"))</f>
        <v/>
      </c>
      <c r="R95" s="40">
        <f>IF(O95="","",IFERROR(INDEX(Cl_reste,MATCH(O95,Cl_cle,0)),""))</f>
        <v/>
      </c>
      <c r="S95" s="34">
        <f>IF(C95="","",YEAR(C95-WEEKDAY(C95,2)+4)&amp;"-S"&amp;TEXT(INT((C95-DATE(YEAR(C95-WEEKDAY(C95,2)+4),1,3)+WEEKDAY(DATE(YEAR(C95-WEEKDAY(C95,2)+4),1,3),2)+5)/7),"00"))</f>
        <v/>
      </c>
    </row>
    <row r="96" ht="18" customHeight="1">
      <c r="A96" s="39" t="n">
        <v>91</v>
      </c>
      <c r="B96" s="33">
        <f>IF(C96="","",IF(L96="À RENSEIGNER","GIC",L96)&amp;"-E"&amp;TEXT(A96,"00000"))</f>
        <v/>
      </c>
      <c r="C96" s="32" t="n"/>
      <c r="D96" s="36" t="n"/>
      <c r="E96" s="37" t="n"/>
      <c r="F96" s="36" t="n"/>
      <c r="G96" s="44" t="n"/>
      <c r="H96" s="43" t="n"/>
      <c r="I96" s="32" t="n"/>
      <c r="J96" s="44" t="n"/>
      <c r="K96" s="36" t="n"/>
      <c r="L96" s="33">
        <f>IF(C96="","",Commercial_Id)</f>
        <v/>
      </c>
      <c r="M96" s="34">
        <f>IF(OR(C96="",F96=""),"",IF(F96&lt;&gt;"Espèces","—",IF(I96&lt;&gt;"","☑ Oui","☐ Non")))</f>
        <v/>
      </c>
      <c r="N96" s="39">
        <f>IF(D96="","",IFERROR(VALUE(MID(D96,LEN(D96)-3,3)),""))</f>
        <v/>
      </c>
      <c r="O96" s="33">
        <f>IF(N96="","",L96&amp;"|"&amp;N96)</f>
        <v/>
      </c>
      <c r="P96" s="33">
        <f>IF(N96="","",IF(L96="À RENSEIGNER","GIC",L96)&amp;"-"&amp;TEXT(N96,"000"))</f>
        <v/>
      </c>
      <c r="Q96" s="33">
        <f>IF(O96="","",IFERROR(INDEX(Cl_nom,MATCH(O96,Cl_cle,0)),"(client introuvable)"))</f>
        <v/>
      </c>
      <c r="R96" s="40">
        <f>IF(O96="","",IFERROR(INDEX(Cl_reste,MATCH(O96,Cl_cle,0)),""))</f>
        <v/>
      </c>
      <c r="S96" s="34">
        <f>IF(C96="","",YEAR(C96-WEEKDAY(C96,2)+4)&amp;"-S"&amp;TEXT(INT((C96-DATE(YEAR(C96-WEEKDAY(C96,2)+4),1,3)+WEEKDAY(DATE(YEAR(C96-WEEKDAY(C96,2)+4),1,3),2)+5)/7),"00"))</f>
        <v/>
      </c>
    </row>
    <row r="97" ht="18" customHeight="1">
      <c r="A97" s="39" t="n">
        <v>92</v>
      </c>
      <c r="B97" s="33">
        <f>IF(C97="","",IF(L97="À RENSEIGNER","GIC",L97)&amp;"-E"&amp;TEXT(A97,"00000"))</f>
        <v/>
      </c>
      <c r="C97" s="32" t="n"/>
      <c r="D97" s="36" t="n"/>
      <c r="E97" s="37" t="n"/>
      <c r="F97" s="36" t="n"/>
      <c r="G97" s="44" t="n"/>
      <c r="H97" s="43" t="n"/>
      <c r="I97" s="32" t="n"/>
      <c r="J97" s="44" t="n"/>
      <c r="K97" s="36" t="n"/>
      <c r="L97" s="33">
        <f>IF(C97="","",Commercial_Id)</f>
        <v/>
      </c>
      <c r="M97" s="34">
        <f>IF(OR(C97="",F97=""),"",IF(F97&lt;&gt;"Espèces","—",IF(I97&lt;&gt;"","☑ Oui","☐ Non")))</f>
        <v/>
      </c>
      <c r="N97" s="39">
        <f>IF(D97="","",IFERROR(VALUE(MID(D97,LEN(D97)-3,3)),""))</f>
        <v/>
      </c>
      <c r="O97" s="33">
        <f>IF(N97="","",L97&amp;"|"&amp;N97)</f>
        <v/>
      </c>
      <c r="P97" s="33">
        <f>IF(N97="","",IF(L97="À RENSEIGNER","GIC",L97)&amp;"-"&amp;TEXT(N97,"000"))</f>
        <v/>
      </c>
      <c r="Q97" s="33">
        <f>IF(O97="","",IFERROR(INDEX(Cl_nom,MATCH(O97,Cl_cle,0)),"(client introuvable)"))</f>
        <v/>
      </c>
      <c r="R97" s="40">
        <f>IF(O97="","",IFERROR(INDEX(Cl_reste,MATCH(O97,Cl_cle,0)),""))</f>
        <v/>
      </c>
      <c r="S97" s="34">
        <f>IF(C97="","",YEAR(C97-WEEKDAY(C97,2)+4)&amp;"-S"&amp;TEXT(INT((C97-DATE(YEAR(C97-WEEKDAY(C97,2)+4),1,3)+WEEKDAY(DATE(YEAR(C97-WEEKDAY(C97,2)+4),1,3),2)+5)/7),"00"))</f>
        <v/>
      </c>
    </row>
    <row r="98" ht="18" customHeight="1">
      <c r="A98" s="39" t="n">
        <v>93</v>
      </c>
      <c r="B98" s="33">
        <f>IF(C98="","",IF(L98="À RENSEIGNER","GIC",L98)&amp;"-E"&amp;TEXT(A98,"00000"))</f>
        <v/>
      </c>
      <c r="C98" s="32" t="n"/>
      <c r="D98" s="36" t="n"/>
      <c r="E98" s="37" t="n"/>
      <c r="F98" s="36" t="n"/>
      <c r="G98" s="44" t="n"/>
      <c r="H98" s="43" t="n"/>
      <c r="I98" s="32" t="n"/>
      <c r="J98" s="44" t="n"/>
      <c r="K98" s="36" t="n"/>
      <c r="L98" s="33">
        <f>IF(C98="","",Commercial_Id)</f>
        <v/>
      </c>
      <c r="M98" s="34">
        <f>IF(OR(C98="",F98=""),"",IF(F98&lt;&gt;"Espèces","—",IF(I98&lt;&gt;"","☑ Oui","☐ Non")))</f>
        <v/>
      </c>
      <c r="N98" s="39">
        <f>IF(D98="","",IFERROR(VALUE(MID(D98,LEN(D98)-3,3)),""))</f>
        <v/>
      </c>
      <c r="O98" s="33">
        <f>IF(N98="","",L98&amp;"|"&amp;N98)</f>
        <v/>
      </c>
      <c r="P98" s="33">
        <f>IF(N98="","",IF(L98="À RENSEIGNER","GIC",L98)&amp;"-"&amp;TEXT(N98,"000"))</f>
        <v/>
      </c>
      <c r="Q98" s="33">
        <f>IF(O98="","",IFERROR(INDEX(Cl_nom,MATCH(O98,Cl_cle,0)),"(client introuvable)"))</f>
        <v/>
      </c>
      <c r="R98" s="40">
        <f>IF(O98="","",IFERROR(INDEX(Cl_reste,MATCH(O98,Cl_cle,0)),""))</f>
        <v/>
      </c>
      <c r="S98" s="34">
        <f>IF(C98="","",YEAR(C98-WEEKDAY(C98,2)+4)&amp;"-S"&amp;TEXT(INT((C98-DATE(YEAR(C98-WEEKDAY(C98,2)+4),1,3)+WEEKDAY(DATE(YEAR(C98-WEEKDAY(C98,2)+4),1,3),2)+5)/7),"00"))</f>
        <v/>
      </c>
    </row>
    <row r="99" ht="18" customHeight="1">
      <c r="A99" s="39" t="n">
        <v>94</v>
      </c>
      <c r="B99" s="33">
        <f>IF(C99="","",IF(L99="À RENSEIGNER","GIC",L99)&amp;"-E"&amp;TEXT(A99,"00000"))</f>
        <v/>
      </c>
      <c r="C99" s="32" t="n"/>
      <c r="D99" s="36" t="n"/>
      <c r="E99" s="37" t="n"/>
      <c r="F99" s="36" t="n"/>
      <c r="G99" s="44" t="n"/>
      <c r="H99" s="43" t="n"/>
      <c r="I99" s="32" t="n"/>
      <c r="J99" s="44" t="n"/>
      <c r="K99" s="36" t="n"/>
      <c r="L99" s="33">
        <f>IF(C99="","",Commercial_Id)</f>
        <v/>
      </c>
      <c r="M99" s="34">
        <f>IF(OR(C99="",F99=""),"",IF(F99&lt;&gt;"Espèces","—",IF(I99&lt;&gt;"","☑ Oui","☐ Non")))</f>
        <v/>
      </c>
      <c r="N99" s="39">
        <f>IF(D99="","",IFERROR(VALUE(MID(D99,LEN(D99)-3,3)),""))</f>
        <v/>
      </c>
      <c r="O99" s="33">
        <f>IF(N99="","",L99&amp;"|"&amp;N99)</f>
        <v/>
      </c>
      <c r="P99" s="33">
        <f>IF(N99="","",IF(L99="À RENSEIGNER","GIC",L99)&amp;"-"&amp;TEXT(N99,"000"))</f>
        <v/>
      </c>
      <c r="Q99" s="33">
        <f>IF(O99="","",IFERROR(INDEX(Cl_nom,MATCH(O99,Cl_cle,0)),"(client introuvable)"))</f>
        <v/>
      </c>
      <c r="R99" s="40">
        <f>IF(O99="","",IFERROR(INDEX(Cl_reste,MATCH(O99,Cl_cle,0)),""))</f>
        <v/>
      </c>
      <c r="S99" s="34">
        <f>IF(C99="","",YEAR(C99-WEEKDAY(C99,2)+4)&amp;"-S"&amp;TEXT(INT((C99-DATE(YEAR(C99-WEEKDAY(C99,2)+4),1,3)+WEEKDAY(DATE(YEAR(C99-WEEKDAY(C99,2)+4),1,3),2)+5)/7),"00"))</f>
        <v/>
      </c>
    </row>
    <row r="100" ht="18" customHeight="1">
      <c r="A100" s="39" t="n">
        <v>95</v>
      </c>
      <c r="B100" s="33">
        <f>IF(C100="","",IF(L100="À RENSEIGNER","GIC",L100)&amp;"-E"&amp;TEXT(A100,"00000"))</f>
        <v/>
      </c>
      <c r="C100" s="32" t="n"/>
      <c r="D100" s="36" t="n"/>
      <c r="E100" s="37" t="n"/>
      <c r="F100" s="36" t="n"/>
      <c r="G100" s="44" t="n"/>
      <c r="H100" s="43" t="n"/>
      <c r="I100" s="32" t="n"/>
      <c r="J100" s="44" t="n"/>
      <c r="K100" s="36" t="n"/>
      <c r="L100" s="33">
        <f>IF(C100="","",Commercial_Id)</f>
        <v/>
      </c>
      <c r="M100" s="34">
        <f>IF(OR(C100="",F100=""),"",IF(F100&lt;&gt;"Espèces","—",IF(I100&lt;&gt;"","☑ Oui","☐ Non")))</f>
        <v/>
      </c>
      <c r="N100" s="39">
        <f>IF(D100="","",IFERROR(VALUE(MID(D100,LEN(D100)-3,3)),""))</f>
        <v/>
      </c>
      <c r="O100" s="33">
        <f>IF(N100="","",L100&amp;"|"&amp;N100)</f>
        <v/>
      </c>
      <c r="P100" s="33">
        <f>IF(N100="","",IF(L100="À RENSEIGNER","GIC",L100)&amp;"-"&amp;TEXT(N100,"000"))</f>
        <v/>
      </c>
      <c r="Q100" s="33">
        <f>IF(O100="","",IFERROR(INDEX(Cl_nom,MATCH(O100,Cl_cle,0)),"(client introuvable)"))</f>
        <v/>
      </c>
      <c r="R100" s="40">
        <f>IF(O100="","",IFERROR(INDEX(Cl_reste,MATCH(O100,Cl_cle,0)),""))</f>
        <v/>
      </c>
      <c r="S100" s="34">
        <f>IF(C100="","",YEAR(C100-WEEKDAY(C100,2)+4)&amp;"-S"&amp;TEXT(INT((C100-DATE(YEAR(C100-WEEKDAY(C100,2)+4),1,3)+WEEKDAY(DATE(YEAR(C100-WEEKDAY(C100,2)+4),1,3),2)+5)/7),"00"))</f>
        <v/>
      </c>
    </row>
    <row r="101" ht="18" customHeight="1">
      <c r="A101" s="39" t="n">
        <v>96</v>
      </c>
      <c r="B101" s="33">
        <f>IF(C101="","",IF(L101="À RENSEIGNER","GIC",L101)&amp;"-E"&amp;TEXT(A101,"00000"))</f>
        <v/>
      </c>
      <c r="C101" s="32" t="n"/>
      <c r="D101" s="36" t="n"/>
      <c r="E101" s="37" t="n"/>
      <c r="F101" s="36" t="n"/>
      <c r="G101" s="44" t="n"/>
      <c r="H101" s="43" t="n"/>
      <c r="I101" s="32" t="n"/>
      <c r="J101" s="44" t="n"/>
      <c r="K101" s="36" t="n"/>
      <c r="L101" s="33">
        <f>IF(C101="","",Commercial_Id)</f>
        <v/>
      </c>
      <c r="M101" s="34">
        <f>IF(OR(C101="",F101=""),"",IF(F101&lt;&gt;"Espèces","—",IF(I101&lt;&gt;"","☑ Oui","☐ Non")))</f>
        <v/>
      </c>
      <c r="N101" s="39">
        <f>IF(D101="","",IFERROR(VALUE(MID(D101,LEN(D101)-3,3)),""))</f>
        <v/>
      </c>
      <c r="O101" s="33">
        <f>IF(N101="","",L101&amp;"|"&amp;N101)</f>
        <v/>
      </c>
      <c r="P101" s="33">
        <f>IF(N101="","",IF(L101="À RENSEIGNER","GIC",L101)&amp;"-"&amp;TEXT(N101,"000"))</f>
        <v/>
      </c>
      <c r="Q101" s="33">
        <f>IF(O101="","",IFERROR(INDEX(Cl_nom,MATCH(O101,Cl_cle,0)),"(client introuvable)"))</f>
        <v/>
      </c>
      <c r="R101" s="40">
        <f>IF(O101="","",IFERROR(INDEX(Cl_reste,MATCH(O101,Cl_cle,0)),""))</f>
        <v/>
      </c>
      <c r="S101" s="34">
        <f>IF(C101="","",YEAR(C101-WEEKDAY(C101,2)+4)&amp;"-S"&amp;TEXT(INT((C101-DATE(YEAR(C101-WEEKDAY(C101,2)+4),1,3)+WEEKDAY(DATE(YEAR(C101-WEEKDAY(C101,2)+4),1,3),2)+5)/7),"00"))</f>
        <v/>
      </c>
    </row>
    <row r="102" ht="18" customHeight="1">
      <c r="A102" s="39" t="n">
        <v>97</v>
      </c>
      <c r="B102" s="33">
        <f>IF(C102="","",IF(L102="À RENSEIGNER","GIC",L102)&amp;"-E"&amp;TEXT(A102,"00000"))</f>
        <v/>
      </c>
      <c r="C102" s="32" t="n"/>
      <c r="D102" s="36" t="n"/>
      <c r="E102" s="37" t="n"/>
      <c r="F102" s="36" t="n"/>
      <c r="G102" s="44" t="n"/>
      <c r="H102" s="43" t="n"/>
      <c r="I102" s="32" t="n"/>
      <c r="J102" s="44" t="n"/>
      <c r="K102" s="36" t="n"/>
      <c r="L102" s="33">
        <f>IF(C102="","",Commercial_Id)</f>
        <v/>
      </c>
      <c r="M102" s="34">
        <f>IF(OR(C102="",F102=""),"",IF(F102&lt;&gt;"Espèces","—",IF(I102&lt;&gt;"","☑ Oui","☐ Non")))</f>
        <v/>
      </c>
      <c r="N102" s="39">
        <f>IF(D102="","",IFERROR(VALUE(MID(D102,LEN(D102)-3,3)),""))</f>
        <v/>
      </c>
      <c r="O102" s="33">
        <f>IF(N102="","",L102&amp;"|"&amp;N102)</f>
        <v/>
      </c>
      <c r="P102" s="33">
        <f>IF(N102="","",IF(L102="À RENSEIGNER","GIC",L102)&amp;"-"&amp;TEXT(N102,"000"))</f>
        <v/>
      </c>
      <c r="Q102" s="33">
        <f>IF(O102="","",IFERROR(INDEX(Cl_nom,MATCH(O102,Cl_cle,0)),"(client introuvable)"))</f>
        <v/>
      </c>
      <c r="R102" s="40">
        <f>IF(O102="","",IFERROR(INDEX(Cl_reste,MATCH(O102,Cl_cle,0)),""))</f>
        <v/>
      </c>
      <c r="S102" s="34">
        <f>IF(C102="","",YEAR(C102-WEEKDAY(C102,2)+4)&amp;"-S"&amp;TEXT(INT((C102-DATE(YEAR(C102-WEEKDAY(C102,2)+4),1,3)+WEEKDAY(DATE(YEAR(C102-WEEKDAY(C102,2)+4),1,3),2)+5)/7),"00"))</f>
        <v/>
      </c>
    </row>
    <row r="103" ht="18" customHeight="1">
      <c r="A103" s="39" t="n">
        <v>98</v>
      </c>
      <c r="B103" s="33">
        <f>IF(C103="","",IF(L103="À RENSEIGNER","GIC",L103)&amp;"-E"&amp;TEXT(A103,"00000"))</f>
        <v/>
      </c>
      <c r="C103" s="32" t="n"/>
      <c r="D103" s="36" t="n"/>
      <c r="E103" s="37" t="n"/>
      <c r="F103" s="36" t="n"/>
      <c r="G103" s="44" t="n"/>
      <c r="H103" s="43" t="n"/>
      <c r="I103" s="32" t="n"/>
      <c r="J103" s="44" t="n"/>
      <c r="K103" s="36" t="n"/>
      <c r="L103" s="33">
        <f>IF(C103="","",Commercial_Id)</f>
        <v/>
      </c>
      <c r="M103" s="34">
        <f>IF(OR(C103="",F103=""),"",IF(F103&lt;&gt;"Espèces","—",IF(I103&lt;&gt;"","☑ Oui","☐ Non")))</f>
        <v/>
      </c>
      <c r="N103" s="39">
        <f>IF(D103="","",IFERROR(VALUE(MID(D103,LEN(D103)-3,3)),""))</f>
        <v/>
      </c>
      <c r="O103" s="33">
        <f>IF(N103="","",L103&amp;"|"&amp;N103)</f>
        <v/>
      </c>
      <c r="P103" s="33">
        <f>IF(N103="","",IF(L103="À RENSEIGNER","GIC",L103)&amp;"-"&amp;TEXT(N103,"000"))</f>
        <v/>
      </c>
      <c r="Q103" s="33">
        <f>IF(O103="","",IFERROR(INDEX(Cl_nom,MATCH(O103,Cl_cle,0)),"(client introuvable)"))</f>
        <v/>
      </c>
      <c r="R103" s="40">
        <f>IF(O103="","",IFERROR(INDEX(Cl_reste,MATCH(O103,Cl_cle,0)),""))</f>
        <v/>
      </c>
      <c r="S103" s="34">
        <f>IF(C103="","",YEAR(C103-WEEKDAY(C103,2)+4)&amp;"-S"&amp;TEXT(INT((C103-DATE(YEAR(C103-WEEKDAY(C103,2)+4),1,3)+WEEKDAY(DATE(YEAR(C103-WEEKDAY(C103,2)+4),1,3),2)+5)/7),"00"))</f>
        <v/>
      </c>
    </row>
    <row r="104" ht="18" customHeight="1">
      <c r="A104" s="39" t="n">
        <v>99</v>
      </c>
      <c r="B104" s="33">
        <f>IF(C104="","",IF(L104="À RENSEIGNER","GIC",L104)&amp;"-E"&amp;TEXT(A104,"00000"))</f>
        <v/>
      </c>
      <c r="C104" s="32" t="n"/>
      <c r="D104" s="36" t="n"/>
      <c r="E104" s="37" t="n"/>
      <c r="F104" s="36" t="n"/>
      <c r="G104" s="44" t="n"/>
      <c r="H104" s="43" t="n"/>
      <c r="I104" s="32" t="n"/>
      <c r="J104" s="44" t="n"/>
      <c r="K104" s="36" t="n"/>
      <c r="L104" s="33">
        <f>IF(C104="","",Commercial_Id)</f>
        <v/>
      </c>
      <c r="M104" s="34">
        <f>IF(OR(C104="",F104=""),"",IF(F104&lt;&gt;"Espèces","—",IF(I104&lt;&gt;"","☑ Oui","☐ Non")))</f>
        <v/>
      </c>
      <c r="N104" s="39">
        <f>IF(D104="","",IFERROR(VALUE(MID(D104,LEN(D104)-3,3)),""))</f>
        <v/>
      </c>
      <c r="O104" s="33">
        <f>IF(N104="","",L104&amp;"|"&amp;N104)</f>
        <v/>
      </c>
      <c r="P104" s="33">
        <f>IF(N104="","",IF(L104="À RENSEIGNER","GIC",L104)&amp;"-"&amp;TEXT(N104,"000"))</f>
        <v/>
      </c>
      <c r="Q104" s="33">
        <f>IF(O104="","",IFERROR(INDEX(Cl_nom,MATCH(O104,Cl_cle,0)),"(client introuvable)"))</f>
        <v/>
      </c>
      <c r="R104" s="40">
        <f>IF(O104="","",IFERROR(INDEX(Cl_reste,MATCH(O104,Cl_cle,0)),""))</f>
        <v/>
      </c>
      <c r="S104" s="34">
        <f>IF(C104="","",YEAR(C104-WEEKDAY(C104,2)+4)&amp;"-S"&amp;TEXT(INT((C104-DATE(YEAR(C104-WEEKDAY(C104,2)+4),1,3)+WEEKDAY(DATE(YEAR(C104-WEEKDAY(C104,2)+4),1,3),2)+5)/7),"00"))</f>
        <v/>
      </c>
    </row>
    <row r="105" ht="18" customHeight="1">
      <c r="A105" s="39" t="n">
        <v>100</v>
      </c>
      <c r="B105" s="33">
        <f>IF(C105="","",IF(L105="À RENSEIGNER","GIC",L105)&amp;"-E"&amp;TEXT(A105,"00000"))</f>
        <v/>
      </c>
      <c r="C105" s="32" t="n"/>
      <c r="D105" s="36" t="n"/>
      <c r="E105" s="37" t="n"/>
      <c r="F105" s="36" t="n"/>
      <c r="G105" s="44" t="n"/>
      <c r="H105" s="43" t="n"/>
      <c r="I105" s="32" t="n"/>
      <c r="J105" s="44" t="n"/>
      <c r="K105" s="36" t="n"/>
      <c r="L105" s="33">
        <f>IF(C105="","",Commercial_Id)</f>
        <v/>
      </c>
      <c r="M105" s="34">
        <f>IF(OR(C105="",F105=""),"",IF(F105&lt;&gt;"Espèces","—",IF(I105&lt;&gt;"","☑ Oui","☐ Non")))</f>
        <v/>
      </c>
      <c r="N105" s="39">
        <f>IF(D105="","",IFERROR(VALUE(MID(D105,LEN(D105)-3,3)),""))</f>
        <v/>
      </c>
      <c r="O105" s="33">
        <f>IF(N105="","",L105&amp;"|"&amp;N105)</f>
        <v/>
      </c>
      <c r="P105" s="33">
        <f>IF(N105="","",IF(L105="À RENSEIGNER","GIC",L105)&amp;"-"&amp;TEXT(N105,"000"))</f>
        <v/>
      </c>
      <c r="Q105" s="33">
        <f>IF(O105="","",IFERROR(INDEX(Cl_nom,MATCH(O105,Cl_cle,0)),"(client introuvable)"))</f>
        <v/>
      </c>
      <c r="R105" s="40">
        <f>IF(O105="","",IFERROR(INDEX(Cl_reste,MATCH(O105,Cl_cle,0)),""))</f>
        <v/>
      </c>
      <c r="S105" s="34">
        <f>IF(C105="","",YEAR(C105-WEEKDAY(C105,2)+4)&amp;"-S"&amp;TEXT(INT((C105-DATE(YEAR(C105-WEEKDAY(C105,2)+4),1,3)+WEEKDAY(DATE(YEAR(C105-WEEKDAY(C105,2)+4),1,3),2)+5)/7),"00"))</f>
        <v/>
      </c>
    </row>
    <row r="106" ht="18" customHeight="1">
      <c r="A106" s="39" t="n">
        <v>101</v>
      </c>
      <c r="B106" s="33">
        <f>IF(C106="","",IF(L106="À RENSEIGNER","GIC",L106)&amp;"-E"&amp;TEXT(A106,"00000"))</f>
        <v/>
      </c>
      <c r="C106" s="32" t="n"/>
      <c r="D106" s="36" t="n"/>
      <c r="E106" s="37" t="n"/>
      <c r="F106" s="36" t="n"/>
      <c r="G106" s="44" t="n"/>
      <c r="H106" s="43" t="n"/>
      <c r="I106" s="32" t="n"/>
      <c r="J106" s="44" t="n"/>
      <c r="K106" s="36" t="n"/>
      <c r="L106" s="33">
        <f>IF(C106="","",Commercial_Id)</f>
        <v/>
      </c>
      <c r="M106" s="34">
        <f>IF(OR(C106="",F106=""),"",IF(F106&lt;&gt;"Espèces","—",IF(I106&lt;&gt;"","☑ Oui","☐ Non")))</f>
        <v/>
      </c>
      <c r="N106" s="39">
        <f>IF(D106="","",IFERROR(VALUE(MID(D106,LEN(D106)-3,3)),""))</f>
        <v/>
      </c>
      <c r="O106" s="33">
        <f>IF(N106="","",L106&amp;"|"&amp;N106)</f>
        <v/>
      </c>
      <c r="P106" s="33">
        <f>IF(N106="","",IF(L106="À RENSEIGNER","GIC",L106)&amp;"-"&amp;TEXT(N106,"000"))</f>
        <v/>
      </c>
      <c r="Q106" s="33">
        <f>IF(O106="","",IFERROR(INDEX(Cl_nom,MATCH(O106,Cl_cle,0)),"(client introuvable)"))</f>
        <v/>
      </c>
      <c r="R106" s="40">
        <f>IF(O106="","",IFERROR(INDEX(Cl_reste,MATCH(O106,Cl_cle,0)),""))</f>
        <v/>
      </c>
      <c r="S106" s="34">
        <f>IF(C106="","",YEAR(C106-WEEKDAY(C106,2)+4)&amp;"-S"&amp;TEXT(INT((C106-DATE(YEAR(C106-WEEKDAY(C106,2)+4),1,3)+WEEKDAY(DATE(YEAR(C106-WEEKDAY(C106,2)+4),1,3),2)+5)/7),"00"))</f>
        <v/>
      </c>
    </row>
    <row r="107" ht="18" customHeight="1">
      <c r="A107" s="39" t="n">
        <v>102</v>
      </c>
      <c r="B107" s="33">
        <f>IF(C107="","",IF(L107="À RENSEIGNER","GIC",L107)&amp;"-E"&amp;TEXT(A107,"00000"))</f>
        <v/>
      </c>
      <c r="C107" s="32" t="n"/>
      <c r="D107" s="36" t="n"/>
      <c r="E107" s="37" t="n"/>
      <c r="F107" s="36" t="n"/>
      <c r="G107" s="44" t="n"/>
      <c r="H107" s="43" t="n"/>
      <c r="I107" s="32" t="n"/>
      <c r="J107" s="44" t="n"/>
      <c r="K107" s="36" t="n"/>
      <c r="L107" s="33">
        <f>IF(C107="","",Commercial_Id)</f>
        <v/>
      </c>
      <c r="M107" s="34">
        <f>IF(OR(C107="",F107=""),"",IF(F107&lt;&gt;"Espèces","—",IF(I107&lt;&gt;"","☑ Oui","☐ Non")))</f>
        <v/>
      </c>
      <c r="N107" s="39">
        <f>IF(D107="","",IFERROR(VALUE(MID(D107,LEN(D107)-3,3)),""))</f>
        <v/>
      </c>
      <c r="O107" s="33">
        <f>IF(N107="","",L107&amp;"|"&amp;N107)</f>
        <v/>
      </c>
      <c r="P107" s="33">
        <f>IF(N107="","",IF(L107="À RENSEIGNER","GIC",L107)&amp;"-"&amp;TEXT(N107,"000"))</f>
        <v/>
      </c>
      <c r="Q107" s="33">
        <f>IF(O107="","",IFERROR(INDEX(Cl_nom,MATCH(O107,Cl_cle,0)),"(client introuvable)"))</f>
        <v/>
      </c>
      <c r="R107" s="40">
        <f>IF(O107="","",IFERROR(INDEX(Cl_reste,MATCH(O107,Cl_cle,0)),""))</f>
        <v/>
      </c>
      <c r="S107" s="34">
        <f>IF(C107="","",YEAR(C107-WEEKDAY(C107,2)+4)&amp;"-S"&amp;TEXT(INT((C107-DATE(YEAR(C107-WEEKDAY(C107,2)+4),1,3)+WEEKDAY(DATE(YEAR(C107-WEEKDAY(C107,2)+4),1,3),2)+5)/7),"00"))</f>
        <v/>
      </c>
    </row>
    <row r="108" ht="18" customHeight="1">
      <c r="A108" s="39" t="n">
        <v>103</v>
      </c>
      <c r="B108" s="33">
        <f>IF(C108="","",IF(L108="À RENSEIGNER","GIC",L108)&amp;"-E"&amp;TEXT(A108,"00000"))</f>
        <v/>
      </c>
      <c r="C108" s="32" t="n"/>
      <c r="D108" s="36" t="n"/>
      <c r="E108" s="37" t="n"/>
      <c r="F108" s="36" t="n"/>
      <c r="G108" s="44" t="n"/>
      <c r="H108" s="43" t="n"/>
      <c r="I108" s="32" t="n"/>
      <c r="J108" s="44" t="n"/>
      <c r="K108" s="36" t="n"/>
      <c r="L108" s="33">
        <f>IF(C108="","",Commercial_Id)</f>
        <v/>
      </c>
      <c r="M108" s="34">
        <f>IF(OR(C108="",F108=""),"",IF(F108&lt;&gt;"Espèces","—",IF(I108&lt;&gt;"","☑ Oui","☐ Non")))</f>
        <v/>
      </c>
      <c r="N108" s="39">
        <f>IF(D108="","",IFERROR(VALUE(MID(D108,LEN(D108)-3,3)),""))</f>
        <v/>
      </c>
      <c r="O108" s="33">
        <f>IF(N108="","",L108&amp;"|"&amp;N108)</f>
        <v/>
      </c>
      <c r="P108" s="33">
        <f>IF(N108="","",IF(L108="À RENSEIGNER","GIC",L108)&amp;"-"&amp;TEXT(N108,"000"))</f>
        <v/>
      </c>
      <c r="Q108" s="33">
        <f>IF(O108="","",IFERROR(INDEX(Cl_nom,MATCH(O108,Cl_cle,0)),"(client introuvable)"))</f>
        <v/>
      </c>
      <c r="R108" s="40">
        <f>IF(O108="","",IFERROR(INDEX(Cl_reste,MATCH(O108,Cl_cle,0)),""))</f>
        <v/>
      </c>
      <c r="S108" s="34">
        <f>IF(C108="","",YEAR(C108-WEEKDAY(C108,2)+4)&amp;"-S"&amp;TEXT(INT((C108-DATE(YEAR(C108-WEEKDAY(C108,2)+4),1,3)+WEEKDAY(DATE(YEAR(C108-WEEKDAY(C108,2)+4),1,3),2)+5)/7),"00"))</f>
        <v/>
      </c>
    </row>
    <row r="109" ht="18" customHeight="1">
      <c r="A109" s="39" t="n">
        <v>104</v>
      </c>
      <c r="B109" s="33">
        <f>IF(C109="","",IF(L109="À RENSEIGNER","GIC",L109)&amp;"-E"&amp;TEXT(A109,"00000"))</f>
        <v/>
      </c>
      <c r="C109" s="32" t="n"/>
      <c r="D109" s="36" t="n"/>
      <c r="E109" s="37" t="n"/>
      <c r="F109" s="36" t="n"/>
      <c r="G109" s="44" t="n"/>
      <c r="H109" s="43" t="n"/>
      <c r="I109" s="32" t="n"/>
      <c r="J109" s="44" t="n"/>
      <c r="K109" s="36" t="n"/>
      <c r="L109" s="33">
        <f>IF(C109="","",Commercial_Id)</f>
        <v/>
      </c>
      <c r="M109" s="34">
        <f>IF(OR(C109="",F109=""),"",IF(F109&lt;&gt;"Espèces","—",IF(I109&lt;&gt;"","☑ Oui","☐ Non")))</f>
        <v/>
      </c>
      <c r="N109" s="39">
        <f>IF(D109="","",IFERROR(VALUE(MID(D109,LEN(D109)-3,3)),""))</f>
        <v/>
      </c>
      <c r="O109" s="33">
        <f>IF(N109="","",L109&amp;"|"&amp;N109)</f>
        <v/>
      </c>
      <c r="P109" s="33">
        <f>IF(N109="","",IF(L109="À RENSEIGNER","GIC",L109)&amp;"-"&amp;TEXT(N109,"000"))</f>
        <v/>
      </c>
      <c r="Q109" s="33">
        <f>IF(O109="","",IFERROR(INDEX(Cl_nom,MATCH(O109,Cl_cle,0)),"(client introuvable)"))</f>
        <v/>
      </c>
      <c r="R109" s="40">
        <f>IF(O109="","",IFERROR(INDEX(Cl_reste,MATCH(O109,Cl_cle,0)),""))</f>
        <v/>
      </c>
      <c r="S109" s="34">
        <f>IF(C109="","",YEAR(C109-WEEKDAY(C109,2)+4)&amp;"-S"&amp;TEXT(INT((C109-DATE(YEAR(C109-WEEKDAY(C109,2)+4),1,3)+WEEKDAY(DATE(YEAR(C109-WEEKDAY(C109,2)+4),1,3),2)+5)/7),"00"))</f>
        <v/>
      </c>
    </row>
    <row r="110" ht="18" customHeight="1">
      <c r="A110" s="39" t="n">
        <v>105</v>
      </c>
      <c r="B110" s="33">
        <f>IF(C110="","",IF(L110="À RENSEIGNER","GIC",L110)&amp;"-E"&amp;TEXT(A110,"00000"))</f>
        <v/>
      </c>
      <c r="C110" s="32" t="n"/>
      <c r="D110" s="36" t="n"/>
      <c r="E110" s="37" t="n"/>
      <c r="F110" s="36" t="n"/>
      <c r="G110" s="44" t="n"/>
      <c r="H110" s="43" t="n"/>
      <c r="I110" s="32" t="n"/>
      <c r="J110" s="44" t="n"/>
      <c r="K110" s="36" t="n"/>
      <c r="L110" s="33">
        <f>IF(C110="","",Commercial_Id)</f>
        <v/>
      </c>
      <c r="M110" s="34">
        <f>IF(OR(C110="",F110=""),"",IF(F110&lt;&gt;"Espèces","—",IF(I110&lt;&gt;"","☑ Oui","☐ Non")))</f>
        <v/>
      </c>
      <c r="N110" s="39">
        <f>IF(D110="","",IFERROR(VALUE(MID(D110,LEN(D110)-3,3)),""))</f>
        <v/>
      </c>
      <c r="O110" s="33">
        <f>IF(N110="","",L110&amp;"|"&amp;N110)</f>
        <v/>
      </c>
      <c r="P110" s="33">
        <f>IF(N110="","",IF(L110="À RENSEIGNER","GIC",L110)&amp;"-"&amp;TEXT(N110,"000"))</f>
        <v/>
      </c>
      <c r="Q110" s="33">
        <f>IF(O110="","",IFERROR(INDEX(Cl_nom,MATCH(O110,Cl_cle,0)),"(client introuvable)"))</f>
        <v/>
      </c>
      <c r="R110" s="40">
        <f>IF(O110="","",IFERROR(INDEX(Cl_reste,MATCH(O110,Cl_cle,0)),""))</f>
        <v/>
      </c>
      <c r="S110" s="34">
        <f>IF(C110="","",YEAR(C110-WEEKDAY(C110,2)+4)&amp;"-S"&amp;TEXT(INT((C110-DATE(YEAR(C110-WEEKDAY(C110,2)+4),1,3)+WEEKDAY(DATE(YEAR(C110-WEEKDAY(C110,2)+4),1,3),2)+5)/7),"00"))</f>
        <v/>
      </c>
    </row>
    <row r="111" ht="18" customHeight="1">
      <c r="A111" s="39" t="n">
        <v>106</v>
      </c>
      <c r="B111" s="33">
        <f>IF(C111="","",IF(L111="À RENSEIGNER","GIC",L111)&amp;"-E"&amp;TEXT(A111,"00000"))</f>
        <v/>
      </c>
      <c r="C111" s="32" t="n"/>
      <c r="D111" s="36" t="n"/>
      <c r="E111" s="37" t="n"/>
      <c r="F111" s="36" t="n"/>
      <c r="G111" s="44" t="n"/>
      <c r="H111" s="43" t="n"/>
      <c r="I111" s="32" t="n"/>
      <c r="J111" s="44" t="n"/>
      <c r="K111" s="36" t="n"/>
      <c r="L111" s="33">
        <f>IF(C111="","",Commercial_Id)</f>
        <v/>
      </c>
      <c r="M111" s="34">
        <f>IF(OR(C111="",F111=""),"",IF(F111&lt;&gt;"Espèces","—",IF(I111&lt;&gt;"","☑ Oui","☐ Non")))</f>
        <v/>
      </c>
      <c r="N111" s="39">
        <f>IF(D111="","",IFERROR(VALUE(MID(D111,LEN(D111)-3,3)),""))</f>
        <v/>
      </c>
      <c r="O111" s="33">
        <f>IF(N111="","",L111&amp;"|"&amp;N111)</f>
        <v/>
      </c>
      <c r="P111" s="33">
        <f>IF(N111="","",IF(L111="À RENSEIGNER","GIC",L111)&amp;"-"&amp;TEXT(N111,"000"))</f>
        <v/>
      </c>
      <c r="Q111" s="33">
        <f>IF(O111="","",IFERROR(INDEX(Cl_nom,MATCH(O111,Cl_cle,0)),"(client introuvable)"))</f>
        <v/>
      </c>
      <c r="R111" s="40">
        <f>IF(O111="","",IFERROR(INDEX(Cl_reste,MATCH(O111,Cl_cle,0)),""))</f>
        <v/>
      </c>
      <c r="S111" s="34">
        <f>IF(C111="","",YEAR(C111-WEEKDAY(C111,2)+4)&amp;"-S"&amp;TEXT(INT((C111-DATE(YEAR(C111-WEEKDAY(C111,2)+4),1,3)+WEEKDAY(DATE(YEAR(C111-WEEKDAY(C111,2)+4),1,3),2)+5)/7),"00"))</f>
        <v/>
      </c>
    </row>
    <row r="112" ht="18" customHeight="1">
      <c r="A112" s="39" t="n">
        <v>107</v>
      </c>
      <c r="B112" s="33">
        <f>IF(C112="","",IF(L112="À RENSEIGNER","GIC",L112)&amp;"-E"&amp;TEXT(A112,"00000"))</f>
        <v/>
      </c>
      <c r="C112" s="32" t="n"/>
      <c r="D112" s="36" t="n"/>
      <c r="E112" s="37" t="n"/>
      <c r="F112" s="36" t="n"/>
      <c r="G112" s="44" t="n"/>
      <c r="H112" s="43" t="n"/>
      <c r="I112" s="32" t="n"/>
      <c r="J112" s="44" t="n"/>
      <c r="K112" s="36" t="n"/>
      <c r="L112" s="33">
        <f>IF(C112="","",Commercial_Id)</f>
        <v/>
      </c>
      <c r="M112" s="34">
        <f>IF(OR(C112="",F112=""),"",IF(F112&lt;&gt;"Espèces","—",IF(I112&lt;&gt;"","☑ Oui","☐ Non")))</f>
        <v/>
      </c>
      <c r="N112" s="39">
        <f>IF(D112="","",IFERROR(VALUE(MID(D112,LEN(D112)-3,3)),""))</f>
        <v/>
      </c>
      <c r="O112" s="33">
        <f>IF(N112="","",L112&amp;"|"&amp;N112)</f>
        <v/>
      </c>
      <c r="P112" s="33">
        <f>IF(N112="","",IF(L112="À RENSEIGNER","GIC",L112)&amp;"-"&amp;TEXT(N112,"000"))</f>
        <v/>
      </c>
      <c r="Q112" s="33">
        <f>IF(O112="","",IFERROR(INDEX(Cl_nom,MATCH(O112,Cl_cle,0)),"(client introuvable)"))</f>
        <v/>
      </c>
      <c r="R112" s="40">
        <f>IF(O112="","",IFERROR(INDEX(Cl_reste,MATCH(O112,Cl_cle,0)),""))</f>
        <v/>
      </c>
      <c r="S112" s="34">
        <f>IF(C112="","",YEAR(C112-WEEKDAY(C112,2)+4)&amp;"-S"&amp;TEXT(INT((C112-DATE(YEAR(C112-WEEKDAY(C112,2)+4),1,3)+WEEKDAY(DATE(YEAR(C112-WEEKDAY(C112,2)+4),1,3),2)+5)/7),"00"))</f>
        <v/>
      </c>
    </row>
    <row r="113" ht="18" customHeight="1">
      <c r="A113" s="39" t="n">
        <v>108</v>
      </c>
      <c r="B113" s="33">
        <f>IF(C113="","",IF(L113="À RENSEIGNER","GIC",L113)&amp;"-E"&amp;TEXT(A113,"00000"))</f>
        <v/>
      </c>
      <c r="C113" s="32" t="n"/>
      <c r="D113" s="36" t="n"/>
      <c r="E113" s="37" t="n"/>
      <c r="F113" s="36" t="n"/>
      <c r="G113" s="44" t="n"/>
      <c r="H113" s="43" t="n"/>
      <c r="I113" s="32" t="n"/>
      <c r="J113" s="44" t="n"/>
      <c r="K113" s="36" t="n"/>
      <c r="L113" s="33">
        <f>IF(C113="","",Commercial_Id)</f>
        <v/>
      </c>
      <c r="M113" s="34">
        <f>IF(OR(C113="",F113=""),"",IF(F113&lt;&gt;"Espèces","—",IF(I113&lt;&gt;"","☑ Oui","☐ Non")))</f>
        <v/>
      </c>
      <c r="N113" s="39">
        <f>IF(D113="","",IFERROR(VALUE(MID(D113,LEN(D113)-3,3)),""))</f>
        <v/>
      </c>
      <c r="O113" s="33">
        <f>IF(N113="","",L113&amp;"|"&amp;N113)</f>
        <v/>
      </c>
      <c r="P113" s="33">
        <f>IF(N113="","",IF(L113="À RENSEIGNER","GIC",L113)&amp;"-"&amp;TEXT(N113,"000"))</f>
        <v/>
      </c>
      <c r="Q113" s="33">
        <f>IF(O113="","",IFERROR(INDEX(Cl_nom,MATCH(O113,Cl_cle,0)),"(client introuvable)"))</f>
        <v/>
      </c>
      <c r="R113" s="40">
        <f>IF(O113="","",IFERROR(INDEX(Cl_reste,MATCH(O113,Cl_cle,0)),""))</f>
        <v/>
      </c>
      <c r="S113" s="34">
        <f>IF(C113="","",YEAR(C113-WEEKDAY(C113,2)+4)&amp;"-S"&amp;TEXT(INT((C113-DATE(YEAR(C113-WEEKDAY(C113,2)+4),1,3)+WEEKDAY(DATE(YEAR(C113-WEEKDAY(C113,2)+4),1,3),2)+5)/7),"00"))</f>
        <v/>
      </c>
    </row>
    <row r="114" ht="18" customHeight="1">
      <c r="A114" s="39" t="n">
        <v>109</v>
      </c>
      <c r="B114" s="33">
        <f>IF(C114="","",IF(L114="À RENSEIGNER","GIC",L114)&amp;"-E"&amp;TEXT(A114,"00000"))</f>
        <v/>
      </c>
      <c r="C114" s="32" t="n"/>
      <c r="D114" s="36" t="n"/>
      <c r="E114" s="37" t="n"/>
      <c r="F114" s="36" t="n"/>
      <c r="G114" s="44" t="n"/>
      <c r="H114" s="43" t="n"/>
      <c r="I114" s="32" t="n"/>
      <c r="J114" s="44" t="n"/>
      <c r="K114" s="36" t="n"/>
      <c r="L114" s="33">
        <f>IF(C114="","",Commercial_Id)</f>
        <v/>
      </c>
      <c r="M114" s="34">
        <f>IF(OR(C114="",F114=""),"",IF(F114&lt;&gt;"Espèces","—",IF(I114&lt;&gt;"","☑ Oui","☐ Non")))</f>
        <v/>
      </c>
      <c r="N114" s="39">
        <f>IF(D114="","",IFERROR(VALUE(MID(D114,LEN(D114)-3,3)),""))</f>
        <v/>
      </c>
      <c r="O114" s="33">
        <f>IF(N114="","",L114&amp;"|"&amp;N114)</f>
        <v/>
      </c>
      <c r="P114" s="33">
        <f>IF(N114="","",IF(L114="À RENSEIGNER","GIC",L114)&amp;"-"&amp;TEXT(N114,"000"))</f>
        <v/>
      </c>
      <c r="Q114" s="33">
        <f>IF(O114="","",IFERROR(INDEX(Cl_nom,MATCH(O114,Cl_cle,0)),"(client introuvable)"))</f>
        <v/>
      </c>
      <c r="R114" s="40">
        <f>IF(O114="","",IFERROR(INDEX(Cl_reste,MATCH(O114,Cl_cle,0)),""))</f>
        <v/>
      </c>
      <c r="S114" s="34">
        <f>IF(C114="","",YEAR(C114-WEEKDAY(C114,2)+4)&amp;"-S"&amp;TEXT(INT((C114-DATE(YEAR(C114-WEEKDAY(C114,2)+4),1,3)+WEEKDAY(DATE(YEAR(C114-WEEKDAY(C114,2)+4),1,3),2)+5)/7),"00"))</f>
        <v/>
      </c>
    </row>
    <row r="115" ht="18" customHeight="1">
      <c r="A115" s="39" t="n">
        <v>110</v>
      </c>
      <c r="B115" s="33">
        <f>IF(C115="","",IF(L115="À RENSEIGNER","GIC",L115)&amp;"-E"&amp;TEXT(A115,"00000"))</f>
        <v/>
      </c>
      <c r="C115" s="32" t="n"/>
      <c r="D115" s="36" t="n"/>
      <c r="E115" s="37" t="n"/>
      <c r="F115" s="36" t="n"/>
      <c r="G115" s="44" t="n"/>
      <c r="H115" s="43" t="n"/>
      <c r="I115" s="32" t="n"/>
      <c r="J115" s="44" t="n"/>
      <c r="K115" s="36" t="n"/>
      <c r="L115" s="33">
        <f>IF(C115="","",Commercial_Id)</f>
        <v/>
      </c>
      <c r="M115" s="34">
        <f>IF(OR(C115="",F115=""),"",IF(F115&lt;&gt;"Espèces","—",IF(I115&lt;&gt;"","☑ Oui","☐ Non")))</f>
        <v/>
      </c>
      <c r="N115" s="39">
        <f>IF(D115="","",IFERROR(VALUE(MID(D115,LEN(D115)-3,3)),""))</f>
        <v/>
      </c>
      <c r="O115" s="33">
        <f>IF(N115="","",L115&amp;"|"&amp;N115)</f>
        <v/>
      </c>
      <c r="P115" s="33">
        <f>IF(N115="","",IF(L115="À RENSEIGNER","GIC",L115)&amp;"-"&amp;TEXT(N115,"000"))</f>
        <v/>
      </c>
      <c r="Q115" s="33">
        <f>IF(O115="","",IFERROR(INDEX(Cl_nom,MATCH(O115,Cl_cle,0)),"(client introuvable)"))</f>
        <v/>
      </c>
      <c r="R115" s="40">
        <f>IF(O115="","",IFERROR(INDEX(Cl_reste,MATCH(O115,Cl_cle,0)),""))</f>
        <v/>
      </c>
      <c r="S115" s="34">
        <f>IF(C115="","",YEAR(C115-WEEKDAY(C115,2)+4)&amp;"-S"&amp;TEXT(INT((C115-DATE(YEAR(C115-WEEKDAY(C115,2)+4),1,3)+WEEKDAY(DATE(YEAR(C115-WEEKDAY(C115,2)+4),1,3),2)+5)/7),"00"))</f>
        <v/>
      </c>
    </row>
    <row r="116" ht="18" customHeight="1">
      <c r="A116" s="39" t="n">
        <v>111</v>
      </c>
      <c r="B116" s="33">
        <f>IF(C116="","",IF(L116="À RENSEIGNER","GIC",L116)&amp;"-E"&amp;TEXT(A116,"00000"))</f>
        <v/>
      </c>
      <c r="C116" s="32" t="n"/>
      <c r="D116" s="36" t="n"/>
      <c r="E116" s="37" t="n"/>
      <c r="F116" s="36" t="n"/>
      <c r="G116" s="44" t="n"/>
      <c r="H116" s="43" t="n"/>
      <c r="I116" s="32" t="n"/>
      <c r="J116" s="44" t="n"/>
      <c r="K116" s="36" t="n"/>
      <c r="L116" s="33">
        <f>IF(C116="","",Commercial_Id)</f>
        <v/>
      </c>
      <c r="M116" s="34">
        <f>IF(OR(C116="",F116=""),"",IF(F116&lt;&gt;"Espèces","—",IF(I116&lt;&gt;"","☑ Oui","☐ Non")))</f>
        <v/>
      </c>
      <c r="N116" s="39">
        <f>IF(D116="","",IFERROR(VALUE(MID(D116,LEN(D116)-3,3)),""))</f>
        <v/>
      </c>
      <c r="O116" s="33">
        <f>IF(N116="","",L116&amp;"|"&amp;N116)</f>
        <v/>
      </c>
      <c r="P116" s="33">
        <f>IF(N116="","",IF(L116="À RENSEIGNER","GIC",L116)&amp;"-"&amp;TEXT(N116,"000"))</f>
        <v/>
      </c>
      <c r="Q116" s="33">
        <f>IF(O116="","",IFERROR(INDEX(Cl_nom,MATCH(O116,Cl_cle,0)),"(client introuvable)"))</f>
        <v/>
      </c>
      <c r="R116" s="40">
        <f>IF(O116="","",IFERROR(INDEX(Cl_reste,MATCH(O116,Cl_cle,0)),""))</f>
        <v/>
      </c>
      <c r="S116" s="34">
        <f>IF(C116="","",YEAR(C116-WEEKDAY(C116,2)+4)&amp;"-S"&amp;TEXT(INT((C116-DATE(YEAR(C116-WEEKDAY(C116,2)+4),1,3)+WEEKDAY(DATE(YEAR(C116-WEEKDAY(C116,2)+4),1,3),2)+5)/7),"00"))</f>
        <v/>
      </c>
    </row>
    <row r="117" ht="18" customHeight="1">
      <c r="A117" s="39" t="n">
        <v>112</v>
      </c>
      <c r="B117" s="33">
        <f>IF(C117="","",IF(L117="À RENSEIGNER","GIC",L117)&amp;"-E"&amp;TEXT(A117,"00000"))</f>
        <v/>
      </c>
      <c r="C117" s="32" t="n"/>
      <c r="D117" s="36" t="n"/>
      <c r="E117" s="37" t="n"/>
      <c r="F117" s="36" t="n"/>
      <c r="G117" s="44" t="n"/>
      <c r="H117" s="43" t="n"/>
      <c r="I117" s="32" t="n"/>
      <c r="J117" s="44" t="n"/>
      <c r="K117" s="36" t="n"/>
      <c r="L117" s="33">
        <f>IF(C117="","",Commercial_Id)</f>
        <v/>
      </c>
      <c r="M117" s="34">
        <f>IF(OR(C117="",F117=""),"",IF(F117&lt;&gt;"Espèces","—",IF(I117&lt;&gt;"","☑ Oui","☐ Non")))</f>
        <v/>
      </c>
      <c r="N117" s="39">
        <f>IF(D117="","",IFERROR(VALUE(MID(D117,LEN(D117)-3,3)),""))</f>
        <v/>
      </c>
      <c r="O117" s="33">
        <f>IF(N117="","",L117&amp;"|"&amp;N117)</f>
        <v/>
      </c>
      <c r="P117" s="33">
        <f>IF(N117="","",IF(L117="À RENSEIGNER","GIC",L117)&amp;"-"&amp;TEXT(N117,"000"))</f>
        <v/>
      </c>
      <c r="Q117" s="33">
        <f>IF(O117="","",IFERROR(INDEX(Cl_nom,MATCH(O117,Cl_cle,0)),"(client introuvable)"))</f>
        <v/>
      </c>
      <c r="R117" s="40">
        <f>IF(O117="","",IFERROR(INDEX(Cl_reste,MATCH(O117,Cl_cle,0)),""))</f>
        <v/>
      </c>
      <c r="S117" s="34">
        <f>IF(C117="","",YEAR(C117-WEEKDAY(C117,2)+4)&amp;"-S"&amp;TEXT(INT((C117-DATE(YEAR(C117-WEEKDAY(C117,2)+4),1,3)+WEEKDAY(DATE(YEAR(C117-WEEKDAY(C117,2)+4),1,3),2)+5)/7),"00"))</f>
        <v/>
      </c>
    </row>
    <row r="118" ht="18" customHeight="1">
      <c r="A118" s="39" t="n">
        <v>113</v>
      </c>
      <c r="B118" s="33">
        <f>IF(C118="","",IF(L118="À RENSEIGNER","GIC",L118)&amp;"-E"&amp;TEXT(A118,"00000"))</f>
        <v/>
      </c>
      <c r="C118" s="32" t="n"/>
      <c r="D118" s="36" t="n"/>
      <c r="E118" s="37" t="n"/>
      <c r="F118" s="36" t="n"/>
      <c r="G118" s="44" t="n"/>
      <c r="H118" s="43" t="n"/>
      <c r="I118" s="32" t="n"/>
      <c r="J118" s="44" t="n"/>
      <c r="K118" s="36" t="n"/>
      <c r="L118" s="33">
        <f>IF(C118="","",Commercial_Id)</f>
        <v/>
      </c>
      <c r="M118" s="34">
        <f>IF(OR(C118="",F118=""),"",IF(F118&lt;&gt;"Espèces","—",IF(I118&lt;&gt;"","☑ Oui","☐ Non")))</f>
        <v/>
      </c>
      <c r="N118" s="39">
        <f>IF(D118="","",IFERROR(VALUE(MID(D118,LEN(D118)-3,3)),""))</f>
        <v/>
      </c>
      <c r="O118" s="33">
        <f>IF(N118="","",L118&amp;"|"&amp;N118)</f>
        <v/>
      </c>
      <c r="P118" s="33">
        <f>IF(N118="","",IF(L118="À RENSEIGNER","GIC",L118)&amp;"-"&amp;TEXT(N118,"000"))</f>
        <v/>
      </c>
      <c r="Q118" s="33">
        <f>IF(O118="","",IFERROR(INDEX(Cl_nom,MATCH(O118,Cl_cle,0)),"(client introuvable)"))</f>
        <v/>
      </c>
      <c r="R118" s="40">
        <f>IF(O118="","",IFERROR(INDEX(Cl_reste,MATCH(O118,Cl_cle,0)),""))</f>
        <v/>
      </c>
      <c r="S118" s="34">
        <f>IF(C118="","",YEAR(C118-WEEKDAY(C118,2)+4)&amp;"-S"&amp;TEXT(INT((C118-DATE(YEAR(C118-WEEKDAY(C118,2)+4),1,3)+WEEKDAY(DATE(YEAR(C118-WEEKDAY(C118,2)+4),1,3),2)+5)/7),"00"))</f>
        <v/>
      </c>
    </row>
    <row r="119" ht="18" customHeight="1">
      <c r="A119" s="39" t="n">
        <v>114</v>
      </c>
      <c r="B119" s="33">
        <f>IF(C119="","",IF(L119="À RENSEIGNER","GIC",L119)&amp;"-E"&amp;TEXT(A119,"00000"))</f>
        <v/>
      </c>
      <c r="C119" s="32" t="n"/>
      <c r="D119" s="36" t="n"/>
      <c r="E119" s="37" t="n"/>
      <c r="F119" s="36" t="n"/>
      <c r="G119" s="44" t="n"/>
      <c r="H119" s="43" t="n"/>
      <c r="I119" s="32" t="n"/>
      <c r="J119" s="44" t="n"/>
      <c r="K119" s="36" t="n"/>
      <c r="L119" s="33">
        <f>IF(C119="","",Commercial_Id)</f>
        <v/>
      </c>
      <c r="M119" s="34">
        <f>IF(OR(C119="",F119=""),"",IF(F119&lt;&gt;"Espèces","—",IF(I119&lt;&gt;"","☑ Oui","☐ Non")))</f>
        <v/>
      </c>
      <c r="N119" s="39">
        <f>IF(D119="","",IFERROR(VALUE(MID(D119,LEN(D119)-3,3)),""))</f>
        <v/>
      </c>
      <c r="O119" s="33">
        <f>IF(N119="","",L119&amp;"|"&amp;N119)</f>
        <v/>
      </c>
      <c r="P119" s="33">
        <f>IF(N119="","",IF(L119="À RENSEIGNER","GIC",L119)&amp;"-"&amp;TEXT(N119,"000"))</f>
        <v/>
      </c>
      <c r="Q119" s="33">
        <f>IF(O119="","",IFERROR(INDEX(Cl_nom,MATCH(O119,Cl_cle,0)),"(client introuvable)"))</f>
        <v/>
      </c>
      <c r="R119" s="40">
        <f>IF(O119="","",IFERROR(INDEX(Cl_reste,MATCH(O119,Cl_cle,0)),""))</f>
        <v/>
      </c>
      <c r="S119" s="34">
        <f>IF(C119="","",YEAR(C119-WEEKDAY(C119,2)+4)&amp;"-S"&amp;TEXT(INT((C119-DATE(YEAR(C119-WEEKDAY(C119,2)+4),1,3)+WEEKDAY(DATE(YEAR(C119-WEEKDAY(C119,2)+4),1,3),2)+5)/7),"00"))</f>
        <v/>
      </c>
    </row>
    <row r="120" ht="18" customHeight="1">
      <c r="A120" s="39" t="n">
        <v>115</v>
      </c>
      <c r="B120" s="33">
        <f>IF(C120="","",IF(L120="À RENSEIGNER","GIC",L120)&amp;"-E"&amp;TEXT(A120,"00000"))</f>
        <v/>
      </c>
      <c r="C120" s="32" t="n"/>
      <c r="D120" s="36" t="n"/>
      <c r="E120" s="37" t="n"/>
      <c r="F120" s="36" t="n"/>
      <c r="G120" s="44" t="n"/>
      <c r="H120" s="43" t="n"/>
      <c r="I120" s="32" t="n"/>
      <c r="J120" s="44" t="n"/>
      <c r="K120" s="36" t="n"/>
      <c r="L120" s="33">
        <f>IF(C120="","",Commercial_Id)</f>
        <v/>
      </c>
      <c r="M120" s="34">
        <f>IF(OR(C120="",F120=""),"",IF(F120&lt;&gt;"Espèces","—",IF(I120&lt;&gt;"","☑ Oui","☐ Non")))</f>
        <v/>
      </c>
      <c r="N120" s="39">
        <f>IF(D120="","",IFERROR(VALUE(MID(D120,LEN(D120)-3,3)),""))</f>
        <v/>
      </c>
      <c r="O120" s="33">
        <f>IF(N120="","",L120&amp;"|"&amp;N120)</f>
        <v/>
      </c>
      <c r="P120" s="33">
        <f>IF(N120="","",IF(L120="À RENSEIGNER","GIC",L120)&amp;"-"&amp;TEXT(N120,"000"))</f>
        <v/>
      </c>
      <c r="Q120" s="33">
        <f>IF(O120="","",IFERROR(INDEX(Cl_nom,MATCH(O120,Cl_cle,0)),"(client introuvable)"))</f>
        <v/>
      </c>
      <c r="R120" s="40">
        <f>IF(O120="","",IFERROR(INDEX(Cl_reste,MATCH(O120,Cl_cle,0)),""))</f>
        <v/>
      </c>
      <c r="S120" s="34">
        <f>IF(C120="","",YEAR(C120-WEEKDAY(C120,2)+4)&amp;"-S"&amp;TEXT(INT((C120-DATE(YEAR(C120-WEEKDAY(C120,2)+4),1,3)+WEEKDAY(DATE(YEAR(C120-WEEKDAY(C120,2)+4),1,3),2)+5)/7),"00"))</f>
        <v/>
      </c>
    </row>
    <row r="121" ht="18" customHeight="1">
      <c r="A121" s="39" t="n">
        <v>116</v>
      </c>
      <c r="B121" s="33">
        <f>IF(C121="","",IF(L121="À RENSEIGNER","GIC",L121)&amp;"-E"&amp;TEXT(A121,"00000"))</f>
        <v/>
      </c>
      <c r="C121" s="32" t="n"/>
      <c r="D121" s="36" t="n"/>
      <c r="E121" s="37" t="n"/>
      <c r="F121" s="36" t="n"/>
      <c r="G121" s="44" t="n"/>
      <c r="H121" s="43" t="n"/>
      <c r="I121" s="32" t="n"/>
      <c r="J121" s="44" t="n"/>
      <c r="K121" s="36" t="n"/>
      <c r="L121" s="33">
        <f>IF(C121="","",Commercial_Id)</f>
        <v/>
      </c>
      <c r="M121" s="34">
        <f>IF(OR(C121="",F121=""),"",IF(F121&lt;&gt;"Espèces","—",IF(I121&lt;&gt;"","☑ Oui","☐ Non")))</f>
        <v/>
      </c>
      <c r="N121" s="39">
        <f>IF(D121="","",IFERROR(VALUE(MID(D121,LEN(D121)-3,3)),""))</f>
        <v/>
      </c>
      <c r="O121" s="33">
        <f>IF(N121="","",L121&amp;"|"&amp;N121)</f>
        <v/>
      </c>
      <c r="P121" s="33">
        <f>IF(N121="","",IF(L121="À RENSEIGNER","GIC",L121)&amp;"-"&amp;TEXT(N121,"000"))</f>
        <v/>
      </c>
      <c r="Q121" s="33">
        <f>IF(O121="","",IFERROR(INDEX(Cl_nom,MATCH(O121,Cl_cle,0)),"(client introuvable)"))</f>
        <v/>
      </c>
      <c r="R121" s="40">
        <f>IF(O121="","",IFERROR(INDEX(Cl_reste,MATCH(O121,Cl_cle,0)),""))</f>
        <v/>
      </c>
      <c r="S121" s="34">
        <f>IF(C121="","",YEAR(C121-WEEKDAY(C121,2)+4)&amp;"-S"&amp;TEXT(INT((C121-DATE(YEAR(C121-WEEKDAY(C121,2)+4),1,3)+WEEKDAY(DATE(YEAR(C121-WEEKDAY(C121,2)+4),1,3),2)+5)/7),"00"))</f>
        <v/>
      </c>
    </row>
    <row r="122" ht="18" customHeight="1">
      <c r="A122" s="39" t="n">
        <v>117</v>
      </c>
      <c r="B122" s="33">
        <f>IF(C122="","",IF(L122="À RENSEIGNER","GIC",L122)&amp;"-E"&amp;TEXT(A122,"00000"))</f>
        <v/>
      </c>
      <c r="C122" s="32" t="n"/>
      <c r="D122" s="36" t="n"/>
      <c r="E122" s="37" t="n"/>
      <c r="F122" s="36" t="n"/>
      <c r="G122" s="44" t="n"/>
      <c r="H122" s="43" t="n"/>
      <c r="I122" s="32" t="n"/>
      <c r="J122" s="44" t="n"/>
      <c r="K122" s="36" t="n"/>
      <c r="L122" s="33">
        <f>IF(C122="","",Commercial_Id)</f>
        <v/>
      </c>
      <c r="M122" s="34">
        <f>IF(OR(C122="",F122=""),"",IF(F122&lt;&gt;"Espèces","—",IF(I122&lt;&gt;"","☑ Oui","☐ Non")))</f>
        <v/>
      </c>
      <c r="N122" s="39">
        <f>IF(D122="","",IFERROR(VALUE(MID(D122,LEN(D122)-3,3)),""))</f>
        <v/>
      </c>
      <c r="O122" s="33">
        <f>IF(N122="","",L122&amp;"|"&amp;N122)</f>
        <v/>
      </c>
      <c r="P122" s="33">
        <f>IF(N122="","",IF(L122="À RENSEIGNER","GIC",L122)&amp;"-"&amp;TEXT(N122,"000"))</f>
        <v/>
      </c>
      <c r="Q122" s="33">
        <f>IF(O122="","",IFERROR(INDEX(Cl_nom,MATCH(O122,Cl_cle,0)),"(client introuvable)"))</f>
        <v/>
      </c>
      <c r="R122" s="40">
        <f>IF(O122="","",IFERROR(INDEX(Cl_reste,MATCH(O122,Cl_cle,0)),""))</f>
        <v/>
      </c>
      <c r="S122" s="34">
        <f>IF(C122="","",YEAR(C122-WEEKDAY(C122,2)+4)&amp;"-S"&amp;TEXT(INT((C122-DATE(YEAR(C122-WEEKDAY(C122,2)+4),1,3)+WEEKDAY(DATE(YEAR(C122-WEEKDAY(C122,2)+4),1,3),2)+5)/7),"00"))</f>
        <v/>
      </c>
    </row>
    <row r="123" ht="18" customHeight="1">
      <c r="A123" s="39" t="n">
        <v>118</v>
      </c>
      <c r="B123" s="33">
        <f>IF(C123="","",IF(L123="À RENSEIGNER","GIC",L123)&amp;"-E"&amp;TEXT(A123,"00000"))</f>
        <v/>
      </c>
      <c r="C123" s="32" t="n"/>
      <c r="D123" s="36" t="n"/>
      <c r="E123" s="37" t="n"/>
      <c r="F123" s="36" t="n"/>
      <c r="G123" s="44" t="n"/>
      <c r="H123" s="43" t="n"/>
      <c r="I123" s="32" t="n"/>
      <c r="J123" s="44" t="n"/>
      <c r="K123" s="36" t="n"/>
      <c r="L123" s="33">
        <f>IF(C123="","",Commercial_Id)</f>
        <v/>
      </c>
      <c r="M123" s="34">
        <f>IF(OR(C123="",F123=""),"",IF(F123&lt;&gt;"Espèces","—",IF(I123&lt;&gt;"","☑ Oui","☐ Non")))</f>
        <v/>
      </c>
      <c r="N123" s="39">
        <f>IF(D123="","",IFERROR(VALUE(MID(D123,LEN(D123)-3,3)),""))</f>
        <v/>
      </c>
      <c r="O123" s="33">
        <f>IF(N123="","",L123&amp;"|"&amp;N123)</f>
        <v/>
      </c>
      <c r="P123" s="33">
        <f>IF(N123="","",IF(L123="À RENSEIGNER","GIC",L123)&amp;"-"&amp;TEXT(N123,"000"))</f>
        <v/>
      </c>
      <c r="Q123" s="33">
        <f>IF(O123="","",IFERROR(INDEX(Cl_nom,MATCH(O123,Cl_cle,0)),"(client introuvable)"))</f>
        <v/>
      </c>
      <c r="R123" s="40">
        <f>IF(O123="","",IFERROR(INDEX(Cl_reste,MATCH(O123,Cl_cle,0)),""))</f>
        <v/>
      </c>
      <c r="S123" s="34">
        <f>IF(C123="","",YEAR(C123-WEEKDAY(C123,2)+4)&amp;"-S"&amp;TEXT(INT((C123-DATE(YEAR(C123-WEEKDAY(C123,2)+4),1,3)+WEEKDAY(DATE(YEAR(C123-WEEKDAY(C123,2)+4),1,3),2)+5)/7),"00"))</f>
        <v/>
      </c>
    </row>
    <row r="124" ht="18" customHeight="1">
      <c r="A124" s="39" t="n">
        <v>119</v>
      </c>
      <c r="B124" s="33">
        <f>IF(C124="","",IF(L124="À RENSEIGNER","GIC",L124)&amp;"-E"&amp;TEXT(A124,"00000"))</f>
        <v/>
      </c>
      <c r="C124" s="32" t="n"/>
      <c r="D124" s="36" t="n"/>
      <c r="E124" s="37" t="n"/>
      <c r="F124" s="36" t="n"/>
      <c r="G124" s="44" t="n"/>
      <c r="H124" s="43" t="n"/>
      <c r="I124" s="32" t="n"/>
      <c r="J124" s="44" t="n"/>
      <c r="K124" s="36" t="n"/>
      <c r="L124" s="33">
        <f>IF(C124="","",Commercial_Id)</f>
        <v/>
      </c>
      <c r="M124" s="34">
        <f>IF(OR(C124="",F124=""),"",IF(F124&lt;&gt;"Espèces","—",IF(I124&lt;&gt;"","☑ Oui","☐ Non")))</f>
        <v/>
      </c>
      <c r="N124" s="39">
        <f>IF(D124="","",IFERROR(VALUE(MID(D124,LEN(D124)-3,3)),""))</f>
        <v/>
      </c>
      <c r="O124" s="33">
        <f>IF(N124="","",L124&amp;"|"&amp;N124)</f>
        <v/>
      </c>
      <c r="P124" s="33">
        <f>IF(N124="","",IF(L124="À RENSEIGNER","GIC",L124)&amp;"-"&amp;TEXT(N124,"000"))</f>
        <v/>
      </c>
      <c r="Q124" s="33">
        <f>IF(O124="","",IFERROR(INDEX(Cl_nom,MATCH(O124,Cl_cle,0)),"(client introuvable)"))</f>
        <v/>
      </c>
      <c r="R124" s="40">
        <f>IF(O124="","",IFERROR(INDEX(Cl_reste,MATCH(O124,Cl_cle,0)),""))</f>
        <v/>
      </c>
      <c r="S124" s="34">
        <f>IF(C124="","",YEAR(C124-WEEKDAY(C124,2)+4)&amp;"-S"&amp;TEXT(INT((C124-DATE(YEAR(C124-WEEKDAY(C124,2)+4),1,3)+WEEKDAY(DATE(YEAR(C124-WEEKDAY(C124,2)+4),1,3),2)+5)/7),"00"))</f>
        <v/>
      </c>
    </row>
    <row r="125" ht="18" customHeight="1">
      <c r="A125" s="39" t="n">
        <v>120</v>
      </c>
      <c r="B125" s="33">
        <f>IF(C125="","",IF(L125="À RENSEIGNER","GIC",L125)&amp;"-E"&amp;TEXT(A125,"00000"))</f>
        <v/>
      </c>
      <c r="C125" s="32" t="n"/>
      <c r="D125" s="36" t="n"/>
      <c r="E125" s="37" t="n"/>
      <c r="F125" s="36" t="n"/>
      <c r="G125" s="44" t="n"/>
      <c r="H125" s="43" t="n"/>
      <c r="I125" s="32" t="n"/>
      <c r="J125" s="44" t="n"/>
      <c r="K125" s="36" t="n"/>
      <c r="L125" s="33">
        <f>IF(C125="","",Commercial_Id)</f>
        <v/>
      </c>
      <c r="M125" s="34">
        <f>IF(OR(C125="",F125=""),"",IF(F125&lt;&gt;"Espèces","—",IF(I125&lt;&gt;"","☑ Oui","☐ Non")))</f>
        <v/>
      </c>
      <c r="N125" s="39">
        <f>IF(D125="","",IFERROR(VALUE(MID(D125,LEN(D125)-3,3)),""))</f>
        <v/>
      </c>
      <c r="O125" s="33">
        <f>IF(N125="","",L125&amp;"|"&amp;N125)</f>
        <v/>
      </c>
      <c r="P125" s="33">
        <f>IF(N125="","",IF(L125="À RENSEIGNER","GIC",L125)&amp;"-"&amp;TEXT(N125,"000"))</f>
        <v/>
      </c>
      <c r="Q125" s="33">
        <f>IF(O125="","",IFERROR(INDEX(Cl_nom,MATCH(O125,Cl_cle,0)),"(client introuvable)"))</f>
        <v/>
      </c>
      <c r="R125" s="40">
        <f>IF(O125="","",IFERROR(INDEX(Cl_reste,MATCH(O125,Cl_cle,0)),""))</f>
        <v/>
      </c>
      <c r="S125" s="34">
        <f>IF(C125="","",YEAR(C125-WEEKDAY(C125,2)+4)&amp;"-S"&amp;TEXT(INT((C125-DATE(YEAR(C125-WEEKDAY(C125,2)+4),1,3)+WEEKDAY(DATE(YEAR(C125-WEEKDAY(C125,2)+4),1,3),2)+5)/7),"00"))</f>
        <v/>
      </c>
    </row>
    <row r="126" ht="18" customHeight="1">
      <c r="A126" s="39" t="n">
        <v>121</v>
      </c>
      <c r="B126" s="33">
        <f>IF(C126="","",IF(L126="À RENSEIGNER","GIC",L126)&amp;"-E"&amp;TEXT(A126,"00000"))</f>
        <v/>
      </c>
      <c r="C126" s="32" t="n"/>
      <c r="D126" s="36" t="n"/>
      <c r="E126" s="37" t="n"/>
      <c r="F126" s="36" t="n"/>
      <c r="G126" s="44" t="n"/>
      <c r="H126" s="43" t="n"/>
      <c r="I126" s="32" t="n"/>
      <c r="J126" s="44" t="n"/>
      <c r="K126" s="36" t="n"/>
      <c r="L126" s="33">
        <f>IF(C126="","",Commercial_Id)</f>
        <v/>
      </c>
      <c r="M126" s="34">
        <f>IF(OR(C126="",F126=""),"",IF(F126&lt;&gt;"Espèces","—",IF(I126&lt;&gt;"","☑ Oui","☐ Non")))</f>
        <v/>
      </c>
      <c r="N126" s="39">
        <f>IF(D126="","",IFERROR(VALUE(MID(D126,LEN(D126)-3,3)),""))</f>
        <v/>
      </c>
      <c r="O126" s="33">
        <f>IF(N126="","",L126&amp;"|"&amp;N126)</f>
        <v/>
      </c>
      <c r="P126" s="33">
        <f>IF(N126="","",IF(L126="À RENSEIGNER","GIC",L126)&amp;"-"&amp;TEXT(N126,"000"))</f>
        <v/>
      </c>
      <c r="Q126" s="33">
        <f>IF(O126="","",IFERROR(INDEX(Cl_nom,MATCH(O126,Cl_cle,0)),"(client introuvable)"))</f>
        <v/>
      </c>
      <c r="R126" s="40">
        <f>IF(O126="","",IFERROR(INDEX(Cl_reste,MATCH(O126,Cl_cle,0)),""))</f>
        <v/>
      </c>
      <c r="S126" s="34">
        <f>IF(C126="","",YEAR(C126-WEEKDAY(C126,2)+4)&amp;"-S"&amp;TEXT(INT((C126-DATE(YEAR(C126-WEEKDAY(C126,2)+4),1,3)+WEEKDAY(DATE(YEAR(C126-WEEKDAY(C126,2)+4),1,3),2)+5)/7),"00"))</f>
        <v/>
      </c>
    </row>
    <row r="127" ht="18" customHeight="1">
      <c r="A127" s="39" t="n">
        <v>122</v>
      </c>
      <c r="B127" s="33">
        <f>IF(C127="","",IF(L127="À RENSEIGNER","GIC",L127)&amp;"-E"&amp;TEXT(A127,"00000"))</f>
        <v/>
      </c>
      <c r="C127" s="32" t="n"/>
      <c r="D127" s="36" t="n"/>
      <c r="E127" s="37" t="n"/>
      <c r="F127" s="36" t="n"/>
      <c r="G127" s="44" t="n"/>
      <c r="H127" s="43" t="n"/>
      <c r="I127" s="32" t="n"/>
      <c r="J127" s="44" t="n"/>
      <c r="K127" s="36" t="n"/>
      <c r="L127" s="33">
        <f>IF(C127="","",Commercial_Id)</f>
        <v/>
      </c>
      <c r="M127" s="34">
        <f>IF(OR(C127="",F127=""),"",IF(F127&lt;&gt;"Espèces","—",IF(I127&lt;&gt;"","☑ Oui","☐ Non")))</f>
        <v/>
      </c>
      <c r="N127" s="39">
        <f>IF(D127="","",IFERROR(VALUE(MID(D127,LEN(D127)-3,3)),""))</f>
        <v/>
      </c>
      <c r="O127" s="33">
        <f>IF(N127="","",L127&amp;"|"&amp;N127)</f>
        <v/>
      </c>
      <c r="P127" s="33">
        <f>IF(N127="","",IF(L127="À RENSEIGNER","GIC",L127)&amp;"-"&amp;TEXT(N127,"000"))</f>
        <v/>
      </c>
      <c r="Q127" s="33">
        <f>IF(O127="","",IFERROR(INDEX(Cl_nom,MATCH(O127,Cl_cle,0)),"(client introuvable)"))</f>
        <v/>
      </c>
      <c r="R127" s="40">
        <f>IF(O127="","",IFERROR(INDEX(Cl_reste,MATCH(O127,Cl_cle,0)),""))</f>
        <v/>
      </c>
      <c r="S127" s="34">
        <f>IF(C127="","",YEAR(C127-WEEKDAY(C127,2)+4)&amp;"-S"&amp;TEXT(INT((C127-DATE(YEAR(C127-WEEKDAY(C127,2)+4),1,3)+WEEKDAY(DATE(YEAR(C127-WEEKDAY(C127,2)+4),1,3),2)+5)/7),"00"))</f>
        <v/>
      </c>
    </row>
    <row r="128" ht="18" customHeight="1">
      <c r="A128" s="39" t="n">
        <v>123</v>
      </c>
      <c r="B128" s="33">
        <f>IF(C128="","",IF(L128="À RENSEIGNER","GIC",L128)&amp;"-E"&amp;TEXT(A128,"00000"))</f>
        <v/>
      </c>
      <c r="C128" s="32" t="n"/>
      <c r="D128" s="36" t="n"/>
      <c r="E128" s="37" t="n"/>
      <c r="F128" s="36" t="n"/>
      <c r="G128" s="44" t="n"/>
      <c r="H128" s="43" t="n"/>
      <c r="I128" s="32" t="n"/>
      <c r="J128" s="44" t="n"/>
      <c r="K128" s="36" t="n"/>
      <c r="L128" s="33">
        <f>IF(C128="","",Commercial_Id)</f>
        <v/>
      </c>
      <c r="M128" s="34">
        <f>IF(OR(C128="",F128=""),"",IF(F128&lt;&gt;"Espèces","—",IF(I128&lt;&gt;"","☑ Oui","☐ Non")))</f>
        <v/>
      </c>
      <c r="N128" s="39">
        <f>IF(D128="","",IFERROR(VALUE(MID(D128,LEN(D128)-3,3)),""))</f>
        <v/>
      </c>
      <c r="O128" s="33">
        <f>IF(N128="","",L128&amp;"|"&amp;N128)</f>
        <v/>
      </c>
      <c r="P128" s="33">
        <f>IF(N128="","",IF(L128="À RENSEIGNER","GIC",L128)&amp;"-"&amp;TEXT(N128,"000"))</f>
        <v/>
      </c>
      <c r="Q128" s="33">
        <f>IF(O128="","",IFERROR(INDEX(Cl_nom,MATCH(O128,Cl_cle,0)),"(client introuvable)"))</f>
        <v/>
      </c>
      <c r="R128" s="40">
        <f>IF(O128="","",IFERROR(INDEX(Cl_reste,MATCH(O128,Cl_cle,0)),""))</f>
        <v/>
      </c>
      <c r="S128" s="34">
        <f>IF(C128="","",YEAR(C128-WEEKDAY(C128,2)+4)&amp;"-S"&amp;TEXT(INT((C128-DATE(YEAR(C128-WEEKDAY(C128,2)+4),1,3)+WEEKDAY(DATE(YEAR(C128-WEEKDAY(C128,2)+4),1,3),2)+5)/7),"00"))</f>
        <v/>
      </c>
    </row>
    <row r="129" ht="18" customHeight="1">
      <c r="A129" s="39" t="n">
        <v>124</v>
      </c>
      <c r="B129" s="33">
        <f>IF(C129="","",IF(L129="À RENSEIGNER","GIC",L129)&amp;"-E"&amp;TEXT(A129,"00000"))</f>
        <v/>
      </c>
      <c r="C129" s="32" t="n"/>
      <c r="D129" s="36" t="n"/>
      <c r="E129" s="37" t="n"/>
      <c r="F129" s="36" t="n"/>
      <c r="G129" s="44" t="n"/>
      <c r="H129" s="43" t="n"/>
      <c r="I129" s="32" t="n"/>
      <c r="J129" s="44" t="n"/>
      <c r="K129" s="36" t="n"/>
      <c r="L129" s="33">
        <f>IF(C129="","",Commercial_Id)</f>
        <v/>
      </c>
      <c r="M129" s="34">
        <f>IF(OR(C129="",F129=""),"",IF(F129&lt;&gt;"Espèces","—",IF(I129&lt;&gt;"","☑ Oui","☐ Non")))</f>
        <v/>
      </c>
      <c r="N129" s="39">
        <f>IF(D129="","",IFERROR(VALUE(MID(D129,LEN(D129)-3,3)),""))</f>
        <v/>
      </c>
      <c r="O129" s="33">
        <f>IF(N129="","",L129&amp;"|"&amp;N129)</f>
        <v/>
      </c>
      <c r="P129" s="33">
        <f>IF(N129="","",IF(L129="À RENSEIGNER","GIC",L129)&amp;"-"&amp;TEXT(N129,"000"))</f>
        <v/>
      </c>
      <c r="Q129" s="33">
        <f>IF(O129="","",IFERROR(INDEX(Cl_nom,MATCH(O129,Cl_cle,0)),"(client introuvable)"))</f>
        <v/>
      </c>
      <c r="R129" s="40">
        <f>IF(O129="","",IFERROR(INDEX(Cl_reste,MATCH(O129,Cl_cle,0)),""))</f>
        <v/>
      </c>
      <c r="S129" s="34">
        <f>IF(C129="","",YEAR(C129-WEEKDAY(C129,2)+4)&amp;"-S"&amp;TEXT(INT((C129-DATE(YEAR(C129-WEEKDAY(C129,2)+4),1,3)+WEEKDAY(DATE(YEAR(C129-WEEKDAY(C129,2)+4),1,3),2)+5)/7),"00"))</f>
        <v/>
      </c>
    </row>
    <row r="130" ht="18" customHeight="1">
      <c r="A130" s="39" t="n">
        <v>125</v>
      </c>
      <c r="B130" s="33">
        <f>IF(C130="","",IF(L130="À RENSEIGNER","GIC",L130)&amp;"-E"&amp;TEXT(A130,"00000"))</f>
        <v/>
      </c>
      <c r="C130" s="32" t="n"/>
      <c r="D130" s="36" t="n"/>
      <c r="E130" s="37" t="n"/>
      <c r="F130" s="36" t="n"/>
      <c r="G130" s="44" t="n"/>
      <c r="H130" s="43" t="n"/>
      <c r="I130" s="32" t="n"/>
      <c r="J130" s="44" t="n"/>
      <c r="K130" s="36" t="n"/>
      <c r="L130" s="33">
        <f>IF(C130="","",Commercial_Id)</f>
        <v/>
      </c>
      <c r="M130" s="34">
        <f>IF(OR(C130="",F130=""),"",IF(F130&lt;&gt;"Espèces","—",IF(I130&lt;&gt;"","☑ Oui","☐ Non")))</f>
        <v/>
      </c>
      <c r="N130" s="39">
        <f>IF(D130="","",IFERROR(VALUE(MID(D130,LEN(D130)-3,3)),""))</f>
        <v/>
      </c>
      <c r="O130" s="33">
        <f>IF(N130="","",L130&amp;"|"&amp;N130)</f>
        <v/>
      </c>
      <c r="P130" s="33">
        <f>IF(N130="","",IF(L130="À RENSEIGNER","GIC",L130)&amp;"-"&amp;TEXT(N130,"000"))</f>
        <v/>
      </c>
      <c r="Q130" s="33">
        <f>IF(O130="","",IFERROR(INDEX(Cl_nom,MATCH(O130,Cl_cle,0)),"(client introuvable)"))</f>
        <v/>
      </c>
      <c r="R130" s="40">
        <f>IF(O130="","",IFERROR(INDEX(Cl_reste,MATCH(O130,Cl_cle,0)),""))</f>
        <v/>
      </c>
      <c r="S130" s="34">
        <f>IF(C130="","",YEAR(C130-WEEKDAY(C130,2)+4)&amp;"-S"&amp;TEXT(INT((C130-DATE(YEAR(C130-WEEKDAY(C130,2)+4),1,3)+WEEKDAY(DATE(YEAR(C130-WEEKDAY(C130,2)+4),1,3),2)+5)/7),"00"))</f>
        <v/>
      </c>
    </row>
    <row r="131" ht="18" customHeight="1">
      <c r="A131" s="39" t="n">
        <v>126</v>
      </c>
      <c r="B131" s="33">
        <f>IF(C131="","",IF(L131="À RENSEIGNER","GIC",L131)&amp;"-E"&amp;TEXT(A131,"00000"))</f>
        <v/>
      </c>
      <c r="C131" s="32" t="n"/>
      <c r="D131" s="36" t="n"/>
      <c r="E131" s="37" t="n"/>
      <c r="F131" s="36" t="n"/>
      <c r="G131" s="44" t="n"/>
      <c r="H131" s="43" t="n"/>
      <c r="I131" s="32" t="n"/>
      <c r="J131" s="44" t="n"/>
      <c r="K131" s="36" t="n"/>
      <c r="L131" s="33">
        <f>IF(C131="","",Commercial_Id)</f>
        <v/>
      </c>
      <c r="M131" s="34">
        <f>IF(OR(C131="",F131=""),"",IF(F131&lt;&gt;"Espèces","—",IF(I131&lt;&gt;"","☑ Oui","☐ Non")))</f>
        <v/>
      </c>
      <c r="N131" s="39">
        <f>IF(D131="","",IFERROR(VALUE(MID(D131,LEN(D131)-3,3)),""))</f>
        <v/>
      </c>
      <c r="O131" s="33">
        <f>IF(N131="","",L131&amp;"|"&amp;N131)</f>
        <v/>
      </c>
      <c r="P131" s="33">
        <f>IF(N131="","",IF(L131="À RENSEIGNER","GIC",L131)&amp;"-"&amp;TEXT(N131,"000"))</f>
        <v/>
      </c>
      <c r="Q131" s="33">
        <f>IF(O131="","",IFERROR(INDEX(Cl_nom,MATCH(O131,Cl_cle,0)),"(client introuvable)"))</f>
        <v/>
      </c>
      <c r="R131" s="40">
        <f>IF(O131="","",IFERROR(INDEX(Cl_reste,MATCH(O131,Cl_cle,0)),""))</f>
        <v/>
      </c>
      <c r="S131" s="34">
        <f>IF(C131="","",YEAR(C131-WEEKDAY(C131,2)+4)&amp;"-S"&amp;TEXT(INT((C131-DATE(YEAR(C131-WEEKDAY(C131,2)+4),1,3)+WEEKDAY(DATE(YEAR(C131-WEEKDAY(C131,2)+4),1,3),2)+5)/7),"00"))</f>
        <v/>
      </c>
    </row>
    <row r="132" ht="18" customHeight="1">
      <c r="A132" s="39" t="n">
        <v>127</v>
      </c>
      <c r="B132" s="33">
        <f>IF(C132="","",IF(L132="À RENSEIGNER","GIC",L132)&amp;"-E"&amp;TEXT(A132,"00000"))</f>
        <v/>
      </c>
      <c r="C132" s="32" t="n"/>
      <c r="D132" s="36" t="n"/>
      <c r="E132" s="37" t="n"/>
      <c r="F132" s="36" t="n"/>
      <c r="G132" s="44" t="n"/>
      <c r="H132" s="43" t="n"/>
      <c r="I132" s="32" t="n"/>
      <c r="J132" s="44" t="n"/>
      <c r="K132" s="36" t="n"/>
      <c r="L132" s="33">
        <f>IF(C132="","",Commercial_Id)</f>
        <v/>
      </c>
      <c r="M132" s="34">
        <f>IF(OR(C132="",F132=""),"",IF(F132&lt;&gt;"Espèces","—",IF(I132&lt;&gt;"","☑ Oui","☐ Non")))</f>
        <v/>
      </c>
      <c r="N132" s="39">
        <f>IF(D132="","",IFERROR(VALUE(MID(D132,LEN(D132)-3,3)),""))</f>
        <v/>
      </c>
      <c r="O132" s="33">
        <f>IF(N132="","",L132&amp;"|"&amp;N132)</f>
        <v/>
      </c>
      <c r="P132" s="33">
        <f>IF(N132="","",IF(L132="À RENSEIGNER","GIC",L132)&amp;"-"&amp;TEXT(N132,"000"))</f>
        <v/>
      </c>
      <c r="Q132" s="33">
        <f>IF(O132="","",IFERROR(INDEX(Cl_nom,MATCH(O132,Cl_cle,0)),"(client introuvable)"))</f>
        <v/>
      </c>
      <c r="R132" s="40">
        <f>IF(O132="","",IFERROR(INDEX(Cl_reste,MATCH(O132,Cl_cle,0)),""))</f>
        <v/>
      </c>
      <c r="S132" s="34">
        <f>IF(C132="","",YEAR(C132-WEEKDAY(C132,2)+4)&amp;"-S"&amp;TEXT(INT((C132-DATE(YEAR(C132-WEEKDAY(C132,2)+4),1,3)+WEEKDAY(DATE(YEAR(C132-WEEKDAY(C132,2)+4),1,3),2)+5)/7),"00"))</f>
        <v/>
      </c>
    </row>
    <row r="133" ht="18" customHeight="1">
      <c r="A133" s="39" t="n">
        <v>128</v>
      </c>
      <c r="B133" s="33">
        <f>IF(C133="","",IF(L133="À RENSEIGNER","GIC",L133)&amp;"-E"&amp;TEXT(A133,"00000"))</f>
        <v/>
      </c>
      <c r="C133" s="32" t="n"/>
      <c r="D133" s="36" t="n"/>
      <c r="E133" s="37" t="n"/>
      <c r="F133" s="36" t="n"/>
      <c r="G133" s="44" t="n"/>
      <c r="H133" s="43" t="n"/>
      <c r="I133" s="32" t="n"/>
      <c r="J133" s="44" t="n"/>
      <c r="K133" s="36" t="n"/>
      <c r="L133" s="33">
        <f>IF(C133="","",Commercial_Id)</f>
        <v/>
      </c>
      <c r="M133" s="34">
        <f>IF(OR(C133="",F133=""),"",IF(F133&lt;&gt;"Espèces","—",IF(I133&lt;&gt;"","☑ Oui","☐ Non")))</f>
        <v/>
      </c>
      <c r="N133" s="39">
        <f>IF(D133="","",IFERROR(VALUE(MID(D133,LEN(D133)-3,3)),""))</f>
        <v/>
      </c>
      <c r="O133" s="33">
        <f>IF(N133="","",L133&amp;"|"&amp;N133)</f>
        <v/>
      </c>
      <c r="P133" s="33">
        <f>IF(N133="","",IF(L133="À RENSEIGNER","GIC",L133)&amp;"-"&amp;TEXT(N133,"000"))</f>
        <v/>
      </c>
      <c r="Q133" s="33">
        <f>IF(O133="","",IFERROR(INDEX(Cl_nom,MATCH(O133,Cl_cle,0)),"(client introuvable)"))</f>
        <v/>
      </c>
      <c r="R133" s="40">
        <f>IF(O133="","",IFERROR(INDEX(Cl_reste,MATCH(O133,Cl_cle,0)),""))</f>
        <v/>
      </c>
      <c r="S133" s="34">
        <f>IF(C133="","",YEAR(C133-WEEKDAY(C133,2)+4)&amp;"-S"&amp;TEXT(INT((C133-DATE(YEAR(C133-WEEKDAY(C133,2)+4),1,3)+WEEKDAY(DATE(YEAR(C133-WEEKDAY(C133,2)+4),1,3),2)+5)/7),"00"))</f>
        <v/>
      </c>
    </row>
    <row r="134" ht="18" customHeight="1">
      <c r="A134" s="39" t="n">
        <v>129</v>
      </c>
      <c r="B134" s="33">
        <f>IF(C134="","",IF(L134="À RENSEIGNER","GIC",L134)&amp;"-E"&amp;TEXT(A134,"00000"))</f>
        <v/>
      </c>
      <c r="C134" s="32" t="n"/>
      <c r="D134" s="36" t="n"/>
      <c r="E134" s="37" t="n"/>
      <c r="F134" s="36" t="n"/>
      <c r="G134" s="44" t="n"/>
      <c r="H134" s="43" t="n"/>
      <c r="I134" s="32" t="n"/>
      <c r="J134" s="44" t="n"/>
      <c r="K134" s="36" t="n"/>
      <c r="L134" s="33">
        <f>IF(C134="","",Commercial_Id)</f>
        <v/>
      </c>
      <c r="M134" s="34">
        <f>IF(OR(C134="",F134=""),"",IF(F134&lt;&gt;"Espèces","—",IF(I134&lt;&gt;"","☑ Oui","☐ Non")))</f>
        <v/>
      </c>
      <c r="N134" s="39">
        <f>IF(D134="","",IFERROR(VALUE(MID(D134,LEN(D134)-3,3)),""))</f>
        <v/>
      </c>
      <c r="O134" s="33">
        <f>IF(N134="","",L134&amp;"|"&amp;N134)</f>
        <v/>
      </c>
      <c r="P134" s="33">
        <f>IF(N134="","",IF(L134="À RENSEIGNER","GIC",L134)&amp;"-"&amp;TEXT(N134,"000"))</f>
        <v/>
      </c>
      <c r="Q134" s="33">
        <f>IF(O134="","",IFERROR(INDEX(Cl_nom,MATCH(O134,Cl_cle,0)),"(client introuvable)"))</f>
        <v/>
      </c>
      <c r="R134" s="40">
        <f>IF(O134="","",IFERROR(INDEX(Cl_reste,MATCH(O134,Cl_cle,0)),""))</f>
        <v/>
      </c>
      <c r="S134" s="34">
        <f>IF(C134="","",YEAR(C134-WEEKDAY(C134,2)+4)&amp;"-S"&amp;TEXT(INT((C134-DATE(YEAR(C134-WEEKDAY(C134,2)+4),1,3)+WEEKDAY(DATE(YEAR(C134-WEEKDAY(C134,2)+4),1,3),2)+5)/7),"00"))</f>
        <v/>
      </c>
    </row>
    <row r="135" ht="18" customHeight="1">
      <c r="A135" s="39" t="n">
        <v>130</v>
      </c>
      <c r="B135" s="33">
        <f>IF(C135="","",IF(L135="À RENSEIGNER","GIC",L135)&amp;"-E"&amp;TEXT(A135,"00000"))</f>
        <v/>
      </c>
      <c r="C135" s="32" t="n"/>
      <c r="D135" s="36" t="n"/>
      <c r="E135" s="37" t="n"/>
      <c r="F135" s="36" t="n"/>
      <c r="G135" s="44" t="n"/>
      <c r="H135" s="43" t="n"/>
      <c r="I135" s="32" t="n"/>
      <c r="J135" s="44" t="n"/>
      <c r="K135" s="36" t="n"/>
      <c r="L135" s="33">
        <f>IF(C135="","",Commercial_Id)</f>
        <v/>
      </c>
      <c r="M135" s="34">
        <f>IF(OR(C135="",F135=""),"",IF(F135&lt;&gt;"Espèces","—",IF(I135&lt;&gt;"","☑ Oui","☐ Non")))</f>
        <v/>
      </c>
      <c r="N135" s="39">
        <f>IF(D135="","",IFERROR(VALUE(MID(D135,LEN(D135)-3,3)),""))</f>
        <v/>
      </c>
      <c r="O135" s="33">
        <f>IF(N135="","",L135&amp;"|"&amp;N135)</f>
        <v/>
      </c>
      <c r="P135" s="33">
        <f>IF(N135="","",IF(L135="À RENSEIGNER","GIC",L135)&amp;"-"&amp;TEXT(N135,"000"))</f>
        <v/>
      </c>
      <c r="Q135" s="33">
        <f>IF(O135="","",IFERROR(INDEX(Cl_nom,MATCH(O135,Cl_cle,0)),"(client introuvable)"))</f>
        <v/>
      </c>
      <c r="R135" s="40">
        <f>IF(O135="","",IFERROR(INDEX(Cl_reste,MATCH(O135,Cl_cle,0)),""))</f>
        <v/>
      </c>
      <c r="S135" s="34">
        <f>IF(C135="","",YEAR(C135-WEEKDAY(C135,2)+4)&amp;"-S"&amp;TEXT(INT((C135-DATE(YEAR(C135-WEEKDAY(C135,2)+4),1,3)+WEEKDAY(DATE(YEAR(C135-WEEKDAY(C135,2)+4),1,3),2)+5)/7),"00"))</f>
        <v/>
      </c>
    </row>
    <row r="136" ht="18" customHeight="1">
      <c r="A136" s="39" t="n">
        <v>131</v>
      </c>
      <c r="B136" s="33">
        <f>IF(C136="","",IF(L136="À RENSEIGNER","GIC",L136)&amp;"-E"&amp;TEXT(A136,"00000"))</f>
        <v/>
      </c>
      <c r="C136" s="32" t="n"/>
      <c r="D136" s="36" t="n"/>
      <c r="E136" s="37" t="n"/>
      <c r="F136" s="36" t="n"/>
      <c r="G136" s="44" t="n"/>
      <c r="H136" s="43" t="n"/>
      <c r="I136" s="32" t="n"/>
      <c r="J136" s="44" t="n"/>
      <c r="K136" s="36" t="n"/>
      <c r="L136" s="33">
        <f>IF(C136="","",Commercial_Id)</f>
        <v/>
      </c>
      <c r="M136" s="34">
        <f>IF(OR(C136="",F136=""),"",IF(F136&lt;&gt;"Espèces","—",IF(I136&lt;&gt;"","☑ Oui","☐ Non")))</f>
        <v/>
      </c>
      <c r="N136" s="39">
        <f>IF(D136="","",IFERROR(VALUE(MID(D136,LEN(D136)-3,3)),""))</f>
        <v/>
      </c>
      <c r="O136" s="33">
        <f>IF(N136="","",L136&amp;"|"&amp;N136)</f>
        <v/>
      </c>
      <c r="P136" s="33">
        <f>IF(N136="","",IF(L136="À RENSEIGNER","GIC",L136)&amp;"-"&amp;TEXT(N136,"000"))</f>
        <v/>
      </c>
      <c r="Q136" s="33">
        <f>IF(O136="","",IFERROR(INDEX(Cl_nom,MATCH(O136,Cl_cle,0)),"(client introuvable)"))</f>
        <v/>
      </c>
      <c r="R136" s="40">
        <f>IF(O136="","",IFERROR(INDEX(Cl_reste,MATCH(O136,Cl_cle,0)),""))</f>
        <v/>
      </c>
      <c r="S136" s="34">
        <f>IF(C136="","",YEAR(C136-WEEKDAY(C136,2)+4)&amp;"-S"&amp;TEXT(INT((C136-DATE(YEAR(C136-WEEKDAY(C136,2)+4),1,3)+WEEKDAY(DATE(YEAR(C136-WEEKDAY(C136,2)+4),1,3),2)+5)/7),"00"))</f>
        <v/>
      </c>
    </row>
    <row r="137" ht="18" customHeight="1">
      <c r="A137" s="39" t="n">
        <v>132</v>
      </c>
      <c r="B137" s="33">
        <f>IF(C137="","",IF(L137="À RENSEIGNER","GIC",L137)&amp;"-E"&amp;TEXT(A137,"00000"))</f>
        <v/>
      </c>
      <c r="C137" s="32" t="n"/>
      <c r="D137" s="36" t="n"/>
      <c r="E137" s="37" t="n"/>
      <c r="F137" s="36" t="n"/>
      <c r="G137" s="44" t="n"/>
      <c r="H137" s="43" t="n"/>
      <c r="I137" s="32" t="n"/>
      <c r="J137" s="44" t="n"/>
      <c r="K137" s="36" t="n"/>
      <c r="L137" s="33">
        <f>IF(C137="","",Commercial_Id)</f>
        <v/>
      </c>
      <c r="M137" s="34">
        <f>IF(OR(C137="",F137=""),"",IF(F137&lt;&gt;"Espèces","—",IF(I137&lt;&gt;"","☑ Oui","☐ Non")))</f>
        <v/>
      </c>
      <c r="N137" s="39">
        <f>IF(D137="","",IFERROR(VALUE(MID(D137,LEN(D137)-3,3)),""))</f>
        <v/>
      </c>
      <c r="O137" s="33">
        <f>IF(N137="","",L137&amp;"|"&amp;N137)</f>
        <v/>
      </c>
      <c r="P137" s="33">
        <f>IF(N137="","",IF(L137="À RENSEIGNER","GIC",L137)&amp;"-"&amp;TEXT(N137,"000"))</f>
        <v/>
      </c>
      <c r="Q137" s="33">
        <f>IF(O137="","",IFERROR(INDEX(Cl_nom,MATCH(O137,Cl_cle,0)),"(client introuvable)"))</f>
        <v/>
      </c>
      <c r="R137" s="40">
        <f>IF(O137="","",IFERROR(INDEX(Cl_reste,MATCH(O137,Cl_cle,0)),""))</f>
        <v/>
      </c>
      <c r="S137" s="34">
        <f>IF(C137="","",YEAR(C137-WEEKDAY(C137,2)+4)&amp;"-S"&amp;TEXT(INT((C137-DATE(YEAR(C137-WEEKDAY(C137,2)+4),1,3)+WEEKDAY(DATE(YEAR(C137-WEEKDAY(C137,2)+4),1,3),2)+5)/7),"00"))</f>
        <v/>
      </c>
    </row>
    <row r="138" ht="18" customHeight="1">
      <c r="A138" s="39" t="n">
        <v>133</v>
      </c>
      <c r="B138" s="33">
        <f>IF(C138="","",IF(L138="À RENSEIGNER","GIC",L138)&amp;"-E"&amp;TEXT(A138,"00000"))</f>
        <v/>
      </c>
      <c r="C138" s="32" t="n"/>
      <c r="D138" s="36" t="n"/>
      <c r="E138" s="37" t="n"/>
      <c r="F138" s="36" t="n"/>
      <c r="G138" s="44" t="n"/>
      <c r="H138" s="43" t="n"/>
      <c r="I138" s="32" t="n"/>
      <c r="J138" s="44" t="n"/>
      <c r="K138" s="36" t="n"/>
      <c r="L138" s="33">
        <f>IF(C138="","",Commercial_Id)</f>
        <v/>
      </c>
      <c r="M138" s="34">
        <f>IF(OR(C138="",F138=""),"",IF(F138&lt;&gt;"Espèces","—",IF(I138&lt;&gt;"","☑ Oui","☐ Non")))</f>
        <v/>
      </c>
      <c r="N138" s="39">
        <f>IF(D138="","",IFERROR(VALUE(MID(D138,LEN(D138)-3,3)),""))</f>
        <v/>
      </c>
      <c r="O138" s="33">
        <f>IF(N138="","",L138&amp;"|"&amp;N138)</f>
        <v/>
      </c>
      <c r="P138" s="33">
        <f>IF(N138="","",IF(L138="À RENSEIGNER","GIC",L138)&amp;"-"&amp;TEXT(N138,"000"))</f>
        <v/>
      </c>
      <c r="Q138" s="33">
        <f>IF(O138="","",IFERROR(INDEX(Cl_nom,MATCH(O138,Cl_cle,0)),"(client introuvable)"))</f>
        <v/>
      </c>
      <c r="R138" s="40">
        <f>IF(O138="","",IFERROR(INDEX(Cl_reste,MATCH(O138,Cl_cle,0)),""))</f>
        <v/>
      </c>
      <c r="S138" s="34">
        <f>IF(C138="","",YEAR(C138-WEEKDAY(C138,2)+4)&amp;"-S"&amp;TEXT(INT((C138-DATE(YEAR(C138-WEEKDAY(C138,2)+4),1,3)+WEEKDAY(DATE(YEAR(C138-WEEKDAY(C138,2)+4),1,3),2)+5)/7),"00"))</f>
        <v/>
      </c>
    </row>
    <row r="139" ht="18" customHeight="1">
      <c r="A139" s="39" t="n">
        <v>134</v>
      </c>
      <c r="B139" s="33">
        <f>IF(C139="","",IF(L139="À RENSEIGNER","GIC",L139)&amp;"-E"&amp;TEXT(A139,"00000"))</f>
        <v/>
      </c>
      <c r="C139" s="32" t="n"/>
      <c r="D139" s="36" t="n"/>
      <c r="E139" s="37" t="n"/>
      <c r="F139" s="36" t="n"/>
      <c r="G139" s="44" t="n"/>
      <c r="H139" s="43" t="n"/>
      <c r="I139" s="32" t="n"/>
      <c r="J139" s="44" t="n"/>
      <c r="K139" s="36" t="n"/>
      <c r="L139" s="33">
        <f>IF(C139="","",Commercial_Id)</f>
        <v/>
      </c>
      <c r="M139" s="34">
        <f>IF(OR(C139="",F139=""),"",IF(F139&lt;&gt;"Espèces","—",IF(I139&lt;&gt;"","☑ Oui","☐ Non")))</f>
        <v/>
      </c>
      <c r="N139" s="39">
        <f>IF(D139="","",IFERROR(VALUE(MID(D139,LEN(D139)-3,3)),""))</f>
        <v/>
      </c>
      <c r="O139" s="33">
        <f>IF(N139="","",L139&amp;"|"&amp;N139)</f>
        <v/>
      </c>
      <c r="P139" s="33">
        <f>IF(N139="","",IF(L139="À RENSEIGNER","GIC",L139)&amp;"-"&amp;TEXT(N139,"000"))</f>
        <v/>
      </c>
      <c r="Q139" s="33">
        <f>IF(O139="","",IFERROR(INDEX(Cl_nom,MATCH(O139,Cl_cle,0)),"(client introuvable)"))</f>
        <v/>
      </c>
      <c r="R139" s="40">
        <f>IF(O139="","",IFERROR(INDEX(Cl_reste,MATCH(O139,Cl_cle,0)),""))</f>
        <v/>
      </c>
      <c r="S139" s="34">
        <f>IF(C139="","",YEAR(C139-WEEKDAY(C139,2)+4)&amp;"-S"&amp;TEXT(INT((C139-DATE(YEAR(C139-WEEKDAY(C139,2)+4),1,3)+WEEKDAY(DATE(YEAR(C139-WEEKDAY(C139,2)+4),1,3),2)+5)/7),"00"))</f>
        <v/>
      </c>
    </row>
    <row r="140" ht="18" customHeight="1">
      <c r="A140" s="39" t="n">
        <v>135</v>
      </c>
      <c r="B140" s="33">
        <f>IF(C140="","",IF(L140="À RENSEIGNER","GIC",L140)&amp;"-E"&amp;TEXT(A140,"00000"))</f>
        <v/>
      </c>
      <c r="C140" s="32" t="n"/>
      <c r="D140" s="36" t="n"/>
      <c r="E140" s="37" t="n"/>
      <c r="F140" s="36" t="n"/>
      <c r="G140" s="44" t="n"/>
      <c r="H140" s="43" t="n"/>
      <c r="I140" s="32" t="n"/>
      <c r="J140" s="44" t="n"/>
      <c r="K140" s="36" t="n"/>
      <c r="L140" s="33">
        <f>IF(C140="","",Commercial_Id)</f>
        <v/>
      </c>
      <c r="M140" s="34">
        <f>IF(OR(C140="",F140=""),"",IF(F140&lt;&gt;"Espèces","—",IF(I140&lt;&gt;"","☑ Oui","☐ Non")))</f>
        <v/>
      </c>
      <c r="N140" s="39">
        <f>IF(D140="","",IFERROR(VALUE(MID(D140,LEN(D140)-3,3)),""))</f>
        <v/>
      </c>
      <c r="O140" s="33">
        <f>IF(N140="","",L140&amp;"|"&amp;N140)</f>
        <v/>
      </c>
      <c r="P140" s="33">
        <f>IF(N140="","",IF(L140="À RENSEIGNER","GIC",L140)&amp;"-"&amp;TEXT(N140,"000"))</f>
        <v/>
      </c>
      <c r="Q140" s="33">
        <f>IF(O140="","",IFERROR(INDEX(Cl_nom,MATCH(O140,Cl_cle,0)),"(client introuvable)"))</f>
        <v/>
      </c>
      <c r="R140" s="40">
        <f>IF(O140="","",IFERROR(INDEX(Cl_reste,MATCH(O140,Cl_cle,0)),""))</f>
        <v/>
      </c>
      <c r="S140" s="34">
        <f>IF(C140="","",YEAR(C140-WEEKDAY(C140,2)+4)&amp;"-S"&amp;TEXT(INT((C140-DATE(YEAR(C140-WEEKDAY(C140,2)+4),1,3)+WEEKDAY(DATE(YEAR(C140-WEEKDAY(C140,2)+4),1,3),2)+5)/7),"00"))</f>
        <v/>
      </c>
    </row>
    <row r="141" ht="18" customHeight="1">
      <c r="A141" s="39" t="n">
        <v>136</v>
      </c>
      <c r="B141" s="33">
        <f>IF(C141="","",IF(L141="À RENSEIGNER","GIC",L141)&amp;"-E"&amp;TEXT(A141,"00000"))</f>
        <v/>
      </c>
      <c r="C141" s="32" t="n"/>
      <c r="D141" s="36" t="n"/>
      <c r="E141" s="37" t="n"/>
      <c r="F141" s="36" t="n"/>
      <c r="G141" s="44" t="n"/>
      <c r="H141" s="43" t="n"/>
      <c r="I141" s="32" t="n"/>
      <c r="J141" s="44" t="n"/>
      <c r="K141" s="36" t="n"/>
      <c r="L141" s="33">
        <f>IF(C141="","",Commercial_Id)</f>
        <v/>
      </c>
      <c r="M141" s="34">
        <f>IF(OR(C141="",F141=""),"",IF(F141&lt;&gt;"Espèces","—",IF(I141&lt;&gt;"","☑ Oui","☐ Non")))</f>
        <v/>
      </c>
      <c r="N141" s="39">
        <f>IF(D141="","",IFERROR(VALUE(MID(D141,LEN(D141)-3,3)),""))</f>
        <v/>
      </c>
      <c r="O141" s="33">
        <f>IF(N141="","",L141&amp;"|"&amp;N141)</f>
        <v/>
      </c>
      <c r="P141" s="33">
        <f>IF(N141="","",IF(L141="À RENSEIGNER","GIC",L141)&amp;"-"&amp;TEXT(N141,"000"))</f>
        <v/>
      </c>
      <c r="Q141" s="33">
        <f>IF(O141="","",IFERROR(INDEX(Cl_nom,MATCH(O141,Cl_cle,0)),"(client introuvable)"))</f>
        <v/>
      </c>
      <c r="R141" s="40">
        <f>IF(O141="","",IFERROR(INDEX(Cl_reste,MATCH(O141,Cl_cle,0)),""))</f>
        <v/>
      </c>
      <c r="S141" s="34">
        <f>IF(C141="","",YEAR(C141-WEEKDAY(C141,2)+4)&amp;"-S"&amp;TEXT(INT((C141-DATE(YEAR(C141-WEEKDAY(C141,2)+4),1,3)+WEEKDAY(DATE(YEAR(C141-WEEKDAY(C141,2)+4),1,3),2)+5)/7),"00"))</f>
        <v/>
      </c>
    </row>
    <row r="142" ht="18" customHeight="1">
      <c r="A142" s="39" t="n">
        <v>137</v>
      </c>
      <c r="B142" s="33">
        <f>IF(C142="","",IF(L142="À RENSEIGNER","GIC",L142)&amp;"-E"&amp;TEXT(A142,"00000"))</f>
        <v/>
      </c>
      <c r="C142" s="32" t="n"/>
      <c r="D142" s="36" t="n"/>
      <c r="E142" s="37" t="n"/>
      <c r="F142" s="36" t="n"/>
      <c r="G142" s="44" t="n"/>
      <c r="H142" s="43" t="n"/>
      <c r="I142" s="32" t="n"/>
      <c r="J142" s="44" t="n"/>
      <c r="K142" s="36" t="n"/>
      <c r="L142" s="33">
        <f>IF(C142="","",Commercial_Id)</f>
        <v/>
      </c>
      <c r="M142" s="34">
        <f>IF(OR(C142="",F142=""),"",IF(F142&lt;&gt;"Espèces","—",IF(I142&lt;&gt;"","☑ Oui","☐ Non")))</f>
        <v/>
      </c>
      <c r="N142" s="39">
        <f>IF(D142="","",IFERROR(VALUE(MID(D142,LEN(D142)-3,3)),""))</f>
        <v/>
      </c>
      <c r="O142" s="33">
        <f>IF(N142="","",L142&amp;"|"&amp;N142)</f>
        <v/>
      </c>
      <c r="P142" s="33">
        <f>IF(N142="","",IF(L142="À RENSEIGNER","GIC",L142)&amp;"-"&amp;TEXT(N142,"000"))</f>
        <v/>
      </c>
      <c r="Q142" s="33">
        <f>IF(O142="","",IFERROR(INDEX(Cl_nom,MATCH(O142,Cl_cle,0)),"(client introuvable)"))</f>
        <v/>
      </c>
      <c r="R142" s="40">
        <f>IF(O142="","",IFERROR(INDEX(Cl_reste,MATCH(O142,Cl_cle,0)),""))</f>
        <v/>
      </c>
      <c r="S142" s="34">
        <f>IF(C142="","",YEAR(C142-WEEKDAY(C142,2)+4)&amp;"-S"&amp;TEXT(INT((C142-DATE(YEAR(C142-WEEKDAY(C142,2)+4),1,3)+WEEKDAY(DATE(YEAR(C142-WEEKDAY(C142,2)+4),1,3),2)+5)/7),"00"))</f>
        <v/>
      </c>
    </row>
    <row r="143" ht="18" customHeight="1">
      <c r="A143" s="39" t="n">
        <v>138</v>
      </c>
      <c r="B143" s="33">
        <f>IF(C143="","",IF(L143="À RENSEIGNER","GIC",L143)&amp;"-E"&amp;TEXT(A143,"00000"))</f>
        <v/>
      </c>
      <c r="C143" s="32" t="n"/>
      <c r="D143" s="36" t="n"/>
      <c r="E143" s="37" t="n"/>
      <c r="F143" s="36" t="n"/>
      <c r="G143" s="44" t="n"/>
      <c r="H143" s="43" t="n"/>
      <c r="I143" s="32" t="n"/>
      <c r="J143" s="44" t="n"/>
      <c r="K143" s="36" t="n"/>
      <c r="L143" s="33">
        <f>IF(C143="","",Commercial_Id)</f>
        <v/>
      </c>
      <c r="M143" s="34">
        <f>IF(OR(C143="",F143=""),"",IF(F143&lt;&gt;"Espèces","—",IF(I143&lt;&gt;"","☑ Oui","☐ Non")))</f>
        <v/>
      </c>
      <c r="N143" s="39">
        <f>IF(D143="","",IFERROR(VALUE(MID(D143,LEN(D143)-3,3)),""))</f>
        <v/>
      </c>
      <c r="O143" s="33">
        <f>IF(N143="","",L143&amp;"|"&amp;N143)</f>
        <v/>
      </c>
      <c r="P143" s="33">
        <f>IF(N143="","",IF(L143="À RENSEIGNER","GIC",L143)&amp;"-"&amp;TEXT(N143,"000"))</f>
        <v/>
      </c>
      <c r="Q143" s="33">
        <f>IF(O143="","",IFERROR(INDEX(Cl_nom,MATCH(O143,Cl_cle,0)),"(client introuvable)"))</f>
        <v/>
      </c>
      <c r="R143" s="40">
        <f>IF(O143="","",IFERROR(INDEX(Cl_reste,MATCH(O143,Cl_cle,0)),""))</f>
        <v/>
      </c>
      <c r="S143" s="34">
        <f>IF(C143="","",YEAR(C143-WEEKDAY(C143,2)+4)&amp;"-S"&amp;TEXT(INT((C143-DATE(YEAR(C143-WEEKDAY(C143,2)+4),1,3)+WEEKDAY(DATE(YEAR(C143-WEEKDAY(C143,2)+4),1,3),2)+5)/7),"00"))</f>
        <v/>
      </c>
    </row>
    <row r="144" ht="18" customHeight="1">
      <c r="A144" s="39" t="n">
        <v>139</v>
      </c>
      <c r="B144" s="33">
        <f>IF(C144="","",IF(L144="À RENSEIGNER","GIC",L144)&amp;"-E"&amp;TEXT(A144,"00000"))</f>
        <v/>
      </c>
      <c r="C144" s="32" t="n"/>
      <c r="D144" s="36" t="n"/>
      <c r="E144" s="37" t="n"/>
      <c r="F144" s="36" t="n"/>
      <c r="G144" s="44" t="n"/>
      <c r="H144" s="43" t="n"/>
      <c r="I144" s="32" t="n"/>
      <c r="J144" s="44" t="n"/>
      <c r="K144" s="36" t="n"/>
      <c r="L144" s="33">
        <f>IF(C144="","",Commercial_Id)</f>
        <v/>
      </c>
      <c r="M144" s="34">
        <f>IF(OR(C144="",F144=""),"",IF(F144&lt;&gt;"Espèces","—",IF(I144&lt;&gt;"","☑ Oui","☐ Non")))</f>
        <v/>
      </c>
      <c r="N144" s="39">
        <f>IF(D144="","",IFERROR(VALUE(MID(D144,LEN(D144)-3,3)),""))</f>
        <v/>
      </c>
      <c r="O144" s="33">
        <f>IF(N144="","",L144&amp;"|"&amp;N144)</f>
        <v/>
      </c>
      <c r="P144" s="33">
        <f>IF(N144="","",IF(L144="À RENSEIGNER","GIC",L144)&amp;"-"&amp;TEXT(N144,"000"))</f>
        <v/>
      </c>
      <c r="Q144" s="33">
        <f>IF(O144="","",IFERROR(INDEX(Cl_nom,MATCH(O144,Cl_cle,0)),"(client introuvable)"))</f>
        <v/>
      </c>
      <c r="R144" s="40">
        <f>IF(O144="","",IFERROR(INDEX(Cl_reste,MATCH(O144,Cl_cle,0)),""))</f>
        <v/>
      </c>
      <c r="S144" s="34">
        <f>IF(C144="","",YEAR(C144-WEEKDAY(C144,2)+4)&amp;"-S"&amp;TEXT(INT((C144-DATE(YEAR(C144-WEEKDAY(C144,2)+4),1,3)+WEEKDAY(DATE(YEAR(C144-WEEKDAY(C144,2)+4),1,3),2)+5)/7),"00"))</f>
        <v/>
      </c>
    </row>
    <row r="145" ht="18" customHeight="1">
      <c r="A145" s="39" t="n">
        <v>140</v>
      </c>
      <c r="B145" s="33">
        <f>IF(C145="","",IF(L145="À RENSEIGNER","GIC",L145)&amp;"-E"&amp;TEXT(A145,"00000"))</f>
        <v/>
      </c>
      <c r="C145" s="32" t="n"/>
      <c r="D145" s="36" t="n"/>
      <c r="E145" s="37" t="n"/>
      <c r="F145" s="36" t="n"/>
      <c r="G145" s="44" t="n"/>
      <c r="H145" s="43" t="n"/>
      <c r="I145" s="32" t="n"/>
      <c r="J145" s="44" t="n"/>
      <c r="K145" s="36" t="n"/>
      <c r="L145" s="33">
        <f>IF(C145="","",Commercial_Id)</f>
        <v/>
      </c>
      <c r="M145" s="34">
        <f>IF(OR(C145="",F145=""),"",IF(F145&lt;&gt;"Espèces","—",IF(I145&lt;&gt;"","☑ Oui","☐ Non")))</f>
        <v/>
      </c>
      <c r="N145" s="39">
        <f>IF(D145="","",IFERROR(VALUE(MID(D145,LEN(D145)-3,3)),""))</f>
        <v/>
      </c>
      <c r="O145" s="33">
        <f>IF(N145="","",L145&amp;"|"&amp;N145)</f>
        <v/>
      </c>
      <c r="P145" s="33">
        <f>IF(N145="","",IF(L145="À RENSEIGNER","GIC",L145)&amp;"-"&amp;TEXT(N145,"000"))</f>
        <v/>
      </c>
      <c r="Q145" s="33">
        <f>IF(O145="","",IFERROR(INDEX(Cl_nom,MATCH(O145,Cl_cle,0)),"(client introuvable)"))</f>
        <v/>
      </c>
      <c r="R145" s="40">
        <f>IF(O145="","",IFERROR(INDEX(Cl_reste,MATCH(O145,Cl_cle,0)),""))</f>
        <v/>
      </c>
      <c r="S145" s="34">
        <f>IF(C145="","",YEAR(C145-WEEKDAY(C145,2)+4)&amp;"-S"&amp;TEXT(INT((C145-DATE(YEAR(C145-WEEKDAY(C145,2)+4),1,3)+WEEKDAY(DATE(YEAR(C145-WEEKDAY(C145,2)+4),1,3),2)+5)/7),"00"))</f>
        <v/>
      </c>
    </row>
    <row r="146" ht="18" customHeight="1">
      <c r="A146" s="39" t="n">
        <v>141</v>
      </c>
      <c r="B146" s="33">
        <f>IF(C146="","",IF(L146="À RENSEIGNER","GIC",L146)&amp;"-E"&amp;TEXT(A146,"00000"))</f>
        <v/>
      </c>
      <c r="C146" s="32" t="n"/>
      <c r="D146" s="36" t="n"/>
      <c r="E146" s="37" t="n"/>
      <c r="F146" s="36" t="n"/>
      <c r="G146" s="44" t="n"/>
      <c r="H146" s="43" t="n"/>
      <c r="I146" s="32" t="n"/>
      <c r="J146" s="44" t="n"/>
      <c r="K146" s="36" t="n"/>
      <c r="L146" s="33">
        <f>IF(C146="","",Commercial_Id)</f>
        <v/>
      </c>
      <c r="M146" s="34">
        <f>IF(OR(C146="",F146=""),"",IF(F146&lt;&gt;"Espèces","—",IF(I146&lt;&gt;"","☑ Oui","☐ Non")))</f>
        <v/>
      </c>
      <c r="N146" s="39">
        <f>IF(D146="","",IFERROR(VALUE(MID(D146,LEN(D146)-3,3)),""))</f>
        <v/>
      </c>
      <c r="O146" s="33">
        <f>IF(N146="","",L146&amp;"|"&amp;N146)</f>
        <v/>
      </c>
      <c r="P146" s="33">
        <f>IF(N146="","",IF(L146="À RENSEIGNER","GIC",L146)&amp;"-"&amp;TEXT(N146,"000"))</f>
        <v/>
      </c>
      <c r="Q146" s="33">
        <f>IF(O146="","",IFERROR(INDEX(Cl_nom,MATCH(O146,Cl_cle,0)),"(client introuvable)"))</f>
        <v/>
      </c>
      <c r="R146" s="40">
        <f>IF(O146="","",IFERROR(INDEX(Cl_reste,MATCH(O146,Cl_cle,0)),""))</f>
        <v/>
      </c>
      <c r="S146" s="34">
        <f>IF(C146="","",YEAR(C146-WEEKDAY(C146,2)+4)&amp;"-S"&amp;TEXT(INT((C146-DATE(YEAR(C146-WEEKDAY(C146,2)+4),1,3)+WEEKDAY(DATE(YEAR(C146-WEEKDAY(C146,2)+4),1,3),2)+5)/7),"00"))</f>
        <v/>
      </c>
    </row>
    <row r="147" ht="18" customHeight="1">
      <c r="A147" s="39" t="n">
        <v>142</v>
      </c>
      <c r="B147" s="33">
        <f>IF(C147="","",IF(L147="À RENSEIGNER","GIC",L147)&amp;"-E"&amp;TEXT(A147,"00000"))</f>
        <v/>
      </c>
      <c r="C147" s="32" t="n"/>
      <c r="D147" s="36" t="n"/>
      <c r="E147" s="37" t="n"/>
      <c r="F147" s="36" t="n"/>
      <c r="G147" s="44" t="n"/>
      <c r="H147" s="43" t="n"/>
      <c r="I147" s="32" t="n"/>
      <c r="J147" s="44" t="n"/>
      <c r="K147" s="36" t="n"/>
      <c r="L147" s="33">
        <f>IF(C147="","",Commercial_Id)</f>
        <v/>
      </c>
      <c r="M147" s="34">
        <f>IF(OR(C147="",F147=""),"",IF(F147&lt;&gt;"Espèces","—",IF(I147&lt;&gt;"","☑ Oui","☐ Non")))</f>
        <v/>
      </c>
      <c r="N147" s="39">
        <f>IF(D147="","",IFERROR(VALUE(MID(D147,LEN(D147)-3,3)),""))</f>
        <v/>
      </c>
      <c r="O147" s="33">
        <f>IF(N147="","",L147&amp;"|"&amp;N147)</f>
        <v/>
      </c>
      <c r="P147" s="33">
        <f>IF(N147="","",IF(L147="À RENSEIGNER","GIC",L147)&amp;"-"&amp;TEXT(N147,"000"))</f>
        <v/>
      </c>
      <c r="Q147" s="33">
        <f>IF(O147="","",IFERROR(INDEX(Cl_nom,MATCH(O147,Cl_cle,0)),"(client introuvable)"))</f>
        <v/>
      </c>
      <c r="R147" s="40">
        <f>IF(O147="","",IFERROR(INDEX(Cl_reste,MATCH(O147,Cl_cle,0)),""))</f>
        <v/>
      </c>
      <c r="S147" s="34">
        <f>IF(C147="","",YEAR(C147-WEEKDAY(C147,2)+4)&amp;"-S"&amp;TEXT(INT((C147-DATE(YEAR(C147-WEEKDAY(C147,2)+4),1,3)+WEEKDAY(DATE(YEAR(C147-WEEKDAY(C147,2)+4),1,3),2)+5)/7),"00"))</f>
        <v/>
      </c>
    </row>
    <row r="148" ht="18" customHeight="1">
      <c r="A148" s="39" t="n">
        <v>143</v>
      </c>
      <c r="B148" s="33">
        <f>IF(C148="","",IF(L148="À RENSEIGNER","GIC",L148)&amp;"-E"&amp;TEXT(A148,"00000"))</f>
        <v/>
      </c>
      <c r="C148" s="32" t="n"/>
      <c r="D148" s="36" t="n"/>
      <c r="E148" s="37" t="n"/>
      <c r="F148" s="36" t="n"/>
      <c r="G148" s="44" t="n"/>
      <c r="H148" s="43" t="n"/>
      <c r="I148" s="32" t="n"/>
      <c r="J148" s="44" t="n"/>
      <c r="K148" s="36" t="n"/>
      <c r="L148" s="33">
        <f>IF(C148="","",Commercial_Id)</f>
        <v/>
      </c>
      <c r="M148" s="34">
        <f>IF(OR(C148="",F148=""),"",IF(F148&lt;&gt;"Espèces","—",IF(I148&lt;&gt;"","☑ Oui","☐ Non")))</f>
        <v/>
      </c>
      <c r="N148" s="39">
        <f>IF(D148="","",IFERROR(VALUE(MID(D148,LEN(D148)-3,3)),""))</f>
        <v/>
      </c>
      <c r="O148" s="33">
        <f>IF(N148="","",L148&amp;"|"&amp;N148)</f>
        <v/>
      </c>
      <c r="P148" s="33">
        <f>IF(N148="","",IF(L148="À RENSEIGNER","GIC",L148)&amp;"-"&amp;TEXT(N148,"000"))</f>
        <v/>
      </c>
      <c r="Q148" s="33">
        <f>IF(O148="","",IFERROR(INDEX(Cl_nom,MATCH(O148,Cl_cle,0)),"(client introuvable)"))</f>
        <v/>
      </c>
      <c r="R148" s="40">
        <f>IF(O148="","",IFERROR(INDEX(Cl_reste,MATCH(O148,Cl_cle,0)),""))</f>
        <v/>
      </c>
      <c r="S148" s="34">
        <f>IF(C148="","",YEAR(C148-WEEKDAY(C148,2)+4)&amp;"-S"&amp;TEXT(INT((C148-DATE(YEAR(C148-WEEKDAY(C148,2)+4),1,3)+WEEKDAY(DATE(YEAR(C148-WEEKDAY(C148,2)+4),1,3),2)+5)/7),"00"))</f>
        <v/>
      </c>
    </row>
    <row r="149" ht="18" customHeight="1">
      <c r="A149" s="39" t="n">
        <v>144</v>
      </c>
      <c r="B149" s="33">
        <f>IF(C149="","",IF(L149="À RENSEIGNER","GIC",L149)&amp;"-E"&amp;TEXT(A149,"00000"))</f>
        <v/>
      </c>
      <c r="C149" s="32" t="n"/>
      <c r="D149" s="36" t="n"/>
      <c r="E149" s="37" t="n"/>
      <c r="F149" s="36" t="n"/>
      <c r="G149" s="44" t="n"/>
      <c r="H149" s="43" t="n"/>
      <c r="I149" s="32" t="n"/>
      <c r="J149" s="44" t="n"/>
      <c r="K149" s="36" t="n"/>
      <c r="L149" s="33">
        <f>IF(C149="","",Commercial_Id)</f>
        <v/>
      </c>
      <c r="M149" s="34">
        <f>IF(OR(C149="",F149=""),"",IF(F149&lt;&gt;"Espèces","—",IF(I149&lt;&gt;"","☑ Oui","☐ Non")))</f>
        <v/>
      </c>
      <c r="N149" s="39">
        <f>IF(D149="","",IFERROR(VALUE(MID(D149,LEN(D149)-3,3)),""))</f>
        <v/>
      </c>
      <c r="O149" s="33">
        <f>IF(N149="","",L149&amp;"|"&amp;N149)</f>
        <v/>
      </c>
      <c r="P149" s="33">
        <f>IF(N149="","",IF(L149="À RENSEIGNER","GIC",L149)&amp;"-"&amp;TEXT(N149,"000"))</f>
        <v/>
      </c>
      <c r="Q149" s="33">
        <f>IF(O149="","",IFERROR(INDEX(Cl_nom,MATCH(O149,Cl_cle,0)),"(client introuvable)"))</f>
        <v/>
      </c>
      <c r="R149" s="40">
        <f>IF(O149="","",IFERROR(INDEX(Cl_reste,MATCH(O149,Cl_cle,0)),""))</f>
        <v/>
      </c>
      <c r="S149" s="34">
        <f>IF(C149="","",YEAR(C149-WEEKDAY(C149,2)+4)&amp;"-S"&amp;TEXT(INT((C149-DATE(YEAR(C149-WEEKDAY(C149,2)+4),1,3)+WEEKDAY(DATE(YEAR(C149-WEEKDAY(C149,2)+4),1,3),2)+5)/7),"00"))</f>
        <v/>
      </c>
    </row>
    <row r="150" ht="18" customHeight="1">
      <c r="A150" s="39" t="n">
        <v>145</v>
      </c>
      <c r="B150" s="33">
        <f>IF(C150="","",IF(L150="À RENSEIGNER","GIC",L150)&amp;"-E"&amp;TEXT(A150,"00000"))</f>
        <v/>
      </c>
      <c r="C150" s="32" t="n"/>
      <c r="D150" s="36" t="n"/>
      <c r="E150" s="37" t="n"/>
      <c r="F150" s="36" t="n"/>
      <c r="G150" s="44" t="n"/>
      <c r="H150" s="43" t="n"/>
      <c r="I150" s="32" t="n"/>
      <c r="J150" s="44" t="n"/>
      <c r="K150" s="36" t="n"/>
      <c r="L150" s="33">
        <f>IF(C150="","",Commercial_Id)</f>
        <v/>
      </c>
      <c r="M150" s="34">
        <f>IF(OR(C150="",F150=""),"",IF(F150&lt;&gt;"Espèces","—",IF(I150&lt;&gt;"","☑ Oui","☐ Non")))</f>
        <v/>
      </c>
      <c r="N150" s="39">
        <f>IF(D150="","",IFERROR(VALUE(MID(D150,LEN(D150)-3,3)),""))</f>
        <v/>
      </c>
      <c r="O150" s="33">
        <f>IF(N150="","",L150&amp;"|"&amp;N150)</f>
        <v/>
      </c>
      <c r="P150" s="33">
        <f>IF(N150="","",IF(L150="À RENSEIGNER","GIC",L150)&amp;"-"&amp;TEXT(N150,"000"))</f>
        <v/>
      </c>
      <c r="Q150" s="33">
        <f>IF(O150="","",IFERROR(INDEX(Cl_nom,MATCH(O150,Cl_cle,0)),"(client introuvable)"))</f>
        <v/>
      </c>
      <c r="R150" s="40">
        <f>IF(O150="","",IFERROR(INDEX(Cl_reste,MATCH(O150,Cl_cle,0)),""))</f>
        <v/>
      </c>
      <c r="S150" s="34">
        <f>IF(C150="","",YEAR(C150-WEEKDAY(C150,2)+4)&amp;"-S"&amp;TEXT(INT((C150-DATE(YEAR(C150-WEEKDAY(C150,2)+4),1,3)+WEEKDAY(DATE(YEAR(C150-WEEKDAY(C150,2)+4),1,3),2)+5)/7),"00"))</f>
        <v/>
      </c>
    </row>
    <row r="151" ht="18" customHeight="1">
      <c r="A151" s="39" t="n">
        <v>146</v>
      </c>
      <c r="B151" s="33">
        <f>IF(C151="","",IF(L151="À RENSEIGNER","GIC",L151)&amp;"-E"&amp;TEXT(A151,"00000"))</f>
        <v/>
      </c>
      <c r="C151" s="32" t="n"/>
      <c r="D151" s="36" t="n"/>
      <c r="E151" s="37" t="n"/>
      <c r="F151" s="36" t="n"/>
      <c r="G151" s="44" t="n"/>
      <c r="H151" s="43" t="n"/>
      <c r="I151" s="32" t="n"/>
      <c r="J151" s="44" t="n"/>
      <c r="K151" s="36" t="n"/>
      <c r="L151" s="33">
        <f>IF(C151="","",Commercial_Id)</f>
        <v/>
      </c>
      <c r="M151" s="34">
        <f>IF(OR(C151="",F151=""),"",IF(F151&lt;&gt;"Espèces","—",IF(I151&lt;&gt;"","☑ Oui","☐ Non")))</f>
        <v/>
      </c>
      <c r="N151" s="39">
        <f>IF(D151="","",IFERROR(VALUE(MID(D151,LEN(D151)-3,3)),""))</f>
        <v/>
      </c>
      <c r="O151" s="33">
        <f>IF(N151="","",L151&amp;"|"&amp;N151)</f>
        <v/>
      </c>
      <c r="P151" s="33">
        <f>IF(N151="","",IF(L151="À RENSEIGNER","GIC",L151)&amp;"-"&amp;TEXT(N151,"000"))</f>
        <v/>
      </c>
      <c r="Q151" s="33">
        <f>IF(O151="","",IFERROR(INDEX(Cl_nom,MATCH(O151,Cl_cle,0)),"(client introuvable)"))</f>
        <v/>
      </c>
      <c r="R151" s="40">
        <f>IF(O151="","",IFERROR(INDEX(Cl_reste,MATCH(O151,Cl_cle,0)),""))</f>
        <v/>
      </c>
      <c r="S151" s="34">
        <f>IF(C151="","",YEAR(C151-WEEKDAY(C151,2)+4)&amp;"-S"&amp;TEXT(INT((C151-DATE(YEAR(C151-WEEKDAY(C151,2)+4),1,3)+WEEKDAY(DATE(YEAR(C151-WEEKDAY(C151,2)+4),1,3),2)+5)/7),"00"))</f>
        <v/>
      </c>
    </row>
    <row r="152" ht="18" customHeight="1">
      <c r="A152" s="39" t="n">
        <v>147</v>
      </c>
      <c r="B152" s="33">
        <f>IF(C152="","",IF(L152="À RENSEIGNER","GIC",L152)&amp;"-E"&amp;TEXT(A152,"00000"))</f>
        <v/>
      </c>
      <c r="C152" s="32" t="n"/>
      <c r="D152" s="36" t="n"/>
      <c r="E152" s="37" t="n"/>
      <c r="F152" s="36" t="n"/>
      <c r="G152" s="44" t="n"/>
      <c r="H152" s="43" t="n"/>
      <c r="I152" s="32" t="n"/>
      <c r="J152" s="44" t="n"/>
      <c r="K152" s="36" t="n"/>
      <c r="L152" s="33">
        <f>IF(C152="","",Commercial_Id)</f>
        <v/>
      </c>
      <c r="M152" s="34">
        <f>IF(OR(C152="",F152=""),"",IF(F152&lt;&gt;"Espèces","—",IF(I152&lt;&gt;"","☑ Oui","☐ Non")))</f>
        <v/>
      </c>
      <c r="N152" s="39">
        <f>IF(D152="","",IFERROR(VALUE(MID(D152,LEN(D152)-3,3)),""))</f>
        <v/>
      </c>
      <c r="O152" s="33">
        <f>IF(N152="","",L152&amp;"|"&amp;N152)</f>
        <v/>
      </c>
      <c r="P152" s="33">
        <f>IF(N152="","",IF(L152="À RENSEIGNER","GIC",L152)&amp;"-"&amp;TEXT(N152,"000"))</f>
        <v/>
      </c>
      <c r="Q152" s="33">
        <f>IF(O152="","",IFERROR(INDEX(Cl_nom,MATCH(O152,Cl_cle,0)),"(client introuvable)"))</f>
        <v/>
      </c>
      <c r="R152" s="40">
        <f>IF(O152="","",IFERROR(INDEX(Cl_reste,MATCH(O152,Cl_cle,0)),""))</f>
        <v/>
      </c>
      <c r="S152" s="34">
        <f>IF(C152="","",YEAR(C152-WEEKDAY(C152,2)+4)&amp;"-S"&amp;TEXT(INT((C152-DATE(YEAR(C152-WEEKDAY(C152,2)+4),1,3)+WEEKDAY(DATE(YEAR(C152-WEEKDAY(C152,2)+4),1,3),2)+5)/7),"00"))</f>
        <v/>
      </c>
    </row>
    <row r="153" ht="18" customHeight="1">
      <c r="A153" s="39" t="n">
        <v>148</v>
      </c>
      <c r="B153" s="33">
        <f>IF(C153="","",IF(L153="À RENSEIGNER","GIC",L153)&amp;"-E"&amp;TEXT(A153,"00000"))</f>
        <v/>
      </c>
      <c r="C153" s="32" t="n"/>
      <c r="D153" s="36" t="n"/>
      <c r="E153" s="37" t="n"/>
      <c r="F153" s="36" t="n"/>
      <c r="G153" s="44" t="n"/>
      <c r="H153" s="43" t="n"/>
      <c r="I153" s="32" t="n"/>
      <c r="J153" s="44" t="n"/>
      <c r="K153" s="36" t="n"/>
      <c r="L153" s="33">
        <f>IF(C153="","",Commercial_Id)</f>
        <v/>
      </c>
      <c r="M153" s="34">
        <f>IF(OR(C153="",F153=""),"",IF(F153&lt;&gt;"Espèces","—",IF(I153&lt;&gt;"","☑ Oui","☐ Non")))</f>
        <v/>
      </c>
      <c r="N153" s="39">
        <f>IF(D153="","",IFERROR(VALUE(MID(D153,LEN(D153)-3,3)),""))</f>
        <v/>
      </c>
      <c r="O153" s="33">
        <f>IF(N153="","",L153&amp;"|"&amp;N153)</f>
        <v/>
      </c>
      <c r="P153" s="33">
        <f>IF(N153="","",IF(L153="À RENSEIGNER","GIC",L153)&amp;"-"&amp;TEXT(N153,"000"))</f>
        <v/>
      </c>
      <c r="Q153" s="33">
        <f>IF(O153="","",IFERROR(INDEX(Cl_nom,MATCH(O153,Cl_cle,0)),"(client introuvable)"))</f>
        <v/>
      </c>
      <c r="R153" s="40">
        <f>IF(O153="","",IFERROR(INDEX(Cl_reste,MATCH(O153,Cl_cle,0)),""))</f>
        <v/>
      </c>
      <c r="S153" s="34">
        <f>IF(C153="","",YEAR(C153-WEEKDAY(C153,2)+4)&amp;"-S"&amp;TEXT(INT((C153-DATE(YEAR(C153-WEEKDAY(C153,2)+4),1,3)+WEEKDAY(DATE(YEAR(C153-WEEKDAY(C153,2)+4),1,3),2)+5)/7),"00"))</f>
        <v/>
      </c>
    </row>
    <row r="154" ht="18" customHeight="1">
      <c r="A154" s="39" t="n">
        <v>149</v>
      </c>
      <c r="B154" s="33">
        <f>IF(C154="","",IF(L154="À RENSEIGNER","GIC",L154)&amp;"-E"&amp;TEXT(A154,"00000"))</f>
        <v/>
      </c>
      <c r="C154" s="32" t="n"/>
      <c r="D154" s="36" t="n"/>
      <c r="E154" s="37" t="n"/>
      <c r="F154" s="36" t="n"/>
      <c r="G154" s="44" t="n"/>
      <c r="H154" s="43" t="n"/>
      <c r="I154" s="32" t="n"/>
      <c r="J154" s="44" t="n"/>
      <c r="K154" s="36" t="n"/>
      <c r="L154" s="33">
        <f>IF(C154="","",Commercial_Id)</f>
        <v/>
      </c>
      <c r="M154" s="34">
        <f>IF(OR(C154="",F154=""),"",IF(F154&lt;&gt;"Espèces","—",IF(I154&lt;&gt;"","☑ Oui","☐ Non")))</f>
        <v/>
      </c>
      <c r="N154" s="39">
        <f>IF(D154="","",IFERROR(VALUE(MID(D154,LEN(D154)-3,3)),""))</f>
        <v/>
      </c>
      <c r="O154" s="33">
        <f>IF(N154="","",L154&amp;"|"&amp;N154)</f>
        <v/>
      </c>
      <c r="P154" s="33">
        <f>IF(N154="","",IF(L154="À RENSEIGNER","GIC",L154)&amp;"-"&amp;TEXT(N154,"000"))</f>
        <v/>
      </c>
      <c r="Q154" s="33">
        <f>IF(O154="","",IFERROR(INDEX(Cl_nom,MATCH(O154,Cl_cle,0)),"(client introuvable)"))</f>
        <v/>
      </c>
      <c r="R154" s="40">
        <f>IF(O154="","",IFERROR(INDEX(Cl_reste,MATCH(O154,Cl_cle,0)),""))</f>
        <v/>
      </c>
      <c r="S154" s="34">
        <f>IF(C154="","",YEAR(C154-WEEKDAY(C154,2)+4)&amp;"-S"&amp;TEXT(INT((C154-DATE(YEAR(C154-WEEKDAY(C154,2)+4),1,3)+WEEKDAY(DATE(YEAR(C154-WEEKDAY(C154,2)+4),1,3),2)+5)/7),"00"))</f>
        <v/>
      </c>
    </row>
    <row r="155" ht="18" customHeight="1">
      <c r="A155" s="39" t="n">
        <v>150</v>
      </c>
      <c r="B155" s="33">
        <f>IF(C155="","",IF(L155="À RENSEIGNER","GIC",L155)&amp;"-E"&amp;TEXT(A155,"00000"))</f>
        <v/>
      </c>
      <c r="C155" s="32" t="n"/>
      <c r="D155" s="36" t="n"/>
      <c r="E155" s="37" t="n"/>
      <c r="F155" s="36" t="n"/>
      <c r="G155" s="44" t="n"/>
      <c r="H155" s="43" t="n"/>
      <c r="I155" s="32" t="n"/>
      <c r="J155" s="44" t="n"/>
      <c r="K155" s="36" t="n"/>
      <c r="L155" s="33">
        <f>IF(C155="","",Commercial_Id)</f>
        <v/>
      </c>
      <c r="M155" s="34">
        <f>IF(OR(C155="",F155=""),"",IF(F155&lt;&gt;"Espèces","—",IF(I155&lt;&gt;"","☑ Oui","☐ Non")))</f>
        <v/>
      </c>
      <c r="N155" s="39">
        <f>IF(D155="","",IFERROR(VALUE(MID(D155,LEN(D155)-3,3)),""))</f>
        <v/>
      </c>
      <c r="O155" s="33">
        <f>IF(N155="","",L155&amp;"|"&amp;N155)</f>
        <v/>
      </c>
      <c r="P155" s="33">
        <f>IF(N155="","",IF(L155="À RENSEIGNER","GIC",L155)&amp;"-"&amp;TEXT(N155,"000"))</f>
        <v/>
      </c>
      <c r="Q155" s="33">
        <f>IF(O155="","",IFERROR(INDEX(Cl_nom,MATCH(O155,Cl_cle,0)),"(client introuvable)"))</f>
        <v/>
      </c>
      <c r="R155" s="40">
        <f>IF(O155="","",IFERROR(INDEX(Cl_reste,MATCH(O155,Cl_cle,0)),""))</f>
        <v/>
      </c>
      <c r="S155" s="34">
        <f>IF(C155="","",YEAR(C155-WEEKDAY(C155,2)+4)&amp;"-S"&amp;TEXT(INT((C155-DATE(YEAR(C155-WEEKDAY(C155,2)+4),1,3)+WEEKDAY(DATE(YEAR(C155-WEEKDAY(C155,2)+4),1,3),2)+5)/7),"00"))</f>
        <v/>
      </c>
    </row>
    <row r="156" ht="18" customHeight="1">
      <c r="A156" s="39" t="n">
        <v>151</v>
      </c>
      <c r="B156" s="33">
        <f>IF(C156="","",IF(L156="À RENSEIGNER","GIC",L156)&amp;"-E"&amp;TEXT(A156,"00000"))</f>
        <v/>
      </c>
      <c r="C156" s="32" t="n"/>
      <c r="D156" s="36" t="n"/>
      <c r="E156" s="37" t="n"/>
      <c r="F156" s="36" t="n"/>
      <c r="G156" s="44" t="n"/>
      <c r="H156" s="43" t="n"/>
      <c r="I156" s="32" t="n"/>
      <c r="J156" s="44" t="n"/>
      <c r="K156" s="36" t="n"/>
      <c r="L156" s="33">
        <f>IF(C156="","",Commercial_Id)</f>
        <v/>
      </c>
      <c r="M156" s="34">
        <f>IF(OR(C156="",F156=""),"",IF(F156&lt;&gt;"Espèces","—",IF(I156&lt;&gt;"","☑ Oui","☐ Non")))</f>
        <v/>
      </c>
      <c r="N156" s="39">
        <f>IF(D156="","",IFERROR(VALUE(MID(D156,LEN(D156)-3,3)),""))</f>
        <v/>
      </c>
      <c r="O156" s="33">
        <f>IF(N156="","",L156&amp;"|"&amp;N156)</f>
        <v/>
      </c>
      <c r="P156" s="33">
        <f>IF(N156="","",IF(L156="À RENSEIGNER","GIC",L156)&amp;"-"&amp;TEXT(N156,"000"))</f>
        <v/>
      </c>
      <c r="Q156" s="33">
        <f>IF(O156="","",IFERROR(INDEX(Cl_nom,MATCH(O156,Cl_cle,0)),"(client introuvable)"))</f>
        <v/>
      </c>
      <c r="R156" s="40">
        <f>IF(O156="","",IFERROR(INDEX(Cl_reste,MATCH(O156,Cl_cle,0)),""))</f>
        <v/>
      </c>
      <c r="S156" s="34">
        <f>IF(C156="","",YEAR(C156-WEEKDAY(C156,2)+4)&amp;"-S"&amp;TEXT(INT((C156-DATE(YEAR(C156-WEEKDAY(C156,2)+4),1,3)+WEEKDAY(DATE(YEAR(C156-WEEKDAY(C156,2)+4),1,3),2)+5)/7),"00"))</f>
        <v/>
      </c>
    </row>
    <row r="157" ht="18" customHeight="1">
      <c r="A157" s="39" t="n">
        <v>152</v>
      </c>
      <c r="B157" s="33">
        <f>IF(C157="","",IF(L157="À RENSEIGNER","GIC",L157)&amp;"-E"&amp;TEXT(A157,"00000"))</f>
        <v/>
      </c>
      <c r="C157" s="32" t="n"/>
      <c r="D157" s="36" t="n"/>
      <c r="E157" s="37" t="n"/>
      <c r="F157" s="36" t="n"/>
      <c r="G157" s="44" t="n"/>
      <c r="H157" s="43" t="n"/>
      <c r="I157" s="32" t="n"/>
      <c r="J157" s="44" t="n"/>
      <c r="K157" s="36" t="n"/>
      <c r="L157" s="33">
        <f>IF(C157="","",Commercial_Id)</f>
        <v/>
      </c>
      <c r="M157" s="34">
        <f>IF(OR(C157="",F157=""),"",IF(F157&lt;&gt;"Espèces","—",IF(I157&lt;&gt;"","☑ Oui","☐ Non")))</f>
        <v/>
      </c>
      <c r="N157" s="39">
        <f>IF(D157="","",IFERROR(VALUE(MID(D157,LEN(D157)-3,3)),""))</f>
        <v/>
      </c>
      <c r="O157" s="33">
        <f>IF(N157="","",L157&amp;"|"&amp;N157)</f>
        <v/>
      </c>
      <c r="P157" s="33">
        <f>IF(N157="","",IF(L157="À RENSEIGNER","GIC",L157)&amp;"-"&amp;TEXT(N157,"000"))</f>
        <v/>
      </c>
      <c r="Q157" s="33">
        <f>IF(O157="","",IFERROR(INDEX(Cl_nom,MATCH(O157,Cl_cle,0)),"(client introuvable)"))</f>
        <v/>
      </c>
      <c r="R157" s="40">
        <f>IF(O157="","",IFERROR(INDEX(Cl_reste,MATCH(O157,Cl_cle,0)),""))</f>
        <v/>
      </c>
      <c r="S157" s="34">
        <f>IF(C157="","",YEAR(C157-WEEKDAY(C157,2)+4)&amp;"-S"&amp;TEXT(INT((C157-DATE(YEAR(C157-WEEKDAY(C157,2)+4),1,3)+WEEKDAY(DATE(YEAR(C157-WEEKDAY(C157,2)+4),1,3),2)+5)/7),"00"))</f>
        <v/>
      </c>
    </row>
    <row r="158" ht="18" customHeight="1">
      <c r="A158" s="39" t="n">
        <v>153</v>
      </c>
      <c r="B158" s="33">
        <f>IF(C158="","",IF(L158="À RENSEIGNER","GIC",L158)&amp;"-E"&amp;TEXT(A158,"00000"))</f>
        <v/>
      </c>
      <c r="C158" s="32" t="n"/>
      <c r="D158" s="36" t="n"/>
      <c r="E158" s="37" t="n"/>
      <c r="F158" s="36" t="n"/>
      <c r="G158" s="44" t="n"/>
      <c r="H158" s="43" t="n"/>
      <c r="I158" s="32" t="n"/>
      <c r="J158" s="44" t="n"/>
      <c r="K158" s="36" t="n"/>
      <c r="L158" s="33">
        <f>IF(C158="","",Commercial_Id)</f>
        <v/>
      </c>
      <c r="M158" s="34">
        <f>IF(OR(C158="",F158=""),"",IF(F158&lt;&gt;"Espèces","—",IF(I158&lt;&gt;"","☑ Oui","☐ Non")))</f>
        <v/>
      </c>
      <c r="N158" s="39">
        <f>IF(D158="","",IFERROR(VALUE(MID(D158,LEN(D158)-3,3)),""))</f>
        <v/>
      </c>
      <c r="O158" s="33">
        <f>IF(N158="","",L158&amp;"|"&amp;N158)</f>
        <v/>
      </c>
      <c r="P158" s="33">
        <f>IF(N158="","",IF(L158="À RENSEIGNER","GIC",L158)&amp;"-"&amp;TEXT(N158,"000"))</f>
        <v/>
      </c>
      <c r="Q158" s="33">
        <f>IF(O158="","",IFERROR(INDEX(Cl_nom,MATCH(O158,Cl_cle,0)),"(client introuvable)"))</f>
        <v/>
      </c>
      <c r="R158" s="40">
        <f>IF(O158="","",IFERROR(INDEX(Cl_reste,MATCH(O158,Cl_cle,0)),""))</f>
        <v/>
      </c>
      <c r="S158" s="34">
        <f>IF(C158="","",YEAR(C158-WEEKDAY(C158,2)+4)&amp;"-S"&amp;TEXT(INT((C158-DATE(YEAR(C158-WEEKDAY(C158,2)+4),1,3)+WEEKDAY(DATE(YEAR(C158-WEEKDAY(C158,2)+4),1,3),2)+5)/7),"00"))</f>
        <v/>
      </c>
    </row>
    <row r="159" ht="18" customHeight="1">
      <c r="A159" s="39" t="n">
        <v>154</v>
      </c>
      <c r="B159" s="33">
        <f>IF(C159="","",IF(L159="À RENSEIGNER","GIC",L159)&amp;"-E"&amp;TEXT(A159,"00000"))</f>
        <v/>
      </c>
      <c r="C159" s="32" t="n"/>
      <c r="D159" s="36" t="n"/>
      <c r="E159" s="37" t="n"/>
      <c r="F159" s="36" t="n"/>
      <c r="G159" s="44" t="n"/>
      <c r="H159" s="43" t="n"/>
      <c r="I159" s="32" t="n"/>
      <c r="J159" s="44" t="n"/>
      <c r="K159" s="36" t="n"/>
      <c r="L159" s="33">
        <f>IF(C159="","",Commercial_Id)</f>
        <v/>
      </c>
      <c r="M159" s="34">
        <f>IF(OR(C159="",F159=""),"",IF(F159&lt;&gt;"Espèces","—",IF(I159&lt;&gt;"","☑ Oui","☐ Non")))</f>
        <v/>
      </c>
      <c r="N159" s="39">
        <f>IF(D159="","",IFERROR(VALUE(MID(D159,LEN(D159)-3,3)),""))</f>
        <v/>
      </c>
      <c r="O159" s="33">
        <f>IF(N159="","",L159&amp;"|"&amp;N159)</f>
        <v/>
      </c>
      <c r="P159" s="33">
        <f>IF(N159="","",IF(L159="À RENSEIGNER","GIC",L159)&amp;"-"&amp;TEXT(N159,"000"))</f>
        <v/>
      </c>
      <c r="Q159" s="33">
        <f>IF(O159="","",IFERROR(INDEX(Cl_nom,MATCH(O159,Cl_cle,0)),"(client introuvable)"))</f>
        <v/>
      </c>
      <c r="R159" s="40">
        <f>IF(O159="","",IFERROR(INDEX(Cl_reste,MATCH(O159,Cl_cle,0)),""))</f>
        <v/>
      </c>
      <c r="S159" s="34">
        <f>IF(C159="","",YEAR(C159-WEEKDAY(C159,2)+4)&amp;"-S"&amp;TEXT(INT((C159-DATE(YEAR(C159-WEEKDAY(C159,2)+4),1,3)+WEEKDAY(DATE(YEAR(C159-WEEKDAY(C159,2)+4),1,3),2)+5)/7),"00"))</f>
        <v/>
      </c>
    </row>
    <row r="160" ht="18" customHeight="1">
      <c r="A160" s="39" t="n">
        <v>155</v>
      </c>
      <c r="B160" s="33">
        <f>IF(C160="","",IF(L160="À RENSEIGNER","GIC",L160)&amp;"-E"&amp;TEXT(A160,"00000"))</f>
        <v/>
      </c>
      <c r="C160" s="32" t="n"/>
      <c r="D160" s="36" t="n"/>
      <c r="E160" s="37" t="n"/>
      <c r="F160" s="36" t="n"/>
      <c r="G160" s="44" t="n"/>
      <c r="H160" s="43" t="n"/>
      <c r="I160" s="32" t="n"/>
      <c r="J160" s="44" t="n"/>
      <c r="K160" s="36" t="n"/>
      <c r="L160" s="33">
        <f>IF(C160="","",Commercial_Id)</f>
        <v/>
      </c>
      <c r="M160" s="34">
        <f>IF(OR(C160="",F160=""),"",IF(F160&lt;&gt;"Espèces","—",IF(I160&lt;&gt;"","☑ Oui","☐ Non")))</f>
        <v/>
      </c>
      <c r="N160" s="39">
        <f>IF(D160="","",IFERROR(VALUE(MID(D160,LEN(D160)-3,3)),""))</f>
        <v/>
      </c>
      <c r="O160" s="33">
        <f>IF(N160="","",L160&amp;"|"&amp;N160)</f>
        <v/>
      </c>
      <c r="P160" s="33">
        <f>IF(N160="","",IF(L160="À RENSEIGNER","GIC",L160)&amp;"-"&amp;TEXT(N160,"000"))</f>
        <v/>
      </c>
      <c r="Q160" s="33">
        <f>IF(O160="","",IFERROR(INDEX(Cl_nom,MATCH(O160,Cl_cle,0)),"(client introuvable)"))</f>
        <v/>
      </c>
      <c r="R160" s="40">
        <f>IF(O160="","",IFERROR(INDEX(Cl_reste,MATCH(O160,Cl_cle,0)),""))</f>
        <v/>
      </c>
      <c r="S160" s="34">
        <f>IF(C160="","",YEAR(C160-WEEKDAY(C160,2)+4)&amp;"-S"&amp;TEXT(INT((C160-DATE(YEAR(C160-WEEKDAY(C160,2)+4),1,3)+WEEKDAY(DATE(YEAR(C160-WEEKDAY(C160,2)+4),1,3),2)+5)/7),"00"))</f>
        <v/>
      </c>
    </row>
    <row r="161" ht="18" customHeight="1">
      <c r="A161" s="39" t="n">
        <v>156</v>
      </c>
      <c r="B161" s="33">
        <f>IF(C161="","",IF(L161="À RENSEIGNER","GIC",L161)&amp;"-E"&amp;TEXT(A161,"00000"))</f>
        <v/>
      </c>
      <c r="C161" s="32" t="n"/>
      <c r="D161" s="36" t="n"/>
      <c r="E161" s="37" t="n"/>
      <c r="F161" s="36" t="n"/>
      <c r="G161" s="44" t="n"/>
      <c r="H161" s="43" t="n"/>
      <c r="I161" s="32" t="n"/>
      <c r="J161" s="44" t="n"/>
      <c r="K161" s="36" t="n"/>
      <c r="L161" s="33">
        <f>IF(C161="","",Commercial_Id)</f>
        <v/>
      </c>
      <c r="M161" s="34">
        <f>IF(OR(C161="",F161=""),"",IF(F161&lt;&gt;"Espèces","—",IF(I161&lt;&gt;"","☑ Oui","☐ Non")))</f>
        <v/>
      </c>
      <c r="N161" s="39">
        <f>IF(D161="","",IFERROR(VALUE(MID(D161,LEN(D161)-3,3)),""))</f>
        <v/>
      </c>
      <c r="O161" s="33">
        <f>IF(N161="","",L161&amp;"|"&amp;N161)</f>
        <v/>
      </c>
      <c r="P161" s="33">
        <f>IF(N161="","",IF(L161="À RENSEIGNER","GIC",L161)&amp;"-"&amp;TEXT(N161,"000"))</f>
        <v/>
      </c>
      <c r="Q161" s="33">
        <f>IF(O161="","",IFERROR(INDEX(Cl_nom,MATCH(O161,Cl_cle,0)),"(client introuvable)"))</f>
        <v/>
      </c>
      <c r="R161" s="40">
        <f>IF(O161="","",IFERROR(INDEX(Cl_reste,MATCH(O161,Cl_cle,0)),""))</f>
        <v/>
      </c>
      <c r="S161" s="34">
        <f>IF(C161="","",YEAR(C161-WEEKDAY(C161,2)+4)&amp;"-S"&amp;TEXT(INT((C161-DATE(YEAR(C161-WEEKDAY(C161,2)+4),1,3)+WEEKDAY(DATE(YEAR(C161-WEEKDAY(C161,2)+4),1,3),2)+5)/7),"00"))</f>
        <v/>
      </c>
    </row>
    <row r="162" ht="18" customHeight="1">
      <c r="A162" s="39" t="n">
        <v>157</v>
      </c>
      <c r="B162" s="33">
        <f>IF(C162="","",IF(L162="À RENSEIGNER","GIC",L162)&amp;"-E"&amp;TEXT(A162,"00000"))</f>
        <v/>
      </c>
      <c r="C162" s="32" t="n"/>
      <c r="D162" s="36" t="n"/>
      <c r="E162" s="37" t="n"/>
      <c r="F162" s="36" t="n"/>
      <c r="G162" s="44" t="n"/>
      <c r="H162" s="43" t="n"/>
      <c r="I162" s="32" t="n"/>
      <c r="J162" s="44" t="n"/>
      <c r="K162" s="36" t="n"/>
      <c r="L162" s="33">
        <f>IF(C162="","",Commercial_Id)</f>
        <v/>
      </c>
      <c r="M162" s="34">
        <f>IF(OR(C162="",F162=""),"",IF(F162&lt;&gt;"Espèces","—",IF(I162&lt;&gt;"","☑ Oui","☐ Non")))</f>
        <v/>
      </c>
      <c r="N162" s="39">
        <f>IF(D162="","",IFERROR(VALUE(MID(D162,LEN(D162)-3,3)),""))</f>
        <v/>
      </c>
      <c r="O162" s="33">
        <f>IF(N162="","",L162&amp;"|"&amp;N162)</f>
        <v/>
      </c>
      <c r="P162" s="33">
        <f>IF(N162="","",IF(L162="À RENSEIGNER","GIC",L162)&amp;"-"&amp;TEXT(N162,"000"))</f>
        <v/>
      </c>
      <c r="Q162" s="33">
        <f>IF(O162="","",IFERROR(INDEX(Cl_nom,MATCH(O162,Cl_cle,0)),"(client introuvable)"))</f>
        <v/>
      </c>
      <c r="R162" s="40">
        <f>IF(O162="","",IFERROR(INDEX(Cl_reste,MATCH(O162,Cl_cle,0)),""))</f>
        <v/>
      </c>
      <c r="S162" s="34">
        <f>IF(C162="","",YEAR(C162-WEEKDAY(C162,2)+4)&amp;"-S"&amp;TEXT(INT((C162-DATE(YEAR(C162-WEEKDAY(C162,2)+4),1,3)+WEEKDAY(DATE(YEAR(C162-WEEKDAY(C162,2)+4),1,3),2)+5)/7),"00"))</f>
        <v/>
      </c>
    </row>
    <row r="163" ht="18" customHeight="1">
      <c r="A163" s="39" t="n">
        <v>158</v>
      </c>
      <c r="B163" s="33">
        <f>IF(C163="","",IF(L163="À RENSEIGNER","GIC",L163)&amp;"-E"&amp;TEXT(A163,"00000"))</f>
        <v/>
      </c>
      <c r="C163" s="32" t="n"/>
      <c r="D163" s="36" t="n"/>
      <c r="E163" s="37" t="n"/>
      <c r="F163" s="36" t="n"/>
      <c r="G163" s="44" t="n"/>
      <c r="H163" s="43" t="n"/>
      <c r="I163" s="32" t="n"/>
      <c r="J163" s="44" t="n"/>
      <c r="K163" s="36" t="n"/>
      <c r="L163" s="33">
        <f>IF(C163="","",Commercial_Id)</f>
        <v/>
      </c>
      <c r="M163" s="34">
        <f>IF(OR(C163="",F163=""),"",IF(F163&lt;&gt;"Espèces","—",IF(I163&lt;&gt;"","☑ Oui","☐ Non")))</f>
        <v/>
      </c>
      <c r="N163" s="39">
        <f>IF(D163="","",IFERROR(VALUE(MID(D163,LEN(D163)-3,3)),""))</f>
        <v/>
      </c>
      <c r="O163" s="33">
        <f>IF(N163="","",L163&amp;"|"&amp;N163)</f>
        <v/>
      </c>
      <c r="P163" s="33">
        <f>IF(N163="","",IF(L163="À RENSEIGNER","GIC",L163)&amp;"-"&amp;TEXT(N163,"000"))</f>
        <v/>
      </c>
      <c r="Q163" s="33">
        <f>IF(O163="","",IFERROR(INDEX(Cl_nom,MATCH(O163,Cl_cle,0)),"(client introuvable)"))</f>
        <v/>
      </c>
      <c r="R163" s="40">
        <f>IF(O163="","",IFERROR(INDEX(Cl_reste,MATCH(O163,Cl_cle,0)),""))</f>
        <v/>
      </c>
      <c r="S163" s="34">
        <f>IF(C163="","",YEAR(C163-WEEKDAY(C163,2)+4)&amp;"-S"&amp;TEXT(INT((C163-DATE(YEAR(C163-WEEKDAY(C163,2)+4),1,3)+WEEKDAY(DATE(YEAR(C163-WEEKDAY(C163,2)+4),1,3),2)+5)/7),"00"))</f>
        <v/>
      </c>
    </row>
    <row r="164" ht="18" customHeight="1">
      <c r="A164" s="39" t="n">
        <v>159</v>
      </c>
      <c r="B164" s="33">
        <f>IF(C164="","",IF(L164="À RENSEIGNER","GIC",L164)&amp;"-E"&amp;TEXT(A164,"00000"))</f>
        <v/>
      </c>
      <c r="C164" s="32" t="n"/>
      <c r="D164" s="36" t="n"/>
      <c r="E164" s="37" t="n"/>
      <c r="F164" s="36" t="n"/>
      <c r="G164" s="44" t="n"/>
      <c r="H164" s="43" t="n"/>
      <c r="I164" s="32" t="n"/>
      <c r="J164" s="44" t="n"/>
      <c r="K164" s="36" t="n"/>
      <c r="L164" s="33">
        <f>IF(C164="","",Commercial_Id)</f>
        <v/>
      </c>
      <c r="M164" s="34">
        <f>IF(OR(C164="",F164=""),"",IF(F164&lt;&gt;"Espèces","—",IF(I164&lt;&gt;"","☑ Oui","☐ Non")))</f>
        <v/>
      </c>
      <c r="N164" s="39">
        <f>IF(D164="","",IFERROR(VALUE(MID(D164,LEN(D164)-3,3)),""))</f>
        <v/>
      </c>
      <c r="O164" s="33">
        <f>IF(N164="","",L164&amp;"|"&amp;N164)</f>
        <v/>
      </c>
      <c r="P164" s="33">
        <f>IF(N164="","",IF(L164="À RENSEIGNER","GIC",L164)&amp;"-"&amp;TEXT(N164,"000"))</f>
        <v/>
      </c>
      <c r="Q164" s="33">
        <f>IF(O164="","",IFERROR(INDEX(Cl_nom,MATCH(O164,Cl_cle,0)),"(client introuvable)"))</f>
        <v/>
      </c>
      <c r="R164" s="40">
        <f>IF(O164="","",IFERROR(INDEX(Cl_reste,MATCH(O164,Cl_cle,0)),""))</f>
        <v/>
      </c>
      <c r="S164" s="34">
        <f>IF(C164="","",YEAR(C164-WEEKDAY(C164,2)+4)&amp;"-S"&amp;TEXT(INT((C164-DATE(YEAR(C164-WEEKDAY(C164,2)+4),1,3)+WEEKDAY(DATE(YEAR(C164-WEEKDAY(C164,2)+4),1,3),2)+5)/7),"00"))</f>
        <v/>
      </c>
    </row>
    <row r="165" ht="18" customHeight="1">
      <c r="A165" s="39" t="n">
        <v>160</v>
      </c>
      <c r="B165" s="33">
        <f>IF(C165="","",IF(L165="À RENSEIGNER","GIC",L165)&amp;"-E"&amp;TEXT(A165,"00000"))</f>
        <v/>
      </c>
      <c r="C165" s="32" t="n"/>
      <c r="D165" s="36" t="n"/>
      <c r="E165" s="37" t="n"/>
      <c r="F165" s="36" t="n"/>
      <c r="G165" s="44" t="n"/>
      <c r="H165" s="43" t="n"/>
      <c r="I165" s="32" t="n"/>
      <c r="J165" s="44" t="n"/>
      <c r="K165" s="36" t="n"/>
      <c r="L165" s="33">
        <f>IF(C165="","",Commercial_Id)</f>
        <v/>
      </c>
      <c r="M165" s="34">
        <f>IF(OR(C165="",F165=""),"",IF(F165&lt;&gt;"Espèces","—",IF(I165&lt;&gt;"","☑ Oui","☐ Non")))</f>
        <v/>
      </c>
      <c r="N165" s="39">
        <f>IF(D165="","",IFERROR(VALUE(MID(D165,LEN(D165)-3,3)),""))</f>
        <v/>
      </c>
      <c r="O165" s="33">
        <f>IF(N165="","",L165&amp;"|"&amp;N165)</f>
        <v/>
      </c>
      <c r="P165" s="33">
        <f>IF(N165="","",IF(L165="À RENSEIGNER","GIC",L165)&amp;"-"&amp;TEXT(N165,"000"))</f>
        <v/>
      </c>
      <c r="Q165" s="33">
        <f>IF(O165="","",IFERROR(INDEX(Cl_nom,MATCH(O165,Cl_cle,0)),"(client introuvable)"))</f>
        <v/>
      </c>
      <c r="R165" s="40">
        <f>IF(O165="","",IFERROR(INDEX(Cl_reste,MATCH(O165,Cl_cle,0)),""))</f>
        <v/>
      </c>
      <c r="S165" s="34">
        <f>IF(C165="","",YEAR(C165-WEEKDAY(C165,2)+4)&amp;"-S"&amp;TEXT(INT((C165-DATE(YEAR(C165-WEEKDAY(C165,2)+4),1,3)+WEEKDAY(DATE(YEAR(C165-WEEKDAY(C165,2)+4),1,3),2)+5)/7),"00"))</f>
        <v/>
      </c>
    </row>
    <row r="166" ht="18" customHeight="1">
      <c r="A166" s="39" t="n">
        <v>161</v>
      </c>
      <c r="B166" s="33">
        <f>IF(C166="","",IF(L166="À RENSEIGNER","GIC",L166)&amp;"-E"&amp;TEXT(A166,"00000"))</f>
        <v/>
      </c>
      <c r="C166" s="32" t="n"/>
      <c r="D166" s="36" t="n"/>
      <c r="E166" s="37" t="n"/>
      <c r="F166" s="36" t="n"/>
      <c r="G166" s="44" t="n"/>
      <c r="H166" s="43" t="n"/>
      <c r="I166" s="32" t="n"/>
      <c r="J166" s="44" t="n"/>
      <c r="K166" s="36" t="n"/>
      <c r="L166" s="33">
        <f>IF(C166="","",Commercial_Id)</f>
        <v/>
      </c>
      <c r="M166" s="34">
        <f>IF(OR(C166="",F166=""),"",IF(F166&lt;&gt;"Espèces","—",IF(I166&lt;&gt;"","☑ Oui","☐ Non")))</f>
        <v/>
      </c>
      <c r="N166" s="39">
        <f>IF(D166="","",IFERROR(VALUE(MID(D166,LEN(D166)-3,3)),""))</f>
        <v/>
      </c>
      <c r="O166" s="33">
        <f>IF(N166="","",L166&amp;"|"&amp;N166)</f>
        <v/>
      </c>
      <c r="P166" s="33">
        <f>IF(N166="","",IF(L166="À RENSEIGNER","GIC",L166)&amp;"-"&amp;TEXT(N166,"000"))</f>
        <v/>
      </c>
      <c r="Q166" s="33">
        <f>IF(O166="","",IFERROR(INDEX(Cl_nom,MATCH(O166,Cl_cle,0)),"(client introuvable)"))</f>
        <v/>
      </c>
      <c r="R166" s="40">
        <f>IF(O166="","",IFERROR(INDEX(Cl_reste,MATCH(O166,Cl_cle,0)),""))</f>
        <v/>
      </c>
      <c r="S166" s="34">
        <f>IF(C166="","",YEAR(C166-WEEKDAY(C166,2)+4)&amp;"-S"&amp;TEXT(INT((C166-DATE(YEAR(C166-WEEKDAY(C166,2)+4),1,3)+WEEKDAY(DATE(YEAR(C166-WEEKDAY(C166,2)+4),1,3),2)+5)/7),"00"))</f>
        <v/>
      </c>
    </row>
    <row r="167" ht="18" customHeight="1">
      <c r="A167" s="39" t="n">
        <v>162</v>
      </c>
      <c r="B167" s="33">
        <f>IF(C167="","",IF(L167="À RENSEIGNER","GIC",L167)&amp;"-E"&amp;TEXT(A167,"00000"))</f>
        <v/>
      </c>
      <c r="C167" s="32" t="n"/>
      <c r="D167" s="36" t="n"/>
      <c r="E167" s="37" t="n"/>
      <c r="F167" s="36" t="n"/>
      <c r="G167" s="44" t="n"/>
      <c r="H167" s="43" t="n"/>
      <c r="I167" s="32" t="n"/>
      <c r="J167" s="44" t="n"/>
      <c r="K167" s="36" t="n"/>
      <c r="L167" s="33">
        <f>IF(C167="","",Commercial_Id)</f>
        <v/>
      </c>
      <c r="M167" s="34">
        <f>IF(OR(C167="",F167=""),"",IF(F167&lt;&gt;"Espèces","—",IF(I167&lt;&gt;"","☑ Oui","☐ Non")))</f>
        <v/>
      </c>
      <c r="N167" s="39">
        <f>IF(D167="","",IFERROR(VALUE(MID(D167,LEN(D167)-3,3)),""))</f>
        <v/>
      </c>
      <c r="O167" s="33">
        <f>IF(N167="","",L167&amp;"|"&amp;N167)</f>
        <v/>
      </c>
      <c r="P167" s="33">
        <f>IF(N167="","",IF(L167="À RENSEIGNER","GIC",L167)&amp;"-"&amp;TEXT(N167,"000"))</f>
        <v/>
      </c>
      <c r="Q167" s="33">
        <f>IF(O167="","",IFERROR(INDEX(Cl_nom,MATCH(O167,Cl_cle,0)),"(client introuvable)"))</f>
        <v/>
      </c>
      <c r="R167" s="40">
        <f>IF(O167="","",IFERROR(INDEX(Cl_reste,MATCH(O167,Cl_cle,0)),""))</f>
        <v/>
      </c>
      <c r="S167" s="34">
        <f>IF(C167="","",YEAR(C167-WEEKDAY(C167,2)+4)&amp;"-S"&amp;TEXT(INT((C167-DATE(YEAR(C167-WEEKDAY(C167,2)+4),1,3)+WEEKDAY(DATE(YEAR(C167-WEEKDAY(C167,2)+4),1,3),2)+5)/7),"00"))</f>
        <v/>
      </c>
    </row>
    <row r="168" ht="18" customHeight="1">
      <c r="A168" s="39" t="n">
        <v>163</v>
      </c>
      <c r="B168" s="33">
        <f>IF(C168="","",IF(L168="À RENSEIGNER","GIC",L168)&amp;"-E"&amp;TEXT(A168,"00000"))</f>
        <v/>
      </c>
      <c r="C168" s="32" t="n"/>
      <c r="D168" s="36" t="n"/>
      <c r="E168" s="37" t="n"/>
      <c r="F168" s="36" t="n"/>
      <c r="G168" s="44" t="n"/>
      <c r="H168" s="43" t="n"/>
      <c r="I168" s="32" t="n"/>
      <c r="J168" s="44" t="n"/>
      <c r="K168" s="36" t="n"/>
      <c r="L168" s="33">
        <f>IF(C168="","",Commercial_Id)</f>
        <v/>
      </c>
      <c r="M168" s="34">
        <f>IF(OR(C168="",F168=""),"",IF(F168&lt;&gt;"Espèces","—",IF(I168&lt;&gt;"","☑ Oui","☐ Non")))</f>
        <v/>
      </c>
      <c r="N168" s="39">
        <f>IF(D168="","",IFERROR(VALUE(MID(D168,LEN(D168)-3,3)),""))</f>
        <v/>
      </c>
      <c r="O168" s="33">
        <f>IF(N168="","",L168&amp;"|"&amp;N168)</f>
        <v/>
      </c>
      <c r="P168" s="33">
        <f>IF(N168="","",IF(L168="À RENSEIGNER","GIC",L168)&amp;"-"&amp;TEXT(N168,"000"))</f>
        <v/>
      </c>
      <c r="Q168" s="33">
        <f>IF(O168="","",IFERROR(INDEX(Cl_nom,MATCH(O168,Cl_cle,0)),"(client introuvable)"))</f>
        <v/>
      </c>
      <c r="R168" s="40">
        <f>IF(O168="","",IFERROR(INDEX(Cl_reste,MATCH(O168,Cl_cle,0)),""))</f>
        <v/>
      </c>
      <c r="S168" s="34">
        <f>IF(C168="","",YEAR(C168-WEEKDAY(C168,2)+4)&amp;"-S"&amp;TEXT(INT((C168-DATE(YEAR(C168-WEEKDAY(C168,2)+4),1,3)+WEEKDAY(DATE(YEAR(C168-WEEKDAY(C168,2)+4),1,3),2)+5)/7),"00"))</f>
        <v/>
      </c>
    </row>
    <row r="169" ht="18" customHeight="1">
      <c r="A169" s="39" t="n">
        <v>164</v>
      </c>
      <c r="B169" s="33">
        <f>IF(C169="","",IF(L169="À RENSEIGNER","GIC",L169)&amp;"-E"&amp;TEXT(A169,"00000"))</f>
        <v/>
      </c>
      <c r="C169" s="32" t="n"/>
      <c r="D169" s="36" t="n"/>
      <c r="E169" s="37" t="n"/>
      <c r="F169" s="36" t="n"/>
      <c r="G169" s="44" t="n"/>
      <c r="H169" s="43" t="n"/>
      <c r="I169" s="32" t="n"/>
      <c r="J169" s="44" t="n"/>
      <c r="K169" s="36" t="n"/>
      <c r="L169" s="33">
        <f>IF(C169="","",Commercial_Id)</f>
        <v/>
      </c>
      <c r="M169" s="34">
        <f>IF(OR(C169="",F169=""),"",IF(F169&lt;&gt;"Espèces","—",IF(I169&lt;&gt;"","☑ Oui","☐ Non")))</f>
        <v/>
      </c>
      <c r="N169" s="39">
        <f>IF(D169="","",IFERROR(VALUE(MID(D169,LEN(D169)-3,3)),""))</f>
        <v/>
      </c>
      <c r="O169" s="33">
        <f>IF(N169="","",L169&amp;"|"&amp;N169)</f>
        <v/>
      </c>
      <c r="P169" s="33">
        <f>IF(N169="","",IF(L169="À RENSEIGNER","GIC",L169)&amp;"-"&amp;TEXT(N169,"000"))</f>
        <v/>
      </c>
      <c r="Q169" s="33">
        <f>IF(O169="","",IFERROR(INDEX(Cl_nom,MATCH(O169,Cl_cle,0)),"(client introuvable)"))</f>
        <v/>
      </c>
      <c r="R169" s="40">
        <f>IF(O169="","",IFERROR(INDEX(Cl_reste,MATCH(O169,Cl_cle,0)),""))</f>
        <v/>
      </c>
      <c r="S169" s="34">
        <f>IF(C169="","",YEAR(C169-WEEKDAY(C169,2)+4)&amp;"-S"&amp;TEXT(INT((C169-DATE(YEAR(C169-WEEKDAY(C169,2)+4),1,3)+WEEKDAY(DATE(YEAR(C169-WEEKDAY(C169,2)+4),1,3),2)+5)/7),"00"))</f>
        <v/>
      </c>
    </row>
    <row r="170" ht="18" customHeight="1">
      <c r="A170" s="39" t="n">
        <v>165</v>
      </c>
      <c r="B170" s="33">
        <f>IF(C170="","",IF(L170="À RENSEIGNER","GIC",L170)&amp;"-E"&amp;TEXT(A170,"00000"))</f>
        <v/>
      </c>
      <c r="C170" s="32" t="n"/>
      <c r="D170" s="36" t="n"/>
      <c r="E170" s="37" t="n"/>
      <c r="F170" s="36" t="n"/>
      <c r="G170" s="44" t="n"/>
      <c r="H170" s="43" t="n"/>
      <c r="I170" s="32" t="n"/>
      <c r="J170" s="44" t="n"/>
      <c r="K170" s="36" t="n"/>
      <c r="L170" s="33">
        <f>IF(C170="","",Commercial_Id)</f>
        <v/>
      </c>
      <c r="M170" s="34">
        <f>IF(OR(C170="",F170=""),"",IF(F170&lt;&gt;"Espèces","—",IF(I170&lt;&gt;"","☑ Oui","☐ Non")))</f>
        <v/>
      </c>
      <c r="N170" s="39">
        <f>IF(D170="","",IFERROR(VALUE(MID(D170,LEN(D170)-3,3)),""))</f>
        <v/>
      </c>
      <c r="O170" s="33">
        <f>IF(N170="","",L170&amp;"|"&amp;N170)</f>
        <v/>
      </c>
      <c r="P170" s="33">
        <f>IF(N170="","",IF(L170="À RENSEIGNER","GIC",L170)&amp;"-"&amp;TEXT(N170,"000"))</f>
        <v/>
      </c>
      <c r="Q170" s="33">
        <f>IF(O170="","",IFERROR(INDEX(Cl_nom,MATCH(O170,Cl_cle,0)),"(client introuvable)"))</f>
        <v/>
      </c>
      <c r="R170" s="40">
        <f>IF(O170="","",IFERROR(INDEX(Cl_reste,MATCH(O170,Cl_cle,0)),""))</f>
        <v/>
      </c>
      <c r="S170" s="34">
        <f>IF(C170="","",YEAR(C170-WEEKDAY(C170,2)+4)&amp;"-S"&amp;TEXT(INT((C170-DATE(YEAR(C170-WEEKDAY(C170,2)+4),1,3)+WEEKDAY(DATE(YEAR(C170-WEEKDAY(C170,2)+4),1,3),2)+5)/7),"00"))</f>
        <v/>
      </c>
    </row>
    <row r="171" ht="18" customHeight="1">
      <c r="A171" s="39" t="n">
        <v>166</v>
      </c>
      <c r="B171" s="33">
        <f>IF(C171="","",IF(L171="À RENSEIGNER","GIC",L171)&amp;"-E"&amp;TEXT(A171,"00000"))</f>
        <v/>
      </c>
      <c r="C171" s="32" t="n"/>
      <c r="D171" s="36" t="n"/>
      <c r="E171" s="37" t="n"/>
      <c r="F171" s="36" t="n"/>
      <c r="G171" s="44" t="n"/>
      <c r="H171" s="43" t="n"/>
      <c r="I171" s="32" t="n"/>
      <c r="J171" s="44" t="n"/>
      <c r="K171" s="36" t="n"/>
      <c r="L171" s="33">
        <f>IF(C171="","",Commercial_Id)</f>
        <v/>
      </c>
      <c r="M171" s="34">
        <f>IF(OR(C171="",F171=""),"",IF(F171&lt;&gt;"Espèces","—",IF(I171&lt;&gt;"","☑ Oui","☐ Non")))</f>
        <v/>
      </c>
      <c r="N171" s="39">
        <f>IF(D171="","",IFERROR(VALUE(MID(D171,LEN(D171)-3,3)),""))</f>
        <v/>
      </c>
      <c r="O171" s="33">
        <f>IF(N171="","",L171&amp;"|"&amp;N171)</f>
        <v/>
      </c>
      <c r="P171" s="33">
        <f>IF(N171="","",IF(L171="À RENSEIGNER","GIC",L171)&amp;"-"&amp;TEXT(N171,"000"))</f>
        <v/>
      </c>
      <c r="Q171" s="33">
        <f>IF(O171="","",IFERROR(INDEX(Cl_nom,MATCH(O171,Cl_cle,0)),"(client introuvable)"))</f>
        <v/>
      </c>
      <c r="R171" s="40">
        <f>IF(O171="","",IFERROR(INDEX(Cl_reste,MATCH(O171,Cl_cle,0)),""))</f>
        <v/>
      </c>
      <c r="S171" s="34">
        <f>IF(C171="","",YEAR(C171-WEEKDAY(C171,2)+4)&amp;"-S"&amp;TEXT(INT((C171-DATE(YEAR(C171-WEEKDAY(C171,2)+4),1,3)+WEEKDAY(DATE(YEAR(C171-WEEKDAY(C171,2)+4),1,3),2)+5)/7),"00"))</f>
        <v/>
      </c>
    </row>
    <row r="172" ht="18" customHeight="1">
      <c r="A172" s="39" t="n">
        <v>167</v>
      </c>
      <c r="B172" s="33">
        <f>IF(C172="","",IF(L172="À RENSEIGNER","GIC",L172)&amp;"-E"&amp;TEXT(A172,"00000"))</f>
        <v/>
      </c>
      <c r="C172" s="32" t="n"/>
      <c r="D172" s="36" t="n"/>
      <c r="E172" s="37" t="n"/>
      <c r="F172" s="36" t="n"/>
      <c r="G172" s="44" t="n"/>
      <c r="H172" s="43" t="n"/>
      <c r="I172" s="32" t="n"/>
      <c r="J172" s="44" t="n"/>
      <c r="K172" s="36" t="n"/>
      <c r="L172" s="33">
        <f>IF(C172="","",Commercial_Id)</f>
        <v/>
      </c>
      <c r="M172" s="34">
        <f>IF(OR(C172="",F172=""),"",IF(F172&lt;&gt;"Espèces","—",IF(I172&lt;&gt;"","☑ Oui","☐ Non")))</f>
        <v/>
      </c>
      <c r="N172" s="39">
        <f>IF(D172="","",IFERROR(VALUE(MID(D172,LEN(D172)-3,3)),""))</f>
        <v/>
      </c>
      <c r="O172" s="33">
        <f>IF(N172="","",L172&amp;"|"&amp;N172)</f>
        <v/>
      </c>
      <c r="P172" s="33">
        <f>IF(N172="","",IF(L172="À RENSEIGNER","GIC",L172)&amp;"-"&amp;TEXT(N172,"000"))</f>
        <v/>
      </c>
      <c r="Q172" s="33">
        <f>IF(O172="","",IFERROR(INDEX(Cl_nom,MATCH(O172,Cl_cle,0)),"(client introuvable)"))</f>
        <v/>
      </c>
      <c r="R172" s="40">
        <f>IF(O172="","",IFERROR(INDEX(Cl_reste,MATCH(O172,Cl_cle,0)),""))</f>
        <v/>
      </c>
      <c r="S172" s="34">
        <f>IF(C172="","",YEAR(C172-WEEKDAY(C172,2)+4)&amp;"-S"&amp;TEXT(INT((C172-DATE(YEAR(C172-WEEKDAY(C172,2)+4),1,3)+WEEKDAY(DATE(YEAR(C172-WEEKDAY(C172,2)+4),1,3),2)+5)/7),"00"))</f>
        <v/>
      </c>
    </row>
    <row r="173" ht="18" customHeight="1">
      <c r="A173" s="39" t="n">
        <v>168</v>
      </c>
      <c r="B173" s="33">
        <f>IF(C173="","",IF(L173="À RENSEIGNER","GIC",L173)&amp;"-E"&amp;TEXT(A173,"00000"))</f>
        <v/>
      </c>
      <c r="C173" s="32" t="n"/>
      <c r="D173" s="36" t="n"/>
      <c r="E173" s="37" t="n"/>
      <c r="F173" s="36" t="n"/>
      <c r="G173" s="44" t="n"/>
      <c r="H173" s="43" t="n"/>
      <c r="I173" s="32" t="n"/>
      <c r="J173" s="44" t="n"/>
      <c r="K173" s="36" t="n"/>
      <c r="L173" s="33">
        <f>IF(C173="","",Commercial_Id)</f>
        <v/>
      </c>
      <c r="M173" s="34">
        <f>IF(OR(C173="",F173=""),"",IF(F173&lt;&gt;"Espèces","—",IF(I173&lt;&gt;"","☑ Oui","☐ Non")))</f>
        <v/>
      </c>
      <c r="N173" s="39">
        <f>IF(D173="","",IFERROR(VALUE(MID(D173,LEN(D173)-3,3)),""))</f>
        <v/>
      </c>
      <c r="O173" s="33">
        <f>IF(N173="","",L173&amp;"|"&amp;N173)</f>
        <v/>
      </c>
      <c r="P173" s="33">
        <f>IF(N173="","",IF(L173="À RENSEIGNER","GIC",L173)&amp;"-"&amp;TEXT(N173,"000"))</f>
        <v/>
      </c>
      <c r="Q173" s="33">
        <f>IF(O173="","",IFERROR(INDEX(Cl_nom,MATCH(O173,Cl_cle,0)),"(client introuvable)"))</f>
        <v/>
      </c>
      <c r="R173" s="40">
        <f>IF(O173="","",IFERROR(INDEX(Cl_reste,MATCH(O173,Cl_cle,0)),""))</f>
        <v/>
      </c>
      <c r="S173" s="34">
        <f>IF(C173="","",YEAR(C173-WEEKDAY(C173,2)+4)&amp;"-S"&amp;TEXT(INT((C173-DATE(YEAR(C173-WEEKDAY(C173,2)+4),1,3)+WEEKDAY(DATE(YEAR(C173-WEEKDAY(C173,2)+4),1,3),2)+5)/7),"00"))</f>
        <v/>
      </c>
    </row>
    <row r="174" ht="18" customHeight="1">
      <c r="A174" s="39" t="n">
        <v>169</v>
      </c>
      <c r="B174" s="33">
        <f>IF(C174="","",IF(L174="À RENSEIGNER","GIC",L174)&amp;"-E"&amp;TEXT(A174,"00000"))</f>
        <v/>
      </c>
      <c r="C174" s="32" t="n"/>
      <c r="D174" s="36" t="n"/>
      <c r="E174" s="37" t="n"/>
      <c r="F174" s="36" t="n"/>
      <c r="G174" s="44" t="n"/>
      <c r="H174" s="43" t="n"/>
      <c r="I174" s="32" t="n"/>
      <c r="J174" s="44" t="n"/>
      <c r="K174" s="36" t="n"/>
      <c r="L174" s="33">
        <f>IF(C174="","",Commercial_Id)</f>
        <v/>
      </c>
      <c r="M174" s="34">
        <f>IF(OR(C174="",F174=""),"",IF(F174&lt;&gt;"Espèces","—",IF(I174&lt;&gt;"","☑ Oui","☐ Non")))</f>
        <v/>
      </c>
      <c r="N174" s="39">
        <f>IF(D174="","",IFERROR(VALUE(MID(D174,LEN(D174)-3,3)),""))</f>
        <v/>
      </c>
      <c r="O174" s="33">
        <f>IF(N174="","",L174&amp;"|"&amp;N174)</f>
        <v/>
      </c>
      <c r="P174" s="33">
        <f>IF(N174="","",IF(L174="À RENSEIGNER","GIC",L174)&amp;"-"&amp;TEXT(N174,"000"))</f>
        <v/>
      </c>
      <c r="Q174" s="33">
        <f>IF(O174="","",IFERROR(INDEX(Cl_nom,MATCH(O174,Cl_cle,0)),"(client introuvable)"))</f>
        <v/>
      </c>
      <c r="R174" s="40">
        <f>IF(O174="","",IFERROR(INDEX(Cl_reste,MATCH(O174,Cl_cle,0)),""))</f>
        <v/>
      </c>
      <c r="S174" s="34">
        <f>IF(C174="","",YEAR(C174-WEEKDAY(C174,2)+4)&amp;"-S"&amp;TEXT(INT((C174-DATE(YEAR(C174-WEEKDAY(C174,2)+4),1,3)+WEEKDAY(DATE(YEAR(C174-WEEKDAY(C174,2)+4),1,3),2)+5)/7),"00"))</f>
        <v/>
      </c>
    </row>
    <row r="175" ht="18" customHeight="1">
      <c r="A175" s="39" t="n">
        <v>170</v>
      </c>
      <c r="B175" s="33">
        <f>IF(C175="","",IF(L175="À RENSEIGNER","GIC",L175)&amp;"-E"&amp;TEXT(A175,"00000"))</f>
        <v/>
      </c>
      <c r="C175" s="32" t="n"/>
      <c r="D175" s="36" t="n"/>
      <c r="E175" s="37" t="n"/>
      <c r="F175" s="36" t="n"/>
      <c r="G175" s="44" t="n"/>
      <c r="H175" s="43" t="n"/>
      <c r="I175" s="32" t="n"/>
      <c r="J175" s="44" t="n"/>
      <c r="K175" s="36" t="n"/>
      <c r="L175" s="33">
        <f>IF(C175="","",Commercial_Id)</f>
        <v/>
      </c>
      <c r="M175" s="34">
        <f>IF(OR(C175="",F175=""),"",IF(F175&lt;&gt;"Espèces","—",IF(I175&lt;&gt;"","☑ Oui","☐ Non")))</f>
        <v/>
      </c>
      <c r="N175" s="39">
        <f>IF(D175="","",IFERROR(VALUE(MID(D175,LEN(D175)-3,3)),""))</f>
        <v/>
      </c>
      <c r="O175" s="33">
        <f>IF(N175="","",L175&amp;"|"&amp;N175)</f>
        <v/>
      </c>
      <c r="P175" s="33">
        <f>IF(N175="","",IF(L175="À RENSEIGNER","GIC",L175)&amp;"-"&amp;TEXT(N175,"000"))</f>
        <v/>
      </c>
      <c r="Q175" s="33">
        <f>IF(O175="","",IFERROR(INDEX(Cl_nom,MATCH(O175,Cl_cle,0)),"(client introuvable)"))</f>
        <v/>
      </c>
      <c r="R175" s="40">
        <f>IF(O175="","",IFERROR(INDEX(Cl_reste,MATCH(O175,Cl_cle,0)),""))</f>
        <v/>
      </c>
      <c r="S175" s="34">
        <f>IF(C175="","",YEAR(C175-WEEKDAY(C175,2)+4)&amp;"-S"&amp;TEXT(INT((C175-DATE(YEAR(C175-WEEKDAY(C175,2)+4),1,3)+WEEKDAY(DATE(YEAR(C175-WEEKDAY(C175,2)+4),1,3),2)+5)/7),"00"))</f>
        <v/>
      </c>
    </row>
    <row r="176" ht="18" customHeight="1">
      <c r="A176" s="39" t="n">
        <v>171</v>
      </c>
      <c r="B176" s="33">
        <f>IF(C176="","",IF(L176="À RENSEIGNER","GIC",L176)&amp;"-E"&amp;TEXT(A176,"00000"))</f>
        <v/>
      </c>
      <c r="C176" s="32" t="n"/>
      <c r="D176" s="36" t="n"/>
      <c r="E176" s="37" t="n"/>
      <c r="F176" s="36" t="n"/>
      <c r="G176" s="44" t="n"/>
      <c r="H176" s="43" t="n"/>
      <c r="I176" s="32" t="n"/>
      <c r="J176" s="44" t="n"/>
      <c r="K176" s="36" t="n"/>
      <c r="L176" s="33">
        <f>IF(C176="","",Commercial_Id)</f>
        <v/>
      </c>
      <c r="M176" s="34">
        <f>IF(OR(C176="",F176=""),"",IF(F176&lt;&gt;"Espèces","—",IF(I176&lt;&gt;"","☑ Oui","☐ Non")))</f>
        <v/>
      </c>
      <c r="N176" s="39">
        <f>IF(D176="","",IFERROR(VALUE(MID(D176,LEN(D176)-3,3)),""))</f>
        <v/>
      </c>
      <c r="O176" s="33">
        <f>IF(N176="","",L176&amp;"|"&amp;N176)</f>
        <v/>
      </c>
      <c r="P176" s="33">
        <f>IF(N176="","",IF(L176="À RENSEIGNER","GIC",L176)&amp;"-"&amp;TEXT(N176,"000"))</f>
        <v/>
      </c>
      <c r="Q176" s="33">
        <f>IF(O176="","",IFERROR(INDEX(Cl_nom,MATCH(O176,Cl_cle,0)),"(client introuvable)"))</f>
        <v/>
      </c>
      <c r="R176" s="40">
        <f>IF(O176="","",IFERROR(INDEX(Cl_reste,MATCH(O176,Cl_cle,0)),""))</f>
        <v/>
      </c>
      <c r="S176" s="34">
        <f>IF(C176="","",YEAR(C176-WEEKDAY(C176,2)+4)&amp;"-S"&amp;TEXT(INT((C176-DATE(YEAR(C176-WEEKDAY(C176,2)+4),1,3)+WEEKDAY(DATE(YEAR(C176-WEEKDAY(C176,2)+4),1,3),2)+5)/7),"00"))</f>
        <v/>
      </c>
    </row>
    <row r="177" ht="18" customHeight="1">
      <c r="A177" s="39" t="n">
        <v>172</v>
      </c>
      <c r="B177" s="33">
        <f>IF(C177="","",IF(L177="À RENSEIGNER","GIC",L177)&amp;"-E"&amp;TEXT(A177,"00000"))</f>
        <v/>
      </c>
      <c r="C177" s="32" t="n"/>
      <c r="D177" s="36" t="n"/>
      <c r="E177" s="37" t="n"/>
      <c r="F177" s="36" t="n"/>
      <c r="G177" s="44" t="n"/>
      <c r="H177" s="43" t="n"/>
      <c r="I177" s="32" t="n"/>
      <c r="J177" s="44" t="n"/>
      <c r="K177" s="36" t="n"/>
      <c r="L177" s="33">
        <f>IF(C177="","",Commercial_Id)</f>
        <v/>
      </c>
      <c r="M177" s="34">
        <f>IF(OR(C177="",F177=""),"",IF(F177&lt;&gt;"Espèces","—",IF(I177&lt;&gt;"","☑ Oui","☐ Non")))</f>
        <v/>
      </c>
      <c r="N177" s="39">
        <f>IF(D177="","",IFERROR(VALUE(MID(D177,LEN(D177)-3,3)),""))</f>
        <v/>
      </c>
      <c r="O177" s="33">
        <f>IF(N177="","",L177&amp;"|"&amp;N177)</f>
        <v/>
      </c>
      <c r="P177" s="33">
        <f>IF(N177="","",IF(L177="À RENSEIGNER","GIC",L177)&amp;"-"&amp;TEXT(N177,"000"))</f>
        <v/>
      </c>
      <c r="Q177" s="33">
        <f>IF(O177="","",IFERROR(INDEX(Cl_nom,MATCH(O177,Cl_cle,0)),"(client introuvable)"))</f>
        <v/>
      </c>
      <c r="R177" s="40">
        <f>IF(O177="","",IFERROR(INDEX(Cl_reste,MATCH(O177,Cl_cle,0)),""))</f>
        <v/>
      </c>
      <c r="S177" s="34">
        <f>IF(C177="","",YEAR(C177-WEEKDAY(C177,2)+4)&amp;"-S"&amp;TEXT(INT((C177-DATE(YEAR(C177-WEEKDAY(C177,2)+4),1,3)+WEEKDAY(DATE(YEAR(C177-WEEKDAY(C177,2)+4),1,3),2)+5)/7),"00"))</f>
        <v/>
      </c>
    </row>
    <row r="178" ht="18" customHeight="1">
      <c r="A178" s="39" t="n">
        <v>173</v>
      </c>
      <c r="B178" s="33">
        <f>IF(C178="","",IF(L178="À RENSEIGNER","GIC",L178)&amp;"-E"&amp;TEXT(A178,"00000"))</f>
        <v/>
      </c>
      <c r="C178" s="32" t="n"/>
      <c r="D178" s="36" t="n"/>
      <c r="E178" s="37" t="n"/>
      <c r="F178" s="36" t="n"/>
      <c r="G178" s="44" t="n"/>
      <c r="H178" s="43" t="n"/>
      <c r="I178" s="32" t="n"/>
      <c r="J178" s="44" t="n"/>
      <c r="K178" s="36" t="n"/>
      <c r="L178" s="33">
        <f>IF(C178="","",Commercial_Id)</f>
        <v/>
      </c>
      <c r="M178" s="34">
        <f>IF(OR(C178="",F178=""),"",IF(F178&lt;&gt;"Espèces","—",IF(I178&lt;&gt;"","☑ Oui","☐ Non")))</f>
        <v/>
      </c>
      <c r="N178" s="39">
        <f>IF(D178="","",IFERROR(VALUE(MID(D178,LEN(D178)-3,3)),""))</f>
        <v/>
      </c>
      <c r="O178" s="33">
        <f>IF(N178="","",L178&amp;"|"&amp;N178)</f>
        <v/>
      </c>
      <c r="P178" s="33">
        <f>IF(N178="","",IF(L178="À RENSEIGNER","GIC",L178)&amp;"-"&amp;TEXT(N178,"000"))</f>
        <v/>
      </c>
      <c r="Q178" s="33">
        <f>IF(O178="","",IFERROR(INDEX(Cl_nom,MATCH(O178,Cl_cle,0)),"(client introuvable)"))</f>
        <v/>
      </c>
      <c r="R178" s="40">
        <f>IF(O178="","",IFERROR(INDEX(Cl_reste,MATCH(O178,Cl_cle,0)),""))</f>
        <v/>
      </c>
      <c r="S178" s="34">
        <f>IF(C178="","",YEAR(C178-WEEKDAY(C178,2)+4)&amp;"-S"&amp;TEXT(INT((C178-DATE(YEAR(C178-WEEKDAY(C178,2)+4),1,3)+WEEKDAY(DATE(YEAR(C178-WEEKDAY(C178,2)+4),1,3),2)+5)/7),"00"))</f>
        <v/>
      </c>
    </row>
    <row r="179" ht="18" customHeight="1">
      <c r="A179" s="39" t="n">
        <v>174</v>
      </c>
      <c r="B179" s="33">
        <f>IF(C179="","",IF(L179="À RENSEIGNER","GIC",L179)&amp;"-E"&amp;TEXT(A179,"00000"))</f>
        <v/>
      </c>
      <c r="C179" s="32" t="n"/>
      <c r="D179" s="36" t="n"/>
      <c r="E179" s="37" t="n"/>
      <c r="F179" s="36" t="n"/>
      <c r="G179" s="44" t="n"/>
      <c r="H179" s="43" t="n"/>
      <c r="I179" s="32" t="n"/>
      <c r="J179" s="44" t="n"/>
      <c r="K179" s="36" t="n"/>
      <c r="L179" s="33">
        <f>IF(C179="","",Commercial_Id)</f>
        <v/>
      </c>
      <c r="M179" s="34">
        <f>IF(OR(C179="",F179=""),"",IF(F179&lt;&gt;"Espèces","—",IF(I179&lt;&gt;"","☑ Oui","☐ Non")))</f>
        <v/>
      </c>
      <c r="N179" s="39">
        <f>IF(D179="","",IFERROR(VALUE(MID(D179,LEN(D179)-3,3)),""))</f>
        <v/>
      </c>
      <c r="O179" s="33">
        <f>IF(N179="","",L179&amp;"|"&amp;N179)</f>
        <v/>
      </c>
      <c r="P179" s="33">
        <f>IF(N179="","",IF(L179="À RENSEIGNER","GIC",L179)&amp;"-"&amp;TEXT(N179,"000"))</f>
        <v/>
      </c>
      <c r="Q179" s="33">
        <f>IF(O179="","",IFERROR(INDEX(Cl_nom,MATCH(O179,Cl_cle,0)),"(client introuvable)"))</f>
        <v/>
      </c>
      <c r="R179" s="40">
        <f>IF(O179="","",IFERROR(INDEX(Cl_reste,MATCH(O179,Cl_cle,0)),""))</f>
        <v/>
      </c>
      <c r="S179" s="34">
        <f>IF(C179="","",YEAR(C179-WEEKDAY(C179,2)+4)&amp;"-S"&amp;TEXT(INT((C179-DATE(YEAR(C179-WEEKDAY(C179,2)+4),1,3)+WEEKDAY(DATE(YEAR(C179-WEEKDAY(C179,2)+4),1,3),2)+5)/7),"00"))</f>
        <v/>
      </c>
    </row>
    <row r="180" ht="18" customHeight="1">
      <c r="A180" s="39" t="n">
        <v>175</v>
      </c>
      <c r="B180" s="33">
        <f>IF(C180="","",IF(L180="À RENSEIGNER","GIC",L180)&amp;"-E"&amp;TEXT(A180,"00000"))</f>
        <v/>
      </c>
      <c r="C180" s="32" t="n"/>
      <c r="D180" s="36" t="n"/>
      <c r="E180" s="37" t="n"/>
      <c r="F180" s="36" t="n"/>
      <c r="G180" s="44" t="n"/>
      <c r="H180" s="43" t="n"/>
      <c r="I180" s="32" t="n"/>
      <c r="J180" s="44" t="n"/>
      <c r="K180" s="36" t="n"/>
      <c r="L180" s="33">
        <f>IF(C180="","",Commercial_Id)</f>
        <v/>
      </c>
      <c r="M180" s="34">
        <f>IF(OR(C180="",F180=""),"",IF(F180&lt;&gt;"Espèces","—",IF(I180&lt;&gt;"","☑ Oui","☐ Non")))</f>
        <v/>
      </c>
      <c r="N180" s="39">
        <f>IF(D180="","",IFERROR(VALUE(MID(D180,LEN(D180)-3,3)),""))</f>
        <v/>
      </c>
      <c r="O180" s="33">
        <f>IF(N180="","",L180&amp;"|"&amp;N180)</f>
        <v/>
      </c>
      <c r="P180" s="33">
        <f>IF(N180="","",IF(L180="À RENSEIGNER","GIC",L180)&amp;"-"&amp;TEXT(N180,"000"))</f>
        <v/>
      </c>
      <c r="Q180" s="33">
        <f>IF(O180="","",IFERROR(INDEX(Cl_nom,MATCH(O180,Cl_cle,0)),"(client introuvable)"))</f>
        <v/>
      </c>
      <c r="R180" s="40">
        <f>IF(O180="","",IFERROR(INDEX(Cl_reste,MATCH(O180,Cl_cle,0)),""))</f>
        <v/>
      </c>
      <c r="S180" s="34">
        <f>IF(C180="","",YEAR(C180-WEEKDAY(C180,2)+4)&amp;"-S"&amp;TEXT(INT((C180-DATE(YEAR(C180-WEEKDAY(C180,2)+4),1,3)+WEEKDAY(DATE(YEAR(C180-WEEKDAY(C180,2)+4),1,3),2)+5)/7),"00"))</f>
        <v/>
      </c>
    </row>
    <row r="181" ht="18" customHeight="1">
      <c r="A181" s="39" t="n">
        <v>176</v>
      </c>
      <c r="B181" s="33">
        <f>IF(C181="","",IF(L181="À RENSEIGNER","GIC",L181)&amp;"-E"&amp;TEXT(A181,"00000"))</f>
        <v/>
      </c>
      <c r="C181" s="32" t="n"/>
      <c r="D181" s="36" t="n"/>
      <c r="E181" s="37" t="n"/>
      <c r="F181" s="36" t="n"/>
      <c r="G181" s="44" t="n"/>
      <c r="H181" s="43" t="n"/>
      <c r="I181" s="32" t="n"/>
      <c r="J181" s="44" t="n"/>
      <c r="K181" s="36" t="n"/>
      <c r="L181" s="33">
        <f>IF(C181="","",Commercial_Id)</f>
        <v/>
      </c>
      <c r="M181" s="34">
        <f>IF(OR(C181="",F181=""),"",IF(F181&lt;&gt;"Espèces","—",IF(I181&lt;&gt;"","☑ Oui","☐ Non")))</f>
        <v/>
      </c>
      <c r="N181" s="39">
        <f>IF(D181="","",IFERROR(VALUE(MID(D181,LEN(D181)-3,3)),""))</f>
        <v/>
      </c>
      <c r="O181" s="33">
        <f>IF(N181="","",L181&amp;"|"&amp;N181)</f>
        <v/>
      </c>
      <c r="P181" s="33">
        <f>IF(N181="","",IF(L181="À RENSEIGNER","GIC",L181)&amp;"-"&amp;TEXT(N181,"000"))</f>
        <v/>
      </c>
      <c r="Q181" s="33">
        <f>IF(O181="","",IFERROR(INDEX(Cl_nom,MATCH(O181,Cl_cle,0)),"(client introuvable)"))</f>
        <v/>
      </c>
      <c r="R181" s="40">
        <f>IF(O181="","",IFERROR(INDEX(Cl_reste,MATCH(O181,Cl_cle,0)),""))</f>
        <v/>
      </c>
      <c r="S181" s="34">
        <f>IF(C181="","",YEAR(C181-WEEKDAY(C181,2)+4)&amp;"-S"&amp;TEXT(INT((C181-DATE(YEAR(C181-WEEKDAY(C181,2)+4),1,3)+WEEKDAY(DATE(YEAR(C181-WEEKDAY(C181,2)+4),1,3),2)+5)/7),"00"))</f>
        <v/>
      </c>
    </row>
    <row r="182" ht="18" customHeight="1">
      <c r="A182" s="39" t="n">
        <v>177</v>
      </c>
      <c r="B182" s="33">
        <f>IF(C182="","",IF(L182="À RENSEIGNER","GIC",L182)&amp;"-E"&amp;TEXT(A182,"00000"))</f>
        <v/>
      </c>
      <c r="C182" s="32" t="n"/>
      <c r="D182" s="36" t="n"/>
      <c r="E182" s="37" t="n"/>
      <c r="F182" s="36" t="n"/>
      <c r="G182" s="44" t="n"/>
      <c r="H182" s="43" t="n"/>
      <c r="I182" s="32" t="n"/>
      <c r="J182" s="44" t="n"/>
      <c r="K182" s="36" t="n"/>
      <c r="L182" s="33">
        <f>IF(C182="","",Commercial_Id)</f>
        <v/>
      </c>
      <c r="M182" s="34">
        <f>IF(OR(C182="",F182=""),"",IF(F182&lt;&gt;"Espèces","—",IF(I182&lt;&gt;"","☑ Oui","☐ Non")))</f>
        <v/>
      </c>
      <c r="N182" s="39">
        <f>IF(D182="","",IFERROR(VALUE(MID(D182,LEN(D182)-3,3)),""))</f>
        <v/>
      </c>
      <c r="O182" s="33">
        <f>IF(N182="","",L182&amp;"|"&amp;N182)</f>
        <v/>
      </c>
      <c r="P182" s="33">
        <f>IF(N182="","",IF(L182="À RENSEIGNER","GIC",L182)&amp;"-"&amp;TEXT(N182,"000"))</f>
        <v/>
      </c>
      <c r="Q182" s="33">
        <f>IF(O182="","",IFERROR(INDEX(Cl_nom,MATCH(O182,Cl_cle,0)),"(client introuvable)"))</f>
        <v/>
      </c>
      <c r="R182" s="40">
        <f>IF(O182="","",IFERROR(INDEX(Cl_reste,MATCH(O182,Cl_cle,0)),""))</f>
        <v/>
      </c>
      <c r="S182" s="34">
        <f>IF(C182="","",YEAR(C182-WEEKDAY(C182,2)+4)&amp;"-S"&amp;TEXT(INT((C182-DATE(YEAR(C182-WEEKDAY(C182,2)+4),1,3)+WEEKDAY(DATE(YEAR(C182-WEEKDAY(C182,2)+4),1,3),2)+5)/7),"00"))</f>
        <v/>
      </c>
    </row>
    <row r="183" ht="18" customHeight="1">
      <c r="A183" s="39" t="n">
        <v>178</v>
      </c>
      <c r="B183" s="33">
        <f>IF(C183="","",IF(L183="À RENSEIGNER","GIC",L183)&amp;"-E"&amp;TEXT(A183,"00000"))</f>
        <v/>
      </c>
      <c r="C183" s="32" t="n"/>
      <c r="D183" s="36" t="n"/>
      <c r="E183" s="37" t="n"/>
      <c r="F183" s="36" t="n"/>
      <c r="G183" s="44" t="n"/>
      <c r="H183" s="43" t="n"/>
      <c r="I183" s="32" t="n"/>
      <c r="J183" s="44" t="n"/>
      <c r="K183" s="36" t="n"/>
      <c r="L183" s="33">
        <f>IF(C183="","",Commercial_Id)</f>
        <v/>
      </c>
      <c r="M183" s="34">
        <f>IF(OR(C183="",F183=""),"",IF(F183&lt;&gt;"Espèces","—",IF(I183&lt;&gt;"","☑ Oui","☐ Non")))</f>
        <v/>
      </c>
      <c r="N183" s="39">
        <f>IF(D183="","",IFERROR(VALUE(MID(D183,LEN(D183)-3,3)),""))</f>
        <v/>
      </c>
      <c r="O183" s="33">
        <f>IF(N183="","",L183&amp;"|"&amp;N183)</f>
        <v/>
      </c>
      <c r="P183" s="33">
        <f>IF(N183="","",IF(L183="À RENSEIGNER","GIC",L183)&amp;"-"&amp;TEXT(N183,"000"))</f>
        <v/>
      </c>
      <c r="Q183" s="33">
        <f>IF(O183="","",IFERROR(INDEX(Cl_nom,MATCH(O183,Cl_cle,0)),"(client introuvable)"))</f>
        <v/>
      </c>
      <c r="R183" s="40">
        <f>IF(O183="","",IFERROR(INDEX(Cl_reste,MATCH(O183,Cl_cle,0)),""))</f>
        <v/>
      </c>
      <c r="S183" s="34">
        <f>IF(C183="","",YEAR(C183-WEEKDAY(C183,2)+4)&amp;"-S"&amp;TEXT(INT((C183-DATE(YEAR(C183-WEEKDAY(C183,2)+4),1,3)+WEEKDAY(DATE(YEAR(C183-WEEKDAY(C183,2)+4),1,3),2)+5)/7),"00"))</f>
        <v/>
      </c>
    </row>
    <row r="184" ht="18" customHeight="1">
      <c r="A184" s="39" t="n">
        <v>179</v>
      </c>
      <c r="B184" s="33">
        <f>IF(C184="","",IF(L184="À RENSEIGNER","GIC",L184)&amp;"-E"&amp;TEXT(A184,"00000"))</f>
        <v/>
      </c>
      <c r="C184" s="32" t="n"/>
      <c r="D184" s="36" t="n"/>
      <c r="E184" s="37" t="n"/>
      <c r="F184" s="36" t="n"/>
      <c r="G184" s="44" t="n"/>
      <c r="H184" s="43" t="n"/>
      <c r="I184" s="32" t="n"/>
      <c r="J184" s="44" t="n"/>
      <c r="K184" s="36" t="n"/>
      <c r="L184" s="33">
        <f>IF(C184="","",Commercial_Id)</f>
        <v/>
      </c>
      <c r="M184" s="34">
        <f>IF(OR(C184="",F184=""),"",IF(F184&lt;&gt;"Espèces","—",IF(I184&lt;&gt;"","☑ Oui","☐ Non")))</f>
        <v/>
      </c>
      <c r="N184" s="39">
        <f>IF(D184="","",IFERROR(VALUE(MID(D184,LEN(D184)-3,3)),""))</f>
        <v/>
      </c>
      <c r="O184" s="33">
        <f>IF(N184="","",L184&amp;"|"&amp;N184)</f>
        <v/>
      </c>
      <c r="P184" s="33">
        <f>IF(N184="","",IF(L184="À RENSEIGNER","GIC",L184)&amp;"-"&amp;TEXT(N184,"000"))</f>
        <v/>
      </c>
      <c r="Q184" s="33">
        <f>IF(O184="","",IFERROR(INDEX(Cl_nom,MATCH(O184,Cl_cle,0)),"(client introuvable)"))</f>
        <v/>
      </c>
      <c r="R184" s="40">
        <f>IF(O184="","",IFERROR(INDEX(Cl_reste,MATCH(O184,Cl_cle,0)),""))</f>
        <v/>
      </c>
      <c r="S184" s="34">
        <f>IF(C184="","",YEAR(C184-WEEKDAY(C184,2)+4)&amp;"-S"&amp;TEXT(INT((C184-DATE(YEAR(C184-WEEKDAY(C184,2)+4),1,3)+WEEKDAY(DATE(YEAR(C184-WEEKDAY(C184,2)+4),1,3),2)+5)/7),"00"))</f>
        <v/>
      </c>
    </row>
    <row r="185" ht="18" customHeight="1">
      <c r="A185" s="39" t="n">
        <v>180</v>
      </c>
      <c r="B185" s="33">
        <f>IF(C185="","",IF(L185="À RENSEIGNER","GIC",L185)&amp;"-E"&amp;TEXT(A185,"00000"))</f>
        <v/>
      </c>
      <c r="C185" s="32" t="n"/>
      <c r="D185" s="36" t="n"/>
      <c r="E185" s="37" t="n"/>
      <c r="F185" s="36" t="n"/>
      <c r="G185" s="44" t="n"/>
      <c r="H185" s="43" t="n"/>
      <c r="I185" s="32" t="n"/>
      <c r="J185" s="44" t="n"/>
      <c r="K185" s="36" t="n"/>
      <c r="L185" s="33">
        <f>IF(C185="","",Commercial_Id)</f>
        <v/>
      </c>
      <c r="M185" s="34">
        <f>IF(OR(C185="",F185=""),"",IF(F185&lt;&gt;"Espèces","—",IF(I185&lt;&gt;"","☑ Oui","☐ Non")))</f>
        <v/>
      </c>
      <c r="N185" s="39">
        <f>IF(D185="","",IFERROR(VALUE(MID(D185,LEN(D185)-3,3)),""))</f>
        <v/>
      </c>
      <c r="O185" s="33">
        <f>IF(N185="","",L185&amp;"|"&amp;N185)</f>
        <v/>
      </c>
      <c r="P185" s="33">
        <f>IF(N185="","",IF(L185="À RENSEIGNER","GIC",L185)&amp;"-"&amp;TEXT(N185,"000"))</f>
        <v/>
      </c>
      <c r="Q185" s="33">
        <f>IF(O185="","",IFERROR(INDEX(Cl_nom,MATCH(O185,Cl_cle,0)),"(client introuvable)"))</f>
        <v/>
      </c>
      <c r="R185" s="40">
        <f>IF(O185="","",IFERROR(INDEX(Cl_reste,MATCH(O185,Cl_cle,0)),""))</f>
        <v/>
      </c>
      <c r="S185" s="34">
        <f>IF(C185="","",YEAR(C185-WEEKDAY(C185,2)+4)&amp;"-S"&amp;TEXT(INT((C185-DATE(YEAR(C185-WEEKDAY(C185,2)+4),1,3)+WEEKDAY(DATE(YEAR(C185-WEEKDAY(C185,2)+4),1,3),2)+5)/7),"00"))</f>
        <v/>
      </c>
    </row>
    <row r="186" ht="18" customHeight="1">
      <c r="A186" s="39" t="n">
        <v>181</v>
      </c>
      <c r="B186" s="33">
        <f>IF(C186="","",IF(L186="À RENSEIGNER","GIC",L186)&amp;"-E"&amp;TEXT(A186,"00000"))</f>
        <v/>
      </c>
      <c r="C186" s="32" t="n"/>
      <c r="D186" s="36" t="n"/>
      <c r="E186" s="37" t="n"/>
      <c r="F186" s="36" t="n"/>
      <c r="G186" s="44" t="n"/>
      <c r="H186" s="43" t="n"/>
      <c r="I186" s="32" t="n"/>
      <c r="J186" s="44" t="n"/>
      <c r="K186" s="36" t="n"/>
      <c r="L186" s="33">
        <f>IF(C186="","",Commercial_Id)</f>
        <v/>
      </c>
      <c r="M186" s="34">
        <f>IF(OR(C186="",F186=""),"",IF(F186&lt;&gt;"Espèces","—",IF(I186&lt;&gt;"","☑ Oui","☐ Non")))</f>
        <v/>
      </c>
      <c r="N186" s="39">
        <f>IF(D186="","",IFERROR(VALUE(MID(D186,LEN(D186)-3,3)),""))</f>
        <v/>
      </c>
      <c r="O186" s="33">
        <f>IF(N186="","",L186&amp;"|"&amp;N186)</f>
        <v/>
      </c>
      <c r="P186" s="33">
        <f>IF(N186="","",IF(L186="À RENSEIGNER","GIC",L186)&amp;"-"&amp;TEXT(N186,"000"))</f>
        <v/>
      </c>
      <c r="Q186" s="33">
        <f>IF(O186="","",IFERROR(INDEX(Cl_nom,MATCH(O186,Cl_cle,0)),"(client introuvable)"))</f>
        <v/>
      </c>
      <c r="R186" s="40">
        <f>IF(O186="","",IFERROR(INDEX(Cl_reste,MATCH(O186,Cl_cle,0)),""))</f>
        <v/>
      </c>
      <c r="S186" s="34">
        <f>IF(C186="","",YEAR(C186-WEEKDAY(C186,2)+4)&amp;"-S"&amp;TEXT(INT((C186-DATE(YEAR(C186-WEEKDAY(C186,2)+4),1,3)+WEEKDAY(DATE(YEAR(C186-WEEKDAY(C186,2)+4),1,3),2)+5)/7),"00"))</f>
        <v/>
      </c>
    </row>
    <row r="187" ht="18" customHeight="1">
      <c r="A187" s="39" t="n">
        <v>182</v>
      </c>
      <c r="B187" s="33">
        <f>IF(C187="","",IF(L187="À RENSEIGNER","GIC",L187)&amp;"-E"&amp;TEXT(A187,"00000"))</f>
        <v/>
      </c>
      <c r="C187" s="32" t="n"/>
      <c r="D187" s="36" t="n"/>
      <c r="E187" s="37" t="n"/>
      <c r="F187" s="36" t="n"/>
      <c r="G187" s="44" t="n"/>
      <c r="H187" s="43" t="n"/>
      <c r="I187" s="32" t="n"/>
      <c r="J187" s="44" t="n"/>
      <c r="K187" s="36" t="n"/>
      <c r="L187" s="33">
        <f>IF(C187="","",Commercial_Id)</f>
        <v/>
      </c>
      <c r="M187" s="34">
        <f>IF(OR(C187="",F187=""),"",IF(F187&lt;&gt;"Espèces","—",IF(I187&lt;&gt;"","☑ Oui","☐ Non")))</f>
        <v/>
      </c>
      <c r="N187" s="39">
        <f>IF(D187="","",IFERROR(VALUE(MID(D187,LEN(D187)-3,3)),""))</f>
        <v/>
      </c>
      <c r="O187" s="33">
        <f>IF(N187="","",L187&amp;"|"&amp;N187)</f>
        <v/>
      </c>
      <c r="P187" s="33">
        <f>IF(N187="","",IF(L187="À RENSEIGNER","GIC",L187)&amp;"-"&amp;TEXT(N187,"000"))</f>
        <v/>
      </c>
      <c r="Q187" s="33">
        <f>IF(O187="","",IFERROR(INDEX(Cl_nom,MATCH(O187,Cl_cle,0)),"(client introuvable)"))</f>
        <v/>
      </c>
      <c r="R187" s="40">
        <f>IF(O187="","",IFERROR(INDEX(Cl_reste,MATCH(O187,Cl_cle,0)),""))</f>
        <v/>
      </c>
      <c r="S187" s="34">
        <f>IF(C187="","",YEAR(C187-WEEKDAY(C187,2)+4)&amp;"-S"&amp;TEXT(INT((C187-DATE(YEAR(C187-WEEKDAY(C187,2)+4),1,3)+WEEKDAY(DATE(YEAR(C187-WEEKDAY(C187,2)+4),1,3),2)+5)/7),"00"))</f>
        <v/>
      </c>
    </row>
    <row r="188" ht="18" customHeight="1">
      <c r="A188" s="39" t="n">
        <v>183</v>
      </c>
      <c r="B188" s="33">
        <f>IF(C188="","",IF(L188="À RENSEIGNER","GIC",L188)&amp;"-E"&amp;TEXT(A188,"00000"))</f>
        <v/>
      </c>
      <c r="C188" s="32" t="n"/>
      <c r="D188" s="36" t="n"/>
      <c r="E188" s="37" t="n"/>
      <c r="F188" s="36" t="n"/>
      <c r="G188" s="44" t="n"/>
      <c r="H188" s="43" t="n"/>
      <c r="I188" s="32" t="n"/>
      <c r="J188" s="44" t="n"/>
      <c r="K188" s="36" t="n"/>
      <c r="L188" s="33">
        <f>IF(C188="","",Commercial_Id)</f>
        <v/>
      </c>
      <c r="M188" s="34">
        <f>IF(OR(C188="",F188=""),"",IF(F188&lt;&gt;"Espèces","—",IF(I188&lt;&gt;"","☑ Oui","☐ Non")))</f>
        <v/>
      </c>
      <c r="N188" s="39">
        <f>IF(D188="","",IFERROR(VALUE(MID(D188,LEN(D188)-3,3)),""))</f>
        <v/>
      </c>
      <c r="O188" s="33">
        <f>IF(N188="","",L188&amp;"|"&amp;N188)</f>
        <v/>
      </c>
      <c r="P188" s="33">
        <f>IF(N188="","",IF(L188="À RENSEIGNER","GIC",L188)&amp;"-"&amp;TEXT(N188,"000"))</f>
        <v/>
      </c>
      <c r="Q188" s="33">
        <f>IF(O188="","",IFERROR(INDEX(Cl_nom,MATCH(O188,Cl_cle,0)),"(client introuvable)"))</f>
        <v/>
      </c>
      <c r="R188" s="40">
        <f>IF(O188="","",IFERROR(INDEX(Cl_reste,MATCH(O188,Cl_cle,0)),""))</f>
        <v/>
      </c>
      <c r="S188" s="34">
        <f>IF(C188="","",YEAR(C188-WEEKDAY(C188,2)+4)&amp;"-S"&amp;TEXT(INT((C188-DATE(YEAR(C188-WEEKDAY(C188,2)+4),1,3)+WEEKDAY(DATE(YEAR(C188-WEEKDAY(C188,2)+4),1,3),2)+5)/7),"00"))</f>
        <v/>
      </c>
    </row>
    <row r="189" ht="18" customHeight="1">
      <c r="A189" s="39" t="n">
        <v>184</v>
      </c>
      <c r="B189" s="33">
        <f>IF(C189="","",IF(L189="À RENSEIGNER","GIC",L189)&amp;"-E"&amp;TEXT(A189,"00000"))</f>
        <v/>
      </c>
      <c r="C189" s="32" t="n"/>
      <c r="D189" s="36" t="n"/>
      <c r="E189" s="37" t="n"/>
      <c r="F189" s="36" t="n"/>
      <c r="G189" s="44" t="n"/>
      <c r="H189" s="43" t="n"/>
      <c r="I189" s="32" t="n"/>
      <c r="J189" s="44" t="n"/>
      <c r="K189" s="36" t="n"/>
      <c r="L189" s="33">
        <f>IF(C189="","",Commercial_Id)</f>
        <v/>
      </c>
      <c r="M189" s="34">
        <f>IF(OR(C189="",F189=""),"",IF(F189&lt;&gt;"Espèces","—",IF(I189&lt;&gt;"","☑ Oui","☐ Non")))</f>
        <v/>
      </c>
      <c r="N189" s="39">
        <f>IF(D189="","",IFERROR(VALUE(MID(D189,LEN(D189)-3,3)),""))</f>
        <v/>
      </c>
      <c r="O189" s="33">
        <f>IF(N189="","",L189&amp;"|"&amp;N189)</f>
        <v/>
      </c>
      <c r="P189" s="33">
        <f>IF(N189="","",IF(L189="À RENSEIGNER","GIC",L189)&amp;"-"&amp;TEXT(N189,"000"))</f>
        <v/>
      </c>
      <c r="Q189" s="33">
        <f>IF(O189="","",IFERROR(INDEX(Cl_nom,MATCH(O189,Cl_cle,0)),"(client introuvable)"))</f>
        <v/>
      </c>
      <c r="R189" s="40">
        <f>IF(O189="","",IFERROR(INDEX(Cl_reste,MATCH(O189,Cl_cle,0)),""))</f>
        <v/>
      </c>
      <c r="S189" s="34">
        <f>IF(C189="","",YEAR(C189-WEEKDAY(C189,2)+4)&amp;"-S"&amp;TEXT(INT((C189-DATE(YEAR(C189-WEEKDAY(C189,2)+4),1,3)+WEEKDAY(DATE(YEAR(C189-WEEKDAY(C189,2)+4),1,3),2)+5)/7),"00"))</f>
        <v/>
      </c>
    </row>
    <row r="190" ht="18" customHeight="1">
      <c r="A190" s="39" t="n">
        <v>185</v>
      </c>
      <c r="B190" s="33">
        <f>IF(C190="","",IF(L190="À RENSEIGNER","GIC",L190)&amp;"-E"&amp;TEXT(A190,"00000"))</f>
        <v/>
      </c>
      <c r="C190" s="32" t="n"/>
      <c r="D190" s="36" t="n"/>
      <c r="E190" s="37" t="n"/>
      <c r="F190" s="36" t="n"/>
      <c r="G190" s="44" t="n"/>
      <c r="H190" s="43" t="n"/>
      <c r="I190" s="32" t="n"/>
      <c r="J190" s="44" t="n"/>
      <c r="K190" s="36" t="n"/>
      <c r="L190" s="33">
        <f>IF(C190="","",Commercial_Id)</f>
        <v/>
      </c>
      <c r="M190" s="34">
        <f>IF(OR(C190="",F190=""),"",IF(F190&lt;&gt;"Espèces","—",IF(I190&lt;&gt;"","☑ Oui","☐ Non")))</f>
        <v/>
      </c>
      <c r="N190" s="39">
        <f>IF(D190="","",IFERROR(VALUE(MID(D190,LEN(D190)-3,3)),""))</f>
        <v/>
      </c>
      <c r="O190" s="33">
        <f>IF(N190="","",L190&amp;"|"&amp;N190)</f>
        <v/>
      </c>
      <c r="P190" s="33">
        <f>IF(N190="","",IF(L190="À RENSEIGNER","GIC",L190)&amp;"-"&amp;TEXT(N190,"000"))</f>
        <v/>
      </c>
      <c r="Q190" s="33">
        <f>IF(O190="","",IFERROR(INDEX(Cl_nom,MATCH(O190,Cl_cle,0)),"(client introuvable)"))</f>
        <v/>
      </c>
      <c r="R190" s="40">
        <f>IF(O190="","",IFERROR(INDEX(Cl_reste,MATCH(O190,Cl_cle,0)),""))</f>
        <v/>
      </c>
      <c r="S190" s="34">
        <f>IF(C190="","",YEAR(C190-WEEKDAY(C190,2)+4)&amp;"-S"&amp;TEXT(INT((C190-DATE(YEAR(C190-WEEKDAY(C190,2)+4),1,3)+WEEKDAY(DATE(YEAR(C190-WEEKDAY(C190,2)+4),1,3),2)+5)/7),"00"))</f>
        <v/>
      </c>
    </row>
    <row r="191" ht="18" customHeight="1">
      <c r="A191" s="39" t="n">
        <v>186</v>
      </c>
      <c r="B191" s="33">
        <f>IF(C191="","",IF(L191="À RENSEIGNER","GIC",L191)&amp;"-E"&amp;TEXT(A191,"00000"))</f>
        <v/>
      </c>
      <c r="C191" s="32" t="n"/>
      <c r="D191" s="36" t="n"/>
      <c r="E191" s="37" t="n"/>
      <c r="F191" s="36" t="n"/>
      <c r="G191" s="44" t="n"/>
      <c r="H191" s="43" t="n"/>
      <c r="I191" s="32" t="n"/>
      <c r="J191" s="44" t="n"/>
      <c r="K191" s="36" t="n"/>
      <c r="L191" s="33">
        <f>IF(C191="","",Commercial_Id)</f>
        <v/>
      </c>
      <c r="M191" s="34">
        <f>IF(OR(C191="",F191=""),"",IF(F191&lt;&gt;"Espèces","—",IF(I191&lt;&gt;"","☑ Oui","☐ Non")))</f>
        <v/>
      </c>
      <c r="N191" s="39">
        <f>IF(D191="","",IFERROR(VALUE(MID(D191,LEN(D191)-3,3)),""))</f>
        <v/>
      </c>
      <c r="O191" s="33">
        <f>IF(N191="","",L191&amp;"|"&amp;N191)</f>
        <v/>
      </c>
      <c r="P191" s="33">
        <f>IF(N191="","",IF(L191="À RENSEIGNER","GIC",L191)&amp;"-"&amp;TEXT(N191,"000"))</f>
        <v/>
      </c>
      <c r="Q191" s="33">
        <f>IF(O191="","",IFERROR(INDEX(Cl_nom,MATCH(O191,Cl_cle,0)),"(client introuvable)"))</f>
        <v/>
      </c>
      <c r="R191" s="40">
        <f>IF(O191="","",IFERROR(INDEX(Cl_reste,MATCH(O191,Cl_cle,0)),""))</f>
        <v/>
      </c>
      <c r="S191" s="34">
        <f>IF(C191="","",YEAR(C191-WEEKDAY(C191,2)+4)&amp;"-S"&amp;TEXT(INT((C191-DATE(YEAR(C191-WEEKDAY(C191,2)+4),1,3)+WEEKDAY(DATE(YEAR(C191-WEEKDAY(C191,2)+4),1,3),2)+5)/7),"00"))</f>
        <v/>
      </c>
    </row>
    <row r="192" ht="18" customHeight="1">
      <c r="A192" s="39" t="n">
        <v>187</v>
      </c>
      <c r="B192" s="33">
        <f>IF(C192="","",IF(L192="À RENSEIGNER","GIC",L192)&amp;"-E"&amp;TEXT(A192,"00000"))</f>
        <v/>
      </c>
      <c r="C192" s="32" t="n"/>
      <c r="D192" s="36" t="n"/>
      <c r="E192" s="37" t="n"/>
      <c r="F192" s="36" t="n"/>
      <c r="G192" s="44" t="n"/>
      <c r="H192" s="43" t="n"/>
      <c r="I192" s="32" t="n"/>
      <c r="J192" s="44" t="n"/>
      <c r="K192" s="36" t="n"/>
      <c r="L192" s="33">
        <f>IF(C192="","",Commercial_Id)</f>
        <v/>
      </c>
      <c r="M192" s="34">
        <f>IF(OR(C192="",F192=""),"",IF(F192&lt;&gt;"Espèces","—",IF(I192&lt;&gt;"","☑ Oui","☐ Non")))</f>
        <v/>
      </c>
      <c r="N192" s="39">
        <f>IF(D192="","",IFERROR(VALUE(MID(D192,LEN(D192)-3,3)),""))</f>
        <v/>
      </c>
      <c r="O192" s="33">
        <f>IF(N192="","",L192&amp;"|"&amp;N192)</f>
        <v/>
      </c>
      <c r="P192" s="33">
        <f>IF(N192="","",IF(L192="À RENSEIGNER","GIC",L192)&amp;"-"&amp;TEXT(N192,"000"))</f>
        <v/>
      </c>
      <c r="Q192" s="33">
        <f>IF(O192="","",IFERROR(INDEX(Cl_nom,MATCH(O192,Cl_cle,0)),"(client introuvable)"))</f>
        <v/>
      </c>
      <c r="R192" s="40">
        <f>IF(O192="","",IFERROR(INDEX(Cl_reste,MATCH(O192,Cl_cle,0)),""))</f>
        <v/>
      </c>
      <c r="S192" s="34">
        <f>IF(C192="","",YEAR(C192-WEEKDAY(C192,2)+4)&amp;"-S"&amp;TEXT(INT((C192-DATE(YEAR(C192-WEEKDAY(C192,2)+4),1,3)+WEEKDAY(DATE(YEAR(C192-WEEKDAY(C192,2)+4),1,3),2)+5)/7),"00"))</f>
        <v/>
      </c>
    </row>
    <row r="193" ht="18" customHeight="1">
      <c r="A193" s="39" t="n">
        <v>188</v>
      </c>
      <c r="B193" s="33">
        <f>IF(C193="","",IF(L193="À RENSEIGNER","GIC",L193)&amp;"-E"&amp;TEXT(A193,"00000"))</f>
        <v/>
      </c>
      <c r="C193" s="32" t="n"/>
      <c r="D193" s="36" t="n"/>
      <c r="E193" s="37" t="n"/>
      <c r="F193" s="36" t="n"/>
      <c r="G193" s="44" t="n"/>
      <c r="H193" s="43" t="n"/>
      <c r="I193" s="32" t="n"/>
      <c r="J193" s="44" t="n"/>
      <c r="K193" s="36" t="n"/>
      <c r="L193" s="33">
        <f>IF(C193="","",Commercial_Id)</f>
        <v/>
      </c>
      <c r="M193" s="34">
        <f>IF(OR(C193="",F193=""),"",IF(F193&lt;&gt;"Espèces","—",IF(I193&lt;&gt;"","☑ Oui","☐ Non")))</f>
        <v/>
      </c>
      <c r="N193" s="39">
        <f>IF(D193="","",IFERROR(VALUE(MID(D193,LEN(D193)-3,3)),""))</f>
        <v/>
      </c>
      <c r="O193" s="33">
        <f>IF(N193="","",L193&amp;"|"&amp;N193)</f>
        <v/>
      </c>
      <c r="P193" s="33">
        <f>IF(N193="","",IF(L193="À RENSEIGNER","GIC",L193)&amp;"-"&amp;TEXT(N193,"000"))</f>
        <v/>
      </c>
      <c r="Q193" s="33">
        <f>IF(O193="","",IFERROR(INDEX(Cl_nom,MATCH(O193,Cl_cle,0)),"(client introuvable)"))</f>
        <v/>
      </c>
      <c r="R193" s="40">
        <f>IF(O193="","",IFERROR(INDEX(Cl_reste,MATCH(O193,Cl_cle,0)),""))</f>
        <v/>
      </c>
      <c r="S193" s="34">
        <f>IF(C193="","",YEAR(C193-WEEKDAY(C193,2)+4)&amp;"-S"&amp;TEXT(INT((C193-DATE(YEAR(C193-WEEKDAY(C193,2)+4),1,3)+WEEKDAY(DATE(YEAR(C193-WEEKDAY(C193,2)+4),1,3),2)+5)/7),"00"))</f>
        <v/>
      </c>
    </row>
    <row r="194" ht="18" customHeight="1">
      <c r="A194" s="39" t="n">
        <v>189</v>
      </c>
      <c r="B194" s="33">
        <f>IF(C194="","",IF(L194="À RENSEIGNER","GIC",L194)&amp;"-E"&amp;TEXT(A194,"00000"))</f>
        <v/>
      </c>
      <c r="C194" s="32" t="n"/>
      <c r="D194" s="36" t="n"/>
      <c r="E194" s="37" t="n"/>
      <c r="F194" s="36" t="n"/>
      <c r="G194" s="44" t="n"/>
      <c r="H194" s="43" t="n"/>
      <c r="I194" s="32" t="n"/>
      <c r="J194" s="44" t="n"/>
      <c r="K194" s="36" t="n"/>
      <c r="L194" s="33">
        <f>IF(C194="","",Commercial_Id)</f>
        <v/>
      </c>
      <c r="M194" s="34">
        <f>IF(OR(C194="",F194=""),"",IF(F194&lt;&gt;"Espèces","—",IF(I194&lt;&gt;"","☑ Oui","☐ Non")))</f>
        <v/>
      </c>
      <c r="N194" s="39">
        <f>IF(D194="","",IFERROR(VALUE(MID(D194,LEN(D194)-3,3)),""))</f>
        <v/>
      </c>
      <c r="O194" s="33">
        <f>IF(N194="","",L194&amp;"|"&amp;N194)</f>
        <v/>
      </c>
      <c r="P194" s="33">
        <f>IF(N194="","",IF(L194="À RENSEIGNER","GIC",L194)&amp;"-"&amp;TEXT(N194,"000"))</f>
        <v/>
      </c>
      <c r="Q194" s="33">
        <f>IF(O194="","",IFERROR(INDEX(Cl_nom,MATCH(O194,Cl_cle,0)),"(client introuvable)"))</f>
        <v/>
      </c>
      <c r="R194" s="40">
        <f>IF(O194="","",IFERROR(INDEX(Cl_reste,MATCH(O194,Cl_cle,0)),""))</f>
        <v/>
      </c>
      <c r="S194" s="34">
        <f>IF(C194="","",YEAR(C194-WEEKDAY(C194,2)+4)&amp;"-S"&amp;TEXT(INT((C194-DATE(YEAR(C194-WEEKDAY(C194,2)+4),1,3)+WEEKDAY(DATE(YEAR(C194-WEEKDAY(C194,2)+4),1,3),2)+5)/7),"00"))</f>
        <v/>
      </c>
    </row>
    <row r="195" ht="18" customHeight="1">
      <c r="A195" s="39" t="n">
        <v>190</v>
      </c>
      <c r="B195" s="33">
        <f>IF(C195="","",IF(L195="À RENSEIGNER","GIC",L195)&amp;"-E"&amp;TEXT(A195,"00000"))</f>
        <v/>
      </c>
      <c r="C195" s="32" t="n"/>
      <c r="D195" s="36" t="n"/>
      <c r="E195" s="37" t="n"/>
      <c r="F195" s="36" t="n"/>
      <c r="G195" s="44" t="n"/>
      <c r="H195" s="43" t="n"/>
      <c r="I195" s="32" t="n"/>
      <c r="J195" s="44" t="n"/>
      <c r="K195" s="36" t="n"/>
      <c r="L195" s="33">
        <f>IF(C195="","",Commercial_Id)</f>
        <v/>
      </c>
      <c r="M195" s="34">
        <f>IF(OR(C195="",F195=""),"",IF(F195&lt;&gt;"Espèces","—",IF(I195&lt;&gt;"","☑ Oui","☐ Non")))</f>
        <v/>
      </c>
      <c r="N195" s="39">
        <f>IF(D195="","",IFERROR(VALUE(MID(D195,LEN(D195)-3,3)),""))</f>
        <v/>
      </c>
      <c r="O195" s="33">
        <f>IF(N195="","",L195&amp;"|"&amp;N195)</f>
        <v/>
      </c>
      <c r="P195" s="33">
        <f>IF(N195="","",IF(L195="À RENSEIGNER","GIC",L195)&amp;"-"&amp;TEXT(N195,"000"))</f>
        <v/>
      </c>
      <c r="Q195" s="33">
        <f>IF(O195="","",IFERROR(INDEX(Cl_nom,MATCH(O195,Cl_cle,0)),"(client introuvable)"))</f>
        <v/>
      </c>
      <c r="R195" s="40">
        <f>IF(O195="","",IFERROR(INDEX(Cl_reste,MATCH(O195,Cl_cle,0)),""))</f>
        <v/>
      </c>
      <c r="S195" s="34">
        <f>IF(C195="","",YEAR(C195-WEEKDAY(C195,2)+4)&amp;"-S"&amp;TEXT(INT((C195-DATE(YEAR(C195-WEEKDAY(C195,2)+4),1,3)+WEEKDAY(DATE(YEAR(C195-WEEKDAY(C195,2)+4),1,3),2)+5)/7),"00"))</f>
        <v/>
      </c>
    </row>
    <row r="196" ht="18" customHeight="1">
      <c r="A196" s="39" t="n">
        <v>191</v>
      </c>
      <c r="B196" s="33">
        <f>IF(C196="","",IF(L196="À RENSEIGNER","GIC",L196)&amp;"-E"&amp;TEXT(A196,"00000"))</f>
        <v/>
      </c>
      <c r="C196" s="32" t="n"/>
      <c r="D196" s="36" t="n"/>
      <c r="E196" s="37" t="n"/>
      <c r="F196" s="36" t="n"/>
      <c r="G196" s="44" t="n"/>
      <c r="H196" s="43" t="n"/>
      <c r="I196" s="32" t="n"/>
      <c r="J196" s="44" t="n"/>
      <c r="K196" s="36" t="n"/>
      <c r="L196" s="33">
        <f>IF(C196="","",Commercial_Id)</f>
        <v/>
      </c>
      <c r="M196" s="34">
        <f>IF(OR(C196="",F196=""),"",IF(F196&lt;&gt;"Espèces","—",IF(I196&lt;&gt;"","☑ Oui","☐ Non")))</f>
        <v/>
      </c>
      <c r="N196" s="39">
        <f>IF(D196="","",IFERROR(VALUE(MID(D196,LEN(D196)-3,3)),""))</f>
        <v/>
      </c>
      <c r="O196" s="33">
        <f>IF(N196="","",L196&amp;"|"&amp;N196)</f>
        <v/>
      </c>
      <c r="P196" s="33">
        <f>IF(N196="","",IF(L196="À RENSEIGNER","GIC",L196)&amp;"-"&amp;TEXT(N196,"000"))</f>
        <v/>
      </c>
      <c r="Q196" s="33">
        <f>IF(O196="","",IFERROR(INDEX(Cl_nom,MATCH(O196,Cl_cle,0)),"(client introuvable)"))</f>
        <v/>
      </c>
      <c r="R196" s="40">
        <f>IF(O196="","",IFERROR(INDEX(Cl_reste,MATCH(O196,Cl_cle,0)),""))</f>
        <v/>
      </c>
      <c r="S196" s="34">
        <f>IF(C196="","",YEAR(C196-WEEKDAY(C196,2)+4)&amp;"-S"&amp;TEXT(INT((C196-DATE(YEAR(C196-WEEKDAY(C196,2)+4),1,3)+WEEKDAY(DATE(YEAR(C196-WEEKDAY(C196,2)+4),1,3),2)+5)/7),"00"))</f>
        <v/>
      </c>
    </row>
    <row r="197" ht="18" customHeight="1">
      <c r="A197" s="39" t="n">
        <v>192</v>
      </c>
      <c r="B197" s="33">
        <f>IF(C197="","",IF(L197="À RENSEIGNER","GIC",L197)&amp;"-E"&amp;TEXT(A197,"00000"))</f>
        <v/>
      </c>
      <c r="C197" s="32" t="n"/>
      <c r="D197" s="36" t="n"/>
      <c r="E197" s="37" t="n"/>
      <c r="F197" s="36" t="n"/>
      <c r="G197" s="44" t="n"/>
      <c r="H197" s="43" t="n"/>
      <c r="I197" s="32" t="n"/>
      <c r="J197" s="44" t="n"/>
      <c r="K197" s="36" t="n"/>
      <c r="L197" s="33">
        <f>IF(C197="","",Commercial_Id)</f>
        <v/>
      </c>
      <c r="M197" s="34">
        <f>IF(OR(C197="",F197=""),"",IF(F197&lt;&gt;"Espèces","—",IF(I197&lt;&gt;"","☑ Oui","☐ Non")))</f>
        <v/>
      </c>
      <c r="N197" s="39">
        <f>IF(D197="","",IFERROR(VALUE(MID(D197,LEN(D197)-3,3)),""))</f>
        <v/>
      </c>
      <c r="O197" s="33">
        <f>IF(N197="","",L197&amp;"|"&amp;N197)</f>
        <v/>
      </c>
      <c r="P197" s="33">
        <f>IF(N197="","",IF(L197="À RENSEIGNER","GIC",L197)&amp;"-"&amp;TEXT(N197,"000"))</f>
        <v/>
      </c>
      <c r="Q197" s="33">
        <f>IF(O197="","",IFERROR(INDEX(Cl_nom,MATCH(O197,Cl_cle,0)),"(client introuvable)"))</f>
        <v/>
      </c>
      <c r="R197" s="40">
        <f>IF(O197="","",IFERROR(INDEX(Cl_reste,MATCH(O197,Cl_cle,0)),""))</f>
        <v/>
      </c>
      <c r="S197" s="34">
        <f>IF(C197="","",YEAR(C197-WEEKDAY(C197,2)+4)&amp;"-S"&amp;TEXT(INT((C197-DATE(YEAR(C197-WEEKDAY(C197,2)+4),1,3)+WEEKDAY(DATE(YEAR(C197-WEEKDAY(C197,2)+4),1,3),2)+5)/7),"00"))</f>
        <v/>
      </c>
    </row>
    <row r="198" ht="18" customHeight="1">
      <c r="A198" s="39" t="n">
        <v>193</v>
      </c>
      <c r="B198" s="33">
        <f>IF(C198="","",IF(L198="À RENSEIGNER","GIC",L198)&amp;"-E"&amp;TEXT(A198,"00000"))</f>
        <v/>
      </c>
      <c r="C198" s="32" t="n"/>
      <c r="D198" s="36" t="n"/>
      <c r="E198" s="37" t="n"/>
      <c r="F198" s="36" t="n"/>
      <c r="G198" s="44" t="n"/>
      <c r="H198" s="43" t="n"/>
      <c r="I198" s="32" t="n"/>
      <c r="J198" s="44" t="n"/>
      <c r="K198" s="36" t="n"/>
      <c r="L198" s="33">
        <f>IF(C198="","",Commercial_Id)</f>
        <v/>
      </c>
      <c r="M198" s="34">
        <f>IF(OR(C198="",F198=""),"",IF(F198&lt;&gt;"Espèces","—",IF(I198&lt;&gt;"","☑ Oui","☐ Non")))</f>
        <v/>
      </c>
      <c r="N198" s="39">
        <f>IF(D198="","",IFERROR(VALUE(MID(D198,LEN(D198)-3,3)),""))</f>
        <v/>
      </c>
      <c r="O198" s="33">
        <f>IF(N198="","",L198&amp;"|"&amp;N198)</f>
        <v/>
      </c>
      <c r="P198" s="33">
        <f>IF(N198="","",IF(L198="À RENSEIGNER","GIC",L198)&amp;"-"&amp;TEXT(N198,"000"))</f>
        <v/>
      </c>
      <c r="Q198" s="33">
        <f>IF(O198="","",IFERROR(INDEX(Cl_nom,MATCH(O198,Cl_cle,0)),"(client introuvable)"))</f>
        <v/>
      </c>
      <c r="R198" s="40">
        <f>IF(O198="","",IFERROR(INDEX(Cl_reste,MATCH(O198,Cl_cle,0)),""))</f>
        <v/>
      </c>
      <c r="S198" s="34">
        <f>IF(C198="","",YEAR(C198-WEEKDAY(C198,2)+4)&amp;"-S"&amp;TEXT(INT((C198-DATE(YEAR(C198-WEEKDAY(C198,2)+4),1,3)+WEEKDAY(DATE(YEAR(C198-WEEKDAY(C198,2)+4),1,3),2)+5)/7),"00"))</f>
        <v/>
      </c>
    </row>
    <row r="199" ht="18" customHeight="1">
      <c r="A199" s="39" t="n">
        <v>194</v>
      </c>
      <c r="B199" s="33">
        <f>IF(C199="","",IF(L199="À RENSEIGNER","GIC",L199)&amp;"-E"&amp;TEXT(A199,"00000"))</f>
        <v/>
      </c>
      <c r="C199" s="32" t="n"/>
      <c r="D199" s="36" t="n"/>
      <c r="E199" s="37" t="n"/>
      <c r="F199" s="36" t="n"/>
      <c r="G199" s="44" t="n"/>
      <c r="H199" s="43" t="n"/>
      <c r="I199" s="32" t="n"/>
      <c r="J199" s="44" t="n"/>
      <c r="K199" s="36" t="n"/>
      <c r="L199" s="33">
        <f>IF(C199="","",Commercial_Id)</f>
        <v/>
      </c>
      <c r="M199" s="34">
        <f>IF(OR(C199="",F199=""),"",IF(F199&lt;&gt;"Espèces","—",IF(I199&lt;&gt;"","☑ Oui","☐ Non")))</f>
        <v/>
      </c>
      <c r="N199" s="39">
        <f>IF(D199="","",IFERROR(VALUE(MID(D199,LEN(D199)-3,3)),""))</f>
        <v/>
      </c>
      <c r="O199" s="33">
        <f>IF(N199="","",L199&amp;"|"&amp;N199)</f>
        <v/>
      </c>
      <c r="P199" s="33">
        <f>IF(N199="","",IF(L199="À RENSEIGNER","GIC",L199)&amp;"-"&amp;TEXT(N199,"000"))</f>
        <v/>
      </c>
      <c r="Q199" s="33">
        <f>IF(O199="","",IFERROR(INDEX(Cl_nom,MATCH(O199,Cl_cle,0)),"(client introuvable)"))</f>
        <v/>
      </c>
      <c r="R199" s="40">
        <f>IF(O199="","",IFERROR(INDEX(Cl_reste,MATCH(O199,Cl_cle,0)),""))</f>
        <v/>
      </c>
      <c r="S199" s="34">
        <f>IF(C199="","",YEAR(C199-WEEKDAY(C199,2)+4)&amp;"-S"&amp;TEXT(INT((C199-DATE(YEAR(C199-WEEKDAY(C199,2)+4),1,3)+WEEKDAY(DATE(YEAR(C199-WEEKDAY(C199,2)+4),1,3),2)+5)/7),"00"))</f>
        <v/>
      </c>
    </row>
    <row r="200" ht="18" customHeight="1">
      <c r="A200" s="39" t="n">
        <v>195</v>
      </c>
      <c r="B200" s="33">
        <f>IF(C200="","",IF(L200="À RENSEIGNER","GIC",L200)&amp;"-E"&amp;TEXT(A200,"00000"))</f>
        <v/>
      </c>
      <c r="C200" s="32" t="n"/>
      <c r="D200" s="36" t="n"/>
      <c r="E200" s="37" t="n"/>
      <c r="F200" s="36" t="n"/>
      <c r="G200" s="44" t="n"/>
      <c r="H200" s="43" t="n"/>
      <c r="I200" s="32" t="n"/>
      <c r="J200" s="44" t="n"/>
      <c r="K200" s="36" t="n"/>
      <c r="L200" s="33">
        <f>IF(C200="","",Commercial_Id)</f>
        <v/>
      </c>
      <c r="M200" s="34">
        <f>IF(OR(C200="",F200=""),"",IF(F200&lt;&gt;"Espèces","—",IF(I200&lt;&gt;"","☑ Oui","☐ Non")))</f>
        <v/>
      </c>
      <c r="N200" s="39">
        <f>IF(D200="","",IFERROR(VALUE(MID(D200,LEN(D200)-3,3)),""))</f>
        <v/>
      </c>
      <c r="O200" s="33">
        <f>IF(N200="","",L200&amp;"|"&amp;N200)</f>
        <v/>
      </c>
      <c r="P200" s="33">
        <f>IF(N200="","",IF(L200="À RENSEIGNER","GIC",L200)&amp;"-"&amp;TEXT(N200,"000"))</f>
        <v/>
      </c>
      <c r="Q200" s="33">
        <f>IF(O200="","",IFERROR(INDEX(Cl_nom,MATCH(O200,Cl_cle,0)),"(client introuvable)"))</f>
        <v/>
      </c>
      <c r="R200" s="40">
        <f>IF(O200="","",IFERROR(INDEX(Cl_reste,MATCH(O200,Cl_cle,0)),""))</f>
        <v/>
      </c>
      <c r="S200" s="34">
        <f>IF(C200="","",YEAR(C200-WEEKDAY(C200,2)+4)&amp;"-S"&amp;TEXT(INT((C200-DATE(YEAR(C200-WEEKDAY(C200,2)+4),1,3)+WEEKDAY(DATE(YEAR(C200-WEEKDAY(C200,2)+4),1,3),2)+5)/7),"00"))</f>
        <v/>
      </c>
    </row>
    <row r="201" ht="18" customHeight="1">
      <c r="A201" s="39" t="n">
        <v>196</v>
      </c>
      <c r="B201" s="33">
        <f>IF(C201="","",IF(L201="À RENSEIGNER","GIC",L201)&amp;"-E"&amp;TEXT(A201,"00000"))</f>
        <v/>
      </c>
      <c r="C201" s="32" t="n"/>
      <c r="D201" s="36" t="n"/>
      <c r="E201" s="37" t="n"/>
      <c r="F201" s="36" t="n"/>
      <c r="G201" s="44" t="n"/>
      <c r="H201" s="43" t="n"/>
      <c r="I201" s="32" t="n"/>
      <c r="J201" s="44" t="n"/>
      <c r="K201" s="36" t="n"/>
      <c r="L201" s="33">
        <f>IF(C201="","",Commercial_Id)</f>
        <v/>
      </c>
      <c r="M201" s="34">
        <f>IF(OR(C201="",F201=""),"",IF(F201&lt;&gt;"Espèces","—",IF(I201&lt;&gt;"","☑ Oui","☐ Non")))</f>
        <v/>
      </c>
      <c r="N201" s="39">
        <f>IF(D201="","",IFERROR(VALUE(MID(D201,LEN(D201)-3,3)),""))</f>
        <v/>
      </c>
      <c r="O201" s="33">
        <f>IF(N201="","",L201&amp;"|"&amp;N201)</f>
        <v/>
      </c>
      <c r="P201" s="33">
        <f>IF(N201="","",IF(L201="À RENSEIGNER","GIC",L201)&amp;"-"&amp;TEXT(N201,"000"))</f>
        <v/>
      </c>
      <c r="Q201" s="33">
        <f>IF(O201="","",IFERROR(INDEX(Cl_nom,MATCH(O201,Cl_cle,0)),"(client introuvable)"))</f>
        <v/>
      </c>
      <c r="R201" s="40">
        <f>IF(O201="","",IFERROR(INDEX(Cl_reste,MATCH(O201,Cl_cle,0)),""))</f>
        <v/>
      </c>
      <c r="S201" s="34">
        <f>IF(C201="","",YEAR(C201-WEEKDAY(C201,2)+4)&amp;"-S"&amp;TEXT(INT((C201-DATE(YEAR(C201-WEEKDAY(C201,2)+4),1,3)+WEEKDAY(DATE(YEAR(C201-WEEKDAY(C201,2)+4),1,3),2)+5)/7),"00"))</f>
        <v/>
      </c>
    </row>
    <row r="202" ht="18" customHeight="1">
      <c r="A202" s="39" t="n">
        <v>197</v>
      </c>
      <c r="B202" s="33">
        <f>IF(C202="","",IF(L202="À RENSEIGNER","GIC",L202)&amp;"-E"&amp;TEXT(A202,"00000"))</f>
        <v/>
      </c>
      <c r="C202" s="32" t="n"/>
      <c r="D202" s="36" t="n"/>
      <c r="E202" s="37" t="n"/>
      <c r="F202" s="36" t="n"/>
      <c r="G202" s="44" t="n"/>
      <c r="H202" s="43" t="n"/>
      <c r="I202" s="32" t="n"/>
      <c r="J202" s="44" t="n"/>
      <c r="K202" s="36" t="n"/>
      <c r="L202" s="33">
        <f>IF(C202="","",Commercial_Id)</f>
        <v/>
      </c>
      <c r="M202" s="34">
        <f>IF(OR(C202="",F202=""),"",IF(F202&lt;&gt;"Espèces","—",IF(I202&lt;&gt;"","☑ Oui","☐ Non")))</f>
        <v/>
      </c>
      <c r="N202" s="39">
        <f>IF(D202="","",IFERROR(VALUE(MID(D202,LEN(D202)-3,3)),""))</f>
        <v/>
      </c>
      <c r="O202" s="33">
        <f>IF(N202="","",L202&amp;"|"&amp;N202)</f>
        <v/>
      </c>
      <c r="P202" s="33">
        <f>IF(N202="","",IF(L202="À RENSEIGNER","GIC",L202)&amp;"-"&amp;TEXT(N202,"000"))</f>
        <v/>
      </c>
      <c r="Q202" s="33">
        <f>IF(O202="","",IFERROR(INDEX(Cl_nom,MATCH(O202,Cl_cle,0)),"(client introuvable)"))</f>
        <v/>
      </c>
      <c r="R202" s="40">
        <f>IF(O202="","",IFERROR(INDEX(Cl_reste,MATCH(O202,Cl_cle,0)),""))</f>
        <v/>
      </c>
      <c r="S202" s="34">
        <f>IF(C202="","",YEAR(C202-WEEKDAY(C202,2)+4)&amp;"-S"&amp;TEXT(INT((C202-DATE(YEAR(C202-WEEKDAY(C202,2)+4),1,3)+WEEKDAY(DATE(YEAR(C202-WEEKDAY(C202,2)+4),1,3),2)+5)/7),"00"))</f>
        <v/>
      </c>
    </row>
    <row r="203" ht="18" customHeight="1">
      <c r="A203" s="39" t="n">
        <v>198</v>
      </c>
      <c r="B203" s="33">
        <f>IF(C203="","",IF(L203="À RENSEIGNER","GIC",L203)&amp;"-E"&amp;TEXT(A203,"00000"))</f>
        <v/>
      </c>
      <c r="C203" s="32" t="n"/>
      <c r="D203" s="36" t="n"/>
      <c r="E203" s="37" t="n"/>
      <c r="F203" s="36" t="n"/>
      <c r="G203" s="44" t="n"/>
      <c r="H203" s="43" t="n"/>
      <c r="I203" s="32" t="n"/>
      <c r="J203" s="44" t="n"/>
      <c r="K203" s="36" t="n"/>
      <c r="L203" s="33">
        <f>IF(C203="","",Commercial_Id)</f>
        <v/>
      </c>
      <c r="M203" s="34">
        <f>IF(OR(C203="",F203=""),"",IF(F203&lt;&gt;"Espèces","—",IF(I203&lt;&gt;"","☑ Oui","☐ Non")))</f>
        <v/>
      </c>
      <c r="N203" s="39">
        <f>IF(D203="","",IFERROR(VALUE(MID(D203,LEN(D203)-3,3)),""))</f>
        <v/>
      </c>
      <c r="O203" s="33">
        <f>IF(N203="","",L203&amp;"|"&amp;N203)</f>
        <v/>
      </c>
      <c r="P203" s="33">
        <f>IF(N203="","",IF(L203="À RENSEIGNER","GIC",L203)&amp;"-"&amp;TEXT(N203,"000"))</f>
        <v/>
      </c>
      <c r="Q203" s="33">
        <f>IF(O203="","",IFERROR(INDEX(Cl_nom,MATCH(O203,Cl_cle,0)),"(client introuvable)"))</f>
        <v/>
      </c>
      <c r="R203" s="40">
        <f>IF(O203="","",IFERROR(INDEX(Cl_reste,MATCH(O203,Cl_cle,0)),""))</f>
        <v/>
      </c>
      <c r="S203" s="34">
        <f>IF(C203="","",YEAR(C203-WEEKDAY(C203,2)+4)&amp;"-S"&amp;TEXT(INT((C203-DATE(YEAR(C203-WEEKDAY(C203,2)+4),1,3)+WEEKDAY(DATE(YEAR(C203-WEEKDAY(C203,2)+4),1,3),2)+5)/7),"00"))</f>
        <v/>
      </c>
    </row>
    <row r="204" ht="18" customHeight="1">
      <c r="A204" s="39" t="n">
        <v>199</v>
      </c>
      <c r="B204" s="33">
        <f>IF(C204="","",IF(L204="À RENSEIGNER","GIC",L204)&amp;"-E"&amp;TEXT(A204,"00000"))</f>
        <v/>
      </c>
      <c r="C204" s="32" t="n"/>
      <c r="D204" s="36" t="n"/>
      <c r="E204" s="37" t="n"/>
      <c r="F204" s="36" t="n"/>
      <c r="G204" s="44" t="n"/>
      <c r="H204" s="43" t="n"/>
      <c r="I204" s="32" t="n"/>
      <c r="J204" s="44" t="n"/>
      <c r="K204" s="36" t="n"/>
      <c r="L204" s="33">
        <f>IF(C204="","",Commercial_Id)</f>
        <v/>
      </c>
      <c r="M204" s="34">
        <f>IF(OR(C204="",F204=""),"",IF(F204&lt;&gt;"Espèces","—",IF(I204&lt;&gt;"","☑ Oui","☐ Non")))</f>
        <v/>
      </c>
      <c r="N204" s="39">
        <f>IF(D204="","",IFERROR(VALUE(MID(D204,LEN(D204)-3,3)),""))</f>
        <v/>
      </c>
      <c r="O204" s="33">
        <f>IF(N204="","",L204&amp;"|"&amp;N204)</f>
        <v/>
      </c>
      <c r="P204" s="33">
        <f>IF(N204="","",IF(L204="À RENSEIGNER","GIC",L204)&amp;"-"&amp;TEXT(N204,"000"))</f>
        <v/>
      </c>
      <c r="Q204" s="33">
        <f>IF(O204="","",IFERROR(INDEX(Cl_nom,MATCH(O204,Cl_cle,0)),"(client introuvable)"))</f>
        <v/>
      </c>
      <c r="R204" s="40">
        <f>IF(O204="","",IFERROR(INDEX(Cl_reste,MATCH(O204,Cl_cle,0)),""))</f>
        <v/>
      </c>
      <c r="S204" s="34">
        <f>IF(C204="","",YEAR(C204-WEEKDAY(C204,2)+4)&amp;"-S"&amp;TEXT(INT((C204-DATE(YEAR(C204-WEEKDAY(C204,2)+4),1,3)+WEEKDAY(DATE(YEAR(C204-WEEKDAY(C204,2)+4),1,3),2)+5)/7),"00"))</f>
        <v/>
      </c>
    </row>
    <row r="205" ht="18" customHeight="1">
      <c r="A205" s="39" t="n">
        <v>200</v>
      </c>
      <c r="B205" s="33">
        <f>IF(C205="","",IF(L205="À RENSEIGNER","GIC",L205)&amp;"-E"&amp;TEXT(A205,"00000"))</f>
        <v/>
      </c>
      <c r="C205" s="32" t="n"/>
      <c r="D205" s="36" t="n"/>
      <c r="E205" s="37" t="n"/>
      <c r="F205" s="36" t="n"/>
      <c r="G205" s="44" t="n"/>
      <c r="H205" s="43" t="n"/>
      <c r="I205" s="32" t="n"/>
      <c r="J205" s="44" t="n"/>
      <c r="K205" s="36" t="n"/>
      <c r="L205" s="33">
        <f>IF(C205="","",Commercial_Id)</f>
        <v/>
      </c>
      <c r="M205" s="34">
        <f>IF(OR(C205="",F205=""),"",IF(F205&lt;&gt;"Espèces","—",IF(I205&lt;&gt;"","☑ Oui","☐ Non")))</f>
        <v/>
      </c>
      <c r="N205" s="39">
        <f>IF(D205="","",IFERROR(VALUE(MID(D205,LEN(D205)-3,3)),""))</f>
        <v/>
      </c>
      <c r="O205" s="33">
        <f>IF(N205="","",L205&amp;"|"&amp;N205)</f>
        <v/>
      </c>
      <c r="P205" s="33">
        <f>IF(N205="","",IF(L205="À RENSEIGNER","GIC",L205)&amp;"-"&amp;TEXT(N205,"000"))</f>
        <v/>
      </c>
      <c r="Q205" s="33">
        <f>IF(O205="","",IFERROR(INDEX(Cl_nom,MATCH(O205,Cl_cle,0)),"(client introuvable)"))</f>
        <v/>
      </c>
      <c r="R205" s="40">
        <f>IF(O205="","",IFERROR(INDEX(Cl_reste,MATCH(O205,Cl_cle,0)),""))</f>
        <v/>
      </c>
      <c r="S205" s="34">
        <f>IF(C205="","",YEAR(C205-WEEKDAY(C205,2)+4)&amp;"-S"&amp;TEXT(INT((C205-DATE(YEAR(C205-WEEKDAY(C205,2)+4),1,3)+WEEKDAY(DATE(YEAR(C205-WEEKDAY(C205,2)+4),1,3),2)+5)/7),"00"))</f>
        <v/>
      </c>
    </row>
    <row r="206" ht="18" customHeight="1">
      <c r="A206" s="39" t="n">
        <v>201</v>
      </c>
      <c r="B206" s="33">
        <f>IF(C206="","",IF(L206="À RENSEIGNER","GIC",L206)&amp;"-E"&amp;TEXT(A206,"00000"))</f>
        <v/>
      </c>
      <c r="C206" s="32" t="n"/>
      <c r="D206" s="36" t="n"/>
      <c r="E206" s="37" t="n"/>
      <c r="F206" s="36" t="n"/>
      <c r="G206" s="44" t="n"/>
      <c r="H206" s="43" t="n"/>
      <c r="I206" s="32" t="n"/>
      <c r="J206" s="44" t="n"/>
      <c r="K206" s="36" t="n"/>
      <c r="L206" s="33">
        <f>IF(C206="","",Commercial_Id)</f>
        <v/>
      </c>
      <c r="M206" s="34">
        <f>IF(OR(C206="",F206=""),"",IF(F206&lt;&gt;"Espèces","—",IF(I206&lt;&gt;"","☑ Oui","☐ Non")))</f>
        <v/>
      </c>
      <c r="N206" s="39">
        <f>IF(D206="","",IFERROR(VALUE(MID(D206,LEN(D206)-3,3)),""))</f>
        <v/>
      </c>
      <c r="O206" s="33">
        <f>IF(N206="","",L206&amp;"|"&amp;N206)</f>
        <v/>
      </c>
      <c r="P206" s="33">
        <f>IF(N206="","",IF(L206="À RENSEIGNER","GIC",L206)&amp;"-"&amp;TEXT(N206,"000"))</f>
        <v/>
      </c>
      <c r="Q206" s="33">
        <f>IF(O206="","",IFERROR(INDEX(Cl_nom,MATCH(O206,Cl_cle,0)),"(client introuvable)"))</f>
        <v/>
      </c>
      <c r="R206" s="40">
        <f>IF(O206="","",IFERROR(INDEX(Cl_reste,MATCH(O206,Cl_cle,0)),""))</f>
        <v/>
      </c>
      <c r="S206" s="34">
        <f>IF(C206="","",YEAR(C206-WEEKDAY(C206,2)+4)&amp;"-S"&amp;TEXT(INT((C206-DATE(YEAR(C206-WEEKDAY(C206,2)+4),1,3)+WEEKDAY(DATE(YEAR(C206-WEEKDAY(C206,2)+4),1,3),2)+5)/7),"00"))</f>
        <v/>
      </c>
    </row>
    <row r="207" ht="18" customHeight="1">
      <c r="A207" s="39" t="n">
        <v>202</v>
      </c>
      <c r="B207" s="33">
        <f>IF(C207="","",IF(L207="À RENSEIGNER","GIC",L207)&amp;"-E"&amp;TEXT(A207,"00000"))</f>
        <v/>
      </c>
      <c r="C207" s="32" t="n"/>
      <c r="D207" s="36" t="n"/>
      <c r="E207" s="37" t="n"/>
      <c r="F207" s="36" t="n"/>
      <c r="G207" s="44" t="n"/>
      <c r="H207" s="43" t="n"/>
      <c r="I207" s="32" t="n"/>
      <c r="J207" s="44" t="n"/>
      <c r="K207" s="36" t="n"/>
      <c r="L207" s="33">
        <f>IF(C207="","",Commercial_Id)</f>
        <v/>
      </c>
      <c r="M207" s="34">
        <f>IF(OR(C207="",F207=""),"",IF(F207&lt;&gt;"Espèces","—",IF(I207&lt;&gt;"","☑ Oui","☐ Non")))</f>
        <v/>
      </c>
      <c r="N207" s="39">
        <f>IF(D207="","",IFERROR(VALUE(MID(D207,LEN(D207)-3,3)),""))</f>
        <v/>
      </c>
      <c r="O207" s="33">
        <f>IF(N207="","",L207&amp;"|"&amp;N207)</f>
        <v/>
      </c>
      <c r="P207" s="33">
        <f>IF(N207="","",IF(L207="À RENSEIGNER","GIC",L207)&amp;"-"&amp;TEXT(N207,"000"))</f>
        <v/>
      </c>
      <c r="Q207" s="33">
        <f>IF(O207="","",IFERROR(INDEX(Cl_nom,MATCH(O207,Cl_cle,0)),"(client introuvable)"))</f>
        <v/>
      </c>
      <c r="R207" s="40">
        <f>IF(O207="","",IFERROR(INDEX(Cl_reste,MATCH(O207,Cl_cle,0)),""))</f>
        <v/>
      </c>
      <c r="S207" s="34">
        <f>IF(C207="","",YEAR(C207-WEEKDAY(C207,2)+4)&amp;"-S"&amp;TEXT(INT((C207-DATE(YEAR(C207-WEEKDAY(C207,2)+4),1,3)+WEEKDAY(DATE(YEAR(C207-WEEKDAY(C207,2)+4),1,3),2)+5)/7),"00"))</f>
        <v/>
      </c>
    </row>
    <row r="208" ht="18" customHeight="1">
      <c r="A208" s="39" t="n">
        <v>203</v>
      </c>
      <c r="B208" s="33">
        <f>IF(C208="","",IF(L208="À RENSEIGNER","GIC",L208)&amp;"-E"&amp;TEXT(A208,"00000"))</f>
        <v/>
      </c>
      <c r="C208" s="32" t="n"/>
      <c r="D208" s="36" t="n"/>
      <c r="E208" s="37" t="n"/>
      <c r="F208" s="36" t="n"/>
      <c r="G208" s="44" t="n"/>
      <c r="H208" s="43" t="n"/>
      <c r="I208" s="32" t="n"/>
      <c r="J208" s="44" t="n"/>
      <c r="K208" s="36" t="n"/>
      <c r="L208" s="33">
        <f>IF(C208="","",Commercial_Id)</f>
        <v/>
      </c>
      <c r="M208" s="34">
        <f>IF(OR(C208="",F208=""),"",IF(F208&lt;&gt;"Espèces","—",IF(I208&lt;&gt;"","☑ Oui","☐ Non")))</f>
        <v/>
      </c>
      <c r="N208" s="39">
        <f>IF(D208="","",IFERROR(VALUE(MID(D208,LEN(D208)-3,3)),""))</f>
        <v/>
      </c>
      <c r="O208" s="33">
        <f>IF(N208="","",L208&amp;"|"&amp;N208)</f>
        <v/>
      </c>
      <c r="P208" s="33">
        <f>IF(N208="","",IF(L208="À RENSEIGNER","GIC",L208)&amp;"-"&amp;TEXT(N208,"000"))</f>
        <v/>
      </c>
      <c r="Q208" s="33">
        <f>IF(O208="","",IFERROR(INDEX(Cl_nom,MATCH(O208,Cl_cle,0)),"(client introuvable)"))</f>
        <v/>
      </c>
      <c r="R208" s="40">
        <f>IF(O208="","",IFERROR(INDEX(Cl_reste,MATCH(O208,Cl_cle,0)),""))</f>
        <v/>
      </c>
      <c r="S208" s="34">
        <f>IF(C208="","",YEAR(C208-WEEKDAY(C208,2)+4)&amp;"-S"&amp;TEXT(INT((C208-DATE(YEAR(C208-WEEKDAY(C208,2)+4),1,3)+WEEKDAY(DATE(YEAR(C208-WEEKDAY(C208,2)+4),1,3),2)+5)/7),"00"))</f>
        <v/>
      </c>
    </row>
    <row r="209" ht="18" customHeight="1">
      <c r="A209" s="39" t="n">
        <v>204</v>
      </c>
      <c r="B209" s="33">
        <f>IF(C209="","",IF(L209="À RENSEIGNER","GIC",L209)&amp;"-E"&amp;TEXT(A209,"00000"))</f>
        <v/>
      </c>
      <c r="C209" s="32" t="n"/>
      <c r="D209" s="36" t="n"/>
      <c r="E209" s="37" t="n"/>
      <c r="F209" s="36" t="n"/>
      <c r="G209" s="44" t="n"/>
      <c r="H209" s="43" t="n"/>
      <c r="I209" s="32" t="n"/>
      <c r="J209" s="44" t="n"/>
      <c r="K209" s="36" t="n"/>
      <c r="L209" s="33">
        <f>IF(C209="","",Commercial_Id)</f>
        <v/>
      </c>
      <c r="M209" s="34">
        <f>IF(OR(C209="",F209=""),"",IF(F209&lt;&gt;"Espèces","—",IF(I209&lt;&gt;"","☑ Oui","☐ Non")))</f>
        <v/>
      </c>
      <c r="N209" s="39">
        <f>IF(D209="","",IFERROR(VALUE(MID(D209,LEN(D209)-3,3)),""))</f>
        <v/>
      </c>
      <c r="O209" s="33">
        <f>IF(N209="","",L209&amp;"|"&amp;N209)</f>
        <v/>
      </c>
      <c r="P209" s="33">
        <f>IF(N209="","",IF(L209="À RENSEIGNER","GIC",L209)&amp;"-"&amp;TEXT(N209,"000"))</f>
        <v/>
      </c>
      <c r="Q209" s="33">
        <f>IF(O209="","",IFERROR(INDEX(Cl_nom,MATCH(O209,Cl_cle,0)),"(client introuvable)"))</f>
        <v/>
      </c>
      <c r="R209" s="40">
        <f>IF(O209="","",IFERROR(INDEX(Cl_reste,MATCH(O209,Cl_cle,0)),""))</f>
        <v/>
      </c>
      <c r="S209" s="34">
        <f>IF(C209="","",YEAR(C209-WEEKDAY(C209,2)+4)&amp;"-S"&amp;TEXT(INT((C209-DATE(YEAR(C209-WEEKDAY(C209,2)+4),1,3)+WEEKDAY(DATE(YEAR(C209-WEEKDAY(C209,2)+4),1,3),2)+5)/7),"00"))</f>
        <v/>
      </c>
    </row>
    <row r="210" ht="18" customHeight="1">
      <c r="A210" s="39" t="n">
        <v>205</v>
      </c>
      <c r="B210" s="33">
        <f>IF(C210="","",IF(L210="À RENSEIGNER","GIC",L210)&amp;"-E"&amp;TEXT(A210,"00000"))</f>
        <v/>
      </c>
      <c r="C210" s="32" t="n"/>
      <c r="D210" s="36" t="n"/>
      <c r="E210" s="37" t="n"/>
      <c r="F210" s="36" t="n"/>
      <c r="G210" s="44" t="n"/>
      <c r="H210" s="43" t="n"/>
      <c r="I210" s="32" t="n"/>
      <c r="J210" s="44" t="n"/>
      <c r="K210" s="36" t="n"/>
      <c r="L210" s="33">
        <f>IF(C210="","",Commercial_Id)</f>
        <v/>
      </c>
      <c r="M210" s="34">
        <f>IF(OR(C210="",F210=""),"",IF(F210&lt;&gt;"Espèces","—",IF(I210&lt;&gt;"","☑ Oui","☐ Non")))</f>
        <v/>
      </c>
      <c r="N210" s="39">
        <f>IF(D210="","",IFERROR(VALUE(MID(D210,LEN(D210)-3,3)),""))</f>
        <v/>
      </c>
      <c r="O210" s="33">
        <f>IF(N210="","",L210&amp;"|"&amp;N210)</f>
        <v/>
      </c>
      <c r="P210" s="33">
        <f>IF(N210="","",IF(L210="À RENSEIGNER","GIC",L210)&amp;"-"&amp;TEXT(N210,"000"))</f>
        <v/>
      </c>
      <c r="Q210" s="33">
        <f>IF(O210="","",IFERROR(INDEX(Cl_nom,MATCH(O210,Cl_cle,0)),"(client introuvable)"))</f>
        <v/>
      </c>
      <c r="R210" s="40">
        <f>IF(O210="","",IFERROR(INDEX(Cl_reste,MATCH(O210,Cl_cle,0)),""))</f>
        <v/>
      </c>
      <c r="S210" s="34">
        <f>IF(C210="","",YEAR(C210-WEEKDAY(C210,2)+4)&amp;"-S"&amp;TEXT(INT((C210-DATE(YEAR(C210-WEEKDAY(C210,2)+4),1,3)+WEEKDAY(DATE(YEAR(C210-WEEKDAY(C210,2)+4),1,3),2)+5)/7),"00"))</f>
        <v/>
      </c>
    </row>
    <row r="211" ht="18" customHeight="1">
      <c r="A211" s="39" t="n">
        <v>206</v>
      </c>
      <c r="B211" s="33">
        <f>IF(C211="","",IF(L211="À RENSEIGNER","GIC",L211)&amp;"-E"&amp;TEXT(A211,"00000"))</f>
        <v/>
      </c>
      <c r="C211" s="32" t="n"/>
      <c r="D211" s="36" t="n"/>
      <c r="E211" s="37" t="n"/>
      <c r="F211" s="36" t="n"/>
      <c r="G211" s="44" t="n"/>
      <c r="H211" s="43" t="n"/>
      <c r="I211" s="32" t="n"/>
      <c r="J211" s="44" t="n"/>
      <c r="K211" s="36" t="n"/>
      <c r="L211" s="33">
        <f>IF(C211="","",Commercial_Id)</f>
        <v/>
      </c>
      <c r="M211" s="34">
        <f>IF(OR(C211="",F211=""),"",IF(F211&lt;&gt;"Espèces","—",IF(I211&lt;&gt;"","☑ Oui","☐ Non")))</f>
        <v/>
      </c>
      <c r="N211" s="39">
        <f>IF(D211="","",IFERROR(VALUE(MID(D211,LEN(D211)-3,3)),""))</f>
        <v/>
      </c>
      <c r="O211" s="33">
        <f>IF(N211="","",L211&amp;"|"&amp;N211)</f>
        <v/>
      </c>
      <c r="P211" s="33">
        <f>IF(N211="","",IF(L211="À RENSEIGNER","GIC",L211)&amp;"-"&amp;TEXT(N211,"000"))</f>
        <v/>
      </c>
      <c r="Q211" s="33">
        <f>IF(O211="","",IFERROR(INDEX(Cl_nom,MATCH(O211,Cl_cle,0)),"(client introuvable)"))</f>
        <v/>
      </c>
      <c r="R211" s="40">
        <f>IF(O211="","",IFERROR(INDEX(Cl_reste,MATCH(O211,Cl_cle,0)),""))</f>
        <v/>
      </c>
      <c r="S211" s="34">
        <f>IF(C211="","",YEAR(C211-WEEKDAY(C211,2)+4)&amp;"-S"&amp;TEXT(INT((C211-DATE(YEAR(C211-WEEKDAY(C211,2)+4),1,3)+WEEKDAY(DATE(YEAR(C211-WEEKDAY(C211,2)+4),1,3),2)+5)/7),"00"))</f>
        <v/>
      </c>
    </row>
    <row r="212" ht="18" customHeight="1">
      <c r="A212" s="39" t="n">
        <v>207</v>
      </c>
      <c r="B212" s="33">
        <f>IF(C212="","",IF(L212="À RENSEIGNER","GIC",L212)&amp;"-E"&amp;TEXT(A212,"00000"))</f>
        <v/>
      </c>
      <c r="C212" s="32" t="n"/>
      <c r="D212" s="36" t="n"/>
      <c r="E212" s="37" t="n"/>
      <c r="F212" s="36" t="n"/>
      <c r="G212" s="44" t="n"/>
      <c r="H212" s="43" t="n"/>
      <c r="I212" s="32" t="n"/>
      <c r="J212" s="44" t="n"/>
      <c r="K212" s="36" t="n"/>
      <c r="L212" s="33">
        <f>IF(C212="","",Commercial_Id)</f>
        <v/>
      </c>
      <c r="M212" s="34">
        <f>IF(OR(C212="",F212=""),"",IF(F212&lt;&gt;"Espèces","—",IF(I212&lt;&gt;"","☑ Oui","☐ Non")))</f>
        <v/>
      </c>
      <c r="N212" s="39">
        <f>IF(D212="","",IFERROR(VALUE(MID(D212,LEN(D212)-3,3)),""))</f>
        <v/>
      </c>
      <c r="O212" s="33">
        <f>IF(N212="","",L212&amp;"|"&amp;N212)</f>
        <v/>
      </c>
      <c r="P212" s="33">
        <f>IF(N212="","",IF(L212="À RENSEIGNER","GIC",L212)&amp;"-"&amp;TEXT(N212,"000"))</f>
        <v/>
      </c>
      <c r="Q212" s="33">
        <f>IF(O212="","",IFERROR(INDEX(Cl_nom,MATCH(O212,Cl_cle,0)),"(client introuvable)"))</f>
        <v/>
      </c>
      <c r="R212" s="40">
        <f>IF(O212="","",IFERROR(INDEX(Cl_reste,MATCH(O212,Cl_cle,0)),""))</f>
        <v/>
      </c>
      <c r="S212" s="34">
        <f>IF(C212="","",YEAR(C212-WEEKDAY(C212,2)+4)&amp;"-S"&amp;TEXT(INT((C212-DATE(YEAR(C212-WEEKDAY(C212,2)+4),1,3)+WEEKDAY(DATE(YEAR(C212-WEEKDAY(C212,2)+4),1,3),2)+5)/7),"00"))</f>
        <v/>
      </c>
    </row>
    <row r="213" ht="18" customHeight="1">
      <c r="A213" s="39" t="n">
        <v>208</v>
      </c>
      <c r="B213" s="33">
        <f>IF(C213="","",IF(L213="À RENSEIGNER","GIC",L213)&amp;"-E"&amp;TEXT(A213,"00000"))</f>
        <v/>
      </c>
      <c r="C213" s="32" t="n"/>
      <c r="D213" s="36" t="n"/>
      <c r="E213" s="37" t="n"/>
      <c r="F213" s="36" t="n"/>
      <c r="G213" s="44" t="n"/>
      <c r="H213" s="43" t="n"/>
      <c r="I213" s="32" t="n"/>
      <c r="J213" s="44" t="n"/>
      <c r="K213" s="36" t="n"/>
      <c r="L213" s="33">
        <f>IF(C213="","",Commercial_Id)</f>
        <v/>
      </c>
      <c r="M213" s="34">
        <f>IF(OR(C213="",F213=""),"",IF(F213&lt;&gt;"Espèces","—",IF(I213&lt;&gt;"","☑ Oui","☐ Non")))</f>
        <v/>
      </c>
      <c r="N213" s="39">
        <f>IF(D213="","",IFERROR(VALUE(MID(D213,LEN(D213)-3,3)),""))</f>
        <v/>
      </c>
      <c r="O213" s="33">
        <f>IF(N213="","",L213&amp;"|"&amp;N213)</f>
        <v/>
      </c>
      <c r="P213" s="33">
        <f>IF(N213="","",IF(L213="À RENSEIGNER","GIC",L213)&amp;"-"&amp;TEXT(N213,"000"))</f>
        <v/>
      </c>
      <c r="Q213" s="33">
        <f>IF(O213="","",IFERROR(INDEX(Cl_nom,MATCH(O213,Cl_cle,0)),"(client introuvable)"))</f>
        <v/>
      </c>
      <c r="R213" s="40">
        <f>IF(O213="","",IFERROR(INDEX(Cl_reste,MATCH(O213,Cl_cle,0)),""))</f>
        <v/>
      </c>
      <c r="S213" s="34">
        <f>IF(C213="","",YEAR(C213-WEEKDAY(C213,2)+4)&amp;"-S"&amp;TEXT(INT((C213-DATE(YEAR(C213-WEEKDAY(C213,2)+4),1,3)+WEEKDAY(DATE(YEAR(C213-WEEKDAY(C213,2)+4),1,3),2)+5)/7),"00"))</f>
        <v/>
      </c>
    </row>
    <row r="214" ht="18" customHeight="1">
      <c r="A214" s="39" t="n">
        <v>209</v>
      </c>
      <c r="B214" s="33">
        <f>IF(C214="","",IF(L214="À RENSEIGNER","GIC",L214)&amp;"-E"&amp;TEXT(A214,"00000"))</f>
        <v/>
      </c>
      <c r="C214" s="32" t="n"/>
      <c r="D214" s="36" t="n"/>
      <c r="E214" s="37" t="n"/>
      <c r="F214" s="36" t="n"/>
      <c r="G214" s="44" t="n"/>
      <c r="H214" s="43" t="n"/>
      <c r="I214" s="32" t="n"/>
      <c r="J214" s="44" t="n"/>
      <c r="K214" s="36" t="n"/>
      <c r="L214" s="33">
        <f>IF(C214="","",Commercial_Id)</f>
        <v/>
      </c>
      <c r="M214" s="34">
        <f>IF(OR(C214="",F214=""),"",IF(F214&lt;&gt;"Espèces","—",IF(I214&lt;&gt;"","☑ Oui","☐ Non")))</f>
        <v/>
      </c>
      <c r="N214" s="39">
        <f>IF(D214="","",IFERROR(VALUE(MID(D214,LEN(D214)-3,3)),""))</f>
        <v/>
      </c>
      <c r="O214" s="33">
        <f>IF(N214="","",L214&amp;"|"&amp;N214)</f>
        <v/>
      </c>
      <c r="P214" s="33">
        <f>IF(N214="","",IF(L214="À RENSEIGNER","GIC",L214)&amp;"-"&amp;TEXT(N214,"000"))</f>
        <v/>
      </c>
      <c r="Q214" s="33">
        <f>IF(O214="","",IFERROR(INDEX(Cl_nom,MATCH(O214,Cl_cle,0)),"(client introuvable)"))</f>
        <v/>
      </c>
      <c r="R214" s="40">
        <f>IF(O214="","",IFERROR(INDEX(Cl_reste,MATCH(O214,Cl_cle,0)),""))</f>
        <v/>
      </c>
      <c r="S214" s="34">
        <f>IF(C214="","",YEAR(C214-WEEKDAY(C214,2)+4)&amp;"-S"&amp;TEXT(INT((C214-DATE(YEAR(C214-WEEKDAY(C214,2)+4),1,3)+WEEKDAY(DATE(YEAR(C214-WEEKDAY(C214,2)+4),1,3),2)+5)/7),"00"))</f>
        <v/>
      </c>
    </row>
    <row r="215" ht="18" customHeight="1">
      <c r="A215" s="39" t="n">
        <v>210</v>
      </c>
      <c r="B215" s="33">
        <f>IF(C215="","",IF(L215="À RENSEIGNER","GIC",L215)&amp;"-E"&amp;TEXT(A215,"00000"))</f>
        <v/>
      </c>
      <c r="C215" s="32" t="n"/>
      <c r="D215" s="36" t="n"/>
      <c r="E215" s="37" t="n"/>
      <c r="F215" s="36" t="n"/>
      <c r="G215" s="44" t="n"/>
      <c r="H215" s="43" t="n"/>
      <c r="I215" s="32" t="n"/>
      <c r="J215" s="44" t="n"/>
      <c r="K215" s="36" t="n"/>
      <c r="L215" s="33">
        <f>IF(C215="","",Commercial_Id)</f>
        <v/>
      </c>
      <c r="M215" s="34">
        <f>IF(OR(C215="",F215=""),"",IF(F215&lt;&gt;"Espèces","—",IF(I215&lt;&gt;"","☑ Oui","☐ Non")))</f>
        <v/>
      </c>
      <c r="N215" s="39">
        <f>IF(D215="","",IFERROR(VALUE(MID(D215,LEN(D215)-3,3)),""))</f>
        <v/>
      </c>
      <c r="O215" s="33">
        <f>IF(N215="","",L215&amp;"|"&amp;N215)</f>
        <v/>
      </c>
      <c r="P215" s="33">
        <f>IF(N215="","",IF(L215="À RENSEIGNER","GIC",L215)&amp;"-"&amp;TEXT(N215,"000"))</f>
        <v/>
      </c>
      <c r="Q215" s="33">
        <f>IF(O215="","",IFERROR(INDEX(Cl_nom,MATCH(O215,Cl_cle,0)),"(client introuvable)"))</f>
        <v/>
      </c>
      <c r="R215" s="40">
        <f>IF(O215="","",IFERROR(INDEX(Cl_reste,MATCH(O215,Cl_cle,0)),""))</f>
        <v/>
      </c>
      <c r="S215" s="34">
        <f>IF(C215="","",YEAR(C215-WEEKDAY(C215,2)+4)&amp;"-S"&amp;TEXT(INT((C215-DATE(YEAR(C215-WEEKDAY(C215,2)+4),1,3)+WEEKDAY(DATE(YEAR(C215-WEEKDAY(C215,2)+4),1,3),2)+5)/7),"00"))</f>
        <v/>
      </c>
    </row>
    <row r="216" ht="18" customHeight="1">
      <c r="A216" s="39" t="n">
        <v>211</v>
      </c>
      <c r="B216" s="33">
        <f>IF(C216="","",IF(L216="À RENSEIGNER","GIC",L216)&amp;"-E"&amp;TEXT(A216,"00000"))</f>
        <v/>
      </c>
      <c r="C216" s="32" t="n"/>
      <c r="D216" s="36" t="n"/>
      <c r="E216" s="37" t="n"/>
      <c r="F216" s="36" t="n"/>
      <c r="G216" s="44" t="n"/>
      <c r="H216" s="43" t="n"/>
      <c r="I216" s="32" t="n"/>
      <c r="J216" s="44" t="n"/>
      <c r="K216" s="36" t="n"/>
      <c r="L216" s="33">
        <f>IF(C216="","",Commercial_Id)</f>
        <v/>
      </c>
      <c r="M216" s="34">
        <f>IF(OR(C216="",F216=""),"",IF(F216&lt;&gt;"Espèces","—",IF(I216&lt;&gt;"","☑ Oui","☐ Non")))</f>
        <v/>
      </c>
      <c r="N216" s="39">
        <f>IF(D216="","",IFERROR(VALUE(MID(D216,LEN(D216)-3,3)),""))</f>
        <v/>
      </c>
      <c r="O216" s="33">
        <f>IF(N216="","",L216&amp;"|"&amp;N216)</f>
        <v/>
      </c>
      <c r="P216" s="33">
        <f>IF(N216="","",IF(L216="À RENSEIGNER","GIC",L216)&amp;"-"&amp;TEXT(N216,"000"))</f>
        <v/>
      </c>
      <c r="Q216" s="33">
        <f>IF(O216="","",IFERROR(INDEX(Cl_nom,MATCH(O216,Cl_cle,0)),"(client introuvable)"))</f>
        <v/>
      </c>
      <c r="R216" s="40">
        <f>IF(O216="","",IFERROR(INDEX(Cl_reste,MATCH(O216,Cl_cle,0)),""))</f>
        <v/>
      </c>
      <c r="S216" s="34">
        <f>IF(C216="","",YEAR(C216-WEEKDAY(C216,2)+4)&amp;"-S"&amp;TEXT(INT((C216-DATE(YEAR(C216-WEEKDAY(C216,2)+4),1,3)+WEEKDAY(DATE(YEAR(C216-WEEKDAY(C216,2)+4),1,3),2)+5)/7),"00"))</f>
        <v/>
      </c>
    </row>
    <row r="217" ht="18" customHeight="1">
      <c r="A217" s="39" t="n">
        <v>212</v>
      </c>
      <c r="B217" s="33">
        <f>IF(C217="","",IF(L217="À RENSEIGNER","GIC",L217)&amp;"-E"&amp;TEXT(A217,"00000"))</f>
        <v/>
      </c>
      <c r="C217" s="32" t="n"/>
      <c r="D217" s="36" t="n"/>
      <c r="E217" s="37" t="n"/>
      <c r="F217" s="36" t="n"/>
      <c r="G217" s="44" t="n"/>
      <c r="H217" s="43" t="n"/>
      <c r="I217" s="32" t="n"/>
      <c r="J217" s="44" t="n"/>
      <c r="K217" s="36" t="n"/>
      <c r="L217" s="33">
        <f>IF(C217="","",Commercial_Id)</f>
        <v/>
      </c>
      <c r="M217" s="34">
        <f>IF(OR(C217="",F217=""),"",IF(F217&lt;&gt;"Espèces","—",IF(I217&lt;&gt;"","☑ Oui","☐ Non")))</f>
        <v/>
      </c>
      <c r="N217" s="39">
        <f>IF(D217="","",IFERROR(VALUE(MID(D217,LEN(D217)-3,3)),""))</f>
        <v/>
      </c>
      <c r="O217" s="33">
        <f>IF(N217="","",L217&amp;"|"&amp;N217)</f>
        <v/>
      </c>
      <c r="P217" s="33">
        <f>IF(N217="","",IF(L217="À RENSEIGNER","GIC",L217)&amp;"-"&amp;TEXT(N217,"000"))</f>
        <v/>
      </c>
      <c r="Q217" s="33">
        <f>IF(O217="","",IFERROR(INDEX(Cl_nom,MATCH(O217,Cl_cle,0)),"(client introuvable)"))</f>
        <v/>
      </c>
      <c r="R217" s="40">
        <f>IF(O217="","",IFERROR(INDEX(Cl_reste,MATCH(O217,Cl_cle,0)),""))</f>
        <v/>
      </c>
      <c r="S217" s="34">
        <f>IF(C217="","",YEAR(C217-WEEKDAY(C217,2)+4)&amp;"-S"&amp;TEXT(INT((C217-DATE(YEAR(C217-WEEKDAY(C217,2)+4),1,3)+WEEKDAY(DATE(YEAR(C217-WEEKDAY(C217,2)+4),1,3),2)+5)/7),"00"))</f>
        <v/>
      </c>
    </row>
    <row r="218" ht="18" customHeight="1">
      <c r="A218" s="39" t="n">
        <v>213</v>
      </c>
      <c r="B218" s="33">
        <f>IF(C218="","",IF(L218="À RENSEIGNER","GIC",L218)&amp;"-E"&amp;TEXT(A218,"00000"))</f>
        <v/>
      </c>
      <c r="C218" s="32" t="n"/>
      <c r="D218" s="36" t="n"/>
      <c r="E218" s="37" t="n"/>
      <c r="F218" s="36" t="n"/>
      <c r="G218" s="44" t="n"/>
      <c r="H218" s="43" t="n"/>
      <c r="I218" s="32" t="n"/>
      <c r="J218" s="44" t="n"/>
      <c r="K218" s="36" t="n"/>
      <c r="L218" s="33">
        <f>IF(C218="","",Commercial_Id)</f>
        <v/>
      </c>
      <c r="M218" s="34">
        <f>IF(OR(C218="",F218=""),"",IF(F218&lt;&gt;"Espèces","—",IF(I218&lt;&gt;"","☑ Oui","☐ Non")))</f>
        <v/>
      </c>
      <c r="N218" s="39">
        <f>IF(D218="","",IFERROR(VALUE(MID(D218,LEN(D218)-3,3)),""))</f>
        <v/>
      </c>
      <c r="O218" s="33">
        <f>IF(N218="","",L218&amp;"|"&amp;N218)</f>
        <v/>
      </c>
      <c r="P218" s="33">
        <f>IF(N218="","",IF(L218="À RENSEIGNER","GIC",L218)&amp;"-"&amp;TEXT(N218,"000"))</f>
        <v/>
      </c>
      <c r="Q218" s="33">
        <f>IF(O218="","",IFERROR(INDEX(Cl_nom,MATCH(O218,Cl_cle,0)),"(client introuvable)"))</f>
        <v/>
      </c>
      <c r="R218" s="40">
        <f>IF(O218="","",IFERROR(INDEX(Cl_reste,MATCH(O218,Cl_cle,0)),""))</f>
        <v/>
      </c>
      <c r="S218" s="34">
        <f>IF(C218="","",YEAR(C218-WEEKDAY(C218,2)+4)&amp;"-S"&amp;TEXT(INT((C218-DATE(YEAR(C218-WEEKDAY(C218,2)+4),1,3)+WEEKDAY(DATE(YEAR(C218-WEEKDAY(C218,2)+4),1,3),2)+5)/7),"00"))</f>
        <v/>
      </c>
    </row>
    <row r="219" ht="18" customHeight="1">
      <c r="A219" s="39" t="n">
        <v>214</v>
      </c>
      <c r="B219" s="33">
        <f>IF(C219="","",IF(L219="À RENSEIGNER","GIC",L219)&amp;"-E"&amp;TEXT(A219,"00000"))</f>
        <v/>
      </c>
      <c r="C219" s="32" t="n"/>
      <c r="D219" s="36" t="n"/>
      <c r="E219" s="37" t="n"/>
      <c r="F219" s="36" t="n"/>
      <c r="G219" s="44" t="n"/>
      <c r="H219" s="43" t="n"/>
      <c r="I219" s="32" t="n"/>
      <c r="J219" s="44" t="n"/>
      <c r="K219" s="36" t="n"/>
      <c r="L219" s="33">
        <f>IF(C219="","",Commercial_Id)</f>
        <v/>
      </c>
      <c r="M219" s="34">
        <f>IF(OR(C219="",F219=""),"",IF(F219&lt;&gt;"Espèces","—",IF(I219&lt;&gt;"","☑ Oui","☐ Non")))</f>
        <v/>
      </c>
      <c r="N219" s="39">
        <f>IF(D219="","",IFERROR(VALUE(MID(D219,LEN(D219)-3,3)),""))</f>
        <v/>
      </c>
      <c r="O219" s="33">
        <f>IF(N219="","",L219&amp;"|"&amp;N219)</f>
        <v/>
      </c>
      <c r="P219" s="33">
        <f>IF(N219="","",IF(L219="À RENSEIGNER","GIC",L219)&amp;"-"&amp;TEXT(N219,"000"))</f>
        <v/>
      </c>
      <c r="Q219" s="33">
        <f>IF(O219="","",IFERROR(INDEX(Cl_nom,MATCH(O219,Cl_cle,0)),"(client introuvable)"))</f>
        <v/>
      </c>
      <c r="R219" s="40">
        <f>IF(O219="","",IFERROR(INDEX(Cl_reste,MATCH(O219,Cl_cle,0)),""))</f>
        <v/>
      </c>
      <c r="S219" s="34">
        <f>IF(C219="","",YEAR(C219-WEEKDAY(C219,2)+4)&amp;"-S"&amp;TEXT(INT((C219-DATE(YEAR(C219-WEEKDAY(C219,2)+4),1,3)+WEEKDAY(DATE(YEAR(C219-WEEKDAY(C219,2)+4),1,3),2)+5)/7),"00"))</f>
        <v/>
      </c>
    </row>
    <row r="220" ht="18" customHeight="1">
      <c r="A220" s="39" t="n">
        <v>215</v>
      </c>
      <c r="B220" s="33">
        <f>IF(C220="","",IF(L220="À RENSEIGNER","GIC",L220)&amp;"-E"&amp;TEXT(A220,"00000"))</f>
        <v/>
      </c>
      <c r="C220" s="32" t="n"/>
      <c r="D220" s="36" t="n"/>
      <c r="E220" s="37" t="n"/>
      <c r="F220" s="36" t="n"/>
      <c r="G220" s="44" t="n"/>
      <c r="H220" s="43" t="n"/>
      <c r="I220" s="32" t="n"/>
      <c r="J220" s="44" t="n"/>
      <c r="K220" s="36" t="n"/>
      <c r="L220" s="33">
        <f>IF(C220="","",Commercial_Id)</f>
        <v/>
      </c>
      <c r="M220" s="34">
        <f>IF(OR(C220="",F220=""),"",IF(F220&lt;&gt;"Espèces","—",IF(I220&lt;&gt;"","☑ Oui","☐ Non")))</f>
        <v/>
      </c>
      <c r="N220" s="39">
        <f>IF(D220="","",IFERROR(VALUE(MID(D220,LEN(D220)-3,3)),""))</f>
        <v/>
      </c>
      <c r="O220" s="33">
        <f>IF(N220="","",L220&amp;"|"&amp;N220)</f>
        <v/>
      </c>
      <c r="P220" s="33">
        <f>IF(N220="","",IF(L220="À RENSEIGNER","GIC",L220)&amp;"-"&amp;TEXT(N220,"000"))</f>
        <v/>
      </c>
      <c r="Q220" s="33">
        <f>IF(O220="","",IFERROR(INDEX(Cl_nom,MATCH(O220,Cl_cle,0)),"(client introuvable)"))</f>
        <v/>
      </c>
      <c r="R220" s="40">
        <f>IF(O220="","",IFERROR(INDEX(Cl_reste,MATCH(O220,Cl_cle,0)),""))</f>
        <v/>
      </c>
      <c r="S220" s="34">
        <f>IF(C220="","",YEAR(C220-WEEKDAY(C220,2)+4)&amp;"-S"&amp;TEXT(INT((C220-DATE(YEAR(C220-WEEKDAY(C220,2)+4),1,3)+WEEKDAY(DATE(YEAR(C220-WEEKDAY(C220,2)+4),1,3),2)+5)/7),"00"))</f>
        <v/>
      </c>
    </row>
    <row r="221" ht="18" customHeight="1">
      <c r="A221" s="39" t="n">
        <v>216</v>
      </c>
      <c r="B221" s="33">
        <f>IF(C221="","",IF(L221="À RENSEIGNER","GIC",L221)&amp;"-E"&amp;TEXT(A221,"00000"))</f>
        <v/>
      </c>
      <c r="C221" s="32" t="n"/>
      <c r="D221" s="36" t="n"/>
      <c r="E221" s="37" t="n"/>
      <c r="F221" s="36" t="n"/>
      <c r="G221" s="44" t="n"/>
      <c r="H221" s="43" t="n"/>
      <c r="I221" s="32" t="n"/>
      <c r="J221" s="44" t="n"/>
      <c r="K221" s="36" t="n"/>
      <c r="L221" s="33">
        <f>IF(C221="","",Commercial_Id)</f>
        <v/>
      </c>
      <c r="M221" s="34">
        <f>IF(OR(C221="",F221=""),"",IF(F221&lt;&gt;"Espèces","—",IF(I221&lt;&gt;"","☑ Oui","☐ Non")))</f>
        <v/>
      </c>
      <c r="N221" s="39">
        <f>IF(D221="","",IFERROR(VALUE(MID(D221,LEN(D221)-3,3)),""))</f>
        <v/>
      </c>
      <c r="O221" s="33">
        <f>IF(N221="","",L221&amp;"|"&amp;N221)</f>
        <v/>
      </c>
      <c r="P221" s="33">
        <f>IF(N221="","",IF(L221="À RENSEIGNER","GIC",L221)&amp;"-"&amp;TEXT(N221,"000"))</f>
        <v/>
      </c>
      <c r="Q221" s="33">
        <f>IF(O221="","",IFERROR(INDEX(Cl_nom,MATCH(O221,Cl_cle,0)),"(client introuvable)"))</f>
        <v/>
      </c>
      <c r="R221" s="40">
        <f>IF(O221="","",IFERROR(INDEX(Cl_reste,MATCH(O221,Cl_cle,0)),""))</f>
        <v/>
      </c>
      <c r="S221" s="34">
        <f>IF(C221="","",YEAR(C221-WEEKDAY(C221,2)+4)&amp;"-S"&amp;TEXT(INT((C221-DATE(YEAR(C221-WEEKDAY(C221,2)+4),1,3)+WEEKDAY(DATE(YEAR(C221-WEEKDAY(C221,2)+4),1,3),2)+5)/7),"00"))</f>
        <v/>
      </c>
    </row>
    <row r="222" ht="18" customHeight="1">
      <c r="A222" s="39" t="n">
        <v>217</v>
      </c>
      <c r="B222" s="33">
        <f>IF(C222="","",IF(L222="À RENSEIGNER","GIC",L222)&amp;"-E"&amp;TEXT(A222,"00000"))</f>
        <v/>
      </c>
      <c r="C222" s="32" t="n"/>
      <c r="D222" s="36" t="n"/>
      <c r="E222" s="37" t="n"/>
      <c r="F222" s="36" t="n"/>
      <c r="G222" s="44" t="n"/>
      <c r="H222" s="43" t="n"/>
      <c r="I222" s="32" t="n"/>
      <c r="J222" s="44" t="n"/>
      <c r="K222" s="36" t="n"/>
      <c r="L222" s="33">
        <f>IF(C222="","",Commercial_Id)</f>
        <v/>
      </c>
      <c r="M222" s="34">
        <f>IF(OR(C222="",F222=""),"",IF(F222&lt;&gt;"Espèces","—",IF(I222&lt;&gt;"","☑ Oui","☐ Non")))</f>
        <v/>
      </c>
      <c r="N222" s="39">
        <f>IF(D222="","",IFERROR(VALUE(MID(D222,LEN(D222)-3,3)),""))</f>
        <v/>
      </c>
      <c r="O222" s="33">
        <f>IF(N222="","",L222&amp;"|"&amp;N222)</f>
        <v/>
      </c>
      <c r="P222" s="33">
        <f>IF(N222="","",IF(L222="À RENSEIGNER","GIC",L222)&amp;"-"&amp;TEXT(N222,"000"))</f>
        <v/>
      </c>
      <c r="Q222" s="33">
        <f>IF(O222="","",IFERROR(INDEX(Cl_nom,MATCH(O222,Cl_cle,0)),"(client introuvable)"))</f>
        <v/>
      </c>
      <c r="R222" s="40">
        <f>IF(O222="","",IFERROR(INDEX(Cl_reste,MATCH(O222,Cl_cle,0)),""))</f>
        <v/>
      </c>
      <c r="S222" s="34">
        <f>IF(C222="","",YEAR(C222-WEEKDAY(C222,2)+4)&amp;"-S"&amp;TEXT(INT((C222-DATE(YEAR(C222-WEEKDAY(C222,2)+4),1,3)+WEEKDAY(DATE(YEAR(C222-WEEKDAY(C222,2)+4),1,3),2)+5)/7),"00"))</f>
        <v/>
      </c>
    </row>
    <row r="223" ht="18" customHeight="1">
      <c r="A223" s="39" t="n">
        <v>218</v>
      </c>
      <c r="B223" s="33">
        <f>IF(C223="","",IF(L223="À RENSEIGNER","GIC",L223)&amp;"-E"&amp;TEXT(A223,"00000"))</f>
        <v/>
      </c>
      <c r="C223" s="32" t="n"/>
      <c r="D223" s="36" t="n"/>
      <c r="E223" s="37" t="n"/>
      <c r="F223" s="36" t="n"/>
      <c r="G223" s="44" t="n"/>
      <c r="H223" s="43" t="n"/>
      <c r="I223" s="32" t="n"/>
      <c r="J223" s="44" t="n"/>
      <c r="K223" s="36" t="n"/>
      <c r="L223" s="33">
        <f>IF(C223="","",Commercial_Id)</f>
        <v/>
      </c>
      <c r="M223" s="34">
        <f>IF(OR(C223="",F223=""),"",IF(F223&lt;&gt;"Espèces","—",IF(I223&lt;&gt;"","☑ Oui","☐ Non")))</f>
        <v/>
      </c>
      <c r="N223" s="39">
        <f>IF(D223="","",IFERROR(VALUE(MID(D223,LEN(D223)-3,3)),""))</f>
        <v/>
      </c>
      <c r="O223" s="33">
        <f>IF(N223="","",L223&amp;"|"&amp;N223)</f>
        <v/>
      </c>
      <c r="P223" s="33">
        <f>IF(N223="","",IF(L223="À RENSEIGNER","GIC",L223)&amp;"-"&amp;TEXT(N223,"000"))</f>
        <v/>
      </c>
      <c r="Q223" s="33">
        <f>IF(O223="","",IFERROR(INDEX(Cl_nom,MATCH(O223,Cl_cle,0)),"(client introuvable)"))</f>
        <v/>
      </c>
      <c r="R223" s="40">
        <f>IF(O223="","",IFERROR(INDEX(Cl_reste,MATCH(O223,Cl_cle,0)),""))</f>
        <v/>
      </c>
      <c r="S223" s="34">
        <f>IF(C223="","",YEAR(C223-WEEKDAY(C223,2)+4)&amp;"-S"&amp;TEXT(INT((C223-DATE(YEAR(C223-WEEKDAY(C223,2)+4),1,3)+WEEKDAY(DATE(YEAR(C223-WEEKDAY(C223,2)+4),1,3),2)+5)/7),"00"))</f>
        <v/>
      </c>
    </row>
    <row r="224" ht="18" customHeight="1">
      <c r="A224" s="39" t="n">
        <v>219</v>
      </c>
      <c r="B224" s="33">
        <f>IF(C224="","",IF(L224="À RENSEIGNER","GIC",L224)&amp;"-E"&amp;TEXT(A224,"00000"))</f>
        <v/>
      </c>
      <c r="C224" s="32" t="n"/>
      <c r="D224" s="36" t="n"/>
      <c r="E224" s="37" t="n"/>
      <c r="F224" s="36" t="n"/>
      <c r="G224" s="44" t="n"/>
      <c r="H224" s="43" t="n"/>
      <c r="I224" s="32" t="n"/>
      <c r="J224" s="44" t="n"/>
      <c r="K224" s="36" t="n"/>
      <c r="L224" s="33">
        <f>IF(C224="","",Commercial_Id)</f>
        <v/>
      </c>
      <c r="M224" s="34">
        <f>IF(OR(C224="",F224=""),"",IF(F224&lt;&gt;"Espèces","—",IF(I224&lt;&gt;"","☑ Oui","☐ Non")))</f>
        <v/>
      </c>
      <c r="N224" s="39">
        <f>IF(D224="","",IFERROR(VALUE(MID(D224,LEN(D224)-3,3)),""))</f>
        <v/>
      </c>
      <c r="O224" s="33">
        <f>IF(N224="","",L224&amp;"|"&amp;N224)</f>
        <v/>
      </c>
      <c r="P224" s="33">
        <f>IF(N224="","",IF(L224="À RENSEIGNER","GIC",L224)&amp;"-"&amp;TEXT(N224,"000"))</f>
        <v/>
      </c>
      <c r="Q224" s="33">
        <f>IF(O224="","",IFERROR(INDEX(Cl_nom,MATCH(O224,Cl_cle,0)),"(client introuvable)"))</f>
        <v/>
      </c>
      <c r="R224" s="40">
        <f>IF(O224="","",IFERROR(INDEX(Cl_reste,MATCH(O224,Cl_cle,0)),""))</f>
        <v/>
      </c>
      <c r="S224" s="34">
        <f>IF(C224="","",YEAR(C224-WEEKDAY(C224,2)+4)&amp;"-S"&amp;TEXT(INT((C224-DATE(YEAR(C224-WEEKDAY(C224,2)+4),1,3)+WEEKDAY(DATE(YEAR(C224-WEEKDAY(C224,2)+4),1,3),2)+5)/7),"00"))</f>
        <v/>
      </c>
    </row>
    <row r="225" ht="18" customHeight="1">
      <c r="A225" s="39" t="n">
        <v>220</v>
      </c>
      <c r="B225" s="33">
        <f>IF(C225="","",IF(L225="À RENSEIGNER","GIC",L225)&amp;"-E"&amp;TEXT(A225,"00000"))</f>
        <v/>
      </c>
      <c r="C225" s="32" t="n"/>
      <c r="D225" s="36" t="n"/>
      <c r="E225" s="37" t="n"/>
      <c r="F225" s="36" t="n"/>
      <c r="G225" s="44" t="n"/>
      <c r="H225" s="43" t="n"/>
      <c r="I225" s="32" t="n"/>
      <c r="J225" s="44" t="n"/>
      <c r="K225" s="36" t="n"/>
      <c r="L225" s="33">
        <f>IF(C225="","",Commercial_Id)</f>
        <v/>
      </c>
      <c r="M225" s="34">
        <f>IF(OR(C225="",F225=""),"",IF(F225&lt;&gt;"Espèces","—",IF(I225&lt;&gt;"","☑ Oui","☐ Non")))</f>
        <v/>
      </c>
      <c r="N225" s="39">
        <f>IF(D225="","",IFERROR(VALUE(MID(D225,LEN(D225)-3,3)),""))</f>
        <v/>
      </c>
      <c r="O225" s="33">
        <f>IF(N225="","",L225&amp;"|"&amp;N225)</f>
        <v/>
      </c>
      <c r="P225" s="33">
        <f>IF(N225="","",IF(L225="À RENSEIGNER","GIC",L225)&amp;"-"&amp;TEXT(N225,"000"))</f>
        <v/>
      </c>
      <c r="Q225" s="33">
        <f>IF(O225="","",IFERROR(INDEX(Cl_nom,MATCH(O225,Cl_cle,0)),"(client introuvable)"))</f>
        <v/>
      </c>
      <c r="R225" s="40">
        <f>IF(O225="","",IFERROR(INDEX(Cl_reste,MATCH(O225,Cl_cle,0)),""))</f>
        <v/>
      </c>
      <c r="S225" s="34">
        <f>IF(C225="","",YEAR(C225-WEEKDAY(C225,2)+4)&amp;"-S"&amp;TEXT(INT((C225-DATE(YEAR(C225-WEEKDAY(C225,2)+4),1,3)+WEEKDAY(DATE(YEAR(C225-WEEKDAY(C225,2)+4),1,3),2)+5)/7),"00"))</f>
        <v/>
      </c>
    </row>
    <row r="226" ht="18" customHeight="1">
      <c r="A226" s="39" t="n">
        <v>221</v>
      </c>
      <c r="B226" s="33">
        <f>IF(C226="","",IF(L226="À RENSEIGNER","GIC",L226)&amp;"-E"&amp;TEXT(A226,"00000"))</f>
        <v/>
      </c>
      <c r="C226" s="32" t="n"/>
      <c r="D226" s="36" t="n"/>
      <c r="E226" s="37" t="n"/>
      <c r="F226" s="36" t="n"/>
      <c r="G226" s="44" t="n"/>
      <c r="H226" s="43" t="n"/>
      <c r="I226" s="32" t="n"/>
      <c r="J226" s="44" t="n"/>
      <c r="K226" s="36" t="n"/>
      <c r="L226" s="33">
        <f>IF(C226="","",Commercial_Id)</f>
        <v/>
      </c>
      <c r="M226" s="34">
        <f>IF(OR(C226="",F226=""),"",IF(F226&lt;&gt;"Espèces","—",IF(I226&lt;&gt;"","☑ Oui","☐ Non")))</f>
        <v/>
      </c>
      <c r="N226" s="39">
        <f>IF(D226="","",IFERROR(VALUE(MID(D226,LEN(D226)-3,3)),""))</f>
        <v/>
      </c>
      <c r="O226" s="33">
        <f>IF(N226="","",L226&amp;"|"&amp;N226)</f>
        <v/>
      </c>
      <c r="P226" s="33">
        <f>IF(N226="","",IF(L226="À RENSEIGNER","GIC",L226)&amp;"-"&amp;TEXT(N226,"000"))</f>
        <v/>
      </c>
      <c r="Q226" s="33">
        <f>IF(O226="","",IFERROR(INDEX(Cl_nom,MATCH(O226,Cl_cle,0)),"(client introuvable)"))</f>
        <v/>
      </c>
      <c r="R226" s="40">
        <f>IF(O226="","",IFERROR(INDEX(Cl_reste,MATCH(O226,Cl_cle,0)),""))</f>
        <v/>
      </c>
      <c r="S226" s="34">
        <f>IF(C226="","",YEAR(C226-WEEKDAY(C226,2)+4)&amp;"-S"&amp;TEXT(INT((C226-DATE(YEAR(C226-WEEKDAY(C226,2)+4),1,3)+WEEKDAY(DATE(YEAR(C226-WEEKDAY(C226,2)+4),1,3),2)+5)/7),"00"))</f>
        <v/>
      </c>
    </row>
    <row r="227" ht="18" customHeight="1">
      <c r="A227" s="39" t="n">
        <v>222</v>
      </c>
      <c r="B227" s="33">
        <f>IF(C227="","",IF(L227="À RENSEIGNER","GIC",L227)&amp;"-E"&amp;TEXT(A227,"00000"))</f>
        <v/>
      </c>
      <c r="C227" s="32" t="n"/>
      <c r="D227" s="36" t="n"/>
      <c r="E227" s="37" t="n"/>
      <c r="F227" s="36" t="n"/>
      <c r="G227" s="44" t="n"/>
      <c r="H227" s="43" t="n"/>
      <c r="I227" s="32" t="n"/>
      <c r="J227" s="44" t="n"/>
      <c r="K227" s="36" t="n"/>
      <c r="L227" s="33">
        <f>IF(C227="","",Commercial_Id)</f>
        <v/>
      </c>
      <c r="M227" s="34">
        <f>IF(OR(C227="",F227=""),"",IF(F227&lt;&gt;"Espèces","—",IF(I227&lt;&gt;"","☑ Oui","☐ Non")))</f>
        <v/>
      </c>
      <c r="N227" s="39">
        <f>IF(D227="","",IFERROR(VALUE(MID(D227,LEN(D227)-3,3)),""))</f>
        <v/>
      </c>
      <c r="O227" s="33">
        <f>IF(N227="","",L227&amp;"|"&amp;N227)</f>
        <v/>
      </c>
      <c r="P227" s="33">
        <f>IF(N227="","",IF(L227="À RENSEIGNER","GIC",L227)&amp;"-"&amp;TEXT(N227,"000"))</f>
        <v/>
      </c>
      <c r="Q227" s="33">
        <f>IF(O227="","",IFERROR(INDEX(Cl_nom,MATCH(O227,Cl_cle,0)),"(client introuvable)"))</f>
        <v/>
      </c>
      <c r="R227" s="40">
        <f>IF(O227="","",IFERROR(INDEX(Cl_reste,MATCH(O227,Cl_cle,0)),""))</f>
        <v/>
      </c>
      <c r="S227" s="34">
        <f>IF(C227="","",YEAR(C227-WEEKDAY(C227,2)+4)&amp;"-S"&amp;TEXT(INT((C227-DATE(YEAR(C227-WEEKDAY(C227,2)+4),1,3)+WEEKDAY(DATE(YEAR(C227-WEEKDAY(C227,2)+4),1,3),2)+5)/7),"00"))</f>
        <v/>
      </c>
    </row>
    <row r="228" ht="18" customHeight="1">
      <c r="A228" s="39" t="n">
        <v>223</v>
      </c>
      <c r="B228" s="33">
        <f>IF(C228="","",IF(L228="À RENSEIGNER","GIC",L228)&amp;"-E"&amp;TEXT(A228,"00000"))</f>
        <v/>
      </c>
      <c r="C228" s="32" t="n"/>
      <c r="D228" s="36" t="n"/>
      <c r="E228" s="37" t="n"/>
      <c r="F228" s="36" t="n"/>
      <c r="G228" s="44" t="n"/>
      <c r="H228" s="43" t="n"/>
      <c r="I228" s="32" t="n"/>
      <c r="J228" s="44" t="n"/>
      <c r="K228" s="36" t="n"/>
      <c r="L228" s="33">
        <f>IF(C228="","",Commercial_Id)</f>
        <v/>
      </c>
      <c r="M228" s="34">
        <f>IF(OR(C228="",F228=""),"",IF(F228&lt;&gt;"Espèces","—",IF(I228&lt;&gt;"","☑ Oui","☐ Non")))</f>
        <v/>
      </c>
      <c r="N228" s="39">
        <f>IF(D228="","",IFERROR(VALUE(MID(D228,LEN(D228)-3,3)),""))</f>
        <v/>
      </c>
      <c r="O228" s="33">
        <f>IF(N228="","",L228&amp;"|"&amp;N228)</f>
        <v/>
      </c>
      <c r="P228" s="33">
        <f>IF(N228="","",IF(L228="À RENSEIGNER","GIC",L228)&amp;"-"&amp;TEXT(N228,"000"))</f>
        <v/>
      </c>
      <c r="Q228" s="33">
        <f>IF(O228="","",IFERROR(INDEX(Cl_nom,MATCH(O228,Cl_cle,0)),"(client introuvable)"))</f>
        <v/>
      </c>
      <c r="R228" s="40">
        <f>IF(O228="","",IFERROR(INDEX(Cl_reste,MATCH(O228,Cl_cle,0)),""))</f>
        <v/>
      </c>
      <c r="S228" s="34">
        <f>IF(C228="","",YEAR(C228-WEEKDAY(C228,2)+4)&amp;"-S"&amp;TEXT(INT((C228-DATE(YEAR(C228-WEEKDAY(C228,2)+4),1,3)+WEEKDAY(DATE(YEAR(C228-WEEKDAY(C228,2)+4),1,3),2)+5)/7),"00"))</f>
        <v/>
      </c>
    </row>
    <row r="229" ht="18" customHeight="1">
      <c r="A229" s="39" t="n">
        <v>224</v>
      </c>
      <c r="B229" s="33">
        <f>IF(C229="","",IF(L229="À RENSEIGNER","GIC",L229)&amp;"-E"&amp;TEXT(A229,"00000"))</f>
        <v/>
      </c>
      <c r="C229" s="32" t="n"/>
      <c r="D229" s="36" t="n"/>
      <c r="E229" s="37" t="n"/>
      <c r="F229" s="36" t="n"/>
      <c r="G229" s="44" t="n"/>
      <c r="H229" s="43" t="n"/>
      <c r="I229" s="32" t="n"/>
      <c r="J229" s="44" t="n"/>
      <c r="K229" s="36" t="n"/>
      <c r="L229" s="33">
        <f>IF(C229="","",Commercial_Id)</f>
        <v/>
      </c>
      <c r="M229" s="34">
        <f>IF(OR(C229="",F229=""),"",IF(F229&lt;&gt;"Espèces","—",IF(I229&lt;&gt;"","☑ Oui","☐ Non")))</f>
        <v/>
      </c>
      <c r="N229" s="39">
        <f>IF(D229="","",IFERROR(VALUE(MID(D229,LEN(D229)-3,3)),""))</f>
        <v/>
      </c>
      <c r="O229" s="33">
        <f>IF(N229="","",L229&amp;"|"&amp;N229)</f>
        <v/>
      </c>
      <c r="P229" s="33">
        <f>IF(N229="","",IF(L229="À RENSEIGNER","GIC",L229)&amp;"-"&amp;TEXT(N229,"000"))</f>
        <v/>
      </c>
      <c r="Q229" s="33">
        <f>IF(O229="","",IFERROR(INDEX(Cl_nom,MATCH(O229,Cl_cle,0)),"(client introuvable)"))</f>
        <v/>
      </c>
      <c r="R229" s="40">
        <f>IF(O229="","",IFERROR(INDEX(Cl_reste,MATCH(O229,Cl_cle,0)),""))</f>
        <v/>
      </c>
      <c r="S229" s="34">
        <f>IF(C229="","",YEAR(C229-WEEKDAY(C229,2)+4)&amp;"-S"&amp;TEXT(INT((C229-DATE(YEAR(C229-WEEKDAY(C229,2)+4),1,3)+WEEKDAY(DATE(YEAR(C229-WEEKDAY(C229,2)+4),1,3),2)+5)/7),"00"))</f>
        <v/>
      </c>
    </row>
    <row r="230" ht="18" customHeight="1">
      <c r="A230" s="39" t="n">
        <v>225</v>
      </c>
      <c r="B230" s="33">
        <f>IF(C230="","",IF(L230="À RENSEIGNER","GIC",L230)&amp;"-E"&amp;TEXT(A230,"00000"))</f>
        <v/>
      </c>
      <c r="C230" s="32" t="n"/>
      <c r="D230" s="36" t="n"/>
      <c r="E230" s="37" t="n"/>
      <c r="F230" s="36" t="n"/>
      <c r="G230" s="44" t="n"/>
      <c r="H230" s="43" t="n"/>
      <c r="I230" s="32" t="n"/>
      <c r="J230" s="44" t="n"/>
      <c r="K230" s="36" t="n"/>
      <c r="L230" s="33">
        <f>IF(C230="","",Commercial_Id)</f>
        <v/>
      </c>
      <c r="M230" s="34">
        <f>IF(OR(C230="",F230=""),"",IF(F230&lt;&gt;"Espèces","—",IF(I230&lt;&gt;"","☑ Oui","☐ Non")))</f>
        <v/>
      </c>
      <c r="N230" s="39">
        <f>IF(D230="","",IFERROR(VALUE(MID(D230,LEN(D230)-3,3)),""))</f>
        <v/>
      </c>
      <c r="O230" s="33">
        <f>IF(N230="","",L230&amp;"|"&amp;N230)</f>
        <v/>
      </c>
      <c r="P230" s="33">
        <f>IF(N230="","",IF(L230="À RENSEIGNER","GIC",L230)&amp;"-"&amp;TEXT(N230,"000"))</f>
        <v/>
      </c>
      <c r="Q230" s="33">
        <f>IF(O230="","",IFERROR(INDEX(Cl_nom,MATCH(O230,Cl_cle,0)),"(client introuvable)"))</f>
        <v/>
      </c>
      <c r="R230" s="40">
        <f>IF(O230="","",IFERROR(INDEX(Cl_reste,MATCH(O230,Cl_cle,0)),""))</f>
        <v/>
      </c>
      <c r="S230" s="34">
        <f>IF(C230="","",YEAR(C230-WEEKDAY(C230,2)+4)&amp;"-S"&amp;TEXT(INT((C230-DATE(YEAR(C230-WEEKDAY(C230,2)+4),1,3)+WEEKDAY(DATE(YEAR(C230-WEEKDAY(C230,2)+4),1,3),2)+5)/7),"00"))</f>
        <v/>
      </c>
    </row>
    <row r="231" ht="18" customHeight="1">
      <c r="A231" s="39" t="n">
        <v>226</v>
      </c>
      <c r="B231" s="33">
        <f>IF(C231="","",IF(L231="À RENSEIGNER","GIC",L231)&amp;"-E"&amp;TEXT(A231,"00000"))</f>
        <v/>
      </c>
      <c r="C231" s="32" t="n"/>
      <c r="D231" s="36" t="n"/>
      <c r="E231" s="37" t="n"/>
      <c r="F231" s="36" t="n"/>
      <c r="G231" s="44" t="n"/>
      <c r="H231" s="43" t="n"/>
      <c r="I231" s="32" t="n"/>
      <c r="J231" s="44" t="n"/>
      <c r="K231" s="36" t="n"/>
      <c r="L231" s="33">
        <f>IF(C231="","",Commercial_Id)</f>
        <v/>
      </c>
      <c r="M231" s="34">
        <f>IF(OR(C231="",F231=""),"",IF(F231&lt;&gt;"Espèces","—",IF(I231&lt;&gt;"","☑ Oui","☐ Non")))</f>
        <v/>
      </c>
      <c r="N231" s="39">
        <f>IF(D231="","",IFERROR(VALUE(MID(D231,LEN(D231)-3,3)),""))</f>
        <v/>
      </c>
      <c r="O231" s="33">
        <f>IF(N231="","",L231&amp;"|"&amp;N231)</f>
        <v/>
      </c>
      <c r="P231" s="33">
        <f>IF(N231="","",IF(L231="À RENSEIGNER","GIC",L231)&amp;"-"&amp;TEXT(N231,"000"))</f>
        <v/>
      </c>
      <c r="Q231" s="33">
        <f>IF(O231="","",IFERROR(INDEX(Cl_nom,MATCH(O231,Cl_cle,0)),"(client introuvable)"))</f>
        <v/>
      </c>
      <c r="R231" s="40">
        <f>IF(O231="","",IFERROR(INDEX(Cl_reste,MATCH(O231,Cl_cle,0)),""))</f>
        <v/>
      </c>
      <c r="S231" s="34">
        <f>IF(C231="","",YEAR(C231-WEEKDAY(C231,2)+4)&amp;"-S"&amp;TEXT(INT((C231-DATE(YEAR(C231-WEEKDAY(C231,2)+4),1,3)+WEEKDAY(DATE(YEAR(C231-WEEKDAY(C231,2)+4),1,3),2)+5)/7),"00"))</f>
        <v/>
      </c>
    </row>
    <row r="232" ht="18" customHeight="1">
      <c r="A232" s="39" t="n">
        <v>227</v>
      </c>
      <c r="B232" s="33">
        <f>IF(C232="","",IF(L232="À RENSEIGNER","GIC",L232)&amp;"-E"&amp;TEXT(A232,"00000"))</f>
        <v/>
      </c>
      <c r="C232" s="32" t="n"/>
      <c r="D232" s="36" t="n"/>
      <c r="E232" s="37" t="n"/>
      <c r="F232" s="36" t="n"/>
      <c r="G232" s="44" t="n"/>
      <c r="H232" s="43" t="n"/>
      <c r="I232" s="32" t="n"/>
      <c r="J232" s="44" t="n"/>
      <c r="K232" s="36" t="n"/>
      <c r="L232" s="33">
        <f>IF(C232="","",Commercial_Id)</f>
        <v/>
      </c>
      <c r="M232" s="34">
        <f>IF(OR(C232="",F232=""),"",IF(F232&lt;&gt;"Espèces","—",IF(I232&lt;&gt;"","☑ Oui","☐ Non")))</f>
        <v/>
      </c>
      <c r="N232" s="39">
        <f>IF(D232="","",IFERROR(VALUE(MID(D232,LEN(D232)-3,3)),""))</f>
        <v/>
      </c>
      <c r="O232" s="33">
        <f>IF(N232="","",L232&amp;"|"&amp;N232)</f>
        <v/>
      </c>
      <c r="P232" s="33">
        <f>IF(N232="","",IF(L232="À RENSEIGNER","GIC",L232)&amp;"-"&amp;TEXT(N232,"000"))</f>
        <v/>
      </c>
      <c r="Q232" s="33">
        <f>IF(O232="","",IFERROR(INDEX(Cl_nom,MATCH(O232,Cl_cle,0)),"(client introuvable)"))</f>
        <v/>
      </c>
      <c r="R232" s="40">
        <f>IF(O232="","",IFERROR(INDEX(Cl_reste,MATCH(O232,Cl_cle,0)),""))</f>
        <v/>
      </c>
      <c r="S232" s="34">
        <f>IF(C232="","",YEAR(C232-WEEKDAY(C232,2)+4)&amp;"-S"&amp;TEXT(INT((C232-DATE(YEAR(C232-WEEKDAY(C232,2)+4),1,3)+WEEKDAY(DATE(YEAR(C232-WEEKDAY(C232,2)+4),1,3),2)+5)/7),"00"))</f>
        <v/>
      </c>
    </row>
    <row r="233" ht="18" customHeight="1">
      <c r="A233" s="39" t="n">
        <v>228</v>
      </c>
      <c r="B233" s="33">
        <f>IF(C233="","",IF(L233="À RENSEIGNER","GIC",L233)&amp;"-E"&amp;TEXT(A233,"00000"))</f>
        <v/>
      </c>
      <c r="C233" s="32" t="n"/>
      <c r="D233" s="36" t="n"/>
      <c r="E233" s="37" t="n"/>
      <c r="F233" s="36" t="n"/>
      <c r="G233" s="44" t="n"/>
      <c r="H233" s="43" t="n"/>
      <c r="I233" s="32" t="n"/>
      <c r="J233" s="44" t="n"/>
      <c r="K233" s="36" t="n"/>
      <c r="L233" s="33">
        <f>IF(C233="","",Commercial_Id)</f>
        <v/>
      </c>
      <c r="M233" s="34">
        <f>IF(OR(C233="",F233=""),"",IF(F233&lt;&gt;"Espèces","—",IF(I233&lt;&gt;"","☑ Oui","☐ Non")))</f>
        <v/>
      </c>
      <c r="N233" s="39">
        <f>IF(D233="","",IFERROR(VALUE(MID(D233,LEN(D233)-3,3)),""))</f>
        <v/>
      </c>
      <c r="O233" s="33">
        <f>IF(N233="","",L233&amp;"|"&amp;N233)</f>
        <v/>
      </c>
      <c r="P233" s="33">
        <f>IF(N233="","",IF(L233="À RENSEIGNER","GIC",L233)&amp;"-"&amp;TEXT(N233,"000"))</f>
        <v/>
      </c>
      <c r="Q233" s="33">
        <f>IF(O233="","",IFERROR(INDEX(Cl_nom,MATCH(O233,Cl_cle,0)),"(client introuvable)"))</f>
        <v/>
      </c>
      <c r="R233" s="40">
        <f>IF(O233="","",IFERROR(INDEX(Cl_reste,MATCH(O233,Cl_cle,0)),""))</f>
        <v/>
      </c>
      <c r="S233" s="34">
        <f>IF(C233="","",YEAR(C233-WEEKDAY(C233,2)+4)&amp;"-S"&amp;TEXT(INT((C233-DATE(YEAR(C233-WEEKDAY(C233,2)+4),1,3)+WEEKDAY(DATE(YEAR(C233-WEEKDAY(C233,2)+4),1,3),2)+5)/7),"00"))</f>
        <v/>
      </c>
    </row>
    <row r="234" ht="18" customHeight="1">
      <c r="A234" s="39" t="n">
        <v>229</v>
      </c>
      <c r="B234" s="33">
        <f>IF(C234="","",IF(L234="À RENSEIGNER","GIC",L234)&amp;"-E"&amp;TEXT(A234,"00000"))</f>
        <v/>
      </c>
      <c r="C234" s="32" t="n"/>
      <c r="D234" s="36" t="n"/>
      <c r="E234" s="37" t="n"/>
      <c r="F234" s="36" t="n"/>
      <c r="G234" s="44" t="n"/>
      <c r="H234" s="43" t="n"/>
      <c r="I234" s="32" t="n"/>
      <c r="J234" s="44" t="n"/>
      <c r="K234" s="36" t="n"/>
      <c r="L234" s="33">
        <f>IF(C234="","",Commercial_Id)</f>
        <v/>
      </c>
      <c r="M234" s="34">
        <f>IF(OR(C234="",F234=""),"",IF(F234&lt;&gt;"Espèces","—",IF(I234&lt;&gt;"","☑ Oui","☐ Non")))</f>
        <v/>
      </c>
      <c r="N234" s="39">
        <f>IF(D234="","",IFERROR(VALUE(MID(D234,LEN(D234)-3,3)),""))</f>
        <v/>
      </c>
      <c r="O234" s="33">
        <f>IF(N234="","",L234&amp;"|"&amp;N234)</f>
        <v/>
      </c>
      <c r="P234" s="33">
        <f>IF(N234="","",IF(L234="À RENSEIGNER","GIC",L234)&amp;"-"&amp;TEXT(N234,"000"))</f>
        <v/>
      </c>
      <c r="Q234" s="33">
        <f>IF(O234="","",IFERROR(INDEX(Cl_nom,MATCH(O234,Cl_cle,0)),"(client introuvable)"))</f>
        <v/>
      </c>
      <c r="R234" s="40">
        <f>IF(O234="","",IFERROR(INDEX(Cl_reste,MATCH(O234,Cl_cle,0)),""))</f>
        <v/>
      </c>
      <c r="S234" s="34">
        <f>IF(C234="","",YEAR(C234-WEEKDAY(C234,2)+4)&amp;"-S"&amp;TEXT(INT((C234-DATE(YEAR(C234-WEEKDAY(C234,2)+4),1,3)+WEEKDAY(DATE(YEAR(C234-WEEKDAY(C234,2)+4),1,3),2)+5)/7),"00"))</f>
        <v/>
      </c>
    </row>
    <row r="235" ht="18" customHeight="1">
      <c r="A235" s="39" t="n">
        <v>230</v>
      </c>
      <c r="B235" s="33">
        <f>IF(C235="","",IF(L235="À RENSEIGNER","GIC",L235)&amp;"-E"&amp;TEXT(A235,"00000"))</f>
        <v/>
      </c>
      <c r="C235" s="32" t="n"/>
      <c r="D235" s="36" t="n"/>
      <c r="E235" s="37" t="n"/>
      <c r="F235" s="36" t="n"/>
      <c r="G235" s="44" t="n"/>
      <c r="H235" s="43" t="n"/>
      <c r="I235" s="32" t="n"/>
      <c r="J235" s="44" t="n"/>
      <c r="K235" s="36" t="n"/>
      <c r="L235" s="33">
        <f>IF(C235="","",Commercial_Id)</f>
        <v/>
      </c>
      <c r="M235" s="34">
        <f>IF(OR(C235="",F235=""),"",IF(F235&lt;&gt;"Espèces","—",IF(I235&lt;&gt;"","☑ Oui","☐ Non")))</f>
        <v/>
      </c>
      <c r="N235" s="39">
        <f>IF(D235="","",IFERROR(VALUE(MID(D235,LEN(D235)-3,3)),""))</f>
        <v/>
      </c>
      <c r="O235" s="33">
        <f>IF(N235="","",L235&amp;"|"&amp;N235)</f>
        <v/>
      </c>
      <c r="P235" s="33">
        <f>IF(N235="","",IF(L235="À RENSEIGNER","GIC",L235)&amp;"-"&amp;TEXT(N235,"000"))</f>
        <v/>
      </c>
      <c r="Q235" s="33">
        <f>IF(O235="","",IFERROR(INDEX(Cl_nom,MATCH(O235,Cl_cle,0)),"(client introuvable)"))</f>
        <v/>
      </c>
      <c r="R235" s="40">
        <f>IF(O235="","",IFERROR(INDEX(Cl_reste,MATCH(O235,Cl_cle,0)),""))</f>
        <v/>
      </c>
      <c r="S235" s="34">
        <f>IF(C235="","",YEAR(C235-WEEKDAY(C235,2)+4)&amp;"-S"&amp;TEXT(INT((C235-DATE(YEAR(C235-WEEKDAY(C235,2)+4),1,3)+WEEKDAY(DATE(YEAR(C235-WEEKDAY(C235,2)+4),1,3),2)+5)/7),"00"))</f>
        <v/>
      </c>
    </row>
    <row r="236" ht="18" customHeight="1">
      <c r="A236" s="39" t="n">
        <v>231</v>
      </c>
      <c r="B236" s="33">
        <f>IF(C236="","",IF(L236="À RENSEIGNER","GIC",L236)&amp;"-E"&amp;TEXT(A236,"00000"))</f>
        <v/>
      </c>
      <c r="C236" s="32" t="n"/>
      <c r="D236" s="36" t="n"/>
      <c r="E236" s="37" t="n"/>
      <c r="F236" s="36" t="n"/>
      <c r="G236" s="44" t="n"/>
      <c r="H236" s="43" t="n"/>
      <c r="I236" s="32" t="n"/>
      <c r="J236" s="44" t="n"/>
      <c r="K236" s="36" t="n"/>
      <c r="L236" s="33">
        <f>IF(C236="","",Commercial_Id)</f>
        <v/>
      </c>
      <c r="M236" s="34">
        <f>IF(OR(C236="",F236=""),"",IF(F236&lt;&gt;"Espèces","—",IF(I236&lt;&gt;"","☑ Oui","☐ Non")))</f>
        <v/>
      </c>
      <c r="N236" s="39">
        <f>IF(D236="","",IFERROR(VALUE(MID(D236,LEN(D236)-3,3)),""))</f>
        <v/>
      </c>
      <c r="O236" s="33">
        <f>IF(N236="","",L236&amp;"|"&amp;N236)</f>
        <v/>
      </c>
      <c r="P236" s="33">
        <f>IF(N236="","",IF(L236="À RENSEIGNER","GIC",L236)&amp;"-"&amp;TEXT(N236,"000"))</f>
        <v/>
      </c>
      <c r="Q236" s="33">
        <f>IF(O236="","",IFERROR(INDEX(Cl_nom,MATCH(O236,Cl_cle,0)),"(client introuvable)"))</f>
        <v/>
      </c>
      <c r="R236" s="40">
        <f>IF(O236="","",IFERROR(INDEX(Cl_reste,MATCH(O236,Cl_cle,0)),""))</f>
        <v/>
      </c>
      <c r="S236" s="34">
        <f>IF(C236="","",YEAR(C236-WEEKDAY(C236,2)+4)&amp;"-S"&amp;TEXT(INT((C236-DATE(YEAR(C236-WEEKDAY(C236,2)+4),1,3)+WEEKDAY(DATE(YEAR(C236-WEEKDAY(C236,2)+4),1,3),2)+5)/7),"00"))</f>
        <v/>
      </c>
    </row>
    <row r="237" ht="18" customHeight="1">
      <c r="A237" s="39" t="n">
        <v>232</v>
      </c>
      <c r="B237" s="33">
        <f>IF(C237="","",IF(L237="À RENSEIGNER","GIC",L237)&amp;"-E"&amp;TEXT(A237,"00000"))</f>
        <v/>
      </c>
      <c r="C237" s="32" t="n"/>
      <c r="D237" s="36" t="n"/>
      <c r="E237" s="37" t="n"/>
      <c r="F237" s="36" t="n"/>
      <c r="G237" s="44" t="n"/>
      <c r="H237" s="43" t="n"/>
      <c r="I237" s="32" t="n"/>
      <c r="J237" s="44" t="n"/>
      <c r="K237" s="36" t="n"/>
      <c r="L237" s="33">
        <f>IF(C237="","",Commercial_Id)</f>
        <v/>
      </c>
      <c r="M237" s="34">
        <f>IF(OR(C237="",F237=""),"",IF(F237&lt;&gt;"Espèces","—",IF(I237&lt;&gt;"","☑ Oui","☐ Non")))</f>
        <v/>
      </c>
      <c r="N237" s="39">
        <f>IF(D237="","",IFERROR(VALUE(MID(D237,LEN(D237)-3,3)),""))</f>
        <v/>
      </c>
      <c r="O237" s="33">
        <f>IF(N237="","",L237&amp;"|"&amp;N237)</f>
        <v/>
      </c>
      <c r="P237" s="33">
        <f>IF(N237="","",IF(L237="À RENSEIGNER","GIC",L237)&amp;"-"&amp;TEXT(N237,"000"))</f>
        <v/>
      </c>
      <c r="Q237" s="33">
        <f>IF(O237="","",IFERROR(INDEX(Cl_nom,MATCH(O237,Cl_cle,0)),"(client introuvable)"))</f>
        <v/>
      </c>
      <c r="R237" s="40">
        <f>IF(O237="","",IFERROR(INDEX(Cl_reste,MATCH(O237,Cl_cle,0)),""))</f>
        <v/>
      </c>
      <c r="S237" s="34">
        <f>IF(C237="","",YEAR(C237-WEEKDAY(C237,2)+4)&amp;"-S"&amp;TEXT(INT((C237-DATE(YEAR(C237-WEEKDAY(C237,2)+4),1,3)+WEEKDAY(DATE(YEAR(C237-WEEKDAY(C237,2)+4),1,3),2)+5)/7),"00"))</f>
        <v/>
      </c>
    </row>
    <row r="238" ht="18" customHeight="1">
      <c r="A238" s="39" t="n">
        <v>233</v>
      </c>
      <c r="B238" s="33">
        <f>IF(C238="","",IF(L238="À RENSEIGNER","GIC",L238)&amp;"-E"&amp;TEXT(A238,"00000"))</f>
        <v/>
      </c>
      <c r="C238" s="32" t="n"/>
      <c r="D238" s="36" t="n"/>
      <c r="E238" s="37" t="n"/>
      <c r="F238" s="36" t="n"/>
      <c r="G238" s="44" t="n"/>
      <c r="H238" s="43" t="n"/>
      <c r="I238" s="32" t="n"/>
      <c r="J238" s="44" t="n"/>
      <c r="K238" s="36" t="n"/>
      <c r="L238" s="33">
        <f>IF(C238="","",Commercial_Id)</f>
        <v/>
      </c>
      <c r="M238" s="34">
        <f>IF(OR(C238="",F238=""),"",IF(F238&lt;&gt;"Espèces","—",IF(I238&lt;&gt;"","☑ Oui","☐ Non")))</f>
        <v/>
      </c>
      <c r="N238" s="39">
        <f>IF(D238="","",IFERROR(VALUE(MID(D238,LEN(D238)-3,3)),""))</f>
        <v/>
      </c>
      <c r="O238" s="33">
        <f>IF(N238="","",L238&amp;"|"&amp;N238)</f>
        <v/>
      </c>
      <c r="P238" s="33">
        <f>IF(N238="","",IF(L238="À RENSEIGNER","GIC",L238)&amp;"-"&amp;TEXT(N238,"000"))</f>
        <v/>
      </c>
      <c r="Q238" s="33">
        <f>IF(O238="","",IFERROR(INDEX(Cl_nom,MATCH(O238,Cl_cle,0)),"(client introuvable)"))</f>
        <v/>
      </c>
      <c r="R238" s="40">
        <f>IF(O238="","",IFERROR(INDEX(Cl_reste,MATCH(O238,Cl_cle,0)),""))</f>
        <v/>
      </c>
      <c r="S238" s="34">
        <f>IF(C238="","",YEAR(C238-WEEKDAY(C238,2)+4)&amp;"-S"&amp;TEXT(INT((C238-DATE(YEAR(C238-WEEKDAY(C238,2)+4),1,3)+WEEKDAY(DATE(YEAR(C238-WEEKDAY(C238,2)+4),1,3),2)+5)/7),"00"))</f>
        <v/>
      </c>
    </row>
    <row r="239" ht="18" customHeight="1">
      <c r="A239" s="39" t="n">
        <v>234</v>
      </c>
      <c r="B239" s="33">
        <f>IF(C239="","",IF(L239="À RENSEIGNER","GIC",L239)&amp;"-E"&amp;TEXT(A239,"00000"))</f>
        <v/>
      </c>
      <c r="C239" s="32" t="n"/>
      <c r="D239" s="36" t="n"/>
      <c r="E239" s="37" t="n"/>
      <c r="F239" s="36" t="n"/>
      <c r="G239" s="44" t="n"/>
      <c r="H239" s="43" t="n"/>
      <c r="I239" s="32" t="n"/>
      <c r="J239" s="44" t="n"/>
      <c r="K239" s="36" t="n"/>
      <c r="L239" s="33">
        <f>IF(C239="","",Commercial_Id)</f>
        <v/>
      </c>
      <c r="M239" s="34">
        <f>IF(OR(C239="",F239=""),"",IF(F239&lt;&gt;"Espèces","—",IF(I239&lt;&gt;"","☑ Oui","☐ Non")))</f>
        <v/>
      </c>
      <c r="N239" s="39">
        <f>IF(D239="","",IFERROR(VALUE(MID(D239,LEN(D239)-3,3)),""))</f>
        <v/>
      </c>
      <c r="O239" s="33">
        <f>IF(N239="","",L239&amp;"|"&amp;N239)</f>
        <v/>
      </c>
      <c r="P239" s="33">
        <f>IF(N239="","",IF(L239="À RENSEIGNER","GIC",L239)&amp;"-"&amp;TEXT(N239,"000"))</f>
        <v/>
      </c>
      <c r="Q239" s="33">
        <f>IF(O239="","",IFERROR(INDEX(Cl_nom,MATCH(O239,Cl_cle,0)),"(client introuvable)"))</f>
        <v/>
      </c>
      <c r="R239" s="40">
        <f>IF(O239="","",IFERROR(INDEX(Cl_reste,MATCH(O239,Cl_cle,0)),""))</f>
        <v/>
      </c>
      <c r="S239" s="34">
        <f>IF(C239="","",YEAR(C239-WEEKDAY(C239,2)+4)&amp;"-S"&amp;TEXT(INT((C239-DATE(YEAR(C239-WEEKDAY(C239,2)+4),1,3)+WEEKDAY(DATE(YEAR(C239-WEEKDAY(C239,2)+4),1,3),2)+5)/7),"00"))</f>
        <v/>
      </c>
    </row>
    <row r="240" ht="18" customHeight="1">
      <c r="A240" s="39" t="n">
        <v>235</v>
      </c>
      <c r="B240" s="33">
        <f>IF(C240="","",IF(L240="À RENSEIGNER","GIC",L240)&amp;"-E"&amp;TEXT(A240,"00000"))</f>
        <v/>
      </c>
      <c r="C240" s="32" t="n"/>
      <c r="D240" s="36" t="n"/>
      <c r="E240" s="37" t="n"/>
      <c r="F240" s="36" t="n"/>
      <c r="G240" s="44" t="n"/>
      <c r="H240" s="43" t="n"/>
      <c r="I240" s="32" t="n"/>
      <c r="J240" s="44" t="n"/>
      <c r="K240" s="36" t="n"/>
      <c r="L240" s="33">
        <f>IF(C240="","",Commercial_Id)</f>
        <v/>
      </c>
      <c r="M240" s="34">
        <f>IF(OR(C240="",F240=""),"",IF(F240&lt;&gt;"Espèces","—",IF(I240&lt;&gt;"","☑ Oui","☐ Non")))</f>
        <v/>
      </c>
      <c r="N240" s="39">
        <f>IF(D240="","",IFERROR(VALUE(MID(D240,LEN(D240)-3,3)),""))</f>
        <v/>
      </c>
      <c r="O240" s="33">
        <f>IF(N240="","",L240&amp;"|"&amp;N240)</f>
        <v/>
      </c>
      <c r="P240" s="33">
        <f>IF(N240="","",IF(L240="À RENSEIGNER","GIC",L240)&amp;"-"&amp;TEXT(N240,"000"))</f>
        <v/>
      </c>
      <c r="Q240" s="33">
        <f>IF(O240="","",IFERROR(INDEX(Cl_nom,MATCH(O240,Cl_cle,0)),"(client introuvable)"))</f>
        <v/>
      </c>
      <c r="R240" s="40">
        <f>IF(O240="","",IFERROR(INDEX(Cl_reste,MATCH(O240,Cl_cle,0)),""))</f>
        <v/>
      </c>
      <c r="S240" s="34">
        <f>IF(C240="","",YEAR(C240-WEEKDAY(C240,2)+4)&amp;"-S"&amp;TEXT(INT((C240-DATE(YEAR(C240-WEEKDAY(C240,2)+4),1,3)+WEEKDAY(DATE(YEAR(C240-WEEKDAY(C240,2)+4),1,3),2)+5)/7),"00"))</f>
        <v/>
      </c>
    </row>
    <row r="241" ht="18" customHeight="1">
      <c r="A241" s="39" t="n">
        <v>236</v>
      </c>
      <c r="B241" s="33">
        <f>IF(C241="","",IF(L241="À RENSEIGNER","GIC",L241)&amp;"-E"&amp;TEXT(A241,"00000"))</f>
        <v/>
      </c>
      <c r="C241" s="32" t="n"/>
      <c r="D241" s="36" t="n"/>
      <c r="E241" s="37" t="n"/>
      <c r="F241" s="36" t="n"/>
      <c r="G241" s="44" t="n"/>
      <c r="H241" s="43" t="n"/>
      <c r="I241" s="32" t="n"/>
      <c r="J241" s="44" t="n"/>
      <c r="K241" s="36" t="n"/>
      <c r="L241" s="33">
        <f>IF(C241="","",Commercial_Id)</f>
        <v/>
      </c>
      <c r="M241" s="34">
        <f>IF(OR(C241="",F241=""),"",IF(F241&lt;&gt;"Espèces","—",IF(I241&lt;&gt;"","☑ Oui","☐ Non")))</f>
        <v/>
      </c>
      <c r="N241" s="39">
        <f>IF(D241="","",IFERROR(VALUE(MID(D241,LEN(D241)-3,3)),""))</f>
        <v/>
      </c>
      <c r="O241" s="33">
        <f>IF(N241="","",L241&amp;"|"&amp;N241)</f>
        <v/>
      </c>
      <c r="P241" s="33">
        <f>IF(N241="","",IF(L241="À RENSEIGNER","GIC",L241)&amp;"-"&amp;TEXT(N241,"000"))</f>
        <v/>
      </c>
      <c r="Q241" s="33">
        <f>IF(O241="","",IFERROR(INDEX(Cl_nom,MATCH(O241,Cl_cle,0)),"(client introuvable)"))</f>
        <v/>
      </c>
      <c r="R241" s="40">
        <f>IF(O241="","",IFERROR(INDEX(Cl_reste,MATCH(O241,Cl_cle,0)),""))</f>
        <v/>
      </c>
      <c r="S241" s="34">
        <f>IF(C241="","",YEAR(C241-WEEKDAY(C241,2)+4)&amp;"-S"&amp;TEXT(INT((C241-DATE(YEAR(C241-WEEKDAY(C241,2)+4),1,3)+WEEKDAY(DATE(YEAR(C241-WEEKDAY(C241,2)+4),1,3),2)+5)/7),"00"))</f>
        <v/>
      </c>
    </row>
    <row r="242" ht="18" customHeight="1">
      <c r="A242" s="39" t="n">
        <v>237</v>
      </c>
      <c r="B242" s="33">
        <f>IF(C242="","",IF(L242="À RENSEIGNER","GIC",L242)&amp;"-E"&amp;TEXT(A242,"00000"))</f>
        <v/>
      </c>
      <c r="C242" s="32" t="n"/>
      <c r="D242" s="36" t="n"/>
      <c r="E242" s="37" t="n"/>
      <c r="F242" s="36" t="n"/>
      <c r="G242" s="44" t="n"/>
      <c r="H242" s="43" t="n"/>
      <c r="I242" s="32" t="n"/>
      <c r="J242" s="44" t="n"/>
      <c r="K242" s="36" t="n"/>
      <c r="L242" s="33">
        <f>IF(C242="","",Commercial_Id)</f>
        <v/>
      </c>
      <c r="M242" s="34">
        <f>IF(OR(C242="",F242=""),"",IF(F242&lt;&gt;"Espèces","—",IF(I242&lt;&gt;"","☑ Oui","☐ Non")))</f>
        <v/>
      </c>
      <c r="N242" s="39">
        <f>IF(D242="","",IFERROR(VALUE(MID(D242,LEN(D242)-3,3)),""))</f>
        <v/>
      </c>
      <c r="O242" s="33">
        <f>IF(N242="","",L242&amp;"|"&amp;N242)</f>
        <v/>
      </c>
      <c r="P242" s="33">
        <f>IF(N242="","",IF(L242="À RENSEIGNER","GIC",L242)&amp;"-"&amp;TEXT(N242,"000"))</f>
        <v/>
      </c>
      <c r="Q242" s="33">
        <f>IF(O242="","",IFERROR(INDEX(Cl_nom,MATCH(O242,Cl_cle,0)),"(client introuvable)"))</f>
        <v/>
      </c>
      <c r="R242" s="40">
        <f>IF(O242="","",IFERROR(INDEX(Cl_reste,MATCH(O242,Cl_cle,0)),""))</f>
        <v/>
      </c>
      <c r="S242" s="34">
        <f>IF(C242="","",YEAR(C242-WEEKDAY(C242,2)+4)&amp;"-S"&amp;TEXT(INT((C242-DATE(YEAR(C242-WEEKDAY(C242,2)+4),1,3)+WEEKDAY(DATE(YEAR(C242-WEEKDAY(C242,2)+4),1,3),2)+5)/7),"00"))</f>
        <v/>
      </c>
    </row>
    <row r="243" ht="18" customHeight="1">
      <c r="A243" s="39" t="n">
        <v>238</v>
      </c>
      <c r="B243" s="33">
        <f>IF(C243="","",IF(L243="À RENSEIGNER","GIC",L243)&amp;"-E"&amp;TEXT(A243,"00000"))</f>
        <v/>
      </c>
      <c r="C243" s="32" t="n"/>
      <c r="D243" s="36" t="n"/>
      <c r="E243" s="37" t="n"/>
      <c r="F243" s="36" t="n"/>
      <c r="G243" s="44" t="n"/>
      <c r="H243" s="43" t="n"/>
      <c r="I243" s="32" t="n"/>
      <c r="J243" s="44" t="n"/>
      <c r="K243" s="36" t="n"/>
      <c r="L243" s="33">
        <f>IF(C243="","",Commercial_Id)</f>
        <v/>
      </c>
      <c r="M243" s="34">
        <f>IF(OR(C243="",F243=""),"",IF(F243&lt;&gt;"Espèces","—",IF(I243&lt;&gt;"","☑ Oui","☐ Non")))</f>
        <v/>
      </c>
      <c r="N243" s="39">
        <f>IF(D243="","",IFERROR(VALUE(MID(D243,LEN(D243)-3,3)),""))</f>
        <v/>
      </c>
      <c r="O243" s="33">
        <f>IF(N243="","",L243&amp;"|"&amp;N243)</f>
        <v/>
      </c>
      <c r="P243" s="33">
        <f>IF(N243="","",IF(L243="À RENSEIGNER","GIC",L243)&amp;"-"&amp;TEXT(N243,"000"))</f>
        <v/>
      </c>
      <c r="Q243" s="33">
        <f>IF(O243="","",IFERROR(INDEX(Cl_nom,MATCH(O243,Cl_cle,0)),"(client introuvable)"))</f>
        <v/>
      </c>
      <c r="R243" s="40">
        <f>IF(O243="","",IFERROR(INDEX(Cl_reste,MATCH(O243,Cl_cle,0)),""))</f>
        <v/>
      </c>
      <c r="S243" s="34">
        <f>IF(C243="","",YEAR(C243-WEEKDAY(C243,2)+4)&amp;"-S"&amp;TEXT(INT((C243-DATE(YEAR(C243-WEEKDAY(C243,2)+4),1,3)+WEEKDAY(DATE(YEAR(C243-WEEKDAY(C243,2)+4),1,3),2)+5)/7),"00"))</f>
        <v/>
      </c>
    </row>
    <row r="244" ht="18" customHeight="1">
      <c r="A244" s="39" t="n">
        <v>239</v>
      </c>
      <c r="B244" s="33">
        <f>IF(C244="","",IF(L244="À RENSEIGNER","GIC",L244)&amp;"-E"&amp;TEXT(A244,"00000"))</f>
        <v/>
      </c>
      <c r="C244" s="32" t="n"/>
      <c r="D244" s="36" t="n"/>
      <c r="E244" s="37" t="n"/>
      <c r="F244" s="36" t="n"/>
      <c r="G244" s="44" t="n"/>
      <c r="H244" s="43" t="n"/>
      <c r="I244" s="32" t="n"/>
      <c r="J244" s="44" t="n"/>
      <c r="K244" s="36" t="n"/>
      <c r="L244" s="33">
        <f>IF(C244="","",Commercial_Id)</f>
        <v/>
      </c>
      <c r="M244" s="34">
        <f>IF(OR(C244="",F244=""),"",IF(F244&lt;&gt;"Espèces","—",IF(I244&lt;&gt;"","☑ Oui","☐ Non")))</f>
        <v/>
      </c>
      <c r="N244" s="39">
        <f>IF(D244="","",IFERROR(VALUE(MID(D244,LEN(D244)-3,3)),""))</f>
        <v/>
      </c>
      <c r="O244" s="33">
        <f>IF(N244="","",L244&amp;"|"&amp;N244)</f>
        <v/>
      </c>
      <c r="P244" s="33">
        <f>IF(N244="","",IF(L244="À RENSEIGNER","GIC",L244)&amp;"-"&amp;TEXT(N244,"000"))</f>
        <v/>
      </c>
      <c r="Q244" s="33">
        <f>IF(O244="","",IFERROR(INDEX(Cl_nom,MATCH(O244,Cl_cle,0)),"(client introuvable)"))</f>
        <v/>
      </c>
      <c r="R244" s="40">
        <f>IF(O244="","",IFERROR(INDEX(Cl_reste,MATCH(O244,Cl_cle,0)),""))</f>
        <v/>
      </c>
      <c r="S244" s="34">
        <f>IF(C244="","",YEAR(C244-WEEKDAY(C244,2)+4)&amp;"-S"&amp;TEXT(INT((C244-DATE(YEAR(C244-WEEKDAY(C244,2)+4),1,3)+WEEKDAY(DATE(YEAR(C244-WEEKDAY(C244,2)+4),1,3),2)+5)/7),"00"))</f>
        <v/>
      </c>
    </row>
    <row r="245" ht="18" customHeight="1">
      <c r="A245" s="39" t="n">
        <v>240</v>
      </c>
      <c r="B245" s="33">
        <f>IF(C245="","",IF(L245="À RENSEIGNER","GIC",L245)&amp;"-E"&amp;TEXT(A245,"00000"))</f>
        <v/>
      </c>
      <c r="C245" s="32" t="n"/>
      <c r="D245" s="36" t="n"/>
      <c r="E245" s="37" t="n"/>
      <c r="F245" s="36" t="n"/>
      <c r="G245" s="44" t="n"/>
      <c r="H245" s="43" t="n"/>
      <c r="I245" s="32" t="n"/>
      <c r="J245" s="44" t="n"/>
      <c r="K245" s="36" t="n"/>
      <c r="L245" s="33">
        <f>IF(C245="","",Commercial_Id)</f>
        <v/>
      </c>
      <c r="M245" s="34">
        <f>IF(OR(C245="",F245=""),"",IF(F245&lt;&gt;"Espèces","—",IF(I245&lt;&gt;"","☑ Oui","☐ Non")))</f>
        <v/>
      </c>
      <c r="N245" s="39">
        <f>IF(D245="","",IFERROR(VALUE(MID(D245,LEN(D245)-3,3)),""))</f>
        <v/>
      </c>
      <c r="O245" s="33">
        <f>IF(N245="","",L245&amp;"|"&amp;N245)</f>
        <v/>
      </c>
      <c r="P245" s="33">
        <f>IF(N245="","",IF(L245="À RENSEIGNER","GIC",L245)&amp;"-"&amp;TEXT(N245,"000"))</f>
        <v/>
      </c>
      <c r="Q245" s="33">
        <f>IF(O245="","",IFERROR(INDEX(Cl_nom,MATCH(O245,Cl_cle,0)),"(client introuvable)"))</f>
        <v/>
      </c>
      <c r="R245" s="40">
        <f>IF(O245="","",IFERROR(INDEX(Cl_reste,MATCH(O245,Cl_cle,0)),""))</f>
        <v/>
      </c>
      <c r="S245" s="34">
        <f>IF(C245="","",YEAR(C245-WEEKDAY(C245,2)+4)&amp;"-S"&amp;TEXT(INT((C245-DATE(YEAR(C245-WEEKDAY(C245,2)+4),1,3)+WEEKDAY(DATE(YEAR(C245-WEEKDAY(C245,2)+4),1,3),2)+5)/7),"00"))</f>
        <v/>
      </c>
    </row>
    <row r="246" ht="18" customHeight="1">
      <c r="A246" s="39" t="n">
        <v>241</v>
      </c>
      <c r="B246" s="33">
        <f>IF(C246="","",IF(L246="À RENSEIGNER","GIC",L246)&amp;"-E"&amp;TEXT(A246,"00000"))</f>
        <v/>
      </c>
      <c r="C246" s="32" t="n"/>
      <c r="D246" s="36" t="n"/>
      <c r="E246" s="37" t="n"/>
      <c r="F246" s="36" t="n"/>
      <c r="G246" s="44" t="n"/>
      <c r="H246" s="43" t="n"/>
      <c r="I246" s="32" t="n"/>
      <c r="J246" s="44" t="n"/>
      <c r="K246" s="36" t="n"/>
      <c r="L246" s="33">
        <f>IF(C246="","",Commercial_Id)</f>
        <v/>
      </c>
      <c r="M246" s="34">
        <f>IF(OR(C246="",F246=""),"",IF(F246&lt;&gt;"Espèces","—",IF(I246&lt;&gt;"","☑ Oui","☐ Non")))</f>
        <v/>
      </c>
      <c r="N246" s="39">
        <f>IF(D246="","",IFERROR(VALUE(MID(D246,LEN(D246)-3,3)),""))</f>
        <v/>
      </c>
      <c r="O246" s="33">
        <f>IF(N246="","",L246&amp;"|"&amp;N246)</f>
        <v/>
      </c>
      <c r="P246" s="33">
        <f>IF(N246="","",IF(L246="À RENSEIGNER","GIC",L246)&amp;"-"&amp;TEXT(N246,"000"))</f>
        <v/>
      </c>
      <c r="Q246" s="33">
        <f>IF(O246="","",IFERROR(INDEX(Cl_nom,MATCH(O246,Cl_cle,0)),"(client introuvable)"))</f>
        <v/>
      </c>
      <c r="R246" s="40">
        <f>IF(O246="","",IFERROR(INDEX(Cl_reste,MATCH(O246,Cl_cle,0)),""))</f>
        <v/>
      </c>
      <c r="S246" s="34">
        <f>IF(C246="","",YEAR(C246-WEEKDAY(C246,2)+4)&amp;"-S"&amp;TEXT(INT((C246-DATE(YEAR(C246-WEEKDAY(C246,2)+4),1,3)+WEEKDAY(DATE(YEAR(C246-WEEKDAY(C246,2)+4),1,3),2)+5)/7),"00"))</f>
        <v/>
      </c>
    </row>
    <row r="247" ht="18" customHeight="1">
      <c r="A247" s="39" t="n">
        <v>242</v>
      </c>
      <c r="B247" s="33">
        <f>IF(C247="","",IF(L247="À RENSEIGNER","GIC",L247)&amp;"-E"&amp;TEXT(A247,"00000"))</f>
        <v/>
      </c>
      <c r="C247" s="32" t="n"/>
      <c r="D247" s="36" t="n"/>
      <c r="E247" s="37" t="n"/>
      <c r="F247" s="36" t="n"/>
      <c r="G247" s="44" t="n"/>
      <c r="H247" s="43" t="n"/>
      <c r="I247" s="32" t="n"/>
      <c r="J247" s="44" t="n"/>
      <c r="K247" s="36" t="n"/>
      <c r="L247" s="33">
        <f>IF(C247="","",Commercial_Id)</f>
        <v/>
      </c>
      <c r="M247" s="34">
        <f>IF(OR(C247="",F247=""),"",IF(F247&lt;&gt;"Espèces","—",IF(I247&lt;&gt;"","☑ Oui","☐ Non")))</f>
        <v/>
      </c>
      <c r="N247" s="39">
        <f>IF(D247="","",IFERROR(VALUE(MID(D247,LEN(D247)-3,3)),""))</f>
        <v/>
      </c>
      <c r="O247" s="33">
        <f>IF(N247="","",L247&amp;"|"&amp;N247)</f>
        <v/>
      </c>
      <c r="P247" s="33">
        <f>IF(N247="","",IF(L247="À RENSEIGNER","GIC",L247)&amp;"-"&amp;TEXT(N247,"000"))</f>
        <v/>
      </c>
      <c r="Q247" s="33">
        <f>IF(O247="","",IFERROR(INDEX(Cl_nom,MATCH(O247,Cl_cle,0)),"(client introuvable)"))</f>
        <v/>
      </c>
      <c r="R247" s="40">
        <f>IF(O247="","",IFERROR(INDEX(Cl_reste,MATCH(O247,Cl_cle,0)),""))</f>
        <v/>
      </c>
      <c r="S247" s="34">
        <f>IF(C247="","",YEAR(C247-WEEKDAY(C247,2)+4)&amp;"-S"&amp;TEXT(INT((C247-DATE(YEAR(C247-WEEKDAY(C247,2)+4),1,3)+WEEKDAY(DATE(YEAR(C247-WEEKDAY(C247,2)+4),1,3),2)+5)/7),"00"))</f>
        <v/>
      </c>
    </row>
    <row r="248" ht="18" customHeight="1">
      <c r="A248" s="39" t="n">
        <v>243</v>
      </c>
      <c r="B248" s="33">
        <f>IF(C248="","",IF(L248="À RENSEIGNER","GIC",L248)&amp;"-E"&amp;TEXT(A248,"00000"))</f>
        <v/>
      </c>
      <c r="C248" s="32" t="n"/>
      <c r="D248" s="36" t="n"/>
      <c r="E248" s="37" t="n"/>
      <c r="F248" s="36" t="n"/>
      <c r="G248" s="44" t="n"/>
      <c r="H248" s="43" t="n"/>
      <c r="I248" s="32" t="n"/>
      <c r="J248" s="44" t="n"/>
      <c r="K248" s="36" t="n"/>
      <c r="L248" s="33">
        <f>IF(C248="","",Commercial_Id)</f>
        <v/>
      </c>
      <c r="M248" s="34">
        <f>IF(OR(C248="",F248=""),"",IF(F248&lt;&gt;"Espèces","—",IF(I248&lt;&gt;"","☑ Oui","☐ Non")))</f>
        <v/>
      </c>
      <c r="N248" s="39">
        <f>IF(D248="","",IFERROR(VALUE(MID(D248,LEN(D248)-3,3)),""))</f>
        <v/>
      </c>
      <c r="O248" s="33">
        <f>IF(N248="","",L248&amp;"|"&amp;N248)</f>
        <v/>
      </c>
      <c r="P248" s="33">
        <f>IF(N248="","",IF(L248="À RENSEIGNER","GIC",L248)&amp;"-"&amp;TEXT(N248,"000"))</f>
        <v/>
      </c>
      <c r="Q248" s="33">
        <f>IF(O248="","",IFERROR(INDEX(Cl_nom,MATCH(O248,Cl_cle,0)),"(client introuvable)"))</f>
        <v/>
      </c>
      <c r="R248" s="40">
        <f>IF(O248="","",IFERROR(INDEX(Cl_reste,MATCH(O248,Cl_cle,0)),""))</f>
        <v/>
      </c>
      <c r="S248" s="34">
        <f>IF(C248="","",YEAR(C248-WEEKDAY(C248,2)+4)&amp;"-S"&amp;TEXT(INT((C248-DATE(YEAR(C248-WEEKDAY(C248,2)+4),1,3)+WEEKDAY(DATE(YEAR(C248-WEEKDAY(C248,2)+4),1,3),2)+5)/7),"00"))</f>
        <v/>
      </c>
    </row>
    <row r="249" ht="18" customHeight="1">
      <c r="A249" s="39" t="n">
        <v>244</v>
      </c>
      <c r="B249" s="33">
        <f>IF(C249="","",IF(L249="À RENSEIGNER","GIC",L249)&amp;"-E"&amp;TEXT(A249,"00000"))</f>
        <v/>
      </c>
      <c r="C249" s="32" t="n"/>
      <c r="D249" s="36" t="n"/>
      <c r="E249" s="37" t="n"/>
      <c r="F249" s="36" t="n"/>
      <c r="G249" s="44" t="n"/>
      <c r="H249" s="43" t="n"/>
      <c r="I249" s="32" t="n"/>
      <c r="J249" s="44" t="n"/>
      <c r="K249" s="36" t="n"/>
      <c r="L249" s="33">
        <f>IF(C249="","",Commercial_Id)</f>
        <v/>
      </c>
      <c r="M249" s="34">
        <f>IF(OR(C249="",F249=""),"",IF(F249&lt;&gt;"Espèces","—",IF(I249&lt;&gt;"","☑ Oui","☐ Non")))</f>
        <v/>
      </c>
      <c r="N249" s="39">
        <f>IF(D249="","",IFERROR(VALUE(MID(D249,LEN(D249)-3,3)),""))</f>
        <v/>
      </c>
      <c r="O249" s="33">
        <f>IF(N249="","",L249&amp;"|"&amp;N249)</f>
        <v/>
      </c>
      <c r="P249" s="33">
        <f>IF(N249="","",IF(L249="À RENSEIGNER","GIC",L249)&amp;"-"&amp;TEXT(N249,"000"))</f>
        <v/>
      </c>
      <c r="Q249" s="33">
        <f>IF(O249="","",IFERROR(INDEX(Cl_nom,MATCH(O249,Cl_cle,0)),"(client introuvable)"))</f>
        <v/>
      </c>
      <c r="R249" s="40">
        <f>IF(O249="","",IFERROR(INDEX(Cl_reste,MATCH(O249,Cl_cle,0)),""))</f>
        <v/>
      </c>
      <c r="S249" s="34">
        <f>IF(C249="","",YEAR(C249-WEEKDAY(C249,2)+4)&amp;"-S"&amp;TEXT(INT((C249-DATE(YEAR(C249-WEEKDAY(C249,2)+4),1,3)+WEEKDAY(DATE(YEAR(C249-WEEKDAY(C249,2)+4),1,3),2)+5)/7),"00"))</f>
        <v/>
      </c>
    </row>
    <row r="250" ht="18" customHeight="1">
      <c r="A250" s="39" t="n">
        <v>245</v>
      </c>
      <c r="B250" s="33">
        <f>IF(C250="","",IF(L250="À RENSEIGNER","GIC",L250)&amp;"-E"&amp;TEXT(A250,"00000"))</f>
        <v/>
      </c>
      <c r="C250" s="32" t="n"/>
      <c r="D250" s="36" t="n"/>
      <c r="E250" s="37" t="n"/>
      <c r="F250" s="36" t="n"/>
      <c r="G250" s="44" t="n"/>
      <c r="H250" s="43" t="n"/>
      <c r="I250" s="32" t="n"/>
      <c r="J250" s="44" t="n"/>
      <c r="K250" s="36" t="n"/>
      <c r="L250" s="33">
        <f>IF(C250="","",Commercial_Id)</f>
        <v/>
      </c>
      <c r="M250" s="34">
        <f>IF(OR(C250="",F250=""),"",IF(F250&lt;&gt;"Espèces","—",IF(I250&lt;&gt;"","☑ Oui","☐ Non")))</f>
        <v/>
      </c>
      <c r="N250" s="39">
        <f>IF(D250="","",IFERROR(VALUE(MID(D250,LEN(D250)-3,3)),""))</f>
        <v/>
      </c>
      <c r="O250" s="33">
        <f>IF(N250="","",L250&amp;"|"&amp;N250)</f>
        <v/>
      </c>
      <c r="P250" s="33">
        <f>IF(N250="","",IF(L250="À RENSEIGNER","GIC",L250)&amp;"-"&amp;TEXT(N250,"000"))</f>
        <v/>
      </c>
      <c r="Q250" s="33">
        <f>IF(O250="","",IFERROR(INDEX(Cl_nom,MATCH(O250,Cl_cle,0)),"(client introuvable)"))</f>
        <v/>
      </c>
      <c r="R250" s="40">
        <f>IF(O250="","",IFERROR(INDEX(Cl_reste,MATCH(O250,Cl_cle,0)),""))</f>
        <v/>
      </c>
      <c r="S250" s="34">
        <f>IF(C250="","",YEAR(C250-WEEKDAY(C250,2)+4)&amp;"-S"&amp;TEXT(INT((C250-DATE(YEAR(C250-WEEKDAY(C250,2)+4),1,3)+WEEKDAY(DATE(YEAR(C250-WEEKDAY(C250,2)+4),1,3),2)+5)/7),"00"))</f>
        <v/>
      </c>
    </row>
    <row r="251" ht="18" customHeight="1">
      <c r="A251" s="39" t="n">
        <v>246</v>
      </c>
      <c r="B251" s="33">
        <f>IF(C251="","",IF(L251="À RENSEIGNER","GIC",L251)&amp;"-E"&amp;TEXT(A251,"00000"))</f>
        <v/>
      </c>
      <c r="C251" s="32" t="n"/>
      <c r="D251" s="36" t="n"/>
      <c r="E251" s="37" t="n"/>
      <c r="F251" s="36" t="n"/>
      <c r="G251" s="44" t="n"/>
      <c r="H251" s="43" t="n"/>
      <c r="I251" s="32" t="n"/>
      <c r="J251" s="44" t="n"/>
      <c r="K251" s="36" t="n"/>
      <c r="L251" s="33">
        <f>IF(C251="","",Commercial_Id)</f>
        <v/>
      </c>
      <c r="M251" s="34">
        <f>IF(OR(C251="",F251=""),"",IF(F251&lt;&gt;"Espèces","—",IF(I251&lt;&gt;"","☑ Oui","☐ Non")))</f>
        <v/>
      </c>
      <c r="N251" s="39">
        <f>IF(D251="","",IFERROR(VALUE(MID(D251,LEN(D251)-3,3)),""))</f>
        <v/>
      </c>
      <c r="O251" s="33">
        <f>IF(N251="","",L251&amp;"|"&amp;N251)</f>
        <v/>
      </c>
      <c r="P251" s="33">
        <f>IF(N251="","",IF(L251="À RENSEIGNER","GIC",L251)&amp;"-"&amp;TEXT(N251,"000"))</f>
        <v/>
      </c>
      <c r="Q251" s="33">
        <f>IF(O251="","",IFERROR(INDEX(Cl_nom,MATCH(O251,Cl_cle,0)),"(client introuvable)"))</f>
        <v/>
      </c>
      <c r="R251" s="40">
        <f>IF(O251="","",IFERROR(INDEX(Cl_reste,MATCH(O251,Cl_cle,0)),""))</f>
        <v/>
      </c>
      <c r="S251" s="34">
        <f>IF(C251="","",YEAR(C251-WEEKDAY(C251,2)+4)&amp;"-S"&amp;TEXT(INT((C251-DATE(YEAR(C251-WEEKDAY(C251,2)+4),1,3)+WEEKDAY(DATE(YEAR(C251-WEEKDAY(C251,2)+4),1,3),2)+5)/7),"00"))</f>
        <v/>
      </c>
    </row>
    <row r="252" ht="18" customHeight="1">
      <c r="A252" s="39" t="n">
        <v>247</v>
      </c>
      <c r="B252" s="33">
        <f>IF(C252="","",IF(L252="À RENSEIGNER","GIC",L252)&amp;"-E"&amp;TEXT(A252,"00000"))</f>
        <v/>
      </c>
      <c r="C252" s="32" t="n"/>
      <c r="D252" s="36" t="n"/>
      <c r="E252" s="37" t="n"/>
      <c r="F252" s="36" t="n"/>
      <c r="G252" s="44" t="n"/>
      <c r="H252" s="43" t="n"/>
      <c r="I252" s="32" t="n"/>
      <c r="J252" s="44" t="n"/>
      <c r="K252" s="36" t="n"/>
      <c r="L252" s="33">
        <f>IF(C252="","",Commercial_Id)</f>
        <v/>
      </c>
      <c r="M252" s="34">
        <f>IF(OR(C252="",F252=""),"",IF(F252&lt;&gt;"Espèces","—",IF(I252&lt;&gt;"","☑ Oui","☐ Non")))</f>
        <v/>
      </c>
      <c r="N252" s="39">
        <f>IF(D252="","",IFERROR(VALUE(MID(D252,LEN(D252)-3,3)),""))</f>
        <v/>
      </c>
      <c r="O252" s="33">
        <f>IF(N252="","",L252&amp;"|"&amp;N252)</f>
        <v/>
      </c>
      <c r="P252" s="33">
        <f>IF(N252="","",IF(L252="À RENSEIGNER","GIC",L252)&amp;"-"&amp;TEXT(N252,"000"))</f>
        <v/>
      </c>
      <c r="Q252" s="33">
        <f>IF(O252="","",IFERROR(INDEX(Cl_nom,MATCH(O252,Cl_cle,0)),"(client introuvable)"))</f>
        <v/>
      </c>
      <c r="R252" s="40">
        <f>IF(O252="","",IFERROR(INDEX(Cl_reste,MATCH(O252,Cl_cle,0)),""))</f>
        <v/>
      </c>
      <c r="S252" s="34">
        <f>IF(C252="","",YEAR(C252-WEEKDAY(C252,2)+4)&amp;"-S"&amp;TEXT(INT((C252-DATE(YEAR(C252-WEEKDAY(C252,2)+4),1,3)+WEEKDAY(DATE(YEAR(C252-WEEKDAY(C252,2)+4),1,3),2)+5)/7),"00"))</f>
        <v/>
      </c>
    </row>
    <row r="253" ht="18" customHeight="1">
      <c r="A253" s="39" t="n">
        <v>248</v>
      </c>
      <c r="B253" s="33">
        <f>IF(C253="","",IF(L253="À RENSEIGNER","GIC",L253)&amp;"-E"&amp;TEXT(A253,"00000"))</f>
        <v/>
      </c>
      <c r="C253" s="32" t="n"/>
      <c r="D253" s="36" t="n"/>
      <c r="E253" s="37" t="n"/>
      <c r="F253" s="36" t="n"/>
      <c r="G253" s="44" t="n"/>
      <c r="H253" s="43" t="n"/>
      <c r="I253" s="32" t="n"/>
      <c r="J253" s="44" t="n"/>
      <c r="K253" s="36" t="n"/>
      <c r="L253" s="33">
        <f>IF(C253="","",Commercial_Id)</f>
        <v/>
      </c>
      <c r="M253" s="34">
        <f>IF(OR(C253="",F253=""),"",IF(F253&lt;&gt;"Espèces","—",IF(I253&lt;&gt;"","☑ Oui","☐ Non")))</f>
        <v/>
      </c>
      <c r="N253" s="39">
        <f>IF(D253="","",IFERROR(VALUE(MID(D253,LEN(D253)-3,3)),""))</f>
        <v/>
      </c>
      <c r="O253" s="33">
        <f>IF(N253="","",L253&amp;"|"&amp;N253)</f>
        <v/>
      </c>
      <c r="P253" s="33">
        <f>IF(N253="","",IF(L253="À RENSEIGNER","GIC",L253)&amp;"-"&amp;TEXT(N253,"000"))</f>
        <v/>
      </c>
      <c r="Q253" s="33">
        <f>IF(O253="","",IFERROR(INDEX(Cl_nom,MATCH(O253,Cl_cle,0)),"(client introuvable)"))</f>
        <v/>
      </c>
      <c r="R253" s="40">
        <f>IF(O253="","",IFERROR(INDEX(Cl_reste,MATCH(O253,Cl_cle,0)),""))</f>
        <v/>
      </c>
      <c r="S253" s="34">
        <f>IF(C253="","",YEAR(C253-WEEKDAY(C253,2)+4)&amp;"-S"&amp;TEXT(INT((C253-DATE(YEAR(C253-WEEKDAY(C253,2)+4),1,3)+WEEKDAY(DATE(YEAR(C253-WEEKDAY(C253,2)+4),1,3),2)+5)/7),"00"))</f>
        <v/>
      </c>
    </row>
    <row r="254" ht="18" customHeight="1">
      <c r="A254" s="39" t="n">
        <v>249</v>
      </c>
      <c r="B254" s="33">
        <f>IF(C254="","",IF(L254="À RENSEIGNER","GIC",L254)&amp;"-E"&amp;TEXT(A254,"00000"))</f>
        <v/>
      </c>
      <c r="C254" s="32" t="n"/>
      <c r="D254" s="36" t="n"/>
      <c r="E254" s="37" t="n"/>
      <c r="F254" s="36" t="n"/>
      <c r="G254" s="44" t="n"/>
      <c r="H254" s="43" t="n"/>
      <c r="I254" s="32" t="n"/>
      <c r="J254" s="44" t="n"/>
      <c r="K254" s="36" t="n"/>
      <c r="L254" s="33">
        <f>IF(C254="","",Commercial_Id)</f>
        <v/>
      </c>
      <c r="M254" s="34">
        <f>IF(OR(C254="",F254=""),"",IF(F254&lt;&gt;"Espèces","—",IF(I254&lt;&gt;"","☑ Oui","☐ Non")))</f>
        <v/>
      </c>
      <c r="N254" s="39">
        <f>IF(D254="","",IFERROR(VALUE(MID(D254,LEN(D254)-3,3)),""))</f>
        <v/>
      </c>
      <c r="O254" s="33">
        <f>IF(N254="","",L254&amp;"|"&amp;N254)</f>
        <v/>
      </c>
      <c r="P254" s="33">
        <f>IF(N254="","",IF(L254="À RENSEIGNER","GIC",L254)&amp;"-"&amp;TEXT(N254,"000"))</f>
        <v/>
      </c>
      <c r="Q254" s="33">
        <f>IF(O254="","",IFERROR(INDEX(Cl_nom,MATCH(O254,Cl_cle,0)),"(client introuvable)"))</f>
        <v/>
      </c>
      <c r="R254" s="40">
        <f>IF(O254="","",IFERROR(INDEX(Cl_reste,MATCH(O254,Cl_cle,0)),""))</f>
        <v/>
      </c>
      <c r="S254" s="34">
        <f>IF(C254="","",YEAR(C254-WEEKDAY(C254,2)+4)&amp;"-S"&amp;TEXT(INT((C254-DATE(YEAR(C254-WEEKDAY(C254,2)+4),1,3)+WEEKDAY(DATE(YEAR(C254-WEEKDAY(C254,2)+4),1,3),2)+5)/7),"00"))</f>
        <v/>
      </c>
    </row>
    <row r="255" ht="18" customHeight="1">
      <c r="A255" s="39" t="n">
        <v>250</v>
      </c>
      <c r="B255" s="33">
        <f>IF(C255="","",IF(L255="À RENSEIGNER","GIC",L255)&amp;"-E"&amp;TEXT(A255,"00000"))</f>
        <v/>
      </c>
      <c r="C255" s="32" t="n"/>
      <c r="D255" s="36" t="n"/>
      <c r="E255" s="37" t="n"/>
      <c r="F255" s="36" t="n"/>
      <c r="G255" s="44" t="n"/>
      <c r="H255" s="43" t="n"/>
      <c r="I255" s="32" t="n"/>
      <c r="J255" s="44" t="n"/>
      <c r="K255" s="36" t="n"/>
      <c r="L255" s="33">
        <f>IF(C255="","",Commercial_Id)</f>
        <v/>
      </c>
      <c r="M255" s="34">
        <f>IF(OR(C255="",F255=""),"",IF(F255&lt;&gt;"Espèces","—",IF(I255&lt;&gt;"","☑ Oui","☐ Non")))</f>
        <v/>
      </c>
      <c r="N255" s="39">
        <f>IF(D255="","",IFERROR(VALUE(MID(D255,LEN(D255)-3,3)),""))</f>
        <v/>
      </c>
      <c r="O255" s="33">
        <f>IF(N255="","",L255&amp;"|"&amp;N255)</f>
        <v/>
      </c>
      <c r="P255" s="33">
        <f>IF(N255="","",IF(L255="À RENSEIGNER","GIC",L255)&amp;"-"&amp;TEXT(N255,"000"))</f>
        <v/>
      </c>
      <c r="Q255" s="33">
        <f>IF(O255="","",IFERROR(INDEX(Cl_nom,MATCH(O255,Cl_cle,0)),"(client introuvable)"))</f>
        <v/>
      </c>
      <c r="R255" s="40">
        <f>IF(O255="","",IFERROR(INDEX(Cl_reste,MATCH(O255,Cl_cle,0)),""))</f>
        <v/>
      </c>
      <c r="S255" s="34">
        <f>IF(C255="","",YEAR(C255-WEEKDAY(C255,2)+4)&amp;"-S"&amp;TEXT(INT((C255-DATE(YEAR(C255-WEEKDAY(C255,2)+4),1,3)+WEEKDAY(DATE(YEAR(C255-WEEKDAY(C255,2)+4),1,3),2)+5)/7),"00"))</f>
        <v/>
      </c>
    </row>
    <row r="256" ht="18" customHeight="1">
      <c r="A256" s="39" t="n">
        <v>251</v>
      </c>
      <c r="B256" s="33">
        <f>IF(C256="","",IF(L256="À RENSEIGNER","GIC",L256)&amp;"-E"&amp;TEXT(A256,"00000"))</f>
        <v/>
      </c>
      <c r="C256" s="32" t="n"/>
      <c r="D256" s="36" t="n"/>
      <c r="E256" s="37" t="n"/>
      <c r="F256" s="36" t="n"/>
      <c r="G256" s="44" t="n"/>
      <c r="H256" s="43" t="n"/>
      <c r="I256" s="32" t="n"/>
      <c r="J256" s="44" t="n"/>
      <c r="K256" s="36" t="n"/>
      <c r="L256" s="33">
        <f>IF(C256="","",Commercial_Id)</f>
        <v/>
      </c>
      <c r="M256" s="34">
        <f>IF(OR(C256="",F256=""),"",IF(F256&lt;&gt;"Espèces","—",IF(I256&lt;&gt;"","☑ Oui","☐ Non")))</f>
        <v/>
      </c>
      <c r="N256" s="39">
        <f>IF(D256="","",IFERROR(VALUE(MID(D256,LEN(D256)-3,3)),""))</f>
        <v/>
      </c>
      <c r="O256" s="33">
        <f>IF(N256="","",L256&amp;"|"&amp;N256)</f>
        <v/>
      </c>
      <c r="P256" s="33">
        <f>IF(N256="","",IF(L256="À RENSEIGNER","GIC",L256)&amp;"-"&amp;TEXT(N256,"000"))</f>
        <v/>
      </c>
      <c r="Q256" s="33">
        <f>IF(O256="","",IFERROR(INDEX(Cl_nom,MATCH(O256,Cl_cle,0)),"(client introuvable)"))</f>
        <v/>
      </c>
      <c r="R256" s="40">
        <f>IF(O256="","",IFERROR(INDEX(Cl_reste,MATCH(O256,Cl_cle,0)),""))</f>
        <v/>
      </c>
      <c r="S256" s="34">
        <f>IF(C256="","",YEAR(C256-WEEKDAY(C256,2)+4)&amp;"-S"&amp;TEXT(INT((C256-DATE(YEAR(C256-WEEKDAY(C256,2)+4),1,3)+WEEKDAY(DATE(YEAR(C256-WEEKDAY(C256,2)+4),1,3),2)+5)/7),"00"))</f>
        <v/>
      </c>
    </row>
    <row r="257" ht="18" customHeight="1">
      <c r="A257" s="39" t="n">
        <v>252</v>
      </c>
      <c r="B257" s="33">
        <f>IF(C257="","",IF(L257="À RENSEIGNER","GIC",L257)&amp;"-E"&amp;TEXT(A257,"00000"))</f>
        <v/>
      </c>
      <c r="C257" s="32" t="n"/>
      <c r="D257" s="36" t="n"/>
      <c r="E257" s="37" t="n"/>
      <c r="F257" s="36" t="n"/>
      <c r="G257" s="44" t="n"/>
      <c r="H257" s="43" t="n"/>
      <c r="I257" s="32" t="n"/>
      <c r="J257" s="44" t="n"/>
      <c r="K257" s="36" t="n"/>
      <c r="L257" s="33">
        <f>IF(C257="","",Commercial_Id)</f>
        <v/>
      </c>
      <c r="M257" s="34">
        <f>IF(OR(C257="",F257=""),"",IF(F257&lt;&gt;"Espèces","—",IF(I257&lt;&gt;"","☑ Oui","☐ Non")))</f>
        <v/>
      </c>
      <c r="N257" s="39">
        <f>IF(D257="","",IFERROR(VALUE(MID(D257,LEN(D257)-3,3)),""))</f>
        <v/>
      </c>
      <c r="O257" s="33">
        <f>IF(N257="","",L257&amp;"|"&amp;N257)</f>
        <v/>
      </c>
      <c r="P257" s="33">
        <f>IF(N257="","",IF(L257="À RENSEIGNER","GIC",L257)&amp;"-"&amp;TEXT(N257,"000"))</f>
        <v/>
      </c>
      <c r="Q257" s="33">
        <f>IF(O257="","",IFERROR(INDEX(Cl_nom,MATCH(O257,Cl_cle,0)),"(client introuvable)"))</f>
        <v/>
      </c>
      <c r="R257" s="40">
        <f>IF(O257="","",IFERROR(INDEX(Cl_reste,MATCH(O257,Cl_cle,0)),""))</f>
        <v/>
      </c>
      <c r="S257" s="34">
        <f>IF(C257="","",YEAR(C257-WEEKDAY(C257,2)+4)&amp;"-S"&amp;TEXT(INT((C257-DATE(YEAR(C257-WEEKDAY(C257,2)+4),1,3)+WEEKDAY(DATE(YEAR(C257-WEEKDAY(C257,2)+4),1,3),2)+5)/7),"00"))</f>
        <v/>
      </c>
    </row>
    <row r="258" ht="18" customHeight="1">
      <c r="A258" s="39" t="n">
        <v>253</v>
      </c>
      <c r="B258" s="33">
        <f>IF(C258="","",IF(L258="À RENSEIGNER","GIC",L258)&amp;"-E"&amp;TEXT(A258,"00000"))</f>
        <v/>
      </c>
      <c r="C258" s="32" t="n"/>
      <c r="D258" s="36" t="n"/>
      <c r="E258" s="37" t="n"/>
      <c r="F258" s="36" t="n"/>
      <c r="G258" s="44" t="n"/>
      <c r="H258" s="43" t="n"/>
      <c r="I258" s="32" t="n"/>
      <c r="J258" s="44" t="n"/>
      <c r="K258" s="36" t="n"/>
      <c r="L258" s="33">
        <f>IF(C258="","",Commercial_Id)</f>
        <v/>
      </c>
      <c r="M258" s="34">
        <f>IF(OR(C258="",F258=""),"",IF(F258&lt;&gt;"Espèces","—",IF(I258&lt;&gt;"","☑ Oui","☐ Non")))</f>
        <v/>
      </c>
      <c r="N258" s="39">
        <f>IF(D258="","",IFERROR(VALUE(MID(D258,LEN(D258)-3,3)),""))</f>
        <v/>
      </c>
      <c r="O258" s="33">
        <f>IF(N258="","",L258&amp;"|"&amp;N258)</f>
        <v/>
      </c>
      <c r="P258" s="33">
        <f>IF(N258="","",IF(L258="À RENSEIGNER","GIC",L258)&amp;"-"&amp;TEXT(N258,"000"))</f>
        <v/>
      </c>
      <c r="Q258" s="33">
        <f>IF(O258="","",IFERROR(INDEX(Cl_nom,MATCH(O258,Cl_cle,0)),"(client introuvable)"))</f>
        <v/>
      </c>
      <c r="R258" s="40">
        <f>IF(O258="","",IFERROR(INDEX(Cl_reste,MATCH(O258,Cl_cle,0)),""))</f>
        <v/>
      </c>
      <c r="S258" s="34">
        <f>IF(C258="","",YEAR(C258-WEEKDAY(C258,2)+4)&amp;"-S"&amp;TEXT(INT((C258-DATE(YEAR(C258-WEEKDAY(C258,2)+4),1,3)+WEEKDAY(DATE(YEAR(C258-WEEKDAY(C258,2)+4),1,3),2)+5)/7),"00"))</f>
        <v/>
      </c>
    </row>
    <row r="259" ht="18" customHeight="1">
      <c r="A259" s="39" t="n">
        <v>254</v>
      </c>
      <c r="B259" s="33">
        <f>IF(C259="","",IF(L259="À RENSEIGNER","GIC",L259)&amp;"-E"&amp;TEXT(A259,"00000"))</f>
        <v/>
      </c>
      <c r="C259" s="32" t="n"/>
      <c r="D259" s="36" t="n"/>
      <c r="E259" s="37" t="n"/>
      <c r="F259" s="36" t="n"/>
      <c r="G259" s="44" t="n"/>
      <c r="H259" s="43" t="n"/>
      <c r="I259" s="32" t="n"/>
      <c r="J259" s="44" t="n"/>
      <c r="K259" s="36" t="n"/>
      <c r="L259" s="33">
        <f>IF(C259="","",Commercial_Id)</f>
        <v/>
      </c>
      <c r="M259" s="34">
        <f>IF(OR(C259="",F259=""),"",IF(F259&lt;&gt;"Espèces","—",IF(I259&lt;&gt;"","☑ Oui","☐ Non")))</f>
        <v/>
      </c>
      <c r="N259" s="39">
        <f>IF(D259="","",IFERROR(VALUE(MID(D259,LEN(D259)-3,3)),""))</f>
        <v/>
      </c>
      <c r="O259" s="33">
        <f>IF(N259="","",L259&amp;"|"&amp;N259)</f>
        <v/>
      </c>
      <c r="P259" s="33">
        <f>IF(N259="","",IF(L259="À RENSEIGNER","GIC",L259)&amp;"-"&amp;TEXT(N259,"000"))</f>
        <v/>
      </c>
      <c r="Q259" s="33">
        <f>IF(O259="","",IFERROR(INDEX(Cl_nom,MATCH(O259,Cl_cle,0)),"(client introuvable)"))</f>
        <v/>
      </c>
      <c r="R259" s="40">
        <f>IF(O259="","",IFERROR(INDEX(Cl_reste,MATCH(O259,Cl_cle,0)),""))</f>
        <v/>
      </c>
      <c r="S259" s="34">
        <f>IF(C259="","",YEAR(C259-WEEKDAY(C259,2)+4)&amp;"-S"&amp;TEXT(INT((C259-DATE(YEAR(C259-WEEKDAY(C259,2)+4),1,3)+WEEKDAY(DATE(YEAR(C259-WEEKDAY(C259,2)+4),1,3),2)+5)/7),"00"))</f>
        <v/>
      </c>
    </row>
    <row r="260" ht="18" customHeight="1">
      <c r="A260" s="39" t="n">
        <v>255</v>
      </c>
      <c r="B260" s="33">
        <f>IF(C260="","",IF(L260="À RENSEIGNER","GIC",L260)&amp;"-E"&amp;TEXT(A260,"00000"))</f>
        <v/>
      </c>
      <c r="C260" s="32" t="n"/>
      <c r="D260" s="36" t="n"/>
      <c r="E260" s="37" t="n"/>
      <c r="F260" s="36" t="n"/>
      <c r="G260" s="44" t="n"/>
      <c r="H260" s="43" t="n"/>
      <c r="I260" s="32" t="n"/>
      <c r="J260" s="44" t="n"/>
      <c r="K260" s="36" t="n"/>
      <c r="L260" s="33">
        <f>IF(C260="","",Commercial_Id)</f>
        <v/>
      </c>
      <c r="M260" s="34">
        <f>IF(OR(C260="",F260=""),"",IF(F260&lt;&gt;"Espèces","—",IF(I260&lt;&gt;"","☑ Oui","☐ Non")))</f>
        <v/>
      </c>
      <c r="N260" s="39">
        <f>IF(D260="","",IFERROR(VALUE(MID(D260,LEN(D260)-3,3)),""))</f>
        <v/>
      </c>
      <c r="O260" s="33">
        <f>IF(N260="","",L260&amp;"|"&amp;N260)</f>
        <v/>
      </c>
      <c r="P260" s="33">
        <f>IF(N260="","",IF(L260="À RENSEIGNER","GIC",L260)&amp;"-"&amp;TEXT(N260,"000"))</f>
        <v/>
      </c>
      <c r="Q260" s="33">
        <f>IF(O260="","",IFERROR(INDEX(Cl_nom,MATCH(O260,Cl_cle,0)),"(client introuvable)"))</f>
        <v/>
      </c>
      <c r="R260" s="40">
        <f>IF(O260="","",IFERROR(INDEX(Cl_reste,MATCH(O260,Cl_cle,0)),""))</f>
        <v/>
      </c>
      <c r="S260" s="34">
        <f>IF(C260="","",YEAR(C260-WEEKDAY(C260,2)+4)&amp;"-S"&amp;TEXT(INT((C260-DATE(YEAR(C260-WEEKDAY(C260,2)+4),1,3)+WEEKDAY(DATE(YEAR(C260-WEEKDAY(C260,2)+4),1,3),2)+5)/7),"00"))</f>
        <v/>
      </c>
    </row>
    <row r="261" ht="18" customHeight="1">
      <c r="A261" s="39" t="n">
        <v>256</v>
      </c>
      <c r="B261" s="33">
        <f>IF(C261="","",IF(L261="À RENSEIGNER","GIC",L261)&amp;"-E"&amp;TEXT(A261,"00000"))</f>
        <v/>
      </c>
      <c r="C261" s="32" t="n"/>
      <c r="D261" s="36" t="n"/>
      <c r="E261" s="37" t="n"/>
      <c r="F261" s="36" t="n"/>
      <c r="G261" s="44" t="n"/>
      <c r="H261" s="43" t="n"/>
      <c r="I261" s="32" t="n"/>
      <c r="J261" s="44" t="n"/>
      <c r="K261" s="36" t="n"/>
      <c r="L261" s="33">
        <f>IF(C261="","",Commercial_Id)</f>
        <v/>
      </c>
      <c r="M261" s="34">
        <f>IF(OR(C261="",F261=""),"",IF(F261&lt;&gt;"Espèces","—",IF(I261&lt;&gt;"","☑ Oui","☐ Non")))</f>
        <v/>
      </c>
      <c r="N261" s="39">
        <f>IF(D261="","",IFERROR(VALUE(MID(D261,LEN(D261)-3,3)),""))</f>
        <v/>
      </c>
      <c r="O261" s="33">
        <f>IF(N261="","",L261&amp;"|"&amp;N261)</f>
        <v/>
      </c>
      <c r="P261" s="33">
        <f>IF(N261="","",IF(L261="À RENSEIGNER","GIC",L261)&amp;"-"&amp;TEXT(N261,"000"))</f>
        <v/>
      </c>
      <c r="Q261" s="33">
        <f>IF(O261="","",IFERROR(INDEX(Cl_nom,MATCH(O261,Cl_cle,0)),"(client introuvable)"))</f>
        <v/>
      </c>
      <c r="R261" s="40">
        <f>IF(O261="","",IFERROR(INDEX(Cl_reste,MATCH(O261,Cl_cle,0)),""))</f>
        <v/>
      </c>
      <c r="S261" s="34">
        <f>IF(C261="","",YEAR(C261-WEEKDAY(C261,2)+4)&amp;"-S"&amp;TEXT(INT((C261-DATE(YEAR(C261-WEEKDAY(C261,2)+4),1,3)+WEEKDAY(DATE(YEAR(C261-WEEKDAY(C261,2)+4),1,3),2)+5)/7),"00"))</f>
        <v/>
      </c>
    </row>
    <row r="262" ht="18" customHeight="1">
      <c r="A262" s="39" t="n">
        <v>257</v>
      </c>
      <c r="B262" s="33">
        <f>IF(C262="","",IF(L262="À RENSEIGNER","GIC",L262)&amp;"-E"&amp;TEXT(A262,"00000"))</f>
        <v/>
      </c>
      <c r="C262" s="32" t="n"/>
      <c r="D262" s="36" t="n"/>
      <c r="E262" s="37" t="n"/>
      <c r="F262" s="36" t="n"/>
      <c r="G262" s="44" t="n"/>
      <c r="H262" s="43" t="n"/>
      <c r="I262" s="32" t="n"/>
      <c r="J262" s="44" t="n"/>
      <c r="K262" s="36" t="n"/>
      <c r="L262" s="33">
        <f>IF(C262="","",Commercial_Id)</f>
        <v/>
      </c>
      <c r="M262" s="34">
        <f>IF(OR(C262="",F262=""),"",IF(F262&lt;&gt;"Espèces","—",IF(I262&lt;&gt;"","☑ Oui","☐ Non")))</f>
        <v/>
      </c>
      <c r="N262" s="39">
        <f>IF(D262="","",IFERROR(VALUE(MID(D262,LEN(D262)-3,3)),""))</f>
        <v/>
      </c>
      <c r="O262" s="33">
        <f>IF(N262="","",L262&amp;"|"&amp;N262)</f>
        <v/>
      </c>
      <c r="P262" s="33">
        <f>IF(N262="","",IF(L262="À RENSEIGNER","GIC",L262)&amp;"-"&amp;TEXT(N262,"000"))</f>
        <v/>
      </c>
      <c r="Q262" s="33">
        <f>IF(O262="","",IFERROR(INDEX(Cl_nom,MATCH(O262,Cl_cle,0)),"(client introuvable)"))</f>
        <v/>
      </c>
      <c r="R262" s="40">
        <f>IF(O262="","",IFERROR(INDEX(Cl_reste,MATCH(O262,Cl_cle,0)),""))</f>
        <v/>
      </c>
      <c r="S262" s="34">
        <f>IF(C262="","",YEAR(C262-WEEKDAY(C262,2)+4)&amp;"-S"&amp;TEXT(INT((C262-DATE(YEAR(C262-WEEKDAY(C262,2)+4),1,3)+WEEKDAY(DATE(YEAR(C262-WEEKDAY(C262,2)+4),1,3),2)+5)/7),"00"))</f>
        <v/>
      </c>
    </row>
    <row r="263" ht="18" customHeight="1">
      <c r="A263" s="39" t="n">
        <v>258</v>
      </c>
      <c r="B263" s="33">
        <f>IF(C263="","",IF(L263="À RENSEIGNER","GIC",L263)&amp;"-E"&amp;TEXT(A263,"00000"))</f>
        <v/>
      </c>
      <c r="C263" s="32" t="n"/>
      <c r="D263" s="36" t="n"/>
      <c r="E263" s="37" t="n"/>
      <c r="F263" s="36" t="n"/>
      <c r="G263" s="44" t="n"/>
      <c r="H263" s="43" t="n"/>
      <c r="I263" s="32" t="n"/>
      <c r="J263" s="44" t="n"/>
      <c r="K263" s="36" t="n"/>
      <c r="L263" s="33">
        <f>IF(C263="","",Commercial_Id)</f>
        <v/>
      </c>
      <c r="M263" s="34">
        <f>IF(OR(C263="",F263=""),"",IF(F263&lt;&gt;"Espèces","—",IF(I263&lt;&gt;"","☑ Oui","☐ Non")))</f>
        <v/>
      </c>
      <c r="N263" s="39">
        <f>IF(D263="","",IFERROR(VALUE(MID(D263,LEN(D263)-3,3)),""))</f>
        <v/>
      </c>
      <c r="O263" s="33">
        <f>IF(N263="","",L263&amp;"|"&amp;N263)</f>
        <v/>
      </c>
      <c r="P263" s="33">
        <f>IF(N263="","",IF(L263="À RENSEIGNER","GIC",L263)&amp;"-"&amp;TEXT(N263,"000"))</f>
        <v/>
      </c>
      <c r="Q263" s="33">
        <f>IF(O263="","",IFERROR(INDEX(Cl_nom,MATCH(O263,Cl_cle,0)),"(client introuvable)"))</f>
        <v/>
      </c>
      <c r="R263" s="40">
        <f>IF(O263="","",IFERROR(INDEX(Cl_reste,MATCH(O263,Cl_cle,0)),""))</f>
        <v/>
      </c>
      <c r="S263" s="34">
        <f>IF(C263="","",YEAR(C263-WEEKDAY(C263,2)+4)&amp;"-S"&amp;TEXT(INT((C263-DATE(YEAR(C263-WEEKDAY(C263,2)+4),1,3)+WEEKDAY(DATE(YEAR(C263-WEEKDAY(C263,2)+4),1,3),2)+5)/7),"00"))</f>
        <v/>
      </c>
    </row>
    <row r="264" ht="18" customHeight="1">
      <c r="A264" s="39" t="n">
        <v>259</v>
      </c>
      <c r="B264" s="33">
        <f>IF(C264="","",IF(L264="À RENSEIGNER","GIC",L264)&amp;"-E"&amp;TEXT(A264,"00000"))</f>
        <v/>
      </c>
      <c r="C264" s="32" t="n"/>
      <c r="D264" s="36" t="n"/>
      <c r="E264" s="37" t="n"/>
      <c r="F264" s="36" t="n"/>
      <c r="G264" s="44" t="n"/>
      <c r="H264" s="43" t="n"/>
      <c r="I264" s="32" t="n"/>
      <c r="J264" s="44" t="n"/>
      <c r="K264" s="36" t="n"/>
      <c r="L264" s="33">
        <f>IF(C264="","",Commercial_Id)</f>
        <v/>
      </c>
      <c r="M264" s="34">
        <f>IF(OR(C264="",F264=""),"",IF(F264&lt;&gt;"Espèces","—",IF(I264&lt;&gt;"","☑ Oui","☐ Non")))</f>
        <v/>
      </c>
      <c r="N264" s="39">
        <f>IF(D264="","",IFERROR(VALUE(MID(D264,LEN(D264)-3,3)),""))</f>
        <v/>
      </c>
      <c r="O264" s="33">
        <f>IF(N264="","",L264&amp;"|"&amp;N264)</f>
        <v/>
      </c>
      <c r="P264" s="33">
        <f>IF(N264="","",IF(L264="À RENSEIGNER","GIC",L264)&amp;"-"&amp;TEXT(N264,"000"))</f>
        <v/>
      </c>
      <c r="Q264" s="33">
        <f>IF(O264="","",IFERROR(INDEX(Cl_nom,MATCH(O264,Cl_cle,0)),"(client introuvable)"))</f>
        <v/>
      </c>
      <c r="R264" s="40">
        <f>IF(O264="","",IFERROR(INDEX(Cl_reste,MATCH(O264,Cl_cle,0)),""))</f>
        <v/>
      </c>
      <c r="S264" s="34">
        <f>IF(C264="","",YEAR(C264-WEEKDAY(C264,2)+4)&amp;"-S"&amp;TEXT(INT((C264-DATE(YEAR(C264-WEEKDAY(C264,2)+4),1,3)+WEEKDAY(DATE(YEAR(C264-WEEKDAY(C264,2)+4),1,3),2)+5)/7),"00"))</f>
        <v/>
      </c>
    </row>
    <row r="265" ht="18" customHeight="1">
      <c r="A265" s="39" t="n">
        <v>260</v>
      </c>
      <c r="B265" s="33">
        <f>IF(C265="","",IF(L265="À RENSEIGNER","GIC",L265)&amp;"-E"&amp;TEXT(A265,"00000"))</f>
        <v/>
      </c>
      <c r="C265" s="32" t="n"/>
      <c r="D265" s="36" t="n"/>
      <c r="E265" s="37" t="n"/>
      <c r="F265" s="36" t="n"/>
      <c r="G265" s="44" t="n"/>
      <c r="H265" s="43" t="n"/>
      <c r="I265" s="32" t="n"/>
      <c r="J265" s="44" t="n"/>
      <c r="K265" s="36" t="n"/>
      <c r="L265" s="33">
        <f>IF(C265="","",Commercial_Id)</f>
        <v/>
      </c>
      <c r="M265" s="34">
        <f>IF(OR(C265="",F265=""),"",IF(F265&lt;&gt;"Espèces","—",IF(I265&lt;&gt;"","☑ Oui","☐ Non")))</f>
        <v/>
      </c>
      <c r="N265" s="39">
        <f>IF(D265="","",IFERROR(VALUE(MID(D265,LEN(D265)-3,3)),""))</f>
        <v/>
      </c>
      <c r="O265" s="33">
        <f>IF(N265="","",L265&amp;"|"&amp;N265)</f>
        <v/>
      </c>
      <c r="P265" s="33">
        <f>IF(N265="","",IF(L265="À RENSEIGNER","GIC",L265)&amp;"-"&amp;TEXT(N265,"000"))</f>
        <v/>
      </c>
      <c r="Q265" s="33">
        <f>IF(O265="","",IFERROR(INDEX(Cl_nom,MATCH(O265,Cl_cle,0)),"(client introuvable)"))</f>
        <v/>
      </c>
      <c r="R265" s="40">
        <f>IF(O265="","",IFERROR(INDEX(Cl_reste,MATCH(O265,Cl_cle,0)),""))</f>
        <v/>
      </c>
      <c r="S265" s="34">
        <f>IF(C265="","",YEAR(C265-WEEKDAY(C265,2)+4)&amp;"-S"&amp;TEXT(INT((C265-DATE(YEAR(C265-WEEKDAY(C265,2)+4),1,3)+WEEKDAY(DATE(YEAR(C265-WEEKDAY(C265,2)+4),1,3),2)+5)/7),"00"))</f>
        <v/>
      </c>
    </row>
    <row r="266" ht="18" customHeight="1">
      <c r="A266" s="39" t="n">
        <v>261</v>
      </c>
      <c r="B266" s="33">
        <f>IF(C266="","",IF(L266="À RENSEIGNER","GIC",L266)&amp;"-E"&amp;TEXT(A266,"00000"))</f>
        <v/>
      </c>
      <c r="C266" s="32" t="n"/>
      <c r="D266" s="36" t="n"/>
      <c r="E266" s="37" t="n"/>
      <c r="F266" s="36" t="n"/>
      <c r="G266" s="44" t="n"/>
      <c r="H266" s="43" t="n"/>
      <c r="I266" s="32" t="n"/>
      <c r="J266" s="44" t="n"/>
      <c r="K266" s="36" t="n"/>
      <c r="L266" s="33">
        <f>IF(C266="","",Commercial_Id)</f>
        <v/>
      </c>
      <c r="M266" s="34">
        <f>IF(OR(C266="",F266=""),"",IF(F266&lt;&gt;"Espèces","—",IF(I266&lt;&gt;"","☑ Oui","☐ Non")))</f>
        <v/>
      </c>
      <c r="N266" s="39">
        <f>IF(D266="","",IFERROR(VALUE(MID(D266,LEN(D266)-3,3)),""))</f>
        <v/>
      </c>
      <c r="O266" s="33">
        <f>IF(N266="","",L266&amp;"|"&amp;N266)</f>
        <v/>
      </c>
      <c r="P266" s="33">
        <f>IF(N266="","",IF(L266="À RENSEIGNER","GIC",L266)&amp;"-"&amp;TEXT(N266,"000"))</f>
        <v/>
      </c>
      <c r="Q266" s="33">
        <f>IF(O266="","",IFERROR(INDEX(Cl_nom,MATCH(O266,Cl_cle,0)),"(client introuvable)"))</f>
        <v/>
      </c>
      <c r="R266" s="40">
        <f>IF(O266="","",IFERROR(INDEX(Cl_reste,MATCH(O266,Cl_cle,0)),""))</f>
        <v/>
      </c>
      <c r="S266" s="34">
        <f>IF(C266="","",YEAR(C266-WEEKDAY(C266,2)+4)&amp;"-S"&amp;TEXT(INT((C266-DATE(YEAR(C266-WEEKDAY(C266,2)+4),1,3)+WEEKDAY(DATE(YEAR(C266-WEEKDAY(C266,2)+4),1,3),2)+5)/7),"00"))</f>
        <v/>
      </c>
    </row>
    <row r="267" ht="18" customHeight="1">
      <c r="A267" s="39" t="n">
        <v>262</v>
      </c>
      <c r="B267" s="33">
        <f>IF(C267="","",IF(L267="À RENSEIGNER","GIC",L267)&amp;"-E"&amp;TEXT(A267,"00000"))</f>
        <v/>
      </c>
      <c r="C267" s="32" t="n"/>
      <c r="D267" s="36" t="n"/>
      <c r="E267" s="37" t="n"/>
      <c r="F267" s="36" t="n"/>
      <c r="G267" s="44" t="n"/>
      <c r="H267" s="43" t="n"/>
      <c r="I267" s="32" t="n"/>
      <c r="J267" s="44" t="n"/>
      <c r="K267" s="36" t="n"/>
      <c r="L267" s="33">
        <f>IF(C267="","",Commercial_Id)</f>
        <v/>
      </c>
      <c r="M267" s="34">
        <f>IF(OR(C267="",F267=""),"",IF(F267&lt;&gt;"Espèces","—",IF(I267&lt;&gt;"","☑ Oui","☐ Non")))</f>
        <v/>
      </c>
      <c r="N267" s="39">
        <f>IF(D267="","",IFERROR(VALUE(MID(D267,LEN(D267)-3,3)),""))</f>
        <v/>
      </c>
      <c r="O267" s="33">
        <f>IF(N267="","",L267&amp;"|"&amp;N267)</f>
        <v/>
      </c>
      <c r="P267" s="33">
        <f>IF(N267="","",IF(L267="À RENSEIGNER","GIC",L267)&amp;"-"&amp;TEXT(N267,"000"))</f>
        <v/>
      </c>
      <c r="Q267" s="33">
        <f>IF(O267="","",IFERROR(INDEX(Cl_nom,MATCH(O267,Cl_cle,0)),"(client introuvable)"))</f>
        <v/>
      </c>
      <c r="R267" s="40">
        <f>IF(O267="","",IFERROR(INDEX(Cl_reste,MATCH(O267,Cl_cle,0)),""))</f>
        <v/>
      </c>
      <c r="S267" s="34">
        <f>IF(C267="","",YEAR(C267-WEEKDAY(C267,2)+4)&amp;"-S"&amp;TEXT(INT((C267-DATE(YEAR(C267-WEEKDAY(C267,2)+4),1,3)+WEEKDAY(DATE(YEAR(C267-WEEKDAY(C267,2)+4),1,3),2)+5)/7),"00"))</f>
        <v/>
      </c>
    </row>
    <row r="268" ht="18" customHeight="1">
      <c r="A268" s="39" t="n">
        <v>263</v>
      </c>
      <c r="B268" s="33">
        <f>IF(C268="","",IF(L268="À RENSEIGNER","GIC",L268)&amp;"-E"&amp;TEXT(A268,"00000"))</f>
        <v/>
      </c>
      <c r="C268" s="32" t="n"/>
      <c r="D268" s="36" t="n"/>
      <c r="E268" s="37" t="n"/>
      <c r="F268" s="36" t="n"/>
      <c r="G268" s="44" t="n"/>
      <c r="H268" s="43" t="n"/>
      <c r="I268" s="32" t="n"/>
      <c r="J268" s="44" t="n"/>
      <c r="K268" s="36" t="n"/>
      <c r="L268" s="33">
        <f>IF(C268="","",Commercial_Id)</f>
        <v/>
      </c>
      <c r="M268" s="34">
        <f>IF(OR(C268="",F268=""),"",IF(F268&lt;&gt;"Espèces","—",IF(I268&lt;&gt;"","☑ Oui","☐ Non")))</f>
        <v/>
      </c>
      <c r="N268" s="39">
        <f>IF(D268="","",IFERROR(VALUE(MID(D268,LEN(D268)-3,3)),""))</f>
        <v/>
      </c>
      <c r="O268" s="33">
        <f>IF(N268="","",L268&amp;"|"&amp;N268)</f>
        <v/>
      </c>
      <c r="P268" s="33">
        <f>IF(N268="","",IF(L268="À RENSEIGNER","GIC",L268)&amp;"-"&amp;TEXT(N268,"000"))</f>
        <v/>
      </c>
      <c r="Q268" s="33">
        <f>IF(O268="","",IFERROR(INDEX(Cl_nom,MATCH(O268,Cl_cle,0)),"(client introuvable)"))</f>
        <v/>
      </c>
      <c r="R268" s="40">
        <f>IF(O268="","",IFERROR(INDEX(Cl_reste,MATCH(O268,Cl_cle,0)),""))</f>
        <v/>
      </c>
      <c r="S268" s="34">
        <f>IF(C268="","",YEAR(C268-WEEKDAY(C268,2)+4)&amp;"-S"&amp;TEXT(INT((C268-DATE(YEAR(C268-WEEKDAY(C268,2)+4),1,3)+WEEKDAY(DATE(YEAR(C268-WEEKDAY(C268,2)+4),1,3),2)+5)/7),"00"))</f>
        <v/>
      </c>
    </row>
    <row r="269" ht="18" customHeight="1">
      <c r="A269" s="39" t="n">
        <v>264</v>
      </c>
      <c r="B269" s="33">
        <f>IF(C269="","",IF(L269="À RENSEIGNER","GIC",L269)&amp;"-E"&amp;TEXT(A269,"00000"))</f>
        <v/>
      </c>
      <c r="C269" s="32" t="n"/>
      <c r="D269" s="36" t="n"/>
      <c r="E269" s="37" t="n"/>
      <c r="F269" s="36" t="n"/>
      <c r="G269" s="44" t="n"/>
      <c r="H269" s="43" t="n"/>
      <c r="I269" s="32" t="n"/>
      <c r="J269" s="44" t="n"/>
      <c r="K269" s="36" t="n"/>
      <c r="L269" s="33">
        <f>IF(C269="","",Commercial_Id)</f>
        <v/>
      </c>
      <c r="M269" s="34">
        <f>IF(OR(C269="",F269=""),"",IF(F269&lt;&gt;"Espèces","—",IF(I269&lt;&gt;"","☑ Oui","☐ Non")))</f>
        <v/>
      </c>
      <c r="N269" s="39">
        <f>IF(D269="","",IFERROR(VALUE(MID(D269,LEN(D269)-3,3)),""))</f>
        <v/>
      </c>
      <c r="O269" s="33">
        <f>IF(N269="","",L269&amp;"|"&amp;N269)</f>
        <v/>
      </c>
      <c r="P269" s="33">
        <f>IF(N269="","",IF(L269="À RENSEIGNER","GIC",L269)&amp;"-"&amp;TEXT(N269,"000"))</f>
        <v/>
      </c>
      <c r="Q269" s="33">
        <f>IF(O269="","",IFERROR(INDEX(Cl_nom,MATCH(O269,Cl_cle,0)),"(client introuvable)"))</f>
        <v/>
      </c>
      <c r="R269" s="40">
        <f>IF(O269="","",IFERROR(INDEX(Cl_reste,MATCH(O269,Cl_cle,0)),""))</f>
        <v/>
      </c>
      <c r="S269" s="34">
        <f>IF(C269="","",YEAR(C269-WEEKDAY(C269,2)+4)&amp;"-S"&amp;TEXT(INT((C269-DATE(YEAR(C269-WEEKDAY(C269,2)+4),1,3)+WEEKDAY(DATE(YEAR(C269-WEEKDAY(C269,2)+4),1,3),2)+5)/7),"00"))</f>
        <v/>
      </c>
    </row>
    <row r="270" ht="18" customHeight="1">
      <c r="A270" s="39" t="n">
        <v>265</v>
      </c>
      <c r="B270" s="33">
        <f>IF(C270="","",IF(L270="À RENSEIGNER","GIC",L270)&amp;"-E"&amp;TEXT(A270,"00000"))</f>
        <v/>
      </c>
      <c r="C270" s="32" t="n"/>
      <c r="D270" s="36" t="n"/>
      <c r="E270" s="37" t="n"/>
      <c r="F270" s="36" t="n"/>
      <c r="G270" s="44" t="n"/>
      <c r="H270" s="43" t="n"/>
      <c r="I270" s="32" t="n"/>
      <c r="J270" s="44" t="n"/>
      <c r="K270" s="36" t="n"/>
      <c r="L270" s="33">
        <f>IF(C270="","",Commercial_Id)</f>
        <v/>
      </c>
      <c r="M270" s="34">
        <f>IF(OR(C270="",F270=""),"",IF(F270&lt;&gt;"Espèces","—",IF(I270&lt;&gt;"","☑ Oui","☐ Non")))</f>
        <v/>
      </c>
      <c r="N270" s="39">
        <f>IF(D270="","",IFERROR(VALUE(MID(D270,LEN(D270)-3,3)),""))</f>
        <v/>
      </c>
      <c r="O270" s="33">
        <f>IF(N270="","",L270&amp;"|"&amp;N270)</f>
        <v/>
      </c>
      <c r="P270" s="33">
        <f>IF(N270="","",IF(L270="À RENSEIGNER","GIC",L270)&amp;"-"&amp;TEXT(N270,"000"))</f>
        <v/>
      </c>
      <c r="Q270" s="33">
        <f>IF(O270="","",IFERROR(INDEX(Cl_nom,MATCH(O270,Cl_cle,0)),"(client introuvable)"))</f>
        <v/>
      </c>
      <c r="R270" s="40">
        <f>IF(O270="","",IFERROR(INDEX(Cl_reste,MATCH(O270,Cl_cle,0)),""))</f>
        <v/>
      </c>
      <c r="S270" s="34">
        <f>IF(C270="","",YEAR(C270-WEEKDAY(C270,2)+4)&amp;"-S"&amp;TEXT(INT((C270-DATE(YEAR(C270-WEEKDAY(C270,2)+4),1,3)+WEEKDAY(DATE(YEAR(C270-WEEKDAY(C270,2)+4),1,3),2)+5)/7),"00"))</f>
        <v/>
      </c>
    </row>
    <row r="271" ht="18" customHeight="1">
      <c r="A271" s="39" t="n">
        <v>266</v>
      </c>
      <c r="B271" s="33">
        <f>IF(C271="","",IF(L271="À RENSEIGNER","GIC",L271)&amp;"-E"&amp;TEXT(A271,"00000"))</f>
        <v/>
      </c>
      <c r="C271" s="32" t="n"/>
      <c r="D271" s="36" t="n"/>
      <c r="E271" s="37" t="n"/>
      <c r="F271" s="36" t="n"/>
      <c r="G271" s="44" t="n"/>
      <c r="H271" s="43" t="n"/>
      <c r="I271" s="32" t="n"/>
      <c r="J271" s="44" t="n"/>
      <c r="K271" s="36" t="n"/>
      <c r="L271" s="33">
        <f>IF(C271="","",Commercial_Id)</f>
        <v/>
      </c>
      <c r="M271" s="34">
        <f>IF(OR(C271="",F271=""),"",IF(F271&lt;&gt;"Espèces","—",IF(I271&lt;&gt;"","☑ Oui","☐ Non")))</f>
        <v/>
      </c>
      <c r="N271" s="39">
        <f>IF(D271="","",IFERROR(VALUE(MID(D271,LEN(D271)-3,3)),""))</f>
        <v/>
      </c>
      <c r="O271" s="33">
        <f>IF(N271="","",L271&amp;"|"&amp;N271)</f>
        <v/>
      </c>
      <c r="P271" s="33">
        <f>IF(N271="","",IF(L271="À RENSEIGNER","GIC",L271)&amp;"-"&amp;TEXT(N271,"000"))</f>
        <v/>
      </c>
      <c r="Q271" s="33">
        <f>IF(O271="","",IFERROR(INDEX(Cl_nom,MATCH(O271,Cl_cle,0)),"(client introuvable)"))</f>
        <v/>
      </c>
      <c r="R271" s="40">
        <f>IF(O271="","",IFERROR(INDEX(Cl_reste,MATCH(O271,Cl_cle,0)),""))</f>
        <v/>
      </c>
      <c r="S271" s="34">
        <f>IF(C271="","",YEAR(C271-WEEKDAY(C271,2)+4)&amp;"-S"&amp;TEXT(INT((C271-DATE(YEAR(C271-WEEKDAY(C271,2)+4),1,3)+WEEKDAY(DATE(YEAR(C271-WEEKDAY(C271,2)+4),1,3),2)+5)/7),"00"))</f>
        <v/>
      </c>
    </row>
    <row r="272" ht="18" customHeight="1">
      <c r="A272" s="39" t="n">
        <v>267</v>
      </c>
      <c r="B272" s="33">
        <f>IF(C272="","",IF(L272="À RENSEIGNER","GIC",L272)&amp;"-E"&amp;TEXT(A272,"00000"))</f>
        <v/>
      </c>
      <c r="C272" s="32" t="n"/>
      <c r="D272" s="36" t="n"/>
      <c r="E272" s="37" t="n"/>
      <c r="F272" s="36" t="n"/>
      <c r="G272" s="44" t="n"/>
      <c r="H272" s="43" t="n"/>
      <c r="I272" s="32" t="n"/>
      <c r="J272" s="44" t="n"/>
      <c r="K272" s="36" t="n"/>
      <c r="L272" s="33">
        <f>IF(C272="","",Commercial_Id)</f>
        <v/>
      </c>
      <c r="M272" s="34">
        <f>IF(OR(C272="",F272=""),"",IF(F272&lt;&gt;"Espèces","—",IF(I272&lt;&gt;"","☑ Oui","☐ Non")))</f>
        <v/>
      </c>
      <c r="N272" s="39">
        <f>IF(D272="","",IFERROR(VALUE(MID(D272,LEN(D272)-3,3)),""))</f>
        <v/>
      </c>
      <c r="O272" s="33">
        <f>IF(N272="","",L272&amp;"|"&amp;N272)</f>
        <v/>
      </c>
      <c r="P272" s="33">
        <f>IF(N272="","",IF(L272="À RENSEIGNER","GIC",L272)&amp;"-"&amp;TEXT(N272,"000"))</f>
        <v/>
      </c>
      <c r="Q272" s="33">
        <f>IF(O272="","",IFERROR(INDEX(Cl_nom,MATCH(O272,Cl_cle,0)),"(client introuvable)"))</f>
        <v/>
      </c>
      <c r="R272" s="40">
        <f>IF(O272="","",IFERROR(INDEX(Cl_reste,MATCH(O272,Cl_cle,0)),""))</f>
        <v/>
      </c>
      <c r="S272" s="34">
        <f>IF(C272="","",YEAR(C272-WEEKDAY(C272,2)+4)&amp;"-S"&amp;TEXT(INT((C272-DATE(YEAR(C272-WEEKDAY(C272,2)+4),1,3)+WEEKDAY(DATE(YEAR(C272-WEEKDAY(C272,2)+4),1,3),2)+5)/7),"00"))</f>
        <v/>
      </c>
    </row>
    <row r="273" ht="18" customHeight="1">
      <c r="A273" s="39" t="n">
        <v>268</v>
      </c>
      <c r="B273" s="33">
        <f>IF(C273="","",IF(L273="À RENSEIGNER","GIC",L273)&amp;"-E"&amp;TEXT(A273,"00000"))</f>
        <v/>
      </c>
      <c r="C273" s="32" t="n"/>
      <c r="D273" s="36" t="n"/>
      <c r="E273" s="37" t="n"/>
      <c r="F273" s="36" t="n"/>
      <c r="G273" s="44" t="n"/>
      <c r="H273" s="43" t="n"/>
      <c r="I273" s="32" t="n"/>
      <c r="J273" s="44" t="n"/>
      <c r="K273" s="36" t="n"/>
      <c r="L273" s="33">
        <f>IF(C273="","",Commercial_Id)</f>
        <v/>
      </c>
      <c r="M273" s="34">
        <f>IF(OR(C273="",F273=""),"",IF(F273&lt;&gt;"Espèces","—",IF(I273&lt;&gt;"","☑ Oui","☐ Non")))</f>
        <v/>
      </c>
      <c r="N273" s="39">
        <f>IF(D273="","",IFERROR(VALUE(MID(D273,LEN(D273)-3,3)),""))</f>
        <v/>
      </c>
      <c r="O273" s="33">
        <f>IF(N273="","",L273&amp;"|"&amp;N273)</f>
        <v/>
      </c>
      <c r="P273" s="33">
        <f>IF(N273="","",IF(L273="À RENSEIGNER","GIC",L273)&amp;"-"&amp;TEXT(N273,"000"))</f>
        <v/>
      </c>
      <c r="Q273" s="33">
        <f>IF(O273="","",IFERROR(INDEX(Cl_nom,MATCH(O273,Cl_cle,0)),"(client introuvable)"))</f>
        <v/>
      </c>
      <c r="R273" s="40">
        <f>IF(O273="","",IFERROR(INDEX(Cl_reste,MATCH(O273,Cl_cle,0)),""))</f>
        <v/>
      </c>
      <c r="S273" s="34">
        <f>IF(C273="","",YEAR(C273-WEEKDAY(C273,2)+4)&amp;"-S"&amp;TEXT(INT((C273-DATE(YEAR(C273-WEEKDAY(C273,2)+4),1,3)+WEEKDAY(DATE(YEAR(C273-WEEKDAY(C273,2)+4),1,3),2)+5)/7),"00"))</f>
        <v/>
      </c>
    </row>
    <row r="274" ht="18" customHeight="1">
      <c r="A274" s="39" t="n">
        <v>269</v>
      </c>
      <c r="B274" s="33">
        <f>IF(C274="","",IF(L274="À RENSEIGNER","GIC",L274)&amp;"-E"&amp;TEXT(A274,"00000"))</f>
        <v/>
      </c>
      <c r="C274" s="32" t="n"/>
      <c r="D274" s="36" t="n"/>
      <c r="E274" s="37" t="n"/>
      <c r="F274" s="36" t="n"/>
      <c r="G274" s="44" t="n"/>
      <c r="H274" s="43" t="n"/>
      <c r="I274" s="32" t="n"/>
      <c r="J274" s="44" t="n"/>
      <c r="K274" s="36" t="n"/>
      <c r="L274" s="33">
        <f>IF(C274="","",Commercial_Id)</f>
        <v/>
      </c>
      <c r="M274" s="34">
        <f>IF(OR(C274="",F274=""),"",IF(F274&lt;&gt;"Espèces","—",IF(I274&lt;&gt;"","☑ Oui","☐ Non")))</f>
        <v/>
      </c>
      <c r="N274" s="39">
        <f>IF(D274="","",IFERROR(VALUE(MID(D274,LEN(D274)-3,3)),""))</f>
        <v/>
      </c>
      <c r="O274" s="33">
        <f>IF(N274="","",L274&amp;"|"&amp;N274)</f>
        <v/>
      </c>
      <c r="P274" s="33">
        <f>IF(N274="","",IF(L274="À RENSEIGNER","GIC",L274)&amp;"-"&amp;TEXT(N274,"000"))</f>
        <v/>
      </c>
      <c r="Q274" s="33">
        <f>IF(O274="","",IFERROR(INDEX(Cl_nom,MATCH(O274,Cl_cle,0)),"(client introuvable)"))</f>
        <v/>
      </c>
      <c r="R274" s="40">
        <f>IF(O274="","",IFERROR(INDEX(Cl_reste,MATCH(O274,Cl_cle,0)),""))</f>
        <v/>
      </c>
      <c r="S274" s="34">
        <f>IF(C274="","",YEAR(C274-WEEKDAY(C274,2)+4)&amp;"-S"&amp;TEXT(INT((C274-DATE(YEAR(C274-WEEKDAY(C274,2)+4),1,3)+WEEKDAY(DATE(YEAR(C274-WEEKDAY(C274,2)+4),1,3),2)+5)/7),"00"))</f>
        <v/>
      </c>
    </row>
    <row r="275" ht="18" customHeight="1">
      <c r="A275" s="39" t="n">
        <v>270</v>
      </c>
      <c r="B275" s="33">
        <f>IF(C275="","",IF(L275="À RENSEIGNER","GIC",L275)&amp;"-E"&amp;TEXT(A275,"00000"))</f>
        <v/>
      </c>
      <c r="C275" s="32" t="n"/>
      <c r="D275" s="36" t="n"/>
      <c r="E275" s="37" t="n"/>
      <c r="F275" s="36" t="n"/>
      <c r="G275" s="44" t="n"/>
      <c r="H275" s="43" t="n"/>
      <c r="I275" s="32" t="n"/>
      <c r="J275" s="44" t="n"/>
      <c r="K275" s="36" t="n"/>
      <c r="L275" s="33">
        <f>IF(C275="","",Commercial_Id)</f>
        <v/>
      </c>
      <c r="M275" s="34">
        <f>IF(OR(C275="",F275=""),"",IF(F275&lt;&gt;"Espèces","—",IF(I275&lt;&gt;"","☑ Oui","☐ Non")))</f>
        <v/>
      </c>
      <c r="N275" s="39">
        <f>IF(D275="","",IFERROR(VALUE(MID(D275,LEN(D275)-3,3)),""))</f>
        <v/>
      </c>
      <c r="O275" s="33">
        <f>IF(N275="","",L275&amp;"|"&amp;N275)</f>
        <v/>
      </c>
      <c r="P275" s="33">
        <f>IF(N275="","",IF(L275="À RENSEIGNER","GIC",L275)&amp;"-"&amp;TEXT(N275,"000"))</f>
        <v/>
      </c>
      <c r="Q275" s="33">
        <f>IF(O275="","",IFERROR(INDEX(Cl_nom,MATCH(O275,Cl_cle,0)),"(client introuvable)"))</f>
        <v/>
      </c>
      <c r="R275" s="40">
        <f>IF(O275="","",IFERROR(INDEX(Cl_reste,MATCH(O275,Cl_cle,0)),""))</f>
        <v/>
      </c>
      <c r="S275" s="34">
        <f>IF(C275="","",YEAR(C275-WEEKDAY(C275,2)+4)&amp;"-S"&amp;TEXT(INT((C275-DATE(YEAR(C275-WEEKDAY(C275,2)+4),1,3)+WEEKDAY(DATE(YEAR(C275-WEEKDAY(C275,2)+4),1,3),2)+5)/7),"00"))</f>
        <v/>
      </c>
    </row>
    <row r="276" ht="18" customHeight="1">
      <c r="A276" s="39" t="n">
        <v>271</v>
      </c>
      <c r="B276" s="33">
        <f>IF(C276="","",IF(L276="À RENSEIGNER","GIC",L276)&amp;"-E"&amp;TEXT(A276,"00000"))</f>
        <v/>
      </c>
      <c r="C276" s="32" t="n"/>
      <c r="D276" s="36" t="n"/>
      <c r="E276" s="37" t="n"/>
      <c r="F276" s="36" t="n"/>
      <c r="G276" s="44" t="n"/>
      <c r="H276" s="43" t="n"/>
      <c r="I276" s="32" t="n"/>
      <c r="J276" s="44" t="n"/>
      <c r="K276" s="36" t="n"/>
      <c r="L276" s="33">
        <f>IF(C276="","",Commercial_Id)</f>
        <v/>
      </c>
      <c r="M276" s="34">
        <f>IF(OR(C276="",F276=""),"",IF(F276&lt;&gt;"Espèces","—",IF(I276&lt;&gt;"","☑ Oui","☐ Non")))</f>
        <v/>
      </c>
      <c r="N276" s="39">
        <f>IF(D276="","",IFERROR(VALUE(MID(D276,LEN(D276)-3,3)),""))</f>
        <v/>
      </c>
      <c r="O276" s="33">
        <f>IF(N276="","",L276&amp;"|"&amp;N276)</f>
        <v/>
      </c>
      <c r="P276" s="33">
        <f>IF(N276="","",IF(L276="À RENSEIGNER","GIC",L276)&amp;"-"&amp;TEXT(N276,"000"))</f>
        <v/>
      </c>
      <c r="Q276" s="33">
        <f>IF(O276="","",IFERROR(INDEX(Cl_nom,MATCH(O276,Cl_cle,0)),"(client introuvable)"))</f>
        <v/>
      </c>
      <c r="R276" s="40">
        <f>IF(O276="","",IFERROR(INDEX(Cl_reste,MATCH(O276,Cl_cle,0)),""))</f>
        <v/>
      </c>
      <c r="S276" s="34">
        <f>IF(C276="","",YEAR(C276-WEEKDAY(C276,2)+4)&amp;"-S"&amp;TEXT(INT((C276-DATE(YEAR(C276-WEEKDAY(C276,2)+4),1,3)+WEEKDAY(DATE(YEAR(C276-WEEKDAY(C276,2)+4),1,3),2)+5)/7),"00"))</f>
        <v/>
      </c>
    </row>
    <row r="277" ht="18" customHeight="1">
      <c r="A277" s="39" t="n">
        <v>272</v>
      </c>
      <c r="B277" s="33">
        <f>IF(C277="","",IF(L277="À RENSEIGNER","GIC",L277)&amp;"-E"&amp;TEXT(A277,"00000"))</f>
        <v/>
      </c>
      <c r="C277" s="32" t="n"/>
      <c r="D277" s="36" t="n"/>
      <c r="E277" s="37" t="n"/>
      <c r="F277" s="36" t="n"/>
      <c r="G277" s="44" t="n"/>
      <c r="H277" s="43" t="n"/>
      <c r="I277" s="32" t="n"/>
      <c r="J277" s="44" t="n"/>
      <c r="K277" s="36" t="n"/>
      <c r="L277" s="33">
        <f>IF(C277="","",Commercial_Id)</f>
        <v/>
      </c>
      <c r="M277" s="34">
        <f>IF(OR(C277="",F277=""),"",IF(F277&lt;&gt;"Espèces","—",IF(I277&lt;&gt;"","☑ Oui","☐ Non")))</f>
        <v/>
      </c>
      <c r="N277" s="39">
        <f>IF(D277="","",IFERROR(VALUE(MID(D277,LEN(D277)-3,3)),""))</f>
        <v/>
      </c>
      <c r="O277" s="33">
        <f>IF(N277="","",L277&amp;"|"&amp;N277)</f>
        <v/>
      </c>
      <c r="P277" s="33">
        <f>IF(N277="","",IF(L277="À RENSEIGNER","GIC",L277)&amp;"-"&amp;TEXT(N277,"000"))</f>
        <v/>
      </c>
      <c r="Q277" s="33">
        <f>IF(O277="","",IFERROR(INDEX(Cl_nom,MATCH(O277,Cl_cle,0)),"(client introuvable)"))</f>
        <v/>
      </c>
      <c r="R277" s="40">
        <f>IF(O277="","",IFERROR(INDEX(Cl_reste,MATCH(O277,Cl_cle,0)),""))</f>
        <v/>
      </c>
      <c r="S277" s="34">
        <f>IF(C277="","",YEAR(C277-WEEKDAY(C277,2)+4)&amp;"-S"&amp;TEXT(INT((C277-DATE(YEAR(C277-WEEKDAY(C277,2)+4),1,3)+WEEKDAY(DATE(YEAR(C277-WEEKDAY(C277,2)+4),1,3),2)+5)/7),"00"))</f>
        <v/>
      </c>
    </row>
    <row r="278" ht="18" customHeight="1">
      <c r="A278" s="39" t="n">
        <v>273</v>
      </c>
      <c r="B278" s="33">
        <f>IF(C278="","",IF(L278="À RENSEIGNER","GIC",L278)&amp;"-E"&amp;TEXT(A278,"00000"))</f>
        <v/>
      </c>
      <c r="C278" s="32" t="n"/>
      <c r="D278" s="36" t="n"/>
      <c r="E278" s="37" t="n"/>
      <c r="F278" s="36" t="n"/>
      <c r="G278" s="44" t="n"/>
      <c r="H278" s="43" t="n"/>
      <c r="I278" s="32" t="n"/>
      <c r="J278" s="44" t="n"/>
      <c r="K278" s="36" t="n"/>
      <c r="L278" s="33">
        <f>IF(C278="","",Commercial_Id)</f>
        <v/>
      </c>
      <c r="M278" s="34">
        <f>IF(OR(C278="",F278=""),"",IF(F278&lt;&gt;"Espèces","—",IF(I278&lt;&gt;"","☑ Oui","☐ Non")))</f>
        <v/>
      </c>
      <c r="N278" s="39">
        <f>IF(D278="","",IFERROR(VALUE(MID(D278,LEN(D278)-3,3)),""))</f>
        <v/>
      </c>
      <c r="O278" s="33">
        <f>IF(N278="","",L278&amp;"|"&amp;N278)</f>
        <v/>
      </c>
      <c r="P278" s="33">
        <f>IF(N278="","",IF(L278="À RENSEIGNER","GIC",L278)&amp;"-"&amp;TEXT(N278,"000"))</f>
        <v/>
      </c>
      <c r="Q278" s="33">
        <f>IF(O278="","",IFERROR(INDEX(Cl_nom,MATCH(O278,Cl_cle,0)),"(client introuvable)"))</f>
        <v/>
      </c>
      <c r="R278" s="40">
        <f>IF(O278="","",IFERROR(INDEX(Cl_reste,MATCH(O278,Cl_cle,0)),""))</f>
        <v/>
      </c>
      <c r="S278" s="34">
        <f>IF(C278="","",YEAR(C278-WEEKDAY(C278,2)+4)&amp;"-S"&amp;TEXT(INT((C278-DATE(YEAR(C278-WEEKDAY(C278,2)+4),1,3)+WEEKDAY(DATE(YEAR(C278-WEEKDAY(C278,2)+4),1,3),2)+5)/7),"00"))</f>
        <v/>
      </c>
    </row>
    <row r="279" ht="18" customHeight="1">
      <c r="A279" s="39" t="n">
        <v>274</v>
      </c>
      <c r="B279" s="33">
        <f>IF(C279="","",IF(L279="À RENSEIGNER","GIC",L279)&amp;"-E"&amp;TEXT(A279,"00000"))</f>
        <v/>
      </c>
      <c r="C279" s="32" t="n"/>
      <c r="D279" s="36" t="n"/>
      <c r="E279" s="37" t="n"/>
      <c r="F279" s="36" t="n"/>
      <c r="G279" s="44" t="n"/>
      <c r="H279" s="43" t="n"/>
      <c r="I279" s="32" t="n"/>
      <c r="J279" s="44" t="n"/>
      <c r="K279" s="36" t="n"/>
      <c r="L279" s="33">
        <f>IF(C279="","",Commercial_Id)</f>
        <v/>
      </c>
      <c r="M279" s="34">
        <f>IF(OR(C279="",F279=""),"",IF(F279&lt;&gt;"Espèces","—",IF(I279&lt;&gt;"","☑ Oui","☐ Non")))</f>
        <v/>
      </c>
      <c r="N279" s="39">
        <f>IF(D279="","",IFERROR(VALUE(MID(D279,LEN(D279)-3,3)),""))</f>
        <v/>
      </c>
      <c r="O279" s="33">
        <f>IF(N279="","",L279&amp;"|"&amp;N279)</f>
        <v/>
      </c>
      <c r="P279" s="33">
        <f>IF(N279="","",IF(L279="À RENSEIGNER","GIC",L279)&amp;"-"&amp;TEXT(N279,"000"))</f>
        <v/>
      </c>
      <c r="Q279" s="33">
        <f>IF(O279="","",IFERROR(INDEX(Cl_nom,MATCH(O279,Cl_cle,0)),"(client introuvable)"))</f>
        <v/>
      </c>
      <c r="R279" s="40">
        <f>IF(O279="","",IFERROR(INDEX(Cl_reste,MATCH(O279,Cl_cle,0)),""))</f>
        <v/>
      </c>
      <c r="S279" s="34">
        <f>IF(C279="","",YEAR(C279-WEEKDAY(C279,2)+4)&amp;"-S"&amp;TEXT(INT((C279-DATE(YEAR(C279-WEEKDAY(C279,2)+4),1,3)+WEEKDAY(DATE(YEAR(C279-WEEKDAY(C279,2)+4),1,3),2)+5)/7),"00"))</f>
        <v/>
      </c>
    </row>
    <row r="280" ht="18" customHeight="1">
      <c r="A280" s="39" t="n">
        <v>275</v>
      </c>
      <c r="B280" s="33">
        <f>IF(C280="","",IF(L280="À RENSEIGNER","GIC",L280)&amp;"-E"&amp;TEXT(A280,"00000"))</f>
        <v/>
      </c>
      <c r="C280" s="32" t="n"/>
      <c r="D280" s="36" t="n"/>
      <c r="E280" s="37" t="n"/>
      <c r="F280" s="36" t="n"/>
      <c r="G280" s="44" t="n"/>
      <c r="H280" s="43" t="n"/>
      <c r="I280" s="32" t="n"/>
      <c r="J280" s="44" t="n"/>
      <c r="K280" s="36" t="n"/>
      <c r="L280" s="33">
        <f>IF(C280="","",Commercial_Id)</f>
        <v/>
      </c>
      <c r="M280" s="34">
        <f>IF(OR(C280="",F280=""),"",IF(F280&lt;&gt;"Espèces","—",IF(I280&lt;&gt;"","☑ Oui","☐ Non")))</f>
        <v/>
      </c>
      <c r="N280" s="39">
        <f>IF(D280="","",IFERROR(VALUE(MID(D280,LEN(D280)-3,3)),""))</f>
        <v/>
      </c>
      <c r="O280" s="33">
        <f>IF(N280="","",L280&amp;"|"&amp;N280)</f>
        <v/>
      </c>
      <c r="P280" s="33">
        <f>IF(N280="","",IF(L280="À RENSEIGNER","GIC",L280)&amp;"-"&amp;TEXT(N280,"000"))</f>
        <v/>
      </c>
      <c r="Q280" s="33">
        <f>IF(O280="","",IFERROR(INDEX(Cl_nom,MATCH(O280,Cl_cle,0)),"(client introuvable)"))</f>
        <v/>
      </c>
      <c r="R280" s="40">
        <f>IF(O280="","",IFERROR(INDEX(Cl_reste,MATCH(O280,Cl_cle,0)),""))</f>
        <v/>
      </c>
      <c r="S280" s="34">
        <f>IF(C280="","",YEAR(C280-WEEKDAY(C280,2)+4)&amp;"-S"&amp;TEXT(INT((C280-DATE(YEAR(C280-WEEKDAY(C280,2)+4),1,3)+WEEKDAY(DATE(YEAR(C280-WEEKDAY(C280,2)+4),1,3),2)+5)/7),"00"))</f>
        <v/>
      </c>
    </row>
    <row r="281" ht="18" customHeight="1">
      <c r="A281" s="39" t="n">
        <v>276</v>
      </c>
      <c r="B281" s="33">
        <f>IF(C281="","",IF(L281="À RENSEIGNER","GIC",L281)&amp;"-E"&amp;TEXT(A281,"00000"))</f>
        <v/>
      </c>
      <c r="C281" s="32" t="n"/>
      <c r="D281" s="36" t="n"/>
      <c r="E281" s="37" t="n"/>
      <c r="F281" s="36" t="n"/>
      <c r="G281" s="44" t="n"/>
      <c r="H281" s="43" t="n"/>
      <c r="I281" s="32" t="n"/>
      <c r="J281" s="44" t="n"/>
      <c r="K281" s="36" t="n"/>
      <c r="L281" s="33">
        <f>IF(C281="","",Commercial_Id)</f>
        <v/>
      </c>
      <c r="M281" s="34">
        <f>IF(OR(C281="",F281=""),"",IF(F281&lt;&gt;"Espèces","—",IF(I281&lt;&gt;"","☑ Oui","☐ Non")))</f>
        <v/>
      </c>
      <c r="N281" s="39">
        <f>IF(D281="","",IFERROR(VALUE(MID(D281,LEN(D281)-3,3)),""))</f>
        <v/>
      </c>
      <c r="O281" s="33">
        <f>IF(N281="","",L281&amp;"|"&amp;N281)</f>
        <v/>
      </c>
      <c r="P281" s="33">
        <f>IF(N281="","",IF(L281="À RENSEIGNER","GIC",L281)&amp;"-"&amp;TEXT(N281,"000"))</f>
        <v/>
      </c>
      <c r="Q281" s="33">
        <f>IF(O281="","",IFERROR(INDEX(Cl_nom,MATCH(O281,Cl_cle,0)),"(client introuvable)"))</f>
        <v/>
      </c>
      <c r="R281" s="40">
        <f>IF(O281="","",IFERROR(INDEX(Cl_reste,MATCH(O281,Cl_cle,0)),""))</f>
        <v/>
      </c>
      <c r="S281" s="34">
        <f>IF(C281="","",YEAR(C281-WEEKDAY(C281,2)+4)&amp;"-S"&amp;TEXT(INT((C281-DATE(YEAR(C281-WEEKDAY(C281,2)+4),1,3)+WEEKDAY(DATE(YEAR(C281-WEEKDAY(C281,2)+4),1,3),2)+5)/7),"00"))</f>
        <v/>
      </c>
    </row>
    <row r="282" ht="18" customHeight="1">
      <c r="A282" s="39" t="n">
        <v>277</v>
      </c>
      <c r="B282" s="33">
        <f>IF(C282="","",IF(L282="À RENSEIGNER","GIC",L282)&amp;"-E"&amp;TEXT(A282,"00000"))</f>
        <v/>
      </c>
      <c r="C282" s="32" t="n"/>
      <c r="D282" s="36" t="n"/>
      <c r="E282" s="37" t="n"/>
      <c r="F282" s="36" t="n"/>
      <c r="G282" s="44" t="n"/>
      <c r="H282" s="43" t="n"/>
      <c r="I282" s="32" t="n"/>
      <c r="J282" s="44" t="n"/>
      <c r="K282" s="36" t="n"/>
      <c r="L282" s="33">
        <f>IF(C282="","",Commercial_Id)</f>
        <v/>
      </c>
      <c r="M282" s="34">
        <f>IF(OR(C282="",F282=""),"",IF(F282&lt;&gt;"Espèces","—",IF(I282&lt;&gt;"","☑ Oui","☐ Non")))</f>
        <v/>
      </c>
      <c r="N282" s="39">
        <f>IF(D282="","",IFERROR(VALUE(MID(D282,LEN(D282)-3,3)),""))</f>
        <v/>
      </c>
      <c r="O282" s="33">
        <f>IF(N282="","",L282&amp;"|"&amp;N282)</f>
        <v/>
      </c>
      <c r="P282" s="33">
        <f>IF(N282="","",IF(L282="À RENSEIGNER","GIC",L282)&amp;"-"&amp;TEXT(N282,"000"))</f>
        <v/>
      </c>
      <c r="Q282" s="33">
        <f>IF(O282="","",IFERROR(INDEX(Cl_nom,MATCH(O282,Cl_cle,0)),"(client introuvable)"))</f>
        <v/>
      </c>
      <c r="R282" s="40">
        <f>IF(O282="","",IFERROR(INDEX(Cl_reste,MATCH(O282,Cl_cle,0)),""))</f>
        <v/>
      </c>
      <c r="S282" s="34">
        <f>IF(C282="","",YEAR(C282-WEEKDAY(C282,2)+4)&amp;"-S"&amp;TEXT(INT((C282-DATE(YEAR(C282-WEEKDAY(C282,2)+4),1,3)+WEEKDAY(DATE(YEAR(C282-WEEKDAY(C282,2)+4),1,3),2)+5)/7),"00"))</f>
        <v/>
      </c>
    </row>
    <row r="283" ht="18" customHeight="1">
      <c r="A283" s="39" t="n">
        <v>278</v>
      </c>
      <c r="B283" s="33">
        <f>IF(C283="","",IF(L283="À RENSEIGNER","GIC",L283)&amp;"-E"&amp;TEXT(A283,"00000"))</f>
        <v/>
      </c>
      <c r="C283" s="32" t="n"/>
      <c r="D283" s="36" t="n"/>
      <c r="E283" s="37" t="n"/>
      <c r="F283" s="36" t="n"/>
      <c r="G283" s="44" t="n"/>
      <c r="H283" s="43" t="n"/>
      <c r="I283" s="32" t="n"/>
      <c r="J283" s="44" t="n"/>
      <c r="K283" s="36" t="n"/>
      <c r="L283" s="33">
        <f>IF(C283="","",Commercial_Id)</f>
        <v/>
      </c>
      <c r="M283" s="34">
        <f>IF(OR(C283="",F283=""),"",IF(F283&lt;&gt;"Espèces","—",IF(I283&lt;&gt;"","☑ Oui","☐ Non")))</f>
        <v/>
      </c>
      <c r="N283" s="39">
        <f>IF(D283="","",IFERROR(VALUE(MID(D283,LEN(D283)-3,3)),""))</f>
        <v/>
      </c>
      <c r="O283" s="33">
        <f>IF(N283="","",L283&amp;"|"&amp;N283)</f>
        <v/>
      </c>
      <c r="P283" s="33">
        <f>IF(N283="","",IF(L283="À RENSEIGNER","GIC",L283)&amp;"-"&amp;TEXT(N283,"000"))</f>
        <v/>
      </c>
      <c r="Q283" s="33">
        <f>IF(O283="","",IFERROR(INDEX(Cl_nom,MATCH(O283,Cl_cle,0)),"(client introuvable)"))</f>
        <v/>
      </c>
      <c r="R283" s="40">
        <f>IF(O283="","",IFERROR(INDEX(Cl_reste,MATCH(O283,Cl_cle,0)),""))</f>
        <v/>
      </c>
      <c r="S283" s="34">
        <f>IF(C283="","",YEAR(C283-WEEKDAY(C283,2)+4)&amp;"-S"&amp;TEXT(INT((C283-DATE(YEAR(C283-WEEKDAY(C283,2)+4),1,3)+WEEKDAY(DATE(YEAR(C283-WEEKDAY(C283,2)+4),1,3),2)+5)/7),"00"))</f>
        <v/>
      </c>
    </row>
    <row r="284" ht="18" customHeight="1">
      <c r="A284" s="39" t="n">
        <v>279</v>
      </c>
      <c r="B284" s="33">
        <f>IF(C284="","",IF(L284="À RENSEIGNER","GIC",L284)&amp;"-E"&amp;TEXT(A284,"00000"))</f>
        <v/>
      </c>
      <c r="C284" s="32" t="n"/>
      <c r="D284" s="36" t="n"/>
      <c r="E284" s="37" t="n"/>
      <c r="F284" s="36" t="n"/>
      <c r="G284" s="44" t="n"/>
      <c r="H284" s="43" t="n"/>
      <c r="I284" s="32" t="n"/>
      <c r="J284" s="44" t="n"/>
      <c r="K284" s="36" t="n"/>
      <c r="L284" s="33">
        <f>IF(C284="","",Commercial_Id)</f>
        <v/>
      </c>
      <c r="M284" s="34">
        <f>IF(OR(C284="",F284=""),"",IF(F284&lt;&gt;"Espèces","—",IF(I284&lt;&gt;"","☑ Oui","☐ Non")))</f>
        <v/>
      </c>
      <c r="N284" s="39">
        <f>IF(D284="","",IFERROR(VALUE(MID(D284,LEN(D284)-3,3)),""))</f>
        <v/>
      </c>
      <c r="O284" s="33">
        <f>IF(N284="","",L284&amp;"|"&amp;N284)</f>
        <v/>
      </c>
      <c r="P284" s="33">
        <f>IF(N284="","",IF(L284="À RENSEIGNER","GIC",L284)&amp;"-"&amp;TEXT(N284,"000"))</f>
        <v/>
      </c>
      <c r="Q284" s="33">
        <f>IF(O284="","",IFERROR(INDEX(Cl_nom,MATCH(O284,Cl_cle,0)),"(client introuvable)"))</f>
        <v/>
      </c>
      <c r="R284" s="40">
        <f>IF(O284="","",IFERROR(INDEX(Cl_reste,MATCH(O284,Cl_cle,0)),""))</f>
        <v/>
      </c>
      <c r="S284" s="34">
        <f>IF(C284="","",YEAR(C284-WEEKDAY(C284,2)+4)&amp;"-S"&amp;TEXT(INT((C284-DATE(YEAR(C284-WEEKDAY(C284,2)+4),1,3)+WEEKDAY(DATE(YEAR(C284-WEEKDAY(C284,2)+4),1,3),2)+5)/7),"00"))</f>
        <v/>
      </c>
    </row>
    <row r="285" ht="18" customHeight="1">
      <c r="A285" s="39" t="n">
        <v>280</v>
      </c>
      <c r="B285" s="33">
        <f>IF(C285="","",IF(L285="À RENSEIGNER","GIC",L285)&amp;"-E"&amp;TEXT(A285,"00000"))</f>
        <v/>
      </c>
      <c r="C285" s="32" t="n"/>
      <c r="D285" s="36" t="n"/>
      <c r="E285" s="37" t="n"/>
      <c r="F285" s="36" t="n"/>
      <c r="G285" s="44" t="n"/>
      <c r="H285" s="43" t="n"/>
      <c r="I285" s="32" t="n"/>
      <c r="J285" s="44" t="n"/>
      <c r="K285" s="36" t="n"/>
      <c r="L285" s="33">
        <f>IF(C285="","",Commercial_Id)</f>
        <v/>
      </c>
      <c r="M285" s="34">
        <f>IF(OR(C285="",F285=""),"",IF(F285&lt;&gt;"Espèces","—",IF(I285&lt;&gt;"","☑ Oui","☐ Non")))</f>
        <v/>
      </c>
      <c r="N285" s="39">
        <f>IF(D285="","",IFERROR(VALUE(MID(D285,LEN(D285)-3,3)),""))</f>
        <v/>
      </c>
      <c r="O285" s="33">
        <f>IF(N285="","",L285&amp;"|"&amp;N285)</f>
        <v/>
      </c>
      <c r="P285" s="33">
        <f>IF(N285="","",IF(L285="À RENSEIGNER","GIC",L285)&amp;"-"&amp;TEXT(N285,"000"))</f>
        <v/>
      </c>
      <c r="Q285" s="33">
        <f>IF(O285="","",IFERROR(INDEX(Cl_nom,MATCH(O285,Cl_cle,0)),"(client introuvable)"))</f>
        <v/>
      </c>
      <c r="R285" s="40">
        <f>IF(O285="","",IFERROR(INDEX(Cl_reste,MATCH(O285,Cl_cle,0)),""))</f>
        <v/>
      </c>
      <c r="S285" s="34">
        <f>IF(C285="","",YEAR(C285-WEEKDAY(C285,2)+4)&amp;"-S"&amp;TEXT(INT((C285-DATE(YEAR(C285-WEEKDAY(C285,2)+4),1,3)+WEEKDAY(DATE(YEAR(C285-WEEKDAY(C285,2)+4),1,3),2)+5)/7),"00"))</f>
        <v/>
      </c>
    </row>
    <row r="286" ht="18" customHeight="1">
      <c r="A286" s="39" t="n">
        <v>281</v>
      </c>
      <c r="B286" s="33">
        <f>IF(C286="","",IF(L286="À RENSEIGNER","GIC",L286)&amp;"-E"&amp;TEXT(A286,"00000"))</f>
        <v/>
      </c>
      <c r="C286" s="32" t="n"/>
      <c r="D286" s="36" t="n"/>
      <c r="E286" s="37" t="n"/>
      <c r="F286" s="36" t="n"/>
      <c r="G286" s="44" t="n"/>
      <c r="H286" s="43" t="n"/>
      <c r="I286" s="32" t="n"/>
      <c r="J286" s="44" t="n"/>
      <c r="K286" s="36" t="n"/>
      <c r="L286" s="33">
        <f>IF(C286="","",Commercial_Id)</f>
        <v/>
      </c>
      <c r="M286" s="34">
        <f>IF(OR(C286="",F286=""),"",IF(F286&lt;&gt;"Espèces","—",IF(I286&lt;&gt;"","☑ Oui","☐ Non")))</f>
        <v/>
      </c>
      <c r="N286" s="39">
        <f>IF(D286="","",IFERROR(VALUE(MID(D286,LEN(D286)-3,3)),""))</f>
        <v/>
      </c>
      <c r="O286" s="33">
        <f>IF(N286="","",L286&amp;"|"&amp;N286)</f>
        <v/>
      </c>
      <c r="P286" s="33">
        <f>IF(N286="","",IF(L286="À RENSEIGNER","GIC",L286)&amp;"-"&amp;TEXT(N286,"000"))</f>
        <v/>
      </c>
      <c r="Q286" s="33">
        <f>IF(O286="","",IFERROR(INDEX(Cl_nom,MATCH(O286,Cl_cle,0)),"(client introuvable)"))</f>
        <v/>
      </c>
      <c r="R286" s="40">
        <f>IF(O286="","",IFERROR(INDEX(Cl_reste,MATCH(O286,Cl_cle,0)),""))</f>
        <v/>
      </c>
      <c r="S286" s="34">
        <f>IF(C286="","",YEAR(C286-WEEKDAY(C286,2)+4)&amp;"-S"&amp;TEXT(INT((C286-DATE(YEAR(C286-WEEKDAY(C286,2)+4),1,3)+WEEKDAY(DATE(YEAR(C286-WEEKDAY(C286,2)+4),1,3),2)+5)/7),"00"))</f>
        <v/>
      </c>
    </row>
    <row r="287" ht="18" customHeight="1">
      <c r="A287" s="39" t="n">
        <v>282</v>
      </c>
      <c r="B287" s="33">
        <f>IF(C287="","",IF(L287="À RENSEIGNER","GIC",L287)&amp;"-E"&amp;TEXT(A287,"00000"))</f>
        <v/>
      </c>
      <c r="C287" s="32" t="n"/>
      <c r="D287" s="36" t="n"/>
      <c r="E287" s="37" t="n"/>
      <c r="F287" s="36" t="n"/>
      <c r="G287" s="44" t="n"/>
      <c r="H287" s="43" t="n"/>
      <c r="I287" s="32" t="n"/>
      <c r="J287" s="44" t="n"/>
      <c r="K287" s="36" t="n"/>
      <c r="L287" s="33">
        <f>IF(C287="","",Commercial_Id)</f>
        <v/>
      </c>
      <c r="M287" s="34">
        <f>IF(OR(C287="",F287=""),"",IF(F287&lt;&gt;"Espèces","—",IF(I287&lt;&gt;"","☑ Oui","☐ Non")))</f>
        <v/>
      </c>
      <c r="N287" s="39">
        <f>IF(D287="","",IFERROR(VALUE(MID(D287,LEN(D287)-3,3)),""))</f>
        <v/>
      </c>
      <c r="O287" s="33">
        <f>IF(N287="","",L287&amp;"|"&amp;N287)</f>
        <v/>
      </c>
      <c r="P287" s="33">
        <f>IF(N287="","",IF(L287="À RENSEIGNER","GIC",L287)&amp;"-"&amp;TEXT(N287,"000"))</f>
        <v/>
      </c>
      <c r="Q287" s="33">
        <f>IF(O287="","",IFERROR(INDEX(Cl_nom,MATCH(O287,Cl_cle,0)),"(client introuvable)"))</f>
        <v/>
      </c>
      <c r="R287" s="40">
        <f>IF(O287="","",IFERROR(INDEX(Cl_reste,MATCH(O287,Cl_cle,0)),""))</f>
        <v/>
      </c>
      <c r="S287" s="34">
        <f>IF(C287="","",YEAR(C287-WEEKDAY(C287,2)+4)&amp;"-S"&amp;TEXT(INT((C287-DATE(YEAR(C287-WEEKDAY(C287,2)+4),1,3)+WEEKDAY(DATE(YEAR(C287-WEEKDAY(C287,2)+4),1,3),2)+5)/7),"00"))</f>
        <v/>
      </c>
    </row>
    <row r="288" ht="18" customHeight="1">
      <c r="A288" s="39" t="n">
        <v>283</v>
      </c>
      <c r="B288" s="33">
        <f>IF(C288="","",IF(L288="À RENSEIGNER","GIC",L288)&amp;"-E"&amp;TEXT(A288,"00000"))</f>
        <v/>
      </c>
      <c r="C288" s="32" t="n"/>
      <c r="D288" s="36" t="n"/>
      <c r="E288" s="37" t="n"/>
      <c r="F288" s="36" t="n"/>
      <c r="G288" s="44" t="n"/>
      <c r="H288" s="43" t="n"/>
      <c r="I288" s="32" t="n"/>
      <c r="J288" s="44" t="n"/>
      <c r="K288" s="36" t="n"/>
      <c r="L288" s="33">
        <f>IF(C288="","",Commercial_Id)</f>
        <v/>
      </c>
      <c r="M288" s="34">
        <f>IF(OR(C288="",F288=""),"",IF(F288&lt;&gt;"Espèces","—",IF(I288&lt;&gt;"","☑ Oui","☐ Non")))</f>
        <v/>
      </c>
      <c r="N288" s="39">
        <f>IF(D288="","",IFERROR(VALUE(MID(D288,LEN(D288)-3,3)),""))</f>
        <v/>
      </c>
      <c r="O288" s="33">
        <f>IF(N288="","",L288&amp;"|"&amp;N288)</f>
        <v/>
      </c>
      <c r="P288" s="33">
        <f>IF(N288="","",IF(L288="À RENSEIGNER","GIC",L288)&amp;"-"&amp;TEXT(N288,"000"))</f>
        <v/>
      </c>
      <c r="Q288" s="33">
        <f>IF(O288="","",IFERROR(INDEX(Cl_nom,MATCH(O288,Cl_cle,0)),"(client introuvable)"))</f>
        <v/>
      </c>
      <c r="R288" s="40">
        <f>IF(O288="","",IFERROR(INDEX(Cl_reste,MATCH(O288,Cl_cle,0)),""))</f>
        <v/>
      </c>
      <c r="S288" s="34">
        <f>IF(C288="","",YEAR(C288-WEEKDAY(C288,2)+4)&amp;"-S"&amp;TEXT(INT((C288-DATE(YEAR(C288-WEEKDAY(C288,2)+4),1,3)+WEEKDAY(DATE(YEAR(C288-WEEKDAY(C288,2)+4),1,3),2)+5)/7),"00"))</f>
        <v/>
      </c>
    </row>
    <row r="289" ht="18" customHeight="1">
      <c r="A289" s="39" t="n">
        <v>284</v>
      </c>
      <c r="B289" s="33">
        <f>IF(C289="","",IF(L289="À RENSEIGNER","GIC",L289)&amp;"-E"&amp;TEXT(A289,"00000"))</f>
        <v/>
      </c>
      <c r="C289" s="32" t="n"/>
      <c r="D289" s="36" t="n"/>
      <c r="E289" s="37" t="n"/>
      <c r="F289" s="36" t="n"/>
      <c r="G289" s="44" t="n"/>
      <c r="H289" s="43" t="n"/>
      <c r="I289" s="32" t="n"/>
      <c r="J289" s="44" t="n"/>
      <c r="K289" s="36" t="n"/>
      <c r="L289" s="33">
        <f>IF(C289="","",Commercial_Id)</f>
        <v/>
      </c>
      <c r="M289" s="34">
        <f>IF(OR(C289="",F289=""),"",IF(F289&lt;&gt;"Espèces","—",IF(I289&lt;&gt;"","☑ Oui","☐ Non")))</f>
        <v/>
      </c>
      <c r="N289" s="39">
        <f>IF(D289="","",IFERROR(VALUE(MID(D289,LEN(D289)-3,3)),""))</f>
        <v/>
      </c>
      <c r="O289" s="33">
        <f>IF(N289="","",L289&amp;"|"&amp;N289)</f>
        <v/>
      </c>
      <c r="P289" s="33">
        <f>IF(N289="","",IF(L289="À RENSEIGNER","GIC",L289)&amp;"-"&amp;TEXT(N289,"000"))</f>
        <v/>
      </c>
      <c r="Q289" s="33">
        <f>IF(O289="","",IFERROR(INDEX(Cl_nom,MATCH(O289,Cl_cle,0)),"(client introuvable)"))</f>
        <v/>
      </c>
      <c r="R289" s="40">
        <f>IF(O289="","",IFERROR(INDEX(Cl_reste,MATCH(O289,Cl_cle,0)),""))</f>
        <v/>
      </c>
      <c r="S289" s="34">
        <f>IF(C289="","",YEAR(C289-WEEKDAY(C289,2)+4)&amp;"-S"&amp;TEXT(INT((C289-DATE(YEAR(C289-WEEKDAY(C289,2)+4),1,3)+WEEKDAY(DATE(YEAR(C289-WEEKDAY(C289,2)+4),1,3),2)+5)/7),"00"))</f>
        <v/>
      </c>
    </row>
    <row r="290" ht="18" customHeight="1">
      <c r="A290" s="39" t="n">
        <v>285</v>
      </c>
      <c r="B290" s="33">
        <f>IF(C290="","",IF(L290="À RENSEIGNER","GIC",L290)&amp;"-E"&amp;TEXT(A290,"00000"))</f>
        <v/>
      </c>
      <c r="C290" s="32" t="n"/>
      <c r="D290" s="36" t="n"/>
      <c r="E290" s="37" t="n"/>
      <c r="F290" s="36" t="n"/>
      <c r="G290" s="44" t="n"/>
      <c r="H290" s="43" t="n"/>
      <c r="I290" s="32" t="n"/>
      <c r="J290" s="44" t="n"/>
      <c r="K290" s="36" t="n"/>
      <c r="L290" s="33">
        <f>IF(C290="","",Commercial_Id)</f>
        <v/>
      </c>
      <c r="M290" s="34">
        <f>IF(OR(C290="",F290=""),"",IF(F290&lt;&gt;"Espèces","—",IF(I290&lt;&gt;"","☑ Oui","☐ Non")))</f>
        <v/>
      </c>
      <c r="N290" s="39">
        <f>IF(D290="","",IFERROR(VALUE(MID(D290,LEN(D290)-3,3)),""))</f>
        <v/>
      </c>
      <c r="O290" s="33">
        <f>IF(N290="","",L290&amp;"|"&amp;N290)</f>
        <v/>
      </c>
      <c r="P290" s="33">
        <f>IF(N290="","",IF(L290="À RENSEIGNER","GIC",L290)&amp;"-"&amp;TEXT(N290,"000"))</f>
        <v/>
      </c>
      <c r="Q290" s="33">
        <f>IF(O290="","",IFERROR(INDEX(Cl_nom,MATCH(O290,Cl_cle,0)),"(client introuvable)"))</f>
        <v/>
      </c>
      <c r="R290" s="40">
        <f>IF(O290="","",IFERROR(INDEX(Cl_reste,MATCH(O290,Cl_cle,0)),""))</f>
        <v/>
      </c>
      <c r="S290" s="34">
        <f>IF(C290="","",YEAR(C290-WEEKDAY(C290,2)+4)&amp;"-S"&amp;TEXT(INT((C290-DATE(YEAR(C290-WEEKDAY(C290,2)+4),1,3)+WEEKDAY(DATE(YEAR(C290-WEEKDAY(C290,2)+4),1,3),2)+5)/7),"00"))</f>
        <v/>
      </c>
    </row>
    <row r="291" ht="18" customHeight="1">
      <c r="A291" s="39" t="n">
        <v>286</v>
      </c>
      <c r="B291" s="33">
        <f>IF(C291="","",IF(L291="À RENSEIGNER","GIC",L291)&amp;"-E"&amp;TEXT(A291,"00000"))</f>
        <v/>
      </c>
      <c r="C291" s="32" t="n"/>
      <c r="D291" s="36" t="n"/>
      <c r="E291" s="37" t="n"/>
      <c r="F291" s="36" t="n"/>
      <c r="G291" s="44" t="n"/>
      <c r="H291" s="43" t="n"/>
      <c r="I291" s="32" t="n"/>
      <c r="J291" s="44" t="n"/>
      <c r="K291" s="36" t="n"/>
      <c r="L291" s="33">
        <f>IF(C291="","",Commercial_Id)</f>
        <v/>
      </c>
      <c r="M291" s="34">
        <f>IF(OR(C291="",F291=""),"",IF(F291&lt;&gt;"Espèces","—",IF(I291&lt;&gt;"","☑ Oui","☐ Non")))</f>
        <v/>
      </c>
      <c r="N291" s="39">
        <f>IF(D291="","",IFERROR(VALUE(MID(D291,LEN(D291)-3,3)),""))</f>
        <v/>
      </c>
      <c r="O291" s="33">
        <f>IF(N291="","",L291&amp;"|"&amp;N291)</f>
        <v/>
      </c>
      <c r="P291" s="33">
        <f>IF(N291="","",IF(L291="À RENSEIGNER","GIC",L291)&amp;"-"&amp;TEXT(N291,"000"))</f>
        <v/>
      </c>
      <c r="Q291" s="33">
        <f>IF(O291="","",IFERROR(INDEX(Cl_nom,MATCH(O291,Cl_cle,0)),"(client introuvable)"))</f>
        <v/>
      </c>
      <c r="R291" s="40">
        <f>IF(O291="","",IFERROR(INDEX(Cl_reste,MATCH(O291,Cl_cle,0)),""))</f>
        <v/>
      </c>
      <c r="S291" s="34">
        <f>IF(C291="","",YEAR(C291-WEEKDAY(C291,2)+4)&amp;"-S"&amp;TEXT(INT((C291-DATE(YEAR(C291-WEEKDAY(C291,2)+4),1,3)+WEEKDAY(DATE(YEAR(C291-WEEKDAY(C291,2)+4),1,3),2)+5)/7),"00"))</f>
        <v/>
      </c>
    </row>
    <row r="292" ht="18" customHeight="1">
      <c r="A292" s="39" t="n">
        <v>287</v>
      </c>
      <c r="B292" s="33">
        <f>IF(C292="","",IF(L292="À RENSEIGNER","GIC",L292)&amp;"-E"&amp;TEXT(A292,"00000"))</f>
        <v/>
      </c>
      <c r="C292" s="32" t="n"/>
      <c r="D292" s="36" t="n"/>
      <c r="E292" s="37" t="n"/>
      <c r="F292" s="36" t="n"/>
      <c r="G292" s="44" t="n"/>
      <c r="H292" s="43" t="n"/>
      <c r="I292" s="32" t="n"/>
      <c r="J292" s="44" t="n"/>
      <c r="K292" s="36" t="n"/>
      <c r="L292" s="33">
        <f>IF(C292="","",Commercial_Id)</f>
        <v/>
      </c>
      <c r="M292" s="34">
        <f>IF(OR(C292="",F292=""),"",IF(F292&lt;&gt;"Espèces","—",IF(I292&lt;&gt;"","☑ Oui","☐ Non")))</f>
        <v/>
      </c>
      <c r="N292" s="39">
        <f>IF(D292="","",IFERROR(VALUE(MID(D292,LEN(D292)-3,3)),""))</f>
        <v/>
      </c>
      <c r="O292" s="33">
        <f>IF(N292="","",L292&amp;"|"&amp;N292)</f>
        <v/>
      </c>
      <c r="P292" s="33">
        <f>IF(N292="","",IF(L292="À RENSEIGNER","GIC",L292)&amp;"-"&amp;TEXT(N292,"000"))</f>
        <v/>
      </c>
      <c r="Q292" s="33">
        <f>IF(O292="","",IFERROR(INDEX(Cl_nom,MATCH(O292,Cl_cle,0)),"(client introuvable)"))</f>
        <v/>
      </c>
      <c r="R292" s="40">
        <f>IF(O292="","",IFERROR(INDEX(Cl_reste,MATCH(O292,Cl_cle,0)),""))</f>
        <v/>
      </c>
      <c r="S292" s="34">
        <f>IF(C292="","",YEAR(C292-WEEKDAY(C292,2)+4)&amp;"-S"&amp;TEXT(INT((C292-DATE(YEAR(C292-WEEKDAY(C292,2)+4),1,3)+WEEKDAY(DATE(YEAR(C292-WEEKDAY(C292,2)+4),1,3),2)+5)/7),"00"))</f>
        <v/>
      </c>
    </row>
    <row r="293" ht="18" customHeight="1">
      <c r="A293" s="39" t="n">
        <v>288</v>
      </c>
      <c r="B293" s="33">
        <f>IF(C293="","",IF(L293="À RENSEIGNER","GIC",L293)&amp;"-E"&amp;TEXT(A293,"00000"))</f>
        <v/>
      </c>
      <c r="C293" s="32" t="n"/>
      <c r="D293" s="36" t="n"/>
      <c r="E293" s="37" t="n"/>
      <c r="F293" s="36" t="n"/>
      <c r="G293" s="44" t="n"/>
      <c r="H293" s="43" t="n"/>
      <c r="I293" s="32" t="n"/>
      <c r="J293" s="44" t="n"/>
      <c r="K293" s="36" t="n"/>
      <c r="L293" s="33">
        <f>IF(C293="","",Commercial_Id)</f>
        <v/>
      </c>
      <c r="M293" s="34">
        <f>IF(OR(C293="",F293=""),"",IF(F293&lt;&gt;"Espèces","—",IF(I293&lt;&gt;"","☑ Oui","☐ Non")))</f>
        <v/>
      </c>
      <c r="N293" s="39">
        <f>IF(D293="","",IFERROR(VALUE(MID(D293,LEN(D293)-3,3)),""))</f>
        <v/>
      </c>
      <c r="O293" s="33">
        <f>IF(N293="","",L293&amp;"|"&amp;N293)</f>
        <v/>
      </c>
      <c r="P293" s="33">
        <f>IF(N293="","",IF(L293="À RENSEIGNER","GIC",L293)&amp;"-"&amp;TEXT(N293,"000"))</f>
        <v/>
      </c>
      <c r="Q293" s="33">
        <f>IF(O293="","",IFERROR(INDEX(Cl_nom,MATCH(O293,Cl_cle,0)),"(client introuvable)"))</f>
        <v/>
      </c>
      <c r="R293" s="40">
        <f>IF(O293="","",IFERROR(INDEX(Cl_reste,MATCH(O293,Cl_cle,0)),""))</f>
        <v/>
      </c>
      <c r="S293" s="34">
        <f>IF(C293="","",YEAR(C293-WEEKDAY(C293,2)+4)&amp;"-S"&amp;TEXT(INT((C293-DATE(YEAR(C293-WEEKDAY(C293,2)+4),1,3)+WEEKDAY(DATE(YEAR(C293-WEEKDAY(C293,2)+4),1,3),2)+5)/7),"00"))</f>
        <v/>
      </c>
    </row>
    <row r="294" ht="18" customHeight="1">
      <c r="A294" s="39" t="n">
        <v>289</v>
      </c>
      <c r="B294" s="33">
        <f>IF(C294="","",IF(L294="À RENSEIGNER","GIC",L294)&amp;"-E"&amp;TEXT(A294,"00000"))</f>
        <v/>
      </c>
      <c r="C294" s="32" t="n"/>
      <c r="D294" s="36" t="n"/>
      <c r="E294" s="37" t="n"/>
      <c r="F294" s="36" t="n"/>
      <c r="G294" s="44" t="n"/>
      <c r="H294" s="43" t="n"/>
      <c r="I294" s="32" t="n"/>
      <c r="J294" s="44" t="n"/>
      <c r="K294" s="36" t="n"/>
      <c r="L294" s="33">
        <f>IF(C294="","",Commercial_Id)</f>
        <v/>
      </c>
      <c r="M294" s="34">
        <f>IF(OR(C294="",F294=""),"",IF(F294&lt;&gt;"Espèces","—",IF(I294&lt;&gt;"","☑ Oui","☐ Non")))</f>
        <v/>
      </c>
      <c r="N294" s="39">
        <f>IF(D294="","",IFERROR(VALUE(MID(D294,LEN(D294)-3,3)),""))</f>
        <v/>
      </c>
      <c r="O294" s="33">
        <f>IF(N294="","",L294&amp;"|"&amp;N294)</f>
        <v/>
      </c>
      <c r="P294" s="33">
        <f>IF(N294="","",IF(L294="À RENSEIGNER","GIC",L294)&amp;"-"&amp;TEXT(N294,"000"))</f>
        <v/>
      </c>
      <c r="Q294" s="33">
        <f>IF(O294="","",IFERROR(INDEX(Cl_nom,MATCH(O294,Cl_cle,0)),"(client introuvable)"))</f>
        <v/>
      </c>
      <c r="R294" s="40">
        <f>IF(O294="","",IFERROR(INDEX(Cl_reste,MATCH(O294,Cl_cle,0)),""))</f>
        <v/>
      </c>
      <c r="S294" s="34">
        <f>IF(C294="","",YEAR(C294-WEEKDAY(C294,2)+4)&amp;"-S"&amp;TEXT(INT((C294-DATE(YEAR(C294-WEEKDAY(C294,2)+4),1,3)+WEEKDAY(DATE(YEAR(C294-WEEKDAY(C294,2)+4),1,3),2)+5)/7),"00"))</f>
        <v/>
      </c>
    </row>
    <row r="295" ht="18" customHeight="1">
      <c r="A295" s="39" t="n">
        <v>290</v>
      </c>
      <c r="B295" s="33">
        <f>IF(C295="","",IF(L295="À RENSEIGNER","GIC",L295)&amp;"-E"&amp;TEXT(A295,"00000"))</f>
        <v/>
      </c>
      <c r="C295" s="32" t="n"/>
      <c r="D295" s="36" t="n"/>
      <c r="E295" s="37" t="n"/>
      <c r="F295" s="36" t="n"/>
      <c r="G295" s="44" t="n"/>
      <c r="H295" s="43" t="n"/>
      <c r="I295" s="32" t="n"/>
      <c r="J295" s="44" t="n"/>
      <c r="K295" s="36" t="n"/>
      <c r="L295" s="33">
        <f>IF(C295="","",Commercial_Id)</f>
        <v/>
      </c>
      <c r="M295" s="34">
        <f>IF(OR(C295="",F295=""),"",IF(F295&lt;&gt;"Espèces","—",IF(I295&lt;&gt;"","☑ Oui","☐ Non")))</f>
        <v/>
      </c>
      <c r="N295" s="39">
        <f>IF(D295="","",IFERROR(VALUE(MID(D295,LEN(D295)-3,3)),""))</f>
        <v/>
      </c>
      <c r="O295" s="33">
        <f>IF(N295="","",L295&amp;"|"&amp;N295)</f>
        <v/>
      </c>
      <c r="P295" s="33">
        <f>IF(N295="","",IF(L295="À RENSEIGNER","GIC",L295)&amp;"-"&amp;TEXT(N295,"000"))</f>
        <v/>
      </c>
      <c r="Q295" s="33">
        <f>IF(O295="","",IFERROR(INDEX(Cl_nom,MATCH(O295,Cl_cle,0)),"(client introuvable)"))</f>
        <v/>
      </c>
      <c r="R295" s="40">
        <f>IF(O295="","",IFERROR(INDEX(Cl_reste,MATCH(O295,Cl_cle,0)),""))</f>
        <v/>
      </c>
      <c r="S295" s="34">
        <f>IF(C295="","",YEAR(C295-WEEKDAY(C295,2)+4)&amp;"-S"&amp;TEXT(INT((C295-DATE(YEAR(C295-WEEKDAY(C295,2)+4),1,3)+WEEKDAY(DATE(YEAR(C295-WEEKDAY(C295,2)+4),1,3),2)+5)/7),"00"))</f>
        <v/>
      </c>
    </row>
    <row r="296" ht="18" customHeight="1">
      <c r="A296" s="39" t="n">
        <v>291</v>
      </c>
      <c r="B296" s="33">
        <f>IF(C296="","",IF(L296="À RENSEIGNER","GIC",L296)&amp;"-E"&amp;TEXT(A296,"00000"))</f>
        <v/>
      </c>
      <c r="C296" s="32" t="n"/>
      <c r="D296" s="36" t="n"/>
      <c r="E296" s="37" t="n"/>
      <c r="F296" s="36" t="n"/>
      <c r="G296" s="44" t="n"/>
      <c r="H296" s="43" t="n"/>
      <c r="I296" s="32" t="n"/>
      <c r="J296" s="44" t="n"/>
      <c r="K296" s="36" t="n"/>
      <c r="L296" s="33">
        <f>IF(C296="","",Commercial_Id)</f>
        <v/>
      </c>
      <c r="M296" s="34">
        <f>IF(OR(C296="",F296=""),"",IF(F296&lt;&gt;"Espèces","—",IF(I296&lt;&gt;"","☑ Oui","☐ Non")))</f>
        <v/>
      </c>
      <c r="N296" s="39">
        <f>IF(D296="","",IFERROR(VALUE(MID(D296,LEN(D296)-3,3)),""))</f>
        <v/>
      </c>
      <c r="O296" s="33">
        <f>IF(N296="","",L296&amp;"|"&amp;N296)</f>
        <v/>
      </c>
      <c r="P296" s="33">
        <f>IF(N296="","",IF(L296="À RENSEIGNER","GIC",L296)&amp;"-"&amp;TEXT(N296,"000"))</f>
        <v/>
      </c>
      <c r="Q296" s="33">
        <f>IF(O296="","",IFERROR(INDEX(Cl_nom,MATCH(O296,Cl_cle,0)),"(client introuvable)"))</f>
        <v/>
      </c>
      <c r="R296" s="40">
        <f>IF(O296="","",IFERROR(INDEX(Cl_reste,MATCH(O296,Cl_cle,0)),""))</f>
        <v/>
      </c>
      <c r="S296" s="34">
        <f>IF(C296="","",YEAR(C296-WEEKDAY(C296,2)+4)&amp;"-S"&amp;TEXT(INT((C296-DATE(YEAR(C296-WEEKDAY(C296,2)+4),1,3)+WEEKDAY(DATE(YEAR(C296-WEEKDAY(C296,2)+4),1,3),2)+5)/7),"00"))</f>
        <v/>
      </c>
    </row>
    <row r="297" ht="18" customHeight="1">
      <c r="A297" s="39" t="n">
        <v>292</v>
      </c>
      <c r="B297" s="33">
        <f>IF(C297="","",IF(L297="À RENSEIGNER","GIC",L297)&amp;"-E"&amp;TEXT(A297,"00000"))</f>
        <v/>
      </c>
      <c r="C297" s="32" t="n"/>
      <c r="D297" s="36" t="n"/>
      <c r="E297" s="37" t="n"/>
      <c r="F297" s="36" t="n"/>
      <c r="G297" s="44" t="n"/>
      <c r="H297" s="43" t="n"/>
      <c r="I297" s="32" t="n"/>
      <c r="J297" s="44" t="n"/>
      <c r="K297" s="36" t="n"/>
      <c r="L297" s="33">
        <f>IF(C297="","",Commercial_Id)</f>
        <v/>
      </c>
      <c r="M297" s="34">
        <f>IF(OR(C297="",F297=""),"",IF(F297&lt;&gt;"Espèces","—",IF(I297&lt;&gt;"","☑ Oui","☐ Non")))</f>
        <v/>
      </c>
      <c r="N297" s="39">
        <f>IF(D297="","",IFERROR(VALUE(MID(D297,LEN(D297)-3,3)),""))</f>
        <v/>
      </c>
      <c r="O297" s="33">
        <f>IF(N297="","",L297&amp;"|"&amp;N297)</f>
        <v/>
      </c>
      <c r="P297" s="33">
        <f>IF(N297="","",IF(L297="À RENSEIGNER","GIC",L297)&amp;"-"&amp;TEXT(N297,"000"))</f>
        <v/>
      </c>
      <c r="Q297" s="33">
        <f>IF(O297="","",IFERROR(INDEX(Cl_nom,MATCH(O297,Cl_cle,0)),"(client introuvable)"))</f>
        <v/>
      </c>
      <c r="R297" s="40">
        <f>IF(O297="","",IFERROR(INDEX(Cl_reste,MATCH(O297,Cl_cle,0)),""))</f>
        <v/>
      </c>
      <c r="S297" s="34">
        <f>IF(C297="","",YEAR(C297-WEEKDAY(C297,2)+4)&amp;"-S"&amp;TEXT(INT((C297-DATE(YEAR(C297-WEEKDAY(C297,2)+4),1,3)+WEEKDAY(DATE(YEAR(C297-WEEKDAY(C297,2)+4),1,3),2)+5)/7),"00"))</f>
        <v/>
      </c>
    </row>
    <row r="298" ht="18" customHeight="1">
      <c r="A298" s="39" t="n">
        <v>293</v>
      </c>
      <c r="B298" s="33">
        <f>IF(C298="","",IF(L298="À RENSEIGNER","GIC",L298)&amp;"-E"&amp;TEXT(A298,"00000"))</f>
        <v/>
      </c>
      <c r="C298" s="32" t="n"/>
      <c r="D298" s="36" t="n"/>
      <c r="E298" s="37" t="n"/>
      <c r="F298" s="36" t="n"/>
      <c r="G298" s="44" t="n"/>
      <c r="H298" s="43" t="n"/>
      <c r="I298" s="32" t="n"/>
      <c r="J298" s="44" t="n"/>
      <c r="K298" s="36" t="n"/>
      <c r="L298" s="33">
        <f>IF(C298="","",Commercial_Id)</f>
        <v/>
      </c>
      <c r="M298" s="34">
        <f>IF(OR(C298="",F298=""),"",IF(F298&lt;&gt;"Espèces","—",IF(I298&lt;&gt;"","☑ Oui","☐ Non")))</f>
        <v/>
      </c>
      <c r="N298" s="39">
        <f>IF(D298="","",IFERROR(VALUE(MID(D298,LEN(D298)-3,3)),""))</f>
        <v/>
      </c>
      <c r="O298" s="33">
        <f>IF(N298="","",L298&amp;"|"&amp;N298)</f>
        <v/>
      </c>
      <c r="P298" s="33">
        <f>IF(N298="","",IF(L298="À RENSEIGNER","GIC",L298)&amp;"-"&amp;TEXT(N298,"000"))</f>
        <v/>
      </c>
      <c r="Q298" s="33">
        <f>IF(O298="","",IFERROR(INDEX(Cl_nom,MATCH(O298,Cl_cle,0)),"(client introuvable)"))</f>
        <v/>
      </c>
      <c r="R298" s="40">
        <f>IF(O298="","",IFERROR(INDEX(Cl_reste,MATCH(O298,Cl_cle,0)),""))</f>
        <v/>
      </c>
      <c r="S298" s="34">
        <f>IF(C298="","",YEAR(C298-WEEKDAY(C298,2)+4)&amp;"-S"&amp;TEXT(INT((C298-DATE(YEAR(C298-WEEKDAY(C298,2)+4),1,3)+WEEKDAY(DATE(YEAR(C298-WEEKDAY(C298,2)+4),1,3),2)+5)/7),"00"))</f>
        <v/>
      </c>
    </row>
    <row r="299" ht="18" customHeight="1">
      <c r="A299" s="39" t="n">
        <v>294</v>
      </c>
      <c r="B299" s="33">
        <f>IF(C299="","",IF(L299="À RENSEIGNER","GIC",L299)&amp;"-E"&amp;TEXT(A299,"00000"))</f>
        <v/>
      </c>
      <c r="C299" s="32" t="n"/>
      <c r="D299" s="36" t="n"/>
      <c r="E299" s="37" t="n"/>
      <c r="F299" s="36" t="n"/>
      <c r="G299" s="44" t="n"/>
      <c r="H299" s="43" t="n"/>
      <c r="I299" s="32" t="n"/>
      <c r="J299" s="44" t="n"/>
      <c r="K299" s="36" t="n"/>
      <c r="L299" s="33">
        <f>IF(C299="","",Commercial_Id)</f>
        <v/>
      </c>
      <c r="M299" s="34">
        <f>IF(OR(C299="",F299=""),"",IF(F299&lt;&gt;"Espèces","—",IF(I299&lt;&gt;"","☑ Oui","☐ Non")))</f>
        <v/>
      </c>
      <c r="N299" s="39">
        <f>IF(D299="","",IFERROR(VALUE(MID(D299,LEN(D299)-3,3)),""))</f>
        <v/>
      </c>
      <c r="O299" s="33">
        <f>IF(N299="","",L299&amp;"|"&amp;N299)</f>
        <v/>
      </c>
      <c r="P299" s="33">
        <f>IF(N299="","",IF(L299="À RENSEIGNER","GIC",L299)&amp;"-"&amp;TEXT(N299,"000"))</f>
        <v/>
      </c>
      <c r="Q299" s="33">
        <f>IF(O299="","",IFERROR(INDEX(Cl_nom,MATCH(O299,Cl_cle,0)),"(client introuvable)"))</f>
        <v/>
      </c>
      <c r="R299" s="40">
        <f>IF(O299="","",IFERROR(INDEX(Cl_reste,MATCH(O299,Cl_cle,0)),""))</f>
        <v/>
      </c>
      <c r="S299" s="34">
        <f>IF(C299="","",YEAR(C299-WEEKDAY(C299,2)+4)&amp;"-S"&amp;TEXT(INT((C299-DATE(YEAR(C299-WEEKDAY(C299,2)+4),1,3)+WEEKDAY(DATE(YEAR(C299-WEEKDAY(C299,2)+4),1,3),2)+5)/7),"00"))</f>
        <v/>
      </c>
    </row>
    <row r="300" ht="18" customHeight="1">
      <c r="A300" s="39" t="n">
        <v>295</v>
      </c>
      <c r="B300" s="33">
        <f>IF(C300="","",IF(L300="À RENSEIGNER","GIC",L300)&amp;"-E"&amp;TEXT(A300,"00000"))</f>
        <v/>
      </c>
      <c r="C300" s="32" t="n"/>
      <c r="D300" s="36" t="n"/>
      <c r="E300" s="37" t="n"/>
      <c r="F300" s="36" t="n"/>
      <c r="G300" s="44" t="n"/>
      <c r="H300" s="43" t="n"/>
      <c r="I300" s="32" t="n"/>
      <c r="J300" s="44" t="n"/>
      <c r="K300" s="36" t="n"/>
      <c r="L300" s="33">
        <f>IF(C300="","",Commercial_Id)</f>
        <v/>
      </c>
      <c r="M300" s="34">
        <f>IF(OR(C300="",F300=""),"",IF(F300&lt;&gt;"Espèces","—",IF(I300&lt;&gt;"","☑ Oui","☐ Non")))</f>
        <v/>
      </c>
      <c r="N300" s="39">
        <f>IF(D300="","",IFERROR(VALUE(MID(D300,LEN(D300)-3,3)),""))</f>
        <v/>
      </c>
      <c r="O300" s="33">
        <f>IF(N300="","",L300&amp;"|"&amp;N300)</f>
        <v/>
      </c>
      <c r="P300" s="33">
        <f>IF(N300="","",IF(L300="À RENSEIGNER","GIC",L300)&amp;"-"&amp;TEXT(N300,"000"))</f>
        <v/>
      </c>
      <c r="Q300" s="33">
        <f>IF(O300="","",IFERROR(INDEX(Cl_nom,MATCH(O300,Cl_cle,0)),"(client introuvable)"))</f>
        <v/>
      </c>
      <c r="R300" s="40">
        <f>IF(O300="","",IFERROR(INDEX(Cl_reste,MATCH(O300,Cl_cle,0)),""))</f>
        <v/>
      </c>
      <c r="S300" s="34">
        <f>IF(C300="","",YEAR(C300-WEEKDAY(C300,2)+4)&amp;"-S"&amp;TEXT(INT((C300-DATE(YEAR(C300-WEEKDAY(C300,2)+4),1,3)+WEEKDAY(DATE(YEAR(C300-WEEKDAY(C300,2)+4),1,3),2)+5)/7),"00"))</f>
        <v/>
      </c>
    </row>
    <row r="301" ht="18" customHeight="1">
      <c r="A301" s="39" t="n">
        <v>296</v>
      </c>
      <c r="B301" s="33">
        <f>IF(C301="","",IF(L301="À RENSEIGNER","GIC",L301)&amp;"-E"&amp;TEXT(A301,"00000"))</f>
        <v/>
      </c>
      <c r="C301" s="32" t="n"/>
      <c r="D301" s="36" t="n"/>
      <c r="E301" s="37" t="n"/>
      <c r="F301" s="36" t="n"/>
      <c r="G301" s="44" t="n"/>
      <c r="H301" s="43" t="n"/>
      <c r="I301" s="32" t="n"/>
      <c r="J301" s="44" t="n"/>
      <c r="K301" s="36" t="n"/>
      <c r="L301" s="33">
        <f>IF(C301="","",Commercial_Id)</f>
        <v/>
      </c>
      <c r="M301" s="34">
        <f>IF(OR(C301="",F301=""),"",IF(F301&lt;&gt;"Espèces","—",IF(I301&lt;&gt;"","☑ Oui","☐ Non")))</f>
        <v/>
      </c>
      <c r="N301" s="39">
        <f>IF(D301="","",IFERROR(VALUE(MID(D301,LEN(D301)-3,3)),""))</f>
        <v/>
      </c>
      <c r="O301" s="33">
        <f>IF(N301="","",L301&amp;"|"&amp;N301)</f>
        <v/>
      </c>
      <c r="P301" s="33">
        <f>IF(N301="","",IF(L301="À RENSEIGNER","GIC",L301)&amp;"-"&amp;TEXT(N301,"000"))</f>
        <v/>
      </c>
      <c r="Q301" s="33">
        <f>IF(O301="","",IFERROR(INDEX(Cl_nom,MATCH(O301,Cl_cle,0)),"(client introuvable)"))</f>
        <v/>
      </c>
      <c r="R301" s="40">
        <f>IF(O301="","",IFERROR(INDEX(Cl_reste,MATCH(O301,Cl_cle,0)),""))</f>
        <v/>
      </c>
      <c r="S301" s="34">
        <f>IF(C301="","",YEAR(C301-WEEKDAY(C301,2)+4)&amp;"-S"&amp;TEXT(INT((C301-DATE(YEAR(C301-WEEKDAY(C301,2)+4),1,3)+WEEKDAY(DATE(YEAR(C301-WEEKDAY(C301,2)+4),1,3),2)+5)/7),"00"))</f>
        <v/>
      </c>
    </row>
    <row r="302" ht="18" customHeight="1">
      <c r="A302" s="39" t="n">
        <v>297</v>
      </c>
      <c r="B302" s="33">
        <f>IF(C302="","",IF(L302="À RENSEIGNER","GIC",L302)&amp;"-E"&amp;TEXT(A302,"00000"))</f>
        <v/>
      </c>
      <c r="C302" s="32" t="n"/>
      <c r="D302" s="36" t="n"/>
      <c r="E302" s="37" t="n"/>
      <c r="F302" s="36" t="n"/>
      <c r="G302" s="44" t="n"/>
      <c r="H302" s="43" t="n"/>
      <c r="I302" s="32" t="n"/>
      <c r="J302" s="44" t="n"/>
      <c r="K302" s="36" t="n"/>
      <c r="L302" s="33">
        <f>IF(C302="","",Commercial_Id)</f>
        <v/>
      </c>
      <c r="M302" s="34">
        <f>IF(OR(C302="",F302=""),"",IF(F302&lt;&gt;"Espèces","—",IF(I302&lt;&gt;"","☑ Oui","☐ Non")))</f>
        <v/>
      </c>
      <c r="N302" s="39">
        <f>IF(D302="","",IFERROR(VALUE(MID(D302,LEN(D302)-3,3)),""))</f>
        <v/>
      </c>
      <c r="O302" s="33">
        <f>IF(N302="","",L302&amp;"|"&amp;N302)</f>
        <v/>
      </c>
      <c r="P302" s="33">
        <f>IF(N302="","",IF(L302="À RENSEIGNER","GIC",L302)&amp;"-"&amp;TEXT(N302,"000"))</f>
        <v/>
      </c>
      <c r="Q302" s="33">
        <f>IF(O302="","",IFERROR(INDEX(Cl_nom,MATCH(O302,Cl_cle,0)),"(client introuvable)"))</f>
        <v/>
      </c>
      <c r="R302" s="40">
        <f>IF(O302="","",IFERROR(INDEX(Cl_reste,MATCH(O302,Cl_cle,0)),""))</f>
        <v/>
      </c>
      <c r="S302" s="34">
        <f>IF(C302="","",YEAR(C302-WEEKDAY(C302,2)+4)&amp;"-S"&amp;TEXT(INT((C302-DATE(YEAR(C302-WEEKDAY(C302,2)+4),1,3)+WEEKDAY(DATE(YEAR(C302-WEEKDAY(C302,2)+4),1,3),2)+5)/7),"00"))</f>
        <v/>
      </c>
    </row>
    <row r="303" ht="18" customHeight="1">
      <c r="A303" s="39" t="n">
        <v>298</v>
      </c>
      <c r="B303" s="33">
        <f>IF(C303="","",IF(L303="À RENSEIGNER","GIC",L303)&amp;"-E"&amp;TEXT(A303,"00000"))</f>
        <v/>
      </c>
      <c r="C303" s="32" t="n"/>
      <c r="D303" s="36" t="n"/>
      <c r="E303" s="37" t="n"/>
      <c r="F303" s="36" t="n"/>
      <c r="G303" s="44" t="n"/>
      <c r="H303" s="43" t="n"/>
      <c r="I303" s="32" t="n"/>
      <c r="J303" s="44" t="n"/>
      <c r="K303" s="36" t="n"/>
      <c r="L303" s="33">
        <f>IF(C303="","",Commercial_Id)</f>
        <v/>
      </c>
      <c r="M303" s="34">
        <f>IF(OR(C303="",F303=""),"",IF(F303&lt;&gt;"Espèces","—",IF(I303&lt;&gt;"","☑ Oui","☐ Non")))</f>
        <v/>
      </c>
      <c r="N303" s="39">
        <f>IF(D303="","",IFERROR(VALUE(MID(D303,LEN(D303)-3,3)),""))</f>
        <v/>
      </c>
      <c r="O303" s="33">
        <f>IF(N303="","",L303&amp;"|"&amp;N303)</f>
        <v/>
      </c>
      <c r="P303" s="33">
        <f>IF(N303="","",IF(L303="À RENSEIGNER","GIC",L303)&amp;"-"&amp;TEXT(N303,"000"))</f>
        <v/>
      </c>
      <c r="Q303" s="33">
        <f>IF(O303="","",IFERROR(INDEX(Cl_nom,MATCH(O303,Cl_cle,0)),"(client introuvable)"))</f>
        <v/>
      </c>
      <c r="R303" s="40">
        <f>IF(O303="","",IFERROR(INDEX(Cl_reste,MATCH(O303,Cl_cle,0)),""))</f>
        <v/>
      </c>
      <c r="S303" s="34">
        <f>IF(C303="","",YEAR(C303-WEEKDAY(C303,2)+4)&amp;"-S"&amp;TEXT(INT((C303-DATE(YEAR(C303-WEEKDAY(C303,2)+4),1,3)+WEEKDAY(DATE(YEAR(C303-WEEKDAY(C303,2)+4),1,3),2)+5)/7),"00"))</f>
        <v/>
      </c>
    </row>
    <row r="304" ht="18" customHeight="1">
      <c r="A304" s="39" t="n">
        <v>299</v>
      </c>
      <c r="B304" s="33">
        <f>IF(C304="","",IF(L304="À RENSEIGNER","GIC",L304)&amp;"-E"&amp;TEXT(A304,"00000"))</f>
        <v/>
      </c>
      <c r="C304" s="32" t="n"/>
      <c r="D304" s="36" t="n"/>
      <c r="E304" s="37" t="n"/>
      <c r="F304" s="36" t="n"/>
      <c r="G304" s="44" t="n"/>
      <c r="H304" s="43" t="n"/>
      <c r="I304" s="32" t="n"/>
      <c r="J304" s="44" t="n"/>
      <c r="K304" s="36" t="n"/>
      <c r="L304" s="33">
        <f>IF(C304="","",Commercial_Id)</f>
        <v/>
      </c>
      <c r="M304" s="34">
        <f>IF(OR(C304="",F304=""),"",IF(F304&lt;&gt;"Espèces","—",IF(I304&lt;&gt;"","☑ Oui","☐ Non")))</f>
        <v/>
      </c>
      <c r="N304" s="39">
        <f>IF(D304="","",IFERROR(VALUE(MID(D304,LEN(D304)-3,3)),""))</f>
        <v/>
      </c>
      <c r="O304" s="33">
        <f>IF(N304="","",L304&amp;"|"&amp;N304)</f>
        <v/>
      </c>
      <c r="P304" s="33">
        <f>IF(N304="","",IF(L304="À RENSEIGNER","GIC",L304)&amp;"-"&amp;TEXT(N304,"000"))</f>
        <v/>
      </c>
      <c r="Q304" s="33">
        <f>IF(O304="","",IFERROR(INDEX(Cl_nom,MATCH(O304,Cl_cle,0)),"(client introuvable)"))</f>
        <v/>
      </c>
      <c r="R304" s="40">
        <f>IF(O304="","",IFERROR(INDEX(Cl_reste,MATCH(O304,Cl_cle,0)),""))</f>
        <v/>
      </c>
      <c r="S304" s="34">
        <f>IF(C304="","",YEAR(C304-WEEKDAY(C304,2)+4)&amp;"-S"&amp;TEXT(INT((C304-DATE(YEAR(C304-WEEKDAY(C304,2)+4),1,3)+WEEKDAY(DATE(YEAR(C304-WEEKDAY(C304,2)+4),1,3),2)+5)/7),"00"))</f>
        <v/>
      </c>
    </row>
    <row r="305" ht="18" customHeight="1">
      <c r="A305" s="39" t="n">
        <v>300</v>
      </c>
      <c r="B305" s="33">
        <f>IF(C305="","",IF(L305="À RENSEIGNER","GIC",L305)&amp;"-E"&amp;TEXT(A305,"00000"))</f>
        <v/>
      </c>
      <c r="C305" s="32" t="n"/>
      <c r="D305" s="36" t="n"/>
      <c r="E305" s="37" t="n"/>
      <c r="F305" s="36" t="n"/>
      <c r="G305" s="44" t="n"/>
      <c r="H305" s="43" t="n"/>
      <c r="I305" s="32" t="n"/>
      <c r="J305" s="44" t="n"/>
      <c r="K305" s="36" t="n"/>
      <c r="L305" s="33">
        <f>IF(C305="","",Commercial_Id)</f>
        <v/>
      </c>
      <c r="M305" s="34">
        <f>IF(OR(C305="",F305=""),"",IF(F305&lt;&gt;"Espèces","—",IF(I305&lt;&gt;"","☑ Oui","☐ Non")))</f>
        <v/>
      </c>
      <c r="N305" s="39">
        <f>IF(D305="","",IFERROR(VALUE(MID(D305,LEN(D305)-3,3)),""))</f>
        <v/>
      </c>
      <c r="O305" s="33">
        <f>IF(N305="","",L305&amp;"|"&amp;N305)</f>
        <v/>
      </c>
      <c r="P305" s="33">
        <f>IF(N305="","",IF(L305="À RENSEIGNER","GIC",L305)&amp;"-"&amp;TEXT(N305,"000"))</f>
        <v/>
      </c>
      <c r="Q305" s="33">
        <f>IF(O305="","",IFERROR(INDEX(Cl_nom,MATCH(O305,Cl_cle,0)),"(client introuvable)"))</f>
        <v/>
      </c>
      <c r="R305" s="40">
        <f>IF(O305="","",IFERROR(INDEX(Cl_reste,MATCH(O305,Cl_cle,0)),""))</f>
        <v/>
      </c>
      <c r="S305" s="34">
        <f>IF(C305="","",YEAR(C305-WEEKDAY(C305,2)+4)&amp;"-S"&amp;TEXT(INT((C305-DATE(YEAR(C305-WEEKDAY(C305,2)+4),1,3)+WEEKDAY(DATE(YEAR(C305-WEEKDAY(C305,2)+4),1,3),2)+5)/7),"00"))</f>
        <v/>
      </c>
    </row>
    <row r="306" ht="18" customHeight="1">
      <c r="A306" s="39" t="n">
        <v>301</v>
      </c>
      <c r="B306" s="33">
        <f>IF(C306="","",IF(L306="À RENSEIGNER","GIC",L306)&amp;"-E"&amp;TEXT(A306,"00000"))</f>
        <v/>
      </c>
      <c r="C306" s="32" t="n"/>
      <c r="D306" s="36" t="n"/>
      <c r="E306" s="37" t="n"/>
      <c r="F306" s="36" t="n"/>
      <c r="G306" s="44" t="n"/>
      <c r="H306" s="43" t="n"/>
      <c r="I306" s="32" t="n"/>
      <c r="J306" s="44" t="n"/>
      <c r="K306" s="36" t="n"/>
      <c r="L306" s="33">
        <f>IF(C306="","",Commercial_Id)</f>
        <v/>
      </c>
      <c r="M306" s="34">
        <f>IF(OR(C306="",F306=""),"",IF(F306&lt;&gt;"Espèces","—",IF(I306&lt;&gt;"","☑ Oui","☐ Non")))</f>
        <v/>
      </c>
      <c r="N306" s="39">
        <f>IF(D306="","",IFERROR(VALUE(MID(D306,LEN(D306)-3,3)),""))</f>
        <v/>
      </c>
      <c r="O306" s="33">
        <f>IF(N306="","",L306&amp;"|"&amp;N306)</f>
        <v/>
      </c>
      <c r="P306" s="33">
        <f>IF(N306="","",IF(L306="À RENSEIGNER","GIC",L306)&amp;"-"&amp;TEXT(N306,"000"))</f>
        <v/>
      </c>
      <c r="Q306" s="33">
        <f>IF(O306="","",IFERROR(INDEX(Cl_nom,MATCH(O306,Cl_cle,0)),"(client introuvable)"))</f>
        <v/>
      </c>
      <c r="R306" s="40">
        <f>IF(O306="","",IFERROR(INDEX(Cl_reste,MATCH(O306,Cl_cle,0)),""))</f>
        <v/>
      </c>
      <c r="S306" s="34">
        <f>IF(C306="","",YEAR(C306-WEEKDAY(C306,2)+4)&amp;"-S"&amp;TEXT(INT((C306-DATE(YEAR(C306-WEEKDAY(C306,2)+4),1,3)+WEEKDAY(DATE(YEAR(C306-WEEKDAY(C306,2)+4),1,3),2)+5)/7),"00"))</f>
        <v/>
      </c>
    </row>
    <row r="307" ht="18" customHeight="1">
      <c r="A307" s="39" t="n">
        <v>302</v>
      </c>
      <c r="B307" s="33">
        <f>IF(C307="","",IF(L307="À RENSEIGNER","GIC",L307)&amp;"-E"&amp;TEXT(A307,"00000"))</f>
        <v/>
      </c>
      <c r="C307" s="32" t="n"/>
      <c r="D307" s="36" t="n"/>
      <c r="E307" s="37" t="n"/>
      <c r="F307" s="36" t="n"/>
      <c r="G307" s="44" t="n"/>
      <c r="H307" s="43" t="n"/>
      <c r="I307" s="32" t="n"/>
      <c r="J307" s="44" t="n"/>
      <c r="K307" s="36" t="n"/>
      <c r="L307" s="33">
        <f>IF(C307="","",Commercial_Id)</f>
        <v/>
      </c>
      <c r="M307" s="34">
        <f>IF(OR(C307="",F307=""),"",IF(F307&lt;&gt;"Espèces","—",IF(I307&lt;&gt;"","☑ Oui","☐ Non")))</f>
        <v/>
      </c>
      <c r="N307" s="39">
        <f>IF(D307="","",IFERROR(VALUE(MID(D307,LEN(D307)-3,3)),""))</f>
        <v/>
      </c>
      <c r="O307" s="33">
        <f>IF(N307="","",L307&amp;"|"&amp;N307)</f>
        <v/>
      </c>
      <c r="P307" s="33">
        <f>IF(N307="","",IF(L307="À RENSEIGNER","GIC",L307)&amp;"-"&amp;TEXT(N307,"000"))</f>
        <v/>
      </c>
      <c r="Q307" s="33">
        <f>IF(O307="","",IFERROR(INDEX(Cl_nom,MATCH(O307,Cl_cle,0)),"(client introuvable)"))</f>
        <v/>
      </c>
      <c r="R307" s="40">
        <f>IF(O307="","",IFERROR(INDEX(Cl_reste,MATCH(O307,Cl_cle,0)),""))</f>
        <v/>
      </c>
      <c r="S307" s="34">
        <f>IF(C307="","",YEAR(C307-WEEKDAY(C307,2)+4)&amp;"-S"&amp;TEXT(INT((C307-DATE(YEAR(C307-WEEKDAY(C307,2)+4),1,3)+WEEKDAY(DATE(YEAR(C307-WEEKDAY(C307,2)+4),1,3),2)+5)/7),"00"))</f>
        <v/>
      </c>
    </row>
    <row r="308" ht="18" customHeight="1">
      <c r="A308" s="39" t="n">
        <v>303</v>
      </c>
      <c r="B308" s="33">
        <f>IF(C308="","",IF(L308="À RENSEIGNER","GIC",L308)&amp;"-E"&amp;TEXT(A308,"00000"))</f>
        <v/>
      </c>
      <c r="C308" s="32" t="n"/>
      <c r="D308" s="36" t="n"/>
      <c r="E308" s="37" t="n"/>
      <c r="F308" s="36" t="n"/>
      <c r="G308" s="44" t="n"/>
      <c r="H308" s="43" t="n"/>
      <c r="I308" s="32" t="n"/>
      <c r="J308" s="44" t="n"/>
      <c r="K308" s="36" t="n"/>
      <c r="L308" s="33">
        <f>IF(C308="","",Commercial_Id)</f>
        <v/>
      </c>
      <c r="M308" s="34">
        <f>IF(OR(C308="",F308=""),"",IF(F308&lt;&gt;"Espèces","—",IF(I308&lt;&gt;"","☑ Oui","☐ Non")))</f>
        <v/>
      </c>
      <c r="N308" s="39">
        <f>IF(D308="","",IFERROR(VALUE(MID(D308,LEN(D308)-3,3)),""))</f>
        <v/>
      </c>
      <c r="O308" s="33">
        <f>IF(N308="","",L308&amp;"|"&amp;N308)</f>
        <v/>
      </c>
      <c r="P308" s="33">
        <f>IF(N308="","",IF(L308="À RENSEIGNER","GIC",L308)&amp;"-"&amp;TEXT(N308,"000"))</f>
        <v/>
      </c>
      <c r="Q308" s="33">
        <f>IF(O308="","",IFERROR(INDEX(Cl_nom,MATCH(O308,Cl_cle,0)),"(client introuvable)"))</f>
        <v/>
      </c>
      <c r="R308" s="40">
        <f>IF(O308="","",IFERROR(INDEX(Cl_reste,MATCH(O308,Cl_cle,0)),""))</f>
        <v/>
      </c>
      <c r="S308" s="34">
        <f>IF(C308="","",YEAR(C308-WEEKDAY(C308,2)+4)&amp;"-S"&amp;TEXT(INT((C308-DATE(YEAR(C308-WEEKDAY(C308,2)+4),1,3)+WEEKDAY(DATE(YEAR(C308-WEEKDAY(C308,2)+4),1,3),2)+5)/7),"00"))</f>
        <v/>
      </c>
    </row>
    <row r="309" ht="18" customHeight="1">
      <c r="A309" s="39" t="n">
        <v>304</v>
      </c>
      <c r="B309" s="33">
        <f>IF(C309="","",IF(L309="À RENSEIGNER","GIC",L309)&amp;"-E"&amp;TEXT(A309,"00000"))</f>
        <v/>
      </c>
      <c r="C309" s="32" t="n"/>
      <c r="D309" s="36" t="n"/>
      <c r="E309" s="37" t="n"/>
      <c r="F309" s="36" t="n"/>
      <c r="G309" s="44" t="n"/>
      <c r="H309" s="43" t="n"/>
      <c r="I309" s="32" t="n"/>
      <c r="J309" s="44" t="n"/>
      <c r="K309" s="36" t="n"/>
      <c r="L309" s="33">
        <f>IF(C309="","",Commercial_Id)</f>
        <v/>
      </c>
      <c r="M309" s="34">
        <f>IF(OR(C309="",F309=""),"",IF(F309&lt;&gt;"Espèces","—",IF(I309&lt;&gt;"","☑ Oui","☐ Non")))</f>
        <v/>
      </c>
      <c r="N309" s="39">
        <f>IF(D309="","",IFERROR(VALUE(MID(D309,LEN(D309)-3,3)),""))</f>
        <v/>
      </c>
      <c r="O309" s="33">
        <f>IF(N309="","",L309&amp;"|"&amp;N309)</f>
        <v/>
      </c>
      <c r="P309" s="33">
        <f>IF(N309="","",IF(L309="À RENSEIGNER","GIC",L309)&amp;"-"&amp;TEXT(N309,"000"))</f>
        <v/>
      </c>
      <c r="Q309" s="33">
        <f>IF(O309="","",IFERROR(INDEX(Cl_nom,MATCH(O309,Cl_cle,0)),"(client introuvable)"))</f>
        <v/>
      </c>
      <c r="R309" s="40">
        <f>IF(O309="","",IFERROR(INDEX(Cl_reste,MATCH(O309,Cl_cle,0)),""))</f>
        <v/>
      </c>
      <c r="S309" s="34">
        <f>IF(C309="","",YEAR(C309-WEEKDAY(C309,2)+4)&amp;"-S"&amp;TEXT(INT((C309-DATE(YEAR(C309-WEEKDAY(C309,2)+4),1,3)+WEEKDAY(DATE(YEAR(C309-WEEKDAY(C309,2)+4),1,3),2)+5)/7),"00"))</f>
        <v/>
      </c>
    </row>
    <row r="310" ht="18" customHeight="1">
      <c r="A310" s="39" t="n">
        <v>305</v>
      </c>
      <c r="B310" s="33">
        <f>IF(C310="","",IF(L310="À RENSEIGNER","GIC",L310)&amp;"-E"&amp;TEXT(A310,"00000"))</f>
        <v/>
      </c>
      <c r="C310" s="32" t="n"/>
      <c r="D310" s="36" t="n"/>
      <c r="E310" s="37" t="n"/>
      <c r="F310" s="36" t="n"/>
      <c r="G310" s="44" t="n"/>
      <c r="H310" s="43" t="n"/>
      <c r="I310" s="32" t="n"/>
      <c r="J310" s="44" t="n"/>
      <c r="K310" s="36" t="n"/>
      <c r="L310" s="33">
        <f>IF(C310="","",Commercial_Id)</f>
        <v/>
      </c>
      <c r="M310" s="34">
        <f>IF(OR(C310="",F310=""),"",IF(F310&lt;&gt;"Espèces","—",IF(I310&lt;&gt;"","☑ Oui","☐ Non")))</f>
        <v/>
      </c>
      <c r="N310" s="39">
        <f>IF(D310="","",IFERROR(VALUE(MID(D310,LEN(D310)-3,3)),""))</f>
        <v/>
      </c>
      <c r="O310" s="33">
        <f>IF(N310="","",L310&amp;"|"&amp;N310)</f>
        <v/>
      </c>
      <c r="P310" s="33">
        <f>IF(N310="","",IF(L310="À RENSEIGNER","GIC",L310)&amp;"-"&amp;TEXT(N310,"000"))</f>
        <v/>
      </c>
      <c r="Q310" s="33">
        <f>IF(O310="","",IFERROR(INDEX(Cl_nom,MATCH(O310,Cl_cle,0)),"(client introuvable)"))</f>
        <v/>
      </c>
      <c r="R310" s="40">
        <f>IF(O310="","",IFERROR(INDEX(Cl_reste,MATCH(O310,Cl_cle,0)),""))</f>
        <v/>
      </c>
      <c r="S310" s="34">
        <f>IF(C310="","",YEAR(C310-WEEKDAY(C310,2)+4)&amp;"-S"&amp;TEXT(INT((C310-DATE(YEAR(C310-WEEKDAY(C310,2)+4),1,3)+WEEKDAY(DATE(YEAR(C310-WEEKDAY(C310,2)+4),1,3),2)+5)/7),"00"))</f>
        <v/>
      </c>
    </row>
    <row r="311" ht="18" customHeight="1">
      <c r="A311" s="39" t="n">
        <v>306</v>
      </c>
      <c r="B311" s="33">
        <f>IF(C311="","",IF(L311="À RENSEIGNER","GIC",L311)&amp;"-E"&amp;TEXT(A311,"00000"))</f>
        <v/>
      </c>
      <c r="C311" s="32" t="n"/>
      <c r="D311" s="36" t="n"/>
      <c r="E311" s="37" t="n"/>
      <c r="F311" s="36" t="n"/>
      <c r="G311" s="44" t="n"/>
      <c r="H311" s="43" t="n"/>
      <c r="I311" s="32" t="n"/>
      <c r="J311" s="44" t="n"/>
      <c r="K311" s="36" t="n"/>
      <c r="L311" s="33">
        <f>IF(C311="","",Commercial_Id)</f>
        <v/>
      </c>
      <c r="M311" s="34">
        <f>IF(OR(C311="",F311=""),"",IF(F311&lt;&gt;"Espèces","—",IF(I311&lt;&gt;"","☑ Oui","☐ Non")))</f>
        <v/>
      </c>
      <c r="N311" s="39">
        <f>IF(D311="","",IFERROR(VALUE(MID(D311,LEN(D311)-3,3)),""))</f>
        <v/>
      </c>
      <c r="O311" s="33">
        <f>IF(N311="","",L311&amp;"|"&amp;N311)</f>
        <v/>
      </c>
      <c r="P311" s="33">
        <f>IF(N311="","",IF(L311="À RENSEIGNER","GIC",L311)&amp;"-"&amp;TEXT(N311,"000"))</f>
        <v/>
      </c>
      <c r="Q311" s="33">
        <f>IF(O311="","",IFERROR(INDEX(Cl_nom,MATCH(O311,Cl_cle,0)),"(client introuvable)"))</f>
        <v/>
      </c>
      <c r="R311" s="40">
        <f>IF(O311="","",IFERROR(INDEX(Cl_reste,MATCH(O311,Cl_cle,0)),""))</f>
        <v/>
      </c>
      <c r="S311" s="34">
        <f>IF(C311="","",YEAR(C311-WEEKDAY(C311,2)+4)&amp;"-S"&amp;TEXT(INT((C311-DATE(YEAR(C311-WEEKDAY(C311,2)+4),1,3)+WEEKDAY(DATE(YEAR(C311-WEEKDAY(C311,2)+4),1,3),2)+5)/7),"00"))</f>
        <v/>
      </c>
    </row>
    <row r="312" ht="18" customHeight="1">
      <c r="A312" s="39" t="n">
        <v>307</v>
      </c>
      <c r="B312" s="33">
        <f>IF(C312="","",IF(L312="À RENSEIGNER","GIC",L312)&amp;"-E"&amp;TEXT(A312,"00000"))</f>
        <v/>
      </c>
      <c r="C312" s="32" t="n"/>
      <c r="D312" s="36" t="n"/>
      <c r="E312" s="37" t="n"/>
      <c r="F312" s="36" t="n"/>
      <c r="G312" s="44" t="n"/>
      <c r="H312" s="43" t="n"/>
      <c r="I312" s="32" t="n"/>
      <c r="J312" s="44" t="n"/>
      <c r="K312" s="36" t="n"/>
      <c r="L312" s="33">
        <f>IF(C312="","",Commercial_Id)</f>
        <v/>
      </c>
      <c r="M312" s="34">
        <f>IF(OR(C312="",F312=""),"",IF(F312&lt;&gt;"Espèces","—",IF(I312&lt;&gt;"","☑ Oui","☐ Non")))</f>
        <v/>
      </c>
      <c r="N312" s="39">
        <f>IF(D312="","",IFERROR(VALUE(MID(D312,LEN(D312)-3,3)),""))</f>
        <v/>
      </c>
      <c r="O312" s="33">
        <f>IF(N312="","",L312&amp;"|"&amp;N312)</f>
        <v/>
      </c>
      <c r="P312" s="33">
        <f>IF(N312="","",IF(L312="À RENSEIGNER","GIC",L312)&amp;"-"&amp;TEXT(N312,"000"))</f>
        <v/>
      </c>
      <c r="Q312" s="33">
        <f>IF(O312="","",IFERROR(INDEX(Cl_nom,MATCH(O312,Cl_cle,0)),"(client introuvable)"))</f>
        <v/>
      </c>
      <c r="R312" s="40">
        <f>IF(O312="","",IFERROR(INDEX(Cl_reste,MATCH(O312,Cl_cle,0)),""))</f>
        <v/>
      </c>
      <c r="S312" s="34">
        <f>IF(C312="","",YEAR(C312-WEEKDAY(C312,2)+4)&amp;"-S"&amp;TEXT(INT((C312-DATE(YEAR(C312-WEEKDAY(C312,2)+4),1,3)+WEEKDAY(DATE(YEAR(C312-WEEKDAY(C312,2)+4),1,3),2)+5)/7),"00"))</f>
        <v/>
      </c>
    </row>
    <row r="313" ht="18" customHeight="1">
      <c r="A313" s="39" t="n">
        <v>308</v>
      </c>
      <c r="B313" s="33">
        <f>IF(C313="","",IF(L313="À RENSEIGNER","GIC",L313)&amp;"-E"&amp;TEXT(A313,"00000"))</f>
        <v/>
      </c>
      <c r="C313" s="32" t="n"/>
      <c r="D313" s="36" t="n"/>
      <c r="E313" s="37" t="n"/>
      <c r="F313" s="36" t="n"/>
      <c r="G313" s="44" t="n"/>
      <c r="H313" s="43" t="n"/>
      <c r="I313" s="32" t="n"/>
      <c r="J313" s="44" t="n"/>
      <c r="K313" s="36" t="n"/>
      <c r="L313" s="33">
        <f>IF(C313="","",Commercial_Id)</f>
        <v/>
      </c>
      <c r="M313" s="34">
        <f>IF(OR(C313="",F313=""),"",IF(F313&lt;&gt;"Espèces","—",IF(I313&lt;&gt;"","☑ Oui","☐ Non")))</f>
        <v/>
      </c>
      <c r="N313" s="39">
        <f>IF(D313="","",IFERROR(VALUE(MID(D313,LEN(D313)-3,3)),""))</f>
        <v/>
      </c>
      <c r="O313" s="33">
        <f>IF(N313="","",L313&amp;"|"&amp;N313)</f>
        <v/>
      </c>
      <c r="P313" s="33">
        <f>IF(N313="","",IF(L313="À RENSEIGNER","GIC",L313)&amp;"-"&amp;TEXT(N313,"000"))</f>
        <v/>
      </c>
      <c r="Q313" s="33">
        <f>IF(O313="","",IFERROR(INDEX(Cl_nom,MATCH(O313,Cl_cle,0)),"(client introuvable)"))</f>
        <v/>
      </c>
      <c r="R313" s="40">
        <f>IF(O313="","",IFERROR(INDEX(Cl_reste,MATCH(O313,Cl_cle,0)),""))</f>
        <v/>
      </c>
      <c r="S313" s="34">
        <f>IF(C313="","",YEAR(C313-WEEKDAY(C313,2)+4)&amp;"-S"&amp;TEXT(INT((C313-DATE(YEAR(C313-WEEKDAY(C313,2)+4),1,3)+WEEKDAY(DATE(YEAR(C313-WEEKDAY(C313,2)+4),1,3),2)+5)/7),"00"))</f>
        <v/>
      </c>
    </row>
    <row r="314" ht="18" customHeight="1">
      <c r="A314" s="39" t="n">
        <v>309</v>
      </c>
      <c r="B314" s="33">
        <f>IF(C314="","",IF(L314="À RENSEIGNER","GIC",L314)&amp;"-E"&amp;TEXT(A314,"00000"))</f>
        <v/>
      </c>
      <c r="C314" s="32" t="n"/>
      <c r="D314" s="36" t="n"/>
      <c r="E314" s="37" t="n"/>
      <c r="F314" s="36" t="n"/>
      <c r="G314" s="44" t="n"/>
      <c r="H314" s="43" t="n"/>
      <c r="I314" s="32" t="n"/>
      <c r="J314" s="44" t="n"/>
      <c r="K314" s="36" t="n"/>
      <c r="L314" s="33">
        <f>IF(C314="","",Commercial_Id)</f>
        <v/>
      </c>
      <c r="M314" s="34">
        <f>IF(OR(C314="",F314=""),"",IF(F314&lt;&gt;"Espèces","—",IF(I314&lt;&gt;"","☑ Oui","☐ Non")))</f>
        <v/>
      </c>
      <c r="N314" s="39">
        <f>IF(D314="","",IFERROR(VALUE(MID(D314,LEN(D314)-3,3)),""))</f>
        <v/>
      </c>
      <c r="O314" s="33">
        <f>IF(N314="","",L314&amp;"|"&amp;N314)</f>
        <v/>
      </c>
      <c r="P314" s="33">
        <f>IF(N314="","",IF(L314="À RENSEIGNER","GIC",L314)&amp;"-"&amp;TEXT(N314,"000"))</f>
        <v/>
      </c>
      <c r="Q314" s="33">
        <f>IF(O314="","",IFERROR(INDEX(Cl_nom,MATCH(O314,Cl_cle,0)),"(client introuvable)"))</f>
        <v/>
      </c>
      <c r="R314" s="40">
        <f>IF(O314="","",IFERROR(INDEX(Cl_reste,MATCH(O314,Cl_cle,0)),""))</f>
        <v/>
      </c>
      <c r="S314" s="34">
        <f>IF(C314="","",YEAR(C314-WEEKDAY(C314,2)+4)&amp;"-S"&amp;TEXT(INT((C314-DATE(YEAR(C314-WEEKDAY(C314,2)+4),1,3)+WEEKDAY(DATE(YEAR(C314-WEEKDAY(C314,2)+4),1,3),2)+5)/7),"00"))</f>
        <v/>
      </c>
    </row>
    <row r="315" ht="18" customHeight="1">
      <c r="A315" s="39" t="n">
        <v>310</v>
      </c>
      <c r="B315" s="33">
        <f>IF(C315="","",IF(L315="À RENSEIGNER","GIC",L315)&amp;"-E"&amp;TEXT(A315,"00000"))</f>
        <v/>
      </c>
      <c r="C315" s="32" t="n"/>
      <c r="D315" s="36" t="n"/>
      <c r="E315" s="37" t="n"/>
      <c r="F315" s="36" t="n"/>
      <c r="G315" s="44" t="n"/>
      <c r="H315" s="43" t="n"/>
      <c r="I315" s="32" t="n"/>
      <c r="J315" s="44" t="n"/>
      <c r="K315" s="36" t="n"/>
      <c r="L315" s="33">
        <f>IF(C315="","",Commercial_Id)</f>
        <v/>
      </c>
      <c r="M315" s="34">
        <f>IF(OR(C315="",F315=""),"",IF(F315&lt;&gt;"Espèces","—",IF(I315&lt;&gt;"","☑ Oui","☐ Non")))</f>
        <v/>
      </c>
      <c r="N315" s="39">
        <f>IF(D315="","",IFERROR(VALUE(MID(D315,LEN(D315)-3,3)),""))</f>
        <v/>
      </c>
      <c r="O315" s="33">
        <f>IF(N315="","",L315&amp;"|"&amp;N315)</f>
        <v/>
      </c>
      <c r="P315" s="33">
        <f>IF(N315="","",IF(L315="À RENSEIGNER","GIC",L315)&amp;"-"&amp;TEXT(N315,"000"))</f>
        <v/>
      </c>
      <c r="Q315" s="33">
        <f>IF(O315="","",IFERROR(INDEX(Cl_nom,MATCH(O315,Cl_cle,0)),"(client introuvable)"))</f>
        <v/>
      </c>
      <c r="R315" s="40">
        <f>IF(O315="","",IFERROR(INDEX(Cl_reste,MATCH(O315,Cl_cle,0)),""))</f>
        <v/>
      </c>
      <c r="S315" s="34">
        <f>IF(C315="","",YEAR(C315-WEEKDAY(C315,2)+4)&amp;"-S"&amp;TEXT(INT((C315-DATE(YEAR(C315-WEEKDAY(C315,2)+4),1,3)+WEEKDAY(DATE(YEAR(C315-WEEKDAY(C315,2)+4),1,3),2)+5)/7),"00"))</f>
        <v/>
      </c>
    </row>
    <row r="316" ht="18" customHeight="1">
      <c r="A316" s="39" t="n">
        <v>311</v>
      </c>
      <c r="B316" s="33">
        <f>IF(C316="","",IF(L316="À RENSEIGNER","GIC",L316)&amp;"-E"&amp;TEXT(A316,"00000"))</f>
        <v/>
      </c>
      <c r="C316" s="32" t="n"/>
      <c r="D316" s="36" t="n"/>
      <c r="E316" s="37" t="n"/>
      <c r="F316" s="36" t="n"/>
      <c r="G316" s="44" t="n"/>
      <c r="H316" s="43" t="n"/>
      <c r="I316" s="32" t="n"/>
      <c r="J316" s="44" t="n"/>
      <c r="K316" s="36" t="n"/>
      <c r="L316" s="33">
        <f>IF(C316="","",Commercial_Id)</f>
        <v/>
      </c>
      <c r="M316" s="34">
        <f>IF(OR(C316="",F316=""),"",IF(F316&lt;&gt;"Espèces","—",IF(I316&lt;&gt;"","☑ Oui","☐ Non")))</f>
        <v/>
      </c>
      <c r="N316" s="39">
        <f>IF(D316="","",IFERROR(VALUE(MID(D316,LEN(D316)-3,3)),""))</f>
        <v/>
      </c>
      <c r="O316" s="33">
        <f>IF(N316="","",L316&amp;"|"&amp;N316)</f>
        <v/>
      </c>
      <c r="P316" s="33">
        <f>IF(N316="","",IF(L316="À RENSEIGNER","GIC",L316)&amp;"-"&amp;TEXT(N316,"000"))</f>
        <v/>
      </c>
      <c r="Q316" s="33">
        <f>IF(O316="","",IFERROR(INDEX(Cl_nom,MATCH(O316,Cl_cle,0)),"(client introuvable)"))</f>
        <v/>
      </c>
      <c r="R316" s="40">
        <f>IF(O316="","",IFERROR(INDEX(Cl_reste,MATCH(O316,Cl_cle,0)),""))</f>
        <v/>
      </c>
      <c r="S316" s="34">
        <f>IF(C316="","",YEAR(C316-WEEKDAY(C316,2)+4)&amp;"-S"&amp;TEXT(INT((C316-DATE(YEAR(C316-WEEKDAY(C316,2)+4),1,3)+WEEKDAY(DATE(YEAR(C316-WEEKDAY(C316,2)+4),1,3),2)+5)/7),"00"))</f>
        <v/>
      </c>
    </row>
    <row r="317" ht="18" customHeight="1">
      <c r="A317" s="39" t="n">
        <v>312</v>
      </c>
      <c r="B317" s="33">
        <f>IF(C317="","",IF(L317="À RENSEIGNER","GIC",L317)&amp;"-E"&amp;TEXT(A317,"00000"))</f>
        <v/>
      </c>
      <c r="C317" s="32" t="n"/>
      <c r="D317" s="36" t="n"/>
      <c r="E317" s="37" t="n"/>
      <c r="F317" s="36" t="n"/>
      <c r="G317" s="44" t="n"/>
      <c r="H317" s="43" t="n"/>
      <c r="I317" s="32" t="n"/>
      <c r="J317" s="44" t="n"/>
      <c r="K317" s="36" t="n"/>
      <c r="L317" s="33">
        <f>IF(C317="","",Commercial_Id)</f>
        <v/>
      </c>
      <c r="M317" s="34">
        <f>IF(OR(C317="",F317=""),"",IF(F317&lt;&gt;"Espèces","—",IF(I317&lt;&gt;"","☑ Oui","☐ Non")))</f>
        <v/>
      </c>
      <c r="N317" s="39">
        <f>IF(D317="","",IFERROR(VALUE(MID(D317,LEN(D317)-3,3)),""))</f>
        <v/>
      </c>
      <c r="O317" s="33">
        <f>IF(N317="","",L317&amp;"|"&amp;N317)</f>
        <v/>
      </c>
      <c r="P317" s="33">
        <f>IF(N317="","",IF(L317="À RENSEIGNER","GIC",L317)&amp;"-"&amp;TEXT(N317,"000"))</f>
        <v/>
      </c>
      <c r="Q317" s="33">
        <f>IF(O317="","",IFERROR(INDEX(Cl_nom,MATCH(O317,Cl_cle,0)),"(client introuvable)"))</f>
        <v/>
      </c>
      <c r="R317" s="40">
        <f>IF(O317="","",IFERROR(INDEX(Cl_reste,MATCH(O317,Cl_cle,0)),""))</f>
        <v/>
      </c>
      <c r="S317" s="34">
        <f>IF(C317="","",YEAR(C317-WEEKDAY(C317,2)+4)&amp;"-S"&amp;TEXT(INT((C317-DATE(YEAR(C317-WEEKDAY(C317,2)+4),1,3)+WEEKDAY(DATE(YEAR(C317-WEEKDAY(C317,2)+4),1,3),2)+5)/7),"00"))</f>
        <v/>
      </c>
    </row>
    <row r="318" ht="18" customHeight="1">
      <c r="A318" s="39" t="n">
        <v>313</v>
      </c>
      <c r="B318" s="33">
        <f>IF(C318="","",IF(L318="À RENSEIGNER","GIC",L318)&amp;"-E"&amp;TEXT(A318,"00000"))</f>
        <v/>
      </c>
      <c r="C318" s="32" t="n"/>
      <c r="D318" s="36" t="n"/>
      <c r="E318" s="37" t="n"/>
      <c r="F318" s="36" t="n"/>
      <c r="G318" s="44" t="n"/>
      <c r="H318" s="43" t="n"/>
      <c r="I318" s="32" t="n"/>
      <c r="J318" s="44" t="n"/>
      <c r="K318" s="36" t="n"/>
      <c r="L318" s="33">
        <f>IF(C318="","",Commercial_Id)</f>
        <v/>
      </c>
      <c r="M318" s="34">
        <f>IF(OR(C318="",F318=""),"",IF(F318&lt;&gt;"Espèces","—",IF(I318&lt;&gt;"","☑ Oui","☐ Non")))</f>
        <v/>
      </c>
      <c r="N318" s="39">
        <f>IF(D318="","",IFERROR(VALUE(MID(D318,LEN(D318)-3,3)),""))</f>
        <v/>
      </c>
      <c r="O318" s="33">
        <f>IF(N318="","",L318&amp;"|"&amp;N318)</f>
        <v/>
      </c>
      <c r="P318" s="33">
        <f>IF(N318="","",IF(L318="À RENSEIGNER","GIC",L318)&amp;"-"&amp;TEXT(N318,"000"))</f>
        <v/>
      </c>
      <c r="Q318" s="33">
        <f>IF(O318="","",IFERROR(INDEX(Cl_nom,MATCH(O318,Cl_cle,0)),"(client introuvable)"))</f>
        <v/>
      </c>
      <c r="R318" s="40">
        <f>IF(O318="","",IFERROR(INDEX(Cl_reste,MATCH(O318,Cl_cle,0)),""))</f>
        <v/>
      </c>
      <c r="S318" s="34">
        <f>IF(C318="","",YEAR(C318-WEEKDAY(C318,2)+4)&amp;"-S"&amp;TEXT(INT((C318-DATE(YEAR(C318-WEEKDAY(C318,2)+4),1,3)+WEEKDAY(DATE(YEAR(C318-WEEKDAY(C318,2)+4),1,3),2)+5)/7),"00"))</f>
        <v/>
      </c>
    </row>
    <row r="319" ht="18" customHeight="1">
      <c r="A319" s="39" t="n">
        <v>314</v>
      </c>
      <c r="B319" s="33">
        <f>IF(C319="","",IF(L319="À RENSEIGNER","GIC",L319)&amp;"-E"&amp;TEXT(A319,"00000"))</f>
        <v/>
      </c>
      <c r="C319" s="32" t="n"/>
      <c r="D319" s="36" t="n"/>
      <c r="E319" s="37" t="n"/>
      <c r="F319" s="36" t="n"/>
      <c r="G319" s="44" t="n"/>
      <c r="H319" s="43" t="n"/>
      <c r="I319" s="32" t="n"/>
      <c r="J319" s="44" t="n"/>
      <c r="K319" s="36" t="n"/>
      <c r="L319" s="33">
        <f>IF(C319="","",Commercial_Id)</f>
        <v/>
      </c>
      <c r="M319" s="34">
        <f>IF(OR(C319="",F319=""),"",IF(F319&lt;&gt;"Espèces","—",IF(I319&lt;&gt;"","☑ Oui","☐ Non")))</f>
        <v/>
      </c>
      <c r="N319" s="39">
        <f>IF(D319="","",IFERROR(VALUE(MID(D319,LEN(D319)-3,3)),""))</f>
        <v/>
      </c>
      <c r="O319" s="33">
        <f>IF(N319="","",L319&amp;"|"&amp;N319)</f>
        <v/>
      </c>
      <c r="P319" s="33">
        <f>IF(N319="","",IF(L319="À RENSEIGNER","GIC",L319)&amp;"-"&amp;TEXT(N319,"000"))</f>
        <v/>
      </c>
      <c r="Q319" s="33">
        <f>IF(O319="","",IFERROR(INDEX(Cl_nom,MATCH(O319,Cl_cle,0)),"(client introuvable)"))</f>
        <v/>
      </c>
      <c r="R319" s="40">
        <f>IF(O319="","",IFERROR(INDEX(Cl_reste,MATCH(O319,Cl_cle,0)),""))</f>
        <v/>
      </c>
      <c r="S319" s="34">
        <f>IF(C319="","",YEAR(C319-WEEKDAY(C319,2)+4)&amp;"-S"&amp;TEXT(INT((C319-DATE(YEAR(C319-WEEKDAY(C319,2)+4),1,3)+WEEKDAY(DATE(YEAR(C319-WEEKDAY(C319,2)+4),1,3),2)+5)/7),"00"))</f>
        <v/>
      </c>
    </row>
    <row r="320" ht="18" customHeight="1">
      <c r="A320" s="39" t="n">
        <v>315</v>
      </c>
      <c r="B320" s="33">
        <f>IF(C320="","",IF(L320="À RENSEIGNER","GIC",L320)&amp;"-E"&amp;TEXT(A320,"00000"))</f>
        <v/>
      </c>
      <c r="C320" s="32" t="n"/>
      <c r="D320" s="36" t="n"/>
      <c r="E320" s="37" t="n"/>
      <c r="F320" s="36" t="n"/>
      <c r="G320" s="44" t="n"/>
      <c r="H320" s="43" t="n"/>
      <c r="I320" s="32" t="n"/>
      <c r="J320" s="44" t="n"/>
      <c r="K320" s="36" t="n"/>
      <c r="L320" s="33">
        <f>IF(C320="","",Commercial_Id)</f>
        <v/>
      </c>
      <c r="M320" s="34">
        <f>IF(OR(C320="",F320=""),"",IF(F320&lt;&gt;"Espèces","—",IF(I320&lt;&gt;"","☑ Oui","☐ Non")))</f>
        <v/>
      </c>
      <c r="N320" s="39">
        <f>IF(D320="","",IFERROR(VALUE(MID(D320,LEN(D320)-3,3)),""))</f>
        <v/>
      </c>
      <c r="O320" s="33">
        <f>IF(N320="","",L320&amp;"|"&amp;N320)</f>
        <v/>
      </c>
      <c r="P320" s="33">
        <f>IF(N320="","",IF(L320="À RENSEIGNER","GIC",L320)&amp;"-"&amp;TEXT(N320,"000"))</f>
        <v/>
      </c>
      <c r="Q320" s="33">
        <f>IF(O320="","",IFERROR(INDEX(Cl_nom,MATCH(O320,Cl_cle,0)),"(client introuvable)"))</f>
        <v/>
      </c>
      <c r="R320" s="40">
        <f>IF(O320="","",IFERROR(INDEX(Cl_reste,MATCH(O320,Cl_cle,0)),""))</f>
        <v/>
      </c>
      <c r="S320" s="34">
        <f>IF(C320="","",YEAR(C320-WEEKDAY(C320,2)+4)&amp;"-S"&amp;TEXT(INT((C320-DATE(YEAR(C320-WEEKDAY(C320,2)+4),1,3)+WEEKDAY(DATE(YEAR(C320-WEEKDAY(C320,2)+4),1,3),2)+5)/7),"00"))</f>
        <v/>
      </c>
    </row>
    <row r="321" ht="18" customHeight="1">
      <c r="A321" s="39" t="n">
        <v>316</v>
      </c>
      <c r="B321" s="33">
        <f>IF(C321="","",IF(L321="À RENSEIGNER","GIC",L321)&amp;"-E"&amp;TEXT(A321,"00000"))</f>
        <v/>
      </c>
      <c r="C321" s="32" t="n"/>
      <c r="D321" s="36" t="n"/>
      <c r="E321" s="37" t="n"/>
      <c r="F321" s="36" t="n"/>
      <c r="G321" s="44" t="n"/>
      <c r="H321" s="43" t="n"/>
      <c r="I321" s="32" t="n"/>
      <c r="J321" s="44" t="n"/>
      <c r="K321" s="36" t="n"/>
      <c r="L321" s="33">
        <f>IF(C321="","",Commercial_Id)</f>
        <v/>
      </c>
      <c r="M321" s="34">
        <f>IF(OR(C321="",F321=""),"",IF(F321&lt;&gt;"Espèces","—",IF(I321&lt;&gt;"","☑ Oui","☐ Non")))</f>
        <v/>
      </c>
      <c r="N321" s="39">
        <f>IF(D321="","",IFERROR(VALUE(MID(D321,LEN(D321)-3,3)),""))</f>
        <v/>
      </c>
      <c r="O321" s="33">
        <f>IF(N321="","",L321&amp;"|"&amp;N321)</f>
        <v/>
      </c>
      <c r="P321" s="33">
        <f>IF(N321="","",IF(L321="À RENSEIGNER","GIC",L321)&amp;"-"&amp;TEXT(N321,"000"))</f>
        <v/>
      </c>
      <c r="Q321" s="33">
        <f>IF(O321="","",IFERROR(INDEX(Cl_nom,MATCH(O321,Cl_cle,0)),"(client introuvable)"))</f>
        <v/>
      </c>
      <c r="R321" s="40">
        <f>IF(O321="","",IFERROR(INDEX(Cl_reste,MATCH(O321,Cl_cle,0)),""))</f>
        <v/>
      </c>
      <c r="S321" s="34">
        <f>IF(C321="","",YEAR(C321-WEEKDAY(C321,2)+4)&amp;"-S"&amp;TEXT(INT((C321-DATE(YEAR(C321-WEEKDAY(C321,2)+4),1,3)+WEEKDAY(DATE(YEAR(C321-WEEKDAY(C321,2)+4),1,3),2)+5)/7),"00"))</f>
        <v/>
      </c>
    </row>
    <row r="322" ht="18" customHeight="1">
      <c r="A322" s="39" t="n">
        <v>317</v>
      </c>
      <c r="B322" s="33">
        <f>IF(C322="","",IF(L322="À RENSEIGNER","GIC",L322)&amp;"-E"&amp;TEXT(A322,"00000"))</f>
        <v/>
      </c>
      <c r="C322" s="32" t="n"/>
      <c r="D322" s="36" t="n"/>
      <c r="E322" s="37" t="n"/>
      <c r="F322" s="36" t="n"/>
      <c r="G322" s="44" t="n"/>
      <c r="H322" s="43" t="n"/>
      <c r="I322" s="32" t="n"/>
      <c r="J322" s="44" t="n"/>
      <c r="K322" s="36" t="n"/>
      <c r="L322" s="33">
        <f>IF(C322="","",Commercial_Id)</f>
        <v/>
      </c>
      <c r="M322" s="34">
        <f>IF(OR(C322="",F322=""),"",IF(F322&lt;&gt;"Espèces","—",IF(I322&lt;&gt;"","☑ Oui","☐ Non")))</f>
        <v/>
      </c>
      <c r="N322" s="39">
        <f>IF(D322="","",IFERROR(VALUE(MID(D322,LEN(D322)-3,3)),""))</f>
        <v/>
      </c>
      <c r="O322" s="33">
        <f>IF(N322="","",L322&amp;"|"&amp;N322)</f>
        <v/>
      </c>
      <c r="P322" s="33">
        <f>IF(N322="","",IF(L322="À RENSEIGNER","GIC",L322)&amp;"-"&amp;TEXT(N322,"000"))</f>
        <v/>
      </c>
      <c r="Q322" s="33">
        <f>IF(O322="","",IFERROR(INDEX(Cl_nom,MATCH(O322,Cl_cle,0)),"(client introuvable)"))</f>
        <v/>
      </c>
      <c r="R322" s="40">
        <f>IF(O322="","",IFERROR(INDEX(Cl_reste,MATCH(O322,Cl_cle,0)),""))</f>
        <v/>
      </c>
      <c r="S322" s="34">
        <f>IF(C322="","",YEAR(C322-WEEKDAY(C322,2)+4)&amp;"-S"&amp;TEXT(INT((C322-DATE(YEAR(C322-WEEKDAY(C322,2)+4),1,3)+WEEKDAY(DATE(YEAR(C322-WEEKDAY(C322,2)+4),1,3),2)+5)/7),"00"))</f>
        <v/>
      </c>
    </row>
    <row r="323" ht="18" customHeight="1">
      <c r="A323" s="39" t="n">
        <v>318</v>
      </c>
      <c r="B323" s="33">
        <f>IF(C323="","",IF(L323="À RENSEIGNER","GIC",L323)&amp;"-E"&amp;TEXT(A323,"00000"))</f>
        <v/>
      </c>
      <c r="C323" s="32" t="n"/>
      <c r="D323" s="36" t="n"/>
      <c r="E323" s="37" t="n"/>
      <c r="F323" s="36" t="n"/>
      <c r="G323" s="44" t="n"/>
      <c r="H323" s="43" t="n"/>
      <c r="I323" s="32" t="n"/>
      <c r="J323" s="44" t="n"/>
      <c r="K323" s="36" t="n"/>
      <c r="L323" s="33">
        <f>IF(C323="","",Commercial_Id)</f>
        <v/>
      </c>
      <c r="M323" s="34">
        <f>IF(OR(C323="",F323=""),"",IF(F323&lt;&gt;"Espèces","—",IF(I323&lt;&gt;"","☑ Oui","☐ Non")))</f>
        <v/>
      </c>
      <c r="N323" s="39">
        <f>IF(D323="","",IFERROR(VALUE(MID(D323,LEN(D323)-3,3)),""))</f>
        <v/>
      </c>
      <c r="O323" s="33">
        <f>IF(N323="","",L323&amp;"|"&amp;N323)</f>
        <v/>
      </c>
      <c r="P323" s="33">
        <f>IF(N323="","",IF(L323="À RENSEIGNER","GIC",L323)&amp;"-"&amp;TEXT(N323,"000"))</f>
        <v/>
      </c>
      <c r="Q323" s="33">
        <f>IF(O323="","",IFERROR(INDEX(Cl_nom,MATCH(O323,Cl_cle,0)),"(client introuvable)"))</f>
        <v/>
      </c>
      <c r="R323" s="40">
        <f>IF(O323="","",IFERROR(INDEX(Cl_reste,MATCH(O323,Cl_cle,0)),""))</f>
        <v/>
      </c>
      <c r="S323" s="34">
        <f>IF(C323="","",YEAR(C323-WEEKDAY(C323,2)+4)&amp;"-S"&amp;TEXT(INT((C323-DATE(YEAR(C323-WEEKDAY(C323,2)+4),1,3)+WEEKDAY(DATE(YEAR(C323-WEEKDAY(C323,2)+4),1,3),2)+5)/7),"00"))</f>
        <v/>
      </c>
    </row>
    <row r="324" ht="18" customHeight="1">
      <c r="A324" s="39" t="n">
        <v>319</v>
      </c>
      <c r="B324" s="33">
        <f>IF(C324="","",IF(L324="À RENSEIGNER","GIC",L324)&amp;"-E"&amp;TEXT(A324,"00000"))</f>
        <v/>
      </c>
      <c r="C324" s="32" t="n"/>
      <c r="D324" s="36" t="n"/>
      <c r="E324" s="37" t="n"/>
      <c r="F324" s="36" t="n"/>
      <c r="G324" s="44" t="n"/>
      <c r="H324" s="43" t="n"/>
      <c r="I324" s="32" t="n"/>
      <c r="J324" s="44" t="n"/>
      <c r="K324" s="36" t="n"/>
      <c r="L324" s="33">
        <f>IF(C324="","",Commercial_Id)</f>
        <v/>
      </c>
      <c r="M324" s="34">
        <f>IF(OR(C324="",F324=""),"",IF(F324&lt;&gt;"Espèces","—",IF(I324&lt;&gt;"","☑ Oui","☐ Non")))</f>
        <v/>
      </c>
      <c r="N324" s="39">
        <f>IF(D324="","",IFERROR(VALUE(MID(D324,LEN(D324)-3,3)),""))</f>
        <v/>
      </c>
      <c r="O324" s="33">
        <f>IF(N324="","",L324&amp;"|"&amp;N324)</f>
        <v/>
      </c>
      <c r="P324" s="33">
        <f>IF(N324="","",IF(L324="À RENSEIGNER","GIC",L324)&amp;"-"&amp;TEXT(N324,"000"))</f>
        <v/>
      </c>
      <c r="Q324" s="33">
        <f>IF(O324="","",IFERROR(INDEX(Cl_nom,MATCH(O324,Cl_cle,0)),"(client introuvable)"))</f>
        <v/>
      </c>
      <c r="R324" s="40">
        <f>IF(O324="","",IFERROR(INDEX(Cl_reste,MATCH(O324,Cl_cle,0)),""))</f>
        <v/>
      </c>
      <c r="S324" s="34">
        <f>IF(C324="","",YEAR(C324-WEEKDAY(C324,2)+4)&amp;"-S"&amp;TEXT(INT((C324-DATE(YEAR(C324-WEEKDAY(C324,2)+4),1,3)+WEEKDAY(DATE(YEAR(C324-WEEKDAY(C324,2)+4),1,3),2)+5)/7),"00"))</f>
        <v/>
      </c>
    </row>
    <row r="325" ht="18" customHeight="1">
      <c r="A325" s="39" t="n">
        <v>320</v>
      </c>
      <c r="B325" s="33">
        <f>IF(C325="","",IF(L325="À RENSEIGNER","GIC",L325)&amp;"-E"&amp;TEXT(A325,"00000"))</f>
        <v/>
      </c>
      <c r="C325" s="32" t="n"/>
      <c r="D325" s="36" t="n"/>
      <c r="E325" s="37" t="n"/>
      <c r="F325" s="36" t="n"/>
      <c r="G325" s="44" t="n"/>
      <c r="H325" s="43" t="n"/>
      <c r="I325" s="32" t="n"/>
      <c r="J325" s="44" t="n"/>
      <c r="K325" s="36" t="n"/>
      <c r="L325" s="33">
        <f>IF(C325="","",Commercial_Id)</f>
        <v/>
      </c>
      <c r="M325" s="34">
        <f>IF(OR(C325="",F325=""),"",IF(F325&lt;&gt;"Espèces","—",IF(I325&lt;&gt;"","☑ Oui","☐ Non")))</f>
        <v/>
      </c>
      <c r="N325" s="39">
        <f>IF(D325="","",IFERROR(VALUE(MID(D325,LEN(D325)-3,3)),""))</f>
        <v/>
      </c>
      <c r="O325" s="33">
        <f>IF(N325="","",L325&amp;"|"&amp;N325)</f>
        <v/>
      </c>
      <c r="P325" s="33">
        <f>IF(N325="","",IF(L325="À RENSEIGNER","GIC",L325)&amp;"-"&amp;TEXT(N325,"000"))</f>
        <v/>
      </c>
      <c r="Q325" s="33">
        <f>IF(O325="","",IFERROR(INDEX(Cl_nom,MATCH(O325,Cl_cle,0)),"(client introuvable)"))</f>
        <v/>
      </c>
      <c r="R325" s="40">
        <f>IF(O325="","",IFERROR(INDEX(Cl_reste,MATCH(O325,Cl_cle,0)),""))</f>
        <v/>
      </c>
      <c r="S325" s="34">
        <f>IF(C325="","",YEAR(C325-WEEKDAY(C325,2)+4)&amp;"-S"&amp;TEXT(INT((C325-DATE(YEAR(C325-WEEKDAY(C325,2)+4),1,3)+WEEKDAY(DATE(YEAR(C325-WEEKDAY(C325,2)+4),1,3),2)+5)/7),"00"))</f>
        <v/>
      </c>
    </row>
    <row r="326" ht="18" customHeight="1">
      <c r="A326" s="39" t="n">
        <v>321</v>
      </c>
      <c r="B326" s="33">
        <f>IF(C326="","",IF(L326="À RENSEIGNER","GIC",L326)&amp;"-E"&amp;TEXT(A326,"00000"))</f>
        <v/>
      </c>
      <c r="C326" s="32" t="n"/>
      <c r="D326" s="36" t="n"/>
      <c r="E326" s="37" t="n"/>
      <c r="F326" s="36" t="n"/>
      <c r="G326" s="44" t="n"/>
      <c r="H326" s="43" t="n"/>
      <c r="I326" s="32" t="n"/>
      <c r="J326" s="44" t="n"/>
      <c r="K326" s="36" t="n"/>
      <c r="L326" s="33">
        <f>IF(C326="","",Commercial_Id)</f>
        <v/>
      </c>
      <c r="M326" s="34">
        <f>IF(OR(C326="",F326=""),"",IF(F326&lt;&gt;"Espèces","—",IF(I326&lt;&gt;"","☑ Oui","☐ Non")))</f>
        <v/>
      </c>
      <c r="N326" s="39">
        <f>IF(D326="","",IFERROR(VALUE(MID(D326,LEN(D326)-3,3)),""))</f>
        <v/>
      </c>
      <c r="O326" s="33">
        <f>IF(N326="","",L326&amp;"|"&amp;N326)</f>
        <v/>
      </c>
      <c r="P326" s="33">
        <f>IF(N326="","",IF(L326="À RENSEIGNER","GIC",L326)&amp;"-"&amp;TEXT(N326,"000"))</f>
        <v/>
      </c>
      <c r="Q326" s="33">
        <f>IF(O326="","",IFERROR(INDEX(Cl_nom,MATCH(O326,Cl_cle,0)),"(client introuvable)"))</f>
        <v/>
      </c>
      <c r="R326" s="40">
        <f>IF(O326="","",IFERROR(INDEX(Cl_reste,MATCH(O326,Cl_cle,0)),""))</f>
        <v/>
      </c>
      <c r="S326" s="34">
        <f>IF(C326="","",YEAR(C326-WEEKDAY(C326,2)+4)&amp;"-S"&amp;TEXT(INT((C326-DATE(YEAR(C326-WEEKDAY(C326,2)+4),1,3)+WEEKDAY(DATE(YEAR(C326-WEEKDAY(C326,2)+4),1,3),2)+5)/7),"00"))</f>
        <v/>
      </c>
    </row>
    <row r="327" ht="18" customHeight="1">
      <c r="A327" s="39" t="n">
        <v>322</v>
      </c>
      <c r="B327" s="33">
        <f>IF(C327="","",IF(L327="À RENSEIGNER","GIC",L327)&amp;"-E"&amp;TEXT(A327,"00000"))</f>
        <v/>
      </c>
      <c r="C327" s="32" t="n"/>
      <c r="D327" s="36" t="n"/>
      <c r="E327" s="37" t="n"/>
      <c r="F327" s="36" t="n"/>
      <c r="G327" s="44" t="n"/>
      <c r="H327" s="43" t="n"/>
      <c r="I327" s="32" t="n"/>
      <c r="J327" s="44" t="n"/>
      <c r="K327" s="36" t="n"/>
      <c r="L327" s="33">
        <f>IF(C327="","",Commercial_Id)</f>
        <v/>
      </c>
      <c r="M327" s="34">
        <f>IF(OR(C327="",F327=""),"",IF(F327&lt;&gt;"Espèces","—",IF(I327&lt;&gt;"","☑ Oui","☐ Non")))</f>
        <v/>
      </c>
      <c r="N327" s="39">
        <f>IF(D327="","",IFERROR(VALUE(MID(D327,LEN(D327)-3,3)),""))</f>
        <v/>
      </c>
      <c r="O327" s="33">
        <f>IF(N327="","",L327&amp;"|"&amp;N327)</f>
        <v/>
      </c>
      <c r="P327" s="33">
        <f>IF(N327="","",IF(L327="À RENSEIGNER","GIC",L327)&amp;"-"&amp;TEXT(N327,"000"))</f>
        <v/>
      </c>
      <c r="Q327" s="33">
        <f>IF(O327="","",IFERROR(INDEX(Cl_nom,MATCH(O327,Cl_cle,0)),"(client introuvable)"))</f>
        <v/>
      </c>
      <c r="R327" s="40">
        <f>IF(O327="","",IFERROR(INDEX(Cl_reste,MATCH(O327,Cl_cle,0)),""))</f>
        <v/>
      </c>
      <c r="S327" s="34">
        <f>IF(C327="","",YEAR(C327-WEEKDAY(C327,2)+4)&amp;"-S"&amp;TEXT(INT((C327-DATE(YEAR(C327-WEEKDAY(C327,2)+4),1,3)+WEEKDAY(DATE(YEAR(C327-WEEKDAY(C327,2)+4),1,3),2)+5)/7),"00"))</f>
        <v/>
      </c>
    </row>
    <row r="328" ht="18" customHeight="1">
      <c r="A328" s="39" t="n">
        <v>323</v>
      </c>
      <c r="B328" s="33">
        <f>IF(C328="","",IF(L328="À RENSEIGNER","GIC",L328)&amp;"-E"&amp;TEXT(A328,"00000"))</f>
        <v/>
      </c>
      <c r="C328" s="32" t="n"/>
      <c r="D328" s="36" t="n"/>
      <c r="E328" s="37" t="n"/>
      <c r="F328" s="36" t="n"/>
      <c r="G328" s="44" t="n"/>
      <c r="H328" s="43" t="n"/>
      <c r="I328" s="32" t="n"/>
      <c r="J328" s="44" t="n"/>
      <c r="K328" s="36" t="n"/>
      <c r="L328" s="33">
        <f>IF(C328="","",Commercial_Id)</f>
        <v/>
      </c>
      <c r="M328" s="34">
        <f>IF(OR(C328="",F328=""),"",IF(F328&lt;&gt;"Espèces","—",IF(I328&lt;&gt;"","☑ Oui","☐ Non")))</f>
        <v/>
      </c>
      <c r="N328" s="39">
        <f>IF(D328="","",IFERROR(VALUE(MID(D328,LEN(D328)-3,3)),""))</f>
        <v/>
      </c>
      <c r="O328" s="33">
        <f>IF(N328="","",L328&amp;"|"&amp;N328)</f>
        <v/>
      </c>
      <c r="P328" s="33">
        <f>IF(N328="","",IF(L328="À RENSEIGNER","GIC",L328)&amp;"-"&amp;TEXT(N328,"000"))</f>
        <v/>
      </c>
      <c r="Q328" s="33">
        <f>IF(O328="","",IFERROR(INDEX(Cl_nom,MATCH(O328,Cl_cle,0)),"(client introuvable)"))</f>
        <v/>
      </c>
      <c r="R328" s="40">
        <f>IF(O328="","",IFERROR(INDEX(Cl_reste,MATCH(O328,Cl_cle,0)),""))</f>
        <v/>
      </c>
      <c r="S328" s="34">
        <f>IF(C328="","",YEAR(C328-WEEKDAY(C328,2)+4)&amp;"-S"&amp;TEXT(INT((C328-DATE(YEAR(C328-WEEKDAY(C328,2)+4),1,3)+WEEKDAY(DATE(YEAR(C328-WEEKDAY(C328,2)+4),1,3),2)+5)/7),"00"))</f>
        <v/>
      </c>
    </row>
    <row r="329" ht="18" customHeight="1">
      <c r="A329" s="39" t="n">
        <v>324</v>
      </c>
      <c r="B329" s="33">
        <f>IF(C329="","",IF(L329="À RENSEIGNER","GIC",L329)&amp;"-E"&amp;TEXT(A329,"00000"))</f>
        <v/>
      </c>
      <c r="C329" s="32" t="n"/>
      <c r="D329" s="36" t="n"/>
      <c r="E329" s="37" t="n"/>
      <c r="F329" s="36" t="n"/>
      <c r="G329" s="44" t="n"/>
      <c r="H329" s="43" t="n"/>
      <c r="I329" s="32" t="n"/>
      <c r="J329" s="44" t="n"/>
      <c r="K329" s="36" t="n"/>
      <c r="L329" s="33">
        <f>IF(C329="","",Commercial_Id)</f>
        <v/>
      </c>
      <c r="M329" s="34">
        <f>IF(OR(C329="",F329=""),"",IF(F329&lt;&gt;"Espèces","—",IF(I329&lt;&gt;"","☑ Oui","☐ Non")))</f>
        <v/>
      </c>
      <c r="N329" s="39">
        <f>IF(D329="","",IFERROR(VALUE(MID(D329,LEN(D329)-3,3)),""))</f>
        <v/>
      </c>
      <c r="O329" s="33">
        <f>IF(N329="","",L329&amp;"|"&amp;N329)</f>
        <v/>
      </c>
      <c r="P329" s="33">
        <f>IF(N329="","",IF(L329="À RENSEIGNER","GIC",L329)&amp;"-"&amp;TEXT(N329,"000"))</f>
        <v/>
      </c>
      <c r="Q329" s="33">
        <f>IF(O329="","",IFERROR(INDEX(Cl_nom,MATCH(O329,Cl_cle,0)),"(client introuvable)"))</f>
        <v/>
      </c>
      <c r="R329" s="40">
        <f>IF(O329="","",IFERROR(INDEX(Cl_reste,MATCH(O329,Cl_cle,0)),""))</f>
        <v/>
      </c>
      <c r="S329" s="34">
        <f>IF(C329="","",YEAR(C329-WEEKDAY(C329,2)+4)&amp;"-S"&amp;TEXT(INT((C329-DATE(YEAR(C329-WEEKDAY(C329,2)+4),1,3)+WEEKDAY(DATE(YEAR(C329-WEEKDAY(C329,2)+4),1,3),2)+5)/7),"00"))</f>
        <v/>
      </c>
    </row>
    <row r="330" ht="18" customHeight="1">
      <c r="A330" s="39" t="n">
        <v>325</v>
      </c>
      <c r="B330" s="33">
        <f>IF(C330="","",IF(L330="À RENSEIGNER","GIC",L330)&amp;"-E"&amp;TEXT(A330,"00000"))</f>
        <v/>
      </c>
      <c r="C330" s="32" t="n"/>
      <c r="D330" s="36" t="n"/>
      <c r="E330" s="37" t="n"/>
      <c r="F330" s="36" t="n"/>
      <c r="G330" s="44" t="n"/>
      <c r="H330" s="43" t="n"/>
      <c r="I330" s="32" t="n"/>
      <c r="J330" s="44" t="n"/>
      <c r="K330" s="36" t="n"/>
      <c r="L330" s="33">
        <f>IF(C330="","",Commercial_Id)</f>
        <v/>
      </c>
      <c r="M330" s="34">
        <f>IF(OR(C330="",F330=""),"",IF(F330&lt;&gt;"Espèces","—",IF(I330&lt;&gt;"","☑ Oui","☐ Non")))</f>
        <v/>
      </c>
      <c r="N330" s="39">
        <f>IF(D330="","",IFERROR(VALUE(MID(D330,LEN(D330)-3,3)),""))</f>
        <v/>
      </c>
      <c r="O330" s="33">
        <f>IF(N330="","",L330&amp;"|"&amp;N330)</f>
        <v/>
      </c>
      <c r="P330" s="33">
        <f>IF(N330="","",IF(L330="À RENSEIGNER","GIC",L330)&amp;"-"&amp;TEXT(N330,"000"))</f>
        <v/>
      </c>
      <c r="Q330" s="33">
        <f>IF(O330="","",IFERROR(INDEX(Cl_nom,MATCH(O330,Cl_cle,0)),"(client introuvable)"))</f>
        <v/>
      </c>
      <c r="R330" s="40">
        <f>IF(O330="","",IFERROR(INDEX(Cl_reste,MATCH(O330,Cl_cle,0)),""))</f>
        <v/>
      </c>
      <c r="S330" s="34">
        <f>IF(C330="","",YEAR(C330-WEEKDAY(C330,2)+4)&amp;"-S"&amp;TEXT(INT((C330-DATE(YEAR(C330-WEEKDAY(C330,2)+4),1,3)+WEEKDAY(DATE(YEAR(C330-WEEKDAY(C330,2)+4),1,3),2)+5)/7),"00"))</f>
        <v/>
      </c>
    </row>
    <row r="331" ht="18" customHeight="1">
      <c r="A331" s="39" t="n">
        <v>326</v>
      </c>
      <c r="B331" s="33">
        <f>IF(C331="","",IF(L331="À RENSEIGNER","GIC",L331)&amp;"-E"&amp;TEXT(A331,"00000"))</f>
        <v/>
      </c>
      <c r="C331" s="32" t="n"/>
      <c r="D331" s="36" t="n"/>
      <c r="E331" s="37" t="n"/>
      <c r="F331" s="36" t="n"/>
      <c r="G331" s="44" t="n"/>
      <c r="H331" s="43" t="n"/>
      <c r="I331" s="32" t="n"/>
      <c r="J331" s="44" t="n"/>
      <c r="K331" s="36" t="n"/>
      <c r="L331" s="33">
        <f>IF(C331="","",Commercial_Id)</f>
        <v/>
      </c>
      <c r="M331" s="34">
        <f>IF(OR(C331="",F331=""),"",IF(F331&lt;&gt;"Espèces","—",IF(I331&lt;&gt;"","☑ Oui","☐ Non")))</f>
        <v/>
      </c>
      <c r="N331" s="39">
        <f>IF(D331="","",IFERROR(VALUE(MID(D331,LEN(D331)-3,3)),""))</f>
        <v/>
      </c>
      <c r="O331" s="33">
        <f>IF(N331="","",L331&amp;"|"&amp;N331)</f>
        <v/>
      </c>
      <c r="P331" s="33">
        <f>IF(N331="","",IF(L331="À RENSEIGNER","GIC",L331)&amp;"-"&amp;TEXT(N331,"000"))</f>
        <v/>
      </c>
      <c r="Q331" s="33">
        <f>IF(O331="","",IFERROR(INDEX(Cl_nom,MATCH(O331,Cl_cle,0)),"(client introuvable)"))</f>
        <v/>
      </c>
      <c r="R331" s="40">
        <f>IF(O331="","",IFERROR(INDEX(Cl_reste,MATCH(O331,Cl_cle,0)),""))</f>
        <v/>
      </c>
      <c r="S331" s="34">
        <f>IF(C331="","",YEAR(C331-WEEKDAY(C331,2)+4)&amp;"-S"&amp;TEXT(INT((C331-DATE(YEAR(C331-WEEKDAY(C331,2)+4),1,3)+WEEKDAY(DATE(YEAR(C331-WEEKDAY(C331,2)+4),1,3),2)+5)/7),"00"))</f>
        <v/>
      </c>
    </row>
    <row r="332" ht="18" customHeight="1">
      <c r="A332" s="39" t="n">
        <v>327</v>
      </c>
      <c r="B332" s="33">
        <f>IF(C332="","",IF(L332="À RENSEIGNER","GIC",L332)&amp;"-E"&amp;TEXT(A332,"00000"))</f>
        <v/>
      </c>
      <c r="C332" s="32" t="n"/>
      <c r="D332" s="36" t="n"/>
      <c r="E332" s="37" t="n"/>
      <c r="F332" s="36" t="n"/>
      <c r="G332" s="44" t="n"/>
      <c r="H332" s="43" t="n"/>
      <c r="I332" s="32" t="n"/>
      <c r="J332" s="44" t="n"/>
      <c r="K332" s="36" t="n"/>
      <c r="L332" s="33">
        <f>IF(C332="","",Commercial_Id)</f>
        <v/>
      </c>
      <c r="M332" s="34">
        <f>IF(OR(C332="",F332=""),"",IF(F332&lt;&gt;"Espèces","—",IF(I332&lt;&gt;"","☑ Oui","☐ Non")))</f>
        <v/>
      </c>
      <c r="N332" s="39">
        <f>IF(D332="","",IFERROR(VALUE(MID(D332,LEN(D332)-3,3)),""))</f>
        <v/>
      </c>
      <c r="O332" s="33">
        <f>IF(N332="","",L332&amp;"|"&amp;N332)</f>
        <v/>
      </c>
      <c r="P332" s="33">
        <f>IF(N332="","",IF(L332="À RENSEIGNER","GIC",L332)&amp;"-"&amp;TEXT(N332,"000"))</f>
        <v/>
      </c>
      <c r="Q332" s="33">
        <f>IF(O332="","",IFERROR(INDEX(Cl_nom,MATCH(O332,Cl_cle,0)),"(client introuvable)"))</f>
        <v/>
      </c>
      <c r="R332" s="40">
        <f>IF(O332="","",IFERROR(INDEX(Cl_reste,MATCH(O332,Cl_cle,0)),""))</f>
        <v/>
      </c>
      <c r="S332" s="34">
        <f>IF(C332="","",YEAR(C332-WEEKDAY(C332,2)+4)&amp;"-S"&amp;TEXT(INT((C332-DATE(YEAR(C332-WEEKDAY(C332,2)+4),1,3)+WEEKDAY(DATE(YEAR(C332-WEEKDAY(C332,2)+4),1,3),2)+5)/7),"00"))</f>
        <v/>
      </c>
    </row>
    <row r="333" ht="18" customHeight="1">
      <c r="A333" s="39" t="n">
        <v>328</v>
      </c>
      <c r="B333" s="33">
        <f>IF(C333="","",IF(L333="À RENSEIGNER","GIC",L333)&amp;"-E"&amp;TEXT(A333,"00000"))</f>
        <v/>
      </c>
      <c r="C333" s="32" t="n"/>
      <c r="D333" s="36" t="n"/>
      <c r="E333" s="37" t="n"/>
      <c r="F333" s="36" t="n"/>
      <c r="G333" s="44" t="n"/>
      <c r="H333" s="43" t="n"/>
      <c r="I333" s="32" t="n"/>
      <c r="J333" s="44" t="n"/>
      <c r="K333" s="36" t="n"/>
      <c r="L333" s="33">
        <f>IF(C333="","",Commercial_Id)</f>
        <v/>
      </c>
      <c r="M333" s="34">
        <f>IF(OR(C333="",F333=""),"",IF(F333&lt;&gt;"Espèces","—",IF(I333&lt;&gt;"","☑ Oui","☐ Non")))</f>
        <v/>
      </c>
      <c r="N333" s="39">
        <f>IF(D333="","",IFERROR(VALUE(MID(D333,LEN(D333)-3,3)),""))</f>
        <v/>
      </c>
      <c r="O333" s="33">
        <f>IF(N333="","",L333&amp;"|"&amp;N333)</f>
        <v/>
      </c>
      <c r="P333" s="33">
        <f>IF(N333="","",IF(L333="À RENSEIGNER","GIC",L333)&amp;"-"&amp;TEXT(N333,"000"))</f>
        <v/>
      </c>
      <c r="Q333" s="33">
        <f>IF(O333="","",IFERROR(INDEX(Cl_nom,MATCH(O333,Cl_cle,0)),"(client introuvable)"))</f>
        <v/>
      </c>
      <c r="R333" s="40">
        <f>IF(O333="","",IFERROR(INDEX(Cl_reste,MATCH(O333,Cl_cle,0)),""))</f>
        <v/>
      </c>
      <c r="S333" s="34">
        <f>IF(C333="","",YEAR(C333-WEEKDAY(C333,2)+4)&amp;"-S"&amp;TEXT(INT((C333-DATE(YEAR(C333-WEEKDAY(C333,2)+4),1,3)+WEEKDAY(DATE(YEAR(C333-WEEKDAY(C333,2)+4),1,3),2)+5)/7),"00"))</f>
        <v/>
      </c>
    </row>
    <row r="334" ht="18" customHeight="1">
      <c r="A334" s="39" t="n">
        <v>329</v>
      </c>
      <c r="B334" s="33">
        <f>IF(C334="","",IF(L334="À RENSEIGNER","GIC",L334)&amp;"-E"&amp;TEXT(A334,"00000"))</f>
        <v/>
      </c>
      <c r="C334" s="32" t="n"/>
      <c r="D334" s="36" t="n"/>
      <c r="E334" s="37" t="n"/>
      <c r="F334" s="36" t="n"/>
      <c r="G334" s="44" t="n"/>
      <c r="H334" s="43" t="n"/>
      <c r="I334" s="32" t="n"/>
      <c r="J334" s="44" t="n"/>
      <c r="K334" s="36" t="n"/>
      <c r="L334" s="33">
        <f>IF(C334="","",Commercial_Id)</f>
        <v/>
      </c>
      <c r="M334" s="34">
        <f>IF(OR(C334="",F334=""),"",IF(F334&lt;&gt;"Espèces","—",IF(I334&lt;&gt;"","☑ Oui","☐ Non")))</f>
        <v/>
      </c>
      <c r="N334" s="39">
        <f>IF(D334="","",IFERROR(VALUE(MID(D334,LEN(D334)-3,3)),""))</f>
        <v/>
      </c>
      <c r="O334" s="33">
        <f>IF(N334="","",L334&amp;"|"&amp;N334)</f>
        <v/>
      </c>
      <c r="P334" s="33">
        <f>IF(N334="","",IF(L334="À RENSEIGNER","GIC",L334)&amp;"-"&amp;TEXT(N334,"000"))</f>
        <v/>
      </c>
      <c r="Q334" s="33">
        <f>IF(O334="","",IFERROR(INDEX(Cl_nom,MATCH(O334,Cl_cle,0)),"(client introuvable)"))</f>
        <v/>
      </c>
      <c r="R334" s="40">
        <f>IF(O334="","",IFERROR(INDEX(Cl_reste,MATCH(O334,Cl_cle,0)),""))</f>
        <v/>
      </c>
      <c r="S334" s="34">
        <f>IF(C334="","",YEAR(C334-WEEKDAY(C334,2)+4)&amp;"-S"&amp;TEXT(INT((C334-DATE(YEAR(C334-WEEKDAY(C334,2)+4),1,3)+WEEKDAY(DATE(YEAR(C334-WEEKDAY(C334,2)+4),1,3),2)+5)/7),"00"))</f>
        <v/>
      </c>
    </row>
    <row r="335" ht="18" customHeight="1">
      <c r="A335" s="39" t="n">
        <v>330</v>
      </c>
      <c r="B335" s="33">
        <f>IF(C335="","",IF(L335="À RENSEIGNER","GIC",L335)&amp;"-E"&amp;TEXT(A335,"00000"))</f>
        <v/>
      </c>
      <c r="C335" s="32" t="n"/>
      <c r="D335" s="36" t="n"/>
      <c r="E335" s="37" t="n"/>
      <c r="F335" s="36" t="n"/>
      <c r="G335" s="44" t="n"/>
      <c r="H335" s="43" t="n"/>
      <c r="I335" s="32" t="n"/>
      <c r="J335" s="44" t="n"/>
      <c r="K335" s="36" t="n"/>
      <c r="L335" s="33">
        <f>IF(C335="","",Commercial_Id)</f>
        <v/>
      </c>
      <c r="M335" s="34">
        <f>IF(OR(C335="",F335=""),"",IF(F335&lt;&gt;"Espèces","—",IF(I335&lt;&gt;"","☑ Oui","☐ Non")))</f>
        <v/>
      </c>
      <c r="N335" s="39">
        <f>IF(D335="","",IFERROR(VALUE(MID(D335,LEN(D335)-3,3)),""))</f>
        <v/>
      </c>
      <c r="O335" s="33">
        <f>IF(N335="","",L335&amp;"|"&amp;N335)</f>
        <v/>
      </c>
      <c r="P335" s="33">
        <f>IF(N335="","",IF(L335="À RENSEIGNER","GIC",L335)&amp;"-"&amp;TEXT(N335,"000"))</f>
        <v/>
      </c>
      <c r="Q335" s="33">
        <f>IF(O335="","",IFERROR(INDEX(Cl_nom,MATCH(O335,Cl_cle,0)),"(client introuvable)"))</f>
        <v/>
      </c>
      <c r="R335" s="40">
        <f>IF(O335="","",IFERROR(INDEX(Cl_reste,MATCH(O335,Cl_cle,0)),""))</f>
        <v/>
      </c>
      <c r="S335" s="34">
        <f>IF(C335="","",YEAR(C335-WEEKDAY(C335,2)+4)&amp;"-S"&amp;TEXT(INT((C335-DATE(YEAR(C335-WEEKDAY(C335,2)+4),1,3)+WEEKDAY(DATE(YEAR(C335-WEEKDAY(C335,2)+4),1,3),2)+5)/7),"00"))</f>
        <v/>
      </c>
    </row>
    <row r="336" ht="18" customHeight="1">
      <c r="A336" s="39" t="n">
        <v>331</v>
      </c>
      <c r="B336" s="33">
        <f>IF(C336="","",IF(L336="À RENSEIGNER","GIC",L336)&amp;"-E"&amp;TEXT(A336,"00000"))</f>
        <v/>
      </c>
      <c r="C336" s="32" t="n"/>
      <c r="D336" s="36" t="n"/>
      <c r="E336" s="37" t="n"/>
      <c r="F336" s="36" t="n"/>
      <c r="G336" s="44" t="n"/>
      <c r="H336" s="43" t="n"/>
      <c r="I336" s="32" t="n"/>
      <c r="J336" s="44" t="n"/>
      <c r="K336" s="36" t="n"/>
      <c r="L336" s="33">
        <f>IF(C336="","",Commercial_Id)</f>
        <v/>
      </c>
      <c r="M336" s="34">
        <f>IF(OR(C336="",F336=""),"",IF(F336&lt;&gt;"Espèces","—",IF(I336&lt;&gt;"","☑ Oui","☐ Non")))</f>
        <v/>
      </c>
      <c r="N336" s="39">
        <f>IF(D336="","",IFERROR(VALUE(MID(D336,LEN(D336)-3,3)),""))</f>
        <v/>
      </c>
      <c r="O336" s="33">
        <f>IF(N336="","",L336&amp;"|"&amp;N336)</f>
        <v/>
      </c>
      <c r="P336" s="33">
        <f>IF(N336="","",IF(L336="À RENSEIGNER","GIC",L336)&amp;"-"&amp;TEXT(N336,"000"))</f>
        <v/>
      </c>
      <c r="Q336" s="33">
        <f>IF(O336="","",IFERROR(INDEX(Cl_nom,MATCH(O336,Cl_cle,0)),"(client introuvable)"))</f>
        <v/>
      </c>
      <c r="R336" s="40">
        <f>IF(O336="","",IFERROR(INDEX(Cl_reste,MATCH(O336,Cl_cle,0)),""))</f>
        <v/>
      </c>
      <c r="S336" s="34">
        <f>IF(C336="","",YEAR(C336-WEEKDAY(C336,2)+4)&amp;"-S"&amp;TEXT(INT((C336-DATE(YEAR(C336-WEEKDAY(C336,2)+4),1,3)+WEEKDAY(DATE(YEAR(C336-WEEKDAY(C336,2)+4),1,3),2)+5)/7),"00"))</f>
        <v/>
      </c>
    </row>
    <row r="337" ht="18" customHeight="1">
      <c r="A337" s="39" t="n">
        <v>332</v>
      </c>
      <c r="B337" s="33">
        <f>IF(C337="","",IF(L337="À RENSEIGNER","GIC",L337)&amp;"-E"&amp;TEXT(A337,"00000"))</f>
        <v/>
      </c>
      <c r="C337" s="32" t="n"/>
      <c r="D337" s="36" t="n"/>
      <c r="E337" s="37" t="n"/>
      <c r="F337" s="36" t="n"/>
      <c r="G337" s="44" t="n"/>
      <c r="H337" s="43" t="n"/>
      <c r="I337" s="32" t="n"/>
      <c r="J337" s="44" t="n"/>
      <c r="K337" s="36" t="n"/>
      <c r="L337" s="33">
        <f>IF(C337="","",Commercial_Id)</f>
        <v/>
      </c>
      <c r="M337" s="34">
        <f>IF(OR(C337="",F337=""),"",IF(F337&lt;&gt;"Espèces","—",IF(I337&lt;&gt;"","☑ Oui","☐ Non")))</f>
        <v/>
      </c>
      <c r="N337" s="39">
        <f>IF(D337="","",IFERROR(VALUE(MID(D337,LEN(D337)-3,3)),""))</f>
        <v/>
      </c>
      <c r="O337" s="33">
        <f>IF(N337="","",L337&amp;"|"&amp;N337)</f>
        <v/>
      </c>
      <c r="P337" s="33">
        <f>IF(N337="","",IF(L337="À RENSEIGNER","GIC",L337)&amp;"-"&amp;TEXT(N337,"000"))</f>
        <v/>
      </c>
      <c r="Q337" s="33">
        <f>IF(O337="","",IFERROR(INDEX(Cl_nom,MATCH(O337,Cl_cle,0)),"(client introuvable)"))</f>
        <v/>
      </c>
      <c r="R337" s="40">
        <f>IF(O337="","",IFERROR(INDEX(Cl_reste,MATCH(O337,Cl_cle,0)),""))</f>
        <v/>
      </c>
      <c r="S337" s="34">
        <f>IF(C337="","",YEAR(C337-WEEKDAY(C337,2)+4)&amp;"-S"&amp;TEXT(INT((C337-DATE(YEAR(C337-WEEKDAY(C337,2)+4),1,3)+WEEKDAY(DATE(YEAR(C337-WEEKDAY(C337,2)+4),1,3),2)+5)/7),"00"))</f>
        <v/>
      </c>
    </row>
    <row r="338" ht="18" customHeight="1">
      <c r="A338" s="39" t="n">
        <v>333</v>
      </c>
      <c r="B338" s="33">
        <f>IF(C338="","",IF(L338="À RENSEIGNER","GIC",L338)&amp;"-E"&amp;TEXT(A338,"00000"))</f>
        <v/>
      </c>
      <c r="C338" s="32" t="n"/>
      <c r="D338" s="36" t="n"/>
      <c r="E338" s="37" t="n"/>
      <c r="F338" s="36" t="n"/>
      <c r="G338" s="44" t="n"/>
      <c r="H338" s="43" t="n"/>
      <c r="I338" s="32" t="n"/>
      <c r="J338" s="44" t="n"/>
      <c r="K338" s="36" t="n"/>
      <c r="L338" s="33">
        <f>IF(C338="","",Commercial_Id)</f>
        <v/>
      </c>
      <c r="M338" s="34">
        <f>IF(OR(C338="",F338=""),"",IF(F338&lt;&gt;"Espèces","—",IF(I338&lt;&gt;"","☑ Oui","☐ Non")))</f>
        <v/>
      </c>
      <c r="N338" s="39">
        <f>IF(D338="","",IFERROR(VALUE(MID(D338,LEN(D338)-3,3)),""))</f>
        <v/>
      </c>
      <c r="O338" s="33">
        <f>IF(N338="","",L338&amp;"|"&amp;N338)</f>
        <v/>
      </c>
      <c r="P338" s="33">
        <f>IF(N338="","",IF(L338="À RENSEIGNER","GIC",L338)&amp;"-"&amp;TEXT(N338,"000"))</f>
        <v/>
      </c>
      <c r="Q338" s="33">
        <f>IF(O338="","",IFERROR(INDEX(Cl_nom,MATCH(O338,Cl_cle,0)),"(client introuvable)"))</f>
        <v/>
      </c>
      <c r="R338" s="40">
        <f>IF(O338="","",IFERROR(INDEX(Cl_reste,MATCH(O338,Cl_cle,0)),""))</f>
        <v/>
      </c>
      <c r="S338" s="34">
        <f>IF(C338="","",YEAR(C338-WEEKDAY(C338,2)+4)&amp;"-S"&amp;TEXT(INT((C338-DATE(YEAR(C338-WEEKDAY(C338,2)+4),1,3)+WEEKDAY(DATE(YEAR(C338-WEEKDAY(C338,2)+4),1,3),2)+5)/7),"00"))</f>
        <v/>
      </c>
    </row>
    <row r="339" ht="18" customHeight="1">
      <c r="A339" s="39" t="n">
        <v>334</v>
      </c>
      <c r="B339" s="33">
        <f>IF(C339="","",IF(L339="À RENSEIGNER","GIC",L339)&amp;"-E"&amp;TEXT(A339,"00000"))</f>
        <v/>
      </c>
      <c r="C339" s="32" t="n"/>
      <c r="D339" s="36" t="n"/>
      <c r="E339" s="37" t="n"/>
      <c r="F339" s="36" t="n"/>
      <c r="G339" s="44" t="n"/>
      <c r="H339" s="43" t="n"/>
      <c r="I339" s="32" t="n"/>
      <c r="J339" s="44" t="n"/>
      <c r="K339" s="36" t="n"/>
      <c r="L339" s="33">
        <f>IF(C339="","",Commercial_Id)</f>
        <v/>
      </c>
      <c r="M339" s="34">
        <f>IF(OR(C339="",F339=""),"",IF(F339&lt;&gt;"Espèces","—",IF(I339&lt;&gt;"","☑ Oui","☐ Non")))</f>
        <v/>
      </c>
      <c r="N339" s="39">
        <f>IF(D339="","",IFERROR(VALUE(MID(D339,LEN(D339)-3,3)),""))</f>
        <v/>
      </c>
      <c r="O339" s="33">
        <f>IF(N339="","",L339&amp;"|"&amp;N339)</f>
        <v/>
      </c>
      <c r="P339" s="33">
        <f>IF(N339="","",IF(L339="À RENSEIGNER","GIC",L339)&amp;"-"&amp;TEXT(N339,"000"))</f>
        <v/>
      </c>
      <c r="Q339" s="33">
        <f>IF(O339="","",IFERROR(INDEX(Cl_nom,MATCH(O339,Cl_cle,0)),"(client introuvable)"))</f>
        <v/>
      </c>
      <c r="R339" s="40">
        <f>IF(O339="","",IFERROR(INDEX(Cl_reste,MATCH(O339,Cl_cle,0)),""))</f>
        <v/>
      </c>
      <c r="S339" s="34">
        <f>IF(C339="","",YEAR(C339-WEEKDAY(C339,2)+4)&amp;"-S"&amp;TEXT(INT((C339-DATE(YEAR(C339-WEEKDAY(C339,2)+4),1,3)+WEEKDAY(DATE(YEAR(C339-WEEKDAY(C339,2)+4),1,3),2)+5)/7),"00"))</f>
        <v/>
      </c>
    </row>
    <row r="340" ht="18" customHeight="1">
      <c r="A340" s="39" t="n">
        <v>335</v>
      </c>
      <c r="B340" s="33">
        <f>IF(C340="","",IF(L340="À RENSEIGNER","GIC",L340)&amp;"-E"&amp;TEXT(A340,"00000"))</f>
        <v/>
      </c>
      <c r="C340" s="32" t="n"/>
      <c r="D340" s="36" t="n"/>
      <c r="E340" s="37" t="n"/>
      <c r="F340" s="36" t="n"/>
      <c r="G340" s="44" t="n"/>
      <c r="H340" s="43" t="n"/>
      <c r="I340" s="32" t="n"/>
      <c r="J340" s="44" t="n"/>
      <c r="K340" s="36" t="n"/>
      <c r="L340" s="33">
        <f>IF(C340="","",Commercial_Id)</f>
        <v/>
      </c>
      <c r="M340" s="34">
        <f>IF(OR(C340="",F340=""),"",IF(F340&lt;&gt;"Espèces","—",IF(I340&lt;&gt;"","☑ Oui","☐ Non")))</f>
        <v/>
      </c>
      <c r="N340" s="39">
        <f>IF(D340="","",IFERROR(VALUE(MID(D340,LEN(D340)-3,3)),""))</f>
        <v/>
      </c>
      <c r="O340" s="33">
        <f>IF(N340="","",L340&amp;"|"&amp;N340)</f>
        <v/>
      </c>
      <c r="P340" s="33">
        <f>IF(N340="","",IF(L340="À RENSEIGNER","GIC",L340)&amp;"-"&amp;TEXT(N340,"000"))</f>
        <v/>
      </c>
      <c r="Q340" s="33">
        <f>IF(O340="","",IFERROR(INDEX(Cl_nom,MATCH(O340,Cl_cle,0)),"(client introuvable)"))</f>
        <v/>
      </c>
      <c r="R340" s="40">
        <f>IF(O340="","",IFERROR(INDEX(Cl_reste,MATCH(O340,Cl_cle,0)),""))</f>
        <v/>
      </c>
      <c r="S340" s="34">
        <f>IF(C340="","",YEAR(C340-WEEKDAY(C340,2)+4)&amp;"-S"&amp;TEXT(INT((C340-DATE(YEAR(C340-WEEKDAY(C340,2)+4),1,3)+WEEKDAY(DATE(YEAR(C340-WEEKDAY(C340,2)+4),1,3),2)+5)/7),"00"))</f>
        <v/>
      </c>
    </row>
    <row r="341" ht="18" customHeight="1">
      <c r="A341" s="39" t="n">
        <v>336</v>
      </c>
      <c r="B341" s="33">
        <f>IF(C341="","",IF(L341="À RENSEIGNER","GIC",L341)&amp;"-E"&amp;TEXT(A341,"00000"))</f>
        <v/>
      </c>
      <c r="C341" s="32" t="n"/>
      <c r="D341" s="36" t="n"/>
      <c r="E341" s="37" t="n"/>
      <c r="F341" s="36" t="n"/>
      <c r="G341" s="44" t="n"/>
      <c r="H341" s="43" t="n"/>
      <c r="I341" s="32" t="n"/>
      <c r="J341" s="44" t="n"/>
      <c r="K341" s="36" t="n"/>
      <c r="L341" s="33">
        <f>IF(C341="","",Commercial_Id)</f>
        <v/>
      </c>
      <c r="M341" s="34">
        <f>IF(OR(C341="",F341=""),"",IF(F341&lt;&gt;"Espèces","—",IF(I341&lt;&gt;"","☑ Oui","☐ Non")))</f>
        <v/>
      </c>
      <c r="N341" s="39">
        <f>IF(D341="","",IFERROR(VALUE(MID(D341,LEN(D341)-3,3)),""))</f>
        <v/>
      </c>
      <c r="O341" s="33">
        <f>IF(N341="","",L341&amp;"|"&amp;N341)</f>
        <v/>
      </c>
      <c r="P341" s="33">
        <f>IF(N341="","",IF(L341="À RENSEIGNER","GIC",L341)&amp;"-"&amp;TEXT(N341,"000"))</f>
        <v/>
      </c>
      <c r="Q341" s="33">
        <f>IF(O341="","",IFERROR(INDEX(Cl_nom,MATCH(O341,Cl_cle,0)),"(client introuvable)"))</f>
        <v/>
      </c>
      <c r="R341" s="40">
        <f>IF(O341="","",IFERROR(INDEX(Cl_reste,MATCH(O341,Cl_cle,0)),""))</f>
        <v/>
      </c>
      <c r="S341" s="34">
        <f>IF(C341="","",YEAR(C341-WEEKDAY(C341,2)+4)&amp;"-S"&amp;TEXT(INT((C341-DATE(YEAR(C341-WEEKDAY(C341,2)+4),1,3)+WEEKDAY(DATE(YEAR(C341-WEEKDAY(C341,2)+4),1,3),2)+5)/7),"00"))</f>
        <v/>
      </c>
    </row>
    <row r="342" ht="18" customHeight="1">
      <c r="A342" s="39" t="n">
        <v>337</v>
      </c>
      <c r="B342" s="33">
        <f>IF(C342="","",IF(L342="À RENSEIGNER","GIC",L342)&amp;"-E"&amp;TEXT(A342,"00000"))</f>
        <v/>
      </c>
      <c r="C342" s="32" t="n"/>
      <c r="D342" s="36" t="n"/>
      <c r="E342" s="37" t="n"/>
      <c r="F342" s="36" t="n"/>
      <c r="G342" s="44" t="n"/>
      <c r="H342" s="43" t="n"/>
      <c r="I342" s="32" t="n"/>
      <c r="J342" s="44" t="n"/>
      <c r="K342" s="36" t="n"/>
      <c r="L342" s="33">
        <f>IF(C342="","",Commercial_Id)</f>
        <v/>
      </c>
      <c r="M342" s="34">
        <f>IF(OR(C342="",F342=""),"",IF(F342&lt;&gt;"Espèces","—",IF(I342&lt;&gt;"","☑ Oui","☐ Non")))</f>
        <v/>
      </c>
      <c r="N342" s="39">
        <f>IF(D342="","",IFERROR(VALUE(MID(D342,LEN(D342)-3,3)),""))</f>
        <v/>
      </c>
      <c r="O342" s="33">
        <f>IF(N342="","",L342&amp;"|"&amp;N342)</f>
        <v/>
      </c>
      <c r="P342" s="33">
        <f>IF(N342="","",IF(L342="À RENSEIGNER","GIC",L342)&amp;"-"&amp;TEXT(N342,"000"))</f>
        <v/>
      </c>
      <c r="Q342" s="33">
        <f>IF(O342="","",IFERROR(INDEX(Cl_nom,MATCH(O342,Cl_cle,0)),"(client introuvable)"))</f>
        <v/>
      </c>
      <c r="R342" s="40">
        <f>IF(O342="","",IFERROR(INDEX(Cl_reste,MATCH(O342,Cl_cle,0)),""))</f>
        <v/>
      </c>
      <c r="S342" s="34">
        <f>IF(C342="","",YEAR(C342-WEEKDAY(C342,2)+4)&amp;"-S"&amp;TEXT(INT((C342-DATE(YEAR(C342-WEEKDAY(C342,2)+4),1,3)+WEEKDAY(DATE(YEAR(C342-WEEKDAY(C342,2)+4),1,3),2)+5)/7),"00"))</f>
        <v/>
      </c>
    </row>
    <row r="343" ht="18" customHeight="1">
      <c r="A343" s="39" t="n">
        <v>338</v>
      </c>
      <c r="B343" s="33">
        <f>IF(C343="","",IF(L343="À RENSEIGNER","GIC",L343)&amp;"-E"&amp;TEXT(A343,"00000"))</f>
        <v/>
      </c>
      <c r="C343" s="32" t="n"/>
      <c r="D343" s="36" t="n"/>
      <c r="E343" s="37" t="n"/>
      <c r="F343" s="36" t="n"/>
      <c r="G343" s="44" t="n"/>
      <c r="H343" s="43" t="n"/>
      <c r="I343" s="32" t="n"/>
      <c r="J343" s="44" t="n"/>
      <c r="K343" s="36" t="n"/>
      <c r="L343" s="33">
        <f>IF(C343="","",Commercial_Id)</f>
        <v/>
      </c>
      <c r="M343" s="34">
        <f>IF(OR(C343="",F343=""),"",IF(F343&lt;&gt;"Espèces","—",IF(I343&lt;&gt;"","☑ Oui","☐ Non")))</f>
        <v/>
      </c>
      <c r="N343" s="39">
        <f>IF(D343="","",IFERROR(VALUE(MID(D343,LEN(D343)-3,3)),""))</f>
        <v/>
      </c>
      <c r="O343" s="33">
        <f>IF(N343="","",L343&amp;"|"&amp;N343)</f>
        <v/>
      </c>
      <c r="P343" s="33">
        <f>IF(N343="","",IF(L343="À RENSEIGNER","GIC",L343)&amp;"-"&amp;TEXT(N343,"000"))</f>
        <v/>
      </c>
      <c r="Q343" s="33">
        <f>IF(O343="","",IFERROR(INDEX(Cl_nom,MATCH(O343,Cl_cle,0)),"(client introuvable)"))</f>
        <v/>
      </c>
      <c r="R343" s="40">
        <f>IF(O343="","",IFERROR(INDEX(Cl_reste,MATCH(O343,Cl_cle,0)),""))</f>
        <v/>
      </c>
      <c r="S343" s="34">
        <f>IF(C343="","",YEAR(C343-WEEKDAY(C343,2)+4)&amp;"-S"&amp;TEXT(INT((C343-DATE(YEAR(C343-WEEKDAY(C343,2)+4),1,3)+WEEKDAY(DATE(YEAR(C343-WEEKDAY(C343,2)+4),1,3),2)+5)/7),"00"))</f>
        <v/>
      </c>
    </row>
    <row r="344" ht="18" customHeight="1">
      <c r="A344" s="39" t="n">
        <v>339</v>
      </c>
      <c r="B344" s="33">
        <f>IF(C344="","",IF(L344="À RENSEIGNER","GIC",L344)&amp;"-E"&amp;TEXT(A344,"00000"))</f>
        <v/>
      </c>
      <c r="C344" s="32" t="n"/>
      <c r="D344" s="36" t="n"/>
      <c r="E344" s="37" t="n"/>
      <c r="F344" s="36" t="n"/>
      <c r="G344" s="44" t="n"/>
      <c r="H344" s="43" t="n"/>
      <c r="I344" s="32" t="n"/>
      <c r="J344" s="44" t="n"/>
      <c r="K344" s="36" t="n"/>
      <c r="L344" s="33">
        <f>IF(C344="","",Commercial_Id)</f>
        <v/>
      </c>
      <c r="M344" s="34">
        <f>IF(OR(C344="",F344=""),"",IF(F344&lt;&gt;"Espèces","—",IF(I344&lt;&gt;"","☑ Oui","☐ Non")))</f>
        <v/>
      </c>
      <c r="N344" s="39">
        <f>IF(D344="","",IFERROR(VALUE(MID(D344,LEN(D344)-3,3)),""))</f>
        <v/>
      </c>
      <c r="O344" s="33">
        <f>IF(N344="","",L344&amp;"|"&amp;N344)</f>
        <v/>
      </c>
      <c r="P344" s="33">
        <f>IF(N344="","",IF(L344="À RENSEIGNER","GIC",L344)&amp;"-"&amp;TEXT(N344,"000"))</f>
        <v/>
      </c>
      <c r="Q344" s="33">
        <f>IF(O344="","",IFERROR(INDEX(Cl_nom,MATCH(O344,Cl_cle,0)),"(client introuvable)"))</f>
        <v/>
      </c>
      <c r="R344" s="40">
        <f>IF(O344="","",IFERROR(INDEX(Cl_reste,MATCH(O344,Cl_cle,0)),""))</f>
        <v/>
      </c>
      <c r="S344" s="34">
        <f>IF(C344="","",YEAR(C344-WEEKDAY(C344,2)+4)&amp;"-S"&amp;TEXT(INT((C344-DATE(YEAR(C344-WEEKDAY(C344,2)+4),1,3)+WEEKDAY(DATE(YEAR(C344-WEEKDAY(C344,2)+4),1,3),2)+5)/7),"00"))</f>
        <v/>
      </c>
    </row>
    <row r="345" ht="18" customHeight="1">
      <c r="A345" s="39" t="n">
        <v>340</v>
      </c>
      <c r="B345" s="33">
        <f>IF(C345="","",IF(L345="À RENSEIGNER","GIC",L345)&amp;"-E"&amp;TEXT(A345,"00000"))</f>
        <v/>
      </c>
      <c r="C345" s="32" t="n"/>
      <c r="D345" s="36" t="n"/>
      <c r="E345" s="37" t="n"/>
      <c r="F345" s="36" t="n"/>
      <c r="G345" s="44" t="n"/>
      <c r="H345" s="43" t="n"/>
      <c r="I345" s="32" t="n"/>
      <c r="J345" s="44" t="n"/>
      <c r="K345" s="36" t="n"/>
      <c r="L345" s="33">
        <f>IF(C345="","",Commercial_Id)</f>
        <v/>
      </c>
      <c r="M345" s="34">
        <f>IF(OR(C345="",F345=""),"",IF(F345&lt;&gt;"Espèces","—",IF(I345&lt;&gt;"","☑ Oui","☐ Non")))</f>
        <v/>
      </c>
      <c r="N345" s="39">
        <f>IF(D345="","",IFERROR(VALUE(MID(D345,LEN(D345)-3,3)),""))</f>
        <v/>
      </c>
      <c r="O345" s="33">
        <f>IF(N345="","",L345&amp;"|"&amp;N345)</f>
        <v/>
      </c>
      <c r="P345" s="33">
        <f>IF(N345="","",IF(L345="À RENSEIGNER","GIC",L345)&amp;"-"&amp;TEXT(N345,"000"))</f>
        <v/>
      </c>
      <c r="Q345" s="33">
        <f>IF(O345="","",IFERROR(INDEX(Cl_nom,MATCH(O345,Cl_cle,0)),"(client introuvable)"))</f>
        <v/>
      </c>
      <c r="R345" s="40">
        <f>IF(O345="","",IFERROR(INDEX(Cl_reste,MATCH(O345,Cl_cle,0)),""))</f>
        <v/>
      </c>
      <c r="S345" s="34">
        <f>IF(C345="","",YEAR(C345-WEEKDAY(C345,2)+4)&amp;"-S"&amp;TEXT(INT((C345-DATE(YEAR(C345-WEEKDAY(C345,2)+4),1,3)+WEEKDAY(DATE(YEAR(C345-WEEKDAY(C345,2)+4),1,3),2)+5)/7),"00"))</f>
        <v/>
      </c>
    </row>
    <row r="346" ht="18" customHeight="1">
      <c r="A346" s="39" t="n">
        <v>341</v>
      </c>
      <c r="B346" s="33">
        <f>IF(C346="","",IF(L346="À RENSEIGNER","GIC",L346)&amp;"-E"&amp;TEXT(A346,"00000"))</f>
        <v/>
      </c>
      <c r="C346" s="32" t="n"/>
      <c r="D346" s="36" t="n"/>
      <c r="E346" s="37" t="n"/>
      <c r="F346" s="36" t="n"/>
      <c r="G346" s="44" t="n"/>
      <c r="H346" s="43" t="n"/>
      <c r="I346" s="32" t="n"/>
      <c r="J346" s="44" t="n"/>
      <c r="K346" s="36" t="n"/>
      <c r="L346" s="33">
        <f>IF(C346="","",Commercial_Id)</f>
        <v/>
      </c>
      <c r="M346" s="34">
        <f>IF(OR(C346="",F346=""),"",IF(F346&lt;&gt;"Espèces","—",IF(I346&lt;&gt;"","☑ Oui","☐ Non")))</f>
        <v/>
      </c>
      <c r="N346" s="39">
        <f>IF(D346="","",IFERROR(VALUE(MID(D346,LEN(D346)-3,3)),""))</f>
        <v/>
      </c>
      <c r="O346" s="33">
        <f>IF(N346="","",L346&amp;"|"&amp;N346)</f>
        <v/>
      </c>
      <c r="P346" s="33">
        <f>IF(N346="","",IF(L346="À RENSEIGNER","GIC",L346)&amp;"-"&amp;TEXT(N346,"000"))</f>
        <v/>
      </c>
      <c r="Q346" s="33">
        <f>IF(O346="","",IFERROR(INDEX(Cl_nom,MATCH(O346,Cl_cle,0)),"(client introuvable)"))</f>
        <v/>
      </c>
      <c r="R346" s="40">
        <f>IF(O346="","",IFERROR(INDEX(Cl_reste,MATCH(O346,Cl_cle,0)),""))</f>
        <v/>
      </c>
      <c r="S346" s="34">
        <f>IF(C346="","",YEAR(C346-WEEKDAY(C346,2)+4)&amp;"-S"&amp;TEXT(INT((C346-DATE(YEAR(C346-WEEKDAY(C346,2)+4),1,3)+WEEKDAY(DATE(YEAR(C346-WEEKDAY(C346,2)+4),1,3),2)+5)/7),"00"))</f>
        <v/>
      </c>
    </row>
    <row r="347" ht="18" customHeight="1">
      <c r="A347" s="39" t="n">
        <v>342</v>
      </c>
      <c r="B347" s="33">
        <f>IF(C347="","",IF(L347="À RENSEIGNER","GIC",L347)&amp;"-E"&amp;TEXT(A347,"00000"))</f>
        <v/>
      </c>
      <c r="C347" s="32" t="n"/>
      <c r="D347" s="36" t="n"/>
      <c r="E347" s="37" t="n"/>
      <c r="F347" s="36" t="n"/>
      <c r="G347" s="44" t="n"/>
      <c r="H347" s="43" t="n"/>
      <c r="I347" s="32" t="n"/>
      <c r="J347" s="44" t="n"/>
      <c r="K347" s="36" t="n"/>
      <c r="L347" s="33">
        <f>IF(C347="","",Commercial_Id)</f>
        <v/>
      </c>
      <c r="M347" s="34">
        <f>IF(OR(C347="",F347=""),"",IF(F347&lt;&gt;"Espèces","—",IF(I347&lt;&gt;"","☑ Oui","☐ Non")))</f>
        <v/>
      </c>
      <c r="N347" s="39">
        <f>IF(D347="","",IFERROR(VALUE(MID(D347,LEN(D347)-3,3)),""))</f>
        <v/>
      </c>
      <c r="O347" s="33">
        <f>IF(N347="","",L347&amp;"|"&amp;N347)</f>
        <v/>
      </c>
      <c r="P347" s="33">
        <f>IF(N347="","",IF(L347="À RENSEIGNER","GIC",L347)&amp;"-"&amp;TEXT(N347,"000"))</f>
        <v/>
      </c>
      <c r="Q347" s="33">
        <f>IF(O347="","",IFERROR(INDEX(Cl_nom,MATCH(O347,Cl_cle,0)),"(client introuvable)"))</f>
        <v/>
      </c>
      <c r="R347" s="40">
        <f>IF(O347="","",IFERROR(INDEX(Cl_reste,MATCH(O347,Cl_cle,0)),""))</f>
        <v/>
      </c>
      <c r="S347" s="34">
        <f>IF(C347="","",YEAR(C347-WEEKDAY(C347,2)+4)&amp;"-S"&amp;TEXT(INT((C347-DATE(YEAR(C347-WEEKDAY(C347,2)+4),1,3)+WEEKDAY(DATE(YEAR(C347-WEEKDAY(C347,2)+4),1,3),2)+5)/7),"00"))</f>
        <v/>
      </c>
    </row>
    <row r="348" ht="18" customHeight="1">
      <c r="A348" s="39" t="n">
        <v>343</v>
      </c>
      <c r="B348" s="33">
        <f>IF(C348="","",IF(L348="À RENSEIGNER","GIC",L348)&amp;"-E"&amp;TEXT(A348,"00000"))</f>
        <v/>
      </c>
      <c r="C348" s="32" t="n"/>
      <c r="D348" s="36" t="n"/>
      <c r="E348" s="37" t="n"/>
      <c r="F348" s="36" t="n"/>
      <c r="G348" s="44" t="n"/>
      <c r="H348" s="43" t="n"/>
      <c r="I348" s="32" t="n"/>
      <c r="J348" s="44" t="n"/>
      <c r="K348" s="36" t="n"/>
      <c r="L348" s="33">
        <f>IF(C348="","",Commercial_Id)</f>
        <v/>
      </c>
      <c r="M348" s="34">
        <f>IF(OR(C348="",F348=""),"",IF(F348&lt;&gt;"Espèces","—",IF(I348&lt;&gt;"","☑ Oui","☐ Non")))</f>
        <v/>
      </c>
      <c r="N348" s="39">
        <f>IF(D348="","",IFERROR(VALUE(MID(D348,LEN(D348)-3,3)),""))</f>
        <v/>
      </c>
      <c r="O348" s="33">
        <f>IF(N348="","",L348&amp;"|"&amp;N348)</f>
        <v/>
      </c>
      <c r="P348" s="33">
        <f>IF(N348="","",IF(L348="À RENSEIGNER","GIC",L348)&amp;"-"&amp;TEXT(N348,"000"))</f>
        <v/>
      </c>
      <c r="Q348" s="33">
        <f>IF(O348="","",IFERROR(INDEX(Cl_nom,MATCH(O348,Cl_cle,0)),"(client introuvable)"))</f>
        <v/>
      </c>
      <c r="R348" s="40">
        <f>IF(O348="","",IFERROR(INDEX(Cl_reste,MATCH(O348,Cl_cle,0)),""))</f>
        <v/>
      </c>
      <c r="S348" s="34">
        <f>IF(C348="","",YEAR(C348-WEEKDAY(C348,2)+4)&amp;"-S"&amp;TEXT(INT((C348-DATE(YEAR(C348-WEEKDAY(C348,2)+4),1,3)+WEEKDAY(DATE(YEAR(C348-WEEKDAY(C348,2)+4),1,3),2)+5)/7),"00"))</f>
        <v/>
      </c>
    </row>
    <row r="349" ht="18" customHeight="1">
      <c r="A349" s="39" t="n">
        <v>344</v>
      </c>
      <c r="B349" s="33">
        <f>IF(C349="","",IF(L349="À RENSEIGNER","GIC",L349)&amp;"-E"&amp;TEXT(A349,"00000"))</f>
        <v/>
      </c>
      <c r="C349" s="32" t="n"/>
      <c r="D349" s="36" t="n"/>
      <c r="E349" s="37" t="n"/>
      <c r="F349" s="36" t="n"/>
      <c r="G349" s="44" t="n"/>
      <c r="H349" s="43" t="n"/>
      <c r="I349" s="32" t="n"/>
      <c r="J349" s="44" t="n"/>
      <c r="K349" s="36" t="n"/>
      <c r="L349" s="33">
        <f>IF(C349="","",Commercial_Id)</f>
        <v/>
      </c>
      <c r="M349" s="34">
        <f>IF(OR(C349="",F349=""),"",IF(F349&lt;&gt;"Espèces","—",IF(I349&lt;&gt;"","☑ Oui","☐ Non")))</f>
        <v/>
      </c>
      <c r="N349" s="39">
        <f>IF(D349="","",IFERROR(VALUE(MID(D349,LEN(D349)-3,3)),""))</f>
        <v/>
      </c>
      <c r="O349" s="33">
        <f>IF(N349="","",L349&amp;"|"&amp;N349)</f>
        <v/>
      </c>
      <c r="P349" s="33">
        <f>IF(N349="","",IF(L349="À RENSEIGNER","GIC",L349)&amp;"-"&amp;TEXT(N349,"000"))</f>
        <v/>
      </c>
      <c r="Q349" s="33">
        <f>IF(O349="","",IFERROR(INDEX(Cl_nom,MATCH(O349,Cl_cle,0)),"(client introuvable)"))</f>
        <v/>
      </c>
      <c r="R349" s="40">
        <f>IF(O349="","",IFERROR(INDEX(Cl_reste,MATCH(O349,Cl_cle,0)),""))</f>
        <v/>
      </c>
      <c r="S349" s="34">
        <f>IF(C349="","",YEAR(C349-WEEKDAY(C349,2)+4)&amp;"-S"&amp;TEXT(INT((C349-DATE(YEAR(C349-WEEKDAY(C349,2)+4),1,3)+WEEKDAY(DATE(YEAR(C349-WEEKDAY(C349,2)+4),1,3),2)+5)/7),"00"))</f>
        <v/>
      </c>
    </row>
    <row r="350" ht="18" customHeight="1">
      <c r="A350" s="39" t="n">
        <v>345</v>
      </c>
      <c r="B350" s="33">
        <f>IF(C350="","",IF(L350="À RENSEIGNER","GIC",L350)&amp;"-E"&amp;TEXT(A350,"00000"))</f>
        <v/>
      </c>
      <c r="C350" s="32" t="n"/>
      <c r="D350" s="36" t="n"/>
      <c r="E350" s="37" t="n"/>
      <c r="F350" s="36" t="n"/>
      <c r="G350" s="44" t="n"/>
      <c r="H350" s="43" t="n"/>
      <c r="I350" s="32" t="n"/>
      <c r="J350" s="44" t="n"/>
      <c r="K350" s="36" t="n"/>
      <c r="L350" s="33">
        <f>IF(C350="","",Commercial_Id)</f>
        <v/>
      </c>
      <c r="M350" s="34">
        <f>IF(OR(C350="",F350=""),"",IF(F350&lt;&gt;"Espèces","—",IF(I350&lt;&gt;"","☑ Oui","☐ Non")))</f>
        <v/>
      </c>
      <c r="N350" s="39">
        <f>IF(D350="","",IFERROR(VALUE(MID(D350,LEN(D350)-3,3)),""))</f>
        <v/>
      </c>
      <c r="O350" s="33">
        <f>IF(N350="","",L350&amp;"|"&amp;N350)</f>
        <v/>
      </c>
      <c r="P350" s="33">
        <f>IF(N350="","",IF(L350="À RENSEIGNER","GIC",L350)&amp;"-"&amp;TEXT(N350,"000"))</f>
        <v/>
      </c>
      <c r="Q350" s="33">
        <f>IF(O350="","",IFERROR(INDEX(Cl_nom,MATCH(O350,Cl_cle,0)),"(client introuvable)"))</f>
        <v/>
      </c>
      <c r="R350" s="40">
        <f>IF(O350="","",IFERROR(INDEX(Cl_reste,MATCH(O350,Cl_cle,0)),""))</f>
        <v/>
      </c>
      <c r="S350" s="34">
        <f>IF(C350="","",YEAR(C350-WEEKDAY(C350,2)+4)&amp;"-S"&amp;TEXT(INT((C350-DATE(YEAR(C350-WEEKDAY(C350,2)+4),1,3)+WEEKDAY(DATE(YEAR(C350-WEEKDAY(C350,2)+4),1,3),2)+5)/7),"00"))</f>
        <v/>
      </c>
    </row>
    <row r="351" ht="18" customHeight="1">
      <c r="A351" s="39" t="n">
        <v>346</v>
      </c>
      <c r="B351" s="33">
        <f>IF(C351="","",IF(L351="À RENSEIGNER","GIC",L351)&amp;"-E"&amp;TEXT(A351,"00000"))</f>
        <v/>
      </c>
      <c r="C351" s="32" t="n"/>
      <c r="D351" s="36" t="n"/>
      <c r="E351" s="37" t="n"/>
      <c r="F351" s="36" t="n"/>
      <c r="G351" s="44" t="n"/>
      <c r="H351" s="43" t="n"/>
      <c r="I351" s="32" t="n"/>
      <c r="J351" s="44" t="n"/>
      <c r="K351" s="36" t="n"/>
      <c r="L351" s="33">
        <f>IF(C351="","",Commercial_Id)</f>
        <v/>
      </c>
      <c r="M351" s="34">
        <f>IF(OR(C351="",F351=""),"",IF(F351&lt;&gt;"Espèces","—",IF(I351&lt;&gt;"","☑ Oui","☐ Non")))</f>
        <v/>
      </c>
      <c r="N351" s="39">
        <f>IF(D351="","",IFERROR(VALUE(MID(D351,LEN(D351)-3,3)),""))</f>
        <v/>
      </c>
      <c r="O351" s="33">
        <f>IF(N351="","",L351&amp;"|"&amp;N351)</f>
        <v/>
      </c>
      <c r="P351" s="33">
        <f>IF(N351="","",IF(L351="À RENSEIGNER","GIC",L351)&amp;"-"&amp;TEXT(N351,"000"))</f>
        <v/>
      </c>
      <c r="Q351" s="33">
        <f>IF(O351="","",IFERROR(INDEX(Cl_nom,MATCH(O351,Cl_cle,0)),"(client introuvable)"))</f>
        <v/>
      </c>
      <c r="R351" s="40">
        <f>IF(O351="","",IFERROR(INDEX(Cl_reste,MATCH(O351,Cl_cle,0)),""))</f>
        <v/>
      </c>
      <c r="S351" s="34">
        <f>IF(C351="","",YEAR(C351-WEEKDAY(C351,2)+4)&amp;"-S"&amp;TEXT(INT((C351-DATE(YEAR(C351-WEEKDAY(C351,2)+4),1,3)+WEEKDAY(DATE(YEAR(C351-WEEKDAY(C351,2)+4),1,3),2)+5)/7),"00"))</f>
        <v/>
      </c>
    </row>
    <row r="352" ht="18" customHeight="1">
      <c r="A352" s="39" t="n">
        <v>347</v>
      </c>
      <c r="B352" s="33">
        <f>IF(C352="","",IF(L352="À RENSEIGNER","GIC",L352)&amp;"-E"&amp;TEXT(A352,"00000"))</f>
        <v/>
      </c>
      <c r="C352" s="32" t="n"/>
      <c r="D352" s="36" t="n"/>
      <c r="E352" s="37" t="n"/>
      <c r="F352" s="36" t="n"/>
      <c r="G352" s="44" t="n"/>
      <c r="H352" s="43" t="n"/>
      <c r="I352" s="32" t="n"/>
      <c r="J352" s="44" t="n"/>
      <c r="K352" s="36" t="n"/>
      <c r="L352" s="33">
        <f>IF(C352="","",Commercial_Id)</f>
        <v/>
      </c>
      <c r="M352" s="34">
        <f>IF(OR(C352="",F352=""),"",IF(F352&lt;&gt;"Espèces","—",IF(I352&lt;&gt;"","☑ Oui","☐ Non")))</f>
        <v/>
      </c>
      <c r="N352" s="39">
        <f>IF(D352="","",IFERROR(VALUE(MID(D352,LEN(D352)-3,3)),""))</f>
        <v/>
      </c>
      <c r="O352" s="33">
        <f>IF(N352="","",L352&amp;"|"&amp;N352)</f>
        <v/>
      </c>
      <c r="P352" s="33">
        <f>IF(N352="","",IF(L352="À RENSEIGNER","GIC",L352)&amp;"-"&amp;TEXT(N352,"000"))</f>
        <v/>
      </c>
      <c r="Q352" s="33">
        <f>IF(O352="","",IFERROR(INDEX(Cl_nom,MATCH(O352,Cl_cle,0)),"(client introuvable)"))</f>
        <v/>
      </c>
      <c r="R352" s="40">
        <f>IF(O352="","",IFERROR(INDEX(Cl_reste,MATCH(O352,Cl_cle,0)),""))</f>
        <v/>
      </c>
      <c r="S352" s="34">
        <f>IF(C352="","",YEAR(C352-WEEKDAY(C352,2)+4)&amp;"-S"&amp;TEXT(INT((C352-DATE(YEAR(C352-WEEKDAY(C352,2)+4),1,3)+WEEKDAY(DATE(YEAR(C352-WEEKDAY(C352,2)+4),1,3),2)+5)/7),"00"))</f>
        <v/>
      </c>
    </row>
    <row r="353" ht="18" customHeight="1">
      <c r="A353" s="39" t="n">
        <v>348</v>
      </c>
      <c r="B353" s="33">
        <f>IF(C353="","",IF(L353="À RENSEIGNER","GIC",L353)&amp;"-E"&amp;TEXT(A353,"00000"))</f>
        <v/>
      </c>
      <c r="C353" s="32" t="n"/>
      <c r="D353" s="36" t="n"/>
      <c r="E353" s="37" t="n"/>
      <c r="F353" s="36" t="n"/>
      <c r="G353" s="44" t="n"/>
      <c r="H353" s="43" t="n"/>
      <c r="I353" s="32" t="n"/>
      <c r="J353" s="44" t="n"/>
      <c r="K353" s="36" t="n"/>
      <c r="L353" s="33">
        <f>IF(C353="","",Commercial_Id)</f>
        <v/>
      </c>
      <c r="M353" s="34">
        <f>IF(OR(C353="",F353=""),"",IF(F353&lt;&gt;"Espèces","—",IF(I353&lt;&gt;"","☑ Oui","☐ Non")))</f>
        <v/>
      </c>
      <c r="N353" s="39">
        <f>IF(D353="","",IFERROR(VALUE(MID(D353,LEN(D353)-3,3)),""))</f>
        <v/>
      </c>
      <c r="O353" s="33">
        <f>IF(N353="","",L353&amp;"|"&amp;N353)</f>
        <v/>
      </c>
      <c r="P353" s="33">
        <f>IF(N353="","",IF(L353="À RENSEIGNER","GIC",L353)&amp;"-"&amp;TEXT(N353,"000"))</f>
        <v/>
      </c>
      <c r="Q353" s="33">
        <f>IF(O353="","",IFERROR(INDEX(Cl_nom,MATCH(O353,Cl_cle,0)),"(client introuvable)"))</f>
        <v/>
      </c>
      <c r="R353" s="40">
        <f>IF(O353="","",IFERROR(INDEX(Cl_reste,MATCH(O353,Cl_cle,0)),""))</f>
        <v/>
      </c>
      <c r="S353" s="34">
        <f>IF(C353="","",YEAR(C353-WEEKDAY(C353,2)+4)&amp;"-S"&amp;TEXT(INT((C353-DATE(YEAR(C353-WEEKDAY(C353,2)+4),1,3)+WEEKDAY(DATE(YEAR(C353-WEEKDAY(C353,2)+4),1,3),2)+5)/7),"00"))</f>
        <v/>
      </c>
    </row>
    <row r="354" ht="18" customHeight="1">
      <c r="A354" s="39" t="n">
        <v>349</v>
      </c>
      <c r="B354" s="33">
        <f>IF(C354="","",IF(L354="À RENSEIGNER","GIC",L354)&amp;"-E"&amp;TEXT(A354,"00000"))</f>
        <v/>
      </c>
      <c r="C354" s="32" t="n"/>
      <c r="D354" s="36" t="n"/>
      <c r="E354" s="37" t="n"/>
      <c r="F354" s="36" t="n"/>
      <c r="G354" s="44" t="n"/>
      <c r="H354" s="43" t="n"/>
      <c r="I354" s="32" t="n"/>
      <c r="J354" s="44" t="n"/>
      <c r="K354" s="36" t="n"/>
      <c r="L354" s="33">
        <f>IF(C354="","",Commercial_Id)</f>
        <v/>
      </c>
      <c r="M354" s="34">
        <f>IF(OR(C354="",F354=""),"",IF(F354&lt;&gt;"Espèces","—",IF(I354&lt;&gt;"","☑ Oui","☐ Non")))</f>
        <v/>
      </c>
      <c r="N354" s="39">
        <f>IF(D354="","",IFERROR(VALUE(MID(D354,LEN(D354)-3,3)),""))</f>
        <v/>
      </c>
      <c r="O354" s="33">
        <f>IF(N354="","",L354&amp;"|"&amp;N354)</f>
        <v/>
      </c>
      <c r="P354" s="33">
        <f>IF(N354="","",IF(L354="À RENSEIGNER","GIC",L354)&amp;"-"&amp;TEXT(N354,"000"))</f>
        <v/>
      </c>
      <c r="Q354" s="33">
        <f>IF(O354="","",IFERROR(INDEX(Cl_nom,MATCH(O354,Cl_cle,0)),"(client introuvable)"))</f>
        <v/>
      </c>
      <c r="R354" s="40">
        <f>IF(O354="","",IFERROR(INDEX(Cl_reste,MATCH(O354,Cl_cle,0)),""))</f>
        <v/>
      </c>
      <c r="S354" s="34">
        <f>IF(C354="","",YEAR(C354-WEEKDAY(C354,2)+4)&amp;"-S"&amp;TEXT(INT((C354-DATE(YEAR(C354-WEEKDAY(C354,2)+4),1,3)+WEEKDAY(DATE(YEAR(C354-WEEKDAY(C354,2)+4),1,3),2)+5)/7),"00"))</f>
        <v/>
      </c>
    </row>
    <row r="355" ht="18" customHeight="1">
      <c r="A355" s="39" t="n">
        <v>350</v>
      </c>
      <c r="B355" s="33">
        <f>IF(C355="","",IF(L355="À RENSEIGNER","GIC",L355)&amp;"-E"&amp;TEXT(A355,"00000"))</f>
        <v/>
      </c>
      <c r="C355" s="32" t="n"/>
      <c r="D355" s="36" t="n"/>
      <c r="E355" s="37" t="n"/>
      <c r="F355" s="36" t="n"/>
      <c r="G355" s="44" t="n"/>
      <c r="H355" s="43" t="n"/>
      <c r="I355" s="32" t="n"/>
      <c r="J355" s="44" t="n"/>
      <c r="K355" s="36" t="n"/>
      <c r="L355" s="33">
        <f>IF(C355="","",Commercial_Id)</f>
        <v/>
      </c>
      <c r="M355" s="34">
        <f>IF(OR(C355="",F355=""),"",IF(F355&lt;&gt;"Espèces","—",IF(I355&lt;&gt;"","☑ Oui","☐ Non")))</f>
        <v/>
      </c>
      <c r="N355" s="39">
        <f>IF(D355="","",IFERROR(VALUE(MID(D355,LEN(D355)-3,3)),""))</f>
        <v/>
      </c>
      <c r="O355" s="33">
        <f>IF(N355="","",L355&amp;"|"&amp;N355)</f>
        <v/>
      </c>
      <c r="P355" s="33">
        <f>IF(N355="","",IF(L355="À RENSEIGNER","GIC",L355)&amp;"-"&amp;TEXT(N355,"000"))</f>
        <v/>
      </c>
      <c r="Q355" s="33">
        <f>IF(O355="","",IFERROR(INDEX(Cl_nom,MATCH(O355,Cl_cle,0)),"(client introuvable)"))</f>
        <v/>
      </c>
      <c r="R355" s="40">
        <f>IF(O355="","",IFERROR(INDEX(Cl_reste,MATCH(O355,Cl_cle,0)),""))</f>
        <v/>
      </c>
      <c r="S355" s="34">
        <f>IF(C355="","",YEAR(C355-WEEKDAY(C355,2)+4)&amp;"-S"&amp;TEXT(INT((C355-DATE(YEAR(C355-WEEKDAY(C355,2)+4),1,3)+WEEKDAY(DATE(YEAR(C355-WEEKDAY(C355,2)+4),1,3),2)+5)/7),"00"))</f>
        <v/>
      </c>
    </row>
    <row r="356" ht="18" customHeight="1">
      <c r="A356" s="39" t="n">
        <v>351</v>
      </c>
      <c r="B356" s="33">
        <f>IF(C356="","",IF(L356="À RENSEIGNER","GIC",L356)&amp;"-E"&amp;TEXT(A356,"00000"))</f>
        <v/>
      </c>
      <c r="C356" s="32" t="n"/>
      <c r="D356" s="36" t="n"/>
      <c r="E356" s="37" t="n"/>
      <c r="F356" s="36" t="n"/>
      <c r="G356" s="44" t="n"/>
      <c r="H356" s="43" t="n"/>
      <c r="I356" s="32" t="n"/>
      <c r="J356" s="44" t="n"/>
      <c r="K356" s="36" t="n"/>
      <c r="L356" s="33">
        <f>IF(C356="","",Commercial_Id)</f>
        <v/>
      </c>
      <c r="M356" s="34">
        <f>IF(OR(C356="",F356=""),"",IF(F356&lt;&gt;"Espèces","—",IF(I356&lt;&gt;"","☑ Oui","☐ Non")))</f>
        <v/>
      </c>
      <c r="N356" s="39">
        <f>IF(D356="","",IFERROR(VALUE(MID(D356,LEN(D356)-3,3)),""))</f>
        <v/>
      </c>
      <c r="O356" s="33">
        <f>IF(N356="","",L356&amp;"|"&amp;N356)</f>
        <v/>
      </c>
      <c r="P356" s="33">
        <f>IF(N356="","",IF(L356="À RENSEIGNER","GIC",L356)&amp;"-"&amp;TEXT(N356,"000"))</f>
        <v/>
      </c>
      <c r="Q356" s="33">
        <f>IF(O356="","",IFERROR(INDEX(Cl_nom,MATCH(O356,Cl_cle,0)),"(client introuvable)"))</f>
        <v/>
      </c>
      <c r="R356" s="40">
        <f>IF(O356="","",IFERROR(INDEX(Cl_reste,MATCH(O356,Cl_cle,0)),""))</f>
        <v/>
      </c>
      <c r="S356" s="34">
        <f>IF(C356="","",YEAR(C356-WEEKDAY(C356,2)+4)&amp;"-S"&amp;TEXT(INT((C356-DATE(YEAR(C356-WEEKDAY(C356,2)+4),1,3)+WEEKDAY(DATE(YEAR(C356-WEEKDAY(C356,2)+4),1,3),2)+5)/7),"00"))</f>
        <v/>
      </c>
    </row>
    <row r="357" ht="18" customHeight="1">
      <c r="A357" s="39" t="n">
        <v>352</v>
      </c>
      <c r="B357" s="33">
        <f>IF(C357="","",IF(L357="À RENSEIGNER","GIC",L357)&amp;"-E"&amp;TEXT(A357,"00000"))</f>
        <v/>
      </c>
      <c r="C357" s="32" t="n"/>
      <c r="D357" s="36" t="n"/>
      <c r="E357" s="37" t="n"/>
      <c r="F357" s="36" t="n"/>
      <c r="G357" s="44" t="n"/>
      <c r="H357" s="43" t="n"/>
      <c r="I357" s="32" t="n"/>
      <c r="J357" s="44" t="n"/>
      <c r="K357" s="36" t="n"/>
      <c r="L357" s="33">
        <f>IF(C357="","",Commercial_Id)</f>
        <v/>
      </c>
      <c r="M357" s="34">
        <f>IF(OR(C357="",F357=""),"",IF(F357&lt;&gt;"Espèces","—",IF(I357&lt;&gt;"","☑ Oui","☐ Non")))</f>
        <v/>
      </c>
      <c r="N357" s="39">
        <f>IF(D357="","",IFERROR(VALUE(MID(D357,LEN(D357)-3,3)),""))</f>
        <v/>
      </c>
      <c r="O357" s="33">
        <f>IF(N357="","",L357&amp;"|"&amp;N357)</f>
        <v/>
      </c>
      <c r="P357" s="33">
        <f>IF(N357="","",IF(L357="À RENSEIGNER","GIC",L357)&amp;"-"&amp;TEXT(N357,"000"))</f>
        <v/>
      </c>
      <c r="Q357" s="33">
        <f>IF(O357="","",IFERROR(INDEX(Cl_nom,MATCH(O357,Cl_cle,0)),"(client introuvable)"))</f>
        <v/>
      </c>
      <c r="R357" s="40">
        <f>IF(O357="","",IFERROR(INDEX(Cl_reste,MATCH(O357,Cl_cle,0)),""))</f>
        <v/>
      </c>
      <c r="S357" s="34">
        <f>IF(C357="","",YEAR(C357-WEEKDAY(C357,2)+4)&amp;"-S"&amp;TEXT(INT((C357-DATE(YEAR(C357-WEEKDAY(C357,2)+4),1,3)+WEEKDAY(DATE(YEAR(C357-WEEKDAY(C357,2)+4),1,3),2)+5)/7),"00"))</f>
        <v/>
      </c>
    </row>
    <row r="358" ht="18" customHeight="1">
      <c r="A358" s="39" t="n">
        <v>353</v>
      </c>
      <c r="B358" s="33">
        <f>IF(C358="","",IF(L358="À RENSEIGNER","GIC",L358)&amp;"-E"&amp;TEXT(A358,"00000"))</f>
        <v/>
      </c>
      <c r="C358" s="32" t="n"/>
      <c r="D358" s="36" t="n"/>
      <c r="E358" s="37" t="n"/>
      <c r="F358" s="36" t="n"/>
      <c r="G358" s="44" t="n"/>
      <c r="H358" s="43" t="n"/>
      <c r="I358" s="32" t="n"/>
      <c r="J358" s="44" t="n"/>
      <c r="K358" s="36" t="n"/>
      <c r="L358" s="33">
        <f>IF(C358="","",Commercial_Id)</f>
        <v/>
      </c>
      <c r="M358" s="34">
        <f>IF(OR(C358="",F358=""),"",IF(F358&lt;&gt;"Espèces","—",IF(I358&lt;&gt;"","☑ Oui","☐ Non")))</f>
        <v/>
      </c>
      <c r="N358" s="39">
        <f>IF(D358="","",IFERROR(VALUE(MID(D358,LEN(D358)-3,3)),""))</f>
        <v/>
      </c>
      <c r="O358" s="33">
        <f>IF(N358="","",L358&amp;"|"&amp;N358)</f>
        <v/>
      </c>
      <c r="P358" s="33">
        <f>IF(N358="","",IF(L358="À RENSEIGNER","GIC",L358)&amp;"-"&amp;TEXT(N358,"000"))</f>
        <v/>
      </c>
      <c r="Q358" s="33">
        <f>IF(O358="","",IFERROR(INDEX(Cl_nom,MATCH(O358,Cl_cle,0)),"(client introuvable)"))</f>
        <v/>
      </c>
      <c r="R358" s="40">
        <f>IF(O358="","",IFERROR(INDEX(Cl_reste,MATCH(O358,Cl_cle,0)),""))</f>
        <v/>
      </c>
      <c r="S358" s="34">
        <f>IF(C358="","",YEAR(C358-WEEKDAY(C358,2)+4)&amp;"-S"&amp;TEXT(INT((C358-DATE(YEAR(C358-WEEKDAY(C358,2)+4),1,3)+WEEKDAY(DATE(YEAR(C358-WEEKDAY(C358,2)+4),1,3),2)+5)/7),"00"))</f>
        <v/>
      </c>
    </row>
    <row r="359" ht="18" customHeight="1">
      <c r="A359" s="39" t="n">
        <v>354</v>
      </c>
      <c r="B359" s="33">
        <f>IF(C359="","",IF(L359="À RENSEIGNER","GIC",L359)&amp;"-E"&amp;TEXT(A359,"00000"))</f>
        <v/>
      </c>
      <c r="C359" s="32" t="n"/>
      <c r="D359" s="36" t="n"/>
      <c r="E359" s="37" t="n"/>
      <c r="F359" s="36" t="n"/>
      <c r="G359" s="44" t="n"/>
      <c r="H359" s="43" t="n"/>
      <c r="I359" s="32" t="n"/>
      <c r="J359" s="44" t="n"/>
      <c r="K359" s="36" t="n"/>
      <c r="L359" s="33">
        <f>IF(C359="","",Commercial_Id)</f>
        <v/>
      </c>
      <c r="M359" s="34">
        <f>IF(OR(C359="",F359=""),"",IF(F359&lt;&gt;"Espèces","—",IF(I359&lt;&gt;"","☑ Oui","☐ Non")))</f>
        <v/>
      </c>
      <c r="N359" s="39">
        <f>IF(D359="","",IFERROR(VALUE(MID(D359,LEN(D359)-3,3)),""))</f>
        <v/>
      </c>
      <c r="O359" s="33">
        <f>IF(N359="","",L359&amp;"|"&amp;N359)</f>
        <v/>
      </c>
      <c r="P359" s="33">
        <f>IF(N359="","",IF(L359="À RENSEIGNER","GIC",L359)&amp;"-"&amp;TEXT(N359,"000"))</f>
        <v/>
      </c>
      <c r="Q359" s="33">
        <f>IF(O359="","",IFERROR(INDEX(Cl_nom,MATCH(O359,Cl_cle,0)),"(client introuvable)"))</f>
        <v/>
      </c>
      <c r="R359" s="40">
        <f>IF(O359="","",IFERROR(INDEX(Cl_reste,MATCH(O359,Cl_cle,0)),""))</f>
        <v/>
      </c>
      <c r="S359" s="34">
        <f>IF(C359="","",YEAR(C359-WEEKDAY(C359,2)+4)&amp;"-S"&amp;TEXT(INT((C359-DATE(YEAR(C359-WEEKDAY(C359,2)+4),1,3)+WEEKDAY(DATE(YEAR(C359-WEEKDAY(C359,2)+4),1,3),2)+5)/7),"00"))</f>
        <v/>
      </c>
    </row>
    <row r="360" ht="18" customHeight="1">
      <c r="A360" s="39" t="n">
        <v>355</v>
      </c>
      <c r="B360" s="33">
        <f>IF(C360="","",IF(L360="À RENSEIGNER","GIC",L360)&amp;"-E"&amp;TEXT(A360,"00000"))</f>
        <v/>
      </c>
      <c r="C360" s="32" t="n"/>
      <c r="D360" s="36" t="n"/>
      <c r="E360" s="37" t="n"/>
      <c r="F360" s="36" t="n"/>
      <c r="G360" s="44" t="n"/>
      <c r="H360" s="43" t="n"/>
      <c r="I360" s="32" t="n"/>
      <c r="J360" s="44" t="n"/>
      <c r="K360" s="36" t="n"/>
      <c r="L360" s="33">
        <f>IF(C360="","",Commercial_Id)</f>
        <v/>
      </c>
      <c r="M360" s="34">
        <f>IF(OR(C360="",F360=""),"",IF(F360&lt;&gt;"Espèces","—",IF(I360&lt;&gt;"","☑ Oui","☐ Non")))</f>
        <v/>
      </c>
      <c r="N360" s="39">
        <f>IF(D360="","",IFERROR(VALUE(MID(D360,LEN(D360)-3,3)),""))</f>
        <v/>
      </c>
      <c r="O360" s="33">
        <f>IF(N360="","",L360&amp;"|"&amp;N360)</f>
        <v/>
      </c>
      <c r="P360" s="33">
        <f>IF(N360="","",IF(L360="À RENSEIGNER","GIC",L360)&amp;"-"&amp;TEXT(N360,"000"))</f>
        <v/>
      </c>
      <c r="Q360" s="33">
        <f>IF(O360="","",IFERROR(INDEX(Cl_nom,MATCH(O360,Cl_cle,0)),"(client introuvable)"))</f>
        <v/>
      </c>
      <c r="R360" s="40">
        <f>IF(O360="","",IFERROR(INDEX(Cl_reste,MATCH(O360,Cl_cle,0)),""))</f>
        <v/>
      </c>
      <c r="S360" s="34">
        <f>IF(C360="","",YEAR(C360-WEEKDAY(C360,2)+4)&amp;"-S"&amp;TEXT(INT((C360-DATE(YEAR(C360-WEEKDAY(C360,2)+4),1,3)+WEEKDAY(DATE(YEAR(C360-WEEKDAY(C360,2)+4),1,3),2)+5)/7),"00"))</f>
        <v/>
      </c>
    </row>
    <row r="361" ht="18" customHeight="1">
      <c r="A361" s="39" t="n">
        <v>356</v>
      </c>
      <c r="B361" s="33">
        <f>IF(C361="","",IF(L361="À RENSEIGNER","GIC",L361)&amp;"-E"&amp;TEXT(A361,"00000"))</f>
        <v/>
      </c>
      <c r="C361" s="32" t="n"/>
      <c r="D361" s="36" t="n"/>
      <c r="E361" s="37" t="n"/>
      <c r="F361" s="36" t="n"/>
      <c r="G361" s="44" t="n"/>
      <c r="H361" s="43" t="n"/>
      <c r="I361" s="32" t="n"/>
      <c r="J361" s="44" t="n"/>
      <c r="K361" s="36" t="n"/>
      <c r="L361" s="33">
        <f>IF(C361="","",Commercial_Id)</f>
        <v/>
      </c>
      <c r="M361" s="34">
        <f>IF(OR(C361="",F361=""),"",IF(F361&lt;&gt;"Espèces","—",IF(I361&lt;&gt;"","☑ Oui","☐ Non")))</f>
        <v/>
      </c>
      <c r="N361" s="39">
        <f>IF(D361="","",IFERROR(VALUE(MID(D361,LEN(D361)-3,3)),""))</f>
        <v/>
      </c>
      <c r="O361" s="33">
        <f>IF(N361="","",L361&amp;"|"&amp;N361)</f>
        <v/>
      </c>
      <c r="P361" s="33">
        <f>IF(N361="","",IF(L361="À RENSEIGNER","GIC",L361)&amp;"-"&amp;TEXT(N361,"000"))</f>
        <v/>
      </c>
      <c r="Q361" s="33">
        <f>IF(O361="","",IFERROR(INDEX(Cl_nom,MATCH(O361,Cl_cle,0)),"(client introuvable)"))</f>
        <v/>
      </c>
      <c r="R361" s="40">
        <f>IF(O361="","",IFERROR(INDEX(Cl_reste,MATCH(O361,Cl_cle,0)),""))</f>
        <v/>
      </c>
      <c r="S361" s="34">
        <f>IF(C361="","",YEAR(C361-WEEKDAY(C361,2)+4)&amp;"-S"&amp;TEXT(INT((C361-DATE(YEAR(C361-WEEKDAY(C361,2)+4),1,3)+WEEKDAY(DATE(YEAR(C361-WEEKDAY(C361,2)+4),1,3),2)+5)/7),"00"))</f>
        <v/>
      </c>
    </row>
    <row r="362" ht="18" customHeight="1">
      <c r="A362" s="39" t="n">
        <v>357</v>
      </c>
      <c r="B362" s="33">
        <f>IF(C362="","",IF(L362="À RENSEIGNER","GIC",L362)&amp;"-E"&amp;TEXT(A362,"00000"))</f>
        <v/>
      </c>
      <c r="C362" s="32" t="n"/>
      <c r="D362" s="36" t="n"/>
      <c r="E362" s="37" t="n"/>
      <c r="F362" s="36" t="n"/>
      <c r="G362" s="44" t="n"/>
      <c r="H362" s="43" t="n"/>
      <c r="I362" s="32" t="n"/>
      <c r="J362" s="44" t="n"/>
      <c r="K362" s="36" t="n"/>
      <c r="L362" s="33">
        <f>IF(C362="","",Commercial_Id)</f>
        <v/>
      </c>
      <c r="M362" s="34">
        <f>IF(OR(C362="",F362=""),"",IF(F362&lt;&gt;"Espèces","—",IF(I362&lt;&gt;"","☑ Oui","☐ Non")))</f>
        <v/>
      </c>
      <c r="N362" s="39">
        <f>IF(D362="","",IFERROR(VALUE(MID(D362,LEN(D362)-3,3)),""))</f>
        <v/>
      </c>
      <c r="O362" s="33">
        <f>IF(N362="","",L362&amp;"|"&amp;N362)</f>
        <v/>
      </c>
      <c r="P362" s="33">
        <f>IF(N362="","",IF(L362="À RENSEIGNER","GIC",L362)&amp;"-"&amp;TEXT(N362,"000"))</f>
        <v/>
      </c>
      <c r="Q362" s="33">
        <f>IF(O362="","",IFERROR(INDEX(Cl_nom,MATCH(O362,Cl_cle,0)),"(client introuvable)"))</f>
        <v/>
      </c>
      <c r="R362" s="40">
        <f>IF(O362="","",IFERROR(INDEX(Cl_reste,MATCH(O362,Cl_cle,0)),""))</f>
        <v/>
      </c>
      <c r="S362" s="34">
        <f>IF(C362="","",YEAR(C362-WEEKDAY(C362,2)+4)&amp;"-S"&amp;TEXT(INT((C362-DATE(YEAR(C362-WEEKDAY(C362,2)+4),1,3)+WEEKDAY(DATE(YEAR(C362-WEEKDAY(C362,2)+4),1,3),2)+5)/7),"00"))</f>
        <v/>
      </c>
    </row>
    <row r="363" ht="18" customHeight="1">
      <c r="A363" s="39" t="n">
        <v>358</v>
      </c>
      <c r="B363" s="33">
        <f>IF(C363="","",IF(L363="À RENSEIGNER","GIC",L363)&amp;"-E"&amp;TEXT(A363,"00000"))</f>
        <v/>
      </c>
      <c r="C363" s="32" t="n"/>
      <c r="D363" s="36" t="n"/>
      <c r="E363" s="37" t="n"/>
      <c r="F363" s="36" t="n"/>
      <c r="G363" s="44" t="n"/>
      <c r="H363" s="43" t="n"/>
      <c r="I363" s="32" t="n"/>
      <c r="J363" s="44" t="n"/>
      <c r="K363" s="36" t="n"/>
      <c r="L363" s="33">
        <f>IF(C363="","",Commercial_Id)</f>
        <v/>
      </c>
      <c r="M363" s="34">
        <f>IF(OR(C363="",F363=""),"",IF(F363&lt;&gt;"Espèces","—",IF(I363&lt;&gt;"","☑ Oui","☐ Non")))</f>
        <v/>
      </c>
      <c r="N363" s="39">
        <f>IF(D363="","",IFERROR(VALUE(MID(D363,LEN(D363)-3,3)),""))</f>
        <v/>
      </c>
      <c r="O363" s="33">
        <f>IF(N363="","",L363&amp;"|"&amp;N363)</f>
        <v/>
      </c>
      <c r="P363" s="33">
        <f>IF(N363="","",IF(L363="À RENSEIGNER","GIC",L363)&amp;"-"&amp;TEXT(N363,"000"))</f>
        <v/>
      </c>
      <c r="Q363" s="33">
        <f>IF(O363="","",IFERROR(INDEX(Cl_nom,MATCH(O363,Cl_cle,0)),"(client introuvable)"))</f>
        <v/>
      </c>
      <c r="R363" s="40">
        <f>IF(O363="","",IFERROR(INDEX(Cl_reste,MATCH(O363,Cl_cle,0)),""))</f>
        <v/>
      </c>
      <c r="S363" s="34">
        <f>IF(C363="","",YEAR(C363-WEEKDAY(C363,2)+4)&amp;"-S"&amp;TEXT(INT((C363-DATE(YEAR(C363-WEEKDAY(C363,2)+4),1,3)+WEEKDAY(DATE(YEAR(C363-WEEKDAY(C363,2)+4),1,3),2)+5)/7),"00"))</f>
        <v/>
      </c>
    </row>
    <row r="364" ht="18" customHeight="1">
      <c r="A364" s="39" t="n">
        <v>359</v>
      </c>
      <c r="B364" s="33">
        <f>IF(C364="","",IF(L364="À RENSEIGNER","GIC",L364)&amp;"-E"&amp;TEXT(A364,"00000"))</f>
        <v/>
      </c>
      <c r="C364" s="32" t="n"/>
      <c r="D364" s="36" t="n"/>
      <c r="E364" s="37" t="n"/>
      <c r="F364" s="36" t="n"/>
      <c r="G364" s="44" t="n"/>
      <c r="H364" s="43" t="n"/>
      <c r="I364" s="32" t="n"/>
      <c r="J364" s="44" t="n"/>
      <c r="K364" s="36" t="n"/>
      <c r="L364" s="33">
        <f>IF(C364="","",Commercial_Id)</f>
        <v/>
      </c>
      <c r="M364" s="34">
        <f>IF(OR(C364="",F364=""),"",IF(F364&lt;&gt;"Espèces","—",IF(I364&lt;&gt;"","☑ Oui","☐ Non")))</f>
        <v/>
      </c>
      <c r="N364" s="39">
        <f>IF(D364="","",IFERROR(VALUE(MID(D364,LEN(D364)-3,3)),""))</f>
        <v/>
      </c>
      <c r="O364" s="33">
        <f>IF(N364="","",L364&amp;"|"&amp;N364)</f>
        <v/>
      </c>
      <c r="P364" s="33">
        <f>IF(N364="","",IF(L364="À RENSEIGNER","GIC",L364)&amp;"-"&amp;TEXT(N364,"000"))</f>
        <v/>
      </c>
      <c r="Q364" s="33">
        <f>IF(O364="","",IFERROR(INDEX(Cl_nom,MATCH(O364,Cl_cle,0)),"(client introuvable)"))</f>
        <v/>
      </c>
      <c r="R364" s="40">
        <f>IF(O364="","",IFERROR(INDEX(Cl_reste,MATCH(O364,Cl_cle,0)),""))</f>
        <v/>
      </c>
      <c r="S364" s="34">
        <f>IF(C364="","",YEAR(C364-WEEKDAY(C364,2)+4)&amp;"-S"&amp;TEXT(INT((C364-DATE(YEAR(C364-WEEKDAY(C364,2)+4),1,3)+WEEKDAY(DATE(YEAR(C364-WEEKDAY(C364,2)+4),1,3),2)+5)/7),"00"))</f>
        <v/>
      </c>
    </row>
    <row r="365" ht="18" customHeight="1">
      <c r="A365" s="39" t="n">
        <v>360</v>
      </c>
      <c r="B365" s="33">
        <f>IF(C365="","",IF(L365="À RENSEIGNER","GIC",L365)&amp;"-E"&amp;TEXT(A365,"00000"))</f>
        <v/>
      </c>
      <c r="C365" s="32" t="n"/>
      <c r="D365" s="36" t="n"/>
      <c r="E365" s="37" t="n"/>
      <c r="F365" s="36" t="n"/>
      <c r="G365" s="44" t="n"/>
      <c r="H365" s="43" t="n"/>
      <c r="I365" s="32" t="n"/>
      <c r="J365" s="44" t="n"/>
      <c r="K365" s="36" t="n"/>
      <c r="L365" s="33">
        <f>IF(C365="","",Commercial_Id)</f>
        <v/>
      </c>
      <c r="M365" s="34">
        <f>IF(OR(C365="",F365=""),"",IF(F365&lt;&gt;"Espèces","—",IF(I365&lt;&gt;"","☑ Oui","☐ Non")))</f>
        <v/>
      </c>
      <c r="N365" s="39">
        <f>IF(D365="","",IFERROR(VALUE(MID(D365,LEN(D365)-3,3)),""))</f>
        <v/>
      </c>
      <c r="O365" s="33">
        <f>IF(N365="","",L365&amp;"|"&amp;N365)</f>
        <v/>
      </c>
      <c r="P365" s="33">
        <f>IF(N365="","",IF(L365="À RENSEIGNER","GIC",L365)&amp;"-"&amp;TEXT(N365,"000"))</f>
        <v/>
      </c>
      <c r="Q365" s="33">
        <f>IF(O365="","",IFERROR(INDEX(Cl_nom,MATCH(O365,Cl_cle,0)),"(client introuvable)"))</f>
        <v/>
      </c>
      <c r="R365" s="40">
        <f>IF(O365="","",IFERROR(INDEX(Cl_reste,MATCH(O365,Cl_cle,0)),""))</f>
        <v/>
      </c>
      <c r="S365" s="34">
        <f>IF(C365="","",YEAR(C365-WEEKDAY(C365,2)+4)&amp;"-S"&amp;TEXT(INT((C365-DATE(YEAR(C365-WEEKDAY(C365,2)+4),1,3)+WEEKDAY(DATE(YEAR(C365-WEEKDAY(C365,2)+4),1,3),2)+5)/7),"00"))</f>
        <v/>
      </c>
    </row>
    <row r="366" ht="18" customHeight="1">
      <c r="A366" s="39" t="n">
        <v>361</v>
      </c>
      <c r="B366" s="33">
        <f>IF(C366="","",IF(L366="À RENSEIGNER","GIC",L366)&amp;"-E"&amp;TEXT(A366,"00000"))</f>
        <v/>
      </c>
      <c r="C366" s="32" t="n"/>
      <c r="D366" s="36" t="n"/>
      <c r="E366" s="37" t="n"/>
      <c r="F366" s="36" t="n"/>
      <c r="G366" s="44" t="n"/>
      <c r="H366" s="43" t="n"/>
      <c r="I366" s="32" t="n"/>
      <c r="J366" s="44" t="n"/>
      <c r="K366" s="36" t="n"/>
      <c r="L366" s="33">
        <f>IF(C366="","",Commercial_Id)</f>
        <v/>
      </c>
      <c r="M366" s="34">
        <f>IF(OR(C366="",F366=""),"",IF(F366&lt;&gt;"Espèces","—",IF(I366&lt;&gt;"","☑ Oui","☐ Non")))</f>
        <v/>
      </c>
      <c r="N366" s="39">
        <f>IF(D366="","",IFERROR(VALUE(MID(D366,LEN(D366)-3,3)),""))</f>
        <v/>
      </c>
      <c r="O366" s="33">
        <f>IF(N366="","",L366&amp;"|"&amp;N366)</f>
        <v/>
      </c>
      <c r="P366" s="33">
        <f>IF(N366="","",IF(L366="À RENSEIGNER","GIC",L366)&amp;"-"&amp;TEXT(N366,"000"))</f>
        <v/>
      </c>
      <c r="Q366" s="33">
        <f>IF(O366="","",IFERROR(INDEX(Cl_nom,MATCH(O366,Cl_cle,0)),"(client introuvable)"))</f>
        <v/>
      </c>
      <c r="R366" s="40">
        <f>IF(O366="","",IFERROR(INDEX(Cl_reste,MATCH(O366,Cl_cle,0)),""))</f>
        <v/>
      </c>
      <c r="S366" s="34">
        <f>IF(C366="","",YEAR(C366-WEEKDAY(C366,2)+4)&amp;"-S"&amp;TEXT(INT((C366-DATE(YEAR(C366-WEEKDAY(C366,2)+4),1,3)+WEEKDAY(DATE(YEAR(C366-WEEKDAY(C366,2)+4),1,3),2)+5)/7),"00"))</f>
        <v/>
      </c>
    </row>
    <row r="367" ht="18" customHeight="1">
      <c r="A367" s="39" t="n">
        <v>362</v>
      </c>
      <c r="B367" s="33">
        <f>IF(C367="","",IF(L367="À RENSEIGNER","GIC",L367)&amp;"-E"&amp;TEXT(A367,"00000"))</f>
        <v/>
      </c>
      <c r="C367" s="32" t="n"/>
      <c r="D367" s="36" t="n"/>
      <c r="E367" s="37" t="n"/>
      <c r="F367" s="36" t="n"/>
      <c r="G367" s="44" t="n"/>
      <c r="H367" s="43" t="n"/>
      <c r="I367" s="32" t="n"/>
      <c r="J367" s="44" t="n"/>
      <c r="K367" s="36" t="n"/>
      <c r="L367" s="33">
        <f>IF(C367="","",Commercial_Id)</f>
        <v/>
      </c>
      <c r="M367" s="34">
        <f>IF(OR(C367="",F367=""),"",IF(F367&lt;&gt;"Espèces","—",IF(I367&lt;&gt;"","☑ Oui","☐ Non")))</f>
        <v/>
      </c>
      <c r="N367" s="39">
        <f>IF(D367="","",IFERROR(VALUE(MID(D367,LEN(D367)-3,3)),""))</f>
        <v/>
      </c>
      <c r="O367" s="33">
        <f>IF(N367="","",L367&amp;"|"&amp;N367)</f>
        <v/>
      </c>
      <c r="P367" s="33">
        <f>IF(N367="","",IF(L367="À RENSEIGNER","GIC",L367)&amp;"-"&amp;TEXT(N367,"000"))</f>
        <v/>
      </c>
      <c r="Q367" s="33">
        <f>IF(O367="","",IFERROR(INDEX(Cl_nom,MATCH(O367,Cl_cle,0)),"(client introuvable)"))</f>
        <v/>
      </c>
      <c r="R367" s="40">
        <f>IF(O367="","",IFERROR(INDEX(Cl_reste,MATCH(O367,Cl_cle,0)),""))</f>
        <v/>
      </c>
      <c r="S367" s="34">
        <f>IF(C367="","",YEAR(C367-WEEKDAY(C367,2)+4)&amp;"-S"&amp;TEXT(INT((C367-DATE(YEAR(C367-WEEKDAY(C367,2)+4),1,3)+WEEKDAY(DATE(YEAR(C367-WEEKDAY(C367,2)+4),1,3),2)+5)/7),"00"))</f>
        <v/>
      </c>
    </row>
    <row r="368" ht="18" customHeight="1">
      <c r="A368" s="39" t="n">
        <v>363</v>
      </c>
      <c r="B368" s="33">
        <f>IF(C368="","",IF(L368="À RENSEIGNER","GIC",L368)&amp;"-E"&amp;TEXT(A368,"00000"))</f>
        <v/>
      </c>
      <c r="C368" s="32" t="n"/>
      <c r="D368" s="36" t="n"/>
      <c r="E368" s="37" t="n"/>
      <c r="F368" s="36" t="n"/>
      <c r="G368" s="44" t="n"/>
      <c r="H368" s="43" t="n"/>
      <c r="I368" s="32" t="n"/>
      <c r="J368" s="44" t="n"/>
      <c r="K368" s="36" t="n"/>
      <c r="L368" s="33">
        <f>IF(C368="","",Commercial_Id)</f>
        <v/>
      </c>
      <c r="M368" s="34">
        <f>IF(OR(C368="",F368=""),"",IF(F368&lt;&gt;"Espèces","—",IF(I368&lt;&gt;"","☑ Oui","☐ Non")))</f>
        <v/>
      </c>
      <c r="N368" s="39">
        <f>IF(D368="","",IFERROR(VALUE(MID(D368,LEN(D368)-3,3)),""))</f>
        <v/>
      </c>
      <c r="O368" s="33">
        <f>IF(N368="","",L368&amp;"|"&amp;N368)</f>
        <v/>
      </c>
      <c r="P368" s="33">
        <f>IF(N368="","",IF(L368="À RENSEIGNER","GIC",L368)&amp;"-"&amp;TEXT(N368,"000"))</f>
        <v/>
      </c>
      <c r="Q368" s="33">
        <f>IF(O368="","",IFERROR(INDEX(Cl_nom,MATCH(O368,Cl_cle,0)),"(client introuvable)"))</f>
        <v/>
      </c>
      <c r="R368" s="40">
        <f>IF(O368="","",IFERROR(INDEX(Cl_reste,MATCH(O368,Cl_cle,0)),""))</f>
        <v/>
      </c>
      <c r="S368" s="34">
        <f>IF(C368="","",YEAR(C368-WEEKDAY(C368,2)+4)&amp;"-S"&amp;TEXT(INT((C368-DATE(YEAR(C368-WEEKDAY(C368,2)+4),1,3)+WEEKDAY(DATE(YEAR(C368-WEEKDAY(C368,2)+4),1,3),2)+5)/7),"00"))</f>
        <v/>
      </c>
    </row>
    <row r="369" ht="18" customHeight="1">
      <c r="A369" s="39" t="n">
        <v>364</v>
      </c>
      <c r="B369" s="33">
        <f>IF(C369="","",IF(L369="À RENSEIGNER","GIC",L369)&amp;"-E"&amp;TEXT(A369,"00000"))</f>
        <v/>
      </c>
      <c r="C369" s="32" t="n"/>
      <c r="D369" s="36" t="n"/>
      <c r="E369" s="37" t="n"/>
      <c r="F369" s="36" t="n"/>
      <c r="G369" s="44" t="n"/>
      <c r="H369" s="43" t="n"/>
      <c r="I369" s="32" t="n"/>
      <c r="J369" s="44" t="n"/>
      <c r="K369" s="36" t="n"/>
      <c r="L369" s="33">
        <f>IF(C369="","",Commercial_Id)</f>
        <v/>
      </c>
      <c r="M369" s="34">
        <f>IF(OR(C369="",F369=""),"",IF(F369&lt;&gt;"Espèces","—",IF(I369&lt;&gt;"","☑ Oui","☐ Non")))</f>
        <v/>
      </c>
      <c r="N369" s="39">
        <f>IF(D369="","",IFERROR(VALUE(MID(D369,LEN(D369)-3,3)),""))</f>
        <v/>
      </c>
      <c r="O369" s="33">
        <f>IF(N369="","",L369&amp;"|"&amp;N369)</f>
        <v/>
      </c>
      <c r="P369" s="33">
        <f>IF(N369="","",IF(L369="À RENSEIGNER","GIC",L369)&amp;"-"&amp;TEXT(N369,"000"))</f>
        <v/>
      </c>
      <c r="Q369" s="33">
        <f>IF(O369="","",IFERROR(INDEX(Cl_nom,MATCH(O369,Cl_cle,0)),"(client introuvable)"))</f>
        <v/>
      </c>
      <c r="R369" s="40">
        <f>IF(O369="","",IFERROR(INDEX(Cl_reste,MATCH(O369,Cl_cle,0)),""))</f>
        <v/>
      </c>
      <c r="S369" s="34">
        <f>IF(C369="","",YEAR(C369-WEEKDAY(C369,2)+4)&amp;"-S"&amp;TEXT(INT((C369-DATE(YEAR(C369-WEEKDAY(C369,2)+4),1,3)+WEEKDAY(DATE(YEAR(C369-WEEKDAY(C369,2)+4),1,3),2)+5)/7),"00"))</f>
        <v/>
      </c>
    </row>
    <row r="370" ht="18" customHeight="1">
      <c r="A370" s="39" t="n">
        <v>365</v>
      </c>
      <c r="B370" s="33">
        <f>IF(C370="","",IF(L370="À RENSEIGNER","GIC",L370)&amp;"-E"&amp;TEXT(A370,"00000"))</f>
        <v/>
      </c>
      <c r="C370" s="32" t="n"/>
      <c r="D370" s="36" t="n"/>
      <c r="E370" s="37" t="n"/>
      <c r="F370" s="36" t="n"/>
      <c r="G370" s="44" t="n"/>
      <c r="H370" s="43" t="n"/>
      <c r="I370" s="32" t="n"/>
      <c r="J370" s="44" t="n"/>
      <c r="K370" s="36" t="n"/>
      <c r="L370" s="33">
        <f>IF(C370="","",Commercial_Id)</f>
        <v/>
      </c>
      <c r="M370" s="34">
        <f>IF(OR(C370="",F370=""),"",IF(F370&lt;&gt;"Espèces","—",IF(I370&lt;&gt;"","☑ Oui","☐ Non")))</f>
        <v/>
      </c>
      <c r="N370" s="39">
        <f>IF(D370="","",IFERROR(VALUE(MID(D370,LEN(D370)-3,3)),""))</f>
        <v/>
      </c>
      <c r="O370" s="33">
        <f>IF(N370="","",L370&amp;"|"&amp;N370)</f>
        <v/>
      </c>
      <c r="P370" s="33">
        <f>IF(N370="","",IF(L370="À RENSEIGNER","GIC",L370)&amp;"-"&amp;TEXT(N370,"000"))</f>
        <v/>
      </c>
      <c r="Q370" s="33">
        <f>IF(O370="","",IFERROR(INDEX(Cl_nom,MATCH(O370,Cl_cle,0)),"(client introuvable)"))</f>
        <v/>
      </c>
      <c r="R370" s="40">
        <f>IF(O370="","",IFERROR(INDEX(Cl_reste,MATCH(O370,Cl_cle,0)),""))</f>
        <v/>
      </c>
      <c r="S370" s="34">
        <f>IF(C370="","",YEAR(C370-WEEKDAY(C370,2)+4)&amp;"-S"&amp;TEXT(INT((C370-DATE(YEAR(C370-WEEKDAY(C370,2)+4),1,3)+WEEKDAY(DATE(YEAR(C370-WEEKDAY(C370,2)+4),1,3),2)+5)/7),"00"))</f>
        <v/>
      </c>
    </row>
    <row r="371" ht="18" customHeight="1">
      <c r="A371" s="39" t="n">
        <v>366</v>
      </c>
      <c r="B371" s="33">
        <f>IF(C371="","",IF(L371="À RENSEIGNER","GIC",L371)&amp;"-E"&amp;TEXT(A371,"00000"))</f>
        <v/>
      </c>
      <c r="C371" s="32" t="n"/>
      <c r="D371" s="36" t="n"/>
      <c r="E371" s="37" t="n"/>
      <c r="F371" s="36" t="n"/>
      <c r="G371" s="44" t="n"/>
      <c r="H371" s="43" t="n"/>
      <c r="I371" s="32" t="n"/>
      <c r="J371" s="44" t="n"/>
      <c r="K371" s="36" t="n"/>
      <c r="L371" s="33">
        <f>IF(C371="","",Commercial_Id)</f>
        <v/>
      </c>
      <c r="M371" s="34">
        <f>IF(OR(C371="",F371=""),"",IF(F371&lt;&gt;"Espèces","—",IF(I371&lt;&gt;"","☑ Oui","☐ Non")))</f>
        <v/>
      </c>
      <c r="N371" s="39">
        <f>IF(D371="","",IFERROR(VALUE(MID(D371,LEN(D371)-3,3)),""))</f>
        <v/>
      </c>
      <c r="O371" s="33">
        <f>IF(N371="","",L371&amp;"|"&amp;N371)</f>
        <v/>
      </c>
      <c r="P371" s="33">
        <f>IF(N371="","",IF(L371="À RENSEIGNER","GIC",L371)&amp;"-"&amp;TEXT(N371,"000"))</f>
        <v/>
      </c>
      <c r="Q371" s="33">
        <f>IF(O371="","",IFERROR(INDEX(Cl_nom,MATCH(O371,Cl_cle,0)),"(client introuvable)"))</f>
        <v/>
      </c>
      <c r="R371" s="40">
        <f>IF(O371="","",IFERROR(INDEX(Cl_reste,MATCH(O371,Cl_cle,0)),""))</f>
        <v/>
      </c>
      <c r="S371" s="34">
        <f>IF(C371="","",YEAR(C371-WEEKDAY(C371,2)+4)&amp;"-S"&amp;TEXT(INT((C371-DATE(YEAR(C371-WEEKDAY(C371,2)+4),1,3)+WEEKDAY(DATE(YEAR(C371-WEEKDAY(C371,2)+4),1,3),2)+5)/7),"00"))</f>
        <v/>
      </c>
    </row>
    <row r="372" ht="18" customHeight="1">
      <c r="A372" s="39" t="n">
        <v>367</v>
      </c>
      <c r="B372" s="33">
        <f>IF(C372="","",IF(L372="À RENSEIGNER","GIC",L372)&amp;"-E"&amp;TEXT(A372,"00000"))</f>
        <v/>
      </c>
      <c r="C372" s="32" t="n"/>
      <c r="D372" s="36" t="n"/>
      <c r="E372" s="37" t="n"/>
      <c r="F372" s="36" t="n"/>
      <c r="G372" s="44" t="n"/>
      <c r="H372" s="43" t="n"/>
      <c r="I372" s="32" t="n"/>
      <c r="J372" s="44" t="n"/>
      <c r="K372" s="36" t="n"/>
      <c r="L372" s="33">
        <f>IF(C372="","",Commercial_Id)</f>
        <v/>
      </c>
      <c r="M372" s="34">
        <f>IF(OR(C372="",F372=""),"",IF(F372&lt;&gt;"Espèces","—",IF(I372&lt;&gt;"","☑ Oui","☐ Non")))</f>
        <v/>
      </c>
      <c r="N372" s="39">
        <f>IF(D372="","",IFERROR(VALUE(MID(D372,LEN(D372)-3,3)),""))</f>
        <v/>
      </c>
      <c r="O372" s="33">
        <f>IF(N372="","",L372&amp;"|"&amp;N372)</f>
        <v/>
      </c>
      <c r="P372" s="33">
        <f>IF(N372="","",IF(L372="À RENSEIGNER","GIC",L372)&amp;"-"&amp;TEXT(N372,"000"))</f>
        <v/>
      </c>
      <c r="Q372" s="33">
        <f>IF(O372="","",IFERROR(INDEX(Cl_nom,MATCH(O372,Cl_cle,0)),"(client introuvable)"))</f>
        <v/>
      </c>
      <c r="R372" s="40">
        <f>IF(O372="","",IFERROR(INDEX(Cl_reste,MATCH(O372,Cl_cle,0)),""))</f>
        <v/>
      </c>
      <c r="S372" s="34">
        <f>IF(C372="","",YEAR(C372-WEEKDAY(C372,2)+4)&amp;"-S"&amp;TEXT(INT((C372-DATE(YEAR(C372-WEEKDAY(C372,2)+4),1,3)+WEEKDAY(DATE(YEAR(C372-WEEKDAY(C372,2)+4),1,3),2)+5)/7),"00"))</f>
        <v/>
      </c>
    </row>
    <row r="373" ht="18" customHeight="1">
      <c r="A373" s="39" t="n">
        <v>368</v>
      </c>
      <c r="B373" s="33">
        <f>IF(C373="","",IF(L373="À RENSEIGNER","GIC",L373)&amp;"-E"&amp;TEXT(A373,"00000"))</f>
        <v/>
      </c>
      <c r="C373" s="32" t="n"/>
      <c r="D373" s="36" t="n"/>
      <c r="E373" s="37" t="n"/>
      <c r="F373" s="36" t="n"/>
      <c r="G373" s="44" t="n"/>
      <c r="H373" s="43" t="n"/>
      <c r="I373" s="32" t="n"/>
      <c r="J373" s="44" t="n"/>
      <c r="K373" s="36" t="n"/>
      <c r="L373" s="33">
        <f>IF(C373="","",Commercial_Id)</f>
        <v/>
      </c>
      <c r="M373" s="34">
        <f>IF(OR(C373="",F373=""),"",IF(F373&lt;&gt;"Espèces","—",IF(I373&lt;&gt;"","☑ Oui","☐ Non")))</f>
        <v/>
      </c>
      <c r="N373" s="39">
        <f>IF(D373="","",IFERROR(VALUE(MID(D373,LEN(D373)-3,3)),""))</f>
        <v/>
      </c>
      <c r="O373" s="33">
        <f>IF(N373="","",L373&amp;"|"&amp;N373)</f>
        <v/>
      </c>
      <c r="P373" s="33">
        <f>IF(N373="","",IF(L373="À RENSEIGNER","GIC",L373)&amp;"-"&amp;TEXT(N373,"000"))</f>
        <v/>
      </c>
      <c r="Q373" s="33">
        <f>IF(O373="","",IFERROR(INDEX(Cl_nom,MATCH(O373,Cl_cle,0)),"(client introuvable)"))</f>
        <v/>
      </c>
      <c r="R373" s="40">
        <f>IF(O373="","",IFERROR(INDEX(Cl_reste,MATCH(O373,Cl_cle,0)),""))</f>
        <v/>
      </c>
      <c r="S373" s="34">
        <f>IF(C373="","",YEAR(C373-WEEKDAY(C373,2)+4)&amp;"-S"&amp;TEXT(INT((C373-DATE(YEAR(C373-WEEKDAY(C373,2)+4),1,3)+WEEKDAY(DATE(YEAR(C373-WEEKDAY(C373,2)+4),1,3),2)+5)/7),"00"))</f>
        <v/>
      </c>
    </row>
    <row r="374" ht="18" customHeight="1">
      <c r="A374" s="39" t="n">
        <v>369</v>
      </c>
      <c r="B374" s="33">
        <f>IF(C374="","",IF(L374="À RENSEIGNER","GIC",L374)&amp;"-E"&amp;TEXT(A374,"00000"))</f>
        <v/>
      </c>
      <c r="C374" s="32" t="n"/>
      <c r="D374" s="36" t="n"/>
      <c r="E374" s="37" t="n"/>
      <c r="F374" s="36" t="n"/>
      <c r="G374" s="44" t="n"/>
      <c r="H374" s="43" t="n"/>
      <c r="I374" s="32" t="n"/>
      <c r="J374" s="44" t="n"/>
      <c r="K374" s="36" t="n"/>
      <c r="L374" s="33">
        <f>IF(C374="","",Commercial_Id)</f>
        <v/>
      </c>
      <c r="M374" s="34">
        <f>IF(OR(C374="",F374=""),"",IF(F374&lt;&gt;"Espèces","—",IF(I374&lt;&gt;"","☑ Oui","☐ Non")))</f>
        <v/>
      </c>
      <c r="N374" s="39">
        <f>IF(D374="","",IFERROR(VALUE(MID(D374,LEN(D374)-3,3)),""))</f>
        <v/>
      </c>
      <c r="O374" s="33">
        <f>IF(N374="","",L374&amp;"|"&amp;N374)</f>
        <v/>
      </c>
      <c r="P374" s="33">
        <f>IF(N374="","",IF(L374="À RENSEIGNER","GIC",L374)&amp;"-"&amp;TEXT(N374,"000"))</f>
        <v/>
      </c>
      <c r="Q374" s="33">
        <f>IF(O374="","",IFERROR(INDEX(Cl_nom,MATCH(O374,Cl_cle,0)),"(client introuvable)"))</f>
        <v/>
      </c>
      <c r="R374" s="40">
        <f>IF(O374="","",IFERROR(INDEX(Cl_reste,MATCH(O374,Cl_cle,0)),""))</f>
        <v/>
      </c>
      <c r="S374" s="34">
        <f>IF(C374="","",YEAR(C374-WEEKDAY(C374,2)+4)&amp;"-S"&amp;TEXT(INT((C374-DATE(YEAR(C374-WEEKDAY(C374,2)+4),1,3)+WEEKDAY(DATE(YEAR(C374-WEEKDAY(C374,2)+4),1,3),2)+5)/7),"00"))</f>
        <v/>
      </c>
    </row>
    <row r="375" ht="18" customHeight="1">
      <c r="A375" s="39" t="n">
        <v>370</v>
      </c>
      <c r="B375" s="33">
        <f>IF(C375="","",IF(L375="À RENSEIGNER","GIC",L375)&amp;"-E"&amp;TEXT(A375,"00000"))</f>
        <v/>
      </c>
      <c r="C375" s="32" t="n"/>
      <c r="D375" s="36" t="n"/>
      <c r="E375" s="37" t="n"/>
      <c r="F375" s="36" t="n"/>
      <c r="G375" s="44" t="n"/>
      <c r="H375" s="43" t="n"/>
      <c r="I375" s="32" t="n"/>
      <c r="J375" s="44" t="n"/>
      <c r="K375" s="36" t="n"/>
      <c r="L375" s="33">
        <f>IF(C375="","",Commercial_Id)</f>
        <v/>
      </c>
      <c r="M375" s="34">
        <f>IF(OR(C375="",F375=""),"",IF(F375&lt;&gt;"Espèces","—",IF(I375&lt;&gt;"","☑ Oui","☐ Non")))</f>
        <v/>
      </c>
      <c r="N375" s="39">
        <f>IF(D375="","",IFERROR(VALUE(MID(D375,LEN(D375)-3,3)),""))</f>
        <v/>
      </c>
      <c r="O375" s="33">
        <f>IF(N375="","",L375&amp;"|"&amp;N375)</f>
        <v/>
      </c>
      <c r="P375" s="33">
        <f>IF(N375="","",IF(L375="À RENSEIGNER","GIC",L375)&amp;"-"&amp;TEXT(N375,"000"))</f>
        <v/>
      </c>
      <c r="Q375" s="33">
        <f>IF(O375="","",IFERROR(INDEX(Cl_nom,MATCH(O375,Cl_cle,0)),"(client introuvable)"))</f>
        <v/>
      </c>
      <c r="R375" s="40">
        <f>IF(O375="","",IFERROR(INDEX(Cl_reste,MATCH(O375,Cl_cle,0)),""))</f>
        <v/>
      </c>
      <c r="S375" s="34">
        <f>IF(C375="","",YEAR(C375-WEEKDAY(C375,2)+4)&amp;"-S"&amp;TEXT(INT((C375-DATE(YEAR(C375-WEEKDAY(C375,2)+4),1,3)+WEEKDAY(DATE(YEAR(C375-WEEKDAY(C375,2)+4),1,3),2)+5)/7),"00"))</f>
        <v/>
      </c>
    </row>
    <row r="376" ht="18" customHeight="1">
      <c r="A376" s="39" t="n">
        <v>371</v>
      </c>
      <c r="B376" s="33">
        <f>IF(C376="","",IF(L376="À RENSEIGNER","GIC",L376)&amp;"-E"&amp;TEXT(A376,"00000"))</f>
        <v/>
      </c>
      <c r="C376" s="32" t="n"/>
      <c r="D376" s="36" t="n"/>
      <c r="E376" s="37" t="n"/>
      <c r="F376" s="36" t="n"/>
      <c r="G376" s="44" t="n"/>
      <c r="H376" s="43" t="n"/>
      <c r="I376" s="32" t="n"/>
      <c r="J376" s="44" t="n"/>
      <c r="K376" s="36" t="n"/>
      <c r="L376" s="33">
        <f>IF(C376="","",Commercial_Id)</f>
        <v/>
      </c>
      <c r="M376" s="34">
        <f>IF(OR(C376="",F376=""),"",IF(F376&lt;&gt;"Espèces","—",IF(I376&lt;&gt;"","☑ Oui","☐ Non")))</f>
        <v/>
      </c>
      <c r="N376" s="39">
        <f>IF(D376="","",IFERROR(VALUE(MID(D376,LEN(D376)-3,3)),""))</f>
        <v/>
      </c>
      <c r="O376" s="33">
        <f>IF(N376="","",L376&amp;"|"&amp;N376)</f>
        <v/>
      </c>
      <c r="P376" s="33">
        <f>IF(N376="","",IF(L376="À RENSEIGNER","GIC",L376)&amp;"-"&amp;TEXT(N376,"000"))</f>
        <v/>
      </c>
      <c r="Q376" s="33">
        <f>IF(O376="","",IFERROR(INDEX(Cl_nom,MATCH(O376,Cl_cle,0)),"(client introuvable)"))</f>
        <v/>
      </c>
      <c r="R376" s="40">
        <f>IF(O376="","",IFERROR(INDEX(Cl_reste,MATCH(O376,Cl_cle,0)),""))</f>
        <v/>
      </c>
      <c r="S376" s="34">
        <f>IF(C376="","",YEAR(C376-WEEKDAY(C376,2)+4)&amp;"-S"&amp;TEXT(INT((C376-DATE(YEAR(C376-WEEKDAY(C376,2)+4),1,3)+WEEKDAY(DATE(YEAR(C376-WEEKDAY(C376,2)+4),1,3),2)+5)/7),"00"))</f>
        <v/>
      </c>
    </row>
    <row r="377" ht="18" customHeight="1">
      <c r="A377" s="39" t="n">
        <v>372</v>
      </c>
      <c r="B377" s="33">
        <f>IF(C377="","",IF(L377="À RENSEIGNER","GIC",L377)&amp;"-E"&amp;TEXT(A377,"00000"))</f>
        <v/>
      </c>
      <c r="C377" s="32" t="n"/>
      <c r="D377" s="36" t="n"/>
      <c r="E377" s="37" t="n"/>
      <c r="F377" s="36" t="n"/>
      <c r="G377" s="44" t="n"/>
      <c r="H377" s="43" t="n"/>
      <c r="I377" s="32" t="n"/>
      <c r="J377" s="44" t="n"/>
      <c r="K377" s="36" t="n"/>
      <c r="L377" s="33">
        <f>IF(C377="","",Commercial_Id)</f>
        <v/>
      </c>
      <c r="M377" s="34">
        <f>IF(OR(C377="",F377=""),"",IF(F377&lt;&gt;"Espèces","—",IF(I377&lt;&gt;"","☑ Oui","☐ Non")))</f>
        <v/>
      </c>
      <c r="N377" s="39">
        <f>IF(D377="","",IFERROR(VALUE(MID(D377,LEN(D377)-3,3)),""))</f>
        <v/>
      </c>
      <c r="O377" s="33">
        <f>IF(N377="","",L377&amp;"|"&amp;N377)</f>
        <v/>
      </c>
      <c r="P377" s="33">
        <f>IF(N377="","",IF(L377="À RENSEIGNER","GIC",L377)&amp;"-"&amp;TEXT(N377,"000"))</f>
        <v/>
      </c>
      <c r="Q377" s="33">
        <f>IF(O377="","",IFERROR(INDEX(Cl_nom,MATCH(O377,Cl_cle,0)),"(client introuvable)"))</f>
        <v/>
      </c>
      <c r="R377" s="40">
        <f>IF(O377="","",IFERROR(INDEX(Cl_reste,MATCH(O377,Cl_cle,0)),""))</f>
        <v/>
      </c>
      <c r="S377" s="34">
        <f>IF(C377="","",YEAR(C377-WEEKDAY(C377,2)+4)&amp;"-S"&amp;TEXT(INT((C377-DATE(YEAR(C377-WEEKDAY(C377,2)+4),1,3)+WEEKDAY(DATE(YEAR(C377-WEEKDAY(C377,2)+4),1,3),2)+5)/7),"00"))</f>
        <v/>
      </c>
    </row>
    <row r="378" ht="18" customHeight="1">
      <c r="A378" s="39" t="n">
        <v>373</v>
      </c>
      <c r="B378" s="33">
        <f>IF(C378="","",IF(L378="À RENSEIGNER","GIC",L378)&amp;"-E"&amp;TEXT(A378,"00000"))</f>
        <v/>
      </c>
      <c r="C378" s="32" t="n"/>
      <c r="D378" s="36" t="n"/>
      <c r="E378" s="37" t="n"/>
      <c r="F378" s="36" t="n"/>
      <c r="G378" s="44" t="n"/>
      <c r="H378" s="43" t="n"/>
      <c r="I378" s="32" t="n"/>
      <c r="J378" s="44" t="n"/>
      <c r="K378" s="36" t="n"/>
      <c r="L378" s="33">
        <f>IF(C378="","",Commercial_Id)</f>
        <v/>
      </c>
      <c r="M378" s="34">
        <f>IF(OR(C378="",F378=""),"",IF(F378&lt;&gt;"Espèces","—",IF(I378&lt;&gt;"","☑ Oui","☐ Non")))</f>
        <v/>
      </c>
      <c r="N378" s="39">
        <f>IF(D378="","",IFERROR(VALUE(MID(D378,LEN(D378)-3,3)),""))</f>
        <v/>
      </c>
      <c r="O378" s="33">
        <f>IF(N378="","",L378&amp;"|"&amp;N378)</f>
        <v/>
      </c>
      <c r="P378" s="33">
        <f>IF(N378="","",IF(L378="À RENSEIGNER","GIC",L378)&amp;"-"&amp;TEXT(N378,"000"))</f>
        <v/>
      </c>
      <c r="Q378" s="33">
        <f>IF(O378="","",IFERROR(INDEX(Cl_nom,MATCH(O378,Cl_cle,0)),"(client introuvable)"))</f>
        <v/>
      </c>
      <c r="R378" s="40">
        <f>IF(O378="","",IFERROR(INDEX(Cl_reste,MATCH(O378,Cl_cle,0)),""))</f>
        <v/>
      </c>
      <c r="S378" s="34">
        <f>IF(C378="","",YEAR(C378-WEEKDAY(C378,2)+4)&amp;"-S"&amp;TEXT(INT((C378-DATE(YEAR(C378-WEEKDAY(C378,2)+4),1,3)+WEEKDAY(DATE(YEAR(C378-WEEKDAY(C378,2)+4),1,3),2)+5)/7),"00"))</f>
        <v/>
      </c>
    </row>
    <row r="379" ht="18" customHeight="1">
      <c r="A379" s="39" t="n">
        <v>374</v>
      </c>
      <c r="B379" s="33">
        <f>IF(C379="","",IF(L379="À RENSEIGNER","GIC",L379)&amp;"-E"&amp;TEXT(A379,"00000"))</f>
        <v/>
      </c>
      <c r="C379" s="32" t="n"/>
      <c r="D379" s="36" t="n"/>
      <c r="E379" s="37" t="n"/>
      <c r="F379" s="36" t="n"/>
      <c r="G379" s="44" t="n"/>
      <c r="H379" s="43" t="n"/>
      <c r="I379" s="32" t="n"/>
      <c r="J379" s="44" t="n"/>
      <c r="K379" s="36" t="n"/>
      <c r="L379" s="33">
        <f>IF(C379="","",Commercial_Id)</f>
        <v/>
      </c>
      <c r="M379" s="34">
        <f>IF(OR(C379="",F379=""),"",IF(F379&lt;&gt;"Espèces","—",IF(I379&lt;&gt;"","☑ Oui","☐ Non")))</f>
        <v/>
      </c>
      <c r="N379" s="39">
        <f>IF(D379="","",IFERROR(VALUE(MID(D379,LEN(D379)-3,3)),""))</f>
        <v/>
      </c>
      <c r="O379" s="33">
        <f>IF(N379="","",L379&amp;"|"&amp;N379)</f>
        <v/>
      </c>
      <c r="P379" s="33">
        <f>IF(N379="","",IF(L379="À RENSEIGNER","GIC",L379)&amp;"-"&amp;TEXT(N379,"000"))</f>
        <v/>
      </c>
      <c r="Q379" s="33">
        <f>IF(O379="","",IFERROR(INDEX(Cl_nom,MATCH(O379,Cl_cle,0)),"(client introuvable)"))</f>
        <v/>
      </c>
      <c r="R379" s="40">
        <f>IF(O379="","",IFERROR(INDEX(Cl_reste,MATCH(O379,Cl_cle,0)),""))</f>
        <v/>
      </c>
      <c r="S379" s="34">
        <f>IF(C379="","",YEAR(C379-WEEKDAY(C379,2)+4)&amp;"-S"&amp;TEXT(INT((C379-DATE(YEAR(C379-WEEKDAY(C379,2)+4),1,3)+WEEKDAY(DATE(YEAR(C379-WEEKDAY(C379,2)+4),1,3),2)+5)/7),"00"))</f>
        <v/>
      </c>
    </row>
    <row r="380" ht="18" customHeight="1">
      <c r="A380" s="39" t="n">
        <v>375</v>
      </c>
      <c r="B380" s="33">
        <f>IF(C380="","",IF(L380="À RENSEIGNER","GIC",L380)&amp;"-E"&amp;TEXT(A380,"00000"))</f>
        <v/>
      </c>
      <c r="C380" s="32" t="n"/>
      <c r="D380" s="36" t="n"/>
      <c r="E380" s="37" t="n"/>
      <c r="F380" s="36" t="n"/>
      <c r="G380" s="44" t="n"/>
      <c r="H380" s="43" t="n"/>
      <c r="I380" s="32" t="n"/>
      <c r="J380" s="44" t="n"/>
      <c r="K380" s="36" t="n"/>
      <c r="L380" s="33">
        <f>IF(C380="","",Commercial_Id)</f>
        <v/>
      </c>
      <c r="M380" s="34">
        <f>IF(OR(C380="",F380=""),"",IF(F380&lt;&gt;"Espèces","—",IF(I380&lt;&gt;"","☑ Oui","☐ Non")))</f>
        <v/>
      </c>
      <c r="N380" s="39">
        <f>IF(D380="","",IFERROR(VALUE(MID(D380,LEN(D380)-3,3)),""))</f>
        <v/>
      </c>
      <c r="O380" s="33">
        <f>IF(N380="","",L380&amp;"|"&amp;N380)</f>
        <v/>
      </c>
      <c r="P380" s="33">
        <f>IF(N380="","",IF(L380="À RENSEIGNER","GIC",L380)&amp;"-"&amp;TEXT(N380,"000"))</f>
        <v/>
      </c>
      <c r="Q380" s="33">
        <f>IF(O380="","",IFERROR(INDEX(Cl_nom,MATCH(O380,Cl_cle,0)),"(client introuvable)"))</f>
        <v/>
      </c>
      <c r="R380" s="40">
        <f>IF(O380="","",IFERROR(INDEX(Cl_reste,MATCH(O380,Cl_cle,0)),""))</f>
        <v/>
      </c>
      <c r="S380" s="34">
        <f>IF(C380="","",YEAR(C380-WEEKDAY(C380,2)+4)&amp;"-S"&amp;TEXT(INT((C380-DATE(YEAR(C380-WEEKDAY(C380,2)+4),1,3)+WEEKDAY(DATE(YEAR(C380-WEEKDAY(C380,2)+4),1,3),2)+5)/7),"00"))</f>
        <v/>
      </c>
    </row>
    <row r="381" ht="18" customHeight="1">
      <c r="A381" s="39" t="n">
        <v>376</v>
      </c>
      <c r="B381" s="33">
        <f>IF(C381="","",IF(L381="À RENSEIGNER","GIC",L381)&amp;"-E"&amp;TEXT(A381,"00000"))</f>
        <v/>
      </c>
      <c r="C381" s="32" t="n"/>
      <c r="D381" s="36" t="n"/>
      <c r="E381" s="37" t="n"/>
      <c r="F381" s="36" t="n"/>
      <c r="G381" s="44" t="n"/>
      <c r="H381" s="43" t="n"/>
      <c r="I381" s="32" t="n"/>
      <c r="J381" s="44" t="n"/>
      <c r="K381" s="36" t="n"/>
      <c r="L381" s="33">
        <f>IF(C381="","",Commercial_Id)</f>
        <v/>
      </c>
      <c r="M381" s="34">
        <f>IF(OR(C381="",F381=""),"",IF(F381&lt;&gt;"Espèces","—",IF(I381&lt;&gt;"","☑ Oui","☐ Non")))</f>
        <v/>
      </c>
      <c r="N381" s="39">
        <f>IF(D381="","",IFERROR(VALUE(MID(D381,LEN(D381)-3,3)),""))</f>
        <v/>
      </c>
      <c r="O381" s="33">
        <f>IF(N381="","",L381&amp;"|"&amp;N381)</f>
        <v/>
      </c>
      <c r="P381" s="33">
        <f>IF(N381="","",IF(L381="À RENSEIGNER","GIC",L381)&amp;"-"&amp;TEXT(N381,"000"))</f>
        <v/>
      </c>
      <c r="Q381" s="33">
        <f>IF(O381="","",IFERROR(INDEX(Cl_nom,MATCH(O381,Cl_cle,0)),"(client introuvable)"))</f>
        <v/>
      </c>
      <c r="R381" s="40">
        <f>IF(O381="","",IFERROR(INDEX(Cl_reste,MATCH(O381,Cl_cle,0)),""))</f>
        <v/>
      </c>
      <c r="S381" s="34">
        <f>IF(C381="","",YEAR(C381-WEEKDAY(C381,2)+4)&amp;"-S"&amp;TEXT(INT((C381-DATE(YEAR(C381-WEEKDAY(C381,2)+4),1,3)+WEEKDAY(DATE(YEAR(C381-WEEKDAY(C381,2)+4),1,3),2)+5)/7),"00"))</f>
        <v/>
      </c>
    </row>
    <row r="382" ht="18" customHeight="1">
      <c r="A382" s="39" t="n">
        <v>377</v>
      </c>
      <c r="B382" s="33">
        <f>IF(C382="","",IF(L382="À RENSEIGNER","GIC",L382)&amp;"-E"&amp;TEXT(A382,"00000"))</f>
        <v/>
      </c>
      <c r="C382" s="32" t="n"/>
      <c r="D382" s="36" t="n"/>
      <c r="E382" s="37" t="n"/>
      <c r="F382" s="36" t="n"/>
      <c r="G382" s="44" t="n"/>
      <c r="H382" s="43" t="n"/>
      <c r="I382" s="32" t="n"/>
      <c r="J382" s="44" t="n"/>
      <c r="K382" s="36" t="n"/>
      <c r="L382" s="33">
        <f>IF(C382="","",Commercial_Id)</f>
        <v/>
      </c>
      <c r="M382" s="34">
        <f>IF(OR(C382="",F382=""),"",IF(F382&lt;&gt;"Espèces","—",IF(I382&lt;&gt;"","☑ Oui","☐ Non")))</f>
        <v/>
      </c>
      <c r="N382" s="39">
        <f>IF(D382="","",IFERROR(VALUE(MID(D382,LEN(D382)-3,3)),""))</f>
        <v/>
      </c>
      <c r="O382" s="33">
        <f>IF(N382="","",L382&amp;"|"&amp;N382)</f>
        <v/>
      </c>
      <c r="P382" s="33">
        <f>IF(N382="","",IF(L382="À RENSEIGNER","GIC",L382)&amp;"-"&amp;TEXT(N382,"000"))</f>
        <v/>
      </c>
      <c r="Q382" s="33">
        <f>IF(O382="","",IFERROR(INDEX(Cl_nom,MATCH(O382,Cl_cle,0)),"(client introuvable)"))</f>
        <v/>
      </c>
      <c r="R382" s="40">
        <f>IF(O382="","",IFERROR(INDEX(Cl_reste,MATCH(O382,Cl_cle,0)),""))</f>
        <v/>
      </c>
      <c r="S382" s="34">
        <f>IF(C382="","",YEAR(C382-WEEKDAY(C382,2)+4)&amp;"-S"&amp;TEXT(INT((C382-DATE(YEAR(C382-WEEKDAY(C382,2)+4),1,3)+WEEKDAY(DATE(YEAR(C382-WEEKDAY(C382,2)+4),1,3),2)+5)/7),"00"))</f>
        <v/>
      </c>
    </row>
    <row r="383" ht="18" customHeight="1">
      <c r="A383" s="39" t="n">
        <v>378</v>
      </c>
      <c r="B383" s="33">
        <f>IF(C383="","",IF(L383="À RENSEIGNER","GIC",L383)&amp;"-E"&amp;TEXT(A383,"00000"))</f>
        <v/>
      </c>
      <c r="C383" s="32" t="n"/>
      <c r="D383" s="36" t="n"/>
      <c r="E383" s="37" t="n"/>
      <c r="F383" s="36" t="n"/>
      <c r="G383" s="44" t="n"/>
      <c r="H383" s="43" t="n"/>
      <c r="I383" s="32" t="n"/>
      <c r="J383" s="44" t="n"/>
      <c r="K383" s="36" t="n"/>
      <c r="L383" s="33">
        <f>IF(C383="","",Commercial_Id)</f>
        <v/>
      </c>
      <c r="M383" s="34">
        <f>IF(OR(C383="",F383=""),"",IF(F383&lt;&gt;"Espèces","—",IF(I383&lt;&gt;"","☑ Oui","☐ Non")))</f>
        <v/>
      </c>
      <c r="N383" s="39">
        <f>IF(D383="","",IFERROR(VALUE(MID(D383,LEN(D383)-3,3)),""))</f>
        <v/>
      </c>
      <c r="O383" s="33">
        <f>IF(N383="","",L383&amp;"|"&amp;N383)</f>
        <v/>
      </c>
      <c r="P383" s="33">
        <f>IF(N383="","",IF(L383="À RENSEIGNER","GIC",L383)&amp;"-"&amp;TEXT(N383,"000"))</f>
        <v/>
      </c>
      <c r="Q383" s="33">
        <f>IF(O383="","",IFERROR(INDEX(Cl_nom,MATCH(O383,Cl_cle,0)),"(client introuvable)"))</f>
        <v/>
      </c>
      <c r="R383" s="40">
        <f>IF(O383="","",IFERROR(INDEX(Cl_reste,MATCH(O383,Cl_cle,0)),""))</f>
        <v/>
      </c>
      <c r="S383" s="34">
        <f>IF(C383="","",YEAR(C383-WEEKDAY(C383,2)+4)&amp;"-S"&amp;TEXT(INT((C383-DATE(YEAR(C383-WEEKDAY(C383,2)+4),1,3)+WEEKDAY(DATE(YEAR(C383-WEEKDAY(C383,2)+4),1,3),2)+5)/7),"00"))</f>
        <v/>
      </c>
    </row>
    <row r="384" ht="18" customHeight="1">
      <c r="A384" s="39" t="n">
        <v>379</v>
      </c>
      <c r="B384" s="33">
        <f>IF(C384="","",IF(L384="À RENSEIGNER","GIC",L384)&amp;"-E"&amp;TEXT(A384,"00000"))</f>
        <v/>
      </c>
      <c r="C384" s="32" t="n"/>
      <c r="D384" s="36" t="n"/>
      <c r="E384" s="37" t="n"/>
      <c r="F384" s="36" t="n"/>
      <c r="G384" s="44" t="n"/>
      <c r="H384" s="43" t="n"/>
      <c r="I384" s="32" t="n"/>
      <c r="J384" s="44" t="n"/>
      <c r="K384" s="36" t="n"/>
      <c r="L384" s="33">
        <f>IF(C384="","",Commercial_Id)</f>
        <v/>
      </c>
      <c r="M384" s="34">
        <f>IF(OR(C384="",F384=""),"",IF(F384&lt;&gt;"Espèces","—",IF(I384&lt;&gt;"","☑ Oui","☐ Non")))</f>
        <v/>
      </c>
      <c r="N384" s="39">
        <f>IF(D384="","",IFERROR(VALUE(MID(D384,LEN(D384)-3,3)),""))</f>
        <v/>
      </c>
      <c r="O384" s="33">
        <f>IF(N384="","",L384&amp;"|"&amp;N384)</f>
        <v/>
      </c>
      <c r="P384" s="33">
        <f>IF(N384="","",IF(L384="À RENSEIGNER","GIC",L384)&amp;"-"&amp;TEXT(N384,"000"))</f>
        <v/>
      </c>
      <c r="Q384" s="33">
        <f>IF(O384="","",IFERROR(INDEX(Cl_nom,MATCH(O384,Cl_cle,0)),"(client introuvable)"))</f>
        <v/>
      </c>
      <c r="R384" s="40">
        <f>IF(O384="","",IFERROR(INDEX(Cl_reste,MATCH(O384,Cl_cle,0)),""))</f>
        <v/>
      </c>
      <c r="S384" s="34">
        <f>IF(C384="","",YEAR(C384-WEEKDAY(C384,2)+4)&amp;"-S"&amp;TEXT(INT((C384-DATE(YEAR(C384-WEEKDAY(C384,2)+4),1,3)+WEEKDAY(DATE(YEAR(C384-WEEKDAY(C384,2)+4),1,3),2)+5)/7),"00"))</f>
        <v/>
      </c>
    </row>
    <row r="385" ht="18" customHeight="1">
      <c r="A385" s="39" t="n">
        <v>380</v>
      </c>
      <c r="B385" s="33">
        <f>IF(C385="","",IF(L385="À RENSEIGNER","GIC",L385)&amp;"-E"&amp;TEXT(A385,"00000"))</f>
        <v/>
      </c>
      <c r="C385" s="32" t="n"/>
      <c r="D385" s="36" t="n"/>
      <c r="E385" s="37" t="n"/>
      <c r="F385" s="36" t="n"/>
      <c r="G385" s="44" t="n"/>
      <c r="H385" s="43" t="n"/>
      <c r="I385" s="32" t="n"/>
      <c r="J385" s="44" t="n"/>
      <c r="K385" s="36" t="n"/>
      <c r="L385" s="33">
        <f>IF(C385="","",Commercial_Id)</f>
        <v/>
      </c>
      <c r="M385" s="34">
        <f>IF(OR(C385="",F385=""),"",IF(F385&lt;&gt;"Espèces","—",IF(I385&lt;&gt;"","☑ Oui","☐ Non")))</f>
        <v/>
      </c>
      <c r="N385" s="39">
        <f>IF(D385="","",IFERROR(VALUE(MID(D385,LEN(D385)-3,3)),""))</f>
        <v/>
      </c>
      <c r="O385" s="33">
        <f>IF(N385="","",L385&amp;"|"&amp;N385)</f>
        <v/>
      </c>
      <c r="P385" s="33">
        <f>IF(N385="","",IF(L385="À RENSEIGNER","GIC",L385)&amp;"-"&amp;TEXT(N385,"000"))</f>
        <v/>
      </c>
      <c r="Q385" s="33">
        <f>IF(O385="","",IFERROR(INDEX(Cl_nom,MATCH(O385,Cl_cle,0)),"(client introuvable)"))</f>
        <v/>
      </c>
      <c r="R385" s="40">
        <f>IF(O385="","",IFERROR(INDEX(Cl_reste,MATCH(O385,Cl_cle,0)),""))</f>
        <v/>
      </c>
      <c r="S385" s="34">
        <f>IF(C385="","",YEAR(C385-WEEKDAY(C385,2)+4)&amp;"-S"&amp;TEXT(INT((C385-DATE(YEAR(C385-WEEKDAY(C385,2)+4),1,3)+WEEKDAY(DATE(YEAR(C385-WEEKDAY(C385,2)+4),1,3),2)+5)/7),"00"))</f>
        <v/>
      </c>
    </row>
    <row r="386" ht="18" customHeight="1">
      <c r="A386" s="39" t="n">
        <v>381</v>
      </c>
      <c r="B386" s="33">
        <f>IF(C386="","",IF(L386="À RENSEIGNER","GIC",L386)&amp;"-E"&amp;TEXT(A386,"00000"))</f>
        <v/>
      </c>
      <c r="C386" s="32" t="n"/>
      <c r="D386" s="36" t="n"/>
      <c r="E386" s="37" t="n"/>
      <c r="F386" s="36" t="n"/>
      <c r="G386" s="44" t="n"/>
      <c r="H386" s="43" t="n"/>
      <c r="I386" s="32" t="n"/>
      <c r="J386" s="44" t="n"/>
      <c r="K386" s="36" t="n"/>
      <c r="L386" s="33">
        <f>IF(C386="","",Commercial_Id)</f>
        <v/>
      </c>
      <c r="M386" s="34">
        <f>IF(OR(C386="",F386=""),"",IF(F386&lt;&gt;"Espèces","—",IF(I386&lt;&gt;"","☑ Oui","☐ Non")))</f>
        <v/>
      </c>
      <c r="N386" s="39">
        <f>IF(D386="","",IFERROR(VALUE(MID(D386,LEN(D386)-3,3)),""))</f>
        <v/>
      </c>
      <c r="O386" s="33">
        <f>IF(N386="","",L386&amp;"|"&amp;N386)</f>
        <v/>
      </c>
      <c r="P386" s="33">
        <f>IF(N386="","",IF(L386="À RENSEIGNER","GIC",L386)&amp;"-"&amp;TEXT(N386,"000"))</f>
        <v/>
      </c>
      <c r="Q386" s="33">
        <f>IF(O386="","",IFERROR(INDEX(Cl_nom,MATCH(O386,Cl_cle,0)),"(client introuvable)"))</f>
        <v/>
      </c>
      <c r="R386" s="40">
        <f>IF(O386="","",IFERROR(INDEX(Cl_reste,MATCH(O386,Cl_cle,0)),""))</f>
        <v/>
      </c>
      <c r="S386" s="34">
        <f>IF(C386="","",YEAR(C386-WEEKDAY(C386,2)+4)&amp;"-S"&amp;TEXT(INT((C386-DATE(YEAR(C386-WEEKDAY(C386,2)+4),1,3)+WEEKDAY(DATE(YEAR(C386-WEEKDAY(C386,2)+4),1,3),2)+5)/7),"00"))</f>
        <v/>
      </c>
    </row>
    <row r="387" ht="18" customHeight="1">
      <c r="A387" s="39" t="n">
        <v>382</v>
      </c>
      <c r="B387" s="33">
        <f>IF(C387="","",IF(L387="À RENSEIGNER","GIC",L387)&amp;"-E"&amp;TEXT(A387,"00000"))</f>
        <v/>
      </c>
      <c r="C387" s="32" t="n"/>
      <c r="D387" s="36" t="n"/>
      <c r="E387" s="37" t="n"/>
      <c r="F387" s="36" t="n"/>
      <c r="G387" s="44" t="n"/>
      <c r="H387" s="43" t="n"/>
      <c r="I387" s="32" t="n"/>
      <c r="J387" s="44" t="n"/>
      <c r="K387" s="36" t="n"/>
      <c r="L387" s="33">
        <f>IF(C387="","",Commercial_Id)</f>
        <v/>
      </c>
      <c r="M387" s="34">
        <f>IF(OR(C387="",F387=""),"",IF(F387&lt;&gt;"Espèces","—",IF(I387&lt;&gt;"","☑ Oui","☐ Non")))</f>
        <v/>
      </c>
      <c r="N387" s="39">
        <f>IF(D387="","",IFERROR(VALUE(MID(D387,LEN(D387)-3,3)),""))</f>
        <v/>
      </c>
      <c r="O387" s="33">
        <f>IF(N387="","",L387&amp;"|"&amp;N387)</f>
        <v/>
      </c>
      <c r="P387" s="33">
        <f>IF(N387="","",IF(L387="À RENSEIGNER","GIC",L387)&amp;"-"&amp;TEXT(N387,"000"))</f>
        <v/>
      </c>
      <c r="Q387" s="33">
        <f>IF(O387="","",IFERROR(INDEX(Cl_nom,MATCH(O387,Cl_cle,0)),"(client introuvable)"))</f>
        <v/>
      </c>
      <c r="R387" s="40">
        <f>IF(O387="","",IFERROR(INDEX(Cl_reste,MATCH(O387,Cl_cle,0)),""))</f>
        <v/>
      </c>
      <c r="S387" s="34">
        <f>IF(C387="","",YEAR(C387-WEEKDAY(C387,2)+4)&amp;"-S"&amp;TEXT(INT((C387-DATE(YEAR(C387-WEEKDAY(C387,2)+4),1,3)+WEEKDAY(DATE(YEAR(C387-WEEKDAY(C387,2)+4),1,3),2)+5)/7),"00"))</f>
        <v/>
      </c>
    </row>
    <row r="388" ht="18" customHeight="1">
      <c r="A388" s="39" t="n">
        <v>383</v>
      </c>
      <c r="B388" s="33">
        <f>IF(C388="","",IF(L388="À RENSEIGNER","GIC",L388)&amp;"-E"&amp;TEXT(A388,"00000"))</f>
        <v/>
      </c>
      <c r="C388" s="32" t="n"/>
      <c r="D388" s="36" t="n"/>
      <c r="E388" s="37" t="n"/>
      <c r="F388" s="36" t="n"/>
      <c r="G388" s="44" t="n"/>
      <c r="H388" s="43" t="n"/>
      <c r="I388" s="32" t="n"/>
      <c r="J388" s="44" t="n"/>
      <c r="K388" s="36" t="n"/>
      <c r="L388" s="33">
        <f>IF(C388="","",Commercial_Id)</f>
        <v/>
      </c>
      <c r="M388" s="34">
        <f>IF(OR(C388="",F388=""),"",IF(F388&lt;&gt;"Espèces","—",IF(I388&lt;&gt;"","☑ Oui","☐ Non")))</f>
        <v/>
      </c>
      <c r="N388" s="39">
        <f>IF(D388="","",IFERROR(VALUE(MID(D388,LEN(D388)-3,3)),""))</f>
        <v/>
      </c>
      <c r="O388" s="33">
        <f>IF(N388="","",L388&amp;"|"&amp;N388)</f>
        <v/>
      </c>
      <c r="P388" s="33">
        <f>IF(N388="","",IF(L388="À RENSEIGNER","GIC",L388)&amp;"-"&amp;TEXT(N388,"000"))</f>
        <v/>
      </c>
      <c r="Q388" s="33">
        <f>IF(O388="","",IFERROR(INDEX(Cl_nom,MATCH(O388,Cl_cle,0)),"(client introuvable)"))</f>
        <v/>
      </c>
      <c r="R388" s="40">
        <f>IF(O388="","",IFERROR(INDEX(Cl_reste,MATCH(O388,Cl_cle,0)),""))</f>
        <v/>
      </c>
      <c r="S388" s="34">
        <f>IF(C388="","",YEAR(C388-WEEKDAY(C388,2)+4)&amp;"-S"&amp;TEXT(INT((C388-DATE(YEAR(C388-WEEKDAY(C388,2)+4),1,3)+WEEKDAY(DATE(YEAR(C388-WEEKDAY(C388,2)+4),1,3),2)+5)/7),"00"))</f>
        <v/>
      </c>
    </row>
    <row r="389" ht="18" customHeight="1">
      <c r="A389" s="39" t="n">
        <v>384</v>
      </c>
      <c r="B389" s="33">
        <f>IF(C389="","",IF(L389="À RENSEIGNER","GIC",L389)&amp;"-E"&amp;TEXT(A389,"00000"))</f>
        <v/>
      </c>
      <c r="C389" s="32" t="n"/>
      <c r="D389" s="36" t="n"/>
      <c r="E389" s="37" t="n"/>
      <c r="F389" s="36" t="n"/>
      <c r="G389" s="44" t="n"/>
      <c r="H389" s="43" t="n"/>
      <c r="I389" s="32" t="n"/>
      <c r="J389" s="44" t="n"/>
      <c r="K389" s="36" t="n"/>
      <c r="L389" s="33">
        <f>IF(C389="","",Commercial_Id)</f>
        <v/>
      </c>
      <c r="M389" s="34">
        <f>IF(OR(C389="",F389=""),"",IF(F389&lt;&gt;"Espèces","—",IF(I389&lt;&gt;"","☑ Oui","☐ Non")))</f>
        <v/>
      </c>
      <c r="N389" s="39">
        <f>IF(D389="","",IFERROR(VALUE(MID(D389,LEN(D389)-3,3)),""))</f>
        <v/>
      </c>
      <c r="O389" s="33">
        <f>IF(N389="","",L389&amp;"|"&amp;N389)</f>
        <v/>
      </c>
      <c r="P389" s="33">
        <f>IF(N389="","",IF(L389="À RENSEIGNER","GIC",L389)&amp;"-"&amp;TEXT(N389,"000"))</f>
        <v/>
      </c>
      <c r="Q389" s="33">
        <f>IF(O389="","",IFERROR(INDEX(Cl_nom,MATCH(O389,Cl_cle,0)),"(client introuvable)"))</f>
        <v/>
      </c>
      <c r="R389" s="40">
        <f>IF(O389="","",IFERROR(INDEX(Cl_reste,MATCH(O389,Cl_cle,0)),""))</f>
        <v/>
      </c>
      <c r="S389" s="34">
        <f>IF(C389="","",YEAR(C389-WEEKDAY(C389,2)+4)&amp;"-S"&amp;TEXT(INT((C389-DATE(YEAR(C389-WEEKDAY(C389,2)+4),1,3)+WEEKDAY(DATE(YEAR(C389-WEEKDAY(C389,2)+4),1,3),2)+5)/7),"00"))</f>
        <v/>
      </c>
    </row>
    <row r="390" ht="18" customHeight="1">
      <c r="A390" s="39" t="n">
        <v>385</v>
      </c>
      <c r="B390" s="33">
        <f>IF(C390="","",IF(L390="À RENSEIGNER","GIC",L390)&amp;"-E"&amp;TEXT(A390,"00000"))</f>
        <v/>
      </c>
      <c r="C390" s="32" t="n"/>
      <c r="D390" s="36" t="n"/>
      <c r="E390" s="37" t="n"/>
      <c r="F390" s="36" t="n"/>
      <c r="G390" s="44" t="n"/>
      <c r="H390" s="43" t="n"/>
      <c r="I390" s="32" t="n"/>
      <c r="J390" s="44" t="n"/>
      <c r="K390" s="36" t="n"/>
      <c r="L390" s="33">
        <f>IF(C390="","",Commercial_Id)</f>
        <v/>
      </c>
      <c r="M390" s="34">
        <f>IF(OR(C390="",F390=""),"",IF(F390&lt;&gt;"Espèces","—",IF(I390&lt;&gt;"","☑ Oui","☐ Non")))</f>
        <v/>
      </c>
      <c r="N390" s="39">
        <f>IF(D390="","",IFERROR(VALUE(MID(D390,LEN(D390)-3,3)),""))</f>
        <v/>
      </c>
      <c r="O390" s="33">
        <f>IF(N390="","",L390&amp;"|"&amp;N390)</f>
        <v/>
      </c>
      <c r="P390" s="33">
        <f>IF(N390="","",IF(L390="À RENSEIGNER","GIC",L390)&amp;"-"&amp;TEXT(N390,"000"))</f>
        <v/>
      </c>
      <c r="Q390" s="33">
        <f>IF(O390="","",IFERROR(INDEX(Cl_nom,MATCH(O390,Cl_cle,0)),"(client introuvable)"))</f>
        <v/>
      </c>
      <c r="R390" s="40">
        <f>IF(O390="","",IFERROR(INDEX(Cl_reste,MATCH(O390,Cl_cle,0)),""))</f>
        <v/>
      </c>
      <c r="S390" s="34">
        <f>IF(C390="","",YEAR(C390-WEEKDAY(C390,2)+4)&amp;"-S"&amp;TEXT(INT((C390-DATE(YEAR(C390-WEEKDAY(C390,2)+4),1,3)+WEEKDAY(DATE(YEAR(C390-WEEKDAY(C390,2)+4),1,3),2)+5)/7),"00"))</f>
        <v/>
      </c>
    </row>
    <row r="391" ht="18" customHeight="1">
      <c r="A391" s="39" t="n">
        <v>386</v>
      </c>
      <c r="B391" s="33">
        <f>IF(C391="","",IF(L391="À RENSEIGNER","GIC",L391)&amp;"-E"&amp;TEXT(A391,"00000"))</f>
        <v/>
      </c>
      <c r="C391" s="32" t="n"/>
      <c r="D391" s="36" t="n"/>
      <c r="E391" s="37" t="n"/>
      <c r="F391" s="36" t="n"/>
      <c r="G391" s="44" t="n"/>
      <c r="H391" s="43" t="n"/>
      <c r="I391" s="32" t="n"/>
      <c r="J391" s="44" t="n"/>
      <c r="K391" s="36" t="n"/>
      <c r="L391" s="33">
        <f>IF(C391="","",Commercial_Id)</f>
        <v/>
      </c>
      <c r="M391" s="34">
        <f>IF(OR(C391="",F391=""),"",IF(F391&lt;&gt;"Espèces","—",IF(I391&lt;&gt;"","☑ Oui","☐ Non")))</f>
        <v/>
      </c>
      <c r="N391" s="39">
        <f>IF(D391="","",IFERROR(VALUE(MID(D391,LEN(D391)-3,3)),""))</f>
        <v/>
      </c>
      <c r="O391" s="33">
        <f>IF(N391="","",L391&amp;"|"&amp;N391)</f>
        <v/>
      </c>
      <c r="P391" s="33">
        <f>IF(N391="","",IF(L391="À RENSEIGNER","GIC",L391)&amp;"-"&amp;TEXT(N391,"000"))</f>
        <v/>
      </c>
      <c r="Q391" s="33">
        <f>IF(O391="","",IFERROR(INDEX(Cl_nom,MATCH(O391,Cl_cle,0)),"(client introuvable)"))</f>
        <v/>
      </c>
      <c r="R391" s="40">
        <f>IF(O391="","",IFERROR(INDEX(Cl_reste,MATCH(O391,Cl_cle,0)),""))</f>
        <v/>
      </c>
      <c r="S391" s="34">
        <f>IF(C391="","",YEAR(C391-WEEKDAY(C391,2)+4)&amp;"-S"&amp;TEXT(INT((C391-DATE(YEAR(C391-WEEKDAY(C391,2)+4),1,3)+WEEKDAY(DATE(YEAR(C391-WEEKDAY(C391,2)+4),1,3),2)+5)/7),"00"))</f>
        <v/>
      </c>
    </row>
    <row r="392" ht="18" customHeight="1">
      <c r="A392" s="39" t="n">
        <v>387</v>
      </c>
      <c r="B392" s="33">
        <f>IF(C392="","",IF(L392="À RENSEIGNER","GIC",L392)&amp;"-E"&amp;TEXT(A392,"00000"))</f>
        <v/>
      </c>
      <c r="C392" s="32" t="n"/>
      <c r="D392" s="36" t="n"/>
      <c r="E392" s="37" t="n"/>
      <c r="F392" s="36" t="n"/>
      <c r="G392" s="44" t="n"/>
      <c r="H392" s="43" t="n"/>
      <c r="I392" s="32" t="n"/>
      <c r="J392" s="44" t="n"/>
      <c r="K392" s="36" t="n"/>
      <c r="L392" s="33">
        <f>IF(C392="","",Commercial_Id)</f>
        <v/>
      </c>
      <c r="M392" s="34">
        <f>IF(OR(C392="",F392=""),"",IF(F392&lt;&gt;"Espèces","—",IF(I392&lt;&gt;"","☑ Oui","☐ Non")))</f>
        <v/>
      </c>
      <c r="N392" s="39">
        <f>IF(D392="","",IFERROR(VALUE(MID(D392,LEN(D392)-3,3)),""))</f>
        <v/>
      </c>
      <c r="O392" s="33">
        <f>IF(N392="","",L392&amp;"|"&amp;N392)</f>
        <v/>
      </c>
      <c r="P392" s="33">
        <f>IF(N392="","",IF(L392="À RENSEIGNER","GIC",L392)&amp;"-"&amp;TEXT(N392,"000"))</f>
        <v/>
      </c>
      <c r="Q392" s="33">
        <f>IF(O392="","",IFERROR(INDEX(Cl_nom,MATCH(O392,Cl_cle,0)),"(client introuvable)"))</f>
        <v/>
      </c>
      <c r="R392" s="40">
        <f>IF(O392="","",IFERROR(INDEX(Cl_reste,MATCH(O392,Cl_cle,0)),""))</f>
        <v/>
      </c>
      <c r="S392" s="34">
        <f>IF(C392="","",YEAR(C392-WEEKDAY(C392,2)+4)&amp;"-S"&amp;TEXT(INT((C392-DATE(YEAR(C392-WEEKDAY(C392,2)+4),1,3)+WEEKDAY(DATE(YEAR(C392-WEEKDAY(C392,2)+4),1,3),2)+5)/7),"00"))</f>
        <v/>
      </c>
    </row>
    <row r="393" ht="18" customHeight="1">
      <c r="A393" s="39" t="n">
        <v>388</v>
      </c>
      <c r="B393" s="33">
        <f>IF(C393="","",IF(L393="À RENSEIGNER","GIC",L393)&amp;"-E"&amp;TEXT(A393,"00000"))</f>
        <v/>
      </c>
      <c r="C393" s="32" t="n"/>
      <c r="D393" s="36" t="n"/>
      <c r="E393" s="37" t="n"/>
      <c r="F393" s="36" t="n"/>
      <c r="G393" s="44" t="n"/>
      <c r="H393" s="43" t="n"/>
      <c r="I393" s="32" t="n"/>
      <c r="J393" s="44" t="n"/>
      <c r="K393" s="36" t="n"/>
      <c r="L393" s="33">
        <f>IF(C393="","",Commercial_Id)</f>
        <v/>
      </c>
      <c r="M393" s="34">
        <f>IF(OR(C393="",F393=""),"",IF(F393&lt;&gt;"Espèces","—",IF(I393&lt;&gt;"","☑ Oui","☐ Non")))</f>
        <v/>
      </c>
      <c r="N393" s="39">
        <f>IF(D393="","",IFERROR(VALUE(MID(D393,LEN(D393)-3,3)),""))</f>
        <v/>
      </c>
      <c r="O393" s="33">
        <f>IF(N393="","",L393&amp;"|"&amp;N393)</f>
        <v/>
      </c>
      <c r="P393" s="33">
        <f>IF(N393="","",IF(L393="À RENSEIGNER","GIC",L393)&amp;"-"&amp;TEXT(N393,"000"))</f>
        <v/>
      </c>
      <c r="Q393" s="33">
        <f>IF(O393="","",IFERROR(INDEX(Cl_nom,MATCH(O393,Cl_cle,0)),"(client introuvable)"))</f>
        <v/>
      </c>
      <c r="R393" s="40">
        <f>IF(O393="","",IFERROR(INDEX(Cl_reste,MATCH(O393,Cl_cle,0)),""))</f>
        <v/>
      </c>
      <c r="S393" s="34">
        <f>IF(C393="","",YEAR(C393-WEEKDAY(C393,2)+4)&amp;"-S"&amp;TEXT(INT((C393-DATE(YEAR(C393-WEEKDAY(C393,2)+4),1,3)+WEEKDAY(DATE(YEAR(C393-WEEKDAY(C393,2)+4),1,3),2)+5)/7),"00"))</f>
        <v/>
      </c>
    </row>
    <row r="394" ht="18" customHeight="1">
      <c r="A394" s="39" t="n">
        <v>389</v>
      </c>
      <c r="B394" s="33">
        <f>IF(C394="","",IF(L394="À RENSEIGNER","GIC",L394)&amp;"-E"&amp;TEXT(A394,"00000"))</f>
        <v/>
      </c>
      <c r="C394" s="32" t="n"/>
      <c r="D394" s="36" t="n"/>
      <c r="E394" s="37" t="n"/>
      <c r="F394" s="36" t="n"/>
      <c r="G394" s="44" t="n"/>
      <c r="H394" s="43" t="n"/>
      <c r="I394" s="32" t="n"/>
      <c r="J394" s="44" t="n"/>
      <c r="K394" s="36" t="n"/>
      <c r="L394" s="33">
        <f>IF(C394="","",Commercial_Id)</f>
        <v/>
      </c>
      <c r="M394" s="34">
        <f>IF(OR(C394="",F394=""),"",IF(F394&lt;&gt;"Espèces","—",IF(I394&lt;&gt;"","☑ Oui","☐ Non")))</f>
        <v/>
      </c>
      <c r="N394" s="39">
        <f>IF(D394="","",IFERROR(VALUE(MID(D394,LEN(D394)-3,3)),""))</f>
        <v/>
      </c>
      <c r="O394" s="33">
        <f>IF(N394="","",L394&amp;"|"&amp;N394)</f>
        <v/>
      </c>
      <c r="P394" s="33">
        <f>IF(N394="","",IF(L394="À RENSEIGNER","GIC",L394)&amp;"-"&amp;TEXT(N394,"000"))</f>
        <v/>
      </c>
      <c r="Q394" s="33">
        <f>IF(O394="","",IFERROR(INDEX(Cl_nom,MATCH(O394,Cl_cle,0)),"(client introuvable)"))</f>
        <v/>
      </c>
      <c r="R394" s="40">
        <f>IF(O394="","",IFERROR(INDEX(Cl_reste,MATCH(O394,Cl_cle,0)),""))</f>
        <v/>
      </c>
      <c r="S394" s="34">
        <f>IF(C394="","",YEAR(C394-WEEKDAY(C394,2)+4)&amp;"-S"&amp;TEXT(INT((C394-DATE(YEAR(C394-WEEKDAY(C394,2)+4),1,3)+WEEKDAY(DATE(YEAR(C394-WEEKDAY(C394,2)+4),1,3),2)+5)/7),"00"))</f>
        <v/>
      </c>
    </row>
    <row r="395" ht="18" customHeight="1">
      <c r="A395" s="39" t="n">
        <v>390</v>
      </c>
      <c r="B395" s="33">
        <f>IF(C395="","",IF(L395="À RENSEIGNER","GIC",L395)&amp;"-E"&amp;TEXT(A395,"00000"))</f>
        <v/>
      </c>
      <c r="C395" s="32" t="n"/>
      <c r="D395" s="36" t="n"/>
      <c r="E395" s="37" t="n"/>
      <c r="F395" s="36" t="n"/>
      <c r="G395" s="44" t="n"/>
      <c r="H395" s="43" t="n"/>
      <c r="I395" s="32" t="n"/>
      <c r="J395" s="44" t="n"/>
      <c r="K395" s="36" t="n"/>
      <c r="L395" s="33">
        <f>IF(C395="","",Commercial_Id)</f>
        <v/>
      </c>
      <c r="M395" s="34">
        <f>IF(OR(C395="",F395=""),"",IF(F395&lt;&gt;"Espèces","—",IF(I395&lt;&gt;"","☑ Oui","☐ Non")))</f>
        <v/>
      </c>
      <c r="N395" s="39">
        <f>IF(D395="","",IFERROR(VALUE(MID(D395,LEN(D395)-3,3)),""))</f>
        <v/>
      </c>
      <c r="O395" s="33">
        <f>IF(N395="","",L395&amp;"|"&amp;N395)</f>
        <v/>
      </c>
      <c r="P395" s="33">
        <f>IF(N395="","",IF(L395="À RENSEIGNER","GIC",L395)&amp;"-"&amp;TEXT(N395,"000"))</f>
        <v/>
      </c>
      <c r="Q395" s="33">
        <f>IF(O395="","",IFERROR(INDEX(Cl_nom,MATCH(O395,Cl_cle,0)),"(client introuvable)"))</f>
        <v/>
      </c>
      <c r="R395" s="40">
        <f>IF(O395="","",IFERROR(INDEX(Cl_reste,MATCH(O395,Cl_cle,0)),""))</f>
        <v/>
      </c>
      <c r="S395" s="34">
        <f>IF(C395="","",YEAR(C395-WEEKDAY(C395,2)+4)&amp;"-S"&amp;TEXT(INT((C395-DATE(YEAR(C395-WEEKDAY(C395,2)+4),1,3)+WEEKDAY(DATE(YEAR(C395-WEEKDAY(C395,2)+4),1,3),2)+5)/7),"00"))</f>
        <v/>
      </c>
    </row>
    <row r="396" ht="18" customHeight="1">
      <c r="A396" s="39" t="n">
        <v>391</v>
      </c>
      <c r="B396" s="33">
        <f>IF(C396="","",IF(L396="À RENSEIGNER","GIC",L396)&amp;"-E"&amp;TEXT(A396,"00000"))</f>
        <v/>
      </c>
      <c r="C396" s="32" t="n"/>
      <c r="D396" s="36" t="n"/>
      <c r="E396" s="37" t="n"/>
      <c r="F396" s="36" t="n"/>
      <c r="G396" s="44" t="n"/>
      <c r="H396" s="43" t="n"/>
      <c r="I396" s="32" t="n"/>
      <c r="J396" s="44" t="n"/>
      <c r="K396" s="36" t="n"/>
      <c r="L396" s="33">
        <f>IF(C396="","",Commercial_Id)</f>
        <v/>
      </c>
      <c r="M396" s="34">
        <f>IF(OR(C396="",F396=""),"",IF(F396&lt;&gt;"Espèces","—",IF(I396&lt;&gt;"","☑ Oui","☐ Non")))</f>
        <v/>
      </c>
      <c r="N396" s="39">
        <f>IF(D396="","",IFERROR(VALUE(MID(D396,LEN(D396)-3,3)),""))</f>
        <v/>
      </c>
      <c r="O396" s="33">
        <f>IF(N396="","",L396&amp;"|"&amp;N396)</f>
        <v/>
      </c>
      <c r="P396" s="33">
        <f>IF(N396="","",IF(L396="À RENSEIGNER","GIC",L396)&amp;"-"&amp;TEXT(N396,"000"))</f>
        <v/>
      </c>
      <c r="Q396" s="33">
        <f>IF(O396="","",IFERROR(INDEX(Cl_nom,MATCH(O396,Cl_cle,0)),"(client introuvable)"))</f>
        <v/>
      </c>
      <c r="R396" s="40">
        <f>IF(O396="","",IFERROR(INDEX(Cl_reste,MATCH(O396,Cl_cle,0)),""))</f>
        <v/>
      </c>
      <c r="S396" s="34">
        <f>IF(C396="","",YEAR(C396-WEEKDAY(C396,2)+4)&amp;"-S"&amp;TEXT(INT((C396-DATE(YEAR(C396-WEEKDAY(C396,2)+4),1,3)+WEEKDAY(DATE(YEAR(C396-WEEKDAY(C396,2)+4),1,3),2)+5)/7),"00"))</f>
        <v/>
      </c>
    </row>
    <row r="397" ht="18" customHeight="1">
      <c r="A397" s="39" t="n">
        <v>392</v>
      </c>
      <c r="B397" s="33">
        <f>IF(C397="","",IF(L397="À RENSEIGNER","GIC",L397)&amp;"-E"&amp;TEXT(A397,"00000"))</f>
        <v/>
      </c>
      <c r="C397" s="32" t="n"/>
      <c r="D397" s="36" t="n"/>
      <c r="E397" s="37" t="n"/>
      <c r="F397" s="36" t="n"/>
      <c r="G397" s="44" t="n"/>
      <c r="H397" s="43" t="n"/>
      <c r="I397" s="32" t="n"/>
      <c r="J397" s="44" t="n"/>
      <c r="K397" s="36" t="n"/>
      <c r="L397" s="33">
        <f>IF(C397="","",Commercial_Id)</f>
        <v/>
      </c>
      <c r="M397" s="34">
        <f>IF(OR(C397="",F397=""),"",IF(F397&lt;&gt;"Espèces","—",IF(I397&lt;&gt;"","☑ Oui","☐ Non")))</f>
        <v/>
      </c>
      <c r="N397" s="39">
        <f>IF(D397="","",IFERROR(VALUE(MID(D397,LEN(D397)-3,3)),""))</f>
        <v/>
      </c>
      <c r="O397" s="33">
        <f>IF(N397="","",L397&amp;"|"&amp;N397)</f>
        <v/>
      </c>
      <c r="P397" s="33">
        <f>IF(N397="","",IF(L397="À RENSEIGNER","GIC",L397)&amp;"-"&amp;TEXT(N397,"000"))</f>
        <v/>
      </c>
      <c r="Q397" s="33">
        <f>IF(O397="","",IFERROR(INDEX(Cl_nom,MATCH(O397,Cl_cle,0)),"(client introuvable)"))</f>
        <v/>
      </c>
      <c r="R397" s="40">
        <f>IF(O397="","",IFERROR(INDEX(Cl_reste,MATCH(O397,Cl_cle,0)),""))</f>
        <v/>
      </c>
      <c r="S397" s="34">
        <f>IF(C397="","",YEAR(C397-WEEKDAY(C397,2)+4)&amp;"-S"&amp;TEXT(INT((C397-DATE(YEAR(C397-WEEKDAY(C397,2)+4),1,3)+WEEKDAY(DATE(YEAR(C397-WEEKDAY(C397,2)+4),1,3),2)+5)/7),"00"))</f>
        <v/>
      </c>
    </row>
    <row r="398" ht="18" customHeight="1">
      <c r="A398" s="39" t="n">
        <v>393</v>
      </c>
      <c r="B398" s="33">
        <f>IF(C398="","",IF(L398="À RENSEIGNER","GIC",L398)&amp;"-E"&amp;TEXT(A398,"00000"))</f>
        <v/>
      </c>
      <c r="C398" s="32" t="n"/>
      <c r="D398" s="36" t="n"/>
      <c r="E398" s="37" t="n"/>
      <c r="F398" s="36" t="n"/>
      <c r="G398" s="44" t="n"/>
      <c r="H398" s="43" t="n"/>
      <c r="I398" s="32" t="n"/>
      <c r="J398" s="44" t="n"/>
      <c r="K398" s="36" t="n"/>
      <c r="L398" s="33">
        <f>IF(C398="","",Commercial_Id)</f>
        <v/>
      </c>
      <c r="M398" s="34">
        <f>IF(OR(C398="",F398=""),"",IF(F398&lt;&gt;"Espèces","—",IF(I398&lt;&gt;"","☑ Oui","☐ Non")))</f>
        <v/>
      </c>
      <c r="N398" s="39">
        <f>IF(D398="","",IFERROR(VALUE(MID(D398,LEN(D398)-3,3)),""))</f>
        <v/>
      </c>
      <c r="O398" s="33">
        <f>IF(N398="","",L398&amp;"|"&amp;N398)</f>
        <v/>
      </c>
      <c r="P398" s="33">
        <f>IF(N398="","",IF(L398="À RENSEIGNER","GIC",L398)&amp;"-"&amp;TEXT(N398,"000"))</f>
        <v/>
      </c>
      <c r="Q398" s="33">
        <f>IF(O398="","",IFERROR(INDEX(Cl_nom,MATCH(O398,Cl_cle,0)),"(client introuvable)"))</f>
        <v/>
      </c>
      <c r="R398" s="40">
        <f>IF(O398="","",IFERROR(INDEX(Cl_reste,MATCH(O398,Cl_cle,0)),""))</f>
        <v/>
      </c>
      <c r="S398" s="34">
        <f>IF(C398="","",YEAR(C398-WEEKDAY(C398,2)+4)&amp;"-S"&amp;TEXT(INT((C398-DATE(YEAR(C398-WEEKDAY(C398,2)+4),1,3)+WEEKDAY(DATE(YEAR(C398-WEEKDAY(C398,2)+4),1,3),2)+5)/7),"00"))</f>
        <v/>
      </c>
    </row>
    <row r="399" ht="18" customHeight="1">
      <c r="A399" s="39" t="n">
        <v>394</v>
      </c>
      <c r="B399" s="33">
        <f>IF(C399="","",IF(L399="À RENSEIGNER","GIC",L399)&amp;"-E"&amp;TEXT(A399,"00000"))</f>
        <v/>
      </c>
      <c r="C399" s="32" t="n"/>
      <c r="D399" s="36" t="n"/>
      <c r="E399" s="37" t="n"/>
      <c r="F399" s="36" t="n"/>
      <c r="G399" s="44" t="n"/>
      <c r="H399" s="43" t="n"/>
      <c r="I399" s="32" t="n"/>
      <c r="J399" s="44" t="n"/>
      <c r="K399" s="36" t="n"/>
      <c r="L399" s="33">
        <f>IF(C399="","",Commercial_Id)</f>
        <v/>
      </c>
      <c r="M399" s="34">
        <f>IF(OR(C399="",F399=""),"",IF(F399&lt;&gt;"Espèces","—",IF(I399&lt;&gt;"","☑ Oui","☐ Non")))</f>
        <v/>
      </c>
      <c r="N399" s="39">
        <f>IF(D399="","",IFERROR(VALUE(MID(D399,LEN(D399)-3,3)),""))</f>
        <v/>
      </c>
      <c r="O399" s="33">
        <f>IF(N399="","",L399&amp;"|"&amp;N399)</f>
        <v/>
      </c>
      <c r="P399" s="33">
        <f>IF(N399="","",IF(L399="À RENSEIGNER","GIC",L399)&amp;"-"&amp;TEXT(N399,"000"))</f>
        <v/>
      </c>
      <c r="Q399" s="33">
        <f>IF(O399="","",IFERROR(INDEX(Cl_nom,MATCH(O399,Cl_cle,0)),"(client introuvable)"))</f>
        <v/>
      </c>
      <c r="R399" s="40">
        <f>IF(O399="","",IFERROR(INDEX(Cl_reste,MATCH(O399,Cl_cle,0)),""))</f>
        <v/>
      </c>
      <c r="S399" s="34">
        <f>IF(C399="","",YEAR(C399-WEEKDAY(C399,2)+4)&amp;"-S"&amp;TEXT(INT((C399-DATE(YEAR(C399-WEEKDAY(C399,2)+4),1,3)+WEEKDAY(DATE(YEAR(C399-WEEKDAY(C399,2)+4),1,3),2)+5)/7),"00"))</f>
        <v/>
      </c>
    </row>
    <row r="400" ht="18" customHeight="1">
      <c r="A400" s="39" t="n">
        <v>395</v>
      </c>
      <c r="B400" s="33">
        <f>IF(C400="","",IF(L400="À RENSEIGNER","GIC",L400)&amp;"-E"&amp;TEXT(A400,"00000"))</f>
        <v/>
      </c>
      <c r="C400" s="32" t="n"/>
      <c r="D400" s="36" t="n"/>
      <c r="E400" s="37" t="n"/>
      <c r="F400" s="36" t="n"/>
      <c r="G400" s="44" t="n"/>
      <c r="H400" s="43" t="n"/>
      <c r="I400" s="32" t="n"/>
      <c r="J400" s="44" t="n"/>
      <c r="K400" s="36" t="n"/>
      <c r="L400" s="33">
        <f>IF(C400="","",Commercial_Id)</f>
        <v/>
      </c>
      <c r="M400" s="34">
        <f>IF(OR(C400="",F400=""),"",IF(F400&lt;&gt;"Espèces","—",IF(I400&lt;&gt;"","☑ Oui","☐ Non")))</f>
        <v/>
      </c>
      <c r="N400" s="39">
        <f>IF(D400="","",IFERROR(VALUE(MID(D400,LEN(D400)-3,3)),""))</f>
        <v/>
      </c>
      <c r="O400" s="33">
        <f>IF(N400="","",L400&amp;"|"&amp;N400)</f>
        <v/>
      </c>
      <c r="P400" s="33">
        <f>IF(N400="","",IF(L400="À RENSEIGNER","GIC",L400)&amp;"-"&amp;TEXT(N400,"000"))</f>
        <v/>
      </c>
      <c r="Q400" s="33">
        <f>IF(O400="","",IFERROR(INDEX(Cl_nom,MATCH(O400,Cl_cle,0)),"(client introuvable)"))</f>
        <v/>
      </c>
      <c r="R400" s="40">
        <f>IF(O400="","",IFERROR(INDEX(Cl_reste,MATCH(O400,Cl_cle,0)),""))</f>
        <v/>
      </c>
      <c r="S400" s="34">
        <f>IF(C400="","",YEAR(C400-WEEKDAY(C400,2)+4)&amp;"-S"&amp;TEXT(INT((C400-DATE(YEAR(C400-WEEKDAY(C400,2)+4),1,3)+WEEKDAY(DATE(YEAR(C400-WEEKDAY(C400,2)+4),1,3),2)+5)/7),"00"))</f>
        <v/>
      </c>
    </row>
    <row r="401" ht="18" customHeight="1">
      <c r="A401" s="39" t="n">
        <v>396</v>
      </c>
      <c r="B401" s="33">
        <f>IF(C401="","",IF(L401="À RENSEIGNER","GIC",L401)&amp;"-E"&amp;TEXT(A401,"00000"))</f>
        <v/>
      </c>
      <c r="C401" s="32" t="n"/>
      <c r="D401" s="36" t="n"/>
      <c r="E401" s="37" t="n"/>
      <c r="F401" s="36" t="n"/>
      <c r="G401" s="44" t="n"/>
      <c r="H401" s="43" t="n"/>
      <c r="I401" s="32" t="n"/>
      <c r="J401" s="44" t="n"/>
      <c r="K401" s="36" t="n"/>
      <c r="L401" s="33">
        <f>IF(C401="","",Commercial_Id)</f>
        <v/>
      </c>
      <c r="M401" s="34">
        <f>IF(OR(C401="",F401=""),"",IF(F401&lt;&gt;"Espèces","—",IF(I401&lt;&gt;"","☑ Oui","☐ Non")))</f>
        <v/>
      </c>
      <c r="N401" s="39">
        <f>IF(D401="","",IFERROR(VALUE(MID(D401,LEN(D401)-3,3)),""))</f>
        <v/>
      </c>
      <c r="O401" s="33">
        <f>IF(N401="","",L401&amp;"|"&amp;N401)</f>
        <v/>
      </c>
      <c r="P401" s="33">
        <f>IF(N401="","",IF(L401="À RENSEIGNER","GIC",L401)&amp;"-"&amp;TEXT(N401,"000"))</f>
        <v/>
      </c>
      <c r="Q401" s="33">
        <f>IF(O401="","",IFERROR(INDEX(Cl_nom,MATCH(O401,Cl_cle,0)),"(client introuvable)"))</f>
        <v/>
      </c>
      <c r="R401" s="40">
        <f>IF(O401="","",IFERROR(INDEX(Cl_reste,MATCH(O401,Cl_cle,0)),""))</f>
        <v/>
      </c>
      <c r="S401" s="34">
        <f>IF(C401="","",YEAR(C401-WEEKDAY(C401,2)+4)&amp;"-S"&amp;TEXT(INT((C401-DATE(YEAR(C401-WEEKDAY(C401,2)+4),1,3)+WEEKDAY(DATE(YEAR(C401-WEEKDAY(C401,2)+4),1,3),2)+5)/7),"00"))</f>
        <v/>
      </c>
    </row>
    <row r="402" ht="18" customHeight="1">
      <c r="A402" s="39" t="n">
        <v>397</v>
      </c>
      <c r="B402" s="33">
        <f>IF(C402="","",IF(L402="À RENSEIGNER","GIC",L402)&amp;"-E"&amp;TEXT(A402,"00000"))</f>
        <v/>
      </c>
      <c r="C402" s="32" t="n"/>
      <c r="D402" s="36" t="n"/>
      <c r="E402" s="37" t="n"/>
      <c r="F402" s="36" t="n"/>
      <c r="G402" s="44" t="n"/>
      <c r="H402" s="43" t="n"/>
      <c r="I402" s="32" t="n"/>
      <c r="J402" s="44" t="n"/>
      <c r="K402" s="36" t="n"/>
      <c r="L402" s="33">
        <f>IF(C402="","",Commercial_Id)</f>
        <v/>
      </c>
      <c r="M402" s="34">
        <f>IF(OR(C402="",F402=""),"",IF(F402&lt;&gt;"Espèces","—",IF(I402&lt;&gt;"","☑ Oui","☐ Non")))</f>
        <v/>
      </c>
      <c r="N402" s="39">
        <f>IF(D402="","",IFERROR(VALUE(MID(D402,LEN(D402)-3,3)),""))</f>
        <v/>
      </c>
      <c r="O402" s="33">
        <f>IF(N402="","",L402&amp;"|"&amp;N402)</f>
        <v/>
      </c>
      <c r="P402" s="33">
        <f>IF(N402="","",IF(L402="À RENSEIGNER","GIC",L402)&amp;"-"&amp;TEXT(N402,"000"))</f>
        <v/>
      </c>
      <c r="Q402" s="33">
        <f>IF(O402="","",IFERROR(INDEX(Cl_nom,MATCH(O402,Cl_cle,0)),"(client introuvable)"))</f>
        <v/>
      </c>
      <c r="R402" s="40">
        <f>IF(O402="","",IFERROR(INDEX(Cl_reste,MATCH(O402,Cl_cle,0)),""))</f>
        <v/>
      </c>
      <c r="S402" s="34">
        <f>IF(C402="","",YEAR(C402-WEEKDAY(C402,2)+4)&amp;"-S"&amp;TEXT(INT((C402-DATE(YEAR(C402-WEEKDAY(C402,2)+4),1,3)+WEEKDAY(DATE(YEAR(C402-WEEKDAY(C402,2)+4),1,3),2)+5)/7),"00"))</f>
        <v/>
      </c>
    </row>
    <row r="403" ht="18" customHeight="1">
      <c r="A403" s="39" t="n">
        <v>398</v>
      </c>
      <c r="B403" s="33">
        <f>IF(C403="","",IF(L403="À RENSEIGNER","GIC",L403)&amp;"-E"&amp;TEXT(A403,"00000"))</f>
        <v/>
      </c>
      <c r="C403" s="32" t="n"/>
      <c r="D403" s="36" t="n"/>
      <c r="E403" s="37" t="n"/>
      <c r="F403" s="36" t="n"/>
      <c r="G403" s="44" t="n"/>
      <c r="H403" s="43" t="n"/>
      <c r="I403" s="32" t="n"/>
      <c r="J403" s="44" t="n"/>
      <c r="K403" s="36" t="n"/>
      <c r="L403" s="33">
        <f>IF(C403="","",Commercial_Id)</f>
        <v/>
      </c>
      <c r="M403" s="34">
        <f>IF(OR(C403="",F403=""),"",IF(F403&lt;&gt;"Espèces","—",IF(I403&lt;&gt;"","☑ Oui","☐ Non")))</f>
        <v/>
      </c>
      <c r="N403" s="39">
        <f>IF(D403="","",IFERROR(VALUE(MID(D403,LEN(D403)-3,3)),""))</f>
        <v/>
      </c>
      <c r="O403" s="33">
        <f>IF(N403="","",L403&amp;"|"&amp;N403)</f>
        <v/>
      </c>
      <c r="P403" s="33">
        <f>IF(N403="","",IF(L403="À RENSEIGNER","GIC",L403)&amp;"-"&amp;TEXT(N403,"000"))</f>
        <v/>
      </c>
      <c r="Q403" s="33">
        <f>IF(O403="","",IFERROR(INDEX(Cl_nom,MATCH(O403,Cl_cle,0)),"(client introuvable)"))</f>
        <v/>
      </c>
      <c r="R403" s="40">
        <f>IF(O403="","",IFERROR(INDEX(Cl_reste,MATCH(O403,Cl_cle,0)),""))</f>
        <v/>
      </c>
      <c r="S403" s="34">
        <f>IF(C403="","",YEAR(C403-WEEKDAY(C403,2)+4)&amp;"-S"&amp;TEXT(INT((C403-DATE(YEAR(C403-WEEKDAY(C403,2)+4),1,3)+WEEKDAY(DATE(YEAR(C403-WEEKDAY(C403,2)+4),1,3),2)+5)/7),"00"))</f>
        <v/>
      </c>
    </row>
    <row r="404" ht="18" customHeight="1">
      <c r="A404" s="39" t="n">
        <v>399</v>
      </c>
      <c r="B404" s="33">
        <f>IF(C404="","",IF(L404="À RENSEIGNER","GIC",L404)&amp;"-E"&amp;TEXT(A404,"00000"))</f>
        <v/>
      </c>
      <c r="C404" s="32" t="n"/>
      <c r="D404" s="36" t="n"/>
      <c r="E404" s="37" t="n"/>
      <c r="F404" s="36" t="n"/>
      <c r="G404" s="44" t="n"/>
      <c r="H404" s="43" t="n"/>
      <c r="I404" s="32" t="n"/>
      <c r="J404" s="44" t="n"/>
      <c r="K404" s="36" t="n"/>
      <c r="L404" s="33">
        <f>IF(C404="","",Commercial_Id)</f>
        <v/>
      </c>
      <c r="M404" s="34">
        <f>IF(OR(C404="",F404=""),"",IF(F404&lt;&gt;"Espèces","—",IF(I404&lt;&gt;"","☑ Oui","☐ Non")))</f>
        <v/>
      </c>
      <c r="N404" s="39">
        <f>IF(D404="","",IFERROR(VALUE(MID(D404,LEN(D404)-3,3)),""))</f>
        <v/>
      </c>
      <c r="O404" s="33">
        <f>IF(N404="","",L404&amp;"|"&amp;N404)</f>
        <v/>
      </c>
      <c r="P404" s="33">
        <f>IF(N404="","",IF(L404="À RENSEIGNER","GIC",L404)&amp;"-"&amp;TEXT(N404,"000"))</f>
        <v/>
      </c>
      <c r="Q404" s="33">
        <f>IF(O404="","",IFERROR(INDEX(Cl_nom,MATCH(O404,Cl_cle,0)),"(client introuvable)"))</f>
        <v/>
      </c>
      <c r="R404" s="40">
        <f>IF(O404="","",IFERROR(INDEX(Cl_reste,MATCH(O404,Cl_cle,0)),""))</f>
        <v/>
      </c>
      <c r="S404" s="34">
        <f>IF(C404="","",YEAR(C404-WEEKDAY(C404,2)+4)&amp;"-S"&amp;TEXT(INT((C404-DATE(YEAR(C404-WEEKDAY(C404,2)+4),1,3)+WEEKDAY(DATE(YEAR(C404-WEEKDAY(C404,2)+4),1,3),2)+5)/7),"00"))</f>
        <v/>
      </c>
    </row>
    <row r="405" ht="18" customHeight="1">
      <c r="A405" s="39" t="n">
        <v>400</v>
      </c>
      <c r="B405" s="33">
        <f>IF(C405="","",IF(L405="À RENSEIGNER","GIC",L405)&amp;"-E"&amp;TEXT(A405,"00000"))</f>
        <v/>
      </c>
      <c r="C405" s="32" t="n"/>
      <c r="D405" s="36" t="n"/>
      <c r="E405" s="37" t="n"/>
      <c r="F405" s="36" t="n"/>
      <c r="G405" s="44" t="n"/>
      <c r="H405" s="43" t="n"/>
      <c r="I405" s="32" t="n"/>
      <c r="J405" s="44" t="n"/>
      <c r="K405" s="36" t="n"/>
      <c r="L405" s="33">
        <f>IF(C405="","",Commercial_Id)</f>
        <v/>
      </c>
      <c r="M405" s="34">
        <f>IF(OR(C405="",F405=""),"",IF(F405&lt;&gt;"Espèces","—",IF(I405&lt;&gt;"","☑ Oui","☐ Non")))</f>
        <v/>
      </c>
      <c r="N405" s="39">
        <f>IF(D405="","",IFERROR(VALUE(MID(D405,LEN(D405)-3,3)),""))</f>
        <v/>
      </c>
      <c r="O405" s="33">
        <f>IF(N405="","",L405&amp;"|"&amp;N405)</f>
        <v/>
      </c>
      <c r="P405" s="33">
        <f>IF(N405="","",IF(L405="À RENSEIGNER","GIC",L405)&amp;"-"&amp;TEXT(N405,"000"))</f>
        <v/>
      </c>
      <c r="Q405" s="33">
        <f>IF(O405="","",IFERROR(INDEX(Cl_nom,MATCH(O405,Cl_cle,0)),"(client introuvable)"))</f>
        <v/>
      </c>
      <c r="R405" s="40">
        <f>IF(O405="","",IFERROR(INDEX(Cl_reste,MATCH(O405,Cl_cle,0)),""))</f>
        <v/>
      </c>
      <c r="S405" s="34">
        <f>IF(C405="","",YEAR(C405-WEEKDAY(C405,2)+4)&amp;"-S"&amp;TEXT(INT((C405-DATE(YEAR(C405-WEEKDAY(C405,2)+4),1,3)+WEEKDAY(DATE(YEAR(C405-WEEKDAY(C405,2)+4),1,3),2)+5)/7),"00"))</f>
        <v/>
      </c>
    </row>
    <row r="406" ht="18" customHeight="1">
      <c r="A406" s="39" t="n">
        <v>401</v>
      </c>
      <c r="B406" s="33">
        <f>IF(C406="","",IF(L406="À RENSEIGNER","GIC",L406)&amp;"-E"&amp;TEXT(A406,"00000"))</f>
        <v/>
      </c>
      <c r="C406" s="32" t="n"/>
      <c r="D406" s="36" t="n"/>
      <c r="E406" s="37" t="n"/>
      <c r="F406" s="36" t="n"/>
      <c r="G406" s="44" t="n"/>
      <c r="H406" s="43" t="n"/>
      <c r="I406" s="32" t="n"/>
      <c r="J406" s="44" t="n"/>
      <c r="K406" s="36" t="n"/>
      <c r="L406" s="33">
        <f>IF(C406="","",Commercial_Id)</f>
        <v/>
      </c>
      <c r="M406" s="34">
        <f>IF(OR(C406="",F406=""),"",IF(F406&lt;&gt;"Espèces","—",IF(I406&lt;&gt;"","☑ Oui","☐ Non")))</f>
        <v/>
      </c>
      <c r="N406" s="39">
        <f>IF(D406="","",IFERROR(VALUE(MID(D406,LEN(D406)-3,3)),""))</f>
        <v/>
      </c>
      <c r="O406" s="33">
        <f>IF(N406="","",L406&amp;"|"&amp;N406)</f>
        <v/>
      </c>
      <c r="P406" s="33">
        <f>IF(N406="","",IF(L406="À RENSEIGNER","GIC",L406)&amp;"-"&amp;TEXT(N406,"000"))</f>
        <v/>
      </c>
      <c r="Q406" s="33">
        <f>IF(O406="","",IFERROR(INDEX(Cl_nom,MATCH(O406,Cl_cle,0)),"(client introuvable)"))</f>
        <v/>
      </c>
      <c r="R406" s="40">
        <f>IF(O406="","",IFERROR(INDEX(Cl_reste,MATCH(O406,Cl_cle,0)),""))</f>
        <v/>
      </c>
      <c r="S406" s="34">
        <f>IF(C406="","",YEAR(C406-WEEKDAY(C406,2)+4)&amp;"-S"&amp;TEXT(INT((C406-DATE(YEAR(C406-WEEKDAY(C406,2)+4),1,3)+WEEKDAY(DATE(YEAR(C406-WEEKDAY(C406,2)+4),1,3),2)+5)/7),"00"))</f>
        <v/>
      </c>
    </row>
    <row r="407" ht="18" customHeight="1">
      <c r="A407" s="39" t="n">
        <v>402</v>
      </c>
      <c r="B407" s="33">
        <f>IF(C407="","",IF(L407="À RENSEIGNER","GIC",L407)&amp;"-E"&amp;TEXT(A407,"00000"))</f>
        <v/>
      </c>
      <c r="C407" s="32" t="n"/>
      <c r="D407" s="36" t="n"/>
      <c r="E407" s="37" t="n"/>
      <c r="F407" s="36" t="n"/>
      <c r="G407" s="44" t="n"/>
      <c r="H407" s="43" t="n"/>
      <c r="I407" s="32" t="n"/>
      <c r="J407" s="44" t="n"/>
      <c r="K407" s="36" t="n"/>
      <c r="L407" s="33">
        <f>IF(C407="","",Commercial_Id)</f>
        <v/>
      </c>
      <c r="M407" s="34">
        <f>IF(OR(C407="",F407=""),"",IF(F407&lt;&gt;"Espèces","—",IF(I407&lt;&gt;"","☑ Oui","☐ Non")))</f>
        <v/>
      </c>
      <c r="N407" s="39">
        <f>IF(D407="","",IFERROR(VALUE(MID(D407,LEN(D407)-3,3)),""))</f>
        <v/>
      </c>
      <c r="O407" s="33">
        <f>IF(N407="","",L407&amp;"|"&amp;N407)</f>
        <v/>
      </c>
      <c r="P407" s="33">
        <f>IF(N407="","",IF(L407="À RENSEIGNER","GIC",L407)&amp;"-"&amp;TEXT(N407,"000"))</f>
        <v/>
      </c>
      <c r="Q407" s="33">
        <f>IF(O407="","",IFERROR(INDEX(Cl_nom,MATCH(O407,Cl_cle,0)),"(client introuvable)"))</f>
        <v/>
      </c>
      <c r="R407" s="40">
        <f>IF(O407="","",IFERROR(INDEX(Cl_reste,MATCH(O407,Cl_cle,0)),""))</f>
        <v/>
      </c>
      <c r="S407" s="34">
        <f>IF(C407="","",YEAR(C407-WEEKDAY(C407,2)+4)&amp;"-S"&amp;TEXT(INT((C407-DATE(YEAR(C407-WEEKDAY(C407,2)+4),1,3)+WEEKDAY(DATE(YEAR(C407-WEEKDAY(C407,2)+4),1,3),2)+5)/7),"00"))</f>
        <v/>
      </c>
    </row>
    <row r="408" ht="18" customHeight="1">
      <c r="A408" s="39" t="n">
        <v>403</v>
      </c>
      <c r="B408" s="33">
        <f>IF(C408="","",IF(L408="À RENSEIGNER","GIC",L408)&amp;"-E"&amp;TEXT(A408,"00000"))</f>
        <v/>
      </c>
      <c r="C408" s="32" t="n"/>
      <c r="D408" s="36" t="n"/>
      <c r="E408" s="37" t="n"/>
      <c r="F408" s="36" t="n"/>
      <c r="G408" s="44" t="n"/>
      <c r="H408" s="43" t="n"/>
      <c r="I408" s="32" t="n"/>
      <c r="J408" s="44" t="n"/>
      <c r="K408" s="36" t="n"/>
      <c r="L408" s="33">
        <f>IF(C408="","",Commercial_Id)</f>
        <v/>
      </c>
      <c r="M408" s="34">
        <f>IF(OR(C408="",F408=""),"",IF(F408&lt;&gt;"Espèces","—",IF(I408&lt;&gt;"","☑ Oui","☐ Non")))</f>
        <v/>
      </c>
      <c r="N408" s="39">
        <f>IF(D408="","",IFERROR(VALUE(MID(D408,LEN(D408)-3,3)),""))</f>
        <v/>
      </c>
      <c r="O408" s="33">
        <f>IF(N408="","",L408&amp;"|"&amp;N408)</f>
        <v/>
      </c>
      <c r="P408" s="33">
        <f>IF(N408="","",IF(L408="À RENSEIGNER","GIC",L408)&amp;"-"&amp;TEXT(N408,"000"))</f>
        <v/>
      </c>
      <c r="Q408" s="33">
        <f>IF(O408="","",IFERROR(INDEX(Cl_nom,MATCH(O408,Cl_cle,0)),"(client introuvable)"))</f>
        <v/>
      </c>
      <c r="R408" s="40">
        <f>IF(O408="","",IFERROR(INDEX(Cl_reste,MATCH(O408,Cl_cle,0)),""))</f>
        <v/>
      </c>
      <c r="S408" s="34">
        <f>IF(C408="","",YEAR(C408-WEEKDAY(C408,2)+4)&amp;"-S"&amp;TEXT(INT((C408-DATE(YEAR(C408-WEEKDAY(C408,2)+4),1,3)+WEEKDAY(DATE(YEAR(C408-WEEKDAY(C408,2)+4),1,3),2)+5)/7),"00"))</f>
        <v/>
      </c>
    </row>
    <row r="409" ht="18" customHeight="1">
      <c r="A409" s="39" t="n">
        <v>404</v>
      </c>
      <c r="B409" s="33">
        <f>IF(C409="","",IF(L409="À RENSEIGNER","GIC",L409)&amp;"-E"&amp;TEXT(A409,"00000"))</f>
        <v/>
      </c>
      <c r="C409" s="32" t="n"/>
      <c r="D409" s="36" t="n"/>
      <c r="E409" s="37" t="n"/>
      <c r="F409" s="36" t="n"/>
      <c r="G409" s="44" t="n"/>
      <c r="H409" s="43" t="n"/>
      <c r="I409" s="32" t="n"/>
      <c r="J409" s="44" t="n"/>
      <c r="K409" s="36" t="n"/>
      <c r="L409" s="33">
        <f>IF(C409="","",Commercial_Id)</f>
        <v/>
      </c>
      <c r="M409" s="34">
        <f>IF(OR(C409="",F409=""),"",IF(F409&lt;&gt;"Espèces","—",IF(I409&lt;&gt;"","☑ Oui","☐ Non")))</f>
        <v/>
      </c>
      <c r="N409" s="39">
        <f>IF(D409="","",IFERROR(VALUE(MID(D409,LEN(D409)-3,3)),""))</f>
        <v/>
      </c>
      <c r="O409" s="33">
        <f>IF(N409="","",L409&amp;"|"&amp;N409)</f>
        <v/>
      </c>
      <c r="P409" s="33">
        <f>IF(N409="","",IF(L409="À RENSEIGNER","GIC",L409)&amp;"-"&amp;TEXT(N409,"000"))</f>
        <v/>
      </c>
      <c r="Q409" s="33">
        <f>IF(O409="","",IFERROR(INDEX(Cl_nom,MATCH(O409,Cl_cle,0)),"(client introuvable)"))</f>
        <v/>
      </c>
      <c r="R409" s="40">
        <f>IF(O409="","",IFERROR(INDEX(Cl_reste,MATCH(O409,Cl_cle,0)),""))</f>
        <v/>
      </c>
      <c r="S409" s="34">
        <f>IF(C409="","",YEAR(C409-WEEKDAY(C409,2)+4)&amp;"-S"&amp;TEXT(INT((C409-DATE(YEAR(C409-WEEKDAY(C409,2)+4),1,3)+WEEKDAY(DATE(YEAR(C409-WEEKDAY(C409,2)+4),1,3),2)+5)/7),"00"))</f>
        <v/>
      </c>
    </row>
    <row r="410" ht="18" customHeight="1">
      <c r="A410" s="39" t="n">
        <v>405</v>
      </c>
      <c r="B410" s="33">
        <f>IF(C410="","",IF(L410="À RENSEIGNER","GIC",L410)&amp;"-E"&amp;TEXT(A410,"00000"))</f>
        <v/>
      </c>
      <c r="C410" s="32" t="n"/>
      <c r="D410" s="36" t="n"/>
      <c r="E410" s="37" t="n"/>
      <c r="F410" s="36" t="n"/>
      <c r="G410" s="44" t="n"/>
      <c r="H410" s="43" t="n"/>
      <c r="I410" s="32" t="n"/>
      <c r="J410" s="44" t="n"/>
      <c r="K410" s="36" t="n"/>
      <c r="L410" s="33">
        <f>IF(C410="","",Commercial_Id)</f>
        <v/>
      </c>
      <c r="M410" s="34">
        <f>IF(OR(C410="",F410=""),"",IF(F410&lt;&gt;"Espèces","—",IF(I410&lt;&gt;"","☑ Oui","☐ Non")))</f>
        <v/>
      </c>
      <c r="N410" s="39">
        <f>IF(D410="","",IFERROR(VALUE(MID(D410,LEN(D410)-3,3)),""))</f>
        <v/>
      </c>
      <c r="O410" s="33">
        <f>IF(N410="","",L410&amp;"|"&amp;N410)</f>
        <v/>
      </c>
      <c r="P410" s="33">
        <f>IF(N410="","",IF(L410="À RENSEIGNER","GIC",L410)&amp;"-"&amp;TEXT(N410,"000"))</f>
        <v/>
      </c>
      <c r="Q410" s="33">
        <f>IF(O410="","",IFERROR(INDEX(Cl_nom,MATCH(O410,Cl_cle,0)),"(client introuvable)"))</f>
        <v/>
      </c>
      <c r="R410" s="40">
        <f>IF(O410="","",IFERROR(INDEX(Cl_reste,MATCH(O410,Cl_cle,0)),""))</f>
        <v/>
      </c>
      <c r="S410" s="34">
        <f>IF(C410="","",YEAR(C410-WEEKDAY(C410,2)+4)&amp;"-S"&amp;TEXT(INT((C410-DATE(YEAR(C410-WEEKDAY(C410,2)+4),1,3)+WEEKDAY(DATE(YEAR(C410-WEEKDAY(C410,2)+4),1,3),2)+5)/7),"00"))</f>
        <v/>
      </c>
    </row>
    <row r="411" ht="18" customHeight="1">
      <c r="A411" s="39" t="n">
        <v>406</v>
      </c>
      <c r="B411" s="33">
        <f>IF(C411="","",IF(L411="À RENSEIGNER","GIC",L411)&amp;"-E"&amp;TEXT(A411,"00000"))</f>
        <v/>
      </c>
      <c r="C411" s="32" t="n"/>
      <c r="D411" s="36" t="n"/>
      <c r="E411" s="37" t="n"/>
      <c r="F411" s="36" t="n"/>
      <c r="G411" s="44" t="n"/>
      <c r="H411" s="43" t="n"/>
      <c r="I411" s="32" t="n"/>
      <c r="J411" s="44" t="n"/>
      <c r="K411" s="36" t="n"/>
      <c r="L411" s="33">
        <f>IF(C411="","",Commercial_Id)</f>
        <v/>
      </c>
      <c r="M411" s="34">
        <f>IF(OR(C411="",F411=""),"",IF(F411&lt;&gt;"Espèces","—",IF(I411&lt;&gt;"","☑ Oui","☐ Non")))</f>
        <v/>
      </c>
      <c r="N411" s="39">
        <f>IF(D411="","",IFERROR(VALUE(MID(D411,LEN(D411)-3,3)),""))</f>
        <v/>
      </c>
      <c r="O411" s="33">
        <f>IF(N411="","",L411&amp;"|"&amp;N411)</f>
        <v/>
      </c>
      <c r="P411" s="33">
        <f>IF(N411="","",IF(L411="À RENSEIGNER","GIC",L411)&amp;"-"&amp;TEXT(N411,"000"))</f>
        <v/>
      </c>
      <c r="Q411" s="33">
        <f>IF(O411="","",IFERROR(INDEX(Cl_nom,MATCH(O411,Cl_cle,0)),"(client introuvable)"))</f>
        <v/>
      </c>
      <c r="R411" s="40">
        <f>IF(O411="","",IFERROR(INDEX(Cl_reste,MATCH(O411,Cl_cle,0)),""))</f>
        <v/>
      </c>
      <c r="S411" s="34">
        <f>IF(C411="","",YEAR(C411-WEEKDAY(C411,2)+4)&amp;"-S"&amp;TEXT(INT((C411-DATE(YEAR(C411-WEEKDAY(C411,2)+4),1,3)+WEEKDAY(DATE(YEAR(C411-WEEKDAY(C411,2)+4),1,3),2)+5)/7),"00"))</f>
        <v/>
      </c>
    </row>
    <row r="412" ht="18" customHeight="1">
      <c r="A412" s="39" t="n">
        <v>407</v>
      </c>
      <c r="B412" s="33">
        <f>IF(C412="","",IF(L412="À RENSEIGNER","GIC",L412)&amp;"-E"&amp;TEXT(A412,"00000"))</f>
        <v/>
      </c>
      <c r="C412" s="32" t="n"/>
      <c r="D412" s="36" t="n"/>
      <c r="E412" s="37" t="n"/>
      <c r="F412" s="36" t="n"/>
      <c r="G412" s="44" t="n"/>
      <c r="H412" s="43" t="n"/>
      <c r="I412" s="32" t="n"/>
      <c r="J412" s="44" t="n"/>
      <c r="K412" s="36" t="n"/>
      <c r="L412" s="33">
        <f>IF(C412="","",Commercial_Id)</f>
        <v/>
      </c>
      <c r="M412" s="34">
        <f>IF(OR(C412="",F412=""),"",IF(F412&lt;&gt;"Espèces","—",IF(I412&lt;&gt;"","☑ Oui","☐ Non")))</f>
        <v/>
      </c>
      <c r="N412" s="39">
        <f>IF(D412="","",IFERROR(VALUE(MID(D412,LEN(D412)-3,3)),""))</f>
        <v/>
      </c>
      <c r="O412" s="33">
        <f>IF(N412="","",L412&amp;"|"&amp;N412)</f>
        <v/>
      </c>
      <c r="P412" s="33">
        <f>IF(N412="","",IF(L412="À RENSEIGNER","GIC",L412)&amp;"-"&amp;TEXT(N412,"000"))</f>
        <v/>
      </c>
      <c r="Q412" s="33">
        <f>IF(O412="","",IFERROR(INDEX(Cl_nom,MATCH(O412,Cl_cle,0)),"(client introuvable)"))</f>
        <v/>
      </c>
      <c r="R412" s="40">
        <f>IF(O412="","",IFERROR(INDEX(Cl_reste,MATCH(O412,Cl_cle,0)),""))</f>
        <v/>
      </c>
      <c r="S412" s="34">
        <f>IF(C412="","",YEAR(C412-WEEKDAY(C412,2)+4)&amp;"-S"&amp;TEXT(INT((C412-DATE(YEAR(C412-WEEKDAY(C412,2)+4),1,3)+WEEKDAY(DATE(YEAR(C412-WEEKDAY(C412,2)+4),1,3),2)+5)/7),"00"))</f>
        <v/>
      </c>
    </row>
    <row r="413" ht="18" customHeight="1">
      <c r="A413" s="39" t="n">
        <v>408</v>
      </c>
      <c r="B413" s="33">
        <f>IF(C413="","",IF(L413="À RENSEIGNER","GIC",L413)&amp;"-E"&amp;TEXT(A413,"00000"))</f>
        <v/>
      </c>
      <c r="C413" s="32" t="n"/>
      <c r="D413" s="36" t="n"/>
      <c r="E413" s="37" t="n"/>
      <c r="F413" s="36" t="n"/>
      <c r="G413" s="44" t="n"/>
      <c r="H413" s="43" t="n"/>
      <c r="I413" s="32" t="n"/>
      <c r="J413" s="44" t="n"/>
      <c r="K413" s="36" t="n"/>
      <c r="L413" s="33">
        <f>IF(C413="","",Commercial_Id)</f>
        <v/>
      </c>
      <c r="M413" s="34">
        <f>IF(OR(C413="",F413=""),"",IF(F413&lt;&gt;"Espèces","—",IF(I413&lt;&gt;"","☑ Oui","☐ Non")))</f>
        <v/>
      </c>
      <c r="N413" s="39">
        <f>IF(D413="","",IFERROR(VALUE(MID(D413,LEN(D413)-3,3)),""))</f>
        <v/>
      </c>
      <c r="O413" s="33">
        <f>IF(N413="","",L413&amp;"|"&amp;N413)</f>
        <v/>
      </c>
      <c r="P413" s="33">
        <f>IF(N413="","",IF(L413="À RENSEIGNER","GIC",L413)&amp;"-"&amp;TEXT(N413,"000"))</f>
        <v/>
      </c>
      <c r="Q413" s="33">
        <f>IF(O413="","",IFERROR(INDEX(Cl_nom,MATCH(O413,Cl_cle,0)),"(client introuvable)"))</f>
        <v/>
      </c>
      <c r="R413" s="40">
        <f>IF(O413="","",IFERROR(INDEX(Cl_reste,MATCH(O413,Cl_cle,0)),""))</f>
        <v/>
      </c>
      <c r="S413" s="34">
        <f>IF(C413="","",YEAR(C413-WEEKDAY(C413,2)+4)&amp;"-S"&amp;TEXT(INT((C413-DATE(YEAR(C413-WEEKDAY(C413,2)+4),1,3)+WEEKDAY(DATE(YEAR(C413-WEEKDAY(C413,2)+4),1,3),2)+5)/7),"00"))</f>
        <v/>
      </c>
    </row>
    <row r="414" ht="18" customHeight="1">
      <c r="A414" s="39" t="n">
        <v>409</v>
      </c>
      <c r="B414" s="33">
        <f>IF(C414="","",IF(L414="À RENSEIGNER","GIC",L414)&amp;"-E"&amp;TEXT(A414,"00000"))</f>
        <v/>
      </c>
      <c r="C414" s="32" t="n"/>
      <c r="D414" s="36" t="n"/>
      <c r="E414" s="37" t="n"/>
      <c r="F414" s="36" t="n"/>
      <c r="G414" s="44" t="n"/>
      <c r="H414" s="43" t="n"/>
      <c r="I414" s="32" t="n"/>
      <c r="J414" s="44" t="n"/>
      <c r="K414" s="36" t="n"/>
      <c r="L414" s="33">
        <f>IF(C414="","",Commercial_Id)</f>
        <v/>
      </c>
      <c r="M414" s="34">
        <f>IF(OR(C414="",F414=""),"",IF(F414&lt;&gt;"Espèces","—",IF(I414&lt;&gt;"","☑ Oui","☐ Non")))</f>
        <v/>
      </c>
      <c r="N414" s="39">
        <f>IF(D414="","",IFERROR(VALUE(MID(D414,LEN(D414)-3,3)),""))</f>
        <v/>
      </c>
      <c r="O414" s="33">
        <f>IF(N414="","",L414&amp;"|"&amp;N414)</f>
        <v/>
      </c>
      <c r="P414" s="33">
        <f>IF(N414="","",IF(L414="À RENSEIGNER","GIC",L414)&amp;"-"&amp;TEXT(N414,"000"))</f>
        <v/>
      </c>
      <c r="Q414" s="33">
        <f>IF(O414="","",IFERROR(INDEX(Cl_nom,MATCH(O414,Cl_cle,0)),"(client introuvable)"))</f>
        <v/>
      </c>
      <c r="R414" s="40">
        <f>IF(O414="","",IFERROR(INDEX(Cl_reste,MATCH(O414,Cl_cle,0)),""))</f>
        <v/>
      </c>
      <c r="S414" s="34">
        <f>IF(C414="","",YEAR(C414-WEEKDAY(C414,2)+4)&amp;"-S"&amp;TEXT(INT((C414-DATE(YEAR(C414-WEEKDAY(C414,2)+4),1,3)+WEEKDAY(DATE(YEAR(C414-WEEKDAY(C414,2)+4),1,3),2)+5)/7),"00"))</f>
        <v/>
      </c>
    </row>
    <row r="415" ht="18" customHeight="1">
      <c r="A415" s="39" t="n">
        <v>410</v>
      </c>
      <c r="B415" s="33">
        <f>IF(C415="","",IF(L415="À RENSEIGNER","GIC",L415)&amp;"-E"&amp;TEXT(A415,"00000"))</f>
        <v/>
      </c>
      <c r="C415" s="32" t="n"/>
      <c r="D415" s="36" t="n"/>
      <c r="E415" s="37" t="n"/>
      <c r="F415" s="36" t="n"/>
      <c r="G415" s="44" t="n"/>
      <c r="H415" s="43" t="n"/>
      <c r="I415" s="32" t="n"/>
      <c r="J415" s="44" t="n"/>
      <c r="K415" s="36" t="n"/>
      <c r="L415" s="33">
        <f>IF(C415="","",Commercial_Id)</f>
        <v/>
      </c>
      <c r="M415" s="34">
        <f>IF(OR(C415="",F415=""),"",IF(F415&lt;&gt;"Espèces","—",IF(I415&lt;&gt;"","☑ Oui","☐ Non")))</f>
        <v/>
      </c>
      <c r="N415" s="39">
        <f>IF(D415="","",IFERROR(VALUE(MID(D415,LEN(D415)-3,3)),""))</f>
        <v/>
      </c>
      <c r="O415" s="33">
        <f>IF(N415="","",L415&amp;"|"&amp;N415)</f>
        <v/>
      </c>
      <c r="P415" s="33">
        <f>IF(N415="","",IF(L415="À RENSEIGNER","GIC",L415)&amp;"-"&amp;TEXT(N415,"000"))</f>
        <v/>
      </c>
      <c r="Q415" s="33">
        <f>IF(O415="","",IFERROR(INDEX(Cl_nom,MATCH(O415,Cl_cle,0)),"(client introuvable)"))</f>
        <v/>
      </c>
      <c r="R415" s="40">
        <f>IF(O415="","",IFERROR(INDEX(Cl_reste,MATCH(O415,Cl_cle,0)),""))</f>
        <v/>
      </c>
      <c r="S415" s="34">
        <f>IF(C415="","",YEAR(C415-WEEKDAY(C415,2)+4)&amp;"-S"&amp;TEXT(INT((C415-DATE(YEAR(C415-WEEKDAY(C415,2)+4),1,3)+WEEKDAY(DATE(YEAR(C415-WEEKDAY(C415,2)+4),1,3),2)+5)/7),"00"))</f>
        <v/>
      </c>
    </row>
    <row r="416" ht="18" customHeight="1">
      <c r="A416" s="39" t="n">
        <v>411</v>
      </c>
      <c r="B416" s="33">
        <f>IF(C416="","",IF(L416="À RENSEIGNER","GIC",L416)&amp;"-E"&amp;TEXT(A416,"00000"))</f>
        <v/>
      </c>
      <c r="C416" s="32" t="n"/>
      <c r="D416" s="36" t="n"/>
      <c r="E416" s="37" t="n"/>
      <c r="F416" s="36" t="n"/>
      <c r="G416" s="44" t="n"/>
      <c r="H416" s="43" t="n"/>
      <c r="I416" s="32" t="n"/>
      <c r="J416" s="44" t="n"/>
      <c r="K416" s="36" t="n"/>
      <c r="L416" s="33">
        <f>IF(C416="","",Commercial_Id)</f>
        <v/>
      </c>
      <c r="M416" s="34">
        <f>IF(OR(C416="",F416=""),"",IF(F416&lt;&gt;"Espèces","—",IF(I416&lt;&gt;"","☑ Oui","☐ Non")))</f>
        <v/>
      </c>
      <c r="N416" s="39">
        <f>IF(D416="","",IFERROR(VALUE(MID(D416,LEN(D416)-3,3)),""))</f>
        <v/>
      </c>
      <c r="O416" s="33">
        <f>IF(N416="","",L416&amp;"|"&amp;N416)</f>
        <v/>
      </c>
      <c r="P416" s="33">
        <f>IF(N416="","",IF(L416="À RENSEIGNER","GIC",L416)&amp;"-"&amp;TEXT(N416,"000"))</f>
        <v/>
      </c>
      <c r="Q416" s="33">
        <f>IF(O416="","",IFERROR(INDEX(Cl_nom,MATCH(O416,Cl_cle,0)),"(client introuvable)"))</f>
        <v/>
      </c>
      <c r="R416" s="40">
        <f>IF(O416="","",IFERROR(INDEX(Cl_reste,MATCH(O416,Cl_cle,0)),""))</f>
        <v/>
      </c>
      <c r="S416" s="34">
        <f>IF(C416="","",YEAR(C416-WEEKDAY(C416,2)+4)&amp;"-S"&amp;TEXT(INT((C416-DATE(YEAR(C416-WEEKDAY(C416,2)+4),1,3)+WEEKDAY(DATE(YEAR(C416-WEEKDAY(C416,2)+4),1,3),2)+5)/7),"00"))</f>
        <v/>
      </c>
    </row>
    <row r="417" ht="18" customHeight="1">
      <c r="A417" s="39" t="n">
        <v>412</v>
      </c>
      <c r="B417" s="33">
        <f>IF(C417="","",IF(L417="À RENSEIGNER","GIC",L417)&amp;"-E"&amp;TEXT(A417,"00000"))</f>
        <v/>
      </c>
      <c r="C417" s="32" t="n"/>
      <c r="D417" s="36" t="n"/>
      <c r="E417" s="37" t="n"/>
      <c r="F417" s="36" t="n"/>
      <c r="G417" s="44" t="n"/>
      <c r="H417" s="43" t="n"/>
      <c r="I417" s="32" t="n"/>
      <c r="J417" s="44" t="n"/>
      <c r="K417" s="36" t="n"/>
      <c r="L417" s="33">
        <f>IF(C417="","",Commercial_Id)</f>
        <v/>
      </c>
      <c r="M417" s="34">
        <f>IF(OR(C417="",F417=""),"",IF(F417&lt;&gt;"Espèces","—",IF(I417&lt;&gt;"","☑ Oui","☐ Non")))</f>
        <v/>
      </c>
      <c r="N417" s="39">
        <f>IF(D417="","",IFERROR(VALUE(MID(D417,LEN(D417)-3,3)),""))</f>
        <v/>
      </c>
      <c r="O417" s="33">
        <f>IF(N417="","",L417&amp;"|"&amp;N417)</f>
        <v/>
      </c>
      <c r="P417" s="33">
        <f>IF(N417="","",IF(L417="À RENSEIGNER","GIC",L417)&amp;"-"&amp;TEXT(N417,"000"))</f>
        <v/>
      </c>
      <c r="Q417" s="33">
        <f>IF(O417="","",IFERROR(INDEX(Cl_nom,MATCH(O417,Cl_cle,0)),"(client introuvable)"))</f>
        <v/>
      </c>
      <c r="R417" s="40">
        <f>IF(O417="","",IFERROR(INDEX(Cl_reste,MATCH(O417,Cl_cle,0)),""))</f>
        <v/>
      </c>
      <c r="S417" s="34">
        <f>IF(C417="","",YEAR(C417-WEEKDAY(C417,2)+4)&amp;"-S"&amp;TEXT(INT((C417-DATE(YEAR(C417-WEEKDAY(C417,2)+4),1,3)+WEEKDAY(DATE(YEAR(C417-WEEKDAY(C417,2)+4),1,3),2)+5)/7),"00"))</f>
        <v/>
      </c>
    </row>
    <row r="418" ht="18" customHeight="1">
      <c r="A418" s="39" t="n">
        <v>413</v>
      </c>
      <c r="B418" s="33">
        <f>IF(C418="","",IF(L418="À RENSEIGNER","GIC",L418)&amp;"-E"&amp;TEXT(A418,"00000"))</f>
        <v/>
      </c>
      <c r="C418" s="32" t="n"/>
      <c r="D418" s="36" t="n"/>
      <c r="E418" s="37" t="n"/>
      <c r="F418" s="36" t="n"/>
      <c r="G418" s="44" t="n"/>
      <c r="H418" s="43" t="n"/>
      <c r="I418" s="32" t="n"/>
      <c r="J418" s="44" t="n"/>
      <c r="K418" s="36" t="n"/>
      <c r="L418" s="33">
        <f>IF(C418="","",Commercial_Id)</f>
        <v/>
      </c>
      <c r="M418" s="34">
        <f>IF(OR(C418="",F418=""),"",IF(F418&lt;&gt;"Espèces","—",IF(I418&lt;&gt;"","☑ Oui","☐ Non")))</f>
        <v/>
      </c>
      <c r="N418" s="39">
        <f>IF(D418="","",IFERROR(VALUE(MID(D418,LEN(D418)-3,3)),""))</f>
        <v/>
      </c>
      <c r="O418" s="33">
        <f>IF(N418="","",L418&amp;"|"&amp;N418)</f>
        <v/>
      </c>
      <c r="P418" s="33">
        <f>IF(N418="","",IF(L418="À RENSEIGNER","GIC",L418)&amp;"-"&amp;TEXT(N418,"000"))</f>
        <v/>
      </c>
      <c r="Q418" s="33">
        <f>IF(O418="","",IFERROR(INDEX(Cl_nom,MATCH(O418,Cl_cle,0)),"(client introuvable)"))</f>
        <v/>
      </c>
      <c r="R418" s="40">
        <f>IF(O418="","",IFERROR(INDEX(Cl_reste,MATCH(O418,Cl_cle,0)),""))</f>
        <v/>
      </c>
      <c r="S418" s="34">
        <f>IF(C418="","",YEAR(C418-WEEKDAY(C418,2)+4)&amp;"-S"&amp;TEXT(INT((C418-DATE(YEAR(C418-WEEKDAY(C418,2)+4),1,3)+WEEKDAY(DATE(YEAR(C418-WEEKDAY(C418,2)+4),1,3),2)+5)/7),"00"))</f>
        <v/>
      </c>
    </row>
    <row r="419" ht="18" customHeight="1">
      <c r="A419" s="39" t="n">
        <v>414</v>
      </c>
      <c r="B419" s="33">
        <f>IF(C419="","",IF(L419="À RENSEIGNER","GIC",L419)&amp;"-E"&amp;TEXT(A419,"00000"))</f>
        <v/>
      </c>
      <c r="C419" s="32" t="n"/>
      <c r="D419" s="36" t="n"/>
      <c r="E419" s="37" t="n"/>
      <c r="F419" s="36" t="n"/>
      <c r="G419" s="44" t="n"/>
      <c r="H419" s="43" t="n"/>
      <c r="I419" s="32" t="n"/>
      <c r="J419" s="44" t="n"/>
      <c r="K419" s="36" t="n"/>
      <c r="L419" s="33">
        <f>IF(C419="","",Commercial_Id)</f>
        <v/>
      </c>
      <c r="M419" s="34">
        <f>IF(OR(C419="",F419=""),"",IF(F419&lt;&gt;"Espèces","—",IF(I419&lt;&gt;"","☑ Oui","☐ Non")))</f>
        <v/>
      </c>
      <c r="N419" s="39">
        <f>IF(D419="","",IFERROR(VALUE(MID(D419,LEN(D419)-3,3)),""))</f>
        <v/>
      </c>
      <c r="O419" s="33">
        <f>IF(N419="","",L419&amp;"|"&amp;N419)</f>
        <v/>
      </c>
      <c r="P419" s="33">
        <f>IF(N419="","",IF(L419="À RENSEIGNER","GIC",L419)&amp;"-"&amp;TEXT(N419,"000"))</f>
        <v/>
      </c>
      <c r="Q419" s="33">
        <f>IF(O419="","",IFERROR(INDEX(Cl_nom,MATCH(O419,Cl_cle,0)),"(client introuvable)"))</f>
        <v/>
      </c>
      <c r="R419" s="40">
        <f>IF(O419="","",IFERROR(INDEX(Cl_reste,MATCH(O419,Cl_cle,0)),""))</f>
        <v/>
      </c>
      <c r="S419" s="34">
        <f>IF(C419="","",YEAR(C419-WEEKDAY(C419,2)+4)&amp;"-S"&amp;TEXT(INT((C419-DATE(YEAR(C419-WEEKDAY(C419,2)+4),1,3)+WEEKDAY(DATE(YEAR(C419-WEEKDAY(C419,2)+4),1,3),2)+5)/7),"00"))</f>
        <v/>
      </c>
    </row>
    <row r="420" ht="18" customHeight="1">
      <c r="A420" s="39" t="n">
        <v>415</v>
      </c>
      <c r="B420" s="33">
        <f>IF(C420="","",IF(L420="À RENSEIGNER","GIC",L420)&amp;"-E"&amp;TEXT(A420,"00000"))</f>
        <v/>
      </c>
      <c r="C420" s="32" t="n"/>
      <c r="D420" s="36" t="n"/>
      <c r="E420" s="37" t="n"/>
      <c r="F420" s="36" t="n"/>
      <c r="G420" s="44" t="n"/>
      <c r="H420" s="43" t="n"/>
      <c r="I420" s="32" t="n"/>
      <c r="J420" s="44" t="n"/>
      <c r="K420" s="36" t="n"/>
      <c r="L420" s="33">
        <f>IF(C420="","",Commercial_Id)</f>
        <v/>
      </c>
      <c r="M420" s="34">
        <f>IF(OR(C420="",F420=""),"",IF(F420&lt;&gt;"Espèces","—",IF(I420&lt;&gt;"","☑ Oui","☐ Non")))</f>
        <v/>
      </c>
      <c r="N420" s="39">
        <f>IF(D420="","",IFERROR(VALUE(MID(D420,LEN(D420)-3,3)),""))</f>
        <v/>
      </c>
      <c r="O420" s="33">
        <f>IF(N420="","",L420&amp;"|"&amp;N420)</f>
        <v/>
      </c>
      <c r="P420" s="33">
        <f>IF(N420="","",IF(L420="À RENSEIGNER","GIC",L420)&amp;"-"&amp;TEXT(N420,"000"))</f>
        <v/>
      </c>
      <c r="Q420" s="33">
        <f>IF(O420="","",IFERROR(INDEX(Cl_nom,MATCH(O420,Cl_cle,0)),"(client introuvable)"))</f>
        <v/>
      </c>
      <c r="R420" s="40">
        <f>IF(O420="","",IFERROR(INDEX(Cl_reste,MATCH(O420,Cl_cle,0)),""))</f>
        <v/>
      </c>
      <c r="S420" s="34">
        <f>IF(C420="","",YEAR(C420-WEEKDAY(C420,2)+4)&amp;"-S"&amp;TEXT(INT((C420-DATE(YEAR(C420-WEEKDAY(C420,2)+4),1,3)+WEEKDAY(DATE(YEAR(C420-WEEKDAY(C420,2)+4),1,3),2)+5)/7),"00"))</f>
        <v/>
      </c>
    </row>
    <row r="421" ht="18" customHeight="1">
      <c r="A421" s="39" t="n">
        <v>416</v>
      </c>
      <c r="B421" s="33">
        <f>IF(C421="","",IF(L421="À RENSEIGNER","GIC",L421)&amp;"-E"&amp;TEXT(A421,"00000"))</f>
        <v/>
      </c>
      <c r="C421" s="32" t="n"/>
      <c r="D421" s="36" t="n"/>
      <c r="E421" s="37" t="n"/>
      <c r="F421" s="36" t="n"/>
      <c r="G421" s="44" t="n"/>
      <c r="H421" s="43" t="n"/>
      <c r="I421" s="32" t="n"/>
      <c r="J421" s="44" t="n"/>
      <c r="K421" s="36" t="n"/>
      <c r="L421" s="33">
        <f>IF(C421="","",Commercial_Id)</f>
        <v/>
      </c>
      <c r="M421" s="34">
        <f>IF(OR(C421="",F421=""),"",IF(F421&lt;&gt;"Espèces","—",IF(I421&lt;&gt;"","☑ Oui","☐ Non")))</f>
        <v/>
      </c>
      <c r="N421" s="39">
        <f>IF(D421="","",IFERROR(VALUE(MID(D421,LEN(D421)-3,3)),""))</f>
        <v/>
      </c>
      <c r="O421" s="33">
        <f>IF(N421="","",L421&amp;"|"&amp;N421)</f>
        <v/>
      </c>
      <c r="P421" s="33">
        <f>IF(N421="","",IF(L421="À RENSEIGNER","GIC",L421)&amp;"-"&amp;TEXT(N421,"000"))</f>
        <v/>
      </c>
      <c r="Q421" s="33">
        <f>IF(O421="","",IFERROR(INDEX(Cl_nom,MATCH(O421,Cl_cle,0)),"(client introuvable)"))</f>
        <v/>
      </c>
      <c r="R421" s="40">
        <f>IF(O421="","",IFERROR(INDEX(Cl_reste,MATCH(O421,Cl_cle,0)),""))</f>
        <v/>
      </c>
      <c r="S421" s="34">
        <f>IF(C421="","",YEAR(C421-WEEKDAY(C421,2)+4)&amp;"-S"&amp;TEXT(INT((C421-DATE(YEAR(C421-WEEKDAY(C421,2)+4),1,3)+WEEKDAY(DATE(YEAR(C421-WEEKDAY(C421,2)+4),1,3),2)+5)/7),"00"))</f>
        <v/>
      </c>
    </row>
    <row r="422" ht="18" customHeight="1">
      <c r="A422" s="39" t="n">
        <v>417</v>
      </c>
      <c r="B422" s="33">
        <f>IF(C422="","",IF(L422="À RENSEIGNER","GIC",L422)&amp;"-E"&amp;TEXT(A422,"00000"))</f>
        <v/>
      </c>
      <c r="C422" s="32" t="n"/>
      <c r="D422" s="36" t="n"/>
      <c r="E422" s="37" t="n"/>
      <c r="F422" s="36" t="n"/>
      <c r="G422" s="44" t="n"/>
      <c r="H422" s="43" t="n"/>
      <c r="I422" s="32" t="n"/>
      <c r="J422" s="44" t="n"/>
      <c r="K422" s="36" t="n"/>
      <c r="L422" s="33">
        <f>IF(C422="","",Commercial_Id)</f>
        <v/>
      </c>
      <c r="M422" s="34">
        <f>IF(OR(C422="",F422=""),"",IF(F422&lt;&gt;"Espèces","—",IF(I422&lt;&gt;"","☑ Oui","☐ Non")))</f>
        <v/>
      </c>
      <c r="N422" s="39">
        <f>IF(D422="","",IFERROR(VALUE(MID(D422,LEN(D422)-3,3)),""))</f>
        <v/>
      </c>
      <c r="O422" s="33">
        <f>IF(N422="","",L422&amp;"|"&amp;N422)</f>
        <v/>
      </c>
      <c r="P422" s="33">
        <f>IF(N422="","",IF(L422="À RENSEIGNER","GIC",L422)&amp;"-"&amp;TEXT(N422,"000"))</f>
        <v/>
      </c>
      <c r="Q422" s="33">
        <f>IF(O422="","",IFERROR(INDEX(Cl_nom,MATCH(O422,Cl_cle,0)),"(client introuvable)"))</f>
        <v/>
      </c>
      <c r="R422" s="40">
        <f>IF(O422="","",IFERROR(INDEX(Cl_reste,MATCH(O422,Cl_cle,0)),""))</f>
        <v/>
      </c>
      <c r="S422" s="34">
        <f>IF(C422="","",YEAR(C422-WEEKDAY(C422,2)+4)&amp;"-S"&amp;TEXT(INT((C422-DATE(YEAR(C422-WEEKDAY(C422,2)+4),1,3)+WEEKDAY(DATE(YEAR(C422-WEEKDAY(C422,2)+4),1,3),2)+5)/7),"00"))</f>
        <v/>
      </c>
    </row>
    <row r="423" ht="18" customHeight="1">
      <c r="A423" s="39" t="n">
        <v>418</v>
      </c>
      <c r="B423" s="33">
        <f>IF(C423="","",IF(L423="À RENSEIGNER","GIC",L423)&amp;"-E"&amp;TEXT(A423,"00000"))</f>
        <v/>
      </c>
      <c r="C423" s="32" t="n"/>
      <c r="D423" s="36" t="n"/>
      <c r="E423" s="37" t="n"/>
      <c r="F423" s="36" t="n"/>
      <c r="G423" s="44" t="n"/>
      <c r="H423" s="43" t="n"/>
      <c r="I423" s="32" t="n"/>
      <c r="J423" s="44" t="n"/>
      <c r="K423" s="36" t="n"/>
      <c r="L423" s="33">
        <f>IF(C423="","",Commercial_Id)</f>
        <v/>
      </c>
      <c r="M423" s="34">
        <f>IF(OR(C423="",F423=""),"",IF(F423&lt;&gt;"Espèces","—",IF(I423&lt;&gt;"","☑ Oui","☐ Non")))</f>
        <v/>
      </c>
      <c r="N423" s="39">
        <f>IF(D423="","",IFERROR(VALUE(MID(D423,LEN(D423)-3,3)),""))</f>
        <v/>
      </c>
      <c r="O423" s="33">
        <f>IF(N423="","",L423&amp;"|"&amp;N423)</f>
        <v/>
      </c>
      <c r="P423" s="33">
        <f>IF(N423="","",IF(L423="À RENSEIGNER","GIC",L423)&amp;"-"&amp;TEXT(N423,"000"))</f>
        <v/>
      </c>
      <c r="Q423" s="33">
        <f>IF(O423="","",IFERROR(INDEX(Cl_nom,MATCH(O423,Cl_cle,0)),"(client introuvable)"))</f>
        <v/>
      </c>
      <c r="R423" s="40">
        <f>IF(O423="","",IFERROR(INDEX(Cl_reste,MATCH(O423,Cl_cle,0)),""))</f>
        <v/>
      </c>
      <c r="S423" s="34">
        <f>IF(C423="","",YEAR(C423-WEEKDAY(C423,2)+4)&amp;"-S"&amp;TEXT(INT((C423-DATE(YEAR(C423-WEEKDAY(C423,2)+4),1,3)+WEEKDAY(DATE(YEAR(C423-WEEKDAY(C423,2)+4),1,3),2)+5)/7),"00"))</f>
        <v/>
      </c>
    </row>
    <row r="424" ht="18" customHeight="1">
      <c r="A424" s="39" t="n">
        <v>419</v>
      </c>
      <c r="B424" s="33">
        <f>IF(C424="","",IF(L424="À RENSEIGNER","GIC",L424)&amp;"-E"&amp;TEXT(A424,"00000"))</f>
        <v/>
      </c>
      <c r="C424" s="32" t="n"/>
      <c r="D424" s="36" t="n"/>
      <c r="E424" s="37" t="n"/>
      <c r="F424" s="36" t="n"/>
      <c r="G424" s="44" t="n"/>
      <c r="H424" s="43" t="n"/>
      <c r="I424" s="32" t="n"/>
      <c r="J424" s="44" t="n"/>
      <c r="K424" s="36" t="n"/>
      <c r="L424" s="33">
        <f>IF(C424="","",Commercial_Id)</f>
        <v/>
      </c>
      <c r="M424" s="34">
        <f>IF(OR(C424="",F424=""),"",IF(F424&lt;&gt;"Espèces","—",IF(I424&lt;&gt;"","☑ Oui","☐ Non")))</f>
        <v/>
      </c>
      <c r="N424" s="39">
        <f>IF(D424="","",IFERROR(VALUE(MID(D424,LEN(D424)-3,3)),""))</f>
        <v/>
      </c>
      <c r="O424" s="33">
        <f>IF(N424="","",L424&amp;"|"&amp;N424)</f>
        <v/>
      </c>
      <c r="P424" s="33">
        <f>IF(N424="","",IF(L424="À RENSEIGNER","GIC",L424)&amp;"-"&amp;TEXT(N424,"000"))</f>
        <v/>
      </c>
      <c r="Q424" s="33">
        <f>IF(O424="","",IFERROR(INDEX(Cl_nom,MATCH(O424,Cl_cle,0)),"(client introuvable)"))</f>
        <v/>
      </c>
      <c r="R424" s="40">
        <f>IF(O424="","",IFERROR(INDEX(Cl_reste,MATCH(O424,Cl_cle,0)),""))</f>
        <v/>
      </c>
      <c r="S424" s="34">
        <f>IF(C424="","",YEAR(C424-WEEKDAY(C424,2)+4)&amp;"-S"&amp;TEXT(INT((C424-DATE(YEAR(C424-WEEKDAY(C424,2)+4),1,3)+WEEKDAY(DATE(YEAR(C424-WEEKDAY(C424,2)+4),1,3),2)+5)/7),"00"))</f>
        <v/>
      </c>
    </row>
    <row r="425" ht="18" customHeight="1">
      <c r="A425" s="39" t="n">
        <v>420</v>
      </c>
      <c r="B425" s="33">
        <f>IF(C425="","",IF(L425="À RENSEIGNER","GIC",L425)&amp;"-E"&amp;TEXT(A425,"00000"))</f>
        <v/>
      </c>
      <c r="C425" s="32" t="n"/>
      <c r="D425" s="36" t="n"/>
      <c r="E425" s="37" t="n"/>
      <c r="F425" s="36" t="n"/>
      <c r="G425" s="44" t="n"/>
      <c r="H425" s="43" t="n"/>
      <c r="I425" s="32" t="n"/>
      <c r="J425" s="44" t="n"/>
      <c r="K425" s="36" t="n"/>
      <c r="L425" s="33">
        <f>IF(C425="","",Commercial_Id)</f>
        <v/>
      </c>
      <c r="M425" s="34">
        <f>IF(OR(C425="",F425=""),"",IF(F425&lt;&gt;"Espèces","—",IF(I425&lt;&gt;"","☑ Oui","☐ Non")))</f>
        <v/>
      </c>
      <c r="N425" s="39">
        <f>IF(D425="","",IFERROR(VALUE(MID(D425,LEN(D425)-3,3)),""))</f>
        <v/>
      </c>
      <c r="O425" s="33">
        <f>IF(N425="","",L425&amp;"|"&amp;N425)</f>
        <v/>
      </c>
      <c r="P425" s="33">
        <f>IF(N425="","",IF(L425="À RENSEIGNER","GIC",L425)&amp;"-"&amp;TEXT(N425,"000"))</f>
        <v/>
      </c>
      <c r="Q425" s="33">
        <f>IF(O425="","",IFERROR(INDEX(Cl_nom,MATCH(O425,Cl_cle,0)),"(client introuvable)"))</f>
        <v/>
      </c>
      <c r="R425" s="40">
        <f>IF(O425="","",IFERROR(INDEX(Cl_reste,MATCH(O425,Cl_cle,0)),""))</f>
        <v/>
      </c>
      <c r="S425" s="34">
        <f>IF(C425="","",YEAR(C425-WEEKDAY(C425,2)+4)&amp;"-S"&amp;TEXT(INT((C425-DATE(YEAR(C425-WEEKDAY(C425,2)+4),1,3)+WEEKDAY(DATE(YEAR(C425-WEEKDAY(C425,2)+4),1,3),2)+5)/7),"00"))</f>
        <v/>
      </c>
    </row>
    <row r="426" ht="18" customHeight="1">
      <c r="A426" s="39" t="n">
        <v>421</v>
      </c>
      <c r="B426" s="33">
        <f>IF(C426="","",IF(L426="À RENSEIGNER","GIC",L426)&amp;"-E"&amp;TEXT(A426,"00000"))</f>
        <v/>
      </c>
      <c r="C426" s="32" t="n"/>
      <c r="D426" s="36" t="n"/>
      <c r="E426" s="37" t="n"/>
      <c r="F426" s="36" t="n"/>
      <c r="G426" s="44" t="n"/>
      <c r="H426" s="43" t="n"/>
      <c r="I426" s="32" t="n"/>
      <c r="J426" s="44" t="n"/>
      <c r="K426" s="36" t="n"/>
      <c r="L426" s="33">
        <f>IF(C426="","",Commercial_Id)</f>
        <v/>
      </c>
      <c r="M426" s="34">
        <f>IF(OR(C426="",F426=""),"",IF(F426&lt;&gt;"Espèces","—",IF(I426&lt;&gt;"","☑ Oui","☐ Non")))</f>
        <v/>
      </c>
      <c r="N426" s="39">
        <f>IF(D426="","",IFERROR(VALUE(MID(D426,LEN(D426)-3,3)),""))</f>
        <v/>
      </c>
      <c r="O426" s="33">
        <f>IF(N426="","",L426&amp;"|"&amp;N426)</f>
        <v/>
      </c>
      <c r="P426" s="33">
        <f>IF(N426="","",IF(L426="À RENSEIGNER","GIC",L426)&amp;"-"&amp;TEXT(N426,"000"))</f>
        <v/>
      </c>
      <c r="Q426" s="33">
        <f>IF(O426="","",IFERROR(INDEX(Cl_nom,MATCH(O426,Cl_cle,0)),"(client introuvable)"))</f>
        <v/>
      </c>
      <c r="R426" s="40">
        <f>IF(O426="","",IFERROR(INDEX(Cl_reste,MATCH(O426,Cl_cle,0)),""))</f>
        <v/>
      </c>
      <c r="S426" s="34">
        <f>IF(C426="","",YEAR(C426-WEEKDAY(C426,2)+4)&amp;"-S"&amp;TEXT(INT((C426-DATE(YEAR(C426-WEEKDAY(C426,2)+4),1,3)+WEEKDAY(DATE(YEAR(C426-WEEKDAY(C426,2)+4),1,3),2)+5)/7),"00"))</f>
        <v/>
      </c>
    </row>
    <row r="427" ht="18" customHeight="1">
      <c r="A427" s="39" t="n">
        <v>422</v>
      </c>
      <c r="B427" s="33">
        <f>IF(C427="","",IF(L427="À RENSEIGNER","GIC",L427)&amp;"-E"&amp;TEXT(A427,"00000"))</f>
        <v/>
      </c>
      <c r="C427" s="32" t="n"/>
      <c r="D427" s="36" t="n"/>
      <c r="E427" s="37" t="n"/>
      <c r="F427" s="36" t="n"/>
      <c r="G427" s="44" t="n"/>
      <c r="H427" s="43" t="n"/>
      <c r="I427" s="32" t="n"/>
      <c r="J427" s="44" t="n"/>
      <c r="K427" s="36" t="n"/>
      <c r="L427" s="33">
        <f>IF(C427="","",Commercial_Id)</f>
        <v/>
      </c>
      <c r="M427" s="34">
        <f>IF(OR(C427="",F427=""),"",IF(F427&lt;&gt;"Espèces","—",IF(I427&lt;&gt;"","☑ Oui","☐ Non")))</f>
        <v/>
      </c>
      <c r="N427" s="39">
        <f>IF(D427="","",IFERROR(VALUE(MID(D427,LEN(D427)-3,3)),""))</f>
        <v/>
      </c>
      <c r="O427" s="33">
        <f>IF(N427="","",L427&amp;"|"&amp;N427)</f>
        <v/>
      </c>
      <c r="P427" s="33">
        <f>IF(N427="","",IF(L427="À RENSEIGNER","GIC",L427)&amp;"-"&amp;TEXT(N427,"000"))</f>
        <v/>
      </c>
      <c r="Q427" s="33">
        <f>IF(O427="","",IFERROR(INDEX(Cl_nom,MATCH(O427,Cl_cle,0)),"(client introuvable)"))</f>
        <v/>
      </c>
      <c r="R427" s="40">
        <f>IF(O427="","",IFERROR(INDEX(Cl_reste,MATCH(O427,Cl_cle,0)),""))</f>
        <v/>
      </c>
      <c r="S427" s="34">
        <f>IF(C427="","",YEAR(C427-WEEKDAY(C427,2)+4)&amp;"-S"&amp;TEXT(INT((C427-DATE(YEAR(C427-WEEKDAY(C427,2)+4),1,3)+WEEKDAY(DATE(YEAR(C427-WEEKDAY(C427,2)+4),1,3),2)+5)/7),"00"))</f>
        <v/>
      </c>
    </row>
    <row r="428" ht="18" customHeight="1">
      <c r="A428" s="39" t="n">
        <v>423</v>
      </c>
      <c r="B428" s="33">
        <f>IF(C428="","",IF(L428="À RENSEIGNER","GIC",L428)&amp;"-E"&amp;TEXT(A428,"00000"))</f>
        <v/>
      </c>
      <c r="C428" s="32" t="n"/>
      <c r="D428" s="36" t="n"/>
      <c r="E428" s="37" t="n"/>
      <c r="F428" s="36" t="n"/>
      <c r="G428" s="44" t="n"/>
      <c r="H428" s="43" t="n"/>
      <c r="I428" s="32" t="n"/>
      <c r="J428" s="44" t="n"/>
      <c r="K428" s="36" t="n"/>
      <c r="L428" s="33">
        <f>IF(C428="","",Commercial_Id)</f>
        <v/>
      </c>
      <c r="M428" s="34">
        <f>IF(OR(C428="",F428=""),"",IF(F428&lt;&gt;"Espèces","—",IF(I428&lt;&gt;"","☑ Oui","☐ Non")))</f>
        <v/>
      </c>
      <c r="N428" s="39">
        <f>IF(D428="","",IFERROR(VALUE(MID(D428,LEN(D428)-3,3)),""))</f>
        <v/>
      </c>
      <c r="O428" s="33">
        <f>IF(N428="","",L428&amp;"|"&amp;N428)</f>
        <v/>
      </c>
      <c r="P428" s="33">
        <f>IF(N428="","",IF(L428="À RENSEIGNER","GIC",L428)&amp;"-"&amp;TEXT(N428,"000"))</f>
        <v/>
      </c>
      <c r="Q428" s="33">
        <f>IF(O428="","",IFERROR(INDEX(Cl_nom,MATCH(O428,Cl_cle,0)),"(client introuvable)"))</f>
        <v/>
      </c>
      <c r="R428" s="40">
        <f>IF(O428="","",IFERROR(INDEX(Cl_reste,MATCH(O428,Cl_cle,0)),""))</f>
        <v/>
      </c>
      <c r="S428" s="34">
        <f>IF(C428="","",YEAR(C428-WEEKDAY(C428,2)+4)&amp;"-S"&amp;TEXT(INT((C428-DATE(YEAR(C428-WEEKDAY(C428,2)+4),1,3)+WEEKDAY(DATE(YEAR(C428-WEEKDAY(C428,2)+4),1,3),2)+5)/7),"00"))</f>
        <v/>
      </c>
    </row>
    <row r="429" ht="18" customHeight="1">
      <c r="A429" s="39" t="n">
        <v>424</v>
      </c>
      <c r="B429" s="33">
        <f>IF(C429="","",IF(L429="À RENSEIGNER","GIC",L429)&amp;"-E"&amp;TEXT(A429,"00000"))</f>
        <v/>
      </c>
      <c r="C429" s="32" t="n"/>
      <c r="D429" s="36" t="n"/>
      <c r="E429" s="37" t="n"/>
      <c r="F429" s="36" t="n"/>
      <c r="G429" s="44" t="n"/>
      <c r="H429" s="43" t="n"/>
      <c r="I429" s="32" t="n"/>
      <c r="J429" s="44" t="n"/>
      <c r="K429" s="36" t="n"/>
      <c r="L429" s="33">
        <f>IF(C429="","",Commercial_Id)</f>
        <v/>
      </c>
      <c r="M429" s="34">
        <f>IF(OR(C429="",F429=""),"",IF(F429&lt;&gt;"Espèces","—",IF(I429&lt;&gt;"","☑ Oui","☐ Non")))</f>
        <v/>
      </c>
      <c r="N429" s="39">
        <f>IF(D429="","",IFERROR(VALUE(MID(D429,LEN(D429)-3,3)),""))</f>
        <v/>
      </c>
      <c r="O429" s="33">
        <f>IF(N429="","",L429&amp;"|"&amp;N429)</f>
        <v/>
      </c>
      <c r="P429" s="33">
        <f>IF(N429="","",IF(L429="À RENSEIGNER","GIC",L429)&amp;"-"&amp;TEXT(N429,"000"))</f>
        <v/>
      </c>
      <c r="Q429" s="33">
        <f>IF(O429="","",IFERROR(INDEX(Cl_nom,MATCH(O429,Cl_cle,0)),"(client introuvable)"))</f>
        <v/>
      </c>
      <c r="R429" s="40">
        <f>IF(O429="","",IFERROR(INDEX(Cl_reste,MATCH(O429,Cl_cle,0)),""))</f>
        <v/>
      </c>
      <c r="S429" s="34">
        <f>IF(C429="","",YEAR(C429-WEEKDAY(C429,2)+4)&amp;"-S"&amp;TEXT(INT((C429-DATE(YEAR(C429-WEEKDAY(C429,2)+4),1,3)+WEEKDAY(DATE(YEAR(C429-WEEKDAY(C429,2)+4),1,3),2)+5)/7),"00"))</f>
        <v/>
      </c>
    </row>
    <row r="430" ht="18" customHeight="1">
      <c r="A430" s="39" t="n">
        <v>425</v>
      </c>
      <c r="B430" s="33">
        <f>IF(C430="","",IF(L430="À RENSEIGNER","GIC",L430)&amp;"-E"&amp;TEXT(A430,"00000"))</f>
        <v/>
      </c>
      <c r="C430" s="32" t="n"/>
      <c r="D430" s="36" t="n"/>
      <c r="E430" s="37" t="n"/>
      <c r="F430" s="36" t="n"/>
      <c r="G430" s="44" t="n"/>
      <c r="H430" s="43" t="n"/>
      <c r="I430" s="32" t="n"/>
      <c r="J430" s="44" t="n"/>
      <c r="K430" s="36" t="n"/>
      <c r="L430" s="33">
        <f>IF(C430="","",Commercial_Id)</f>
        <v/>
      </c>
      <c r="M430" s="34">
        <f>IF(OR(C430="",F430=""),"",IF(F430&lt;&gt;"Espèces","—",IF(I430&lt;&gt;"","☑ Oui","☐ Non")))</f>
        <v/>
      </c>
      <c r="N430" s="39">
        <f>IF(D430="","",IFERROR(VALUE(MID(D430,LEN(D430)-3,3)),""))</f>
        <v/>
      </c>
      <c r="O430" s="33">
        <f>IF(N430="","",L430&amp;"|"&amp;N430)</f>
        <v/>
      </c>
      <c r="P430" s="33">
        <f>IF(N430="","",IF(L430="À RENSEIGNER","GIC",L430)&amp;"-"&amp;TEXT(N430,"000"))</f>
        <v/>
      </c>
      <c r="Q430" s="33">
        <f>IF(O430="","",IFERROR(INDEX(Cl_nom,MATCH(O430,Cl_cle,0)),"(client introuvable)"))</f>
        <v/>
      </c>
      <c r="R430" s="40">
        <f>IF(O430="","",IFERROR(INDEX(Cl_reste,MATCH(O430,Cl_cle,0)),""))</f>
        <v/>
      </c>
      <c r="S430" s="34">
        <f>IF(C430="","",YEAR(C430-WEEKDAY(C430,2)+4)&amp;"-S"&amp;TEXT(INT((C430-DATE(YEAR(C430-WEEKDAY(C430,2)+4),1,3)+WEEKDAY(DATE(YEAR(C430-WEEKDAY(C430,2)+4),1,3),2)+5)/7),"00"))</f>
        <v/>
      </c>
    </row>
    <row r="431" ht="18" customHeight="1">
      <c r="A431" s="39" t="n">
        <v>426</v>
      </c>
      <c r="B431" s="33">
        <f>IF(C431="","",IF(L431="À RENSEIGNER","GIC",L431)&amp;"-E"&amp;TEXT(A431,"00000"))</f>
        <v/>
      </c>
      <c r="C431" s="32" t="n"/>
      <c r="D431" s="36" t="n"/>
      <c r="E431" s="37" t="n"/>
      <c r="F431" s="36" t="n"/>
      <c r="G431" s="44" t="n"/>
      <c r="H431" s="43" t="n"/>
      <c r="I431" s="32" t="n"/>
      <c r="J431" s="44" t="n"/>
      <c r="K431" s="36" t="n"/>
      <c r="L431" s="33">
        <f>IF(C431="","",Commercial_Id)</f>
        <v/>
      </c>
      <c r="M431" s="34">
        <f>IF(OR(C431="",F431=""),"",IF(F431&lt;&gt;"Espèces","—",IF(I431&lt;&gt;"","☑ Oui","☐ Non")))</f>
        <v/>
      </c>
      <c r="N431" s="39">
        <f>IF(D431="","",IFERROR(VALUE(MID(D431,LEN(D431)-3,3)),""))</f>
        <v/>
      </c>
      <c r="O431" s="33">
        <f>IF(N431="","",L431&amp;"|"&amp;N431)</f>
        <v/>
      </c>
      <c r="P431" s="33">
        <f>IF(N431="","",IF(L431="À RENSEIGNER","GIC",L431)&amp;"-"&amp;TEXT(N431,"000"))</f>
        <v/>
      </c>
      <c r="Q431" s="33">
        <f>IF(O431="","",IFERROR(INDEX(Cl_nom,MATCH(O431,Cl_cle,0)),"(client introuvable)"))</f>
        <v/>
      </c>
      <c r="R431" s="40">
        <f>IF(O431="","",IFERROR(INDEX(Cl_reste,MATCH(O431,Cl_cle,0)),""))</f>
        <v/>
      </c>
      <c r="S431" s="34">
        <f>IF(C431="","",YEAR(C431-WEEKDAY(C431,2)+4)&amp;"-S"&amp;TEXT(INT((C431-DATE(YEAR(C431-WEEKDAY(C431,2)+4),1,3)+WEEKDAY(DATE(YEAR(C431-WEEKDAY(C431,2)+4),1,3),2)+5)/7),"00"))</f>
        <v/>
      </c>
    </row>
    <row r="432" ht="18" customHeight="1">
      <c r="A432" s="39" t="n">
        <v>427</v>
      </c>
      <c r="B432" s="33">
        <f>IF(C432="","",IF(L432="À RENSEIGNER","GIC",L432)&amp;"-E"&amp;TEXT(A432,"00000"))</f>
        <v/>
      </c>
      <c r="C432" s="32" t="n"/>
      <c r="D432" s="36" t="n"/>
      <c r="E432" s="37" t="n"/>
      <c r="F432" s="36" t="n"/>
      <c r="G432" s="44" t="n"/>
      <c r="H432" s="43" t="n"/>
      <c r="I432" s="32" t="n"/>
      <c r="J432" s="44" t="n"/>
      <c r="K432" s="36" t="n"/>
      <c r="L432" s="33">
        <f>IF(C432="","",Commercial_Id)</f>
        <v/>
      </c>
      <c r="M432" s="34">
        <f>IF(OR(C432="",F432=""),"",IF(F432&lt;&gt;"Espèces","—",IF(I432&lt;&gt;"","☑ Oui","☐ Non")))</f>
        <v/>
      </c>
      <c r="N432" s="39">
        <f>IF(D432="","",IFERROR(VALUE(MID(D432,LEN(D432)-3,3)),""))</f>
        <v/>
      </c>
      <c r="O432" s="33">
        <f>IF(N432="","",L432&amp;"|"&amp;N432)</f>
        <v/>
      </c>
      <c r="P432" s="33">
        <f>IF(N432="","",IF(L432="À RENSEIGNER","GIC",L432)&amp;"-"&amp;TEXT(N432,"000"))</f>
        <v/>
      </c>
      <c r="Q432" s="33">
        <f>IF(O432="","",IFERROR(INDEX(Cl_nom,MATCH(O432,Cl_cle,0)),"(client introuvable)"))</f>
        <v/>
      </c>
      <c r="R432" s="40">
        <f>IF(O432="","",IFERROR(INDEX(Cl_reste,MATCH(O432,Cl_cle,0)),""))</f>
        <v/>
      </c>
      <c r="S432" s="34">
        <f>IF(C432="","",YEAR(C432-WEEKDAY(C432,2)+4)&amp;"-S"&amp;TEXT(INT((C432-DATE(YEAR(C432-WEEKDAY(C432,2)+4),1,3)+WEEKDAY(DATE(YEAR(C432-WEEKDAY(C432,2)+4),1,3),2)+5)/7),"00"))</f>
        <v/>
      </c>
    </row>
    <row r="433" ht="18" customHeight="1">
      <c r="A433" s="39" t="n">
        <v>428</v>
      </c>
      <c r="B433" s="33">
        <f>IF(C433="","",IF(L433="À RENSEIGNER","GIC",L433)&amp;"-E"&amp;TEXT(A433,"00000"))</f>
        <v/>
      </c>
      <c r="C433" s="32" t="n"/>
      <c r="D433" s="36" t="n"/>
      <c r="E433" s="37" t="n"/>
      <c r="F433" s="36" t="n"/>
      <c r="G433" s="44" t="n"/>
      <c r="H433" s="43" t="n"/>
      <c r="I433" s="32" t="n"/>
      <c r="J433" s="44" t="n"/>
      <c r="K433" s="36" t="n"/>
      <c r="L433" s="33">
        <f>IF(C433="","",Commercial_Id)</f>
        <v/>
      </c>
      <c r="M433" s="34">
        <f>IF(OR(C433="",F433=""),"",IF(F433&lt;&gt;"Espèces","—",IF(I433&lt;&gt;"","☑ Oui","☐ Non")))</f>
        <v/>
      </c>
      <c r="N433" s="39">
        <f>IF(D433="","",IFERROR(VALUE(MID(D433,LEN(D433)-3,3)),""))</f>
        <v/>
      </c>
      <c r="O433" s="33">
        <f>IF(N433="","",L433&amp;"|"&amp;N433)</f>
        <v/>
      </c>
      <c r="P433" s="33">
        <f>IF(N433="","",IF(L433="À RENSEIGNER","GIC",L433)&amp;"-"&amp;TEXT(N433,"000"))</f>
        <v/>
      </c>
      <c r="Q433" s="33">
        <f>IF(O433="","",IFERROR(INDEX(Cl_nom,MATCH(O433,Cl_cle,0)),"(client introuvable)"))</f>
        <v/>
      </c>
      <c r="R433" s="40">
        <f>IF(O433="","",IFERROR(INDEX(Cl_reste,MATCH(O433,Cl_cle,0)),""))</f>
        <v/>
      </c>
      <c r="S433" s="34">
        <f>IF(C433="","",YEAR(C433-WEEKDAY(C433,2)+4)&amp;"-S"&amp;TEXT(INT((C433-DATE(YEAR(C433-WEEKDAY(C433,2)+4),1,3)+WEEKDAY(DATE(YEAR(C433-WEEKDAY(C433,2)+4),1,3),2)+5)/7),"00"))</f>
        <v/>
      </c>
    </row>
    <row r="434" ht="18" customHeight="1">
      <c r="A434" s="39" t="n">
        <v>429</v>
      </c>
      <c r="B434" s="33">
        <f>IF(C434="","",IF(L434="À RENSEIGNER","GIC",L434)&amp;"-E"&amp;TEXT(A434,"00000"))</f>
        <v/>
      </c>
      <c r="C434" s="32" t="n"/>
      <c r="D434" s="36" t="n"/>
      <c r="E434" s="37" t="n"/>
      <c r="F434" s="36" t="n"/>
      <c r="G434" s="44" t="n"/>
      <c r="H434" s="43" t="n"/>
      <c r="I434" s="32" t="n"/>
      <c r="J434" s="44" t="n"/>
      <c r="K434" s="36" t="n"/>
      <c r="L434" s="33">
        <f>IF(C434="","",Commercial_Id)</f>
        <v/>
      </c>
      <c r="M434" s="34">
        <f>IF(OR(C434="",F434=""),"",IF(F434&lt;&gt;"Espèces","—",IF(I434&lt;&gt;"","☑ Oui","☐ Non")))</f>
        <v/>
      </c>
      <c r="N434" s="39">
        <f>IF(D434="","",IFERROR(VALUE(MID(D434,LEN(D434)-3,3)),""))</f>
        <v/>
      </c>
      <c r="O434" s="33">
        <f>IF(N434="","",L434&amp;"|"&amp;N434)</f>
        <v/>
      </c>
      <c r="P434" s="33">
        <f>IF(N434="","",IF(L434="À RENSEIGNER","GIC",L434)&amp;"-"&amp;TEXT(N434,"000"))</f>
        <v/>
      </c>
      <c r="Q434" s="33">
        <f>IF(O434="","",IFERROR(INDEX(Cl_nom,MATCH(O434,Cl_cle,0)),"(client introuvable)"))</f>
        <v/>
      </c>
      <c r="R434" s="40">
        <f>IF(O434="","",IFERROR(INDEX(Cl_reste,MATCH(O434,Cl_cle,0)),""))</f>
        <v/>
      </c>
      <c r="S434" s="34">
        <f>IF(C434="","",YEAR(C434-WEEKDAY(C434,2)+4)&amp;"-S"&amp;TEXT(INT((C434-DATE(YEAR(C434-WEEKDAY(C434,2)+4),1,3)+WEEKDAY(DATE(YEAR(C434-WEEKDAY(C434,2)+4),1,3),2)+5)/7),"00"))</f>
        <v/>
      </c>
    </row>
    <row r="435" ht="18" customHeight="1">
      <c r="A435" s="39" t="n">
        <v>430</v>
      </c>
      <c r="B435" s="33">
        <f>IF(C435="","",IF(L435="À RENSEIGNER","GIC",L435)&amp;"-E"&amp;TEXT(A435,"00000"))</f>
        <v/>
      </c>
      <c r="C435" s="32" t="n"/>
      <c r="D435" s="36" t="n"/>
      <c r="E435" s="37" t="n"/>
      <c r="F435" s="36" t="n"/>
      <c r="G435" s="44" t="n"/>
      <c r="H435" s="43" t="n"/>
      <c r="I435" s="32" t="n"/>
      <c r="J435" s="44" t="n"/>
      <c r="K435" s="36" t="n"/>
      <c r="L435" s="33">
        <f>IF(C435="","",Commercial_Id)</f>
        <v/>
      </c>
      <c r="M435" s="34">
        <f>IF(OR(C435="",F435=""),"",IF(F435&lt;&gt;"Espèces","—",IF(I435&lt;&gt;"","☑ Oui","☐ Non")))</f>
        <v/>
      </c>
      <c r="N435" s="39">
        <f>IF(D435="","",IFERROR(VALUE(MID(D435,LEN(D435)-3,3)),""))</f>
        <v/>
      </c>
      <c r="O435" s="33">
        <f>IF(N435="","",L435&amp;"|"&amp;N435)</f>
        <v/>
      </c>
      <c r="P435" s="33">
        <f>IF(N435="","",IF(L435="À RENSEIGNER","GIC",L435)&amp;"-"&amp;TEXT(N435,"000"))</f>
        <v/>
      </c>
      <c r="Q435" s="33">
        <f>IF(O435="","",IFERROR(INDEX(Cl_nom,MATCH(O435,Cl_cle,0)),"(client introuvable)"))</f>
        <v/>
      </c>
      <c r="R435" s="40">
        <f>IF(O435="","",IFERROR(INDEX(Cl_reste,MATCH(O435,Cl_cle,0)),""))</f>
        <v/>
      </c>
      <c r="S435" s="34">
        <f>IF(C435="","",YEAR(C435-WEEKDAY(C435,2)+4)&amp;"-S"&amp;TEXT(INT((C435-DATE(YEAR(C435-WEEKDAY(C435,2)+4),1,3)+WEEKDAY(DATE(YEAR(C435-WEEKDAY(C435,2)+4),1,3),2)+5)/7),"00"))</f>
        <v/>
      </c>
    </row>
    <row r="436" ht="18" customHeight="1">
      <c r="A436" s="39" t="n">
        <v>431</v>
      </c>
      <c r="B436" s="33">
        <f>IF(C436="","",IF(L436="À RENSEIGNER","GIC",L436)&amp;"-E"&amp;TEXT(A436,"00000"))</f>
        <v/>
      </c>
      <c r="C436" s="32" t="n"/>
      <c r="D436" s="36" t="n"/>
      <c r="E436" s="37" t="n"/>
      <c r="F436" s="36" t="n"/>
      <c r="G436" s="44" t="n"/>
      <c r="H436" s="43" t="n"/>
      <c r="I436" s="32" t="n"/>
      <c r="J436" s="44" t="n"/>
      <c r="K436" s="36" t="n"/>
      <c r="L436" s="33">
        <f>IF(C436="","",Commercial_Id)</f>
        <v/>
      </c>
      <c r="M436" s="34">
        <f>IF(OR(C436="",F436=""),"",IF(F436&lt;&gt;"Espèces","—",IF(I436&lt;&gt;"","☑ Oui","☐ Non")))</f>
        <v/>
      </c>
      <c r="N436" s="39">
        <f>IF(D436="","",IFERROR(VALUE(MID(D436,LEN(D436)-3,3)),""))</f>
        <v/>
      </c>
      <c r="O436" s="33">
        <f>IF(N436="","",L436&amp;"|"&amp;N436)</f>
        <v/>
      </c>
      <c r="P436" s="33">
        <f>IF(N436="","",IF(L436="À RENSEIGNER","GIC",L436)&amp;"-"&amp;TEXT(N436,"000"))</f>
        <v/>
      </c>
      <c r="Q436" s="33">
        <f>IF(O436="","",IFERROR(INDEX(Cl_nom,MATCH(O436,Cl_cle,0)),"(client introuvable)"))</f>
        <v/>
      </c>
      <c r="R436" s="40">
        <f>IF(O436="","",IFERROR(INDEX(Cl_reste,MATCH(O436,Cl_cle,0)),""))</f>
        <v/>
      </c>
      <c r="S436" s="34">
        <f>IF(C436="","",YEAR(C436-WEEKDAY(C436,2)+4)&amp;"-S"&amp;TEXT(INT((C436-DATE(YEAR(C436-WEEKDAY(C436,2)+4),1,3)+WEEKDAY(DATE(YEAR(C436-WEEKDAY(C436,2)+4),1,3),2)+5)/7),"00"))</f>
        <v/>
      </c>
    </row>
    <row r="437" ht="18" customHeight="1">
      <c r="A437" s="39" t="n">
        <v>432</v>
      </c>
      <c r="B437" s="33">
        <f>IF(C437="","",IF(L437="À RENSEIGNER","GIC",L437)&amp;"-E"&amp;TEXT(A437,"00000"))</f>
        <v/>
      </c>
      <c r="C437" s="32" t="n"/>
      <c r="D437" s="36" t="n"/>
      <c r="E437" s="37" t="n"/>
      <c r="F437" s="36" t="n"/>
      <c r="G437" s="44" t="n"/>
      <c r="H437" s="43" t="n"/>
      <c r="I437" s="32" t="n"/>
      <c r="J437" s="44" t="n"/>
      <c r="K437" s="36" t="n"/>
      <c r="L437" s="33">
        <f>IF(C437="","",Commercial_Id)</f>
        <v/>
      </c>
      <c r="M437" s="34">
        <f>IF(OR(C437="",F437=""),"",IF(F437&lt;&gt;"Espèces","—",IF(I437&lt;&gt;"","☑ Oui","☐ Non")))</f>
        <v/>
      </c>
      <c r="N437" s="39">
        <f>IF(D437="","",IFERROR(VALUE(MID(D437,LEN(D437)-3,3)),""))</f>
        <v/>
      </c>
      <c r="O437" s="33">
        <f>IF(N437="","",L437&amp;"|"&amp;N437)</f>
        <v/>
      </c>
      <c r="P437" s="33">
        <f>IF(N437="","",IF(L437="À RENSEIGNER","GIC",L437)&amp;"-"&amp;TEXT(N437,"000"))</f>
        <v/>
      </c>
      <c r="Q437" s="33">
        <f>IF(O437="","",IFERROR(INDEX(Cl_nom,MATCH(O437,Cl_cle,0)),"(client introuvable)"))</f>
        <v/>
      </c>
      <c r="R437" s="40">
        <f>IF(O437="","",IFERROR(INDEX(Cl_reste,MATCH(O437,Cl_cle,0)),""))</f>
        <v/>
      </c>
      <c r="S437" s="34">
        <f>IF(C437="","",YEAR(C437-WEEKDAY(C437,2)+4)&amp;"-S"&amp;TEXT(INT((C437-DATE(YEAR(C437-WEEKDAY(C437,2)+4),1,3)+WEEKDAY(DATE(YEAR(C437-WEEKDAY(C437,2)+4),1,3),2)+5)/7),"00"))</f>
        <v/>
      </c>
    </row>
    <row r="438" ht="18" customHeight="1">
      <c r="A438" s="39" t="n">
        <v>433</v>
      </c>
      <c r="B438" s="33">
        <f>IF(C438="","",IF(L438="À RENSEIGNER","GIC",L438)&amp;"-E"&amp;TEXT(A438,"00000"))</f>
        <v/>
      </c>
      <c r="C438" s="32" t="n"/>
      <c r="D438" s="36" t="n"/>
      <c r="E438" s="37" t="n"/>
      <c r="F438" s="36" t="n"/>
      <c r="G438" s="44" t="n"/>
      <c r="H438" s="43" t="n"/>
      <c r="I438" s="32" t="n"/>
      <c r="J438" s="44" t="n"/>
      <c r="K438" s="36" t="n"/>
      <c r="L438" s="33">
        <f>IF(C438="","",Commercial_Id)</f>
        <v/>
      </c>
      <c r="M438" s="34">
        <f>IF(OR(C438="",F438=""),"",IF(F438&lt;&gt;"Espèces","—",IF(I438&lt;&gt;"","☑ Oui","☐ Non")))</f>
        <v/>
      </c>
      <c r="N438" s="39">
        <f>IF(D438="","",IFERROR(VALUE(MID(D438,LEN(D438)-3,3)),""))</f>
        <v/>
      </c>
      <c r="O438" s="33">
        <f>IF(N438="","",L438&amp;"|"&amp;N438)</f>
        <v/>
      </c>
      <c r="P438" s="33">
        <f>IF(N438="","",IF(L438="À RENSEIGNER","GIC",L438)&amp;"-"&amp;TEXT(N438,"000"))</f>
        <v/>
      </c>
      <c r="Q438" s="33">
        <f>IF(O438="","",IFERROR(INDEX(Cl_nom,MATCH(O438,Cl_cle,0)),"(client introuvable)"))</f>
        <v/>
      </c>
      <c r="R438" s="40">
        <f>IF(O438="","",IFERROR(INDEX(Cl_reste,MATCH(O438,Cl_cle,0)),""))</f>
        <v/>
      </c>
      <c r="S438" s="34">
        <f>IF(C438="","",YEAR(C438-WEEKDAY(C438,2)+4)&amp;"-S"&amp;TEXT(INT((C438-DATE(YEAR(C438-WEEKDAY(C438,2)+4),1,3)+WEEKDAY(DATE(YEAR(C438-WEEKDAY(C438,2)+4),1,3),2)+5)/7),"00"))</f>
        <v/>
      </c>
    </row>
    <row r="439" ht="18" customHeight="1">
      <c r="A439" s="39" t="n">
        <v>434</v>
      </c>
      <c r="B439" s="33">
        <f>IF(C439="","",IF(L439="À RENSEIGNER","GIC",L439)&amp;"-E"&amp;TEXT(A439,"00000"))</f>
        <v/>
      </c>
      <c r="C439" s="32" t="n"/>
      <c r="D439" s="36" t="n"/>
      <c r="E439" s="37" t="n"/>
      <c r="F439" s="36" t="n"/>
      <c r="G439" s="44" t="n"/>
      <c r="H439" s="43" t="n"/>
      <c r="I439" s="32" t="n"/>
      <c r="J439" s="44" t="n"/>
      <c r="K439" s="36" t="n"/>
      <c r="L439" s="33">
        <f>IF(C439="","",Commercial_Id)</f>
        <v/>
      </c>
      <c r="M439" s="34">
        <f>IF(OR(C439="",F439=""),"",IF(F439&lt;&gt;"Espèces","—",IF(I439&lt;&gt;"","☑ Oui","☐ Non")))</f>
        <v/>
      </c>
      <c r="N439" s="39">
        <f>IF(D439="","",IFERROR(VALUE(MID(D439,LEN(D439)-3,3)),""))</f>
        <v/>
      </c>
      <c r="O439" s="33">
        <f>IF(N439="","",L439&amp;"|"&amp;N439)</f>
        <v/>
      </c>
      <c r="P439" s="33">
        <f>IF(N439="","",IF(L439="À RENSEIGNER","GIC",L439)&amp;"-"&amp;TEXT(N439,"000"))</f>
        <v/>
      </c>
      <c r="Q439" s="33">
        <f>IF(O439="","",IFERROR(INDEX(Cl_nom,MATCH(O439,Cl_cle,0)),"(client introuvable)"))</f>
        <v/>
      </c>
      <c r="R439" s="40">
        <f>IF(O439="","",IFERROR(INDEX(Cl_reste,MATCH(O439,Cl_cle,0)),""))</f>
        <v/>
      </c>
      <c r="S439" s="34">
        <f>IF(C439="","",YEAR(C439-WEEKDAY(C439,2)+4)&amp;"-S"&amp;TEXT(INT((C439-DATE(YEAR(C439-WEEKDAY(C439,2)+4),1,3)+WEEKDAY(DATE(YEAR(C439-WEEKDAY(C439,2)+4),1,3),2)+5)/7),"00"))</f>
        <v/>
      </c>
    </row>
    <row r="440" ht="18" customHeight="1">
      <c r="A440" s="39" t="n">
        <v>435</v>
      </c>
      <c r="B440" s="33">
        <f>IF(C440="","",IF(L440="À RENSEIGNER","GIC",L440)&amp;"-E"&amp;TEXT(A440,"00000"))</f>
        <v/>
      </c>
      <c r="C440" s="32" t="n"/>
      <c r="D440" s="36" t="n"/>
      <c r="E440" s="37" t="n"/>
      <c r="F440" s="36" t="n"/>
      <c r="G440" s="44" t="n"/>
      <c r="H440" s="43" t="n"/>
      <c r="I440" s="32" t="n"/>
      <c r="J440" s="44" t="n"/>
      <c r="K440" s="36" t="n"/>
      <c r="L440" s="33">
        <f>IF(C440="","",Commercial_Id)</f>
        <v/>
      </c>
      <c r="M440" s="34">
        <f>IF(OR(C440="",F440=""),"",IF(F440&lt;&gt;"Espèces","—",IF(I440&lt;&gt;"","☑ Oui","☐ Non")))</f>
        <v/>
      </c>
      <c r="N440" s="39">
        <f>IF(D440="","",IFERROR(VALUE(MID(D440,LEN(D440)-3,3)),""))</f>
        <v/>
      </c>
      <c r="O440" s="33">
        <f>IF(N440="","",L440&amp;"|"&amp;N440)</f>
        <v/>
      </c>
      <c r="P440" s="33">
        <f>IF(N440="","",IF(L440="À RENSEIGNER","GIC",L440)&amp;"-"&amp;TEXT(N440,"000"))</f>
        <v/>
      </c>
      <c r="Q440" s="33">
        <f>IF(O440="","",IFERROR(INDEX(Cl_nom,MATCH(O440,Cl_cle,0)),"(client introuvable)"))</f>
        <v/>
      </c>
      <c r="R440" s="40">
        <f>IF(O440="","",IFERROR(INDEX(Cl_reste,MATCH(O440,Cl_cle,0)),""))</f>
        <v/>
      </c>
      <c r="S440" s="34">
        <f>IF(C440="","",YEAR(C440-WEEKDAY(C440,2)+4)&amp;"-S"&amp;TEXT(INT((C440-DATE(YEAR(C440-WEEKDAY(C440,2)+4),1,3)+WEEKDAY(DATE(YEAR(C440-WEEKDAY(C440,2)+4),1,3),2)+5)/7),"00"))</f>
        <v/>
      </c>
    </row>
    <row r="441" ht="18" customHeight="1">
      <c r="A441" s="39" t="n">
        <v>436</v>
      </c>
      <c r="B441" s="33">
        <f>IF(C441="","",IF(L441="À RENSEIGNER","GIC",L441)&amp;"-E"&amp;TEXT(A441,"00000"))</f>
        <v/>
      </c>
      <c r="C441" s="32" t="n"/>
      <c r="D441" s="36" t="n"/>
      <c r="E441" s="37" t="n"/>
      <c r="F441" s="36" t="n"/>
      <c r="G441" s="44" t="n"/>
      <c r="H441" s="43" t="n"/>
      <c r="I441" s="32" t="n"/>
      <c r="J441" s="44" t="n"/>
      <c r="K441" s="36" t="n"/>
      <c r="L441" s="33">
        <f>IF(C441="","",Commercial_Id)</f>
        <v/>
      </c>
      <c r="M441" s="34">
        <f>IF(OR(C441="",F441=""),"",IF(F441&lt;&gt;"Espèces","—",IF(I441&lt;&gt;"","☑ Oui","☐ Non")))</f>
        <v/>
      </c>
      <c r="N441" s="39">
        <f>IF(D441="","",IFERROR(VALUE(MID(D441,LEN(D441)-3,3)),""))</f>
        <v/>
      </c>
      <c r="O441" s="33">
        <f>IF(N441="","",L441&amp;"|"&amp;N441)</f>
        <v/>
      </c>
      <c r="P441" s="33">
        <f>IF(N441="","",IF(L441="À RENSEIGNER","GIC",L441)&amp;"-"&amp;TEXT(N441,"000"))</f>
        <v/>
      </c>
      <c r="Q441" s="33">
        <f>IF(O441="","",IFERROR(INDEX(Cl_nom,MATCH(O441,Cl_cle,0)),"(client introuvable)"))</f>
        <v/>
      </c>
      <c r="R441" s="40">
        <f>IF(O441="","",IFERROR(INDEX(Cl_reste,MATCH(O441,Cl_cle,0)),""))</f>
        <v/>
      </c>
      <c r="S441" s="34">
        <f>IF(C441="","",YEAR(C441-WEEKDAY(C441,2)+4)&amp;"-S"&amp;TEXT(INT((C441-DATE(YEAR(C441-WEEKDAY(C441,2)+4),1,3)+WEEKDAY(DATE(YEAR(C441-WEEKDAY(C441,2)+4),1,3),2)+5)/7),"00"))</f>
        <v/>
      </c>
    </row>
    <row r="442" ht="18" customHeight="1">
      <c r="A442" s="39" t="n">
        <v>437</v>
      </c>
      <c r="B442" s="33">
        <f>IF(C442="","",IF(L442="À RENSEIGNER","GIC",L442)&amp;"-E"&amp;TEXT(A442,"00000"))</f>
        <v/>
      </c>
      <c r="C442" s="32" t="n"/>
      <c r="D442" s="36" t="n"/>
      <c r="E442" s="37" t="n"/>
      <c r="F442" s="36" t="n"/>
      <c r="G442" s="44" t="n"/>
      <c r="H442" s="43" t="n"/>
      <c r="I442" s="32" t="n"/>
      <c r="J442" s="44" t="n"/>
      <c r="K442" s="36" t="n"/>
      <c r="L442" s="33">
        <f>IF(C442="","",Commercial_Id)</f>
        <v/>
      </c>
      <c r="M442" s="34">
        <f>IF(OR(C442="",F442=""),"",IF(F442&lt;&gt;"Espèces","—",IF(I442&lt;&gt;"","☑ Oui","☐ Non")))</f>
        <v/>
      </c>
      <c r="N442" s="39">
        <f>IF(D442="","",IFERROR(VALUE(MID(D442,LEN(D442)-3,3)),""))</f>
        <v/>
      </c>
      <c r="O442" s="33">
        <f>IF(N442="","",L442&amp;"|"&amp;N442)</f>
        <v/>
      </c>
      <c r="P442" s="33">
        <f>IF(N442="","",IF(L442="À RENSEIGNER","GIC",L442)&amp;"-"&amp;TEXT(N442,"000"))</f>
        <v/>
      </c>
      <c r="Q442" s="33">
        <f>IF(O442="","",IFERROR(INDEX(Cl_nom,MATCH(O442,Cl_cle,0)),"(client introuvable)"))</f>
        <v/>
      </c>
      <c r="R442" s="40">
        <f>IF(O442="","",IFERROR(INDEX(Cl_reste,MATCH(O442,Cl_cle,0)),""))</f>
        <v/>
      </c>
      <c r="S442" s="34">
        <f>IF(C442="","",YEAR(C442-WEEKDAY(C442,2)+4)&amp;"-S"&amp;TEXT(INT((C442-DATE(YEAR(C442-WEEKDAY(C442,2)+4),1,3)+WEEKDAY(DATE(YEAR(C442-WEEKDAY(C442,2)+4),1,3),2)+5)/7),"00"))</f>
        <v/>
      </c>
    </row>
    <row r="443" ht="18" customHeight="1">
      <c r="A443" s="39" t="n">
        <v>438</v>
      </c>
      <c r="B443" s="33">
        <f>IF(C443="","",IF(L443="À RENSEIGNER","GIC",L443)&amp;"-E"&amp;TEXT(A443,"00000"))</f>
        <v/>
      </c>
      <c r="C443" s="32" t="n"/>
      <c r="D443" s="36" t="n"/>
      <c r="E443" s="37" t="n"/>
      <c r="F443" s="36" t="n"/>
      <c r="G443" s="44" t="n"/>
      <c r="H443" s="43" t="n"/>
      <c r="I443" s="32" t="n"/>
      <c r="J443" s="44" t="n"/>
      <c r="K443" s="36" t="n"/>
      <c r="L443" s="33">
        <f>IF(C443="","",Commercial_Id)</f>
        <v/>
      </c>
      <c r="M443" s="34">
        <f>IF(OR(C443="",F443=""),"",IF(F443&lt;&gt;"Espèces","—",IF(I443&lt;&gt;"","☑ Oui","☐ Non")))</f>
        <v/>
      </c>
      <c r="N443" s="39">
        <f>IF(D443="","",IFERROR(VALUE(MID(D443,LEN(D443)-3,3)),""))</f>
        <v/>
      </c>
      <c r="O443" s="33">
        <f>IF(N443="","",L443&amp;"|"&amp;N443)</f>
        <v/>
      </c>
      <c r="P443" s="33">
        <f>IF(N443="","",IF(L443="À RENSEIGNER","GIC",L443)&amp;"-"&amp;TEXT(N443,"000"))</f>
        <v/>
      </c>
      <c r="Q443" s="33">
        <f>IF(O443="","",IFERROR(INDEX(Cl_nom,MATCH(O443,Cl_cle,0)),"(client introuvable)"))</f>
        <v/>
      </c>
      <c r="R443" s="40">
        <f>IF(O443="","",IFERROR(INDEX(Cl_reste,MATCH(O443,Cl_cle,0)),""))</f>
        <v/>
      </c>
      <c r="S443" s="34">
        <f>IF(C443="","",YEAR(C443-WEEKDAY(C443,2)+4)&amp;"-S"&amp;TEXT(INT((C443-DATE(YEAR(C443-WEEKDAY(C443,2)+4),1,3)+WEEKDAY(DATE(YEAR(C443-WEEKDAY(C443,2)+4),1,3),2)+5)/7),"00"))</f>
        <v/>
      </c>
    </row>
    <row r="444" ht="18" customHeight="1">
      <c r="A444" s="39" t="n">
        <v>439</v>
      </c>
      <c r="B444" s="33">
        <f>IF(C444="","",IF(L444="À RENSEIGNER","GIC",L444)&amp;"-E"&amp;TEXT(A444,"00000"))</f>
        <v/>
      </c>
      <c r="C444" s="32" t="n"/>
      <c r="D444" s="36" t="n"/>
      <c r="E444" s="37" t="n"/>
      <c r="F444" s="36" t="n"/>
      <c r="G444" s="44" t="n"/>
      <c r="H444" s="43" t="n"/>
      <c r="I444" s="32" t="n"/>
      <c r="J444" s="44" t="n"/>
      <c r="K444" s="36" t="n"/>
      <c r="L444" s="33">
        <f>IF(C444="","",Commercial_Id)</f>
        <v/>
      </c>
      <c r="M444" s="34">
        <f>IF(OR(C444="",F444=""),"",IF(F444&lt;&gt;"Espèces","—",IF(I444&lt;&gt;"","☑ Oui","☐ Non")))</f>
        <v/>
      </c>
      <c r="N444" s="39">
        <f>IF(D444="","",IFERROR(VALUE(MID(D444,LEN(D444)-3,3)),""))</f>
        <v/>
      </c>
      <c r="O444" s="33">
        <f>IF(N444="","",L444&amp;"|"&amp;N444)</f>
        <v/>
      </c>
      <c r="P444" s="33">
        <f>IF(N444="","",IF(L444="À RENSEIGNER","GIC",L444)&amp;"-"&amp;TEXT(N444,"000"))</f>
        <v/>
      </c>
      <c r="Q444" s="33">
        <f>IF(O444="","",IFERROR(INDEX(Cl_nom,MATCH(O444,Cl_cle,0)),"(client introuvable)"))</f>
        <v/>
      </c>
      <c r="R444" s="40">
        <f>IF(O444="","",IFERROR(INDEX(Cl_reste,MATCH(O444,Cl_cle,0)),""))</f>
        <v/>
      </c>
      <c r="S444" s="34">
        <f>IF(C444="","",YEAR(C444-WEEKDAY(C444,2)+4)&amp;"-S"&amp;TEXT(INT((C444-DATE(YEAR(C444-WEEKDAY(C444,2)+4),1,3)+WEEKDAY(DATE(YEAR(C444-WEEKDAY(C444,2)+4),1,3),2)+5)/7),"00"))</f>
        <v/>
      </c>
    </row>
    <row r="445" ht="18" customHeight="1">
      <c r="A445" s="39" t="n">
        <v>440</v>
      </c>
      <c r="B445" s="33">
        <f>IF(C445="","",IF(L445="À RENSEIGNER","GIC",L445)&amp;"-E"&amp;TEXT(A445,"00000"))</f>
        <v/>
      </c>
      <c r="C445" s="32" t="n"/>
      <c r="D445" s="36" t="n"/>
      <c r="E445" s="37" t="n"/>
      <c r="F445" s="36" t="n"/>
      <c r="G445" s="44" t="n"/>
      <c r="H445" s="43" t="n"/>
      <c r="I445" s="32" t="n"/>
      <c r="J445" s="44" t="n"/>
      <c r="K445" s="36" t="n"/>
      <c r="L445" s="33">
        <f>IF(C445="","",Commercial_Id)</f>
        <v/>
      </c>
      <c r="M445" s="34">
        <f>IF(OR(C445="",F445=""),"",IF(F445&lt;&gt;"Espèces","—",IF(I445&lt;&gt;"","☑ Oui","☐ Non")))</f>
        <v/>
      </c>
      <c r="N445" s="39">
        <f>IF(D445="","",IFERROR(VALUE(MID(D445,LEN(D445)-3,3)),""))</f>
        <v/>
      </c>
      <c r="O445" s="33">
        <f>IF(N445="","",L445&amp;"|"&amp;N445)</f>
        <v/>
      </c>
      <c r="P445" s="33">
        <f>IF(N445="","",IF(L445="À RENSEIGNER","GIC",L445)&amp;"-"&amp;TEXT(N445,"000"))</f>
        <v/>
      </c>
      <c r="Q445" s="33">
        <f>IF(O445="","",IFERROR(INDEX(Cl_nom,MATCH(O445,Cl_cle,0)),"(client introuvable)"))</f>
        <v/>
      </c>
      <c r="R445" s="40">
        <f>IF(O445="","",IFERROR(INDEX(Cl_reste,MATCH(O445,Cl_cle,0)),""))</f>
        <v/>
      </c>
      <c r="S445" s="34">
        <f>IF(C445="","",YEAR(C445-WEEKDAY(C445,2)+4)&amp;"-S"&amp;TEXT(INT((C445-DATE(YEAR(C445-WEEKDAY(C445,2)+4),1,3)+WEEKDAY(DATE(YEAR(C445-WEEKDAY(C445,2)+4),1,3),2)+5)/7),"00"))</f>
        <v/>
      </c>
    </row>
    <row r="446" ht="18" customHeight="1">
      <c r="A446" s="39" t="n">
        <v>441</v>
      </c>
      <c r="B446" s="33">
        <f>IF(C446="","",IF(L446="À RENSEIGNER","GIC",L446)&amp;"-E"&amp;TEXT(A446,"00000"))</f>
        <v/>
      </c>
      <c r="C446" s="32" t="n"/>
      <c r="D446" s="36" t="n"/>
      <c r="E446" s="37" t="n"/>
      <c r="F446" s="36" t="n"/>
      <c r="G446" s="44" t="n"/>
      <c r="H446" s="43" t="n"/>
      <c r="I446" s="32" t="n"/>
      <c r="J446" s="44" t="n"/>
      <c r="K446" s="36" t="n"/>
      <c r="L446" s="33">
        <f>IF(C446="","",Commercial_Id)</f>
        <v/>
      </c>
      <c r="M446" s="34">
        <f>IF(OR(C446="",F446=""),"",IF(F446&lt;&gt;"Espèces","—",IF(I446&lt;&gt;"","☑ Oui","☐ Non")))</f>
        <v/>
      </c>
      <c r="N446" s="39">
        <f>IF(D446="","",IFERROR(VALUE(MID(D446,LEN(D446)-3,3)),""))</f>
        <v/>
      </c>
      <c r="O446" s="33">
        <f>IF(N446="","",L446&amp;"|"&amp;N446)</f>
        <v/>
      </c>
      <c r="P446" s="33">
        <f>IF(N446="","",IF(L446="À RENSEIGNER","GIC",L446)&amp;"-"&amp;TEXT(N446,"000"))</f>
        <v/>
      </c>
      <c r="Q446" s="33">
        <f>IF(O446="","",IFERROR(INDEX(Cl_nom,MATCH(O446,Cl_cle,0)),"(client introuvable)"))</f>
        <v/>
      </c>
      <c r="R446" s="40">
        <f>IF(O446="","",IFERROR(INDEX(Cl_reste,MATCH(O446,Cl_cle,0)),""))</f>
        <v/>
      </c>
      <c r="S446" s="34">
        <f>IF(C446="","",YEAR(C446-WEEKDAY(C446,2)+4)&amp;"-S"&amp;TEXT(INT((C446-DATE(YEAR(C446-WEEKDAY(C446,2)+4),1,3)+WEEKDAY(DATE(YEAR(C446-WEEKDAY(C446,2)+4),1,3),2)+5)/7),"00"))</f>
        <v/>
      </c>
    </row>
    <row r="447" ht="18" customHeight="1">
      <c r="A447" s="39" t="n">
        <v>442</v>
      </c>
      <c r="B447" s="33">
        <f>IF(C447="","",IF(L447="À RENSEIGNER","GIC",L447)&amp;"-E"&amp;TEXT(A447,"00000"))</f>
        <v/>
      </c>
      <c r="C447" s="32" t="n"/>
      <c r="D447" s="36" t="n"/>
      <c r="E447" s="37" t="n"/>
      <c r="F447" s="36" t="n"/>
      <c r="G447" s="44" t="n"/>
      <c r="H447" s="43" t="n"/>
      <c r="I447" s="32" t="n"/>
      <c r="J447" s="44" t="n"/>
      <c r="K447" s="36" t="n"/>
      <c r="L447" s="33">
        <f>IF(C447="","",Commercial_Id)</f>
        <v/>
      </c>
      <c r="M447" s="34">
        <f>IF(OR(C447="",F447=""),"",IF(F447&lt;&gt;"Espèces","—",IF(I447&lt;&gt;"","☑ Oui","☐ Non")))</f>
        <v/>
      </c>
      <c r="N447" s="39">
        <f>IF(D447="","",IFERROR(VALUE(MID(D447,LEN(D447)-3,3)),""))</f>
        <v/>
      </c>
      <c r="O447" s="33">
        <f>IF(N447="","",L447&amp;"|"&amp;N447)</f>
        <v/>
      </c>
      <c r="P447" s="33">
        <f>IF(N447="","",IF(L447="À RENSEIGNER","GIC",L447)&amp;"-"&amp;TEXT(N447,"000"))</f>
        <v/>
      </c>
      <c r="Q447" s="33">
        <f>IF(O447="","",IFERROR(INDEX(Cl_nom,MATCH(O447,Cl_cle,0)),"(client introuvable)"))</f>
        <v/>
      </c>
      <c r="R447" s="40">
        <f>IF(O447="","",IFERROR(INDEX(Cl_reste,MATCH(O447,Cl_cle,0)),""))</f>
        <v/>
      </c>
      <c r="S447" s="34">
        <f>IF(C447="","",YEAR(C447-WEEKDAY(C447,2)+4)&amp;"-S"&amp;TEXT(INT((C447-DATE(YEAR(C447-WEEKDAY(C447,2)+4),1,3)+WEEKDAY(DATE(YEAR(C447-WEEKDAY(C447,2)+4),1,3),2)+5)/7),"00"))</f>
        <v/>
      </c>
    </row>
    <row r="448" ht="18" customHeight="1">
      <c r="A448" s="39" t="n">
        <v>443</v>
      </c>
      <c r="B448" s="33">
        <f>IF(C448="","",IF(L448="À RENSEIGNER","GIC",L448)&amp;"-E"&amp;TEXT(A448,"00000"))</f>
        <v/>
      </c>
      <c r="C448" s="32" t="n"/>
      <c r="D448" s="36" t="n"/>
      <c r="E448" s="37" t="n"/>
      <c r="F448" s="36" t="n"/>
      <c r="G448" s="44" t="n"/>
      <c r="H448" s="43" t="n"/>
      <c r="I448" s="32" t="n"/>
      <c r="J448" s="44" t="n"/>
      <c r="K448" s="36" t="n"/>
      <c r="L448" s="33">
        <f>IF(C448="","",Commercial_Id)</f>
        <v/>
      </c>
      <c r="M448" s="34">
        <f>IF(OR(C448="",F448=""),"",IF(F448&lt;&gt;"Espèces","—",IF(I448&lt;&gt;"","☑ Oui","☐ Non")))</f>
        <v/>
      </c>
      <c r="N448" s="39">
        <f>IF(D448="","",IFERROR(VALUE(MID(D448,LEN(D448)-3,3)),""))</f>
        <v/>
      </c>
      <c r="O448" s="33">
        <f>IF(N448="","",L448&amp;"|"&amp;N448)</f>
        <v/>
      </c>
      <c r="P448" s="33">
        <f>IF(N448="","",IF(L448="À RENSEIGNER","GIC",L448)&amp;"-"&amp;TEXT(N448,"000"))</f>
        <v/>
      </c>
      <c r="Q448" s="33">
        <f>IF(O448="","",IFERROR(INDEX(Cl_nom,MATCH(O448,Cl_cle,0)),"(client introuvable)"))</f>
        <v/>
      </c>
      <c r="R448" s="40">
        <f>IF(O448="","",IFERROR(INDEX(Cl_reste,MATCH(O448,Cl_cle,0)),""))</f>
        <v/>
      </c>
      <c r="S448" s="34">
        <f>IF(C448="","",YEAR(C448-WEEKDAY(C448,2)+4)&amp;"-S"&amp;TEXT(INT((C448-DATE(YEAR(C448-WEEKDAY(C448,2)+4),1,3)+WEEKDAY(DATE(YEAR(C448-WEEKDAY(C448,2)+4),1,3),2)+5)/7),"00"))</f>
        <v/>
      </c>
    </row>
    <row r="449" ht="18" customHeight="1">
      <c r="A449" s="39" t="n">
        <v>444</v>
      </c>
      <c r="B449" s="33">
        <f>IF(C449="","",IF(L449="À RENSEIGNER","GIC",L449)&amp;"-E"&amp;TEXT(A449,"00000"))</f>
        <v/>
      </c>
      <c r="C449" s="32" t="n"/>
      <c r="D449" s="36" t="n"/>
      <c r="E449" s="37" t="n"/>
      <c r="F449" s="36" t="n"/>
      <c r="G449" s="44" t="n"/>
      <c r="H449" s="43" t="n"/>
      <c r="I449" s="32" t="n"/>
      <c r="J449" s="44" t="n"/>
      <c r="K449" s="36" t="n"/>
      <c r="L449" s="33">
        <f>IF(C449="","",Commercial_Id)</f>
        <v/>
      </c>
      <c r="M449" s="34">
        <f>IF(OR(C449="",F449=""),"",IF(F449&lt;&gt;"Espèces","—",IF(I449&lt;&gt;"","☑ Oui","☐ Non")))</f>
        <v/>
      </c>
      <c r="N449" s="39">
        <f>IF(D449="","",IFERROR(VALUE(MID(D449,LEN(D449)-3,3)),""))</f>
        <v/>
      </c>
      <c r="O449" s="33">
        <f>IF(N449="","",L449&amp;"|"&amp;N449)</f>
        <v/>
      </c>
      <c r="P449" s="33">
        <f>IF(N449="","",IF(L449="À RENSEIGNER","GIC",L449)&amp;"-"&amp;TEXT(N449,"000"))</f>
        <v/>
      </c>
      <c r="Q449" s="33">
        <f>IF(O449="","",IFERROR(INDEX(Cl_nom,MATCH(O449,Cl_cle,0)),"(client introuvable)"))</f>
        <v/>
      </c>
      <c r="R449" s="40">
        <f>IF(O449="","",IFERROR(INDEX(Cl_reste,MATCH(O449,Cl_cle,0)),""))</f>
        <v/>
      </c>
      <c r="S449" s="34">
        <f>IF(C449="","",YEAR(C449-WEEKDAY(C449,2)+4)&amp;"-S"&amp;TEXT(INT((C449-DATE(YEAR(C449-WEEKDAY(C449,2)+4),1,3)+WEEKDAY(DATE(YEAR(C449-WEEKDAY(C449,2)+4),1,3),2)+5)/7),"00"))</f>
        <v/>
      </c>
    </row>
    <row r="450" ht="18" customHeight="1">
      <c r="A450" s="39" t="n">
        <v>445</v>
      </c>
      <c r="B450" s="33">
        <f>IF(C450="","",IF(L450="À RENSEIGNER","GIC",L450)&amp;"-E"&amp;TEXT(A450,"00000"))</f>
        <v/>
      </c>
      <c r="C450" s="32" t="n"/>
      <c r="D450" s="36" t="n"/>
      <c r="E450" s="37" t="n"/>
      <c r="F450" s="36" t="n"/>
      <c r="G450" s="44" t="n"/>
      <c r="H450" s="43" t="n"/>
      <c r="I450" s="32" t="n"/>
      <c r="J450" s="44" t="n"/>
      <c r="K450" s="36" t="n"/>
      <c r="L450" s="33">
        <f>IF(C450="","",Commercial_Id)</f>
        <v/>
      </c>
      <c r="M450" s="34">
        <f>IF(OR(C450="",F450=""),"",IF(F450&lt;&gt;"Espèces","—",IF(I450&lt;&gt;"","☑ Oui","☐ Non")))</f>
        <v/>
      </c>
      <c r="N450" s="39">
        <f>IF(D450="","",IFERROR(VALUE(MID(D450,LEN(D450)-3,3)),""))</f>
        <v/>
      </c>
      <c r="O450" s="33">
        <f>IF(N450="","",L450&amp;"|"&amp;N450)</f>
        <v/>
      </c>
      <c r="P450" s="33">
        <f>IF(N450="","",IF(L450="À RENSEIGNER","GIC",L450)&amp;"-"&amp;TEXT(N450,"000"))</f>
        <v/>
      </c>
      <c r="Q450" s="33">
        <f>IF(O450="","",IFERROR(INDEX(Cl_nom,MATCH(O450,Cl_cle,0)),"(client introuvable)"))</f>
        <v/>
      </c>
      <c r="R450" s="40">
        <f>IF(O450="","",IFERROR(INDEX(Cl_reste,MATCH(O450,Cl_cle,0)),""))</f>
        <v/>
      </c>
      <c r="S450" s="34">
        <f>IF(C450="","",YEAR(C450-WEEKDAY(C450,2)+4)&amp;"-S"&amp;TEXT(INT((C450-DATE(YEAR(C450-WEEKDAY(C450,2)+4),1,3)+WEEKDAY(DATE(YEAR(C450-WEEKDAY(C450,2)+4),1,3),2)+5)/7),"00"))</f>
        <v/>
      </c>
    </row>
    <row r="451" ht="18" customHeight="1">
      <c r="A451" s="39" t="n">
        <v>446</v>
      </c>
      <c r="B451" s="33">
        <f>IF(C451="","",IF(L451="À RENSEIGNER","GIC",L451)&amp;"-E"&amp;TEXT(A451,"00000"))</f>
        <v/>
      </c>
      <c r="C451" s="32" t="n"/>
      <c r="D451" s="36" t="n"/>
      <c r="E451" s="37" t="n"/>
      <c r="F451" s="36" t="n"/>
      <c r="G451" s="44" t="n"/>
      <c r="H451" s="43" t="n"/>
      <c r="I451" s="32" t="n"/>
      <c r="J451" s="44" t="n"/>
      <c r="K451" s="36" t="n"/>
      <c r="L451" s="33">
        <f>IF(C451="","",Commercial_Id)</f>
        <v/>
      </c>
      <c r="M451" s="34">
        <f>IF(OR(C451="",F451=""),"",IF(F451&lt;&gt;"Espèces","—",IF(I451&lt;&gt;"","☑ Oui","☐ Non")))</f>
        <v/>
      </c>
      <c r="N451" s="39">
        <f>IF(D451="","",IFERROR(VALUE(MID(D451,LEN(D451)-3,3)),""))</f>
        <v/>
      </c>
      <c r="O451" s="33">
        <f>IF(N451="","",L451&amp;"|"&amp;N451)</f>
        <v/>
      </c>
      <c r="P451" s="33">
        <f>IF(N451="","",IF(L451="À RENSEIGNER","GIC",L451)&amp;"-"&amp;TEXT(N451,"000"))</f>
        <v/>
      </c>
      <c r="Q451" s="33">
        <f>IF(O451="","",IFERROR(INDEX(Cl_nom,MATCH(O451,Cl_cle,0)),"(client introuvable)"))</f>
        <v/>
      </c>
      <c r="R451" s="40">
        <f>IF(O451="","",IFERROR(INDEX(Cl_reste,MATCH(O451,Cl_cle,0)),""))</f>
        <v/>
      </c>
      <c r="S451" s="34">
        <f>IF(C451="","",YEAR(C451-WEEKDAY(C451,2)+4)&amp;"-S"&amp;TEXT(INT((C451-DATE(YEAR(C451-WEEKDAY(C451,2)+4),1,3)+WEEKDAY(DATE(YEAR(C451-WEEKDAY(C451,2)+4),1,3),2)+5)/7),"00"))</f>
        <v/>
      </c>
    </row>
    <row r="452" ht="18" customHeight="1">
      <c r="A452" s="39" t="n">
        <v>447</v>
      </c>
      <c r="B452" s="33">
        <f>IF(C452="","",IF(L452="À RENSEIGNER","GIC",L452)&amp;"-E"&amp;TEXT(A452,"00000"))</f>
        <v/>
      </c>
      <c r="C452" s="32" t="n"/>
      <c r="D452" s="36" t="n"/>
      <c r="E452" s="37" t="n"/>
      <c r="F452" s="36" t="n"/>
      <c r="G452" s="44" t="n"/>
      <c r="H452" s="43" t="n"/>
      <c r="I452" s="32" t="n"/>
      <c r="J452" s="44" t="n"/>
      <c r="K452" s="36" t="n"/>
      <c r="L452" s="33">
        <f>IF(C452="","",Commercial_Id)</f>
        <v/>
      </c>
      <c r="M452" s="34">
        <f>IF(OR(C452="",F452=""),"",IF(F452&lt;&gt;"Espèces","—",IF(I452&lt;&gt;"","☑ Oui","☐ Non")))</f>
        <v/>
      </c>
      <c r="N452" s="39">
        <f>IF(D452="","",IFERROR(VALUE(MID(D452,LEN(D452)-3,3)),""))</f>
        <v/>
      </c>
      <c r="O452" s="33">
        <f>IF(N452="","",L452&amp;"|"&amp;N452)</f>
        <v/>
      </c>
      <c r="P452" s="33">
        <f>IF(N452="","",IF(L452="À RENSEIGNER","GIC",L452)&amp;"-"&amp;TEXT(N452,"000"))</f>
        <v/>
      </c>
      <c r="Q452" s="33">
        <f>IF(O452="","",IFERROR(INDEX(Cl_nom,MATCH(O452,Cl_cle,0)),"(client introuvable)"))</f>
        <v/>
      </c>
      <c r="R452" s="40">
        <f>IF(O452="","",IFERROR(INDEX(Cl_reste,MATCH(O452,Cl_cle,0)),""))</f>
        <v/>
      </c>
      <c r="S452" s="34">
        <f>IF(C452="","",YEAR(C452-WEEKDAY(C452,2)+4)&amp;"-S"&amp;TEXT(INT((C452-DATE(YEAR(C452-WEEKDAY(C452,2)+4),1,3)+WEEKDAY(DATE(YEAR(C452-WEEKDAY(C452,2)+4),1,3),2)+5)/7),"00"))</f>
        <v/>
      </c>
    </row>
    <row r="453" ht="18" customHeight="1">
      <c r="A453" s="39" t="n">
        <v>448</v>
      </c>
      <c r="B453" s="33">
        <f>IF(C453="","",IF(L453="À RENSEIGNER","GIC",L453)&amp;"-E"&amp;TEXT(A453,"00000"))</f>
        <v/>
      </c>
      <c r="C453" s="32" t="n"/>
      <c r="D453" s="36" t="n"/>
      <c r="E453" s="37" t="n"/>
      <c r="F453" s="36" t="n"/>
      <c r="G453" s="44" t="n"/>
      <c r="H453" s="43" t="n"/>
      <c r="I453" s="32" t="n"/>
      <c r="J453" s="44" t="n"/>
      <c r="K453" s="36" t="n"/>
      <c r="L453" s="33">
        <f>IF(C453="","",Commercial_Id)</f>
        <v/>
      </c>
      <c r="M453" s="34">
        <f>IF(OR(C453="",F453=""),"",IF(F453&lt;&gt;"Espèces","—",IF(I453&lt;&gt;"","☑ Oui","☐ Non")))</f>
        <v/>
      </c>
      <c r="N453" s="39">
        <f>IF(D453="","",IFERROR(VALUE(MID(D453,LEN(D453)-3,3)),""))</f>
        <v/>
      </c>
      <c r="O453" s="33">
        <f>IF(N453="","",L453&amp;"|"&amp;N453)</f>
        <v/>
      </c>
      <c r="P453" s="33">
        <f>IF(N453="","",IF(L453="À RENSEIGNER","GIC",L453)&amp;"-"&amp;TEXT(N453,"000"))</f>
        <v/>
      </c>
      <c r="Q453" s="33">
        <f>IF(O453="","",IFERROR(INDEX(Cl_nom,MATCH(O453,Cl_cle,0)),"(client introuvable)"))</f>
        <v/>
      </c>
      <c r="R453" s="40">
        <f>IF(O453="","",IFERROR(INDEX(Cl_reste,MATCH(O453,Cl_cle,0)),""))</f>
        <v/>
      </c>
      <c r="S453" s="34">
        <f>IF(C453="","",YEAR(C453-WEEKDAY(C453,2)+4)&amp;"-S"&amp;TEXT(INT((C453-DATE(YEAR(C453-WEEKDAY(C453,2)+4),1,3)+WEEKDAY(DATE(YEAR(C453-WEEKDAY(C453,2)+4),1,3),2)+5)/7),"00"))</f>
        <v/>
      </c>
    </row>
    <row r="454" ht="18" customHeight="1">
      <c r="A454" s="39" t="n">
        <v>449</v>
      </c>
      <c r="B454" s="33">
        <f>IF(C454="","",IF(L454="À RENSEIGNER","GIC",L454)&amp;"-E"&amp;TEXT(A454,"00000"))</f>
        <v/>
      </c>
      <c r="C454" s="32" t="n"/>
      <c r="D454" s="36" t="n"/>
      <c r="E454" s="37" t="n"/>
      <c r="F454" s="36" t="n"/>
      <c r="G454" s="44" t="n"/>
      <c r="H454" s="43" t="n"/>
      <c r="I454" s="32" t="n"/>
      <c r="J454" s="44" t="n"/>
      <c r="K454" s="36" t="n"/>
      <c r="L454" s="33">
        <f>IF(C454="","",Commercial_Id)</f>
        <v/>
      </c>
      <c r="M454" s="34">
        <f>IF(OR(C454="",F454=""),"",IF(F454&lt;&gt;"Espèces","—",IF(I454&lt;&gt;"","☑ Oui","☐ Non")))</f>
        <v/>
      </c>
      <c r="N454" s="39">
        <f>IF(D454="","",IFERROR(VALUE(MID(D454,LEN(D454)-3,3)),""))</f>
        <v/>
      </c>
      <c r="O454" s="33">
        <f>IF(N454="","",L454&amp;"|"&amp;N454)</f>
        <v/>
      </c>
      <c r="P454" s="33">
        <f>IF(N454="","",IF(L454="À RENSEIGNER","GIC",L454)&amp;"-"&amp;TEXT(N454,"000"))</f>
        <v/>
      </c>
      <c r="Q454" s="33">
        <f>IF(O454="","",IFERROR(INDEX(Cl_nom,MATCH(O454,Cl_cle,0)),"(client introuvable)"))</f>
        <v/>
      </c>
      <c r="R454" s="40">
        <f>IF(O454="","",IFERROR(INDEX(Cl_reste,MATCH(O454,Cl_cle,0)),""))</f>
        <v/>
      </c>
      <c r="S454" s="34">
        <f>IF(C454="","",YEAR(C454-WEEKDAY(C454,2)+4)&amp;"-S"&amp;TEXT(INT((C454-DATE(YEAR(C454-WEEKDAY(C454,2)+4),1,3)+WEEKDAY(DATE(YEAR(C454-WEEKDAY(C454,2)+4),1,3),2)+5)/7),"00"))</f>
        <v/>
      </c>
    </row>
    <row r="455" ht="18" customHeight="1">
      <c r="A455" s="39" t="n">
        <v>450</v>
      </c>
      <c r="B455" s="33">
        <f>IF(C455="","",IF(L455="À RENSEIGNER","GIC",L455)&amp;"-E"&amp;TEXT(A455,"00000"))</f>
        <v/>
      </c>
      <c r="C455" s="32" t="n"/>
      <c r="D455" s="36" t="n"/>
      <c r="E455" s="37" t="n"/>
      <c r="F455" s="36" t="n"/>
      <c r="G455" s="44" t="n"/>
      <c r="H455" s="43" t="n"/>
      <c r="I455" s="32" t="n"/>
      <c r="J455" s="44" t="n"/>
      <c r="K455" s="36" t="n"/>
      <c r="L455" s="33">
        <f>IF(C455="","",Commercial_Id)</f>
        <v/>
      </c>
      <c r="M455" s="34">
        <f>IF(OR(C455="",F455=""),"",IF(F455&lt;&gt;"Espèces","—",IF(I455&lt;&gt;"","☑ Oui","☐ Non")))</f>
        <v/>
      </c>
      <c r="N455" s="39">
        <f>IF(D455="","",IFERROR(VALUE(MID(D455,LEN(D455)-3,3)),""))</f>
        <v/>
      </c>
      <c r="O455" s="33">
        <f>IF(N455="","",L455&amp;"|"&amp;N455)</f>
        <v/>
      </c>
      <c r="P455" s="33">
        <f>IF(N455="","",IF(L455="À RENSEIGNER","GIC",L455)&amp;"-"&amp;TEXT(N455,"000"))</f>
        <v/>
      </c>
      <c r="Q455" s="33">
        <f>IF(O455="","",IFERROR(INDEX(Cl_nom,MATCH(O455,Cl_cle,0)),"(client introuvable)"))</f>
        <v/>
      </c>
      <c r="R455" s="40">
        <f>IF(O455="","",IFERROR(INDEX(Cl_reste,MATCH(O455,Cl_cle,0)),""))</f>
        <v/>
      </c>
      <c r="S455" s="34">
        <f>IF(C455="","",YEAR(C455-WEEKDAY(C455,2)+4)&amp;"-S"&amp;TEXT(INT((C455-DATE(YEAR(C455-WEEKDAY(C455,2)+4),1,3)+WEEKDAY(DATE(YEAR(C455-WEEKDAY(C455,2)+4),1,3),2)+5)/7),"00"))</f>
        <v/>
      </c>
    </row>
    <row r="456" ht="18" customHeight="1">
      <c r="A456" s="39" t="n">
        <v>451</v>
      </c>
      <c r="B456" s="33">
        <f>IF(C456="","",IF(L456="À RENSEIGNER","GIC",L456)&amp;"-E"&amp;TEXT(A456,"00000"))</f>
        <v/>
      </c>
      <c r="C456" s="32" t="n"/>
      <c r="D456" s="36" t="n"/>
      <c r="E456" s="37" t="n"/>
      <c r="F456" s="36" t="n"/>
      <c r="G456" s="44" t="n"/>
      <c r="H456" s="43" t="n"/>
      <c r="I456" s="32" t="n"/>
      <c r="J456" s="44" t="n"/>
      <c r="K456" s="36" t="n"/>
      <c r="L456" s="33">
        <f>IF(C456="","",Commercial_Id)</f>
        <v/>
      </c>
      <c r="M456" s="34">
        <f>IF(OR(C456="",F456=""),"",IF(F456&lt;&gt;"Espèces","—",IF(I456&lt;&gt;"","☑ Oui","☐ Non")))</f>
        <v/>
      </c>
      <c r="N456" s="39">
        <f>IF(D456="","",IFERROR(VALUE(MID(D456,LEN(D456)-3,3)),""))</f>
        <v/>
      </c>
      <c r="O456" s="33">
        <f>IF(N456="","",L456&amp;"|"&amp;N456)</f>
        <v/>
      </c>
      <c r="P456" s="33">
        <f>IF(N456="","",IF(L456="À RENSEIGNER","GIC",L456)&amp;"-"&amp;TEXT(N456,"000"))</f>
        <v/>
      </c>
      <c r="Q456" s="33">
        <f>IF(O456="","",IFERROR(INDEX(Cl_nom,MATCH(O456,Cl_cle,0)),"(client introuvable)"))</f>
        <v/>
      </c>
      <c r="R456" s="40">
        <f>IF(O456="","",IFERROR(INDEX(Cl_reste,MATCH(O456,Cl_cle,0)),""))</f>
        <v/>
      </c>
      <c r="S456" s="34">
        <f>IF(C456="","",YEAR(C456-WEEKDAY(C456,2)+4)&amp;"-S"&amp;TEXT(INT((C456-DATE(YEAR(C456-WEEKDAY(C456,2)+4),1,3)+WEEKDAY(DATE(YEAR(C456-WEEKDAY(C456,2)+4),1,3),2)+5)/7),"00"))</f>
        <v/>
      </c>
    </row>
    <row r="457" ht="18" customHeight="1">
      <c r="A457" s="39" t="n">
        <v>452</v>
      </c>
      <c r="B457" s="33">
        <f>IF(C457="","",IF(L457="À RENSEIGNER","GIC",L457)&amp;"-E"&amp;TEXT(A457,"00000"))</f>
        <v/>
      </c>
      <c r="C457" s="32" t="n"/>
      <c r="D457" s="36" t="n"/>
      <c r="E457" s="37" t="n"/>
      <c r="F457" s="36" t="n"/>
      <c r="G457" s="44" t="n"/>
      <c r="H457" s="43" t="n"/>
      <c r="I457" s="32" t="n"/>
      <c r="J457" s="44" t="n"/>
      <c r="K457" s="36" t="n"/>
      <c r="L457" s="33">
        <f>IF(C457="","",Commercial_Id)</f>
        <v/>
      </c>
      <c r="M457" s="34">
        <f>IF(OR(C457="",F457=""),"",IF(F457&lt;&gt;"Espèces","—",IF(I457&lt;&gt;"","☑ Oui","☐ Non")))</f>
        <v/>
      </c>
      <c r="N457" s="39">
        <f>IF(D457="","",IFERROR(VALUE(MID(D457,LEN(D457)-3,3)),""))</f>
        <v/>
      </c>
      <c r="O457" s="33">
        <f>IF(N457="","",L457&amp;"|"&amp;N457)</f>
        <v/>
      </c>
      <c r="P457" s="33">
        <f>IF(N457="","",IF(L457="À RENSEIGNER","GIC",L457)&amp;"-"&amp;TEXT(N457,"000"))</f>
        <v/>
      </c>
      <c r="Q457" s="33">
        <f>IF(O457="","",IFERROR(INDEX(Cl_nom,MATCH(O457,Cl_cle,0)),"(client introuvable)"))</f>
        <v/>
      </c>
      <c r="R457" s="40">
        <f>IF(O457="","",IFERROR(INDEX(Cl_reste,MATCH(O457,Cl_cle,0)),""))</f>
        <v/>
      </c>
      <c r="S457" s="34">
        <f>IF(C457="","",YEAR(C457-WEEKDAY(C457,2)+4)&amp;"-S"&amp;TEXT(INT((C457-DATE(YEAR(C457-WEEKDAY(C457,2)+4),1,3)+WEEKDAY(DATE(YEAR(C457-WEEKDAY(C457,2)+4),1,3),2)+5)/7),"00"))</f>
        <v/>
      </c>
    </row>
    <row r="458" ht="18" customHeight="1">
      <c r="A458" s="39" t="n">
        <v>453</v>
      </c>
      <c r="B458" s="33">
        <f>IF(C458="","",IF(L458="À RENSEIGNER","GIC",L458)&amp;"-E"&amp;TEXT(A458,"00000"))</f>
        <v/>
      </c>
      <c r="C458" s="32" t="n"/>
      <c r="D458" s="36" t="n"/>
      <c r="E458" s="37" t="n"/>
      <c r="F458" s="36" t="n"/>
      <c r="G458" s="44" t="n"/>
      <c r="H458" s="43" t="n"/>
      <c r="I458" s="32" t="n"/>
      <c r="J458" s="44" t="n"/>
      <c r="K458" s="36" t="n"/>
      <c r="L458" s="33">
        <f>IF(C458="","",Commercial_Id)</f>
        <v/>
      </c>
      <c r="M458" s="34">
        <f>IF(OR(C458="",F458=""),"",IF(F458&lt;&gt;"Espèces","—",IF(I458&lt;&gt;"","☑ Oui","☐ Non")))</f>
        <v/>
      </c>
      <c r="N458" s="39">
        <f>IF(D458="","",IFERROR(VALUE(MID(D458,LEN(D458)-3,3)),""))</f>
        <v/>
      </c>
      <c r="O458" s="33">
        <f>IF(N458="","",L458&amp;"|"&amp;N458)</f>
        <v/>
      </c>
      <c r="P458" s="33">
        <f>IF(N458="","",IF(L458="À RENSEIGNER","GIC",L458)&amp;"-"&amp;TEXT(N458,"000"))</f>
        <v/>
      </c>
      <c r="Q458" s="33">
        <f>IF(O458="","",IFERROR(INDEX(Cl_nom,MATCH(O458,Cl_cle,0)),"(client introuvable)"))</f>
        <v/>
      </c>
      <c r="R458" s="40">
        <f>IF(O458="","",IFERROR(INDEX(Cl_reste,MATCH(O458,Cl_cle,0)),""))</f>
        <v/>
      </c>
      <c r="S458" s="34">
        <f>IF(C458="","",YEAR(C458-WEEKDAY(C458,2)+4)&amp;"-S"&amp;TEXT(INT((C458-DATE(YEAR(C458-WEEKDAY(C458,2)+4),1,3)+WEEKDAY(DATE(YEAR(C458-WEEKDAY(C458,2)+4),1,3),2)+5)/7),"00"))</f>
        <v/>
      </c>
    </row>
    <row r="459" ht="18" customHeight="1">
      <c r="A459" s="39" t="n">
        <v>454</v>
      </c>
      <c r="B459" s="33">
        <f>IF(C459="","",IF(L459="À RENSEIGNER","GIC",L459)&amp;"-E"&amp;TEXT(A459,"00000"))</f>
        <v/>
      </c>
      <c r="C459" s="32" t="n"/>
      <c r="D459" s="36" t="n"/>
      <c r="E459" s="37" t="n"/>
      <c r="F459" s="36" t="n"/>
      <c r="G459" s="44" t="n"/>
      <c r="H459" s="43" t="n"/>
      <c r="I459" s="32" t="n"/>
      <c r="J459" s="44" t="n"/>
      <c r="K459" s="36" t="n"/>
      <c r="L459" s="33">
        <f>IF(C459="","",Commercial_Id)</f>
        <v/>
      </c>
      <c r="M459" s="34">
        <f>IF(OR(C459="",F459=""),"",IF(F459&lt;&gt;"Espèces","—",IF(I459&lt;&gt;"","☑ Oui","☐ Non")))</f>
        <v/>
      </c>
      <c r="N459" s="39">
        <f>IF(D459="","",IFERROR(VALUE(MID(D459,LEN(D459)-3,3)),""))</f>
        <v/>
      </c>
      <c r="O459" s="33">
        <f>IF(N459="","",L459&amp;"|"&amp;N459)</f>
        <v/>
      </c>
      <c r="P459" s="33">
        <f>IF(N459="","",IF(L459="À RENSEIGNER","GIC",L459)&amp;"-"&amp;TEXT(N459,"000"))</f>
        <v/>
      </c>
      <c r="Q459" s="33">
        <f>IF(O459="","",IFERROR(INDEX(Cl_nom,MATCH(O459,Cl_cle,0)),"(client introuvable)"))</f>
        <v/>
      </c>
      <c r="R459" s="40">
        <f>IF(O459="","",IFERROR(INDEX(Cl_reste,MATCH(O459,Cl_cle,0)),""))</f>
        <v/>
      </c>
      <c r="S459" s="34">
        <f>IF(C459="","",YEAR(C459-WEEKDAY(C459,2)+4)&amp;"-S"&amp;TEXT(INT((C459-DATE(YEAR(C459-WEEKDAY(C459,2)+4),1,3)+WEEKDAY(DATE(YEAR(C459-WEEKDAY(C459,2)+4),1,3),2)+5)/7),"00"))</f>
        <v/>
      </c>
    </row>
    <row r="460" ht="18" customHeight="1">
      <c r="A460" s="39" t="n">
        <v>455</v>
      </c>
      <c r="B460" s="33">
        <f>IF(C460="","",IF(L460="À RENSEIGNER","GIC",L460)&amp;"-E"&amp;TEXT(A460,"00000"))</f>
        <v/>
      </c>
      <c r="C460" s="32" t="n"/>
      <c r="D460" s="36" t="n"/>
      <c r="E460" s="37" t="n"/>
      <c r="F460" s="36" t="n"/>
      <c r="G460" s="44" t="n"/>
      <c r="H460" s="43" t="n"/>
      <c r="I460" s="32" t="n"/>
      <c r="J460" s="44" t="n"/>
      <c r="K460" s="36" t="n"/>
      <c r="L460" s="33">
        <f>IF(C460="","",Commercial_Id)</f>
        <v/>
      </c>
      <c r="M460" s="34">
        <f>IF(OR(C460="",F460=""),"",IF(F460&lt;&gt;"Espèces","—",IF(I460&lt;&gt;"","☑ Oui","☐ Non")))</f>
        <v/>
      </c>
      <c r="N460" s="39">
        <f>IF(D460="","",IFERROR(VALUE(MID(D460,LEN(D460)-3,3)),""))</f>
        <v/>
      </c>
      <c r="O460" s="33">
        <f>IF(N460="","",L460&amp;"|"&amp;N460)</f>
        <v/>
      </c>
      <c r="P460" s="33">
        <f>IF(N460="","",IF(L460="À RENSEIGNER","GIC",L460)&amp;"-"&amp;TEXT(N460,"000"))</f>
        <v/>
      </c>
      <c r="Q460" s="33">
        <f>IF(O460="","",IFERROR(INDEX(Cl_nom,MATCH(O460,Cl_cle,0)),"(client introuvable)"))</f>
        <v/>
      </c>
      <c r="R460" s="40">
        <f>IF(O460="","",IFERROR(INDEX(Cl_reste,MATCH(O460,Cl_cle,0)),""))</f>
        <v/>
      </c>
      <c r="S460" s="34">
        <f>IF(C460="","",YEAR(C460-WEEKDAY(C460,2)+4)&amp;"-S"&amp;TEXT(INT((C460-DATE(YEAR(C460-WEEKDAY(C460,2)+4),1,3)+WEEKDAY(DATE(YEAR(C460-WEEKDAY(C460,2)+4),1,3),2)+5)/7),"00"))</f>
        <v/>
      </c>
    </row>
    <row r="461" ht="18" customHeight="1">
      <c r="A461" s="39" t="n">
        <v>456</v>
      </c>
      <c r="B461" s="33">
        <f>IF(C461="","",IF(L461="À RENSEIGNER","GIC",L461)&amp;"-E"&amp;TEXT(A461,"00000"))</f>
        <v/>
      </c>
      <c r="C461" s="32" t="n"/>
      <c r="D461" s="36" t="n"/>
      <c r="E461" s="37" t="n"/>
      <c r="F461" s="36" t="n"/>
      <c r="G461" s="44" t="n"/>
      <c r="H461" s="43" t="n"/>
      <c r="I461" s="32" t="n"/>
      <c r="J461" s="44" t="n"/>
      <c r="K461" s="36" t="n"/>
      <c r="L461" s="33">
        <f>IF(C461="","",Commercial_Id)</f>
        <v/>
      </c>
      <c r="M461" s="34">
        <f>IF(OR(C461="",F461=""),"",IF(F461&lt;&gt;"Espèces","—",IF(I461&lt;&gt;"","☑ Oui","☐ Non")))</f>
        <v/>
      </c>
      <c r="N461" s="39">
        <f>IF(D461="","",IFERROR(VALUE(MID(D461,LEN(D461)-3,3)),""))</f>
        <v/>
      </c>
      <c r="O461" s="33">
        <f>IF(N461="","",L461&amp;"|"&amp;N461)</f>
        <v/>
      </c>
      <c r="P461" s="33">
        <f>IF(N461="","",IF(L461="À RENSEIGNER","GIC",L461)&amp;"-"&amp;TEXT(N461,"000"))</f>
        <v/>
      </c>
      <c r="Q461" s="33">
        <f>IF(O461="","",IFERROR(INDEX(Cl_nom,MATCH(O461,Cl_cle,0)),"(client introuvable)"))</f>
        <v/>
      </c>
      <c r="R461" s="40">
        <f>IF(O461="","",IFERROR(INDEX(Cl_reste,MATCH(O461,Cl_cle,0)),""))</f>
        <v/>
      </c>
      <c r="S461" s="34">
        <f>IF(C461="","",YEAR(C461-WEEKDAY(C461,2)+4)&amp;"-S"&amp;TEXT(INT((C461-DATE(YEAR(C461-WEEKDAY(C461,2)+4),1,3)+WEEKDAY(DATE(YEAR(C461-WEEKDAY(C461,2)+4),1,3),2)+5)/7),"00"))</f>
        <v/>
      </c>
    </row>
    <row r="462" ht="18" customHeight="1">
      <c r="A462" s="39" t="n">
        <v>457</v>
      </c>
      <c r="B462" s="33">
        <f>IF(C462="","",IF(L462="À RENSEIGNER","GIC",L462)&amp;"-E"&amp;TEXT(A462,"00000"))</f>
        <v/>
      </c>
      <c r="C462" s="32" t="n"/>
      <c r="D462" s="36" t="n"/>
      <c r="E462" s="37" t="n"/>
      <c r="F462" s="36" t="n"/>
      <c r="G462" s="44" t="n"/>
      <c r="H462" s="43" t="n"/>
      <c r="I462" s="32" t="n"/>
      <c r="J462" s="44" t="n"/>
      <c r="K462" s="36" t="n"/>
      <c r="L462" s="33">
        <f>IF(C462="","",Commercial_Id)</f>
        <v/>
      </c>
      <c r="M462" s="34">
        <f>IF(OR(C462="",F462=""),"",IF(F462&lt;&gt;"Espèces","—",IF(I462&lt;&gt;"","☑ Oui","☐ Non")))</f>
        <v/>
      </c>
      <c r="N462" s="39">
        <f>IF(D462="","",IFERROR(VALUE(MID(D462,LEN(D462)-3,3)),""))</f>
        <v/>
      </c>
      <c r="O462" s="33">
        <f>IF(N462="","",L462&amp;"|"&amp;N462)</f>
        <v/>
      </c>
      <c r="P462" s="33">
        <f>IF(N462="","",IF(L462="À RENSEIGNER","GIC",L462)&amp;"-"&amp;TEXT(N462,"000"))</f>
        <v/>
      </c>
      <c r="Q462" s="33">
        <f>IF(O462="","",IFERROR(INDEX(Cl_nom,MATCH(O462,Cl_cle,0)),"(client introuvable)"))</f>
        <v/>
      </c>
      <c r="R462" s="40">
        <f>IF(O462="","",IFERROR(INDEX(Cl_reste,MATCH(O462,Cl_cle,0)),""))</f>
        <v/>
      </c>
      <c r="S462" s="34">
        <f>IF(C462="","",YEAR(C462-WEEKDAY(C462,2)+4)&amp;"-S"&amp;TEXT(INT((C462-DATE(YEAR(C462-WEEKDAY(C462,2)+4),1,3)+WEEKDAY(DATE(YEAR(C462-WEEKDAY(C462,2)+4),1,3),2)+5)/7),"00"))</f>
        <v/>
      </c>
    </row>
    <row r="463" ht="18" customHeight="1">
      <c r="A463" s="39" t="n">
        <v>458</v>
      </c>
      <c r="B463" s="33">
        <f>IF(C463="","",IF(L463="À RENSEIGNER","GIC",L463)&amp;"-E"&amp;TEXT(A463,"00000"))</f>
        <v/>
      </c>
      <c r="C463" s="32" t="n"/>
      <c r="D463" s="36" t="n"/>
      <c r="E463" s="37" t="n"/>
      <c r="F463" s="36" t="n"/>
      <c r="G463" s="44" t="n"/>
      <c r="H463" s="43" t="n"/>
      <c r="I463" s="32" t="n"/>
      <c r="J463" s="44" t="n"/>
      <c r="K463" s="36" t="n"/>
      <c r="L463" s="33">
        <f>IF(C463="","",Commercial_Id)</f>
        <v/>
      </c>
      <c r="M463" s="34">
        <f>IF(OR(C463="",F463=""),"",IF(F463&lt;&gt;"Espèces","—",IF(I463&lt;&gt;"","☑ Oui","☐ Non")))</f>
        <v/>
      </c>
      <c r="N463" s="39">
        <f>IF(D463="","",IFERROR(VALUE(MID(D463,LEN(D463)-3,3)),""))</f>
        <v/>
      </c>
      <c r="O463" s="33">
        <f>IF(N463="","",L463&amp;"|"&amp;N463)</f>
        <v/>
      </c>
      <c r="P463" s="33">
        <f>IF(N463="","",IF(L463="À RENSEIGNER","GIC",L463)&amp;"-"&amp;TEXT(N463,"000"))</f>
        <v/>
      </c>
      <c r="Q463" s="33">
        <f>IF(O463="","",IFERROR(INDEX(Cl_nom,MATCH(O463,Cl_cle,0)),"(client introuvable)"))</f>
        <v/>
      </c>
      <c r="R463" s="40">
        <f>IF(O463="","",IFERROR(INDEX(Cl_reste,MATCH(O463,Cl_cle,0)),""))</f>
        <v/>
      </c>
      <c r="S463" s="34">
        <f>IF(C463="","",YEAR(C463-WEEKDAY(C463,2)+4)&amp;"-S"&amp;TEXT(INT((C463-DATE(YEAR(C463-WEEKDAY(C463,2)+4),1,3)+WEEKDAY(DATE(YEAR(C463-WEEKDAY(C463,2)+4),1,3),2)+5)/7),"00"))</f>
        <v/>
      </c>
    </row>
    <row r="464" ht="18" customHeight="1">
      <c r="A464" s="39" t="n">
        <v>459</v>
      </c>
      <c r="B464" s="33">
        <f>IF(C464="","",IF(L464="À RENSEIGNER","GIC",L464)&amp;"-E"&amp;TEXT(A464,"00000"))</f>
        <v/>
      </c>
      <c r="C464" s="32" t="n"/>
      <c r="D464" s="36" t="n"/>
      <c r="E464" s="37" t="n"/>
      <c r="F464" s="36" t="n"/>
      <c r="G464" s="44" t="n"/>
      <c r="H464" s="43" t="n"/>
      <c r="I464" s="32" t="n"/>
      <c r="J464" s="44" t="n"/>
      <c r="K464" s="36" t="n"/>
      <c r="L464" s="33">
        <f>IF(C464="","",Commercial_Id)</f>
        <v/>
      </c>
      <c r="M464" s="34">
        <f>IF(OR(C464="",F464=""),"",IF(F464&lt;&gt;"Espèces","—",IF(I464&lt;&gt;"","☑ Oui","☐ Non")))</f>
        <v/>
      </c>
      <c r="N464" s="39">
        <f>IF(D464="","",IFERROR(VALUE(MID(D464,LEN(D464)-3,3)),""))</f>
        <v/>
      </c>
      <c r="O464" s="33">
        <f>IF(N464="","",L464&amp;"|"&amp;N464)</f>
        <v/>
      </c>
      <c r="P464" s="33">
        <f>IF(N464="","",IF(L464="À RENSEIGNER","GIC",L464)&amp;"-"&amp;TEXT(N464,"000"))</f>
        <v/>
      </c>
      <c r="Q464" s="33">
        <f>IF(O464="","",IFERROR(INDEX(Cl_nom,MATCH(O464,Cl_cle,0)),"(client introuvable)"))</f>
        <v/>
      </c>
      <c r="R464" s="40">
        <f>IF(O464="","",IFERROR(INDEX(Cl_reste,MATCH(O464,Cl_cle,0)),""))</f>
        <v/>
      </c>
      <c r="S464" s="34">
        <f>IF(C464="","",YEAR(C464-WEEKDAY(C464,2)+4)&amp;"-S"&amp;TEXT(INT((C464-DATE(YEAR(C464-WEEKDAY(C464,2)+4),1,3)+WEEKDAY(DATE(YEAR(C464-WEEKDAY(C464,2)+4),1,3),2)+5)/7),"00"))</f>
        <v/>
      </c>
    </row>
    <row r="465" ht="18" customHeight="1">
      <c r="A465" s="39" t="n">
        <v>460</v>
      </c>
      <c r="B465" s="33">
        <f>IF(C465="","",IF(L465="À RENSEIGNER","GIC",L465)&amp;"-E"&amp;TEXT(A465,"00000"))</f>
        <v/>
      </c>
      <c r="C465" s="32" t="n"/>
      <c r="D465" s="36" t="n"/>
      <c r="E465" s="37" t="n"/>
      <c r="F465" s="36" t="n"/>
      <c r="G465" s="44" t="n"/>
      <c r="H465" s="43" t="n"/>
      <c r="I465" s="32" t="n"/>
      <c r="J465" s="44" t="n"/>
      <c r="K465" s="36" t="n"/>
      <c r="L465" s="33">
        <f>IF(C465="","",Commercial_Id)</f>
        <v/>
      </c>
      <c r="M465" s="34">
        <f>IF(OR(C465="",F465=""),"",IF(F465&lt;&gt;"Espèces","—",IF(I465&lt;&gt;"","☑ Oui","☐ Non")))</f>
        <v/>
      </c>
      <c r="N465" s="39">
        <f>IF(D465="","",IFERROR(VALUE(MID(D465,LEN(D465)-3,3)),""))</f>
        <v/>
      </c>
      <c r="O465" s="33">
        <f>IF(N465="","",L465&amp;"|"&amp;N465)</f>
        <v/>
      </c>
      <c r="P465" s="33">
        <f>IF(N465="","",IF(L465="À RENSEIGNER","GIC",L465)&amp;"-"&amp;TEXT(N465,"000"))</f>
        <v/>
      </c>
      <c r="Q465" s="33">
        <f>IF(O465="","",IFERROR(INDEX(Cl_nom,MATCH(O465,Cl_cle,0)),"(client introuvable)"))</f>
        <v/>
      </c>
      <c r="R465" s="40">
        <f>IF(O465="","",IFERROR(INDEX(Cl_reste,MATCH(O465,Cl_cle,0)),""))</f>
        <v/>
      </c>
      <c r="S465" s="34">
        <f>IF(C465="","",YEAR(C465-WEEKDAY(C465,2)+4)&amp;"-S"&amp;TEXT(INT((C465-DATE(YEAR(C465-WEEKDAY(C465,2)+4),1,3)+WEEKDAY(DATE(YEAR(C465-WEEKDAY(C465,2)+4),1,3),2)+5)/7),"00"))</f>
        <v/>
      </c>
    </row>
    <row r="466" ht="18" customHeight="1">
      <c r="A466" s="39" t="n">
        <v>461</v>
      </c>
      <c r="B466" s="33">
        <f>IF(C466="","",IF(L466="À RENSEIGNER","GIC",L466)&amp;"-E"&amp;TEXT(A466,"00000"))</f>
        <v/>
      </c>
      <c r="C466" s="32" t="n"/>
      <c r="D466" s="36" t="n"/>
      <c r="E466" s="37" t="n"/>
      <c r="F466" s="36" t="n"/>
      <c r="G466" s="44" t="n"/>
      <c r="H466" s="43" t="n"/>
      <c r="I466" s="32" t="n"/>
      <c r="J466" s="44" t="n"/>
      <c r="K466" s="36" t="n"/>
      <c r="L466" s="33">
        <f>IF(C466="","",Commercial_Id)</f>
        <v/>
      </c>
      <c r="M466" s="34">
        <f>IF(OR(C466="",F466=""),"",IF(F466&lt;&gt;"Espèces","—",IF(I466&lt;&gt;"","☑ Oui","☐ Non")))</f>
        <v/>
      </c>
      <c r="N466" s="39">
        <f>IF(D466="","",IFERROR(VALUE(MID(D466,LEN(D466)-3,3)),""))</f>
        <v/>
      </c>
      <c r="O466" s="33">
        <f>IF(N466="","",L466&amp;"|"&amp;N466)</f>
        <v/>
      </c>
      <c r="P466" s="33">
        <f>IF(N466="","",IF(L466="À RENSEIGNER","GIC",L466)&amp;"-"&amp;TEXT(N466,"000"))</f>
        <v/>
      </c>
      <c r="Q466" s="33">
        <f>IF(O466="","",IFERROR(INDEX(Cl_nom,MATCH(O466,Cl_cle,0)),"(client introuvable)"))</f>
        <v/>
      </c>
      <c r="R466" s="40">
        <f>IF(O466="","",IFERROR(INDEX(Cl_reste,MATCH(O466,Cl_cle,0)),""))</f>
        <v/>
      </c>
      <c r="S466" s="34">
        <f>IF(C466="","",YEAR(C466-WEEKDAY(C466,2)+4)&amp;"-S"&amp;TEXT(INT((C466-DATE(YEAR(C466-WEEKDAY(C466,2)+4),1,3)+WEEKDAY(DATE(YEAR(C466-WEEKDAY(C466,2)+4),1,3),2)+5)/7),"00"))</f>
        <v/>
      </c>
    </row>
    <row r="467" ht="18" customHeight="1">
      <c r="A467" s="39" t="n">
        <v>462</v>
      </c>
      <c r="B467" s="33">
        <f>IF(C467="","",IF(L467="À RENSEIGNER","GIC",L467)&amp;"-E"&amp;TEXT(A467,"00000"))</f>
        <v/>
      </c>
      <c r="C467" s="32" t="n"/>
      <c r="D467" s="36" t="n"/>
      <c r="E467" s="37" t="n"/>
      <c r="F467" s="36" t="n"/>
      <c r="G467" s="44" t="n"/>
      <c r="H467" s="43" t="n"/>
      <c r="I467" s="32" t="n"/>
      <c r="J467" s="44" t="n"/>
      <c r="K467" s="36" t="n"/>
      <c r="L467" s="33">
        <f>IF(C467="","",Commercial_Id)</f>
        <v/>
      </c>
      <c r="M467" s="34">
        <f>IF(OR(C467="",F467=""),"",IF(F467&lt;&gt;"Espèces","—",IF(I467&lt;&gt;"","☑ Oui","☐ Non")))</f>
        <v/>
      </c>
      <c r="N467" s="39">
        <f>IF(D467="","",IFERROR(VALUE(MID(D467,LEN(D467)-3,3)),""))</f>
        <v/>
      </c>
      <c r="O467" s="33">
        <f>IF(N467="","",L467&amp;"|"&amp;N467)</f>
        <v/>
      </c>
      <c r="P467" s="33">
        <f>IF(N467="","",IF(L467="À RENSEIGNER","GIC",L467)&amp;"-"&amp;TEXT(N467,"000"))</f>
        <v/>
      </c>
      <c r="Q467" s="33">
        <f>IF(O467="","",IFERROR(INDEX(Cl_nom,MATCH(O467,Cl_cle,0)),"(client introuvable)"))</f>
        <v/>
      </c>
      <c r="R467" s="40">
        <f>IF(O467="","",IFERROR(INDEX(Cl_reste,MATCH(O467,Cl_cle,0)),""))</f>
        <v/>
      </c>
      <c r="S467" s="34">
        <f>IF(C467="","",YEAR(C467-WEEKDAY(C467,2)+4)&amp;"-S"&amp;TEXT(INT((C467-DATE(YEAR(C467-WEEKDAY(C467,2)+4),1,3)+WEEKDAY(DATE(YEAR(C467-WEEKDAY(C467,2)+4),1,3),2)+5)/7),"00"))</f>
        <v/>
      </c>
    </row>
    <row r="468" ht="18" customHeight="1">
      <c r="A468" s="39" t="n">
        <v>463</v>
      </c>
      <c r="B468" s="33">
        <f>IF(C468="","",IF(L468="À RENSEIGNER","GIC",L468)&amp;"-E"&amp;TEXT(A468,"00000"))</f>
        <v/>
      </c>
      <c r="C468" s="32" t="n"/>
      <c r="D468" s="36" t="n"/>
      <c r="E468" s="37" t="n"/>
      <c r="F468" s="36" t="n"/>
      <c r="G468" s="44" t="n"/>
      <c r="H468" s="43" t="n"/>
      <c r="I468" s="32" t="n"/>
      <c r="J468" s="44" t="n"/>
      <c r="K468" s="36" t="n"/>
      <c r="L468" s="33">
        <f>IF(C468="","",Commercial_Id)</f>
        <v/>
      </c>
      <c r="M468" s="34">
        <f>IF(OR(C468="",F468=""),"",IF(F468&lt;&gt;"Espèces","—",IF(I468&lt;&gt;"","☑ Oui","☐ Non")))</f>
        <v/>
      </c>
      <c r="N468" s="39">
        <f>IF(D468="","",IFERROR(VALUE(MID(D468,LEN(D468)-3,3)),""))</f>
        <v/>
      </c>
      <c r="O468" s="33">
        <f>IF(N468="","",L468&amp;"|"&amp;N468)</f>
        <v/>
      </c>
      <c r="P468" s="33">
        <f>IF(N468="","",IF(L468="À RENSEIGNER","GIC",L468)&amp;"-"&amp;TEXT(N468,"000"))</f>
        <v/>
      </c>
      <c r="Q468" s="33">
        <f>IF(O468="","",IFERROR(INDEX(Cl_nom,MATCH(O468,Cl_cle,0)),"(client introuvable)"))</f>
        <v/>
      </c>
      <c r="R468" s="40">
        <f>IF(O468="","",IFERROR(INDEX(Cl_reste,MATCH(O468,Cl_cle,0)),""))</f>
        <v/>
      </c>
      <c r="S468" s="34">
        <f>IF(C468="","",YEAR(C468-WEEKDAY(C468,2)+4)&amp;"-S"&amp;TEXT(INT((C468-DATE(YEAR(C468-WEEKDAY(C468,2)+4),1,3)+WEEKDAY(DATE(YEAR(C468-WEEKDAY(C468,2)+4),1,3),2)+5)/7),"00"))</f>
        <v/>
      </c>
    </row>
    <row r="469" ht="18" customHeight="1">
      <c r="A469" s="39" t="n">
        <v>464</v>
      </c>
      <c r="B469" s="33">
        <f>IF(C469="","",IF(L469="À RENSEIGNER","GIC",L469)&amp;"-E"&amp;TEXT(A469,"00000"))</f>
        <v/>
      </c>
      <c r="C469" s="32" t="n"/>
      <c r="D469" s="36" t="n"/>
      <c r="E469" s="37" t="n"/>
      <c r="F469" s="36" t="n"/>
      <c r="G469" s="44" t="n"/>
      <c r="H469" s="43" t="n"/>
      <c r="I469" s="32" t="n"/>
      <c r="J469" s="44" t="n"/>
      <c r="K469" s="36" t="n"/>
      <c r="L469" s="33">
        <f>IF(C469="","",Commercial_Id)</f>
        <v/>
      </c>
      <c r="M469" s="34">
        <f>IF(OR(C469="",F469=""),"",IF(F469&lt;&gt;"Espèces","—",IF(I469&lt;&gt;"","☑ Oui","☐ Non")))</f>
        <v/>
      </c>
      <c r="N469" s="39">
        <f>IF(D469="","",IFERROR(VALUE(MID(D469,LEN(D469)-3,3)),""))</f>
        <v/>
      </c>
      <c r="O469" s="33">
        <f>IF(N469="","",L469&amp;"|"&amp;N469)</f>
        <v/>
      </c>
      <c r="P469" s="33">
        <f>IF(N469="","",IF(L469="À RENSEIGNER","GIC",L469)&amp;"-"&amp;TEXT(N469,"000"))</f>
        <v/>
      </c>
      <c r="Q469" s="33">
        <f>IF(O469="","",IFERROR(INDEX(Cl_nom,MATCH(O469,Cl_cle,0)),"(client introuvable)"))</f>
        <v/>
      </c>
      <c r="R469" s="40">
        <f>IF(O469="","",IFERROR(INDEX(Cl_reste,MATCH(O469,Cl_cle,0)),""))</f>
        <v/>
      </c>
      <c r="S469" s="34">
        <f>IF(C469="","",YEAR(C469-WEEKDAY(C469,2)+4)&amp;"-S"&amp;TEXT(INT((C469-DATE(YEAR(C469-WEEKDAY(C469,2)+4),1,3)+WEEKDAY(DATE(YEAR(C469-WEEKDAY(C469,2)+4),1,3),2)+5)/7),"00"))</f>
        <v/>
      </c>
    </row>
    <row r="470" ht="18" customHeight="1">
      <c r="A470" s="39" t="n">
        <v>465</v>
      </c>
      <c r="B470" s="33">
        <f>IF(C470="","",IF(L470="À RENSEIGNER","GIC",L470)&amp;"-E"&amp;TEXT(A470,"00000"))</f>
        <v/>
      </c>
      <c r="C470" s="32" t="n"/>
      <c r="D470" s="36" t="n"/>
      <c r="E470" s="37" t="n"/>
      <c r="F470" s="36" t="n"/>
      <c r="G470" s="44" t="n"/>
      <c r="H470" s="43" t="n"/>
      <c r="I470" s="32" t="n"/>
      <c r="J470" s="44" t="n"/>
      <c r="K470" s="36" t="n"/>
      <c r="L470" s="33">
        <f>IF(C470="","",Commercial_Id)</f>
        <v/>
      </c>
      <c r="M470" s="34">
        <f>IF(OR(C470="",F470=""),"",IF(F470&lt;&gt;"Espèces","—",IF(I470&lt;&gt;"","☑ Oui","☐ Non")))</f>
        <v/>
      </c>
      <c r="N470" s="39">
        <f>IF(D470="","",IFERROR(VALUE(MID(D470,LEN(D470)-3,3)),""))</f>
        <v/>
      </c>
      <c r="O470" s="33">
        <f>IF(N470="","",L470&amp;"|"&amp;N470)</f>
        <v/>
      </c>
      <c r="P470" s="33">
        <f>IF(N470="","",IF(L470="À RENSEIGNER","GIC",L470)&amp;"-"&amp;TEXT(N470,"000"))</f>
        <v/>
      </c>
      <c r="Q470" s="33">
        <f>IF(O470="","",IFERROR(INDEX(Cl_nom,MATCH(O470,Cl_cle,0)),"(client introuvable)"))</f>
        <v/>
      </c>
      <c r="R470" s="40">
        <f>IF(O470="","",IFERROR(INDEX(Cl_reste,MATCH(O470,Cl_cle,0)),""))</f>
        <v/>
      </c>
      <c r="S470" s="34">
        <f>IF(C470="","",YEAR(C470-WEEKDAY(C470,2)+4)&amp;"-S"&amp;TEXT(INT((C470-DATE(YEAR(C470-WEEKDAY(C470,2)+4),1,3)+WEEKDAY(DATE(YEAR(C470-WEEKDAY(C470,2)+4),1,3),2)+5)/7),"00"))</f>
        <v/>
      </c>
    </row>
    <row r="471" ht="18" customHeight="1">
      <c r="A471" s="39" t="n">
        <v>466</v>
      </c>
      <c r="B471" s="33">
        <f>IF(C471="","",IF(L471="À RENSEIGNER","GIC",L471)&amp;"-E"&amp;TEXT(A471,"00000"))</f>
        <v/>
      </c>
      <c r="C471" s="32" t="n"/>
      <c r="D471" s="36" t="n"/>
      <c r="E471" s="37" t="n"/>
      <c r="F471" s="36" t="n"/>
      <c r="G471" s="44" t="n"/>
      <c r="H471" s="43" t="n"/>
      <c r="I471" s="32" t="n"/>
      <c r="J471" s="44" t="n"/>
      <c r="K471" s="36" t="n"/>
      <c r="L471" s="33">
        <f>IF(C471="","",Commercial_Id)</f>
        <v/>
      </c>
      <c r="M471" s="34">
        <f>IF(OR(C471="",F471=""),"",IF(F471&lt;&gt;"Espèces","—",IF(I471&lt;&gt;"","☑ Oui","☐ Non")))</f>
        <v/>
      </c>
      <c r="N471" s="39">
        <f>IF(D471="","",IFERROR(VALUE(MID(D471,LEN(D471)-3,3)),""))</f>
        <v/>
      </c>
      <c r="O471" s="33">
        <f>IF(N471="","",L471&amp;"|"&amp;N471)</f>
        <v/>
      </c>
      <c r="P471" s="33">
        <f>IF(N471="","",IF(L471="À RENSEIGNER","GIC",L471)&amp;"-"&amp;TEXT(N471,"000"))</f>
        <v/>
      </c>
      <c r="Q471" s="33">
        <f>IF(O471="","",IFERROR(INDEX(Cl_nom,MATCH(O471,Cl_cle,0)),"(client introuvable)"))</f>
        <v/>
      </c>
      <c r="R471" s="40">
        <f>IF(O471="","",IFERROR(INDEX(Cl_reste,MATCH(O471,Cl_cle,0)),""))</f>
        <v/>
      </c>
      <c r="S471" s="34">
        <f>IF(C471="","",YEAR(C471-WEEKDAY(C471,2)+4)&amp;"-S"&amp;TEXT(INT((C471-DATE(YEAR(C471-WEEKDAY(C471,2)+4),1,3)+WEEKDAY(DATE(YEAR(C471-WEEKDAY(C471,2)+4),1,3),2)+5)/7),"00"))</f>
        <v/>
      </c>
    </row>
    <row r="472" ht="18" customHeight="1">
      <c r="A472" s="39" t="n">
        <v>467</v>
      </c>
      <c r="B472" s="33">
        <f>IF(C472="","",IF(L472="À RENSEIGNER","GIC",L472)&amp;"-E"&amp;TEXT(A472,"00000"))</f>
        <v/>
      </c>
      <c r="C472" s="32" t="n"/>
      <c r="D472" s="36" t="n"/>
      <c r="E472" s="37" t="n"/>
      <c r="F472" s="36" t="n"/>
      <c r="G472" s="44" t="n"/>
      <c r="H472" s="43" t="n"/>
      <c r="I472" s="32" t="n"/>
      <c r="J472" s="44" t="n"/>
      <c r="K472" s="36" t="n"/>
      <c r="L472" s="33">
        <f>IF(C472="","",Commercial_Id)</f>
        <v/>
      </c>
      <c r="M472" s="34">
        <f>IF(OR(C472="",F472=""),"",IF(F472&lt;&gt;"Espèces","—",IF(I472&lt;&gt;"","☑ Oui","☐ Non")))</f>
        <v/>
      </c>
      <c r="N472" s="39">
        <f>IF(D472="","",IFERROR(VALUE(MID(D472,LEN(D472)-3,3)),""))</f>
        <v/>
      </c>
      <c r="O472" s="33">
        <f>IF(N472="","",L472&amp;"|"&amp;N472)</f>
        <v/>
      </c>
      <c r="P472" s="33">
        <f>IF(N472="","",IF(L472="À RENSEIGNER","GIC",L472)&amp;"-"&amp;TEXT(N472,"000"))</f>
        <v/>
      </c>
      <c r="Q472" s="33">
        <f>IF(O472="","",IFERROR(INDEX(Cl_nom,MATCH(O472,Cl_cle,0)),"(client introuvable)"))</f>
        <v/>
      </c>
      <c r="R472" s="40">
        <f>IF(O472="","",IFERROR(INDEX(Cl_reste,MATCH(O472,Cl_cle,0)),""))</f>
        <v/>
      </c>
      <c r="S472" s="34">
        <f>IF(C472="","",YEAR(C472-WEEKDAY(C472,2)+4)&amp;"-S"&amp;TEXT(INT((C472-DATE(YEAR(C472-WEEKDAY(C472,2)+4),1,3)+WEEKDAY(DATE(YEAR(C472-WEEKDAY(C472,2)+4),1,3),2)+5)/7),"00"))</f>
        <v/>
      </c>
    </row>
    <row r="473" ht="18" customHeight="1">
      <c r="A473" s="39" t="n">
        <v>468</v>
      </c>
      <c r="B473" s="33">
        <f>IF(C473="","",IF(L473="À RENSEIGNER","GIC",L473)&amp;"-E"&amp;TEXT(A473,"00000"))</f>
        <v/>
      </c>
      <c r="C473" s="32" t="n"/>
      <c r="D473" s="36" t="n"/>
      <c r="E473" s="37" t="n"/>
      <c r="F473" s="36" t="n"/>
      <c r="G473" s="44" t="n"/>
      <c r="H473" s="43" t="n"/>
      <c r="I473" s="32" t="n"/>
      <c r="J473" s="44" t="n"/>
      <c r="K473" s="36" t="n"/>
      <c r="L473" s="33">
        <f>IF(C473="","",Commercial_Id)</f>
        <v/>
      </c>
      <c r="M473" s="34">
        <f>IF(OR(C473="",F473=""),"",IF(F473&lt;&gt;"Espèces","—",IF(I473&lt;&gt;"","☑ Oui","☐ Non")))</f>
        <v/>
      </c>
      <c r="N473" s="39">
        <f>IF(D473="","",IFERROR(VALUE(MID(D473,LEN(D473)-3,3)),""))</f>
        <v/>
      </c>
      <c r="O473" s="33">
        <f>IF(N473="","",L473&amp;"|"&amp;N473)</f>
        <v/>
      </c>
      <c r="P473" s="33">
        <f>IF(N473="","",IF(L473="À RENSEIGNER","GIC",L473)&amp;"-"&amp;TEXT(N473,"000"))</f>
        <v/>
      </c>
      <c r="Q473" s="33">
        <f>IF(O473="","",IFERROR(INDEX(Cl_nom,MATCH(O473,Cl_cle,0)),"(client introuvable)"))</f>
        <v/>
      </c>
      <c r="R473" s="40">
        <f>IF(O473="","",IFERROR(INDEX(Cl_reste,MATCH(O473,Cl_cle,0)),""))</f>
        <v/>
      </c>
      <c r="S473" s="34">
        <f>IF(C473="","",YEAR(C473-WEEKDAY(C473,2)+4)&amp;"-S"&amp;TEXT(INT((C473-DATE(YEAR(C473-WEEKDAY(C473,2)+4),1,3)+WEEKDAY(DATE(YEAR(C473-WEEKDAY(C473,2)+4),1,3),2)+5)/7),"00"))</f>
        <v/>
      </c>
    </row>
    <row r="474" ht="18" customHeight="1">
      <c r="A474" s="39" t="n">
        <v>469</v>
      </c>
      <c r="B474" s="33">
        <f>IF(C474="","",IF(L474="À RENSEIGNER","GIC",L474)&amp;"-E"&amp;TEXT(A474,"00000"))</f>
        <v/>
      </c>
      <c r="C474" s="32" t="n"/>
      <c r="D474" s="36" t="n"/>
      <c r="E474" s="37" t="n"/>
      <c r="F474" s="36" t="n"/>
      <c r="G474" s="44" t="n"/>
      <c r="H474" s="43" t="n"/>
      <c r="I474" s="32" t="n"/>
      <c r="J474" s="44" t="n"/>
      <c r="K474" s="36" t="n"/>
      <c r="L474" s="33">
        <f>IF(C474="","",Commercial_Id)</f>
        <v/>
      </c>
      <c r="M474" s="34">
        <f>IF(OR(C474="",F474=""),"",IF(F474&lt;&gt;"Espèces","—",IF(I474&lt;&gt;"","☑ Oui","☐ Non")))</f>
        <v/>
      </c>
      <c r="N474" s="39">
        <f>IF(D474="","",IFERROR(VALUE(MID(D474,LEN(D474)-3,3)),""))</f>
        <v/>
      </c>
      <c r="O474" s="33">
        <f>IF(N474="","",L474&amp;"|"&amp;N474)</f>
        <v/>
      </c>
      <c r="P474" s="33">
        <f>IF(N474="","",IF(L474="À RENSEIGNER","GIC",L474)&amp;"-"&amp;TEXT(N474,"000"))</f>
        <v/>
      </c>
      <c r="Q474" s="33">
        <f>IF(O474="","",IFERROR(INDEX(Cl_nom,MATCH(O474,Cl_cle,0)),"(client introuvable)"))</f>
        <v/>
      </c>
      <c r="R474" s="40">
        <f>IF(O474="","",IFERROR(INDEX(Cl_reste,MATCH(O474,Cl_cle,0)),""))</f>
        <v/>
      </c>
      <c r="S474" s="34">
        <f>IF(C474="","",YEAR(C474-WEEKDAY(C474,2)+4)&amp;"-S"&amp;TEXT(INT((C474-DATE(YEAR(C474-WEEKDAY(C474,2)+4),1,3)+WEEKDAY(DATE(YEAR(C474-WEEKDAY(C474,2)+4),1,3),2)+5)/7),"00"))</f>
        <v/>
      </c>
    </row>
    <row r="475" ht="18" customHeight="1">
      <c r="A475" s="39" t="n">
        <v>470</v>
      </c>
      <c r="B475" s="33">
        <f>IF(C475="","",IF(L475="À RENSEIGNER","GIC",L475)&amp;"-E"&amp;TEXT(A475,"00000"))</f>
        <v/>
      </c>
      <c r="C475" s="32" t="n"/>
      <c r="D475" s="36" t="n"/>
      <c r="E475" s="37" t="n"/>
      <c r="F475" s="36" t="n"/>
      <c r="G475" s="44" t="n"/>
      <c r="H475" s="43" t="n"/>
      <c r="I475" s="32" t="n"/>
      <c r="J475" s="44" t="n"/>
      <c r="K475" s="36" t="n"/>
      <c r="L475" s="33">
        <f>IF(C475="","",Commercial_Id)</f>
        <v/>
      </c>
      <c r="M475" s="34">
        <f>IF(OR(C475="",F475=""),"",IF(F475&lt;&gt;"Espèces","—",IF(I475&lt;&gt;"","☑ Oui","☐ Non")))</f>
        <v/>
      </c>
      <c r="N475" s="39">
        <f>IF(D475="","",IFERROR(VALUE(MID(D475,LEN(D475)-3,3)),""))</f>
        <v/>
      </c>
      <c r="O475" s="33">
        <f>IF(N475="","",L475&amp;"|"&amp;N475)</f>
        <v/>
      </c>
      <c r="P475" s="33">
        <f>IF(N475="","",IF(L475="À RENSEIGNER","GIC",L475)&amp;"-"&amp;TEXT(N475,"000"))</f>
        <v/>
      </c>
      <c r="Q475" s="33">
        <f>IF(O475="","",IFERROR(INDEX(Cl_nom,MATCH(O475,Cl_cle,0)),"(client introuvable)"))</f>
        <v/>
      </c>
      <c r="R475" s="40">
        <f>IF(O475="","",IFERROR(INDEX(Cl_reste,MATCH(O475,Cl_cle,0)),""))</f>
        <v/>
      </c>
      <c r="S475" s="34">
        <f>IF(C475="","",YEAR(C475-WEEKDAY(C475,2)+4)&amp;"-S"&amp;TEXT(INT((C475-DATE(YEAR(C475-WEEKDAY(C475,2)+4),1,3)+WEEKDAY(DATE(YEAR(C475-WEEKDAY(C475,2)+4),1,3),2)+5)/7),"00"))</f>
        <v/>
      </c>
    </row>
    <row r="476" ht="18" customHeight="1">
      <c r="A476" s="39" t="n">
        <v>471</v>
      </c>
      <c r="B476" s="33">
        <f>IF(C476="","",IF(L476="À RENSEIGNER","GIC",L476)&amp;"-E"&amp;TEXT(A476,"00000"))</f>
        <v/>
      </c>
      <c r="C476" s="32" t="n"/>
      <c r="D476" s="36" t="n"/>
      <c r="E476" s="37" t="n"/>
      <c r="F476" s="36" t="n"/>
      <c r="G476" s="44" t="n"/>
      <c r="H476" s="43" t="n"/>
      <c r="I476" s="32" t="n"/>
      <c r="J476" s="44" t="n"/>
      <c r="K476" s="36" t="n"/>
      <c r="L476" s="33">
        <f>IF(C476="","",Commercial_Id)</f>
        <v/>
      </c>
      <c r="M476" s="34">
        <f>IF(OR(C476="",F476=""),"",IF(F476&lt;&gt;"Espèces","—",IF(I476&lt;&gt;"","☑ Oui","☐ Non")))</f>
        <v/>
      </c>
      <c r="N476" s="39">
        <f>IF(D476="","",IFERROR(VALUE(MID(D476,LEN(D476)-3,3)),""))</f>
        <v/>
      </c>
      <c r="O476" s="33">
        <f>IF(N476="","",L476&amp;"|"&amp;N476)</f>
        <v/>
      </c>
      <c r="P476" s="33">
        <f>IF(N476="","",IF(L476="À RENSEIGNER","GIC",L476)&amp;"-"&amp;TEXT(N476,"000"))</f>
        <v/>
      </c>
      <c r="Q476" s="33">
        <f>IF(O476="","",IFERROR(INDEX(Cl_nom,MATCH(O476,Cl_cle,0)),"(client introuvable)"))</f>
        <v/>
      </c>
      <c r="R476" s="40">
        <f>IF(O476="","",IFERROR(INDEX(Cl_reste,MATCH(O476,Cl_cle,0)),""))</f>
        <v/>
      </c>
      <c r="S476" s="34">
        <f>IF(C476="","",YEAR(C476-WEEKDAY(C476,2)+4)&amp;"-S"&amp;TEXT(INT((C476-DATE(YEAR(C476-WEEKDAY(C476,2)+4),1,3)+WEEKDAY(DATE(YEAR(C476-WEEKDAY(C476,2)+4),1,3),2)+5)/7),"00"))</f>
        <v/>
      </c>
    </row>
    <row r="477" ht="18" customHeight="1">
      <c r="A477" s="39" t="n">
        <v>472</v>
      </c>
      <c r="B477" s="33">
        <f>IF(C477="","",IF(L477="À RENSEIGNER","GIC",L477)&amp;"-E"&amp;TEXT(A477,"00000"))</f>
        <v/>
      </c>
      <c r="C477" s="32" t="n"/>
      <c r="D477" s="36" t="n"/>
      <c r="E477" s="37" t="n"/>
      <c r="F477" s="36" t="n"/>
      <c r="G477" s="44" t="n"/>
      <c r="H477" s="43" t="n"/>
      <c r="I477" s="32" t="n"/>
      <c r="J477" s="44" t="n"/>
      <c r="K477" s="36" t="n"/>
      <c r="L477" s="33">
        <f>IF(C477="","",Commercial_Id)</f>
        <v/>
      </c>
      <c r="M477" s="34">
        <f>IF(OR(C477="",F477=""),"",IF(F477&lt;&gt;"Espèces","—",IF(I477&lt;&gt;"","☑ Oui","☐ Non")))</f>
        <v/>
      </c>
      <c r="N477" s="39">
        <f>IF(D477="","",IFERROR(VALUE(MID(D477,LEN(D477)-3,3)),""))</f>
        <v/>
      </c>
      <c r="O477" s="33">
        <f>IF(N477="","",L477&amp;"|"&amp;N477)</f>
        <v/>
      </c>
      <c r="P477" s="33">
        <f>IF(N477="","",IF(L477="À RENSEIGNER","GIC",L477)&amp;"-"&amp;TEXT(N477,"000"))</f>
        <v/>
      </c>
      <c r="Q477" s="33">
        <f>IF(O477="","",IFERROR(INDEX(Cl_nom,MATCH(O477,Cl_cle,0)),"(client introuvable)"))</f>
        <v/>
      </c>
      <c r="R477" s="40">
        <f>IF(O477="","",IFERROR(INDEX(Cl_reste,MATCH(O477,Cl_cle,0)),""))</f>
        <v/>
      </c>
      <c r="S477" s="34">
        <f>IF(C477="","",YEAR(C477-WEEKDAY(C477,2)+4)&amp;"-S"&amp;TEXT(INT((C477-DATE(YEAR(C477-WEEKDAY(C477,2)+4),1,3)+WEEKDAY(DATE(YEAR(C477-WEEKDAY(C477,2)+4),1,3),2)+5)/7),"00"))</f>
        <v/>
      </c>
    </row>
    <row r="478" ht="18" customHeight="1">
      <c r="A478" s="39" t="n">
        <v>473</v>
      </c>
      <c r="B478" s="33">
        <f>IF(C478="","",IF(L478="À RENSEIGNER","GIC",L478)&amp;"-E"&amp;TEXT(A478,"00000"))</f>
        <v/>
      </c>
      <c r="C478" s="32" t="n"/>
      <c r="D478" s="36" t="n"/>
      <c r="E478" s="37" t="n"/>
      <c r="F478" s="36" t="n"/>
      <c r="G478" s="44" t="n"/>
      <c r="H478" s="43" t="n"/>
      <c r="I478" s="32" t="n"/>
      <c r="J478" s="44" t="n"/>
      <c r="K478" s="36" t="n"/>
      <c r="L478" s="33">
        <f>IF(C478="","",Commercial_Id)</f>
        <v/>
      </c>
      <c r="M478" s="34">
        <f>IF(OR(C478="",F478=""),"",IF(F478&lt;&gt;"Espèces","—",IF(I478&lt;&gt;"","☑ Oui","☐ Non")))</f>
        <v/>
      </c>
      <c r="N478" s="39">
        <f>IF(D478="","",IFERROR(VALUE(MID(D478,LEN(D478)-3,3)),""))</f>
        <v/>
      </c>
      <c r="O478" s="33">
        <f>IF(N478="","",L478&amp;"|"&amp;N478)</f>
        <v/>
      </c>
      <c r="P478" s="33">
        <f>IF(N478="","",IF(L478="À RENSEIGNER","GIC",L478)&amp;"-"&amp;TEXT(N478,"000"))</f>
        <v/>
      </c>
      <c r="Q478" s="33">
        <f>IF(O478="","",IFERROR(INDEX(Cl_nom,MATCH(O478,Cl_cle,0)),"(client introuvable)"))</f>
        <v/>
      </c>
      <c r="R478" s="40">
        <f>IF(O478="","",IFERROR(INDEX(Cl_reste,MATCH(O478,Cl_cle,0)),""))</f>
        <v/>
      </c>
      <c r="S478" s="34">
        <f>IF(C478="","",YEAR(C478-WEEKDAY(C478,2)+4)&amp;"-S"&amp;TEXT(INT((C478-DATE(YEAR(C478-WEEKDAY(C478,2)+4),1,3)+WEEKDAY(DATE(YEAR(C478-WEEKDAY(C478,2)+4),1,3),2)+5)/7),"00"))</f>
        <v/>
      </c>
    </row>
    <row r="479" ht="18" customHeight="1">
      <c r="A479" s="39" t="n">
        <v>474</v>
      </c>
      <c r="B479" s="33">
        <f>IF(C479="","",IF(L479="À RENSEIGNER","GIC",L479)&amp;"-E"&amp;TEXT(A479,"00000"))</f>
        <v/>
      </c>
      <c r="C479" s="32" t="n"/>
      <c r="D479" s="36" t="n"/>
      <c r="E479" s="37" t="n"/>
      <c r="F479" s="36" t="n"/>
      <c r="G479" s="44" t="n"/>
      <c r="H479" s="43" t="n"/>
      <c r="I479" s="32" t="n"/>
      <c r="J479" s="44" t="n"/>
      <c r="K479" s="36" t="n"/>
      <c r="L479" s="33">
        <f>IF(C479="","",Commercial_Id)</f>
        <v/>
      </c>
      <c r="M479" s="34">
        <f>IF(OR(C479="",F479=""),"",IF(F479&lt;&gt;"Espèces","—",IF(I479&lt;&gt;"","☑ Oui","☐ Non")))</f>
        <v/>
      </c>
      <c r="N479" s="39">
        <f>IF(D479="","",IFERROR(VALUE(MID(D479,LEN(D479)-3,3)),""))</f>
        <v/>
      </c>
      <c r="O479" s="33">
        <f>IF(N479="","",L479&amp;"|"&amp;N479)</f>
        <v/>
      </c>
      <c r="P479" s="33">
        <f>IF(N479="","",IF(L479="À RENSEIGNER","GIC",L479)&amp;"-"&amp;TEXT(N479,"000"))</f>
        <v/>
      </c>
      <c r="Q479" s="33">
        <f>IF(O479="","",IFERROR(INDEX(Cl_nom,MATCH(O479,Cl_cle,0)),"(client introuvable)"))</f>
        <v/>
      </c>
      <c r="R479" s="40">
        <f>IF(O479="","",IFERROR(INDEX(Cl_reste,MATCH(O479,Cl_cle,0)),""))</f>
        <v/>
      </c>
      <c r="S479" s="34">
        <f>IF(C479="","",YEAR(C479-WEEKDAY(C479,2)+4)&amp;"-S"&amp;TEXT(INT((C479-DATE(YEAR(C479-WEEKDAY(C479,2)+4),1,3)+WEEKDAY(DATE(YEAR(C479-WEEKDAY(C479,2)+4),1,3),2)+5)/7),"00"))</f>
        <v/>
      </c>
    </row>
    <row r="480" ht="18" customHeight="1">
      <c r="A480" s="39" t="n">
        <v>475</v>
      </c>
      <c r="B480" s="33">
        <f>IF(C480="","",IF(L480="À RENSEIGNER","GIC",L480)&amp;"-E"&amp;TEXT(A480,"00000"))</f>
        <v/>
      </c>
      <c r="C480" s="32" t="n"/>
      <c r="D480" s="36" t="n"/>
      <c r="E480" s="37" t="n"/>
      <c r="F480" s="36" t="n"/>
      <c r="G480" s="44" t="n"/>
      <c r="H480" s="43" t="n"/>
      <c r="I480" s="32" t="n"/>
      <c r="J480" s="44" t="n"/>
      <c r="K480" s="36" t="n"/>
      <c r="L480" s="33">
        <f>IF(C480="","",Commercial_Id)</f>
        <v/>
      </c>
      <c r="M480" s="34">
        <f>IF(OR(C480="",F480=""),"",IF(F480&lt;&gt;"Espèces","—",IF(I480&lt;&gt;"","☑ Oui","☐ Non")))</f>
        <v/>
      </c>
      <c r="N480" s="39">
        <f>IF(D480="","",IFERROR(VALUE(MID(D480,LEN(D480)-3,3)),""))</f>
        <v/>
      </c>
      <c r="O480" s="33">
        <f>IF(N480="","",L480&amp;"|"&amp;N480)</f>
        <v/>
      </c>
      <c r="P480" s="33">
        <f>IF(N480="","",IF(L480="À RENSEIGNER","GIC",L480)&amp;"-"&amp;TEXT(N480,"000"))</f>
        <v/>
      </c>
      <c r="Q480" s="33">
        <f>IF(O480="","",IFERROR(INDEX(Cl_nom,MATCH(O480,Cl_cle,0)),"(client introuvable)"))</f>
        <v/>
      </c>
      <c r="R480" s="40">
        <f>IF(O480="","",IFERROR(INDEX(Cl_reste,MATCH(O480,Cl_cle,0)),""))</f>
        <v/>
      </c>
      <c r="S480" s="34">
        <f>IF(C480="","",YEAR(C480-WEEKDAY(C480,2)+4)&amp;"-S"&amp;TEXT(INT((C480-DATE(YEAR(C480-WEEKDAY(C480,2)+4),1,3)+WEEKDAY(DATE(YEAR(C480-WEEKDAY(C480,2)+4),1,3),2)+5)/7),"00"))</f>
        <v/>
      </c>
    </row>
    <row r="481" ht="18" customHeight="1">
      <c r="A481" s="39" t="n">
        <v>476</v>
      </c>
      <c r="B481" s="33">
        <f>IF(C481="","",IF(L481="À RENSEIGNER","GIC",L481)&amp;"-E"&amp;TEXT(A481,"00000"))</f>
        <v/>
      </c>
      <c r="C481" s="32" t="n"/>
      <c r="D481" s="36" t="n"/>
      <c r="E481" s="37" t="n"/>
      <c r="F481" s="36" t="n"/>
      <c r="G481" s="44" t="n"/>
      <c r="H481" s="43" t="n"/>
      <c r="I481" s="32" t="n"/>
      <c r="J481" s="44" t="n"/>
      <c r="K481" s="36" t="n"/>
      <c r="L481" s="33">
        <f>IF(C481="","",Commercial_Id)</f>
        <v/>
      </c>
      <c r="M481" s="34">
        <f>IF(OR(C481="",F481=""),"",IF(F481&lt;&gt;"Espèces","—",IF(I481&lt;&gt;"","☑ Oui","☐ Non")))</f>
        <v/>
      </c>
      <c r="N481" s="39">
        <f>IF(D481="","",IFERROR(VALUE(MID(D481,LEN(D481)-3,3)),""))</f>
        <v/>
      </c>
      <c r="O481" s="33">
        <f>IF(N481="","",L481&amp;"|"&amp;N481)</f>
        <v/>
      </c>
      <c r="P481" s="33">
        <f>IF(N481="","",IF(L481="À RENSEIGNER","GIC",L481)&amp;"-"&amp;TEXT(N481,"000"))</f>
        <v/>
      </c>
      <c r="Q481" s="33">
        <f>IF(O481="","",IFERROR(INDEX(Cl_nom,MATCH(O481,Cl_cle,0)),"(client introuvable)"))</f>
        <v/>
      </c>
      <c r="R481" s="40">
        <f>IF(O481="","",IFERROR(INDEX(Cl_reste,MATCH(O481,Cl_cle,0)),""))</f>
        <v/>
      </c>
      <c r="S481" s="34">
        <f>IF(C481="","",YEAR(C481-WEEKDAY(C481,2)+4)&amp;"-S"&amp;TEXT(INT((C481-DATE(YEAR(C481-WEEKDAY(C481,2)+4),1,3)+WEEKDAY(DATE(YEAR(C481-WEEKDAY(C481,2)+4),1,3),2)+5)/7),"00"))</f>
        <v/>
      </c>
    </row>
    <row r="482" ht="18" customHeight="1">
      <c r="A482" s="39" t="n">
        <v>477</v>
      </c>
      <c r="B482" s="33">
        <f>IF(C482="","",IF(L482="À RENSEIGNER","GIC",L482)&amp;"-E"&amp;TEXT(A482,"00000"))</f>
        <v/>
      </c>
      <c r="C482" s="32" t="n"/>
      <c r="D482" s="36" t="n"/>
      <c r="E482" s="37" t="n"/>
      <c r="F482" s="36" t="n"/>
      <c r="G482" s="44" t="n"/>
      <c r="H482" s="43" t="n"/>
      <c r="I482" s="32" t="n"/>
      <c r="J482" s="44" t="n"/>
      <c r="K482" s="36" t="n"/>
      <c r="L482" s="33">
        <f>IF(C482="","",Commercial_Id)</f>
        <v/>
      </c>
      <c r="M482" s="34">
        <f>IF(OR(C482="",F482=""),"",IF(F482&lt;&gt;"Espèces","—",IF(I482&lt;&gt;"","☑ Oui","☐ Non")))</f>
        <v/>
      </c>
      <c r="N482" s="39">
        <f>IF(D482="","",IFERROR(VALUE(MID(D482,LEN(D482)-3,3)),""))</f>
        <v/>
      </c>
      <c r="O482" s="33">
        <f>IF(N482="","",L482&amp;"|"&amp;N482)</f>
        <v/>
      </c>
      <c r="P482" s="33">
        <f>IF(N482="","",IF(L482="À RENSEIGNER","GIC",L482)&amp;"-"&amp;TEXT(N482,"000"))</f>
        <v/>
      </c>
      <c r="Q482" s="33">
        <f>IF(O482="","",IFERROR(INDEX(Cl_nom,MATCH(O482,Cl_cle,0)),"(client introuvable)"))</f>
        <v/>
      </c>
      <c r="R482" s="40">
        <f>IF(O482="","",IFERROR(INDEX(Cl_reste,MATCH(O482,Cl_cle,0)),""))</f>
        <v/>
      </c>
      <c r="S482" s="34">
        <f>IF(C482="","",YEAR(C482-WEEKDAY(C482,2)+4)&amp;"-S"&amp;TEXT(INT((C482-DATE(YEAR(C482-WEEKDAY(C482,2)+4),1,3)+WEEKDAY(DATE(YEAR(C482-WEEKDAY(C482,2)+4),1,3),2)+5)/7),"00"))</f>
        <v/>
      </c>
    </row>
    <row r="483" ht="18" customHeight="1">
      <c r="A483" s="39" t="n">
        <v>478</v>
      </c>
      <c r="B483" s="33">
        <f>IF(C483="","",IF(L483="À RENSEIGNER","GIC",L483)&amp;"-E"&amp;TEXT(A483,"00000"))</f>
        <v/>
      </c>
      <c r="C483" s="32" t="n"/>
      <c r="D483" s="36" t="n"/>
      <c r="E483" s="37" t="n"/>
      <c r="F483" s="36" t="n"/>
      <c r="G483" s="44" t="n"/>
      <c r="H483" s="43" t="n"/>
      <c r="I483" s="32" t="n"/>
      <c r="J483" s="44" t="n"/>
      <c r="K483" s="36" t="n"/>
      <c r="L483" s="33">
        <f>IF(C483="","",Commercial_Id)</f>
        <v/>
      </c>
      <c r="M483" s="34">
        <f>IF(OR(C483="",F483=""),"",IF(F483&lt;&gt;"Espèces","—",IF(I483&lt;&gt;"","☑ Oui","☐ Non")))</f>
        <v/>
      </c>
      <c r="N483" s="39">
        <f>IF(D483="","",IFERROR(VALUE(MID(D483,LEN(D483)-3,3)),""))</f>
        <v/>
      </c>
      <c r="O483" s="33">
        <f>IF(N483="","",L483&amp;"|"&amp;N483)</f>
        <v/>
      </c>
      <c r="P483" s="33">
        <f>IF(N483="","",IF(L483="À RENSEIGNER","GIC",L483)&amp;"-"&amp;TEXT(N483,"000"))</f>
        <v/>
      </c>
      <c r="Q483" s="33">
        <f>IF(O483="","",IFERROR(INDEX(Cl_nom,MATCH(O483,Cl_cle,0)),"(client introuvable)"))</f>
        <v/>
      </c>
      <c r="R483" s="40">
        <f>IF(O483="","",IFERROR(INDEX(Cl_reste,MATCH(O483,Cl_cle,0)),""))</f>
        <v/>
      </c>
      <c r="S483" s="34">
        <f>IF(C483="","",YEAR(C483-WEEKDAY(C483,2)+4)&amp;"-S"&amp;TEXT(INT((C483-DATE(YEAR(C483-WEEKDAY(C483,2)+4),1,3)+WEEKDAY(DATE(YEAR(C483-WEEKDAY(C483,2)+4),1,3),2)+5)/7),"00"))</f>
        <v/>
      </c>
    </row>
    <row r="484" ht="18" customHeight="1">
      <c r="A484" s="39" t="n">
        <v>479</v>
      </c>
      <c r="B484" s="33">
        <f>IF(C484="","",IF(L484="À RENSEIGNER","GIC",L484)&amp;"-E"&amp;TEXT(A484,"00000"))</f>
        <v/>
      </c>
      <c r="C484" s="32" t="n"/>
      <c r="D484" s="36" t="n"/>
      <c r="E484" s="37" t="n"/>
      <c r="F484" s="36" t="n"/>
      <c r="G484" s="44" t="n"/>
      <c r="H484" s="43" t="n"/>
      <c r="I484" s="32" t="n"/>
      <c r="J484" s="44" t="n"/>
      <c r="K484" s="36" t="n"/>
      <c r="L484" s="33">
        <f>IF(C484="","",Commercial_Id)</f>
        <v/>
      </c>
      <c r="M484" s="34">
        <f>IF(OR(C484="",F484=""),"",IF(F484&lt;&gt;"Espèces","—",IF(I484&lt;&gt;"","☑ Oui","☐ Non")))</f>
        <v/>
      </c>
      <c r="N484" s="39">
        <f>IF(D484="","",IFERROR(VALUE(MID(D484,LEN(D484)-3,3)),""))</f>
        <v/>
      </c>
      <c r="O484" s="33">
        <f>IF(N484="","",L484&amp;"|"&amp;N484)</f>
        <v/>
      </c>
      <c r="P484" s="33">
        <f>IF(N484="","",IF(L484="À RENSEIGNER","GIC",L484)&amp;"-"&amp;TEXT(N484,"000"))</f>
        <v/>
      </c>
      <c r="Q484" s="33">
        <f>IF(O484="","",IFERROR(INDEX(Cl_nom,MATCH(O484,Cl_cle,0)),"(client introuvable)"))</f>
        <v/>
      </c>
      <c r="R484" s="40">
        <f>IF(O484="","",IFERROR(INDEX(Cl_reste,MATCH(O484,Cl_cle,0)),""))</f>
        <v/>
      </c>
      <c r="S484" s="34">
        <f>IF(C484="","",YEAR(C484-WEEKDAY(C484,2)+4)&amp;"-S"&amp;TEXT(INT((C484-DATE(YEAR(C484-WEEKDAY(C484,2)+4),1,3)+WEEKDAY(DATE(YEAR(C484-WEEKDAY(C484,2)+4),1,3),2)+5)/7),"00"))</f>
        <v/>
      </c>
    </row>
    <row r="485" ht="18" customHeight="1">
      <c r="A485" s="39" t="n">
        <v>480</v>
      </c>
      <c r="B485" s="33">
        <f>IF(C485="","",IF(L485="À RENSEIGNER","GIC",L485)&amp;"-E"&amp;TEXT(A485,"00000"))</f>
        <v/>
      </c>
      <c r="C485" s="32" t="n"/>
      <c r="D485" s="36" t="n"/>
      <c r="E485" s="37" t="n"/>
      <c r="F485" s="36" t="n"/>
      <c r="G485" s="44" t="n"/>
      <c r="H485" s="43" t="n"/>
      <c r="I485" s="32" t="n"/>
      <c r="J485" s="44" t="n"/>
      <c r="K485" s="36" t="n"/>
      <c r="L485" s="33">
        <f>IF(C485="","",Commercial_Id)</f>
        <v/>
      </c>
      <c r="M485" s="34">
        <f>IF(OR(C485="",F485=""),"",IF(F485&lt;&gt;"Espèces","—",IF(I485&lt;&gt;"","☑ Oui","☐ Non")))</f>
        <v/>
      </c>
      <c r="N485" s="39">
        <f>IF(D485="","",IFERROR(VALUE(MID(D485,LEN(D485)-3,3)),""))</f>
        <v/>
      </c>
      <c r="O485" s="33">
        <f>IF(N485="","",L485&amp;"|"&amp;N485)</f>
        <v/>
      </c>
      <c r="P485" s="33">
        <f>IF(N485="","",IF(L485="À RENSEIGNER","GIC",L485)&amp;"-"&amp;TEXT(N485,"000"))</f>
        <v/>
      </c>
      <c r="Q485" s="33">
        <f>IF(O485="","",IFERROR(INDEX(Cl_nom,MATCH(O485,Cl_cle,0)),"(client introuvable)"))</f>
        <v/>
      </c>
      <c r="R485" s="40">
        <f>IF(O485="","",IFERROR(INDEX(Cl_reste,MATCH(O485,Cl_cle,0)),""))</f>
        <v/>
      </c>
      <c r="S485" s="34">
        <f>IF(C485="","",YEAR(C485-WEEKDAY(C485,2)+4)&amp;"-S"&amp;TEXT(INT((C485-DATE(YEAR(C485-WEEKDAY(C485,2)+4),1,3)+WEEKDAY(DATE(YEAR(C485-WEEKDAY(C485,2)+4),1,3),2)+5)/7),"00"))</f>
        <v/>
      </c>
    </row>
    <row r="486" ht="18" customHeight="1">
      <c r="A486" s="39" t="n">
        <v>481</v>
      </c>
      <c r="B486" s="33">
        <f>IF(C486="","",IF(L486="À RENSEIGNER","GIC",L486)&amp;"-E"&amp;TEXT(A486,"00000"))</f>
        <v/>
      </c>
      <c r="C486" s="32" t="n"/>
      <c r="D486" s="36" t="n"/>
      <c r="E486" s="37" t="n"/>
      <c r="F486" s="36" t="n"/>
      <c r="G486" s="44" t="n"/>
      <c r="H486" s="43" t="n"/>
      <c r="I486" s="32" t="n"/>
      <c r="J486" s="44" t="n"/>
      <c r="K486" s="36" t="n"/>
      <c r="L486" s="33">
        <f>IF(C486="","",Commercial_Id)</f>
        <v/>
      </c>
      <c r="M486" s="34">
        <f>IF(OR(C486="",F486=""),"",IF(F486&lt;&gt;"Espèces","—",IF(I486&lt;&gt;"","☑ Oui","☐ Non")))</f>
        <v/>
      </c>
      <c r="N486" s="39">
        <f>IF(D486="","",IFERROR(VALUE(MID(D486,LEN(D486)-3,3)),""))</f>
        <v/>
      </c>
      <c r="O486" s="33">
        <f>IF(N486="","",L486&amp;"|"&amp;N486)</f>
        <v/>
      </c>
      <c r="P486" s="33">
        <f>IF(N486="","",IF(L486="À RENSEIGNER","GIC",L486)&amp;"-"&amp;TEXT(N486,"000"))</f>
        <v/>
      </c>
      <c r="Q486" s="33">
        <f>IF(O486="","",IFERROR(INDEX(Cl_nom,MATCH(O486,Cl_cle,0)),"(client introuvable)"))</f>
        <v/>
      </c>
      <c r="R486" s="40">
        <f>IF(O486="","",IFERROR(INDEX(Cl_reste,MATCH(O486,Cl_cle,0)),""))</f>
        <v/>
      </c>
      <c r="S486" s="34">
        <f>IF(C486="","",YEAR(C486-WEEKDAY(C486,2)+4)&amp;"-S"&amp;TEXT(INT((C486-DATE(YEAR(C486-WEEKDAY(C486,2)+4),1,3)+WEEKDAY(DATE(YEAR(C486-WEEKDAY(C486,2)+4),1,3),2)+5)/7),"00"))</f>
        <v/>
      </c>
    </row>
    <row r="487" ht="18" customHeight="1">
      <c r="A487" s="39" t="n">
        <v>482</v>
      </c>
      <c r="B487" s="33">
        <f>IF(C487="","",IF(L487="À RENSEIGNER","GIC",L487)&amp;"-E"&amp;TEXT(A487,"00000"))</f>
        <v/>
      </c>
      <c r="C487" s="32" t="n"/>
      <c r="D487" s="36" t="n"/>
      <c r="E487" s="37" t="n"/>
      <c r="F487" s="36" t="n"/>
      <c r="G487" s="44" t="n"/>
      <c r="H487" s="43" t="n"/>
      <c r="I487" s="32" t="n"/>
      <c r="J487" s="44" t="n"/>
      <c r="K487" s="36" t="n"/>
      <c r="L487" s="33">
        <f>IF(C487="","",Commercial_Id)</f>
        <v/>
      </c>
      <c r="M487" s="34">
        <f>IF(OR(C487="",F487=""),"",IF(F487&lt;&gt;"Espèces","—",IF(I487&lt;&gt;"","☑ Oui","☐ Non")))</f>
        <v/>
      </c>
      <c r="N487" s="39">
        <f>IF(D487="","",IFERROR(VALUE(MID(D487,LEN(D487)-3,3)),""))</f>
        <v/>
      </c>
      <c r="O487" s="33">
        <f>IF(N487="","",L487&amp;"|"&amp;N487)</f>
        <v/>
      </c>
      <c r="P487" s="33">
        <f>IF(N487="","",IF(L487="À RENSEIGNER","GIC",L487)&amp;"-"&amp;TEXT(N487,"000"))</f>
        <v/>
      </c>
      <c r="Q487" s="33">
        <f>IF(O487="","",IFERROR(INDEX(Cl_nom,MATCH(O487,Cl_cle,0)),"(client introuvable)"))</f>
        <v/>
      </c>
      <c r="R487" s="40">
        <f>IF(O487="","",IFERROR(INDEX(Cl_reste,MATCH(O487,Cl_cle,0)),""))</f>
        <v/>
      </c>
      <c r="S487" s="34">
        <f>IF(C487="","",YEAR(C487-WEEKDAY(C487,2)+4)&amp;"-S"&amp;TEXT(INT((C487-DATE(YEAR(C487-WEEKDAY(C487,2)+4),1,3)+WEEKDAY(DATE(YEAR(C487-WEEKDAY(C487,2)+4),1,3),2)+5)/7),"00"))</f>
        <v/>
      </c>
    </row>
    <row r="488" ht="18" customHeight="1">
      <c r="A488" s="39" t="n">
        <v>483</v>
      </c>
      <c r="B488" s="33">
        <f>IF(C488="","",IF(L488="À RENSEIGNER","GIC",L488)&amp;"-E"&amp;TEXT(A488,"00000"))</f>
        <v/>
      </c>
      <c r="C488" s="32" t="n"/>
      <c r="D488" s="36" t="n"/>
      <c r="E488" s="37" t="n"/>
      <c r="F488" s="36" t="n"/>
      <c r="G488" s="44" t="n"/>
      <c r="H488" s="43" t="n"/>
      <c r="I488" s="32" t="n"/>
      <c r="J488" s="44" t="n"/>
      <c r="K488" s="36" t="n"/>
      <c r="L488" s="33">
        <f>IF(C488="","",Commercial_Id)</f>
        <v/>
      </c>
      <c r="M488" s="34">
        <f>IF(OR(C488="",F488=""),"",IF(F488&lt;&gt;"Espèces","—",IF(I488&lt;&gt;"","☑ Oui","☐ Non")))</f>
        <v/>
      </c>
      <c r="N488" s="39">
        <f>IF(D488="","",IFERROR(VALUE(MID(D488,LEN(D488)-3,3)),""))</f>
        <v/>
      </c>
      <c r="O488" s="33">
        <f>IF(N488="","",L488&amp;"|"&amp;N488)</f>
        <v/>
      </c>
      <c r="P488" s="33">
        <f>IF(N488="","",IF(L488="À RENSEIGNER","GIC",L488)&amp;"-"&amp;TEXT(N488,"000"))</f>
        <v/>
      </c>
      <c r="Q488" s="33">
        <f>IF(O488="","",IFERROR(INDEX(Cl_nom,MATCH(O488,Cl_cle,0)),"(client introuvable)"))</f>
        <v/>
      </c>
      <c r="R488" s="40">
        <f>IF(O488="","",IFERROR(INDEX(Cl_reste,MATCH(O488,Cl_cle,0)),""))</f>
        <v/>
      </c>
      <c r="S488" s="34">
        <f>IF(C488="","",YEAR(C488-WEEKDAY(C488,2)+4)&amp;"-S"&amp;TEXT(INT((C488-DATE(YEAR(C488-WEEKDAY(C488,2)+4),1,3)+WEEKDAY(DATE(YEAR(C488-WEEKDAY(C488,2)+4),1,3),2)+5)/7),"00"))</f>
        <v/>
      </c>
    </row>
    <row r="489" ht="18" customHeight="1">
      <c r="A489" s="39" t="n">
        <v>484</v>
      </c>
      <c r="B489" s="33">
        <f>IF(C489="","",IF(L489="À RENSEIGNER","GIC",L489)&amp;"-E"&amp;TEXT(A489,"00000"))</f>
        <v/>
      </c>
      <c r="C489" s="32" t="n"/>
      <c r="D489" s="36" t="n"/>
      <c r="E489" s="37" t="n"/>
      <c r="F489" s="36" t="n"/>
      <c r="G489" s="44" t="n"/>
      <c r="H489" s="43" t="n"/>
      <c r="I489" s="32" t="n"/>
      <c r="J489" s="44" t="n"/>
      <c r="K489" s="36" t="n"/>
      <c r="L489" s="33">
        <f>IF(C489="","",Commercial_Id)</f>
        <v/>
      </c>
      <c r="M489" s="34">
        <f>IF(OR(C489="",F489=""),"",IF(F489&lt;&gt;"Espèces","—",IF(I489&lt;&gt;"","☑ Oui","☐ Non")))</f>
        <v/>
      </c>
      <c r="N489" s="39">
        <f>IF(D489="","",IFERROR(VALUE(MID(D489,LEN(D489)-3,3)),""))</f>
        <v/>
      </c>
      <c r="O489" s="33">
        <f>IF(N489="","",L489&amp;"|"&amp;N489)</f>
        <v/>
      </c>
      <c r="P489" s="33">
        <f>IF(N489="","",IF(L489="À RENSEIGNER","GIC",L489)&amp;"-"&amp;TEXT(N489,"000"))</f>
        <v/>
      </c>
      <c r="Q489" s="33">
        <f>IF(O489="","",IFERROR(INDEX(Cl_nom,MATCH(O489,Cl_cle,0)),"(client introuvable)"))</f>
        <v/>
      </c>
      <c r="R489" s="40">
        <f>IF(O489="","",IFERROR(INDEX(Cl_reste,MATCH(O489,Cl_cle,0)),""))</f>
        <v/>
      </c>
      <c r="S489" s="34">
        <f>IF(C489="","",YEAR(C489-WEEKDAY(C489,2)+4)&amp;"-S"&amp;TEXT(INT((C489-DATE(YEAR(C489-WEEKDAY(C489,2)+4),1,3)+WEEKDAY(DATE(YEAR(C489-WEEKDAY(C489,2)+4),1,3),2)+5)/7),"00"))</f>
        <v/>
      </c>
    </row>
    <row r="490" ht="18" customHeight="1">
      <c r="A490" s="39" t="n">
        <v>485</v>
      </c>
      <c r="B490" s="33">
        <f>IF(C490="","",IF(L490="À RENSEIGNER","GIC",L490)&amp;"-E"&amp;TEXT(A490,"00000"))</f>
        <v/>
      </c>
      <c r="C490" s="32" t="n"/>
      <c r="D490" s="36" t="n"/>
      <c r="E490" s="37" t="n"/>
      <c r="F490" s="36" t="n"/>
      <c r="G490" s="44" t="n"/>
      <c r="H490" s="43" t="n"/>
      <c r="I490" s="32" t="n"/>
      <c r="J490" s="44" t="n"/>
      <c r="K490" s="36" t="n"/>
      <c r="L490" s="33">
        <f>IF(C490="","",Commercial_Id)</f>
        <v/>
      </c>
      <c r="M490" s="34">
        <f>IF(OR(C490="",F490=""),"",IF(F490&lt;&gt;"Espèces","—",IF(I490&lt;&gt;"","☑ Oui","☐ Non")))</f>
        <v/>
      </c>
      <c r="N490" s="39">
        <f>IF(D490="","",IFERROR(VALUE(MID(D490,LEN(D490)-3,3)),""))</f>
        <v/>
      </c>
      <c r="O490" s="33">
        <f>IF(N490="","",L490&amp;"|"&amp;N490)</f>
        <v/>
      </c>
      <c r="P490" s="33">
        <f>IF(N490="","",IF(L490="À RENSEIGNER","GIC",L490)&amp;"-"&amp;TEXT(N490,"000"))</f>
        <v/>
      </c>
      <c r="Q490" s="33">
        <f>IF(O490="","",IFERROR(INDEX(Cl_nom,MATCH(O490,Cl_cle,0)),"(client introuvable)"))</f>
        <v/>
      </c>
      <c r="R490" s="40">
        <f>IF(O490="","",IFERROR(INDEX(Cl_reste,MATCH(O490,Cl_cle,0)),""))</f>
        <v/>
      </c>
      <c r="S490" s="34">
        <f>IF(C490="","",YEAR(C490-WEEKDAY(C490,2)+4)&amp;"-S"&amp;TEXT(INT((C490-DATE(YEAR(C490-WEEKDAY(C490,2)+4),1,3)+WEEKDAY(DATE(YEAR(C490-WEEKDAY(C490,2)+4),1,3),2)+5)/7),"00"))</f>
        <v/>
      </c>
    </row>
    <row r="491" ht="18" customHeight="1">
      <c r="A491" s="39" t="n">
        <v>486</v>
      </c>
      <c r="B491" s="33">
        <f>IF(C491="","",IF(L491="À RENSEIGNER","GIC",L491)&amp;"-E"&amp;TEXT(A491,"00000"))</f>
        <v/>
      </c>
      <c r="C491" s="32" t="n"/>
      <c r="D491" s="36" t="n"/>
      <c r="E491" s="37" t="n"/>
      <c r="F491" s="36" t="n"/>
      <c r="G491" s="44" t="n"/>
      <c r="H491" s="43" t="n"/>
      <c r="I491" s="32" t="n"/>
      <c r="J491" s="44" t="n"/>
      <c r="K491" s="36" t="n"/>
      <c r="L491" s="33">
        <f>IF(C491="","",Commercial_Id)</f>
        <v/>
      </c>
      <c r="M491" s="34">
        <f>IF(OR(C491="",F491=""),"",IF(F491&lt;&gt;"Espèces","—",IF(I491&lt;&gt;"","☑ Oui","☐ Non")))</f>
        <v/>
      </c>
      <c r="N491" s="39">
        <f>IF(D491="","",IFERROR(VALUE(MID(D491,LEN(D491)-3,3)),""))</f>
        <v/>
      </c>
      <c r="O491" s="33">
        <f>IF(N491="","",L491&amp;"|"&amp;N491)</f>
        <v/>
      </c>
      <c r="P491" s="33">
        <f>IF(N491="","",IF(L491="À RENSEIGNER","GIC",L491)&amp;"-"&amp;TEXT(N491,"000"))</f>
        <v/>
      </c>
      <c r="Q491" s="33">
        <f>IF(O491="","",IFERROR(INDEX(Cl_nom,MATCH(O491,Cl_cle,0)),"(client introuvable)"))</f>
        <v/>
      </c>
      <c r="R491" s="40">
        <f>IF(O491="","",IFERROR(INDEX(Cl_reste,MATCH(O491,Cl_cle,0)),""))</f>
        <v/>
      </c>
      <c r="S491" s="34">
        <f>IF(C491="","",YEAR(C491-WEEKDAY(C491,2)+4)&amp;"-S"&amp;TEXT(INT((C491-DATE(YEAR(C491-WEEKDAY(C491,2)+4),1,3)+WEEKDAY(DATE(YEAR(C491-WEEKDAY(C491,2)+4),1,3),2)+5)/7),"00"))</f>
        <v/>
      </c>
    </row>
    <row r="492" ht="18" customHeight="1">
      <c r="A492" s="39" t="n">
        <v>487</v>
      </c>
      <c r="B492" s="33">
        <f>IF(C492="","",IF(L492="À RENSEIGNER","GIC",L492)&amp;"-E"&amp;TEXT(A492,"00000"))</f>
        <v/>
      </c>
      <c r="C492" s="32" t="n"/>
      <c r="D492" s="36" t="n"/>
      <c r="E492" s="37" t="n"/>
      <c r="F492" s="36" t="n"/>
      <c r="G492" s="44" t="n"/>
      <c r="H492" s="43" t="n"/>
      <c r="I492" s="32" t="n"/>
      <c r="J492" s="44" t="n"/>
      <c r="K492" s="36" t="n"/>
      <c r="L492" s="33">
        <f>IF(C492="","",Commercial_Id)</f>
        <v/>
      </c>
      <c r="M492" s="34">
        <f>IF(OR(C492="",F492=""),"",IF(F492&lt;&gt;"Espèces","—",IF(I492&lt;&gt;"","☑ Oui","☐ Non")))</f>
        <v/>
      </c>
      <c r="N492" s="39">
        <f>IF(D492="","",IFERROR(VALUE(MID(D492,LEN(D492)-3,3)),""))</f>
        <v/>
      </c>
      <c r="O492" s="33">
        <f>IF(N492="","",L492&amp;"|"&amp;N492)</f>
        <v/>
      </c>
      <c r="P492" s="33">
        <f>IF(N492="","",IF(L492="À RENSEIGNER","GIC",L492)&amp;"-"&amp;TEXT(N492,"000"))</f>
        <v/>
      </c>
      <c r="Q492" s="33">
        <f>IF(O492="","",IFERROR(INDEX(Cl_nom,MATCH(O492,Cl_cle,0)),"(client introuvable)"))</f>
        <v/>
      </c>
      <c r="R492" s="40">
        <f>IF(O492="","",IFERROR(INDEX(Cl_reste,MATCH(O492,Cl_cle,0)),""))</f>
        <v/>
      </c>
      <c r="S492" s="34">
        <f>IF(C492="","",YEAR(C492-WEEKDAY(C492,2)+4)&amp;"-S"&amp;TEXT(INT((C492-DATE(YEAR(C492-WEEKDAY(C492,2)+4),1,3)+WEEKDAY(DATE(YEAR(C492-WEEKDAY(C492,2)+4),1,3),2)+5)/7),"00"))</f>
        <v/>
      </c>
    </row>
    <row r="493" ht="18" customHeight="1">
      <c r="A493" s="39" t="n">
        <v>488</v>
      </c>
      <c r="B493" s="33">
        <f>IF(C493="","",IF(L493="À RENSEIGNER","GIC",L493)&amp;"-E"&amp;TEXT(A493,"00000"))</f>
        <v/>
      </c>
      <c r="C493" s="32" t="n"/>
      <c r="D493" s="36" t="n"/>
      <c r="E493" s="37" t="n"/>
      <c r="F493" s="36" t="n"/>
      <c r="G493" s="44" t="n"/>
      <c r="H493" s="43" t="n"/>
      <c r="I493" s="32" t="n"/>
      <c r="J493" s="44" t="n"/>
      <c r="K493" s="36" t="n"/>
      <c r="L493" s="33">
        <f>IF(C493="","",Commercial_Id)</f>
        <v/>
      </c>
      <c r="M493" s="34">
        <f>IF(OR(C493="",F493=""),"",IF(F493&lt;&gt;"Espèces","—",IF(I493&lt;&gt;"","☑ Oui","☐ Non")))</f>
        <v/>
      </c>
      <c r="N493" s="39">
        <f>IF(D493="","",IFERROR(VALUE(MID(D493,LEN(D493)-3,3)),""))</f>
        <v/>
      </c>
      <c r="O493" s="33">
        <f>IF(N493="","",L493&amp;"|"&amp;N493)</f>
        <v/>
      </c>
      <c r="P493" s="33">
        <f>IF(N493="","",IF(L493="À RENSEIGNER","GIC",L493)&amp;"-"&amp;TEXT(N493,"000"))</f>
        <v/>
      </c>
      <c r="Q493" s="33">
        <f>IF(O493="","",IFERROR(INDEX(Cl_nom,MATCH(O493,Cl_cle,0)),"(client introuvable)"))</f>
        <v/>
      </c>
      <c r="R493" s="40">
        <f>IF(O493="","",IFERROR(INDEX(Cl_reste,MATCH(O493,Cl_cle,0)),""))</f>
        <v/>
      </c>
      <c r="S493" s="34">
        <f>IF(C493="","",YEAR(C493-WEEKDAY(C493,2)+4)&amp;"-S"&amp;TEXT(INT((C493-DATE(YEAR(C493-WEEKDAY(C493,2)+4),1,3)+WEEKDAY(DATE(YEAR(C493-WEEKDAY(C493,2)+4),1,3),2)+5)/7),"00"))</f>
        <v/>
      </c>
    </row>
    <row r="494" ht="18" customHeight="1">
      <c r="A494" s="39" t="n">
        <v>489</v>
      </c>
      <c r="B494" s="33">
        <f>IF(C494="","",IF(L494="À RENSEIGNER","GIC",L494)&amp;"-E"&amp;TEXT(A494,"00000"))</f>
        <v/>
      </c>
      <c r="C494" s="32" t="n"/>
      <c r="D494" s="36" t="n"/>
      <c r="E494" s="37" t="n"/>
      <c r="F494" s="36" t="n"/>
      <c r="G494" s="44" t="n"/>
      <c r="H494" s="43" t="n"/>
      <c r="I494" s="32" t="n"/>
      <c r="J494" s="44" t="n"/>
      <c r="K494" s="36" t="n"/>
      <c r="L494" s="33">
        <f>IF(C494="","",Commercial_Id)</f>
        <v/>
      </c>
      <c r="M494" s="34">
        <f>IF(OR(C494="",F494=""),"",IF(F494&lt;&gt;"Espèces","—",IF(I494&lt;&gt;"","☑ Oui","☐ Non")))</f>
        <v/>
      </c>
      <c r="N494" s="39">
        <f>IF(D494="","",IFERROR(VALUE(MID(D494,LEN(D494)-3,3)),""))</f>
        <v/>
      </c>
      <c r="O494" s="33">
        <f>IF(N494="","",L494&amp;"|"&amp;N494)</f>
        <v/>
      </c>
      <c r="P494" s="33">
        <f>IF(N494="","",IF(L494="À RENSEIGNER","GIC",L494)&amp;"-"&amp;TEXT(N494,"000"))</f>
        <v/>
      </c>
      <c r="Q494" s="33">
        <f>IF(O494="","",IFERROR(INDEX(Cl_nom,MATCH(O494,Cl_cle,0)),"(client introuvable)"))</f>
        <v/>
      </c>
      <c r="R494" s="40">
        <f>IF(O494="","",IFERROR(INDEX(Cl_reste,MATCH(O494,Cl_cle,0)),""))</f>
        <v/>
      </c>
      <c r="S494" s="34">
        <f>IF(C494="","",YEAR(C494-WEEKDAY(C494,2)+4)&amp;"-S"&amp;TEXT(INT((C494-DATE(YEAR(C494-WEEKDAY(C494,2)+4),1,3)+WEEKDAY(DATE(YEAR(C494-WEEKDAY(C494,2)+4),1,3),2)+5)/7),"00"))</f>
        <v/>
      </c>
    </row>
    <row r="495" ht="18" customHeight="1">
      <c r="A495" s="39" t="n">
        <v>490</v>
      </c>
      <c r="B495" s="33">
        <f>IF(C495="","",IF(L495="À RENSEIGNER","GIC",L495)&amp;"-E"&amp;TEXT(A495,"00000"))</f>
        <v/>
      </c>
      <c r="C495" s="32" t="n"/>
      <c r="D495" s="36" t="n"/>
      <c r="E495" s="37" t="n"/>
      <c r="F495" s="36" t="n"/>
      <c r="G495" s="44" t="n"/>
      <c r="H495" s="43" t="n"/>
      <c r="I495" s="32" t="n"/>
      <c r="J495" s="44" t="n"/>
      <c r="K495" s="36" t="n"/>
      <c r="L495" s="33">
        <f>IF(C495="","",Commercial_Id)</f>
        <v/>
      </c>
      <c r="M495" s="34">
        <f>IF(OR(C495="",F495=""),"",IF(F495&lt;&gt;"Espèces","—",IF(I495&lt;&gt;"","☑ Oui","☐ Non")))</f>
        <v/>
      </c>
      <c r="N495" s="39">
        <f>IF(D495="","",IFERROR(VALUE(MID(D495,LEN(D495)-3,3)),""))</f>
        <v/>
      </c>
      <c r="O495" s="33">
        <f>IF(N495="","",L495&amp;"|"&amp;N495)</f>
        <v/>
      </c>
      <c r="P495" s="33">
        <f>IF(N495="","",IF(L495="À RENSEIGNER","GIC",L495)&amp;"-"&amp;TEXT(N495,"000"))</f>
        <v/>
      </c>
      <c r="Q495" s="33">
        <f>IF(O495="","",IFERROR(INDEX(Cl_nom,MATCH(O495,Cl_cle,0)),"(client introuvable)"))</f>
        <v/>
      </c>
      <c r="R495" s="40">
        <f>IF(O495="","",IFERROR(INDEX(Cl_reste,MATCH(O495,Cl_cle,0)),""))</f>
        <v/>
      </c>
      <c r="S495" s="34">
        <f>IF(C495="","",YEAR(C495-WEEKDAY(C495,2)+4)&amp;"-S"&amp;TEXT(INT((C495-DATE(YEAR(C495-WEEKDAY(C495,2)+4),1,3)+WEEKDAY(DATE(YEAR(C495-WEEKDAY(C495,2)+4),1,3),2)+5)/7),"00"))</f>
        <v/>
      </c>
    </row>
    <row r="496" ht="18" customHeight="1">
      <c r="A496" s="39" t="n">
        <v>491</v>
      </c>
      <c r="B496" s="33">
        <f>IF(C496="","",IF(L496="À RENSEIGNER","GIC",L496)&amp;"-E"&amp;TEXT(A496,"00000"))</f>
        <v/>
      </c>
      <c r="C496" s="32" t="n"/>
      <c r="D496" s="36" t="n"/>
      <c r="E496" s="37" t="n"/>
      <c r="F496" s="36" t="n"/>
      <c r="G496" s="44" t="n"/>
      <c r="H496" s="43" t="n"/>
      <c r="I496" s="32" t="n"/>
      <c r="J496" s="44" t="n"/>
      <c r="K496" s="36" t="n"/>
      <c r="L496" s="33">
        <f>IF(C496="","",Commercial_Id)</f>
        <v/>
      </c>
      <c r="M496" s="34">
        <f>IF(OR(C496="",F496=""),"",IF(F496&lt;&gt;"Espèces","—",IF(I496&lt;&gt;"","☑ Oui","☐ Non")))</f>
        <v/>
      </c>
      <c r="N496" s="39">
        <f>IF(D496="","",IFERROR(VALUE(MID(D496,LEN(D496)-3,3)),""))</f>
        <v/>
      </c>
      <c r="O496" s="33">
        <f>IF(N496="","",L496&amp;"|"&amp;N496)</f>
        <v/>
      </c>
      <c r="P496" s="33">
        <f>IF(N496="","",IF(L496="À RENSEIGNER","GIC",L496)&amp;"-"&amp;TEXT(N496,"000"))</f>
        <v/>
      </c>
      <c r="Q496" s="33">
        <f>IF(O496="","",IFERROR(INDEX(Cl_nom,MATCH(O496,Cl_cle,0)),"(client introuvable)"))</f>
        <v/>
      </c>
      <c r="R496" s="40">
        <f>IF(O496="","",IFERROR(INDEX(Cl_reste,MATCH(O496,Cl_cle,0)),""))</f>
        <v/>
      </c>
      <c r="S496" s="34">
        <f>IF(C496="","",YEAR(C496-WEEKDAY(C496,2)+4)&amp;"-S"&amp;TEXT(INT((C496-DATE(YEAR(C496-WEEKDAY(C496,2)+4),1,3)+WEEKDAY(DATE(YEAR(C496-WEEKDAY(C496,2)+4),1,3),2)+5)/7),"00"))</f>
        <v/>
      </c>
    </row>
    <row r="497" ht="18" customHeight="1">
      <c r="A497" s="39" t="n">
        <v>492</v>
      </c>
      <c r="B497" s="33">
        <f>IF(C497="","",IF(L497="À RENSEIGNER","GIC",L497)&amp;"-E"&amp;TEXT(A497,"00000"))</f>
        <v/>
      </c>
      <c r="C497" s="32" t="n"/>
      <c r="D497" s="36" t="n"/>
      <c r="E497" s="37" t="n"/>
      <c r="F497" s="36" t="n"/>
      <c r="G497" s="44" t="n"/>
      <c r="H497" s="43" t="n"/>
      <c r="I497" s="32" t="n"/>
      <c r="J497" s="44" t="n"/>
      <c r="K497" s="36" t="n"/>
      <c r="L497" s="33">
        <f>IF(C497="","",Commercial_Id)</f>
        <v/>
      </c>
      <c r="M497" s="34">
        <f>IF(OR(C497="",F497=""),"",IF(F497&lt;&gt;"Espèces","—",IF(I497&lt;&gt;"","☑ Oui","☐ Non")))</f>
        <v/>
      </c>
      <c r="N497" s="39">
        <f>IF(D497="","",IFERROR(VALUE(MID(D497,LEN(D497)-3,3)),""))</f>
        <v/>
      </c>
      <c r="O497" s="33">
        <f>IF(N497="","",L497&amp;"|"&amp;N497)</f>
        <v/>
      </c>
      <c r="P497" s="33">
        <f>IF(N497="","",IF(L497="À RENSEIGNER","GIC",L497)&amp;"-"&amp;TEXT(N497,"000"))</f>
        <v/>
      </c>
      <c r="Q497" s="33">
        <f>IF(O497="","",IFERROR(INDEX(Cl_nom,MATCH(O497,Cl_cle,0)),"(client introuvable)"))</f>
        <v/>
      </c>
      <c r="R497" s="40">
        <f>IF(O497="","",IFERROR(INDEX(Cl_reste,MATCH(O497,Cl_cle,0)),""))</f>
        <v/>
      </c>
      <c r="S497" s="34">
        <f>IF(C497="","",YEAR(C497-WEEKDAY(C497,2)+4)&amp;"-S"&amp;TEXT(INT((C497-DATE(YEAR(C497-WEEKDAY(C497,2)+4),1,3)+WEEKDAY(DATE(YEAR(C497-WEEKDAY(C497,2)+4),1,3),2)+5)/7),"00"))</f>
        <v/>
      </c>
    </row>
    <row r="498" ht="18" customHeight="1">
      <c r="A498" s="39" t="n">
        <v>493</v>
      </c>
      <c r="B498" s="33">
        <f>IF(C498="","",IF(L498="À RENSEIGNER","GIC",L498)&amp;"-E"&amp;TEXT(A498,"00000"))</f>
        <v/>
      </c>
      <c r="C498" s="32" t="n"/>
      <c r="D498" s="36" t="n"/>
      <c r="E498" s="37" t="n"/>
      <c r="F498" s="36" t="n"/>
      <c r="G498" s="44" t="n"/>
      <c r="H498" s="43" t="n"/>
      <c r="I498" s="32" t="n"/>
      <c r="J498" s="44" t="n"/>
      <c r="K498" s="36" t="n"/>
      <c r="L498" s="33">
        <f>IF(C498="","",Commercial_Id)</f>
        <v/>
      </c>
      <c r="M498" s="34">
        <f>IF(OR(C498="",F498=""),"",IF(F498&lt;&gt;"Espèces","—",IF(I498&lt;&gt;"","☑ Oui","☐ Non")))</f>
        <v/>
      </c>
      <c r="N498" s="39">
        <f>IF(D498="","",IFERROR(VALUE(MID(D498,LEN(D498)-3,3)),""))</f>
        <v/>
      </c>
      <c r="O498" s="33">
        <f>IF(N498="","",L498&amp;"|"&amp;N498)</f>
        <v/>
      </c>
      <c r="P498" s="33">
        <f>IF(N498="","",IF(L498="À RENSEIGNER","GIC",L498)&amp;"-"&amp;TEXT(N498,"000"))</f>
        <v/>
      </c>
      <c r="Q498" s="33">
        <f>IF(O498="","",IFERROR(INDEX(Cl_nom,MATCH(O498,Cl_cle,0)),"(client introuvable)"))</f>
        <v/>
      </c>
      <c r="R498" s="40">
        <f>IF(O498="","",IFERROR(INDEX(Cl_reste,MATCH(O498,Cl_cle,0)),""))</f>
        <v/>
      </c>
      <c r="S498" s="34">
        <f>IF(C498="","",YEAR(C498-WEEKDAY(C498,2)+4)&amp;"-S"&amp;TEXT(INT((C498-DATE(YEAR(C498-WEEKDAY(C498,2)+4),1,3)+WEEKDAY(DATE(YEAR(C498-WEEKDAY(C498,2)+4),1,3),2)+5)/7),"00"))</f>
        <v/>
      </c>
    </row>
    <row r="499" ht="18" customHeight="1">
      <c r="A499" s="39" t="n">
        <v>494</v>
      </c>
      <c r="B499" s="33">
        <f>IF(C499="","",IF(L499="À RENSEIGNER","GIC",L499)&amp;"-E"&amp;TEXT(A499,"00000"))</f>
        <v/>
      </c>
      <c r="C499" s="32" t="n"/>
      <c r="D499" s="36" t="n"/>
      <c r="E499" s="37" t="n"/>
      <c r="F499" s="36" t="n"/>
      <c r="G499" s="44" t="n"/>
      <c r="H499" s="43" t="n"/>
      <c r="I499" s="32" t="n"/>
      <c r="J499" s="44" t="n"/>
      <c r="K499" s="36" t="n"/>
      <c r="L499" s="33">
        <f>IF(C499="","",Commercial_Id)</f>
        <v/>
      </c>
      <c r="M499" s="34">
        <f>IF(OR(C499="",F499=""),"",IF(F499&lt;&gt;"Espèces","—",IF(I499&lt;&gt;"","☑ Oui","☐ Non")))</f>
        <v/>
      </c>
      <c r="N499" s="39">
        <f>IF(D499="","",IFERROR(VALUE(MID(D499,LEN(D499)-3,3)),""))</f>
        <v/>
      </c>
      <c r="O499" s="33">
        <f>IF(N499="","",L499&amp;"|"&amp;N499)</f>
        <v/>
      </c>
      <c r="P499" s="33">
        <f>IF(N499="","",IF(L499="À RENSEIGNER","GIC",L499)&amp;"-"&amp;TEXT(N499,"000"))</f>
        <v/>
      </c>
      <c r="Q499" s="33">
        <f>IF(O499="","",IFERROR(INDEX(Cl_nom,MATCH(O499,Cl_cle,0)),"(client introuvable)"))</f>
        <v/>
      </c>
      <c r="R499" s="40">
        <f>IF(O499="","",IFERROR(INDEX(Cl_reste,MATCH(O499,Cl_cle,0)),""))</f>
        <v/>
      </c>
      <c r="S499" s="34">
        <f>IF(C499="","",YEAR(C499-WEEKDAY(C499,2)+4)&amp;"-S"&amp;TEXT(INT((C499-DATE(YEAR(C499-WEEKDAY(C499,2)+4),1,3)+WEEKDAY(DATE(YEAR(C499-WEEKDAY(C499,2)+4),1,3),2)+5)/7),"00"))</f>
        <v/>
      </c>
    </row>
    <row r="500" ht="18" customHeight="1">
      <c r="A500" s="39" t="n">
        <v>495</v>
      </c>
      <c r="B500" s="33">
        <f>IF(C500="","",IF(L500="À RENSEIGNER","GIC",L500)&amp;"-E"&amp;TEXT(A500,"00000"))</f>
        <v/>
      </c>
      <c r="C500" s="32" t="n"/>
      <c r="D500" s="36" t="n"/>
      <c r="E500" s="37" t="n"/>
      <c r="F500" s="36" t="n"/>
      <c r="G500" s="44" t="n"/>
      <c r="H500" s="43" t="n"/>
      <c r="I500" s="32" t="n"/>
      <c r="J500" s="44" t="n"/>
      <c r="K500" s="36" t="n"/>
      <c r="L500" s="33">
        <f>IF(C500="","",Commercial_Id)</f>
        <v/>
      </c>
      <c r="M500" s="34">
        <f>IF(OR(C500="",F500=""),"",IF(F500&lt;&gt;"Espèces","—",IF(I500&lt;&gt;"","☑ Oui","☐ Non")))</f>
        <v/>
      </c>
      <c r="N500" s="39">
        <f>IF(D500="","",IFERROR(VALUE(MID(D500,LEN(D500)-3,3)),""))</f>
        <v/>
      </c>
      <c r="O500" s="33">
        <f>IF(N500="","",L500&amp;"|"&amp;N500)</f>
        <v/>
      </c>
      <c r="P500" s="33">
        <f>IF(N500="","",IF(L500="À RENSEIGNER","GIC",L500)&amp;"-"&amp;TEXT(N500,"000"))</f>
        <v/>
      </c>
      <c r="Q500" s="33">
        <f>IF(O500="","",IFERROR(INDEX(Cl_nom,MATCH(O500,Cl_cle,0)),"(client introuvable)"))</f>
        <v/>
      </c>
      <c r="R500" s="40">
        <f>IF(O500="","",IFERROR(INDEX(Cl_reste,MATCH(O500,Cl_cle,0)),""))</f>
        <v/>
      </c>
      <c r="S500" s="34">
        <f>IF(C500="","",YEAR(C500-WEEKDAY(C500,2)+4)&amp;"-S"&amp;TEXT(INT((C500-DATE(YEAR(C500-WEEKDAY(C500,2)+4),1,3)+WEEKDAY(DATE(YEAR(C500-WEEKDAY(C500,2)+4),1,3),2)+5)/7),"00"))</f>
        <v/>
      </c>
    </row>
    <row r="501" ht="18" customHeight="1">
      <c r="A501" s="39" t="n">
        <v>496</v>
      </c>
      <c r="B501" s="33">
        <f>IF(C501="","",IF(L501="À RENSEIGNER","GIC",L501)&amp;"-E"&amp;TEXT(A501,"00000"))</f>
        <v/>
      </c>
      <c r="C501" s="32" t="n"/>
      <c r="D501" s="36" t="n"/>
      <c r="E501" s="37" t="n"/>
      <c r="F501" s="36" t="n"/>
      <c r="G501" s="44" t="n"/>
      <c r="H501" s="43" t="n"/>
      <c r="I501" s="32" t="n"/>
      <c r="J501" s="44" t="n"/>
      <c r="K501" s="36" t="n"/>
      <c r="L501" s="33">
        <f>IF(C501="","",Commercial_Id)</f>
        <v/>
      </c>
      <c r="M501" s="34">
        <f>IF(OR(C501="",F501=""),"",IF(F501&lt;&gt;"Espèces","—",IF(I501&lt;&gt;"","☑ Oui","☐ Non")))</f>
        <v/>
      </c>
      <c r="N501" s="39">
        <f>IF(D501="","",IFERROR(VALUE(MID(D501,LEN(D501)-3,3)),""))</f>
        <v/>
      </c>
      <c r="O501" s="33">
        <f>IF(N501="","",L501&amp;"|"&amp;N501)</f>
        <v/>
      </c>
      <c r="P501" s="33">
        <f>IF(N501="","",IF(L501="À RENSEIGNER","GIC",L501)&amp;"-"&amp;TEXT(N501,"000"))</f>
        <v/>
      </c>
      <c r="Q501" s="33">
        <f>IF(O501="","",IFERROR(INDEX(Cl_nom,MATCH(O501,Cl_cle,0)),"(client introuvable)"))</f>
        <v/>
      </c>
      <c r="R501" s="40">
        <f>IF(O501="","",IFERROR(INDEX(Cl_reste,MATCH(O501,Cl_cle,0)),""))</f>
        <v/>
      </c>
      <c r="S501" s="34">
        <f>IF(C501="","",YEAR(C501-WEEKDAY(C501,2)+4)&amp;"-S"&amp;TEXT(INT((C501-DATE(YEAR(C501-WEEKDAY(C501,2)+4),1,3)+WEEKDAY(DATE(YEAR(C501-WEEKDAY(C501,2)+4),1,3),2)+5)/7),"00"))</f>
        <v/>
      </c>
    </row>
    <row r="502" ht="18" customHeight="1">
      <c r="A502" s="39" t="n">
        <v>497</v>
      </c>
      <c r="B502" s="33">
        <f>IF(C502="","",IF(L502="À RENSEIGNER","GIC",L502)&amp;"-E"&amp;TEXT(A502,"00000"))</f>
        <v/>
      </c>
      <c r="C502" s="32" t="n"/>
      <c r="D502" s="36" t="n"/>
      <c r="E502" s="37" t="n"/>
      <c r="F502" s="36" t="n"/>
      <c r="G502" s="44" t="n"/>
      <c r="H502" s="43" t="n"/>
      <c r="I502" s="32" t="n"/>
      <c r="J502" s="44" t="n"/>
      <c r="K502" s="36" t="n"/>
      <c r="L502" s="33">
        <f>IF(C502="","",Commercial_Id)</f>
        <v/>
      </c>
      <c r="M502" s="34">
        <f>IF(OR(C502="",F502=""),"",IF(F502&lt;&gt;"Espèces","—",IF(I502&lt;&gt;"","☑ Oui","☐ Non")))</f>
        <v/>
      </c>
      <c r="N502" s="39">
        <f>IF(D502="","",IFERROR(VALUE(MID(D502,LEN(D502)-3,3)),""))</f>
        <v/>
      </c>
      <c r="O502" s="33">
        <f>IF(N502="","",L502&amp;"|"&amp;N502)</f>
        <v/>
      </c>
      <c r="P502" s="33">
        <f>IF(N502="","",IF(L502="À RENSEIGNER","GIC",L502)&amp;"-"&amp;TEXT(N502,"000"))</f>
        <v/>
      </c>
      <c r="Q502" s="33">
        <f>IF(O502="","",IFERROR(INDEX(Cl_nom,MATCH(O502,Cl_cle,0)),"(client introuvable)"))</f>
        <v/>
      </c>
      <c r="R502" s="40">
        <f>IF(O502="","",IFERROR(INDEX(Cl_reste,MATCH(O502,Cl_cle,0)),""))</f>
        <v/>
      </c>
      <c r="S502" s="34">
        <f>IF(C502="","",YEAR(C502-WEEKDAY(C502,2)+4)&amp;"-S"&amp;TEXT(INT((C502-DATE(YEAR(C502-WEEKDAY(C502,2)+4),1,3)+WEEKDAY(DATE(YEAR(C502-WEEKDAY(C502,2)+4),1,3),2)+5)/7),"00"))</f>
        <v/>
      </c>
    </row>
    <row r="503" ht="18" customHeight="1">
      <c r="A503" s="39" t="n">
        <v>498</v>
      </c>
      <c r="B503" s="33">
        <f>IF(C503="","",IF(L503="À RENSEIGNER","GIC",L503)&amp;"-E"&amp;TEXT(A503,"00000"))</f>
        <v/>
      </c>
      <c r="C503" s="32" t="n"/>
      <c r="D503" s="36" t="n"/>
      <c r="E503" s="37" t="n"/>
      <c r="F503" s="36" t="n"/>
      <c r="G503" s="44" t="n"/>
      <c r="H503" s="43" t="n"/>
      <c r="I503" s="32" t="n"/>
      <c r="J503" s="44" t="n"/>
      <c r="K503" s="36" t="n"/>
      <c r="L503" s="33">
        <f>IF(C503="","",Commercial_Id)</f>
        <v/>
      </c>
      <c r="M503" s="34">
        <f>IF(OR(C503="",F503=""),"",IF(F503&lt;&gt;"Espèces","—",IF(I503&lt;&gt;"","☑ Oui","☐ Non")))</f>
        <v/>
      </c>
      <c r="N503" s="39">
        <f>IF(D503="","",IFERROR(VALUE(MID(D503,LEN(D503)-3,3)),""))</f>
        <v/>
      </c>
      <c r="O503" s="33">
        <f>IF(N503="","",L503&amp;"|"&amp;N503)</f>
        <v/>
      </c>
      <c r="P503" s="33">
        <f>IF(N503="","",IF(L503="À RENSEIGNER","GIC",L503)&amp;"-"&amp;TEXT(N503,"000"))</f>
        <v/>
      </c>
      <c r="Q503" s="33">
        <f>IF(O503="","",IFERROR(INDEX(Cl_nom,MATCH(O503,Cl_cle,0)),"(client introuvable)"))</f>
        <v/>
      </c>
      <c r="R503" s="40">
        <f>IF(O503="","",IFERROR(INDEX(Cl_reste,MATCH(O503,Cl_cle,0)),""))</f>
        <v/>
      </c>
      <c r="S503" s="34">
        <f>IF(C503="","",YEAR(C503-WEEKDAY(C503,2)+4)&amp;"-S"&amp;TEXT(INT((C503-DATE(YEAR(C503-WEEKDAY(C503,2)+4),1,3)+WEEKDAY(DATE(YEAR(C503-WEEKDAY(C503,2)+4),1,3),2)+5)/7),"00"))</f>
        <v/>
      </c>
    </row>
    <row r="504" ht="18" customHeight="1">
      <c r="A504" s="39" t="n">
        <v>499</v>
      </c>
      <c r="B504" s="33">
        <f>IF(C504="","",IF(L504="À RENSEIGNER","GIC",L504)&amp;"-E"&amp;TEXT(A504,"00000"))</f>
        <v/>
      </c>
      <c r="C504" s="32" t="n"/>
      <c r="D504" s="36" t="n"/>
      <c r="E504" s="37" t="n"/>
      <c r="F504" s="36" t="n"/>
      <c r="G504" s="44" t="n"/>
      <c r="H504" s="43" t="n"/>
      <c r="I504" s="32" t="n"/>
      <c r="J504" s="44" t="n"/>
      <c r="K504" s="36" t="n"/>
      <c r="L504" s="33">
        <f>IF(C504="","",Commercial_Id)</f>
        <v/>
      </c>
      <c r="M504" s="34">
        <f>IF(OR(C504="",F504=""),"",IF(F504&lt;&gt;"Espèces","—",IF(I504&lt;&gt;"","☑ Oui","☐ Non")))</f>
        <v/>
      </c>
      <c r="N504" s="39">
        <f>IF(D504="","",IFERROR(VALUE(MID(D504,LEN(D504)-3,3)),""))</f>
        <v/>
      </c>
      <c r="O504" s="33">
        <f>IF(N504="","",L504&amp;"|"&amp;N504)</f>
        <v/>
      </c>
      <c r="P504" s="33">
        <f>IF(N504="","",IF(L504="À RENSEIGNER","GIC",L504)&amp;"-"&amp;TEXT(N504,"000"))</f>
        <v/>
      </c>
      <c r="Q504" s="33">
        <f>IF(O504="","",IFERROR(INDEX(Cl_nom,MATCH(O504,Cl_cle,0)),"(client introuvable)"))</f>
        <v/>
      </c>
      <c r="R504" s="40">
        <f>IF(O504="","",IFERROR(INDEX(Cl_reste,MATCH(O504,Cl_cle,0)),""))</f>
        <v/>
      </c>
      <c r="S504" s="34">
        <f>IF(C504="","",YEAR(C504-WEEKDAY(C504,2)+4)&amp;"-S"&amp;TEXT(INT((C504-DATE(YEAR(C504-WEEKDAY(C504,2)+4),1,3)+WEEKDAY(DATE(YEAR(C504-WEEKDAY(C504,2)+4),1,3),2)+5)/7),"00"))</f>
        <v/>
      </c>
    </row>
    <row r="505" ht="18" customHeight="1">
      <c r="A505" s="39" t="n">
        <v>500</v>
      </c>
      <c r="B505" s="33">
        <f>IF(C505="","",IF(L505="À RENSEIGNER","GIC",L505)&amp;"-E"&amp;TEXT(A505,"00000"))</f>
        <v/>
      </c>
      <c r="C505" s="32" t="n"/>
      <c r="D505" s="36" t="n"/>
      <c r="E505" s="37" t="n"/>
      <c r="F505" s="36" t="n"/>
      <c r="G505" s="44" t="n"/>
      <c r="H505" s="43" t="n"/>
      <c r="I505" s="32" t="n"/>
      <c r="J505" s="44" t="n"/>
      <c r="K505" s="36" t="n"/>
      <c r="L505" s="33">
        <f>IF(C505="","",Commercial_Id)</f>
        <v/>
      </c>
      <c r="M505" s="34">
        <f>IF(OR(C505="",F505=""),"",IF(F505&lt;&gt;"Espèces","—",IF(I505&lt;&gt;"","☑ Oui","☐ Non")))</f>
        <v/>
      </c>
      <c r="N505" s="39">
        <f>IF(D505="","",IFERROR(VALUE(MID(D505,LEN(D505)-3,3)),""))</f>
        <v/>
      </c>
      <c r="O505" s="33">
        <f>IF(N505="","",L505&amp;"|"&amp;N505)</f>
        <v/>
      </c>
      <c r="P505" s="33">
        <f>IF(N505="","",IF(L505="À RENSEIGNER","GIC",L505)&amp;"-"&amp;TEXT(N505,"000"))</f>
        <v/>
      </c>
      <c r="Q505" s="33">
        <f>IF(O505="","",IFERROR(INDEX(Cl_nom,MATCH(O505,Cl_cle,0)),"(client introuvable)"))</f>
        <v/>
      </c>
      <c r="R505" s="40">
        <f>IF(O505="","",IFERROR(INDEX(Cl_reste,MATCH(O505,Cl_cle,0)),""))</f>
        <v/>
      </c>
      <c r="S505" s="34">
        <f>IF(C505="","",YEAR(C505-WEEKDAY(C505,2)+4)&amp;"-S"&amp;TEXT(INT((C505-DATE(YEAR(C505-WEEKDAY(C505,2)+4),1,3)+WEEKDAY(DATE(YEAR(C505-WEEKDAY(C505,2)+4),1,3),2)+5)/7),"00"))</f>
        <v/>
      </c>
    </row>
    <row r="506" ht="18" customHeight="1">
      <c r="A506" s="39" t="n">
        <v>501</v>
      </c>
      <c r="B506" s="33">
        <f>IF(C506="","",IF(L506="À RENSEIGNER","GIC",L506)&amp;"-E"&amp;TEXT(A506,"00000"))</f>
        <v/>
      </c>
      <c r="C506" s="32" t="n"/>
      <c r="D506" s="36" t="n"/>
      <c r="E506" s="37" t="n"/>
      <c r="F506" s="36" t="n"/>
      <c r="G506" s="44" t="n"/>
      <c r="H506" s="43" t="n"/>
      <c r="I506" s="32" t="n"/>
      <c r="J506" s="44" t="n"/>
      <c r="K506" s="36" t="n"/>
      <c r="L506" s="33">
        <f>IF(C506="","",Commercial_Id)</f>
        <v/>
      </c>
      <c r="M506" s="34">
        <f>IF(OR(C506="",F506=""),"",IF(F506&lt;&gt;"Espèces","—",IF(I506&lt;&gt;"","☑ Oui","☐ Non")))</f>
        <v/>
      </c>
      <c r="N506" s="39">
        <f>IF(D506="","",IFERROR(VALUE(MID(D506,LEN(D506)-3,3)),""))</f>
        <v/>
      </c>
      <c r="O506" s="33">
        <f>IF(N506="","",L506&amp;"|"&amp;N506)</f>
        <v/>
      </c>
      <c r="P506" s="33">
        <f>IF(N506="","",IF(L506="À RENSEIGNER","GIC",L506)&amp;"-"&amp;TEXT(N506,"000"))</f>
        <v/>
      </c>
      <c r="Q506" s="33">
        <f>IF(O506="","",IFERROR(INDEX(Cl_nom,MATCH(O506,Cl_cle,0)),"(client introuvable)"))</f>
        <v/>
      </c>
      <c r="R506" s="40">
        <f>IF(O506="","",IFERROR(INDEX(Cl_reste,MATCH(O506,Cl_cle,0)),""))</f>
        <v/>
      </c>
      <c r="S506" s="34">
        <f>IF(C506="","",YEAR(C506-WEEKDAY(C506,2)+4)&amp;"-S"&amp;TEXT(INT((C506-DATE(YEAR(C506-WEEKDAY(C506,2)+4),1,3)+WEEKDAY(DATE(YEAR(C506-WEEKDAY(C506,2)+4),1,3),2)+5)/7),"00"))</f>
        <v/>
      </c>
    </row>
    <row r="507" ht="18" customHeight="1">
      <c r="A507" s="39" t="n">
        <v>502</v>
      </c>
      <c r="B507" s="33">
        <f>IF(C507="","",IF(L507="À RENSEIGNER","GIC",L507)&amp;"-E"&amp;TEXT(A507,"00000"))</f>
        <v/>
      </c>
      <c r="C507" s="32" t="n"/>
      <c r="D507" s="36" t="n"/>
      <c r="E507" s="37" t="n"/>
      <c r="F507" s="36" t="n"/>
      <c r="G507" s="44" t="n"/>
      <c r="H507" s="43" t="n"/>
      <c r="I507" s="32" t="n"/>
      <c r="J507" s="44" t="n"/>
      <c r="K507" s="36" t="n"/>
      <c r="L507" s="33">
        <f>IF(C507="","",Commercial_Id)</f>
        <v/>
      </c>
      <c r="M507" s="34">
        <f>IF(OR(C507="",F507=""),"",IF(F507&lt;&gt;"Espèces","—",IF(I507&lt;&gt;"","☑ Oui","☐ Non")))</f>
        <v/>
      </c>
      <c r="N507" s="39">
        <f>IF(D507="","",IFERROR(VALUE(MID(D507,LEN(D507)-3,3)),""))</f>
        <v/>
      </c>
      <c r="O507" s="33">
        <f>IF(N507="","",L507&amp;"|"&amp;N507)</f>
        <v/>
      </c>
      <c r="P507" s="33">
        <f>IF(N507="","",IF(L507="À RENSEIGNER","GIC",L507)&amp;"-"&amp;TEXT(N507,"000"))</f>
        <v/>
      </c>
      <c r="Q507" s="33">
        <f>IF(O507="","",IFERROR(INDEX(Cl_nom,MATCH(O507,Cl_cle,0)),"(client introuvable)"))</f>
        <v/>
      </c>
      <c r="R507" s="40">
        <f>IF(O507="","",IFERROR(INDEX(Cl_reste,MATCH(O507,Cl_cle,0)),""))</f>
        <v/>
      </c>
      <c r="S507" s="34">
        <f>IF(C507="","",YEAR(C507-WEEKDAY(C507,2)+4)&amp;"-S"&amp;TEXT(INT((C507-DATE(YEAR(C507-WEEKDAY(C507,2)+4),1,3)+WEEKDAY(DATE(YEAR(C507-WEEKDAY(C507,2)+4),1,3),2)+5)/7),"00"))</f>
        <v/>
      </c>
    </row>
    <row r="508" ht="18" customHeight="1">
      <c r="A508" s="39" t="n">
        <v>503</v>
      </c>
      <c r="B508" s="33">
        <f>IF(C508="","",IF(L508="À RENSEIGNER","GIC",L508)&amp;"-E"&amp;TEXT(A508,"00000"))</f>
        <v/>
      </c>
      <c r="C508" s="32" t="n"/>
      <c r="D508" s="36" t="n"/>
      <c r="E508" s="37" t="n"/>
      <c r="F508" s="36" t="n"/>
      <c r="G508" s="44" t="n"/>
      <c r="H508" s="43" t="n"/>
      <c r="I508" s="32" t="n"/>
      <c r="J508" s="44" t="n"/>
      <c r="K508" s="36" t="n"/>
      <c r="L508" s="33">
        <f>IF(C508="","",Commercial_Id)</f>
        <v/>
      </c>
      <c r="M508" s="34">
        <f>IF(OR(C508="",F508=""),"",IF(F508&lt;&gt;"Espèces","—",IF(I508&lt;&gt;"","☑ Oui","☐ Non")))</f>
        <v/>
      </c>
      <c r="N508" s="39">
        <f>IF(D508="","",IFERROR(VALUE(MID(D508,LEN(D508)-3,3)),""))</f>
        <v/>
      </c>
      <c r="O508" s="33">
        <f>IF(N508="","",L508&amp;"|"&amp;N508)</f>
        <v/>
      </c>
      <c r="P508" s="33">
        <f>IF(N508="","",IF(L508="À RENSEIGNER","GIC",L508)&amp;"-"&amp;TEXT(N508,"000"))</f>
        <v/>
      </c>
      <c r="Q508" s="33">
        <f>IF(O508="","",IFERROR(INDEX(Cl_nom,MATCH(O508,Cl_cle,0)),"(client introuvable)"))</f>
        <v/>
      </c>
      <c r="R508" s="40">
        <f>IF(O508="","",IFERROR(INDEX(Cl_reste,MATCH(O508,Cl_cle,0)),""))</f>
        <v/>
      </c>
      <c r="S508" s="34">
        <f>IF(C508="","",YEAR(C508-WEEKDAY(C508,2)+4)&amp;"-S"&amp;TEXT(INT((C508-DATE(YEAR(C508-WEEKDAY(C508,2)+4),1,3)+WEEKDAY(DATE(YEAR(C508-WEEKDAY(C508,2)+4),1,3),2)+5)/7),"00"))</f>
        <v/>
      </c>
    </row>
    <row r="509" ht="18" customHeight="1">
      <c r="A509" s="39" t="n">
        <v>504</v>
      </c>
      <c r="B509" s="33">
        <f>IF(C509="","",IF(L509="À RENSEIGNER","GIC",L509)&amp;"-E"&amp;TEXT(A509,"00000"))</f>
        <v/>
      </c>
      <c r="C509" s="32" t="n"/>
      <c r="D509" s="36" t="n"/>
      <c r="E509" s="37" t="n"/>
      <c r="F509" s="36" t="n"/>
      <c r="G509" s="44" t="n"/>
      <c r="H509" s="43" t="n"/>
      <c r="I509" s="32" t="n"/>
      <c r="J509" s="44" t="n"/>
      <c r="K509" s="36" t="n"/>
      <c r="L509" s="33">
        <f>IF(C509="","",Commercial_Id)</f>
        <v/>
      </c>
      <c r="M509" s="34">
        <f>IF(OR(C509="",F509=""),"",IF(F509&lt;&gt;"Espèces","—",IF(I509&lt;&gt;"","☑ Oui","☐ Non")))</f>
        <v/>
      </c>
      <c r="N509" s="39">
        <f>IF(D509="","",IFERROR(VALUE(MID(D509,LEN(D509)-3,3)),""))</f>
        <v/>
      </c>
      <c r="O509" s="33">
        <f>IF(N509="","",L509&amp;"|"&amp;N509)</f>
        <v/>
      </c>
      <c r="P509" s="33">
        <f>IF(N509="","",IF(L509="À RENSEIGNER","GIC",L509)&amp;"-"&amp;TEXT(N509,"000"))</f>
        <v/>
      </c>
      <c r="Q509" s="33">
        <f>IF(O509="","",IFERROR(INDEX(Cl_nom,MATCH(O509,Cl_cle,0)),"(client introuvable)"))</f>
        <v/>
      </c>
      <c r="R509" s="40">
        <f>IF(O509="","",IFERROR(INDEX(Cl_reste,MATCH(O509,Cl_cle,0)),""))</f>
        <v/>
      </c>
      <c r="S509" s="34">
        <f>IF(C509="","",YEAR(C509-WEEKDAY(C509,2)+4)&amp;"-S"&amp;TEXT(INT((C509-DATE(YEAR(C509-WEEKDAY(C509,2)+4),1,3)+WEEKDAY(DATE(YEAR(C509-WEEKDAY(C509,2)+4),1,3),2)+5)/7),"00"))</f>
        <v/>
      </c>
    </row>
    <row r="510" ht="18" customHeight="1">
      <c r="A510" s="39" t="n">
        <v>505</v>
      </c>
      <c r="B510" s="33">
        <f>IF(C510="","",IF(L510="À RENSEIGNER","GIC",L510)&amp;"-E"&amp;TEXT(A510,"00000"))</f>
        <v/>
      </c>
      <c r="C510" s="32" t="n"/>
      <c r="D510" s="36" t="n"/>
      <c r="E510" s="37" t="n"/>
      <c r="F510" s="36" t="n"/>
      <c r="G510" s="44" t="n"/>
      <c r="H510" s="43" t="n"/>
      <c r="I510" s="32" t="n"/>
      <c r="J510" s="44" t="n"/>
      <c r="K510" s="36" t="n"/>
      <c r="L510" s="33">
        <f>IF(C510="","",Commercial_Id)</f>
        <v/>
      </c>
      <c r="M510" s="34">
        <f>IF(OR(C510="",F510=""),"",IF(F510&lt;&gt;"Espèces","—",IF(I510&lt;&gt;"","☑ Oui","☐ Non")))</f>
        <v/>
      </c>
      <c r="N510" s="39">
        <f>IF(D510="","",IFERROR(VALUE(MID(D510,LEN(D510)-3,3)),""))</f>
        <v/>
      </c>
      <c r="O510" s="33">
        <f>IF(N510="","",L510&amp;"|"&amp;N510)</f>
        <v/>
      </c>
      <c r="P510" s="33">
        <f>IF(N510="","",IF(L510="À RENSEIGNER","GIC",L510)&amp;"-"&amp;TEXT(N510,"000"))</f>
        <v/>
      </c>
      <c r="Q510" s="33">
        <f>IF(O510="","",IFERROR(INDEX(Cl_nom,MATCH(O510,Cl_cle,0)),"(client introuvable)"))</f>
        <v/>
      </c>
      <c r="R510" s="40">
        <f>IF(O510="","",IFERROR(INDEX(Cl_reste,MATCH(O510,Cl_cle,0)),""))</f>
        <v/>
      </c>
      <c r="S510" s="34">
        <f>IF(C510="","",YEAR(C510-WEEKDAY(C510,2)+4)&amp;"-S"&amp;TEXT(INT((C510-DATE(YEAR(C510-WEEKDAY(C510,2)+4),1,3)+WEEKDAY(DATE(YEAR(C510-WEEKDAY(C510,2)+4),1,3),2)+5)/7),"00"))</f>
        <v/>
      </c>
    </row>
    <row r="511" ht="18" customHeight="1">
      <c r="A511" s="39" t="n">
        <v>506</v>
      </c>
      <c r="B511" s="33">
        <f>IF(C511="","",IF(L511="À RENSEIGNER","GIC",L511)&amp;"-E"&amp;TEXT(A511,"00000"))</f>
        <v/>
      </c>
      <c r="C511" s="32" t="n"/>
      <c r="D511" s="36" t="n"/>
      <c r="E511" s="37" t="n"/>
      <c r="F511" s="36" t="n"/>
      <c r="G511" s="44" t="n"/>
      <c r="H511" s="43" t="n"/>
      <c r="I511" s="32" t="n"/>
      <c r="J511" s="44" t="n"/>
      <c r="K511" s="36" t="n"/>
      <c r="L511" s="33">
        <f>IF(C511="","",Commercial_Id)</f>
        <v/>
      </c>
      <c r="M511" s="34">
        <f>IF(OR(C511="",F511=""),"",IF(F511&lt;&gt;"Espèces","—",IF(I511&lt;&gt;"","☑ Oui","☐ Non")))</f>
        <v/>
      </c>
      <c r="N511" s="39">
        <f>IF(D511="","",IFERROR(VALUE(MID(D511,LEN(D511)-3,3)),""))</f>
        <v/>
      </c>
      <c r="O511" s="33">
        <f>IF(N511="","",L511&amp;"|"&amp;N511)</f>
        <v/>
      </c>
      <c r="P511" s="33">
        <f>IF(N511="","",IF(L511="À RENSEIGNER","GIC",L511)&amp;"-"&amp;TEXT(N511,"000"))</f>
        <v/>
      </c>
      <c r="Q511" s="33">
        <f>IF(O511="","",IFERROR(INDEX(Cl_nom,MATCH(O511,Cl_cle,0)),"(client introuvable)"))</f>
        <v/>
      </c>
      <c r="R511" s="40">
        <f>IF(O511="","",IFERROR(INDEX(Cl_reste,MATCH(O511,Cl_cle,0)),""))</f>
        <v/>
      </c>
      <c r="S511" s="34">
        <f>IF(C511="","",YEAR(C511-WEEKDAY(C511,2)+4)&amp;"-S"&amp;TEXT(INT((C511-DATE(YEAR(C511-WEEKDAY(C511,2)+4),1,3)+WEEKDAY(DATE(YEAR(C511-WEEKDAY(C511,2)+4),1,3),2)+5)/7),"00"))</f>
        <v/>
      </c>
    </row>
    <row r="512" ht="18" customHeight="1">
      <c r="A512" s="39" t="n">
        <v>507</v>
      </c>
      <c r="B512" s="33">
        <f>IF(C512="","",IF(L512="À RENSEIGNER","GIC",L512)&amp;"-E"&amp;TEXT(A512,"00000"))</f>
        <v/>
      </c>
      <c r="C512" s="32" t="n"/>
      <c r="D512" s="36" t="n"/>
      <c r="E512" s="37" t="n"/>
      <c r="F512" s="36" t="n"/>
      <c r="G512" s="44" t="n"/>
      <c r="H512" s="43" t="n"/>
      <c r="I512" s="32" t="n"/>
      <c r="J512" s="44" t="n"/>
      <c r="K512" s="36" t="n"/>
      <c r="L512" s="33">
        <f>IF(C512="","",Commercial_Id)</f>
        <v/>
      </c>
      <c r="M512" s="34">
        <f>IF(OR(C512="",F512=""),"",IF(F512&lt;&gt;"Espèces","—",IF(I512&lt;&gt;"","☑ Oui","☐ Non")))</f>
        <v/>
      </c>
      <c r="N512" s="39">
        <f>IF(D512="","",IFERROR(VALUE(MID(D512,LEN(D512)-3,3)),""))</f>
        <v/>
      </c>
      <c r="O512" s="33">
        <f>IF(N512="","",L512&amp;"|"&amp;N512)</f>
        <v/>
      </c>
      <c r="P512" s="33">
        <f>IF(N512="","",IF(L512="À RENSEIGNER","GIC",L512)&amp;"-"&amp;TEXT(N512,"000"))</f>
        <v/>
      </c>
      <c r="Q512" s="33">
        <f>IF(O512="","",IFERROR(INDEX(Cl_nom,MATCH(O512,Cl_cle,0)),"(client introuvable)"))</f>
        <v/>
      </c>
      <c r="R512" s="40">
        <f>IF(O512="","",IFERROR(INDEX(Cl_reste,MATCH(O512,Cl_cle,0)),""))</f>
        <v/>
      </c>
      <c r="S512" s="34">
        <f>IF(C512="","",YEAR(C512-WEEKDAY(C512,2)+4)&amp;"-S"&amp;TEXT(INT((C512-DATE(YEAR(C512-WEEKDAY(C512,2)+4),1,3)+WEEKDAY(DATE(YEAR(C512-WEEKDAY(C512,2)+4),1,3),2)+5)/7),"00"))</f>
        <v/>
      </c>
    </row>
    <row r="513" ht="18" customHeight="1">
      <c r="A513" s="39" t="n">
        <v>508</v>
      </c>
      <c r="B513" s="33">
        <f>IF(C513="","",IF(L513="À RENSEIGNER","GIC",L513)&amp;"-E"&amp;TEXT(A513,"00000"))</f>
        <v/>
      </c>
      <c r="C513" s="32" t="n"/>
      <c r="D513" s="36" t="n"/>
      <c r="E513" s="37" t="n"/>
      <c r="F513" s="36" t="n"/>
      <c r="G513" s="44" t="n"/>
      <c r="H513" s="43" t="n"/>
      <c r="I513" s="32" t="n"/>
      <c r="J513" s="44" t="n"/>
      <c r="K513" s="36" t="n"/>
      <c r="L513" s="33">
        <f>IF(C513="","",Commercial_Id)</f>
        <v/>
      </c>
      <c r="M513" s="34">
        <f>IF(OR(C513="",F513=""),"",IF(F513&lt;&gt;"Espèces","—",IF(I513&lt;&gt;"","☑ Oui","☐ Non")))</f>
        <v/>
      </c>
      <c r="N513" s="39">
        <f>IF(D513="","",IFERROR(VALUE(MID(D513,LEN(D513)-3,3)),""))</f>
        <v/>
      </c>
      <c r="O513" s="33">
        <f>IF(N513="","",L513&amp;"|"&amp;N513)</f>
        <v/>
      </c>
      <c r="P513" s="33">
        <f>IF(N513="","",IF(L513="À RENSEIGNER","GIC",L513)&amp;"-"&amp;TEXT(N513,"000"))</f>
        <v/>
      </c>
      <c r="Q513" s="33">
        <f>IF(O513="","",IFERROR(INDEX(Cl_nom,MATCH(O513,Cl_cle,0)),"(client introuvable)"))</f>
        <v/>
      </c>
      <c r="R513" s="40">
        <f>IF(O513="","",IFERROR(INDEX(Cl_reste,MATCH(O513,Cl_cle,0)),""))</f>
        <v/>
      </c>
      <c r="S513" s="34">
        <f>IF(C513="","",YEAR(C513-WEEKDAY(C513,2)+4)&amp;"-S"&amp;TEXT(INT((C513-DATE(YEAR(C513-WEEKDAY(C513,2)+4),1,3)+WEEKDAY(DATE(YEAR(C513-WEEKDAY(C513,2)+4),1,3),2)+5)/7),"00"))</f>
        <v/>
      </c>
    </row>
    <row r="514" ht="18" customHeight="1">
      <c r="A514" s="39" t="n">
        <v>509</v>
      </c>
      <c r="B514" s="33">
        <f>IF(C514="","",IF(L514="À RENSEIGNER","GIC",L514)&amp;"-E"&amp;TEXT(A514,"00000"))</f>
        <v/>
      </c>
      <c r="C514" s="32" t="n"/>
      <c r="D514" s="36" t="n"/>
      <c r="E514" s="37" t="n"/>
      <c r="F514" s="36" t="n"/>
      <c r="G514" s="44" t="n"/>
      <c r="H514" s="43" t="n"/>
      <c r="I514" s="32" t="n"/>
      <c r="J514" s="44" t="n"/>
      <c r="K514" s="36" t="n"/>
      <c r="L514" s="33">
        <f>IF(C514="","",Commercial_Id)</f>
        <v/>
      </c>
      <c r="M514" s="34">
        <f>IF(OR(C514="",F514=""),"",IF(F514&lt;&gt;"Espèces","—",IF(I514&lt;&gt;"","☑ Oui","☐ Non")))</f>
        <v/>
      </c>
      <c r="N514" s="39">
        <f>IF(D514="","",IFERROR(VALUE(MID(D514,LEN(D514)-3,3)),""))</f>
        <v/>
      </c>
      <c r="O514" s="33">
        <f>IF(N514="","",L514&amp;"|"&amp;N514)</f>
        <v/>
      </c>
      <c r="P514" s="33">
        <f>IF(N514="","",IF(L514="À RENSEIGNER","GIC",L514)&amp;"-"&amp;TEXT(N514,"000"))</f>
        <v/>
      </c>
      <c r="Q514" s="33">
        <f>IF(O514="","",IFERROR(INDEX(Cl_nom,MATCH(O514,Cl_cle,0)),"(client introuvable)"))</f>
        <v/>
      </c>
      <c r="R514" s="40">
        <f>IF(O514="","",IFERROR(INDEX(Cl_reste,MATCH(O514,Cl_cle,0)),""))</f>
        <v/>
      </c>
      <c r="S514" s="34">
        <f>IF(C514="","",YEAR(C514-WEEKDAY(C514,2)+4)&amp;"-S"&amp;TEXT(INT((C514-DATE(YEAR(C514-WEEKDAY(C514,2)+4),1,3)+WEEKDAY(DATE(YEAR(C514-WEEKDAY(C514,2)+4),1,3),2)+5)/7),"00"))</f>
        <v/>
      </c>
    </row>
    <row r="515" ht="18" customHeight="1">
      <c r="A515" s="39" t="n">
        <v>510</v>
      </c>
      <c r="B515" s="33">
        <f>IF(C515="","",IF(L515="À RENSEIGNER","GIC",L515)&amp;"-E"&amp;TEXT(A515,"00000"))</f>
        <v/>
      </c>
      <c r="C515" s="32" t="n"/>
      <c r="D515" s="36" t="n"/>
      <c r="E515" s="37" t="n"/>
      <c r="F515" s="36" t="n"/>
      <c r="G515" s="44" t="n"/>
      <c r="H515" s="43" t="n"/>
      <c r="I515" s="32" t="n"/>
      <c r="J515" s="44" t="n"/>
      <c r="K515" s="36" t="n"/>
      <c r="L515" s="33">
        <f>IF(C515="","",Commercial_Id)</f>
        <v/>
      </c>
      <c r="M515" s="34">
        <f>IF(OR(C515="",F515=""),"",IF(F515&lt;&gt;"Espèces","—",IF(I515&lt;&gt;"","☑ Oui","☐ Non")))</f>
        <v/>
      </c>
      <c r="N515" s="39">
        <f>IF(D515="","",IFERROR(VALUE(MID(D515,LEN(D515)-3,3)),""))</f>
        <v/>
      </c>
      <c r="O515" s="33">
        <f>IF(N515="","",L515&amp;"|"&amp;N515)</f>
        <v/>
      </c>
      <c r="P515" s="33">
        <f>IF(N515="","",IF(L515="À RENSEIGNER","GIC",L515)&amp;"-"&amp;TEXT(N515,"000"))</f>
        <v/>
      </c>
      <c r="Q515" s="33">
        <f>IF(O515="","",IFERROR(INDEX(Cl_nom,MATCH(O515,Cl_cle,0)),"(client introuvable)"))</f>
        <v/>
      </c>
      <c r="R515" s="40">
        <f>IF(O515="","",IFERROR(INDEX(Cl_reste,MATCH(O515,Cl_cle,0)),""))</f>
        <v/>
      </c>
      <c r="S515" s="34">
        <f>IF(C515="","",YEAR(C515-WEEKDAY(C515,2)+4)&amp;"-S"&amp;TEXT(INT((C515-DATE(YEAR(C515-WEEKDAY(C515,2)+4),1,3)+WEEKDAY(DATE(YEAR(C515-WEEKDAY(C515,2)+4),1,3),2)+5)/7),"00"))</f>
        <v/>
      </c>
    </row>
    <row r="516" ht="18" customHeight="1">
      <c r="A516" s="39" t="n">
        <v>511</v>
      </c>
      <c r="B516" s="33">
        <f>IF(C516="","",IF(L516="À RENSEIGNER","GIC",L516)&amp;"-E"&amp;TEXT(A516,"00000"))</f>
        <v/>
      </c>
      <c r="C516" s="32" t="n"/>
      <c r="D516" s="36" t="n"/>
      <c r="E516" s="37" t="n"/>
      <c r="F516" s="36" t="n"/>
      <c r="G516" s="44" t="n"/>
      <c r="H516" s="43" t="n"/>
      <c r="I516" s="32" t="n"/>
      <c r="J516" s="44" t="n"/>
      <c r="K516" s="36" t="n"/>
      <c r="L516" s="33">
        <f>IF(C516="","",Commercial_Id)</f>
        <v/>
      </c>
      <c r="M516" s="34">
        <f>IF(OR(C516="",F516=""),"",IF(F516&lt;&gt;"Espèces","—",IF(I516&lt;&gt;"","☑ Oui","☐ Non")))</f>
        <v/>
      </c>
      <c r="N516" s="39">
        <f>IF(D516="","",IFERROR(VALUE(MID(D516,LEN(D516)-3,3)),""))</f>
        <v/>
      </c>
      <c r="O516" s="33">
        <f>IF(N516="","",L516&amp;"|"&amp;N516)</f>
        <v/>
      </c>
      <c r="P516" s="33">
        <f>IF(N516="","",IF(L516="À RENSEIGNER","GIC",L516)&amp;"-"&amp;TEXT(N516,"000"))</f>
        <v/>
      </c>
      <c r="Q516" s="33">
        <f>IF(O516="","",IFERROR(INDEX(Cl_nom,MATCH(O516,Cl_cle,0)),"(client introuvable)"))</f>
        <v/>
      </c>
      <c r="R516" s="40">
        <f>IF(O516="","",IFERROR(INDEX(Cl_reste,MATCH(O516,Cl_cle,0)),""))</f>
        <v/>
      </c>
      <c r="S516" s="34">
        <f>IF(C516="","",YEAR(C516-WEEKDAY(C516,2)+4)&amp;"-S"&amp;TEXT(INT((C516-DATE(YEAR(C516-WEEKDAY(C516,2)+4),1,3)+WEEKDAY(DATE(YEAR(C516-WEEKDAY(C516,2)+4),1,3),2)+5)/7),"00"))</f>
        <v/>
      </c>
    </row>
    <row r="517" ht="18" customHeight="1">
      <c r="A517" s="39" t="n">
        <v>512</v>
      </c>
      <c r="B517" s="33">
        <f>IF(C517="","",IF(L517="À RENSEIGNER","GIC",L517)&amp;"-E"&amp;TEXT(A517,"00000"))</f>
        <v/>
      </c>
      <c r="C517" s="32" t="n"/>
      <c r="D517" s="36" t="n"/>
      <c r="E517" s="37" t="n"/>
      <c r="F517" s="36" t="n"/>
      <c r="G517" s="44" t="n"/>
      <c r="H517" s="43" t="n"/>
      <c r="I517" s="32" t="n"/>
      <c r="J517" s="44" t="n"/>
      <c r="K517" s="36" t="n"/>
      <c r="L517" s="33">
        <f>IF(C517="","",Commercial_Id)</f>
        <v/>
      </c>
      <c r="M517" s="34">
        <f>IF(OR(C517="",F517=""),"",IF(F517&lt;&gt;"Espèces","—",IF(I517&lt;&gt;"","☑ Oui","☐ Non")))</f>
        <v/>
      </c>
      <c r="N517" s="39">
        <f>IF(D517="","",IFERROR(VALUE(MID(D517,LEN(D517)-3,3)),""))</f>
        <v/>
      </c>
      <c r="O517" s="33">
        <f>IF(N517="","",L517&amp;"|"&amp;N517)</f>
        <v/>
      </c>
      <c r="P517" s="33">
        <f>IF(N517="","",IF(L517="À RENSEIGNER","GIC",L517)&amp;"-"&amp;TEXT(N517,"000"))</f>
        <v/>
      </c>
      <c r="Q517" s="33">
        <f>IF(O517="","",IFERROR(INDEX(Cl_nom,MATCH(O517,Cl_cle,0)),"(client introuvable)"))</f>
        <v/>
      </c>
      <c r="R517" s="40">
        <f>IF(O517="","",IFERROR(INDEX(Cl_reste,MATCH(O517,Cl_cle,0)),""))</f>
        <v/>
      </c>
      <c r="S517" s="34">
        <f>IF(C517="","",YEAR(C517-WEEKDAY(C517,2)+4)&amp;"-S"&amp;TEXT(INT((C517-DATE(YEAR(C517-WEEKDAY(C517,2)+4),1,3)+WEEKDAY(DATE(YEAR(C517-WEEKDAY(C517,2)+4),1,3),2)+5)/7),"00"))</f>
        <v/>
      </c>
    </row>
    <row r="518" ht="18" customHeight="1">
      <c r="A518" s="39" t="n">
        <v>513</v>
      </c>
      <c r="B518" s="33">
        <f>IF(C518="","",IF(L518="À RENSEIGNER","GIC",L518)&amp;"-E"&amp;TEXT(A518,"00000"))</f>
        <v/>
      </c>
      <c r="C518" s="32" t="n"/>
      <c r="D518" s="36" t="n"/>
      <c r="E518" s="37" t="n"/>
      <c r="F518" s="36" t="n"/>
      <c r="G518" s="44" t="n"/>
      <c r="H518" s="43" t="n"/>
      <c r="I518" s="32" t="n"/>
      <c r="J518" s="44" t="n"/>
      <c r="K518" s="36" t="n"/>
      <c r="L518" s="33">
        <f>IF(C518="","",Commercial_Id)</f>
        <v/>
      </c>
      <c r="M518" s="34">
        <f>IF(OR(C518="",F518=""),"",IF(F518&lt;&gt;"Espèces","—",IF(I518&lt;&gt;"","☑ Oui","☐ Non")))</f>
        <v/>
      </c>
      <c r="N518" s="39">
        <f>IF(D518="","",IFERROR(VALUE(MID(D518,LEN(D518)-3,3)),""))</f>
        <v/>
      </c>
      <c r="O518" s="33">
        <f>IF(N518="","",L518&amp;"|"&amp;N518)</f>
        <v/>
      </c>
      <c r="P518" s="33">
        <f>IF(N518="","",IF(L518="À RENSEIGNER","GIC",L518)&amp;"-"&amp;TEXT(N518,"000"))</f>
        <v/>
      </c>
      <c r="Q518" s="33">
        <f>IF(O518="","",IFERROR(INDEX(Cl_nom,MATCH(O518,Cl_cle,0)),"(client introuvable)"))</f>
        <v/>
      </c>
      <c r="R518" s="40">
        <f>IF(O518="","",IFERROR(INDEX(Cl_reste,MATCH(O518,Cl_cle,0)),""))</f>
        <v/>
      </c>
      <c r="S518" s="34">
        <f>IF(C518="","",YEAR(C518-WEEKDAY(C518,2)+4)&amp;"-S"&amp;TEXT(INT((C518-DATE(YEAR(C518-WEEKDAY(C518,2)+4),1,3)+WEEKDAY(DATE(YEAR(C518-WEEKDAY(C518,2)+4),1,3),2)+5)/7),"00"))</f>
        <v/>
      </c>
    </row>
    <row r="519" ht="18" customHeight="1">
      <c r="A519" s="39" t="n">
        <v>514</v>
      </c>
      <c r="B519" s="33">
        <f>IF(C519="","",IF(L519="À RENSEIGNER","GIC",L519)&amp;"-E"&amp;TEXT(A519,"00000"))</f>
        <v/>
      </c>
      <c r="C519" s="32" t="n"/>
      <c r="D519" s="36" t="n"/>
      <c r="E519" s="37" t="n"/>
      <c r="F519" s="36" t="n"/>
      <c r="G519" s="44" t="n"/>
      <c r="H519" s="43" t="n"/>
      <c r="I519" s="32" t="n"/>
      <c r="J519" s="44" t="n"/>
      <c r="K519" s="36" t="n"/>
      <c r="L519" s="33">
        <f>IF(C519="","",Commercial_Id)</f>
        <v/>
      </c>
      <c r="M519" s="34">
        <f>IF(OR(C519="",F519=""),"",IF(F519&lt;&gt;"Espèces","—",IF(I519&lt;&gt;"","☑ Oui","☐ Non")))</f>
        <v/>
      </c>
      <c r="N519" s="39">
        <f>IF(D519="","",IFERROR(VALUE(MID(D519,LEN(D519)-3,3)),""))</f>
        <v/>
      </c>
      <c r="O519" s="33">
        <f>IF(N519="","",L519&amp;"|"&amp;N519)</f>
        <v/>
      </c>
      <c r="P519" s="33">
        <f>IF(N519="","",IF(L519="À RENSEIGNER","GIC",L519)&amp;"-"&amp;TEXT(N519,"000"))</f>
        <v/>
      </c>
      <c r="Q519" s="33">
        <f>IF(O519="","",IFERROR(INDEX(Cl_nom,MATCH(O519,Cl_cle,0)),"(client introuvable)"))</f>
        <v/>
      </c>
      <c r="R519" s="40">
        <f>IF(O519="","",IFERROR(INDEX(Cl_reste,MATCH(O519,Cl_cle,0)),""))</f>
        <v/>
      </c>
      <c r="S519" s="34">
        <f>IF(C519="","",YEAR(C519-WEEKDAY(C519,2)+4)&amp;"-S"&amp;TEXT(INT((C519-DATE(YEAR(C519-WEEKDAY(C519,2)+4),1,3)+WEEKDAY(DATE(YEAR(C519-WEEKDAY(C519,2)+4),1,3),2)+5)/7),"00"))</f>
        <v/>
      </c>
    </row>
    <row r="520" ht="18" customHeight="1">
      <c r="A520" s="39" t="n">
        <v>515</v>
      </c>
      <c r="B520" s="33">
        <f>IF(C520="","",IF(L520="À RENSEIGNER","GIC",L520)&amp;"-E"&amp;TEXT(A520,"00000"))</f>
        <v/>
      </c>
      <c r="C520" s="32" t="n"/>
      <c r="D520" s="36" t="n"/>
      <c r="E520" s="37" t="n"/>
      <c r="F520" s="36" t="n"/>
      <c r="G520" s="44" t="n"/>
      <c r="H520" s="43" t="n"/>
      <c r="I520" s="32" t="n"/>
      <c r="J520" s="44" t="n"/>
      <c r="K520" s="36" t="n"/>
      <c r="L520" s="33">
        <f>IF(C520="","",Commercial_Id)</f>
        <v/>
      </c>
      <c r="M520" s="34">
        <f>IF(OR(C520="",F520=""),"",IF(F520&lt;&gt;"Espèces","—",IF(I520&lt;&gt;"","☑ Oui","☐ Non")))</f>
        <v/>
      </c>
      <c r="N520" s="39">
        <f>IF(D520="","",IFERROR(VALUE(MID(D520,LEN(D520)-3,3)),""))</f>
        <v/>
      </c>
      <c r="O520" s="33">
        <f>IF(N520="","",L520&amp;"|"&amp;N520)</f>
        <v/>
      </c>
      <c r="P520" s="33">
        <f>IF(N520="","",IF(L520="À RENSEIGNER","GIC",L520)&amp;"-"&amp;TEXT(N520,"000"))</f>
        <v/>
      </c>
      <c r="Q520" s="33">
        <f>IF(O520="","",IFERROR(INDEX(Cl_nom,MATCH(O520,Cl_cle,0)),"(client introuvable)"))</f>
        <v/>
      </c>
      <c r="R520" s="40">
        <f>IF(O520="","",IFERROR(INDEX(Cl_reste,MATCH(O520,Cl_cle,0)),""))</f>
        <v/>
      </c>
      <c r="S520" s="34">
        <f>IF(C520="","",YEAR(C520-WEEKDAY(C520,2)+4)&amp;"-S"&amp;TEXT(INT((C520-DATE(YEAR(C520-WEEKDAY(C520,2)+4),1,3)+WEEKDAY(DATE(YEAR(C520-WEEKDAY(C520,2)+4),1,3),2)+5)/7),"00"))</f>
        <v/>
      </c>
    </row>
    <row r="521" ht="18" customHeight="1">
      <c r="A521" s="39" t="n">
        <v>516</v>
      </c>
      <c r="B521" s="33">
        <f>IF(C521="","",IF(L521="À RENSEIGNER","GIC",L521)&amp;"-E"&amp;TEXT(A521,"00000"))</f>
        <v/>
      </c>
      <c r="C521" s="32" t="n"/>
      <c r="D521" s="36" t="n"/>
      <c r="E521" s="37" t="n"/>
      <c r="F521" s="36" t="n"/>
      <c r="G521" s="44" t="n"/>
      <c r="H521" s="43" t="n"/>
      <c r="I521" s="32" t="n"/>
      <c r="J521" s="44" t="n"/>
      <c r="K521" s="36" t="n"/>
      <c r="L521" s="33">
        <f>IF(C521="","",Commercial_Id)</f>
        <v/>
      </c>
      <c r="M521" s="34">
        <f>IF(OR(C521="",F521=""),"",IF(F521&lt;&gt;"Espèces","—",IF(I521&lt;&gt;"","☑ Oui","☐ Non")))</f>
        <v/>
      </c>
      <c r="N521" s="39">
        <f>IF(D521="","",IFERROR(VALUE(MID(D521,LEN(D521)-3,3)),""))</f>
        <v/>
      </c>
      <c r="O521" s="33">
        <f>IF(N521="","",L521&amp;"|"&amp;N521)</f>
        <v/>
      </c>
      <c r="P521" s="33">
        <f>IF(N521="","",IF(L521="À RENSEIGNER","GIC",L521)&amp;"-"&amp;TEXT(N521,"000"))</f>
        <v/>
      </c>
      <c r="Q521" s="33">
        <f>IF(O521="","",IFERROR(INDEX(Cl_nom,MATCH(O521,Cl_cle,0)),"(client introuvable)"))</f>
        <v/>
      </c>
      <c r="R521" s="40">
        <f>IF(O521="","",IFERROR(INDEX(Cl_reste,MATCH(O521,Cl_cle,0)),""))</f>
        <v/>
      </c>
      <c r="S521" s="34">
        <f>IF(C521="","",YEAR(C521-WEEKDAY(C521,2)+4)&amp;"-S"&amp;TEXT(INT((C521-DATE(YEAR(C521-WEEKDAY(C521,2)+4),1,3)+WEEKDAY(DATE(YEAR(C521-WEEKDAY(C521,2)+4),1,3),2)+5)/7),"00"))</f>
        <v/>
      </c>
    </row>
    <row r="522" ht="18" customHeight="1">
      <c r="A522" s="39" t="n">
        <v>517</v>
      </c>
      <c r="B522" s="33">
        <f>IF(C522="","",IF(L522="À RENSEIGNER","GIC",L522)&amp;"-E"&amp;TEXT(A522,"00000"))</f>
        <v/>
      </c>
      <c r="C522" s="32" t="n"/>
      <c r="D522" s="36" t="n"/>
      <c r="E522" s="37" t="n"/>
      <c r="F522" s="36" t="n"/>
      <c r="G522" s="44" t="n"/>
      <c r="H522" s="43" t="n"/>
      <c r="I522" s="32" t="n"/>
      <c r="J522" s="44" t="n"/>
      <c r="K522" s="36" t="n"/>
      <c r="L522" s="33">
        <f>IF(C522="","",Commercial_Id)</f>
        <v/>
      </c>
      <c r="M522" s="34">
        <f>IF(OR(C522="",F522=""),"",IF(F522&lt;&gt;"Espèces","—",IF(I522&lt;&gt;"","☑ Oui","☐ Non")))</f>
        <v/>
      </c>
      <c r="N522" s="39">
        <f>IF(D522="","",IFERROR(VALUE(MID(D522,LEN(D522)-3,3)),""))</f>
        <v/>
      </c>
      <c r="O522" s="33">
        <f>IF(N522="","",L522&amp;"|"&amp;N522)</f>
        <v/>
      </c>
      <c r="P522" s="33">
        <f>IF(N522="","",IF(L522="À RENSEIGNER","GIC",L522)&amp;"-"&amp;TEXT(N522,"000"))</f>
        <v/>
      </c>
      <c r="Q522" s="33">
        <f>IF(O522="","",IFERROR(INDEX(Cl_nom,MATCH(O522,Cl_cle,0)),"(client introuvable)"))</f>
        <v/>
      </c>
      <c r="R522" s="40">
        <f>IF(O522="","",IFERROR(INDEX(Cl_reste,MATCH(O522,Cl_cle,0)),""))</f>
        <v/>
      </c>
      <c r="S522" s="34">
        <f>IF(C522="","",YEAR(C522-WEEKDAY(C522,2)+4)&amp;"-S"&amp;TEXT(INT((C522-DATE(YEAR(C522-WEEKDAY(C522,2)+4),1,3)+WEEKDAY(DATE(YEAR(C522-WEEKDAY(C522,2)+4),1,3),2)+5)/7),"00"))</f>
        <v/>
      </c>
    </row>
    <row r="523" ht="18" customHeight="1">
      <c r="A523" s="39" t="n">
        <v>518</v>
      </c>
      <c r="B523" s="33">
        <f>IF(C523="","",IF(L523="À RENSEIGNER","GIC",L523)&amp;"-E"&amp;TEXT(A523,"00000"))</f>
        <v/>
      </c>
      <c r="C523" s="32" t="n"/>
      <c r="D523" s="36" t="n"/>
      <c r="E523" s="37" t="n"/>
      <c r="F523" s="36" t="n"/>
      <c r="G523" s="44" t="n"/>
      <c r="H523" s="43" t="n"/>
      <c r="I523" s="32" t="n"/>
      <c r="J523" s="44" t="n"/>
      <c r="K523" s="36" t="n"/>
      <c r="L523" s="33">
        <f>IF(C523="","",Commercial_Id)</f>
        <v/>
      </c>
      <c r="M523" s="34">
        <f>IF(OR(C523="",F523=""),"",IF(F523&lt;&gt;"Espèces","—",IF(I523&lt;&gt;"","☑ Oui","☐ Non")))</f>
        <v/>
      </c>
      <c r="N523" s="39">
        <f>IF(D523="","",IFERROR(VALUE(MID(D523,LEN(D523)-3,3)),""))</f>
        <v/>
      </c>
      <c r="O523" s="33">
        <f>IF(N523="","",L523&amp;"|"&amp;N523)</f>
        <v/>
      </c>
      <c r="P523" s="33">
        <f>IF(N523="","",IF(L523="À RENSEIGNER","GIC",L523)&amp;"-"&amp;TEXT(N523,"000"))</f>
        <v/>
      </c>
      <c r="Q523" s="33">
        <f>IF(O523="","",IFERROR(INDEX(Cl_nom,MATCH(O523,Cl_cle,0)),"(client introuvable)"))</f>
        <v/>
      </c>
      <c r="R523" s="40">
        <f>IF(O523="","",IFERROR(INDEX(Cl_reste,MATCH(O523,Cl_cle,0)),""))</f>
        <v/>
      </c>
      <c r="S523" s="34">
        <f>IF(C523="","",YEAR(C523-WEEKDAY(C523,2)+4)&amp;"-S"&amp;TEXT(INT((C523-DATE(YEAR(C523-WEEKDAY(C523,2)+4),1,3)+WEEKDAY(DATE(YEAR(C523-WEEKDAY(C523,2)+4),1,3),2)+5)/7),"00"))</f>
        <v/>
      </c>
    </row>
    <row r="524" ht="18" customHeight="1">
      <c r="A524" s="39" t="n">
        <v>519</v>
      </c>
      <c r="B524" s="33">
        <f>IF(C524="","",IF(L524="À RENSEIGNER","GIC",L524)&amp;"-E"&amp;TEXT(A524,"00000"))</f>
        <v/>
      </c>
      <c r="C524" s="32" t="n"/>
      <c r="D524" s="36" t="n"/>
      <c r="E524" s="37" t="n"/>
      <c r="F524" s="36" t="n"/>
      <c r="G524" s="44" t="n"/>
      <c r="H524" s="43" t="n"/>
      <c r="I524" s="32" t="n"/>
      <c r="J524" s="44" t="n"/>
      <c r="K524" s="36" t="n"/>
      <c r="L524" s="33">
        <f>IF(C524="","",Commercial_Id)</f>
        <v/>
      </c>
      <c r="M524" s="34">
        <f>IF(OR(C524="",F524=""),"",IF(F524&lt;&gt;"Espèces","—",IF(I524&lt;&gt;"","☑ Oui","☐ Non")))</f>
        <v/>
      </c>
      <c r="N524" s="39">
        <f>IF(D524="","",IFERROR(VALUE(MID(D524,LEN(D524)-3,3)),""))</f>
        <v/>
      </c>
      <c r="O524" s="33">
        <f>IF(N524="","",L524&amp;"|"&amp;N524)</f>
        <v/>
      </c>
      <c r="P524" s="33">
        <f>IF(N524="","",IF(L524="À RENSEIGNER","GIC",L524)&amp;"-"&amp;TEXT(N524,"000"))</f>
        <v/>
      </c>
      <c r="Q524" s="33">
        <f>IF(O524="","",IFERROR(INDEX(Cl_nom,MATCH(O524,Cl_cle,0)),"(client introuvable)"))</f>
        <v/>
      </c>
      <c r="R524" s="40">
        <f>IF(O524="","",IFERROR(INDEX(Cl_reste,MATCH(O524,Cl_cle,0)),""))</f>
        <v/>
      </c>
      <c r="S524" s="34">
        <f>IF(C524="","",YEAR(C524-WEEKDAY(C524,2)+4)&amp;"-S"&amp;TEXT(INT((C524-DATE(YEAR(C524-WEEKDAY(C524,2)+4),1,3)+WEEKDAY(DATE(YEAR(C524-WEEKDAY(C524,2)+4),1,3),2)+5)/7),"00"))</f>
        <v/>
      </c>
    </row>
    <row r="525" ht="18" customHeight="1">
      <c r="A525" s="39" t="n">
        <v>520</v>
      </c>
      <c r="B525" s="33">
        <f>IF(C525="","",IF(L525="À RENSEIGNER","GIC",L525)&amp;"-E"&amp;TEXT(A525,"00000"))</f>
        <v/>
      </c>
      <c r="C525" s="32" t="n"/>
      <c r="D525" s="36" t="n"/>
      <c r="E525" s="37" t="n"/>
      <c r="F525" s="36" t="n"/>
      <c r="G525" s="44" t="n"/>
      <c r="H525" s="43" t="n"/>
      <c r="I525" s="32" t="n"/>
      <c r="J525" s="44" t="n"/>
      <c r="K525" s="36" t="n"/>
      <c r="L525" s="33">
        <f>IF(C525="","",Commercial_Id)</f>
        <v/>
      </c>
      <c r="M525" s="34">
        <f>IF(OR(C525="",F525=""),"",IF(F525&lt;&gt;"Espèces","—",IF(I525&lt;&gt;"","☑ Oui","☐ Non")))</f>
        <v/>
      </c>
      <c r="N525" s="39">
        <f>IF(D525="","",IFERROR(VALUE(MID(D525,LEN(D525)-3,3)),""))</f>
        <v/>
      </c>
      <c r="O525" s="33">
        <f>IF(N525="","",L525&amp;"|"&amp;N525)</f>
        <v/>
      </c>
      <c r="P525" s="33">
        <f>IF(N525="","",IF(L525="À RENSEIGNER","GIC",L525)&amp;"-"&amp;TEXT(N525,"000"))</f>
        <v/>
      </c>
      <c r="Q525" s="33">
        <f>IF(O525="","",IFERROR(INDEX(Cl_nom,MATCH(O525,Cl_cle,0)),"(client introuvable)"))</f>
        <v/>
      </c>
      <c r="R525" s="40">
        <f>IF(O525="","",IFERROR(INDEX(Cl_reste,MATCH(O525,Cl_cle,0)),""))</f>
        <v/>
      </c>
      <c r="S525" s="34">
        <f>IF(C525="","",YEAR(C525-WEEKDAY(C525,2)+4)&amp;"-S"&amp;TEXT(INT((C525-DATE(YEAR(C525-WEEKDAY(C525,2)+4),1,3)+WEEKDAY(DATE(YEAR(C525-WEEKDAY(C525,2)+4),1,3),2)+5)/7),"00"))</f>
        <v/>
      </c>
    </row>
    <row r="526" ht="18" customHeight="1">
      <c r="A526" s="39" t="n">
        <v>521</v>
      </c>
      <c r="B526" s="33">
        <f>IF(C526="","",IF(L526="À RENSEIGNER","GIC",L526)&amp;"-E"&amp;TEXT(A526,"00000"))</f>
        <v/>
      </c>
      <c r="C526" s="32" t="n"/>
      <c r="D526" s="36" t="n"/>
      <c r="E526" s="37" t="n"/>
      <c r="F526" s="36" t="n"/>
      <c r="G526" s="44" t="n"/>
      <c r="H526" s="43" t="n"/>
      <c r="I526" s="32" t="n"/>
      <c r="J526" s="44" t="n"/>
      <c r="K526" s="36" t="n"/>
      <c r="L526" s="33">
        <f>IF(C526="","",Commercial_Id)</f>
        <v/>
      </c>
      <c r="M526" s="34">
        <f>IF(OR(C526="",F526=""),"",IF(F526&lt;&gt;"Espèces","—",IF(I526&lt;&gt;"","☑ Oui","☐ Non")))</f>
        <v/>
      </c>
      <c r="N526" s="39">
        <f>IF(D526="","",IFERROR(VALUE(MID(D526,LEN(D526)-3,3)),""))</f>
        <v/>
      </c>
      <c r="O526" s="33">
        <f>IF(N526="","",L526&amp;"|"&amp;N526)</f>
        <v/>
      </c>
      <c r="P526" s="33">
        <f>IF(N526="","",IF(L526="À RENSEIGNER","GIC",L526)&amp;"-"&amp;TEXT(N526,"000"))</f>
        <v/>
      </c>
      <c r="Q526" s="33">
        <f>IF(O526="","",IFERROR(INDEX(Cl_nom,MATCH(O526,Cl_cle,0)),"(client introuvable)"))</f>
        <v/>
      </c>
      <c r="R526" s="40">
        <f>IF(O526="","",IFERROR(INDEX(Cl_reste,MATCH(O526,Cl_cle,0)),""))</f>
        <v/>
      </c>
      <c r="S526" s="34">
        <f>IF(C526="","",YEAR(C526-WEEKDAY(C526,2)+4)&amp;"-S"&amp;TEXT(INT((C526-DATE(YEAR(C526-WEEKDAY(C526,2)+4),1,3)+WEEKDAY(DATE(YEAR(C526-WEEKDAY(C526,2)+4),1,3),2)+5)/7),"00"))</f>
        <v/>
      </c>
    </row>
    <row r="527" ht="18" customHeight="1">
      <c r="A527" s="39" t="n">
        <v>522</v>
      </c>
      <c r="B527" s="33">
        <f>IF(C527="","",IF(L527="À RENSEIGNER","GIC",L527)&amp;"-E"&amp;TEXT(A527,"00000"))</f>
        <v/>
      </c>
      <c r="C527" s="32" t="n"/>
      <c r="D527" s="36" t="n"/>
      <c r="E527" s="37" t="n"/>
      <c r="F527" s="36" t="n"/>
      <c r="G527" s="44" t="n"/>
      <c r="H527" s="43" t="n"/>
      <c r="I527" s="32" t="n"/>
      <c r="J527" s="44" t="n"/>
      <c r="K527" s="36" t="n"/>
      <c r="L527" s="33">
        <f>IF(C527="","",Commercial_Id)</f>
        <v/>
      </c>
      <c r="M527" s="34">
        <f>IF(OR(C527="",F527=""),"",IF(F527&lt;&gt;"Espèces","—",IF(I527&lt;&gt;"","☑ Oui","☐ Non")))</f>
        <v/>
      </c>
      <c r="N527" s="39">
        <f>IF(D527="","",IFERROR(VALUE(MID(D527,LEN(D527)-3,3)),""))</f>
        <v/>
      </c>
      <c r="O527" s="33">
        <f>IF(N527="","",L527&amp;"|"&amp;N527)</f>
        <v/>
      </c>
      <c r="P527" s="33">
        <f>IF(N527="","",IF(L527="À RENSEIGNER","GIC",L527)&amp;"-"&amp;TEXT(N527,"000"))</f>
        <v/>
      </c>
      <c r="Q527" s="33">
        <f>IF(O527="","",IFERROR(INDEX(Cl_nom,MATCH(O527,Cl_cle,0)),"(client introuvable)"))</f>
        <v/>
      </c>
      <c r="R527" s="40">
        <f>IF(O527="","",IFERROR(INDEX(Cl_reste,MATCH(O527,Cl_cle,0)),""))</f>
        <v/>
      </c>
      <c r="S527" s="34">
        <f>IF(C527="","",YEAR(C527-WEEKDAY(C527,2)+4)&amp;"-S"&amp;TEXT(INT((C527-DATE(YEAR(C527-WEEKDAY(C527,2)+4),1,3)+WEEKDAY(DATE(YEAR(C527-WEEKDAY(C527,2)+4),1,3),2)+5)/7),"00"))</f>
        <v/>
      </c>
    </row>
    <row r="528" ht="18" customHeight="1">
      <c r="A528" s="39" t="n">
        <v>523</v>
      </c>
      <c r="B528" s="33">
        <f>IF(C528="","",IF(L528="À RENSEIGNER","GIC",L528)&amp;"-E"&amp;TEXT(A528,"00000"))</f>
        <v/>
      </c>
      <c r="C528" s="32" t="n"/>
      <c r="D528" s="36" t="n"/>
      <c r="E528" s="37" t="n"/>
      <c r="F528" s="36" t="n"/>
      <c r="G528" s="44" t="n"/>
      <c r="H528" s="43" t="n"/>
      <c r="I528" s="32" t="n"/>
      <c r="J528" s="44" t="n"/>
      <c r="K528" s="36" t="n"/>
      <c r="L528" s="33">
        <f>IF(C528="","",Commercial_Id)</f>
        <v/>
      </c>
      <c r="M528" s="34">
        <f>IF(OR(C528="",F528=""),"",IF(F528&lt;&gt;"Espèces","—",IF(I528&lt;&gt;"","☑ Oui","☐ Non")))</f>
        <v/>
      </c>
      <c r="N528" s="39">
        <f>IF(D528="","",IFERROR(VALUE(MID(D528,LEN(D528)-3,3)),""))</f>
        <v/>
      </c>
      <c r="O528" s="33">
        <f>IF(N528="","",L528&amp;"|"&amp;N528)</f>
        <v/>
      </c>
      <c r="P528" s="33">
        <f>IF(N528="","",IF(L528="À RENSEIGNER","GIC",L528)&amp;"-"&amp;TEXT(N528,"000"))</f>
        <v/>
      </c>
      <c r="Q528" s="33">
        <f>IF(O528="","",IFERROR(INDEX(Cl_nom,MATCH(O528,Cl_cle,0)),"(client introuvable)"))</f>
        <v/>
      </c>
      <c r="R528" s="40">
        <f>IF(O528="","",IFERROR(INDEX(Cl_reste,MATCH(O528,Cl_cle,0)),""))</f>
        <v/>
      </c>
      <c r="S528" s="34">
        <f>IF(C528="","",YEAR(C528-WEEKDAY(C528,2)+4)&amp;"-S"&amp;TEXT(INT((C528-DATE(YEAR(C528-WEEKDAY(C528,2)+4),1,3)+WEEKDAY(DATE(YEAR(C528-WEEKDAY(C528,2)+4),1,3),2)+5)/7),"00"))</f>
        <v/>
      </c>
    </row>
    <row r="529" ht="18" customHeight="1">
      <c r="A529" s="39" t="n">
        <v>524</v>
      </c>
      <c r="B529" s="33">
        <f>IF(C529="","",IF(L529="À RENSEIGNER","GIC",L529)&amp;"-E"&amp;TEXT(A529,"00000"))</f>
        <v/>
      </c>
      <c r="C529" s="32" t="n"/>
      <c r="D529" s="36" t="n"/>
      <c r="E529" s="37" t="n"/>
      <c r="F529" s="36" t="n"/>
      <c r="G529" s="44" t="n"/>
      <c r="H529" s="43" t="n"/>
      <c r="I529" s="32" t="n"/>
      <c r="J529" s="44" t="n"/>
      <c r="K529" s="36" t="n"/>
      <c r="L529" s="33">
        <f>IF(C529="","",Commercial_Id)</f>
        <v/>
      </c>
      <c r="M529" s="34">
        <f>IF(OR(C529="",F529=""),"",IF(F529&lt;&gt;"Espèces","—",IF(I529&lt;&gt;"","☑ Oui","☐ Non")))</f>
        <v/>
      </c>
      <c r="N529" s="39">
        <f>IF(D529="","",IFERROR(VALUE(MID(D529,LEN(D529)-3,3)),""))</f>
        <v/>
      </c>
      <c r="O529" s="33">
        <f>IF(N529="","",L529&amp;"|"&amp;N529)</f>
        <v/>
      </c>
      <c r="P529" s="33">
        <f>IF(N529="","",IF(L529="À RENSEIGNER","GIC",L529)&amp;"-"&amp;TEXT(N529,"000"))</f>
        <v/>
      </c>
      <c r="Q529" s="33">
        <f>IF(O529="","",IFERROR(INDEX(Cl_nom,MATCH(O529,Cl_cle,0)),"(client introuvable)"))</f>
        <v/>
      </c>
      <c r="R529" s="40">
        <f>IF(O529="","",IFERROR(INDEX(Cl_reste,MATCH(O529,Cl_cle,0)),""))</f>
        <v/>
      </c>
      <c r="S529" s="34">
        <f>IF(C529="","",YEAR(C529-WEEKDAY(C529,2)+4)&amp;"-S"&amp;TEXT(INT((C529-DATE(YEAR(C529-WEEKDAY(C529,2)+4),1,3)+WEEKDAY(DATE(YEAR(C529-WEEKDAY(C529,2)+4),1,3),2)+5)/7),"00"))</f>
        <v/>
      </c>
    </row>
    <row r="530" ht="18" customHeight="1">
      <c r="A530" s="39" t="n">
        <v>525</v>
      </c>
      <c r="B530" s="33">
        <f>IF(C530="","",IF(L530="À RENSEIGNER","GIC",L530)&amp;"-E"&amp;TEXT(A530,"00000"))</f>
        <v/>
      </c>
      <c r="C530" s="32" t="n"/>
      <c r="D530" s="36" t="n"/>
      <c r="E530" s="37" t="n"/>
      <c r="F530" s="36" t="n"/>
      <c r="G530" s="44" t="n"/>
      <c r="H530" s="43" t="n"/>
      <c r="I530" s="32" t="n"/>
      <c r="J530" s="44" t="n"/>
      <c r="K530" s="36" t="n"/>
      <c r="L530" s="33">
        <f>IF(C530="","",Commercial_Id)</f>
        <v/>
      </c>
      <c r="M530" s="34">
        <f>IF(OR(C530="",F530=""),"",IF(F530&lt;&gt;"Espèces","—",IF(I530&lt;&gt;"","☑ Oui","☐ Non")))</f>
        <v/>
      </c>
      <c r="N530" s="39">
        <f>IF(D530="","",IFERROR(VALUE(MID(D530,LEN(D530)-3,3)),""))</f>
        <v/>
      </c>
      <c r="O530" s="33">
        <f>IF(N530="","",L530&amp;"|"&amp;N530)</f>
        <v/>
      </c>
      <c r="P530" s="33">
        <f>IF(N530="","",IF(L530="À RENSEIGNER","GIC",L530)&amp;"-"&amp;TEXT(N530,"000"))</f>
        <v/>
      </c>
      <c r="Q530" s="33">
        <f>IF(O530="","",IFERROR(INDEX(Cl_nom,MATCH(O530,Cl_cle,0)),"(client introuvable)"))</f>
        <v/>
      </c>
      <c r="R530" s="40">
        <f>IF(O530="","",IFERROR(INDEX(Cl_reste,MATCH(O530,Cl_cle,0)),""))</f>
        <v/>
      </c>
      <c r="S530" s="34">
        <f>IF(C530="","",YEAR(C530-WEEKDAY(C530,2)+4)&amp;"-S"&amp;TEXT(INT((C530-DATE(YEAR(C530-WEEKDAY(C530,2)+4),1,3)+WEEKDAY(DATE(YEAR(C530-WEEKDAY(C530,2)+4),1,3),2)+5)/7),"00"))</f>
        <v/>
      </c>
    </row>
    <row r="531" ht="18" customHeight="1">
      <c r="A531" s="39" t="n">
        <v>526</v>
      </c>
      <c r="B531" s="33">
        <f>IF(C531="","",IF(L531="À RENSEIGNER","GIC",L531)&amp;"-E"&amp;TEXT(A531,"00000"))</f>
        <v/>
      </c>
      <c r="C531" s="32" t="n"/>
      <c r="D531" s="36" t="n"/>
      <c r="E531" s="37" t="n"/>
      <c r="F531" s="36" t="n"/>
      <c r="G531" s="44" t="n"/>
      <c r="H531" s="43" t="n"/>
      <c r="I531" s="32" t="n"/>
      <c r="J531" s="44" t="n"/>
      <c r="K531" s="36" t="n"/>
      <c r="L531" s="33">
        <f>IF(C531="","",Commercial_Id)</f>
        <v/>
      </c>
      <c r="M531" s="34">
        <f>IF(OR(C531="",F531=""),"",IF(F531&lt;&gt;"Espèces","—",IF(I531&lt;&gt;"","☑ Oui","☐ Non")))</f>
        <v/>
      </c>
      <c r="N531" s="39">
        <f>IF(D531="","",IFERROR(VALUE(MID(D531,LEN(D531)-3,3)),""))</f>
        <v/>
      </c>
      <c r="O531" s="33">
        <f>IF(N531="","",L531&amp;"|"&amp;N531)</f>
        <v/>
      </c>
      <c r="P531" s="33">
        <f>IF(N531="","",IF(L531="À RENSEIGNER","GIC",L531)&amp;"-"&amp;TEXT(N531,"000"))</f>
        <v/>
      </c>
      <c r="Q531" s="33">
        <f>IF(O531="","",IFERROR(INDEX(Cl_nom,MATCH(O531,Cl_cle,0)),"(client introuvable)"))</f>
        <v/>
      </c>
      <c r="R531" s="40">
        <f>IF(O531="","",IFERROR(INDEX(Cl_reste,MATCH(O531,Cl_cle,0)),""))</f>
        <v/>
      </c>
      <c r="S531" s="34">
        <f>IF(C531="","",YEAR(C531-WEEKDAY(C531,2)+4)&amp;"-S"&amp;TEXT(INT((C531-DATE(YEAR(C531-WEEKDAY(C531,2)+4),1,3)+WEEKDAY(DATE(YEAR(C531-WEEKDAY(C531,2)+4),1,3),2)+5)/7),"00"))</f>
        <v/>
      </c>
    </row>
    <row r="532" ht="18" customHeight="1">
      <c r="A532" s="39" t="n">
        <v>527</v>
      </c>
      <c r="B532" s="33">
        <f>IF(C532="","",IF(L532="À RENSEIGNER","GIC",L532)&amp;"-E"&amp;TEXT(A532,"00000"))</f>
        <v/>
      </c>
      <c r="C532" s="32" t="n"/>
      <c r="D532" s="36" t="n"/>
      <c r="E532" s="37" t="n"/>
      <c r="F532" s="36" t="n"/>
      <c r="G532" s="44" t="n"/>
      <c r="H532" s="43" t="n"/>
      <c r="I532" s="32" t="n"/>
      <c r="J532" s="44" t="n"/>
      <c r="K532" s="36" t="n"/>
      <c r="L532" s="33">
        <f>IF(C532="","",Commercial_Id)</f>
        <v/>
      </c>
      <c r="M532" s="34">
        <f>IF(OR(C532="",F532=""),"",IF(F532&lt;&gt;"Espèces","—",IF(I532&lt;&gt;"","☑ Oui","☐ Non")))</f>
        <v/>
      </c>
      <c r="N532" s="39">
        <f>IF(D532="","",IFERROR(VALUE(MID(D532,LEN(D532)-3,3)),""))</f>
        <v/>
      </c>
      <c r="O532" s="33">
        <f>IF(N532="","",L532&amp;"|"&amp;N532)</f>
        <v/>
      </c>
      <c r="P532" s="33">
        <f>IF(N532="","",IF(L532="À RENSEIGNER","GIC",L532)&amp;"-"&amp;TEXT(N532,"000"))</f>
        <v/>
      </c>
      <c r="Q532" s="33">
        <f>IF(O532="","",IFERROR(INDEX(Cl_nom,MATCH(O532,Cl_cle,0)),"(client introuvable)"))</f>
        <v/>
      </c>
      <c r="R532" s="40">
        <f>IF(O532="","",IFERROR(INDEX(Cl_reste,MATCH(O532,Cl_cle,0)),""))</f>
        <v/>
      </c>
      <c r="S532" s="34">
        <f>IF(C532="","",YEAR(C532-WEEKDAY(C532,2)+4)&amp;"-S"&amp;TEXT(INT((C532-DATE(YEAR(C532-WEEKDAY(C532,2)+4),1,3)+WEEKDAY(DATE(YEAR(C532-WEEKDAY(C532,2)+4),1,3),2)+5)/7),"00"))</f>
        <v/>
      </c>
    </row>
    <row r="533" ht="18" customHeight="1">
      <c r="A533" s="39" t="n">
        <v>528</v>
      </c>
      <c r="B533" s="33">
        <f>IF(C533="","",IF(L533="À RENSEIGNER","GIC",L533)&amp;"-E"&amp;TEXT(A533,"00000"))</f>
        <v/>
      </c>
      <c r="C533" s="32" t="n"/>
      <c r="D533" s="36" t="n"/>
      <c r="E533" s="37" t="n"/>
      <c r="F533" s="36" t="n"/>
      <c r="G533" s="44" t="n"/>
      <c r="H533" s="43" t="n"/>
      <c r="I533" s="32" t="n"/>
      <c r="J533" s="44" t="n"/>
      <c r="K533" s="36" t="n"/>
      <c r="L533" s="33">
        <f>IF(C533="","",Commercial_Id)</f>
        <v/>
      </c>
      <c r="M533" s="34">
        <f>IF(OR(C533="",F533=""),"",IF(F533&lt;&gt;"Espèces","—",IF(I533&lt;&gt;"","☑ Oui","☐ Non")))</f>
        <v/>
      </c>
      <c r="N533" s="39">
        <f>IF(D533="","",IFERROR(VALUE(MID(D533,LEN(D533)-3,3)),""))</f>
        <v/>
      </c>
      <c r="O533" s="33">
        <f>IF(N533="","",L533&amp;"|"&amp;N533)</f>
        <v/>
      </c>
      <c r="P533" s="33">
        <f>IF(N533="","",IF(L533="À RENSEIGNER","GIC",L533)&amp;"-"&amp;TEXT(N533,"000"))</f>
        <v/>
      </c>
      <c r="Q533" s="33">
        <f>IF(O533="","",IFERROR(INDEX(Cl_nom,MATCH(O533,Cl_cle,0)),"(client introuvable)"))</f>
        <v/>
      </c>
      <c r="R533" s="40">
        <f>IF(O533="","",IFERROR(INDEX(Cl_reste,MATCH(O533,Cl_cle,0)),""))</f>
        <v/>
      </c>
      <c r="S533" s="34">
        <f>IF(C533="","",YEAR(C533-WEEKDAY(C533,2)+4)&amp;"-S"&amp;TEXT(INT((C533-DATE(YEAR(C533-WEEKDAY(C533,2)+4),1,3)+WEEKDAY(DATE(YEAR(C533-WEEKDAY(C533,2)+4),1,3),2)+5)/7),"00"))</f>
        <v/>
      </c>
    </row>
    <row r="534" ht="18" customHeight="1">
      <c r="A534" s="39" t="n">
        <v>529</v>
      </c>
      <c r="B534" s="33">
        <f>IF(C534="","",IF(L534="À RENSEIGNER","GIC",L534)&amp;"-E"&amp;TEXT(A534,"00000"))</f>
        <v/>
      </c>
      <c r="C534" s="32" t="n"/>
      <c r="D534" s="36" t="n"/>
      <c r="E534" s="37" t="n"/>
      <c r="F534" s="36" t="n"/>
      <c r="G534" s="44" t="n"/>
      <c r="H534" s="43" t="n"/>
      <c r="I534" s="32" t="n"/>
      <c r="J534" s="44" t="n"/>
      <c r="K534" s="36" t="n"/>
      <c r="L534" s="33">
        <f>IF(C534="","",Commercial_Id)</f>
        <v/>
      </c>
      <c r="M534" s="34">
        <f>IF(OR(C534="",F534=""),"",IF(F534&lt;&gt;"Espèces","—",IF(I534&lt;&gt;"","☑ Oui","☐ Non")))</f>
        <v/>
      </c>
      <c r="N534" s="39">
        <f>IF(D534="","",IFERROR(VALUE(MID(D534,LEN(D534)-3,3)),""))</f>
        <v/>
      </c>
      <c r="O534" s="33">
        <f>IF(N534="","",L534&amp;"|"&amp;N534)</f>
        <v/>
      </c>
      <c r="P534" s="33">
        <f>IF(N534="","",IF(L534="À RENSEIGNER","GIC",L534)&amp;"-"&amp;TEXT(N534,"000"))</f>
        <v/>
      </c>
      <c r="Q534" s="33">
        <f>IF(O534="","",IFERROR(INDEX(Cl_nom,MATCH(O534,Cl_cle,0)),"(client introuvable)"))</f>
        <v/>
      </c>
      <c r="R534" s="40">
        <f>IF(O534="","",IFERROR(INDEX(Cl_reste,MATCH(O534,Cl_cle,0)),""))</f>
        <v/>
      </c>
      <c r="S534" s="34">
        <f>IF(C534="","",YEAR(C534-WEEKDAY(C534,2)+4)&amp;"-S"&amp;TEXT(INT((C534-DATE(YEAR(C534-WEEKDAY(C534,2)+4),1,3)+WEEKDAY(DATE(YEAR(C534-WEEKDAY(C534,2)+4),1,3),2)+5)/7),"00"))</f>
        <v/>
      </c>
    </row>
    <row r="535" ht="18" customHeight="1">
      <c r="A535" s="39" t="n">
        <v>530</v>
      </c>
      <c r="B535" s="33">
        <f>IF(C535="","",IF(L535="À RENSEIGNER","GIC",L535)&amp;"-E"&amp;TEXT(A535,"00000"))</f>
        <v/>
      </c>
      <c r="C535" s="32" t="n"/>
      <c r="D535" s="36" t="n"/>
      <c r="E535" s="37" t="n"/>
      <c r="F535" s="36" t="n"/>
      <c r="G535" s="44" t="n"/>
      <c r="H535" s="43" t="n"/>
      <c r="I535" s="32" t="n"/>
      <c r="J535" s="44" t="n"/>
      <c r="K535" s="36" t="n"/>
      <c r="L535" s="33">
        <f>IF(C535="","",Commercial_Id)</f>
        <v/>
      </c>
      <c r="M535" s="34">
        <f>IF(OR(C535="",F535=""),"",IF(F535&lt;&gt;"Espèces","—",IF(I535&lt;&gt;"","☑ Oui","☐ Non")))</f>
        <v/>
      </c>
      <c r="N535" s="39">
        <f>IF(D535="","",IFERROR(VALUE(MID(D535,LEN(D535)-3,3)),""))</f>
        <v/>
      </c>
      <c r="O535" s="33">
        <f>IF(N535="","",L535&amp;"|"&amp;N535)</f>
        <v/>
      </c>
      <c r="P535" s="33">
        <f>IF(N535="","",IF(L535="À RENSEIGNER","GIC",L535)&amp;"-"&amp;TEXT(N535,"000"))</f>
        <v/>
      </c>
      <c r="Q535" s="33">
        <f>IF(O535="","",IFERROR(INDEX(Cl_nom,MATCH(O535,Cl_cle,0)),"(client introuvable)"))</f>
        <v/>
      </c>
      <c r="R535" s="40">
        <f>IF(O535="","",IFERROR(INDEX(Cl_reste,MATCH(O535,Cl_cle,0)),""))</f>
        <v/>
      </c>
      <c r="S535" s="34">
        <f>IF(C535="","",YEAR(C535-WEEKDAY(C535,2)+4)&amp;"-S"&amp;TEXT(INT((C535-DATE(YEAR(C535-WEEKDAY(C535,2)+4),1,3)+WEEKDAY(DATE(YEAR(C535-WEEKDAY(C535,2)+4),1,3),2)+5)/7),"00"))</f>
        <v/>
      </c>
    </row>
    <row r="536" ht="18" customHeight="1">
      <c r="A536" s="39" t="n">
        <v>531</v>
      </c>
      <c r="B536" s="33">
        <f>IF(C536="","",IF(L536="À RENSEIGNER","GIC",L536)&amp;"-E"&amp;TEXT(A536,"00000"))</f>
        <v/>
      </c>
      <c r="C536" s="32" t="n"/>
      <c r="D536" s="36" t="n"/>
      <c r="E536" s="37" t="n"/>
      <c r="F536" s="36" t="n"/>
      <c r="G536" s="44" t="n"/>
      <c r="H536" s="43" t="n"/>
      <c r="I536" s="32" t="n"/>
      <c r="J536" s="44" t="n"/>
      <c r="K536" s="36" t="n"/>
      <c r="L536" s="33">
        <f>IF(C536="","",Commercial_Id)</f>
        <v/>
      </c>
      <c r="M536" s="34">
        <f>IF(OR(C536="",F536=""),"",IF(F536&lt;&gt;"Espèces","—",IF(I536&lt;&gt;"","☑ Oui","☐ Non")))</f>
        <v/>
      </c>
      <c r="N536" s="39">
        <f>IF(D536="","",IFERROR(VALUE(MID(D536,LEN(D536)-3,3)),""))</f>
        <v/>
      </c>
      <c r="O536" s="33">
        <f>IF(N536="","",L536&amp;"|"&amp;N536)</f>
        <v/>
      </c>
      <c r="P536" s="33">
        <f>IF(N536="","",IF(L536="À RENSEIGNER","GIC",L536)&amp;"-"&amp;TEXT(N536,"000"))</f>
        <v/>
      </c>
      <c r="Q536" s="33">
        <f>IF(O536="","",IFERROR(INDEX(Cl_nom,MATCH(O536,Cl_cle,0)),"(client introuvable)"))</f>
        <v/>
      </c>
      <c r="R536" s="40">
        <f>IF(O536="","",IFERROR(INDEX(Cl_reste,MATCH(O536,Cl_cle,0)),""))</f>
        <v/>
      </c>
      <c r="S536" s="34">
        <f>IF(C536="","",YEAR(C536-WEEKDAY(C536,2)+4)&amp;"-S"&amp;TEXT(INT((C536-DATE(YEAR(C536-WEEKDAY(C536,2)+4),1,3)+WEEKDAY(DATE(YEAR(C536-WEEKDAY(C536,2)+4),1,3),2)+5)/7),"00"))</f>
        <v/>
      </c>
    </row>
    <row r="537" ht="18" customHeight="1">
      <c r="A537" s="39" t="n">
        <v>532</v>
      </c>
      <c r="B537" s="33">
        <f>IF(C537="","",IF(L537="À RENSEIGNER","GIC",L537)&amp;"-E"&amp;TEXT(A537,"00000"))</f>
        <v/>
      </c>
      <c r="C537" s="32" t="n"/>
      <c r="D537" s="36" t="n"/>
      <c r="E537" s="37" t="n"/>
      <c r="F537" s="36" t="n"/>
      <c r="G537" s="44" t="n"/>
      <c r="H537" s="43" t="n"/>
      <c r="I537" s="32" t="n"/>
      <c r="J537" s="44" t="n"/>
      <c r="K537" s="36" t="n"/>
      <c r="L537" s="33">
        <f>IF(C537="","",Commercial_Id)</f>
        <v/>
      </c>
      <c r="M537" s="34">
        <f>IF(OR(C537="",F537=""),"",IF(F537&lt;&gt;"Espèces","—",IF(I537&lt;&gt;"","☑ Oui","☐ Non")))</f>
        <v/>
      </c>
      <c r="N537" s="39">
        <f>IF(D537="","",IFERROR(VALUE(MID(D537,LEN(D537)-3,3)),""))</f>
        <v/>
      </c>
      <c r="O537" s="33">
        <f>IF(N537="","",L537&amp;"|"&amp;N537)</f>
        <v/>
      </c>
      <c r="P537" s="33">
        <f>IF(N537="","",IF(L537="À RENSEIGNER","GIC",L537)&amp;"-"&amp;TEXT(N537,"000"))</f>
        <v/>
      </c>
      <c r="Q537" s="33">
        <f>IF(O537="","",IFERROR(INDEX(Cl_nom,MATCH(O537,Cl_cle,0)),"(client introuvable)"))</f>
        <v/>
      </c>
      <c r="R537" s="40">
        <f>IF(O537="","",IFERROR(INDEX(Cl_reste,MATCH(O537,Cl_cle,0)),""))</f>
        <v/>
      </c>
      <c r="S537" s="34">
        <f>IF(C537="","",YEAR(C537-WEEKDAY(C537,2)+4)&amp;"-S"&amp;TEXT(INT((C537-DATE(YEAR(C537-WEEKDAY(C537,2)+4),1,3)+WEEKDAY(DATE(YEAR(C537-WEEKDAY(C537,2)+4),1,3),2)+5)/7),"00"))</f>
        <v/>
      </c>
    </row>
    <row r="538" ht="18" customHeight="1">
      <c r="A538" s="39" t="n">
        <v>533</v>
      </c>
      <c r="B538" s="33">
        <f>IF(C538="","",IF(L538="À RENSEIGNER","GIC",L538)&amp;"-E"&amp;TEXT(A538,"00000"))</f>
        <v/>
      </c>
      <c r="C538" s="32" t="n"/>
      <c r="D538" s="36" t="n"/>
      <c r="E538" s="37" t="n"/>
      <c r="F538" s="36" t="n"/>
      <c r="G538" s="44" t="n"/>
      <c r="H538" s="43" t="n"/>
      <c r="I538" s="32" t="n"/>
      <c r="J538" s="44" t="n"/>
      <c r="K538" s="36" t="n"/>
      <c r="L538" s="33">
        <f>IF(C538="","",Commercial_Id)</f>
        <v/>
      </c>
      <c r="M538" s="34">
        <f>IF(OR(C538="",F538=""),"",IF(F538&lt;&gt;"Espèces","—",IF(I538&lt;&gt;"","☑ Oui","☐ Non")))</f>
        <v/>
      </c>
      <c r="N538" s="39">
        <f>IF(D538="","",IFERROR(VALUE(MID(D538,LEN(D538)-3,3)),""))</f>
        <v/>
      </c>
      <c r="O538" s="33">
        <f>IF(N538="","",L538&amp;"|"&amp;N538)</f>
        <v/>
      </c>
      <c r="P538" s="33">
        <f>IF(N538="","",IF(L538="À RENSEIGNER","GIC",L538)&amp;"-"&amp;TEXT(N538,"000"))</f>
        <v/>
      </c>
      <c r="Q538" s="33">
        <f>IF(O538="","",IFERROR(INDEX(Cl_nom,MATCH(O538,Cl_cle,0)),"(client introuvable)"))</f>
        <v/>
      </c>
      <c r="R538" s="40">
        <f>IF(O538="","",IFERROR(INDEX(Cl_reste,MATCH(O538,Cl_cle,0)),""))</f>
        <v/>
      </c>
      <c r="S538" s="34">
        <f>IF(C538="","",YEAR(C538-WEEKDAY(C538,2)+4)&amp;"-S"&amp;TEXT(INT((C538-DATE(YEAR(C538-WEEKDAY(C538,2)+4),1,3)+WEEKDAY(DATE(YEAR(C538-WEEKDAY(C538,2)+4),1,3),2)+5)/7),"00"))</f>
        <v/>
      </c>
    </row>
    <row r="539" ht="18" customHeight="1">
      <c r="A539" s="39" t="n">
        <v>534</v>
      </c>
      <c r="B539" s="33">
        <f>IF(C539="","",IF(L539="À RENSEIGNER","GIC",L539)&amp;"-E"&amp;TEXT(A539,"00000"))</f>
        <v/>
      </c>
      <c r="C539" s="32" t="n"/>
      <c r="D539" s="36" t="n"/>
      <c r="E539" s="37" t="n"/>
      <c r="F539" s="36" t="n"/>
      <c r="G539" s="44" t="n"/>
      <c r="H539" s="43" t="n"/>
      <c r="I539" s="32" t="n"/>
      <c r="J539" s="44" t="n"/>
      <c r="K539" s="36" t="n"/>
      <c r="L539" s="33">
        <f>IF(C539="","",Commercial_Id)</f>
        <v/>
      </c>
      <c r="M539" s="34">
        <f>IF(OR(C539="",F539=""),"",IF(F539&lt;&gt;"Espèces","—",IF(I539&lt;&gt;"","☑ Oui","☐ Non")))</f>
        <v/>
      </c>
      <c r="N539" s="39">
        <f>IF(D539="","",IFERROR(VALUE(MID(D539,LEN(D539)-3,3)),""))</f>
        <v/>
      </c>
      <c r="O539" s="33">
        <f>IF(N539="","",L539&amp;"|"&amp;N539)</f>
        <v/>
      </c>
      <c r="P539" s="33">
        <f>IF(N539="","",IF(L539="À RENSEIGNER","GIC",L539)&amp;"-"&amp;TEXT(N539,"000"))</f>
        <v/>
      </c>
      <c r="Q539" s="33">
        <f>IF(O539="","",IFERROR(INDEX(Cl_nom,MATCH(O539,Cl_cle,0)),"(client introuvable)"))</f>
        <v/>
      </c>
      <c r="R539" s="40">
        <f>IF(O539="","",IFERROR(INDEX(Cl_reste,MATCH(O539,Cl_cle,0)),""))</f>
        <v/>
      </c>
      <c r="S539" s="34">
        <f>IF(C539="","",YEAR(C539-WEEKDAY(C539,2)+4)&amp;"-S"&amp;TEXT(INT((C539-DATE(YEAR(C539-WEEKDAY(C539,2)+4),1,3)+WEEKDAY(DATE(YEAR(C539-WEEKDAY(C539,2)+4),1,3),2)+5)/7),"00"))</f>
        <v/>
      </c>
    </row>
    <row r="540" ht="18" customHeight="1">
      <c r="A540" s="39" t="n">
        <v>535</v>
      </c>
      <c r="B540" s="33">
        <f>IF(C540="","",IF(L540="À RENSEIGNER","GIC",L540)&amp;"-E"&amp;TEXT(A540,"00000"))</f>
        <v/>
      </c>
      <c r="C540" s="32" t="n"/>
      <c r="D540" s="36" t="n"/>
      <c r="E540" s="37" t="n"/>
      <c r="F540" s="36" t="n"/>
      <c r="G540" s="44" t="n"/>
      <c r="H540" s="43" t="n"/>
      <c r="I540" s="32" t="n"/>
      <c r="J540" s="44" t="n"/>
      <c r="K540" s="36" t="n"/>
      <c r="L540" s="33">
        <f>IF(C540="","",Commercial_Id)</f>
        <v/>
      </c>
      <c r="M540" s="34">
        <f>IF(OR(C540="",F540=""),"",IF(F540&lt;&gt;"Espèces","—",IF(I540&lt;&gt;"","☑ Oui","☐ Non")))</f>
        <v/>
      </c>
      <c r="N540" s="39">
        <f>IF(D540="","",IFERROR(VALUE(MID(D540,LEN(D540)-3,3)),""))</f>
        <v/>
      </c>
      <c r="O540" s="33">
        <f>IF(N540="","",L540&amp;"|"&amp;N540)</f>
        <v/>
      </c>
      <c r="P540" s="33">
        <f>IF(N540="","",IF(L540="À RENSEIGNER","GIC",L540)&amp;"-"&amp;TEXT(N540,"000"))</f>
        <v/>
      </c>
      <c r="Q540" s="33">
        <f>IF(O540="","",IFERROR(INDEX(Cl_nom,MATCH(O540,Cl_cle,0)),"(client introuvable)"))</f>
        <v/>
      </c>
      <c r="R540" s="40">
        <f>IF(O540="","",IFERROR(INDEX(Cl_reste,MATCH(O540,Cl_cle,0)),""))</f>
        <v/>
      </c>
      <c r="S540" s="34">
        <f>IF(C540="","",YEAR(C540-WEEKDAY(C540,2)+4)&amp;"-S"&amp;TEXT(INT((C540-DATE(YEAR(C540-WEEKDAY(C540,2)+4),1,3)+WEEKDAY(DATE(YEAR(C540-WEEKDAY(C540,2)+4),1,3),2)+5)/7),"00"))</f>
        <v/>
      </c>
    </row>
    <row r="541" ht="18" customHeight="1">
      <c r="A541" s="39" t="n">
        <v>536</v>
      </c>
      <c r="B541" s="33">
        <f>IF(C541="","",IF(L541="À RENSEIGNER","GIC",L541)&amp;"-E"&amp;TEXT(A541,"00000"))</f>
        <v/>
      </c>
      <c r="C541" s="32" t="n"/>
      <c r="D541" s="36" t="n"/>
      <c r="E541" s="37" t="n"/>
      <c r="F541" s="36" t="n"/>
      <c r="G541" s="44" t="n"/>
      <c r="H541" s="43" t="n"/>
      <c r="I541" s="32" t="n"/>
      <c r="J541" s="44" t="n"/>
      <c r="K541" s="36" t="n"/>
      <c r="L541" s="33">
        <f>IF(C541="","",Commercial_Id)</f>
        <v/>
      </c>
      <c r="M541" s="34">
        <f>IF(OR(C541="",F541=""),"",IF(F541&lt;&gt;"Espèces","—",IF(I541&lt;&gt;"","☑ Oui","☐ Non")))</f>
        <v/>
      </c>
      <c r="N541" s="39">
        <f>IF(D541="","",IFERROR(VALUE(MID(D541,LEN(D541)-3,3)),""))</f>
        <v/>
      </c>
      <c r="O541" s="33">
        <f>IF(N541="","",L541&amp;"|"&amp;N541)</f>
        <v/>
      </c>
      <c r="P541" s="33">
        <f>IF(N541="","",IF(L541="À RENSEIGNER","GIC",L541)&amp;"-"&amp;TEXT(N541,"000"))</f>
        <v/>
      </c>
      <c r="Q541" s="33">
        <f>IF(O541="","",IFERROR(INDEX(Cl_nom,MATCH(O541,Cl_cle,0)),"(client introuvable)"))</f>
        <v/>
      </c>
      <c r="R541" s="40">
        <f>IF(O541="","",IFERROR(INDEX(Cl_reste,MATCH(O541,Cl_cle,0)),""))</f>
        <v/>
      </c>
      <c r="S541" s="34">
        <f>IF(C541="","",YEAR(C541-WEEKDAY(C541,2)+4)&amp;"-S"&amp;TEXT(INT((C541-DATE(YEAR(C541-WEEKDAY(C541,2)+4),1,3)+WEEKDAY(DATE(YEAR(C541-WEEKDAY(C541,2)+4),1,3),2)+5)/7),"00"))</f>
        <v/>
      </c>
    </row>
    <row r="542" ht="18" customHeight="1">
      <c r="A542" s="39" t="n">
        <v>537</v>
      </c>
      <c r="B542" s="33">
        <f>IF(C542="","",IF(L542="À RENSEIGNER","GIC",L542)&amp;"-E"&amp;TEXT(A542,"00000"))</f>
        <v/>
      </c>
      <c r="C542" s="32" t="n"/>
      <c r="D542" s="36" t="n"/>
      <c r="E542" s="37" t="n"/>
      <c r="F542" s="36" t="n"/>
      <c r="G542" s="44" t="n"/>
      <c r="H542" s="43" t="n"/>
      <c r="I542" s="32" t="n"/>
      <c r="J542" s="44" t="n"/>
      <c r="K542" s="36" t="n"/>
      <c r="L542" s="33">
        <f>IF(C542="","",Commercial_Id)</f>
        <v/>
      </c>
      <c r="M542" s="34">
        <f>IF(OR(C542="",F542=""),"",IF(F542&lt;&gt;"Espèces","—",IF(I542&lt;&gt;"","☑ Oui","☐ Non")))</f>
        <v/>
      </c>
      <c r="N542" s="39">
        <f>IF(D542="","",IFERROR(VALUE(MID(D542,LEN(D542)-3,3)),""))</f>
        <v/>
      </c>
      <c r="O542" s="33">
        <f>IF(N542="","",L542&amp;"|"&amp;N542)</f>
        <v/>
      </c>
      <c r="P542" s="33">
        <f>IF(N542="","",IF(L542="À RENSEIGNER","GIC",L542)&amp;"-"&amp;TEXT(N542,"000"))</f>
        <v/>
      </c>
      <c r="Q542" s="33">
        <f>IF(O542="","",IFERROR(INDEX(Cl_nom,MATCH(O542,Cl_cle,0)),"(client introuvable)"))</f>
        <v/>
      </c>
      <c r="R542" s="40">
        <f>IF(O542="","",IFERROR(INDEX(Cl_reste,MATCH(O542,Cl_cle,0)),""))</f>
        <v/>
      </c>
      <c r="S542" s="34">
        <f>IF(C542="","",YEAR(C542-WEEKDAY(C542,2)+4)&amp;"-S"&amp;TEXT(INT((C542-DATE(YEAR(C542-WEEKDAY(C542,2)+4),1,3)+WEEKDAY(DATE(YEAR(C542-WEEKDAY(C542,2)+4),1,3),2)+5)/7),"00"))</f>
        <v/>
      </c>
    </row>
    <row r="543" ht="18" customHeight="1">
      <c r="A543" s="39" t="n">
        <v>538</v>
      </c>
      <c r="B543" s="33">
        <f>IF(C543="","",IF(L543="À RENSEIGNER","GIC",L543)&amp;"-E"&amp;TEXT(A543,"00000"))</f>
        <v/>
      </c>
      <c r="C543" s="32" t="n"/>
      <c r="D543" s="36" t="n"/>
      <c r="E543" s="37" t="n"/>
      <c r="F543" s="36" t="n"/>
      <c r="G543" s="44" t="n"/>
      <c r="H543" s="43" t="n"/>
      <c r="I543" s="32" t="n"/>
      <c r="J543" s="44" t="n"/>
      <c r="K543" s="36" t="n"/>
      <c r="L543" s="33">
        <f>IF(C543="","",Commercial_Id)</f>
        <v/>
      </c>
      <c r="M543" s="34">
        <f>IF(OR(C543="",F543=""),"",IF(F543&lt;&gt;"Espèces","—",IF(I543&lt;&gt;"","☑ Oui","☐ Non")))</f>
        <v/>
      </c>
      <c r="N543" s="39">
        <f>IF(D543="","",IFERROR(VALUE(MID(D543,LEN(D543)-3,3)),""))</f>
        <v/>
      </c>
      <c r="O543" s="33">
        <f>IF(N543="","",L543&amp;"|"&amp;N543)</f>
        <v/>
      </c>
      <c r="P543" s="33">
        <f>IF(N543="","",IF(L543="À RENSEIGNER","GIC",L543)&amp;"-"&amp;TEXT(N543,"000"))</f>
        <v/>
      </c>
      <c r="Q543" s="33">
        <f>IF(O543="","",IFERROR(INDEX(Cl_nom,MATCH(O543,Cl_cle,0)),"(client introuvable)"))</f>
        <v/>
      </c>
      <c r="R543" s="40">
        <f>IF(O543="","",IFERROR(INDEX(Cl_reste,MATCH(O543,Cl_cle,0)),""))</f>
        <v/>
      </c>
      <c r="S543" s="34">
        <f>IF(C543="","",YEAR(C543-WEEKDAY(C543,2)+4)&amp;"-S"&amp;TEXT(INT((C543-DATE(YEAR(C543-WEEKDAY(C543,2)+4),1,3)+WEEKDAY(DATE(YEAR(C543-WEEKDAY(C543,2)+4),1,3),2)+5)/7),"00"))</f>
        <v/>
      </c>
    </row>
    <row r="544" ht="18" customHeight="1">
      <c r="A544" s="39" t="n">
        <v>539</v>
      </c>
      <c r="B544" s="33">
        <f>IF(C544="","",IF(L544="À RENSEIGNER","GIC",L544)&amp;"-E"&amp;TEXT(A544,"00000"))</f>
        <v/>
      </c>
      <c r="C544" s="32" t="n"/>
      <c r="D544" s="36" t="n"/>
      <c r="E544" s="37" t="n"/>
      <c r="F544" s="36" t="n"/>
      <c r="G544" s="44" t="n"/>
      <c r="H544" s="43" t="n"/>
      <c r="I544" s="32" t="n"/>
      <c r="J544" s="44" t="n"/>
      <c r="K544" s="36" t="n"/>
      <c r="L544" s="33">
        <f>IF(C544="","",Commercial_Id)</f>
        <v/>
      </c>
      <c r="M544" s="34">
        <f>IF(OR(C544="",F544=""),"",IF(F544&lt;&gt;"Espèces","—",IF(I544&lt;&gt;"","☑ Oui","☐ Non")))</f>
        <v/>
      </c>
      <c r="N544" s="39">
        <f>IF(D544="","",IFERROR(VALUE(MID(D544,LEN(D544)-3,3)),""))</f>
        <v/>
      </c>
      <c r="O544" s="33">
        <f>IF(N544="","",L544&amp;"|"&amp;N544)</f>
        <v/>
      </c>
      <c r="P544" s="33">
        <f>IF(N544="","",IF(L544="À RENSEIGNER","GIC",L544)&amp;"-"&amp;TEXT(N544,"000"))</f>
        <v/>
      </c>
      <c r="Q544" s="33">
        <f>IF(O544="","",IFERROR(INDEX(Cl_nom,MATCH(O544,Cl_cle,0)),"(client introuvable)"))</f>
        <v/>
      </c>
      <c r="R544" s="40">
        <f>IF(O544="","",IFERROR(INDEX(Cl_reste,MATCH(O544,Cl_cle,0)),""))</f>
        <v/>
      </c>
      <c r="S544" s="34">
        <f>IF(C544="","",YEAR(C544-WEEKDAY(C544,2)+4)&amp;"-S"&amp;TEXT(INT((C544-DATE(YEAR(C544-WEEKDAY(C544,2)+4),1,3)+WEEKDAY(DATE(YEAR(C544-WEEKDAY(C544,2)+4),1,3),2)+5)/7),"00"))</f>
        <v/>
      </c>
    </row>
    <row r="545" ht="18" customHeight="1">
      <c r="A545" s="39" t="n">
        <v>540</v>
      </c>
      <c r="B545" s="33">
        <f>IF(C545="","",IF(L545="À RENSEIGNER","GIC",L545)&amp;"-E"&amp;TEXT(A545,"00000"))</f>
        <v/>
      </c>
      <c r="C545" s="32" t="n"/>
      <c r="D545" s="36" t="n"/>
      <c r="E545" s="37" t="n"/>
      <c r="F545" s="36" t="n"/>
      <c r="G545" s="44" t="n"/>
      <c r="H545" s="43" t="n"/>
      <c r="I545" s="32" t="n"/>
      <c r="J545" s="44" t="n"/>
      <c r="K545" s="36" t="n"/>
      <c r="L545" s="33">
        <f>IF(C545="","",Commercial_Id)</f>
        <v/>
      </c>
      <c r="M545" s="34">
        <f>IF(OR(C545="",F545=""),"",IF(F545&lt;&gt;"Espèces","—",IF(I545&lt;&gt;"","☑ Oui","☐ Non")))</f>
        <v/>
      </c>
      <c r="N545" s="39">
        <f>IF(D545="","",IFERROR(VALUE(MID(D545,LEN(D545)-3,3)),""))</f>
        <v/>
      </c>
      <c r="O545" s="33">
        <f>IF(N545="","",L545&amp;"|"&amp;N545)</f>
        <v/>
      </c>
      <c r="P545" s="33">
        <f>IF(N545="","",IF(L545="À RENSEIGNER","GIC",L545)&amp;"-"&amp;TEXT(N545,"000"))</f>
        <v/>
      </c>
      <c r="Q545" s="33">
        <f>IF(O545="","",IFERROR(INDEX(Cl_nom,MATCH(O545,Cl_cle,0)),"(client introuvable)"))</f>
        <v/>
      </c>
      <c r="R545" s="40">
        <f>IF(O545="","",IFERROR(INDEX(Cl_reste,MATCH(O545,Cl_cle,0)),""))</f>
        <v/>
      </c>
      <c r="S545" s="34">
        <f>IF(C545="","",YEAR(C545-WEEKDAY(C545,2)+4)&amp;"-S"&amp;TEXT(INT((C545-DATE(YEAR(C545-WEEKDAY(C545,2)+4),1,3)+WEEKDAY(DATE(YEAR(C545-WEEKDAY(C545,2)+4),1,3),2)+5)/7),"00"))</f>
        <v/>
      </c>
    </row>
    <row r="546" ht="18" customHeight="1">
      <c r="A546" s="39" t="n">
        <v>541</v>
      </c>
      <c r="B546" s="33">
        <f>IF(C546="","",IF(L546="À RENSEIGNER","GIC",L546)&amp;"-E"&amp;TEXT(A546,"00000"))</f>
        <v/>
      </c>
      <c r="C546" s="32" t="n"/>
      <c r="D546" s="36" t="n"/>
      <c r="E546" s="37" t="n"/>
      <c r="F546" s="36" t="n"/>
      <c r="G546" s="44" t="n"/>
      <c r="H546" s="43" t="n"/>
      <c r="I546" s="32" t="n"/>
      <c r="J546" s="44" t="n"/>
      <c r="K546" s="36" t="n"/>
      <c r="L546" s="33">
        <f>IF(C546="","",Commercial_Id)</f>
        <v/>
      </c>
      <c r="M546" s="34">
        <f>IF(OR(C546="",F546=""),"",IF(F546&lt;&gt;"Espèces","—",IF(I546&lt;&gt;"","☑ Oui","☐ Non")))</f>
        <v/>
      </c>
      <c r="N546" s="39">
        <f>IF(D546="","",IFERROR(VALUE(MID(D546,LEN(D546)-3,3)),""))</f>
        <v/>
      </c>
      <c r="O546" s="33">
        <f>IF(N546="","",L546&amp;"|"&amp;N546)</f>
        <v/>
      </c>
      <c r="P546" s="33">
        <f>IF(N546="","",IF(L546="À RENSEIGNER","GIC",L546)&amp;"-"&amp;TEXT(N546,"000"))</f>
        <v/>
      </c>
      <c r="Q546" s="33">
        <f>IF(O546="","",IFERROR(INDEX(Cl_nom,MATCH(O546,Cl_cle,0)),"(client introuvable)"))</f>
        <v/>
      </c>
      <c r="R546" s="40">
        <f>IF(O546="","",IFERROR(INDEX(Cl_reste,MATCH(O546,Cl_cle,0)),""))</f>
        <v/>
      </c>
      <c r="S546" s="34">
        <f>IF(C546="","",YEAR(C546-WEEKDAY(C546,2)+4)&amp;"-S"&amp;TEXT(INT((C546-DATE(YEAR(C546-WEEKDAY(C546,2)+4),1,3)+WEEKDAY(DATE(YEAR(C546-WEEKDAY(C546,2)+4),1,3),2)+5)/7),"00"))</f>
        <v/>
      </c>
    </row>
    <row r="547" ht="18" customHeight="1">
      <c r="A547" s="39" t="n">
        <v>542</v>
      </c>
      <c r="B547" s="33">
        <f>IF(C547="","",IF(L547="À RENSEIGNER","GIC",L547)&amp;"-E"&amp;TEXT(A547,"00000"))</f>
        <v/>
      </c>
      <c r="C547" s="32" t="n"/>
      <c r="D547" s="36" t="n"/>
      <c r="E547" s="37" t="n"/>
      <c r="F547" s="36" t="n"/>
      <c r="G547" s="44" t="n"/>
      <c r="H547" s="43" t="n"/>
      <c r="I547" s="32" t="n"/>
      <c r="J547" s="44" t="n"/>
      <c r="K547" s="36" t="n"/>
      <c r="L547" s="33">
        <f>IF(C547="","",Commercial_Id)</f>
        <v/>
      </c>
      <c r="M547" s="34">
        <f>IF(OR(C547="",F547=""),"",IF(F547&lt;&gt;"Espèces","—",IF(I547&lt;&gt;"","☑ Oui","☐ Non")))</f>
        <v/>
      </c>
      <c r="N547" s="39">
        <f>IF(D547="","",IFERROR(VALUE(MID(D547,LEN(D547)-3,3)),""))</f>
        <v/>
      </c>
      <c r="O547" s="33">
        <f>IF(N547="","",L547&amp;"|"&amp;N547)</f>
        <v/>
      </c>
      <c r="P547" s="33">
        <f>IF(N547="","",IF(L547="À RENSEIGNER","GIC",L547)&amp;"-"&amp;TEXT(N547,"000"))</f>
        <v/>
      </c>
      <c r="Q547" s="33">
        <f>IF(O547="","",IFERROR(INDEX(Cl_nom,MATCH(O547,Cl_cle,0)),"(client introuvable)"))</f>
        <v/>
      </c>
      <c r="R547" s="40">
        <f>IF(O547="","",IFERROR(INDEX(Cl_reste,MATCH(O547,Cl_cle,0)),""))</f>
        <v/>
      </c>
      <c r="S547" s="34">
        <f>IF(C547="","",YEAR(C547-WEEKDAY(C547,2)+4)&amp;"-S"&amp;TEXT(INT((C547-DATE(YEAR(C547-WEEKDAY(C547,2)+4),1,3)+WEEKDAY(DATE(YEAR(C547-WEEKDAY(C547,2)+4),1,3),2)+5)/7),"00"))</f>
        <v/>
      </c>
    </row>
    <row r="548" ht="18" customHeight="1">
      <c r="A548" s="39" t="n">
        <v>543</v>
      </c>
      <c r="B548" s="33">
        <f>IF(C548="","",IF(L548="À RENSEIGNER","GIC",L548)&amp;"-E"&amp;TEXT(A548,"00000"))</f>
        <v/>
      </c>
      <c r="C548" s="32" t="n"/>
      <c r="D548" s="36" t="n"/>
      <c r="E548" s="37" t="n"/>
      <c r="F548" s="36" t="n"/>
      <c r="G548" s="44" t="n"/>
      <c r="H548" s="43" t="n"/>
      <c r="I548" s="32" t="n"/>
      <c r="J548" s="44" t="n"/>
      <c r="K548" s="36" t="n"/>
      <c r="L548" s="33">
        <f>IF(C548="","",Commercial_Id)</f>
        <v/>
      </c>
      <c r="M548" s="34">
        <f>IF(OR(C548="",F548=""),"",IF(F548&lt;&gt;"Espèces","—",IF(I548&lt;&gt;"","☑ Oui","☐ Non")))</f>
        <v/>
      </c>
      <c r="N548" s="39">
        <f>IF(D548="","",IFERROR(VALUE(MID(D548,LEN(D548)-3,3)),""))</f>
        <v/>
      </c>
      <c r="O548" s="33">
        <f>IF(N548="","",L548&amp;"|"&amp;N548)</f>
        <v/>
      </c>
      <c r="P548" s="33">
        <f>IF(N548="","",IF(L548="À RENSEIGNER","GIC",L548)&amp;"-"&amp;TEXT(N548,"000"))</f>
        <v/>
      </c>
      <c r="Q548" s="33">
        <f>IF(O548="","",IFERROR(INDEX(Cl_nom,MATCH(O548,Cl_cle,0)),"(client introuvable)"))</f>
        <v/>
      </c>
      <c r="R548" s="40">
        <f>IF(O548="","",IFERROR(INDEX(Cl_reste,MATCH(O548,Cl_cle,0)),""))</f>
        <v/>
      </c>
      <c r="S548" s="34">
        <f>IF(C548="","",YEAR(C548-WEEKDAY(C548,2)+4)&amp;"-S"&amp;TEXT(INT((C548-DATE(YEAR(C548-WEEKDAY(C548,2)+4),1,3)+WEEKDAY(DATE(YEAR(C548-WEEKDAY(C548,2)+4),1,3),2)+5)/7),"00"))</f>
        <v/>
      </c>
    </row>
    <row r="549" ht="18" customHeight="1">
      <c r="A549" s="39" t="n">
        <v>544</v>
      </c>
      <c r="B549" s="33">
        <f>IF(C549="","",IF(L549="À RENSEIGNER","GIC",L549)&amp;"-E"&amp;TEXT(A549,"00000"))</f>
        <v/>
      </c>
      <c r="C549" s="32" t="n"/>
      <c r="D549" s="36" t="n"/>
      <c r="E549" s="37" t="n"/>
      <c r="F549" s="36" t="n"/>
      <c r="G549" s="44" t="n"/>
      <c r="H549" s="43" t="n"/>
      <c r="I549" s="32" t="n"/>
      <c r="J549" s="44" t="n"/>
      <c r="K549" s="36" t="n"/>
      <c r="L549" s="33">
        <f>IF(C549="","",Commercial_Id)</f>
        <v/>
      </c>
      <c r="M549" s="34">
        <f>IF(OR(C549="",F549=""),"",IF(F549&lt;&gt;"Espèces","—",IF(I549&lt;&gt;"","☑ Oui","☐ Non")))</f>
        <v/>
      </c>
      <c r="N549" s="39">
        <f>IF(D549="","",IFERROR(VALUE(MID(D549,LEN(D549)-3,3)),""))</f>
        <v/>
      </c>
      <c r="O549" s="33">
        <f>IF(N549="","",L549&amp;"|"&amp;N549)</f>
        <v/>
      </c>
      <c r="P549" s="33">
        <f>IF(N549="","",IF(L549="À RENSEIGNER","GIC",L549)&amp;"-"&amp;TEXT(N549,"000"))</f>
        <v/>
      </c>
      <c r="Q549" s="33">
        <f>IF(O549="","",IFERROR(INDEX(Cl_nom,MATCH(O549,Cl_cle,0)),"(client introuvable)"))</f>
        <v/>
      </c>
      <c r="R549" s="40">
        <f>IF(O549="","",IFERROR(INDEX(Cl_reste,MATCH(O549,Cl_cle,0)),""))</f>
        <v/>
      </c>
      <c r="S549" s="34">
        <f>IF(C549="","",YEAR(C549-WEEKDAY(C549,2)+4)&amp;"-S"&amp;TEXT(INT((C549-DATE(YEAR(C549-WEEKDAY(C549,2)+4),1,3)+WEEKDAY(DATE(YEAR(C549-WEEKDAY(C549,2)+4),1,3),2)+5)/7),"00"))</f>
        <v/>
      </c>
    </row>
    <row r="550" ht="18" customHeight="1">
      <c r="A550" s="39" t="n">
        <v>545</v>
      </c>
      <c r="B550" s="33">
        <f>IF(C550="","",IF(L550="À RENSEIGNER","GIC",L550)&amp;"-E"&amp;TEXT(A550,"00000"))</f>
        <v/>
      </c>
      <c r="C550" s="32" t="n"/>
      <c r="D550" s="36" t="n"/>
      <c r="E550" s="37" t="n"/>
      <c r="F550" s="36" t="n"/>
      <c r="G550" s="44" t="n"/>
      <c r="H550" s="43" t="n"/>
      <c r="I550" s="32" t="n"/>
      <c r="J550" s="44" t="n"/>
      <c r="K550" s="36" t="n"/>
      <c r="L550" s="33">
        <f>IF(C550="","",Commercial_Id)</f>
        <v/>
      </c>
      <c r="M550" s="34">
        <f>IF(OR(C550="",F550=""),"",IF(F550&lt;&gt;"Espèces","—",IF(I550&lt;&gt;"","☑ Oui","☐ Non")))</f>
        <v/>
      </c>
      <c r="N550" s="39">
        <f>IF(D550="","",IFERROR(VALUE(MID(D550,LEN(D550)-3,3)),""))</f>
        <v/>
      </c>
      <c r="O550" s="33">
        <f>IF(N550="","",L550&amp;"|"&amp;N550)</f>
        <v/>
      </c>
      <c r="P550" s="33">
        <f>IF(N550="","",IF(L550="À RENSEIGNER","GIC",L550)&amp;"-"&amp;TEXT(N550,"000"))</f>
        <v/>
      </c>
      <c r="Q550" s="33">
        <f>IF(O550="","",IFERROR(INDEX(Cl_nom,MATCH(O550,Cl_cle,0)),"(client introuvable)"))</f>
        <v/>
      </c>
      <c r="R550" s="40">
        <f>IF(O550="","",IFERROR(INDEX(Cl_reste,MATCH(O550,Cl_cle,0)),""))</f>
        <v/>
      </c>
      <c r="S550" s="34">
        <f>IF(C550="","",YEAR(C550-WEEKDAY(C550,2)+4)&amp;"-S"&amp;TEXT(INT((C550-DATE(YEAR(C550-WEEKDAY(C550,2)+4),1,3)+WEEKDAY(DATE(YEAR(C550-WEEKDAY(C550,2)+4),1,3),2)+5)/7),"00"))</f>
        <v/>
      </c>
    </row>
    <row r="551" ht="18" customHeight="1">
      <c r="A551" s="39" t="n">
        <v>546</v>
      </c>
      <c r="B551" s="33">
        <f>IF(C551="","",IF(L551="À RENSEIGNER","GIC",L551)&amp;"-E"&amp;TEXT(A551,"00000"))</f>
        <v/>
      </c>
      <c r="C551" s="32" t="n"/>
      <c r="D551" s="36" t="n"/>
      <c r="E551" s="37" t="n"/>
      <c r="F551" s="36" t="n"/>
      <c r="G551" s="44" t="n"/>
      <c r="H551" s="43" t="n"/>
      <c r="I551" s="32" t="n"/>
      <c r="J551" s="44" t="n"/>
      <c r="K551" s="36" t="n"/>
      <c r="L551" s="33">
        <f>IF(C551="","",Commercial_Id)</f>
        <v/>
      </c>
      <c r="M551" s="34">
        <f>IF(OR(C551="",F551=""),"",IF(F551&lt;&gt;"Espèces","—",IF(I551&lt;&gt;"","☑ Oui","☐ Non")))</f>
        <v/>
      </c>
      <c r="N551" s="39">
        <f>IF(D551="","",IFERROR(VALUE(MID(D551,LEN(D551)-3,3)),""))</f>
        <v/>
      </c>
      <c r="O551" s="33">
        <f>IF(N551="","",L551&amp;"|"&amp;N551)</f>
        <v/>
      </c>
      <c r="P551" s="33">
        <f>IF(N551="","",IF(L551="À RENSEIGNER","GIC",L551)&amp;"-"&amp;TEXT(N551,"000"))</f>
        <v/>
      </c>
      <c r="Q551" s="33">
        <f>IF(O551="","",IFERROR(INDEX(Cl_nom,MATCH(O551,Cl_cle,0)),"(client introuvable)"))</f>
        <v/>
      </c>
      <c r="R551" s="40">
        <f>IF(O551="","",IFERROR(INDEX(Cl_reste,MATCH(O551,Cl_cle,0)),""))</f>
        <v/>
      </c>
      <c r="S551" s="34">
        <f>IF(C551="","",YEAR(C551-WEEKDAY(C551,2)+4)&amp;"-S"&amp;TEXT(INT((C551-DATE(YEAR(C551-WEEKDAY(C551,2)+4),1,3)+WEEKDAY(DATE(YEAR(C551-WEEKDAY(C551,2)+4),1,3),2)+5)/7),"00"))</f>
        <v/>
      </c>
    </row>
    <row r="552" ht="18" customHeight="1">
      <c r="A552" s="39" t="n">
        <v>547</v>
      </c>
      <c r="B552" s="33">
        <f>IF(C552="","",IF(L552="À RENSEIGNER","GIC",L552)&amp;"-E"&amp;TEXT(A552,"00000"))</f>
        <v/>
      </c>
      <c r="C552" s="32" t="n"/>
      <c r="D552" s="36" t="n"/>
      <c r="E552" s="37" t="n"/>
      <c r="F552" s="36" t="n"/>
      <c r="G552" s="44" t="n"/>
      <c r="H552" s="43" t="n"/>
      <c r="I552" s="32" t="n"/>
      <c r="J552" s="44" t="n"/>
      <c r="K552" s="36" t="n"/>
      <c r="L552" s="33">
        <f>IF(C552="","",Commercial_Id)</f>
        <v/>
      </c>
      <c r="M552" s="34">
        <f>IF(OR(C552="",F552=""),"",IF(F552&lt;&gt;"Espèces","—",IF(I552&lt;&gt;"","☑ Oui","☐ Non")))</f>
        <v/>
      </c>
      <c r="N552" s="39">
        <f>IF(D552="","",IFERROR(VALUE(MID(D552,LEN(D552)-3,3)),""))</f>
        <v/>
      </c>
      <c r="O552" s="33">
        <f>IF(N552="","",L552&amp;"|"&amp;N552)</f>
        <v/>
      </c>
      <c r="P552" s="33">
        <f>IF(N552="","",IF(L552="À RENSEIGNER","GIC",L552)&amp;"-"&amp;TEXT(N552,"000"))</f>
        <v/>
      </c>
      <c r="Q552" s="33">
        <f>IF(O552="","",IFERROR(INDEX(Cl_nom,MATCH(O552,Cl_cle,0)),"(client introuvable)"))</f>
        <v/>
      </c>
      <c r="R552" s="40">
        <f>IF(O552="","",IFERROR(INDEX(Cl_reste,MATCH(O552,Cl_cle,0)),""))</f>
        <v/>
      </c>
      <c r="S552" s="34">
        <f>IF(C552="","",YEAR(C552-WEEKDAY(C552,2)+4)&amp;"-S"&amp;TEXT(INT((C552-DATE(YEAR(C552-WEEKDAY(C552,2)+4),1,3)+WEEKDAY(DATE(YEAR(C552-WEEKDAY(C552,2)+4),1,3),2)+5)/7),"00"))</f>
        <v/>
      </c>
    </row>
    <row r="553" ht="18" customHeight="1">
      <c r="A553" s="39" t="n">
        <v>548</v>
      </c>
      <c r="B553" s="33">
        <f>IF(C553="","",IF(L553="À RENSEIGNER","GIC",L553)&amp;"-E"&amp;TEXT(A553,"00000"))</f>
        <v/>
      </c>
      <c r="C553" s="32" t="n"/>
      <c r="D553" s="36" t="n"/>
      <c r="E553" s="37" t="n"/>
      <c r="F553" s="36" t="n"/>
      <c r="G553" s="44" t="n"/>
      <c r="H553" s="43" t="n"/>
      <c r="I553" s="32" t="n"/>
      <c r="J553" s="44" t="n"/>
      <c r="K553" s="36" t="n"/>
      <c r="L553" s="33">
        <f>IF(C553="","",Commercial_Id)</f>
        <v/>
      </c>
      <c r="M553" s="34">
        <f>IF(OR(C553="",F553=""),"",IF(F553&lt;&gt;"Espèces","—",IF(I553&lt;&gt;"","☑ Oui","☐ Non")))</f>
        <v/>
      </c>
      <c r="N553" s="39">
        <f>IF(D553="","",IFERROR(VALUE(MID(D553,LEN(D553)-3,3)),""))</f>
        <v/>
      </c>
      <c r="O553" s="33">
        <f>IF(N553="","",L553&amp;"|"&amp;N553)</f>
        <v/>
      </c>
      <c r="P553" s="33">
        <f>IF(N553="","",IF(L553="À RENSEIGNER","GIC",L553)&amp;"-"&amp;TEXT(N553,"000"))</f>
        <v/>
      </c>
      <c r="Q553" s="33">
        <f>IF(O553="","",IFERROR(INDEX(Cl_nom,MATCH(O553,Cl_cle,0)),"(client introuvable)"))</f>
        <v/>
      </c>
      <c r="R553" s="40">
        <f>IF(O553="","",IFERROR(INDEX(Cl_reste,MATCH(O553,Cl_cle,0)),""))</f>
        <v/>
      </c>
      <c r="S553" s="34">
        <f>IF(C553="","",YEAR(C553-WEEKDAY(C553,2)+4)&amp;"-S"&amp;TEXT(INT((C553-DATE(YEAR(C553-WEEKDAY(C553,2)+4),1,3)+WEEKDAY(DATE(YEAR(C553-WEEKDAY(C553,2)+4),1,3),2)+5)/7),"00"))</f>
        <v/>
      </c>
    </row>
    <row r="554" ht="18" customHeight="1">
      <c r="A554" s="39" t="n">
        <v>549</v>
      </c>
      <c r="B554" s="33">
        <f>IF(C554="","",IF(L554="À RENSEIGNER","GIC",L554)&amp;"-E"&amp;TEXT(A554,"00000"))</f>
        <v/>
      </c>
      <c r="C554" s="32" t="n"/>
      <c r="D554" s="36" t="n"/>
      <c r="E554" s="37" t="n"/>
      <c r="F554" s="36" t="n"/>
      <c r="G554" s="44" t="n"/>
      <c r="H554" s="43" t="n"/>
      <c r="I554" s="32" t="n"/>
      <c r="J554" s="44" t="n"/>
      <c r="K554" s="36" t="n"/>
      <c r="L554" s="33">
        <f>IF(C554="","",Commercial_Id)</f>
        <v/>
      </c>
      <c r="M554" s="34">
        <f>IF(OR(C554="",F554=""),"",IF(F554&lt;&gt;"Espèces","—",IF(I554&lt;&gt;"","☑ Oui","☐ Non")))</f>
        <v/>
      </c>
      <c r="N554" s="39">
        <f>IF(D554="","",IFERROR(VALUE(MID(D554,LEN(D554)-3,3)),""))</f>
        <v/>
      </c>
      <c r="O554" s="33">
        <f>IF(N554="","",L554&amp;"|"&amp;N554)</f>
        <v/>
      </c>
      <c r="P554" s="33">
        <f>IF(N554="","",IF(L554="À RENSEIGNER","GIC",L554)&amp;"-"&amp;TEXT(N554,"000"))</f>
        <v/>
      </c>
      <c r="Q554" s="33">
        <f>IF(O554="","",IFERROR(INDEX(Cl_nom,MATCH(O554,Cl_cle,0)),"(client introuvable)"))</f>
        <v/>
      </c>
      <c r="R554" s="40">
        <f>IF(O554="","",IFERROR(INDEX(Cl_reste,MATCH(O554,Cl_cle,0)),""))</f>
        <v/>
      </c>
      <c r="S554" s="34">
        <f>IF(C554="","",YEAR(C554-WEEKDAY(C554,2)+4)&amp;"-S"&amp;TEXT(INT((C554-DATE(YEAR(C554-WEEKDAY(C554,2)+4),1,3)+WEEKDAY(DATE(YEAR(C554-WEEKDAY(C554,2)+4),1,3),2)+5)/7),"00"))</f>
        <v/>
      </c>
    </row>
    <row r="555" ht="18" customHeight="1">
      <c r="A555" s="39" t="n">
        <v>550</v>
      </c>
      <c r="B555" s="33">
        <f>IF(C555="","",IF(L555="À RENSEIGNER","GIC",L555)&amp;"-E"&amp;TEXT(A555,"00000"))</f>
        <v/>
      </c>
      <c r="C555" s="32" t="n"/>
      <c r="D555" s="36" t="n"/>
      <c r="E555" s="37" t="n"/>
      <c r="F555" s="36" t="n"/>
      <c r="G555" s="44" t="n"/>
      <c r="H555" s="43" t="n"/>
      <c r="I555" s="32" t="n"/>
      <c r="J555" s="44" t="n"/>
      <c r="K555" s="36" t="n"/>
      <c r="L555" s="33">
        <f>IF(C555="","",Commercial_Id)</f>
        <v/>
      </c>
      <c r="M555" s="34">
        <f>IF(OR(C555="",F555=""),"",IF(F555&lt;&gt;"Espèces","—",IF(I555&lt;&gt;"","☑ Oui","☐ Non")))</f>
        <v/>
      </c>
      <c r="N555" s="39">
        <f>IF(D555="","",IFERROR(VALUE(MID(D555,LEN(D555)-3,3)),""))</f>
        <v/>
      </c>
      <c r="O555" s="33">
        <f>IF(N555="","",L555&amp;"|"&amp;N555)</f>
        <v/>
      </c>
      <c r="P555" s="33">
        <f>IF(N555="","",IF(L555="À RENSEIGNER","GIC",L555)&amp;"-"&amp;TEXT(N555,"000"))</f>
        <v/>
      </c>
      <c r="Q555" s="33">
        <f>IF(O555="","",IFERROR(INDEX(Cl_nom,MATCH(O555,Cl_cle,0)),"(client introuvable)"))</f>
        <v/>
      </c>
      <c r="R555" s="40">
        <f>IF(O555="","",IFERROR(INDEX(Cl_reste,MATCH(O555,Cl_cle,0)),""))</f>
        <v/>
      </c>
      <c r="S555" s="34">
        <f>IF(C555="","",YEAR(C555-WEEKDAY(C555,2)+4)&amp;"-S"&amp;TEXT(INT((C555-DATE(YEAR(C555-WEEKDAY(C555,2)+4),1,3)+WEEKDAY(DATE(YEAR(C555-WEEKDAY(C555,2)+4),1,3),2)+5)/7),"00"))</f>
        <v/>
      </c>
    </row>
    <row r="556" ht="18" customHeight="1">
      <c r="A556" s="39" t="n">
        <v>551</v>
      </c>
      <c r="B556" s="33">
        <f>IF(C556="","",IF(L556="À RENSEIGNER","GIC",L556)&amp;"-E"&amp;TEXT(A556,"00000"))</f>
        <v/>
      </c>
      <c r="C556" s="32" t="n"/>
      <c r="D556" s="36" t="n"/>
      <c r="E556" s="37" t="n"/>
      <c r="F556" s="36" t="n"/>
      <c r="G556" s="44" t="n"/>
      <c r="H556" s="43" t="n"/>
      <c r="I556" s="32" t="n"/>
      <c r="J556" s="44" t="n"/>
      <c r="K556" s="36" t="n"/>
      <c r="L556" s="33">
        <f>IF(C556="","",Commercial_Id)</f>
        <v/>
      </c>
      <c r="M556" s="34">
        <f>IF(OR(C556="",F556=""),"",IF(F556&lt;&gt;"Espèces","—",IF(I556&lt;&gt;"","☑ Oui","☐ Non")))</f>
        <v/>
      </c>
      <c r="N556" s="39">
        <f>IF(D556="","",IFERROR(VALUE(MID(D556,LEN(D556)-3,3)),""))</f>
        <v/>
      </c>
      <c r="O556" s="33">
        <f>IF(N556="","",L556&amp;"|"&amp;N556)</f>
        <v/>
      </c>
      <c r="P556" s="33">
        <f>IF(N556="","",IF(L556="À RENSEIGNER","GIC",L556)&amp;"-"&amp;TEXT(N556,"000"))</f>
        <v/>
      </c>
      <c r="Q556" s="33">
        <f>IF(O556="","",IFERROR(INDEX(Cl_nom,MATCH(O556,Cl_cle,0)),"(client introuvable)"))</f>
        <v/>
      </c>
      <c r="R556" s="40">
        <f>IF(O556="","",IFERROR(INDEX(Cl_reste,MATCH(O556,Cl_cle,0)),""))</f>
        <v/>
      </c>
      <c r="S556" s="34">
        <f>IF(C556="","",YEAR(C556-WEEKDAY(C556,2)+4)&amp;"-S"&amp;TEXT(INT((C556-DATE(YEAR(C556-WEEKDAY(C556,2)+4),1,3)+WEEKDAY(DATE(YEAR(C556-WEEKDAY(C556,2)+4),1,3),2)+5)/7),"00"))</f>
        <v/>
      </c>
    </row>
    <row r="557" ht="18" customHeight="1">
      <c r="A557" s="39" t="n">
        <v>552</v>
      </c>
      <c r="B557" s="33">
        <f>IF(C557="","",IF(L557="À RENSEIGNER","GIC",L557)&amp;"-E"&amp;TEXT(A557,"00000"))</f>
        <v/>
      </c>
      <c r="C557" s="32" t="n"/>
      <c r="D557" s="36" t="n"/>
      <c r="E557" s="37" t="n"/>
      <c r="F557" s="36" t="n"/>
      <c r="G557" s="44" t="n"/>
      <c r="H557" s="43" t="n"/>
      <c r="I557" s="32" t="n"/>
      <c r="J557" s="44" t="n"/>
      <c r="K557" s="36" t="n"/>
      <c r="L557" s="33">
        <f>IF(C557="","",Commercial_Id)</f>
        <v/>
      </c>
      <c r="M557" s="34">
        <f>IF(OR(C557="",F557=""),"",IF(F557&lt;&gt;"Espèces","—",IF(I557&lt;&gt;"","☑ Oui","☐ Non")))</f>
        <v/>
      </c>
      <c r="N557" s="39">
        <f>IF(D557="","",IFERROR(VALUE(MID(D557,LEN(D557)-3,3)),""))</f>
        <v/>
      </c>
      <c r="O557" s="33">
        <f>IF(N557="","",L557&amp;"|"&amp;N557)</f>
        <v/>
      </c>
      <c r="P557" s="33">
        <f>IF(N557="","",IF(L557="À RENSEIGNER","GIC",L557)&amp;"-"&amp;TEXT(N557,"000"))</f>
        <v/>
      </c>
      <c r="Q557" s="33">
        <f>IF(O557="","",IFERROR(INDEX(Cl_nom,MATCH(O557,Cl_cle,0)),"(client introuvable)"))</f>
        <v/>
      </c>
      <c r="R557" s="40">
        <f>IF(O557="","",IFERROR(INDEX(Cl_reste,MATCH(O557,Cl_cle,0)),""))</f>
        <v/>
      </c>
      <c r="S557" s="34">
        <f>IF(C557="","",YEAR(C557-WEEKDAY(C557,2)+4)&amp;"-S"&amp;TEXT(INT((C557-DATE(YEAR(C557-WEEKDAY(C557,2)+4),1,3)+WEEKDAY(DATE(YEAR(C557-WEEKDAY(C557,2)+4),1,3),2)+5)/7),"00"))</f>
        <v/>
      </c>
    </row>
    <row r="558" ht="18" customHeight="1">
      <c r="A558" s="39" t="n">
        <v>553</v>
      </c>
      <c r="B558" s="33">
        <f>IF(C558="","",IF(L558="À RENSEIGNER","GIC",L558)&amp;"-E"&amp;TEXT(A558,"00000"))</f>
        <v/>
      </c>
      <c r="C558" s="32" t="n"/>
      <c r="D558" s="36" t="n"/>
      <c r="E558" s="37" t="n"/>
      <c r="F558" s="36" t="n"/>
      <c r="G558" s="44" t="n"/>
      <c r="H558" s="43" t="n"/>
      <c r="I558" s="32" t="n"/>
      <c r="J558" s="44" t="n"/>
      <c r="K558" s="36" t="n"/>
      <c r="L558" s="33">
        <f>IF(C558="","",Commercial_Id)</f>
        <v/>
      </c>
      <c r="M558" s="34">
        <f>IF(OR(C558="",F558=""),"",IF(F558&lt;&gt;"Espèces","—",IF(I558&lt;&gt;"","☑ Oui","☐ Non")))</f>
        <v/>
      </c>
      <c r="N558" s="39">
        <f>IF(D558="","",IFERROR(VALUE(MID(D558,LEN(D558)-3,3)),""))</f>
        <v/>
      </c>
      <c r="O558" s="33">
        <f>IF(N558="","",L558&amp;"|"&amp;N558)</f>
        <v/>
      </c>
      <c r="P558" s="33">
        <f>IF(N558="","",IF(L558="À RENSEIGNER","GIC",L558)&amp;"-"&amp;TEXT(N558,"000"))</f>
        <v/>
      </c>
      <c r="Q558" s="33">
        <f>IF(O558="","",IFERROR(INDEX(Cl_nom,MATCH(O558,Cl_cle,0)),"(client introuvable)"))</f>
        <v/>
      </c>
      <c r="R558" s="40">
        <f>IF(O558="","",IFERROR(INDEX(Cl_reste,MATCH(O558,Cl_cle,0)),""))</f>
        <v/>
      </c>
      <c r="S558" s="34">
        <f>IF(C558="","",YEAR(C558-WEEKDAY(C558,2)+4)&amp;"-S"&amp;TEXT(INT((C558-DATE(YEAR(C558-WEEKDAY(C558,2)+4),1,3)+WEEKDAY(DATE(YEAR(C558-WEEKDAY(C558,2)+4),1,3),2)+5)/7),"00"))</f>
        <v/>
      </c>
    </row>
    <row r="559" ht="18" customHeight="1">
      <c r="A559" s="39" t="n">
        <v>554</v>
      </c>
      <c r="B559" s="33">
        <f>IF(C559="","",IF(L559="À RENSEIGNER","GIC",L559)&amp;"-E"&amp;TEXT(A559,"00000"))</f>
        <v/>
      </c>
      <c r="C559" s="32" t="n"/>
      <c r="D559" s="36" t="n"/>
      <c r="E559" s="37" t="n"/>
      <c r="F559" s="36" t="n"/>
      <c r="G559" s="44" t="n"/>
      <c r="H559" s="43" t="n"/>
      <c r="I559" s="32" t="n"/>
      <c r="J559" s="44" t="n"/>
      <c r="K559" s="36" t="n"/>
      <c r="L559" s="33">
        <f>IF(C559="","",Commercial_Id)</f>
        <v/>
      </c>
      <c r="M559" s="34">
        <f>IF(OR(C559="",F559=""),"",IF(F559&lt;&gt;"Espèces","—",IF(I559&lt;&gt;"","☑ Oui","☐ Non")))</f>
        <v/>
      </c>
      <c r="N559" s="39">
        <f>IF(D559="","",IFERROR(VALUE(MID(D559,LEN(D559)-3,3)),""))</f>
        <v/>
      </c>
      <c r="O559" s="33">
        <f>IF(N559="","",L559&amp;"|"&amp;N559)</f>
        <v/>
      </c>
      <c r="P559" s="33">
        <f>IF(N559="","",IF(L559="À RENSEIGNER","GIC",L559)&amp;"-"&amp;TEXT(N559,"000"))</f>
        <v/>
      </c>
      <c r="Q559" s="33">
        <f>IF(O559="","",IFERROR(INDEX(Cl_nom,MATCH(O559,Cl_cle,0)),"(client introuvable)"))</f>
        <v/>
      </c>
      <c r="R559" s="40">
        <f>IF(O559="","",IFERROR(INDEX(Cl_reste,MATCH(O559,Cl_cle,0)),""))</f>
        <v/>
      </c>
      <c r="S559" s="34">
        <f>IF(C559="","",YEAR(C559-WEEKDAY(C559,2)+4)&amp;"-S"&amp;TEXT(INT((C559-DATE(YEAR(C559-WEEKDAY(C559,2)+4),1,3)+WEEKDAY(DATE(YEAR(C559-WEEKDAY(C559,2)+4),1,3),2)+5)/7),"00"))</f>
        <v/>
      </c>
    </row>
    <row r="560" ht="18" customHeight="1">
      <c r="A560" s="39" t="n">
        <v>555</v>
      </c>
      <c r="B560" s="33">
        <f>IF(C560="","",IF(L560="À RENSEIGNER","GIC",L560)&amp;"-E"&amp;TEXT(A560,"00000"))</f>
        <v/>
      </c>
      <c r="C560" s="32" t="n"/>
      <c r="D560" s="36" t="n"/>
      <c r="E560" s="37" t="n"/>
      <c r="F560" s="36" t="n"/>
      <c r="G560" s="44" t="n"/>
      <c r="H560" s="43" t="n"/>
      <c r="I560" s="32" t="n"/>
      <c r="J560" s="44" t="n"/>
      <c r="K560" s="36" t="n"/>
      <c r="L560" s="33">
        <f>IF(C560="","",Commercial_Id)</f>
        <v/>
      </c>
      <c r="M560" s="34">
        <f>IF(OR(C560="",F560=""),"",IF(F560&lt;&gt;"Espèces","—",IF(I560&lt;&gt;"","☑ Oui","☐ Non")))</f>
        <v/>
      </c>
      <c r="N560" s="39">
        <f>IF(D560="","",IFERROR(VALUE(MID(D560,LEN(D560)-3,3)),""))</f>
        <v/>
      </c>
      <c r="O560" s="33">
        <f>IF(N560="","",L560&amp;"|"&amp;N560)</f>
        <v/>
      </c>
      <c r="P560" s="33">
        <f>IF(N560="","",IF(L560="À RENSEIGNER","GIC",L560)&amp;"-"&amp;TEXT(N560,"000"))</f>
        <v/>
      </c>
      <c r="Q560" s="33">
        <f>IF(O560="","",IFERROR(INDEX(Cl_nom,MATCH(O560,Cl_cle,0)),"(client introuvable)"))</f>
        <v/>
      </c>
      <c r="R560" s="40">
        <f>IF(O560="","",IFERROR(INDEX(Cl_reste,MATCH(O560,Cl_cle,0)),""))</f>
        <v/>
      </c>
      <c r="S560" s="34">
        <f>IF(C560="","",YEAR(C560-WEEKDAY(C560,2)+4)&amp;"-S"&amp;TEXT(INT((C560-DATE(YEAR(C560-WEEKDAY(C560,2)+4),1,3)+WEEKDAY(DATE(YEAR(C560-WEEKDAY(C560,2)+4),1,3),2)+5)/7),"00"))</f>
        <v/>
      </c>
    </row>
    <row r="561" ht="18" customHeight="1">
      <c r="A561" s="39" t="n">
        <v>556</v>
      </c>
      <c r="B561" s="33">
        <f>IF(C561="","",IF(L561="À RENSEIGNER","GIC",L561)&amp;"-E"&amp;TEXT(A561,"00000"))</f>
        <v/>
      </c>
      <c r="C561" s="32" t="n"/>
      <c r="D561" s="36" t="n"/>
      <c r="E561" s="37" t="n"/>
      <c r="F561" s="36" t="n"/>
      <c r="G561" s="44" t="n"/>
      <c r="H561" s="43" t="n"/>
      <c r="I561" s="32" t="n"/>
      <c r="J561" s="44" t="n"/>
      <c r="K561" s="36" t="n"/>
      <c r="L561" s="33">
        <f>IF(C561="","",Commercial_Id)</f>
        <v/>
      </c>
      <c r="M561" s="34">
        <f>IF(OR(C561="",F561=""),"",IF(F561&lt;&gt;"Espèces","—",IF(I561&lt;&gt;"","☑ Oui","☐ Non")))</f>
        <v/>
      </c>
      <c r="N561" s="39">
        <f>IF(D561="","",IFERROR(VALUE(MID(D561,LEN(D561)-3,3)),""))</f>
        <v/>
      </c>
      <c r="O561" s="33">
        <f>IF(N561="","",L561&amp;"|"&amp;N561)</f>
        <v/>
      </c>
      <c r="P561" s="33">
        <f>IF(N561="","",IF(L561="À RENSEIGNER","GIC",L561)&amp;"-"&amp;TEXT(N561,"000"))</f>
        <v/>
      </c>
      <c r="Q561" s="33">
        <f>IF(O561="","",IFERROR(INDEX(Cl_nom,MATCH(O561,Cl_cle,0)),"(client introuvable)"))</f>
        <v/>
      </c>
      <c r="R561" s="40">
        <f>IF(O561="","",IFERROR(INDEX(Cl_reste,MATCH(O561,Cl_cle,0)),""))</f>
        <v/>
      </c>
      <c r="S561" s="34">
        <f>IF(C561="","",YEAR(C561-WEEKDAY(C561,2)+4)&amp;"-S"&amp;TEXT(INT((C561-DATE(YEAR(C561-WEEKDAY(C561,2)+4),1,3)+WEEKDAY(DATE(YEAR(C561-WEEKDAY(C561,2)+4),1,3),2)+5)/7),"00"))</f>
        <v/>
      </c>
    </row>
    <row r="562" ht="18" customHeight="1">
      <c r="A562" s="39" t="n">
        <v>557</v>
      </c>
      <c r="B562" s="33">
        <f>IF(C562="","",IF(L562="À RENSEIGNER","GIC",L562)&amp;"-E"&amp;TEXT(A562,"00000"))</f>
        <v/>
      </c>
      <c r="C562" s="32" t="n"/>
      <c r="D562" s="36" t="n"/>
      <c r="E562" s="37" t="n"/>
      <c r="F562" s="36" t="n"/>
      <c r="G562" s="44" t="n"/>
      <c r="H562" s="43" t="n"/>
      <c r="I562" s="32" t="n"/>
      <c r="J562" s="44" t="n"/>
      <c r="K562" s="36" t="n"/>
      <c r="L562" s="33">
        <f>IF(C562="","",Commercial_Id)</f>
        <v/>
      </c>
      <c r="M562" s="34">
        <f>IF(OR(C562="",F562=""),"",IF(F562&lt;&gt;"Espèces","—",IF(I562&lt;&gt;"","☑ Oui","☐ Non")))</f>
        <v/>
      </c>
      <c r="N562" s="39">
        <f>IF(D562="","",IFERROR(VALUE(MID(D562,LEN(D562)-3,3)),""))</f>
        <v/>
      </c>
      <c r="O562" s="33">
        <f>IF(N562="","",L562&amp;"|"&amp;N562)</f>
        <v/>
      </c>
      <c r="P562" s="33">
        <f>IF(N562="","",IF(L562="À RENSEIGNER","GIC",L562)&amp;"-"&amp;TEXT(N562,"000"))</f>
        <v/>
      </c>
      <c r="Q562" s="33">
        <f>IF(O562="","",IFERROR(INDEX(Cl_nom,MATCH(O562,Cl_cle,0)),"(client introuvable)"))</f>
        <v/>
      </c>
      <c r="R562" s="40">
        <f>IF(O562="","",IFERROR(INDEX(Cl_reste,MATCH(O562,Cl_cle,0)),""))</f>
        <v/>
      </c>
      <c r="S562" s="34">
        <f>IF(C562="","",YEAR(C562-WEEKDAY(C562,2)+4)&amp;"-S"&amp;TEXT(INT((C562-DATE(YEAR(C562-WEEKDAY(C562,2)+4),1,3)+WEEKDAY(DATE(YEAR(C562-WEEKDAY(C562,2)+4),1,3),2)+5)/7),"00"))</f>
        <v/>
      </c>
    </row>
    <row r="563" ht="18" customHeight="1">
      <c r="A563" s="39" t="n">
        <v>558</v>
      </c>
      <c r="B563" s="33">
        <f>IF(C563="","",IF(L563="À RENSEIGNER","GIC",L563)&amp;"-E"&amp;TEXT(A563,"00000"))</f>
        <v/>
      </c>
      <c r="C563" s="32" t="n"/>
      <c r="D563" s="36" t="n"/>
      <c r="E563" s="37" t="n"/>
      <c r="F563" s="36" t="n"/>
      <c r="G563" s="44" t="n"/>
      <c r="H563" s="43" t="n"/>
      <c r="I563" s="32" t="n"/>
      <c r="J563" s="44" t="n"/>
      <c r="K563" s="36" t="n"/>
      <c r="L563" s="33">
        <f>IF(C563="","",Commercial_Id)</f>
        <v/>
      </c>
      <c r="M563" s="34">
        <f>IF(OR(C563="",F563=""),"",IF(F563&lt;&gt;"Espèces","—",IF(I563&lt;&gt;"","☑ Oui","☐ Non")))</f>
        <v/>
      </c>
      <c r="N563" s="39">
        <f>IF(D563="","",IFERROR(VALUE(MID(D563,LEN(D563)-3,3)),""))</f>
        <v/>
      </c>
      <c r="O563" s="33">
        <f>IF(N563="","",L563&amp;"|"&amp;N563)</f>
        <v/>
      </c>
      <c r="P563" s="33">
        <f>IF(N563="","",IF(L563="À RENSEIGNER","GIC",L563)&amp;"-"&amp;TEXT(N563,"000"))</f>
        <v/>
      </c>
      <c r="Q563" s="33">
        <f>IF(O563="","",IFERROR(INDEX(Cl_nom,MATCH(O563,Cl_cle,0)),"(client introuvable)"))</f>
        <v/>
      </c>
      <c r="R563" s="40">
        <f>IF(O563="","",IFERROR(INDEX(Cl_reste,MATCH(O563,Cl_cle,0)),""))</f>
        <v/>
      </c>
      <c r="S563" s="34">
        <f>IF(C563="","",YEAR(C563-WEEKDAY(C563,2)+4)&amp;"-S"&amp;TEXT(INT((C563-DATE(YEAR(C563-WEEKDAY(C563,2)+4),1,3)+WEEKDAY(DATE(YEAR(C563-WEEKDAY(C563,2)+4),1,3),2)+5)/7),"00"))</f>
        <v/>
      </c>
    </row>
    <row r="564" ht="18" customHeight="1">
      <c r="A564" s="39" t="n">
        <v>559</v>
      </c>
      <c r="B564" s="33">
        <f>IF(C564="","",IF(L564="À RENSEIGNER","GIC",L564)&amp;"-E"&amp;TEXT(A564,"00000"))</f>
        <v/>
      </c>
      <c r="C564" s="32" t="n"/>
      <c r="D564" s="36" t="n"/>
      <c r="E564" s="37" t="n"/>
      <c r="F564" s="36" t="n"/>
      <c r="G564" s="44" t="n"/>
      <c r="H564" s="43" t="n"/>
      <c r="I564" s="32" t="n"/>
      <c r="J564" s="44" t="n"/>
      <c r="K564" s="36" t="n"/>
      <c r="L564" s="33">
        <f>IF(C564="","",Commercial_Id)</f>
        <v/>
      </c>
      <c r="M564" s="34">
        <f>IF(OR(C564="",F564=""),"",IF(F564&lt;&gt;"Espèces","—",IF(I564&lt;&gt;"","☑ Oui","☐ Non")))</f>
        <v/>
      </c>
      <c r="N564" s="39">
        <f>IF(D564="","",IFERROR(VALUE(MID(D564,LEN(D564)-3,3)),""))</f>
        <v/>
      </c>
      <c r="O564" s="33">
        <f>IF(N564="","",L564&amp;"|"&amp;N564)</f>
        <v/>
      </c>
      <c r="P564" s="33">
        <f>IF(N564="","",IF(L564="À RENSEIGNER","GIC",L564)&amp;"-"&amp;TEXT(N564,"000"))</f>
        <v/>
      </c>
      <c r="Q564" s="33">
        <f>IF(O564="","",IFERROR(INDEX(Cl_nom,MATCH(O564,Cl_cle,0)),"(client introuvable)"))</f>
        <v/>
      </c>
      <c r="R564" s="40">
        <f>IF(O564="","",IFERROR(INDEX(Cl_reste,MATCH(O564,Cl_cle,0)),""))</f>
        <v/>
      </c>
      <c r="S564" s="34">
        <f>IF(C564="","",YEAR(C564-WEEKDAY(C564,2)+4)&amp;"-S"&amp;TEXT(INT((C564-DATE(YEAR(C564-WEEKDAY(C564,2)+4),1,3)+WEEKDAY(DATE(YEAR(C564-WEEKDAY(C564,2)+4),1,3),2)+5)/7),"00"))</f>
        <v/>
      </c>
    </row>
    <row r="565" ht="18" customHeight="1">
      <c r="A565" s="39" t="n">
        <v>560</v>
      </c>
      <c r="B565" s="33">
        <f>IF(C565="","",IF(L565="À RENSEIGNER","GIC",L565)&amp;"-E"&amp;TEXT(A565,"00000"))</f>
        <v/>
      </c>
      <c r="C565" s="32" t="n"/>
      <c r="D565" s="36" t="n"/>
      <c r="E565" s="37" t="n"/>
      <c r="F565" s="36" t="n"/>
      <c r="G565" s="44" t="n"/>
      <c r="H565" s="43" t="n"/>
      <c r="I565" s="32" t="n"/>
      <c r="J565" s="44" t="n"/>
      <c r="K565" s="36" t="n"/>
      <c r="L565" s="33">
        <f>IF(C565="","",Commercial_Id)</f>
        <v/>
      </c>
      <c r="M565" s="34">
        <f>IF(OR(C565="",F565=""),"",IF(F565&lt;&gt;"Espèces","—",IF(I565&lt;&gt;"","☑ Oui","☐ Non")))</f>
        <v/>
      </c>
      <c r="N565" s="39">
        <f>IF(D565="","",IFERROR(VALUE(MID(D565,LEN(D565)-3,3)),""))</f>
        <v/>
      </c>
      <c r="O565" s="33">
        <f>IF(N565="","",L565&amp;"|"&amp;N565)</f>
        <v/>
      </c>
      <c r="P565" s="33">
        <f>IF(N565="","",IF(L565="À RENSEIGNER","GIC",L565)&amp;"-"&amp;TEXT(N565,"000"))</f>
        <v/>
      </c>
      <c r="Q565" s="33">
        <f>IF(O565="","",IFERROR(INDEX(Cl_nom,MATCH(O565,Cl_cle,0)),"(client introuvable)"))</f>
        <v/>
      </c>
      <c r="R565" s="40">
        <f>IF(O565="","",IFERROR(INDEX(Cl_reste,MATCH(O565,Cl_cle,0)),""))</f>
        <v/>
      </c>
      <c r="S565" s="34">
        <f>IF(C565="","",YEAR(C565-WEEKDAY(C565,2)+4)&amp;"-S"&amp;TEXT(INT((C565-DATE(YEAR(C565-WEEKDAY(C565,2)+4),1,3)+WEEKDAY(DATE(YEAR(C565-WEEKDAY(C565,2)+4),1,3),2)+5)/7),"00"))</f>
        <v/>
      </c>
    </row>
    <row r="566" ht="18" customHeight="1">
      <c r="A566" s="39" t="n">
        <v>561</v>
      </c>
      <c r="B566" s="33">
        <f>IF(C566="","",IF(L566="À RENSEIGNER","GIC",L566)&amp;"-E"&amp;TEXT(A566,"00000"))</f>
        <v/>
      </c>
      <c r="C566" s="32" t="n"/>
      <c r="D566" s="36" t="n"/>
      <c r="E566" s="37" t="n"/>
      <c r="F566" s="36" t="n"/>
      <c r="G566" s="44" t="n"/>
      <c r="H566" s="43" t="n"/>
      <c r="I566" s="32" t="n"/>
      <c r="J566" s="44" t="n"/>
      <c r="K566" s="36" t="n"/>
      <c r="L566" s="33">
        <f>IF(C566="","",Commercial_Id)</f>
        <v/>
      </c>
      <c r="M566" s="34">
        <f>IF(OR(C566="",F566=""),"",IF(F566&lt;&gt;"Espèces","—",IF(I566&lt;&gt;"","☑ Oui","☐ Non")))</f>
        <v/>
      </c>
      <c r="N566" s="39">
        <f>IF(D566="","",IFERROR(VALUE(MID(D566,LEN(D566)-3,3)),""))</f>
        <v/>
      </c>
      <c r="O566" s="33">
        <f>IF(N566="","",L566&amp;"|"&amp;N566)</f>
        <v/>
      </c>
      <c r="P566" s="33">
        <f>IF(N566="","",IF(L566="À RENSEIGNER","GIC",L566)&amp;"-"&amp;TEXT(N566,"000"))</f>
        <v/>
      </c>
      <c r="Q566" s="33">
        <f>IF(O566="","",IFERROR(INDEX(Cl_nom,MATCH(O566,Cl_cle,0)),"(client introuvable)"))</f>
        <v/>
      </c>
      <c r="R566" s="40">
        <f>IF(O566="","",IFERROR(INDEX(Cl_reste,MATCH(O566,Cl_cle,0)),""))</f>
        <v/>
      </c>
      <c r="S566" s="34">
        <f>IF(C566="","",YEAR(C566-WEEKDAY(C566,2)+4)&amp;"-S"&amp;TEXT(INT((C566-DATE(YEAR(C566-WEEKDAY(C566,2)+4),1,3)+WEEKDAY(DATE(YEAR(C566-WEEKDAY(C566,2)+4),1,3),2)+5)/7),"00"))</f>
        <v/>
      </c>
    </row>
    <row r="567" ht="18" customHeight="1">
      <c r="A567" s="39" t="n">
        <v>562</v>
      </c>
      <c r="B567" s="33">
        <f>IF(C567="","",IF(L567="À RENSEIGNER","GIC",L567)&amp;"-E"&amp;TEXT(A567,"00000"))</f>
        <v/>
      </c>
      <c r="C567" s="32" t="n"/>
      <c r="D567" s="36" t="n"/>
      <c r="E567" s="37" t="n"/>
      <c r="F567" s="36" t="n"/>
      <c r="G567" s="44" t="n"/>
      <c r="H567" s="43" t="n"/>
      <c r="I567" s="32" t="n"/>
      <c r="J567" s="44" t="n"/>
      <c r="K567" s="36" t="n"/>
      <c r="L567" s="33">
        <f>IF(C567="","",Commercial_Id)</f>
        <v/>
      </c>
      <c r="M567" s="34">
        <f>IF(OR(C567="",F567=""),"",IF(F567&lt;&gt;"Espèces","—",IF(I567&lt;&gt;"","☑ Oui","☐ Non")))</f>
        <v/>
      </c>
      <c r="N567" s="39">
        <f>IF(D567="","",IFERROR(VALUE(MID(D567,LEN(D567)-3,3)),""))</f>
        <v/>
      </c>
      <c r="O567" s="33">
        <f>IF(N567="","",L567&amp;"|"&amp;N567)</f>
        <v/>
      </c>
      <c r="P567" s="33">
        <f>IF(N567="","",IF(L567="À RENSEIGNER","GIC",L567)&amp;"-"&amp;TEXT(N567,"000"))</f>
        <v/>
      </c>
      <c r="Q567" s="33">
        <f>IF(O567="","",IFERROR(INDEX(Cl_nom,MATCH(O567,Cl_cle,0)),"(client introuvable)"))</f>
        <v/>
      </c>
      <c r="R567" s="40">
        <f>IF(O567="","",IFERROR(INDEX(Cl_reste,MATCH(O567,Cl_cle,0)),""))</f>
        <v/>
      </c>
      <c r="S567" s="34">
        <f>IF(C567="","",YEAR(C567-WEEKDAY(C567,2)+4)&amp;"-S"&amp;TEXT(INT((C567-DATE(YEAR(C567-WEEKDAY(C567,2)+4),1,3)+WEEKDAY(DATE(YEAR(C567-WEEKDAY(C567,2)+4),1,3),2)+5)/7),"00"))</f>
        <v/>
      </c>
    </row>
    <row r="568" ht="18" customHeight="1">
      <c r="A568" s="39" t="n">
        <v>563</v>
      </c>
      <c r="B568" s="33">
        <f>IF(C568="","",IF(L568="À RENSEIGNER","GIC",L568)&amp;"-E"&amp;TEXT(A568,"00000"))</f>
        <v/>
      </c>
      <c r="C568" s="32" t="n"/>
      <c r="D568" s="36" t="n"/>
      <c r="E568" s="37" t="n"/>
      <c r="F568" s="36" t="n"/>
      <c r="G568" s="44" t="n"/>
      <c r="H568" s="43" t="n"/>
      <c r="I568" s="32" t="n"/>
      <c r="J568" s="44" t="n"/>
      <c r="K568" s="36" t="n"/>
      <c r="L568" s="33">
        <f>IF(C568="","",Commercial_Id)</f>
        <v/>
      </c>
      <c r="M568" s="34">
        <f>IF(OR(C568="",F568=""),"",IF(F568&lt;&gt;"Espèces","—",IF(I568&lt;&gt;"","☑ Oui","☐ Non")))</f>
        <v/>
      </c>
      <c r="N568" s="39">
        <f>IF(D568="","",IFERROR(VALUE(MID(D568,LEN(D568)-3,3)),""))</f>
        <v/>
      </c>
      <c r="O568" s="33">
        <f>IF(N568="","",L568&amp;"|"&amp;N568)</f>
        <v/>
      </c>
      <c r="P568" s="33">
        <f>IF(N568="","",IF(L568="À RENSEIGNER","GIC",L568)&amp;"-"&amp;TEXT(N568,"000"))</f>
        <v/>
      </c>
      <c r="Q568" s="33">
        <f>IF(O568="","",IFERROR(INDEX(Cl_nom,MATCH(O568,Cl_cle,0)),"(client introuvable)"))</f>
        <v/>
      </c>
      <c r="R568" s="40">
        <f>IF(O568="","",IFERROR(INDEX(Cl_reste,MATCH(O568,Cl_cle,0)),""))</f>
        <v/>
      </c>
      <c r="S568" s="34">
        <f>IF(C568="","",YEAR(C568-WEEKDAY(C568,2)+4)&amp;"-S"&amp;TEXT(INT((C568-DATE(YEAR(C568-WEEKDAY(C568,2)+4),1,3)+WEEKDAY(DATE(YEAR(C568-WEEKDAY(C568,2)+4),1,3),2)+5)/7),"00"))</f>
        <v/>
      </c>
    </row>
    <row r="569" ht="18" customHeight="1">
      <c r="A569" s="39" t="n">
        <v>564</v>
      </c>
      <c r="B569" s="33">
        <f>IF(C569="","",IF(L569="À RENSEIGNER","GIC",L569)&amp;"-E"&amp;TEXT(A569,"00000"))</f>
        <v/>
      </c>
      <c r="C569" s="32" t="n"/>
      <c r="D569" s="36" t="n"/>
      <c r="E569" s="37" t="n"/>
      <c r="F569" s="36" t="n"/>
      <c r="G569" s="44" t="n"/>
      <c r="H569" s="43" t="n"/>
      <c r="I569" s="32" t="n"/>
      <c r="J569" s="44" t="n"/>
      <c r="K569" s="36" t="n"/>
      <c r="L569" s="33">
        <f>IF(C569="","",Commercial_Id)</f>
        <v/>
      </c>
      <c r="M569" s="34">
        <f>IF(OR(C569="",F569=""),"",IF(F569&lt;&gt;"Espèces","—",IF(I569&lt;&gt;"","☑ Oui","☐ Non")))</f>
        <v/>
      </c>
      <c r="N569" s="39">
        <f>IF(D569="","",IFERROR(VALUE(MID(D569,LEN(D569)-3,3)),""))</f>
        <v/>
      </c>
      <c r="O569" s="33">
        <f>IF(N569="","",L569&amp;"|"&amp;N569)</f>
        <v/>
      </c>
      <c r="P569" s="33">
        <f>IF(N569="","",IF(L569="À RENSEIGNER","GIC",L569)&amp;"-"&amp;TEXT(N569,"000"))</f>
        <v/>
      </c>
      <c r="Q569" s="33">
        <f>IF(O569="","",IFERROR(INDEX(Cl_nom,MATCH(O569,Cl_cle,0)),"(client introuvable)"))</f>
        <v/>
      </c>
      <c r="R569" s="40">
        <f>IF(O569="","",IFERROR(INDEX(Cl_reste,MATCH(O569,Cl_cle,0)),""))</f>
        <v/>
      </c>
      <c r="S569" s="34">
        <f>IF(C569="","",YEAR(C569-WEEKDAY(C569,2)+4)&amp;"-S"&amp;TEXT(INT((C569-DATE(YEAR(C569-WEEKDAY(C569,2)+4),1,3)+WEEKDAY(DATE(YEAR(C569-WEEKDAY(C569,2)+4),1,3),2)+5)/7),"00"))</f>
        <v/>
      </c>
    </row>
    <row r="570" ht="18" customHeight="1">
      <c r="A570" s="39" t="n">
        <v>565</v>
      </c>
      <c r="B570" s="33">
        <f>IF(C570="","",IF(L570="À RENSEIGNER","GIC",L570)&amp;"-E"&amp;TEXT(A570,"00000"))</f>
        <v/>
      </c>
      <c r="C570" s="32" t="n"/>
      <c r="D570" s="36" t="n"/>
      <c r="E570" s="37" t="n"/>
      <c r="F570" s="36" t="n"/>
      <c r="G570" s="44" t="n"/>
      <c r="H570" s="43" t="n"/>
      <c r="I570" s="32" t="n"/>
      <c r="J570" s="44" t="n"/>
      <c r="K570" s="36" t="n"/>
      <c r="L570" s="33">
        <f>IF(C570="","",Commercial_Id)</f>
        <v/>
      </c>
      <c r="M570" s="34">
        <f>IF(OR(C570="",F570=""),"",IF(F570&lt;&gt;"Espèces","—",IF(I570&lt;&gt;"","☑ Oui","☐ Non")))</f>
        <v/>
      </c>
      <c r="N570" s="39">
        <f>IF(D570="","",IFERROR(VALUE(MID(D570,LEN(D570)-3,3)),""))</f>
        <v/>
      </c>
      <c r="O570" s="33">
        <f>IF(N570="","",L570&amp;"|"&amp;N570)</f>
        <v/>
      </c>
      <c r="P570" s="33">
        <f>IF(N570="","",IF(L570="À RENSEIGNER","GIC",L570)&amp;"-"&amp;TEXT(N570,"000"))</f>
        <v/>
      </c>
      <c r="Q570" s="33">
        <f>IF(O570="","",IFERROR(INDEX(Cl_nom,MATCH(O570,Cl_cle,0)),"(client introuvable)"))</f>
        <v/>
      </c>
      <c r="R570" s="40">
        <f>IF(O570="","",IFERROR(INDEX(Cl_reste,MATCH(O570,Cl_cle,0)),""))</f>
        <v/>
      </c>
      <c r="S570" s="34">
        <f>IF(C570="","",YEAR(C570-WEEKDAY(C570,2)+4)&amp;"-S"&amp;TEXT(INT((C570-DATE(YEAR(C570-WEEKDAY(C570,2)+4),1,3)+WEEKDAY(DATE(YEAR(C570-WEEKDAY(C570,2)+4),1,3),2)+5)/7),"00"))</f>
        <v/>
      </c>
    </row>
    <row r="571" ht="18" customHeight="1">
      <c r="A571" s="39" t="n">
        <v>566</v>
      </c>
      <c r="B571" s="33">
        <f>IF(C571="","",IF(L571="À RENSEIGNER","GIC",L571)&amp;"-E"&amp;TEXT(A571,"00000"))</f>
        <v/>
      </c>
      <c r="C571" s="32" t="n"/>
      <c r="D571" s="36" t="n"/>
      <c r="E571" s="37" t="n"/>
      <c r="F571" s="36" t="n"/>
      <c r="G571" s="44" t="n"/>
      <c r="H571" s="43" t="n"/>
      <c r="I571" s="32" t="n"/>
      <c r="J571" s="44" t="n"/>
      <c r="K571" s="36" t="n"/>
      <c r="L571" s="33">
        <f>IF(C571="","",Commercial_Id)</f>
        <v/>
      </c>
      <c r="M571" s="34">
        <f>IF(OR(C571="",F571=""),"",IF(F571&lt;&gt;"Espèces","—",IF(I571&lt;&gt;"","☑ Oui","☐ Non")))</f>
        <v/>
      </c>
      <c r="N571" s="39">
        <f>IF(D571="","",IFERROR(VALUE(MID(D571,LEN(D571)-3,3)),""))</f>
        <v/>
      </c>
      <c r="O571" s="33">
        <f>IF(N571="","",L571&amp;"|"&amp;N571)</f>
        <v/>
      </c>
      <c r="P571" s="33">
        <f>IF(N571="","",IF(L571="À RENSEIGNER","GIC",L571)&amp;"-"&amp;TEXT(N571,"000"))</f>
        <v/>
      </c>
      <c r="Q571" s="33">
        <f>IF(O571="","",IFERROR(INDEX(Cl_nom,MATCH(O571,Cl_cle,0)),"(client introuvable)"))</f>
        <v/>
      </c>
      <c r="R571" s="40">
        <f>IF(O571="","",IFERROR(INDEX(Cl_reste,MATCH(O571,Cl_cle,0)),""))</f>
        <v/>
      </c>
      <c r="S571" s="34">
        <f>IF(C571="","",YEAR(C571-WEEKDAY(C571,2)+4)&amp;"-S"&amp;TEXT(INT((C571-DATE(YEAR(C571-WEEKDAY(C571,2)+4),1,3)+WEEKDAY(DATE(YEAR(C571-WEEKDAY(C571,2)+4),1,3),2)+5)/7),"00"))</f>
        <v/>
      </c>
    </row>
    <row r="572" ht="18" customHeight="1">
      <c r="A572" s="39" t="n">
        <v>567</v>
      </c>
      <c r="B572" s="33">
        <f>IF(C572="","",IF(L572="À RENSEIGNER","GIC",L572)&amp;"-E"&amp;TEXT(A572,"00000"))</f>
        <v/>
      </c>
      <c r="C572" s="32" t="n"/>
      <c r="D572" s="36" t="n"/>
      <c r="E572" s="37" t="n"/>
      <c r="F572" s="36" t="n"/>
      <c r="G572" s="44" t="n"/>
      <c r="H572" s="43" t="n"/>
      <c r="I572" s="32" t="n"/>
      <c r="J572" s="44" t="n"/>
      <c r="K572" s="36" t="n"/>
      <c r="L572" s="33">
        <f>IF(C572="","",Commercial_Id)</f>
        <v/>
      </c>
      <c r="M572" s="34">
        <f>IF(OR(C572="",F572=""),"",IF(F572&lt;&gt;"Espèces","—",IF(I572&lt;&gt;"","☑ Oui","☐ Non")))</f>
        <v/>
      </c>
      <c r="N572" s="39">
        <f>IF(D572="","",IFERROR(VALUE(MID(D572,LEN(D572)-3,3)),""))</f>
        <v/>
      </c>
      <c r="O572" s="33">
        <f>IF(N572="","",L572&amp;"|"&amp;N572)</f>
        <v/>
      </c>
      <c r="P572" s="33">
        <f>IF(N572="","",IF(L572="À RENSEIGNER","GIC",L572)&amp;"-"&amp;TEXT(N572,"000"))</f>
        <v/>
      </c>
      <c r="Q572" s="33">
        <f>IF(O572="","",IFERROR(INDEX(Cl_nom,MATCH(O572,Cl_cle,0)),"(client introuvable)"))</f>
        <v/>
      </c>
      <c r="R572" s="40">
        <f>IF(O572="","",IFERROR(INDEX(Cl_reste,MATCH(O572,Cl_cle,0)),""))</f>
        <v/>
      </c>
      <c r="S572" s="34">
        <f>IF(C572="","",YEAR(C572-WEEKDAY(C572,2)+4)&amp;"-S"&amp;TEXT(INT((C572-DATE(YEAR(C572-WEEKDAY(C572,2)+4),1,3)+WEEKDAY(DATE(YEAR(C572-WEEKDAY(C572,2)+4),1,3),2)+5)/7),"00"))</f>
        <v/>
      </c>
    </row>
    <row r="573" ht="18" customHeight="1">
      <c r="A573" s="39" t="n">
        <v>568</v>
      </c>
      <c r="B573" s="33">
        <f>IF(C573="","",IF(L573="À RENSEIGNER","GIC",L573)&amp;"-E"&amp;TEXT(A573,"00000"))</f>
        <v/>
      </c>
      <c r="C573" s="32" t="n"/>
      <c r="D573" s="36" t="n"/>
      <c r="E573" s="37" t="n"/>
      <c r="F573" s="36" t="n"/>
      <c r="G573" s="44" t="n"/>
      <c r="H573" s="43" t="n"/>
      <c r="I573" s="32" t="n"/>
      <c r="J573" s="44" t="n"/>
      <c r="K573" s="36" t="n"/>
      <c r="L573" s="33">
        <f>IF(C573="","",Commercial_Id)</f>
        <v/>
      </c>
      <c r="M573" s="34">
        <f>IF(OR(C573="",F573=""),"",IF(F573&lt;&gt;"Espèces","—",IF(I573&lt;&gt;"","☑ Oui","☐ Non")))</f>
        <v/>
      </c>
      <c r="N573" s="39">
        <f>IF(D573="","",IFERROR(VALUE(MID(D573,LEN(D573)-3,3)),""))</f>
        <v/>
      </c>
      <c r="O573" s="33">
        <f>IF(N573="","",L573&amp;"|"&amp;N573)</f>
        <v/>
      </c>
      <c r="P573" s="33">
        <f>IF(N573="","",IF(L573="À RENSEIGNER","GIC",L573)&amp;"-"&amp;TEXT(N573,"000"))</f>
        <v/>
      </c>
      <c r="Q573" s="33">
        <f>IF(O573="","",IFERROR(INDEX(Cl_nom,MATCH(O573,Cl_cle,0)),"(client introuvable)"))</f>
        <v/>
      </c>
      <c r="R573" s="40">
        <f>IF(O573="","",IFERROR(INDEX(Cl_reste,MATCH(O573,Cl_cle,0)),""))</f>
        <v/>
      </c>
      <c r="S573" s="34">
        <f>IF(C573="","",YEAR(C573-WEEKDAY(C573,2)+4)&amp;"-S"&amp;TEXT(INT((C573-DATE(YEAR(C573-WEEKDAY(C573,2)+4),1,3)+WEEKDAY(DATE(YEAR(C573-WEEKDAY(C573,2)+4),1,3),2)+5)/7),"00"))</f>
        <v/>
      </c>
    </row>
    <row r="574" ht="18" customHeight="1">
      <c r="A574" s="39" t="n">
        <v>569</v>
      </c>
      <c r="B574" s="33">
        <f>IF(C574="","",IF(L574="À RENSEIGNER","GIC",L574)&amp;"-E"&amp;TEXT(A574,"00000"))</f>
        <v/>
      </c>
      <c r="C574" s="32" t="n"/>
      <c r="D574" s="36" t="n"/>
      <c r="E574" s="37" t="n"/>
      <c r="F574" s="36" t="n"/>
      <c r="G574" s="44" t="n"/>
      <c r="H574" s="43" t="n"/>
      <c r="I574" s="32" t="n"/>
      <c r="J574" s="44" t="n"/>
      <c r="K574" s="36" t="n"/>
      <c r="L574" s="33">
        <f>IF(C574="","",Commercial_Id)</f>
        <v/>
      </c>
      <c r="M574" s="34">
        <f>IF(OR(C574="",F574=""),"",IF(F574&lt;&gt;"Espèces","—",IF(I574&lt;&gt;"","☑ Oui","☐ Non")))</f>
        <v/>
      </c>
      <c r="N574" s="39">
        <f>IF(D574="","",IFERROR(VALUE(MID(D574,LEN(D574)-3,3)),""))</f>
        <v/>
      </c>
      <c r="O574" s="33">
        <f>IF(N574="","",L574&amp;"|"&amp;N574)</f>
        <v/>
      </c>
      <c r="P574" s="33">
        <f>IF(N574="","",IF(L574="À RENSEIGNER","GIC",L574)&amp;"-"&amp;TEXT(N574,"000"))</f>
        <v/>
      </c>
      <c r="Q574" s="33">
        <f>IF(O574="","",IFERROR(INDEX(Cl_nom,MATCH(O574,Cl_cle,0)),"(client introuvable)"))</f>
        <v/>
      </c>
      <c r="R574" s="40">
        <f>IF(O574="","",IFERROR(INDEX(Cl_reste,MATCH(O574,Cl_cle,0)),""))</f>
        <v/>
      </c>
      <c r="S574" s="34">
        <f>IF(C574="","",YEAR(C574-WEEKDAY(C574,2)+4)&amp;"-S"&amp;TEXT(INT((C574-DATE(YEAR(C574-WEEKDAY(C574,2)+4),1,3)+WEEKDAY(DATE(YEAR(C574-WEEKDAY(C574,2)+4),1,3),2)+5)/7),"00"))</f>
        <v/>
      </c>
    </row>
    <row r="575" ht="18" customHeight="1">
      <c r="A575" s="39" t="n">
        <v>570</v>
      </c>
      <c r="B575" s="33">
        <f>IF(C575="","",IF(L575="À RENSEIGNER","GIC",L575)&amp;"-E"&amp;TEXT(A575,"00000"))</f>
        <v/>
      </c>
      <c r="C575" s="32" t="n"/>
      <c r="D575" s="36" t="n"/>
      <c r="E575" s="37" t="n"/>
      <c r="F575" s="36" t="n"/>
      <c r="G575" s="44" t="n"/>
      <c r="H575" s="43" t="n"/>
      <c r="I575" s="32" t="n"/>
      <c r="J575" s="44" t="n"/>
      <c r="K575" s="36" t="n"/>
      <c r="L575" s="33">
        <f>IF(C575="","",Commercial_Id)</f>
        <v/>
      </c>
      <c r="M575" s="34">
        <f>IF(OR(C575="",F575=""),"",IF(F575&lt;&gt;"Espèces","—",IF(I575&lt;&gt;"","☑ Oui","☐ Non")))</f>
        <v/>
      </c>
      <c r="N575" s="39">
        <f>IF(D575="","",IFERROR(VALUE(MID(D575,LEN(D575)-3,3)),""))</f>
        <v/>
      </c>
      <c r="O575" s="33">
        <f>IF(N575="","",L575&amp;"|"&amp;N575)</f>
        <v/>
      </c>
      <c r="P575" s="33">
        <f>IF(N575="","",IF(L575="À RENSEIGNER","GIC",L575)&amp;"-"&amp;TEXT(N575,"000"))</f>
        <v/>
      </c>
      <c r="Q575" s="33">
        <f>IF(O575="","",IFERROR(INDEX(Cl_nom,MATCH(O575,Cl_cle,0)),"(client introuvable)"))</f>
        <v/>
      </c>
      <c r="R575" s="40">
        <f>IF(O575="","",IFERROR(INDEX(Cl_reste,MATCH(O575,Cl_cle,0)),""))</f>
        <v/>
      </c>
      <c r="S575" s="34">
        <f>IF(C575="","",YEAR(C575-WEEKDAY(C575,2)+4)&amp;"-S"&amp;TEXT(INT((C575-DATE(YEAR(C575-WEEKDAY(C575,2)+4),1,3)+WEEKDAY(DATE(YEAR(C575-WEEKDAY(C575,2)+4),1,3),2)+5)/7),"00"))</f>
        <v/>
      </c>
    </row>
    <row r="576" ht="18" customHeight="1">
      <c r="A576" s="39" t="n">
        <v>571</v>
      </c>
      <c r="B576" s="33">
        <f>IF(C576="","",IF(L576="À RENSEIGNER","GIC",L576)&amp;"-E"&amp;TEXT(A576,"00000"))</f>
        <v/>
      </c>
      <c r="C576" s="32" t="n"/>
      <c r="D576" s="36" t="n"/>
      <c r="E576" s="37" t="n"/>
      <c r="F576" s="36" t="n"/>
      <c r="G576" s="44" t="n"/>
      <c r="H576" s="43" t="n"/>
      <c r="I576" s="32" t="n"/>
      <c r="J576" s="44" t="n"/>
      <c r="K576" s="36" t="n"/>
      <c r="L576" s="33">
        <f>IF(C576="","",Commercial_Id)</f>
        <v/>
      </c>
      <c r="M576" s="34">
        <f>IF(OR(C576="",F576=""),"",IF(F576&lt;&gt;"Espèces","—",IF(I576&lt;&gt;"","☑ Oui","☐ Non")))</f>
        <v/>
      </c>
      <c r="N576" s="39">
        <f>IF(D576="","",IFERROR(VALUE(MID(D576,LEN(D576)-3,3)),""))</f>
        <v/>
      </c>
      <c r="O576" s="33">
        <f>IF(N576="","",L576&amp;"|"&amp;N576)</f>
        <v/>
      </c>
      <c r="P576" s="33">
        <f>IF(N576="","",IF(L576="À RENSEIGNER","GIC",L576)&amp;"-"&amp;TEXT(N576,"000"))</f>
        <v/>
      </c>
      <c r="Q576" s="33">
        <f>IF(O576="","",IFERROR(INDEX(Cl_nom,MATCH(O576,Cl_cle,0)),"(client introuvable)"))</f>
        <v/>
      </c>
      <c r="R576" s="40">
        <f>IF(O576="","",IFERROR(INDEX(Cl_reste,MATCH(O576,Cl_cle,0)),""))</f>
        <v/>
      </c>
      <c r="S576" s="34">
        <f>IF(C576="","",YEAR(C576-WEEKDAY(C576,2)+4)&amp;"-S"&amp;TEXT(INT((C576-DATE(YEAR(C576-WEEKDAY(C576,2)+4),1,3)+WEEKDAY(DATE(YEAR(C576-WEEKDAY(C576,2)+4),1,3),2)+5)/7),"00"))</f>
        <v/>
      </c>
    </row>
    <row r="577" ht="18" customHeight="1">
      <c r="A577" s="39" t="n">
        <v>572</v>
      </c>
      <c r="B577" s="33">
        <f>IF(C577="","",IF(L577="À RENSEIGNER","GIC",L577)&amp;"-E"&amp;TEXT(A577,"00000"))</f>
        <v/>
      </c>
      <c r="C577" s="32" t="n"/>
      <c r="D577" s="36" t="n"/>
      <c r="E577" s="37" t="n"/>
      <c r="F577" s="36" t="n"/>
      <c r="G577" s="44" t="n"/>
      <c r="H577" s="43" t="n"/>
      <c r="I577" s="32" t="n"/>
      <c r="J577" s="44" t="n"/>
      <c r="K577" s="36" t="n"/>
      <c r="L577" s="33">
        <f>IF(C577="","",Commercial_Id)</f>
        <v/>
      </c>
      <c r="M577" s="34">
        <f>IF(OR(C577="",F577=""),"",IF(F577&lt;&gt;"Espèces","—",IF(I577&lt;&gt;"","☑ Oui","☐ Non")))</f>
        <v/>
      </c>
      <c r="N577" s="39">
        <f>IF(D577="","",IFERROR(VALUE(MID(D577,LEN(D577)-3,3)),""))</f>
        <v/>
      </c>
      <c r="O577" s="33">
        <f>IF(N577="","",L577&amp;"|"&amp;N577)</f>
        <v/>
      </c>
      <c r="P577" s="33">
        <f>IF(N577="","",IF(L577="À RENSEIGNER","GIC",L577)&amp;"-"&amp;TEXT(N577,"000"))</f>
        <v/>
      </c>
      <c r="Q577" s="33">
        <f>IF(O577="","",IFERROR(INDEX(Cl_nom,MATCH(O577,Cl_cle,0)),"(client introuvable)"))</f>
        <v/>
      </c>
      <c r="R577" s="40">
        <f>IF(O577="","",IFERROR(INDEX(Cl_reste,MATCH(O577,Cl_cle,0)),""))</f>
        <v/>
      </c>
      <c r="S577" s="34">
        <f>IF(C577="","",YEAR(C577-WEEKDAY(C577,2)+4)&amp;"-S"&amp;TEXT(INT((C577-DATE(YEAR(C577-WEEKDAY(C577,2)+4),1,3)+WEEKDAY(DATE(YEAR(C577-WEEKDAY(C577,2)+4),1,3),2)+5)/7),"00"))</f>
        <v/>
      </c>
    </row>
    <row r="578" ht="18" customHeight="1">
      <c r="A578" s="39" t="n">
        <v>573</v>
      </c>
      <c r="B578" s="33">
        <f>IF(C578="","",IF(L578="À RENSEIGNER","GIC",L578)&amp;"-E"&amp;TEXT(A578,"00000"))</f>
        <v/>
      </c>
      <c r="C578" s="32" t="n"/>
      <c r="D578" s="36" t="n"/>
      <c r="E578" s="37" t="n"/>
      <c r="F578" s="36" t="n"/>
      <c r="G578" s="44" t="n"/>
      <c r="H578" s="43" t="n"/>
      <c r="I578" s="32" t="n"/>
      <c r="J578" s="44" t="n"/>
      <c r="K578" s="36" t="n"/>
      <c r="L578" s="33">
        <f>IF(C578="","",Commercial_Id)</f>
        <v/>
      </c>
      <c r="M578" s="34">
        <f>IF(OR(C578="",F578=""),"",IF(F578&lt;&gt;"Espèces","—",IF(I578&lt;&gt;"","☑ Oui","☐ Non")))</f>
        <v/>
      </c>
      <c r="N578" s="39">
        <f>IF(D578="","",IFERROR(VALUE(MID(D578,LEN(D578)-3,3)),""))</f>
        <v/>
      </c>
      <c r="O578" s="33">
        <f>IF(N578="","",L578&amp;"|"&amp;N578)</f>
        <v/>
      </c>
      <c r="P578" s="33">
        <f>IF(N578="","",IF(L578="À RENSEIGNER","GIC",L578)&amp;"-"&amp;TEXT(N578,"000"))</f>
        <v/>
      </c>
      <c r="Q578" s="33">
        <f>IF(O578="","",IFERROR(INDEX(Cl_nom,MATCH(O578,Cl_cle,0)),"(client introuvable)"))</f>
        <v/>
      </c>
      <c r="R578" s="40">
        <f>IF(O578="","",IFERROR(INDEX(Cl_reste,MATCH(O578,Cl_cle,0)),""))</f>
        <v/>
      </c>
      <c r="S578" s="34">
        <f>IF(C578="","",YEAR(C578-WEEKDAY(C578,2)+4)&amp;"-S"&amp;TEXT(INT((C578-DATE(YEAR(C578-WEEKDAY(C578,2)+4),1,3)+WEEKDAY(DATE(YEAR(C578-WEEKDAY(C578,2)+4),1,3),2)+5)/7),"00"))</f>
        <v/>
      </c>
    </row>
    <row r="579" ht="18" customHeight="1">
      <c r="A579" s="39" t="n">
        <v>574</v>
      </c>
      <c r="B579" s="33">
        <f>IF(C579="","",IF(L579="À RENSEIGNER","GIC",L579)&amp;"-E"&amp;TEXT(A579,"00000"))</f>
        <v/>
      </c>
      <c r="C579" s="32" t="n"/>
      <c r="D579" s="36" t="n"/>
      <c r="E579" s="37" t="n"/>
      <c r="F579" s="36" t="n"/>
      <c r="G579" s="44" t="n"/>
      <c r="H579" s="43" t="n"/>
      <c r="I579" s="32" t="n"/>
      <c r="J579" s="44" t="n"/>
      <c r="K579" s="36" t="n"/>
      <c r="L579" s="33">
        <f>IF(C579="","",Commercial_Id)</f>
        <v/>
      </c>
      <c r="M579" s="34">
        <f>IF(OR(C579="",F579=""),"",IF(F579&lt;&gt;"Espèces","—",IF(I579&lt;&gt;"","☑ Oui","☐ Non")))</f>
        <v/>
      </c>
      <c r="N579" s="39">
        <f>IF(D579="","",IFERROR(VALUE(MID(D579,LEN(D579)-3,3)),""))</f>
        <v/>
      </c>
      <c r="O579" s="33">
        <f>IF(N579="","",L579&amp;"|"&amp;N579)</f>
        <v/>
      </c>
      <c r="P579" s="33">
        <f>IF(N579="","",IF(L579="À RENSEIGNER","GIC",L579)&amp;"-"&amp;TEXT(N579,"000"))</f>
        <v/>
      </c>
      <c r="Q579" s="33">
        <f>IF(O579="","",IFERROR(INDEX(Cl_nom,MATCH(O579,Cl_cle,0)),"(client introuvable)"))</f>
        <v/>
      </c>
      <c r="R579" s="40">
        <f>IF(O579="","",IFERROR(INDEX(Cl_reste,MATCH(O579,Cl_cle,0)),""))</f>
        <v/>
      </c>
      <c r="S579" s="34">
        <f>IF(C579="","",YEAR(C579-WEEKDAY(C579,2)+4)&amp;"-S"&amp;TEXT(INT((C579-DATE(YEAR(C579-WEEKDAY(C579,2)+4),1,3)+WEEKDAY(DATE(YEAR(C579-WEEKDAY(C579,2)+4),1,3),2)+5)/7),"00"))</f>
        <v/>
      </c>
    </row>
    <row r="580" ht="18" customHeight="1">
      <c r="A580" s="39" t="n">
        <v>575</v>
      </c>
      <c r="B580" s="33">
        <f>IF(C580="","",IF(L580="À RENSEIGNER","GIC",L580)&amp;"-E"&amp;TEXT(A580,"00000"))</f>
        <v/>
      </c>
      <c r="C580" s="32" t="n"/>
      <c r="D580" s="36" t="n"/>
      <c r="E580" s="37" t="n"/>
      <c r="F580" s="36" t="n"/>
      <c r="G580" s="44" t="n"/>
      <c r="H580" s="43" t="n"/>
      <c r="I580" s="32" t="n"/>
      <c r="J580" s="44" t="n"/>
      <c r="K580" s="36" t="n"/>
      <c r="L580" s="33">
        <f>IF(C580="","",Commercial_Id)</f>
        <v/>
      </c>
      <c r="M580" s="34">
        <f>IF(OR(C580="",F580=""),"",IF(F580&lt;&gt;"Espèces","—",IF(I580&lt;&gt;"","☑ Oui","☐ Non")))</f>
        <v/>
      </c>
      <c r="N580" s="39">
        <f>IF(D580="","",IFERROR(VALUE(MID(D580,LEN(D580)-3,3)),""))</f>
        <v/>
      </c>
      <c r="O580" s="33">
        <f>IF(N580="","",L580&amp;"|"&amp;N580)</f>
        <v/>
      </c>
      <c r="P580" s="33">
        <f>IF(N580="","",IF(L580="À RENSEIGNER","GIC",L580)&amp;"-"&amp;TEXT(N580,"000"))</f>
        <v/>
      </c>
      <c r="Q580" s="33">
        <f>IF(O580="","",IFERROR(INDEX(Cl_nom,MATCH(O580,Cl_cle,0)),"(client introuvable)"))</f>
        <v/>
      </c>
      <c r="R580" s="40">
        <f>IF(O580="","",IFERROR(INDEX(Cl_reste,MATCH(O580,Cl_cle,0)),""))</f>
        <v/>
      </c>
      <c r="S580" s="34">
        <f>IF(C580="","",YEAR(C580-WEEKDAY(C580,2)+4)&amp;"-S"&amp;TEXT(INT((C580-DATE(YEAR(C580-WEEKDAY(C580,2)+4),1,3)+WEEKDAY(DATE(YEAR(C580-WEEKDAY(C580,2)+4),1,3),2)+5)/7),"00"))</f>
        <v/>
      </c>
    </row>
    <row r="581" ht="18" customHeight="1">
      <c r="A581" s="39" t="n">
        <v>576</v>
      </c>
      <c r="B581" s="33">
        <f>IF(C581="","",IF(L581="À RENSEIGNER","GIC",L581)&amp;"-E"&amp;TEXT(A581,"00000"))</f>
        <v/>
      </c>
      <c r="C581" s="32" t="n"/>
      <c r="D581" s="36" t="n"/>
      <c r="E581" s="37" t="n"/>
      <c r="F581" s="36" t="n"/>
      <c r="G581" s="44" t="n"/>
      <c r="H581" s="43" t="n"/>
      <c r="I581" s="32" t="n"/>
      <c r="J581" s="44" t="n"/>
      <c r="K581" s="36" t="n"/>
      <c r="L581" s="33">
        <f>IF(C581="","",Commercial_Id)</f>
        <v/>
      </c>
      <c r="M581" s="34">
        <f>IF(OR(C581="",F581=""),"",IF(F581&lt;&gt;"Espèces","—",IF(I581&lt;&gt;"","☑ Oui","☐ Non")))</f>
        <v/>
      </c>
      <c r="N581" s="39">
        <f>IF(D581="","",IFERROR(VALUE(MID(D581,LEN(D581)-3,3)),""))</f>
        <v/>
      </c>
      <c r="O581" s="33">
        <f>IF(N581="","",L581&amp;"|"&amp;N581)</f>
        <v/>
      </c>
      <c r="P581" s="33">
        <f>IF(N581="","",IF(L581="À RENSEIGNER","GIC",L581)&amp;"-"&amp;TEXT(N581,"000"))</f>
        <v/>
      </c>
      <c r="Q581" s="33">
        <f>IF(O581="","",IFERROR(INDEX(Cl_nom,MATCH(O581,Cl_cle,0)),"(client introuvable)"))</f>
        <v/>
      </c>
      <c r="R581" s="40">
        <f>IF(O581="","",IFERROR(INDEX(Cl_reste,MATCH(O581,Cl_cle,0)),""))</f>
        <v/>
      </c>
      <c r="S581" s="34">
        <f>IF(C581="","",YEAR(C581-WEEKDAY(C581,2)+4)&amp;"-S"&amp;TEXT(INT((C581-DATE(YEAR(C581-WEEKDAY(C581,2)+4),1,3)+WEEKDAY(DATE(YEAR(C581-WEEKDAY(C581,2)+4),1,3),2)+5)/7),"00"))</f>
        <v/>
      </c>
    </row>
    <row r="582" ht="18" customHeight="1">
      <c r="A582" s="39" t="n">
        <v>577</v>
      </c>
      <c r="B582" s="33">
        <f>IF(C582="","",IF(L582="À RENSEIGNER","GIC",L582)&amp;"-E"&amp;TEXT(A582,"00000"))</f>
        <v/>
      </c>
      <c r="C582" s="32" t="n"/>
      <c r="D582" s="36" t="n"/>
      <c r="E582" s="37" t="n"/>
      <c r="F582" s="36" t="n"/>
      <c r="G582" s="44" t="n"/>
      <c r="H582" s="43" t="n"/>
      <c r="I582" s="32" t="n"/>
      <c r="J582" s="44" t="n"/>
      <c r="K582" s="36" t="n"/>
      <c r="L582" s="33">
        <f>IF(C582="","",Commercial_Id)</f>
        <v/>
      </c>
      <c r="M582" s="34">
        <f>IF(OR(C582="",F582=""),"",IF(F582&lt;&gt;"Espèces","—",IF(I582&lt;&gt;"","☑ Oui","☐ Non")))</f>
        <v/>
      </c>
      <c r="N582" s="39">
        <f>IF(D582="","",IFERROR(VALUE(MID(D582,LEN(D582)-3,3)),""))</f>
        <v/>
      </c>
      <c r="O582" s="33">
        <f>IF(N582="","",L582&amp;"|"&amp;N582)</f>
        <v/>
      </c>
      <c r="P582" s="33">
        <f>IF(N582="","",IF(L582="À RENSEIGNER","GIC",L582)&amp;"-"&amp;TEXT(N582,"000"))</f>
        <v/>
      </c>
      <c r="Q582" s="33">
        <f>IF(O582="","",IFERROR(INDEX(Cl_nom,MATCH(O582,Cl_cle,0)),"(client introuvable)"))</f>
        <v/>
      </c>
      <c r="R582" s="40">
        <f>IF(O582="","",IFERROR(INDEX(Cl_reste,MATCH(O582,Cl_cle,0)),""))</f>
        <v/>
      </c>
      <c r="S582" s="34">
        <f>IF(C582="","",YEAR(C582-WEEKDAY(C582,2)+4)&amp;"-S"&amp;TEXT(INT((C582-DATE(YEAR(C582-WEEKDAY(C582,2)+4),1,3)+WEEKDAY(DATE(YEAR(C582-WEEKDAY(C582,2)+4),1,3),2)+5)/7),"00"))</f>
        <v/>
      </c>
    </row>
    <row r="583" ht="18" customHeight="1">
      <c r="A583" s="39" t="n">
        <v>578</v>
      </c>
      <c r="B583" s="33">
        <f>IF(C583="","",IF(L583="À RENSEIGNER","GIC",L583)&amp;"-E"&amp;TEXT(A583,"00000"))</f>
        <v/>
      </c>
      <c r="C583" s="32" t="n"/>
      <c r="D583" s="36" t="n"/>
      <c r="E583" s="37" t="n"/>
      <c r="F583" s="36" t="n"/>
      <c r="G583" s="44" t="n"/>
      <c r="H583" s="43" t="n"/>
      <c r="I583" s="32" t="n"/>
      <c r="J583" s="44" t="n"/>
      <c r="K583" s="36" t="n"/>
      <c r="L583" s="33">
        <f>IF(C583="","",Commercial_Id)</f>
        <v/>
      </c>
      <c r="M583" s="34">
        <f>IF(OR(C583="",F583=""),"",IF(F583&lt;&gt;"Espèces","—",IF(I583&lt;&gt;"","☑ Oui","☐ Non")))</f>
        <v/>
      </c>
      <c r="N583" s="39">
        <f>IF(D583="","",IFERROR(VALUE(MID(D583,LEN(D583)-3,3)),""))</f>
        <v/>
      </c>
      <c r="O583" s="33">
        <f>IF(N583="","",L583&amp;"|"&amp;N583)</f>
        <v/>
      </c>
      <c r="P583" s="33">
        <f>IF(N583="","",IF(L583="À RENSEIGNER","GIC",L583)&amp;"-"&amp;TEXT(N583,"000"))</f>
        <v/>
      </c>
      <c r="Q583" s="33">
        <f>IF(O583="","",IFERROR(INDEX(Cl_nom,MATCH(O583,Cl_cle,0)),"(client introuvable)"))</f>
        <v/>
      </c>
      <c r="R583" s="40">
        <f>IF(O583="","",IFERROR(INDEX(Cl_reste,MATCH(O583,Cl_cle,0)),""))</f>
        <v/>
      </c>
      <c r="S583" s="34">
        <f>IF(C583="","",YEAR(C583-WEEKDAY(C583,2)+4)&amp;"-S"&amp;TEXT(INT((C583-DATE(YEAR(C583-WEEKDAY(C583,2)+4),1,3)+WEEKDAY(DATE(YEAR(C583-WEEKDAY(C583,2)+4),1,3),2)+5)/7),"00"))</f>
        <v/>
      </c>
    </row>
    <row r="584" ht="18" customHeight="1">
      <c r="A584" s="39" t="n">
        <v>579</v>
      </c>
      <c r="B584" s="33">
        <f>IF(C584="","",IF(L584="À RENSEIGNER","GIC",L584)&amp;"-E"&amp;TEXT(A584,"00000"))</f>
        <v/>
      </c>
      <c r="C584" s="32" t="n"/>
      <c r="D584" s="36" t="n"/>
      <c r="E584" s="37" t="n"/>
      <c r="F584" s="36" t="n"/>
      <c r="G584" s="44" t="n"/>
      <c r="H584" s="43" t="n"/>
      <c r="I584" s="32" t="n"/>
      <c r="J584" s="44" t="n"/>
      <c r="K584" s="36" t="n"/>
      <c r="L584" s="33">
        <f>IF(C584="","",Commercial_Id)</f>
        <v/>
      </c>
      <c r="M584" s="34">
        <f>IF(OR(C584="",F584=""),"",IF(F584&lt;&gt;"Espèces","—",IF(I584&lt;&gt;"","☑ Oui","☐ Non")))</f>
        <v/>
      </c>
      <c r="N584" s="39">
        <f>IF(D584="","",IFERROR(VALUE(MID(D584,LEN(D584)-3,3)),""))</f>
        <v/>
      </c>
      <c r="O584" s="33">
        <f>IF(N584="","",L584&amp;"|"&amp;N584)</f>
        <v/>
      </c>
      <c r="P584" s="33">
        <f>IF(N584="","",IF(L584="À RENSEIGNER","GIC",L584)&amp;"-"&amp;TEXT(N584,"000"))</f>
        <v/>
      </c>
      <c r="Q584" s="33">
        <f>IF(O584="","",IFERROR(INDEX(Cl_nom,MATCH(O584,Cl_cle,0)),"(client introuvable)"))</f>
        <v/>
      </c>
      <c r="R584" s="40">
        <f>IF(O584="","",IFERROR(INDEX(Cl_reste,MATCH(O584,Cl_cle,0)),""))</f>
        <v/>
      </c>
      <c r="S584" s="34">
        <f>IF(C584="","",YEAR(C584-WEEKDAY(C584,2)+4)&amp;"-S"&amp;TEXT(INT((C584-DATE(YEAR(C584-WEEKDAY(C584,2)+4),1,3)+WEEKDAY(DATE(YEAR(C584-WEEKDAY(C584,2)+4),1,3),2)+5)/7),"00"))</f>
        <v/>
      </c>
    </row>
    <row r="585" ht="18" customHeight="1">
      <c r="A585" s="39" t="n">
        <v>580</v>
      </c>
      <c r="B585" s="33">
        <f>IF(C585="","",IF(L585="À RENSEIGNER","GIC",L585)&amp;"-E"&amp;TEXT(A585,"00000"))</f>
        <v/>
      </c>
      <c r="C585" s="32" t="n"/>
      <c r="D585" s="36" t="n"/>
      <c r="E585" s="37" t="n"/>
      <c r="F585" s="36" t="n"/>
      <c r="G585" s="44" t="n"/>
      <c r="H585" s="43" t="n"/>
      <c r="I585" s="32" t="n"/>
      <c r="J585" s="44" t="n"/>
      <c r="K585" s="36" t="n"/>
      <c r="L585" s="33">
        <f>IF(C585="","",Commercial_Id)</f>
        <v/>
      </c>
      <c r="M585" s="34">
        <f>IF(OR(C585="",F585=""),"",IF(F585&lt;&gt;"Espèces","—",IF(I585&lt;&gt;"","☑ Oui","☐ Non")))</f>
        <v/>
      </c>
      <c r="N585" s="39">
        <f>IF(D585="","",IFERROR(VALUE(MID(D585,LEN(D585)-3,3)),""))</f>
        <v/>
      </c>
      <c r="O585" s="33">
        <f>IF(N585="","",L585&amp;"|"&amp;N585)</f>
        <v/>
      </c>
      <c r="P585" s="33">
        <f>IF(N585="","",IF(L585="À RENSEIGNER","GIC",L585)&amp;"-"&amp;TEXT(N585,"000"))</f>
        <v/>
      </c>
      <c r="Q585" s="33">
        <f>IF(O585="","",IFERROR(INDEX(Cl_nom,MATCH(O585,Cl_cle,0)),"(client introuvable)"))</f>
        <v/>
      </c>
      <c r="R585" s="40">
        <f>IF(O585="","",IFERROR(INDEX(Cl_reste,MATCH(O585,Cl_cle,0)),""))</f>
        <v/>
      </c>
      <c r="S585" s="34">
        <f>IF(C585="","",YEAR(C585-WEEKDAY(C585,2)+4)&amp;"-S"&amp;TEXT(INT((C585-DATE(YEAR(C585-WEEKDAY(C585,2)+4),1,3)+WEEKDAY(DATE(YEAR(C585-WEEKDAY(C585,2)+4),1,3),2)+5)/7),"00"))</f>
        <v/>
      </c>
    </row>
    <row r="586" ht="18" customHeight="1">
      <c r="A586" s="39" t="n">
        <v>581</v>
      </c>
      <c r="B586" s="33">
        <f>IF(C586="","",IF(L586="À RENSEIGNER","GIC",L586)&amp;"-E"&amp;TEXT(A586,"00000"))</f>
        <v/>
      </c>
      <c r="C586" s="32" t="n"/>
      <c r="D586" s="36" t="n"/>
      <c r="E586" s="37" t="n"/>
      <c r="F586" s="36" t="n"/>
      <c r="G586" s="44" t="n"/>
      <c r="H586" s="43" t="n"/>
      <c r="I586" s="32" t="n"/>
      <c r="J586" s="44" t="n"/>
      <c r="K586" s="36" t="n"/>
      <c r="L586" s="33">
        <f>IF(C586="","",Commercial_Id)</f>
        <v/>
      </c>
      <c r="M586" s="34">
        <f>IF(OR(C586="",F586=""),"",IF(F586&lt;&gt;"Espèces","—",IF(I586&lt;&gt;"","☑ Oui","☐ Non")))</f>
        <v/>
      </c>
      <c r="N586" s="39">
        <f>IF(D586="","",IFERROR(VALUE(MID(D586,LEN(D586)-3,3)),""))</f>
        <v/>
      </c>
      <c r="O586" s="33">
        <f>IF(N586="","",L586&amp;"|"&amp;N586)</f>
        <v/>
      </c>
      <c r="P586" s="33">
        <f>IF(N586="","",IF(L586="À RENSEIGNER","GIC",L586)&amp;"-"&amp;TEXT(N586,"000"))</f>
        <v/>
      </c>
      <c r="Q586" s="33">
        <f>IF(O586="","",IFERROR(INDEX(Cl_nom,MATCH(O586,Cl_cle,0)),"(client introuvable)"))</f>
        <v/>
      </c>
      <c r="R586" s="40">
        <f>IF(O586="","",IFERROR(INDEX(Cl_reste,MATCH(O586,Cl_cle,0)),""))</f>
        <v/>
      </c>
      <c r="S586" s="34">
        <f>IF(C586="","",YEAR(C586-WEEKDAY(C586,2)+4)&amp;"-S"&amp;TEXT(INT((C586-DATE(YEAR(C586-WEEKDAY(C586,2)+4),1,3)+WEEKDAY(DATE(YEAR(C586-WEEKDAY(C586,2)+4),1,3),2)+5)/7),"00"))</f>
        <v/>
      </c>
    </row>
    <row r="587" ht="18" customHeight="1">
      <c r="A587" s="39" t="n">
        <v>582</v>
      </c>
      <c r="B587" s="33">
        <f>IF(C587="","",IF(L587="À RENSEIGNER","GIC",L587)&amp;"-E"&amp;TEXT(A587,"00000"))</f>
        <v/>
      </c>
      <c r="C587" s="32" t="n"/>
      <c r="D587" s="36" t="n"/>
      <c r="E587" s="37" t="n"/>
      <c r="F587" s="36" t="n"/>
      <c r="G587" s="44" t="n"/>
      <c r="H587" s="43" t="n"/>
      <c r="I587" s="32" t="n"/>
      <c r="J587" s="44" t="n"/>
      <c r="K587" s="36" t="n"/>
      <c r="L587" s="33">
        <f>IF(C587="","",Commercial_Id)</f>
        <v/>
      </c>
      <c r="M587" s="34">
        <f>IF(OR(C587="",F587=""),"",IF(F587&lt;&gt;"Espèces","—",IF(I587&lt;&gt;"","☑ Oui","☐ Non")))</f>
        <v/>
      </c>
      <c r="N587" s="39">
        <f>IF(D587="","",IFERROR(VALUE(MID(D587,LEN(D587)-3,3)),""))</f>
        <v/>
      </c>
      <c r="O587" s="33">
        <f>IF(N587="","",L587&amp;"|"&amp;N587)</f>
        <v/>
      </c>
      <c r="P587" s="33">
        <f>IF(N587="","",IF(L587="À RENSEIGNER","GIC",L587)&amp;"-"&amp;TEXT(N587,"000"))</f>
        <v/>
      </c>
      <c r="Q587" s="33">
        <f>IF(O587="","",IFERROR(INDEX(Cl_nom,MATCH(O587,Cl_cle,0)),"(client introuvable)"))</f>
        <v/>
      </c>
      <c r="R587" s="40">
        <f>IF(O587="","",IFERROR(INDEX(Cl_reste,MATCH(O587,Cl_cle,0)),""))</f>
        <v/>
      </c>
      <c r="S587" s="34">
        <f>IF(C587="","",YEAR(C587-WEEKDAY(C587,2)+4)&amp;"-S"&amp;TEXT(INT((C587-DATE(YEAR(C587-WEEKDAY(C587,2)+4),1,3)+WEEKDAY(DATE(YEAR(C587-WEEKDAY(C587,2)+4),1,3),2)+5)/7),"00"))</f>
        <v/>
      </c>
    </row>
    <row r="588" ht="18" customHeight="1">
      <c r="A588" s="39" t="n">
        <v>583</v>
      </c>
      <c r="B588" s="33">
        <f>IF(C588="","",IF(L588="À RENSEIGNER","GIC",L588)&amp;"-E"&amp;TEXT(A588,"00000"))</f>
        <v/>
      </c>
      <c r="C588" s="32" t="n"/>
      <c r="D588" s="36" t="n"/>
      <c r="E588" s="37" t="n"/>
      <c r="F588" s="36" t="n"/>
      <c r="G588" s="44" t="n"/>
      <c r="H588" s="43" t="n"/>
      <c r="I588" s="32" t="n"/>
      <c r="J588" s="44" t="n"/>
      <c r="K588" s="36" t="n"/>
      <c r="L588" s="33">
        <f>IF(C588="","",Commercial_Id)</f>
        <v/>
      </c>
      <c r="M588" s="34">
        <f>IF(OR(C588="",F588=""),"",IF(F588&lt;&gt;"Espèces","—",IF(I588&lt;&gt;"","☑ Oui","☐ Non")))</f>
        <v/>
      </c>
      <c r="N588" s="39">
        <f>IF(D588="","",IFERROR(VALUE(MID(D588,LEN(D588)-3,3)),""))</f>
        <v/>
      </c>
      <c r="O588" s="33">
        <f>IF(N588="","",L588&amp;"|"&amp;N588)</f>
        <v/>
      </c>
      <c r="P588" s="33">
        <f>IF(N588="","",IF(L588="À RENSEIGNER","GIC",L588)&amp;"-"&amp;TEXT(N588,"000"))</f>
        <v/>
      </c>
      <c r="Q588" s="33">
        <f>IF(O588="","",IFERROR(INDEX(Cl_nom,MATCH(O588,Cl_cle,0)),"(client introuvable)"))</f>
        <v/>
      </c>
      <c r="R588" s="40">
        <f>IF(O588="","",IFERROR(INDEX(Cl_reste,MATCH(O588,Cl_cle,0)),""))</f>
        <v/>
      </c>
      <c r="S588" s="34">
        <f>IF(C588="","",YEAR(C588-WEEKDAY(C588,2)+4)&amp;"-S"&amp;TEXT(INT((C588-DATE(YEAR(C588-WEEKDAY(C588,2)+4),1,3)+WEEKDAY(DATE(YEAR(C588-WEEKDAY(C588,2)+4),1,3),2)+5)/7),"00"))</f>
        <v/>
      </c>
    </row>
    <row r="589" ht="18" customHeight="1">
      <c r="A589" s="39" t="n">
        <v>584</v>
      </c>
      <c r="B589" s="33">
        <f>IF(C589="","",IF(L589="À RENSEIGNER","GIC",L589)&amp;"-E"&amp;TEXT(A589,"00000"))</f>
        <v/>
      </c>
      <c r="C589" s="32" t="n"/>
      <c r="D589" s="36" t="n"/>
      <c r="E589" s="37" t="n"/>
      <c r="F589" s="36" t="n"/>
      <c r="G589" s="44" t="n"/>
      <c r="H589" s="43" t="n"/>
      <c r="I589" s="32" t="n"/>
      <c r="J589" s="44" t="n"/>
      <c r="K589" s="36" t="n"/>
      <c r="L589" s="33">
        <f>IF(C589="","",Commercial_Id)</f>
        <v/>
      </c>
      <c r="M589" s="34">
        <f>IF(OR(C589="",F589=""),"",IF(F589&lt;&gt;"Espèces","—",IF(I589&lt;&gt;"","☑ Oui","☐ Non")))</f>
        <v/>
      </c>
      <c r="N589" s="39">
        <f>IF(D589="","",IFERROR(VALUE(MID(D589,LEN(D589)-3,3)),""))</f>
        <v/>
      </c>
      <c r="O589" s="33">
        <f>IF(N589="","",L589&amp;"|"&amp;N589)</f>
        <v/>
      </c>
      <c r="P589" s="33">
        <f>IF(N589="","",IF(L589="À RENSEIGNER","GIC",L589)&amp;"-"&amp;TEXT(N589,"000"))</f>
        <v/>
      </c>
      <c r="Q589" s="33">
        <f>IF(O589="","",IFERROR(INDEX(Cl_nom,MATCH(O589,Cl_cle,0)),"(client introuvable)"))</f>
        <v/>
      </c>
      <c r="R589" s="40">
        <f>IF(O589="","",IFERROR(INDEX(Cl_reste,MATCH(O589,Cl_cle,0)),""))</f>
        <v/>
      </c>
      <c r="S589" s="34">
        <f>IF(C589="","",YEAR(C589-WEEKDAY(C589,2)+4)&amp;"-S"&amp;TEXT(INT((C589-DATE(YEAR(C589-WEEKDAY(C589,2)+4),1,3)+WEEKDAY(DATE(YEAR(C589-WEEKDAY(C589,2)+4),1,3),2)+5)/7),"00"))</f>
        <v/>
      </c>
    </row>
    <row r="590" ht="18" customHeight="1">
      <c r="A590" s="39" t="n">
        <v>585</v>
      </c>
      <c r="B590" s="33">
        <f>IF(C590="","",IF(L590="À RENSEIGNER","GIC",L590)&amp;"-E"&amp;TEXT(A590,"00000"))</f>
        <v/>
      </c>
      <c r="C590" s="32" t="n"/>
      <c r="D590" s="36" t="n"/>
      <c r="E590" s="37" t="n"/>
      <c r="F590" s="36" t="n"/>
      <c r="G590" s="44" t="n"/>
      <c r="H590" s="43" t="n"/>
      <c r="I590" s="32" t="n"/>
      <c r="J590" s="44" t="n"/>
      <c r="K590" s="36" t="n"/>
      <c r="L590" s="33">
        <f>IF(C590="","",Commercial_Id)</f>
        <v/>
      </c>
      <c r="M590" s="34">
        <f>IF(OR(C590="",F590=""),"",IF(F590&lt;&gt;"Espèces","—",IF(I590&lt;&gt;"","☑ Oui","☐ Non")))</f>
        <v/>
      </c>
      <c r="N590" s="39">
        <f>IF(D590="","",IFERROR(VALUE(MID(D590,LEN(D590)-3,3)),""))</f>
        <v/>
      </c>
      <c r="O590" s="33">
        <f>IF(N590="","",L590&amp;"|"&amp;N590)</f>
        <v/>
      </c>
      <c r="P590" s="33">
        <f>IF(N590="","",IF(L590="À RENSEIGNER","GIC",L590)&amp;"-"&amp;TEXT(N590,"000"))</f>
        <v/>
      </c>
      <c r="Q590" s="33">
        <f>IF(O590="","",IFERROR(INDEX(Cl_nom,MATCH(O590,Cl_cle,0)),"(client introuvable)"))</f>
        <v/>
      </c>
      <c r="R590" s="40">
        <f>IF(O590="","",IFERROR(INDEX(Cl_reste,MATCH(O590,Cl_cle,0)),""))</f>
        <v/>
      </c>
      <c r="S590" s="34">
        <f>IF(C590="","",YEAR(C590-WEEKDAY(C590,2)+4)&amp;"-S"&amp;TEXT(INT((C590-DATE(YEAR(C590-WEEKDAY(C590,2)+4),1,3)+WEEKDAY(DATE(YEAR(C590-WEEKDAY(C590,2)+4),1,3),2)+5)/7),"00"))</f>
        <v/>
      </c>
    </row>
    <row r="591" ht="18" customHeight="1">
      <c r="A591" s="39" t="n">
        <v>586</v>
      </c>
      <c r="B591" s="33">
        <f>IF(C591="","",IF(L591="À RENSEIGNER","GIC",L591)&amp;"-E"&amp;TEXT(A591,"00000"))</f>
        <v/>
      </c>
      <c r="C591" s="32" t="n"/>
      <c r="D591" s="36" t="n"/>
      <c r="E591" s="37" t="n"/>
      <c r="F591" s="36" t="n"/>
      <c r="G591" s="44" t="n"/>
      <c r="H591" s="43" t="n"/>
      <c r="I591" s="32" t="n"/>
      <c r="J591" s="44" t="n"/>
      <c r="K591" s="36" t="n"/>
      <c r="L591" s="33">
        <f>IF(C591="","",Commercial_Id)</f>
        <v/>
      </c>
      <c r="M591" s="34">
        <f>IF(OR(C591="",F591=""),"",IF(F591&lt;&gt;"Espèces","—",IF(I591&lt;&gt;"","☑ Oui","☐ Non")))</f>
        <v/>
      </c>
      <c r="N591" s="39">
        <f>IF(D591="","",IFERROR(VALUE(MID(D591,LEN(D591)-3,3)),""))</f>
        <v/>
      </c>
      <c r="O591" s="33">
        <f>IF(N591="","",L591&amp;"|"&amp;N591)</f>
        <v/>
      </c>
      <c r="P591" s="33">
        <f>IF(N591="","",IF(L591="À RENSEIGNER","GIC",L591)&amp;"-"&amp;TEXT(N591,"000"))</f>
        <v/>
      </c>
      <c r="Q591" s="33">
        <f>IF(O591="","",IFERROR(INDEX(Cl_nom,MATCH(O591,Cl_cle,0)),"(client introuvable)"))</f>
        <v/>
      </c>
      <c r="R591" s="40">
        <f>IF(O591="","",IFERROR(INDEX(Cl_reste,MATCH(O591,Cl_cle,0)),""))</f>
        <v/>
      </c>
      <c r="S591" s="34">
        <f>IF(C591="","",YEAR(C591-WEEKDAY(C591,2)+4)&amp;"-S"&amp;TEXT(INT((C591-DATE(YEAR(C591-WEEKDAY(C591,2)+4),1,3)+WEEKDAY(DATE(YEAR(C591-WEEKDAY(C591,2)+4),1,3),2)+5)/7),"00"))</f>
        <v/>
      </c>
    </row>
    <row r="592" ht="18" customHeight="1">
      <c r="A592" s="39" t="n">
        <v>587</v>
      </c>
      <c r="B592" s="33">
        <f>IF(C592="","",IF(L592="À RENSEIGNER","GIC",L592)&amp;"-E"&amp;TEXT(A592,"00000"))</f>
        <v/>
      </c>
      <c r="C592" s="32" t="n"/>
      <c r="D592" s="36" t="n"/>
      <c r="E592" s="37" t="n"/>
      <c r="F592" s="36" t="n"/>
      <c r="G592" s="44" t="n"/>
      <c r="H592" s="43" t="n"/>
      <c r="I592" s="32" t="n"/>
      <c r="J592" s="44" t="n"/>
      <c r="K592" s="36" t="n"/>
      <c r="L592" s="33">
        <f>IF(C592="","",Commercial_Id)</f>
        <v/>
      </c>
      <c r="M592" s="34">
        <f>IF(OR(C592="",F592=""),"",IF(F592&lt;&gt;"Espèces","—",IF(I592&lt;&gt;"","☑ Oui","☐ Non")))</f>
        <v/>
      </c>
      <c r="N592" s="39">
        <f>IF(D592="","",IFERROR(VALUE(MID(D592,LEN(D592)-3,3)),""))</f>
        <v/>
      </c>
      <c r="O592" s="33">
        <f>IF(N592="","",L592&amp;"|"&amp;N592)</f>
        <v/>
      </c>
      <c r="P592" s="33">
        <f>IF(N592="","",IF(L592="À RENSEIGNER","GIC",L592)&amp;"-"&amp;TEXT(N592,"000"))</f>
        <v/>
      </c>
      <c r="Q592" s="33">
        <f>IF(O592="","",IFERROR(INDEX(Cl_nom,MATCH(O592,Cl_cle,0)),"(client introuvable)"))</f>
        <v/>
      </c>
      <c r="R592" s="40">
        <f>IF(O592="","",IFERROR(INDEX(Cl_reste,MATCH(O592,Cl_cle,0)),""))</f>
        <v/>
      </c>
      <c r="S592" s="34">
        <f>IF(C592="","",YEAR(C592-WEEKDAY(C592,2)+4)&amp;"-S"&amp;TEXT(INT((C592-DATE(YEAR(C592-WEEKDAY(C592,2)+4),1,3)+WEEKDAY(DATE(YEAR(C592-WEEKDAY(C592,2)+4),1,3),2)+5)/7),"00"))</f>
        <v/>
      </c>
    </row>
    <row r="593" ht="18" customHeight="1">
      <c r="A593" s="39" t="n">
        <v>588</v>
      </c>
      <c r="B593" s="33">
        <f>IF(C593="","",IF(L593="À RENSEIGNER","GIC",L593)&amp;"-E"&amp;TEXT(A593,"00000"))</f>
        <v/>
      </c>
      <c r="C593" s="32" t="n"/>
      <c r="D593" s="36" t="n"/>
      <c r="E593" s="37" t="n"/>
      <c r="F593" s="36" t="n"/>
      <c r="G593" s="44" t="n"/>
      <c r="H593" s="43" t="n"/>
      <c r="I593" s="32" t="n"/>
      <c r="J593" s="44" t="n"/>
      <c r="K593" s="36" t="n"/>
      <c r="L593" s="33">
        <f>IF(C593="","",Commercial_Id)</f>
        <v/>
      </c>
      <c r="M593" s="34">
        <f>IF(OR(C593="",F593=""),"",IF(F593&lt;&gt;"Espèces","—",IF(I593&lt;&gt;"","☑ Oui","☐ Non")))</f>
        <v/>
      </c>
      <c r="N593" s="39">
        <f>IF(D593="","",IFERROR(VALUE(MID(D593,LEN(D593)-3,3)),""))</f>
        <v/>
      </c>
      <c r="O593" s="33">
        <f>IF(N593="","",L593&amp;"|"&amp;N593)</f>
        <v/>
      </c>
      <c r="P593" s="33">
        <f>IF(N593="","",IF(L593="À RENSEIGNER","GIC",L593)&amp;"-"&amp;TEXT(N593,"000"))</f>
        <v/>
      </c>
      <c r="Q593" s="33">
        <f>IF(O593="","",IFERROR(INDEX(Cl_nom,MATCH(O593,Cl_cle,0)),"(client introuvable)"))</f>
        <v/>
      </c>
      <c r="R593" s="40">
        <f>IF(O593="","",IFERROR(INDEX(Cl_reste,MATCH(O593,Cl_cle,0)),""))</f>
        <v/>
      </c>
      <c r="S593" s="34">
        <f>IF(C593="","",YEAR(C593-WEEKDAY(C593,2)+4)&amp;"-S"&amp;TEXT(INT((C593-DATE(YEAR(C593-WEEKDAY(C593,2)+4),1,3)+WEEKDAY(DATE(YEAR(C593-WEEKDAY(C593,2)+4),1,3),2)+5)/7),"00"))</f>
        <v/>
      </c>
    </row>
    <row r="594" ht="18" customHeight="1">
      <c r="A594" s="39" t="n">
        <v>589</v>
      </c>
      <c r="B594" s="33">
        <f>IF(C594="","",IF(L594="À RENSEIGNER","GIC",L594)&amp;"-E"&amp;TEXT(A594,"00000"))</f>
        <v/>
      </c>
      <c r="C594" s="32" t="n"/>
      <c r="D594" s="36" t="n"/>
      <c r="E594" s="37" t="n"/>
      <c r="F594" s="36" t="n"/>
      <c r="G594" s="44" t="n"/>
      <c r="H594" s="43" t="n"/>
      <c r="I594" s="32" t="n"/>
      <c r="J594" s="44" t="n"/>
      <c r="K594" s="36" t="n"/>
      <c r="L594" s="33">
        <f>IF(C594="","",Commercial_Id)</f>
        <v/>
      </c>
      <c r="M594" s="34">
        <f>IF(OR(C594="",F594=""),"",IF(F594&lt;&gt;"Espèces","—",IF(I594&lt;&gt;"","☑ Oui","☐ Non")))</f>
        <v/>
      </c>
      <c r="N594" s="39">
        <f>IF(D594="","",IFERROR(VALUE(MID(D594,LEN(D594)-3,3)),""))</f>
        <v/>
      </c>
      <c r="O594" s="33">
        <f>IF(N594="","",L594&amp;"|"&amp;N594)</f>
        <v/>
      </c>
      <c r="P594" s="33">
        <f>IF(N594="","",IF(L594="À RENSEIGNER","GIC",L594)&amp;"-"&amp;TEXT(N594,"000"))</f>
        <v/>
      </c>
      <c r="Q594" s="33">
        <f>IF(O594="","",IFERROR(INDEX(Cl_nom,MATCH(O594,Cl_cle,0)),"(client introuvable)"))</f>
        <v/>
      </c>
      <c r="R594" s="40">
        <f>IF(O594="","",IFERROR(INDEX(Cl_reste,MATCH(O594,Cl_cle,0)),""))</f>
        <v/>
      </c>
      <c r="S594" s="34">
        <f>IF(C594="","",YEAR(C594-WEEKDAY(C594,2)+4)&amp;"-S"&amp;TEXT(INT((C594-DATE(YEAR(C594-WEEKDAY(C594,2)+4),1,3)+WEEKDAY(DATE(YEAR(C594-WEEKDAY(C594,2)+4),1,3),2)+5)/7),"00"))</f>
        <v/>
      </c>
    </row>
    <row r="595" ht="18" customHeight="1">
      <c r="A595" s="39" t="n">
        <v>590</v>
      </c>
      <c r="B595" s="33">
        <f>IF(C595="","",IF(L595="À RENSEIGNER","GIC",L595)&amp;"-E"&amp;TEXT(A595,"00000"))</f>
        <v/>
      </c>
      <c r="C595" s="32" t="n"/>
      <c r="D595" s="36" t="n"/>
      <c r="E595" s="37" t="n"/>
      <c r="F595" s="36" t="n"/>
      <c r="G595" s="44" t="n"/>
      <c r="H595" s="43" t="n"/>
      <c r="I595" s="32" t="n"/>
      <c r="J595" s="44" t="n"/>
      <c r="K595" s="36" t="n"/>
      <c r="L595" s="33">
        <f>IF(C595="","",Commercial_Id)</f>
        <v/>
      </c>
      <c r="M595" s="34">
        <f>IF(OR(C595="",F595=""),"",IF(F595&lt;&gt;"Espèces","—",IF(I595&lt;&gt;"","☑ Oui","☐ Non")))</f>
        <v/>
      </c>
      <c r="N595" s="39">
        <f>IF(D595="","",IFERROR(VALUE(MID(D595,LEN(D595)-3,3)),""))</f>
        <v/>
      </c>
      <c r="O595" s="33">
        <f>IF(N595="","",L595&amp;"|"&amp;N595)</f>
        <v/>
      </c>
      <c r="P595" s="33">
        <f>IF(N595="","",IF(L595="À RENSEIGNER","GIC",L595)&amp;"-"&amp;TEXT(N595,"000"))</f>
        <v/>
      </c>
      <c r="Q595" s="33">
        <f>IF(O595="","",IFERROR(INDEX(Cl_nom,MATCH(O595,Cl_cle,0)),"(client introuvable)"))</f>
        <v/>
      </c>
      <c r="R595" s="40">
        <f>IF(O595="","",IFERROR(INDEX(Cl_reste,MATCH(O595,Cl_cle,0)),""))</f>
        <v/>
      </c>
      <c r="S595" s="34">
        <f>IF(C595="","",YEAR(C595-WEEKDAY(C595,2)+4)&amp;"-S"&amp;TEXT(INT((C595-DATE(YEAR(C595-WEEKDAY(C595,2)+4),1,3)+WEEKDAY(DATE(YEAR(C595-WEEKDAY(C595,2)+4),1,3),2)+5)/7),"00"))</f>
        <v/>
      </c>
    </row>
    <row r="596" ht="18" customHeight="1">
      <c r="A596" s="39" t="n">
        <v>591</v>
      </c>
      <c r="B596" s="33">
        <f>IF(C596="","",IF(L596="À RENSEIGNER","GIC",L596)&amp;"-E"&amp;TEXT(A596,"00000"))</f>
        <v/>
      </c>
      <c r="C596" s="32" t="n"/>
      <c r="D596" s="36" t="n"/>
      <c r="E596" s="37" t="n"/>
      <c r="F596" s="36" t="n"/>
      <c r="G596" s="44" t="n"/>
      <c r="H596" s="43" t="n"/>
      <c r="I596" s="32" t="n"/>
      <c r="J596" s="44" t="n"/>
      <c r="K596" s="36" t="n"/>
      <c r="L596" s="33">
        <f>IF(C596="","",Commercial_Id)</f>
        <v/>
      </c>
      <c r="M596" s="34">
        <f>IF(OR(C596="",F596=""),"",IF(F596&lt;&gt;"Espèces","—",IF(I596&lt;&gt;"","☑ Oui","☐ Non")))</f>
        <v/>
      </c>
      <c r="N596" s="39">
        <f>IF(D596="","",IFERROR(VALUE(MID(D596,LEN(D596)-3,3)),""))</f>
        <v/>
      </c>
      <c r="O596" s="33">
        <f>IF(N596="","",L596&amp;"|"&amp;N596)</f>
        <v/>
      </c>
      <c r="P596" s="33">
        <f>IF(N596="","",IF(L596="À RENSEIGNER","GIC",L596)&amp;"-"&amp;TEXT(N596,"000"))</f>
        <v/>
      </c>
      <c r="Q596" s="33">
        <f>IF(O596="","",IFERROR(INDEX(Cl_nom,MATCH(O596,Cl_cle,0)),"(client introuvable)"))</f>
        <v/>
      </c>
      <c r="R596" s="40">
        <f>IF(O596="","",IFERROR(INDEX(Cl_reste,MATCH(O596,Cl_cle,0)),""))</f>
        <v/>
      </c>
      <c r="S596" s="34">
        <f>IF(C596="","",YEAR(C596-WEEKDAY(C596,2)+4)&amp;"-S"&amp;TEXT(INT((C596-DATE(YEAR(C596-WEEKDAY(C596,2)+4),1,3)+WEEKDAY(DATE(YEAR(C596-WEEKDAY(C596,2)+4),1,3),2)+5)/7),"00"))</f>
        <v/>
      </c>
    </row>
    <row r="597" ht="18" customHeight="1">
      <c r="A597" s="39" t="n">
        <v>592</v>
      </c>
      <c r="B597" s="33">
        <f>IF(C597="","",IF(L597="À RENSEIGNER","GIC",L597)&amp;"-E"&amp;TEXT(A597,"00000"))</f>
        <v/>
      </c>
      <c r="C597" s="32" t="n"/>
      <c r="D597" s="36" t="n"/>
      <c r="E597" s="37" t="n"/>
      <c r="F597" s="36" t="n"/>
      <c r="G597" s="44" t="n"/>
      <c r="H597" s="43" t="n"/>
      <c r="I597" s="32" t="n"/>
      <c r="J597" s="44" t="n"/>
      <c r="K597" s="36" t="n"/>
      <c r="L597" s="33">
        <f>IF(C597="","",Commercial_Id)</f>
        <v/>
      </c>
      <c r="M597" s="34">
        <f>IF(OR(C597="",F597=""),"",IF(F597&lt;&gt;"Espèces","—",IF(I597&lt;&gt;"","☑ Oui","☐ Non")))</f>
        <v/>
      </c>
      <c r="N597" s="39">
        <f>IF(D597="","",IFERROR(VALUE(MID(D597,LEN(D597)-3,3)),""))</f>
        <v/>
      </c>
      <c r="O597" s="33">
        <f>IF(N597="","",L597&amp;"|"&amp;N597)</f>
        <v/>
      </c>
      <c r="P597" s="33">
        <f>IF(N597="","",IF(L597="À RENSEIGNER","GIC",L597)&amp;"-"&amp;TEXT(N597,"000"))</f>
        <v/>
      </c>
      <c r="Q597" s="33">
        <f>IF(O597="","",IFERROR(INDEX(Cl_nom,MATCH(O597,Cl_cle,0)),"(client introuvable)"))</f>
        <v/>
      </c>
      <c r="R597" s="40">
        <f>IF(O597="","",IFERROR(INDEX(Cl_reste,MATCH(O597,Cl_cle,0)),""))</f>
        <v/>
      </c>
      <c r="S597" s="34">
        <f>IF(C597="","",YEAR(C597-WEEKDAY(C597,2)+4)&amp;"-S"&amp;TEXT(INT((C597-DATE(YEAR(C597-WEEKDAY(C597,2)+4),1,3)+WEEKDAY(DATE(YEAR(C597-WEEKDAY(C597,2)+4),1,3),2)+5)/7),"00"))</f>
        <v/>
      </c>
    </row>
    <row r="598" ht="18" customHeight="1">
      <c r="A598" s="39" t="n">
        <v>593</v>
      </c>
      <c r="B598" s="33">
        <f>IF(C598="","",IF(L598="À RENSEIGNER","GIC",L598)&amp;"-E"&amp;TEXT(A598,"00000"))</f>
        <v/>
      </c>
      <c r="C598" s="32" t="n"/>
      <c r="D598" s="36" t="n"/>
      <c r="E598" s="37" t="n"/>
      <c r="F598" s="36" t="n"/>
      <c r="G598" s="44" t="n"/>
      <c r="H598" s="43" t="n"/>
      <c r="I598" s="32" t="n"/>
      <c r="J598" s="44" t="n"/>
      <c r="K598" s="36" t="n"/>
      <c r="L598" s="33">
        <f>IF(C598="","",Commercial_Id)</f>
        <v/>
      </c>
      <c r="M598" s="34">
        <f>IF(OR(C598="",F598=""),"",IF(F598&lt;&gt;"Espèces","—",IF(I598&lt;&gt;"","☑ Oui","☐ Non")))</f>
        <v/>
      </c>
      <c r="N598" s="39">
        <f>IF(D598="","",IFERROR(VALUE(MID(D598,LEN(D598)-3,3)),""))</f>
        <v/>
      </c>
      <c r="O598" s="33">
        <f>IF(N598="","",L598&amp;"|"&amp;N598)</f>
        <v/>
      </c>
      <c r="P598" s="33">
        <f>IF(N598="","",IF(L598="À RENSEIGNER","GIC",L598)&amp;"-"&amp;TEXT(N598,"000"))</f>
        <v/>
      </c>
      <c r="Q598" s="33">
        <f>IF(O598="","",IFERROR(INDEX(Cl_nom,MATCH(O598,Cl_cle,0)),"(client introuvable)"))</f>
        <v/>
      </c>
      <c r="R598" s="40">
        <f>IF(O598="","",IFERROR(INDEX(Cl_reste,MATCH(O598,Cl_cle,0)),""))</f>
        <v/>
      </c>
      <c r="S598" s="34">
        <f>IF(C598="","",YEAR(C598-WEEKDAY(C598,2)+4)&amp;"-S"&amp;TEXT(INT((C598-DATE(YEAR(C598-WEEKDAY(C598,2)+4),1,3)+WEEKDAY(DATE(YEAR(C598-WEEKDAY(C598,2)+4),1,3),2)+5)/7),"00"))</f>
        <v/>
      </c>
    </row>
    <row r="599" ht="18" customHeight="1">
      <c r="A599" s="39" t="n">
        <v>594</v>
      </c>
      <c r="B599" s="33">
        <f>IF(C599="","",IF(L599="À RENSEIGNER","GIC",L599)&amp;"-E"&amp;TEXT(A599,"00000"))</f>
        <v/>
      </c>
      <c r="C599" s="32" t="n"/>
      <c r="D599" s="36" t="n"/>
      <c r="E599" s="37" t="n"/>
      <c r="F599" s="36" t="n"/>
      <c r="G599" s="44" t="n"/>
      <c r="H599" s="43" t="n"/>
      <c r="I599" s="32" t="n"/>
      <c r="J599" s="44" t="n"/>
      <c r="K599" s="36" t="n"/>
      <c r="L599" s="33">
        <f>IF(C599="","",Commercial_Id)</f>
        <v/>
      </c>
      <c r="M599" s="34">
        <f>IF(OR(C599="",F599=""),"",IF(F599&lt;&gt;"Espèces","—",IF(I599&lt;&gt;"","☑ Oui","☐ Non")))</f>
        <v/>
      </c>
      <c r="N599" s="39">
        <f>IF(D599="","",IFERROR(VALUE(MID(D599,LEN(D599)-3,3)),""))</f>
        <v/>
      </c>
      <c r="O599" s="33">
        <f>IF(N599="","",L599&amp;"|"&amp;N599)</f>
        <v/>
      </c>
      <c r="P599" s="33">
        <f>IF(N599="","",IF(L599="À RENSEIGNER","GIC",L599)&amp;"-"&amp;TEXT(N599,"000"))</f>
        <v/>
      </c>
      <c r="Q599" s="33">
        <f>IF(O599="","",IFERROR(INDEX(Cl_nom,MATCH(O599,Cl_cle,0)),"(client introuvable)"))</f>
        <v/>
      </c>
      <c r="R599" s="40">
        <f>IF(O599="","",IFERROR(INDEX(Cl_reste,MATCH(O599,Cl_cle,0)),""))</f>
        <v/>
      </c>
      <c r="S599" s="34">
        <f>IF(C599="","",YEAR(C599-WEEKDAY(C599,2)+4)&amp;"-S"&amp;TEXT(INT((C599-DATE(YEAR(C599-WEEKDAY(C599,2)+4),1,3)+WEEKDAY(DATE(YEAR(C599-WEEKDAY(C599,2)+4),1,3),2)+5)/7),"00"))</f>
        <v/>
      </c>
    </row>
    <row r="600" ht="18" customHeight="1">
      <c r="A600" s="39" t="n">
        <v>595</v>
      </c>
      <c r="B600" s="33">
        <f>IF(C600="","",IF(L600="À RENSEIGNER","GIC",L600)&amp;"-E"&amp;TEXT(A600,"00000"))</f>
        <v/>
      </c>
      <c r="C600" s="32" t="n"/>
      <c r="D600" s="36" t="n"/>
      <c r="E600" s="37" t="n"/>
      <c r="F600" s="36" t="n"/>
      <c r="G600" s="44" t="n"/>
      <c r="H600" s="43" t="n"/>
      <c r="I600" s="32" t="n"/>
      <c r="J600" s="44" t="n"/>
      <c r="K600" s="36" t="n"/>
      <c r="L600" s="33">
        <f>IF(C600="","",Commercial_Id)</f>
        <v/>
      </c>
      <c r="M600" s="34">
        <f>IF(OR(C600="",F600=""),"",IF(F600&lt;&gt;"Espèces","—",IF(I600&lt;&gt;"","☑ Oui","☐ Non")))</f>
        <v/>
      </c>
      <c r="N600" s="39">
        <f>IF(D600="","",IFERROR(VALUE(MID(D600,LEN(D600)-3,3)),""))</f>
        <v/>
      </c>
      <c r="O600" s="33">
        <f>IF(N600="","",L600&amp;"|"&amp;N600)</f>
        <v/>
      </c>
      <c r="P600" s="33">
        <f>IF(N600="","",IF(L600="À RENSEIGNER","GIC",L600)&amp;"-"&amp;TEXT(N600,"000"))</f>
        <v/>
      </c>
      <c r="Q600" s="33">
        <f>IF(O600="","",IFERROR(INDEX(Cl_nom,MATCH(O600,Cl_cle,0)),"(client introuvable)"))</f>
        <v/>
      </c>
      <c r="R600" s="40">
        <f>IF(O600="","",IFERROR(INDEX(Cl_reste,MATCH(O600,Cl_cle,0)),""))</f>
        <v/>
      </c>
      <c r="S600" s="34">
        <f>IF(C600="","",YEAR(C600-WEEKDAY(C600,2)+4)&amp;"-S"&amp;TEXT(INT((C600-DATE(YEAR(C600-WEEKDAY(C600,2)+4),1,3)+WEEKDAY(DATE(YEAR(C600-WEEKDAY(C600,2)+4),1,3),2)+5)/7),"00"))</f>
        <v/>
      </c>
    </row>
    <row r="601" ht="18" customHeight="1">
      <c r="A601" s="39" t="n">
        <v>596</v>
      </c>
      <c r="B601" s="33">
        <f>IF(C601="","",IF(L601="À RENSEIGNER","GIC",L601)&amp;"-E"&amp;TEXT(A601,"00000"))</f>
        <v/>
      </c>
      <c r="C601" s="32" t="n"/>
      <c r="D601" s="36" t="n"/>
      <c r="E601" s="37" t="n"/>
      <c r="F601" s="36" t="n"/>
      <c r="G601" s="44" t="n"/>
      <c r="H601" s="43" t="n"/>
      <c r="I601" s="32" t="n"/>
      <c r="J601" s="44" t="n"/>
      <c r="K601" s="36" t="n"/>
      <c r="L601" s="33">
        <f>IF(C601="","",Commercial_Id)</f>
        <v/>
      </c>
      <c r="M601" s="34">
        <f>IF(OR(C601="",F601=""),"",IF(F601&lt;&gt;"Espèces","—",IF(I601&lt;&gt;"","☑ Oui","☐ Non")))</f>
        <v/>
      </c>
      <c r="N601" s="39">
        <f>IF(D601="","",IFERROR(VALUE(MID(D601,LEN(D601)-3,3)),""))</f>
        <v/>
      </c>
      <c r="O601" s="33">
        <f>IF(N601="","",L601&amp;"|"&amp;N601)</f>
        <v/>
      </c>
      <c r="P601" s="33">
        <f>IF(N601="","",IF(L601="À RENSEIGNER","GIC",L601)&amp;"-"&amp;TEXT(N601,"000"))</f>
        <v/>
      </c>
      <c r="Q601" s="33">
        <f>IF(O601="","",IFERROR(INDEX(Cl_nom,MATCH(O601,Cl_cle,0)),"(client introuvable)"))</f>
        <v/>
      </c>
      <c r="R601" s="40">
        <f>IF(O601="","",IFERROR(INDEX(Cl_reste,MATCH(O601,Cl_cle,0)),""))</f>
        <v/>
      </c>
      <c r="S601" s="34">
        <f>IF(C601="","",YEAR(C601-WEEKDAY(C601,2)+4)&amp;"-S"&amp;TEXT(INT((C601-DATE(YEAR(C601-WEEKDAY(C601,2)+4),1,3)+WEEKDAY(DATE(YEAR(C601-WEEKDAY(C601,2)+4),1,3),2)+5)/7),"00"))</f>
        <v/>
      </c>
    </row>
    <row r="602" ht="18" customHeight="1">
      <c r="A602" s="39" t="n">
        <v>597</v>
      </c>
      <c r="B602" s="33">
        <f>IF(C602="","",IF(L602="À RENSEIGNER","GIC",L602)&amp;"-E"&amp;TEXT(A602,"00000"))</f>
        <v/>
      </c>
      <c r="C602" s="32" t="n"/>
      <c r="D602" s="36" t="n"/>
      <c r="E602" s="37" t="n"/>
      <c r="F602" s="36" t="n"/>
      <c r="G602" s="44" t="n"/>
      <c r="H602" s="43" t="n"/>
      <c r="I602" s="32" t="n"/>
      <c r="J602" s="44" t="n"/>
      <c r="K602" s="36" t="n"/>
      <c r="L602" s="33">
        <f>IF(C602="","",Commercial_Id)</f>
        <v/>
      </c>
      <c r="M602" s="34">
        <f>IF(OR(C602="",F602=""),"",IF(F602&lt;&gt;"Espèces","—",IF(I602&lt;&gt;"","☑ Oui","☐ Non")))</f>
        <v/>
      </c>
      <c r="N602" s="39">
        <f>IF(D602="","",IFERROR(VALUE(MID(D602,LEN(D602)-3,3)),""))</f>
        <v/>
      </c>
      <c r="O602" s="33">
        <f>IF(N602="","",L602&amp;"|"&amp;N602)</f>
        <v/>
      </c>
      <c r="P602" s="33">
        <f>IF(N602="","",IF(L602="À RENSEIGNER","GIC",L602)&amp;"-"&amp;TEXT(N602,"000"))</f>
        <v/>
      </c>
      <c r="Q602" s="33">
        <f>IF(O602="","",IFERROR(INDEX(Cl_nom,MATCH(O602,Cl_cle,0)),"(client introuvable)"))</f>
        <v/>
      </c>
      <c r="R602" s="40">
        <f>IF(O602="","",IFERROR(INDEX(Cl_reste,MATCH(O602,Cl_cle,0)),""))</f>
        <v/>
      </c>
      <c r="S602" s="34">
        <f>IF(C602="","",YEAR(C602-WEEKDAY(C602,2)+4)&amp;"-S"&amp;TEXT(INT((C602-DATE(YEAR(C602-WEEKDAY(C602,2)+4),1,3)+WEEKDAY(DATE(YEAR(C602-WEEKDAY(C602,2)+4),1,3),2)+5)/7),"00"))</f>
        <v/>
      </c>
    </row>
    <row r="603" ht="18" customHeight="1">
      <c r="A603" s="39" t="n">
        <v>598</v>
      </c>
      <c r="B603" s="33">
        <f>IF(C603="","",IF(L603="À RENSEIGNER","GIC",L603)&amp;"-E"&amp;TEXT(A603,"00000"))</f>
        <v/>
      </c>
      <c r="C603" s="32" t="n"/>
      <c r="D603" s="36" t="n"/>
      <c r="E603" s="37" t="n"/>
      <c r="F603" s="36" t="n"/>
      <c r="G603" s="44" t="n"/>
      <c r="H603" s="43" t="n"/>
      <c r="I603" s="32" t="n"/>
      <c r="J603" s="44" t="n"/>
      <c r="K603" s="36" t="n"/>
      <c r="L603" s="33">
        <f>IF(C603="","",Commercial_Id)</f>
        <v/>
      </c>
      <c r="M603" s="34">
        <f>IF(OR(C603="",F603=""),"",IF(F603&lt;&gt;"Espèces","—",IF(I603&lt;&gt;"","☑ Oui","☐ Non")))</f>
        <v/>
      </c>
      <c r="N603" s="39">
        <f>IF(D603="","",IFERROR(VALUE(MID(D603,LEN(D603)-3,3)),""))</f>
        <v/>
      </c>
      <c r="O603" s="33">
        <f>IF(N603="","",L603&amp;"|"&amp;N603)</f>
        <v/>
      </c>
      <c r="P603" s="33">
        <f>IF(N603="","",IF(L603="À RENSEIGNER","GIC",L603)&amp;"-"&amp;TEXT(N603,"000"))</f>
        <v/>
      </c>
      <c r="Q603" s="33">
        <f>IF(O603="","",IFERROR(INDEX(Cl_nom,MATCH(O603,Cl_cle,0)),"(client introuvable)"))</f>
        <v/>
      </c>
      <c r="R603" s="40">
        <f>IF(O603="","",IFERROR(INDEX(Cl_reste,MATCH(O603,Cl_cle,0)),""))</f>
        <v/>
      </c>
      <c r="S603" s="34">
        <f>IF(C603="","",YEAR(C603-WEEKDAY(C603,2)+4)&amp;"-S"&amp;TEXT(INT((C603-DATE(YEAR(C603-WEEKDAY(C603,2)+4),1,3)+WEEKDAY(DATE(YEAR(C603-WEEKDAY(C603,2)+4),1,3),2)+5)/7),"00"))</f>
        <v/>
      </c>
    </row>
    <row r="604" ht="18" customHeight="1">
      <c r="A604" s="39" t="n">
        <v>599</v>
      </c>
      <c r="B604" s="33">
        <f>IF(C604="","",IF(L604="À RENSEIGNER","GIC",L604)&amp;"-E"&amp;TEXT(A604,"00000"))</f>
        <v/>
      </c>
      <c r="C604" s="32" t="n"/>
      <c r="D604" s="36" t="n"/>
      <c r="E604" s="37" t="n"/>
      <c r="F604" s="36" t="n"/>
      <c r="G604" s="44" t="n"/>
      <c r="H604" s="43" t="n"/>
      <c r="I604" s="32" t="n"/>
      <c r="J604" s="44" t="n"/>
      <c r="K604" s="36" t="n"/>
      <c r="L604" s="33">
        <f>IF(C604="","",Commercial_Id)</f>
        <v/>
      </c>
      <c r="M604" s="34">
        <f>IF(OR(C604="",F604=""),"",IF(F604&lt;&gt;"Espèces","—",IF(I604&lt;&gt;"","☑ Oui","☐ Non")))</f>
        <v/>
      </c>
      <c r="N604" s="39">
        <f>IF(D604="","",IFERROR(VALUE(MID(D604,LEN(D604)-3,3)),""))</f>
        <v/>
      </c>
      <c r="O604" s="33">
        <f>IF(N604="","",L604&amp;"|"&amp;N604)</f>
        <v/>
      </c>
      <c r="P604" s="33">
        <f>IF(N604="","",IF(L604="À RENSEIGNER","GIC",L604)&amp;"-"&amp;TEXT(N604,"000"))</f>
        <v/>
      </c>
      <c r="Q604" s="33">
        <f>IF(O604="","",IFERROR(INDEX(Cl_nom,MATCH(O604,Cl_cle,0)),"(client introuvable)"))</f>
        <v/>
      </c>
      <c r="R604" s="40">
        <f>IF(O604="","",IFERROR(INDEX(Cl_reste,MATCH(O604,Cl_cle,0)),""))</f>
        <v/>
      </c>
      <c r="S604" s="34">
        <f>IF(C604="","",YEAR(C604-WEEKDAY(C604,2)+4)&amp;"-S"&amp;TEXT(INT((C604-DATE(YEAR(C604-WEEKDAY(C604,2)+4),1,3)+WEEKDAY(DATE(YEAR(C604-WEEKDAY(C604,2)+4),1,3),2)+5)/7),"00"))</f>
        <v/>
      </c>
    </row>
    <row r="605" ht="18" customHeight="1">
      <c r="A605" s="39" t="n">
        <v>600</v>
      </c>
      <c r="B605" s="33">
        <f>IF(C605="","",IF(L605="À RENSEIGNER","GIC",L605)&amp;"-E"&amp;TEXT(A605,"00000"))</f>
        <v/>
      </c>
      <c r="C605" s="32" t="n"/>
      <c r="D605" s="36" t="n"/>
      <c r="E605" s="37" t="n"/>
      <c r="F605" s="36" t="n"/>
      <c r="G605" s="44" t="n"/>
      <c r="H605" s="43" t="n"/>
      <c r="I605" s="32" t="n"/>
      <c r="J605" s="44" t="n"/>
      <c r="K605" s="36" t="n"/>
      <c r="L605" s="33">
        <f>IF(C605="","",Commercial_Id)</f>
        <v/>
      </c>
      <c r="M605" s="34">
        <f>IF(OR(C605="",F605=""),"",IF(F605&lt;&gt;"Espèces","—",IF(I605&lt;&gt;"","☑ Oui","☐ Non")))</f>
        <v/>
      </c>
      <c r="N605" s="39">
        <f>IF(D605="","",IFERROR(VALUE(MID(D605,LEN(D605)-3,3)),""))</f>
        <v/>
      </c>
      <c r="O605" s="33">
        <f>IF(N605="","",L605&amp;"|"&amp;N605)</f>
        <v/>
      </c>
      <c r="P605" s="33">
        <f>IF(N605="","",IF(L605="À RENSEIGNER","GIC",L605)&amp;"-"&amp;TEXT(N605,"000"))</f>
        <v/>
      </c>
      <c r="Q605" s="33">
        <f>IF(O605="","",IFERROR(INDEX(Cl_nom,MATCH(O605,Cl_cle,0)),"(client introuvable)"))</f>
        <v/>
      </c>
      <c r="R605" s="40">
        <f>IF(O605="","",IFERROR(INDEX(Cl_reste,MATCH(O605,Cl_cle,0)),""))</f>
        <v/>
      </c>
      <c r="S605" s="34">
        <f>IF(C605="","",YEAR(C605-WEEKDAY(C605,2)+4)&amp;"-S"&amp;TEXT(INT((C605-DATE(YEAR(C605-WEEKDAY(C605,2)+4),1,3)+WEEKDAY(DATE(YEAR(C605-WEEKDAY(C605,2)+4),1,3),2)+5)/7),"00"))</f>
        <v/>
      </c>
    </row>
    <row r="606" ht="18" customHeight="1">
      <c r="A606" s="39" t="n">
        <v>601</v>
      </c>
      <c r="B606" s="33">
        <f>IF(C606="","",IF(L606="À RENSEIGNER","GIC",L606)&amp;"-E"&amp;TEXT(A606,"00000"))</f>
        <v/>
      </c>
      <c r="C606" s="32" t="n"/>
      <c r="D606" s="36" t="n"/>
      <c r="E606" s="37" t="n"/>
      <c r="F606" s="36" t="n"/>
      <c r="G606" s="44" t="n"/>
      <c r="H606" s="43" t="n"/>
      <c r="I606" s="32" t="n"/>
      <c r="J606" s="44" t="n"/>
      <c r="K606" s="36" t="n"/>
      <c r="L606" s="33">
        <f>IF(C606="","",Commercial_Id)</f>
        <v/>
      </c>
      <c r="M606" s="34">
        <f>IF(OR(C606="",F606=""),"",IF(F606&lt;&gt;"Espèces","—",IF(I606&lt;&gt;"","☑ Oui","☐ Non")))</f>
        <v/>
      </c>
      <c r="N606" s="39">
        <f>IF(D606="","",IFERROR(VALUE(MID(D606,LEN(D606)-3,3)),""))</f>
        <v/>
      </c>
      <c r="O606" s="33">
        <f>IF(N606="","",L606&amp;"|"&amp;N606)</f>
        <v/>
      </c>
      <c r="P606" s="33">
        <f>IF(N606="","",IF(L606="À RENSEIGNER","GIC",L606)&amp;"-"&amp;TEXT(N606,"000"))</f>
        <v/>
      </c>
      <c r="Q606" s="33">
        <f>IF(O606="","",IFERROR(INDEX(Cl_nom,MATCH(O606,Cl_cle,0)),"(client introuvable)"))</f>
        <v/>
      </c>
      <c r="R606" s="40">
        <f>IF(O606="","",IFERROR(INDEX(Cl_reste,MATCH(O606,Cl_cle,0)),""))</f>
        <v/>
      </c>
      <c r="S606" s="34">
        <f>IF(C606="","",YEAR(C606-WEEKDAY(C606,2)+4)&amp;"-S"&amp;TEXT(INT((C606-DATE(YEAR(C606-WEEKDAY(C606,2)+4),1,3)+WEEKDAY(DATE(YEAR(C606-WEEKDAY(C606,2)+4),1,3),2)+5)/7),"00"))</f>
        <v/>
      </c>
    </row>
    <row r="607" ht="18" customHeight="1">
      <c r="A607" s="39" t="n">
        <v>602</v>
      </c>
      <c r="B607" s="33">
        <f>IF(C607="","",IF(L607="À RENSEIGNER","GIC",L607)&amp;"-E"&amp;TEXT(A607,"00000"))</f>
        <v/>
      </c>
      <c r="C607" s="32" t="n"/>
      <c r="D607" s="36" t="n"/>
      <c r="E607" s="37" t="n"/>
      <c r="F607" s="36" t="n"/>
      <c r="G607" s="44" t="n"/>
      <c r="H607" s="43" t="n"/>
      <c r="I607" s="32" t="n"/>
      <c r="J607" s="44" t="n"/>
      <c r="K607" s="36" t="n"/>
      <c r="L607" s="33">
        <f>IF(C607="","",Commercial_Id)</f>
        <v/>
      </c>
      <c r="M607" s="34">
        <f>IF(OR(C607="",F607=""),"",IF(F607&lt;&gt;"Espèces","—",IF(I607&lt;&gt;"","☑ Oui","☐ Non")))</f>
        <v/>
      </c>
      <c r="N607" s="39">
        <f>IF(D607="","",IFERROR(VALUE(MID(D607,LEN(D607)-3,3)),""))</f>
        <v/>
      </c>
      <c r="O607" s="33">
        <f>IF(N607="","",L607&amp;"|"&amp;N607)</f>
        <v/>
      </c>
      <c r="P607" s="33">
        <f>IF(N607="","",IF(L607="À RENSEIGNER","GIC",L607)&amp;"-"&amp;TEXT(N607,"000"))</f>
        <v/>
      </c>
      <c r="Q607" s="33">
        <f>IF(O607="","",IFERROR(INDEX(Cl_nom,MATCH(O607,Cl_cle,0)),"(client introuvable)"))</f>
        <v/>
      </c>
      <c r="R607" s="40">
        <f>IF(O607="","",IFERROR(INDEX(Cl_reste,MATCH(O607,Cl_cle,0)),""))</f>
        <v/>
      </c>
      <c r="S607" s="34">
        <f>IF(C607="","",YEAR(C607-WEEKDAY(C607,2)+4)&amp;"-S"&amp;TEXT(INT((C607-DATE(YEAR(C607-WEEKDAY(C607,2)+4),1,3)+WEEKDAY(DATE(YEAR(C607-WEEKDAY(C607,2)+4),1,3),2)+5)/7),"00"))</f>
        <v/>
      </c>
    </row>
    <row r="608" ht="18" customHeight="1">
      <c r="A608" s="39" t="n">
        <v>603</v>
      </c>
      <c r="B608" s="33">
        <f>IF(C608="","",IF(L608="À RENSEIGNER","GIC",L608)&amp;"-E"&amp;TEXT(A608,"00000"))</f>
        <v/>
      </c>
      <c r="C608" s="32" t="n"/>
      <c r="D608" s="36" t="n"/>
      <c r="E608" s="37" t="n"/>
      <c r="F608" s="36" t="n"/>
      <c r="G608" s="44" t="n"/>
      <c r="H608" s="43" t="n"/>
      <c r="I608" s="32" t="n"/>
      <c r="J608" s="44" t="n"/>
      <c r="K608" s="36" t="n"/>
      <c r="L608" s="33">
        <f>IF(C608="","",Commercial_Id)</f>
        <v/>
      </c>
      <c r="M608" s="34">
        <f>IF(OR(C608="",F608=""),"",IF(F608&lt;&gt;"Espèces","—",IF(I608&lt;&gt;"","☑ Oui","☐ Non")))</f>
        <v/>
      </c>
      <c r="N608" s="39">
        <f>IF(D608="","",IFERROR(VALUE(MID(D608,LEN(D608)-3,3)),""))</f>
        <v/>
      </c>
      <c r="O608" s="33">
        <f>IF(N608="","",L608&amp;"|"&amp;N608)</f>
        <v/>
      </c>
      <c r="P608" s="33">
        <f>IF(N608="","",IF(L608="À RENSEIGNER","GIC",L608)&amp;"-"&amp;TEXT(N608,"000"))</f>
        <v/>
      </c>
      <c r="Q608" s="33">
        <f>IF(O608="","",IFERROR(INDEX(Cl_nom,MATCH(O608,Cl_cle,0)),"(client introuvable)"))</f>
        <v/>
      </c>
      <c r="R608" s="40">
        <f>IF(O608="","",IFERROR(INDEX(Cl_reste,MATCH(O608,Cl_cle,0)),""))</f>
        <v/>
      </c>
      <c r="S608" s="34">
        <f>IF(C608="","",YEAR(C608-WEEKDAY(C608,2)+4)&amp;"-S"&amp;TEXT(INT((C608-DATE(YEAR(C608-WEEKDAY(C608,2)+4),1,3)+WEEKDAY(DATE(YEAR(C608-WEEKDAY(C608,2)+4),1,3),2)+5)/7),"00"))</f>
        <v/>
      </c>
    </row>
    <row r="609" ht="18" customHeight="1">
      <c r="A609" s="39" t="n">
        <v>604</v>
      </c>
      <c r="B609" s="33">
        <f>IF(C609="","",IF(L609="À RENSEIGNER","GIC",L609)&amp;"-E"&amp;TEXT(A609,"00000"))</f>
        <v/>
      </c>
      <c r="C609" s="32" t="n"/>
      <c r="D609" s="36" t="n"/>
      <c r="E609" s="37" t="n"/>
      <c r="F609" s="36" t="n"/>
      <c r="G609" s="44" t="n"/>
      <c r="H609" s="43" t="n"/>
      <c r="I609" s="32" t="n"/>
      <c r="J609" s="44" t="n"/>
      <c r="K609" s="36" t="n"/>
      <c r="L609" s="33">
        <f>IF(C609="","",Commercial_Id)</f>
        <v/>
      </c>
      <c r="M609" s="34">
        <f>IF(OR(C609="",F609=""),"",IF(F609&lt;&gt;"Espèces","—",IF(I609&lt;&gt;"","☑ Oui","☐ Non")))</f>
        <v/>
      </c>
      <c r="N609" s="39">
        <f>IF(D609="","",IFERROR(VALUE(MID(D609,LEN(D609)-3,3)),""))</f>
        <v/>
      </c>
      <c r="O609" s="33">
        <f>IF(N609="","",L609&amp;"|"&amp;N609)</f>
        <v/>
      </c>
      <c r="P609" s="33">
        <f>IF(N609="","",IF(L609="À RENSEIGNER","GIC",L609)&amp;"-"&amp;TEXT(N609,"000"))</f>
        <v/>
      </c>
      <c r="Q609" s="33">
        <f>IF(O609="","",IFERROR(INDEX(Cl_nom,MATCH(O609,Cl_cle,0)),"(client introuvable)"))</f>
        <v/>
      </c>
      <c r="R609" s="40">
        <f>IF(O609="","",IFERROR(INDEX(Cl_reste,MATCH(O609,Cl_cle,0)),""))</f>
        <v/>
      </c>
      <c r="S609" s="34">
        <f>IF(C609="","",YEAR(C609-WEEKDAY(C609,2)+4)&amp;"-S"&amp;TEXT(INT((C609-DATE(YEAR(C609-WEEKDAY(C609,2)+4),1,3)+WEEKDAY(DATE(YEAR(C609-WEEKDAY(C609,2)+4),1,3),2)+5)/7),"00"))</f>
        <v/>
      </c>
    </row>
    <row r="610" ht="18" customHeight="1">
      <c r="A610" s="39" t="n">
        <v>605</v>
      </c>
      <c r="B610" s="33">
        <f>IF(C610="","",IF(L610="À RENSEIGNER","GIC",L610)&amp;"-E"&amp;TEXT(A610,"00000"))</f>
        <v/>
      </c>
      <c r="C610" s="32" t="n"/>
      <c r="D610" s="36" t="n"/>
      <c r="E610" s="37" t="n"/>
      <c r="F610" s="36" t="n"/>
      <c r="G610" s="44" t="n"/>
      <c r="H610" s="43" t="n"/>
      <c r="I610" s="32" t="n"/>
      <c r="J610" s="44" t="n"/>
      <c r="K610" s="36" t="n"/>
      <c r="L610" s="33">
        <f>IF(C610="","",Commercial_Id)</f>
        <v/>
      </c>
      <c r="M610" s="34">
        <f>IF(OR(C610="",F610=""),"",IF(F610&lt;&gt;"Espèces","—",IF(I610&lt;&gt;"","☑ Oui","☐ Non")))</f>
        <v/>
      </c>
      <c r="N610" s="39">
        <f>IF(D610="","",IFERROR(VALUE(MID(D610,LEN(D610)-3,3)),""))</f>
        <v/>
      </c>
      <c r="O610" s="33">
        <f>IF(N610="","",L610&amp;"|"&amp;N610)</f>
        <v/>
      </c>
      <c r="P610" s="33">
        <f>IF(N610="","",IF(L610="À RENSEIGNER","GIC",L610)&amp;"-"&amp;TEXT(N610,"000"))</f>
        <v/>
      </c>
      <c r="Q610" s="33">
        <f>IF(O610="","",IFERROR(INDEX(Cl_nom,MATCH(O610,Cl_cle,0)),"(client introuvable)"))</f>
        <v/>
      </c>
      <c r="R610" s="40">
        <f>IF(O610="","",IFERROR(INDEX(Cl_reste,MATCH(O610,Cl_cle,0)),""))</f>
        <v/>
      </c>
      <c r="S610" s="34">
        <f>IF(C610="","",YEAR(C610-WEEKDAY(C610,2)+4)&amp;"-S"&amp;TEXT(INT((C610-DATE(YEAR(C610-WEEKDAY(C610,2)+4),1,3)+WEEKDAY(DATE(YEAR(C610-WEEKDAY(C610,2)+4),1,3),2)+5)/7),"00"))</f>
        <v/>
      </c>
    </row>
    <row r="611" ht="18" customHeight="1">
      <c r="A611" s="39" t="n">
        <v>606</v>
      </c>
      <c r="B611" s="33">
        <f>IF(C611="","",IF(L611="À RENSEIGNER","GIC",L611)&amp;"-E"&amp;TEXT(A611,"00000"))</f>
        <v/>
      </c>
      <c r="C611" s="32" t="n"/>
      <c r="D611" s="36" t="n"/>
      <c r="E611" s="37" t="n"/>
      <c r="F611" s="36" t="n"/>
      <c r="G611" s="44" t="n"/>
      <c r="H611" s="43" t="n"/>
      <c r="I611" s="32" t="n"/>
      <c r="J611" s="44" t="n"/>
      <c r="K611" s="36" t="n"/>
      <c r="L611" s="33">
        <f>IF(C611="","",Commercial_Id)</f>
        <v/>
      </c>
      <c r="M611" s="34">
        <f>IF(OR(C611="",F611=""),"",IF(F611&lt;&gt;"Espèces","—",IF(I611&lt;&gt;"","☑ Oui","☐ Non")))</f>
        <v/>
      </c>
      <c r="N611" s="39">
        <f>IF(D611="","",IFERROR(VALUE(MID(D611,LEN(D611)-3,3)),""))</f>
        <v/>
      </c>
      <c r="O611" s="33">
        <f>IF(N611="","",L611&amp;"|"&amp;N611)</f>
        <v/>
      </c>
      <c r="P611" s="33">
        <f>IF(N611="","",IF(L611="À RENSEIGNER","GIC",L611)&amp;"-"&amp;TEXT(N611,"000"))</f>
        <v/>
      </c>
      <c r="Q611" s="33">
        <f>IF(O611="","",IFERROR(INDEX(Cl_nom,MATCH(O611,Cl_cle,0)),"(client introuvable)"))</f>
        <v/>
      </c>
      <c r="R611" s="40">
        <f>IF(O611="","",IFERROR(INDEX(Cl_reste,MATCH(O611,Cl_cle,0)),""))</f>
        <v/>
      </c>
      <c r="S611" s="34">
        <f>IF(C611="","",YEAR(C611-WEEKDAY(C611,2)+4)&amp;"-S"&amp;TEXT(INT((C611-DATE(YEAR(C611-WEEKDAY(C611,2)+4),1,3)+WEEKDAY(DATE(YEAR(C611-WEEKDAY(C611,2)+4),1,3),2)+5)/7),"00"))</f>
        <v/>
      </c>
    </row>
    <row r="612" ht="18" customHeight="1">
      <c r="A612" s="39" t="n">
        <v>607</v>
      </c>
      <c r="B612" s="33">
        <f>IF(C612="","",IF(L612="À RENSEIGNER","GIC",L612)&amp;"-E"&amp;TEXT(A612,"00000"))</f>
        <v/>
      </c>
      <c r="C612" s="32" t="n"/>
      <c r="D612" s="36" t="n"/>
      <c r="E612" s="37" t="n"/>
      <c r="F612" s="36" t="n"/>
      <c r="G612" s="44" t="n"/>
      <c r="H612" s="43" t="n"/>
      <c r="I612" s="32" t="n"/>
      <c r="J612" s="44" t="n"/>
      <c r="K612" s="36" t="n"/>
      <c r="L612" s="33">
        <f>IF(C612="","",Commercial_Id)</f>
        <v/>
      </c>
      <c r="M612" s="34">
        <f>IF(OR(C612="",F612=""),"",IF(F612&lt;&gt;"Espèces","—",IF(I612&lt;&gt;"","☑ Oui","☐ Non")))</f>
        <v/>
      </c>
      <c r="N612" s="39">
        <f>IF(D612="","",IFERROR(VALUE(MID(D612,LEN(D612)-3,3)),""))</f>
        <v/>
      </c>
      <c r="O612" s="33">
        <f>IF(N612="","",L612&amp;"|"&amp;N612)</f>
        <v/>
      </c>
      <c r="P612" s="33">
        <f>IF(N612="","",IF(L612="À RENSEIGNER","GIC",L612)&amp;"-"&amp;TEXT(N612,"000"))</f>
        <v/>
      </c>
      <c r="Q612" s="33">
        <f>IF(O612="","",IFERROR(INDEX(Cl_nom,MATCH(O612,Cl_cle,0)),"(client introuvable)"))</f>
        <v/>
      </c>
      <c r="R612" s="40">
        <f>IF(O612="","",IFERROR(INDEX(Cl_reste,MATCH(O612,Cl_cle,0)),""))</f>
        <v/>
      </c>
      <c r="S612" s="34">
        <f>IF(C612="","",YEAR(C612-WEEKDAY(C612,2)+4)&amp;"-S"&amp;TEXT(INT((C612-DATE(YEAR(C612-WEEKDAY(C612,2)+4),1,3)+WEEKDAY(DATE(YEAR(C612-WEEKDAY(C612,2)+4),1,3),2)+5)/7),"00"))</f>
        <v/>
      </c>
    </row>
    <row r="613" ht="18" customHeight="1">
      <c r="A613" s="39" t="n">
        <v>608</v>
      </c>
      <c r="B613" s="33">
        <f>IF(C613="","",IF(L613="À RENSEIGNER","GIC",L613)&amp;"-E"&amp;TEXT(A613,"00000"))</f>
        <v/>
      </c>
      <c r="C613" s="32" t="n"/>
      <c r="D613" s="36" t="n"/>
      <c r="E613" s="37" t="n"/>
      <c r="F613" s="36" t="n"/>
      <c r="G613" s="44" t="n"/>
      <c r="H613" s="43" t="n"/>
      <c r="I613" s="32" t="n"/>
      <c r="J613" s="44" t="n"/>
      <c r="K613" s="36" t="n"/>
      <c r="L613" s="33">
        <f>IF(C613="","",Commercial_Id)</f>
        <v/>
      </c>
      <c r="M613" s="34">
        <f>IF(OR(C613="",F613=""),"",IF(F613&lt;&gt;"Espèces","—",IF(I613&lt;&gt;"","☑ Oui","☐ Non")))</f>
        <v/>
      </c>
      <c r="N613" s="39">
        <f>IF(D613="","",IFERROR(VALUE(MID(D613,LEN(D613)-3,3)),""))</f>
        <v/>
      </c>
      <c r="O613" s="33">
        <f>IF(N613="","",L613&amp;"|"&amp;N613)</f>
        <v/>
      </c>
      <c r="P613" s="33">
        <f>IF(N613="","",IF(L613="À RENSEIGNER","GIC",L613)&amp;"-"&amp;TEXT(N613,"000"))</f>
        <v/>
      </c>
      <c r="Q613" s="33">
        <f>IF(O613="","",IFERROR(INDEX(Cl_nom,MATCH(O613,Cl_cle,0)),"(client introuvable)"))</f>
        <v/>
      </c>
      <c r="R613" s="40">
        <f>IF(O613="","",IFERROR(INDEX(Cl_reste,MATCH(O613,Cl_cle,0)),""))</f>
        <v/>
      </c>
      <c r="S613" s="34">
        <f>IF(C613="","",YEAR(C613-WEEKDAY(C613,2)+4)&amp;"-S"&amp;TEXT(INT((C613-DATE(YEAR(C613-WEEKDAY(C613,2)+4),1,3)+WEEKDAY(DATE(YEAR(C613-WEEKDAY(C613,2)+4),1,3),2)+5)/7),"00"))</f>
        <v/>
      </c>
    </row>
    <row r="614" ht="18" customHeight="1">
      <c r="A614" s="39" t="n">
        <v>609</v>
      </c>
      <c r="B614" s="33">
        <f>IF(C614="","",IF(L614="À RENSEIGNER","GIC",L614)&amp;"-E"&amp;TEXT(A614,"00000"))</f>
        <v/>
      </c>
      <c r="C614" s="32" t="n"/>
      <c r="D614" s="36" t="n"/>
      <c r="E614" s="37" t="n"/>
      <c r="F614" s="36" t="n"/>
      <c r="G614" s="44" t="n"/>
      <c r="H614" s="43" t="n"/>
      <c r="I614" s="32" t="n"/>
      <c r="J614" s="44" t="n"/>
      <c r="K614" s="36" t="n"/>
      <c r="L614" s="33">
        <f>IF(C614="","",Commercial_Id)</f>
        <v/>
      </c>
      <c r="M614" s="34">
        <f>IF(OR(C614="",F614=""),"",IF(F614&lt;&gt;"Espèces","—",IF(I614&lt;&gt;"","☑ Oui","☐ Non")))</f>
        <v/>
      </c>
      <c r="N614" s="39">
        <f>IF(D614="","",IFERROR(VALUE(MID(D614,LEN(D614)-3,3)),""))</f>
        <v/>
      </c>
      <c r="O614" s="33">
        <f>IF(N614="","",L614&amp;"|"&amp;N614)</f>
        <v/>
      </c>
      <c r="P614" s="33">
        <f>IF(N614="","",IF(L614="À RENSEIGNER","GIC",L614)&amp;"-"&amp;TEXT(N614,"000"))</f>
        <v/>
      </c>
      <c r="Q614" s="33">
        <f>IF(O614="","",IFERROR(INDEX(Cl_nom,MATCH(O614,Cl_cle,0)),"(client introuvable)"))</f>
        <v/>
      </c>
      <c r="R614" s="40">
        <f>IF(O614="","",IFERROR(INDEX(Cl_reste,MATCH(O614,Cl_cle,0)),""))</f>
        <v/>
      </c>
      <c r="S614" s="34">
        <f>IF(C614="","",YEAR(C614-WEEKDAY(C614,2)+4)&amp;"-S"&amp;TEXT(INT((C614-DATE(YEAR(C614-WEEKDAY(C614,2)+4),1,3)+WEEKDAY(DATE(YEAR(C614-WEEKDAY(C614,2)+4),1,3),2)+5)/7),"00"))</f>
        <v/>
      </c>
    </row>
    <row r="615" ht="18" customHeight="1">
      <c r="A615" s="39" t="n">
        <v>610</v>
      </c>
      <c r="B615" s="33">
        <f>IF(C615="","",IF(L615="À RENSEIGNER","GIC",L615)&amp;"-E"&amp;TEXT(A615,"00000"))</f>
        <v/>
      </c>
      <c r="C615" s="32" t="n"/>
      <c r="D615" s="36" t="n"/>
      <c r="E615" s="37" t="n"/>
      <c r="F615" s="36" t="n"/>
      <c r="G615" s="44" t="n"/>
      <c r="H615" s="43" t="n"/>
      <c r="I615" s="32" t="n"/>
      <c r="J615" s="44" t="n"/>
      <c r="K615" s="36" t="n"/>
      <c r="L615" s="33">
        <f>IF(C615="","",Commercial_Id)</f>
        <v/>
      </c>
      <c r="M615" s="34">
        <f>IF(OR(C615="",F615=""),"",IF(F615&lt;&gt;"Espèces","—",IF(I615&lt;&gt;"","☑ Oui","☐ Non")))</f>
        <v/>
      </c>
      <c r="N615" s="39">
        <f>IF(D615="","",IFERROR(VALUE(MID(D615,LEN(D615)-3,3)),""))</f>
        <v/>
      </c>
      <c r="O615" s="33">
        <f>IF(N615="","",L615&amp;"|"&amp;N615)</f>
        <v/>
      </c>
      <c r="P615" s="33">
        <f>IF(N615="","",IF(L615="À RENSEIGNER","GIC",L615)&amp;"-"&amp;TEXT(N615,"000"))</f>
        <v/>
      </c>
      <c r="Q615" s="33">
        <f>IF(O615="","",IFERROR(INDEX(Cl_nom,MATCH(O615,Cl_cle,0)),"(client introuvable)"))</f>
        <v/>
      </c>
      <c r="R615" s="40">
        <f>IF(O615="","",IFERROR(INDEX(Cl_reste,MATCH(O615,Cl_cle,0)),""))</f>
        <v/>
      </c>
      <c r="S615" s="34">
        <f>IF(C615="","",YEAR(C615-WEEKDAY(C615,2)+4)&amp;"-S"&amp;TEXT(INT((C615-DATE(YEAR(C615-WEEKDAY(C615,2)+4),1,3)+WEEKDAY(DATE(YEAR(C615-WEEKDAY(C615,2)+4),1,3),2)+5)/7),"00"))</f>
        <v/>
      </c>
    </row>
    <row r="616" ht="18" customHeight="1">
      <c r="A616" s="39" t="n">
        <v>611</v>
      </c>
      <c r="B616" s="33">
        <f>IF(C616="","",IF(L616="À RENSEIGNER","GIC",L616)&amp;"-E"&amp;TEXT(A616,"00000"))</f>
        <v/>
      </c>
      <c r="C616" s="32" t="n"/>
      <c r="D616" s="36" t="n"/>
      <c r="E616" s="37" t="n"/>
      <c r="F616" s="36" t="n"/>
      <c r="G616" s="44" t="n"/>
      <c r="H616" s="43" t="n"/>
      <c r="I616" s="32" t="n"/>
      <c r="J616" s="44" t="n"/>
      <c r="K616" s="36" t="n"/>
      <c r="L616" s="33">
        <f>IF(C616="","",Commercial_Id)</f>
        <v/>
      </c>
      <c r="M616" s="34">
        <f>IF(OR(C616="",F616=""),"",IF(F616&lt;&gt;"Espèces","—",IF(I616&lt;&gt;"","☑ Oui","☐ Non")))</f>
        <v/>
      </c>
      <c r="N616" s="39">
        <f>IF(D616="","",IFERROR(VALUE(MID(D616,LEN(D616)-3,3)),""))</f>
        <v/>
      </c>
      <c r="O616" s="33">
        <f>IF(N616="","",L616&amp;"|"&amp;N616)</f>
        <v/>
      </c>
      <c r="P616" s="33">
        <f>IF(N616="","",IF(L616="À RENSEIGNER","GIC",L616)&amp;"-"&amp;TEXT(N616,"000"))</f>
        <v/>
      </c>
      <c r="Q616" s="33">
        <f>IF(O616="","",IFERROR(INDEX(Cl_nom,MATCH(O616,Cl_cle,0)),"(client introuvable)"))</f>
        <v/>
      </c>
      <c r="R616" s="40">
        <f>IF(O616="","",IFERROR(INDEX(Cl_reste,MATCH(O616,Cl_cle,0)),""))</f>
        <v/>
      </c>
      <c r="S616" s="34">
        <f>IF(C616="","",YEAR(C616-WEEKDAY(C616,2)+4)&amp;"-S"&amp;TEXT(INT((C616-DATE(YEAR(C616-WEEKDAY(C616,2)+4),1,3)+WEEKDAY(DATE(YEAR(C616-WEEKDAY(C616,2)+4),1,3),2)+5)/7),"00"))</f>
        <v/>
      </c>
    </row>
    <row r="617" ht="18" customHeight="1">
      <c r="A617" s="39" t="n">
        <v>612</v>
      </c>
      <c r="B617" s="33">
        <f>IF(C617="","",IF(L617="À RENSEIGNER","GIC",L617)&amp;"-E"&amp;TEXT(A617,"00000"))</f>
        <v/>
      </c>
      <c r="C617" s="32" t="n"/>
      <c r="D617" s="36" t="n"/>
      <c r="E617" s="37" t="n"/>
      <c r="F617" s="36" t="n"/>
      <c r="G617" s="44" t="n"/>
      <c r="H617" s="43" t="n"/>
      <c r="I617" s="32" t="n"/>
      <c r="J617" s="44" t="n"/>
      <c r="K617" s="36" t="n"/>
      <c r="L617" s="33">
        <f>IF(C617="","",Commercial_Id)</f>
        <v/>
      </c>
      <c r="M617" s="34">
        <f>IF(OR(C617="",F617=""),"",IF(F617&lt;&gt;"Espèces","—",IF(I617&lt;&gt;"","☑ Oui","☐ Non")))</f>
        <v/>
      </c>
      <c r="N617" s="39">
        <f>IF(D617="","",IFERROR(VALUE(MID(D617,LEN(D617)-3,3)),""))</f>
        <v/>
      </c>
      <c r="O617" s="33">
        <f>IF(N617="","",L617&amp;"|"&amp;N617)</f>
        <v/>
      </c>
      <c r="P617" s="33">
        <f>IF(N617="","",IF(L617="À RENSEIGNER","GIC",L617)&amp;"-"&amp;TEXT(N617,"000"))</f>
        <v/>
      </c>
      <c r="Q617" s="33">
        <f>IF(O617="","",IFERROR(INDEX(Cl_nom,MATCH(O617,Cl_cle,0)),"(client introuvable)"))</f>
        <v/>
      </c>
      <c r="R617" s="40">
        <f>IF(O617="","",IFERROR(INDEX(Cl_reste,MATCH(O617,Cl_cle,0)),""))</f>
        <v/>
      </c>
      <c r="S617" s="34">
        <f>IF(C617="","",YEAR(C617-WEEKDAY(C617,2)+4)&amp;"-S"&amp;TEXT(INT((C617-DATE(YEAR(C617-WEEKDAY(C617,2)+4),1,3)+WEEKDAY(DATE(YEAR(C617-WEEKDAY(C617,2)+4),1,3),2)+5)/7),"00"))</f>
        <v/>
      </c>
    </row>
    <row r="618" ht="18" customHeight="1">
      <c r="A618" s="39" t="n">
        <v>613</v>
      </c>
      <c r="B618" s="33">
        <f>IF(C618="","",IF(L618="À RENSEIGNER","GIC",L618)&amp;"-E"&amp;TEXT(A618,"00000"))</f>
        <v/>
      </c>
      <c r="C618" s="32" t="n"/>
      <c r="D618" s="36" t="n"/>
      <c r="E618" s="37" t="n"/>
      <c r="F618" s="36" t="n"/>
      <c r="G618" s="44" t="n"/>
      <c r="H618" s="43" t="n"/>
      <c r="I618" s="32" t="n"/>
      <c r="J618" s="44" t="n"/>
      <c r="K618" s="36" t="n"/>
      <c r="L618" s="33">
        <f>IF(C618="","",Commercial_Id)</f>
        <v/>
      </c>
      <c r="M618" s="34">
        <f>IF(OR(C618="",F618=""),"",IF(F618&lt;&gt;"Espèces","—",IF(I618&lt;&gt;"","☑ Oui","☐ Non")))</f>
        <v/>
      </c>
      <c r="N618" s="39">
        <f>IF(D618="","",IFERROR(VALUE(MID(D618,LEN(D618)-3,3)),""))</f>
        <v/>
      </c>
      <c r="O618" s="33">
        <f>IF(N618="","",L618&amp;"|"&amp;N618)</f>
        <v/>
      </c>
      <c r="P618" s="33">
        <f>IF(N618="","",IF(L618="À RENSEIGNER","GIC",L618)&amp;"-"&amp;TEXT(N618,"000"))</f>
        <v/>
      </c>
      <c r="Q618" s="33">
        <f>IF(O618="","",IFERROR(INDEX(Cl_nom,MATCH(O618,Cl_cle,0)),"(client introuvable)"))</f>
        <v/>
      </c>
      <c r="R618" s="40">
        <f>IF(O618="","",IFERROR(INDEX(Cl_reste,MATCH(O618,Cl_cle,0)),""))</f>
        <v/>
      </c>
      <c r="S618" s="34">
        <f>IF(C618="","",YEAR(C618-WEEKDAY(C618,2)+4)&amp;"-S"&amp;TEXT(INT((C618-DATE(YEAR(C618-WEEKDAY(C618,2)+4),1,3)+WEEKDAY(DATE(YEAR(C618-WEEKDAY(C618,2)+4),1,3),2)+5)/7),"00"))</f>
        <v/>
      </c>
    </row>
    <row r="619" ht="18" customHeight="1">
      <c r="A619" s="39" t="n">
        <v>614</v>
      </c>
      <c r="B619" s="33">
        <f>IF(C619="","",IF(L619="À RENSEIGNER","GIC",L619)&amp;"-E"&amp;TEXT(A619,"00000"))</f>
        <v/>
      </c>
      <c r="C619" s="32" t="n"/>
      <c r="D619" s="36" t="n"/>
      <c r="E619" s="37" t="n"/>
      <c r="F619" s="36" t="n"/>
      <c r="G619" s="44" t="n"/>
      <c r="H619" s="43" t="n"/>
      <c r="I619" s="32" t="n"/>
      <c r="J619" s="44" t="n"/>
      <c r="K619" s="36" t="n"/>
      <c r="L619" s="33">
        <f>IF(C619="","",Commercial_Id)</f>
        <v/>
      </c>
      <c r="M619" s="34">
        <f>IF(OR(C619="",F619=""),"",IF(F619&lt;&gt;"Espèces","—",IF(I619&lt;&gt;"","☑ Oui","☐ Non")))</f>
        <v/>
      </c>
      <c r="N619" s="39">
        <f>IF(D619="","",IFERROR(VALUE(MID(D619,LEN(D619)-3,3)),""))</f>
        <v/>
      </c>
      <c r="O619" s="33">
        <f>IF(N619="","",L619&amp;"|"&amp;N619)</f>
        <v/>
      </c>
      <c r="P619" s="33">
        <f>IF(N619="","",IF(L619="À RENSEIGNER","GIC",L619)&amp;"-"&amp;TEXT(N619,"000"))</f>
        <v/>
      </c>
      <c r="Q619" s="33">
        <f>IF(O619="","",IFERROR(INDEX(Cl_nom,MATCH(O619,Cl_cle,0)),"(client introuvable)"))</f>
        <v/>
      </c>
      <c r="R619" s="40">
        <f>IF(O619="","",IFERROR(INDEX(Cl_reste,MATCH(O619,Cl_cle,0)),""))</f>
        <v/>
      </c>
      <c r="S619" s="34">
        <f>IF(C619="","",YEAR(C619-WEEKDAY(C619,2)+4)&amp;"-S"&amp;TEXT(INT((C619-DATE(YEAR(C619-WEEKDAY(C619,2)+4),1,3)+WEEKDAY(DATE(YEAR(C619-WEEKDAY(C619,2)+4),1,3),2)+5)/7),"00"))</f>
        <v/>
      </c>
    </row>
    <row r="620" ht="18" customHeight="1">
      <c r="A620" s="39" t="n">
        <v>615</v>
      </c>
      <c r="B620" s="33">
        <f>IF(C620="","",IF(L620="À RENSEIGNER","GIC",L620)&amp;"-E"&amp;TEXT(A620,"00000"))</f>
        <v/>
      </c>
      <c r="C620" s="32" t="n"/>
      <c r="D620" s="36" t="n"/>
      <c r="E620" s="37" t="n"/>
      <c r="F620" s="36" t="n"/>
      <c r="G620" s="44" t="n"/>
      <c r="H620" s="43" t="n"/>
      <c r="I620" s="32" t="n"/>
      <c r="J620" s="44" t="n"/>
      <c r="K620" s="36" t="n"/>
      <c r="L620" s="33">
        <f>IF(C620="","",Commercial_Id)</f>
        <v/>
      </c>
      <c r="M620" s="34">
        <f>IF(OR(C620="",F620=""),"",IF(F620&lt;&gt;"Espèces","—",IF(I620&lt;&gt;"","☑ Oui","☐ Non")))</f>
        <v/>
      </c>
      <c r="N620" s="39">
        <f>IF(D620="","",IFERROR(VALUE(MID(D620,LEN(D620)-3,3)),""))</f>
        <v/>
      </c>
      <c r="O620" s="33">
        <f>IF(N620="","",L620&amp;"|"&amp;N620)</f>
        <v/>
      </c>
      <c r="P620" s="33">
        <f>IF(N620="","",IF(L620="À RENSEIGNER","GIC",L620)&amp;"-"&amp;TEXT(N620,"000"))</f>
        <v/>
      </c>
      <c r="Q620" s="33">
        <f>IF(O620="","",IFERROR(INDEX(Cl_nom,MATCH(O620,Cl_cle,0)),"(client introuvable)"))</f>
        <v/>
      </c>
      <c r="R620" s="40">
        <f>IF(O620="","",IFERROR(INDEX(Cl_reste,MATCH(O620,Cl_cle,0)),""))</f>
        <v/>
      </c>
      <c r="S620" s="34">
        <f>IF(C620="","",YEAR(C620-WEEKDAY(C620,2)+4)&amp;"-S"&amp;TEXT(INT((C620-DATE(YEAR(C620-WEEKDAY(C620,2)+4),1,3)+WEEKDAY(DATE(YEAR(C620-WEEKDAY(C620,2)+4),1,3),2)+5)/7),"00"))</f>
        <v/>
      </c>
    </row>
    <row r="621" ht="18" customHeight="1">
      <c r="A621" s="39" t="n">
        <v>616</v>
      </c>
      <c r="B621" s="33">
        <f>IF(C621="","",IF(L621="À RENSEIGNER","GIC",L621)&amp;"-E"&amp;TEXT(A621,"00000"))</f>
        <v/>
      </c>
      <c r="C621" s="32" t="n"/>
      <c r="D621" s="36" t="n"/>
      <c r="E621" s="37" t="n"/>
      <c r="F621" s="36" t="n"/>
      <c r="G621" s="44" t="n"/>
      <c r="H621" s="43" t="n"/>
      <c r="I621" s="32" t="n"/>
      <c r="J621" s="44" t="n"/>
      <c r="K621" s="36" t="n"/>
      <c r="L621" s="33">
        <f>IF(C621="","",Commercial_Id)</f>
        <v/>
      </c>
      <c r="M621" s="34">
        <f>IF(OR(C621="",F621=""),"",IF(F621&lt;&gt;"Espèces","—",IF(I621&lt;&gt;"","☑ Oui","☐ Non")))</f>
        <v/>
      </c>
      <c r="N621" s="39">
        <f>IF(D621="","",IFERROR(VALUE(MID(D621,LEN(D621)-3,3)),""))</f>
        <v/>
      </c>
      <c r="O621" s="33">
        <f>IF(N621="","",L621&amp;"|"&amp;N621)</f>
        <v/>
      </c>
      <c r="P621" s="33">
        <f>IF(N621="","",IF(L621="À RENSEIGNER","GIC",L621)&amp;"-"&amp;TEXT(N621,"000"))</f>
        <v/>
      </c>
      <c r="Q621" s="33">
        <f>IF(O621="","",IFERROR(INDEX(Cl_nom,MATCH(O621,Cl_cle,0)),"(client introuvable)"))</f>
        <v/>
      </c>
      <c r="R621" s="40">
        <f>IF(O621="","",IFERROR(INDEX(Cl_reste,MATCH(O621,Cl_cle,0)),""))</f>
        <v/>
      </c>
      <c r="S621" s="34">
        <f>IF(C621="","",YEAR(C621-WEEKDAY(C621,2)+4)&amp;"-S"&amp;TEXT(INT((C621-DATE(YEAR(C621-WEEKDAY(C621,2)+4),1,3)+WEEKDAY(DATE(YEAR(C621-WEEKDAY(C621,2)+4),1,3),2)+5)/7),"00"))</f>
        <v/>
      </c>
    </row>
    <row r="622" ht="18" customHeight="1">
      <c r="A622" s="39" t="n">
        <v>617</v>
      </c>
      <c r="B622" s="33">
        <f>IF(C622="","",IF(L622="À RENSEIGNER","GIC",L622)&amp;"-E"&amp;TEXT(A622,"00000"))</f>
        <v/>
      </c>
      <c r="C622" s="32" t="n"/>
      <c r="D622" s="36" t="n"/>
      <c r="E622" s="37" t="n"/>
      <c r="F622" s="36" t="n"/>
      <c r="G622" s="44" t="n"/>
      <c r="H622" s="43" t="n"/>
      <c r="I622" s="32" t="n"/>
      <c r="J622" s="44" t="n"/>
      <c r="K622" s="36" t="n"/>
      <c r="L622" s="33">
        <f>IF(C622="","",Commercial_Id)</f>
        <v/>
      </c>
      <c r="M622" s="34">
        <f>IF(OR(C622="",F622=""),"",IF(F622&lt;&gt;"Espèces","—",IF(I622&lt;&gt;"","☑ Oui","☐ Non")))</f>
        <v/>
      </c>
      <c r="N622" s="39">
        <f>IF(D622="","",IFERROR(VALUE(MID(D622,LEN(D622)-3,3)),""))</f>
        <v/>
      </c>
      <c r="O622" s="33">
        <f>IF(N622="","",L622&amp;"|"&amp;N622)</f>
        <v/>
      </c>
      <c r="P622" s="33">
        <f>IF(N622="","",IF(L622="À RENSEIGNER","GIC",L622)&amp;"-"&amp;TEXT(N622,"000"))</f>
        <v/>
      </c>
      <c r="Q622" s="33">
        <f>IF(O622="","",IFERROR(INDEX(Cl_nom,MATCH(O622,Cl_cle,0)),"(client introuvable)"))</f>
        <v/>
      </c>
      <c r="R622" s="40">
        <f>IF(O622="","",IFERROR(INDEX(Cl_reste,MATCH(O622,Cl_cle,0)),""))</f>
        <v/>
      </c>
      <c r="S622" s="34">
        <f>IF(C622="","",YEAR(C622-WEEKDAY(C622,2)+4)&amp;"-S"&amp;TEXT(INT((C622-DATE(YEAR(C622-WEEKDAY(C622,2)+4),1,3)+WEEKDAY(DATE(YEAR(C622-WEEKDAY(C622,2)+4),1,3),2)+5)/7),"00"))</f>
        <v/>
      </c>
    </row>
    <row r="623" ht="18" customHeight="1">
      <c r="A623" s="39" t="n">
        <v>618</v>
      </c>
      <c r="B623" s="33">
        <f>IF(C623="","",IF(L623="À RENSEIGNER","GIC",L623)&amp;"-E"&amp;TEXT(A623,"00000"))</f>
        <v/>
      </c>
      <c r="C623" s="32" t="n"/>
      <c r="D623" s="36" t="n"/>
      <c r="E623" s="37" t="n"/>
      <c r="F623" s="36" t="n"/>
      <c r="G623" s="44" t="n"/>
      <c r="H623" s="43" t="n"/>
      <c r="I623" s="32" t="n"/>
      <c r="J623" s="44" t="n"/>
      <c r="K623" s="36" t="n"/>
      <c r="L623" s="33">
        <f>IF(C623="","",Commercial_Id)</f>
        <v/>
      </c>
      <c r="M623" s="34">
        <f>IF(OR(C623="",F623=""),"",IF(F623&lt;&gt;"Espèces","—",IF(I623&lt;&gt;"","☑ Oui","☐ Non")))</f>
        <v/>
      </c>
      <c r="N623" s="39">
        <f>IF(D623="","",IFERROR(VALUE(MID(D623,LEN(D623)-3,3)),""))</f>
        <v/>
      </c>
      <c r="O623" s="33">
        <f>IF(N623="","",L623&amp;"|"&amp;N623)</f>
        <v/>
      </c>
      <c r="P623" s="33">
        <f>IF(N623="","",IF(L623="À RENSEIGNER","GIC",L623)&amp;"-"&amp;TEXT(N623,"000"))</f>
        <v/>
      </c>
      <c r="Q623" s="33">
        <f>IF(O623="","",IFERROR(INDEX(Cl_nom,MATCH(O623,Cl_cle,0)),"(client introuvable)"))</f>
        <v/>
      </c>
      <c r="R623" s="40">
        <f>IF(O623="","",IFERROR(INDEX(Cl_reste,MATCH(O623,Cl_cle,0)),""))</f>
        <v/>
      </c>
      <c r="S623" s="34">
        <f>IF(C623="","",YEAR(C623-WEEKDAY(C623,2)+4)&amp;"-S"&amp;TEXT(INT((C623-DATE(YEAR(C623-WEEKDAY(C623,2)+4),1,3)+WEEKDAY(DATE(YEAR(C623-WEEKDAY(C623,2)+4),1,3),2)+5)/7),"00"))</f>
        <v/>
      </c>
    </row>
    <row r="624" ht="18" customHeight="1">
      <c r="A624" s="39" t="n">
        <v>619</v>
      </c>
      <c r="B624" s="33">
        <f>IF(C624="","",IF(L624="À RENSEIGNER","GIC",L624)&amp;"-E"&amp;TEXT(A624,"00000"))</f>
        <v/>
      </c>
      <c r="C624" s="32" t="n"/>
      <c r="D624" s="36" t="n"/>
      <c r="E624" s="37" t="n"/>
      <c r="F624" s="36" t="n"/>
      <c r="G624" s="44" t="n"/>
      <c r="H624" s="43" t="n"/>
      <c r="I624" s="32" t="n"/>
      <c r="J624" s="44" t="n"/>
      <c r="K624" s="36" t="n"/>
      <c r="L624" s="33">
        <f>IF(C624="","",Commercial_Id)</f>
        <v/>
      </c>
      <c r="M624" s="34">
        <f>IF(OR(C624="",F624=""),"",IF(F624&lt;&gt;"Espèces","—",IF(I624&lt;&gt;"","☑ Oui","☐ Non")))</f>
        <v/>
      </c>
      <c r="N624" s="39">
        <f>IF(D624="","",IFERROR(VALUE(MID(D624,LEN(D624)-3,3)),""))</f>
        <v/>
      </c>
      <c r="O624" s="33">
        <f>IF(N624="","",L624&amp;"|"&amp;N624)</f>
        <v/>
      </c>
      <c r="P624" s="33">
        <f>IF(N624="","",IF(L624="À RENSEIGNER","GIC",L624)&amp;"-"&amp;TEXT(N624,"000"))</f>
        <v/>
      </c>
      <c r="Q624" s="33">
        <f>IF(O624="","",IFERROR(INDEX(Cl_nom,MATCH(O624,Cl_cle,0)),"(client introuvable)"))</f>
        <v/>
      </c>
      <c r="R624" s="40">
        <f>IF(O624="","",IFERROR(INDEX(Cl_reste,MATCH(O624,Cl_cle,0)),""))</f>
        <v/>
      </c>
      <c r="S624" s="34">
        <f>IF(C624="","",YEAR(C624-WEEKDAY(C624,2)+4)&amp;"-S"&amp;TEXT(INT((C624-DATE(YEAR(C624-WEEKDAY(C624,2)+4),1,3)+WEEKDAY(DATE(YEAR(C624-WEEKDAY(C624,2)+4),1,3),2)+5)/7),"00"))</f>
        <v/>
      </c>
    </row>
    <row r="625" ht="18" customHeight="1">
      <c r="A625" s="39" t="n">
        <v>620</v>
      </c>
      <c r="B625" s="33">
        <f>IF(C625="","",IF(L625="À RENSEIGNER","GIC",L625)&amp;"-E"&amp;TEXT(A625,"00000"))</f>
        <v/>
      </c>
      <c r="C625" s="32" t="n"/>
      <c r="D625" s="36" t="n"/>
      <c r="E625" s="37" t="n"/>
      <c r="F625" s="36" t="n"/>
      <c r="G625" s="44" t="n"/>
      <c r="H625" s="43" t="n"/>
      <c r="I625" s="32" t="n"/>
      <c r="J625" s="44" t="n"/>
      <c r="K625" s="36" t="n"/>
      <c r="L625" s="33">
        <f>IF(C625="","",Commercial_Id)</f>
        <v/>
      </c>
      <c r="M625" s="34">
        <f>IF(OR(C625="",F625=""),"",IF(F625&lt;&gt;"Espèces","—",IF(I625&lt;&gt;"","☑ Oui","☐ Non")))</f>
        <v/>
      </c>
      <c r="N625" s="39">
        <f>IF(D625="","",IFERROR(VALUE(MID(D625,LEN(D625)-3,3)),""))</f>
        <v/>
      </c>
      <c r="O625" s="33">
        <f>IF(N625="","",L625&amp;"|"&amp;N625)</f>
        <v/>
      </c>
      <c r="P625" s="33">
        <f>IF(N625="","",IF(L625="À RENSEIGNER","GIC",L625)&amp;"-"&amp;TEXT(N625,"000"))</f>
        <v/>
      </c>
      <c r="Q625" s="33">
        <f>IF(O625="","",IFERROR(INDEX(Cl_nom,MATCH(O625,Cl_cle,0)),"(client introuvable)"))</f>
        <v/>
      </c>
      <c r="R625" s="40">
        <f>IF(O625="","",IFERROR(INDEX(Cl_reste,MATCH(O625,Cl_cle,0)),""))</f>
        <v/>
      </c>
      <c r="S625" s="34">
        <f>IF(C625="","",YEAR(C625-WEEKDAY(C625,2)+4)&amp;"-S"&amp;TEXT(INT((C625-DATE(YEAR(C625-WEEKDAY(C625,2)+4),1,3)+WEEKDAY(DATE(YEAR(C625-WEEKDAY(C625,2)+4),1,3),2)+5)/7),"00"))</f>
        <v/>
      </c>
    </row>
    <row r="626" ht="18" customHeight="1">
      <c r="A626" s="39" t="n">
        <v>621</v>
      </c>
      <c r="B626" s="33">
        <f>IF(C626="","",IF(L626="À RENSEIGNER","GIC",L626)&amp;"-E"&amp;TEXT(A626,"00000"))</f>
        <v/>
      </c>
      <c r="C626" s="32" t="n"/>
      <c r="D626" s="36" t="n"/>
      <c r="E626" s="37" t="n"/>
      <c r="F626" s="36" t="n"/>
      <c r="G626" s="44" t="n"/>
      <c r="H626" s="43" t="n"/>
      <c r="I626" s="32" t="n"/>
      <c r="J626" s="44" t="n"/>
      <c r="K626" s="36" t="n"/>
      <c r="L626" s="33">
        <f>IF(C626="","",Commercial_Id)</f>
        <v/>
      </c>
      <c r="M626" s="34">
        <f>IF(OR(C626="",F626=""),"",IF(F626&lt;&gt;"Espèces","—",IF(I626&lt;&gt;"","☑ Oui","☐ Non")))</f>
        <v/>
      </c>
      <c r="N626" s="39">
        <f>IF(D626="","",IFERROR(VALUE(MID(D626,LEN(D626)-3,3)),""))</f>
        <v/>
      </c>
      <c r="O626" s="33">
        <f>IF(N626="","",L626&amp;"|"&amp;N626)</f>
        <v/>
      </c>
      <c r="P626" s="33">
        <f>IF(N626="","",IF(L626="À RENSEIGNER","GIC",L626)&amp;"-"&amp;TEXT(N626,"000"))</f>
        <v/>
      </c>
      <c r="Q626" s="33">
        <f>IF(O626="","",IFERROR(INDEX(Cl_nom,MATCH(O626,Cl_cle,0)),"(client introuvable)"))</f>
        <v/>
      </c>
      <c r="R626" s="40">
        <f>IF(O626="","",IFERROR(INDEX(Cl_reste,MATCH(O626,Cl_cle,0)),""))</f>
        <v/>
      </c>
      <c r="S626" s="34">
        <f>IF(C626="","",YEAR(C626-WEEKDAY(C626,2)+4)&amp;"-S"&amp;TEXT(INT((C626-DATE(YEAR(C626-WEEKDAY(C626,2)+4),1,3)+WEEKDAY(DATE(YEAR(C626-WEEKDAY(C626,2)+4),1,3),2)+5)/7),"00"))</f>
        <v/>
      </c>
    </row>
    <row r="627" ht="18" customHeight="1">
      <c r="A627" s="39" t="n">
        <v>622</v>
      </c>
      <c r="B627" s="33">
        <f>IF(C627="","",IF(L627="À RENSEIGNER","GIC",L627)&amp;"-E"&amp;TEXT(A627,"00000"))</f>
        <v/>
      </c>
      <c r="C627" s="32" t="n"/>
      <c r="D627" s="36" t="n"/>
      <c r="E627" s="37" t="n"/>
      <c r="F627" s="36" t="n"/>
      <c r="G627" s="44" t="n"/>
      <c r="H627" s="43" t="n"/>
      <c r="I627" s="32" t="n"/>
      <c r="J627" s="44" t="n"/>
      <c r="K627" s="36" t="n"/>
      <c r="L627" s="33">
        <f>IF(C627="","",Commercial_Id)</f>
        <v/>
      </c>
      <c r="M627" s="34">
        <f>IF(OR(C627="",F627=""),"",IF(F627&lt;&gt;"Espèces","—",IF(I627&lt;&gt;"","☑ Oui","☐ Non")))</f>
        <v/>
      </c>
      <c r="N627" s="39">
        <f>IF(D627="","",IFERROR(VALUE(MID(D627,LEN(D627)-3,3)),""))</f>
        <v/>
      </c>
      <c r="O627" s="33">
        <f>IF(N627="","",L627&amp;"|"&amp;N627)</f>
        <v/>
      </c>
      <c r="P627" s="33">
        <f>IF(N627="","",IF(L627="À RENSEIGNER","GIC",L627)&amp;"-"&amp;TEXT(N627,"000"))</f>
        <v/>
      </c>
      <c r="Q627" s="33">
        <f>IF(O627="","",IFERROR(INDEX(Cl_nom,MATCH(O627,Cl_cle,0)),"(client introuvable)"))</f>
        <v/>
      </c>
      <c r="R627" s="40">
        <f>IF(O627="","",IFERROR(INDEX(Cl_reste,MATCH(O627,Cl_cle,0)),""))</f>
        <v/>
      </c>
      <c r="S627" s="34">
        <f>IF(C627="","",YEAR(C627-WEEKDAY(C627,2)+4)&amp;"-S"&amp;TEXT(INT((C627-DATE(YEAR(C627-WEEKDAY(C627,2)+4),1,3)+WEEKDAY(DATE(YEAR(C627-WEEKDAY(C627,2)+4),1,3),2)+5)/7),"00"))</f>
        <v/>
      </c>
    </row>
    <row r="628" ht="18" customHeight="1">
      <c r="A628" s="39" t="n">
        <v>623</v>
      </c>
      <c r="B628" s="33">
        <f>IF(C628="","",IF(L628="À RENSEIGNER","GIC",L628)&amp;"-E"&amp;TEXT(A628,"00000"))</f>
        <v/>
      </c>
      <c r="C628" s="32" t="n"/>
      <c r="D628" s="36" t="n"/>
      <c r="E628" s="37" t="n"/>
      <c r="F628" s="36" t="n"/>
      <c r="G628" s="44" t="n"/>
      <c r="H628" s="43" t="n"/>
      <c r="I628" s="32" t="n"/>
      <c r="J628" s="44" t="n"/>
      <c r="K628" s="36" t="n"/>
      <c r="L628" s="33">
        <f>IF(C628="","",Commercial_Id)</f>
        <v/>
      </c>
      <c r="M628" s="34">
        <f>IF(OR(C628="",F628=""),"",IF(F628&lt;&gt;"Espèces","—",IF(I628&lt;&gt;"","☑ Oui","☐ Non")))</f>
        <v/>
      </c>
      <c r="N628" s="39">
        <f>IF(D628="","",IFERROR(VALUE(MID(D628,LEN(D628)-3,3)),""))</f>
        <v/>
      </c>
      <c r="O628" s="33">
        <f>IF(N628="","",L628&amp;"|"&amp;N628)</f>
        <v/>
      </c>
      <c r="P628" s="33">
        <f>IF(N628="","",IF(L628="À RENSEIGNER","GIC",L628)&amp;"-"&amp;TEXT(N628,"000"))</f>
        <v/>
      </c>
      <c r="Q628" s="33">
        <f>IF(O628="","",IFERROR(INDEX(Cl_nom,MATCH(O628,Cl_cle,0)),"(client introuvable)"))</f>
        <v/>
      </c>
      <c r="R628" s="40">
        <f>IF(O628="","",IFERROR(INDEX(Cl_reste,MATCH(O628,Cl_cle,0)),""))</f>
        <v/>
      </c>
      <c r="S628" s="34">
        <f>IF(C628="","",YEAR(C628-WEEKDAY(C628,2)+4)&amp;"-S"&amp;TEXT(INT((C628-DATE(YEAR(C628-WEEKDAY(C628,2)+4),1,3)+WEEKDAY(DATE(YEAR(C628-WEEKDAY(C628,2)+4),1,3),2)+5)/7),"00"))</f>
        <v/>
      </c>
    </row>
    <row r="629" ht="18" customHeight="1">
      <c r="A629" s="39" t="n">
        <v>624</v>
      </c>
      <c r="B629" s="33">
        <f>IF(C629="","",IF(L629="À RENSEIGNER","GIC",L629)&amp;"-E"&amp;TEXT(A629,"00000"))</f>
        <v/>
      </c>
      <c r="C629" s="32" t="n"/>
      <c r="D629" s="36" t="n"/>
      <c r="E629" s="37" t="n"/>
      <c r="F629" s="36" t="n"/>
      <c r="G629" s="44" t="n"/>
      <c r="H629" s="43" t="n"/>
      <c r="I629" s="32" t="n"/>
      <c r="J629" s="44" t="n"/>
      <c r="K629" s="36" t="n"/>
      <c r="L629" s="33">
        <f>IF(C629="","",Commercial_Id)</f>
        <v/>
      </c>
      <c r="M629" s="34">
        <f>IF(OR(C629="",F629=""),"",IF(F629&lt;&gt;"Espèces","—",IF(I629&lt;&gt;"","☑ Oui","☐ Non")))</f>
        <v/>
      </c>
      <c r="N629" s="39">
        <f>IF(D629="","",IFERROR(VALUE(MID(D629,LEN(D629)-3,3)),""))</f>
        <v/>
      </c>
      <c r="O629" s="33">
        <f>IF(N629="","",L629&amp;"|"&amp;N629)</f>
        <v/>
      </c>
      <c r="P629" s="33">
        <f>IF(N629="","",IF(L629="À RENSEIGNER","GIC",L629)&amp;"-"&amp;TEXT(N629,"000"))</f>
        <v/>
      </c>
      <c r="Q629" s="33">
        <f>IF(O629="","",IFERROR(INDEX(Cl_nom,MATCH(O629,Cl_cle,0)),"(client introuvable)"))</f>
        <v/>
      </c>
      <c r="R629" s="40">
        <f>IF(O629="","",IFERROR(INDEX(Cl_reste,MATCH(O629,Cl_cle,0)),""))</f>
        <v/>
      </c>
      <c r="S629" s="34">
        <f>IF(C629="","",YEAR(C629-WEEKDAY(C629,2)+4)&amp;"-S"&amp;TEXT(INT((C629-DATE(YEAR(C629-WEEKDAY(C629,2)+4),1,3)+WEEKDAY(DATE(YEAR(C629-WEEKDAY(C629,2)+4),1,3),2)+5)/7),"00"))</f>
        <v/>
      </c>
    </row>
    <row r="630" ht="18" customHeight="1">
      <c r="A630" s="39" t="n">
        <v>625</v>
      </c>
      <c r="B630" s="33">
        <f>IF(C630="","",IF(L630="À RENSEIGNER","GIC",L630)&amp;"-E"&amp;TEXT(A630,"00000"))</f>
        <v/>
      </c>
      <c r="C630" s="32" t="n"/>
      <c r="D630" s="36" t="n"/>
      <c r="E630" s="37" t="n"/>
      <c r="F630" s="36" t="n"/>
      <c r="G630" s="44" t="n"/>
      <c r="H630" s="43" t="n"/>
      <c r="I630" s="32" t="n"/>
      <c r="J630" s="44" t="n"/>
      <c r="K630" s="36" t="n"/>
      <c r="L630" s="33">
        <f>IF(C630="","",Commercial_Id)</f>
        <v/>
      </c>
      <c r="M630" s="34">
        <f>IF(OR(C630="",F630=""),"",IF(F630&lt;&gt;"Espèces","—",IF(I630&lt;&gt;"","☑ Oui","☐ Non")))</f>
        <v/>
      </c>
      <c r="N630" s="39">
        <f>IF(D630="","",IFERROR(VALUE(MID(D630,LEN(D630)-3,3)),""))</f>
        <v/>
      </c>
      <c r="O630" s="33">
        <f>IF(N630="","",L630&amp;"|"&amp;N630)</f>
        <v/>
      </c>
      <c r="P630" s="33">
        <f>IF(N630="","",IF(L630="À RENSEIGNER","GIC",L630)&amp;"-"&amp;TEXT(N630,"000"))</f>
        <v/>
      </c>
      <c r="Q630" s="33">
        <f>IF(O630="","",IFERROR(INDEX(Cl_nom,MATCH(O630,Cl_cle,0)),"(client introuvable)"))</f>
        <v/>
      </c>
      <c r="R630" s="40">
        <f>IF(O630="","",IFERROR(INDEX(Cl_reste,MATCH(O630,Cl_cle,0)),""))</f>
        <v/>
      </c>
      <c r="S630" s="34">
        <f>IF(C630="","",YEAR(C630-WEEKDAY(C630,2)+4)&amp;"-S"&amp;TEXT(INT((C630-DATE(YEAR(C630-WEEKDAY(C630,2)+4),1,3)+WEEKDAY(DATE(YEAR(C630-WEEKDAY(C630,2)+4),1,3),2)+5)/7),"00"))</f>
        <v/>
      </c>
    </row>
    <row r="631" ht="18" customHeight="1">
      <c r="A631" s="39" t="n">
        <v>626</v>
      </c>
      <c r="B631" s="33">
        <f>IF(C631="","",IF(L631="À RENSEIGNER","GIC",L631)&amp;"-E"&amp;TEXT(A631,"00000"))</f>
        <v/>
      </c>
      <c r="C631" s="32" t="n"/>
      <c r="D631" s="36" t="n"/>
      <c r="E631" s="37" t="n"/>
      <c r="F631" s="36" t="n"/>
      <c r="G631" s="44" t="n"/>
      <c r="H631" s="43" t="n"/>
      <c r="I631" s="32" t="n"/>
      <c r="J631" s="44" t="n"/>
      <c r="K631" s="36" t="n"/>
      <c r="L631" s="33">
        <f>IF(C631="","",Commercial_Id)</f>
        <v/>
      </c>
      <c r="M631" s="34">
        <f>IF(OR(C631="",F631=""),"",IF(F631&lt;&gt;"Espèces","—",IF(I631&lt;&gt;"","☑ Oui","☐ Non")))</f>
        <v/>
      </c>
      <c r="N631" s="39">
        <f>IF(D631="","",IFERROR(VALUE(MID(D631,LEN(D631)-3,3)),""))</f>
        <v/>
      </c>
      <c r="O631" s="33">
        <f>IF(N631="","",L631&amp;"|"&amp;N631)</f>
        <v/>
      </c>
      <c r="P631" s="33">
        <f>IF(N631="","",IF(L631="À RENSEIGNER","GIC",L631)&amp;"-"&amp;TEXT(N631,"000"))</f>
        <v/>
      </c>
      <c r="Q631" s="33">
        <f>IF(O631="","",IFERROR(INDEX(Cl_nom,MATCH(O631,Cl_cle,0)),"(client introuvable)"))</f>
        <v/>
      </c>
      <c r="R631" s="40">
        <f>IF(O631="","",IFERROR(INDEX(Cl_reste,MATCH(O631,Cl_cle,0)),""))</f>
        <v/>
      </c>
      <c r="S631" s="34">
        <f>IF(C631="","",YEAR(C631-WEEKDAY(C631,2)+4)&amp;"-S"&amp;TEXT(INT((C631-DATE(YEAR(C631-WEEKDAY(C631,2)+4),1,3)+WEEKDAY(DATE(YEAR(C631-WEEKDAY(C631,2)+4),1,3),2)+5)/7),"00"))</f>
        <v/>
      </c>
    </row>
    <row r="632" ht="18" customHeight="1">
      <c r="A632" s="39" t="n">
        <v>627</v>
      </c>
      <c r="B632" s="33">
        <f>IF(C632="","",IF(L632="À RENSEIGNER","GIC",L632)&amp;"-E"&amp;TEXT(A632,"00000"))</f>
        <v/>
      </c>
      <c r="C632" s="32" t="n"/>
      <c r="D632" s="36" t="n"/>
      <c r="E632" s="37" t="n"/>
      <c r="F632" s="36" t="n"/>
      <c r="G632" s="44" t="n"/>
      <c r="H632" s="43" t="n"/>
      <c r="I632" s="32" t="n"/>
      <c r="J632" s="44" t="n"/>
      <c r="K632" s="36" t="n"/>
      <c r="L632" s="33">
        <f>IF(C632="","",Commercial_Id)</f>
        <v/>
      </c>
      <c r="M632" s="34">
        <f>IF(OR(C632="",F632=""),"",IF(F632&lt;&gt;"Espèces","—",IF(I632&lt;&gt;"","☑ Oui","☐ Non")))</f>
        <v/>
      </c>
      <c r="N632" s="39">
        <f>IF(D632="","",IFERROR(VALUE(MID(D632,LEN(D632)-3,3)),""))</f>
        <v/>
      </c>
      <c r="O632" s="33">
        <f>IF(N632="","",L632&amp;"|"&amp;N632)</f>
        <v/>
      </c>
      <c r="P632" s="33">
        <f>IF(N632="","",IF(L632="À RENSEIGNER","GIC",L632)&amp;"-"&amp;TEXT(N632,"000"))</f>
        <v/>
      </c>
      <c r="Q632" s="33">
        <f>IF(O632="","",IFERROR(INDEX(Cl_nom,MATCH(O632,Cl_cle,0)),"(client introuvable)"))</f>
        <v/>
      </c>
      <c r="R632" s="40">
        <f>IF(O632="","",IFERROR(INDEX(Cl_reste,MATCH(O632,Cl_cle,0)),""))</f>
        <v/>
      </c>
      <c r="S632" s="34">
        <f>IF(C632="","",YEAR(C632-WEEKDAY(C632,2)+4)&amp;"-S"&amp;TEXT(INT((C632-DATE(YEAR(C632-WEEKDAY(C632,2)+4),1,3)+WEEKDAY(DATE(YEAR(C632-WEEKDAY(C632,2)+4),1,3),2)+5)/7),"00"))</f>
        <v/>
      </c>
    </row>
    <row r="633" ht="18" customHeight="1">
      <c r="A633" s="39" t="n">
        <v>628</v>
      </c>
      <c r="B633" s="33">
        <f>IF(C633="","",IF(L633="À RENSEIGNER","GIC",L633)&amp;"-E"&amp;TEXT(A633,"00000"))</f>
        <v/>
      </c>
      <c r="C633" s="32" t="n"/>
      <c r="D633" s="36" t="n"/>
      <c r="E633" s="37" t="n"/>
      <c r="F633" s="36" t="n"/>
      <c r="G633" s="44" t="n"/>
      <c r="H633" s="43" t="n"/>
      <c r="I633" s="32" t="n"/>
      <c r="J633" s="44" t="n"/>
      <c r="K633" s="36" t="n"/>
      <c r="L633" s="33">
        <f>IF(C633="","",Commercial_Id)</f>
        <v/>
      </c>
      <c r="M633" s="34">
        <f>IF(OR(C633="",F633=""),"",IF(F633&lt;&gt;"Espèces","—",IF(I633&lt;&gt;"","☑ Oui","☐ Non")))</f>
        <v/>
      </c>
      <c r="N633" s="39">
        <f>IF(D633="","",IFERROR(VALUE(MID(D633,LEN(D633)-3,3)),""))</f>
        <v/>
      </c>
      <c r="O633" s="33">
        <f>IF(N633="","",L633&amp;"|"&amp;N633)</f>
        <v/>
      </c>
      <c r="P633" s="33">
        <f>IF(N633="","",IF(L633="À RENSEIGNER","GIC",L633)&amp;"-"&amp;TEXT(N633,"000"))</f>
        <v/>
      </c>
      <c r="Q633" s="33">
        <f>IF(O633="","",IFERROR(INDEX(Cl_nom,MATCH(O633,Cl_cle,0)),"(client introuvable)"))</f>
        <v/>
      </c>
      <c r="R633" s="40">
        <f>IF(O633="","",IFERROR(INDEX(Cl_reste,MATCH(O633,Cl_cle,0)),""))</f>
        <v/>
      </c>
      <c r="S633" s="34">
        <f>IF(C633="","",YEAR(C633-WEEKDAY(C633,2)+4)&amp;"-S"&amp;TEXT(INT((C633-DATE(YEAR(C633-WEEKDAY(C633,2)+4),1,3)+WEEKDAY(DATE(YEAR(C633-WEEKDAY(C633,2)+4),1,3),2)+5)/7),"00"))</f>
        <v/>
      </c>
    </row>
    <row r="634" ht="18" customHeight="1">
      <c r="A634" s="39" t="n">
        <v>629</v>
      </c>
      <c r="B634" s="33">
        <f>IF(C634="","",IF(L634="À RENSEIGNER","GIC",L634)&amp;"-E"&amp;TEXT(A634,"00000"))</f>
        <v/>
      </c>
      <c r="C634" s="32" t="n"/>
      <c r="D634" s="36" t="n"/>
      <c r="E634" s="37" t="n"/>
      <c r="F634" s="36" t="n"/>
      <c r="G634" s="44" t="n"/>
      <c r="H634" s="43" t="n"/>
      <c r="I634" s="32" t="n"/>
      <c r="J634" s="44" t="n"/>
      <c r="K634" s="36" t="n"/>
      <c r="L634" s="33">
        <f>IF(C634="","",Commercial_Id)</f>
        <v/>
      </c>
      <c r="M634" s="34">
        <f>IF(OR(C634="",F634=""),"",IF(F634&lt;&gt;"Espèces","—",IF(I634&lt;&gt;"","☑ Oui","☐ Non")))</f>
        <v/>
      </c>
      <c r="N634" s="39">
        <f>IF(D634="","",IFERROR(VALUE(MID(D634,LEN(D634)-3,3)),""))</f>
        <v/>
      </c>
      <c r="O634" s="33">
        <f>IF(N634="","",L634&amp;"|"&amp;N634)</f>
        <v/>
      </c>
      <c r="P634" s="33">
        <f>IF(N634="","",IF(L634="À RENSEIGNER","GIC",L634)&amp;"-"&amp;TEXT(N634,"000"))</f>
        <v/>
      </c>
      <c r="Q634" s="33">
        <f>IF(O634="","",IFERROR(INDEX(Cl_nom,MATCH(O634,Cl_cle,0)),"(client introuvable)"))</f>
        <v/>
      </c>
      <c r="R634" s="40">
        <f>IF(O634="","",IFERROR(INDEX(Cl_reste,MATCH(O634,Cl_cle,0)),""))</f>
        <v/>
      </c>
      <c r="S634" s="34">
        <f>IF(C634="","",YEAR(C634-WEEKDAY(C634,2)+4)&amp;"-S"&amp;TEXT(INT((C634-DATE(YEAR(C634-WEEKDAY(C634,2)+4),1,3)+WEEKDAY(DATE(YEAR(C634-WEEKDAY(C634,2)+4),1,3),2)+5)/7),"00"))</f>
        <v/>
      </c>
    </row>
    <row r="635" ht="18" customHeight="1">
      <c r="A635" s="39" t="n">
        <v>630</v>
      </c>
      <c r="B635" s="33">
        <f>IF(C635="","",IF(L635="À RENSEIGNER","GIC",L635)&amp;"-E"&amp;TEXT(A635,"00000"))</f>
        <v/>
      </c>
      <c r="C635" s="32" t="n"/>
      <c r="D635" s="36" t="n"/>
      <c r="E635" s="37" t="n"/>
      <c r="F635" s="36" t="n"/>
      <c r="G635" s="44" t="n"/>
      <c r="H635" s="43" t="n"/>
      <c r="I635" s="32" t="n"/>
      <c r="J635" s="44" t="n"/>
      <c r="K635" s="36" t="n"/>
      <c r="L635" s="33">
        <f>IF(C635="","",Commercial_Id)</f>
        <v/>
      </c>
      <c r="M635" s="34">
        <f>IF(OR(C635="",F635=""),"",IF(F635&lt;&gt;"Espèces","—",IF(I635&lt;&gt;"","☑ Oui","☐ Non")))</f>
        <v/>
      </c>
      <c r="N635" s="39">
        <f>IF(D635="","",IFERROR(VALUE(MID(D635,LEN(D635)-3,3)),""))</f>
        <v/>
      </c>
      <c r="O635" s="33">
        <f>IF(N635="","",L635&amp;"|"&amp;N635)</f>
        <v/>
      </c>
      <c r="P635" s="33">
        <f>IF(N635="","",IF(L635="À RENSEIGNER","GIC",L635)&amp;"-"&amp;TEXT(N635,"000"))</f>
        <v/>
      </c>
      <c r="Q635" s="33">
        <f>IF(O635="","",IFERROR(INDEX(Cl_nom,MATCH(O635,Cl_cle,0)),"(client introuvable)"))</f>
        <v/>
      </c>
      <c r="R635" s="40">
        <f>IF(O635="","",IFERROR(INDEX(Cl_reste,MATCH(O635,Cl_cle,0)),""))</f>
        <v/>
      </c>
      <c r="S635" s="34">
        <f>IF(C635="","",YEAR(C635-WEEKDAY(C635,2)+4)&amp;"-S"&amp;TEXT(INT((C635-DATE(YEAR(C635-WEEKDAY(C635,2)+4),1,3)+WEEKDAY(DATE(YEAR(C635-WEEKDAY(C635,2)+4),1,3),2)+5)/7),"00"))</f>
        <v/>
      </c>
    </row>
    <row r="636" ht="18" customHeight="1">
      <c r="A636" s="39" t="n">
        <v>631</v>
      </c>
      <c r="B636" s="33">
        <f>IF(C636="","",IF(L636="À RENSEIGNER","GIC",L636)&amp;"-E"&amp;TEXT(A636,"00000"))</f>
        <v/>
      </c>
      <c r="C636" s="32" t="n"/>
      <c r="D636" s="36" t="n"/>
      <c r="E636" s="37" t="n"/>
      <c r="F636" s="36" t="n"/>
      <c r="G636" s="44" t="n"/>
      <c r="H636" s="43" t="n"/>
      <c r="I636" s="32" t="n"/>
      <c r="J636" s="44" t="n"/>
      <c r="K636" s="36" t="n"/>
      <c r="L636" s="33">
        <f>IF(C636="","",Commercial_Id)</f>
        <v/>
      </c>
      <c r="M636" s="34">
        <f>IF(OR(C636="",F636=""),"",IF(F636&lt;&gt;"Espèces","—",IF(I636&lt;&gt;"","☑ Oui","☐ Non")))</f>
        <v/>
      </c>
      <c r="N636" s="39">
        <f>IF(D636="","",IFERROR(VALUE(MID(D636,LEN(D636)-3,3)),""))</f>
        <v/>
      </c>
      <c r="O636" s="33">
        <f>IF(N636="","",L636&amp;"|"&amp;N636)</f>
        <v/>
      </c>
      <c r="P636" s="33">
        <f>IF(N636="","",IF(L636="À RENSEIGNER","GIC",L636)&amp;"-"&amp;TEXT(N636,"000"))</f>
        <v/>
      </c>
      <c r="Q636" s="33">
        <f>IF(O636="","",IFERROR(INDEX(Cl_nom,MATCH(O636,Cl_cle,0)),"(client introuvable)"))</f>
        <v/>
      </c>
      <c r="R636" s="40">
        <f>IF(O636="","",IFERROR(INDEX(Cl_reste,MATCH(O636,Cl_cle,0)),""))</f>
        <v/>
      </c>
      <c r="S636" s="34">
        <f>IF(C636="","",YEAR(C636-WEEKDAY(C636,2)+4)&amp;"-S"&amp;TEXT(INT((C636-DATE(YEAR(C636-WEEKDAY(C636,2)+4),1,3)+WEEKDAY(DATE(YEAR(C636-WEEKDAY(C636,2)+4),1,3),2)+5)/7),"00"))</f>
        <v/>
      </c>
    </row>
    <row r="637" ht="18" customHeight="1">
      <c r="A637" s="39" t="n">
        <v>632</v>
      </c>
      <c r="B637" s="33">
        <f>IF(C637="","",IF(L637="À RENSEIGNER","GIC",L637)&amp;"-E"&amp;TEXT(A637,"00000"))</f>
        <v/>
      </c>
      <c r="C637" s="32" t="n"/>
      <c r="D637" s="36" t="n"/>
      <c r="E637" s="37" t="n"/>
      <c r="F637" s="36" t="n"/>
      <c r="G637" s="44" t="n"/>
      <c r="H637" s="43" t="n"/>
      <c r="I637" s="32" t="n"/>
      <c r="J637" s="44" t="n"/>
      <c r="K637" s="36" t="n"/>
      <c r="L637" s="33">
        <f>IF(C637="","",Commercial_Id)</f>
        <v/>
      </c>
      <c r="M637" s="34">
        <f>IF(OR(C637="",F637=""),"",IF(F637&lt;&gt;"Espèces","—",IF(I637&lt;&gt;"","☑ Oui","☐ Non")))</f>
        <v/>
      </c>
      <c r="N637" s="39">
        <f>IF(D637="","",IFERROR(VALUE(MID(D637,LEN(D637)-3,3)),""))</f>
        <v/>
      </c>
      <c r="O637" s="33">
        <f>IF(N637="","",L637&amp;"|"&amp;N637)</f>
        <v/>
      </c>
      <c r="P637" s="33">
        <f>IF(N637="","",IF(L637="À RENSEIGNER","GIC",L637)&amp;"-"&amp;TEXT(N637,"000"))</f>
        <v/>
      </c>
      <c r="Q637" s="33">
        <f>IF(O637="","",IFERROR(INDEX(Cl_nom,MATCH(O637,Cl_cle,0)),"(client introuvable)"))</f>
        <v/>
      </c>
      <c r="R637" s="40">
        <f>IF(O637="","",IFERROR(INDEX(Cl_reste,MATCH(O637,Cl_cle,0)),""))</f>
        <v/>
      </c>
      <c r="S637" s="34">
        <f>IF(C637="","",YEAR(C637-WEEKDAY(C637,2)+4)&amp;"-S"&amp;TEXT(INT((C637-DATE(YEAR(C637-WEEKDAY(C637,2)+4),1,3)+WEEKDAY(DATE(YEAR(C637-WEEKDAY(C637,2)+4),1,3),2)+5)/7),"00"))</f>
        <v/>
      </c>
    </row>
    <row r="638" ht="18" customHeight="1">
      <c r="A638" s="39" t="n">
        <v>633</v>
      </c>
      <c r="B638" s="33">
        <f>IF(C638="","",IF(L638="À RENSEIGNER","GIC",L638)&amp;"-E"&amp;TEXT(A638,"00000"))</f>
        <v/>
      </c>
      <c r="C638" s="32" t="n"/>
      <c r="D638" s="36" t="n"/>
      <c r="E638" s="37" t="n"/>
      <c r="F638" s="36" t="n"/>
      <c r="G638" s="44" t="n"/>
      <c r="H638" s="43" t="n"/>
      <c r="I638" s="32" t="n"/>
      <c r="J638" s="44" t="n"/>
      <c r="K638" s="36" t="n"/>
      <c r="L638" s="33">
        <f>IF(C638="","",Commercial_Id)</f>
        <v/>
      </c>
      <c r="M638" s="34">
        <f>IF(OR(C638="",F638=""),"",IF(F638&lt;&gt;"Espèces","—",IF(I638&lt;&gt;"","☑ Oui","☐ Non")))</f>
        <v/>
      </c>
      <c r="N638" s="39">
        <f>IF(D638="","",IFERROR(VALUE(MID(D638,LEN(D638)-3,3)),""))</f>
        <v/>
      </c>
      <c r="O638" s="33">
        <f>IF(N638="","",L638&amp;"|"&amp;N638)</f>
        <v/>
      </c>
      <c r="P638" s="33">
        <f>IF(N638="","",IF(L638="À RENSEIGNER","GIC",L638)&amp;"-"&amp;TEXT(N638,"000"))</f>
        <v/>
      </c>
      <c r="Q638" s="33">
        <f>IF(O638="","",IFERROR(INDEX(Cl_nom,MATCH(O638,Cl_cle,0)),"(client introuvable)"))</f>
        <v/>
      </c>
      <c r="R638" s="40">
        <f>IF(O638="","",IFERROR(INDEX(Cl_reste,MATCH(O638,Cl_cle,0)),""))</f>
        <v/>
      </c>
      <c r="S638" s="34">
        <f>IF(C638="","",YEAR(C638-WEEKDAY(C638,2)+4)&amp;"-S"&amp;TEXT(INT((C638-DATE(YEAR(C638-WEEKDAY(C638,2)+4),1,3)+WEEKDAY(DATE(YEAR(C638-WEEKDAY(C638,2)+4),1,3),2)+5)/7),"00"))</f>
        <v/>
      </c>
    </row>
    <row r="639" ht="18" customHeight="1">
      <c r="A639" s="39" t="n">
        <v>634</v>
      </c>
      <c r="B639" s="33">
        <f>IF(C639="","",IF(L639="À RENSEIGNER","GIC",L639)&amp;"-E"&amp;TEXT(A639,"00000"))</f>
        <v/>
      </c>
      <c r="C639" s="32" t="n"/>
      <c r="D639" s="36" t="n"/>
      <c r="E639" s="37" t="n"/>
      <c r="F639" s="36" t="n"/>
      <c r="G639" s="44" t="n"/>
      <c r="H639" s="43" t="n"/>
      <c r="I639" s="32" t="n"/>
      <c r="J639" s="44" t="n"/>
      <c r="K639" s="36" t="n"/>
      <c r="L639" s="33">
        <f>IF(C639="","",Commercial_Id)</f>
        <v/>
      </c>
      <c r="M639" s="34">
        <f>IF(OR(C639="",F639=""),"",IF(F639&lt;&gt;"Espèces","—",IF(I639&lt;&gt;"","☑ Oui","☐ Non")))</f>
        <v/>
      </c>
      <c r="N639" s="39">
        <f>IF(D639="","",IFERROR(VALUE(MID(D639,LEN(D639)-3,3)),""))</f>
        <v/>
      </c>
      <c r="O639" s="33">
        <f>IF(N639="","",L639&amp;"|"&amp;N639)</f>
        <v/>
      </c>
      <c r="P639" s="33">
        <f>IF(N639="","",IF(L639="À RENSEIGNER","GIC",L639)&amp;"-"&amp;TEXT(N639,"000"))</f>
        <v/>
      </c>
      <c r="Q639" s="33">
        <f>IF(O639="","",IFERROR(INDEX(Cl_nom,MATCH(O639,Cl_cle,0)),"(client introuvable)"))</f>
        <v/>
      </c>
      <c r="R639" s="40">
        <f>IF(O639="","",IFERROR(INDEX(Cl_reste,MATCH(O639,Cl_cle,0)),""))</f>
        <v/>
      </c>
      <c r="S639" s="34">
        <f>IF(C639="","",YEAR(C639-WEEKDAY(C639,2)+4)&amp;"-S"&amp;TEXT(INT((C639-DATE(YEAR(C639-WEEKDAY(C639,2)+4),1,3)+WEEKDAY(DATE(YEAR(C639-WEEKDAY(C639,2)+4),1,3),2)+5)/7),"00"))</f>
        <v/>
      </c>
    </row>
    <row r="640" ht="18" customHeight="1">
      <c r="A640" s="39" t="n">
        <v>635</v>
      </c>
      <c r="B640" s="33">
        <f>IF(C640="","",IF(L640="À RENSEIGNER","GIC",L640)&amp;"-E"&amp;TEXT(A640,"00000"))</f>
        <v/>
      </c>
      <c r="C640" s="32" t="n"/>
      <c r="D640" s="36" t="n"/>
      <c r="E640" s="37" t="n"/>
      <c r="F640" s="36" t="n"/>
      <c r="G640" s="44" t="n"/>
      <c r="H640" s="43" t="n"/>
      <c r="I640" s="32" t="n"/>
      <c r="J640" s="44" t="n"/>
      <c r="K640" s="36" t="n"/>
      <c r="L640" s="33">
        <f>IF(C640="","",Commercial_Id)</f>
        <v/>
      </c>
      <c r="M640" s="34">
        <f>IF(OR(C640="",F640=""),"",IF(F640&lt;&gt;"Espèces","—",IF(I640&lt;&gt;"","☑ Oui","☐ Non")))</f>
        <v/>
      </c>
      <c r="N640" s="39">
        <f>IF(D640="","",IFERROR(VALUE(MID(D640,LEN(D640)-3,3)),""))</f>
        <v/>
      </c>
      <c r="O640" s="33">
        <f>IF(N640="","",L640&amp;"|"&amp;N640)</f>
        <v/>
      </c>
      <c r="P640" s="33">
        <f>IF(N640="","",IF(L640="À RENSEIGNER","GIC",L640)&amp;"-"&amp;TEXT(N640,"000"))</f>
        <v/>
      </c>
      <c r="Q640" s="33">
        <f>IF(O640="","",IFERROR(INDEX(Cl_nom,MATCH(O640,Cl_cle,0)),"(client introuvable)"))</f>
        <v/>
      </c>
      <c r="R640" s="40">
        <f>IF(O640="","",IFERROR(INDEX(Cl_reste,MATCH(O640,Cl_cle,0)),""))</f>
        <v/>
      </c>
      <c r="S640" s="34">
        <f>IF(C640="","",YEAR(C640-WEEKDAY(C640,2)+4)&amp;"-S"&amp;TEXT(INT((C640-DATE(YEAR(C640-WEEKDAY(C640,2)+4),1,3)+WEEKDAY(DATE(YEAR(C640-WEEKDAY(C640,2)+4),1,3),2)+5)/7),"00"))</f>
        <v/>
      </c>
    </row>
    <row r="641" ht="18" customHeight="1">
      <c r="A641" s="39" t="n">
        <v>636</v>
      </c>
      <c r="B641" s="33">
        <f>IF(C641="","",IF(L641="À RENSEIGNER","GIC",L641)&amp;"-E"&amp;TEXT(A641,"00000"))</f>
        <v/>
      </c>
      <c r="C641" s="32" t="n"/>
      <c r="D641" s="36" t="n"/>
      <c r="E641" s="37" t="n"/>
      <c r="F641" s="36" t="n"/>
      <c r="G641" s="44" t="n"/>
      <c r="H641" s="43" t="n"/>
      <c r="I641" s="32" t="n"/>
      <c r="J641" s="44" t="n"/>
      <c r="K641" s="36" t="n"/>
      <c r="L641" s="33">
        <f>IF(C641="","",Commercial_Id)</f>
        <v/>
      </c>
      <c r="M641" s="34">
        <f>IF(OR(C641="",F641=""),"",IF(F641&lt;&gt;"Espèces","—",IF(I641&lt;&gt;"","☑ Oui","☐ Non")))</f>
        <v/>
      </c>
      <c r="N641" s="39">
        <f>IF(D641="","",IFERROR(VALUE(MID(D641,LEN(D641)-3,3)),""))</f>
        <v/>
      </c>
      <c r="O641" s="33">
        <f>IF(N641="","",L641&amp;"|"&amp;N641)</f>
        <v/>
      </c>
      <c r="P641" s="33">
        <f>IF(N641="","",IF(L641="À RENSEIGNER","GIC",L641)&amp;"-"&amp;TEXT(N641,"000"))</f>
        <v/>
      </c>
      <c r="Q641" s="33">
        <f>IF(O641="","",IFERROR(INDEX(Cl_nom,MATCH(O641,Cl_cle,0)),"(client introuvable)"))</f>
        <v/>
      </c>
      <c r="R641" s="40">
        <f>IF(O641="","",IFERROR(INDEX(Cl_reste,MATCH(O641,Cl_cle,0)),""))</f>
        <v/>
      </c>
      <c r="S641" s="34">
        <f>IF(C641="","",YEAR(C641-WEEKDAY(C641,2)+4)&amp;"-S"&amp;TEXT(INT((C641-DATE(YEAR(C641-WEEKDAY(C641,2)+4),1,3)+WEEKDAY(DATE(YEAR(C641-WEEKDAY(C641,2)+4),1,3),2)+5)/7),"00"))</f>
        <v/>
      </c>
    </row>
    <row r="642" ht="18" customHeight="1">
      <c r="A642" s="39" t="n">
        <v>637</v>
      </c>
      <c r="B642" s="33">
        <f>IF(C642="","",IF(L642="À RENSEIGNER","GIC",L642)&amp;"-E"&amp;TEXT(A642,"00000"))</f>
        <v/>
      </c>
      <c r="C642" s="32" t="n"/>
      <c r="D642" s="36" t="n"/>
      <c r="E642" s="37" t="n"/>
      <c r="F642" s="36" t="n"/>
      <c r="G642" s="44" t="n"/>
      <c r="H642" s="43" t="n"/>
      <c r="I642" s="32" t="n"/>
      <c r="J642" s="44" t="n"/>
      <c r="K642" s="36" t="n"/>
      <c r="L642" s="33">
        <f>IF(C642="","",Commercial_Id)</f>
        <v/>
      </c>
      <c r="M642" s="34">
        <f>IF(OR(C642="",F642=""),"",IF(F642&lt;&gt;"Espèces","—",IF(I642&lt;&gt;"","☑ Oui","☐ Non")))</f>
        <v/>
      </c>
      <c r="N642" s="39">
        <f>IF(D642="","",IFERROR(VALUE(MID(D642,LEN(D642)-3,3)),""))</f>
        <v/>
      </c>
      <c r="O642" s="33">
        <f>IF(N642="","",L642&amp;"|"&amp;N642)</f>
        <v/>
      </c>
      <c r="P642" s="33">
        <f>IF(N642="","",IF(L642="À RENSEIGNER","GIC",L642)&amp;"-"&amp;TEXT(N642,"000"))</f>
        <v/>
      </c>
      <c r="Q642" s="33">
        <f>IF(O642="","",IFERROR(INDEX(Cl_nom,MATCH(O642,Cl_cle,0)),"(client introuvable)"))</f>
        <v/>
      </c>
      <c r="R642" s="40">
        <f>IF(O642="","",IFERROR(INDEX(Cl_reste,MATCH(O642,Cl_cle,0)),""))</f>
        <v/>
      </c>
      <c r="S642" s="34">
        <f>IF(C642="","",YEAR(C642-WEEKDAY(C642,2)+4)&amp;"-S"&amp;TEXT(INT((C642-DATE(YEAR(C642-WEEKDAY(C642,2)+4),1,3)+WEEKDAY(DATE(YEAR(C642-WEEKDAY(C642,2)+4),1,3),2)+5)/7),"00"))</f>
        <v/>
      </c>
    </row>
    <row r="643" ht="18" customHeight="1">
      <c r="A643" s="39" t="n">
        <v>638</v>
      </c>
      <c r="B643" s="33">
        <f>IF(C643="","",IF(L643="À RENSEIGNER","GIC",L643)&amp;"-E"&amp;TEXT(A643,"00000"))</f>
        <v/>
      </c>
      <c r="C643" s="32" t="n"/>
      <c r="D643" s="36" t="n"/>
      <c r="E643" s="37" t="n"/>
      <c r="F643" s="36" t="n"/>
      <c r="G643" s="44" t="n"/>
      <c r="H643" s="43" t="n"/>
      <c r="I643" s="32" t="n"/>
      <c r="J643" s="44" t="n"/>
      <c r="K643" s="36" t="n"/>
      <c r="L643" s="33">
        <f>IF(C643="","",Commercial_Id)</f>
        <v/>
      </c>
      <c r="M643" s="34">
        <f>IF(OR(C643="",F643=""),"",IF(F643&lt;&gt;"Espèces","—",IF(I643&lt;&gt;"","☑ Oui","☐ Non")))</f>
        <v/>
      </c>
      <c r="N643" s="39">
        <f>IF(D643="","",IFERROR(VALUE(MID(D643,LEN(D643)-3,3)),""))</f>
        <v/>
      </c>
      <c r="O643" s="33">
        <f>IF(N643="","",L643&amp;"|"&amp;N643)</f>
        <v/>
      </c>
      <c r="P643" s="33">
        <f>IF(N643="","",IF(L643="À RENSEIGNER","GIC",L643)&amp;"-"&amp;TEXT(N643,"000"))</f>
        <v/>
      </c>
      <c r="Q643" s="33">
        <f>IF(O643="","",IFERROR(INDEX(Cl_nom,MATCH(O643,Cl_cle,0)),"(client introuvable)"))</f>
        <v/>
      </c>
      <c r="R643" s="40">
        <f>IF(O643="","",IFERROR(INDEX(Cl_reste,MATCH(O643,Cl_cle,0)),""))</f>
        <v/>
      </c>
      <c r="S643" s="34">
        <f>IF(C643="","",YEAR(C643-WEEKDAY(C643,2)+4)&amp;"-S"&amp;TEXT(INT((C643-DATE(YEAR(C643-WEEKDAY(C643,2)+4),1,3)+WEEKDAY(DATE(YEAR(C643-WEEKDAY(C643,2)+4),1,3),2)+5)/7),"00"))</f>
        <v/>
      </c>
    </row>
    <row r="644" ht="18" customHeight="1">
      <c r="A644" s="39" t="n">
        <v>639</v>
      </c>
      <c r="B644" s="33">
        <f>IF(C644="","",IF(L644="À RENSEIGNER","GIC",L644)&amp;"-E"&amp;TEXT(A644,"00000"))</f>
        <v/>
      </c>
      <c r="C644" s="32" t="n"/>
      <c r="D644" s="36" t="n"/>
      <c r="E644" s="37" t="n"/>
      <c r="F644" s="36" t="n"/>
      <c r="G644" s="44" t="n"/>
      <c r="H644" s="43" t="n"/>
      <c r="I644" s="32" t="n"/>
      <c r="J644" s="44" t="n"/>
      <c r="K644" s="36" t="n"/>
      <c r="L644" s="33">
        <f>IF(C644="","",Commercial_Id)</f>
        <v/>
      </c>
      <c r="M644" s="34">
        <f>IF(OR(C644="",F644=""),"",IF(F644&lt;&gt;"Espèces","—",IF(I644&lt;&gt;"","☑ Oui","☐ Non")))</f>
        <v/>
      </c>
      <c r="N644" s="39">
        <f>IF(D644="","",IFERROR(VALUE(MID(D644,LEN(D644)-3,3)),""))</f>
        <v/>
      </c>
      <c r="O644" s="33">
        <f>IF(N644="","",L644&amp;"|"&amp;N644)</f>
        <v/>
      </c>
      <c r="P644" s="33">
        <f>IF(N644="","",IF(L644="À RENSEIGNER","GIC",L644)&amp;"-"&amp;TEXT(N644,"000"))</f>
        <v/>
      </c>
      <c r="Q644" s="33">
        <f>IF(O644="","",IFERROR(INDEX(Cl_nom,MATCH(O644,Cl_cle,0)),"(client introuvable)"))</f>
        <v/>
      </c>
      <c r="R644" s="40">
        <f>IF(O644="","",IFERROR(INDEX(Cl_reste,MATCH(O644,Cl_cle,0)),""))</f>
        <v/>
      </c>
      <c r="S644" s="34">
        <f>IF(C644="","",YEAR(C644-WEEKDAY(C644,2)+4)&amp;"-S"&amp;TEXT(INT((C644-DATE(YEAR(C644-WEEKDAY(C644,2)+4),1,3)+WEEKDAY(DATE(YEAR(C644-WEEKDAY(C644,2)+4),1,3),2)+5)/7),"00"))</f>
        <v/>
      </c>
    </row>
    <row r="645" ht="18" customHeight="1">
      <c r="A645" s="39" t="n">
        <v>640</v>
      </c>
      <c r="B645" s="33">
        <f>IF(C645="","",IF(L645="À RENSEIGNER","GIC",L645)&amp;"-E"&amp;TEXT(A645,"00000"))</f>
        <v/>
      </c>
      <c r="C645" s="32" t="n"/>
      <c r="D645" s="36" t="n"/>
      <c r="E645" s="37" t="n"/>
      <c r="F645" s="36" t="n"/>
      <c r="G645" s="44" t="n"/>
      <c r="H645" s="43" t="n"/>
      <c r="I645" s="32" t="n"/>
      <c r="J645" s="44" t="n"/>
      <c r="K645" s="36" t="n"/>
      <c r="L645" s="33">
        <f>IF(C645="","",Commercial_Id)</f>
        <v/>
      </c>
      <c r="M645" s="34">
        <f>IF(OR(C645="",F645=""),"",IF(F645&lt;&gt;"Espèces","—",IF(I645&lt;&gt;"","☑ Oui","☐ Non")))</f>
        <v/>
      </c>
      <c r="N645" s="39">
        <f>IF(D645="","",IFERROR(VALUE(MID(D645,LEN(D645)-3,3)),""))</f>
        <v/>
      </c>
      <c r="O645" s="33">
        <f>IF(N645="","",L645&amp;"|"&amp;N645)</f>
        <v/>
      </c>
      <c r="P645" s="33">
        <f>IF(N645="","",IF(L645="À RENSEIGNER","GIC",L645)&amp;"-"&amp;TEXT(N645,"000"))</f>
        <v/>
      </c>
      <c r="Q645" s="33">
        <f>IF(O645="","",IFERROR(INDEX(Cl_nom,MATCH(O645,Cl_cle,0)),"(client introuvable)"))</f>
        <v/>
      </c>
      <c r="R645" s="40">
        <f>IF(O645="","",IFERROR(INDEX(Cl_reste,MATCH(O645,Cl_cle,0)),""))</f>
        <v/>
      </c>
      <c r="S645" s="34">
        <f>IF(C645="","",YEAR(C645-WEEKDAY(C645,2)+4)&amp;"-S"&amp;TEXT(INT((C645-DATE(YEAR(C645-WEEKDAY(C645,2)+4),1,3)+WEEKDAY(DATE(YEAR(C645-WEEKDAY(C645,2)+4),1,3),2)+5)/7),"00"))</f>
        <v/>
      </c>
    </row>
    <row r="646" ht="18" customHeight="1">
      <c r="A646" s="39" t="n">
        <v>641</v>
      </c>
      <c r="B646" s="33">
        <f>IF(C646="","",IF(L646="À RENSEIGNER","GIC",L646)&amp;"-E"&amp;TEXT(A646,"00000"))</f>
        <v/>
      </c>
      <c r="C646" s="32" t="n"/>
      <c r="D646" s="36" t="n"/>
      <c r="E646" s="37" t="n"/>
      <c r="F646" s="36" t="n"/>
      <c r="G646" s="44" t="n"/>
      <c r="H646" s="43" t="n"/>
      <c r="I646" s="32" t="n"/>
      <c r="J646" s="44" t="n"/>
      <c r="K646" s="36" t="n"/>
      <c r="L646" s="33">
        <f>IF(C646="","",Commercial_Id)</f>
        <v/>
      </c>
      <c r="M646" s="34">
        <f>IF(OR(C646="",F646=""),"",IF(F646&lt;&gt;"Espèces","—",IF(I646&lt;&gt;"","☑ Oui","☐ Non")))</f>
        <v/>
      </c>
      <c r="N646" s="39">
        <f>IF(D646="","",IFERROR(VALUE(MID(D646,LEN(D646)-3,3)),""))</f>
        <v/>
      </c>
      <c r="O646" s="33">
        <f>IF(N646="","",L646&amp;"|"&amp;N646)</f>
        <v/>
      </c>
      <c r="P646" s="33">
        <f>IF(N646="","",IF(L646="À RENSEIGNER","GIC",L646)&amp;"-"&amp;TEXT(N646,"000"))</f>
        <v/>
      </c>
      <c r="Q646" s="33">
        <f>IF(O646="","",IFERROR(INDEX(Cl_nom,MATCH(O646,Cl_cle,0)),"(client introuvable)"))</f>
        <v/>
      </c>
      <c r="R646" s="40">
        <f>IF(O646="","",IFERROR(INDEX(Cl_reste,MATCH(O646,Cl_cle,0)),""))</f>
        <v/>
      </c>
      <c r="S646" s="34">
        <f>IF(C646="","",YEAR(C646-WEEKDAY(C646,2)+4)&amp;"-S"&amp;TEXT(INT((C646-DATE(YEAR(C646-WEEKDAY(C646,2)+4),1,3)+WEEKDAY(DATE(YEAR(C646-WEEKDAY(C646,2)+4),1,3),2)+5)/7),"00"))</f>
        <v/>
      </c>
    </row>
    <row r="647" ht="18" customHeight="1">
      <c r="A647" s="39" t="n">
        <v>642</v>
      </c>
      <c r="B647" s="33">
        <f>IF(C647="","",IF(L647="À RENSEIGNER","GIC",L647)&amp;"-E"&amp;TEXT(A647,"00000"))</f>
        <v/>
      </c>
      <c r="C647" s="32" t="n"/>
      <c r="D647" s="36" t="n"/>
      <c r="E647" s="37" t="n"/>
      <c r="F647" s="36" t="n"/>
      <c r="G647" s="44" t="n"/>
      <c r="H647" s="43" t="n"/>
      <c r="I647" s="32" t="n"/>
      <c r="J647" s="44" t="n"/>
      <c r="K647" s="36" t="n"/>
      <c r="L647" s="33">
        <f>IF(C647="","",Commercial_Id)</f>
        <v/>
      </c>
      <c r="M647" s="34">
        <f>IF(OR(C647="",F647=""),"",IF(F647&lt;&gt;"Espèces","—",IF(I647&lt;&gt;"","☑ Oui","☐ Non")))</f>
        <v/>
      </c>
      <c r="N647" s="39">
        <f>IF(D647="","",IFERROR(VALUE(MID(D647,LEN(D647)-3,3)),""))</f>
        <v/>
      </c>
      <c r="O647" s="33">
        <f>IF(N647="","",L647&amp;"|"&amp;N647)</f>
        <v/>
      </c>
      <c r="P647" s="33">
        <f>IF(N647="","",IF(L647="À RENSEIGNER","GIC",L647)&amp;"-"&amp;TEXT(N647,"000"))</f>
        <v/>
      </c>
      <c r="Q647" s="33">
        <f>IF(O647="","",IFERROR(INDEX(Cl_nom,MATCH(O647,Cl_cle,0)),"(client introuvable)"))</f>
        <v/>
      </c>
      <c r="R647" s="40">
        <f>IF(O647="","",IFERROR(INDEX(Cl_reste,MATCH(O647,Cl_cle,0)),""))</f>
        <v/>
      </c>
      <c r="S647" s="34">
        <f>IF(C647="","",YEAR(C647-WEEKDAY(C647,2)+4)&amp;"-S"&amp;TEXT(INT((C647-DATE(YEAR(C647-WEEKDAY(C647,2)+4),1,3)+WEEKDAY(DATE(YEAR(C647-WEEKDAY(C647,2)+4),1,3),2)+5)/7),"00"))</f>
        <v/>
      </c>
    </row>
    <row r="648" ht="18" customHeight="1">
      <c r="A648" s="39" t="n">
        <v>643</v>
      </c>
      <c r="B648" s="33">
        <f>IF(C648="","",IF(L648="À RENSEIGNER","GIC",L648)&amp;"-E"&amp;TEXT(A648,"00000"))</f>
        <v/>
      </c>
      <c r="C648" s="32" t="n"/>
      <c r="D648" s="36" t="n"/>
      <c r="E648" s="37" t="n"/>
      <c r="F648" s="36" t="n"/>
      <c r="G648" s="44" t="n"/>
      <c r="H648" s="43" t="n"/>
      <c r="I648" s="32" t="n"/>
      <c r="J648" s="44" t="n"/>
      <c r="K648" s="36" t="n"/>
      <c r="L648" s="33">
        <f>IF(C648="","",Commercial_Id)</f>
        <v/>
      </c>
      <c r="M648" s="34">
        <f>IF(OR(C648="",F648=""),"",IF(F648&lt;&gt;"Espèces","—",IF(I648&lt;&gt;"","☑ Oui","☐ Non")))</f>
        <v/>
      </c>
      <c r="N648" s="39">
        <f>IF(D648="","",IFERROR(VALUE(MID(D648,LEN(D648)-3,3)),""))</f>
        <v/>
      </c>
      <c r="O648" s="33">
        <f>IF(N648="","",L648&amp;"|"&amp;N648)</f>
        <v/>
      </c>
      <c r="P648" s="33">
        <f>IF(N648="","",IF(L648="À RENSEIGNER","GIC",L648)&amp;"-"&amp;TEXT(N648,"000"))</f>
        <v/>
      </c>
      <c r="Q648" s="33">
        <f>IF(O648="","",IFERROR(INDEX(Cl_nom,MATCH(O648,Cl_cle,0)),"(client introuvable)"))</f>
        <v/>
      </c>
      <c r="R648" s="40">
        <f>IF(O648="","",IFERROR(INDEX(Cl_reste,MATCH(O648,Cl_cle,0)),""))</f>
        <v/>
      </c>
      <c r="S648" s="34">
        <f>IF(C648="","",YEAR(C648-WEEKDAY(C648,2)+4)&amp;"-S"&amp;TEXT(INT((C648-DATE(YEAR(C648-WEEKDAY(C648,2)+4),1,3)+WEEKDAY(DATE(YEAR(C648-WEEKDAY(C648,2)+4),1,3),2)+5)/7),"00"))</f>
        <v/>
      </c>
    </row>
    <row r="649" ht="18" customHeight="1">
      <c r="A649" s="39" t="n">
        <v>644</v>
      </c>
      <c r="B649" s="33">
        <f>IF(C649="","",IF(L649="À RENSEIGNER","GIC",L649)&amp;"-E"&amp;TEXT(A649,"00000"))</f>
        <v/>
      </c>
      <c r="C649" s="32" t="n"/>
      <c r="D649" s="36" t="n"/>
      <c r="E649" s="37" t="n"/>
      <c r="F649" s="36" t="n"/>
      <c r="G649" s="44" t="n"/>
      <c r="H649" s="43" t="n"/>
      <c r="I649" s="32" t="n"/>
      <c r="J649" s="44" t="n"/>
      <c r="K649" s="36" t="n"/>
      <c r="L649" s="33">
        <f>IF(C649="","",Commercial_Id)</f>
        <v/>
      </c>
      <c r="M649" s="34">
        <f>IF(OR(C649="",F649=""),"",IF(F649&lt;&gt;"Espèces","—",IF(I649&lt;&gt;"","☑ Oui","☐ Non")))</f>
        <v/>
      </c>
      <c r="N649" s="39">
        <f>IF(D649="","",IFERROR(VALUE(MID(D649,LEN(D649)-3,3)),""))</f>
        <v/>
      </c>
      <c r="O649" s="33">
        <f>IF(N649="","",L649&amp;"|"&amp;N649)</f>
        <v/>
      </c>
      <c r="P649" s="33">
        <f>IF(N649="","",IF(L649="À RENSEIGNER","GIC",L649)&amp;"-"&amp;TEXT(N649,"000"))</f>
        <v/>
      </c>
      <c r="Q649" s="33">
        <f>IF(O649="","",IFERROR(INDEX(Cl_nom,MATCH(O649,Cl_cle,0)),"(client introuvable)"))</f>
        <v/>
      </c>
      <c r="R649" s="40">
        <f>IF(O649="","",IFERROR(INDEX(Cl_reste,MATCH(O649,Cl_cle,0)),""))</f>
        <v/>
      </c>
      <c r="S649" s="34">
        <f>IF(C649="","",YEAR(C649-WEEKDAY(C649,2)+4)&amp;"-S"&amp;TEXT(INT((C649-DATE(YEAR(C649-WEEKDAY(C649,2)+4),1,3)+WEEKDAY(DATE(YEAR(C649-WEEKDAY(C649,2)+4),1,3),2)+5)/7),"00"))</f>
        <v/>
      </c>
    </row>
    <row r="650" ht="18" customHeight="1">
      <c r="A650" s="39" t="n">
        <v>645</v>
      </c>
      <c r="B650" s="33">
        <f>IF(C650="","",IF(L650="À RENSEIGNER","GIC",L650)&amp;"-E"&amp;TEXT(A650,"00000"))</f>
        <v/>
      </c>
      <c r="C650" s="32" t="n"/>
      <c r="D650" s="36" t="n"/>
      <c r="E650" s="37" t="n"/>
      <c r="F650" s="36" t="n"/>
      <c r="G650" s="44" t="n"/>
      <c r="H650" s="43" t="n"/>
      <c r="I650" s="32" t="n"/>
      <c r="J650" s="44" t="n"/>
      <c r="K650" s="36" t="n"/>
      <c r="L650" s="33">
        <f>IF(C650="","",Commercial_Id)</f>
        <v/>
      </c>
      <c r="M650" s="34">
        <f>IF(OR(C650="",F650=""),"",IF(F650&lt;&gt;"Espèces","—",IF(I650&lt;&gt;"","☑ Oui","☐ Non")))</f>
        <v/>
      </c>
      <c r="N650" s="39">
        <f>IF(D650="","",IFERROR(VALUE(MID(D650,LEN(D650)-3,3)),""))</f>
        <v/>
      </c>
      <c r="O650" s="33">
        <f>IF(N650="","",L650&amp;"|"&amp;N650)</f>
        <v/>
      </c>
      <c r="P650" s="33">
        <f>IF(N650="","",IF(L650="À RENSEIGNER","GIC",L650)&amp;"-"&amp;TEXT(N650,"000"))</f>
        <v/>
      </c>
      <c r="Q650" s="33">
        <f>IF(O650="","",IFERROR(INDEX(Cl_nom,MATCH(O650,Cl_cle,0)),"(client introuvable)"))</f>
        <v/>
      </c>
      <c r="R650" s="40">
        <f>IF(O650="","",IFERROR(INDEX(Cl_reste,MATCH(O650,Cl_cle,0)),""))</f>
        <v/>
      </c>
      <c r="S650" s="34">
        <f>IF(C650="","",YEAR(C650-WEEKDAY(C650,2)+4)&amp;"-S"&amp;TEXT(INT((C650-DATE(YEAR(C650-WEEKDAY(C650,2)+4),1,3)+WEEKDAY(DATE(YEAR(C650-WEEKDAY(C650,2)+4),1,3),2)+5)/7),"00"))</f>
        <v/>
      </c>
    </row>
    <row r="651" ht="18" customHeight="1">
      <c r="A651" s="39" t="n">
        <v>646</v>
      </c>
      <c r="B651" s="33">
        <f>IF(C651="","",IF(L651="À RENSEIGNER","GIC",L651)&amp;"-E"&amp;TEXT(A651,"00000"))</f>
        <v/>
      </c>
      <c r="C651" s="32" t="n"/>
      <c r="D651" s="36" t="n"/>
      <c r="E651" s="37" t="n"/>
      <c r="F651" s="36" t="n"/>
      <c r="G651" s="44" t="n"/>
      <c r="H651" s="43" t="n"/>
      <c r="I651" s="32" t="n"/>
      <c r="J651" s="44" t="n"/>
      <c r="K651" s="36" t="n"/>
      <c r="L651" s="33">
        <f>IF(C651="","",Commercial_Id)</f>
        <v/>
      </c>
      <c r="M651" s="34">
        <f>IF(OR(C651="",F651=""),"",IF(F651&lt;&gt;"Espèces","—",IF(I651&lt;&gt;"","☑ Oui","☐ Non")))</f>
        <v/>
      </c>
      <c r="N651" s="39">
        <f>IF(D651="","",IFERROR(VALUE(MID(D651,LEN(D651)-3,3)),""))</f>
        <v/>
      </c>
      <c r="O651" s="33">
        <f>IF(N651="","",L651&amp;"|"&amp;N651)</f>
        <v/>
      </c>
      <c r="P651" s="33">
        <f>IF(N651="","",IF(L651="À RENSEIGNER","GIC",L651)&amp;"-"&amp;TEXT(N651,"000"))</f>
        <v/>
      </c>
      <c r="Q651" s="33">
        <f>IF(O651="","",IFERROR(INDEX(Cl_nom,MATCH(O651,Cl_cle,0)),"(client introuvable)"))</f>
        <v/>
      </c>
      <c r="R651" s="40">
        <f>IF(O651="","",IFERROR(INDEX(Cl_reste,MATCH(O651,Cl_cle,0)),""))</f>
        <v/>
      </c>
      <c r="S651" s="34">
        <f>IF(C651="","",YEAR(C651-WEEKDAY(C651,2)+4)&amp;"-S"&amp;TEXT(INT((C651-DATE(YEAR(C651-WEEKDAY(C651,2)+4),1,3)+WEEKDAY(DATE(YEAR(C651-WEEKDAY(C651,2)+4),1,3),2)+5)/7),"00"))</f>
        <v/>
      </c>
    </row>
    <row r="652" ht="18" customHeight="1">
      <c r="A652" s="39" t="n">
        <v>647</v>
      </c>
      <c r="B652" s="33">
        <f>IF(C652="","",IF(L652="À RENSEIGNER","GIC",L652)&amp;"-E"&amp;TEXT(A652,"00000"))</f>
        <v/>
      </c>
      <c r="C652" s="32" t="n"/>
      <c r="D652" s="36" t="n"/>
      <c r="E652" s="37" t="n"/>
      <c r="F652" s="36" t="n"/>
      <c r="G652" s="44" t="n"/>
      <c r="H652" s="43" t="n"/>
      <c r="I652" s="32" t="n"/>
      <c r="J652" s="44" t="n"/>
      <c r="K652" s="36" t="n"/>
      <c r="L652" s="33">
        <f>IF(C652="","",Commercial_Id)</f>
        <v/>
      </c>
      <c r="M652" s="34">
        <f>IF(OR(C652="",F652=""),"",IF(F652&lt;&gt;"Espèces","—",IF(I652&lt;&gt;"","☑ Oui","☐ Non")))</f>
        <v/>
      </c>
      <c r="N652" s="39">
        <f>IF(D652="","",IFERROR(VALUE(MID(D652,LEN(D652)-3,3)),""))</f>
        <v/>
      </c>
      <c r="O652" s="33">
        <f>IF(N652="","",L652&amp;"|"&amp;N652)</f>
        <v/>
      </c>
      <c r="P652" s="33">
        <f>IF(N652="","",IF(L652="À RENSEIGNER","GIC",L652)&amp;"-"&amp;TEXT(N652,"000"))</f>
        <v/>
      </c>
      <c r="Q652" s="33">
        <f>IF(O652="","",IFERROR(INDEX(Cl_nom,MATCH(O652,Cl_cle,0)),"(client introuvable)"))</f>
        <v/>
      </c>
      <c r="R652" s="40">
        <f>IF(O652="","",IFERROR(INDEX(Cl_reste,MATCH(O652,Cl_cle,0)),""))</f>
        <v/>
      </c>
      <c r="S652" s="34">
        <f>IF(C652="","",YEAR(C652-WEEKDAY(C652,2)+4)&amp;"-S"&amp;TEXT(INT((C652-DATE(YEAR(C652-WEEKDAY(C652,2)+4),1,3)+WEEKDAY(DATE(YEAR(C652-WEEKDAY(C652,2)+4),1,3),2)+5)/7),"00"))</f>
        <v/>
      </c>
    </row>
    <row r="653" ht="18" customHeight="1">
      <c r="A653" s="39" t="n">
        <v>648</v>
      </c>
      <c r="B653" s="33">
        <f>IF(C653="","",IF(L653="À RENSEIGNER","GIC",L653)&amp;"-E"&amp;TEXT(A653,"00000"))</f>
        <v/>
      </c>
      <c r="C653" s="32" t="n"/>
      <c r="D653" s="36" t="n"/>
      <c r="E653" s="37" t="n"/>
      <c r="F653" s="36" t="n"/>
      <c r="G653" s="44" t="n"/>
      <c r="H653" s="43" t="n"/>
      <c r="I653" s="32" t="n"/>
      <c r="J653" s="44" t="n"/>
      <c r="K653" s="36" t="n"/>
      <c r="L653" s="33">
        <f>IF(C653="","",Commercial_Id)</f>
        <v/>
      </c>
      <c r="M653" s="34">
        <f>IF(OR(C653="",F653=""),"",IF(F653&lt;&gt;"Espèces","—",IF(I653&lt;&gt;"","☑ Oui","☐ Non")))</f>
        <v/>
      </c>
      <c r="N653" s="39">
        <f>IF(D653="","",IFERROR(VALUE(MID(D653,LEN(D653)-3,3)),""))</f>
        <v/>
      </c>
      <c r="O653" s="33">
        <f>IF(N653="","",L653&amp;"|"&amp;N653)</f>
        <v/>
      </c>
      <c r="P653" s="33">
        <f>IF(N653="","",IF(L653="À RENSEIGNER","GIC",L653)&amp;"-"&amp;TEXT(N653,"000"))</f>
        <v/>
      </c>
      <c r="Q653" s="33">
        <f>IF(O653="","",IFERROR(INDEX(Cl_nom,MATCH(O653,Cl_cle,0)),"(client introuvable)"))</f>
        <v/>
      </c>
      <c r="R653" s="40">
        <f>IF(O653="","",IFERROR(INDEX(Cl_reste,MATCH(O653,Cl_cle,0)),""))</f>
        <v/>
      </c>
      <c r="S653" s="34">
        <f>IF(C653="","",YEAR(C653-WEEKDAY(C653,2)+4)&amp;"-S"&amp;TEXT(INT((C653-DATE(YEAR(C653-WEEKDAY(C653,2)+4),1,3)+WEEKDAY(DATE(YEAR(C653-WEEKDAY(C653,2)+4),1,3),2)+5)/7),"00"))</f>
        <v/>
      </c>
    </row>
    <row r="654" ht="18" customHeight="1">
      <c r="A654" s="39" t="n">
        <v>649</v>
      </c>
      <c r="B654" s="33">
        <f>IF(C654="","",IF(L654="À RENSEIGNER","GIC",L654)&amp;"-E"&amp;TEXT(A654,"00000"))</f>
        <v/>
      </c>
      <c r="C654" s="32" t="n"/>
      <c r="D654" s="36" t="n"/>
      <c r="E654" s="37" t="n"/>
      <c r="F654" s="36" t="n"/>
      <c r="G654" s="44" t="n"/>
      <c r="H654" s="43" t="n"/>
      <c r="I654" s="32" t="n"/>
      <c r="J654" s="44" t="n"/>
      <c r="K654" s="36" t="n"/>
      <c r="L654" s="33">
        <f>IF(C654="","",Commercial_Id)</f>
        <v/>
      </c>
      <c r="M654" s="34">
        <f>IF(OR(C654="",F654=""),"",IF(F654&lt;&gt;"Espèces","—",IF(I654&lt;&gt;"","☑ Oui","☐ Non")))</f>
        <v/>
      </c>
      <c r="N654" s="39">
        <f>IF(D654="","",IFERROR(VALUE(MID(D654,LEN(D654)-3,3)),""))</f>
        <v/>
      </c>
      <c r="O654" s="33">
        <f>IF(N654="","",L654&amp;"|"&amp;N654)</f>
        <v/>
      </c>
      <c r="P654" s="33">
        <f>IF(N654="","",IF(L654="À RENSEIGNER","GIC",L654)&amp;"-"&amp;TEXT(N654,"000"))</f>
        <v/>
      </c>
      <c r="Q654" s="33">
        <f>IF(O654="","",IFERROR(INDEX(Cl_nom,MATCH(O654,Cl_cle,0)),"(client introuvable)"))</f>
        <v/>
      </c>
      <c r="R654" s="40">
        <f>IF(O654="","",IFERROR(INDEX(Cl_reste,MATCH(O654,Cl_cle,0)),""))</f>
        <v/>
      </c>
      <c r="S654" s="34">
        <f>IF(C654="","",YEAR(C654-WEEKDAY(C654,2)+4)&amp;"-S"&amp;TEXT(INT((C654-DATE(YEAR(C654-WEEKDAY(C654,2)+4),1,3)+WEEKDAY(DATE(YEAR(C654-WEEKDAY(C654,2)+4),1,3),2)+5)/7),"00"))</f>
        <v/>
      </c>
    </row>
    <row r="655" ht="18" customHeight="1">
      <c r="A655" s="39" t="n">
        <v>650</v>
      </c>
      <c r="B655" s="33">
        <f>IF(C655="","",IF(L655="À RENSEIGNER","GIC",L655)&amp;"-E"&amp;TEXT(A655,"00000"))</f>
        <v/>
      </c>
      <c r="C655" s="32" t="n"/>
      <c r="D655" s="36" t="n"/>
      <c r="E655" s="37" t="n"/>
      <c r="F655" s="36" t="n"/>
      <c r="G655" s="44" t="n"/>
      <c r="H655" s="43" t="n"/>
      <c r="I655" s="32" t="n"/>
      <c r="J655" s="44" t="n"/>
      <c r="K655" s="36" t="n"/>
      <c r="L655" s="33">
        <f>IF(C655="","",Commercial_Id)</f>
        <v/>
      </c>
      <c r="M655" s="34">
        <f>IF(OR(C655="",F655=""),"",IF(F655&lt;&gt;"Espèces","—",IF(I655&lt;&gt;"","☑ Oui","☐ Non")))</f>
        <v/>
      </c>
      <c r="N655" s="39">
        <f>IF(D655="","",IFERROR(VALUE(MID(D655,LEN(D655)-3,3)),""))</f>
        <v/>
      </c>
      <c r="O655" s="33">
        <f>IF(N655="","",L655&amp;"|"&amp;N655)</f>
        <v/>
      </c>
      <c r="P655" s="33">
        <f>IF(N655="","",IF(L655="À RENSEIGNER","GIC",L655)&amp;"-"&amp;TEXT(N655,"000"))</f>
        <v/>
      </c>
      <c r="Q655" s="33">
        <f>IF(O655="","",IFERROR(INDEX(Cl_nom,MATCH(O655,Cl_cle,0)),"(client introuvable)"))</f>
        <v/>
      </c>
      <c r="R655" s="40">
        <f>IF(O655="","",IFERROR(INDEX(Cl_reste,MATCH(O655,Cl_cle,0)),""))</f>
        <v/>
      </c>
      <c r="S655" s="34">
        <f>IF(C655="","",YEAR(C655-WEEKDAY(C655,2)+4)&amp;"-S"&amp;TEXT(INT((C655-DATE(YEAR(C655-WEEKDAY(C655,2)+4),1,3)+WEEKDAY(DATE(YEAR(C655-WEEKDAY(C655,2)+4),1,3),2)+5)/7),"00"))</f>
        <v/>
      </c>
    </row>
    <row r="656" ht="18" customHeight="1">
      <c r="A656" s="39" t="n">
        <v>651</v>
      </c>
      <c r="B656" s="33">
        <f>IF(C656="","",IF(L656="À RENSEIGNER","GIC",L656)&amp;"-E"&amp;TEXT(A656,"00000"))</f>
        <v/>
      </c>
      <c r="C656" s="32" t="n"/>
      <c r="D656" s="36" t="n"/>
      <c r="E656" s="37" t="n"/>
      <c r="F656" s="36" t="n"/>
      <c r="G656" s="44" t="n"/>
      <c r="H656" s="43" t="n"/>
      <c r="I656" s="32" t="n"/>
      <c r="J656" s="44" t="n"/>
      <c r="K656" s="36" t="n"/>
      <c r="L656" s="33">
        <f>IF(C656="","",Commercial_Id)</f>
        <v/>
      </c>
      <c r="M656" s="34">
        <f>IF(OR(C656="",F656=""),"",IF(F656&lt;&gt;"Espèces","—",IF(I656&lt;&gt;"","☑ Oui","☐ Non")))</f>
        <v/>
      </c>
      <c r="N656" s="39">
        <f>IF(D656="","",IFERROR(VALUE(MID(D656,LEN(D656)-3,3)),""))</f>
        <v/>
      </c>
      <c r="O656" s="33">
        <f>IF(N656="","",L656&amp;"|"&amp;N656)</f>
        <v/>
      </c>
      <c r="P656" s="33">
        <f>IF(N656="","",IF(L656="À RENSEIGNER","GIC",L656)&amp;"-"&amp;TEXT(N656,"000"))</f>
        <v/>
      </c>
      <c r="Q656" s="33">
        <f>IF(O656="","",IFERROR(INDEX(Cl_nom,MATCH(O656,Cl_cle,0)),"(client introuvable)"))</f>
        <v/>
      </c>
      <c r="R656" s="40">
        <f>IF(O656="","",IFERROR(INDEX(Cl_reste,MATCH(O656,Cl_cle,0)),""))</f>
        <v/>
      </c>
      <c r="S656" s="34">
        <f>IF(C656="","",YEAR(C656-WEEKDAY(C656,2)+4)&amp;"-S"&amp;TEXT(INT((C656-DATE(YEAR(C656-WEEKDAY(C656,2)+4),1,3)+WEEKDAY(DATE(YEAR(C656-WEEKDAY(C656,2)+4),1,3),2)+5)/7),"00"))</f>
        <v/>
      </c>
    </row>
    <row r="657" ht="18" customHeight="1">
      <c r="A657" s="39" t="n">
        <v>652</v>
      </c>
      <c r="B657" s="33">
        <f>IF(C657="","",IF(L657="À RENSEIGNER","GIC",L657)&amp;"-E"&amp;TEXT(A657,"00000"))</f>
        <v/>
      </c>
      <c r="C657" s="32" t="n"/>
      <c r="D657" s="36" t="n"/>
      <c r="E657" s="37" t="n"/>
      <c r="F657" s="36" t="n"/>
      <c r="G657" s="44" t="n"/>
      <c r="H657" s="43" t="n"/>
      <c r="I657" s="32" t="n"/>
      <c r="J657" s="44" t="n"/>
      <c r="K657" s="36" t="n"/>
      <c r="L657" s="33">
        <f>IF(C657="","",Commercial_Id)</f>
        <v/>
      </c>
      <c r="M657" s="34">
        <f>IF(OR(C657="",F657=""),"",IF(F657&lt;&gt;"Espèces","—",IF(I657&lt;&gt;"","☑ Oui","☐ Non")))</f>
        <v/>
      </c>
      <c r="N657" s="39">
        <f>IF(D657="","",IFERROR(VALUE(MID(D657,LEN(D657)-3,3)),""))</f>
        <v/>
      </c>
      <c r="O657" s="33">
        <f>IF(N657="","",L657&amp;"|"&amp;N657)</f>
        <v/>
      </c>
      <c r="P657" s="33">
        <f>IF(N657="","",IF(L657="À RENSEIGNER","GIC",L657)&amp;"-"&amp;TEXT(N657,"000"))</f>
        <v/>
      </c>
      <c r="Q657" s="33">
        <f>IF(O657="","",IFERROR(INDEX(Cl_nom,MATCH(O657,Cl_cle,0)),"(client introuvable)"))</f>
        <v/>
      </c>
      <c r="R657" s="40">
        <f>IF(O657="","",IFERROR(INDEX(Cl_reste,MATCH(O657,Cl_cle,0)),""))</f>
        <v/>
      </c>
      <c r="S657" s="34">
        <f>IF(C657="","",YEAR(C657-WEEKDAY(C657,2)+4)&amp;"-S"&amp;TEXT(INT((C657-DATE(YEAR(C657-WEEKDAY(C657,2)+4),1,3)+WEEKDAY(DATE(YEAR(C657-WEEKDAY(C657,2)+4),1,3),2)+5)/7),"00"))</f>
        <v/>
      </c>
    </row>
    <row r="658" ht="18" customHeight="1">
      <c r="A658" s="39" t="n">
        <v>653</v>
      </c>
      <c r="B658" s="33">
        <f>IF(C658="","",IF(L658="À RENSEIGNER","GIC",L658)&amp;"-E"&amp;TEXT(A658,"00000"))</f>
        <v/>
      </c>
      <c r="C658" s="32" t="n"/>
      <c r="D658" s="36" t="n"/>
      <c r="E658" s="37" t="n"/>
      <c r="F658" s="36" t="n"/>
      <c r="G658" s="44" t="n"/>
      <c r="H658" s="43" t="n"/>
      <c r="I658" s="32" t="n"/>
      <c r="J658" s="44" t="n"/>
      <c r="K658" s="36" t="n"/>
      <c r="L658" s="33">
        <f>IF(C658="","",Commercial_Id)</f>
        <v/>
      </c>
      <c r="M658" s="34">
        <f>IF(OR(C658="",F658=""),"",IF(F658&lt;&gt;"Espèces","—",IF(I658&lt;&gt;"","☑ Oui","☐ Non")))</f>
        <v/>
      </c>
      <c r="N658" s="39">
        <f>IF(D658="","",IFERROR(VALUE(MID(D658,LEN(D658)-3,3)),""))</f>
        <v/>
      </c>
      <c r="O658" s="33">
        <f>IF(N658="","",L658&amp;"|"&amp;N658)</f>
        <v/>
      </c>
      <c r="P658" s="33">
        <f>IF(N658="","",IF(L658="À RENSEIGNER","GIC",L658)&amp;"-"&amp;TEXT(N658,"000"))</f>
        <v/>
      </c>
      <c r="Q658" s="33">
        <f>IF(O658="","",IFERROR(INDEX(Cl_nom,MATCH(O658,Cl_cle,0)),"(client introuvable)"))</f>
        <v/>
      </c>
      <c r="R658" s="40">
        <f>IF(O658="","",IFERROR(INDEX(Cl_reste,MATCH(O658,Cl_cle,0)),""))</f>
        <v/>
      </c>
      <c r="S658" s="34">
        <f>IF(C658="","",YEAR(C658-WEEKDAY(C658,2)+4)&amp;"-S"&amp;TEXT(INT((C658-DATE(YEAR(C658-WEEKDAY(C658,2)+4),1,3)+WEEKDAY(DATE(YEAR(C658-WEEKDAY(C658,2)+4),1,3),2)+5)/7),"00"))</f>
        <v/>
      </c>
    </row>
    <row r="659" ht="18" customHeight="1">
      <c r="A659" s="39" t="n">
        <v>654</v>
      </c>
      <c r="B659" s="33">
        <f>IF(C659="","",IF(L659="À RENSEIGNER","GIC",L659)&amp;"-E"&amp;TEXT(A659,"00000"))</f>
        <v/>
      </c>
      <c r="C659" s="32" t="n"/>
      <c r="D659" s="36" t="n"/>
      <c r="E659" s="37" t="n"/>
      <c r="F659" s="36" t="n"/>
      <c r="G659" s="44" t="n"/>
      <c r="H659" s="43" t="n"/>
      <c r="I659" s="32" t="n"/>
      <c r="J659" s="44" t="n"/>
      <c r="K659" s="36" t="n"/>
      <c r="L659" s="33">
        <f>IF(C659="","",Commercial_Id)</f>
        <v/>
      </c>
      <c r="M659" s="34">
        <f>IF(OR(C659="",F659=""),"",IF(F659&lt;&gt;"Espèces","—",IF(I659&lt;&gt;"","☑ Oui","☐ Non")))</f>
        <v/>
      </c>
      <c r="N659" s="39">
        <f>IF(D659="","",IFERROR(VALUE(MID(D659,LEN(D659)-3,3)),""))</f>
        <v/>
      </c>
      <c r="O659" s="33">
        <f>IF(N659="","",L659&amp;"|"&amp;N659)</f>
        <v/>
      </c>
      <c r="P659" s="33">
        <f>IF(N659="","",IF(L659="À RENSEIGNER","GIC",L659)&amp;"-"&amp;TEXT(N659,"000"))</f>
        <v/>
      </c>
      <c r="Q659" s="33">
        <f>IF(O659="","",IFERROR(INDEX(Cl_nom,MATCH(O659,Cl_cle,0)),"(client introuvable)"))</f>
        <v/>
      </c>
      <c r="R659" s="40">
        <f>IF(O659="","",IFERROR(INDEX(Cl_reste,MATCH(O659,Cl_cle,0)),""))</f>
        <v/>
      </c>
      <c r="S659" s="34">
        <f>IF(C659="","",YEAR(C659-WEEKDAY(C659,2)+4)&amp;"-S"&amp;TEXT(INT((C659-DATE(YEAR(C659-WEEKDAY(C659,2)+4),1,3)+WEEKDAY(DATE(YEAR(C659-WEEKDAY(C659,2)+4),1,3),2)+5)/7),"00"))</f>
        <v/>
      </c>
    </row>
    <row r="660" ht="18" customHeight="1">
      <c r="A660" s="39" t="n">
        <v>655</v>
      </c>
      <c r="B660" s="33">
        <f>IF(C660="","",IF(L660="À RENSEIGNER","GIC",L660)&amp;"-E"&amp;TEXT(A660,"00000"))</f>
        <v/>
      </c>
      <c r="C660" s="32" t="n"/>
      <c r="D660" s="36" t="n"/>
      <c r="E660" s="37" t="n"/>
      <c r="F660" s="36" t="n"/>
      <c r="G660" s="44" t="n"/>
      <c r="H660" s="43" t="n"/>
      <c r="I660" s="32" t="n"/>
      <c r="J660" s="44" t="n"/>
      <c r="K660" s="36" t="n"/>
      <c r="L660" s="33">
        <f>IF(C660="","",Commercial_Id)</f>
        <v/>
      </c>
      <c r="M660" s="34">
        <f>IF(OR(C660="",F660=""),"",IF(F660&lt;&gt;"Espèces","—",IF(I660&lt;&gt;"","☑ Oui","☐ Non")))</f>
        <v/>
      </c>
      <c r="N660" s="39">
        <f>IF(D660="","",IFERROR(VALUE(MID(D660,LEN(D660)-3,3)),""))</f>
        <v/>
      </c>
      <c r="O660" s="33">
        <f>IF(N660="","",L660&amp;"|"&amp;N660)</f>
        <v/>
      </c>
      <c r="P660" s="33">
        <f>IF(N660="","",IF(L660="À RENSEIGNER","GIC",L660)&amp;"-"&amp;TEXT(N660,"000"))</f>
        <v/>
      </c>
      <c r="Q660" s="33">
        <f>IF(O660="","",IFERROR(INDEX(Cl_nom,MATCH(O660,Cl_cle,0)),"(client introuvable)"))</f>
        <v/>
      </c>
      <c r="R660" s="40">
        <f>IF(O660="","",IFERROR(INDEX(Cl_reste,MATCH(O660,Cl_cle,0)),""))</f>
        <v/>
      </c>
      <c r="S660" s="34">
        <f>IF(C660="","",YEAR(C660-WEEKDAY(C660,2)+4)&amp;"-S"&amp;TEXT(INT((C660-DATE(YEAR(C660-WEEKDAY(C660,2)+4),1,3)+WEEKDAY(DATE(YEAR(C660-WEEKDAY(C660,2)+4),1,3),2)+5)/7),"00"))</f>
        <v/>
      </c>
    </row>
    <row r="661" ht="18" customHeight="1">
      <c r="A661" s="39" t="n">
        <v>656</v>
      </c>
      <c r="B661" s="33">
        <f>IF(C661="","",IF(L661="À RENSEIGNER","GIC",L661)&amp;"-E"&amp;TEXT(A661,"00000"))</f>
        <v/>
      </c>
      <c r="C661" s="32" t="n"/>
      <c r="D661" s="36" t="n"/>
      <c r="E661" s="37" t="n"/>
      <c r="F661" s="36" t="n"/>
      <c r="G661" s="44" t="n"/>
      <c r="H661" s="43" t="n"/>
      <c r="I661" s="32" t="n"/>
      <c r="J661" s="44" t="n"/>
      <c r="K661" s="36" t="n"/>
      <c r="L661" s="33">
        <f>IF(C661="","",Commercial_Id)</f>
        <v/>
      </c>
      <c r="M661" s="34">
        <f>IF(OR(C661="",F661=""),"",IF(F661&lt;&gt;"Espèces","—",IF(I661&lt;&gt;"","☑ Oui","☐ Non")))</f>
        <v/>
      </c>
      <c r="N661" s="39">
        <f>IF(D661="","",IFERROR(VALUE(MID(D661,LEN(D661)-3,3)),""))</f>
        <v/>
      </c>
      <c r="O661" s="33">
        <f>IF(N661="","",L661&amp;"|"&amp;N661)</f>
        <v/>
      </c>
      <c r="P661" s="33">
        <f>IF(N661="","",IF(L661="À RENSEIGNER","GIC",L661)&amp;"-"&amp;TEXT(N661,"000"))</f>
        <v/>
      </c>
      <c r="Q661" s="33">
        <f>IF(O661="","",IFERROR(INDEX(Cl_nom,MATCH(O661,Cl_cle,0)),"(client introuvable)"))</f>
        <v/>
      </c>
      <c r="R661" s="40">
        <f>IF(O661="","",IFERROR(INDEX(Cl_reste,MATCH(O661,Cl_cle,0)),""))</f>
        <v/>
      </c>
      <c r="S661" s="34">
        <f>IF(C661="","",YEAR(C661-WEEKDAY(C661,2)+4)&amp;"-S"&amp;TEXT(INT((C661-DATE(YEAR(C661-WEEKDAY(C661,2)+4),1,3)+WEEKDAY(DATE(YEAR(C661-WEEKDAY(C661,2)+4),1,3),2)+5)/7),"00"))</f>
        <v/>
      </c>
    </row>
    <row r="662" ht="18" customHeight="1">
      <c r="A662" s="39" t="n">
        <v>657</v>
      </c>
      <c r="B662" s="33">
        <f>IF(C662="","",IF(L662="À RENSEIGNER","GIC",L662)&amp;"-E"&amp;TEXT(A662,"00000"))</f>
        <v/>
      </c>
      <c r="C662" s="32" t="n"/>
      <c r="D662" s="36" t="n"/>
      <c r="E662" s="37" t="n"/>
      <c r="F662" s="36" t="n"/>
      <c r="G662" s="44" t="n"/>
      <c r="H662" s="43" t="n"/>
      <c r="I662" s="32" t="n"/>
      <c r="J662" s="44" t="n"/>
      <c r="K662" s="36" t="n"/>
      <c r="L662" s="33">
        <f>IF(C662="","",Commercial_Id)</f>
        <v/>
      </c>
      <c r="M662" s="34">
        <f>IF(OR(C662="",F662=""),"",IF(F662&lt;&gt;"Espèces","—",IF(I662&lt;&gt;"","☑ Oui","☐ Non")))</f>
        <v/>
      </c>
      <c r="N662" s="39">
        <f>IF(D662="","",IFERROR(VALUE(MID(D662,LEN(D662)-3,3)),""))</f>
        <v/>
      </c>
      <c r="O662" s="33">
        <f>IF(N662="","",L662&amp;"|"&amp;N662)</f>
        <v/>
      </c>
      <c r="P662" s="33">
        <f>IF(N662="","",IF(L662="À RENSEIGNER","GIC",L662)&amp;"-"&amp;TEXT(N662,"000"))</f>
        <v/>
      </c>
      <c r="Q662" s="33">
        <f>IF(O662="","",IFERROR(INDEX(Cl_nom,MATCH(O662,Cl_cle,0)),"(client introuvable)"))</f>
        <v/>
      </c>
      <c r="R662" s="40">
        <f>IF(O662="","",IFERROR(INDEX(Cl_reste,MATCH(O662,Cl_cle,0)),""))</f>
        <v/>
      </c>
      <c r="S662" s="34">
        <f>IF(C662="","",YEAR(C662-WEEKDAY(C662,2)+4)&amp;"-S"&amp;TEXT(INT((C662-DATE(YEAR(C662-WEEKDAY(C662,2)+4),1,3)+WEEKDAY(DATE(YEAR(C662-WEEKDAY(C662,2)+4),1,3),2)+5)/7),"00"))</f>
        <v/>
      </c>
    </row>
    <row r="663" ht="18" customHeight="1">
      <c r="A663" s="39" t="n">
        <v>658</v>
      </c>
      <c r="B663" s="33">
        <f>IF(C663="","",IF(L663="À RENSEIGNER","GIC",L663)&amp;"-E"&amp;TEXT(A663,"00000"))</f>
        <v/>
      </c>
      <c r="C663" s="32" t="n"/>
      <c r="D663" s="36" t="n"/>
      <c r="E663" s="37" t="n"/>
      <c r="F663" s="36" t="n"/>
      <c r="G663" s="44" t="n"/>
      <c r="H663" s="43" t="n"/>
      <c r="I663" s="32" t="n"/>
      <c r="J663" s="44" t="n"/>
      <c r="K663" s="36" t="n"/>
      <c r="L663" s="33">
        <f>IF(C663="","",Commercial_Id)</f>
        <v/>
      </c>
      <c r="M663" s="34">
        <f>IF(OR(C663="",F663=""),"",IF(F663&lt;&gt;"Espèces","—",IF(I663&lt;&gt;"","☑ Oui","☐ Non")))</f>
        <v/>
      </c>
      <c r="N663" s="39">
        <f>IF(D663="","",IFERROR(VALUE(MID(D663,LEN(D663)-3,3)),""))</f>
        <v/>
      </c>
      <c r="O663" s="33">
        <f>IF(N663="","",L663&amp;"|"&amp;N663)</f>
        <v/>
      </c>
      <c r="P663" s="33">
        <f>IF(N663="","",IF(L663="À RENSEIGNER","GIC",L663)&amp;"-"&amp;TEXT(N663,"000"))</f>
        <v/>
      </c>
      <c r="Q663" s="33">
        <f>IF(O663="","",IFERROR(INDEX(Cl_nom,MATCH(O663,Cl_cle,0)),"(client introuvable)"))</f>
        <v/>
      </c>
      <c r="R663" s="40">
        <f>IF(O663="","",IFERROR(INDEX(Cl_reste,MATCH(O663,Cl_cle,0)),""))</f>
        <v/>
      </c>
      <c r="S663" s="34">
        <f>IF(C663="","",YEAR(C663-WEEKDAY(C663,2)+4)&amp;"-S"&amp;TEXT(INT((C663-DATE(YEAR(C663-WEEKDAY(C663,2)+4),1,3)+WEEKDAY(DATE(YEAR(C663-WEEKDAY(C663,2)+4),1,3),2)+5)/7),"00"))</f>
        <v/>
      </c>
    </row>
    <row r="664" ht="18" customHeight="1">
      <c r="A664" s="39" t="n">
        <v>659</v>
      </c>
      <c r="B664" s="33">
        <f>IF(C664="","",IF(L664="À RENSEIGNER","GIC",L664)&amp;"-E"&amp;TEXT(A664,"00000"))</f>
        <v/>
      </c>
      <c r="C664" s="32" t="n"/>
      <c r="D664" s="36" t="n"/>
      <c r="E664" s="37" t="n"/>
      <c r="F664" s="36" t="n"/>
      <c r="G664" s="44" t="n"/>
      <c r="H664" s="43" t="n"/>
      <c r="I664" s="32" t="n"/>
      <c r="J664" s="44" t="n"/>
      <c r="K664" s="36" t="n"/>
      <c r="L664" s="33">
        <f>IF(C664="","",Commercial_Id)</f>
        <v/>
      </c>
      <c r="M664" s="34">
        <f>IF(OR(C664="",F664=""),"",IF(F664&lt;&gt;"Espèces","—",IF(I664&lt;&gt;"","☑ Oui","☐ Non")))</f>
        <v/>
      </c>
      <c r="N664" s="39">
        <f>IF(D664="","",IFERROR(VALUE(MID(D664,LEN(D664)-3,3)),""))</f>
        <v/>
      </c>
      <c r="O664" s="33">
        <f>IF(N664="","",L664&amp;"|"&amp;N664)</f>
        <v/>
      </c>
      <c r="P664" s="33">
        <f>IF(N664="","",IF(L664="À RENSEIGNER","GIC",L664)&amp;"-"&amp;TEXT(N664,"000"))</f>
        <v/>
      </c>
      <c r="Q664" s="33">
        <f>IF(O664="","",IFERROR(INDEX(Cl_nom,MATCH(O664,Cl_cle,0)),"(client introuvable)"))</f>
        <v/>
      </c>
      <c r="R664" s="40">
        <f>IF(O664="","",IFERROR(INDEX(Cl_reste,MATCH(O664,Cl_cle,0)),""))</f>
        <v/>
      </c>
      <c r="S664" s="34">
        <f>IF(C664="","",YEAR(C664-WEEKDAY(C664,2)+4)&amp;"-S"&amp;TEXT(INT((C664-DATE(YEAR(C664-WEEKDAY(C664,2)+4),1,3)+WEEKDAY(DATE(YEAR(C664-WEEKDAY(C664,2)+4),1,3),2)+5)/7),"00"))</f>
        <v/>
      </c>
    </row>
    <row r="665" ht="18" customHeight="1">
      <c r="A665" s="39" t="n">
        <v>660</v>
      </c>
      <c r="B665" s="33">
        <f>IF(C665="","",IF(L665="À RENSEIGNER","GIC",L665)&amp;"-E"&amp;TEXT(A665,"00000"))</f>
        <v/>
      </c>
      <c r="C665" s="32" t="n"/>
      <c r="D665" s="36" t="n"/>
      <c r="E665" s="37" t="n"/>
      <c r="F665" s="36" t="n"/>
      <c r="G665" s="44" t="n"/>
      <c r="H665" s="43" t="n"/>
      <c r="I665" s="32" t="n"/>
      <c r="J665" s="44" t="n"/>
      <c r="K665" s="36" t="n"/>
      <c r="L665" s="33">
        <f>IF(C665="","",Commercial_Id)</f>
        <v/>
      </c>
      <c r="M665" s="34">
        <f>IF(OR(C665="",F665=""),"",IF(F665&lt;&gt;"Espèces","—",IF(I665&lt;&gt;"","☑ Oui","☐ Non")))</f>
        <v/>
      </c>
      <c r="N665" s="39">
        <f>IF(D665="","",IFERROR(VALUE(MID(D665,LEN(D665)-3,3)),""))</f>
        <v/>
      </c>
      <c r="O665" s="33">
        <f>IF(N665="","",L665&amp;"|"&amp;N665)</f>
        <v/>
      </c>
      <c r="P665" s="33">
        <f>IF(N665="","",IF(L665="À RENSEIGNER","GIC",L665)&amp;"-"&amp;TEXT(N665,"000"))</f>
        <v/>
      </c>
      <c r="Q665" s="33">
        <f>IF(O665="","",IFERROR(INDEX(Cl_nom,MATCH(O665,Cl_cle,0)),"(client introuvable)"))</f>
        <v/>
      </c>
      <c r="R665" s="40">
        <f>IF(O665="","",IFERROR(INDEX(Cl_reste,MATCH(O665,Cl_cle,0)),""))</f>
        <v/>
      </c>
      <c r="S665" s="34">
        <f>IF(C665="","",YEAR(C665-WEEKDAY(C665,2)+4)&amp;"-S"&amp;TEXT(INT((C665-DATE(YEAR(C665-WEEKDAY(C665,2)+4),1,3)+WEEKDAY(DATE(YEAR(C665-WEEKDAY(C665,2)+4),1,3),2)+5)/7),"00"))</f>
        <v/>
      </c>
    </row>
    <row r="666" ht="18" customHeight="1">
      <c r="A666" s="39" t="n">
        <v>661</v>
      </c>
      <c r="B666" s="33">
        <f>IF(C666="","",IF(L666="À RENSEIGNER","GIC",L666)&amp;"-E"&amp;TEXT(A666,"00000"))</f>
        <v/>
      </c>
      <c r="C666" s="32" t="n"/>
      <c r="D666" s="36" t="n"/>
      <c r="E666" s="37" t="n"/>
      <c r="F666" s="36" t="n"/>
      <c r="G666" s="44" t="n"/>
      <c r="H666" s="43" t="n"/>
      <c r="I666" s="32" t="n"/>
      <c r="J666" s="44" t="n"/>
      <c r="K666" s="36" t="n"/>
      <c r="L666" s="33">
        <f>IF(C666="","",Commercial_Id)</f>
        <v/>
      </c>
      <c r="M666" s="34">
        <f>IF(OR(C666="",F666=""),"",IF(F666&lt;&gt;"Espèces","—",IF(I666&lt;&gt;"","☑ Oui","☐ Non")))</f>
        <v/>
      </c>
      <c r="N666" s="39">
        <f>IF(D666="","",IFERROR(VALUE(MID(D666,LEN(D666)-3,3)),""))</f>
        <v/>
      </c>
      <c r="O666" s="33">
        <f>IF(N666="","",L666&amp;"|"&amp;N666)</f>
        <v/>
      </c>
      <c r="P666" s="33">
        <f>IF(N666="","",IF(L666="À RENSEIGNER","GIC",L666)&amp;"-"&amp;TEXT(N666,"000"))</f>
        <v/>
      </c>
      <c r="Q666" s="33">
        <f>IF(O666="","",IFERROR(INDEX(Cl_nom,MATCH(O666,Cl_cle,0)),"(client introuvable)"))</f>
        <v/>
      </c>
      <c r="R666" s="40">
        <f>IF(O666="","",IFERROR(INDEX(Cl_reste,MATCH(O666,Cl_cle,0)),""))</f>
        <v/>
      </c>
      <c r="S666" s="34">
        <f>IF(C666="","",YEAR(C666-WEEKDAY(C666,2)+4)&amp;"-S"&amp;TEXT(INT((C666-DATE(YEAR(C666-WEEKDAY(C666,2)+4),1,3)+WEEKDAY(DATE(YEAR(C666-WEEKDAY(C666,2)+4),1,3),2)+5)/7),"00"))</f>
        <v/>
      </c>
    </row>
    <row r="667" ht="18" customHeight="1">
      <c r="A667" s="39" t="n">
        <v>662</v>
      </c>
      <c r="B667" s="33">
        <f>IF(C667="","",IF(L667="À RENSEIGNER","GIC",L667)&amp;"-E"&amp;TEXT(A667,"00000"))</f>
        <v/>
      </c>
      <c r="C667" s="32" t="n"/>
      <c r="D667" s="36" t="n"/>
      <c r="E667" s="37" t="n"/>
      <c r="F667" s="36" t="n"/>
      <c r="G667" s="44" t="n"/>
      <c r="H667" s="43" t="n"/>
      <c r="I667" s="32" t="n"/>
      <c r="J667" s="44" t="n"/>
      <c r="K667" s="36" t="n"/>
      <c r="L667" s="33">
        <f>IF(C667="","",Commercial_Id)</f>
        <v/>
      </c>
      <c r="M667" s="34">
        <f>IF(OR(C667="",F667=""),"",IF(F667&lt;&gt;"Espèces","—",IF(I667&lt;&gt;"","☑ Oui","☐ Non")))</f>
        <v/>
      </c>
      <c r="N667" s="39">
        <f>IF(D667="","",IFERROR(VALUE(MID(D667,LEN(D667)-3,3)),""))</f>
        <v/>
      </c>
      <c r="O667" s="33">
        <f>IF(N667="","",L667&amp;"|"&amp;N667)</f>
        <v/>
      </c>
      <c r="P667" s="33">
        <f>IF(N667="","",IF(L667="À RENSEIGNER","GIC",L667)&amp;"-"&amp;TEXT(N667,"000"))</f>
        <v/>
      </c>
      <c r="Q667" s="33">
        <f>IF(O667="","",IFERROR(INDEX(Cl_nom,MATCH(O667,Cl_cle,0)),"(client introuvable)"))</f>
        <v/>
      </c>
      <c r="R667" s="40">
        <f>IF(O667="","",IFERROR(INDEX(Cl_reste,MATCH(O667,Cl_cle,0)),""))</f>
        <v/>
      </c>
      <c r="S667" s="34">
        <f>IF(C667="","",YEAR(C667-WEEKDAY(C667,2)+4)&amp;"-S"&amp;TEXT(INT((C667-DATE(YEAR(C667-WEEKDAY(C667,2)+4),1,3)+WEEKDAY(DATE(YEAR(C667-WEEKDAY(C667,2)+4),1,3),2)+5)/7),"00"))</f>
        <v/>
      </c>
    </row>
    <row r="668" ht="18" customHeight="1">
      <c r="A668" s="39" t="n">
        <v>663</v>
      </c>
      <c r="B668" s="33">
        <f>IF(C668="","",IF(L668="À RENSEIGNER","GIC",L668)&amp;"-E"&amp;TEXT(A668,"00000"))</f>
        <v/>
      </c>
      <c r="C668" s="32" t="n"/>
      <c r="D668" s="36" t="n"/>
      <c r="E668" s="37" t="n"/>
      <c r="F668" s="36" t="n"/>
      <c r="G668" s="44" t="n"/>
      <c r="H668" s="43" t="n"/>
      <c r="I668" s="32" t="n"/>
      <c r="J668" s="44" t="n"/>
      <c r="K668" s="36" t="n"/>
      <c r="L668" s="33">
        <f>IF(C668="","",Commercial_Id)</f>
        <v/>
      </c>
      <c r="M668" s="34">
        <f>IF(OR(C668="",F668=""),"",IF(F668&lt;&gt;"Espèces","—",IF(I668&lt;&gt;"","☑ Oui","☐ Non")))</f>
        <v/>
      </c>
      <c r="N668" s="39">
        <f>IF(D668="","",IFERROR(VALUE(MID(D668,LEN(D668)-3,3)),""))</f>
        <v/>
      </c>
      <c r="O668" s="33">
        <f>IF(N668="","",L668&amp;"|"&amp;N668)</f>
        <v/>
      </c>
      <c r="P668" s="33">
        <f>IF(N668="","",IF(L668="À RENSEIGNER","GIC",L668)&amp;"-"&amp;TEXT(N668,"000"))</f>
        <v/>
      </c>
      <c r="Q668" s="33">
        <f>IF(O668="","",IFERROR(INDEX(Cl_nom,MATCH(O668,Cl_cle,0)),"(client introuvable)"))</f>
        <v/>
      </c>
      <c r="R668" s="40">
        <f>IF(O668="","",IFERROR(INDEX(Cl_reste,MATCH(O668,Cl_cle,0)),""))</f>
        <v/>
      </c>
      <c r="S668" s="34">
        <f>IF(C668="","",YEAR(C668-WEEKDAY(C668,2)+4)&amp;"-S"&amp;TEXT(INT((C668-DATE(YEAR(C668-WEEKDAY(C668,2)+4),1,3)+WEEKDAY(DATE(YEAR(C668-WEEKDAY(C668,2)+4),1,3),2)+5)/7),"00"))</f>
        <v/>
      </c>
    </row>
    <row r="669" ht="18" customHeight="1">
      <c r="A669" s="39" t="n">
        <v>664</v>
      </c>
      <c r="B669" s="33">
        <f>IF(C669="","",IF(L669="À RENSEIGNER","GIC",L669)&amp;"-E"&amp;TEXT(A669,"00000"))</f>
        <v/>
      </c>
      <c r="C669" s="32" t="n"/>
      <c r="D669" s="36" t="n"/>
      <c r="E669" s="37" t="n"/>
      <c r="F669" s="36" t="n"/>
      <c r="G669" s="44" t="n"/>
      <c r="H669" s="43" t="n"/>
      <c r="I669" s="32" t="n"/>
      <c r="J669" s="44" t="n"/>
      <c r="K669" s="36" t="n"/>
      <c r="L669" s="33">
        <f>IF(C669="","",Commercial_Id)</f>
        <v/>
      </c>
      <c r="M669" s="34">
        <f>IF(OR(C669="",F669=""),"",IF(F669&lt;&gt;"Espèces","—",IF(I669&lt;&gt;"","☑ Oui","☐ Non")))</f>
        <v/>
      </c>
      <c r="N669" s="39">
        <f>IF(D669="","",IFERROR(VALUE(MID(D669,LEN(D669)-3,3)),""))</f>
        <v/>
      </c>
      <c r="O669" s="33">
        <f>IF(N669="","",L669&amp;"|"&amp;N669)</f>
        <v/>
      </c>
      <c r="P669" s="33">
        <f>IF(N669="","",IF(L669="À RENSEIGNER","GIC",L669)&amp;"-"&amp;TEXT(N669,"000"))</f>
        <v/>
      </c>
      <c r="Q669" s="33">
        <f>IF(O669="","",IFERROR(INDEX(Cl_nom,MATCH(O669,Cl_cle,0)),"(client introuvable)"))</f>
        <v/>
      </c>
      <c r="R669" s="40">
        <f>IF(O669="","",IFERROR(INDEX(Cl_reste,MATCH(O669,Cl_cle,0)),""))</f>
        <v/>
      </c>
      <c r="S669" s="34">
        <f>IF(C669="","",YEAR(C669-WEEKDAY(C669,2)+4)&amp;"-S"&amp;TEXT(INT((C669-DATE(YEAR(C669-WEEKDAY(C669,2)+4),1,3)+WEEKDAY(DATE(YEAR(C669-WEEKDAY(C669,2)+4),1,3),2)+5)/7),"00"))</f>
        <v/>
      </c>
    </row>
    <row r="670" ht="18" customHeight="1">
      <c r="A670" s="39" t="n">
        <v>665</v>
      </c>
      <c r="B670" s="33">
        <f>IF(C670="","",IF(L670="À RENSEIGNER","GIC",L670)&amp;"-E"&amp;TEXT(A670,"00000"))</f>
        <v/>
      </c>
      <c r="C670" s="32" t="n"/>
      <c r="D670" s="36" t="n"/>
      <c r="E670" s="37" t="n"/>
      <c r="F670" s="36" t="n"/>
      <c r="G670" s="44" t="n"/>
      <c r="H670" s="43" t="n"/>
      <c r="I670" s="32" t="n"/>
      <c r="J670" s="44" t="n"/>
      <c r="K670" s="36" t="n"/>
      <c r="L670" s="33">
        <f>IF(C670="","",Commercial_Id)</f>
        <v/>
      </c>
      <c r="M670" s="34">
        <f>IF(OR(C670="",F670=""),"",IF(F670&lt;&gt;"Espèces","—",IF(I670&lt;&gt;"","☑ Oui","☐ Non")))</f>
        <v/>
      </c>
      <c r="N670" s="39">
        <f>IF(D670="","",IFERROR(VALUE(MID(D670,LEN(D670)-3,3)),""))</f>
        <v/>
      </c>
      <c r="O670" s="33">
        <f>IF(N670="","",L670&amp;"|"&amp;N670)</f>
        <v/>
      </c>
      <c r="P670" s="33">
        <f>IF(N670="","",IF(L670="À RENSEIGNER","GIC",L670)&amp;"-"&amp;TEXT(N670,"000"))</f>
        <v/>
      </c>
      <c r="Q670" s="33">
        <f>IF(O670="","",IFERROR(INDEX(Cl_nom,MATCH(O670,Cl_cle,0)),"(client introuvable)"))</f>
        <v/>
      </c>
      <c r="R670" s="40">
        <f>IF(O670="","",IFERROR(INDEX(Cl_reste,MATCH(O670,Cl_cle,0)),""))</f>
        <v/>
      </c>
      <c r="S670" s="34">
        <f>IF(C670="","",YEAR(C670-WEEKDAY(C670,2)+4)&amp;"-S"&amp;TEXT(INT((C670-DATE(YEAR(C670-WEEKDAY(C670,2)+4),1,3)+WEEKDAY(DATE(YEAR(C670-WEEKDAY(C670,2)+4),1,3),2)+5)/7),"00"))</f>
        <v/>
      </c>
    </row>
    <row r="671" ht="18" customHeight="1">
      <c r="A671" s="39" t="n">
        <v>666</v>
      </c>
      <c r="B671" s="33">
        <f>IF(C671="","",IF(L671="À RENSEIGNER","GIC",L671)&amp;"-E"&amp;TEXT(A671,"00000"))</f>
        <v/>
      </c>
      <c r="C671" s="32" t="n"/>
      <c r="D671" s="36" t="n"/>
      <c r="E671" s="37" t="n"/>
      <c r="F671" s="36" t="n"/>
      <c r="G671" s="44" t="n"/>
      <c r="H671" s="43" t="n"/>
      <c r="I671" s="32" t="n"/>
      <c r="J671" s="44" t="n"/>
      <c r="K671" s="36" t="n"/>
      <c r="L671" s="33">
        <f>IF(C671="","",Commercial_Id)</f>
        <v/>
      </c>
      <c r="M671" s="34">
        <f>IF(OR(C671="",F671=""),"",IF(F671&lt;&gt;"Espèces","—",IF(I671&lt;&gt;"","☑ Oui","☐ Non")))</f>
        <v/>
      </c>
      <c r="N671" s="39">
        <f>IF(D671="","",IFERROR(VALUE(MID(D671,LEN(D671)-3,3)),""))</f>
        <v/>
      </c>
      <c r="O671" s="33">
        <f>IF(N671="","",L671&amp;"|"&amp;N671)</f>
        <v/>
      </c>
      <c r="P671" s="33">
        <f>IF(N671="","",IF(L671="À RENSEIGNER","GIC",L671)&amp;"-"&amp;TEXT(N671,"000"))</f>
        <v/>
      </c>
      <c r="Q671" s="33">
        <f>IF(O671="","",IFERROR(INDEX(Cl_nom,MATCH(O671,Cl_cle,0)),"(client introuvable)"))</f>
        <v/>
      </c>
      <c r="R671" s="40">
        <f>IF(O671="","",IFERROR(INDEX(Cl_reste,MATCH(O671,Cl_cle,0)),""))</f>
        <v/>
      </c>
      <c r="S671" s="34">
        <f>IF(C671="","",YEAR(C671-WEEKDAY(C671,2)+4)&amp;"-S"&amp;TEXT(INT((C671-DATE(YEAR(C671-WEEKDAY(C671,2)+4),1,3)+WEEKDAY(DATE(YEAR(C671-WEEKDAY(C671,2)+4),1,3),2)+5)/7),"00"))</f>
        <v/>
      </c>
    </row>
    <row r="672" ht="18" customHeight="1">
      <c r="A672" s="39" t="n">
        <v>667</v>
      </c>
      <c r="B672" s="33">
        <f>IF(C672="","",IF(L672="À RENSEIGNER","GIC",L672)&amp;"-E"&amp;TEXT(A672,"00000"))</f>
        <v/>
      </c>
      <c r="C672" s="32" t="n"/>
      <c r="D672" s="36" t="n"/>
      <c r="E672" s="37" t="n"/>
      <c r="F672" s="36" t="n"/>
      <c r="G672" s="44" t="n"/>
      <c r="H672" s="43" t="n"/>
      <c r="I672" s="32" t="n"/>
      <c r="J672" s="44" t="n"/>
      <c r="K672" s="36" t="n"/>
      <c r="L672" s="33">
        <f>IF(C672="","",Commercial_Id)</f>
        <v/>
      </c>
      <c r="M672" s="34">
        <f>IF(OR(C672="",F672=""),"",IF(F672&lt;&gt;"Espèces","—",IF(I672&lt;&gt;"","☑ Oui","☐ Non")))</f>
        <v/>
      </c>
      <c r="N672" s="39">
        <f>IF(D672="","",IFERROR(VALUE(MID(D672,LEN(D672)-3,3)),""))</f>
        <v/>
      </c>
      <c r="O672" s="33">
        <f>IF(N672="","",L672&amp;"|"&amp;N672)</f>
        <v/>
      </c>
      <c r="P672" s="33">
        <f>IF(N672="","",IF(L672="À RENSEIGNER","GIC",L672)&amp;"-"&amp;TEXT(N672,"000"))</f>
        <v/>
      </c>
      <c r="Q672" s="33">
        <f>IF(O672="","",IFERROR(INDEX(Cl_nom,MATCH(O672,Cl_cle,0)),"(client introuvable)"))</f>
        <v/>
      </c>
      <c r="R672" s="40">
        <f>IF(O672="","",IFERROR(INDEX(Cl_reste,MATCH(O672,Cl_cle,0)),""))</f>
        <v/>
      </c>
      <c r="S672" s="34">
        <f>IF(C672="","",YEAR(C672-WEEKDAY(C672,2)+4)&amp;"-S"&amp;TEXT(INT((C672-DATE(YEAR(C672-WEEKDAY(C672,2)+4),1,3)+WEEKDAY(DATE(YEAR(C672-WEEKDAY(C672,2)+4),1,3),2)+5)/7),"00"))</f>
        <v/>
      </c>
    </row>
    <row r="673" ht="18" customHeight="1">
      <c r="A673" s="39" t="n">
        <v>668</v>
      </c>
      <c r="B673" s="33">
        <f>IF(C673="","",IF(L673="À RENSEIGNER","GIC",L673)&amp;"-E"&amp;TEXT(A673,"00000"))</f>
        <v/>
      </c>
      <c r="C673" s="32" t="n"/>
      <c r="D673" s="36" t="n"/>
      <c r="E673" s="37" t="n"/>
      <c r="F673" s="36" t="n"/>
      <c r="G673" s="44" t="n"/>
      <c r="H673" s="43" t="n"/>
      <c r="I673" s="32" t="n"/>
      <c r="J673" s="44" t="n"/>
      <c r="K673" s="36" t="n"/>
      <c r="L673" s="33">
        <f>IF(C673="","",Commercial_Id)</f>
        <v/>
      </c>
      <c r="M673" s="34">
        <f>IF(OR(C673="",F673=""),"",IF(F673&lt;&gt;"Espèces","—",IF(I673&lt;&gt;"","☑ Oui","☐ Non")))</f>
        <v/>
      </c>
      <c r="N673" s="39">
        <f>IF(D673="","",IFERROR(VALUE(MID(D673,LEN(D673)-3,3)),""))</f>
        <v/>
      </c>
      <c r="O673" s="33">
        <f>IF(N673="","",L673&amp;"|"&amp;N673)</f>
        <v/>
      </c>
      <c r="P673" s="33">
        <f>IF(N673="","",IF(L673="À RENSEIGNER","GIC",L673)&amp;"-"&amp;TEXT(N673,"000"))</f>
        <v/>
      </c>
      <c r="Q673" s="33">
        <f>IF(O673="","",IFERROR(INDEX(Cl_nom,MATCH(O673,Cl_cle,0)),"(client introuvable)"))</f>
        <v/>
      </c>
      <c r="R673" s="40">
        <f>IF(O673="","",IFERROR(INDEX(Cl_reste,MATCH(O673,Cl_cle,0)),""))</f>
        <v/>
      </c>
      <c r="S673" s="34">
        <f>IF(C673="","",YEAR(C673-WEEKDAY(C673,2)+4)&amp;"-S"&amp;TEXT(INT((C673-DATE(YEAR(C673-WEEKDAY(C673,2)+4),1,3)+WEEKDAY(DATE(YEAR(C673-WEEKDAY(C673,2)+4),1,3),2)+5)/7),"00"))</f>
        <v/>
      </c>
    </row>
    <row r="674" ht="18" customHeight="1">
      <c r="A674" s="39" t="n">
        <v>669</v>
      </c>
      <c r="B674" s="33">
        <f>IF(C674="","",IF(L674="À RENSEIGNER","GIC",L674)&amp;"-E"&amp;TEXT(A674,"00000"))</f>
        <v/>
      </c>
      <c r="C674" s="32" t="n"/>
      <c r="D674" s="36" t="n"/>
      <c r="E674" s="37" t="n"/>
      <c r="F674" s="36" t="n"/>
      <c r="G674" s="44" t="n"/>
      <c r="H674" s="43" t="n"/>
      <c r="I674" s="32" t="n"/>
      <c r="J674" s="44" t="n"/>
      <c r="K674" s="36" t="n"/>
      <c r="L674" s="33">
        <f>IF(C674="","",Commercial_Id)</f>
        <v/>
      </c>
      <c r="M674" s="34">
        <f>IF(OR(C674="",F674=""),"",IF(F674&lt;&gt;"Espèces","—",IF(I674&lt;&gt;"","☑ Oui","☐ Non")))</f>
        <v/>
      </c>
      <c r="N674" s="39">
        <f>IF(D674="","",IFERROR(VALUE(MID(D674,LEN(D674)-3,3)),""))</f>
        <v/>
      </c>
      <c r="O674" s="33">
        <f>IF(N674="","",L674&amp;"|"&amp;N674)</f>
        <v/>
      </c>
      <c r="P674" s="33">
        <f>IF(N674="","",IF(L674="À RENSEIGNER","GIC",L674)&amp;"-"&amp;TEXT(N674,"000"))</f>
        <v/>
      </c>
      <c r="Q674" s="33">
        <f>IF(O674="","",IFERROR(INDEX(Cl_nom,MATCH(O674,Cl_cle,0)),"(client introuvable)"))</f>
        <v/>
      </c>
      <c r="R674" s="40">
        <f>IF(O674="","",IFERROR(INDEX(Cl_reste,MATCH(O674,Cl_cle,0)),""))</f>
        <v/>
      </c>
      <c r="S674" s="34">
        <f>IF(C674="","",YEAR(C674-WEEKDAY(C674,2)+4)&amp;"-S"&amp;TEXT(INT((C674-DATE(YEAR(C674-WEEKDAY(C674,2)+4),1,3)+WEEKDAY(DATE(YEAR(C674-WEEKDAY(C674,2)+4),1,3),2)+5)/7),"00"))</f>
        <v/>
      </c>
    </row>
    <row r="675" ht="18" customHeight="1">
      <c r="A675" s="39" t="n">
        <v>670</v>
      </c>
      <c r="B675" s="33">
        <f>IF(C675="","",IF(L675="À RENSEIGNER","GIC",L675)&amp;"-E"&amp;TEXT(A675,"00000"))</f>
        <v/>
      </c>
      <c r="C675" s="32" t="n"/>
      <c r="D675" s="36" t="n"/>
      <c r="E675" s="37" t="n"/>
      <c r="F675" s="36" t="n"/>
      <c r="G675" s="44" t="n"/>
      <c r="H675" s="43" t="n"/>
      <c r="I675" s="32" t="n"/>
      <c r="J675" s="44" t="n"/>
      <c r="K675" s="36" t="n"/>
      <c r="L675" s="33">
        <f>IF(C675="","",Commercial_Id)</f>
        <v/>
      </c>
      <c r="M675" s="34">
        <f>IF(OR(C675="",F675=""),"",IF(F675&lt;&gt;"Espèces","—",IF(I675&lt;&gt;"","☑ Oui","☐ Non")))</f>
        <v/>
      </c>
      <c r="N675" s="39">
        <f>IF(D675="","",IFERROR(VALUE(MID(D675,LEN(D675)-3,3)),""))</f>
        <v/>
      </c>
      <c r="O675" s="33">
        <f>IF(N675="","",L675&amp;"|"&amp;N675)</f>
        <v/>
      </c>
      <c r="P675" s="33">
        <f>IF(N675="","",IF(L675="À RENSEIGNER","GIC",L675)&amp;"-"&amp;TEXT(N675,"000"))</f>
        <v/>
      </c>
      <c r="Q675" s="33">
        <f>IF(O675="","",IFERROR(INDEX(Cl_nom,MATCH(O675,Cl_cle,0)),"(client introuvable)"))</f>
        <v/>
      </c>
      <c r="R675" s="40">
        <f>IF(O675="","",IFERROR(INDEX(Cl_reste,MATCH(O675,Cl_cle,0)),""))</f>
        <v/>
      </c>
      <c r="S675" s="34">
        <f>IF(C675="","",YEAR(C675-WEEKDAY(C675,2)+4)&amp;"-S"&amp;TEXT(INT((C675-DATE(YEAR(C675-WEEKDAY(C675,2)+4),1,3)+WEEKDAY(DATE(YEAR(C675-WEEKDAY(C675,2)+4),1,3),2)+5)/7),"00"))</f>
        <v/>
      </c>
    </row>
    <row r="676" ht="18" customHeight="1">
      <c r="A676" s="39" t="n">
        <v>671</v>
      </c>
      <c r="B676" s="33">
        <f>IF(C676="","",IF(L676="À RENSEIGNER","GIC",L676)&amp;"-E"&amp;TEXT(A676,"00000"))</f>
        <v/>
      </c>
      <c r="C676" s="32" t="n"/>
      <c r="D676" s="36" t="n"/>
      <c r="E676" s="37" t="n"/>
      <c r="F676" s="36" t="n"/>
      <c r="G676" s="44" t="n"/>
      <c r="H676" s="43" t="n"/>
      <c r="I676" s="32" t="n"/>
      <c r="J676" s="44" t="n"/>
      <c r="K676" s="36" t="n"/>
      <c r="L676" s="33">
        <f>IF(C676="","",Commercial_Id)</f>
        <v/>
      </c>
      <c r="M676" s="34">
        <f>IF(OR(C676="",F676=""),"",IF(F676&lt;&gt;"Espèces","—",IF(I676&lt;&gt;"","☑ Oui","☐ Non")))</f>
        <v/>
      </c>
      <c r="N676" s="39">
        <f>IF(D676="","",IFERROR(VALUE(MID(D676,LEN(D676)-3,3)),""))</f>
        <v/>
      </c>
      <c r="O676" s="33">
        <f>IF(N676="","",L676&amp;"|"&amp;N676)</f>
        <v/>
      </c>
      <c r="P676" s="33">
        <f>IF(N676="","",IF(L676="À RENSEIGNER","GIC",L676)&amp;"-"&amp;TEXT(N676,"000"))</f>
        <v/>
      </c>
      <c r="Q676" s="33">
        <f>IF(O676="","",IFERROR(INDEX(Cl_nom,MATCH(O676,Cl_cle,0)),"(client introuvable)"))</f>
        <v/>
      </c>
      <c r="R676" s="40">
        <f>IF(O676="","",IFERROR(INDEX(Cl_reste,MATCH(O676,Cl_cle,0)),""))</f>
        <v/>
      </c>
      <c r="S676" s="34">
        <f>IF(C676="","",YEAR(C676-WEEKDAY(C676,2)+4)&amp;"-S"&amp;TEXT(INT((C676-DATE(YEAR(C676-WEEKDAY(C676,2)+4),1,3)+WEEKDAY(DATE(YEAR(C676-WEEKDAY(C676,2)+4),1,3),2)+5)/7),"00"))</f>
        <v/>
      </c>
    </row>
    <row r="677" ht="18" customHeight="1">
      <c r="A677" s="39" t="n">
        <v>672</v>
      </c>
      <c r="B677" s="33">
        <f>IF(C677="","",IF(L677="À RENSEIGNER","GIC",L677)&amp;"-E"&amp;TEXT(A677,"00000"))</f>
        <v/>
      </c>
      <c r="C677" s="32" t="n"/>
      <c r="D677" s="36" t="n"/>
      <c r="E677" s="37" t="n"/>
      <c r="F677" s="36" t="n"/>
      <c r="G677" s="44" t="n"/>
      <c r="H677" s="43" t="n"/>
      <c r="I677" s="32" t="n"/>
      <c r="J677" s="44" t="n"/>
      <c r="K677" s="36" t="n"/>
      <c r="L677" s="33">
        <f>IF(C677="","",Commercial_Id)</f>
        <v/>
      </c>
      <c r="M677" s="34">
        <f>IF(OR(C677="",F677=""),"",IF(F677&lt;&gt;"Espèces","—",IF(I677&lt;&gt;"","☑ Oui","☐ Non")))</f>
        <v/>
      </c>
      <c r="N677" s="39">
        <f>IF(D677="","",IFERROR(VALUE(MID(D677,LEN(D677)-3,3)),""))</f>
        <v/>
      </c>
      <c r="O677" s="33">
        <f>IF(N677="","",L677&amp;"|"&amp;N677)</f>
        <v/>
      </c>
      <c r="P677" s="33">
        <f>IF(N677="","",IF(L677="À RENSEIGNER","GIC",L677)&amp;"-"&amp;TEXT(N677,"000"))</f>
        <v/>
      </c>
      <c r="Q677" s="33">
        <f>IF(O677="","",IFERROR(INDEX(Cl_nom,MATCH(O677,Cl_cle,0)),"(client introuvable)"))</f>
        <v/>
      </c>
      <c r="R677" s="40">
        <f>IF(O677="","",IFERROR(INDEX(Cl_reste,MATCH(O677,Cl_cle,0)),""))</f>
        <v/>
      </c>
      <c r="S677" s="34">
        <f>IF(C677="","",YEAR(C677-WEEKDAY(C677,2)+4)&amp;"-S"&amp;TEXT(INT((C677-DATE(YEAR(C677-WEEKDAY(C677,2)+4),1,3)+WEEKDAY(DATE(YEAR(C677-WEEKDAY(C677,2)+4),1,3),2)+5)/7),"00"))</f>
        <v/>
      </c>
    </row>
    <row r="678" ht="18" customHeight="1">
      <c r="A678" s="39" t="n">
        <v>673</v>
      </c>
      <c r="B678" s="33">
        <f>IF(C678="","",IF(L678="À RENSEIGNER","GIC",L678)&amp;"-E"&amp;TEXT(A678,"00000"))</f>
        <v/>
      </c>
      <c r="C678" s="32" t="n"/>
      <c r="D678" s="36" t="n"/>
      <c r="E678" s="37" t="n"/>
      <c r="F678" s="36" t="n"/>
      <c r="G678" s="44" t="n"/>
      <c r="H678" s="43" t="n"/>
      <c r="I678" s="32" t="n"/>
      <c r="J678" s="44" t="n"/>
      <c r="K678" s="36" t="n"/>
      <c r="L678" s="33">
        <f>IF(C678="","",Commercial_Id)</f>
        <v/>
      </c>
      <c r="M678" s="34">
        <f>IF(OR(C678="",F678=""),"",IF(F678&lt;&gt;"Espèces","—",IF(I678&lt;&gt;"","☑ Oui","☐ Non")))</f>
        <v/>
      </c>
      <c r="N678" s="39">
        <f>IF(D678="","",IFERROR(VALUE(MID(D678,LEN(D678)-3,3)),""))</f>
        <v/>
      </c>
      <c r="O678" s="33">
        <f>IF(N678="","",L678&amp;"|"&amp;N678)</f>
        <v/>
      </c>
      <c r="P678" s="33">
        <f>IF(N678="","",IF(L678="À RENSEIGNER","GIC",L678)&amp;"-"&amp;TEXT(N678,"000"))</f>
        <v/>
      </c>
      <c r="Q678" s="33">
        <f>IF(O678="","",IFERROR(INDEX(Cl_nom,MATCH(O678,Cl_cle,0)),"(client introuvable)"))</f>
        <v/>
      </c>
      <c r="R678" s="40">
        <f>IF(O678="","",IFERROR(INDEX(Cl_reste,MATCH(O678,Cl_cle,0)),""))</f>
        <v/>
      </c>
      <c r="S678" s="34">
        <f>IF(C678="","",YEAR(C678-WEEKDAY(C678,2)+4)&amp;"-S"&amp;TEXT(INT((C678-DATE(YEAR(C678-WEEKDAY(C678,2)+4),1,3)+WEEKDAY(DATE(YEAR(C678-WEEKDAY(C678,2)+4),1,3),2)+5)/7),"00"))</f>
        <v/>
      </c>
    </row>
    <row r="679" ht="18" customHeight="1">
      <c r="A679" s="39" t="n">
        <v>674</v>
      </c>
      <c r="B679" s="33">
        <f>IF(C679="","",IF(L679="À RENSEIGNER","GIC",L679)&amp;"-E"&amp;TEXT(A679,"00000"))</f>
        <v/>
      </c>
      <c r="C679" s="32" t="n"/>
      <c r="D679" s="36" t="n"/>
      <c r="E679" s="37" t="n"/>
      <c r="F679" s="36" t="n"/>
      <c r="G679" s="44" t="n"/>
      <c r="H679" s="43" t="n"/>
      <c r="I679" s="32" t="n"/>
      <c r="J679" s="44" t="n"/>
      <c r="K679" s="36" t="n"/>
      <c r="L679" s="33">
        <f>IF(C679="","",Commercial_Id)</f>
        <v/>
      </c>
      <c r="M679" s="34">
        <f>IF(OR(C679="",F679=""),"",IF(F679&lt;&gt;"Espèces","—",IF(I679&lt;&gt;"","☑ Oui","☐ Non")))</f>
        <v/>
      </c>
      <c r="N679" s="39">
        <f>IF(D679="","",IFERROR(VALUE(MID(D679,LEN(D679)-3,3)),""))</f>
        <v/>
      </c>
      <c r="O679" s="33">
        <f>IF(N679="","",L679&amp;"|"&amp;N679)</f>
        <v/>
      </c>
      <c r="P679" s="33">
        <f>IF(N679="","",IF(L679="À RENSEIGNER","GIC",L679)&amp;"-"&amp;TEXT(N679,"000"))</f>
        <v/>
      </c>
      <c r="Q679" s="33">
        <f>IF(O679="","",IFERROR(INDEX(Cl_nom,MATCH(O679,Cl_cle,0)),"(client introuvable)"))</f>
        <v/>
      </c>
      <c r="R679" s="40">
        <f>IF(O679="","",IFERROR(INDEX(Cl_reste,MATCH(O679,Cl_cle,0)),""))</f>
        <v/>
      </c>
      <c r="S679" s="34">
        <f>IF(C679="","",YEAR(C679-WEEKDAY(C679,2)+4)&amp;"-S"&amp;TEXT(INT((C679-DATE(YEAR(C679-WEEKDAY(C679,2)+4),1,3)+WEEKDAY(DATE(YEAR(C679-WEEKDAY(C679,2)+4),1,3),2)+5)/7),"00"))</f>
        <v/>
      </c>
    </row>
    <row r="680" ht="18" customHeight="1">
      <c r="A680" s="39" t="n">
        <v>675</v>
      </c>
      <c r="B680" s="33">
        <f>IF(C680="","",IF(L680="À RENSEIGNER","GIC",L680)&amp;"-E"&amp;TEXT(A680,"00000"))</f>
        <v/>
      </c>
      <c r="C680" s="32" t="n"/>
      <c r="D680" s="36" t="n"/>
      <c r="E680" s="37" t="n"/>
      <c r="F680" s="36" t="n"/>
      <c r="G680" s="44" t="n"/>
      <c r="H680" s="43" t="n"/>
      <c r="I680" s="32" t="n"/>
      <c r="J680" s="44" t="n"/>
      <c r="K680" s="36" t="n"/>
      <c r="L680" s="33">
        <f>IF(C680="","",Commercial_Id)</f>
        <v/>
      </c>
      <c r="M680" s="34">
        <f>IF(OR(C680="",F680=""),"",IF(F680&lt;&gt;"Espèces","—",IF(I680&lt;&gt;"","☑ Oui","☐ Non")))</f>
        <v/>
      </c>
      <c r="N680" s="39">
        <f>IF(D680="","",IFERROR(VALUE(MID(D680,LEN(D680)-3,3)),""))</f>
        <v/>
      </c>
      <c r="O680" s="33">
        <f>IF(N680="","",L680&amp;"|"&amp;N680)</f>
        <v/>
      </c>
      <c r="P680" s="33">
        <f>IF(N680="","",IF(L680="À RENSEIGNER","GIC",L680)&amp;"-"&amp;TEXT(N680,"000"))</f>
        <v/>
      </c>
      <c r="Q680" s="33">
        <f>IF(O680="","",IFERROR(INDEX(Cl_nom,MATCH(O680,Cl_cle,0)),"(client introuvable)"))</f>
        <v/>
      </c>
      <c r="R680" s="40">
        <f>IF(O680="","",IFERROR(INDEX(Cl_reste,MATCH(O680,Cl_cle,0)),""))</f>
        <v/>
      </c>
      <c r="S680" s="34">
        <f>IF(C680="","",YEAR(C680-WEEKDAY(C680,2)+4)&amp;"-S"&amp;TEXT(INT((C680-DATE(YEAR(C680-WEEKDAY(C680,2)+4),1,3)+WEEKDAY(DATE(YEAR(C680-WEEKDAY(C680,2)+4),1,3),2)+5)/7),"00"))</f>
        <v/>
      </c>
    </row>
    <row r="681" ht="18" customHeight="1">
      <c r="A681" s="39" t="n">
        <v>676</v>
      </c>
      <c r="B681" s="33">
        <f>IF(C681="","",IF(L681="À RENSEIGNER","GIC",L681)&amp;"-E"&amp;TEXT(A681,"00000"))</f>
        <v/>
      </c>
      <c r="C681" s="32" t="n"/>
      <c r="D681" s="36" t="n"/>
      <c r="E681" s="37" t="n"/>
      <c r="F681" s="36" t="n"/>
      <c r="G681" s="44" t="n"/>
      <c r="H681" s="43" t="n"/>
      <c r="I681" s="32" t="n"/>
      <c r="J681" s="44" t="n"/>
      <c r="K681" s="36" t="n"/>
      <c r="L681" s="33">
        <f>IF(C681="","",Commercial_Id)</f>
        <v/>
      </c>
      <c r="M681" s="34">
        <f>IF(OR(C681="",F681=""),"",IF(F681&lt;&gt;"Espèces","—",IF(I681&lt;&gt;"","☑ Oui","☐ Non")))</f>
        <v/>
      </c>
      <c r="N681" s="39">
        <f>IF(D681="","",IFERROR(VALUE(MID(D681,LEN(D681)-3,3)),""))</f>
        <v/>
      </c>
      <c r="O681" s="33">
        <f>IF(N681="","",L681&amp;"|"&amp;N681)</f>
        <v/>
      </c>
      <c r="P681" s="33">
        <f>IF(N681="","",IF(L681="À RENSEIGNER","GIC",L681)&amp;"-"&amp;TEXT(N681,"000"))</f>
        <v/>
      </c>
      <c r="Q681" s="33">
        <f>IF(O681="","",IFERROR(INDEX(Cl_nom,MATCH(O681,Cl_cle,0)),"(client introuvable)"))</f>
        <v/>
      </c>
      <c r="R681" s="40">
        <f>IF(O681="","",IFERROR(INDEX(Cl_reste,MATCH(O681,Cl_cle,0)),""))</f>
        <v/>
      </c>
      <c r="S681" s="34">
        <f>IF(C681="","",YEAR(C681-WEEKDAY(C681,2)+4)&amp;"-S"&amp;TEXT(INT((C681-DATE(YEAR(C681-WEEKDAY(C681,2)+4),1,3)+WEEKDAY(DATE(YEAR(C681-WEEKDAY(C681,2)+4),1,3),2)+5)/7),"00"))</f>
        <v/>
      </c>
    </row>
    <row r="682" ht="18" customHeight="1">
      <c r="A682" s="39" t="n">
        <v>677</v>
      </c>
      <c r="B682" s="33">
        <f>IF(C682="","",IF(L682="À RENSEIGNER","GIC",L682)&amp;"-E"&amp;TEXT(A682,"00000"))</f>
        <v/>
      </c>
      <c r="C682" s="32" t="n"/>
      <c r="D682" s="36" t="n"/>
      <c r="E682" s="37" t="n"/>
      <c r="F682" s="36" t="n"/>
      <c r="G682" s="44" t="n"/>
      <c r="H682" s="43" t="n"/>
      <c r="I682" s="32" t="n"/>
      <c r="J682" s="44" t="n"/>
      <c r="K682" s="36" t="n"/>
      <c r="L682" s="33">
        <f>IF(C682="","",Commercial_Id)</f>
        <v/>
      </c>
      <c r="M682" s="34">
        <f>IF(OR(C682="",F682=""),"",IF(F682&lt;&gt;"Espèces","—",IF(I682&lt;&gt;"","☑ Oui","☐ Non")))</f>
        <v/>
      </c>
      <c r="N682" s="39">
        <f>IF(D682="","",IFERROR(VALUE(MID(D682,LEN(D682)-3,3)),""))</f>
        <v/>
      </c>
      <c r="O682" s="33">
        <f>IF(N682="","",L682&amp;"|"&amp;N682)</f>
        <v/>
      </c>
      <c r="P682" s="33">
        <f>IF(N682="","",IF(L682="À RENSEIGNER","GIC",L682)&amp;"-"&amp;TEXT(N682,"000"))</f>
        <v/>
      </c>
      <c r="Q682" s="33">
        <f>IF(O682="","",IFERROR(INDEX(Cl_nom,MATCH(O682,Cl_cle,0)),"(client introuvable)"))</f>
        <v/>
      </c>
      <c r="R682" s="40">
        <f>IF(O682="","",IFERROR(INDEX(Cl_reste,MATCH(O682,Cl_cle,0)),""))</f>
        <v/>
      </c>
      <c r="S682" s="34">
        <f>IF(C682="","",YEAR(C682-WEEKDAY(C682,2)+4)&amp;"-S"&amp;TEXT(INT((C682-DATE(YEAR(C682-WEEKDAY(C682,2)+4),1,3)+WEEKDAY(DATE(YEAR(C682-WEEKDAY(C682,2)+4),1,3),2)+5)/7),"00"))</f>
        <v/>
      </c>
    </row>
    <row r="683" ht="18" customHeight="1">
      <c r="A683" s="39" t="n">
        <v>678</v>
      </c>
      <c r="B683" s="33">
        <f>IF(C683="","",IF(L683="À RENSEIGNER","GIC",L683)&amp;"-E"&amp;TEXT(A683,"00000"))</f>
        <v/>
      </c>
      <c r="C683" s="32" t="n"/>
      <c r="D683" s="36" t="n"/>
      <c r="E683" s="37" t="n"/>
      <c r="F683" s="36" t="n"/>
      <c r="G683" s="44" t="n"/>
      <c r="H683" s="43" t="n"/>
      <c r="I683" s="32" t="n"/>
      <c r="J683" s="44" t="n"/>
      <c r="K683" s="36" t="n"/>
      <c r="L683" s="33">
        <f>IF(C683="","",Commercial_Id)</f>
        <v/>
      </c>
      <c r="M683" s="34">
        <f>IF(OR(C683="",F683=""),"",IF(F683&lt;&gt;"Espèces","—",IF(I683&lt;&gt;"","☑ Oui","☐ Non")))</f>
        <v/>
      </c>
      <c r="N683" s="39">
        <f>IF(D683="","",IFERROR(VALUE(MID(D683,LEN(D683)-3,3)),""))</f>
        <v/>
      </c>
      <c r="O683" s="33">
        <f>IF(N683="","",L683&amp;"|"&amp;N683)</f>
        <v/>
      </c>
      <c r="P683" s="33">
        <f>IF(N683="","",IF(L683="À RENSEIGNER","GIC",L683)&amp;"-"&amp;TEXT(N683,"000"))</f>
        <v/>
      </c>
      <c r="Q683" s="33">
        <f>IF(O683="","",IFERROR(INDEX(Cl_nom,MATCH(O683,Cl_cle,0)),"(client introuvable)"))</f>
        <v/>
      </c>
      <c r="R683" s="40">
        <f>IF(O683="","",IFERROR(INDEX(Cl_reste,MATCH(O683,Cl_cle,0)),""))</f>
        <v/>
      </c>
      <c r="S683" s="34">
        <f>IF(C683="","",YEAR(C683-WEEKDAY(C683,2)+4)&amp;"-S"&amp;TEXT(INT((C683-DATE(YEAR(C683-WEEKDAY(C683,2)+4),1,3)+WEEKDAY(DATE(YEAR(C683-WEEKDAY(C683,2)+4),1,3),2)+5)/7),"00"))</f>
        <v/>
      </c>
    </row>
    <row r="684" ht="18" customHeight="1">
      <c r="A684" s="39" t="n">
        <v>679</v>
      </c>
      <c r="B684" s="33">
        <f>IF(C684="","",IF(L684="À RENSEIGNER","GIC",L684)&amp;"-E"&amp;TEXT(A684,"00000"))</f>
        <v/>
      </c>
      <c r="C684" s="32" t="n"/>
      <c r="D684" s="36" t="n"/>
      <c r="E684" s="37" t="n"/>
      <c r="F684" s="36" t="n"/>
      <c r="G684" s="44" t="n"/>
      <c r="H684" s="43" t="n"/>
      <c r="I684" s="32" t="n"/>
      <c r="J684" s="44" t="n"/>
      <c r="K684" s="36" t="n"/>
      <c r="L684" s="33">
        <f>IF(C684="","",Commercial_Id)</f>
        <v/>
      </c>
      <c r="M684" s="34">
        <f>IF(OR(C684="",F684=""),"",IF(F684&lt;&gt;"Espèces","—",IF(I684&lt;&gt;"","☑ Oui","☐ Non")))</f>
        <v/>
      </c>
      <c r="N684" s="39">
        <f>IF(D684="","",IFERROR(VALUE(MID(D684,LEN(D684)-3,3)),""))</f>
        <v/>
      </c>
      <c r="O684" s="33">
        <f>IF(N684="","",L684&amp;"|"&amp;N684)</f>
        <v/>
      </c>
      <c r="P684" s="33">
        <f>IF(N684="","",IF(L684="À RENSEIGNER","GIC",L684)&amp;"-"&amp;TEXT(N684,"000"))</f>
        <v/>
      </c>
      <c r="Q684" s="33">
        <f>IF(O684="","",IFERROR(INDEX(Cl_nom,MATCH(O684,Cl_cle,0)),"(client introuvable)"))</f>
        <v/>
      </c>
      <c r="R684" s="40">
        <f>IF(O684="","",IFERROR(INDEX(Cl_reste,MATCH(O684,Cl_cle,0)),""))</f>
        <v/>
      </c>
      <c r="S684" s="34">
        <f>IF(C684="","",YEAR(C684-WEEKDAY(C684,2)+4)&amp;"-S"&amp;TEXT(INT((C684-DATE(YEAR(C684-WEEKDAY(C684,2)+4),1,3)+WEEKDAY(DATE(YEAR(C684-WEEKDAY(C684,2)+4),1,3),2)+5)/7),"00"))</f>
        <v/>
      </c>
    </row>
    <row r="685" ht="18" customHeight="1">
      <c r="A685" s="39" t="n">
        <v>680</v>
      </c>
      <c r="B685" s="33">
        <f>IF(C685="","",IF(L685="À RENSEIGNER","GIC",L685)&amp;"-E"&amp;TEXT(A685,"00000"))</f>
        <v/>
      </c>
      <c r="C685" s="32" t="n"/>
      <c r="D685" s="36" t="n"/>
      <c r="E685" s="37" t="n"/>
      <c r="F685" s="36" t="n"/>
      <c r="G685" s="44" t="n"/>
      <c r="H685" s="43" t="n"/>
      <c r="I685" s="32" t="n"/>
      <c r="J685" s="44" t="n"/>
      <c r="K685" s="36" t="n"/>
      <c r="L685" s="33">
        <f>IF(C685="","",Commercial_Id)</f>
        <v/>
      </c>
      <c r="M685" s="34">
        <f>IF(OR(C685="",F685=""),"",IF(F685&lt;&gt;"Espèces","—",IF(I685&lt;&gt;"","☑ Oui","☐ Non")))</f>
        <v/>
      </c>
      <c r="N685" s="39">
        <f>IF(D685="","",IFERROR(VALUE(MID(D685,LEN(D685)-3,3)),""))</f>
        <v/>
      </c>
      <c r="O685" s="33">
        <f>IF(N685="","",L685&amp;"|"&amp;N685)</f>
        <v/>
      </c>
      <c r="P685" s="33">
        <f>IF(N685="","",IF(L685="À RENSEIGNER","GIC",L685)&amp;"-"&amp;TEXT(N685,"000"))</f>
        <v/>
      </c>
      <c r="Q685" s="33">
        <f>IF(O685="","",IFERROR(INDEX(Cl_nom,MATCH(O685,Cl_cle,0)),"(client introuvable)"))</f>
        <v/>
      </c>
      <c r="R685" s="40">
        <f>IF(O685="","",IFERROR(INDEX(Cl_reste,MATCH(O685,Cl_cle,0)),""))</f>
        <v/>
      </c>
      <c r="S685" s="34">
        <f>IF(C685="","",YEAR(C685-WEEKDAY(C685,2)+4)&amp;"-S"&amp;TEXT(INT((C685-DATE(YEAR(C685-WEEKDAY(C685,2)+4),1,3)+WEEKDAY(DATE(YEAR(C685-WEEKDAY(C685,2)+4),1,3),2)+5)/7),"00"))</f>
        <v/>
      </c>
    </row>
    <row r="686" ht="18" customHeight="1">
      <c r="A686" s="39" t="n">
        <v>681</v>
      </c>
      <c r="B686" s="33">
        <f>IF(C686="","",IF(L686="À RENSEIGNER","GIC",L686)&amp;"-E"&amp;TEXT(A686,"00000"))</f>
        <v/>
      </c>
      <c r="C686" s="32" t="n"/>
      <c r="D686" s="36" t="n"/>
      <c r="E686" s="37" t="n"/>
      <c r="F686" s="36" t="n"/>
      <c r="G686" s="44" t="n"/>
      <c r="H686" s="43" t="n"/>
      <c r="I686" s="32" t="n"/>
      <c r="J686" s="44" t="n"/>
      <c r="K686" s="36" t="n"/>
      <c r="L686" s="33">
        <f>IF(C686="","",Commercial_Id)</f>
        <v/>
      </c>
      <c r="M686" s="34">
        <f>IF(OR(C686="",F686=""),"",IF(F686&lt;&gt;"Espèces","—",IF(I686&lt;&gt;"","☑ Oui","☐ Non")))</f>
        <v/>
      </c>
      <c r="N686" s="39">
        <f>IF(D686="","",IFERROR(VALUE(MID(D686,LEN(D686)-3,3)),""))</f>
        <v/>
      </c>
      <c r="O686" s="33">
        <f>IF(N686="","",L686&amp;"|"&amp;N686)</f>
        <v/>
      </c>
      <c r="P686" s="33">
        <f>IF(N686="","",IF(L686="À RENSEIGNER","GIC",L686)&amp;"-"&amp;TEXT(N686,"000"))</f>
        <v/>
      </c>
      <c r="Q686" s="33">
        <f>IF(O686="","",IFERROR(INDEX(Cl_nom,MATCH(O686,Cl_cle,0)),"(client introuvable)"))</f>
        <v/>
      </c>
      <c r="R686" s="40">
        <f>IF(O686="","",IFERROR(INDEX(Cl_reste,MATCH(O686,Cl_cle,0)),""))</f>
        <v/>
      </c>
      <c r="S686" s="34">
        <f>IF(C686="","",YEAR(C686-WEEKDAY(C686,2)+4)&amp;"-S"&amp;TEXT(INT((C686-DATE(YEAR(C686-WEEKDAY(C686,2)+4),1,3)+WEEKDAY(DATE(YEAR(C686-WEEKDAY(C686,2)+4),1,3),2)+5)/7),"00"))</f>
        <v/>
      </c>
    </row>
    <row r="687" ht="18" customHeight="1">
      <c r="A687" s="39" t="n">
        <v>682</v>
      </c>
      <c r="B687" s="33">
        <f>IF(C687="","",IF(L687="À RENSEIGNER","GIC",L687)&amp;"-E"&amp;TEXT(A687,"00000"))</f>
        <v/>
      </c>
      <c r="C687" s="32" t="n"/>
      <c r="D687" s="36" t="n"/>
      <c r="E687" s="37" t="n"/>
      <c r="F687" s="36" t="n"/>
      <c r="G687" s="44" t="n"/>
      <c r="H687" s="43" t="n"/>
      <c r="I687" s="32" t="n"/>
      <c r="J687" s="44" t="n"/>
      <c r="K687" s="36" t="n"/>
      <c r="L687" s="33">
        <f>IF(C687="","",Commercial_Id)</f>
        <v/>
      </c>
      <c r="M687" s="34">
        <f>IF(OR(C687="",F687=""),"",IF(F687&lt;&gt;"Espèces","—",IF(I687&lt;&gt;"","☑ Oui","☐ Non")))</f>
        <v/>
      </c>
      <c r="N687" s="39">
        <f>IF(D687="","",IFERROR(VALUE(MID(D687,LEN(D687)-3,3)),""))</f>
        <v/>
      </c>
      <c r="O687" s="33">
        <f>IF(N687="","",L687&amp;"|"&amp;N687)</f>
        <v/>
      </c>
      <c r="P687" s="33">
        <f>IF(N687="","",IF(L687="À RENSEIGNER","GIC",L687)&amp;"-"&amp;TEXT(N687,"000"))</f>
        <v/>
      </c>
      <c r="Q687" s="33">
        <f>IF(O687="","",IFERROR(INDEX(Cl_nom,MATCH(O687,Cl_cle,0)),"(client introuvable)"))</f>
        <v/>
      </c>
      <c r="R687" s="40">
        <f>IF(O687="","",IFERROR(INDEX(Cl_reste,MATCH(O687,Cl_cle,0)),""))</f>
        <v/>
      </c>
      <c r="S687" s="34">
        <f>IF(C687="","",YEAR(C687-WEEKDAY(C687,2)+4)&amp;"-S"&amp;TEXT(INT((C687-DATE(YEAR(C687-WEEKDAY(C687,2)+4),1,3)+WEEKDAY(DATE(YEAR(C687-WEEKDAY(C687,2)+4),1,3),2)+5)/7),"00"))</f>
        <v/>
      </c>
    </row>
    <row r="688" ht="18" customHeight="1">
      <c r="A688" s="39" t="n">
        <v>683</v>
      </c>
      <c r="B688" s="33">
        <f>IF(C688="","",IF(L688="À RENSEIGNER","GIC",L688)&amp;"-E"&amp;TEXT(A688,"00000"))</f>
        <v/>
      </c>
      <c r="C688" s="32" t="n"/>
      <c r="D688" s="36" t="n"/>
      <c r="E688" s="37" t="n"/>
      <c r="F688" s="36" t="n"/>
      <c r="G688" s="44" t="n"/>
      <c r="H688" s="43" t="n"/>
      <c r="I688" s="32" t="n"/>
      <c r="J688" s="44" t="n"/>
      <c r="K688" s="36" t="n"/>
      <c r="L688" s="33">
        <f>IF(C688="","",Commercial_Id)</f>
        <v/>
      </c>
      <c r="M688" s="34">
        <f>IF(OR(C688="",F688=""),"",IF(F688&lt;&gt;"Espèces","—",IF(I688&lt;&gt;"","☑ Oui","☐ Non")))</f>
        <v/>
      </c>
      <c r="N688" s="39">
        <f>IF(D688="","",IFERROR(VALUE(MID(D688,LEN(D688)-3,3)),""))</f>
        <v/>
      </c>
      <c r="O688" s="33">
        <f>IF(N688="","",L688&amp;"|"&amp;N688)</f>
        <v/>
      </c>
      <c r="P688" s="33">
        <f>IF(N688="","",IF(L688="À RENSEIGNER","GIC",L688)&amp;"-"&amp;TEXT(N688,"000"))</f>
        <v/>
      </c>
      <c r="Q688" s="33">
        <f>IF(O688="","",IFERROR(INDEX(Cl_nom,MATCH(O688,Cl_cle,0)),"(client introuvable)"))</f>
        <v/>
      </c>
      <c r="R688" s="40">
        <f>IF(O688="","",IFERROR(INDEX(Cl_reste,MATCH(O688,Cl_cle,0)),""))</f>
        <v/>
      </c>
      <c r="S688" s="34">
        <f>IF(C688="","",YEAR(C688-WEEKDAY(C688,2)+4)&amp;"-S"&amp;TEXT(INT((C688-DATE(YEAR(C688-WEEKDAY(C688,2)+4),1,3)+WEEKDAY(DATE(YEAR(C688-WEEKDAY(C688,2)+4),1,3),2)+5)/7),"00"))</f>
        <v/>
      </c>
    </row>
    <row r="689" ht="18" customHeight="1">
      <c r="A689" s="39" t="n">
        <v>684</v>
      </c>
      <c r="B689" s="33">
        <f>IF(C689="","",IF(L689="À RENSEIGNER","GIC",L689)&amp;"-E"&amp;TEXT(A689,"00000"))</f>
        <v/>
      </c>
      <c r="C689" s="32" t="n"/>
      <c r="D689" s="36" t="n"/>
      <c r="E689" s="37" t="n"/>
      <c r="F689" s="36" t="n"/>
      <c r="G689" s="44" t="n"/>
      <c r="H689" s="43" t="n"/>
      <c r="I689" s="32" t="n"/>
      <c r="J689" s="44" t="n"/>
      <c r="K689" s="36" t="n"/>
      <c r="L689" s="33">
        <f>IF(C689="","",Commercial_Id)</f>
        <v/>
      </c>
      <c r="M689" s="34">
        <f>IF(OR(C689="",F689=""),"",IF(F689&lt;&gt;"Espèces","—",IF(I689&lt;&gt;"","☑ Oui","☐ Non")))</f>
        <v/>
      </c>
      <c r="N689" s="39">
        <f>IF(D689="","",IFERROR(VALUE(MID(D689,LEN(D689)-3,3)),""))</f>
        <v/>
      </c>
      <c r="O689" s="33">
        <f>IF(N689="","",L689&amp;"|"&amp;N689)</f>
        <v/>
      </c>
      <c r="P689" s="33">
        <f>IF(N689="","",IF(L689="À RENSEIGNER","GIC",L689)&amp;"-"&amp;TEXT(N689,"000"))</f>
        <v/>
      </c>
      <c r="Q689" s="33">
        <f>IF(O689="","",IFERROR(INDEX(Cl_nom,MATCH(O689,Cl_cle,0)),"(client introuvable)"))</f>
        <v/>
      </c>
      <c r="R689" s="40">
        <f>IF(O689="","",IFERROR(INDEX(Cl_reste,MATCH(O689,Cl_cle,0)),""))</f>
        <v/>
      </c>
      <c r="S689" s="34">
        <f>IF(C689="","",YEAR(C689-WEEKDAY(C689,2)+4)&amp;"-S"&amp;TEXT(INT((C689-DATE(YEAR(C689-WEEKDAY(C689,2)+4),1,3)+WEEKDAY(DATE(YEAR(C689-WEEKDAY(C689,2)+4),1,3),2)+5)/7),"00"))</f>
        <v/>
      </c>
    </row>
    <row r="690" ht="18" customHeight="1">
      <c r="A690" s="39" t="n">
        <v>685</v>
      </c>
      <c r="B690" s="33">
        <f>IF(C690="","",IF(L690="À RENSEIGNER","GIC",L690)&amp;"-E"&amp;TEXT(A690,"00000"))</f>
        <v/>
      </c>
      <c r="C690" s="32" t="n"/>
      <c r="D690" s="36" t="n"/>
      <c r="E690" s="37" t="n"/>
      <c r="F690" s="36" t="n"/>
      <c r="G690" s="44" t="n"/>
      <c r="H690" s="43" t="n"/>
      <c r="I690" s="32" t="n"/>
      <c r="J690" s="44" t="n"/>
      <c r="K690" s="36" t="n"/>
      <c r="L690" s="33">
        <f>IF(C690="","",Commercial_Id)</f>
        <v/>
      </c>
      <c r="M690" s="34">
        <f>IF(OR(C690="",F690=""),"",IF(F690&lt;&gt;"Espèces","—",IF(I690&lt;&gt;"","☑ Oui","☐ Non")))</f>
        <v/>
      </c>
      <c r="N690" s="39">
        <f>IF(D690="","",IFERROR(VALUE(MID(D690,LEN(D690)-3,3)),""))</f>
        <v/>
      </c>
      <c r="O690" s="33">
        <f>IF(N690="","",L690&amp;"|"&amp;N690)</f>
        <v/>
      </c>
      <c r="P690" s="33">
        <f>IF(N690="","",IF(L690="À RENSEIGNER","GIC",L690)&amp;"-"&amp;TEXT(N690,"000"))</f>
        <v/>
      </c>
      <c r="Q690" s="33">
        <f>IF(O690="","",IFERROR(INDEX(Cl_nom,MATCH(O690,Cl_cle,0)),"(client introuvable)"))</f>
        <v/>
      </c>
      <c r="R690" s="40">
        <f>IF(O690="","",IFERROR(INDEX(Cl_reste,MATCH(O690,Cl_cle,0)),""))</f>
        <v/>
      </c>
      <c r="S690" s="34">
        <f>IF(C690="","",YEAR(C690-WEEKDAY(C690,2)+4)&amp;"-S"&amp;TEXT(INT((C690-DATE(YEAR(C690-WEEKDAY(C690,2)+4),1,3)+WEEKDAY(DATE(YEAR(C690-WEEKDAY(C690,2)+4),1,3),2)+5)/7),"00"))</f>
        <v/>
      </c>
    </row>
    <row r="691" ht="18" customHeight="1">
      <c r="A691" s="39" t="n">
        <v>686</v>
      </c>
      <c r="B691" s="33">
        <f>IF(C691="","",IF(L691="À RENSEIGNER","GIC",L691)&amp;"-E"&amp;TEXT(A691,"00000"))</f>
        <v/>
      </c>
      <c r="C691" s="32" t="n"/>
      <c r="D691" s="36" t="n"/>
      <c r="E691" s="37" t="n"/>
      <c r="F691" s="36" t="n"/>
      <c r="G691" s="44" t="n"/>
      <c r="H691" s="43" t="n"/>
      <c r="I691" s="32" t="n"/>
      <c r="J691" s="44" t="n"/>
      <c r="K691" s="36" t="n"/>
      <c r="L691" s="33">
        <f>IF(C691="","",Commercial_Id)</f>
        <v/>
      </c>
      <c r="M691" s="34">
        <f>IF(OR(C691="",F691=""),"",IF(F691&lt;&gt;"Espèces","—",IF(I691&lt;&gt;"","☑ Oui","☐ Non")))</f>
        <v/>
      </c>
      <c r="N691" s="39">
        <f>IF(D691="","",IFERROR(VALUE(MID(D691,LEN(D691)-3,3)),""))</f>
        <v/>
      </c>
      <c r="O691" s="33">
        <f>IF(N691="","",L691&amp;"|"&amp;N691)</f>
        <v/>
      </c>
      <c r="P691" s="33">
        <f>IF(N691="","",IF(L691="À RENSEIGNER","GIC",L691)&amp;"-"&amp;TEXT(N691,"000"))</f>
        <v/>
      </c>
      <c r="Q691" s="33">
        <f>IF(O691="","",IFERROR(INDEX(Cl_nom,MATCH(O691,Cl_cle,0)),"(client introuvable)"))</f>
        <v/>
      </c>
      <c r="R691" s="40">
        <f>IF(O691="","",IFERROR(INDEX(Cl_reste,MATCH(O691,Cl_cle,0)),""))</f>
        <v/>
      </c>
      <c r="S691" s="34">
        <f>IF(C691="","",YEAR(C691-WEEKDAY(C691,2)+4)&amp;"-S"&amp;TEXT(INT((C691-DATE(YEAR(C691-WEEKDAY(C691,2)+4),1,3)+WEEKDAY(DATE(YEAR(C691-WEEKDAY(C691,2)+4),1,3),2)+5)/7),"00"))</f>
        <v/>
      </c>
    </row>
    <row r="692" ht="18" customHeight="1">
      <c r="A692" s="39" t="n">
        <v>687</v>
      </c>
      <c r="B692" s="33">
        <f>IF(C692="","",IF(L692="À RENSEIGNER","GIC",L692)&amp;"-E"&amp;TEXT(A692,"00000"))</f>
        <v/>
      </c>
      <c r="C692" s="32" t="n"/>
      <c r="D692" s="36" t="n"/>
      <c r="E692" s="37" t="n"/>
      <c r="F692" s="36" t="n"/>
      <c r="G692" s="44" t="n"/>
      <c r="H692" s="43" t="n"/>
      <c r="I692" s="32" t="n"/>
      <c r="J692" s="44" t="n"/>
      <c r="K692" s="36" t="n"/>
      <c r="L692" s="33">
        <f>IF(C692="","",Commercial_Id)</f>
        <v/>
      </c>
      <c r="M692" s="34">
        <f>IF(OR(C692="",F692=""),"",IF(F692&lt;&gt;"Espèces","—",IF(I692&lt;&gt;"","☑ Oui","☐ Non")))</f>
        <v/>
      </c>
      <c r="N692" s="39">
        <f>IF(D692="","",IFERROR(VALUE(MID(D692,LEN(D692)-3,3)),""))</f>
        <v/>
      </c>
      <c r="O692" s="33">
        <f>IF(N692="","",L692&amp;"|"&amp;N692)</f>
        <v/>
      </c>
      <c r="P692" s="33">
        <f>IF(N692="","",IF(L692="À RENSEIGNER","GIC",L692)&amp;"-"&amp;TEXT(N692,"000"))</f>
        <v/>
      </c>
      <c r="Q692" s="33">
        <f>IF(O692="","",IFERROR(INDEX(Cl_nom,MATCH(O692,Cl_cle,0)),"(client introuvable)"))</f>
        <v/>
      </c>
      <c r="R692" s="40">
        <f>IF(O692="","",IFERROR(INDEX(Cl_reste,MATCH(O692,Cl_cle,0)),""))</f>
        <v/>
      </c>
      <c r="S692" s="34">
        <f>IF(C692="","",YEAR(C692-WEEKDAY(C692,2)+4)&amp;"-S"&amp;TEXT(INT((C692-DATE(YEAR(C692-WEEKDAY(C692,2)+4),1,3)+WEEKDAY(DATE(YEAR(C692-WEEKDAY(C692,2)+4),1,3),2)+5)/7),"00"))</f>
        <v/>
      </c>
    </row>
    <row r="693" ht="18" customHeight="1">
      <c r="A693" s="39" t="n">
        <v>688</v>
      </c>
      <c r="B693" s="33">
        <f>IF(C693="","",IF(L693="À RENSEIGNER","GIC",L693)&amp;"-E"&amp;TEXT(A693,"00000"))</f>
        <v/>
      </c>
      <c r="C693" s="32" t="n"/>
      <c r="D693" s="36" t="n"/>
      <c r="E693" s="37" t="n"/>
      <c r="F693" s="36" t="n"/>
      <c r="G693" s="44" t="n"/>
      <c r="H693" s="43" t="n"/>
      <c r="I693" s="32" t="n"/>
      <c r="J693" s="44" t="n"/>
      <c r="K693" s="36" t="n"/>
      <c r="L693" s="33">
        <f>IF(C693="","",Commercial_Id)</f>
        <v/>
      </c>
      <c r="M693" s="34">
        <f>IF(OR(C693="",F693=""),"",IF(F693&lt;&gt;"Espèces","—",IF(I693&lt;&gt;"","☑ Oui","☐ Non")))</f>
        <v/>
      </c>
      <c r="N693" s="39">
        <f>IF(D693="","",IFERROR(VALUE(MID(D693,LEN(D693)-3,3)),""))</f>
        <v/>
      </c>
      <c r="O693" s="33">
        <f>IF(N693="","",L693&amp;"|"&amp;N693)</f>
        <v/>
      </c>
      <c r="P693" s="33">
        <f>IF(N693="","",IF(L693="À RENSEIGNER","GIC",L693)&amp;"-"&amp;TEXT(N693,"000"))</f>
        <v/>
      </c>
      <c r="Q693" s="33">
        <f>IF(O693="","",IFERROR(INDEX(Cl_nom,MATCH(O693,Cl_cle,0)),"(client introuvable)"))</f>
        <v/>
      </c>
      <c r="R693" s="40">
        <f>IF(O693="","",IFERROR(INDEX(Cl_reste,MATCH(O693,Cl_cle,0)),""))</f>
        <v/>
      </c>
      <c r="S693" s="34">
        <f>IF(C693="","",YEAR(C693-WEEKDAY(C693,2)+4)&amp;"-S"&amp;TEXT(INT((C693-DATE(YEAR(C693-WEEKDAY(C693,2)+4),1,3)+WEEKDAY(DATE(YEAR(C693-WEEKDAY(C693,2)+4),1,3),2)+5)/7),"00"))</f>
        <v/>
      </c>
    </row>
    <row r="694" ht="18" customHeight="1">
      <c r="A694" s="39" t="n">
        <v>689</v>
      </c>
      <c r="B694" s="33">
        <f>IF(C694="","",IF(L694="À RENSEIGNER","GIC",L694)&amp;"-E"&amp;TEXT(A694,"00000"))</f>
        <v/>
      </c>
      <c r="C694" s="32" t="n"/>
      <c r="D694" s="36" t="n"/>
      <c r="E694" s="37" t="n"/>
      <c r="F694" s="36" t="n"/>
      <c r="G694" s="44" t="n"/>
      <c r="H694" s="43" t="n"/>
      <c r="I694" s="32" t="n"/>
      <c r="J694" s="44" t="n"/>
      <c r="K694" s="36" t="n"/>
      <c r="L694" s="33">
        <f>IF(C694="","",Commercial_Id)</f>
        <v/>
      </c>
      <c r="M694" s="34">
        <f>IF(OR(C694="",F694=""),"",IF(F694&lt;&gt;"Espèces","—",IF(I694&lt;&gt;"","☑ Oui","☐ Non")))</f>
        <v/>
      </c>
      <c r="N694" s="39">
        <f>IF(D694="","",IFERROR(VALUE(MID(D694,LEN(D694)-3,3)),""))</f>
        <v/>
      </c>
      <c r="O694" s="33">
        <f>IF(N694="","",L694&amp;"|"&amp;N694)</f>
        <v/>
      </c>
      <c r="P694" s="33">
        <f>IF(N694="","",IF(L694="À RENSEIGNER","GIC",L694)&amp;"-"&amp;TEXT(N694,"000"))</f>
        <v/>
      </c>
      <c r="Q694" s="33">
        <f>IF(O694="","",IFERROR(INDEX(Cl_nom,MATCH(O694,Cl_cle,0)),"(client introuvable)"))</f>
        <v/>
      </c>
      <c r="R694" s="40">
        <f>IF(O694="","",IFERROR(INDEX(Cl_reste,MATCH(O694,Cl_cle,0)),""))</f>
        <v/>
      </c>
      <c r="S694" s="34">
        <f>IF(C694="","",YEAR(C694-WEEKDAY(C694,2)+4)&amp;"-S"&amp;TEXT(INT((C694-DATE(YEAR(C694-WEEKDAY(C694,2)+4),1,3)+WEEKDAY(DATE(YEAR(C694-WEEKDAY(C694,2)+4),1,3),2)+5)/7),"00"))</f>
        <v/>
      </c>
    </row>
    <row r="695" ht="18" customHeight="1">
      <c r="A695" s="39" t="n">
        <v>690</v>
      </c>
      <c r="B695" s="33">
        <f>IF(C695="","",IF(L695="À RENSEIGNER","GIC",L695)&amp;"-E"&amp;TEXT(A695,"00000"))</f>
        <v/>
      </c>
      <c r="C695" s="32" t="n"/>
      <c r="D695" s="36" t="n"/>
      <c r="E695" s="37" t="n"/>
      <c r="F695" s="36" t="n"/>
      <c r="G695" s="44" t="n"/>
      <c r="H695" s="43" t="n"/>
      <c r="I695" s="32" t="n"/>
      <c r="J695" s="44" t="n"/>
      <c r="K695" s="36" t="n"/>
      <c r="L695" s="33">
        <f>IF(C695="","",Commercial_Id)</f>
        <v/>
      </c>
      <c r="M695" s="34">
        <f>IF(OR(C695="",F695=""),"",IF(F695&lt;&gt;"Espèces","—",IF(I695&lt;&gt;"","☑ Oui","☐ Non")))</f>
        <v/>
      </c>
      <c r="N695" s="39">
        <f>IF(D695="","",IFERROR(VALUE(MID(D695,LEN(D695)-3,3)),""))</f>
        <v/>
      </c>
      <c r="O695" s="33">
        <f>IF(N695="","",L695&amp;"|"&amp;N695)</f>
        <v/>
      </c>
      <c r="P695" s="33">
        <f>IF(N695="","",IF(L695="À RENSEIGNER","GIC",L695)&amp;"-"&amp;TEXT(N695,"000"))</f>
        <v/>
      </c>
      <c r="Q695" s="33">
        <f>IF(O695="","",IFERROR(INDEX(Cl_nom,MATCH(O695,Cl_cle,0)),"(client introuvable)"))</f>
        <v/>
      </c>
      <c r="R695" s="40">
        <f>IF(O695="","",IFERROR(INDEX(Cl_reste,MATCH(O695,Cl_cle,0)),""))</f>
        <v/>
      </c>
      <c r="S695" s="34">
        <f>IF(C695="","",YEAR(C695-WEEKDAY(C695,2)+4)&amp;"-S"&amp;TEXT(INT((C695-DATE(YEAR(C695-WEEKDAY(C695,2)+4),1,3)+WEEKDAY(DATE(YEAR(C695-WEEKDAY(C695,2)+4),1,3),2)+5)/7),"00"))</f>
        <v/>
      </c>
    </row>
    <row r="696" ht="18" customHeight="1">
      <c r="A696" s="39" t="n">
        <v>691</v>
      </c>
      <c r="B696" s="33">
        <f>IF(C696="","",IF(L696="À RENSEIGNER","GIC",L696)&amp;"-E"&amp;TEXT(A696,"00000"))</f>
        <v/>
      </c>
      <c r="C696" s="32" t="n"/>
      <c r="D696" s="36" t="n"/>
      <c r="E696" s="37" t="n"/>
      <c r="F696" s="36" t="n"/>
      <c r="G696" s="44" t="n"/>
      <c r="H696" s="43" t="n"/>
      <c r="I696" s="32" t="n"/>
      <c r="J696" s="44" t="n"/>
      <c r="K696" s="36" t="n"/>
      <c r="L696" s="33">
        <f>IF(C696="","",Commercial_Id)</f>
        <v/>
      </c>
      <c r="M696" s="34">
        <f>IF(OR(C696="",F696=""),"",IF(F696&lt;&gt;"Espèces","—",IF(I696&lt;&gt;"","☑ Oui","☐ Non")))</f>
        <v/>
      </c>
      <c r="N696" s="39">
        <f>IF(D696="","",IFERROR(VALUE(MID(D696,LEN(D696)-3,3)),""))</f>
        <v/>
      </c>
      <c r="O696" s="33">
        <f>IF(N696="","",L696&amp;"|"&amp;N696)</f>
        <v/>
      </c>
      <c r="P696" s="33">
        <f>IF(N696="","",IF(L696="À RENSEIGNER","GIC",L696)&amp;"-"&amp;TEXT(N696,"000"))</f>
        <v/>
      </c>
      <c r="Q696" s="33">
        <f>IF(O696="","",IFERROR(INDEX(Cl_nom,MATCH(O696,Cl_cle,0)),"(client introuvable)"))</f>
        <v/>
      </c>
      <c r="R696" s="40">
        <f>IF(O696="","",IFERROR(INDEX(Cl_reste,MATCH(O696,Cl_cle,0)),""))</f>
        <v/>
      </c>
      <c r="S696" s="34">
        <f>IF(C696="","",YEAR(C696-WEEKDAY(C696,2)+4)&amp;"-S"&amp;TEXT(INT((C696-DATE(YEAR(C696-WEEKDAY(C696,2)+4),1,3)+WEEKDAY(DATE(YEAR(C696-WEEKDAY(C696,2)+4),1,3),2)+5)/7),"00"))</f>
        <v/>
      </c>
    </row>
    <row r="697" ht="18" customHeight="1">
      <c r="A697" s="39" t="n">
        <v>692</v>
      </c>
      <c r="B697" s="33">
        <f>IF(C697="","",IF(L697="À RENSEIGNER","GIC",L697)&amp;"-E"&amp;TEXT(A697,"00000"))</f>
        <v/>
      </c>
      <c r="C697" s="32" t="n"/>
      <c r="D697" s="36" t="n"/>
      <c r="E697" s="37" t="n"/>
      <c r="F697" s="36" t="n"/>
      <c r="G697" s="44" t="n"/>
      <c r="H697" s="43" t="n"/>
      <c r="I697" s="32" t="n"/>
      <c r="J697" s="44" t="n"/>
      <c r="K697" s="36" t="n"/>
      <c r="L697" s="33">
        <f>IF(C697="","",Commercial_Id)</f>
        <v/>
      </c>
      <c r="M697" s="34">
        <f>IF(OR(C697="",F697=""),"",IF(F697&lt;&gt;"Espèces","—",IF(I697&lt;&gt;"","☑ Oui","☐ Non")))</f>
        <v/>
      </c>
      <c r="N697" s="39">
        <f>IF(D697="","",IFERROR(VALUE(MID(D697,LEN(D697)-3,3)),""))</f>
        <v/>
      </c>
      <c r="O697" s="33">
        <f>IF(N697="","",L697&amp;"|"&amp;N697)</f>
        <v/>
      </c>
      <c r="P697" s="33">
        <f>IF(N697="","",IF(L697="À RENSEIGNER","GIC",L697)&amp;"-"&amp;TEXT(N697,"000"))</f>
        <v/>
      </c>
      <c r="Q697" s="33">
        <f>IF(O697="","",IFERROR(INDEX(Cl_nom,MATCH(O697,Cl_cle,0)),"(client introuvable)"))</f>
        <v/>
      </c>
      <c r="R697" s="40">
        <f>IF(O697="","",IFERROR(INDEX(Cl_reste,MATCH(O697,Cl_cle,0)),""))</f>
        <v/>
      </c>
      <c r="S697" s="34">
        <f>IF(C697="","",YEAR(C697-WEEKDAY(C697,2)+4)&amp;"-S"&amp;TEXT(INT((C697-DATE(YEAR(C697-WEEKDAY(C697,2)+4),1,3)+WEEKDAY(DATE(YEAR(C697-WEEKDAY(C697,2)+4),1,3),2)+5)/7),"00"))</f>
        <v/>
      </c>
    </row>
    <row r="698" ht="18" customHeight="1">
      <c r="A698" s="39" t="n">
        <v>693</v>
      </c>
      <c r="B698" s="33">
        <f>IF(C698="","",IF(L698="À RENSEIGNER","GIC",L698)&amp;"-E"&amp;TEXT(A698,"00000"))</f>
        <v/>
      </c>
      <c r="C698" s="32" t="n"/>
      <c r="D698" s="36" t="n"/>
      <c r="E698" s="37" t="n"/>
      <c r="F698" s="36" t="n"/>
      <c r="G698" s="44" t="n"/>
      <c r="H698" s="43" t="n"/>
      <c r="I698" s="32" t="n"/>
      <c r="J698" s="44" t="n"/>
      <c r="K698" s="36" t="n"/>
      <c r="L698" s="33">
        <f>IF(C698="","",Commercial_Id)</f>
        <v/>
      </c>
      <c r="M698" s="34">
        <f>IF(OR(C698="",F698=""),"",IF(F698&lt;&gt;"Espèces","—",IF(I698&lt;&gt;"","☑ Oui","☐ Non")))</f>
        <v/>
      </c>
      <c r="N698" s="39">
        <f>IF(D698="","",IFERROR(VALUE(MID(D698,LEN(D698)-3,3)),""))</f>
        <v/>
      </c>
      <c r="O698" s="33">
        <f>IF(N698="","",L698&amp;"|"&amp;N698)</f>
        <v/>
      </c>
      <c r="P698" s="33">
        <f>IF(N698="","",IF(L698="À RENSEIGNER","GIC",L698)&amp;"-"&amp;TEXT(N698,"000"))</f>
        <v/>
      </c>
      <c r="Q698" s="33">
        <f>IF(O698="","",IFERROR(INDEX(Cl_nom,MATCH(O698,Cl_cle,0)),"(client introuvable)"))</f>
        <v/>
      </c>
      <c r="R698" s="40">
        <f>IF(O698="","",IFERROR(INDEX(Cl_reste,MATCH(O698,Cl_cle,0)),""))</f>
        <v/>
      </c>
      <c r="S698" s="34">
        <f>IF(C698="","",YEAR(C698-WEEKDAY(C698,2)+4)&amp;"-S"&amp;TEXT(INT((C698-DATE(YEAR(C698-WEEKDAY(C698,2)+4),1,3)+WEEKDAY(DATE(YEAR(C698-WEEKDAY(C698,2)+4),1,3),2)+5)/7),"00"))</f>
        <v/>
      </c>
    </row>
    <row r="699" ht="18" customHeight="1">
      <c r="A699" s="39" t="n">
        <v>694</v>
      </c>
      <c r="B699" s="33">
        <f>IF(C699="","",IF(L699="À RENSEIGNER","GIC",L699)&amp;"-E"&amp;TEXT(A699,"00000"))</f>
        <v/>
      </c>
      <c r="C699" s="32" t="n"/>
      <c r="D699" s="36" t="n"/>
      <c r="E699" s="37" t="n"/>
      <c r="F699" s="36" t="n"/>
      <c r="G699" s="44" t="n"/>
      <c r="H699" s="43" t="n"/>
      <c r="I699" s="32" t="n"/>
      <c r="J699" s="44" t="n"/>
      <c r="K699" s="36" t="n"/>
      <c r="L699" s="33">
        <f>IF(C699="","",Commercial_Id)</f>
        <v/>
      </c>
      <c r="M699" s="34">
        <f>IF(OR(C699="",F699=""),"",IF(F699&lt;&gt;"Espèces","—",IF(I699&lt;&gt;"","☑ Oui","☐ Non")))</f>
        <v/>
      </c>
      <c r="N699" s="39">
        <f>IF(D699="","",IFERROR(VALUE(MID(D699,LEN(D699)-3,3)),""))</f>
        <v/>
      </c>
      <c r="O699" s="33">
        <f>IF(N699="","",L699&amp;"|"&amp;N699)</f>
        <v/>
      </c>
      <c r="P699" s="33">
        <f>IF(N699="","",IF(L699="À RENSEIGNER","GIC",L699)&amp;"-"&amp;TEXT(N699,"000"))</f>
        <v/>
      </c>
      <c r="Q699" s="33">
        <f>IF(O699="","",IFERROR(INDEX(Cl_nom,MATCH(O699,Cl_cle,0)),"(client introuvable)"))</f>
        <v/>
      </c>
      <c r="R699" s="40">
        <f>IF(O699="","",IFERROR(INDEX(Cl_reste,MATCH(O699,Cl_cle,0)),""))</f>
        <v/>
      </c>
      <c r="S699" s="34">
        <f>IF(C699="","",YEAR(C699-WEEKDAY(C699,2)+4)&amp;"-S"&amp;TEXT(INT((C699-DATE(YEAR(C699-WEEKDAY(C699,2)+4),1,3)+WEEKDAY(DATE(YEAR(C699-WEEKDAY(C699,2)+4),1,3),2)+5)/7),"00"))</f>
        <v/>
      </c>
    </row>
    <row r="700" ht="18" customHeight="1">
      <c r="A700" s="39" t="n">
        <v>695</v>
      </c>
      <c r="B700" s="33">
        <f>IF(C700="","",IF(L700="À RENSEIGNER","GIC",L700)&amp;"-E"&amp;TEXT(A700,"00000"))</f>
        <v/>
      </c>
      <c r="C700" s="32" t="n"/>
      <c r="D700" s="36" t="n"/>
      <c r="E700" s="37" t="n"/>
      <c r="F700" s="36" t="n"/>
      <c r="G700" s="44" t="n"/>
      <c r="H700" s="43" t="n"/>
      <c r="I700" s="32" t="n"/>
      <c r="J700" s="44" t="n"/>
      <c r="K700" s="36" t="n"/>
      <c r="L700" s="33">
        <f>IF(C700="","",Commercial_Id)</f>
        <v/>
      </c>
      <c r="M700" s="34">
        <f>IF(OR(C700="",F700=""),"",IF(F700&lt;&gt;"Espèces","—",IF(I700&lt;&gt;"","☑ Oui","☐ Non")))</f>
        <v/>
      </c>
      <c r="N700" s="39">
        <f>IF(D700="","",IFERROR(VALUE(MID(D700,LEN(D700)-3,3)),""))</f>
        <v/>
      </c>
      <c r="O700" s="33">
        <f>IF(N700="","",L700&amp;"|"&amp;N700)</f>
        <v/>
      </c>
      <c r="P700" s="33">
        <f>IF(N700="","",IF(L700="À RENSEIGNER","GIC",L700)&amp;"-"&amp;TEXT(N700,"000"))</f>
        <v/>
      </c>
      <c r="Q700" s="33">
        <f>IF(O700="","",IFERROR(INDEX(Cl_nom,MATCH(O700,Cl_cle,0)),"(client introuvable)"))</f>
        <v/>
      </c>
      <c r="R700" s="40">
        <f>IF(O700="","",IFERROR(INDEX(Cl_reste,MATCH(O700,Cl_cle,0)),""))</f>
        <v/>
      </c>
      <c r="S700" s="34">
        <f>IF(C700="","",YEAR(C700-WEEKDAY(C700,2)+4)&amp;"-S"&amp;TEXT(INT((C700-DATE(YEAR(C700-WEEKDAY(C700,2)+4),1,3)+WEEKDAY(DATE(YEAR(C700-WEEKDAY(C700,2)+4),1,3),2)+5)/7),"00"))</f>
        <v/>
      </c>
    </row>
    <row r="701" ht="18" customHeight="1">
      <c r="A701" s="39" t="n">
        <v>696</v>
      </c>
      <c r="B701" s="33">
        <f>IF(C701="","",IF(L701="À RENSEIGNER","GIC",L701)&amp;"-E"&amp;TEXT(A701,"00000"))</f>
        <v/>
      </c>
      <c r="C701" s="32" t="n"/>
      <c r="D701" s="36" t="n"/>
      <c r="E701" s="37" t="n"/>
      <c r="F701" s="36" t="n"/>
      <c r="G701" s="44" t="n"/>
      <c r="H701" s="43" t="n"/>
      <c r="I701" s="32" t="n"/>
      <c r="J701" s="44" t="n"/>
      <c r="K701" s="36" t="n"/>
      <c r="L701" s="33">
        <f>IF(C701="","",Commercial_Id)</f>
        <v/>
      </c>
      <c r="M701" s="34">
        <f>IF(OR(C701="",F701=""),"",IF(F701&lt;&gt;"Espèces","—",IF(I701&lt;&gt;"","☑ Oui","☐ Non")))</f>
        <v/>
      </c>
      <c r="N701" s="39">
        <f>IF(D701="","",IFERROR(VALUE(MID(D701,LEN(D701)-3,3)),""))</f>
        <v/>
      </c>
      <c r="O701" s="33">
        <f>IF(N701="","",L701&amp;"|"&amp;N701)</f>
        <v/>
      </c>
      <c r="P701" s="33">
        <f>IF(N701="","",IF(L701="À RENSEIGNER","GIC",L701)&amp;"-"&amp;TEXT(N701,"000"))</f>
        <v/>
      </c>
      <c r="Q701" s="33">
        <f>IF(O701="","",IFERROR(INDEX(Cl_nom,MATCH(O701,Cl_cle,0)),"(client introuvable)"))</f>
        <v/>
      </c>
      <c r="R701" s="40">
        <f>IF(O701="","",IFERROR(INDEX(Cl_reste,MATCH(O701,Cl_cle,0)),""))</f>
        <v/>
      </c>
      <c r="S701" s="34">
        <f>IF(C701="","",YEAR(C701-WEEKDAY(C701,2)+4)&amp;"-S"&amp;TEXT(INT((C701-DATE(YEAR(C701-WEEKDAY(C701,2)+4),1,3)+WEEKDAY(DATE(YEAR(C701-WEEKDAY(C701,2)+4),1,3),2)+5)/7),"00"))</f>
        <v/>
      </c>
    </row>
    <row r="702" ht="18" customHeight="1">
      <c r="A702" s="39" t="n">
        <v>697</v>
      </c>
      <c r="B702" s="33">
        <f>IF(C702="","",IF(L702="À RENSEIGNER","GIC",L702)&amp;"-E"&amp;TEXT(A702,"00000"))</f>
        <v/>
      </c>
      <c r="C702" s="32" t="n"/>
      <c r="D702" s="36" t="n"/>
      <c r="E702" s="37" t="n"/>
      <c r="F702" s="36" t="n"/>
      <c r="G702" s="44" t="n"/>
      <c r="H702" s="43" t="n"/>
      <c r="I702" s="32" t="n"/>
      <c r="J702" s="44" t="n"/>
      <c r="K702" s="36" t="n"/>
      <c r="L702" s="33">
        <f>IF(C702="","",Commercial_Id)</f>
        <v/>
      </c>
      <c r="M702" s="34">
        <f>IF(OR(C702="",F702=""),"",IF(F702&lt;&gt;"Espèces","—",IF(I702&lt;&gt;"","☑ Oui","☐ Non")))</f>
        <v/>
      </c>
      <c r="N702" s="39">
        <f>IF(D702="","",IFERROR(VALUE(MID(D702,LEN(D702)-3,3)),""))</f>
        <v/>
      </c>
      <c r="O702" s="33">
        <f>IF(N702="","",L702&amp;"|"&amp;N702)</f>
        <v/>
      </c>
      <c r="P702" s="33">
        <f>IF(N702="","",IF(L702="À RENSEIGNER","GIC",L702)&amp;"-"&amp;TEXT(N702,"000"))</f>
        <v/>
      </c>
      <c r="Q702" s="33">
        <f>IF(O702="","",IFERROR(INDEX(Cl_nom,MATCH(O702,Cl_cle,0)),"(client introuvable)"))</f>
        <v/>
      </c>
      <c r="R702" s="40">
        <f>IF(O702="","",IFERROR(INDEX(Cl_reste,MATCH(O702,Cl_cle,0)),""))</f>
        <v/>
      </c>
      <c r="S702" s="34">
        <f>IF(C702="","",YEAR(C702-WEEKDAY(C702,2)+4)&amp;"-S"&amp;TEXT(INT((C702-DATE(YEAR(C702-WEEKDAY(C702,2)+4),1,3)+WEEKDAY(DATE(YEAR(C702-WEEKDAY(C702,2)+4),1,3),2)+5)/7),"00"))</f>
        <v/>
      </c>
    </row>
    <row r="703" ht="18" customHeight="1">
      <c r="A703" s="39" t="n">
        <v>698</v>
      </c>
      <c r="B703" s="33">
        <f>IF(C703="","",IF(L703="À RENSEIGNER","GIC",L703)&amp;"-E"&amp;TEXT(A703,"00000"))</f>
        <v/>
      </c>
      <c r="C703" s="32" t="n"/>
      <c r="D703" s="36" t="n"/>
      <c r="E703" s="37" t="n"/>
      <c r="F703" s="36" t="n"/>
      <c r="G703" s="44" t="n"/>
      <c r="H703" s="43" t="n"/>
      <c r="I703" s="32" t="n"/>
      <c r="J703" s="44" t="n"/>
      <c r="K703" s="36" t="n"/>
      <c r="L703" s="33">
        <f>IF(C703="","",Commercial_Id)</f>
        <v/>
      </c>
      <c r="M703" s="34">
        <f>IF(OR(C703="",F703=""),"",IF(F703&lt;&gt;"Espèces","—",IF(I703&lt;&gt;"","☑ Oui","☐ Non")))</f>
        <v/>
      </c>
      <c r="N703" s="39">
        <f>IF(D703="","",IFERROR(VALUE(MID(D703,LEN(D703)-3,3)),""))</f>
        <v/>
      </c>
      <c r="O703" s="33">
        <f>IF(N703="","",L703&amp;"|"&amp;N703)</f>
        <v/>
      </c>
      <c r="P703" s="33">
        <f>IF(N703="","",IF(L703="À RENSEIGNER","GIC",L703)&amp;"-"&amp;TEXT(N703,"000"))</f>
        <v/>
      </c>
      <c r="Q703" s="33">
        <f>IF(O703="","",IFERROR(INDEX(Cl_nom,MATCH(O703,Cl_cle,0)),"(client introuvable)"))</f>
        <v/>
      </c>
      <c r="R703" s="40">
        <f>IF(O703="","",IFERROR(INDEX(Cl_reste,MATCH(O703,Cl_cle,0)),""))</f>
        <v/>
      </c>
      <c r="S703" s="34">
        <f>IF(C703="","",YEAR(C703-WEEKDAY(C703,2)+4)&amp;"-S"&amp;TEXT(INT((C703-DATE(YEAR(C703-WEEKDAY(C703,2)+4),1,3)+WEEKDAY(DATE(YEAR(C703-WEEKDAY(C703,2)+4),1,3),2)+5)/7),"00"))</f>
        <v/>
      </c>
    </row>
    <row r="704" ht="18" customHeight="1">
      <c r="A704" s="39" t="n">
        <v>699</v>
      </c>
      <c r="B704" s="33">
        <f>IF(C704="","",IF(L704="À RENSEIGNER","GIC",L704)&amp;"-E"&amp;TEXT(A704,"00000"))</f>
        <v/>
      </c>
      <c r="C704" s="32" t="n"/>
      <c r="D704" s="36" t="n"/>
      <c r="E704" s="37" t="n"/>
      <c r="F704" s="36" t="n"/>
      <c r="G704" s="44" t="n"/>
      <c r="H704" s="43" t="n"/>
      <c r="I704" s="32" t="n"/>
      <c r="J704" s="44" t="n"/>
      <c r="K704" s="36" t="n"/>
      <c r="L704" s="33">
        <f>IF(C704="","",Commercial_Id)</f>
        <v/>
      </c>
      <c r="M704" s="34">
        <f>IF(OR(C704="",F704=""),"",IF(F704&lt;&gt;"Espèces","—",IF(I704&lt;&gt;"","☑ Oui","☐ Non")))</f>
        <v/>
      </c>
      <c r="N704" s="39">
        <f>IF(D704="","",IFERROR(VALUE(MID(D704,LEN(D704)-3,3)),""))</f>
        <v/>
      </c>
      <c r="O704" s="33">
        <f>IF(N704="","",L704&amp;"|"&amp;N704)</f>
        <v/>
      </c>
      <c r="P704" s="33">
        <f>IF(N704="","",IF(L704="À RENSEIGNER","GIC",L704)&amp;"-"&amp;TEXT(N704,"000"))</f>
        <v/>
      </c>
      <c r="Q704" s="33">
        <f>IF(O704="","",IFERROR(INDEX(Cl_nom,MATCH(O704,Cl_cle,0)),"(client introuvable)"))</f>
        <v/>
      </c>
      <c r="R704" s="40">
        <f>IF(O704="","",IFERROR(INDEX(Cl_reste,MATCH(O704,Cl_cle,0)),""))</f>
        <v/>
      </c>
      <c r="S704" s="34">
        <f>IF(C704="","",YEAR(C704-WEEKDAY(C704,2)+4)&amp;"-S"&amp;TEXT(INT((C704-DATE(YEAR(C704-WEEKDAY(C704,2)+4),1,3)+WEEKDAY(DATE(YEAR(C704-WEEKDAY(C704,2)+4),1,3),2)+5)/7),"00"))</f>
        <v/>
      </c>
    </row>
    <row r="705" ht="18" customHeight="1">
      <c r="A705" s="39" t="n">
        <v>700</v>
      </c>
      <c r="B705" s="33">
        <f>IF(C705="","",IF(L705="À RENSEIGNER","GIC",L705)&amp;"-E"&amp;TEXT(A705,"00000"))</f>
        <v/>
      </c>
      <c r="C705" s="32" t="n"/>
      <c r="D705" s="36" t="n"/>
      <c r="E705" s="37" t="n"/>
      <c r="F705" s="36" t="n"/>
      <c r="G705" s="44" t="n"/>
      <c r="H705" s="43" t="n"/>
      <c r="I705" s="32" t="n"/>
      <c r="J705" s="44" t="n"/>
      <c r="K705" s="36" t="n"/>
      <c r="L705" s="33">
        <f>IF(C705="","",Commercial_Id)</f>
        <v/>
      </c>
      <c r="M705" s="34">
        <f>IF(OR(C705="",F705=""),"",IF(F705&lt;&gt;"Espèces","—",IF(I705&lt;&gt;"","☑ Oui","☐ Non")))</f>
        <v/>
      </c>
      <c r="N705" s="39">
        <f>IF(D705="","",IFERROR(VALUE(MID(D705,LEN(D705)-3,3)),""))</f>
        <v/>
      </c>
      <c r="O705" s="33">
        <f>IF(N705="","",L705&amp;"|"&amp;N705)</f>
        <v/>
      </c>
      <c r="P705" s="33">
        <f>IF(N705="","",IF(L705="À RENSEIGNER","GIC",L705)&amp;"-"&amp;TEXT(N705,"000"))</f>
        <v/>
      </c>
      <c r="Q705" s="33">
        <f>IF(O705="","",IFERROR(INDEX(Cl_nom,MATCH(O705,Cl_cle,0)),"(client introuvable)"))</f>
        <v/>
      </c>
      <c r="R705" s="40">
        <f>IF(O705="","",IFERROR(INDEX(Cl_reste,MATCH(O705,Cl_cle,0)),""))</f>
        <v/>
      </c>
      <c r="S705" s="34">
        <f>IF(C705="","",YEAR(C705-WEEKDAY(C705,2)+4)&amp;"-S"&amp;TEXT(INT((C705-DATE(YEAR(C705-WEEKDAY(C705,2)+4),1,3)+WEEKDAY(DATE(YEAR(C705-WEEKDAY(C705,2)+4),1,3),2)+5)/7),"00"))</f>
        <v/>
      </c>
    </row>
    <row r="706" ht="18" customHeight="1">
      <c r="A706" s="39" t="n">
        <v>701</v>
      </c>
      <c r="B706" s="33">
        <f>IF(C706="","",IF(L706="À RENSEIGNER","GIC",L706)&amp;"-E"&amp;TEXT(A706,"00000"))</f>
        <v/>
      </c>
      <c r="C706" s="32" t="n"/>
      <c r="D706" s="36" t="n"/>
      <c r="E706" s="37" t="n"/>
      <c r="F706" s="36" t="n"/>
      <c r="G706" s="44" t="n"/>
      <c r="H706" s="43" t="n"/>
      <c r="I706" s="32" t="n"/>
      <c r="J706" s="44" t="n"/>
      <c r="K706" s="36" t="n"/>
      <c r="L706" s="33">
        <f>IF(C706="","",Commercial_Id)</f>
        <v/>
      </c>
      <c r="M706" s="34">
        <f>IF(OR(C706="",F706=""),"",IF(F706&lt;&gt;"Espèces","—",IF(I706&lt;&gt;"","☑ Oui","☐ Non")))</f>
        <v/>
      </c>
      <c r="N706" s="39">
        <f>IF(D706="","",IFERROR(VALUE(MID(D706,LEN(D706)-3,3)),""))</f>
        <v/>
      </c>
      <c r="O706" s="33">
        <f>IF(N706="","",L706&amp;"|"&amp;N706)</f>
        <v/>
      </c>
      <c r="P706" s="33">
        <f>IF(N706="","",IF(L706="À RENSEIGNER","GIC",L706)&amp;"-"&amp;TEXT(N706,"000"))</f>
        <v/>
      </c>
      <c r="Q706" s="33">
        <f>IF(O706="","",IFERROR(INDEX(Cl_nom,MATCH(O706,Cl_cle,0)),"(client introuvable)"))</f>
        <v/>
      </c>
      <c r="R706" s="40">
        <f>IF(O706="","",IFERROR(INDEX(Cl_reste,MATCH(O706,Cl_cle,0)),""))</f>
        <v/>
      </c>
      <c r="S706" s="34">
        <f>IF(C706="","",YEAR(C706-WEEKDAY(C706,2)+4)&amp;"-S"&amp;TEXT(INT((C706-DATE(YEAR(C706-WEEKDAY(C706,2)+4),1,3)+WEEKDAY(DATE(YEAR(C706-WEEKDAY(C706,2)+4),1,3),2)+5)/7),"00"))</f>
        <v/>
      </c>
    </row>
    <row r="707" ht="18" customHeight="1">
      <c r="A707" s="39" t="n">
        <v>702</v>
      </c>
      <c r="B707" s="33">
        <f>IF(C707="","",IF(L707="À RENSEIGNER","GIC",L707)&amp;"-E"&amp;TEXT(A707,"00000"))</f>
        <v/>
      </c>
      <c r="C707" s="32" t="n"/>
      <c r="D707" s="36" t="n"/>
      <c r="E707" s="37" t="n"/>
      <c r="F707" s="36" t="n"/>
      <c r="G707" s="44" t="n"/>
      <c r="H707" s="43" t="n"/>
      <c r="I707" s="32" t="n"/>
      <c r="J707" s="44" t="n"/>
      <c r="K707" s="36" t="n"/>
      <c r="L707" s="33">
        <f>IF(C707="","",Commercial_Id)</f>
        <v/>
      </c>
      <c r="M707" s="34">
        <f>IF(OR(C707="",F707=""),"",IF(F707&lt;&gt;"Espèces","—",IF(I707&lt;&gt;"","☑ Oui","☐ Non")))</f>
        <v/>
      </c>
      <c r="N707" s="39">
        <f>IF(D707="","",IFERROR(VALUE(MID(D707,LEN(D707)-3,3)),""))</f>
        <v/>
      </c>
      <c r="O707" s="33">
        <f>IF(N707="","",L707&amp;"|"&amp;N707)</f>
        <v/>
      </c>
      <c r="P707" s="33">
        <f>IF(N707="","",IF(L707="À RENSEIGNER","GIC",L707)&amp;"-"&amp;TEXT(N707,"000"))</f>
        <v/>
      </c>
      <c r="Q707" s="33">
        <f>IF(O707="","",IFERROR(INDEX(Cl_nom,MATCH(O707,Cl_cle,0)),"(client introuvable)"))</f>
        <v/>
      </c>
      <c r="R707" s="40">
        <f>IF(O707="","",IFERROR(INDEX(Cl_reste,MATCH(O707,Cl_cle,0)),""))</f>
        <v/>
      </c>
      <c r="S707" s="34">
        <f>IF(C707="","",YEAR(C707-WEEKDAY(C707,2)+4)&amp;"-S"&amp;TEXT(INT((C707-DATE(YEAR(C707-WEEKDAY(C707,2)+4),1,3)+WEEKDAY(DATE(YEAR(C707-WEEKDAY(C707,2)+4),1,3),2)+5)/7),"00"))</f>
        <v/>
      </c>
    </row>
    <row r="708" ht="18" customHeight="1">
      <c r="A708" s="39" t="n">
        <v>703</v>
      </c>
      <c r="B708" s="33">
        <f>IF(C708="","",IF(L708="À RENSEIGNER","GIC",L708)&amp;"-E"&amp;TEXT(A708,"00000"))</f>
        <v/>
      </c>
      <c r="C708" s="32" t="n"/>
      <c r="D708" s="36" t="n"/>
      <c r="E708" s="37" t="n"/>
      <c r="F708" s="36" t="n"/>
      <c r="G708" s="44" t="n"/>
      <c r="H708" s="43" t="n"/>
      <c r="I708" s="32" t="n"/>
      <c r="J708" s="44" t="n"/>
      <c r="K708" s="36" t="n"/>
      <c r="L708" s="33">
        <f>IF(C708="","",Commercial_Id)</f>
        <v/>
      </c>
      <c r="M708" s="34">
        <f>IF(OR(C708="",F708=""),"",IF(F708&lt;&gt;"Espèces","—",IF(I708&lt;&gt;"","☑ Oui","☐ Non")))</f>
        <v/>
      </c>
      <c r="N708" s="39">
        <f>IF(D708="","",IFERROR(VALUE(MID(D708,LEN(D708)-3,3)),""))</f>
        <v/>
      </c>
      <c r="O708" s="33">
        <f>IF(N708="","",L708&amp;"|"&amp;N708)</f>
        <v/>
      </c>
      <c r="P708" s="33">
        <f>IF(N708="","",IF(L708="À RENSEIGNER","GIC",L708)&amp;"-"&amp;TEXT(N708,"000"))</f>
        <v/>
      </c>
      <c r="Q708" s="33">
        <f>IF(O708="","",IFERROR(INDEX(Cl_nom,MATCH(O708,Cl_cle,0)),"(client introuvable)"))</f>
        <v/>
      </c>
      <c r="R708" s="40">
        <f>IF(O708="","",IFERROR(INDEX(Cl_reste,MATCH(O708,Cl_cle,0)),""))</f>
        <v/>
      </c>
      <c r="S708" s="34">
        <f>IF(C708="","",YEAR(C708-WEEKDAY(C708,2)+4)&amp;"-S"&amp;TEXT(INT((C708-DATE(YEAR(C708-WEEKDAY(C708,2)+4),1,3)+WEEKDAY(DATE(YEAR(C708-WEEKDAY(C708,2)+4),1,3),2)+5)/7),"00"))</f>
        <v/>
      </c>
    </row>
    <row r="709" ht="18" customHeight="1">
      <c r="A709" s="39" t="n">
        <v>704</v>
      </c>
      <c r="B709" s="33">
        <f>IF(C709="","",IF(L709="À RENSEIGNER","GIC",L709)&amp;"-E"&amp;TEXT(A709,"00000"))</f>
        <v/>
      </c>
      <c r="C709" s="32" t="n"/>
      <c r="D709" s="36" t="n"/>
      <c r="E709" s="37" t="n"/>
      <c r="F709" s="36" t="n"/>
      <c r="G709" s="44" t="n"/>
      <c r="H709" s="43" t="n"/>
      <c r="I709" s="32" t="n"/>
      <c r="J709" s="44" t="n"/>
      <c r="K709" s="36" t="n"/>
      <c r="L709" s="33">
        <f>IF(C709="","",Commercial_Id)</f>
        <v/>
      </c>
      <c r="M709" s="34">
        <f>IF(OR(C709="",F709=""),"",IF(F709&lt;&gt;"Espèces","—",IF(I709&lt;&gt;"","☑ Oui","☐ Non")))</f>
        <v/>
      </c>
      <c r="N709" s="39">
        <f>IF(D709="","",IFERROR(VALUE(MID(D709,LEN(D709)-3,3)),""))</f>
        <v/>
      </c>
      <c r="O709" s="33">
        <f>IF(N709="","",L709&amp;"|"&amp;N709)</f>
        <v/>
      </c>
      <c r="P709" s="33">
        <f>IF(N709="","",IF(L709="À RENSEIGNER","GIC",L709)&amp;"-"&amp;TEXT(N709,"000"))</f>
        <v/>
      </c>
      <c r="Q709" s="33">
        <f>IF(O709="","",IFERROR(INDEX(Cl_nom,MATCH(O709,Cl_cle,0)),"(client introuvable)"))</f>
        <v/>
      </c>
      <c r="R709" s="40">
        <f>IF(O709="","",IFERROR(INDEX(Cl_reste,MATCH(O709,Cl_cle,0)),""))</f>
        <v/>
      </c>
      <c r="S709" s="34">
        <f>IF(C709="","",YEAR(C709-WEEKDAY(C709,2)+4)&amp;"-S"&amp;TEXT(INT((C709-DATE(YEAR(C709-WEEKDAY(C709,2)+4),1,3)+WEEKDAY(DATE(YEAR(C709-WEEKDAY(C709,2)+4),1,3),2)+5)/7),"00"))</f>
        <v/>
      </c>
    </row>
    <row r="710" ht="18" customHeight="1">
      <c r="A710" s="39" t="n">
        <v>705</v>
      </c>
      <c r="B710" s="33">
        <f>IF(C710="","",IF(L710="À RENSEIGNER","GIC",L710)&amp;"-E"&amp;TEXT(A710,"00000"))</f>
        <v/>
      </c>
      <c r="C710" s="32" t="n"/>
      <c r="D710" s="36" t="n"/>
      <c r="E710" s="37" t="n"/>
      <c r="F710" s="36" t="n"/>
      <c r="G710" s="44" t="n"/>
      <c r="H710" s="43" t="n"/>
      <c r="I710" s="32" t="n"/>
      <c r="J710" s="44" t="n"/>
      <c r="K710" s="36" t="n"/>
      <c r="L710" s="33">
        <f>IF(C710="","",Commercial_Id)</f>
        <v/>
      </c>
      <c r="M710" s="34">
        <f>IF(OR(C710="",F710=""),"",IF(F710&lt;&gt;"Espèces","—",IF(I710&lt;&gt;"","☑ Oui","☐ Non")))</f>
        <v/>
      </c>
      <c r="N710" s="39">
        <f>IF(D710="","",IFERROR(VALUE(MID(D710,LEN(D710)-3,3)),""))</f>
        <v/>
      </c>
      <c r="O710" s="33">
        <f>IF(N710="","",L710&amp;"|"&amp;N710)</f>
        <v/>
      </c>
      <c r="P710" s="33">
        <f>IF(N710="","",IF(L710="À RENSEIGNER","GIC",L710)&amp;"-"&amp;TEXT(N710,"000"))</f>
        <v/>
      </c>
      <c r="Q710" s="33">
        <f>IF(O710="","",IFERROR(INDEX(Cl_nom,MATCH(O710,Cl_cle,0)),"(client introuvable)"))</f>
        <v/>
      </c>
      <c r="R710" s="40">
        <f>IF(O710="","",IFERROR(INDEX(Cl_reste,MATCH(O710,Cl_cle,0)),""))</f>
        <v/>
      </c>
      <c r="S710" s="34">
        <f>IF(C710="","",YEAR(C710-WEEKDAY(C710,2)+4)&amp;"-S"&amp;TEXT(INT((C710-DATE(YEAR(C710-WEEKDAY(C710,2)+4),1,3)+WEEKDAY(DATE(YEAR(C710-WEEKDAY(C710,2)+4),1,3),2)+5)/7),"00"))</f>
        <v/>
      </c>
    </row>
    <row r="711" ht="18" customHeight="1">
      <c r="A711" s="39" t="n">
        <v>706</v>
      </c>
      <c r="B711" s="33">
        <f>IF(C711="","",IF(L711="À RENSEIGNER","GIC",L711)&amp;"-E"&amp;TEXT(A711,"00000"))</f>
        <v/>
      </c>
      <c r="C711" s="32" t="n"/>
      <c r="D711" s="36" t="n"/>
      <c r="E711" s="37" t="n"/>
      <c r="F711" s="36" t="n"/>
      <c r="G711" s="44" t="n"/>
      <c r="H711" s="43" t="n"/>
      <c r="I711" s="32" t="n"/>
      <c r="J711" s="44" t="n"/>
      <c r="K711" s="36" t="n"/>
      <c r="L711" s="33">
        <f>IF(C711="","",Commercial_Id)</f>
        <v/>
      </c>
      <c r="M711" s="34">
        <f>IF(OR(C711="",F711=""),"",IF(F711&lt;&gt;"Espèces","—",IF(I711&lt;&gt;"","☑ Oui","☐ Non")))</f>
        <v/>
      </c>
      <c r="N711" s="39">
        <f>IF(D711="","",IFERROR(VALUE(MID(D711,LEN(D711)-3,3)),""))</f>
        <v/>
      </c>
      <c r="O711" s="33">
        <f>IF(N711="","",L711&amp;"|"&amp;N711)</f>
        <v/>
      </c>
      <c r="P711" s="33">
        <f>IF(N711="","",IF(L711="À RENSEIGNER","GIC",L711)&amp;"-"&amp;TEXT(N711,"000"))</f>
        <v/>
      </c>
      <c r="Q711" s="33">
        <f>IF(O711="","",IFERROR(INDEX(Cl_nom,MATCH(O711,Cl_cle,0)),"(client introuvable)"))</f>
        <v/>
      </c>
      <c r="R711" s="40">
        <f>IF(O711="","",IFERROR(INDEX(Cl_reste,MATCH(O711,Cl_cle,0)),""))</f>
        <v/>
      </c>
      <c r="S711" s="34">
        <f>IF(C711="","",YEAR(C711-WEEKDAY(C711,2)+4)&amp;"-S"&amp;TEXT(INT((C711-DATE(YEAR(C711-WEEKDAY(C711,2)+4),1,3)+WEEKDAY(DATE(YEAR(C711-WEEKDAY(C711,2)+4),1,3),2)+5)/7),"00"))</f>
        <v/>
      </c>
    </row>
    <row r="712" ht="18" customHeight="1">
      <c r="A712" s="39" t="n">
        <v>707</v>
      </c>
      <c r="B712" s="33">
        <f>IF(C712="","",IF(L712="À RENSEIGNER","GIC",L712)&amp;"-E"&amp;TEXT(A712,"00000"))</f>
        <v/>
      </c>
      <c r="C712" s="32" t="n"/>
      <c r="D712" s="36" t="n"/>
      <c r="E712" s="37" t="n"/>
      <c r="F712" s="36" t="n"/>
      <c r="G712" s="44" t="n"/>
      <c r="H712" s="43" t="n"/>
      <c r="I712" s="32" t="n"/>
      <c r="J712" s="44" t="n"/>
      <c r="K712" s="36" t="n"/>
      <c r="L712" s="33">
        <f>IF(C712="","",Commercial_Id)</f>
        <v/>
      </c>
      <c r="M712" s="34">
        <f>IF(OR(C712="",F712=""),"",IF(F712&lt;&gt;"Espèces","—",IF(I712&lt;&gt;"","☑ Oui","☐ Non")))</f>
        <v/>
      </c>
      <c r="N712" s="39">
        <f>IF(D712="","",IFERROR(VALUE(MID(D712,LEN(D712)-3,3)),""))</f>
        <v/>
      </c>
      <c r="O712" s="33">
        <f>IF(N712="","",L712&amp;"|"&amp;N712)</f>
        <v/>
      </c>
      <c r="P712" s="33">
        <f>IF(N712="","",IF(L712="À RENSEIGNER","GIC",L712)&amp;"-"&amp;TEXT(N712,"000"))</f>
        <v/>
      </c>
      <c r="Q712" s="33">
        <f>IF(O712="","",IFERROR(INDEX(Cl_nom,MATCH(O712,Cl_cle,0)),"(client introuvable)"))</f>
        <v/>
      </c>
      <c r="R712" s="40">
        <f>IF(O712="","",IFERROR(INDEX(Cl_reste,MATCH(O712,Cl_cle,0)),""))</f>
        <v/>
      </c>
      <c r="S712" s="34">
        <f>IF(C712="","",YEAR(C712-WEEKDAY(C712,2)+4)&amp;"-S"&amp;TEXT(INT((C712-DATE(YEAR(C712-WEEKDAY(C712,2)+4),1,3)+WEEKDAY(DATE(YEAR(C712-WEEKDAY(C712,2)+4),1,3),2)+5)/7),"00"))</f>
        <v/>
      </c>
    </row>
    <row r="713" ht="18" customHeight="1">
      <c r="A713" s="39" t="n">
        <v>708</v>
      </c>
      <c r="B713" s="33">
        <f>IF(C713="","",IF(L713="À RENSEIGNER","GIC",L713)&amp;"-E"&amp;TEXT(A713,"00000"))</f>
        <v/>
      </c>
      <c r="C713" s="32" t="n"/>
      <c r="D713" s="36" t="n"/>
      <c r="E713" s="37" t="n"/>
      <c r="F713" s="36" t="n"/>
      <c r="G713" s="44" t="n"/>
      <c r="H713" s="43" t="n"/>
      <c r="I713" s="32" t="n"/>
      <c r="J713" s="44" t="n"/>
      <c r="K713" s="36" t="n"/>
      <c r="L713" s="33">
        <f>IF(C713="","",Commercial_Id)</f>
        <v/>
      </c>
      <c r="M713" s="34">
        <f>IF(OR(C713="",F713=""),"",IF(F713&lt;&gt;"Espèces","—",IF(I713&lt;&gt;"","☑ Oui","☐ Non")))</f>
        <v/>
      </c>
      <c r="N713" s="39">
        <f>IF(D713="","",IFERROR(VALUE(MID(D713,LEN(D713)-3,3)),""))</f>
        <v/>
      </c>
      <c r="O713" s="33">
        <f>IF(N713="","",L713&amp;"|"&amp;N713)</f>
        <v/>
      </c>
      <c r="P713" s="33">
        <f>IF(N713="","",IF(L713="À RENSEIGNER","GIC",L713)&amp;"-"&amp;TEXT(N713,"000"))</f>
        <v/>
      </c>
      <c r="Q713" s="33">
        <f>IF(O713="","",IFERROR(INDEX(Cl_nom,MATCH(O713,Cl_cle,0)),"(client introuvable)"))</f>
        <v/>
      </c>
      <c r="R713" s="40">
        <f>IF(O713="","",IFERROR(INDEX(Cl_reste,MATCH(O713,Cl_cle,0)),""))</f>
        <v/>
      </c>
      <c r="S713" s="34">
        <f>IF(C713="","",YEAR(C713-WEEKDAY(C713,2)+4)&amp;"-S"&amp;TEXT(INT((C713-DATE(YEAR(C713-WEEKDAY(C713,2)+4),1,3)+WEEKDAY(DATE(YEAR(C713-WEEKDAY(C713,2)+4),1,3),2)+5)/7),"00"))</f>
        <v/>
      </c>
    </row>
    <row r="714" ht="18" customHeight="1">
      <c r="A714" s="39" t="n">
        <v>709</v>
      </c>
      <c r="B714" s="33">
        <f>IF(C714="","",IF(L714="À RENSEIGNER","GIC",L714)&amp;"-E"&amp;TEXT(A714,"00000"))</f>
        <v/>
      </c>
      <c r="C714" s="32" t="n"/>
      <c r="D714" s="36" t="n"/>
      <c r="E714" s="37" t="n"/>
      <c r="F714" s="36" t="n"/>
      <c r="G714" s="44" t="n"/>
      <c r="H714" s="43" t="n"/>
      <c r="I714" s="32" t="n"/>
      <c r="J714" s="44" t="n"/>
      <c r="K714" s="36" t="n"/>
      <c r="L714" s="33">
        <f>IF(C714="","",Commercial_Id)</f>
        <v/>
      </c>
      <c r="M714" s="34">
        <f>IF(OR(C714="",F714=""),"",IF(F714&lt;&gt;"Espèces","—",IF(I714&lt;&gt;"","☑ Oui","☐ Non")))</f>
        <v/>
      </c>
      <c r="N714" s="39">
        <f>IF(D714="","",IFERROR(VALUE(MID(D714,LEN(D714)-3,3)),""))</f>
        <v/>
      </c>
      <c r="O714" s="33">
        <f>IF(N714="","",L714&amp;"|"&amp;N714)</f>
        <v/>
      </c>
      <c r="P714" s="33">
        <f>IF(N714="","",IF(L714="À RENSEIGNER","GIC",L714)&amp;"-"&amp;TEXT(N714,"000"))</f>
        <v/>
      </c>
      <c r="Q714" s="33">
        <f>IF(O714="","",IFERROR(INDEX(Cl_nom,MATCH(O714,Cl_cle,0)),"(client introuvable)"))</f>
        <v/>
      </c>
      <c r="R714" s="40">
        <f>IF(O714="","",IFERROR(INDEX(Cl_reste,MATCH(O714,Cl_cle,0)),""))</f>
        <v/>
      </c>
      <c r="S714" s="34">
        <f>IF(C714="","",YEAR(C714-WEEKDAY(C714,2)+4)&amp;"-S"&amp;TEXT(INT((C714-DATE(YEAR(C714-WEEKDAY(C714,2)+4),1,3)+WEEKDAY(DATE(YEAR(C714-WEEKDAY(C714,2)+4),1,3),2)+5)/7),"00"))</f>
        <v/>
      </c>
    </row>
    <row r="715" ht="18" customHeight="1">
      <c r="A715" s="39" t="n">
        <v>710</v>
      </c>
      <c r="B715" s="33">
        <f>IF(C715="","",IF(L715="À RENSEIGNER","GIC",L715)&amp;"-E"&amp;TEXT(A715,"00000"))</f>
        <v/>
      </c>
      <c r="C715" s="32" t="n"/>
      <c r="D715" s="36" t="n"/>
      <c r="E715" s="37" t="n"/>
      <c r="F715" s="36" t="n"/>
      <c r="G715" s="44" t="n"/>
      <c r="H715" s="43" t="n"/>
      <c r="I715" s="32" t="n"/>
      <c r="J715" s="44" t="n"/>
      <c r="K715" s="36" t="n"/>
      <c r="L715" s="33">
        <f>IF(C715="","",Commercial_Id)</f>
        <v/>
      </c>
      <c r="M715" s="34">
        <f>IF(OR(C715="",F715=""),"",IF(F715&lt;&gt;"Espèces","—",IF(I715&lt;&gt;"","☑ Oui","☐ Non")))</f>
        <v/>
      </c>
      <c r="N715" s="39">
        <f>IF(D715="","",IFERROR(VALUE(MID(D715,LEN(D715)-3,3)),""))</f>
        <v/>
      </c>
      <c r="O715" s="33">
        <f>IF(N715="","",L715&amp;"|"&amp;N715)</f>
        <v/>
      </c>
      <c r="P715" s="33">
        <f>IF(N715="","",IF(L715="À RENSEIGNER","GIC",L715)&amp;"-"&amp;TEXT(N715,"000"))</f>
        <v/>
      </c>
      <c r="Q715" s="33">
        <f>IF(O715="","",IFERROR(INDEX(Cl_nom,MATCH(O715,Cl_cle,0)),"(client introuvable)"))</f>
        <v/>
      </c>
      <c r="R715" s="40">
        <f>IF(O715="","",IFERROR(INDEX(Cl_reste,MATCH(O715,Cl_cle,0)),""))</f>
        <v/>
      </c>
      <c r="S715" s="34">
        <f>IF(C715="","",YEAR(C715-WEEKDAY(C715,2)+4)&amp;"-S"&amp;TEXT(INT((C715-DATE(YEAR(C715-WEEKDAY(C715,2)+4),1,3)+WEEKDAY(DATE(YEAR(C715-WEEKDAY(C715,2)+4),1,3),2)+5)/7),"00"))</f>
        <v/>
      </c>
    </row>
    <row r="716" ht="18" customHeight="1">
      <c r="A716" s="39" t="n">
        <v>711</v>
      </c>
      <c r="B716" s="33">
        <f>IF(C716="","",IF(L716="À RENSEIGNER","GIC",L716)&amp;"-E"&amp;TEXT(A716,"00000"))</f>
        <v/>
      </c>
      <c r="C716" s="32" t="n"/>
      <c r="D716" s="36" t="n"/>
      <c r="E716" s="37" t="n"/>
      <c r="F716" s="36" t="n"/>
      <c r="G716" s="44" t="n"/>
      <c r="H716" s="43" t="n"/>
      <c r="I716" s="32" t="n"/>
      <c r="J716" s="44" t="n"/>
      <c r="K716" s="36" t="n"/>
      <c r="L716" s="33">
        <f>IF(C716="","",Commercial_Id)</f>
        <v/>
      </c>
      <c r="M716" s="34">
        <f>IF(OR(C716="",F716=""),"",IF(F716&lt;&gt;"Espèces","—",IF(I716&lt;&gt;"","☑ Oui","☐ Non")))</f>
        <v/>
      </c>
      <c r="N716" s="39">
        <f>IF(D716="","",IFERROR(VALUE(MID(D716,LEN(D716)-3,3)),""))</f>
        <v/>
      </c>
      <c r="O716" s="33">
        <f>IF(N716="","",L716&amp;"|"&amp;N716)</f>
        <v/>
      </c>
      <c r="P716" s="33">
        <f>IF(N716="","",IF(L716="À RENSEIGNER","GIC",L716)&amp;"-"&amp;TEXT(N716,"000"))</f>
        <v/>
      </c>
      <c r="Q716" s="33">
        <f>IF(O716="","",IFERROR(INDEX(Cl_nom,MATCH(O716,Cl_cle,0)),"(client introuvable)"))</f>
        <v/>
      </c>
      <c r="R716" s="40">
        <f>IF(O716="","",IFERROR(INDEX(Cl_reste,MATCH(O716,Cl_cle,0)),""))</f>
        <v/>
      </c>
      <c r="S716" s="34">
        <f>IF(C716="","",YEAR(C716-WEEKDAY(C716,2)+4)&amp;"-S"&amp;TEXT(INT((C716-DATE(YEAR(C716-WEEKDAY(C716,2)+4),1,3)+WEEKDAY(DATE(YEAR(C716-WEEKDAY(C716,2)+4),1,3),2)+5)/7),"00"))</f>
        <v/>
      </c>
    </row>
    <row r="717" ht="18" customHeight="1">
      <c r="A717" s="39" t="n">
        <v>712</v>
      </c>
      <c r="B717" s="33">
        <f>IF(C717="","",IF(L717="À RENSEIGNER","GIC",L717)&amp;"-E"&amp;TEXT(A717,"00000"))</f>
        <v/>
      </c>
      <c r="C717" s="32" t="n"/>
      <c r="D717" s="36" t="n"/>
      <c r="E717" s="37" t="n"/>
      <c r="F717" s="36" t="n"/>
      <c r="G717" s="44" t="n"/>
      <c r="H717" s="43" t="n"/>
      <c r="I717" s="32" t="n"/>
      <c r="J717" s="44" t="n"/>
      <c r="K717" s="36" t="n"/>
      <c r="L717" s="33">
        <f>IF(C717="","",Commercial_Id)</f>
        <v/>
      </c>
      <c r="M717" s="34">
        <f>IF(OR(C717="",F717=""),"",IF(F717&lt;&gt;"Espèces","—",IF(I717&lt;&gt;"","☑ Oui","☐ Non")))</f>
        <v/>
      </c>
      <c r="N717" s="39">
        <f>IF(D717="","",IFERROR(VALUE(MID(D717,LEN(D717)-3,3)),""))</f>
        <v/>
      </c>
      <c r="O717" s="33">
        <f>IF(N717="","",L717&amp;"|"&amp;N717)</f>
        <v/>
      </c>
      <c r="P717" s="33">
        <f>IF(N717="","",IF(L717="À RENSEIGNER","GIC",L717)&amp;"-"&amp;TEXT(N717,"000"))</f>
        <v/>
      </c>
      <c r="Q717" s="33">
        <f>IF(O717="","",IFERROR(INDEX(Cl_nom,MATCH(O717,Cl_cle,0)),"(client introuvable)"))</f>
        <v/>
      </c>
      <c r="R717" s="40">
        <f>IF(O717="","",IFERROR(INDEX(Cl_reste,MATCH(O717,Cl_cle,0)),""))</f>
        <v/>
      </c>
      <c r="S717" s="34">
        <f>IF(C717="","",YEAR(C717-WEEKDAY(C717,2)+4)&amp;"-S"&amp;TEXT(INT((C717-DATE(YEAR(C717-WEEKDAY(C717,2)+4),1,3)+WEEKDAY(DATE(YEAR(C717-WEEKDAY(C717,2)+4),1,3),2)+5)/7),"00"))</f>
        <v/>
      </c>
    </row>
    <row r="718" ht="18" customHeight="1">
      <c r="A718" s="39" t="n">
        <v>713</v>
      </c>
      <c r="B718" s="33">
        <f>IF(C718="","",IF(L718="À RENSEIGNER","GIC",L718)&amp;"-E"&amp;TEXT(A718,"00000"))</f>
        <v/>
      </c>
      <c r="C718" s="32" t="n"/>
      <c r="D718" s="36" t="n"/>
      <c r="E718" s="37" t="n"/>
      <c r="F718" s="36" t="n"/>
      <c r="G718" s="44" t="n"/>
      <c r="H718" s="43" t="n"/>
      <c r="I718" s="32" t="n"/>
      <c r="J718" s="44" t="n"/>
      <c r="K718" s="36" t="n"/>
      <c r="L718" s="33">
        <f>IF(C718="","",Commercial_Id)</f>
        <v/>
      </c>
      <c r="M718" s="34">
        <f>IF(OR(C718="",F718=""),"",IF(F718&lt;&gt;"Espèces","—",IF(I718&lt;&gt;"","☑ Oui","☐ Non")))</f>
        <v/>
      </c>
      <c r="N718" s="39">
        <f>IF(D718="","",IFERROR(VALUE(MID(D718,LEN(D718)-3,3)),""))</f>
        <v/>
      </c>
      <c r="O718" s="33">
        <f>IF(N718="","",L718&amp;"|"&amp;N718)</f>
        <v/>
      </c>
      <c r="P718" s="33">
        <f>IF(N718="","",IF(L718="À RENSEIGNER","GIC",L718)&amp;"-"&amp;TEXT(N718,"000"))</f>
        <v/>
      </c>
      <c r="Q718" s="33">
        <f>IF(O718="","",IFERROR(INDEX(Cl_nom,MATCH(O718,Cl_cle,0)),"(client introuvable)"))</f>
        <v/>
      </c>
      <c r="R718" s="40">
        <f>IF(O718="","",IFERROR(INDEX(Cl_reste,MATCH(O718,Cl_cle,0)),""))</f>
        <v/>
      </c>
      <c r="S718" s="34">
        <f>IF(C718="","",YEAR(C718-WEEKDAY(C718,2)+4)&amp;"-S"&amp;TEXT(INT((C718-DATE(YEAR(C718-WEEKDAY(C718,2)+4),1,3)+WEEKDAY(DATE(YEAR(C718-WEEKDAY(C718,2)+4),1,3),2)+5)/7),"00"))</f>
        <v/>
      </c>
    </row>
    <row r="719" ht="18" customHeight="1">
      <c r="A719" s="39" t="n">
        <v>714</v>
      </c>
      <c r="B719" s="33">
        <f>IF(C719="","",IF(L719="À RENSEIGNER","GIC",L719)&amp;"-E"&amp;TEXT(A719,"00000"))</f>
        <v/>
      </c>
      <c r="C719" s="32" t="n"/>
      <c r="D719" s="36" t="n"/>
      <c r="E719" s="37" t="n"/>
      <c r="F719" s="36" t="n"/>
      <c r="G719" s="44" t="n"/>
      <c r="H719" s="43" t="n"/>
      <c r="I719" s="32" t="n"/>
      <c r="J719" s="44" t="n"/>
      <c r="K719" s="36" t="n"/>
      <c r="L719" s="33">
        <f>IF(C719="","",Commercial_Id)</f>
        <v/>
      </c>
      <c r="M719" s="34">
        <f>IF(OR(C719="",F719=""),"",IF(F719&lt;&gt;"Espèces","—",IF(I719&lt;&gt;"","☑ Oui","☐ Non")))</f>
        <v/>
      </c>
      <c r="N719" s="39">
        <f>IF(D719="","",IFERROR(VALUE(MID(D719,LEN(D719)-3,3)),""))</f>
        <v/>
      </c>
      <c r="O719" s="33">
        <f>IF(N719="","",L719&amp;"|"&amp;N719)</f>
        <v/>
      </c>
      <c r="P719" s="33">
        <f>IF(N719="","",IF(L719="À RENSEIGNER","GIC",L719)&amp;"-"&amp;TEXT(N719,"000"))</f>
        <v/>
      </c>
      <c r="Q719" s="33">
        <f>IF(O719="","",IFERROR(INDEX(Cl_nom,MATCH(O719,Cl_cle,0)),"(client introuvable)"))</f>
        <v/>
      </c>
      <c r="R719" s="40">
        <f>IF(O719="","",IFERROR(INDEX(Cl_reste,MATCH(O719,Cl_cle,0)),""))</f>
        <v/>
      </c>
      <c r="S719" s="34">
        <f>IF(C719="","",YEAR(C719-WEEKDAY(C719,2)+4)&amp;"-S"&amp;TEXT(INT((C719-DATE(YEAR(C719-WEEKDAY(C719,2)+4),1,3)+WEEKDAY(DATE(YEAR(C719-WEEKDAY(C719,2)+4),1,3),2)+5)/7),"00"))</f>
        <v/>
      </c>
    </row>
    <row r="720" ht="18" customHeight="1">
      <c r="A720" s="39" t="n">
        <v>715</v>
      </c>
      <c r="B720" s="33">
        <f>IF(C720="","",IF(L720="À RENSEIGNER","GIC",L720)&amp;"-E"&amp;TEXT(A720,"00000"))</f>
        <v/>
      </c>
      <c r="C720" s="32" t="n"/>
      <c r="D720" s="36" t="n"/>
      <c r="E720" s="37" t="n"/>
      <c r="F720" s="36" t="n"/>
      <c r="G720" s="44" t="n"/>
      <c r="H720" s="43" t="n"/>
      <c r="I720" s="32" t="n"/>
      <c r="J720" s="44" t="n"/>
      <c r="K720" s="36" t="n"/>
      <c r="L720" s="33">
        <f>IF(C720="","",Commercial_Id)</f>
        <v/>
      </c>
      <c r="M720" s="34">
        <f>IF(OR(C720="",F720=""),"",IF(F720&lt;&gt;"Espèces","—",IF(I720&lt;&gt;"","☑ Oui","☐ Non")))</f>
        <v/>
      </c>
      <c r="N720" s="39">
        <f>IF(D720="","",IFERROR(VALUE(MID(D720,LEN(D720)-3,3)),""))</f>
        <v/>
      </c>
      <c r="O720" s="33">
        <f>IF(N720="","",L720&amp;"|"&amp;N720)</f>
        <v/>
      </c>
      <c r="P720" s="33">
        <f>IF(N720="","",IF(L720="À RENSEIGNER","GIC",L720)&amp;"-"&amp;TEXT(N720,"000"))</f>
        <v/>
      </c>
      <c r="Q720" s="33">
        <f>IF(O720="","",IFERROR(INDEX(Cl_nom,MATCH(O720,Cl_cle,0)),"(client introuvable)"))</f>
        <v/>
      </c>
      <c r="R720" s="40">
        <f>IF(O720="","",IFERROR(INDEX(Cl_reste,MATCH(O720,Cl_cle,0)),""))</f>
        <v/>
      </c>
      <c r="S720" s="34">
        <f>IF(C720="","",YEAR(C720-WEEKDAY(C720,2)+4)&amp;"-S"&amp;TEXT(INT((C720-DATE(YEAR(C720-WEEKDAY(C720,2)+4),1,3)+WEEKDAY(DATE(YEAR(C720-WEEKDAY(C720,2)+4),1,3),2)+5)/7),"00"))</f>
        <v/>
      </c>
    </row>
    <row r="721" ht="18" customHeight="1">
      <c r="A721" s="39" t="n">
        <v>716</v>
      </c>
      <c r="B721" s="33">
        <f>IF(C721="","",IF(L721="À RENSEIGNER","GIC",L721)&amp;"-E"&amp;TEXT(A721,"00000"))</f>
        <v/>
      </c>
      <c r="C721" s="32" t="n"/>
      <c r="D721" s="36" t="n"/>
      <c r="E721" s="37" t="n"/>
      <c r="F721" s="36" t="n"/>
      <c r="G721" s="44" t="n"/>
      <c r="H721" s="43" t="n"/>
      <c r="I721" s="32" t="n"/>
      <c r="J721" s="44" t="n"/>
      <c r="K721" s="36" t="n"/>
      <c r="L721" s="33">
        <f>IF(C721="","",Commercial_Id)</f>
        <v/>
      </c>
      <c r="M721" s="34">
        <f>IF(OR(C721="",F721=""),"",IF(F721&lt;&gt;"Espèces","—",IF(I721&lt;&gt;"","☑ Oui","☐ Non")))</f>
        <v/>
      </c>
      <c r="N721" s="39">
        <f>IF(D721="","",IFERROR(VALUE(MID(D721,LEN(D721)-3,3)),""))</f>
        <v/>
      </c>
      <c r="O721" s="33">
        <f>IF(N721="","",L721&amp;"|"&amp;N721)</f>
        <v/>
      </c>
      <c r="P721" s="33">
        <f>IF(N721="","",IF(L721="À RENSEIGNER","GIC",L721)&amp;"-"&amp;TEXT(N721,"000"))</f>
        <v/>
      </c>
      <c r="Q721" s="33">
        <f>IF(O721="","",IFERROR(INDEX(Cl_nom,MATCH(O721,Cl_cle,0)),"(client introuvable)"))</f>
        <v/>
      </c>
      <c r="R721" s="40">
        <f>IF(O721="","",IFERROR(INDEX(Cl_reste,MATCH(O721,Cl_cle,0)),""))</f>
        <v/>
      </c>
      <c r="S721" s="34">
        <f>IF(C721="","",YEAR(C721-WEEKDAY(C721,2)+4)&amp;"-S"&amp;TEXT(INT((C721-DATE(YEAR(C721-WEEKDAY(C721,2)+4),1,3)+WEEKDAY(DATE(YEAR(C721-WEEKDAY(C721,2)+4),1,3),2)+5)/7),"00"))</f>
        <v/>
      </c>
    </row>
    <row r="722" ht="18" customHeight="1">
      <c r="A722" s="39" t="n">
        <v>717</v>
      </c>
      <c r="B722" s="33">
        <f>IF(C722="","",IF(L722="À RENSEIGNER","GIC",L722)&amp;"-E"&amp;TEXT(A722,"00000"))</f>
        <v/>
      </c>
      <c r="C722" s="32" t="n"/>
      <c r="D722" s="36" t="n"/>
      <c r="E722" s="37" t="n"/>
      <c r="F722" s="36" t="n"/>
      <c r="G722" s="44" t="n"/>
      <c r="H722" s="43" t="n"/>
      <c r="I722" s="32" t="n"/>
      <c r="J722" s="44" t="n"/>
      <c r="K722" s="36" t="n"/>
      <c r="L722" s="33">
        <f>IF(C722="","",Commercial_Id)</f>
        <v/>
      </c>
      <c r="M722" s="34">
        <f>IF(OR(C722="",F722=""),"",IF(F722&lt;&gt;"Espèces","—",IF(I722&lt;&gt;"","☑ Oui","☐ Non")))</f>
        <v/>
      </c>
      <c r="N722" s="39">
        <f>IF(D722="","",IFERROR(VALUE(MID(D722,LEN(D722)-3,3)),""))</f>
        <v/>
      </c>
      <c r="O722" s="33">
        <f>IF(N722="","",L722&amp;"|"&amp;N722)</f>
        <v/>
      </c>
      <c r="P722" s="33">
        <f>IF(N722="","",IF(L722="À RENSEIGNER","GIC",L722)&amp;"-"&amp;TEXT(N722,"000"))</f>
        <v/>
      </c>
      <c r="Q722" s="33">
        <f>IF(O722="","",IFERROR(INDEX(Cl_nom,MATCH(O722,Cl_cle,0)),"(client introuvable)"))</f>
        <v/>
      </c>
      <c r="R722" s="40">
        <f>IF(O722="","",IFERROR(INDEX(Cl_reste,MATCH(O722,Cl_cle,0)),""))</f>
        <v/>
      </c>
      <c r="S722" s="34">
        <f>IF(C722="","",YEAR(C722-WEEKDAY(C722,2)+4)&amp;"-S"&amp;TEXT(INT((C722-DATE(YEAR(C722-WEEKDAY(C722,2)+4),1,3)+WEEKDAY(DATE(YEAR(C722-WEEKDAY(C722,2)+4),1,3),2)+5)/7),"00"))</f>
        <v/>
      </c>
    </row>
    <row r="723" ht="18" customHeight="1">
      <c r="A723" s="39" t="n">
        <v>718</v>
      </c>
      <c r="B723" s="33">
        <f>IF(C723="","",IF(L723="À RENSEIGNER","GIC",L723)&amp;"-E"&amp;TEXT(A723,"00000"))</f>
        <v/>
      </c>
      <c r="C723" s="32" t="n"/>
      <c r="D723" s="36" t="n"/>
      <c r="E723" s="37" t="n"/>
      <c r="F723" s="36" t="n"/>
      <c r="G723" s="44" t="n"/>
      <c r="H723" s="43" t="n"/>
      <c r="I723" s="32" t="n"/>
      <c r="J723" s="44" t="n"/>
      <c r="K723" s="36" t="n"/>
      <c r="L723" s="33">
        <f>IF(C723="","",Commercial_Id)</f>
        <v/>
      </c>
      <c r="M723" s="34">
        <f>IF(OR(C723="",F723=""),"",IF(F723&lt;&gt;"Espèces","—",IF(I723&lt;&gt;"","☑ Oui","☐ Non")))</f>
        <v/>
      </c>
      <c r="N723" s="39">
        <f>IF(D723="","",IFERROR(VALUE(MID(D723,LEN(D723)-3,3)),""))</f>
        <v/>
      </c>
      <c r="O723" s="33">
        <f>IF(N723="","",L723&amp;"|"&amp;N723)</f>
        <v/>
      </c>
      <c r="P723" s="33">
        <f>IF(N723="","",IF(L723="À RENSEIGNER","GIC",L723)&amp;"-"&amp;TEXT(N723,"000"))</f>
        <v/>
      </c>
      <c r="Q723" s="33">
        <f>IF(O723="","",IFERROR(INDEX(Cl_nom,MATCH(O723,Cl_cle,0)),"(client introuvable)"))</f>
        <v/>
      </c>
      <c r="R723" s="40">
        <f>IF(O723="","",IFERROR(INDEX(Cl_reste,MATCH(O723,Cl_cle,0)),""))</f>
        <v/>
      </c>
      <c r="S723" s="34">
        <f>IF(C723="","",YEAR(C723-WEEKDAY(C723,2)+4)&amp;"-S"&amp;TEXT(INT((C723-DATE(YEAR(C723-WEEKDAY(C723,2)+4),1,3)+WEEKDAY(DATE(YEAR(C723-WEEKDAY(C723,2)+4),1,3),2)+5)/7),"00"))</f>
        <v/>
      </c>
    </row>
    <row r="724" ht="18" customHeight="1">
      <c r="A724" s="39" t="n">
        <v>719</v>
      </c>
      <c r="B724" s="33">
        <f>IF(C724="","",IF(L724="À RENSEIGNER","GIC",L724)&amp;"-E"&amp;TEXT(A724,"00000"))</f>
        <v/>
      </c>
      <c r="C724" s="32" t="n"/>
      <c r="D724" s="36" t="n"/>
      <c r="E724" s="37" t="n"/>
      <c r="F724" s="36" t="n"/>
      <c r="G724" s="44" t="n"/>
      <c r="H724" s="43" t="n"/>
      <c r="I724" s="32" t="n"/>
      <c r="J724" s="44" t="n"/>
      <c r="K724" s="36" t="n"/>
      <c r="L724" s="33">
        <f>IF(C724="","",Commercial_Id)</f>
        <v/>
      </c>
      <c r="M724" s="34">
        <f>IF(OR(C724="",F724=""),"",IF(F724&lt;&gt;"Espèces","—",IF(I724&lt;&gt;"","☑ Oui","☐ Non")))</f>
        <v/>
      </c>
      <c r="N724" s="39">
        <f>IF(D724="","",IFERROR(VALUE(MID(D724,LEN(D724)-3,3)),""))</f>
        <v/>
      </c>
      <c r="O724" s="33">
        <f>IF(N724="","",L724&amp;"|"&amp;N724)</f>
        <v/>
      </c>
      <c r="P724" s="33">
        <f>IF(N724="","",IF(L724="À RENSEIGNER","GIC",L724)&amp;"-"&amp;TEXT(N724,"000"))</f>
        <v/>
      </c>
      <c r="Q724" s="33">
        <f>IF(O724="","",IFERROR(INDEX(Cl_nom,MATCH(O724,Cl_cle,0)),"(client introuvable)"))</f>
        <v/>
      </c>
      <c r="R724" s="40">
        <f>IF(O724="","",IFERROR(INDEX(Cl_reste,MATCH(O724,Cl_cle,0)),""))</f>
        <v/>
      </c>
      <c r="S724" s="34">
        <f>IF(C724="","",YEAR(C724-WEEKDAY(C724,2)+4)&amp;"-S"&amp;TEXT(INT((C724-DATE(YEAR(C724-WEEKDAY(C724,2)+4),1,3)+WEEKDAY(DATE(YEAR(C724-WEEKDAY(C724,2)+4),1,3),2)+5)/7),"00"))</f>
        <v/>
      </c>
    </row>
    <row r="725" ht="18" customHeight="1">
      <c r="A725" s="39" t="n">
        <v>720</v>
      </c>
      <c r="B725" s="33">
        <f>IF(C725="","",IF(L725="À RENSEIGNER","GIC",L725)&amp;"-E"&amp;TEXT(A725,"00000"))</f>
        <v/>
      </c>
      <c r="C725" s="32" t="n"/>
      <c r="D725" s="36" t="n"/>
      <c r="E725" s="37" t="n"/>
      <c r="F725" s="36" t="n"/>
      <c r="G725" s="44" t="n"/>
      <c r="H725" s="43" t="n"/>
      <c r="I725" s="32" t="n"/>
      <c r="J725" s="44" t="n"/>
      <c r="K725" s="36" t="n"/>
      <c r="L725" s="33">
        <f>IF(C725="","",Commercial_Id)</f>
        <v/>
      </c>
      <c r="M725" s="34">
        <f>IF(OR(C725="",F725=""),"",IF(F725&lt;&gt;"Espèces","—",IF(I725&lt;&gt;"","☑ Oui","☐ Non")))</f>
        <v/>
      </c>
      <c r="N725" s="39">
        <f>IF(D725="","",IFERROR(VALUE(MID(D725,LEN(D725)-3,3)),""))</f>
        <v/>
      </c>
      <c r="O725" s="33">
        <f>IF(N725="","",L725&amp;"|"&amp;N725)</f>
        <v/>
      </c>
      <c r="P725" s="33">
        <f>IF(N725="","",IF(L725="À RENSEIGNER","GIC",L725)&amp;"-"&amp;TEXT(N725,"000"))</f>
        <v/>
      </c>
      <c r="Q725" s="33">
        <f>IF(O725="","",IFERROR(INDEX(Cl_nom,MATCH(O725,Cl_cle,0)),"(client introuvable)"))</f>
        <v/>
      </c>
      <c r="R725" s="40">
        <f>IF(O725="","",IFERROR(INDEX(Cl_reste,MATCH(O725,Cl_cle,0)),""))</f>
        <v/>
      </c>
      <c r="S725" s="34">
        <f>IF(C725="","",YEAR(C725-WEEKDAY(C725,2)+4)&amp;"-S"&amp;TEXT(INT((C725-DATE(YEAR(C725-WEEKDAY(C725,2)+4),1,3)+WEEKDAY(DATE(YEAR(C725-WEEKDAY(C725,2)+4),1,3),2)+5)/7),"00"))</f>
        <v/>
      </c>
    </row>
    <row r="726" ht="18" customHeight="1">
      <c r="A726" s="39" t="n">
        <v>721</v>
      </c>
      <c r="B726" s="33">
        <f>IF(C726="","",IF(L726="À RENSEIGNER","GIC",L726)&amp;"-E"&amp;TEXT(A726,"00000"))</f>
        <v/>
      </c>
      <c r="C726" s="32" t="n"/>
      <c r="D726" s="36" t="n"/>
      <c r="E726" s="37" t="n"/>
      <c r="F726" s="36" t="n"/>
      <c r="G726" s="44" t="n"/>
      <c r="H726" s="43" t="n"/>
      <c r="I726" s="32" t="n"/>
      <c r="J726" s="44" t="n"/>
      <c r="K726" s="36" t="n"/>
      <c r="L726" s="33">
        <f>IF(C726="","",Commercial_Id)</f>
        <v/>
      </c>
      <c r="M726" s="34">
        <f>IF(OR(C726="",F726=""),"",IF(F726&lt;&gt;"Espèces","—",IF(I726&lt;&gt;"","☑ Oui","☐ Non")))</f>
        <v/>
      </c>
      <c r="N726" s="39">
        <f>IF(D726="","",IFERROR(VALUE(MID(D726,LEN(D726)-3,3)),""))</f>
        <v/>
      </c>
      <c r="O726" s="33">
        <f>IF(N726="","",L726&amp;"|"&amp;N726)</f>
        <v/>
      </c>
      <c r="P726" s="33">
        <f>IF(N726="","",IF(L726="À RENSEIGNER","GIC",L726)&amp;"-"&amp;TEXT(N726,"000"))</f>
        <v/>
      </c>
      <c r="Q726" s="33">
        <f>IF(O726="","",IFERROR(INDEX(Cl_nom,MATCH(O726,Cl_cle,0)),"(client introuvable)"))</f>
        <v/>
      </c>
      <c r="R726" s="40">
        <f>IF(O726="","",IFERROR(INDEX(Cl_reste,MATCH(O726,Cl_cle,0)),""))</f>
        <v/>
      </c>
      <c r="S726" s="34">
        <f>IF(C726="","",YEAR(C726-WEEKDAY(C726,2)+4)&amp;"-S"&amp;TEXT(INT((C726-DATE(YEAR(C726-WEEKDAY(C726,2)+4),1,3)+WEEKDAY(DATE(YEAR(C726-WEEKDAY(C726,2)+4),1,3),2)+5)/7),"00"))</f>
        <v/>
      </c>
    </row>
    <row r="727" ht="18" customHeight="1">
      <c r="A727" s="39" t="n">
        <v>722</v>
      </c>
      <c r="B727" s="33">
        <f>IF(C727="","",IF(L727="À RENSEIGNER","GIC",L727)&amp;"-E"&amp;TEXT(A727,"00000"))</f>
        <v/>
      </c>
      <c r="C727" s="32" t="n"/>
      <c r="D727" s="36" t="n"/>
      <c r="E727" s="37" t="n"/>
      <c r="F727" s="36" t="n"/>
      <c r="G727" s="44" t="n"/>
      <c r="H727" s="43" t="n"/>
      <c r="I727" s="32" t="n"/>
      <c r="J727" s="44" t="n"/>
      <c r="K727" s="36" t="n"/>
      <c r="L727" s="33">
        <f>IF(C727="","",Commercial_Id)</f>
        <v/>
      </c>
      <c r="M727" s="34">
        <f>IF(OR(C727="",F727=""),"",IF(F727&lt;&gt;"Espèces","—",IF(I727&lt;&gt;"","☑ Oui","☐ Non")))</f>
        <v/>
      </c>
      <c r="N727" s="39">
        <f>IF(D727="","",IFERROR(VALUE(MID(D727,LEN(D727)-3,3)),""))</f>
        <v/>
      </c>
      <c r="O727" s="33">
        <f>IF(N727="","",L727&amp;"|"&amp;N727)</f>
        <v/>
      </c>
      <c r="P727" s="33">
        <f>IF(N727="","",IF(L727="À RENSEIGNER","GIC",L727)&amp;"-"&amp;TEXT(N727,"000"))</f>
        <v/>
      </c>
      <c r="Q727" s="33">
        <f>IF(O727="","",IFERROR(INDEX(Cl_nom,MATCH(O727,Cl_cle,0)),"(client introuvable)"))</f>
        <v/>
      </c>
      <c r="R727" s="40">
        <f>IF(O727="","",IFERROR(INDEX(Cl_reste,MATCH(O727,Cl_cle,0)),""))</f>
        <v/>
      </c>
      <c r="S727" s="34">
        <f>IF(C727="","",YEAR(C727-WEEKDAY(C727,2)+4)&amp;"-S"&amp;TEXT(INT((C727-DATE(YEAR(C727-WEEKDAY(C727,2)+4),1,3)+WEEKDAY(DATE(YEAR(C727-WEEKDAY(C727,2)+4),1,3),2)+5)/7),"00"))</f>
        <v/>
      </c>
    </row>
    <row r="728" ht="18" customHeight="1">
      <c r="A728" s="39" t="n">
        <v>723</v>
      </c>
      <c r="B728" s="33">
        <f>IF(C728="","",IF(L728="À RENSEIGNER","GIC",L728)&amp;"-E"&amp;TEXT(A728,"00000"))</f>
        <v/>
      </c>
      <c r="C728" s="32" t="n"/>
      <c r="D728" s="36" t="n"/>
      <c r="E728" s="37" t="n"/>
      <c r="F728" s="36" t="n"/>
      <c r="G728" s="44" t="n"/>
      <c r="H728" s="43" t="n"/>
      <c r="I728" s="32" t="n"/>
      <c r="J728" s="44" t="n"/>
      <c r="K728" s="36" t="n"/>
      <c r="L728" s="33">
        <f>IF(C728="","",Commercial_Id)</f>
        <v/>
      </c>
      <c r="M728" s="34">
        <f>IF(OR(C728="",F728=""),"",IF(F728&lt;&gt;"Espèces","—",IF(I728&lt;&gt;"","☑ Oui","☐ Non")))</f>
        <v/>
      </c>
      <c r="N728" s="39">
        <f>IF(D728="","",IFERROR(VALUE(MID(D728,LEN(D728)-3,3)),""))</f>
        <v/>
      </c>
      <c r="O728" s="33">
        <f>IF(N728="","",L728&amp;"|"&amp;N728)</f>
        <v/>
      </c>
      <c r="P728" s="33">
        <f>IF(N728="","",IF(L728="À RENSEIGNER","GIC",L728)&amp;"-"&amp;TEXT(N728,"000"))</f>
        <v/>
      </c>
      <c r="Q728" s="33">
        <f>IF(O728="","",IFERROR(INDEX(Cl_nom,MATCH(O728,Cl_cle,0)),"(client introuvable)"))</f>
        <v/>
      </c>
      <c r="R728" s="40">
        <f>IF(O728="","",IFERROR(INDEX(Cl_reste,MATCH(O728,Cl_cle,0)),""))</f>
        <v/>
      </c>
      <c r="S728" s="34">
        <f>IF(C728="","",YEAR(C728-WEEKDAY(C728,2)+4)&amp;"-S"&amp;TEXT(INT((C728-DATE(YEAR(C728-WEEKDAY(C728,2)+4),1,3)+WEEKDAY(DATE(YEAR(C728-WEEKDAY(C728,2)+4),1,3),2)+5)/7),"00"))</f>
        <v/>
      </c>
    </row>
    <row r="729" ht="18" customHeight="1">
      <c r="A729" s="39" t="n">
        <v>724</v>
      </c>
      <c r="B729" s="33">
        <f>IF(C729="","",IF(L729="À RENSEIGNER","GIC",L729)&amp;"-E"&amp;TEXT(A729,"00000"))</f>
        <v/>
      </c>
      <c r="C729" s="32" t="n"/>
      <c r="D729" s="36" t="n"/>
      <c r="E729" s="37" t="n"/>
      <c r="F729" s="36" t="n"/>
      <c r="G729" s="44" t="n"/>
      <c r="H729" s="43" t="n"/>
      <c r="I729" s="32" t="n"/>
      <c r="J729" s="44" t="n"/>
      <c r="K729" s="36" t="n"/>
      <c r="L729" s="33">
        <f>IF(C729="","",Commercial_Id)</f>
        <v/>
      </c>
      <c r="M729" s="34">
        <f>IF(OR(C729="",F729=""),"",IF(F729&lt;&gt;"Espèces","—",IF(I729&lt;&gt;"","☑ Oui","☐ Non")))</f>
        <v/>
      </c>
      <c r="N729" s="39">
        <f>IF(D729="","",IFERROR(VALUE(MID(D729,LEN(D729)-3,3)),""))</f>
        <v/>
      </c>
      <c r="O729" s="33">
        <f>IF(N729="","",L729&amp;"|"&amp;N729)</f>
        <v/>
      </c>
      <c r="P729" s="33">
        <f>IF(N729="","",IF(L729="À RENSEIGNER","GIC",L729)&amp;"-"&amp;TEXT(N729,"000"))</f>
        <v/>
      </c>
      <c r="Q729" s="33">
        <f>IF(O729="","",IFERROR(INDEX(Cl_nom,MATCH(O729,Cl_cle,0)),"(client introuvable)"))</f>
        <v/>
      </c>
      <c r="R729" s="40">
        <f>IF(O729="","",IFERROR(INDEX(Cl_reste,MATCH(O729,Cl_cle,0)),""))</f>
        <v/>
      </c>
      <c r="S729" s="34">
        <f>IF(C729="","",YEAR(C729-WEEKDAY(C729,2)+4)&amp;"-S"&amp;TEXT(INT((C729-DATE(YEAR(C729-WEEKDAY(C729,2)+4),1,3)+WEEKDAY(DATE(YEAR(C729-WEEKDAY(C729,2)+4),1,3),2)+5)/7),"00"))</f>
        <v/>
      </c>
    </row>
    <row r="730" ht="18" customHeight="1">
      <c r="A730" s="39" t="n">
        <v>725</v>
      </c>
      <c r="B730" s="33">
        <f>IF(C730="","",IF(L730="À RENSEIGNER","GIC",L730)&amp;"-E"&amp;TEXT(A730,"00000"))</f>
        <v/>
      </c>
      <c r="C730" s="32" t="n"/>
      <c r="D730" s="36" t="n"/>
      <c r="E730" s="37" t="n"/>
      <c r="F730" s="36" t="n"/>
      <c r="G730" s="44" t="n"/>
      <c r="H730" s="43" t="n"/>
      <c r="I730" s="32" t="n"/>
      <c r="J730" s="44" t="n"/>
      <c r="K730" s="36" t="n"/>
      <c r="L730" s="33">
        <f>IF(C730="","",Commercial_Id)</f>
        <v/>
      </c>
      <c r="M730" s="34">
        <f>IF(OR(C730="",F730=""),"",IF(F730&lt;&gt;"Espèces","—",IF(I730&lt;&gt;"","☑ Oui","☐ Non")))</f>
        <v/>
      </c>
      <c r="N730" s="39">
        <f>IF(D730="","",IFERROR(VALUE(MID(D730,LEN(D730)-3,3)),""))</f>
        <v/>
      </c>
      <c r="O730" s="33">
        <f>IF(N730="","",L730&amp;"|"&amp;N730)</f>
        <v/>
      </c>
      <c r="P730" s="33">
        <f>IF(N730="","",IF(L730="À RENSEIGNER","GIC",L730)&amp;"-"&amp;TEXT(N730,"000"))</f>
        <v/>
      </c>
      <c r="Q730" s="33">
        <f>IF(O730="","",IFERROR(INDEX(Cl_nom,MATCH(O730,Cl_cle,0)),"(client introuvable)"))</f>
        <v/>
      </c>
      <c r="R730" s="40">
        <f>IF(O730="","",IFERROR(INDEX(Cl_reste,MATCH(O730,Cl_cle,0)),""))</f>
        <v/>
      </c>
      <c r="S730" s="34">
        <f>IF(C730="","",YEAR(C730-WEEKDAY(C730,2)+4)&amp;"-S"&amp;TEXT(INT((C730-DATE(YEAR(C730-WEEKDAY(C730,2)+4),1,3)+WEEKDAY(DATE(YEAR(C730-WEEKDAY(C730,2)+4),1,3),2)+5)/7),"00"))</f>
        <v/>
      </c>
    </row>
    <row r="731" ht="18" customHeight="1">
      <c r="A731" s="39" t="n">
        <v>726</v>
      </c>
      <c r="B731" s="33">
        <f>IF(C731="","",IF(L731="À RENSEIGNER","GIC",L731)&amp;"-E"&amp;TEXT(A731,"00000"))</f>
        <v/>
      </c>
      <c r="C731" s="32" t="n"/>
      <c r="D731" s="36" t="n"/>
      <c r="E731" s="37" t="n"/>
      <c r="F731" s="36" t="n"/>
      <c r="G731" s="44" t="n"/>
      <c r="H731" s="43" t="n"/>
      <c r="I731" s="32" t="n"/>
      <c r="J731" s="44" t="n"/>
      <c r="K731" s="36" t="n"/>
      <c r="L731" s="33">
        <f>IF(C731="","",Commercial_Id)</f>
        <v/>
      </c>
      <c r="M731" s="34">
        <f>IF(OR(C731="",F731=""),"",IF(F731&lt;&gt;"Espèces","—",IF(I731&lt;&gt;"","☑ Oui","☐ Non")))</f>
        <v/>
      </c>
      <c r="N731" s="39">
        <f>IF(D731="","",IFERROR(VALUE(MID(D731,LEN(D731)-3,3)),""))</f>
        <v/>
      </c>
      <c r="O731" s="33">
        <f>IF(N731="","",L731&amp;"|"&amp;N731)</f>
        <v/>
      </c>
      <c r="P731" s="33">
        <f>IF(N731="","",IF(L731="À RENSEIGNER","GIC",L731)&amp;"-"&amp;TEXT(N731,"000"))</f>
        <v/>
      </c>
      <c r="Q731" s="33">
        <f>IF(O731="","",IFERROR(INDEX(Cl_nom,MATCH(O731,Cl_cle,0)),"(client introuvable)"))</f>
        <v/>
      </c>
      <c r="R731" s="40">
        <f>IF(O731="","",IFERROR(INDEX(Cl_reste,MATCH(O731,Cl_cle,0)),""))</f>
        <v/>
      </c>
      <c r="S731" s="34">
        <f>IF(C731="","",YEAR(C731-WEEKDAY(C731,2)+4)&amp;"-S"&amp;TEXT(INT((C731-DATE(YEAR(C731-WEEKDAY(C731,2)+4),1,3)+WEEKDAY(DATE(YEAR(C731-WEEKDAY(C731,2)+4),1,3),2)+5)/7),"00"))</f>
        <v/>
      </c>
    </row>
    <row r="732" ht="18" customHeight="1">
      <c r="A732" s="39" t="n">
        <v>727</v>
      </c>
      <c r="B732" s="33">
        <f>IF(C732="","",IF(L732="À RENSEIGNER","GIC",L732)&amp;"-E"&amp;TEXT(A732,"00000"))</f>
        <v/>
      </c>
      <c r="C732" s="32" t="n"/>
      <c r="D732" s="36" t="n"/>
      <c r="E732" s="37" t="n"/>
      <c r="F732" s="36" t="n"/>
      <c r="G732" s="44" t="n"/>
      <c r="H732" s="43" t="n"/>
      <c r="I732" s="32" t="n"/>
      <c r="J732" s="44" t="n"/>
      <c r="K732" s="36" t="n"/>
      <c r="L732" s="33">
        <f>IF(C732="","",Commercial_Id)</f>
        <v/>
      </c>
      <c r="M732" s="34">
        <f>IF(OR(C732="",F732=""),"",IF(F732&lt;&gt;"Espèces","—",IF(I732&lt;&gt;"","☑ Oui","☐ Non")))</f>
        <v/>
      </c>
      <c r="N732" s="39">
        <f>IF(D732="","",IFERROR(VALUE(MID(D732,LEN(D732)-3,3)),""))</f>
        <v/>
      </c>
      <c r="O732" s="33">
        <f>IF(N732="","",L732&amp;"|"&amp;N732)</f>
        <v/>
      </c>
      <c r="P732" s="33">
        <f>IF(N732="","",IF(L732="À RENSEIGNER","GIC",L732)&amp;"-"&amp;TEXT(N732,"000"))</f>
        <v/>
      </c>
      <c r="Q732" s="33">
        <f>IF(O732="","",IFERROR(INDEX(Cl_nom,MATCH(O732,Cl_cle,0)),"(client introuvable)"))</f>
        <v/>
      </c>
      <c r="R732" s="40">
        <f>IF(O732="","",IFERROR(INDEX(Cl_reste,MATCH(O732,Cl_cle,0)),""))</f>
        <v/>
      </c>
      <c r="S732" s="34">
        <f>IF(C732="","",YEAR(C732-WEEKDAY(C732,2)+4)&amp;"-S"&amp;TEXT(INT((C732-DATE(YEAR(C732-WEEKDAY(C732,2)+4),1,3)+WEEKDAY(DATE(YEAR(C732-WEEKDAY(C732,2)+4),1,3),2)+5)/7),"00"))</f>
        <v/>
      </c>
    </row>
    <row r="733" ht="18" customHeight="1">
      <c r="A733" s="39" t="n">
        <v>728</v>
      </c>
      <c r="B733" s="33">
        <f>IF(C733="","",IF(L733="À RENSEIGNER","GIC",L733)&amp;"-E"&amp;TEXT(A733,"00000"))</f>
        <v/>
      </c>
      <c r="C733" s="32" t="n"/>
      <c r="D733" s="36" t="n"/>
      <c r="E733" s="37" t="n"/>
      <c r="F733" s="36" t="n"/>
      <c r="G733" s="44" t="n"/>
      <c r="H733" s="43" t="n"/>
      <c r="I733" s="32" t="n"/>
      <c r="J733" s="44" t="n"/>
      <c r="K733" s="36" t="n"/>
      <c r="L733" s="33">
        <f>IF(C733="","",Commercial_Id)</f>
        <v/>
      </c>
      <c r="M733" s="34">
        <f>IF(OR(C733="",F733=""),"",IF(F733&lt;&gt;"Espèces","—",IF(I733&lt;&gt;"","☑ Oui","☐ Non")))</f>
        <v/>
      </c>
      <c r="N733" s="39">
        <f>IF(D733="","",IFERROR(VALUE(MID(D733,LEN(D733)-3,3)),""))</f>
        <v/>
      </c>
      <c r="O733" s="33">
        <f>IF(N733="","",L733&amp;"|"&amp;N733)</f>
        <v/>
      </c>
      <c r="P733" s="33">
        <f>IF(N733="","",IF(L733="À RENSEIGNER","GIC",L733)&amp;"-"&amp;TEXT(N733,"000"))</f>
        <v/>
      </c>
      <c r="Q733" s="33">
        <f>IF(O733="","",IFERROR(INDEX(Cl_nom,MATCH(O733,Cl_cle,0)),"(client introuvable)"))</f>
        <v/>
      </c>
      <c r="R733" s="40">
        <f>IF(O733="","",IFERROR(INDEX(Cl_reste,MATCH(O733,Cl_cle,0)),""))</f>
        <v/>
      </c>
      <c r="S733" s="34">
        <f>IF(C733="","",YEAR(C733-WEEKDAY(C733,2)+4)&amp;"-S"&amp;TEXT(INT((C733-DATE(YEAR(C733-WEEKDAY(C733,2)+4),1,3)+WEEKDAY(DATE(YEAR(C733-WEEKDAY(C733,2)+4),1,3),2)+5)/7),"00"))</f>
        <v/>
      </c>
    </row>
    <row r="734" ht="18" customHeight="1">
      <c r="A734" s="39" t="n">
        <v>729</v>
      </c>
      <c r="B734" s="33">
        <f>IF(C734="","",IF(L734="À RENSEIGNER","GIC",L734)&amp;"-E"&amp;TEXT(A734,"00000"))</f>
        <v/>
      </c>
      <c r="C734" s="32" t="n"/>
      <c r="D734" s="36" t="n"/>
      <c r="E734" s="37" t="n"/>
      <c r="F734" s="36" t="n"/>
      <c r="G734" s="44" t="n"/>
      <c r="H734" s="43" t="n"/>
      <c r="I734" s="32" t="n"/>
      <c r="J734" s="44" t="n"/>
      <c r="K734" s="36" t="n"/>
      <c r="L734" s="33">
        <f>IF(C734="","",Commercial_Id)</f>
        <v/>
      </c>
      <c r="M734" s="34">
        <f>IF(OR(C734="",F734=""),"",IF(F734&lt;&gt;"Espèces","—",IF(I734&lt;&gt;"","☑ Oui","☐ Non")))</f>
        <v/>
      </c>
      <c r="N734" s="39">
        <f>IF(D734="","",IFERROR(VALUE(MID(D734,LEN(D734)-3,3)),""))</f>
        <v/>
      </c>
      <c r="O734" s="33">
        <f>IF(N734="","",L734&amp;"|"&amp;N734)</f>
        <v/>
      </c>
      <c r="P734" s="33">
        <f>IF(N734="","",IF(L734="À RENSEIGNER","GIC",L734)&amp;"-"&amp;TEXT(N734,"000"))</f>
        <v/>
      </c>
      <c r="Q734" s="33">
        <f>IF(O734="","",IFERROR(INDEX(Cl_nom,MATCH(O734,Cl_cle,0)),"(client introuvable)"))</f>
        <v/>
      </c>
      <c r="R734" s="40">
        <f>IF(O734="","",IFERROR(INDEX(Cl_reste,MATCH(O734,Cl_cle,0)),""))</f>
        <v/>
      </c>
      <c r="S734" s="34">
        <f>IF(C734="","",YEAR(C734-WEEKDAY(C734,2)+4)&amp;"-S"&amp;TEXT(INT((C734-DATE(YEAR(C734-WEEKDAY(C734,2)+4),1,3)+WEEKDAY(DATE(YEAR(C734-WEEKDAY(C734,2)+4),1,3),2)+5)/7),"00"))</f>
        <v/>
      </c>
    </row>
    <row r="735" ht="18" customHeight="1">
      <c r="A735" s="39" t="n">
        <v>730</v>
      </c>
      <c r="B735" s="33">
        <f>IF(C735="","",IF(L735="À RENSEIGNER","GIC",L735)&amp;"-E"&amp;TEXT(A735,"00000"))</f>
        <v/>
      </c>
      <c r="C735" s="32" t="n"/>
      <c r="D735" s="36" t="n"/>
      <c r="E735" s="37" t="n"/>
      <c r="F735" s="36" t="n"/>
      <c r="G735" s="44" t="n"/>
      <c r="H735" s="43" t="n"/>
      <c r="I735" s="32" t="n"/>
      <c r="J735" s="44" t="n"/>
      <c r="K735" s="36" t="n"/>
      <c r="L735" s="33">
        <f>IF(C735="","",Commercial_Id)</f>
        <v/>
      </c>
      <c r="M735" s="34">
        <f>IF(OR(C735="",F735=""),"",IF(F735&lt;&gt;"Espèces","—",IF(I735&lt;&gt;"","☑ Oui","☐ Non")))</f>
        <v/>
      </c>
      <c r="N735" s="39">
        <f>IF(D735="","",IFERROR(VALUE(MID(D735,LEN(D735)-3,3)),""))</f>
        <v/>
      </c>
      <c r="O735" s="33">
        <f>IF(N735="","",L735&amp;"|"&amp;N735)</f>
        <v/>
      </c>
      <c r="P735" s="33">
        <f>IF(N735="","",IF(L735="À RENSEIGNER","GIC",L735)&amp;"-"&amp;TEXT(N735,"000"))</f>
        <v/>
      </c>
      <c r="Q735" s="33">
        <f>IF(O735="","",IFERROR(INDEX(Cl_nom,MATCH(O735,Cl_cle,0)),"(client introuvable)"))</f>
        <v/>
      </c>
      <c r="R735" s="40">
        <f>IF(O735="","",IFERROR(INDEX(Cl_reste,MATCH(O735,Cl_cle,0)),""))</f>
        <v/>
      </c>
      <c r="S735" s="34">
        <f>IF(C735="","",YEAR(C735-WEEKDAY(C735,2)+4)&amp;"-S"&amp;TEXT(INT((C735-DATE(YEAR(C735-WEEKDAY(C735,2)+4),1,3)+WEEKDAY(DATE(YEAR(C735-WEEKDAY(C735,2)+4),1,3),2)+5)/7),"00"))</f>
        <v/>
      </c>
    </row>
    <row r="736" ht="18" customHeight="1">
      <c r="A736" s="39" t="n">
        <v>731</v>
      </c>
      <c r="B736" s="33">
        <f>IF(C736="","",IF(L736="À RENSEIGNER","GIC",L736)&amp;"-E"&amp;TEXT(A736,"00000"))</f>
        <v/>
      </c>
      <c r="C736" s="32" t="n"/>
      <c r="D736" s="36" t="n"/>
      <c r="E736" s="37" t="n"/>
      <c r="F736" s="36" t="n"/>
      <c r="G736" s="44" t="n"/>
      <c r="H736" s="43" t="n"/>
      <c r="I736" s="32" t="n"/>
      <c r="J736" s="44" t="n"/>
      <c r="K736" s="36" t="n"/>
      <c r="L736" s="33">
        <f>IF(C736="","",Commercial_Id)</f>
        <v/>
      </c>
      <c r="M736" s="34">
        <f>IF(OR(C736="",F736=""),"",IF(F736&lt;&gt;"Espèces","—",IF(I736&lt;&gt;"","☑ Oui","☐ Non")))</f>
        <v/>
      </c>
      <c r="N736" s="39">
        <f>IF(D736="","",IFERROR(VALUE(MID(D736,LEN(D736)-3,3)),""))</f>
        <v/>
      </c>
      <c r="O736" s="33">
        <f>IF(N736="","",L736&amp;"|"&amp;N736)</f>
        <v/>
      </c>
      <c r="P736" s="33">
        <f>IF(N736="","",IF(L736="À RENSEIGNER","GIC",L736)&amp;"-"&amp;TEXT(N736,"000"))</f>
        <v/>
      </c>
      <c r="Q736" s="33">
        <f>IF(O736="","",IFERROR(INDEX(Cl_nom,MATCH(O736,Cl_cle,0)),"(client introuvable)"))</f>
        <v/>
      </c>
      <c r="R736" s="40">
        <f>IF(O736="","",IFERROR(INDEX(Cl_reste,MATCH(O736,Cl_cle,0)),""))</f>
        <v/>
      </c>
      <c r="S736" s="34">
        <f>IF(C736="","",YEAR(C736-WEEKDAY(C736,2)+4)&amp;"-S"&amp;TEXT(INT((C736-DATE(YEAR(C736-WEEKDAY(C736,2)+4),1,3)+WEEKDAY(DATE(YEAR(C736-WEEKDAY(C736,2)+4),1,3),2)+5)/7),"00"))</f>
        <v/>
      </c>
    </row>
    <row r="737" ht="18" customHeight="1">
      <c r="A737" s="39" t="n">
        <v>732</v>
      </c>
      <c r="B737" s="33">
        <f>IF(C737="","",IF(L737="À RENSEIGNER","GIC",L737)&amp;"-E"&amp;TEXT(A737,"00000"))</f>
        <v/>
      </c>
      <c r="C737" s="32" t="n"/>
      <c r="D737" s="36" t="n"/>
      <c r="E737" s="37" t="n"/>
      <c r="F737" s="36" t="n"/>
      <c r="G737" s="44" t="n"/>
      <c r="H737" s="43" t="n"/>
      <c r="I737" s="32" t="n"/>
      <c r="J737" s="44" t="n"/>
      <c r="K737" s="36" t="n"/>
      <c r="L737" s="33">
        <f>IF(C737="","",Commercial_Id)</f>
        <v/>
      </c>
      <c r="M737" s="34">
        <f>IF(OR(C737="",F737=""),"",IF(F737&lt;&gt;"Espèces","—",IF(I737&lt;&gt;"","☑ Oui","☐ Non")))</f>
        <v/>
      </c>
      <c r="N737" s="39">
        <f>IF(D737="","",IFERROR(VALUE(MID(D737,LEN(D737)-3,3)),""))</f>
        <v/>
      </c>
      <c r="O737" s="33">
        <f>IF(N737="","",L737&amp;"|"&amp;N737)</f>
        <v/>
      </c>
      <c r="P737" s="33">
        <f>IF(N737="","",IF(L737="À RENSEIGNER","GIC",L737)&amp;"-"&amp;TEXT(N737,"000"))</f>
        <v/>
      </c>
      <c r="Q737" s="33">
        <f>IF(O737="","",IFERROR(INDEX(Cl_nom,MATCH(O737,Cl_cle,0)),"(client introuvable)"))</f>
        <v/>
      </c>
      <c r="R737" s="40">
        <f>IF(O737="","",IFERROR(INDEX(Cl_reste,MATCH(O737,Cl_cle,0)),""))</f>
        <v/>
      </c>
      <c r="S737" s="34">
        <f>IF(C737="","",YEAR(C737-WEEKDAY(C737,2)+4)&amp;"-S"&amp;TEXT(INT((C737-DATE(YEAR(C737-WEEKDAY(C737,2)+4),1,3)+WEEKDAY(DATE(YEAR(C737-WEEKDAY(C737,2)+4),1,3),2)+5)/7),"00"))</f>
        <v/>
      </c>
    </row>
    <row r="738" ht="18" customHeight="1">
      <c r="A738" s="39" t="n">
        <v>733</v>
      </c>
      <c r="B738" s="33">
        <f>IF(C738="","",IF(L738="À RENSEIGNER","GIC",L738)&amp;"-E"&amp;TEXT(A738,"00000"))</f>
        <v/>
      </c>
      <c r="C738" s="32" t="n"/>
      <c r="D738" s="36" t="n"/>
      <c r="E738" s="37" t="n"/>
      <c r="F738" s="36" t="n"/>
      <c r="G738" s="44" t="n"/>
      <c r="H738" s="43" t="n"/>
      <c r="I738" s="32" t="n"/>
      <c r="J738" s="44" t="n"/>
      <c r="K738" s="36" t="n"/>
      <c r="L738" s="33">
        <f>IF(C738="","",Commercial_Id)</f>
        <v/>
      </c>
      <c r="M738" s="34">
        <f>IF(OR(C738="",F738=""),"",IF(F738&lt;&gt;"Espèces","—",IF(I738&lt;&gt;"","☑ Oui","☐ Non")))</f>
        <v/>
      </c>
      <c r="N738" s="39">
        <f>IF(D738="","",IFERROR(VALUE(MID(D738,LEN(D738)-3,3)),""))</f>
        <v/>
      </c>
      <c r="O738" s="33">
        <f>IF(N738="","",L738&amp;"|"&amp;N738)</f>
        <v/>
      </c>
      <c r="P738" s="33">
        <f>IF(N738="","",IF(L738="À RENSEIGNER","GIC",L738)&amp;"-"&amp;TEXT(N738,"000"))</f>
        <v/>
      </c>
      <c r="Q738" s="33">
        <f>IF(O738="","",IFERROR(INDEX(Cl_nom,MATCH(O738,Cl_cle,0)),"(client introuvable)"))</f>
        <v/>
      </c>
      <c r="R738" s="40">
        <f>IF(O738="","",IFERROR(INDEX(Cl_reste,MATCH(O738,Cl_cle,0)),""))</f>
        <v/>
      </c>
      <c r="S738" s="34">
        <f>IF(C738="","",YEAR(C738-WEEKDAY(C738,2)+4)&amp;"-S"&amp;TEXT(INT((C738-DATE(YEAR(C738-WEEKDAY(C738,2)+4),1,3)+WEEKDAY(DATE(YEAR(C738-WEEKDAY(C738,2)+4),1,3),2)+5)/7),"00"))</f>
        <v/>
      </c>
    </row>
    <row r="739" ht="18" customHeight="1">
      <c r="A739" s="39" t="n">
        <v>734</v>
      </c>
      <c r="B739" s="33">
        <f>IF(C739="","",IF(L739="À RENSEIGNER","GIC",L739)&amp;"-E"&amp;TEXT(A739,"00000"))</f>
        <v/>
      </c>
      <c r="C739" s="32" t="n"/>
      <c r="D739" s="36" t="n"/>
      <c r="E739" s="37" t="n"/>
      <c r="F739" s="36" t="n"/>
      <c r="G739" s="44" t="n"/>
      <c r="H739" s="43" t="n"/>
      <c r="I739" s="32" t="n"/>
      <c r="J739" s="44" t="n"/>
      <c r="K739" s="36" t="n"/>
      <c r="L739" s="33">
        <f>IF(C739="","",Commercial_Id)</f>
        <v/>
      </c>
      <c r="M739" s="34">
        <f>IF(OR(C739="",F739=""),"",IF(F739&lt;&gt;"Espèces","—",IF(I739&lt;&gt;"","☑ Oui","☐ Non")))</f>
        <v/>
      </c>
      <c r="N739" s="39">
        <f>IF(D739="","",IFERROR(VALUE(MID(D739,LEN(D739)-3,3)),""))</f>
        <v/>
      </c>
      <c r="O739" s="33">
        <f>IF(N739="","",L739&amp;"|"&amp;N739)</f>
        <v/>
      </c>
      <c r="P739" s="33">
        <f>IF(N739="","",IF(L739="À RENSEIGNER","GIC",L739)&amp;"-"&amp;TEXT(N739,"000"))</f>
        <v/>
      </c>
      <c r="Q739" s="33">
        <f>IF(O739="","",IFERROR(INDEX(Cl_nom,MATCH(O739,Cl_cle,0)),"(client introuvable)"))</f>
        <v/>
      </c>
      <c r="R739" s="40">
        <f>IF(O739="","",IFERROR(INDEX(Cl_reste,MATCH(O739,Cl_cle,0)),""))</f>
        <v/>
      </c>
      <c r="S739" s="34">
        <f>IF(C739="","",YEAR(C739-WEEKDAY(C739,2)+4)&amp;"-S"&amp;TEXT(INT((C739-DATE(YEAR(C739-WEEKDAY(C739,2)+4),1,3)+WEEKDAY(DATE(YEAR(C739-WEEKDAY(C739,2)+4),1,3),2)+5)/7),"00"))</f>
        <v/>
      </c>
    </row>
    <row r="740" ht="18" customHeight="1">
      <c r="A740" s="39" t="n">
        <v>735</v>
      </c>
      <c r="B740" s="33">
        <f>IF(C740="","",IF(L740="À RENSEIGNER","GIC",L740)&amp;"-E"&amp;TEXT(A740,"00000"))</f>
        <v/>
      </c>
      <c r="C740" s="32" t="n"/>
      <c r="D740" s="36" t="n"/>
      <c r="E740" s="37" t="n"/>
      <c r="F740" s="36" t="n"/>
      <c r="G740" s="44" t="n"/>
      <c r="H740" s="43" t="n"/>
      <c r="I740" s="32" t="n"/>
      <c r="J740" s="44" t="n"/>
      <c r="K740" s="36" t="n"/>
      <c r="L740" s="33">
        <f>IF(C740="","",Commercial_Id)</f>
        <v/>
      </c>
      <c r="M740" s="34">
        <f>IF(OR(C740="",F740=""),"",IF(F740&lt;&gt;"Espèces","—",IF(I740&lt;&gt;"","☑ Oui","☐ Non")))</f>
        <v/>
      </c>
      <c r="N740" s="39">
        <f>IF(D740="","",IFERROR(VALUE(MID(D740,LEN(D740)-3,3)),""))</f>
        <v/>
      </c>
      <c r="O740" s="33">
        <f>IF(N740="","",L740&amp;"|"&amp;N740)</f>
        <v/>
      </c>
      <c r="P740" s="33">
        <f>IF(N740="","",IF(L740="À RENSEIGNER","GIC",L740)&amp;"-"&amp;TEXT(N740,"000"))</f>
        <v/>
      </c>
      <c r="Q740" s="33">
        <f>IF(O740="","",IFERROR(INDEX(Cl_nom,MATCH(O740,Cl_cle,0)),"(client introuvable)"))</f>
        <v/>
      </c>
      <c r="R740" s="40">
        <f>IF(O740="","",IFERROR(INDEX(Cl_reste,MATCH(O740,Cl_cle,0)),""))</f>
        <v/>
      </c>
      <c r="S740" s="34">
        <f>IF(C740="","",YEAR(C740-WEEKDAY(C740,2)+4)&amp;"-S"&amp;TEXT(INT((C740-DATE(YEAR(C740-WEEKDAY(C740,2)+4),1,3)+WEEKDAY(DATE(YEAR(C740-WEEKDAY(C740,2)+4),1,3),2)+5)/7),"00"))</f>
        <v/>
      </c>
    </row>
    <row r="741" ht="18" customHeight="1">
      <c r="A741" s="39" t="n">
        <v>736</v>
      </c>
      <c r="B741" s="33">
        <f>IF(C741="","",IF(L741="À RENSEIGNER","GIC",L741)&amp;"-E"&amp;TEXT(A741,"00000"))</f>
        <v/>
      </c>
      <c r="C741" s="32" t="n"/>
      <c r="D741" s="36" t="n"/>
      <c r="E741" s="37" t="n"/>
      <c r="F741" s="36" t="n"/>
      <c r="G741" s="44" t="n"/>
      <c r="H741" s="43" t="n"/>
      <c r="I741" s="32" t="n"/>
      <c r="J741" s="44" t="n"/>
      <c r="K741" s="36" t="n"/>
      <c r="L741" s="33">
        <f>IF(C741="","",Commercial_Id)</f>
        <v/>
      </c>
      <c r="M741" s="34">
        <f>IF(OR(C741="",F741=""),"",IF(F741&lt;&gt;"Espèces","—",IF(I741&lt;&gt;"","☑ Oui","☐ Non")))</f>
        <v/>
      </c>
      <c r="N741" s="39">
        <f>IF(D741="","",IFERROR(VALUE(MID(D741,LEN(D741)-3,3)),""))</f>
        <v/>
      </c>
      <c r="O741" s="33">
        <f>IF(N741="","",L741&amp;"|"&amp;N741)</f>
        <v/>
      </c>
      <c r="P741" s="33">
        <f>IF(N741="","",IF(L741="À RENSEIGNER","GIC",L741)&amp;"-"&amp;TEXT(N741,"000"))</f>
        <v/>
      </c>
      <c r="Q741" s="33">
        <f>IF(O741="","",IFERROR(INDEX(Cl_nom,MATCH(O741,Cl_cle,0)),"(client introuvable)"))</f>
        <v/>
      </c>
      <c r="R741" s="40">
        <f>IF(O741="","",IFERROR(INDEX(Cl_reste,MATCH(O741,Cl_cle,0)),""))</f>
        <v/>
      </c>
      <c r="S741" s="34">
        <f>IF(C741="","",YEAR(C741-WEEKDAY(C741,2)+4)&amp;"-S"&amp;TEXT(INT((C741-DATE(YEAR(C741-WEEKDAY(C741,2)+4),1,3)+WEEKDAY(DATE(YEAR(C741-WEEKDAY(C741,2)+4),1,3),2)+5)/7),"00"))</f>
        <v/>
      </c>
    </row>
    <row r="742" ht="18" customHeight="1">
      <c r="A742" s="39" t="n">
        <v>737</v>
      </c>
      <c r="B742" s="33">
        <f>IF(C742="","",IF(L742="À RENSEIGNER","GIC",L742)&amp;"-E"&amp;TEXT(A742,"00000"))</f>
        <v/>
      </c>
      <c r="C742" s="32" t="n"/>
      <c r="D742" s="36" t="n"/>
      <c r="E742" s="37" t="n"/>
      <c r="F742" s="36" t="n"/>
      <c r="G742" s="44" t="n"/>
      <c r="H742" s="43" t="n"/>
      <c r="I742" s="32" t="n"/>
      <c r="J742" s="44" t="n"/>
      <c r="K742" s="36" t="n"/>
      <c r="L742" s="33">
        <f>IF(C742="","",Commercial_Id)</f>
        <v/>
      </c>
      <c r="M742" s="34">
        <f>IF(OR(C742="",F742=""),"",IF(F742&lt;&gt;"Espèces","—",IF(I742&lt;&gt;"","☑ Oui","☐ Non")))</f>
        <v/>
      </c>
      <c r="N742" s="39">
        <f>IF(D742="","",IFERROR(VALUE(MID(D742,LEN(D742)-3,3)),""))</f>
        <v/>
      </c>
      <c r="O742" s="33">
        <f>IF(N742="","",L742&amp;"|"&amp;N742)</f>
        <v/>
      </c>
      <c r="P742" s="33">
        <f>IF(N742="","",IF(L742="À RENSEIGNER","GIC",L742)&amp;"-"&amp;TEXT(N742,"000"))</f>
        <v/>
      </c>
      <c r="Q742" s="33">
        <f>IF(O742="","",IFERROR(INDEX(Cl_nom,MATCH(O742,Cl_cle,0)),"(client introuvable)"))</f>
        <v/>
      </c>
      <c r="R742" s="40">
        <f>IF(O742="","",IFERROR(INDEX(Cl_reste,MATCH(O742,Cl_cle,0)),""))</f>
        <v/>
      </c>
      <c r="S742" s="34">
        <f>IF(C742="","",YEAR(C742-WEEKDAY(C742,2)+4)&amp;"-S"&amp;TEXT(INT((C742-DATE(YEAR(C742-WEEKDAY(C742,2)+4),1,3)+WEEKDAY(DATE(YEAR(C742-WEEKDAY(C742,2)+4),1,3),2)+5)/7),"00"))</f>
        <v/>
      </c>
    </row>
    <row r="743" ht="18" customHeight="1">
      <c r="A743" s="39" t="n">
        <v>738</v>
      </c>
      <c r="B743" s="33">
        <f>IF(C743="","",IF(L743="À RENSEIGNER","GIC",L743)&amp;"-E"&amp;TEXT(A743,"00000"))</f>
        <v/>
      </c>
      <c r="C743" s="32" t="n"/>
      <c r="D743" s="36" t="n"/>
      <c r="E743" s="37" t="n"/>
      <c r="F743" s="36" t="n"/>
      <c r="G743" s="44" t="n"/>
      <c r="H743" s="43" t="n"/>
      <c r="I743" s="32" t="n"/>
      <c r="J743" s="44" t="n"/>
      <c r="K743" s="36" t="n"/>
      <c r="L743" s="33">
        <f>IF(C743="","",Commercial_Id)</f>
        <v/>
      </c>
      <c r="M743" s="34">
        <f>IF(OR(C743="",F743=""),"",IF(F743&lt;&gt;"Espèces","—",IF(I743&lt;&gt;"","☑ Oui","☐ Non")))</f>
        <v/>
      </c>
      <c r="N743" s="39">
        <f>IF(D743="","",IFERROR(VALUE(MID(D743,LEN(D743)-3,3)),""))</f>
        <v/>
      </c>
      <c r="O743" s="33">
        <f>IF(N743="","",L743&amp;"|"&amp;N743)</f>
        <v/>
      </c>
      <c r="P743" s="33">
        <f>IF(N743="","",IF(L743="À RENSEIGNER","GIC",L743)&amp;"-"&amp;TEXT(N743,"000"))</f>
        <v/>
      </c>
      <c r="Q743" s="33">
        <f>IF(O743="","",IFERROR(INDEX(Cl_nom,MATCH(O743,Cl_cle,0)),"(client introuvable)"))</f>
        <v/>
      </c>
      <c r="R743" s="40">
        <f>IF(O743="","",IFERROR(INDEX(Cl_reste,MATCH(O743,Cl_cle,0)),""))</f>
        <v/>
      </c>
      <c r="S743" s="34">
        <f>IF(C743="","",YEAR(C743-WEEKDAY(C743,2)+4)&amp;"-S"&amp;TEXT(INT((C743-DATE(YEAR(C743-WEEKDAY(C743,2)+4),1,3)+WEEKDAY(DATE(YEAR(C743-WEEKDAY(C743,2)+4),1,3),2)+5)/7),"00"))</f>
        <v/>
      </c>
    </row>
    <row r="744" ht="18" customHeight="1">
      <c r="A744" s="39" t="n">
        <v>739</v>
      </c>
      <c r="B744" s="33">
        <f>IF(C744="","",IF(L744="À RENSEIGNER","GIC",L744)&amp;"-E"&amp;TEXT(A744,"00000"))</f>
        <v/>
      </c>
      <c r="C744" s="32" t="n"/>
      <c r="D744" s="36" t="n"/>
      <c r="E744" s="37" t="n"/>
      <c r="F744" s="36" t="n"/>
      <c r="G744" s="44" t="n"/>
      <c r="H744" s="43" t="n"/>
      <c r="I744" s="32" t="n"/>
      <c r="J744" s="44" t="n"/>
      <c r="K744" s="36" t="n"/>
      <c r="L744" s="33">
        <f>IF(C744="","",Commercial_Id)</f>
        <v/>
      </c>
      <c r="M744" s="34">
        <f>IF(OR(C744="",F744=""),"",IF(F744&lt;&gt;"Espèces","—",IF(I744&lt;&gt;"","☑ Oui","☐ Non")))</f>
        <v/>
      </c>
      <c r="N744" s="39">
        <f>IF(D744="","",IFERROR(VALUE(MID(D744,LEN(D744)-3,3)),""))</f>
        <v/>
      </c>
      <c r="O744" s="33">
        <f>IF(N744="","",L744&amp;"|"&amp;N744)</f>
        <v/>
      </c>
      <c r="P744" s="33">
        <f>IF(N744="","",IF(L744="À RENSEIGNER","GIC",L744)&amp;"-"&amp;TEXT(N744,"000"))</f>
        <v/>
      </c>
      <c r="Q744" s="33">
        <f>IF(O744="","",IFERROR(INDEX(Cl_nom,MATCH(O744,Cl_cle,0)),"(client introuvable)"))</f>
        <v/>
      </c>
      <c r="R744" s="40">
        <f>IF(O744="","",IFERROR(INDEX(Cl_reste,MATCH(O744,Cl_cle,0)),""))</f>
        <v/>
      </c>
      <c r="S744" s="34">
        <f>IF(C744="","",YEAR(C744-WEEKDAY(C744,2)+4)&amp;"-S"&amp;TEXT(INT((C744-DATE(YEAR(C744-WEEKDAY(C744,2)+4),1,3)+WEEKDAY(DATE(YEAR(C744-WEEKDAY(C744,2)+4),1,3),2)+5)/7),"00"))</f>
        <v/>
      </c>
    </row>
    <row r="745" ht="18" customHeight="1">
      <c r="A745" s="39" t="n">
        <v>740</v>
      </c>
      <c r="B745" s="33">
        <f>IF(C745="","",IF(L745="À RENSEIGNER","GIC",L745)&amp;"-E"&amp;TEXT(A745,"00000"))</f>
        <v/>
      </c>
      <c r="C745" s="32" t="n"/>
      <c r="D745" s="36" t="n"/>
      <c r="E745" s="37" t="n"/>
      <c r="F745" s="36" t="n"/>
      <c r="G745" s="44" t="n"/>
      <c r="H745" s="43" t="n"/>
      <c r="I745" s="32" t="n"/>
      <c r="J745" s="44" t="n"/>
      <c r="K745" s="36" t="n"/>
      <c r="L745" s="33">
        <f>IF(C745="","",Commercial_Id)</f>
        <v/>
      </c>
      <c r="M745" s="34">
        <f>IF(OR(C745="",F745=""),"",IF(F745&lt;&gt;"Espèces","—",IF(I745&lt;&gt;"","☑ Oui","☐ Non")))</f>
        <v/>
      </c>
      <c r="N745" s="39">
        <f>IF(D745="","",IFERROR(VALUE(MID(D745,LEN(D745)-3,3)),""))</f>
        <v/>
      </c>
      <c r="O745" s="33">
        <f>IF(N745="","",L745&amp;"|"&amp;N745)</f>
        <v/>
      </c>
      <c r="P745" s="33">
        <f>IF(N745="","",IF(L745="À RENSEIGNER","GIC",L745)&amp;"-"&amp;TEXT(N745,"000"))</f>
        <v/>
      </c>
      <c r="Q745" s="33">
        <f>IF(O745="","",IFERROR(INDEX(Cl_nom,MATCH(O745,Cl_cle,0)),"(client introuvable)"))</f>
        <v/>
      </c>
      <c r="R745" s="40">
        <f>IF(O745="","",IFERROR(INDEX(Cl_reste,MATCH(O745,Cl_cle,0)),""))</f>
        <v/>
      </c>
      <c r="S745" s="34">
        <f>IF(C745="","",YEAR(C745-WEEKDAY(C745,2)+4)&amp;"-S"&amp;TEXT(INT((C745-DATE(YEAR(C745-WEEKDAY(C745,2)+4),1,3)+WEEKDAY(DATE(YEAR(C745-WEEKDAY(C745,2)+4),1,3),2)+5)/7),"00"))</f>
        <v/>
      </c>
    </row>
    <row r="746" ht="18" customHeight="1">
      <c r="A746" s="39" t="n">
        <v>741</v>
      </c>
      <c r="B746" s="33">
        <f>IF(C746="","",IF(L746="À RENSEIGNER","GIC",L746)&amp;"-E"&amp;TEXT(A746,"00000"))</f>
        <v/>
      </c>
      <c r="C746" s="32" t="n"/>
      <c r="D746" s="36" t="n"/>
      <c r="E746" s="37" t="n"/>
      <c r="F746" s="36" t="n"/>
      <c r="G746" s="44" t="n"/>
      <c r="H746" s="43" t="n"/>
      <c r="I746" s="32" t="n"/>
      <c r="J746" s="44" t="n"/>
      <c r="K746" s="36" t="n"/>
      <c r="L746" s="33">
        <f>IF(C746="","",Commercial_Id)</f>
        <v/>
      </c>
      <c r="M746" s="34">
        <f>IF(OR(C746="",F746=""),"",IF(F746&lt;&gt;"Espèces","—",IF(I746&lt;&gt;"","☑ Oui","☐ Non")))</f>
        <v/>
      </c>
      <c r="N746" s="39">
        <f>IF(D746="","",IFERROR(VALUE(MID(D746,LEN(D746)-3,3)),""))</f>
        <v/>
      </c>
      <c r="O746" s="33">
        <f>IF(N746="","",L746&amp;"|"&amp;N746)</f>
        <v/>
      </c>
      <c r="P746" s="33">
        <f>IF(N746="","",IF(L746="À RENSEIGNER","GIC",L746)&amp;"-"&amp;TEXT(N746,"000"))</f>
        <v/>
      </c>
      <c r="Q746" s="33">
        <f>IF(O746="","",IFERROR(INDEX(Cl_nom,MATCH(O746,Cl_cle,0)),"(client introuvable)"))</f>
        <v/>
      </c>
      <c r="R746" s="40">
        <f>IF(O746="","",IFERROR(INDEX(Cl_reste,MATCH(O746,Cl_cle,0)),""))</f>
        <v/>
      </c>
      <c r="S746" s="34">
        <f>IF(C746="","",YEAR(C746-WEEKDAY(C746,2)+4)&amp;"-S"&amp;TEXT(INT((C746-DATE(YEAR(C746-WEEKDAY(C746,2)+4),1,3)+WEEKDAY(DATE(YEAR(C746-WEEKDAY(C746,2)+4),1,3),2)+5)/7),"00"))</f>
        <v/>
      </c>
    </row>
    <row r="747" ht="18" customHeight="1">
      <c r="A747" s="39" t="n">
        <v>742</v>
      </c>
      <c r="B747" s="33">
        <f>IF(C747="","",IF(L747="À RENSEIGNER","GIC",L747)&amp;"-E"&amp;TEXT(A747,"00000"))</f>
        <v/>
      </c>
      <c r="C747" s="32" t="n"/>
      <c r="D747" s="36" t="n"/>
      <c r="E747" s="37" t="n"/>
      <c r="F747" s="36" t="n"/>
      <c r="G747" s="44" t="n"/>
      <c r="H747" s="43" t="n"/>
      <c r="I747" s="32" t="n"/>
      <c r="J747" s="44" t="n"/>
      <c r="K747" s="36" t="n"/>
      <c r="L747" s="33">
        <f>IF(C747="","",Commercial_Id)</f>
        <v/>
      </c>
      <c r="M747" s="34">
        <f>IF(OR(C747="",F747=""),"",IF(F747&lt;&gt;"Espèces","—",IF(I747&lt;&gt;"","☑ Oui","☐ Non")))</f>
        <v/>
      </c>
      <c r="N747" s="39">
        <f>IF(D747="","",IFERROR(VALUE(MID(D747,LEN(D747)-3,3)),""))</f>
        <v/>
      </c>
      <c r="O747" s="33">
        <f>IF(N747="","",L747&amp;"|"&amp;N747)</f>
        <v/>
      </c>
      <c r="P747" s="33">
        <f>IF(N747="","",IF(L747="À RENSEIGNER","GIC",L747)&amp;"-"&amp;TEXT(N747,"000"))</f>
        <v/>
      </c>
      <c r="Q747" s="33">
        <f>IF(O747="","",IFERROR(INDEX(Cl_nom,MATCH(O747,Cl_cle,0)),"(client introuvable)"))</f>
        <v/>
      </c>
      <c r="R747" s="40">
        <f>IF(O747="","",IFERROR(INDEX(Cl_reste,MATCH(O747,Cl_cle,0)),""))</f>
        <v/>
      </c>
      <c r="S747" s="34">
        <f>IF(C747="","",YEAR(C747-WEEKDAY(C747,2)+4)&amp;"-S"&amp;TEXT(INT((C747-DATE(YEAR(C747-WEEKDAY(C747,2)+4),1,3)+WEEKDAY(DATE(YEAR(C747-WEEKDAY(C747,2)+4),1,3),2)+5)/7),"00"))</f>
        <v/>
      </c>
    </row>
    <row r="748" ht="18" customHeight="1">
      <c r="A748" s="39" t="n">
        <v>743</v>
      </c>
      <c r="B748" s="33">
        <f>IF(C748="","",IF(L748="À RENSEIGNER","GIC",L748)&amp;"-E"&amp;TEXT(A748,"00000"))</f>
        <v/>
      </c>
      <c r="C748" s="32" t="n"/>
      <c r="D748" s="36" t="n"/>
      <c r="E748" s="37" t="n"/>
      <c r="F748" s="36" t="n"/>
      <c r="G748" s="44" t="n"/>
      <c r="H748" s="43" t="n"/>
      <c r="I748" s="32" t="n"/>
      <c r="J748" s="44" t="n"/>
      <c r="K748" s="36" t="n"/>
      <c r="L748" s="33">
        <f>IF(C748="","",Commercial_Id)</f>
        <v/>
      </c>
      <c r="M748" s="34">
        <f>IF(OR(C748="",F748=""),"",IF(F748&lt;&gt;"Espèces","—",IF(I748&lt;&gt;"","☑ Oui","☐ Non")))</f>
        <v/>
      </c>
      <c r="N748" s="39">
        <f>IF(D748="","",IFERROR(VALUE(MID(D748,LEN(D748)-3,3)),""))</f>
        <v/>
      </c>
      <c r="O748" s="33">
        <f>IF(N748="","",L748&amp;"|"&amp;N748)</f>
        <v/>
      </c>
      <c r="P748" s="33">
        <f>IF(N748="","",IF(L748="À RENSEIGNER","GIC",L748)&amp;"-"&amp;TEXT(N748,"000"))</f>
        <v/>
      </c>
      <c r="Q748" s="33">
        <f>IF(O748="","",IFERROR(INDEX(Cl_nom,MATCH(O748,Cl_cle,0)),"(client introuvable)"))</f>
        <v/>
      </c>
      <c r="R748" s="40">
        <f>IF(O748="","",IFERROR(INDEX(Cl_reste,MATCH(O748,Cl_cle,0)),""))</f>
        <v/>
      </c>
      <c r="S748" s="34">
        <f>IF(C748="","",YEAR(C748-WEEKDAY(C748,2)+4)&amp;"-S"&amp;TEXT(INT((C748-DATE(YEAR(C748-WEEKDAY(C748,2)+4),1,3)+WEEKDAY(DATE(YEAR(C748-WEEKDAY(C748,2)+4),1,3),2)+5)/7),"00"))</f>
        <v/>
      </c>
    </row>
    <row r="749" ht="18" customHeight="1">
      <c r="A749" s="39" t="n">
        <v>744</v>
      </c>
      <c r="B749" s="33">
        <f>IF(C749="","",IF(L749="À RENSEIGNER","GIC",L749)&amp;"-E"&amp;TEXT(A749,"00000"))</f>
        <v/>
      </c>
      <c r="C749" s="32" t="n"/>
      <c r="D749" s="36" t="n"/>
      <c r="E749" s="37" t="n"/>
      <c r="F749" s="36" t="n"/>
      <c r="G749" s="44" t="n"/>
      <c r="H749" s="43" t="n"/>
      <c r="I749" s="32" t="n"/>
      <c r="J749" s="44" t="n"/>
      <c r="K749" s="36" t="n"/>
      <c r="L749" s="33">
        <f>IF(C749="","",Commercial_Id)</f>
        <v/>
      </c>
      <c r="M749" s="34">
        <f>IF(OR(C749="",F749=""),"",IF(F749&lt;&gt;"Espèces","—",IF(I749&lt;&gt;"","☑ Oui","☐ Non")))</f>
        <v/>
      </c>
      <c r="N749" s="39">
        <f>IF(D749="","",IFERROR(VALUE(MID(D749,LEN(D749)-3,3)),""))</f>
        <v/>
      </c>
      <c r="O749" s="33">
        <f>IF(N749="","",L749&amp;"|"&amp;N749)</f>
        <v/>
      </c>
      <c r="P749" s="33">
        <f>IF(N749="","",IF(L749="À RENSEIGNER","GIC",L749)&amp;"-"&amp;TEXT(N749,"000"))</f>
        <v/>
      </c>
      <c r="Q749" s="33">
        <f>IF(O749="","",IFERROR(INDEX(Cl_nom,MATCH(O749,Cl_cle,0)),"(client introuvable)"))</f>
        <v/>
      </c>
      <c r="R749" s="40">
        <f>IF(O749="","",IFERROR(INDEX(Cl_reste,MATCH(O749,Cl_cle,0)),""))</f>
        <v/>
      </c>
      <c r="S749" s="34">
        <f>IF(C749="","",YEAR(C749-WEEKDAY(C749,2)+4)&amp;"-S"&amp;TEXT(INT((C749-DATE(YEAR(C749-WEEKDAY(C749,2)+4),1,3)+WEEKDAY(DATE(YEAR(C749-WEEKDAY(C749,2)+4),1,3),2)+5)/7),"00"))</f>
        <v/>
      </c>
    </row>
    <row r="750" ht="18" customHeight="1">
      <c r="A750" s="39" t="n">
        <v>745</v>
      </c>
      <c r="B750" s="33">
        <f>IF(C750="","",IF(L750="À RENSEIGNER","GIC",L750)&amp;"-E"&amp;TEXT(A750,"00000"))</f>
        <v/>
      </c>
      <c r="C750" s="32" t="n"/>
      <c r="D750" s="36" t="n"/>
      <c r="E750" s="37" t="n"/>
      <c r="F750" s="36" t="n"/>
      <c r="G750" s="44" t="n"/>
      <c r="H750" s="43" t="n"/>
      <c r="I750" s="32" t="n"/>
      <c r="J750" s="44" t="n"/>
      <c r="K750" s="36" t="n"/>
      <c r="L750" s="33">
        <f>IF(C750="","",Commercial_Id)</f>
        <v/>
      </c>
      <c r="M750" s="34">
        <f>IF(OR(C750="",F750=""),"",IF(F750&lt;&gt;"Espèces","—",IF(I750&lt;&gt;"","☑ Oui","☐ Non")))</f>
        <v/>
      </c>
      <c r="N750" s="39">
        <f>IF(D750="","",IFERROR(VALUE(MID(D750,LEN(D750)-3,3)),""))</f>
        <v/>
      </c>
      <c r="O750" s="33">
        <f>IF(N750="","",L750&amp;"|"&amp;N750)</f>
        <v/>
      </c>
      <c r="P750" s="33">
        <f>IF(N750="","",IF(L750="À RENSEIGNER","GIC",L750)&amp;"-"&amp;TEXT(N750,"000"))</f>
        <v/>
      </c>
      <c r="Q750" s="33">
        <f>IF(O750="","",IFERROR(INDEX(Cl_nom,MATCH(O750,Cl_cle,0)),"(client introuvable)"))</f>
        <v/>
      </c>
      <c r="R750" s="40">
        <f>IF(O750="","",IFERROR(INDEX(Cl_reste,MATCH(O750,Cl_cle,0)),""))</f>
        <v/>
      </c>
      <c r="S750" s="34">
        <f>IF(C750="","",YEAR(C750-WEEKDAY(C750,2)+4)&amp;"-S"&amp;TEXT(INT((C750-DATE(YEAR(C750-WEEKDAY(C750,2)+4),1,3)+WEEKDAY(DATE(YEAR(C750-WEEKDAY(C750,2)+4),1,3),2)+5)/7),"00"))</f>
        <v/>
      </c>
    </row>
    <row r="751" ht="18" customHeight="1">
      <c r="A751" s="39" t="n">
        <v>746</v>
      </c>
      <c r="B751" s="33">
        <f>IF(C751="","",IF(L751="À RENSEIGNER","GIC",L751)&amp;"-E"&amp;TEXT(A751,"00000"))</f>
        <v/>
      </c>
      <c r="C751" s="32" t="n"/>
      <c r="D751" s="36" t="n"/>
      <c r="E751" s="37" t="n"/>
      <c r="F751" s="36" t="n"/>
      <c r="G751" s="44" t="n"/>
      <c r="H751" s="43" t="n"/>
      <c r="I751" s="32" t="n"/>
      <c r="J751" s="44" t="n"/>
      <c r="K751" s="36" t="n"/>
      <c r="L751" s="33">
        <f>IF(C751="","",Commercial_Id)</f>
        <v/>
      </c>
      <c r="M751" s="34">
        <f>IF(OR(C751="",F751=""),"",IF(F751&lt;&gt;"Espèces","—",IF(I751&lt;&gt;"","☑ Oui","☐ Non")))</f>
        <v/>
      </c>
      <c r="N751" s="39">
        <f>IF(D751="","",IFERROR(VALUE(MID(D751,LEN(D751)-3,3)),""))</f>
        <v/>
      </c>
      <c r="O751" s="33">
        <f>IF(N751="","",L751&amp;"|"&amp;N751)</f>
        <v/>
      </c>
      <c r="P751" s="33">
        <f>IF(N751="","",IF(L751="À RENSEIGNER","GIC",L751)&amp;"-"&amp;TEXT(N751,"000"))</f>
        <v/>
      </c>
      <c r="Q751" s="33">
        <f>IF(O751="","",IFERROR(INDEX(Cl_nom,MATCH(O751,Cl_cle,0)),"(client introuvable)"))</f>
        <v/>
      </c>
      <c r="R751" s="40">
        <f>IF(O751="","",IFERROR(INDEX(Cl_reste,MATCH(O751,Cl_cle,0)),""))</f>
        <v/>
      </c>
      <c r="S751" s="34">
        <f>IF(C751="","",YEAR(C751-WEEKDAY(C751,2)+4)&amp;"-S"&amp;TEXT(INT((C751-DATE(YEAR(C751-WEEKDAY(C751,2)+4),1,3)+WEEKDAY(DATE(YEAR(C751-WEEKDAY(C751,2)+4),1,3),2)+5)/7),"00"))</f>
        <v/>
      </c>
    </row>
    <row r="752" ht="18" customHeight="1">
      <c r="A752" s="39" t="n">
        <v>747</v>
      </c>
      <c r="B752" s="33">
        <f>IF(C752="","",IF(L752="À RENSEIGNER","GIC",L752)&amp;"-E"&amp;TEXT(A752,"00000"))</f>
        <v/>
      </c>
      <c r="C752" s="32" t="n"/>
      <c r="D752" s="36" t="n"/>
      <c r="E752" s="37" t="n"/>
      <c r="F752" s="36" t="n"/>
      <c r="G752" s="44" t="n"/>
      <c r="H752" s="43" t="n"/>
      <c r="I752" s="32" t="n"/>
      <c r="J752" s="44" t="n"/>
      <c r="K752" s="36" t="n"/>
      <c r="L752" s="33">
        <f>IF(C752="","",Commercial_Id)</f>
        <v/>
      </c>
      <c r="M752" s="34">
        <f>IF(OR(C752="",F752=""),"",IF(F752&lt;&gt;"Espèces","—",IF(I752&lt;&gt;"","☑ Oui","☐ Non")))</f>
        <v/>
      </c>
      <c r="N752" s="39">
        <f>IF(D752="","",IFERROR(VALUE(MID(D752,LEN(D752)-3,3)),""))</f>
        <v/>
      </c>
      <c r="O752" s="33">
        <f>IF(N752="","",L752&amp;"|"&amp;N752)</f>
        <v/>
      </c>
      <c r="P752" s="33">
        <f>IF(N752="","",IF(L752="À RENSEIGNER","GIC",L752)&amp;"-"&amp;TEXT(N752,"000"))</f>
        <v/>
      </c>
      <c r="Q752" s="33">
        <f>IF(O752="","",IFERROR(INDEX(Cl_nom,MATCH(O752,Cl_cle,0)),"(client introuvable)"))</f>
        <v/>
      </c>
      <c r="R752" s="40">
        <f>IF(O752="","",IFERROR(INDEX(Cl_reste,MATCH(O752,Cl_cle,0)),""))</f>
        <v/>
      </c>
      <c r="S752" s="34">
        <f>IF(C752="","",YEAR(C752-WEEKDAY(C752,2)+4)&amp;"-S"&amp;TEXT(INT((C752-DATE(YEAR(C752-WEEKDAY(C752,2)+4),1,3)+WEEKDAY(DATE(YEAR(C752-WEEKDAY(C752,2)+4),1,3),2)+5)/7),"00"))</f>
        <v/>
      </c>
    </row>
    <row r="753" ht="18" customHeight="1">
      <c r="A753" s="39" t="n">
        <v>748</v>
      </c>
      <c r="B753" s="33">
        <f>IF(C753="","",IF(L753="À RENSEIGNER","GIC",L753)&amp;"-E"&amp;TEXT(A753,"00000"))</f>
        <v/>
      </c>
      <c r="C753" s="32" t="n"/>
      <c r="D753" s="36" t="n"/>
      <c r="E753" s="37" t="n"/>
      <c r="F753" s="36" t="n"/>
      <c r="G753" s="44" t="n"/>
      <c r="H753" s="43" t="n"/>
      <c r="I753" s="32" t="n"/>
      <c r="J753" s="44" t="n"/>
      <c r="K753" s="36" t="n"/>
      <c r="L753" s="33">
        <f>IF(C753="","",Commercial_Id)</f>
        <v/>
      </c>
      <c r="M753" s="34">
        <f>IF(OR(C753="",F753=""),"",IF(F753&lt;&gt;"Espèces","—",IF(I753&lt;&gt;"","☑ Oui","☐ Non")))</f>
        <v/>
      </c>
      <c r="N753" s="39">
        <f>IF(D753="","",IFERROR(VALUE(MID(D753,LEN(D753)-3,3)),""))</f>
        <v/>
      </c>
      <c r="O753" s="33">
        <f>IF(N753="","",L753&amp;"|"&amp;N753)</f>
        <v/>
      </c>
      <c r="P753" s="33">
        <f>IF(N753="","",IF(L753="À RENSEIGNER","GIC",L753)&amp;"-"&amp;TEXT(N753,"000"))</f>
        <v/>
      </c>
      <c r="Q753" s="33">
        <f>IF(O753="","",IFERROR(INDEX(Cl_nom,MATCH(O753,Cl_cle,0)),"(client introuvable)"))</f>
        <v/>
      </c>
      <c r="R753" s="40">
        <f>IF(O753="","",IFERROR(INDEX(Cl_reste,MATCH(O753,Cl_cle,0)),""))</f>
        <v/>
      </c>
      <c r="S753" s="34">
        <f>IF(C753="","",YEAR(C753-WEEKDAY(C753,2)+4)&amp;"-S"&amp;TEXT(INT((C753-DATE(YEAR(C753-WEEKDAY(C753,2)+4),1,3)+WEEKDAY(DATE(YEAR(C753-WEEKDAY(C753,2)+4),1,3),2)+5)/7),"00"))</f>
        <v/>
      </c>
    </row>
    <row r="754" ht="18" customHeight="1">
      <c r="A754" s="39" t="n">
        <v>749</v>
      </c>
      <c r="B754" s="33">
        <f>IF(C754="","",IF(L754="À RENSEIGNER","GIC",L754)&amp;"-E"&amp;TEXT(A754,"00000"))</f>
        <v/>
      </c>
      <c r="C754" s="32" t="n"/>
      <c r="D754" s="36" t="n"/>
      <c r="E754" s="37" t="n"/>
      <c r="F754" s="36" t="n"/>
      <c r="G754" s="44" t="n"/>
      <c r="H754" s="43" t="n"/>
      <c r="I754" s="32" t="n"/>
      <c r="J754" s="44" t="n"/>
      <c r="K754" s="36" t="n"/>
      <c r="L754" s="33">
        <f>IF(C754="","",Commercial_Id)</f>
        <v/>
      </c>
      <c r="M754" s="34">
        <f>IF(OR(C754="",F754=""),"",IF(F754&lt;&gt;"Espèces","—",IF(I754&lt;&gt;"","☑ Oui","☐ Non")))</f>
        <v/>
      </c>
      <c r="N754" s="39">
        <f>IF(D754="","",IFERROR(VALUE(MID(D754,LEN(D754)-3,3)),""))</f>
        <v/>
      </c>
      <c r="O754" s="33">
        <f>IF(N754="","",L754&amp;"|"&amp;N754)</f>
        <v/>
      </c>
      <c r="P754" s="33">
        <f>IF(N754="","",IF(L754="À RENSEIGNER","GIC",L754)&amp;"-"&amp;TEXT(N754,"000"))</f>
        <v/>
      </c>
      <c r="Q754" s="33">
        <f>IF(O754="","",IFERROR(INDEX(Cl_nom,MATCH(O754,Cl_cle,0)),"(client introuvable)"))</f>
        <v/>
      </c>
      <c r="R754" s="40">
        <f>IF(O754="","",IFERROR(INDEX(Cl_reste,MATCH(O754,Cl_cle,0)),""))</f>
        <v/>
      </c>
      <c r="S754" s="34">
        <f>IF(C754="","",YEAR(C754-WEEKDAY(C754,2)+4)&amp;"-S"&amp;TEXT(INT((C754-DATE(YEAR(C754-WEEKDAY(C754,2)+4),1,3)+WEEKDAY(DATE(YEAR(C754-WEEKDAY(C754,2)+4),1,3),2)+5)/7),"00"))</f>
        <v/>
      </c>
    </row>
    <row r="755" ht="18" customHeight="1">
      <c r="A755" s="39" t="n">
        <v>750</v>
      </c>
      <c r="B755" s="33">
        <f>IF(C755="","",IF(L755="À RENSEIGNER","GIC",L755)&amp;"-E"&amp;TEXT(A755,"00000"))</f>
        <v/>
      </c>
      <c r="C755" s="32" t="n"/>
      <c r="D755" s="36" t="n"/>
      <c r="E755" s="37" t="n"/>
      <c r="F755" s="36" t="n"/>
      <c r="G755" s="44" t="n"/>
      <c r="H755" s="43" t="n"/>
      <c r="I755" s="32" t="n"/>
      <c r="J755" s="44" t="n"/>
      <c r="K755" s="36" t="n"/>
      <c r="L755" s="33">
        <f>IF(C755="","",Commercial_Id)</f>
        <v/>
      </c>
      <c r="M755" s="34">
        <f>IF(OR(C755="",F755=""),"",IF(F755&lt;&gt;"Espèces","—",IF(I755&lt;&gt;"","☑ Oui","☐ Non")))</f>
        <v/>
      </c>
      <c r="N755" s="39">
        <f>IF(D755="","",IFERROR(VALUE(MID(D755,LEN(D755)-3,3)),""))</f>
        <v/>
      </c>
      <c r="O755" s="33">
        <f>IF(N755="","",L755&amp;"|"&amp;N755)</f>
        <v/>
      </c>
      <c r="P755" s="33">
        <f>IF(N755="","",IF(L755="À RENSEIGNER","GIC",L755)&amp;"-"&amp;TEXT(N755,"000"))</f>
        <v/>
      </c>
      <c r="Q755" s="33">
        <f>IF(O755="","",IFERROR(INDEX(Cl_nom,MATCH(O755,Cl_cle,0)),"(client introuvable)"))</f>
        <v/>
      </c>
      <c r="R755" s="40">
        <f>IF(O755="","",IFERROR(INDEX(Cl_reste,MATCH(O755,Cl_cle,0)),""))</f>
        <v/>
      </c>
      <c r="S755" s="34">
        <f>IF(C755="","",YEAR(C755-WEEKDAY(C755,2)+4)&amp;"-S"&amp;TEXT(INT((C755-DATE(YEAR(C755-WEEKDAY(C755,2)+4),1,3)+WEEKDAY(DATE(YEAR(C755-WEEKDAY(C755,2)+4),1,3),2)+5)/7),"00"))</f>
        <v/>
      </c>
    </row>
    <row r="756" ht="18" customHeight="1">
      <c r="A756" s="39" t="n">
        <v>751</v>
      </c>
      <c r="B756" s="33">
        <f>IF(C756="","",IF(L756="À RENSEIGNER","GIC",L756)&amp;"-E"&amp;TEXT(A756,"00000"))</f>
        <v/>
      </c>
      <c r="C756" s="32" t="n"/>
      <c r="D756" s="36" t="n"/>
      <c r="E756" s="37" t="n"/>
      <c r="F756" s="36" t="n"/>
      <c r="G756" s="44" t="n"/>
      <c r="H756" s="43" t="n"/>
      <c r="I756" s="32" t="n"/>
      <c r="J756" s="44" t="n"/>
      <c r="K756" s="36" t="n"/>
      <c r="L756" s="33">
        <f>IF(C756="","",Commercial_Id)</f>
        <v/>
      </c>
      <c r="M756" s="34">
        <f>IF(OR(C756="",F756=""),"",IF(F756&lt;&gt;"Espèces","—",IF(I756&lt;&gt;"","☑ Oui","☐ Non")))</f>
        <v/>
      </c>
      <c r="N756" s="39">
        <f>IF(D756="","",IFERROR(VALUE(MID(D756,LEN(D756)-3,3)),""))</f>
        <v/>
      </c>
      <c r="O756" s="33">
        <f>IF(N756="","",L756&amp;"|"&amp;N756)</f>
        <v/>
      </c>
      <c r="P756" s="33">
        <f>IF(N756="","",IF(L756="À RENSEIGNER","GIC",L756)&amp;"-"&amp;TEXT(N756,"000"))</f>
        <v/>
      </c>
      <c r="Q756" s="33">
        <f>IF(O756="","",IFERROR(INDEX(Cl_nom,MATCH(O756,Cl_cle,0)),"(client introuvable)"))</f>
        <v/>
      </c>
      <c r="R756" s="40">
        <f>IF(O756="","",IFERROR(INDEX(Cl_reste,MATCH(O756,Cl_cle,0)),""))</f>
        <v/>
      </c>
      <c r="S756" s="34">
        <f>IF(C756="","",YEAR(C756-WEEKDAY(C756,2)+4)&amp;"-S"&amp;TEXT(INT((C756-DATE(YEAR(C756-WEEKDAY(C756,2)+4),1,3)+WEEKDAY(DATE(YEAR(C756-WEEKDAY(C756,2)+4),1,3),2)+5)/7),"00"))</f>
        <v/>
      </c>
    </row>
    <row r="757" ht="18" customHeight="1">
      <c r="A757" s="39" t="n">
        <v>752</v>
      </c>
      <c r="B757" s="33">
        <f>IF(C757="","",IF(L757="À RENSEIGNER","GIC",L757)&amp;"-E"&amp;TEXT(A757,"00000"))</f>
        <v/>
      </c>
      <c r="C757" s="32" t="n"/>
      <c r="D757" s="36" t="n"/>
      <c r="E757" s="37" t="n"/>
      <c r="F757" s="36" t="n"/>
      <c r="G757" s="44" t="n"/>
      <c r="H757" s="43" t="n"/>
      <c r="I757" s="32" t="n"/>
      <c r="J757" s="44" t="n"/>
      <c r="K757" s="36" t="n"/>
      <c r="L757" s="33">
        <f>IF(C757="","",Commercial_Id)</f>
        <v/>
      </c>
      <c r="M757" s="34">
        <f>IF(OR(C757="",F757=""),"",IF(F757&lt;&gt;"Espèces","—",IF(I757&lt;&gt;"","☑ Oui","☐ Non")))</f>
        <v/>
      </c>
      <c r="N757" s="39">
        <f>IF(D757="","",IFERROR(VALUE(MID(D757,LEN(D757)-3,3)),""))</f>
        <v/>
      </c>
      <c r="O757" s="33">
        <f>IF(N757="","",L757&amp;"|"&amp;N757)</f>
        <v/>
      </c>
      <c r="P757" s="33">
        <f>IF(N757="","",IF(L757="À RENSEIGNER","GIC",L757)&amp;"-"&amp;TEXT(N757,"000"))</f>
        <v/>
      </c>
      <c r="Q757" s="33">
        <f>IF(O757="","",IFERROR(INDEX(Cl_nom,MATCH(O757,Cl_cle,0)),"(client introuvable)"))</f>
        <v/>
      </c>
      <c r="R757" s="40">
        <f>IF(O757="","",IFERROR(INDEX(Cl_reste,MATCH(O757,Cl_cle,0)),""))</f>
        <v/>
      </c>
      <c r="S757" s="34">
        <f>IF(C757="","",YEAR(C757-WEEKDAY(C757,2)+4)&amp;"-S"&amp;TEXT(INT((C757-DATE(YEAR(C757-WEEKDAY(C757,2)+4),1,3)+WEEKDAY(DATE(YEAR(C757-WEEKDAY(C757,2)+4),1,3),2)+5)/7),"00"))</f>
        <v/>
      </c>
    </row>
    <row r="758" ht="18" customHeight="1">
      <c r="A758" s="39" t="n">
        <v>753</v>
      </c>
      <c r="B758" s="33">
        <f>IF(C758="","",IF(L758="À RENSEIGNER","GIC",L758)&amp;"-E"&amp;TEXT(A758,"00000"))</f>
        <v/>
      </c>
      <c r="C758" s="32" t="n"/>
      <c r="D758" s="36" t="n"/>
      <c r="E758" s="37" t="n"/>
      <c r="F758" s="36" t="n"/>
      <c r="G758" s="44" t="n"/>
      <c r="H758" s="43" t="n"/>
      <c r="I758" s="32" t="n"/>
      <c r="J758" s="44" t="n"/>
      <c r="K758" s="36" t="n"/>
      <c r="L758" s="33">
        <f>IF(C758="","",Commercial_Id)</f>
        <v/>
      </c>
      <c r="M758" s="34">
        <f>IF(OR(C758="",F758=""),"",IF(F758&lt;&gt;"Espèces","—",IF(I758&lt;&gt;"","☑ Oui","☐ Non")))</f>
        <v/>
      </c>
      <c r="N758" s="39">
        <f>IF(D758="","",IFERROR(VALUE(MID(D758,LEN(D758)-3,3)),""))</f>
        <v/>
      </c>
      <c r="O758" s="33">
        <f>IF(N758="","",L758&amp;"|"&amp;N758)</f>
        <v/>
      </c>
      <c r="P758" s="33">
        <f>IF(N758="","",IF(L758="À RENSEIGNER","GIC",L758)&amp;"-"&amp;TEXT(N758,"000"))</f>
        <v/>
      </c>
      <c r="Q758" s="33">
        <f>IF(O758="","",IFERROR(INDEX(Cl_nom,MATCH(O758,Cl_cle,0)),"(client introuvable)"))</f>
        <v/>
      </c>
      <c r="R758" s="40">
        <f>IF(O758="","",IFERROR(INDEX(Cl_reste,MATCH(O758,Cl_cle,0)),""))</f>
        <v/>
      </c>
      <c r="S758" s="34">
        <f>IF(C758="","",YEAR(C758-WEEKDAY(C758,2)+4)&amp;"-S"&amp;TEXT(INT((C758-DATE(YEAR(C758-WEEKDAY(C758,2)+4),1,3)+WEEKDAY(DATE(YEAR(C758-WEEKDAY(C758,2)+4),1,3),2)+5)/7),"00"))</f>
        <v/>
      </c>
    </row>
    <row r="759" ht="18" customHeight="1">
      <c r="A759" s="39" t="n">
        <v>754</v>
      </c>
      <c r="B759" s="33">
        <f>IF(C759="","",IF(L759="À RENSEIGNER","GIC",L759)&amp;"-E"&amp;TEXT(A759,"00000"))</f>
        <v/>
      </c>
      <c r="C759" s="32" t="n"/>
      <c r="D759" s="36" t="n"/>
      <c r="E759" s="37" t="n"/>
      <c r="F759" s="36" t="n"/>
      <c r="G759" s="44" t="n"/>
      <c r="H759" s="43" t="n"/>
      <c r="I759" s="32" t="n"/>
      <c r="J759" s="44" t="n"/>
      <c r="K759" s="36" t="n"/>
      <c r="L759" s="33">
        <f>IF(C759="","",Commercial_Id)</f>
        <v/>
      </c>
      <c r="M759" s="34">
        <f>IF(OR(C759="",F759=""),"",IF(F759&lt;&gt;"Espèces","—",IF(I759&lt;&gt;"","☑ Oui","☐ Non")))</f>
        <v/>
      </c>
      <c r="N759" s="39">
        <f>IF(D759="","",IFERROR(VALUE(MID(D759,LEN(D759)-3,3)),""))</f>
        <v/>
      </c>
      <c r="O759" s="33">
        <f>IF(N759="","",L759&amp;"|"&amp;N759)</f>
        <v/>
      </c>
      <c r="P759" s="33">
        <f>IF(N759="","",IF(L759="À RENSEIGNER","GIC",L759)&amp;"-"&amp;TEXT(N759,"000"))</f>
        <v/>
      </c>
      <c r="Q759" s="33">
        <f>IF(O759="","",IFERROR(INDEX(Cl_nom,MATCH(O759,Cl_cle,0)),"(client introuvable)"))</f>
        <v/>
      </c>
      <c r="R759" s="40">
        <f>IF(O759="","",IFERROR(INDEX(Cl_reste,MATCH(O759,Cl_cle,0)),""))</f>
        <v/>
      </c>
      <c r="S759" s="34">
        <f>IF(C759="","",YEAR(C759-WEEKDAY(C759,2)+4)&amp;"-S"&amp;TEXT(INT((C759-DATE(YEAR(C759-WEEKDAY(C759,2)+4),1,3)+WEEKDAY(DATE(YEAR(C759-WEEKDAY(C759,2)+4),1,3),2)+5)/7),"00"))</f>
        <v/>
      </c>
    </row>
    <row r="760" ht="18" customHeight="1">
      <c r="A760" s="39" t="n">
        <v>755</v>
      </c>
      <c r="B760" s="33">
        <f>IF(C760="","",IF(L760="À RENSEIGNER","GIC",L760)&amp;"-E"&amp;TEXT(A760,"00000"))</f>
        <v/>
      </c>
      <c r="C760" s="32" t="n"/>
      <c r="D760" s="36" t="n"/>
      <c r="E760" s="37" t="n"/>
      <c r="F760" s="36" t="n"/>
      <c r="G760" s="44" t="n"/>
      <c r="H760" s="43" t="n"/>
      <c r="I760" s="32" t="n"/>
      <c r="J760" s="44" t="n"/>
      <c r="K760" s="36" t="n"/>
      <c r="L760" s="33">
        <f>IF(C760="","",Commercial_Id)</f>
        <v/>
      </c>
      <c r="M760" s="34">
        <f>IF(OR(C760="",F760=""),"",IF(F760&lt;&gt;"Espèces","—",IF(I760&lt;&gt;"","☑ Oui","☐ Non")))</f>
        <v/>
      </c>
      <c r="N760" s="39">
        <f>IF(D760="","",IFERROR(VALUE(MID(D760,LEN(D760)-3,3)),""))</f>
        <v/>
      </c>
      <c r="O760" s="33">
        <f>IF(N760="","",L760&amp;"|"&amp;N760)</f>
        <v/>
      </c>
      <c r="P760" s="33">
        <f>IF(N760="","",IF(L760="À RENSEIGNER","GIC",L760)&amp;"-"&amp;TEXT(N760,"000"))</f>
        <v/>
      </c>
      <c r="Q760" s="33">
        <f>IF(O760="","",IFERROR(INDEX(Cl_nom,MATCH(O760,Cl_cle,0)),"(client introuvable)"))</f>
        <v/>
      </c>
      <c r="R760" s="40">
        <f>IF(O760="","",IFERROR(INDEX(Cl_reste,MATCH(O760,Cl_cle,0)),""))</f>
        <v/>
      </c>
      <c r="S760" s="34">
        <f>IF(C760="","",YEAR(C760-WEEKDAY(C760,2)+4)&amp;"-S"&amp;TEXT(INT((C760-DATE(YEAR(C760-WEEKDAY(C760,2)+4),1,3)+WEEKDAY(DATE(YEAR(C760-WEEKDAY(C760,2)+4),1,3),2)+5)/7),"00"))</f>
        <v/>
      </c>
    </row>
    <row r="761" ht="18" customHeight="1">
      <c r="A761" s="39" t="n">
        <v>756</v>
      </c>
      <c r="B761" s="33">
        <f>IF(C761="","",IF(L761="À RENSEIGNER","GIC",L761)&amp;"-E"&amp;TEXT(A761,"00000"))</f>
        <v/>
      </c>
      <c r="C761" s="32" t="n"/>
      <c r="D761" s="36" t="n"/>
      <c r="E761" s="37" t="n"/>
      <c r="F761" s="36" t="n"/>
      <c r="G761" s="44" t="n"/>
      <c r="H761" s="43" t="n"/>
      <c r="I761" s="32" t="n"/>
      <c r="J761" s="44" t="n"/>
      <c r="K761" s="36" t="n"/>
      <c r="L761" s="33">
        <f>IF(C761="","",Commercial_Id)</f>
        <v/>
      </c>
      <c r="M761" s="34">
        <f>IF(OR(C761="",F761=""),"",IF(F761&lt;&gt;"Espèces","—",IF(I761&lt;&gt;"","☑ Oui","☐ Non")))</f>
        <v/>
      </c>
      <c r="N761" s="39">
        <f>IF(D761="","",IFERROR(VALUE(MID(D761,LEN(D761)-3,3)),""))</f>
        <v/>
      </c>
      <c r="O761" s="33">
        <f>IF(N761="","",L761&amp;"|"&amp;N761)</f>
        <v/>
      </c>
      <c r="P761" s="33">
        <f>IF(N761="","",IF(L761="À RENSEIGNER","GIC",L761)&amp;"-"&amp;TEXT(N761,"000"))</f>
        <v/>
      </c>
      <c r="Q761" s="33">
        <f>IF(O761="","",IFERROR(INDEX(Cl_nom,MATCH(O761,Cl_cle,0)),"(client introuvable)"))</f>
        <v/>
      </c>
      <c r="R761" s="40">
        <f>IF(O761="","",IFERROR(INDEX(Cl_reste,MATCH(O761,Cl_cle,0)),""))</f>
        <v/>
      </c>
      <c r="S761" s="34">
        <f>IF(C761="","",YEAR(C761-WEEKDAY(C761,2)+4)&amp;"-S"&amp;TEXT(INT((C761-DATE(YEAR(C761-WEEKDAY(C761,2)+4),1,3)+WEEKDAY(DATE(YEAR(C761-WEEKDAY(C761,2)+4),1,3),2)+5)/7),"00"))</f>
        <v/>
      </c>
    </row>
    <row r="762" ht="18" customHeight="1">
      <c r="A762" s="39" t="n">
        <v>757</v>
      </c>
      <c r="B762" s="33">
        <f>IF(C762="","",IF(L762="À RENSEIGNER","GIC",L762)&amp;"-E"&amp;TEXT(A762,"00000"))</f>
        <v/>
      </c>
      <c r="C762" s="32" t="n"/>
      <c r="D762" s="36" t="n"/>
      <c r="E762" s="37" t="n"/>
      <c r="F762" s="36" t="n"/>
      <c r="G762" s="44" t="n"/>
      <c r="H762" s="43" t="n"/>
      <c r="I762" s="32" t="n"/>
      <c r="J762" s="44" t="n"/>
      <c r="K762" s="36" t="n"/>
      <c r="L762" s="33">
        <f>IF(C762="","",Commercial_Id)</f>
        <v/>
      </c>
      <c r="M762" s="34">
        <f>IF(OR(C762="",F762=""),"",IF(F762&lt;&gt;"Espèces","—",IF(I762&lt;&gt;"","☑ Oui","☐ Non")))</f>
        <v/>
      </c>
      <c r="N762" s="39">
        <f>IF(D762="","",IFERROR(VALUE(MID(D762,LEN(D762)-3,3)),""))</f>
        <v/>
      </c>
      <c r="O762" s="33">
        <f>IF(N762="","",L762&amp;"|"&amp;N762)</f>
        <v/>
      </c>
      <c r="P762" s="33">
        <f>IF(N762="","",IF(L762="À RENSEIGNER","GIC",L762)&amp;"-"&amp;TEXT(N762,"000"))</f>
        <v/>
      </c>
      <c r="Q762" s="33">
        <f>IF(O762="","",IFERROR(INDEX(Cl_nom,MATCH(O762,Cl_cle,0)),"(client introuvable)"))</f>
        <v/>
      </c>
      <c r="R762" s="40">
        <f>IF(O762="","",IFERROR(INDEX(Cl_reste,MATCH(O762,Cl_cle,0)),""))</f>
        <v/>
      </c>
      <c r="S762" s="34">
        <f>IF(C762="","",YEAR(C762-WEEKDAY(C762,2)+4)&amp;"-S"&amp;TEXT(INT((C762-DATE(YEAR(C762-WEEKDAY(C762,2)+4),1,3)+WEEKDAY(DATE(YEAR(C762-WEEKDAY(C762,2)+4),1,3),2)+5)/7),"00"))</f>
        <v/>
      </c>
    </row>
    <row r="763" ht="18" customHeight="1">
      <c r="A763" s="39" t="n">
        <v>758</v>
      </c>
      <c r="B763" s="33">
        <f>IF(C763="","",IF(L763="À RENSEIGNER","GIC",L763)&amp;"-E"&amp;TEXT(A763,"00000"))</f>
        <v/>
      </c>
      <c r="C763" s="32" t="n"/>
      <c r="D763" s="36" t="n"/>
      <c r="E763" s="37" t="n"/>
      <c r="F763" s="36" t="n"/>
      <c r="G763" s="44" t="n"/>
      <c r="H763" s="43" t="n"/>
      <c r="I763" s="32" t="n"/>
      <c r="J763" s="44" t="n"/>
      <c r="K763" s="36" t="n"/>
      <c r="L763" s="33">
        <f>IF(C763="","",Commercial_Id)</f>
        <v/>
      </c>
      <c r="M763" s="34">
        <f>IF(OR(C763="",F763=""),"",IF(F763&lt;&gt;"Espèces","—",IF(I763&lt;&gt;"","☑ Oui","☐ Non")))</f>
        <v/>
      </c>
      <c r="N763" s="39">
        <f>IF(D763="","",IFERROR(VALUE(MID(D763,LEN(D763)-3,3)),""))</f>
        <v/>
      </c>
      <c r="O763" s="33">
        <f>IF(N763="","",L763&amp;"|"&amp;N763)</f>
        <v/>
      </c>
      <c r="P763" s="33">
        <f>IF(N763="","",IF(L763="À RENSEIGNER","GIC",L763)&amp;"-"&amp;TEXT(N763,"000"))</f>
        <v/>
      </c>
      <c r="Q763" s="33">
        <f>IF(O763="","",IFERROR(INDEX(Cl_nom,MATCH(O763,Cl_cle,0)),"(client introuvable)"))</f>
        <v/>
      </c>
      <c r="R763" s="40">
        <f>IF(O763="","",IFERROR(INDEX(Cl_reste,MATCH(O763,Cl_cle,0)),""))</f>
        <v/>
      </c>
      <c r="S763" s="34">
        <f>IF(C763="","",YEAR(C763-WEEKDAY(C763,2)+4)&amp;"-S"&amp;TEXT(INT((C763-DATE(YEAR(C763-WEEKDAY(C763,2)+4),1,3)+WEEKDAY(DATE(YEAR(C763-WEEKDAY(C763,2)+4),1,3),2)+5)/7),"00"))</f>
        <v/>
      </c>
    </row>
    <row r="764" ht="18" customHeight="1">
      <c r="A764" s="39" t="n">
        <v>759</v>
      </c>
      <c r="B764" s="33">
        <f>IF(C764="","",IF(L764="À RENSEIGNER","GIC",L764)&amp;"-E"&amp;TEXT(A764,"00000"))</f>
        <v/>
      </c>
      <c r="C764" s="32" t="n"/>
      <c r="D764" s="36" t="n"/>
      <c r="E764" s="37" t="n"/>
      <c r="F764" s="36" t="n"/>
      <c r="G764" s="44" t="n"/>
      <c r="H764" s="43" t="n"/>
      <c r="I764" s="32" t="n"/>
      <c r="J764" s="44" t="n"/>
      <c r="K764" s="36" t="n"/>
      <c r="L764" s="33">
        <f>IF(C764="","",Commercial_Id)</f>
        <v/>
      </c>
      <c r="M764" s="34">
        <f>IF(OR(C764="",F764=""),"",IF(F764&lt;&gt;"Espèces","—",IF(I764&lt;&gt;"","☑ Oui","☐ Non")))</f>
        <v/>
      </c>
      <c r="N764" s="39">
        <f>IF(D764="","",IFERROR(VALUE(MID(D764,LEN(D764)-3,3)),""))</f>
        <v/>
      </c>
      <c r="O764" s="33">
        <f>IF(N764="","",L764&amp;"|"&amp;N764)</f>
        <v/>
      </c>
      <c r="P764" s="33">
        <f>IF(N764="","",IF(L764="À RENSEIGNER","GIC",L764)&amp;"-"&amp;TEXT(N764,"000"))</f>
        <v/>
      </c>
      <c r="Q764" s="33">
        <f>IF(O764="","",IFERROR(INDEX(Cl_nom,MATCH(O764,Cl_cle,0)),"(client introuvable)"))</f>
        <v/>
      </c>
      <c r="R764" s="40">
        <f>IF(O764="","",IFERROR(INDEX(Cl_reste,MATCH(O764,Cl_cle,0)),""))</f>
        <v/>
      </c>
      <c r="S764" s="34">
        <f>IF(C764="","",YEAR(C764-WEEKDAY(C764,2)+4)&amp;"-S"&amp;TEXT(INT((C764-DATE(YEAR(C764-WEEKDAY(C764,2)+4),1,3)+WEEKDAY(DATE(YEAR(C764-WEEKDAY(C764,2)+4),1,3),2)+5)/7),"00"))</f>
        <v/>
      </c>
    </row>
    <row r="765" ht="18" customHeight="1">
      <c r="A765" s="39" t="n">
        <v>760</v>
      </c>
      <c r="B765" s="33">
        <f>IF(C765="","",IF(L765="À RENSEIGNER","GIC",L765)&amp;"-E"&amp;TEXT(A765,"00000"))</f>
        <v/>
      </c>
      <c r="C765" s="32" t="n"/>
      <c r="D765" s="36" t="n"/>
      <c r="E765" s="37" t="n"/>
      <c r="F765" s="36" t="n"/>
      <c r="G765" s="44" t="n"/>
      <c r="H765" s="43" t="n"/>
      <c r="I765" s="32" t="n"/>
      <c r="J765" s="44" t="n"/>
      <c r="K765" s="36" t="n"/>
      <c r="L765" s="33">
        <f>IF(C765="","",Commercial_Id)</f>
        <v/>
      </c>
      <c r="M765" s="34">
        <f>IF(OR(C765="",F765=""),"",IF(F765&lt;&gt;"Espèces","—",IF(I765&lt;&gt;"","☑ Oui","☐ Non")))</f>
        <v/>
      </c>
      <c r="N765" s="39">
        <f>IF(D765="","",IFERROR(VALUE(MID(D765,LEN(D765)-3,3)),""))</f>
        <v/>
      </c>
      <c r="O765" s="33">
        <f>IF(N765="","",L765&amp;"|"&amp;N765)</f>
        <v/>
      </c>
      <c r="P765" s="33">
        <f>IF(N765="","",IF(L765="À RENSEIGNER","GIC",L765)&amp;"-"&amp;TEXT(N765,"000"))</f>
        <v/>
      </c>
      <c r="Q765" s="33">
        <f>IF(O765="","",IFERROR(INDEX(Cl_nom,MATCH(O765,Cl_cle,0)),"(client introuvable)"))</f>
        <v/>
      </c>
      <c r="R765" s="40">
        <f>IF(O765="","",IFERROR(INDEX(Cl_reste,MATCH(O765,Cl_cle,0)),""))</f>
        <v/>
      </c>
      <c r="S765" s="34">
        <f>IF(C765="","",YEAR(C765-WEEKDAY(C765,2)+4)&amp;"-S"&amp;TEXT(INT((C765-DATE(YEAR(C765-WEEKDAY(C765,2)+4),1,3)+WEEKDAY(DATE(YEAR(C765-WEEKDAY(C765,2)+4),1,3),2)+5)/7),"00"))</f>
        <v/>
      </c>
    </row>
    <row r="766" ht="18" customHeight="1">
      <c r="A766" s="39" t="n">
        <v>761</v>
      </c>
      <c r="B766" s="33">
        <f>IF(C766="","",IF(L766="À RENSEIGNER","GIC",L766)&amp;"-E"&amp;TEXT(A766,"00000"))</f>
        <v/>
      </c>
      <c r="C766" s="32" t="n"/>
      <c r="D766" s="36" t="n"/>
      <c r="E766" s="37" t="n"/>
      <c r="F766" s="36" t="n"/>
      <c r="G766" s="44" t="n"/>
      <c r="H766" s="43" t="n"/>
      <c r="I766" s="32" t="n"/>
      <c r="J766" s="44" t="n"/>
      <c r="K766" s="36" t="n"/>
      <c r="L766" s="33">
        <f>IF(C766="","",Commercial_Id)</f>
        <v/>
      </c>
      <c r="M766" s="34">
        <f>IF(OR(C766="",F766=""),"",IF(F766&lt;&gt;"Espèces","—",IF(I766&lt;&gt;"","☑ Oui","☐ Non")))</f>
        <v/>
      </c>
      <c r="N766" s="39">
        <f>IF(D766="","",IFERROR(VALUE(MID(D766,LEN(D766)-3,3)),""))</f>
        <v/>
      </c>
      <c r="O766" s="33">
        <f>IF(N766="","",L766&amp;"|"&amp;N766)</f>
        <v/>
      </c>
      <c r="P766" s="33">
        <f>IF(N766="","",IF(L766="À RENSEIGNER","GIC",L766)&amp;"-"&amp;TEXT(N766,"000"))</f>
        <v/>
      </c>
      <c r="Q766" s="33">
        <f>IF(O766="","",IFERROR(INDEX(Cl_nom,MATCH(O766,Cl_cle,0)),"(client introuvable)"))</f>
        <v/>
      </c>
      <c r="R766" s="40">
        <f>IF(O766="","",IFERROR(INDEX(Cl_reste,MATCH(O766,Cl_cle,0)),""))</f>
        <v/>
      </c>
      <c r="S766" s="34">
        <f>IF(C766="","",YEAR(C766-WEEKDAY(C766,2)+4)&amp;"-S"&amp;TEXT(INT((C766-DATE(YEAR(C766-WEEKDAY(C766,2)+4),1,3)+WEEKDAY(DATE(YEAR(C766-WEEKDAY(C766,2)+4),1,3),2)+5)/7),"00"))</f>
        <v/>
      </c>
    </row>
    <row r="767" ht="18" customHeight="1">
      <c r="A767" s="39" t="n">
        <v>762</v>
      </c>
      <c r="B767" s="33">
        <f>IF(C767="","",IF(L767="À RENSEIGNER","GIC",L767)&amp;"-E"&amp;TEXT(A767,"00000"))</f>
        <v/>
      </c>
      <c r="C767" s="32" t="n"/>
      <c r="D767" s="36" t="n"/>
      <c r="E767" s="37" t="n"/>
      <c r="F767" s="36" t="n"/>
      <c r="G767" s="44" t="n"/>
      <c r="H767" s="43" t="n"/>
      <c r="I767" s="32" t="n"/>
      <c r="J767" s="44" t="n"/>
      <c r="K767" s="36" t="n"/>
      <c r="L767" s="33">
        <f>IF(C767="","",Commercial_Id)</f>
        <v/>
      </c>
      <c r="M767" s="34">
        <f>IF(OR(C767="",F767=""),"",IF(F767&lt;&gt;"Espèces","—",IF(I767&lt;&gt;"","☑ Oui","☐ Non")))</f>
        <v/>
      </c>
      <c r="N767" s="39">
        <f>IF(D767="","",IFERROR(VALUE(MID(D767,LEN(D767)-3,3)),""))</f>
        <v/>
      </c>
      <c r="O767" s="33">
        <f>IF(N767="","",L767&amp;"|"&amp;N767)</f>
        <v/>
      </c>
      <c r="P767" s="33">
        <f>IF(N767="","",IF(L767="À RENSEIGNER","GIC",L767)&amp;"-"&amp;TEXT(N767,"000"))</f>
        <v/>
      </c>
      <c r="Q767" s="33">
        <f>IF(O767="","",IFERROR(INDEX(Cl_nom,MATCH(O767,Cl_cle,0)),"(client introuvable)"))</f>
        <v/>
      </c>
      <c r="R767" s="40">
        <f>IF(O767="","",IFERROR(INDEX(Cl_reste,MATCH(O767,Cl_cle,0)),""))</f>
        <v/>
      </c>
      <c r="S767" s="34">
        <f>IF(C767="","",YEAR(C767-WEEKDAY(C767,2)+4)&amp;"-S"&amp;TEXT(INT((C767-DATE(YEAR(C767-WEEKDAY(C767,2)+4),1,3)+WEEKDAY(DATE(YEAR(C767-WEEKDAY(C767,2)+4),1,3),2)+5)/7),"00"))</f>
        <v/>
      </c>
    </row>
    <row r="768" ht="18" customHeight="1">
      <c r="A768" s="39" t="n">
        <v>763</v>
      </c>
      <c r="B768" s="33">
        <f>IF(C768="","",IF(L768="À RENSEIGNER","GIC",L768)&amp;"-E"&amp;TEXT(A768,"00000"))</f>
        <v/>
      </c>
      <c r="C768" s="32" t="n"/>
      <c r="D768" s="36" t="n"/>
      <c r="E768" s="37" t="n"/>
      <c r="F768" s="36" t="n"/>
      <c r="G768" s="44" t="n"/>
      <c r="H768" s="43" t="n"/>
      <c r="I768" s="32" t="n"/>
      <c r="J768" s="44" t="n"/>
      <c r="K768" s="36" t="n"/>
      <c r="L768" s="33">
        <f>IF(C768="","",Commercial_Id)</f>
        <v/>
      </c>
      <c r="M768" s="34">
        <f>IF(OR(C768="",F768=""),"",IF(F768&lt;&gt;"Espèces","—",IF(I768&lt;&gt;"","☑ Oui","☐ Non")))</f>
        <v/>
      </c>
      <c r="N768" s="39">
        <f>IF(D768="","",IFERROR(VALUE(MID(D768,LEN(D768)-3,3)),""))</f>
        <v/>
      </c>
      <c r="O768" s="33">
        <f>IF(N768="","",L768&amp;"|"&amp;N768)</f>
        <v/>
      </c>
      <c r="P768" s="33">
        <f>IF(N768="","",IF(L768="À RENSEIGNER","GIC",L768)&amp;"-"&amp;TEXT(N768,"000"))</f>
        <v/>
      </c>
      <c r="Q768" s="33">
        <f>IF(O768="","",IFERROR(INDEX(Cl_nom,MATCH(O768,Cl_cle,0)),"(client introuvable)"))</f>
        <v/>
      </c>
      <c r="R768" s="40">
        <f>IF(O768="","",IFERROR(INDEX(Cl_reste,MATCH(O768,Cl_cle,0)),""))</f>
        <v/>
      </c>
      <c r="S768" s="34">
        <f>IF(C768="","",YEAR(C768-WEEKDAY(C768,2)+4)&amp;"-S"&amp;TEXT(INT((C768-DATE(YEAR(C768-WEEKDAY(C768,2)+4),1,3)+WEEKDAY(DATE(YEAR(C768-WEEKDAY(C768,2)+4),1,3),2)+5)/7),"00"))</f>
        <v/>
      </c>
    </row>
    <row r="769" ht="18" customHeight="1">
      <c r="A769" s="39" t="n">
        <v>764</v>
      </c>
      <c r="B769" s="33">
        <f>IF(C769="","",IF(L769="À RENSEIGNER","GIC",L769)&amp;"-E"&amp;TEXT(A769,"00000"))</f>
        <v/>
      </c>
      <c r="C769" s="32" t="n"/>
      <c r="D769" s="36" t="n"/>
      <c r="E769" s="37" t="n"/>
      <c r="F769" s="36" t="n"/>
      <c r="G769" s="44" t="n"/>
      <c r="H769" s="43" t="n"/>
      <c r="I769" s="32" t="n"/>
      <c r="J769" s="44" t="n"/>
      <c r="K769" s="36" t="n"/>
      <c r="L769" s="33">
        <f>IF(C769="","",Commercial_Id)</f>
        <v/>
      </c>
      <c r="M769" s="34">
        <f>IF(OR(C769="",F769=""),"",IF(F769&lt;&gt;"Espèces","—",IF(I769&lt;&gt;"","☑ Oui","☐ Non")))</f>
        <v/>
      </c>
      <c r="N769" s="39">
        <f>IF(D769="","",IFERROR(VALUE(MID(D769,LEN(D769)-3,3)),""))</f>
        <v/>
      </c>
      <c r="O769" s="33">
        <f>IF(N769="","",L769&amp;"|"&amp;N769)</f>
        <v/>
      </c>
      <c r="P769" s="33">
        <f>IF(N769="","",IF(L769="À RENSEIGNER","GIC",L769)&amp;"-"&amp;TEXT(N769,"000"))</f>
        <v/>
      </c>
      <c r="Q769" s="33">
        <f>IF(O769="","",IFERROR(INDEX(Cl_nom,MATCH(O769,Cl_cle,0)),"(client introuvable)"))</f>
        <v/>
      </c>
      <c r="R769" s="40">
        <f>IF(O769="","",IFERROR(INDEX(Cl_reste,MATCH(O769,Cl_cle,0)),""))</f>
        <v/>
      </c>
      <c r="S769" s="34">
        <f>IF(C769="","",YEAR(C769-WEEKDAY(C769,2)+4)&amp;"-S"&amp;TEXT(INT((C769-DATE(YEAR(C769-WEEKDAY(C769,2)+4),1,3)+WEEKDAY(DATE(YEAR(C769-WEEKDAY(C769,2)+4),1,3),2)+5)/7),"00"))</f>
        <v/>
      </c>
    </row>
    <row r="770" ht="18" customHeight="1">
      <c r="A770" s="39" t="n">
        <v>765</v>
      </c>
      <c r="B770" s="33">
        <f>IF(C770="","",IF(L770="À RENSEIGNER","GIC",L770)&amp;"-E"&amp;TEXT(A770,"00000"))</f>
        <v/>
      </c>
      <c r="C770" s="32" t="n"/>
      <c r="D770" s="36" t="n"/>
      <c r="E770" s="37" t="n"/>
      <c r="F770" s="36" t="n"/>
      <c r="G770" s="44" t="n"/>
      <c r="H770" s="43" t="n"/>
      <c r="I770" s="32" t="n"/>
      <c r="J770" s="44" t="n"/>
      <c r="K770" s="36" t="n"/>
      <c r="L770" s="33">
        <f>IF(C770="","",Commercial_Id)</f>
        <v/>
      </c>
      <c r="M770" s="34">
        <f>IF(OR(C770="",F770=""),"",IF(F770&lt;&gt;"Espèces","—",IF(I770&lt;&gt;"","☑ Oui","☐ Non")))</f>
        <v/>
      </c>
      <c r="N770" s="39">
        <f>IF(D770="","",IFERROR(VALUE(MID(D770,LEN(D770)-3,3)),""))</f>
        <v/>
      </c>
      <c r="O770" s="33">
        <f>IF(N770="","",L770&amp;"|"&amp;N770)</f>
        <v/>
      </c>
      <c r="P770" s="33">
        <f>IF(N770="","",IF(L770="À RENSEIGNER","GIC",L770)&amp;"-"&amp;TEXT(N770,"000"))</f>
        <v/>
      </c>
      <c r="Q770" s="33">
        <f>IF(O770="","",IFERROR(INDEX(Cl_nom,MATCH(O770,Cl_cle,0)),"(client introuvable)"))</f>
        <v/>
      </c>
      <c r="R770" s="40">
        <f>IF(O770="","",IFERROR(INDEX(Cl_reste,MATCH(O770,Cl_cle,0)),""))</f>
        <v/>
      </c>
      <c r="S770" s="34">
        <f>IF(C770="","",YEAR(C770-WEEKDAY(C770,2)+4)&amp;"-S"&amp;TEXT(INT((C770-DATE(YEAR(C770-WEEKDAY(C770,2)+4),1,3)+WEEKDAY(DATE(YEAR(C770-WEEKDAY(C770,2)+4),1,3),2)+5)/7),"00"))</f>
        <v/>
      </c>
    </row>
    <row r="771" ht="18" customHeight="1">
      <c r="A771" s="39" t="n">
        <v>766</v>
      </c>
      <c r="B771" s="33">
        <f>IF(C771="","",IF(L771="À RENSEIGNER","GIC",L771)&amp;"-E"&amp;TEXT(A771,"00000"))</f>
        <v/>
      </c>
      <c r="C771" s="32" t="n"/>
      <c r="D771" s="36" t="n"/>
      <c r="E771" s="37" t="n"/>
      <c r="F771" s="36" t="n"/>
      <c r="G771" s="44" t="n"/>
      <c r="H771" s="43" t="n"/>
      <c r="I771" s="32" t="n"/>
      <c r="J771" s="44" t="n"/>
      <c r="K771" s="36" t="n"/>
      <c r="L771" s="33">
        <f>IF(C771="","",Commercial_Id)</f>
        <v/>
      </c>
      <c r="M771" s="34">
        <f>IF(OR(C771="",F771=""),"",IF(F771&lt;&gt;"Espèces","—",IF(I771&lt;&gt;"","☑ Oui","☐ Non")))</f>
        <v/>
      </c>
      <c r="N771" s="39">
        <f>IF(D771="","",IFERROR(VALUE(MID(D771,LEN(D771)-3,3)),""))</f>
        <v/>
      </c>
      <c r="O771" s="33">
        <f>IF(N771="","",L771&amp;"|"&amp;N771)</f>
        <v/>
      </c>
      <c r="P771" s="33">
        <f>IF(N771="","",IF(L771="À RENSEIGNER","GIC",L771)&amp;"-"&amp;TEXT(N771,"000"))</f>
        <v/>
      </c>
      <c r="Q771" s="33">
        <f>IF(O771="","",IFERROR(INDEX(Cl_nom,MATCH(O771,Cl_cle,0)),"(client introuvable)"))</f>
        <v/>
      </c>
      <c r="R771" s="40">
        <f>IF(O771="","",IFERROR(INDEX(Cl_reste,MATCH(O771,Cl_cle,0)),""))</f>
        <v/>
      </c>
      <c r="S771" s="34">
        <f>IF(C771="","",YEAR(C771-WEEKDAY(C771,2)+4)&amp;"-S"&amp;TEXT(INT((C771-DATE(YEAR(C771-WEEKDAY(C771,2)+4),1,3)+WEEKDAY(DATE(YEAR(C771-WEEKDAY(C771,2)+4),1,3),2)+5)/7),"00"))</f>
        <v/>
      </c>
    </row>
    <row r="772" ht="18" customHeight="1">
      <c r="A772" s="39" t="n">
        <v>767</v>
      </c>
      <c r="B772" s="33">
        <f>IF(C772="","",IF(L772="À RENSEIGNER","GIC",L772)&amp;"-E"&amp;TEXT(A772,"00000"))</f>
        <v/>
      </c>
      <c r="C772" s="32" t="n"/>
      <c r="D772" s="36" t="n"/>
      <c r="E772" s="37" t="n"/>
      <c r="F772" s="36" t="n"/>
      <c r="G772" s="44" t="n"/>
      <c r="H772" s="43" t="n"/>
      <c r="I772" s="32" t="n"/>
      <c r="J772" s="44" t="n"/>
      <c r="K772" s="36" t="n"/>
      <c r="L772" s="33">
        <f>IF(C772="","",Commercial_Id)</f>
        <v/>
      </c>
      <c r="M772" s="34">
        <f>IF(OR(C772="",F772=""),"",IF(F772&lt;&gt;"Espèces","—",IF(I772&lt;&gt;"","☑ Oui","☐ Non")))</f>
        <v/>
      </c>
      <c r="N772" s="39">
        <f>IF(D772="","",IFERROR(VALUE(MID(D772,LEN(D772)-3,3)),""))</f>
        <v/>
      </c>
      <c r="O772" s="33">
        <f>IF(N772="","",L772&amp;"|"&amp;N772)</f>
        <v/>
      </c>
      <c r="P772" s="33">
        <f>IF(N772="","",IF(L772="À RENSEIGNER","GIC",L772)&amp;"-"&amp;TEXT(N772,"000"))</f>
        <v/>
      </c>
      <c r="Q772" s="33">
        <f>IF(O772="","",IFERROR(INDEX(Cl_nom,MATCH(O772,Cl_cle,0)),"(client introuvable)"))</f>
        <v/>
      </c>
      <c r="R772" s="40">
        <f>IF(O772="","",IFERROR(INDEX(Cl_reste,MATCH(O772,Cl_cle,0)),""))</f>
        <v/>
      </c>
      <c r="S772" s="34">
        <f>IF(C772="","",YEAR(C772-WEEKDAY(C772,2)+4)&amp;"-S"&amp;TEXT(INT((C772-DATE(YEAR(C772-WEEKDAY(C772,2)+4),1,3)+WEEKDAY(DATE(YEAR(C772-WEEKDAY(C772,2)+4),1,3),2)+5)/7),"00"))</f>
        <v/>
      </c>
    </row>
    <row r="773" ht="18" customHeight="1">
      <c r="A773" s="39" t="n">
        <v>768</v>
      </c>
      <c r="B773" s="33">
        <f>IF(C773="","",IF(L773="À RENSEIGNER","GIC",L773)&amp;"-E"&amp;TEXT(A773,"00000"))</f>
        <v/>
      </c>
      <c r="C773" s="32" t="n"/>
      <c r="D773" s="36" t="n"/>
      <c r="E773" s="37" t="n"/>
      <c r="F773" s="36" t="n"/>
      <c r="G773" s="44" t="n"/>
      <c r="H773" s="43" t="n"/>
      <c r="I773" s="32" t="n"/>
      <c r="J773" s="44" t="n"/>
      <c r="K773" s="36" t="n"/>
      <c r="L773" s="33">
        <f>IF(C773="","",Commercial_Id)</f>
        <v/>
      </c>
      <c r="M773" s="34">
        <f>IF(OR(C773="",F773=""),"",IF(F773&lt;&gt;"Espèces","—",IF(I773&lt;&gt;"","☑ Oui","☐ Non")))</f>
        <v/>
      </c>
      <c r="N773" s="39">
        <f>IF(D773="","",IFERROR(VALUE(MID(D773,LEN(D773)-3,3)),""))</f>
        <v/>
      </c>
      <c r="O773" s="33">
        <f>IF(N773="","",L773&amp;"|"&amp;N773)</f>
        <v/>
      </c>
      <c r="P773" s="33">
        <f>IF(N773="","",IF(L773="À RENSEIGNER","GIC",L773)&amp;"-"&amp;TEXT(N773,"000"))</f>
        <v/>
      </c>
      <c r="Q773" s="33">
        <f>IF(O773="","",IFERROR(INDEX(Cl_nom,MATCH(O773,Cl_cle,0)),"(client introuvable)"))</f>
        <v/>
      </c>
      <c r="R773" s="40">
        <f>IF(O773="","",IFERROR(INDEX(Cl_reste,MATCH(O773,Cl_cle,0)),""))</f>
        <v/>
      </c>
      <c r="S773" s="34">
        <f>IF(C773="","",YEAR(C773-WEEKDAY(C773,2)+4)&amp;"-S"&amp;TEXT(INT((C773-DATE(YEAR(C773-WEEKDAY(C773,2)+4),1,3)+WEEKDAY(DATE(YEAR(C773-WEEKDAY(C773,2)+4),1,3),2)+5)/7),"00"))</f>
        <v/>
      </c>
    </row>
    <row r="774" ht="18" customHeight="1">
      <c r="A774" s="39" t="n">
        <v>769</v>
      </c>
      <c r="B774" s="33">
        <f>IF(C774="","",IF(L774="À RENSEIGNER","GIC",L774)&amp;"-E"&amp;TEXT(A774,"00000"))</f>
        <v/>
      </c>
      <c r="C774" s="32" t="n"/>
      <c r="D774" s="36" t="n"/>
      <c r="E774" s="37" t="n"/>
      <c r="F774" s="36" t="n"/>
      <c r="G774" s="44" t="n"/>
      <c r="H774" s="43" t="n"/>
      <c r="I774" s="32" t="n"/>
      <c r="J774" s="44" t="n"/>
      <c r="K774" s="36" t="n"/>
      <c r="L774" s="33">
        <f>IF(C774="","",Commercial_Id)</f>
        <v/>
      </c>
      <c r="M774" s="34">
        <f>IF(OR(C774="",F774=""),"",IF(F774&lt;&gt;"Espèces","—",IF(I774&lt;&gt;"","☑ Oui","☐ Non")))</f>
        <v/>
      </c>
      <c r="N774" s="39">
        <f>IF(D774="","",IFERROR(VALUE(MID(D774,LEN(D774)-3,3)),""))</f>
        <v/>
      </c>
      <c r="O774" s="33">
        <f>IF(N774="","",L774&amp;"|"&amp;N774)</f>
        <v/>
      </c>
      <c r="P774" s="33">
        <f>IF(N774="","",IF(L774="À RENSEIGNER","GIC",L774)&amp;"-"&amp;TEXT(N774,"000"))</f>
        <v/>
      </c>
      <c r="Q774" s="33">
        <f>IF(O774="","",IFERROR(INDEX(Cl_nom,MATCH(O774,Cl_cle,0)),"(client introuvable)"))</f>
        <v/>
      </c>
      <c r="R774" s="40">
        <f>IF(O774="","",IFERROR(INDEX(Cl_reste,MATCH(O774,Cl_cle,0)),""))</f>
        <v/>
      </c>
      <c r="S774" s="34">
        <f>IF(C774="","",YEAR(C774-WEEKDAY(C774,2)+4)&amp;"-S"&amp;TEXT(INT((C774-DATE(YEAR(C774-WEEKDAY(C774,2)+4),1,3)+WEEKDAY(DATE(YEAR(C774-WEEKDAY(C774,2)+4),1,3),2)+5)/7),"00"))</f>
        <v/>
      </c>
    </row>
    <row r="775" ht="18" customHeight="1">
      <c r="A775" s="39" t="n">
        <v>770</v>
      </c>
      <c r="B775" s="33">
        <f>IF(C775="","",IF(L775="À RENSEIGNER","GIC",L775)&amp;"-E"&amp;TEXT(A775,"00000"))</f>
        <v/>
      </c>
      <c r="C775" s="32" t="n"/>
      <c r="D775" s="36" t="n"/>
      <c r="E775" s="37" t="n"/>
      <c r="F775" s="36" t="n"/>
      <c r="G775" s="44" t="n"/>
      <c r="H775" s="43" t="n"/>
      <c r="I775" s="32" t="n"/>
      <c r="J775" s="44" t="n"/>
      <c r="K775" s="36" t="n"/>
      <c r="L775" s="33">
        <f>IF(C775="","",Commercial_Id)</f>
        <v/>
      </c>
      <c r="M775" s="34">
        <f>IF(OR(C775="",F775=""),"",IF(F775&lt;&gt;"Espèces","—",IF(I775&lt;&gt;"","☑ Oui","☐ Non")))</f>
        <v/>
      </c>
      <c r="N775" s="39">
        <f>IF(D775="","",IFERROR(VALUE(MID(D775,LEN(D775)-3,3)),""))</f>
        <v/>
      </c>
      <c r="O775" s="33">
        <f>IF(N775="","",L775&amp;"|"&amp;N775)</f>
        <v/>
      </c>
      <c r="P775" s="33">
        <f>IF(N775="","",IF(L775="À RENSEIGNER","GIC",L775)&amp;"-"&amp;TEXT(N775,"000"))</f>
        <v/>
      </c>
      <c r="Q775" s="33">
        <f>IF(O775="","",IFERROR(INDEX(Cl_nom,MATCH(O775,Cl_cle,0)),"(client introuvable)"))</f>
        <v/>
      </c>
      <c r="R775" s="40">
        <f>IF(O775="","",IFERROR(INDEX(Cl_reste,MATCH(O775,Cl_cle,0)),""))</f>
        <v/>
      </c>
      <c r="S775" s="34">
        <f>IF(C775="","",YEAR(C775-WEEKDAY(C775,2)+4)&amp;"-S"&amp;TEXT(INT((C775-DATE(YEAR(C775-WEEKDAY(C775,2)+4),1,3)+WEEKDAY(DATE(YEAR(C775-WEEKDAY(C775,2)+4),1,3),2)+5)/7),"00"))</f>
        <v/>
      </c>
    </row>
    <row r="776" ht="18" customHeight="1">
      <c r="A776" s="39" t="n">
        <v>771</v>
      </c>
      <c r="B776" s="33">
        <f>IF(C776="","",IF(L776="À RENSEIGNER","GIC",L776)&amp;"-E"&amp;TEXT(A776,"00000"))</f>
        <v/>
      </c>
      <c r="C776" s="32" t="n"/>
      <c r="D776" s="36" t="n"/>
      <c r="E776" s="37" t="n"/>
      <c r="F776" s="36" t="n"/>
      <c r="G776" s="44" t="n"/>
      <c r="H776" s="43" t="n"/>
      <c r="I776" s="32" t="n"/>
      <c r="J776" s="44" t="n"/>
      <c r="K776" s="36" t="n"/>
      <c r="L776" s="33">
        <f>IF(C776="","",Commercial_Id)</f>
        <v/>
      </c>
      <c r="M776" s="34">
        <f>IF(OR(C776="",F776=""),"",IF(F776&lt;&gt;"Espèces","—",IF(I776&lt;&gt;"","☑ Oui","☐ Non")))</f>
        <v/>
      </c>
      <c r="N776" s="39">
        <f>IF(D776="","",IFERROR(VALUE(MID(D776,LEN(D776)-3,3)),""))</f>
        <v/>
      </c>
      <c r="O776" s="33">
        <f>IF(N776="","",L776&amp;"|"&amp;N776)</f>
        <v/>
      </c>
      <c r="P776" s="33">
        <f>IF(N776="","",IF(L776="À RENSEIGNER","GIC",L776)&amp;"-"&amp;TEXT(N776,"000"))</f>
        <v/>
      </c>
      <c r="Q776" s="33">
        <f>IF(O776="","",IFERROR(INDEX(Cl_nom,MATCH(O776,Cl_cle,0)),"(client introuvable)"))</f>
        <v/>
      </c>
      <c r="R776" s="40">
        <f>IF(O776="","",IFERROR(INDEX(Cl_reste,MATCH(O776,Cl_cle,0)),""))</f>
        <v/>
      </c>
      <c r="S776" s="34">
        <f>IF(C776="","",YEAR(C776-WEEKDAY(C776,2)+4)&amp;"-S"&amp;TEXT(INT((C776-DATE(YEAR(C776-WEEKDAY(C776,2)+4),1,3)+WEEKDAY(DATE(YEAR(C776-WEEKDAY(C776,2)+4),1,3),2)+5)/7),"00"))</f>
        <v/>
      </c>
    </row>
    <row r="777" ht="18" customHeight="1">
      <c r="A777" s="39" t="n">
        <v>772</v>
      </c>
      <c r="B777" s="33">
        <f>IF(C777="","",IF(L777="À RENSEIGNER","GIC",L777)&amp;"-E"&amp;TEXT(A777,"00000"))</f>
        <v/>
      </c>
      <c r="C777" s="32" t="n"/>
      <c r="D777" s="36" t="n"/>
      <c r="E777" s="37" t="n"/>
      <c r="F777" s="36" t="n"/>
      <c r="G777" s="44" t="n"/>
      <c r="H777" s="43" t="n"/>
      <c r="I777" s="32" t="n"/>
      <c r="J777" s="44" t="n"/>
      <c r="K777" s="36" t="n"/>
      <c r="L777" s="33">
        <f>IF(C777="","",Commercial_Id)</f>
        <v/>
      </c>
      <c r="M777" s="34">
        <f>IF(OR(C777="",F777=""),"",IF(F777&lt;&gt;"Espèces","—",IF(I777&lt;&gt;"","☑ Oui","☐ Non")))</f>
        <v/>
      </c>
      <c r="N777" s="39">
        <f>IF(D777="","",IFERROR(VALUE(MID(D777,LEN(D777)-3,3)),""))</f>
        <v/>
      </c>
      <c r="O777" s="33">
        <f>IF(N777="","",L777&amp;"|"&amp;N777)</f>
        <v/>
      </c>
      <c r="P777" s="33">
        <f>IF(N777="","",IF(L777="À RENSEIGNER","GIC",L777)&amp;"-"&amp;TEXT(N777,"000"))</f>
        <v/>
      </c>
      <c r="Q777" s="33">
        <f>IF(O777="","",IFERROR(INDEX(Cl_nom,MATCH(O777,Cl_cle,0)),"(client introuvable)"))</f>
        <v/>
      </c>
      <c r="R777" s="40">
        <f>IF(O777="","",IFERROR(INDEX(Cl_reste,MATCH(O777,Cl_cle,0)),""))</f>
        <v/>
      </c>
      <c r="S777" s="34">
        <f>IF(C777="","",YEAR(C777-WEEKDAY(C777,2)+4)&amp;"-S"&amp;TEXT(INT((C777-DATE(YEAR(C777-WEEKDAY(C777,2)+4),1,3)+WEEKDAY(DATE(YEAR(C777-WEEKDAY(C777,2)+4),1,3),2)+5)/7),"00"))</f>
        <v/>
      </c>
    </row>
    <row r="778" ht="18" customHeight="1">
      <c r="A778" s="39" t="n">
        <v>773</v>
      </c>
      <c r="B778" s="33">
        <f>IF(C778="","",IF(L778="À RENSEIGNER","GIC",L778)&amp;"-E"&amp;TEXT(A778,"00000"))</f>
        <v/>
      </c>
      <c r="C778" s="32" t="n"/>
      <c r="D778" s="36" t="n"/>
      <c r="E778" s="37" t="n"/>
      <c r="F778" s="36" t="n"/>
      <c r="G778" s="44" t="n"/>
      <c r="H778" s="43" t="n"/>
      <c r="I778" s="32" t="n"/>
      <c r="J778" s="44" t="n"/>
      <c r="K778" s="36" t="n"/>
      <c r="L778" s="33">
        <f>IF(C778="","",Commercial_Id)</f>
        <v/>
      </c>
      <c r="M778" s="34">
        <f>IF(OR(C778="",F778=""),"",IF(F778&lt;&gt;"Espèces","—",IF(I778&lt;&gt;"","☑ Oui","☐ Non")))</f>
        <v/>
      </c>
      <c r="N778" s="39">
        <f>IF(D778="","",IFERROR(VALUE(MID(D778,LEN(D778)-3,3)),""))</f>
        <v/>
      </c>
      <c r="O778" s="33">
        <f>IF(N778="","",L778&amp;"|"&amp;N778)</f>
        <v/>
      </c>
      <c r="P778" s="33">
        <f>IF(N778="","",IF(L778="À RENSEIGNER","GIC",L778)&amp;"-"&amp;TEXT(N778,"000"))</f>
        <v/>
      </c>
      <c r="Q778" s="33">
        <f>IF(O778="","",IFERROR(INDEX(Cl_nom,MATCH(O778,Cl_cle,0)),"(client introuvable)"))</f>
        <v/>
      </c>
      <c r="R778" s="40">
        <f>IF(O778="","",IFERROR(INDEX(Cl_reste,MATCH(O778,Cl_cle,0)),""))</f>
        <v/>
      </c>
      <c r="S778" s="34">
        <f>IF(C778="","",YEAR(C778-WEEKDAY(C778,2)+4)&amp;"-S"&amp;TEXT(INT((C778-DATE(YEAR(C778-WEEKDAY(C778,2)+4),1,3)+WEEKDAY(DATE(YEAR(C778-WEEKDAY(C778,2)+4),1,3),2)+5)/7),"00"))</f>
        <v/>
      </c>
    </row>
    <row r="779" ht="18" customHeight="1">
      <c r="A779" s="39" t="n">
        <v>774</v>
      </c>
      <c r="B779" s="33">
        <f>IF(C779="","",IF(L779="À RENSEIGNER","GIC",L779)&amp;"-E"&amp;TEXT(A779,"00000"))</f>
        <v/>
      </c>
      <c r="C779" s="32" t="n"/>
      <c r="D779" s="36" t="n"/>
      <c r="E779" s="37" t="n"/>
      <c r="F779" s="36" t="n"/>
      <c r="G779" s="44" t="n"/>
      <c r="H779" s="43" t="n"/>
      <c r="I779" s="32" t="n"/>
      <c r="J779" s="44" t="n"/>
      <c r="K779" s="36" t="n"/>
      <c r="L779" s="33">
        <f>IF(C779="","",Commercial_Id)</f>
        <v/>
      </c>
      <c r="M779" s="34">
        <f>IF(OR(C779="",F779=""),"",IF(F779&lt;&gt;"Espèces","—",IF(I779&lt;&gt;"","☑ Oui","☐ Non")))</f>
        <v/>
      </c>
      <c r="N779" s="39">
        <f>IF(D779="","",IFERROR(VALUE(MID(D779,LEN(D779)-3,3)),""))</f>
        <v/>
      </c>
      <c r="O779" s="33">
        <f>IF(N779="","",L779&amp;"|"&amp;N779)</f>
        <v/>
      </c>
      <c r="P779" s="33">
        <f>IF(N779="","",IF(L779="À RENSEIGNER","GIC",L779)&amp;"-"&amp;TEXT(N779,"000"))</f>
        <v/>
      </c>
      <c r="Q779" s="33">
        <f>IF(O779="","",IFERROR(INDEX(Cl_nom,MATCH(O779,Cl_cle,0)),"(client introuvable)"))</f>
        <v/>
      </c>
      <c r="R779" s="40">
        <f>IF(O779="","",IFERROR(INDEX(Cl_reste,MATCH(O779,Cl_cle,0)),""))</f>
        <v/>
      </c>
      <c r="S779" s="34">
        <f>IF(C779="","",YEAR(C779-WEEKDAY(C779,2)+4)&amp;"-S"&amp;TEXT(INT((C779-DATE(YEAR(C779-WEEKDAY(C779,2)+4),1,3)+WEEKDAY(DATE(YEAR(C779-WEEKDAY(C779,2)+4),1,3),2)+5)/7),"00"))</f>
        <v/>
      </c>
    </row>
    <row r="780" ht="18" customHeight="1">
      <c r="A780" s="39" t="n">
        <v>775</v>
      </c>
      <c r="B780" s="33">
        <f>IF(C780="","",IF(L780="À RENSEIGNER","GIC",L780)&amp;"-E"&amp;TEXT(A780,"00000"))</f>
        <v/>
      </c>
      <c r="C780" s="32" t="n"/>
      <c r="D780" s="36" t="n"/>
      <c r="E780" s="37" t="n"/>
      <c r="F780" s="36" t="n"/>
      <c r="G780" s="44" t="n"/>
      <c r="H780" s="43" t="n"/>
      <c r="I780" s="32" t="n"/>
      <c r="J780" s="44" t="n"/>
      <c r="K780" s="36" t="n"/>
      <c r="L780" s="33">
        <f>IF(C780="","",Commercial_Id)</f>
        <v/>
      </c>
      <c r="M780" s="34">
        <f>IF(OR(C780="",F780=""),"",IF(F780&lt;&gt;"Espèces","—",IF(I780&lt;&gt;"","☑ Oui","☐ Non")))</f>
        <v/>
      </c>
      <c r="N780" s="39">
        <f>IF(D780="","",IFERROR(VALUE(MID(D780,LEN(D780)-3,3)),""))</f>
        <v/>
      </c>
      <c r="O780" s="33">
        <f>IF(N780="","",L780&amp;"|"&amp;N780)</f>
        <v/>
      </c>
      <c r="P780" s="33">
        <f>IF(N780="","",IF(L780="À RENSEIGNER","GIC",L780)&amp;"-"&amp;TEXT(N780,"000"))</f>
        <v/>
      </c>
      <c r="Q780" s="33">
        <f>IF(O780="","",IFERROR(INDEX(Cl_nom,MATCH(O780,Cl_cle,0)),"(client introuvable)"))</f>
        <v/>
      </c>
      <c r="R780" s="40">
        <f>IF(O780="","",IFERROR(INDEX(Cl_reste,MATCH(O780,Cl_cle,0)),""))</f>
        <v/>
      </c>
      <c r="S780" s="34">
        <f>IF(C780="","",YEAR(C780-WEEKDAY(C780,2)+4)&amp;"-S"&amp;TEXT(INT((C780-DATE(YEAR(C780-WEEKDAY(C780,2)+4),1,3)+WEEKDAY(DATE(YEAR(C780-WEEKDAY(C780,2)+4),1,3),2)+5)/7),"00"))</f>
        <v/>
      </c>
    </row>
    <row r="781" ht="18" customHeight="1">
      <c r="A781" s="39" t="n">
        <v>776</v>
      </c>
      <c r="B781" s="33">
        <f>IF(C781="","",IF(L781="À RENSEIGNER","GIC",L781)&amp;"-E"&amp;TEXT(A781,"00000"))</f>
        <v/>
      </c>
      <c r="C781" s="32" t="n"/>
      <c r="D781" s="36" t="n"/>
      <c r="E781" s="37" t="n"/>
      <c r="F781" s="36" t="n"/>
      <c r="G781" s="44" t="n"/>
      <c r="H781" s="43" t="n"/>
      <c r="I781" s="32" t="n"/>
      <c r="J781" s="44" t="n"/>
      <c r="K781" s="36" t="n"/>
      <c r="L781" s="33">
        <f>IF(C781="","",Commercial_Id)</f>
        <v/>
      </c>
      <c r="M781" s="34">
        <f>IF(OR(C781="",F781=""),"",IF(F781&lt;&gt;"Espèces","—",IF(I781&lt;&gt;"","☑ Oui","☐ Non")))</f>
        <v/>
      </c>
      <c r="N781" s="39">
        <f>IF(D781="","",IFERROR(VALUE(MID(D781,LEN(D781)-3,3)),""))</f>
        <v/>
      </c>
      <c r="O781" s="33">
        <f>IF(N781="","",L781&amp;"|"&amp;N781)</f>
        <v/>
      </c>
      <c r="P781" s="33">
        <f>IF(N781="","",IF(L781="À RENSEIGNER","GIC",L781)&amp;"-"&amp;TEXT(N781,"000"))</f>
        <v/>
      </c>
      <c r="Q781" s="33">
        <f>IF(O781="","",IFERROR(INDEX(Cl_nom,MATCH(O781,Cl_cle,0)),"(client introuvable)"))</f>
        <v/>
      </c>
      <c r="R781" s="40">
        <f>IF(O781="","",IFERROR(INDEX(Cl_reste,MATCH(O781,Cl_cle,0)),""))</f>
        <v/>
      </c>
      <c r="S781" s="34">
        <f>IF(C781="","",YEAR(C781-WEEKDAY(C781,2)+4)&amp;"-S"&amp;TEXT(INT((C781-DATE(YEAR(C781-WEEKDAY(C781,2)+4),1,3)+WEEKDAY(DATE(YEAR(C781-WEEKDAY(C781,2)+4),1,3),2)+5)/7),"00"))</f>
        <v/>
      </c>
    </row>
    <row r="782" ht="18" customHeight="1">
      <c r="A782" s="39" t="n">
        <v>777</v>
      </c>
      <c r="B782" s="33">
        <f>IF(C782="","",IF(L782="À RENSEIGNER","GIC",L782)&amp;"-E"&amp;TEXT(A782,"00000"))</f>
        <v/>
      </c>
      <c r="C782" s="32" t="n"/>
      <c r="D782" s="36" t="n"/>
      <c r="E782" s="37" t="n"/>
      <c r="F782" s="36" t="n"/>
      <c r="G782" s="44" t="n"/>
      <c r="H782" s="43" t="n"/>
      <c r="I782" s="32" t="n"/>
      <c r="J782" s="44" t="n"/>
      <c r="K782" s="36" t="n"/>
      <c r="L782" s="33">
        <f>IF(C782="","",Commercial_Id)</f>
        <v/>
      </c>
      <c r="M782" s="34">
        <f>IF(OR(C782="",F782=""),"",IF(F782&lt;&gt;"Espèces","—",IF(I782&lt;&gt;"","☑ Oui","☐ Non")))</f>
        <v/>
      </c>
      <c r="N782" s="39">
        <f>IF(D782="","",IFERROR(VALUE(MID(D782,LEN(D782)-3,3)),""))</f>
        <v/>
      </c>
      <c r="O782" s="33">
        <f>IF(N782="","",L782&amp;"|"&amp;N782)</f>
        <v/>
      </c>
      <c r="P782" s="33">
        <f>IF(N782="","",IF(L782="À RENSEIGNER","GIC",L782)&amp;"-"&amp;TEXT(N782,"000"))</f>
        <v/>
      </c>
      <c r="Q782" s="33">
        <f>IF(O782="","",IFERROR(INDEX(Cl_nom,MATCH(O782,Cl_cle,0)),"(client introuvable)"))</f>
        <v/>
      </c>
      <c r="R782" s="40">
        <f>IF(O782="","",IFERROR(INDEX(Cl_reste,MATCH(O782,Cl_cle,0)),""))</f>
        <v/>
      </c>
      <c r="S782" s="34">
        <f>IF(C782="","",YEAR(C782-WEEKDAY(C782,2)+4)&amp;"-S"&amp;TEXT(INT((C782-DATE(YEAR(C782-WEEKDAY(C782,2)+4),1,3)+WEEKDAY(DATE(YEAR(C782-WEEKDAY(C782,2)+4),1,3),2)+5)/7),"00"))</f>
        <v/>
      </c>
    </row>
    <row r="783" ht="18" customHeight="1">
      <c r="A783" s="39" t="n">
        <v>778</v>
      </c>
      <c r="B783" s="33">
        <f>IF(C783="","",IF(L783="À RENSEIGNER","GIC",L783)&amp;"-E"&amp;TEXT(A783,"00000"))</f>
        <v/>
      </c>
      <c r="C783" s="32" t="n"/>
      <c r="D783" s="36" t="n"/>
      <c r="E783" s="37" t="n"/>
      <c r="F783" s="36" t="n"/>
      <c r="G783" s="44" t="n"/>
      <c r="H783" s="43" t="n"/>
      <c r="I783" s="32" t="n"/>
      <c r="J783" s="44" t="n"/>
      <c r="K783" s="36" t="n"/>
      <c r="L783" s="33">
        <f>IF(C783="","",Commercial_Id)</f>
        <v/>
      </c>
      <c r="M783" s="34">
        <f>IF(OR(C783="",F783=""),"",IF(F783&lt;&gt;"Espèces","—",IF(I783&lt;&gt;"","☑ Oui","☐ Non")))</f>
        <v/>
      </c>
      <c r="N783" s="39">
        <f>IF(D783="","",IFERROR(VALUE(MID(D783,LEN(D783)-3,3)),""))</f>
        <v/>
      </c>
      <c r="O783" s="33">
        <f>IF(N783="","",L783&amp;"|"&amp;N783)</f>
        <v/>
      </c>
      <c r="P783" s="33">
        <f>IF(N783="","",IF(L783="À RENSEIGNER","GIC",L783)&amp;"-"&amp;TEXT(N783,"000"))</f>
        <v/>
      </c>
      <c r="Q783" s="33">
        <f>IF(O783="","",IFERROR(INDEX(Cl_nom,MATCH(O783,Cl_cle,0)),"(client introuvable)"))</f>
        <v/>
      </c>
      <c r="R783" s="40">
        <f>IF(O783="","",IFERROR(INDEX(Cl_reste,MATCH(O783,Cl_cle,0)),""))</f>
        <v/>
      </c>
      <c r="S783" s="34">
        <f>IF(C783="","",YEAR(C783-WEEKDAY(C783,2)+4)&amp;"-S"&amp;TEXT(INT((C783-DATE(YEAR(C783-WEEKDAY(C783,2)+4),1,3)+WEEKDAY(DATE(YEAR(C783-WEEKDAY(C783,2)+4),1,3),2)+5)/7),"00"))</f>
        <v/>
      </c>
    </row>
    <row r="784" ht="18" customHeight="1">
      <c r="A784" s="39" t="n">
        <v>779</v>
      </c>
      <c r="B784" s="33">
        <f>IF(C784="","",IF(L784="À RENSEIGNER","GIC",L784)&amp;"-E"&amp;TEXT(A784,"00000"))</f>
        <v/>
      </c>
      <c r="C784" s="32" t="n"/>
      <c r="D784" s="36" t="n"/>
      <c r="E784" s="37" t="n"/>
      <c r="F784" s="36" t="n"/>
      <c r="G784" s="44" t="n"/>
      <c r="H784" s="43" t="n"/>
      <c r="I784" s="32" t="n"/>
      <c r="J784" s="44" t="n"/>
      <c r="K784" s="36" t="n"/>
      <c r="L784" s="33">
        <f>IF(C784="","",Commercial_Id)</f>
        <v/>
      </c>
      <c r="M784" s="34">
        <f>IF(OR(C784="",F784=""),"",IF(F784&lt;&gt;"Espèces","—",IF(I784&lt;&gt;"","☑ Oui","☐ Non")))</f>
        <v/>
      </c>
      <c r="N784" s="39">
        <f>IF(D784="","",IFERROR(VALUE(MID(D784,LEN(D784)-3,3)),""))</f>
        <v/>
      </c>
      <c r="O784" s="33">
        <f>IF(N784="","",L784&amp;"|"&amp;N784)</f>
        <v/>
      </c>
      <c r="P784" s="33">
        <f>IF(N784="","",IF(L784="À RENSEIGNER","GIC",L784)&amp;"-"&amp;TEXT(N784,"000"))</f>
        <v/>
      </c>
      <c r="Q784" s="33">
        <f>IF(O784="","",IFERROR(INDEX(Cl_nom,MATCH(O784,Cl_cle,0)),"(client introuvable)"))</f>
        <v/>
      </c>
      <c r="R784" s="40">
        <f>IF(O784="","",IFERROR(INDEX(Cl_reste,MATCH(O784,Cl_cle,0)),""))</f>
        <v/>
      </c>
      <c r="S784" s="34">
        <f>IF(C784="","",YEAR(C784-WEEKDAY(C784,2)+4)&amp;"-S"&amp;TEXT(INT((C784-DATE(YEAR(C784-WEEKDAY(C784,2)+4),1,3)+WEEKDAY(DATE(YEAR(C784-WEEKDAY(C784,2)+4),1,3),2)+5)/7),"00"))</f>
        <v/>
      </c>
    </row>
    <row r="785" ht="18" customHeight="1">
      <c r="A785" s="39" t="n">
        <v>780</v>
      </c>
      <c r="B785" s="33">
        <f>IF(C785="","",IF(L785="À RENSEIGNER","GIC",L785)&amp;"-E"&amp;TEXT(A785,"00000"))</f>
        <v/>
      </c>
      <c r="C785" s="32" t="n"/>
      <c r="D785" s="36" t="n"/>
      <c r="E785" s="37" t="n"/>
      <c r="F785" s="36" t="n"/>
      <c r="G785" s="44" t="n"/>
      <c r="H785" s="43" t="n"/>
      <c r="I785" s="32" t="n"/>
      <c r="J785" s="44" t="n"/>
      <c r="K785" s="36" t="n"/>
      <c r="L785" s="33">
        <f>IF(C785="","",Commercial_Id)</f>
        <v/>
      </c>
      <c r="M785" s="34">
        <f>IF(OR(C785="",F785=""),"",IF(F785&lt;&gt;"Espèces","—",IF(I785&lt;&gt;"","☑ Oui","☐ Non")))</f>
        <v/>
      </c>
      <c r="N785" s="39">
        <f>IF(D785="","",IFERROR(VALUE(MID(D785,LEN(D785)-3,3)),""))</f>
        <v/>
      </c>
      <c r="O785" s="33">
        <f>IF(N785="","",L785&amp;"|"&amp;N785)</f>
        <v/>
      </c>
      <c r="P785" s="33">
        <f>IF(N785="","",IF(L785="À RENSEIGNER","GIC",L785)&amp;"-"&amp;TEXT(N785,"000"))</f>
        <v/>
      </c>
      <c r="Q785" s="33">
        <f>IF(O785="","",IFERROR(INDEX(Cl_nom,MATCH(O785,Cl_cle,0)),"(client introuvable)"))</f>
        <v/>
      </c>
      <c r="R785" s="40">
        <f>IF(O785="","",IFERROR(INDEX(Cl_reste,MATCH(O785,Cl_cle,0)),""))</f>
        <v/>
      </c>
      <c r="S785" s="34">
        <f>IF(C785="","",YEAR(C785-WEEKDAY(C785,2)+4)&amp;"-S"&amp;TEXT(INT((C785-DATE(YEAR(C785-WEEKDAY(C785,2)+4),1,3)+WEEKDAY(DATE(YEAR(C785-WEEKDAY(C785,2)+4),1,3),2)+5)/7),"00"))</f>
        <v/>
      </c>
    </row>
    <row r="786" ht="18" customHeight="1">
      <c r="A786" s="39" t="n">
        <v>781</v>
      </c>
      <c r="B786" s="33">
        <f>IF(C786="","",IF(L786="À RENSEIGNER","GIC",L786)&amp;"-E"&amp;TEXT(A786,"00000"))</f>
        <v/>
      </c>
      <c r="C786" s="32" t="n"/>
      <c r="D786" s="36" t="n"/>
      <c r="E786" s="37" t="n"/>
      <c r="F786" s="36" t="n"/>
      <c r="G786" s="44" t="n"/>
      <c r="H786" s="43" t="n"/>
      <c r="I786" s="32" t="n"/>
      <c r="J786" s="44" t="n"/>
      <c r="K786" s="36" t="n"/>
      <c r="L786" s="33">
        <f>IF(C786="","",Commercial_Id)</f>
        <v/>
      </c>
      <c r="M786" s="34">
        <f>IF(OR(C786="",F786=""),"",IF(F786&lt;&gt;"Espèces","—",IF(I786&lt;&gt;"","☑ Oui","☐ Non")))</f>
        <v/>
      </c>
      <c r="N786" s="39">
        <f>IF(D786="","",IFERROR(VALUE(MID(D786,LEN(D786)-3,3)),""))</f>
        <v/>
      </c>
      <c r="O786" s="33">
        <f>IF(N786="","",L786&amp;"|"&amp;N786)</f>
        <v/>
      </c>
      <c r="P786" s="33">
        <f>IF(N786="","",IF(L786="À RENSEIGNER","GIC",L786)&amp;"-"&amp;TEXT(N786,"000"))</f>
        <v/>
      </c>
      <c r="Q786" s="33">
        <f>IF(O786="","",IFERROR(INDEX(Cl_nom,MATCH(O786,Cl_cle,0)),"(client introuvable)"))</f>
        <v/>
      </c>
      <c r="R786" s="40">
        <f>IF(O786="","",IFERROR(INDEX(Cl_reste,MATCH(O786,Cl_cle,0)),""))</f>
        <v/>
      </c>
      <c r="S786" s="34">
        <f>IF(C786="","",YEAR(C786-WEEKDAY(C786,2)+4)&amp;"-S"&amp;TEXT(INT((C786-DATE(YEAR(C786-WEEKDAY(C786,2)+4),1,3)+WEEKDAY(DATE(YEAR(C786-WEEKDAY(C786,2)+4),1,3),2)+5)/7),"00"))</f>
        <v/>
      </c>
    </row>
    <row r="787" ht="18" customHeight="1">
      <c r="A787" s="39" t="n">
        <v>782</v>
      </c>
      <c r="B787" s="33">
        <f>IF(C787="","",IF(L787="À RENSEIGNER","GIC",L787)&amp;"-E"&amp;TEXT(A787,"00000"))</f>
        <v/>
      </c>
      <c r="C787" s="32" t="n"/>
      <c r="D787" s="36" t="n"/>
      <c r="E787" s="37" t="n"/>
      <c r="F787" s="36" t="n"/>
      <c r="G787" s="44" t="n"/>
      <c r="H787" s="43" t="n"/>
      <c r="I787" s="32" t="n"/>
      <c r="J787" s="44" t="n"/>
      <c r="K787" s="36" t="n"/>
      <c r="L787" s="33">
        <f>IF(C787="","",Commercial_Id)</f>
        <v/>
      </c>
      <c r="M787" s="34">
        <f>IF(OR(C787="",F787=""),"",IF(F787&lt;&gt;"Espèces","—",IF(I787&lt;&gt;"","☑ Oui","☐ Non")))</f>
        <v/>
      </c>
      <c r="N787" s="39">
        <f>IF(D787="","",IFERROR(VALUE(MID(D787,LEN(D787)-3,3)),""))</f>
        <v/>
      </c>
      <c r="O787" s="33">
        <f>IF(N787="","",L787&amp;"|"&amp;N787)</f>
        <v/>
      </c>
      <c r="P787" s="33">
        <f>IF(N787="","",IF(L787="À RENSEIGNER","GIC",L787)&amp;"-"&amp;TEXT(N787,"000"))</f>
        <v/>
      </c>
      <c r="Q787" s="33">
        <f>IF(O787="","",IFERROR(INDEX(Cl_nom,MATCH(O787,Cl_cle,0)),"(client introuvable)"))</f>
        <v/>
      </c>
      <c r="R787" s="40">
        <f>IF(O787="","",IFERROR(INDEX(Cl_reste,MATCH(O787,Cl_cle,0)),""))</f>
        <v/>
      </c>
      <c r="S787" s="34">
        <f>IF(C787="","",YEAR(C787-WEEKDAY(C787,2)+4)&amp;"-S"&amp;TEXT(INT((C787-DATE(YEAR(C787-WEEKDAY(C787,2)+4),1,3)+WEEKDAY(DATE(YEAR(C787-WEEKDAY(C787,2)+4),1,3),2)+5)/7),"00"))</f>
        <v/>
      </c>
    </row>
    <row r="788" ht="18" customHeight="1">
      <c r="A788" s="39" t="n">
        <v>783</v>
      </c>
      <c r="B788" s="33">
        <f>IF(C788="","",IF(L788="À RENSEIGNER","GIC",L788)&amp;"-E"&amp;TEXT(A788,"00000"))</f>
        <v/>
      </c>
      <c r="C788" s="32" t="n"/>
      <c r="D788" s="36" t="n"/>
      <c r="E788" s="37" t="n"/>
      <c r="F788" s="36" t="n"/>
      <c r="G788" s="44" t="n"/>
      <c r="H788" s="43" t="n"/>
      <c r="I788" s="32" t="n"/>
      <c r="J788" s="44" t="n"/>
      <c r="K788" s="36" t="n"/>
      <c r="L788" s="33">
        <f>IF(C788="","",Commercial_Id)</f>
        <v/>
      </c>
      <c r="M788" s="34">
        <f>IF(OR(C788="",F788=""),"",IF(F788&lt;&gt;"Espèces","—",IF(I788&lt;&gt;"","☑ Oui","☐ Non")))</f>
        <v/>
      </c>
      <c r="N788" s="39">
        <f>IF(D788="","",IFERROR(VALUE(MID(D788,LEN(D788)-3,3)),""))</f>
        <v/>
      </c>
      <c r="O788" s="33">
        <f>IF(N788="","",L788&amp;"|"&amp;N788)</f>
        <v/>
      </c>
      <c r="P788" s="33">
        <f>IF(N788="","",IF(L788="À RENSEIGNER","GIC",L788)&amp;"-"&amp;TEXT(N788,"000"))</f>
        <v/>
      </c>
      <c r="Q788" s="33">
        <f>IF(O788="","",IFERROR(INDEX(Cl_nom,MATCH(O788,Cl_cle,0)),"(client introuvable)"))</f>
        <v/>
      </c>
      <c r="R788" s="40">
        <f>IF(O788="","",IFERROR(INDEX(Cl_reste,MATCH(O788,Cl_cle,0)),""))</f>
        <v/>
      </c>
      <c r="S788" s="34">
        <f>IF(C788="","",YEAR(C788-WEEKDAY(C788,2)+4)&amp;"-S"&amp;TEXT(INT((C788-DATE(YEAR(C788-WEEKDAY(C788,2)+4),1,3)+WEEKDAY(DATE(YEAR(C788-WEEKDAY(C788,2)+4),1,3),2)+5)/7),"00"))</f>
        <v/>
      </c>
    </row>
    <row r="789" ht="18" customHeight="1">
      <c r="A789" s="39" t="n">
        <v>784</v>
      </c>
      <c r="B789" s="33">
        <f>IF(C789="","",IF(L789="À RENSEIGNER","GIC",L789)&amp;"-E"&amp;TEXT(A789,"00000"))</f>
        <v/>
      </c>
      <c r="C789" s="32" t="n"/>
      <c r="D789" s="36" t="n"/>
      <c r="E789" s="37" t="n"/>
      <c r="F789" s="36" t="n"/>
      <c r="G789" s="44" t="n"/>
      <c r="H789" s="43" t="n"/>
      <c r="I789" s="32" t="n"/>
      <c r="J789" s="44" t="n"/>
      <c r="K789" s="36" t="n"/>
      <c r="L789" s="33">
        <f>IF(C789="","",Commercial_Id)</f>
        <v/>
      </c>
      <c r="M789" s="34">
        <f>IF(OR(C789="",F789=""),"",IF(F789&lt;&gt;"Espèces","—",IF(I789&lt;&gt;"","☑ Oui","☐ Non")))</f>
        <v/>
      </c>
      <c r="N789" s="39">
        <f>IF(D789="","",IFERROR(VALUE(MID(D789,LEN(D789)-3,3)),""))</f>
        <v/>
      </c>
      <c r="O789" s="33">
        <f>IF(N789="","",L789&amp;"|"&amp;N789)</f>
        <v/>
      </c>
      <c r="P789" s="33">
        <f>IF(N789="","",IF(L789="À RENSEIGNER","GIC",L789)&amp;"-"&amp;TEXT(N789,"000"))</f>
        <v/>
      </c>
      <c r="Q789" s="33">
        <f>IF(O789="","",IFERROR(INDEX(Cl_nom,MATCH(O789,Cl_cle,0)),"(client introuvable)"))</f>
        <v/>
      </c>
      <c r="R789" s="40">
        <f>IF(O789="","",IFERROR(INDEX(Cl_reste,MATCH(O789,Cl_cle,0)),""))</f>
        <v/>
      </c>
      <c r="S789" s="34">
        <f>IF(C789="","",YEAR(C789-WEEKDAY(C789,2)+4)&amp;"-S"&amp;TEXT(INT((C789-DATE(YEAR(C789-WEEKDAY(C789,2)+4),1,3)+WEEKDAY(DATE(YEAR(C789-WEEKDAY(C789,2)+4),1,3),2)+5)/7),"00"))</f>
        <v/>
      </c>
    </row>
    <row r="790" ht="18" customHeight="1">
      <c r="A790" s="39" t="n">
        <v>785</v>
      </c>
      <c r="B790" s="33">
        <f>IF(C790="","",IF(L790="À RENSEIGNER","GIC",L790)&amp;"-E"&amp;TEXT(A790,"00000"))</f>
        <v/>
      </c>
      <c r="C790" s="32" t="n"/>
      <c r="D790" s="36" t="n"/>
      <c r="E790" s="37" t="n"/>
      <c r="F790" s="36" t="n"/>
      <c r="G790" s="44" t="n"/>
      <c r="H790" s="43" t="n"/>
      <c r="I790" s="32" t="n"/>
      <c r="J790" s="44" t="n"/>
      <c r="K790" s="36" t="n"/>
      <c r="L790" s="33">
        <f>IF(C790="","",Commercial_Id)</f>
        <v/>
      </c>
      <c r="M790" s="34">
        <f>IF(OR(C790="",F790=""),"",IF(F790&lt;&gt;"Espèces","—",IF(I790&lt;&gt;"","☑ Oui","☐ Non")))</f>
        <v/>
      </c>
      <c r="N790" s="39">
        <f>IF(D790="","",IFERROR(VALUE(MID(D790,LEN(D790)-3,3)),""))</f>
        <v/>
      </c>
      <c r="O790" s="33">
        <f>IF(N790="","",L790&amp;"|"&amp;N790)</f>
        <v/>
      </c>
      <c r="P790" s="33">
        <f>IF(N790="","",IF(L790="À RENSEIGNER","GIC",L790)&amp;"-"&amp;TEXT(N790,"000"))</f>
        <v/>
      </c>
      <c r="Q790" s="33">
        <f>IF(O790="","",IFERROR(INDEX(Cl_nom,MATCH(O790,Cl_cle,0)),"(client introuvable)"))</f>
        <v/>
      </c>
      <c r="R790" s="40">
        <f>IF(O790="","",IFERROR(INDEX(Cl_reste,MATCH(O790,Cl_cle,0)),""))</f>
        <v/>
      </c>
      <c r="S790" s="34">
        <f>IF(C790="","",YEAR(C790-WEEKDAY(C790,2)+4)&amp;"-S"&amp;TEXT(INT((C790-DATE(YEAR(C790-WEEKDAY(C790,2)+4),1,3)+WEEKDAY(DATE(YEAR(C790-WEEKDAY(C790,2)+4),1,3),2)+5)/7),"00"))</f>
        <v/>
      </c>
    </row>
    <row r="791" ht="18" customHeight="1">
      <c r="A791" s="39" t="n">
        <v>786</v>
      </c>
      <c r="B791" s="33">
        <f>IF(C791="","",IF(L791="À RENSEIGNER","GIC",L791)&amp;"-E"&amp;TEXT(A791,"00000"))</f>
        <v/>
      </c>
      <c r="C791" s="32" t="n"/>
      <c r="D791" s="36" t="n"/>
      <c r="E791" s="37" t="n"/>
      <c r="F791" s="36" t="n"/>
      <c r="G791" s="44" t="n"/>
      <c r="H791" s="43" t="n"/>
      <c r="I791" s="32" t="n"/>
      <c r="J791" s="44" t="n"/>
      <c r="K791" s="36" t="n"/>
      <c r="L791" s="33">
        <f>IF(C791="","",Commercial_Id)</f>
        <v/>
      </c>
      <c r="M791" s="34">
        <f>IF(OR(C791="",F791=""),"",IF(F791&lt;&gt;"Espèces","—",IF(I791&lt;&gt;"","☑ Oui","☐ Non")))</f>
        <v/>
      </c>
      <c r="N791" s="39">
        <f>IF(D791="","",IFERROR(VALUE(MID(D791,LEN(D791)-3,3)),""))</f>
        <v/>
      </c>
      <c r="O791" s="33">
        <f>IF(N791="","",L791&amp;"|"&amp;N791)</f>
        <v/>
      </c>
      <c r="P791" s="33">
        <f>IF(N791="","",IF(L791="À RENSEIGNER","GIC",L791)&amp;"-"&amp;TEXT(N791,"000"))</f>
        <v/>
      </c>
      <c r="Q791" s="33">
        <f>IF(O791="","",IFERROR(INDEX(Cl_nom,MATCH(O791,Cl_cle,0)),"(client introuvable)"))</f>
        <v/>
      </c>
      <c r="R791" s="40">
        <f>IF(O791="","",IFERROR(INDEX(Cl_reste,MATCH(O791,Cl_cle,0)),""))</f>
        <v/>
      </c>
      <c r="S791" s="34">
        <f>IF(C791="","",YEAR(C791-WEEKDAY(C791,2)+4)&amp;"-S"&amp;TEXT(INT((C791-DATE(YEAR(C791-WEEKDAY(C791,2)+4),1,3)+WEEKDAY(DATE(YEAR(C791-WEEKDAY(C791,2)+4),1,3),2)+5)/7),"00"))</f>
        <v/>
      </c>
    </row>
    <row r="792" ht="18" customHeight="1">
      <c r="A792" s="39" t="n">
        <v>787</v>
      </c>
      <c r="B792" s="33">
        <f>IF(C792="","",IF(L792="À RENSEIGNER","GIC",L792)&amp;"-E"&amp;TEXT(A792,"00000"))</f>
        <v/>
      </c>
      <c r="C792" s="32" t="n"/>
      <c r="D792" s="36" t="n"/>
      <c r="E792" s="37" t="n"/>
      <c r="F792" s="36" t="n"/>
      <c r="G792" s="44" t="n"/>
      <c r="H792" s="43" t="n"/>
      <c r="I792" s="32" t="n"/>
      <c r="J792" s="44" t="n"/>
      <c r="K792" s="36" t="n"/>
      <c r="L792" s="33">
        <f>IF(C792="","",Commercial_Id)</f>
        <v/>
      </c>
      <c r="M792" s="34">
        <f>IF(OR(C792="",F792=""),"",IF(F792&lt;&gt;"Espèces","—",IF(I792&lt;&gt;"","☑ Oui","☐ Non")))</f>
        <v/>
      </c>
      <c r="N792" s="39">
        <f>IF(D792="","",IFERROR(VALUE(MID(D792,LEN(D792)-3,3)),""))</f>
        <v/>
      </c>
      <c r="O792" s="33">
        <f>IF(N792="","",L792&amp;"|"&amp;N792)</f>
        <v/>
      </c>
      <c r="P792" s="33">
        <f>IF(N792="","",IF(L792="À RENSEIGNER","GIC",L792)&amp;"-"&amp;TEXT(N792,"000"))</f>
        <v/>
      </c>
      <c r="Q792" s="33">
        <f>IF(O792="","",IFERROR(INDEX(Cl_nom,MATCH(O792,Cl_cle,0)),"(client introuvable)"))</f>
        <v/>
      </c>
      <c r="R792" s="40">
        <f>IF(O792="","",IFERROR(INDEX(Cl_reste,MATCH(O792,Cl_cle,0)),""))</f>
        <v/>
      </c>
      <c r="S792" s="34">
        <f>IF(C792="","",YEAR(C792-WEEKDAY(C792,2)+4)&amp;"-S"&amp;TEXT(INT((C792-DATE(YEAR(C792-WEEKDAY(C792,2)+4),1,3)+WEEKDAY(DATE(YEAR(C792-WEEKDAY(C792,2)+4),1,3),2)+5)/7),"00"))</f>
        <v/>
      </c>
    </row>
    <row r="793" ht="18" customHeight="1">
      <c r="A793" s="39" t="n">
        <v>788</v>
      </c>
      <c r="B793" s="33">
        <f>IF(C793="","",IF(L793="À RENSEIGNER","GIC",L793)&amp;"-E"&amp;TEXT(A793,"00000"))</f>
        <v/>
      </c>
      <c r="C793" s="32" t="n"/>
      <c r="D793" s="36" t="n"/>
      <c r="E793" s="37" t="n"/>
      <c r="F793" s="36" t="n"/>
      <c r="G793" s="44" t="n"/>
      <c r="H793" s="43" t="n"/>
      <c r="I793" s="32" t="n"/>
      <c r="J793" s="44" t="n"/>
      <c r="K793" s="36" t="n"/>
      <c r="L793" s="33">
        <f>IF(C793="","",Commercial_Id)</f>
        <v/>
      </c>
      <c r="M793" s="34">
        <f>IF(OR(C793="",F793=""),"",IF(F793&lt;&gt;"Espèces","—",IF(I793&lt;&gt;"","☑ Oui","☐ Non")))</f>
        <v/>
      </c>
      <c r="N793" s="39">
        <f>IF(D793="","",IFERROR(VALUE(MID(D793,LEN(D793)-3,3)),""))</f>
        <v/>
      </c>
      <c r="O793" s="33">
        <f>IF(N793="","",L793&amp;"|"&amp;N793)</f>
        <v/>
      </c>
      <c r="P793" s="33">
        <f>IF(N793="","",IF(L793="À RENSEIGNER","GIC",L793)&amp;"-"&amp;TEXT(N793,"000"))</f>
        <v/>
      </c>
      <c r="Q793" s="33">
        <f>IF(O793="","",IFERROR(INDEX(Cl_nom,MATCH(O793,Cl_cle,0)),"(client introuvable)"))</f>
        <v/>
      </c>
      <c r="R793" s="40">
        <f>IF(O793="","",IFERROR(INDEX(Cl_reste,MATCH(O793,Cl_cle,0)),""))</f>
        <v/>
      </c>
      <c r="S793" s="34">
        <f>IF(C793="","",YEAR(C793-WEEKDAY(C793,2)+4)&amp;"-S"&amp;TEXT(INT((C793-DATE(YEAR(C793-WEEKDAY(C793,2)+4),1,3)+WEEKDAY(DATE(YEAR(C793-WEEKDAY(C793,2)+4),1,3),2)+5)/7),"00"))</f>
        <v/>
      </c>
    </row>
    <row r="794" ht="18" customHeight="1">
      <c r="A794" s="39" t="n">
        <v>789</v>
      </c>
      <c r="B794" s="33">
        <f>IF(C794="","",IF(L794="À RENSEIGNER","GIC",L794)&amp;"-E"&amp;TEXT(A794,"00000"))</f>
        <v/>
      </c>
      <c r="C794" s="32" t="n"/>
      <c r="D794" s="36" t="n"/>
      <c r="E794" s="37" t="n"/>
      <c r="F794" s="36" t="n"/>
      <c r="G794" s="44" t="n"/>
      <c r="H794" s="43" t="n"/>
      <c r="I794" s="32" t="n"/>
      <c r="J794" s="44" t="n"/>
      <c r="K794" s="36" t="n"/>
      <c r="L794" s="33">
        <f>IF(C794="","",Commercial_Id)</f>
        <v/>
      </c>
      <c r="M794" s="34">
        <f>IF(OR(C794="",F794=""),"",IF(F794&lt;&gt;"Espèces","—",IF(I794&lt;&gt;"","☑ Oui","☐ Non")))</f>
        <v/>
      </c>
      <c r="N794" s="39">
        <f>IF(D794="","",IFERROR(VALUE(MID(D794,LEN(D794)-3,3)),""))</f>
        <v/>
      </c>
      <c r="O794" s="33">
        <f>IF(N794="","",L794&amp;"|"&amp;N794)</f>
        <v/>
      </c>
      <c r="P794" s="33">
        <f>IF(N794="","",IF(L794="À RENSEIGNER","GIC",L794)&amp;"-"&amp;TEXT(N794,"000"))</f>
        <v/>
      </c>
      <c r="Q794" s="33">
        <f>IF(O794="","",IFERROR(INDEX(Cl_nom,MATCH(O794,Cl_cle,0)),"(client introuvable)"))</f>
        <v/>
      </c>
      <c r="R794" s="40">
        <f>IF(O794="","",IFERROR(INDEX(Cl_reste,MATCH(O794,Cl_cle,0)),""))</f>
        <v/>
      </c>
      <c r="S794" s="34">
        <f>IF(C794="","",YEAR(C794-WEEKDAY(C794,2)+4)&amp;"-S"&amp;TEXT(INT((C794-DATE(YEAR(C794-WEEKDAY(C794,2)+4),1,3)+WEEKDAY(DATE(YEAR(C794-WEEKDAY(C794,2)+4),1,3),2)+5)/7),"00"))</f>
        <v/>
      </c>
    </row>
    <row r="795" ht="18" customHeight="1">
      <c r="A795" s="39" t="n">
        <v>790</v>
      </c>
      <c r="B795" s="33">
        <f>IF(C795="","",IF(L795="À RENSEIGNER","GIC",L795)&amp;"-E"&amp;TEXT(A795,"00000"))</f>
        <v/>
      </c>
      <c r="C795" s="32" t="n"/>
      <c r="D795" s="36" t="n"/>
      <c r="E795" s="37" t="n"/>
      <c r="F795" s="36" t="n"/>
      <c r="G795" s="44" t="n"/>
      <c r="H795" s="43" t="n"/>
      <c r="I795" s="32" t="n"/>
      <c r="J795" s="44" t="n"/>
      <c r="K795" s="36" t="n"/>
      <c r="L795" s="33">
        <f>IF(C795="","",Commercial_Id)</f>
        <v/>
      </c>
      <c r="M795" s="34">
        <f>IF(OR(C795="",F795=""),"",IF(F795&lt;&gt;"Espèces","—",IF(I795&lt;&gt;"","☑ Oui","☐ Non")))</f>
        <v/>
      </c>
      <c r="N795" s="39">
        <f>IF(D795="","",IFERROR(VALUE(MID(D795,LEN(D795)-3,3)),""))</f>
        <v/>
      </c>
      <c r="O795" s="33">
        <f>IF(N795="","",L795&amp;"|"&amp;N795)</f>
        <v/>
      </c>
      <c r="P795" s="33">
        <f>IF(N795="","",IF(L795="À RENSEIGNER","GIC",L795)&amp;"-"&amp;TEXT(N795,"000"))</f>
        <v/>
      </c>
      <c r="Q795" s="33">
        <f>IF(O795="","",IFERROR(INDEX(Cl_nom,MATCH(O795,Cl_cle,0)),"(client introuvable)"))</f>
        <v/>
      </c>
      <c r="R795" s="40">
        <f>IF(O795="","",IFERROR(INDEX(Cl_reste,MATCH(O795,Cl_cle,0)),""))</f>
        <v/>
      </c>
      <c r="S795" s="34">
        <f>IF(C795="","",YEAR(C795-WEEKDAY(C795,2)+4)&amp;"-S"&amp;TEXT(INT((C795-DATE(YEAR(C795-WEEKDAY(C795,2)+4),1,3)+WEEKDAY(DATE(YEAR(C795-WEEKDAY(C795,2)+4),1,3),2)+5)/7),"00"))</f>
        <v/>
      </c>
    </row>
    <row r="796" ht="18" customHeight="1">
      <c r="A796" s="39" t="n">
        <v>791</v>
      </c>
      <c r="B796" s="33">
        <f>IF(C796="","",IF(L796="À RENSEIGNER","GIC",L796)&amp;"-E"&amp;TEXT(A796,"00000"))</f>
        <v/>
      </c>
      <c r="C796" s="32" t="n"/>
      <c r="D796" s="36" t="n"/>
      <c r="E796" s="37" t="n"/>
      <c r="F796" s="36" t="n"/>
      <c r="G796" s="44" t="n"/>
      <c r="H796" s="43" t="n"/>
      <c r="I796" s="32" t="n"/>
      <c r="J796" s="44" t="n"/>
      <c r="K796" s="36" t="n"/>
      <c r="L796" s="33">
        <f>IF(C796="","",Commercial_Id)</f>
        <v/>
      </c>
      <c r="M796" s="34">
        <f>IF(OR(C796="",F796=""),"",IF(F796&lt;&gt;"Espèces","—",IF(I796&lt;&gt;"","☑ Oui","☐ Non")))</f>
        <v/>
      </c>
      <c r="N796" s="39">
        <f>IF(D796="","",IFERROR(VALUE(MID(D796,LEN(D796)-3,3)),""))</f>
        <v/>
      </c>
      <c r="O796" s="33">
        <f>IF(N796="","",L796&amp;"|"&amp;N796)</f>
        <v/>
      </c>
      <c r="P796" s="33">
        <f>IF(N796="","",IF(L796="À RENSEIGNER","GIC",L796)&amp;"-"&amp;TEXT(N796,"000"))</f>
        <v/>
      </c>
      <c r="Q796" s="33">
        <f>IF(O796="","",IFERROR(INDEX(Cl_nom,MATCH(O796,Cl_cle,0)),"(client introuvable)"))</f>
        <v/>
      </c>
      <c r="R796" s="40">
        <f>IF(O796="","",IFERROR(INDEX(Cl_reste,MATCH(O796,Cl_cle,0)),""))</f>
        <v/>
      </c>
      <c r="S796" s="34">
        <f>IF(C796="","",YEAR(C796-WEEKDAY(C796,2)+4)&amp;"-S"&amp;TEXT(INT((C796-DATE(YEAR(C796-WEEKDAY(C796,2)+4),1,3)+WEEKDAY(DATE(YEAR(C796-WEEKDAY(C796,2)+4),1,3),2)+5)/7),"00"))</f>
        <v/>
      </c>
    </row>
    <row r="797" ht="18" customHeight="1">
      <c r="A797" s="39" t="n">
        <v>792</v>
      </c>
      <c r="B797" s="33">
        <f>IF(C797="","",IF(L797="À RENSEIGNER","GIC",L797)&amp;"-E"&amp;TEXT(A797,"00000"))</f>
        <v/>
      </c>
      <c r="C797" s="32" t="n"/>
      <c r="D797" s="36" t="n"/>
      <c r="E797" s="37" t="n"/>
      <c r="F797" s="36" t="n"/>
      <c r="G797" s="44" t="n"/>
      <c r="H797" s="43" t="n"/>
      <c r="I797" s="32" t="n"/>
      <c r="J797" s="44" t="n"/>
      <c r="K797" s="36" t="n"/>
      <c r="L797" s="33">
        <f>IF(C797="","",Commercial_Id)</f>
        <v/>
      </c>
      <c r="M797" s="34">
        <f>IF(OR(C797="",F797=""),"",IF(F797&lt;&gt;"Espèces","—",IF(I797&lt;&gt;"","☑ Oui","☐ Non")))</f>
        <v/>
      </c>
      <c r="N797" s="39">
        <f>IF(D797="","",IFERROR(VALUE(MID(D797,LEN(D797)-3,3)),""))</f>
        <v/>
      </c>
      <c r="O797" s="33">
        <f>IF(N797="","",L797&amp;"|"&amp;N797)</f>
        <v/>
      </c>
      <c r="P797" s="33">
        <f>IF(N797="","",IF(L797="À RENSEIGNER","GIC",L797)&amp;"-"&amp;TEXT(N797,"000"))</f>
        <v/>
      </c>
      <c r="Q797" s="33">
        <f>IF(O797="","",IFERROR(INDEX(Cl_nom,MATCH(O797,Cl_cle,0)),"(client introuvable)"))</f>
        <v/>
      </c>
      <c r="R797" s="40">
        <f>IF(O797="","",IFERROR(INDEX(Cl_reste,MATCH(O797,Cl_cle,0)),""))</f>
        <v/>
      </c>
      <c r="S797" s="34">
        <f>IF(C797="","",YEAR(C797-WEEKDAY(C797,2)+4)&amp;"-S"&amp;TEXT(INT((C797-DATE(YEAR(C797-WEEKDAY(C797,2)+4),1,3)+WEEKDAY(DATE(YEAR(C797-WEEKDAY(C797,2)+4),1,3),2)+5)/7),"00"))</f>
        <v/>
      </c>
    </row>
    <row r="798" ht="18" customHeight="1">
      <c r="A798" s="39" t="n">
        <v>793</v>
      </c>
      <c r="B798" s="33">
        <f>IF(C798="","",IF(L798="À RENSEIGNER","GIC",L798)&amp;"-E"&amp;TEXT(A798,"00000"))</f>
        <v/>
      </c>
      <c r="C798" s="32" t="n"/>
      <c r="D798" s="36" t="n"/>
      <c r="E798" s="37" t="n"/>
      <c r="F798" s="36" t="n"/>
      <c r="G798" s="44" t="n"/>
      <c r="H798" s="43" t="n"/>
      <c r="I798" s="32" t="n"/>
      <c r="J798" s="44" t="n"/>
      <c r="K798" s="36" t="n"/>
      <c r="L798" s="33">
        <f>IF(C798="","",Commercial_Id)</f>
        <v/>
      </c>
      <c r="M798" s="34">
        <f>IF(OR(C798="",F798=""),"",IF(F798&lt;&gt;"Espèces","—",IF(I798&lt;&gt;"","☑ Oui","☐ Non")))</f>
        <v/>
      </c>
      <c r="N798" s="39">
        <f>IF(D798="","",IFERROR(VALUE(MID(D798,LEN(D798)-3,3)),""))</f>
        <v/>
      </c>
      <c r="O798" s="33">
        <f>IF(N798="","",L798&amp;"|"&amp;N798)</f>
        <v/>
      </c>
      <c r="P798" s="33">
        <f>IF(N798="","",IF(L798="À RENSEIGNER","GIC",L798)&amp;"-"&amp;TEXT(N798,"000"))</f>
        <v/>
      </c>
      <c r="Q798" s="33">
        <f>IF(O798="","",IFERROR(INDEX(Cl_nom,MATCH(O798,Cl_cle,0)),"(client introuvable)"))</f>
        <v/>
      </c>
      <c r="R798" s="40">
        <f>IF(O798="","",IFERROR(INDEX(Cl_reste,MATCH(O798,Cl_cle,0)),""))</f>
        <v/>
      </c>
      <c r="S798" s="34">
        <f>IF(C798="","",YEAR(C798-WEEKDAY(C798,2)+4)&amp;"-S"&amp;TEXT(INT((C798-DATE(YEAR(C798-WEEKDAY(C798,2)+4),1,3)+WEEKDAY(DATE(YEAR(C798-WEEKDAY(C798,2)+4),1,3),2)+5)/7),"00"))</f>
        <v/>
      </c>
    </row>
    <row r="799" ht="18" customHeight="1">
      <c r="A799" s="39" t="n">
        <v>794</v>
      </c>
      <c r="B799" s="33">
        <f>IF(C799="","",IF(L799="À RENSEIGNER","GIC",L799)&amp;"-E"&amp;TEXT(A799,"00000"))</f>
        <v/>
      </c>
      <c r="C799" s="32" t="n"/>
      <c r="D799" s="36" t="n"/>
      <c r="E799" s="37" t="n"/>
      <c r="F799" s="36" t="n"/>
      <c r="G799" s="44" t="n"/>
      <c r="H799" s="43" t="n"/>
      <c r="I799" s="32" t="n"/>
      <c r="J799" s="44" t="n"/>
      <c r="K799" s="36" t="n"/>
      <c r="L799" s="33">
        <f>IF(C799="","",Commercial_Id)</f>
        <v/>
      </c>
      <c r="M799" s="34">
        <f>IF(OR(C799="",F799=""),"",IF(F799&lt;&gt;"Espèces","—",IF(I799&lt;&gt;"","☑ Oui","☐ Non")))</f>
        <v/>
      </c>
      <c r="N799" s="39">
        <f>IF(D799="","",IFERROR(VALUE(MID(D799,LEN(D799)-3,3)),""))</f>
        <v/>
      </c>
      <c r="O799" s="33">
        <f>IF(N799="","",L799&amp;"|"&amp;N799)</f>
        <v/>
      </c>
      <c r="P799" s="33">
        <f>IF(N799="","",IF(L799="À RENSEIGNER","GIC",L799)&amp;"-"&amp;TEXT(N799,"000"))</f>
        <v/>
      </c>
      <c r="Q799" s="33">
        <f>IF(O799="","",IFERROR(INDEX(Cl_nom,MATCH(O799,Cl_cle,0)),"(client introuvable)"))</f>
        <v/>
      </c>
      <c r="R799" s="40">
        <f>IF(O799="","",IFERROR(INDEX(Cl_reste,MATCH(O799,Cl_cle,0)),""))</f>
        <v/>
      </c>
      <c r="S799" s="34">
        <f>IF(C799="","",YEAR(C799-WEEKDAY(C799,2)+4)&amp;"-S"&amp;TEXT(INT((C799-DATE(YEAR(C799-WEEKDAY(C799,2)+4),1,3)+WEEKDAY(DATE(YEAR(C799-WEEKDAY(C799,2)+4),1,3),2)+5)/7),"00"))</f>
        <v/>
      </c>
    </row>
    <row r="800" ht="18" customHeight="1">
      <c r="A800" s="39" t="n">
        <v>795</v>
      </c>
      <c r="B800" s="33">
        <f>IF(C800="","",IF(L800="À RENSEIGNER","GIC",L800)&amp;"-E"&amp;TEXT(A800,"00000"))</f>
        <v/>
      </c>
      <c r="C800" s="32" t="n"/>
      <c r="D800" s="36" t="n"/>
      <c r="E800" s="37" t="n"/>
      <c r="F800" s="36" t="n"/>
      <c r="G800" s="44" t="n"/>
      <c r="H800" s="43" t="n"/>
      <c r="I800" s="32" t="n"/>
      <c r="J800" s="44" t="n"/>
      <c r="K800" s="36" t="n"/>
      <c r="L800" s="33">
        <f>IF(C800="","",Commercial_Id)</f>
        <v/>
      </c>
      <c r="M800" s="34">
        <f>IF(OR(C800="",F800=""),"",IF(F800&lt;&gt;"Espèces","—",IF(I800&lt;&gt;"","☑ Oui","☐ Non")))</f>
        <v/>
      </c>
      <c r="N800" s="39">
        <f>IF(D800="","",IFERROR(VALUE(MID(D800,LEN(D800)-3,3)),""))</f>
        <v/>
      </c>
      <c r="O800" s="33">
        <f>IF(N800="","",L800&amp;"|"&amp;N800)</f>
        <v/>
      </c>
      <c r="P800" s="33">
        <f>IF(N800="","",IF(L800="À RENSEIGNER","GIC",L800)&amp;"-"&amp;TEXT(N800,"000"))</f>
        <v/>
      </c>
      <c r="Q800" s="33">
        <f>IF(O800="","",IFERROR(INDEX(Cl_nom,MATCH(O800,Cl_cle,0)),"(client introuvable)"))</f>
        <v/>
      </c>
      <c r="R800" s="40">
        <f>IF(O800="","",IFERROR(INDEX(Cl_reste,MATCH(O800,Cl_cle,0)),""))</f>
        <v/>
      </c>
      <c r="S800" s="34">
        <f>IF(C800="","",YEAR(C800-WEEKDAY(C800,2)+4)&amp;"-S"&amp;TEXT(INT((C800-DATE(YEAR(C800-WEEKDAY(C800,2)+4),1,3)+WEEKDAY(DATE(YEAR(C800-WEEKDAY(C800,2)+4),1,3),2)+5)/7),"00"))</f>
        <v/>
      </c>
    </row>
    <row r="801" ht="18" customHeight="1">
      <c r="A801" s="39" t="n">
        <v>796</v>
      </c>
      <c r="B801" s="33">
        <f>IF(C801="","",IF(L801="À RENSEIGNER","GIC",L801)&amp;"-E"&amp;TEXT(A801,"00000"))</f>
        <v/>
      </c>
      <c r="C801" s="32" t="n"/>
      <c r="D801" s="36" t="n"/>
      <c r="E801" s="37" t="n"/>
      <c r="F801" s="36" t="n"/>
      <c r="G801" s="44" t="n"/>
      <c r="H801" s="43" t="n"/>
      <c r="I801" s="32" t="n"/>
      <c r="J801" s="44" t="n"/>
      <c r="K801" s="36" t="n"/>
      <c r="L801" s="33">
        <f>IF(C801="","",Commercial_Id)</f>
        <v/>
      </c>
      <c r="M801" s="34">
        <f>IF(OR(C801="",F801=""),"",IF(F801&lt;&gt;"Espèces","—",IF(I801&lt;&gt;"","☑ Oui","☐ Non")))</f>
        <v/>
      </c>
      <c r="N801" s="39">
        <f>IF(D801="","",IFERROR(VALUE(MID(D801,LEN(D801)-3,3)),""))</f>
        <v/>
      </c>
      <c r="O801" s="33">
        <f>IF(N801="","",L801&amp;"|"&amp;N801)</f>
        <v/>
      </c>
      <c r="P801" s="33">
        <f>IF(N801="","",IF(L801="À RENSEIGNER","GIC",L801)&amp;"-"&amp;TEXT(N801,"000"))</f>
        <v/>
      </c>
      <c r="Q801" s="33">
        <f>IF(O801="","",IFERROR(INDEX(Cl_nom,MATCH(O801,Cl_cle,0)),"(client introuvable)"))</f>
        <v/>
      </c>
      <c r="R801" s="40">
        <f>IF(O801="","",IFERROR(INDEX(Cl_reste,MATCH(O801,Cl_cle,0)),""))</f>
        <v/>
      </c>
      <c r="S801" s="34">
        <f>IF(C801="","",YEAR(C801-WEEKDAY(C801,2)+4)&amp;"-S"&amp;TEXT(INT((C801-DATE(YEAR(C801-WEEKDAY(C801,2)+4),1,3)+WEEKDAY(DATE(YEAR(C801-WEEKDAY(C801,2)+4),1,3),2)+5)/7),"00"))</f>
        <v/>
      </c>
    </row>
    <row r="802" ht="18" customHeight="1">
      <c r="A802" s="39" t="n">
        <v>797</v>
      </c>
      <c r="B802" s="33">
        <f>IF(C802="","",IF(L802="À RENSEIGNER","GIC",L802)&amp;"-E"&amp;TEXT(A802,"00000"))</f>
        <v/>
      </c>
      <c r="C802" s="32" t="n"/>
      <c r="D802" s="36" t="n"/>
      <c r="E802" s="37" t="n"/>
      <c r="F802" s="36" t="n"/>
      <c r="G802" s="44" t="n"/>
      <c r="H802" s="43" t="n"/>
      <c r="I802" s="32" t="n"/>
      <c r="J802" s="44" t="n"/>
      <c r="K802" s="36" t="n"/>
      <c r="L802" s="33">
        <f>IF(C802="","",Commercial_Id)</f>
        <v/>
      </c>
      <c r="M802" s="34">
        <f>IF(OR(C802="",F802=""),"",IF(F802&lt;&gt;"Espèces","—",IF(I802&lt;&gt;"","☑ Oui","☐ Non")))</f>
        <v/>
      </c>
      <c r="N802" s="39">
        <f>IF(D802="","",IFERROR(VALUE(MID(D802,LEN(D802)-3,3)),""))</f>
        <v/>
      </c>
      <c r="O802" s="33">
        <f>IF(N802="","",L802&amp;"|"&amp;N802)</f>
        <v/>
      </c>
      <c r="P802" s="33">
        <f>IF(N802="","",IF(L802="À RENSEIGNER","GIC",L802)&amp;"-"&amp;TEXT(N802,"000"))</f>
        <v/>
      </c>
      <c r="Q802" s="33">
        <f>IF(O802="","",IFERROR(INDEX(Cl_nom,MATCH(O802,Cl_cle,0)),"(client introuvable)"))</f>
        <v/>
      </c>
      <c r="R802" s="40">
        <f>IF(O802="","",IFERROR(INDEX(Cl_reste,MATCH(O802,Cl_cle,0)),""))</f>
        <v/>
      </c>
      <c r="S802" s="34">
        <f>IF(C802="","",YEAR(C802-WEEKDAY(C802,2)+4)&amp;"-S"&amp;TEXT(INT((C802-DATE(YEAR(C802-WEEKDAY(C802,2)+4),1,3)+WEEKDAY(DATE(YEAR(C802-WEEKDAY(C802,2)+4),1,3),2)+5)/7),"00"))</f>
        <v/>
      </c>
    </row>
    <row r="803" ht="18" customHeight="1">
      <c r="A803" s="39" t="n">
        <v>798</v>
      </c>
      <c r="B803" s="33">
        <f>IF(C803="","",IF(L803="À RENSEIGNER","GIC",L803)&amp;"-E"&amp;TEXT(A803,"00000"))</f>
        <v/>
      </c>
      <c r="C803" s="32" t="n"/>
      <c r="D803" s="36" t="n"/>
      <c r="E803" s="37" t="n"/>
      <c r="F803" s="36" t="n"/>
      <c r="G803" s="44" t="n"/>
      <c r="H803" s="43" t="n"/>
      <c r="I803" s="32" t="n"/>
      <c r="J803" s="44" t="n"/>
      <c r="K803" s="36" t="n"/>
      <c r="L803" s="33">
        <f>IF(C803="","",Commercial_Id)</f>
        <v/>
      </c>
      <c r="M803" s="34">
        <f>IF(OR(C803="",F803=""),"",IF(F803&lt;&gt;"Espèces","—",IF(I803&lt;&gt;"","☑ Oui","☐ Non")))</f>
        <v/>
      </c>
      <c r="N803" s="39">
        <f>IF(D803="","",IFERROR(VALUE(MID(D803,LEN(D803)-3,3)),""))</f>
        <v/>
      </c>
      <c r="O803" s="33">
        <f>IF(N803="","",L803&amp;"|"&amp;N803)</f>
        <v/>
      </c>
      <c r="P803" s="33">
        <f>IF(N803="","",IF(L803="À RENSEIGNER","GIC",L803)&amp;"-"&amp;TEXT(N803,"000"))</f>
        <v/>
      </c>
      <c r="Q803" s="33">
        <f>IF(O803="","",IFERROR(INDEX(Cl_nom,MATCH(O803,Cl_cle,0)),"(client introuvable)"))</f>
        <v/>
      </c>
      <c r="R803" s="40">
        <f>IF(O803="","",IFERROR(INDEX(Cl_reste,MATCH(O803,Cl_cle,0)),""))</f>
        <v/>
      </c>
      <c r="S803" s="34">
        <f>IF(C803="","",YEAR(C803-WEEKDAY(C803,2)+4)&amp;"-S"&amp;TEXT(INT((C803-DATE(YEAR(C803-WEEKDAY(C803,2)+4),1,3)+WEEKDAY(DATE(YEAR(C803-WEEKDAY(C803,2)+4),1,3),2)+5)/7),"00"))</f>
        <v/>
      </c>
    </row>
    <row r="804" ht="18" customHeight="1">
      <c r="A804" s="39" t="n">
        <v>799</v>
      </c>
      <c r="B804" s="33">
        <f>IF(C804="","",IF(L804="À RENSEIGNER","GIC",L804)&amp;"-E"&amp;TEXT(A804,"00000"))</f>
        <v/>
      </c>
      <c r="C804" s="32" t="n"/>
      <c r="D804" s="36" t="n"/>
      <c r="E804" s="37" t="n"/>
      <c r="F804" s="36" t="n"/>
      <c r="G804" s="44" t="n"/>
      <c r="H804" s="43" t="n"/>
      <c r="I804" s="32" t="n"/>
      <c r="J804" s="44" t="n"/>
      <c r="K804" s="36" t="n"/>
      <c r="L804" s="33">
        <f>IF(C804="","",Commercial_Id)</f>
        <v/>
      </c>
      <c r="M804" s="34">
        <f>IF(OR(C804="",F804=""),"",IF(F804&lt;&gt;"Espèces","—",IF(I804&lt;&gt;"","☑ Oui","☐ Non")))</f>
        <v/>
      </c>
      <c r="N804" s="39">
        <f>IF(D804="","",IFERROR(VALUE(MID(D804,LEN(D804)-3,3)),""))</f>
        <v/>
      </c>
      <c r="O804" s="33">
        <f>IF(N804="","",L804&amp;"|"&amp;N804)</f>
        <v/>
      </c>
      <c r="P804" s="33">
        <f>IF(N804="","",IF(L804="À RENSEIGNER","GIC",L804)&amp;"-"&amp;TEXT(N804,"000"))</f>
        <v/>
      </c>
      <c r="Q804" s="33">
        <f>IF(O804="","",IFERROR(INDEX(Cl_nom,MATCH(O804,Cl_cle,0)),"(client introuvable)"))</f>
        <v/>
      </c>
      <c r="R804" s="40">
        <f>IF(O804="","",IFERROR(INDEX(Cl_reste,MATCH(O804,Cl_cle,0)),""))</f>
        <v/>
      </c>
      <c r="S804" s="34">
        <f>IF(C804="","",YEAR(C804-WEEKDAY(C804,2)+4)&amp;"-S"&amp;TEXT(INT((C804-DATE(YEAR(C804-WEEKDAY(C804,2)+4),1,3)+WEEKDAY(DATE(YEAR(C804-WEEKDAY(C804,2)+4),1,3),2)+5)/7),"00"))</f>
        <v/>
      </c>
    </row>
    <row r="805" ht="18" customHeight="1">
      <c r="A805" s="39" t="n">
        <v>800</v>
      </c>
      <c r="B805" s="33">
        <f>IF(C805="","",IF(L805="À RENSEIGNER","GIC",L805)&amp;"-E"&amp;TEXT(A805,"00000"))</f>
        <v/>
      </c>
      <c r="C805" s="32" t="n"/>
      <c r="D805" s="36" t="n"/>
      <c r="E805" s="37" t="n"/>
      <c r="F805" s="36" t="n"/>
      <c r="G805" s="44" t="n"/>
      <c r="H805" s="43" t="n"/>
      <c r="I805" s="32" t="n"/>
      <c r="J805" s="44" t="n"/>
      <c r="K805" s="36" t="n"/>
      <c r="L805" s="33">
        <f>IF(C805="","",Commercial_Id)</f>
        <v/>
      </c>
      <c r="M805" s="34">
        <f>IF(OR(C805="",F805=""),"",IF(F805&lt;&gt;"Espèces","—",IF(I805&lt;&gt;"","☑ Oui","☐ Non")))</f>
        <v/>
      </c>
      <c r="N805" s="39">
        <f>IF(D805="","",IFERROR(VALUE(MID(D805,LEN(D805)-3,3)),""))</f>
        <v/>
      </c>
      <c r="O805" s="33">
        <f>IF(N805="","",L805&amp;"|"&amp;N805)</f>
        <v/>
      </c>
      <c r="P805" s="33">
        <f>IF(N805="","",IF(L805="À RENSEIGNER","GIC",L805)&amp;"-"&amp;TEXT(N805,"000"))</f>
        <v/>
      </c>
      <c r="Q805" s="33">
        <f>IF(O805="","",IFERROR(INDEX(Cl_nom,MATCH(O805,Cl_cle,0)),"(client introuvable)"))</f>
        <v/>
      </c>
      <c r="R805" s="40">
        <f>IF(O805="","",IFERROR(INDEX(Cl_reste,MATCH(O805,Cl_cle,0)),""))</f>
        <v/>
      </c>
      <c r="S805" s="34">
        <f>IF(C805="","",YEAR(C805-WEEKDAY(C805,2)+4)&amp;"-S"&amp;TEXT(INT((C805-DATE(YEAR(C805-WEEKDAY(C805,2)+4),1,3)+WEEKDAY(DATE(YEAR(C805-WEEKDAY(C805,2)+4),1,3),2)+5)/7),"00"))</f>
        <v/>
      </c>
    </row>
    <row r="806" ht="18" customHeight="1">
      <c r="A806" s="39" t="n">
        <v>801</v>
      </c>
      <c r="B806" s="33">
        <f>IF(C806="","",IF(L806="À RENSEIGNER","GIC",L806)&amp;"-E"&amp;TEXT(A806,"00000"))</f>
        <v/>
      </c>
      <c r="C806" s="32" t="n"/>
      <c r="D806" s="36" t="n"/>
      <c r="E806" s="37" t="n"/>
      <c r="F806" s="36" t="n"/>
      <c r="G806" s="44" t="n"/>
      <c r="H806" s="43" t="n"/>
      <c r="I806" s="32" t="n"/>
      <c r="J806" s="44" t="n"/>
      <c r="K806" s="36" t="n"/>
      <c r="L806" s="33">
        <f>IF(C806="","",Commercial_Id)</f>
        <v/>
      </c>
      <c r="M806" s="34">
        <f>IF(OR(C806="",F806=""),"",IF(F806&lt;&gt;"Espèces","—",IF(I806&lt;&gt;"","☑ Oui","☐ Non")))</f>
        <v/>
      </c>
      <c r="N806" s="39">
        <f>IF(D806="","",IFERROR(VALUE(MID(D806,LEN(D806)-3,3)),""))</f>
        <v/>
      </c>
      <c r="O806" s="33">
        <f>IF(N806="","",L806&amp;"|"&amp;N806)</f>
        <v/>
      </c>
      <c r="P806" s="33">
        <f>IF(N806="","",IF(L806="À RENSEIGNER","GIC",L806)&amp;"-"&amp;TEXT(N806,"000"))</f>
        <v/>
      </c>
      <c r="Q806" s="33">
        <f>IF(O806="","",IFERROR(INDEX(Cl_nom,MATCH(O806,Cl_cle,0)),"(client introuvable)"))</f>
        <v/>
      </c>
      <c r="R806" s="40">
        <f>IF(O806="","",IFERROR(INDEX(Cl_reste,MATCH(O806,Cl_cle,0)),""))</f>
        <v/>
      </c>
      <c r="S806" s="34">
        <f>IF(C806="","",YEAR(C806-WEEKDAY(C806,2)+4)&amp;"-S"&amp;TEXT(INT((C806-DATE(YEAR(C806-WEEKDAY(C806,2)+4),1,3)+WEEKDAY(DATE(YEAR(C806-WEEKDAY(C806,2)+4),1,3),2)+5)/7),"00"))</f>
        <v/>
      </c>
    </row>
    <row r="807" ht="18" customHeight="1">
      <c r="A807" s="39" t="n">
        <v>802</v>
      </c>
      <c r="B807" s="33">
        <f>IF(C807="","",IF(L807="À RENSEIGNER","GIC",L807)&amp;"-E"&amp;TEXT(A807,"00000"))</f>
        <v/>
      </c>
      <c r="C807" s="32" t="n"/>
      <c r="D807" s="36" t="n"/>
      <c r="E807" s="37" t="n"/>
      <c r="F807" s="36" t="n"/>
      <c r="G807" s="44" t="n"/>
      <c r="H807" s="43" t="n"/>
      <c r="I807" s="32" t="n"/>
      <c r="J807" s="44" t="n"/>
      <c r="K807" s="36" t="n"/>
      <c r="L807" s="33">
        <f>IF(C807="","",Commercial_Id)</f>
        <v/>
      </c>
      <c r="M807" s="34">
        <f>IF(OR(C807="",F807=""),"",IF(F807&lt;&gt;"Espèces","—",IF(I807&lt;&gt;"","☑ Oui","☐ Non")))</f>
        <v/>
      </c>
      <c r="N807" s="39">
        <f>IF(D807="","",IFERROR(VALUE(MID(D807,LEN(D807)-3,3)),""))</f>
        <v/>
      </c>
      <c r="O807" s="33">
        <f>IF(N807="","",L807&amp;"|"&amp;N807)</f>
        <v/>
      </c>
      <c r="P807" s="33">
        <f>IF(N807="","",IF(L807="À RENSEIGNER","GIC",L807)&amp;"-"&amp;TEXT(N807,"000"))</f>
        <v/>
      </c>
      <c r="Q807" s="33">
        <f>IF(O807="","",IFERROR(INDEX(Cl_nom,MATCH(O807,Cl_cle,0)),"(client introuvable)"))</f>
        <v/>
      </c>
      <c r="R807" s="40">
        <f>IF(O807="","",IFERROR(INDEX(Cl_reste,MATCH(O807,Cl_cle,0)),""))</f>
        <v/>
      </c>
      <c r="S807" s="34">
        <f>IF(C807="","",YEAR(C807-WEEKDAY(C807,2)+4)&amp;"-S"&amp;TEXT(INT((C807-DATE(YEAR(C807-WEEKDAY(C807,2)+4),1,3)+WEEKDAY(DATE(YEAR(C807-WEEKDAY(C807,2)+4),1,3),2)+5)/7),"00"))</f>
        <v/>
      </c>
    </row>
    <row r="808" ht="18" customHeight="1">
      <c r="A808" s="39" t="n">
        <v>803</v>
      </c>
      <c r="B808" s="33">
        <f>IF(C808="","",IF(L808="À RENSEIGNER","GIC",L808)&amp;"-E"&amp;TEXT(A808,"00000"))</f>
        <v/>
      </c>
      <c r="C808" s="32" t="n"/>
      <c r="D808" s="36" t="n"/>
      <c r="E808" s="37" t="n"/>
      <c r="F808" s="36" t="n"/>
      <c r="G808" s="44" t="n"/>
      <c r="H808" s="43" t="n"/>
      <c r="I808" s="32" t="n"/>
      <c r="J808" s="44" t="n"/>
      <c r="K808" s="36" t="n"/>
      <c r="L808" s="33">
        <f>IF(C808="","",Commercial_Id)</f>
        <v/>
      </c>
      <c r="M808" s="34">
        <f>IF(OR(C808="",F808=""),"",IF(F808&lt;&gt;"Espèces","—",IF(I808&lt;&gt;"","☑ Oui","☐ Non")))</f>
        <v/>
      </c>
      <c r="N808" s="39">
        <f>IF(D808="","",IFERROR(VALUE(MID(D808,LEN(D808)-3,3)),""))</f>
        <v/>
      </c>
      <c r="O808" s="33">
        <f>IF(N808="","",L808&amp;"|"&amp;N808)</f>
        <v/>
      </c>
      <c r="P808" s="33">
        <f>IF(N808="","",IF(L808="À RENSEIGNER","GIC",L808)&amp;"-"&amp;TEXT(N808,"000"))</f>
        <v/>
      </c>
      <c r="Q808" s="33">
        <f>IF(O808="","",IFERROR(INDEX(Cl_nom,MATCH(O808,Cl_cle,0)),"(client introuvable)"))</f>
        <v/>
      </c>
      <c r="R808" s="40">
        <f>IF(O808="","",IFERROR(INDEX(Cl_reste,MATCH(O808,Cl_cle,0)),""))</f>
        <v/>
      </c>
      <c r="S808" s="34">
        <f>IF(C808="","",YEAR(C808-WEEKDAY(C808,2)+4)&amp;"-S"&amp;TEXT(INT((C808-DATE(YEAR(C808-WEEKDAY(C808,2)+4),1,3)+WEEKDAY(DATE(YEAR(C808-WEEKDAY(C808,2)+4),1,3),2)+5)/7),"00"))</f>
        <v/>
      </c>
    </row>
    <row r="809" ht="18" customHeight="1">
      <c r="A809" s="39" t="n">
        <v>804</v>
      </c>
      <c r="B809" s="33">
        <f>IF(C809="","",IF(L809="À RENSEIGNER","GIC",L809)&amp;"-E"&amp;TEXT(A809,"00000"))</f>
        <v/>
      </c>
      <c r="C809" s="32" t="n"/>
      <c r="D809" s="36" t="n"/>
      <c r="E809" s="37" t="n"/>
      <c r="F809" s="36" t="n"/>
      <c r="G809" s="44" t="n"/>
      <c r="H809" s="43" t="n"/>
      <c r="I809" s="32" t="n"/>
      <c r="J809" s="44" t="n"/>
      <c r="K809" s="36" t="n"/>
      <c r="L809" s="33">
        <f>IF(C809="","",Commercial_Id)</f>
        <v/>
      </c>
      <c r="M809" s="34">
        <f>IF(OR(C809="",F809=""),"",IF(F809&lt;&gt;"Espèces","—",IF(I809&lt;&gt;"","☑ Oui","☐ Non")))</f>
        <v/>
      </c>
      <c r="N809" s="39">
        <f>IF(D809="","",IFERROR(VALUE(MID(D809,LEN(D809)-3,3)),""))</f>
        <v/>
      </c>
      <c r="O809" s="33">
        <f>IF(N809="","",L809&amp;"|"&amp;N809)</f>
        <v/>
      </c>
      <c r="P809" s="33">
        <f>IF(N809="","",IF(L809="À RENSEIGNER","GIC",L809)&amp;"-"&amp;TEXT(N809,"000"))</f>
        <v/>
      </c>
      <c r="Q809" s="33">
        <f>IF(O809="","",IFERROR(INDEX(Cl_nom,MATCH(O809,Cl_cle,0)),"(client introuvable)"))</f>
        <v/>
      </c>
      <c r="R809" s="40">
        <f>IF(O809="","",IFERROR(INDEX(Cl_reste,MATCH(O809,Cl_cle,0)),""))</f>
        <v/>
      </c>
      <c r="S809" s="34">
        <f>IF(C809="","",YEAR(C809-WEEKDAY(C809,2)+4)&amp;"-S"&amp;TEXT(INT((C809-DATE(YEAR(C809-WEEKDAY(C809,2)+4),1,3)+WEEKDAY(DATE(YEAR(C809-WEEKDAY(C809,2)+4),1,3),2)+5)/7),"00"))</f>
        <v/>
      </c>
    </row>
    <row r="810" ht="18" customHeight="1">
      <c r="A810" s="39" t="n">
        <v>805</v>
      </c>
      <c r="B810" s="33">
        <f>IF(C810="","",IF(L810="À RENSEIGNER","GIC",L810)&amp;"-E"&amp;TEXT(A810,"00000"))</f>
        <v/>
      </c>
      <c r="C810" s="32" t="n"/>
      <c r="D810" s="36" t="n"/>
      <c r="E810" s="37" t="n"/>
      <c r="F810" s="36" t="n"/>
      <c r="G810" s="44" t="n"/>
      <c r="H810" s="43" t="n"/>
      <c r="I810" s="32" t="n"/>
      <c r="J810" s="44" t="n"/>
      <c r="K810" s="36" t="n"/>
      <c r="L810" s="33">
        <f>IF(C810="","",Commercial_Id)</f>
        <v/>
      </c>
      <c r="M810" s="34">
        <f>IF(OR(C810="",F810=""),"",IF(F810&lt;&gt;"Espèces","—",IF(I810&lt;&gt;"","☑ Oui","☐ Non")))</f>
        <v/>
      </c>
      <c r="N810" s="39">
        <f>IF(D810="","",IFERROR(VALUE(MID(D810,LEN(D810)-3,3)),""))</f>
        <v/>
      </c>
      <c r="O810" s="33">
        <f>IF(N810="","",L810&amp;"|"&amp;N810)</f>
        <v/>
      </c>
      <c r="P810" s="33">
        <f>IF(N810="","",IF(L810="À RENSEIGNER","GIC",L810)&amp;"-"&amp;TEXT(N810,"000"))</f>
        <v/>
      </c>
      <c r="Q810" s="33">
        <f>IF(O810="","",IFERROR(INDEX(Cl_nom,MATCH(O810,Cl_cle,0)),"(client introuvable)"))</f>
        <v/>
      </c>
      <c r="R810" s="40">
        <f>IF(O810="","",IFERROR(INDEX(Cl_reste,MATCH(O810,Cl_cle,0)),""))</f>
        <v/>
      </c>
      <c r="S810" s="34">
        <f>IF(C810="","",YEAR(C810-WEEKDAY(C810,2)+4)&amp;"-S"&amp;TEXT(INT((C810-DATE(YEAR(C810-WEEKDAY(C810,2)+4),1,3)+WEEKDAY(DATE(YEAR(C810-WEEKDAY(C810,2)+4),1,3),2)+5)/7),"00"))</f>
        <v/>
      </c>
    </row>
    <row r="811" ht="18" customHeight="1">
      <c r="A811" s="39" t="n">
        <v>806</v>
      </c>
      <c r="B811" s="33">
        <f>IF(C811="","",IF(L811="À RENSEIGNER","GIC",L811)&amp;"-E"&amp;TEXT(A811,"00000"))</f>
        <v/>
      </c>
      <c r="C811" s="32" t="n"/>
      <c r="D811" s="36" t="n"/>
      <c r="E811" s="37" t="n"/>
      <c r="F811" s="36" t="n"/>
      <c r="G811" s="44" t="n"/>
      <c r="H811" s="43" t="n"/>
      <c r="I811" s="32" t="n"/>
      <c r="J811" s="44" t="n"/>
      <c r="K811" s="36" t="n"/>
      <c r="L811" s="33">
        <f>IF(C811="","",Commercial_Id)</f>
        <v/>
      </c>
      <c r="M811" s="34">
        <f>IF(OR(C811="",F811=""),"",IF(F811&lt;&gt;"Espèces","—",IF(I811&lt;&gt;"","☑ Oui","☐ Non")))</f>
        <v/>
      </c>
      <c r="N811" s="39">
        <f>IF(D811="","",IFERROR(VALUE(MID(D811,LEN(D811)-3,3)),""))</f>
        <v/>
      </c>
      <c r="O811" s="33">
        <f>IF(N811="","",L811&amp;"|"&amp;N811)</f>
        <v/>
      </c>
      <c r="P811" s="33">
        <f>IF(N811="","",IF(L811="À RENSEIGNER","GIC",L811)&amp;"-"&amp;TEXT(N811,"000"))</f>
        <v/>
      </c>
      <c r="Q811" s="33">
        <f>IF(O811="","",IFERROR(INDEX(Cl_nom,MATCH(O811,Cl_cle,0)),"(client introuvable)"))</f>
        <v/>
      </c>
      <c r="R811" s="40">
        <f>IF(O811="","",IFERROR(INDEX(Cl_reste,MATCH(O811,Cl_cle,0)),""))</f>
        <v/>
      </c>
      <c r="S811" s="34">
        <f>IF(C811="","",YEAR(C811-WEEKDAY(C811,2)+4)&amp;"-S"&amp;TEXT(INT((C811-DATE(YEAR(C811-WEEKDAY(C811,2)+4),1,3)+WEEKDAY(DATE(YEAR(C811-WEEKDAY(C811,2)+4),1,3),2)+5)/7),"00"))</f>
        <v/>
      </c>
    </row>
    <row r="812" ht="18" customHeight="1">
      <c r="A812" s="39" t="n">
        <v>807</v>
      </c>
      <c r="B812" s="33">
        <f>IF(C812="","",IF(L812="À RENSEIGNER","GIC",L812)&amp;"-E"&amp;TEXT(A812,"00000"))</f>
        <v/>
      </c>
      <c r="C812" s="32" t="n"/>
      <c r="D812" s="36" t="n"/>
      <c r="E812" s="37" t="n"/>
      <c r="F812" s="36" t="n"/>
      <c r="G812" s="44" t="n"/>
      <c r="H812" s="43" t="n"/>
      <c r="I812" s="32" t="n"/>
      <c r="J812" s="44" t="n"/>
      <c r="K812" s="36" t="n"/>
      <c r="L812" s="33">
        <f>IF(C812="","",Commercial_Id)</f>
        <v/>
      </c>
      <c r="M812" s="34">
        <f>IF(OR(C812="",F812=""),"",IF(F812&lt;&gt;"Espèces","—",IF(I812&lt;&gt;"","☑ Oui","☐ Non")))</f>
        <v/>
      </c>
      <c r="N812" s="39">
        <f>IF(D812="","",IFERROR(VALUE(MID(D812,LEN(D812)-3,3)),""))</f>
        <v/>
      </c>
      <c r="O812" s="33">
        <f>IF(N812="","",L812&amp;"|"&amp;N812)</f>
        <v/>
      </c>
      <c r="P812" s="33">
        <f>IF(N812="","",IF(L812="À RENSEIGNER","GIC",L812)&amp;"-"&amp;TEXT(N812,"000"))</f>
        <v/>
      </c>
      <c r="Q812" s="33">
        <f>IF(O812="","",IFERROR(INDEX(Cl_nom,MATCH(O812,Cl_cle,0)),"(client introuvable)"))</f>
        <v/>
      </c>
      <c r="R812" s="40">
        <f>IF(O812="","",IFERROR(INDEX(Cl_reste,MATCH(O812,Cl_cle,0)),""))</f>
        <v/>
      </c>
      <c r="S812" s="34">
        <f>IF(C812="","",YEAR(C812-WEEKDAY(C812,2)+4)&amp;"-S"&amp;TEXT(INT((C812-DATE(YEAR(C812-WEEKDAY(C812,2)+4),1,3)+WEEKDAY(DATE(YEAR(C812-WEEKDAY(C812,2)+4),1,3),2)+5)/7),"00"))</f>
        <v/>
      </c>
    </row>
    <row r="813" ht="18" customHeight="1">
      <c r="A813" s="39" t="n">
        <v>808</v>
      </c>
      <c r="B813" s="33">
        <f>IF(C813="","",IF(L813="À RENSEIGNER","GIC",L813)&amp;"-E"&amp;TEXT(A813,"00000"))</f>
        <v/>
      </c>
      <c r="C813" s="32" t="n"/>
      <c r="D813" s="36" t="n"/>
      <c r="E813" s="37" t="n"/>
      <c r="F813" s="36" t="n"/>
      <c r="G813" s="44" t="n"/>
      <c r="H813" s="43" t="n"/>
      <c r="I813" s="32" t="n"/>
      <c r="J813" s="44" t="n"/>
      <c r="K813" s="36" t="n"/>
      <c r="L813" s="33">
        <f>IF(C813="","",Commercial_Id)</f>
        <v/>
      </c>
      <c r="M813" s="34">
        <f>IF(OR(C813="",F813=""),"",IF(F813&lt;&gt;"Espèces","—",IF(I813&lt;&gt;"","☑ Oui","☐ Non")))</f>
        <v/>
      </c>
      <c r="N813" s="39">
        <f>IF(D813="","",IFERROR(VALUE(MID(D813,LEN(D813)-3,3)),""))</f>
        <v/>
      </c>
      <c r="O813" s="33">
        <f>IF(N813="","",L813&amp;"|"&amp;N813)</f>
        <v/>
      </c>
      <c r="P813" s="33">
        <f>IF(N813="","",IF(L813="À RENSEIGNER","GIC",L813)&amp;"-"&amp;TEXT(N813,"000"))</f>
        <v/>
      </c>
      <c r="Q813" s="33">
        <f>IF(O813="","",IFERROR(INDEX(Cl_nom,MATCH(O813,Cl_cle,0)),"(client introuvable)"))</f>
        <v/>
      </c>
      <c r="R813" s="40">
        <f>IF(O813="","",IFERROR(INDEX(Cl_reste,MATCH(O813,Cl_cle,0)),""))</f>
        <v/>
      </c>
      <c r="S813" s="34">
        <f>IF(C813="","",YEAR(C813-WEEKDAY(C813,2)+4)&amp;"-S"&amp;TEXT(INT((C813-DATE(YEAR(C813-WEEKDAY(C813,2)+4),1,3)+WEEKDAY(DATE(YEAR(C813-WEEKDAY(C813,2)+4),1,3),2)+5)/7),"00"))</f>
        <v/>
      </c>
    </row>
    <row r="814" ht="18" customHeight="1">
      <c r="A814" s="39" t="n">
        <v>809</v>
      </c>
      <c r="B814" s="33">
        <f>IF(C814="","",IF(L814="À RENSEIGNER","GIC",L814)&amp;"-E"&amp;TEXT(A814,"00000"))</f>
        <v/>
      </c>
      <c r="C814" s="32" t="n"/>
      <c r="D814" s="36" t="n"/>
      <c r="E814" s="37" t="n"/>
      <c r="F814" s="36" t="n"/>
      <c r="G814" s="44" t="n"/>
      <c r="H814" s="43" t="n"/>
      <c r="I814" s="32" t="n"/>
      <c r="J814" s="44" t="n"/>
      <c r="K814" s="36" t="n"/>
      <c r="L814" s="33">
        <f>IF(C814="","",Commercial_Id)</f>
        <v/>
      </c>
      <c r="M814" s="34">
        <f>IF(OR(C814="",F814=""),"",IF(F814&lt;&gt;"Espèces","—",IF(I814&lt;&gt;"","☑ Oui","☐ Non")))</f>
        <v/>
      </c>
      <c r="N814" s="39">
        <f>IF(D814="","",IFERROR(VALUE(MID(D814,LEN(D814)-3,3)),""))</f>
        <v/>
      </c>
      <c r="O814" s="33">
        <f>IF(N814="","",L814&amp;"|"&amp;N814)</f>
        <v/>
      </c>
      <c r="P814" s="33">
        <f>IF(N814="","",IF(L814="À RENSEIGNER","GIC",L814)&amp;"-"&amp;TEXT(N814,"000"))</f>
        <v/>
      </c>
      <c r="Q814" s="33">
        <f>IF(O814="","",IFERROR(INDEX(Cl_nom,MATCH(O814,Cl_cle,0)),"(client introuvable)"))</f>
        <v/>
      </c>
      <c r="R814" s="40">
        <f>IF(O814="","",IFERROR(INDEX(Cl_reste,MATCH(O814,Cl_cle,0)),""))</f>
        <v/>
      </c>
      <c r="S814" s="34">
        <f>IF(C814="","",YEAR(C814-WEEKDAY(C814,2)+4)&amp;"-S"&amp;TEXT(INT((C814-DATE(YEAR(C814-WEEKDAY(C814,2)+4),1,3)+WEEKDAY(DATE(YEAR(C814-WEEKDAY(C814,2)+4),1,3),2)+5)/7),"00"))</f>
        <v/>
      </c>
    </row>
    <row r="815" ht="18" customHeight="1">
      <c r="A815" s="39" t="n">
        <v>810</v>
      </c>
      <c r="B815" s="33">
        <f>IF(C815="","",IF(L815="À RENSEIGNER","GIC",L815)&amp;"-E"&amp;TEXT(A815,"00000"))</f>
        <v/>
      </c>
      <c r="C815" s="32" t="n"/>
      <c r="D815" s="36" t="n"/>
      <c r="E815" s="37" t="n"/>
      <c r="F815" s="36" t="n"/>
      <c r="G815" s="44" t="n"/>
      <c r="H815" s="43" t="n"/>
      <c r="I815" s="32" t="n"/>
      <c r="J815" s="44" t="n"/>
      <c r="K815" s="36" t="n"/>
      <c r="L815" s="33">
        <f>IF(C815="","",Commercial_Id)</f>
        <v/>
      </c>
      <c r="M815" s="34">
        <f>IF(OR(C815="",F815=""),"",IF(F815&lt;&gt;"Espèces","—",IF(I815&lt;&gt;"","☑ Oui","☐ Non")))</f>
        <v/>
      </c>
      <c r="N815" s="39">
        <f>IF(D815="","",IFERROR(VALUE(MID(D815,LEN(D815)-3,3)),""))</f>
        <v/>
      </c>
      <c r="O815" s="33">
        <f>IF(N815="","",L815&amp;"|"&amp;N815)</f>
        <v/>
      </c>
      <c r="P815" s="33">
        <f>IF(N815="","",IF(L815="À RENSEIGNER","GIC",L815)&amp;"-"&amp;TEXT(N815,"000"))</f>
        <v/>
      </c>
      <c r="Q815" s="33">
        <f>IF(O815="","",IFERROR(INDEX(Cl_nom,MATCH(O815,Cl_cle,0)),"(client introuvable)"))</f>
        <v/>
      </c>
      <c r="R815" s="40">
        <f>IF(O815="","",IFERROR(INDEX(Cl_reste,MATCH(O815,Cl_cle,0)),""))</f>
        <v/>
      </c>
      <c r="S815" s="34">
        <f>IF(C815="","",YEAR(C815-WEEKDAY(C815,2)+4)&amp;"-S"&amp;TEXT(INT((C815-DATE(YEAR(C815-WEEKDAY(C815,2)+4),1,3)+WEEKDAY(DATE(YEAR(C815-WEEKDAY(C815,2)+4),1,3),2)+5)/7),"00"))</f>
        <v/>
      </c>
    </row>
    <row r="816" ht="18" customHeight="1">
      <c r="A816" s="39" t="n">
        <v>811</v>
      </c>
      <c r="B816" s="33">
        <f>IF(C816="","",IF(L816="À RENSEIGNER","GIC",L816)&amp;"-E"&amp;TEXT(A816,"00000"))</f>
        <v/>
      </c>
      <c r="C816" s="32" t="n"/>
      <c r="D816" s="36" t="n"/>
      <c r="E816" s="37" t="n"/>
      <c r="F816" s="36" t="n"/>
      <c r="G816" s="44" t="n"/>
      <c r="H816" s="43" t="n"/>
      <c r="I816" s="32" t="n"/>
      <c r="J816" s="44" t="n"/>
      <c r="K816" s="36" t="n"/>
      <c r="L816" s="33">
        <f>IF(C816="","",Commercial_Id)</f>
        <v/>
      </c>
      <c r="M816" s="34">
        <f>IF(OR(C816="",F816=""),"",IF(F816&lt;&gt;"Espèces","—",IF(I816&lt;&gt;"","☑ Oui","☐ Non")))</f>
        <v/>
      </c>
      <c r="N816" s="39">
        <f>IF(D816="","",IFERROR(VALUE(MID(D816,LEN(D816)-3,3)),""))</f>
        <v/>
      </c>
      <c r="O816" s="33">
        <f>IF(N816="","",L816&amp;"|"&amp;N816)</f>
        <v/>
      </c>
      <c r="P816" s="33">
        <f>IF(N816="","",IF(L816="À RENSEIGNER","GIC",L816)&amp;"-"&amp;TEXT(N816,"000"))</f>
        <v/>
      </c>
      <c r="Q816" s="33">
        <f>IF(O816="","",IFERROR(INDEX(Cl_nom,MATCH(O816,Cl_cle,0)),"(client introuvable)"))</f>
        <v/>
      </c>
      <c r="R816" s="40">
        <f>IF(O816="","",IFERROR(INDEX(Cl_reste,MATCH(O816,Cl_cle,0)),""))</f>
        <v/>
      </c>
      <c r="S816" s="34">
        <f>IF(C816="","",YEAR(C816-WEEKDAY(C816,2)+4)&amp;"-S"&amp;TEXT(INT((C816-DATE(YEAR(C816-WEEKDAY(C816,2)+4),1,3)+WEEKDAY(DATE(YEAR(C816-WEEKDAY(C816,2)+4),1,3),2)+5)/7),"00"))</f>
        <v/>
      </c>
    </row>
    <row r="817" ht="18" customHeight="1">
      <c r="A817" s="39" t="n">
        <v>812</v>
      </c>
      <c r="B817" s="33">
        <f>IF(C817="","",IF(L817="À RENSEIGNER","GIC",L817)&amp;"-E"&amp;TEXT(A817,"00000"))</f>
        <v/>
      </c>
      <c r="C817" s="32" t="n"/>
      <c r="D817" s="36" t="n"/>
      <c r="E817" s="37" t="n"/>
      <c r="F817" s="36" t="n"/>
      <c r="G817" s="44" t="n"/>
      <c r="H817" s="43" t="n"/>
      <c r="I817" s="32" t="n"/>
      <c r="J817" s="44" t="n"/>
      <c r="K817" s="36" t="n"/>
      <c r="L817" s="33">
        <f>IF(C817="","",Commercial_Id)</f>
        <v/>
      </c>
      <c r="M817" s="34">
        <f>IF(OR(C817="",F817=""),"",IF(F817&lt;&gt;"Espèces","—",IF(I817&lt;&gt;"","☑ Oui","☐ Non")))</f>
        <v/>
      </c>
      <c r="N817" s="39">
        <f>IF(D817="","",IFERROR(VALUE(MID(D817,LEN(D817)-3,3)),""))</f>
        <v/>
      </c>
      <c r="O817" s="33">
        <f>IF(N817="","",L817&amp;"|"&amp;N817)</f>
        <v/>
      </c>
      <c r="P817" s="33">
        <f>IF(N817="","",IF(L817="À RENSEIGNER","GIC",L817)&amp;"-"&amp;TEXT(N817,"000"))</f>
        <v/>
      </c>
      <c r="Q817" s="33">
        <f>IF(O817="","",IFERROR(INDEX(Cl_nom,MATCH(O817,Cl_cle,0)),"(client introuvable)"))</f>
        <v/>
      </c>
      <c r="R817" s="40">
        <f>IF(O817="","",IFERROR(INDEX(Cl_reste,MATCH(O817,Cl_cle,0)),""))</f>
        <v/>
      </c>
      <c r="S817" s="34">
        <f>IF(C817="","",YEAR(C817-WEEKDAY(C817,2)+4)&amp;"-S"&amp;TEXT(INT((C817-DATE(YEAR(C817-WEEKDAY(C817,2)+4),1,3)+WEEKDAY(DATE(YEAR(C817-WEEKDAY(C817,2)+4),1,3),2)+5)/7),"00"))</f>
        <v/>
      </c>
    </row>
    <row r="818" ht="18" customHeight="1">
      <c r="A818" s="39" t="n">
        <v>813</v>
      </c>
      <c r="B818" s="33">
        <f>IF(C818="","",IF(L818="À RENSEIGNER","GIC",L818)&amp;"-E"&amp;TEXT(A818,"00000"))</f>
        <v/>
      </c>
      <c r="C818" s="32" t="n"/>
      <c r="D818" s="36" t="n"/>
      <c r="E818" s="37" t="n"/>
      <c r="F818" s="36" t="n"/>
      <c r="G818" s="44" t="n"/>
      <c r="H818" s="43" t="n"/>
      <c r="I818" s="32" t="n"/>
      <c r="J818" s="44" t="n"/>
      <c r="K818" s="36" t="n"/>
      <c r="L818" s="33">
        <f>IF(C818="","",Commercial_Id)</f>
        <v/>
      </c>
      <c r="M818" s="34">
        <f>IF(OR(C818="",F818=""),"",IF(F818&lt;&gt;"Espèces","—",IF(I818&lt;&gt;"","☑ Oui","☐ Non")))</f>
        <v/>
      </c>
      <c r="N818" s="39">
        <f>IF(D818="","",IFERROR(VALUE(MID(D818,LEN(D818)-3,3)),""))</f>
        <v/>
      </c>
      <c r="O818" s="33">
        <f>IF(N818="","",L818&amp;"|"&amp;N818)</f>
        <v/>
      </c>
      <c r="P818" s="33">
        <f>IF(N818="","",IF(L818="À RENSEIGNER","GIC",L818)&amp;"-"&amp;TEXT(N818,"000"))</f>
        <v/>
      </c>
      <c r="Q818" s="33">
        <f>IF(O818="","",IFERROR(INDEX(Cl_nom,MATCH(O818,Cl_cle,0)),"(client introuvable)"))</f>
        <v/>
      </c>
      <c r="R818" s="40">
        <f>IF(O818="","",IFERROR(INDEX(Cl_reste,MATCH(O818,Cl_cle,0)),""))</f>
        <v/>
      </c>
      <c r="S818" s="34">
        <f>IF(C818="","",YEAR(C818-WEEKDAY(C818,2)+4)&amp;"-S"&amp;TEXT(INT((C818-DATE(YEAR(C818-WEEKDAY(C818,2)+4),1,3)+WEEKDAY(DATE(YEAR(C818-WEEKDAY(C818,2)+4),1,3),2)+5)/7),"00"))</f>
        <v/>
      </c>
    </row>
    <row r="819" ht="18" customHeight="1">
      <c r="A819" s="39" t="n">
        <v>814</v>
      </c>
      <c r="B819" s="33">
        <f>IF(C819="","",IF(L819="À RENSEIGNER","GIC",L819)&amp;"-E"&amp;TEXT(A819,"00000"))</f>
        <v/>
      </c>
      <c r="C819" s="32" t="n"/>
      <c r="D819" s="36" t="n"/>
      <c r="E819" s="37" t="n"/>
      <c r="F819" s="36" t="n"/>
      <c r="G819" s="44" t="n"/>
      <c r="H819" s="43" t="n"/>
      <c r="I819" s="32" t="n"/>
      <c r="J819" s="44" t="n"/>
      <c r="K819" s="36" t="n"/>
      <c r="L819" s="33">
        <f>IF(C819="","",Commercial_Id)</f>
        <v/>
      </c>
      <c r="M819" s="34">
        <f>IF(OR(C819="",F819=""),"",IF(F819&lt;&gt;"Espèces","—",IF(I819&lt;&gt;"","☑ Oui","☐ Non")))</f>
        <v/>
      </c>
      <c r="N819" s="39">
        <f>IF(D819="","",IFERROR(VALUE(MID(D819,LEN(D819)-3,3)),""))</f>
        <v/>
      </c>
      <c r="O819" s="33">
        <f>IF(N819="","",L819&amp;"|"&amp;N819)</f>
        <v/>
      </c>
      <c r="P819" s="33">
        <f>IF(N819="","",IF(L819="À RENSEIGNER","GIC",L819)&amp;"-"&amp;TEXT(N819,"000"))</f>
        <v/>
      </c>
      <c r="Q819" s="33">
        <f>IF(O819="","",IFERROR(INDEX(Cl_nom,MATCH(O819,Cl_cle,0)),"(client introuvable)"))</f>
        <v/>
      </c>
      <c r="R819" s="40">
        <f>IF(O819="","",IFERROR(INDEX(Cl_reste,MATCH(O819,Cl_cle,0)),""))</f>
        <v/>
      </c>
      <c r="S819" s="34">
        <f>IF(C819="","",YEAR(C819-WEEKDAY(C819,2)+4)&amp;"-S"&amp;TEXT(INT((C819-DATE(YEAR(C819-WEEKDAY(C819,2)+4),1,3)+WEEKDAY(DATE(YEAR(C819-WEEKDAY(C819,2)+4),1,3),2)+5)/7),"00"))</f>
        <v/>
      </c>
    </row>
    <row r="820" ht="18" customHeight="1">
      <c r="A820" s="39" t="n">
        <v>815</v>
      </c>
      <c r="B820" s="33">
        <f>IF(C820="","",IF(L820="À RENSEIGNER","GIC",L820)&amp;"-E"&amp;TEXT(A820,"00000"))</f>
        <v/>
      </c>
      <c r="C820" s="32" t="n"/>
      <c r="D820" s="36" t="n"/>
      <c r="E820" s="37" t="n"/>
      <c r="F820" s="36" t="n"/>
      <c r="G820" s="44" t="n"/>
      <c r="H820" s="43" t="n"/>
      <c r="I820" s="32" t="n"/>
      <c r="J820" s="44" t="n"/>
      <c r="K820" s="36" t="n"/>
      <c r="L820" s="33">
        <f>IF(C820="","",Commercial_Id)</f>
        <v/>
      </c>
      <c r="M820" s="34">
        <f>IF(OR(C820="",F820=""),"",IF(F820&lt;&gt;"Espèces","—",IF(I820&lt;&gt;"","☑ Oui","☐ Non")))</f>
        <v/>
      </c>
      <c r="N820" s="39">
        <f>IF(D820="","",IFERROR(VALUE(MID(D820,LEN(D820)-3,3)),""))</f>
        <v/>
      </c>
      <c r="O820" s="33">
        <f>IF(N820="","",L820&amp;"|"&amp;N820)</f>
        <v/>
      </c>
      <c r="P820" s="33">
        <f>IF(N820="","",IF(L820="À RENSEIGNER","GIC",L820)&amp;"-"&amp;TEXT(N820,"000"))</f>
        <v/>
      </c>
      <c r="Q820" s="33">
        <f>IF(O820="","",IFERROR(INDEX(Cl_nom,MATCH(O820,Cl_cle,0)),"(client introuvable)"))</f>
        <v/>
      </c>
      <c r="R820" s="40">
        <f>IF(O820="","",IFERROR(INDEX(Cl_reste,MATCH(O820,Cl_cle,0)),""))</f>
        <v/>
      </c>
      <c r="S820" s="34">
        <f>IF(C820="","",YEAR(C820-WEEKDAY(C820,2)+4)&amp;"-S"&amp;TEXT(INT((C820-DATE(YEAR(C820-WEEKDAY(C820,2)+4),1,3)+WEEKDAY(DATE(YEAR(C820-WEEKDAY(C820,2)+4),1,3),2)+5)/7),"00"))</f>
        <v/>
      </c>
    </row>
    <row r="821" ht="18" customHeight="1">
      <c r="A821" s="39" t="n">
        <v>816</v>
      </c>
      <c r="B821" s="33">
        <f>IF(C821="","",IF(L821="À RENSEIGNER","GIC",L821)&amp;"-E"&amp;TEXT(A821,"00000"))</f>
        <v/>
      </c>
      <c r="C821" s="32" t="n"/>
      <c r="D821" s="36" t="n"/>
      <c r="E821" s="37" t="n"/>
      <c r="F821" s="36" t="n"/>
      <c r="G821" s="44" t="n"/>
      <c r="H821" s="43" t="n"/>
      <c r="I821" s="32" t="n"/>
      <c r="J821" s="44" t="n"/>
      <c r="K821" s="36" t="n"/>
      <c r="L821" s="33">
        <f>IF(C821="","",Commercial_Id)</f>
        <v/>
      </c>
      <c r="M821" s="34">
        <f>IF(OR(C821="",F821=""),"",IF(F821&lt;&gt;"Espèces","—",IF(I821&lt;&gt;"","☑ Oui","☐ Non")))</f>
        <v/>
      </c>
      <c r="N821" s="39">
        <f>IF(D821="","",IFERROR(VALUE(MID(D821,LEN(D821)-3,3)),""))</f>
        <v/>
      </c>
      <c r="O821" s="33">
        <f>IF(N821="","",L821&amp;"|"&amp;N821)</f>
        <v/>
      </c>
      <c r="P821" s="33">
        <f>IF(N821="","",IF(L821="À RENSEIGNER","GIC",L821)&amp;"-"&amp;TEXT(N821,"000"))</f>
        <v/>
      </c>
      <c r="Q821" s="33">
        <f>IF(O821="","",IFERROR(INDEX(Cl_nom,MATCH(O821,Cl_cle,0)),"(client introuvable)"))</f>
        <v/>
      </c>
      <c r="R821" s="40">
        <f>IF(O821="","",IFERROR(INDEX(Cl_reste,MATCH(O821,Cl_cle,0)),""))</f>
        <v/>
      </c>
      <c r="S821" s="34">
        <f>IF(C821="","",YEAR(C821-WEEKDAY(C821,2)+4)&amp;"-S"&amp;TEXT(INT((C821-DATE(YEAR(C821-WEEKDAY(C821,2)+4),1,3)+WEEKDAY(DATE(YEAR(C821-WEEKDAY(C821,2)+4),1,3),2)+5)/7),"00"))</f>
        <v/>
      </c>
    </row>
    <row r="822" ht="18" customHeight="1">
      <c r="A822" s="39" t="n">
        <v>817</v>
      </c>
      <c r="B822" s="33">
        <f>IF(C822="","",IF(L822="À RENSEIGNER","GIC",L822)&amp;"-E"&amp;TEXT(A822,"00000"))</f>
        <v/>
      </c>
      <c r="C822" s="32" t="n"/>
      <c r="D822" s="36" t="n"/>
      <c r="E822" s="37" t="n"/>
      <c r="F822" s="36" t="n"/>
      <c r="G822" s="44" t="n"/>
      <c r="H822" s="43" t="n"/>
      <c r="I822" s="32" t="n"/>
      <c r="J822" s="44" t="n"/>
      <c r="K822" s="36" t="n"/>
      <c r="L822" s="33">
        <f>IF(C822="","",Commercial_Id)</f>
        <v/>
      </c>
      <c r="M822" s="34">
        <f>IF(OR(C822="",F822=""),"",IF(F822&lt;&gt;"Espèces","—",IF(I822&lt;&gt;"","☑ Oui","☐ Non")))</f>
        <v/>
      </c>
      <c r="N822" s="39">
        <f>IF(D822="","",IFERROR(VALUE(MID(D822,LEN(D822)-3,3)),""))</f>
        <v/>
      </c>
      <c r="O822" s="33">
        <f>IF(N822="","",L822&amp;"|"&amp;N822)</f>
        <v/>
      </c>
      <c r="P822" s="33">
        <f>IF(N822="","",IF(L822="À RENSEIGNER","GIC",L822)&amp;"-"&amp;TEXT(N822,"000"))</f>
        <v/>
      </c>
      <c r="Q822" s="33">
        <f>IF(O822="","",IFERROR(INDEX(Cl_nom,MATCH(O822,Cl_cle,0)),"(client introuvable)"))</f>
        <v/>
      </c>
      <c r="R822" s="40">
        <f>IF(O822="","",IFERROR(INDEX(Cl_reste,MATCH(O822,Cl_cle,0)),""))</f>
        <v/>
      </c>
      <c r="S822" s="34">
        <f>IF(C822="","",YEAR(C822-WEEKDAY(C822,2)+4)&amp;"-S"&amp;TEXT(INT((C822-DATE(YEAR(C822-WEEKDAY(C822,2)+4),1,3)+WEEKDAY(DATE(YEAR(C822-WEEKDAY(C822,2)+4),1,3),2)+5)/7),"00"))</f>
        <v/>
      </c>
    </row>
    <row r="823" ht="18" customHeight="1">
      <c r="A823" s="39" t="n">
        <v>818</v>
      </c>
      <c r="B823" s="33">
        <f>IF(C823="","",IF(L823="À RENSEIGNER","GIC",L823)&amp;"-E"&amp;TEXT(A823,"00000"))</f>
        <v/>
      </c>
      <c r="C823" s="32" t="n"/>
      <c r="D823" s="36" t="n"/>
      <c r="E823" s="37" t="n"/>
      <c r="F823" s="36" t="n"/>
      <c r="G823" s="44" t="n"/>
      <c r="H823" s="43" t="n"/>
      <c r="I823" s="32" t="n"/>
      <c r="J823" s="44" t="n"/>
      <c r="K823" s="36" t="n"/>
      <c r="L823" s="33">
        <f>IF(C823="","",Commercial_Id)</f>
        <v/>
      </c>
      <c r="M823" s="34">
        <f>IF(OR(C823="",F823=""),"",IF(F823&lt;&gt;"Espèces","—",IF(I823&lt;&gt;"","☑ Oui","☐ Non")))</f>
        <v/>
      </c>
      <c r="N823" s="39">
        <f>IF(D823="","",IFERROR(VALUE(MID(D823,LEN(D823)-3,3)),""))</f>
        <v/>
      </c>
      <c r="O823" s="33">
        <f>IF(N823="","",L823&amp;"|"&amp;N823)</f>
        <v/>
      </c>
      <c r="P823" s="33">
        <f>IF(N823="","",IF(L823="À RENSEIGNER","GIC",L823)&amp;"-"&amp;TEXT(N823,"000"))</f>
        <v/>
      </c>
      <c r="Q823" s="33">
        <f>IF(O823="","",IFERROR(INDEX(Cl_nom,MATCH(O823,Cl_cle,0)),"(client introuvable)"))</f>
        <v/>
      </c>
      <c r="R823" s="40">
        <f>IF(O823="","",IFERROR(INDEX(Cl_reste,MATCH(O823,Cl_cle,0)),""))</f>
        <v/>
      </c>
      <c r="S823" s="34">
        <f>IF(C823="","",YEAR(C823-WEEKDAY(C823,2)+4)&amp;"-S"&amp;TEXT(INT((C823-DATE(YEAR(C823-WEEKDAY(C823,2)+4),1,3)+WEEKDAY(DATE(YEAR(C823-WEEKDAY(C823,2)+4),1,3),2)+5)/7),"00"))</f>
        <v/>
      </c>
    </row>
    <row r="824" ht="18" customHeight="1">
      <c r="A824" s="39" t="n">
        <v>819</v>
      </c>
      <c r="B824" s="33">
        <f>IF(C824="","",IF(L824="À RENSEIGNER","GIC",L824)&amp;"-E"&amp;TEXT(A824,"00000"))</f>
        <v/>
      </c>
      <c r="C824" s="32" t="n"/>
      <c r="D824" s="36" t="n"/>
      <c r="E824" s="37" t="n"/>
      <c r="F824" s="36" t="n"/>
      <c r="G824" s="44" t="n"/>
      <c r="H824" s="43" t="n"/>
      <c r="I824" s="32" t="n"/>
      <c r="J824" s="44" t="n"/>
      <c r="K824" s="36" t="n"/>
      <c r="L824" s="33">
        <f>IF(C824="","",Commercial_Id)</f>
        <v/>
      </c>
      <c r="M824" s="34">
        <f>IF(OR(C824="",F824=""),"",IF(F824&lt;&gt;"Espèces","—",IF(I824&lt;&gt;"","☑ Oui","☐ Non")))</f>
        <v/>
      </c>
      <c r="N824" s="39">
        <f>IF(D824="","",IFERROR(VALUE(MID(D824,LEN(D824)-3,3)),""))</f>
        <v/>
      </c>
      <c r="O824" s="33">
        <f>IF(N824="","",L824&amp;"|"&amp;N824)</f>
        <v/>
      </c>
      <c r="P824" s="33">
        <f>IF(N824="","",IF(L824="À RENSEIGNER","GIC",L824)&amp;"-"&amp;TEXT(N824,"000"))</f>
        <v/>
      </c>
      <c r="Q824" s="33">
        <f>IF(O824="","",IFERROR(INDEX(Cl_nom,MATCH(O824,Cl_cle,0)),"(client introuvable)"))</f>
        <v/>
      </c>
      <c r="R824" s="40">
        <f>IF(O824="","",IFERROR(INDEX(Cl_reste,MATCH(O824,Cl_cle,0)),""))</f>
        <v/>
      </c>
      <c r="S824" s="34">
        <f>IF(C824="","",YEAR(C824-WEEKDAY(C824,2)+4)&amp;"-S"&amp;TEXT(INT((C824-DATE(YEAR(C824-WEEKDAY(C824,2)+4),1,3)+WEEKDAY(DATE(YEAR(C824-WEEKDAY(C824,2)+4),1,3),2)+5)/7),"00"))</f>
        <v/>
      </c>
    </row>
    <row r="825" ht="18" customHeight="1">
      <c r="A825" s="39" t="n">
        <v>820</v>
      </c>
      <c r="B825" s="33">
        <f>IF(C825="","",IF(L825="À RENSEIGNER","GIC",L825)&amp;"-E"&amp;TEXT(A825,"00000"))</f>
        <v/>
      </c>
      <c r="C825" s="32" t="n"/>
      <c r="D825" s="36" t="n"/>
      <c r="E825" s="37" t="n"/>
      <c r="F825" s="36" t="n"/>
      <c r="G825" s="44" t="n"/>
      <c r="H825" s="43" t="n"/>
      <c r="I825" s="32" t="n"/>
      <c r="J825" s="44" t="n"/>
      <c r="K825" s="36" t="n"/>
      <c r="L825" s="33">
        <f>IF(C825="","",Commercial_Id)</f>
        <v/>
      </c>
      <c r="M825" s="34">
        <f>IF(OR(C825="",F825=""),"",IF(F825&lt;&gt;"Espèces","—",IF(I825&lt;&gt;"","☑ Oui","☐ Non")))</f>
        <v/>
      </c>
      <c r="N825" s="39">
        <f>IF(D825="","",IFERROR(VALUE(MID(D825,LEN(D825)-3,3)),""))</f>
        <v/>
      </c>
      <c r="O825" s="33">
        <f>IF(N825="","",L825&amp;"|"&amp;N825)</f>
        <v/>
      </c>
      <c r="P825" s="33">
        <f>IF(N825="","",IF(L825="À RENSEIGNER","GIC",L825)&amp;"-"&amp;TEXT(N825,"000"))</f>
        <v/>
      </c>
      <c r="Q825" s="33">
        <f>IF(O825="","",IFERROR(INDEX(Cl_nom,MATCH(O825,Cl_cle,0)),"(client introuvable)"))</f>
        <v/>
      </c>
      <c r="R825" s="40">
        <f>IF(O825="","",IFERROR(INDEX(Cl_reste,MATCH(O825,Cl_cle,0)),""))</f>
        <v/>
      </c>
      <c r="S825" s="34">
        <f>IF(C825="","",YEAR(C825-WEEKDAY(C825,2)+4)&amp;"-S"&amp;TEXT(INT((C825-DATE(YEAR(C825-WEEKDAY(C825,2)+4),1,3)+WEEKDAY(DATE(YEAR(C825-WEEKDAY(C825,2)+4),1,3),2)+5)/7),"00"))</f>
        <v/>
      </c>
    </row>
    <row r="826" ht="18" customHeight="1">
      <c r="A826" s="39" t="n">
        <v>821</v>
      </c>
      <c r="B826" s="33">
        <f>IF(C826="","",IF(L826="À RENSEIGNER","GIC",L826)&amp;"-E"&amp;TEXT(A826,"00000"))</f>
        <v/>
      </c>
      <c r="C826" s="32" t="n"/>
      <c r="D826" s="36" t="n"/>
      <c r="E826" s="37" t="n"/>
      <c r="F826" s="36" t="n"/>
      <c r="G826" s="44" t="n"/>
      <c r="H826" s="43" t="n"/>
      <c r="I826" s="32" t="n"/>
      <c r="J826" s="44" t="n"/>
      <c r="K826" s="36" t="n"/>
      <c r="L826" s="33">
        <f>IF(C826="","",Commercial_Id)</f>
        <v/>
      </c>
      <c r="M826" s="34">
        <f>IF(OR(C826="",F826=""),"",IF(F826&lt;&gt;"Espèces","—",IF(I826&lt;&gt;"","☑ Oui","☐ Non")))</f>
        <v/>
      </c>
      <c r="N826" s="39">
        <f>IF(D826="","",IFERROR(VALUE(MID(D826,LEN(D826)-3,3)),""))</f>
        <v/>
      </c>
      <c r="O826" s="33">
        <f>IF(N826="","",L826&amp;"|"&amp;N826)</f>
        <v/>
      </c>
      <c r="P826" s="33">
        <f>IF(N826="","",IF(L826="À RENSEIGNER","GIC",L826)&amp;"-"&amp;TEXT(N826,"000"))</f>
        <v/>
      </c>
      <c r="Q826" s="33">
        <f>IF(O826="","",IFERROR(INDEX(Cl_nom,MATCH(O826,Cl_cle,0)),"(client introuvable)"))</f>
        <v/>
      </c>
      <c r="R826" s="40">
        <f>IF(O826="","",IFERROR(INDEX(Cl_reste,MATCH(O826,Cl_cle,0)),""))</f>
        <v/>
      </c>
      <c r="S826" s="34">
        <f>IF(C826="","",YEAR(C826-WEEKDAY(C826,2)+4)&amp;"-S"&amp;TEXT(INT((C826-DATE(YEAR(C826-WEEKDAY(C826,2)+4),1,3)+WEEKDAY(DATE(YEAR(C826-WEEKDAY(C826,2)+4),1,3),2)+5)/7),"00"))</f>
        <v/>
      </c>
    </row>
    <row r="827" ht="18" customHeight="1">
      <c r="A827" s="39" t="n">
        <v>822</v>
      </c>
      <c r="B827" s="33">
        <f>IF(C827="","",IF(L827="À RENSEIGNER","GIC",L827)&amp;"-E"&amp;TEXT(A827,"00000"))</f>
        <v/>
      </c>
      <c r="C827" s="32" t="n"/>
      <c r="D827" s="36" t="n"/>
      <c r="E827" s="37" t="n"/>
      <c r="F827" s="36" t="n"/>
      <c r="G827" s="44" t="n"/>
      <c r="H827" s="43" t="n"/>
      <c r="I827" s="32" t="n"/>
      <c r="J827" s="44" t="n"/>
      <c r="K827" s="36" t="n"/>
      <c r="L827" s="33">
        <f>IF(C827="","",Commercial_Id)</f>
        <v/>
      </c>
      <c r="M827" s="34">
        <f>IF(OR(C827="",F827=""),"",IF(F827&lt;&gt;"Espèces","—",IF(I827&lt;&gt;"","☑ Oui","☐ Non")))</f>
        <v/>
      </c>
      <c r="N827" s="39">
        <f>IF(D827="","",IFERROR(VALUE(MID(D827,LEN(D827)-3,3)),""))</f>
        <v/>
      </c>
      <c r="O827" s="33">
        <f>IF(N827="","",L827&amp;"|"&amp;N827)</f>
        <v/>
      </c>
      <c r="P827" s="33">
        <f>IF(N827="","",IF(L827="À RENSEIGNER","GIC",L827)&amp;"-"&amp;TEXT(N827,"000"))</f>
        <v/>
      </c>
      <c r="Q827" s="33">
        <f>IF(O827="","",IFERROR(INDEX(Cl_nom,MATCH(O827,Cl_cle,0)),"(client introuvable)"))</f>
        <v/>
      </c>
      <c r="R827" s="40">
        <f>IF(O827="","",IFERROR(INDEX(Cl_reste,MATCH(O827,Cl_cle,0)),""))</f>
        <v/>
      </c>
      <c r="S827" s="34">
        <f>IF(C827="","",YEAR(C827-WEEKDAY(C827,2)+4)&amp;"-S"&amp;TEXT(INT((C827-DATE(YEAR(C827-WEEKDAY(C827,2)+4),1,3)+WEEKDAY(DATE(YEAR(C827-WEEKDAY(C827,2)+4),1,3),2)+5)/7),"00"))</f>
        <v/>
      </c>
    </row>
    <row r="828" ht="18" customHeight="1">
      <c r="A828" s="39" t="n">
        <v>823</v>
      </c>
      <c r="B828" s="33">
        <f>IF(C828="","",IF(L828="À RENSEIGNER","GIC",L828)&amp;"-E"&amp;TEXT(A828,"00000"))</f>
        <v/>
      </c>
      <c r="C828" s="32" t="n"/>
      <c r="D828" s="36" t="n"/>
      <c r="E828" s="37" t="n"/>
      <c r="F828" s="36" t="n"/>
      <c r="G828" s="44" t="n"/>
      <c r="H828" s="43" t="n"/>
      <c r="I828" s="32" t="n"/>
      <c r="J828" s="44" t="n"/>
      <c r="K828" s="36" t="n"/>
      <c r="L828" s="33">
        <f>IF(C828="","",Commercial_Id)</f>
        <v/>
      </c>
      <c r="M828" s="34">
        <f>IF(OR(C828="",F828=""),"",IF(F828&lt;&gt;"Espèces","—",IF(I828&lt;&gt;"","☑ Oui","☐ Non")))</f>
        <v/>
      </c>
      <c r="N828" s="39">
        <f>IF(D828="","",IFERROR(VALUE(MID(D828,LEN(D828)-3,3)),""))</f>
        <v/>
      </c>
      <c r="O828" s="33">
        <f>IF(N828="","",L828&amp;"|"&amp;N828)</f>
        <v/>
      </c>
      <c r="P828" s="33">
        <f>IF(N828="","",IF(L828="À RENSEIGNER","GIC",L828)&amp;"-"&amp;TEXT(N828,"000"))</f>
        <v/>
      </c>
      <c r="Q828" s="33">
        <f>IF(O828="","",IFERROR(INDEX(Cl_nom,MATCH(O828,Cl_cle,0)),"(client introuvable)"))</f>
        <v/>
      </c>
      <c r="R828" s="40">
        <f>IF(O828="","",IFERROR(INDEX(Cl_reste,MATCH(O828,Cl_cle,0)),""))</f>
        <v/>
      </c>
      <c r="S828" s="34">
        <f>IF(C828="","",YEAR(C828-WEEKDAY(C828,2)+4)&amp;"-S"&amp;TEXT(INT((C828-DATE(YEAR(C828-WEEKDAY(C828,2)+4),1,3)+WEEKDAY(DATE(YEAR(C828-WEEKDAY(C828,2)+4),1,3),2)+5)/7),"00"))</f>
        <v/>
      </c>
    </row>
    <row r="829" ht="18" customHeight="1">
      <c r="A829" s="39" t="n">
        <v>824</v>
      </c>
      <c r="B829" s="33">
        <f>IF(C829="","",IF(L829="À RENSEIGNER","GIC",L829)&amp;"-E"&amp;TEXT(A829,"00000"))</f>
        <v/>
      </c>
      <c r="C829" s="32" t="n"/>
      <c r="D829" s="36" t="n"/>
      <c r="E829" s="37" t="n"/>
      <c r="F829" s="36" t="n"/>
      <c r="G829" s="44" t="n"/>
      <c r="H829" s="43" t="n"/>
      <c r="I829" s="32" t="n"/>
      <c r="J829" s="44" t="n"/>
      <c r="K829" s="36" t="n"/>
      <c r="L829" s="33">
        <f>IF(C829="","",Commercial_Id)</f>
        <v/>
      </c>
      <c r="M829" s="34">
        <f>IF(OR(C829="",F829=""),"",IF(F829&lt;&gt;"Espèces","—",IF(I829&lt;&gt;"","☑ Oui","☐ Non")))</f>
        <v/>
      </c>
      <c r="N829" s="39">
        <f>IF(D829="","",IFERROR(VALUE(MID(D829,LEN(D829)-3,3)),""))</f>
        <v/>
      </c>
      <c r="O829" s="33">
        <f>IF(N829="","",L829&amp;"|"&amp;N829)</f>
        <v/>
      </c>
      <c r="P829" s="33">
        <f>IF(N829="","",IF(L829="À RENSEIGNER","GIC",L829)&amp;"-"&amp;TEXT(N829,"000"))</f>
        <v/>
      </c>
      <c r="Q829" s="33">
        <f>IF(O829="","",IFERROR(INDEX(Cl_nom,MATCH(O829,Cl_cle,0)),"(client introuvable)"))</f>
        <v/>
      </c>
      <c r="R829" s="40">
        <f>IF(O829="","",IFERROR(INDEX(Cl_reste,MATCH(O829,Cl_cle,0)),""))</f>
        <v/>
      </c>
      <c r="S829" s="34">
        <f>IF(C829="","",YEAR(C829-WEEKDAY(C829,2)+4)&amp;"-S"&amp;TEXT(INT((C829-DATE(YEAR(C829-WEEKDAY(C829,2)+4),1,3)+WEEKDAY(DATE(YEAR(C829-WEEKDAY(C829,2)+4),1,3),2)+5)/7),"00"))</f>
        <v/>
      </c>
    </row>
    <row r="830" ht="18" customHeight="1">
      <c r="A830" s="39" t="n">
        <v>825</v>
      </c>
      <c r="B830" s="33">
        <f>IF(C830="","",IF(L830="À RENSEIGNER","GIC",L830)&amp;"-E"&amp;TEXT(A830,"00000"))</f>
        <v/>
      </c>
      <c r="C830" s="32" t="n"/>
      <c r="D830" s="36" t="n"/>
      <c r="E830" s="37" t="n"/>
      <c r="F830" s="36" t="n"/>
      <c r="G830" s="44" t="n"/>
      <c r="H830" s="43" t="n"/>
      <c r="I830" s="32" t="n"/>
      <c r="J830" s="44" t="n"/>
      <c r="K830" s="36" t="n"/>
      <c r="L830" s="33">
        <f>IF(C830="","",Commercial_Id)</f>
        <v/>
      </c>
      <c r="M830" s="34">
        <f>IF(OR(C830="",F830=""),"",IF(F830&lt;&gt;"Espèces","—",IF(I830&lt;&gt;"","☑ Oui","☐ Non")))</f>
        <v/>
      </c>
      <c r="N830" s="39">
        <f>IF(D830="","",IFERROR(VALUE(MID(D830,LEN(D830)-3,3)),""))</f>
        <v/>
      </c>
      <c r="O830" s="33">
        <f>IF(N830="","",L830&amp;"|"&amp;N830)</f>
        <v/>
      </c>
      <c r="P830" s="33">
        <f>IF(N830="","",IF(L830="À RENSEIGNER","GIC",L830)&amp;"-"&amp;TEXT(N830,"000"))</f>
        <v/>
      </c>
      <c r="Q830" s="33">
        <f>IF(O830="","",IFERROR(INDEX(Cl_nom,MATCH(O830,Cl_cle,0)),"(client introuvable)"))</f>
        <v/>
      </c>
      <c r="R830" s="40">
        <f>IF(O830="","",IFERROR(INDEX(Cl_reste,MATCH(O830,Cl_cle,0)),""))</f>
        <v/>
      </c>
      <c r="S830" s="34">
        <f>IF(C830="","",YEAR(C830-WEEKDAY(C830,2)+4)&amp;"-S"&amp;TEXT(INT((C830-DATE(YEAR(C830-WEEKDAY(C830,2)+4),1,3)+WEEKDAY(DATE(YEAR(C830-WEEKDAY(C830,2)+4),1,3),2)+5)/7),"00"))</f>
        <v/>
      </c>
    </row>
    <row r="831" ht="18" customHeight="1">
      <c r="A831" s="39" t="n">
        <v>826</v>
      </c>
      <c r="B831" s="33">
        <f>IF(C831="","",IF(L831="À RENSEIGNER","GIC",L831)&amp;"-E"&amp;TEXT(A831,"00000"))</f>
        <v/>
      </c>
      <c r="C831" s="32" t="n"/>
      <c r="D831" s="36" t="n"/>
      <c r="E831" s="37" t="n"/>
      <c r="F831" s="36" t="n"/>
      <c r="G831" s="44" t="n"/>
      <c r="H831" s="43" t="n"/>
      <c r="I831" s="32" t="n"/>
      <c r="J831" s="44" t="n"/>
      <c r="K831" s="36" t="n"/>
      <c r="L831" s="33">
        <f>IF(C831="","",Commercial_Id)</f>
        <v/>
      </c>
      <c r="M831" s="34">
        <f>IF(OR(C831="",F831=""),"",IF(F831&lt;&gt;"Espèces","—",IF(I831&lt;&gt;"","☑ Oui","☐ Non")))</f>
        <v/>
      </c>
      <c r="N831" s="39">
        <f>IF(D831="","",IFERROR(VALUE(MID(D831,LEN(D831)-3,3)),""))</f>
        <v/>
      </c>
      <c r="O831" s="33">
        <f>IF(N831="","",L831&amp;"|"&amp;N831)</f>
        <v/>
      </c>
      <c r="P831" s="33">
        <f>IF(N831="","",IF(L831="À RENSEIGNER","GIC",L831)&amp;"-"&amp;TEXT(N831,"000"))</f>
        <v/>
      </c>
      <c r="Q831" s="33">
        <f>IF(O831="","",IFERROR(INDEX(Cl_nom,MATCH(O831,Cl_cle,0)),"(client introuvable)"))</f>
        <v/>
      </c>
      <c r="R831" s="40">
        <f>IF(O831="","",IFERROR(INDEX(Cl_reste,MATCH(O831,Cl_cle,0)),""))</f>
        <v/>
      </c>
      <c r="S831" s="34">
        <f>IF(C831="","",YEAR(C831-WEEKDAY(C831,2)+4)&amp;"-S"&amp;TEXT(INT((C831-DATE(YEAR(C831-WEEKDAY(C831,2)+4),1,3)+WEEKDAY(DATE(YEAR(C831-WEEKDAY(C831,2)+4),1,3),2)+5)/7),"00"))</f>
        <v/>
      </c>
    </row>
    <row r="832" ht="18" customHeight="1">
      <c r="A832" s="39" t="n">
        <v>827</v>
      </c>
      <c r="B832" s="33">
        <f>IF(C832="","",IF(L832="À RENSEIGNER","GIC",L832)&amp;"-E"&amp;TEXT(A832,"00000"))</f>
        <v/>
      </c>
      <c r="C832" s="32" t="n"/>
      <c r="D832" s="36" t="n"/>
      <c r="E832" s="37" t="n"/>
      <c r="F832" s="36" t="n"/>
      <c r="G832" s="44" t="n"/>
      <c r="H832" s="43" t="n"/>
      <c r="I832" s="32" t="n"/>
      <c r="J832" s="44" t="n"/>
      <c r="K832" s="36" t="n"/>
      <c r="L832" s="33">
        <f>IF(C832="","",Commercial_Id)</f>
        <v/>
      </c>
      <c r="M832" s="34">
        <f>IF(OR(C832="",F832=""),"",IF(F832&lt;&gt;"Espèces","—",IF(I832&lt;&gt;"","☑ Oui","☐ Non")))</f>
        <v/>
      </c>
      <c r="N832" s="39">
        <f>IF(D832="","",IFERROR(VALUE(MID(D832,LEN(D832)-3,3)),""))</f>
        <v/>
      </c>
      <c r="O832" s="33">
        <f>IF(N832="","",L832&amp;"|"&amp;N832)</f>
        <v/>
      </c>
      <c r="P832" s="33">
        <f>IF(N832="","",IF(L832="À RENSEIGNER","GIC",L832)&amp;"-"&amp;TEXT(N832,"000"))</f>
        <v/>
      </c>
      <c r="Q832" s="33">
        <f>IF(O832="","",IFERROR(INDEX(Cl_nom,MATCH(O832,Cl_cle,0)),"(client introuvable)"))</f>
        <v/>
      </c>
      <c r="R832" s="40">
        <f>IF(O832="","",IFERROR(INDEX(Cl_reste,MATCH(O832,Cl_cle,0)),""))</f>
        <v/>
      </c>
      <c r="S832" s="34">
        <f>IF(C832="","",YEAR(C832-WEEKDAY(C832,2)+4)&amp;"-S"&amp;TEXT(INT((C832-DATE(YEAR(C832-WEEKDAY(C832,2)+4),1,3)+WEEKDAY(DATE(YEAR(C832-WEEKDAY(C832,2)+4),1,3),2)+5)/7),"00"))</f>
        <v/>
      </c>
    </row>
    <row r="833" ht="18" customHeight="1">
      <c r="A833" s="39" t="n">
        <v>828</v>
      </c>
      <c r="B833" s="33">
        <f>IF(C833="","",IF(L833="À RENSEIGNER","GIC",L833)&amp;"-E"&amp;TEXT(A833,"00000"))</f>
        <v/>
      </c>
      <c r="C833" s="32" t="n"/>
      <c r="D833" s="36" t="n"/>
      <c r="E833" s="37" t="n"/>
      <c r="F833" s="36" t="n"/>
      <c r="G833" s="44" t="n"/>
      <c r="H833" s="43" t="n"/>
      <c r="I833" s="32" t="n"/>
      <c r="J833" s="44" t="n"/>
      <c r="K833" s="36" t="n"/>
      <c r="L833" s="33">
        <f>IF(C833="","",Commercial_Id)</f>
        <v/>
      </c>
      <c r="M833" s="34">
        <f>IF(OR(C833="",F833=""),"",IF(F833&lt;&gt;"Espèces","—",IF(I833&lt;&gt;"","☑ Oui","☐ Non")))</f>
        <v/>
      </c>
      <c r="N833" s="39">
        <f>IF(D833="","",IFERROR(VALUE(MID(D833,LEN(D833)-3,3)),""))</f>
        <v/>
      </c>
      <c r="O833" s="33">
        <f>IF(N833="","",L833&amp;"|"&amp;N833)</f>
        <v/>
      </c>
      <c r="P833" s="33">
        <f>IF(N833="","",IF(L833="À RENSEIGNER","GIC",L833)&amp;"-"&amp;TEXT(N833,"000"))</f>
        <v/>
      </c>
      <c r="Q833" s="33">
        <f>IF(O833="","",IFERROR(INDEX(Cl_nom,MATCH(O833,Cl_cle,0)),"(client introuvable)"))</f>
        <v/>
      </c>
      <c r="R833" s="40">
        <f>IF(O833="","",IFERROR(INDEX(Cl_reste,MATCH(O833,Cl_cle,0)),""))</f>
        <v/>
      </c>
      <c r="S833" s="34">
        <f>IF(C833="","",YEAR(C833-WEEKDAY(C833,2)+4)&amp;"-S"&amp;TEXT(INT((C833-DATE(YEAR(C833-WEEKDAY(C833,2)+4),1,3)+WEEKDAY(DATE(YEAR(C833-WEEKDAY(C833,2)+4),1,3),2)+5)/7),"00"))</f>
        <v/>
      </c>
    </row>
    <row r="834" ht="18" customHeight="1">
      <c r="A834" s="39" t="n">
        <v>829</v>
      </c>
      <c r="B834" s="33">
        <f>IF(C834="","",IF(L834="À RENSEIGNER","GIC",L834)&amp;"-E"&amp;TEXT(A834,"00000"))</f>
        <v/>
      </c>
      <c r="C834" s="32" t="n"/>
      <c r="D834" s="36" t="n"/>
      <c r="E834" s="37" t="n"/>
      <c r="F834" s="36" t="n"/>
      <c r="G834" s="44" t="n"/>
      <c r="H834" s="43" t="n"/>
      <c r="I834" s="32" t="n"/>
      <c r="J834" s="44" t="n"/>
      <c r="K834" s="36" t="n"/>
      <c r="L834" s="33">
        <f>IF(C834="","",Commercial_Id)</f>
        <v/>
      </c>
      <c r="M834" s="34">
        <f>IF(OR(C834="",F834=""),"",IF(F834&lt;&gt;"Espèces","—",IF(I834&lt;&gt;"","☑ Oui","☐ Non")))</f>
        <v/>
      </c>
      <c r="N834" s="39">
        <f>IF(D834="","",IFERROR(VALUE(MID(D834,LEN(D834)-3,3)),""))</f>
        <v/>
      </c>
      <c r="O834" s="33">
        <f>IF(N834="","",L834&amp;"|"&amp;N834)</f>
        <v/>
      </c>
      <c r="P834" s="33">
        <f>IF(N834="","",IF(L834="À RENSEIGNER","GIC",L834)&amp;"-"&amp;TEXT(N834,"000"))</f>
        <v/>
      </c>
      <c r="Q834" s="33">
        <f>IF(O834="","",IFERROR(INDEX(Cl_nom,MATCH(O834,Cl_cle,0)),"(client introuvable)"))</f>
        <v/>
      </c>
      <c r="R834" s="40">
        <f>IF(O834="","",IFERROR(INDEX(Cl_reste,MATCH(O834,Cl_cle,0)),""))</f>
        <v/>
      </c>
      <c r="S834" s="34">
        <f>IF(C834="","",YEAR(C834-WEEKDAY(C834,2)+4)&amp;"-S"&amp;TEXT(INT((C834-DATE(YEAR(C834-WEEKDAY(C834,2)+4),1,3)+WEEKDAY(DATE(YEAR(C834-WEEKDAY(C834,2)+4),1,3),2)+5)/7),"00"))</f>
        <v/>
      </c>
    </row>
    <row r="835" ht="18" customHeight="1">
      <c r="A835" s="39" t="n">
        <v>830</v>
      </c>
      <c r="B835" s="33">
        <f>IF(C835="","",IF(L835="À RENSEIGNER","GIC",L835)&amp;"-E"&amp;TEXT(A835,"00000"))</f>
        <v/>
      </c>
      <c r="C835" s="32" t="n"/>
      <c r="D835" s="36" t="n"/>
      <c r="E835" s="37" t="n"/>
      <c r="F835" s="36" t="n"/>
      <c r="G835" s="44" t="n"/>
      <c r="H835" s="43" t="n"/>
      <c r="I835" s="32" t="n"/>
      <c r="J835" s="44" t="n"/>
      <c r="K835" s="36" t="n"/>
      <c r="L835" s="33">
        <f>IF(C835="","",Commercial_Id)</f>
        <v/>
      </c>
      <c r="M835" s="34">
        <f>IF(OR(C835="",F835=""),"",IF(F835&lt;&gt;"Espèces","—",IF(I835&lt;&gt;"","☑ Oui","☐ Non")))</f>
        <v/>
      </c>
      <c r="N835" s="39">
        <f>IF(D835="","",IFERROR(VALUE(MID(D835,LEN(D835)-3,3)),""))</f>
        <v/>
      </c>
      <c r="O835" s="33">
        <f>IF(N835="","",L835&amp;"|"&amp;N835)</f>
        <v/>
      </c>
      <c r="P835" s="33">
        <f>IF(N835="","",IF(L835="À RENSEIGNER","GIC",L835)&amp;"-"&amp;TEXT(N835,"000"))</f>
        <v/>
      </c>
      <c r="Q835" s="33">
        <f>IF(O835="","",IFERROR(INDEX(Cl_nom,MATCH(O835,Cl_cle,0)),"(client introuvable)"))</f>
        <v/>
      </c>
      <c r="R835" s="40">
        <f>IF(O835="","",IFERROR(INDEX(Cl_reste,MATCH(O835,Cl_cle,0)),""))</f>
        <v/>
      </c>
      <c r="S835" s="34">
        <f>IF(C835="","",YEAR(C835-WEEKDAY(C835,2)+4)&amp;"-S"&amp;TEXT(INT((C835-DATE(YEAR(C835-WEEKDAY(C835,2)+4),1,3)+WEEKDAY(DATE(YEAR(C835-WEEKDAY(C835,2)+4),1,3),2)+5)/7),"00"))</f>
        <v/>
      </c>
    </row>
    <row r="836" ht="18" customHeight="1">
      <c r="A836" s="39" t="n">
        <v>831</v>
      </c>
      <c r="B836" s="33">
        <f>IF(C836="","",IF(L836="À RENSEIGNER","GIC",L836)&amp;"-E"&amp;TEXT(A836,"00000"))</f>
        <v/>
      </c>
      <c r="C836" s="32" t="n"/>
      <c r="D836" s="36" t="n"/>
      <c r="E836" s="37" t="n"/>
      <c r="F836" s="36" t="n"/>
      <c r="G836" s="44" t="n"/>
      <c r="H836" s="43" t="n"/>
      <c r="I836" s="32" t="n"/>
      <c r="J836" s="44" t="n"/>
      <c r="K836" s="36" t="n"/>
      <c r="L836" s="33">
        <f>IF(C836="","",Commercial_Id)</f>
        <v/>
      </c>
      <c r="M836" s="34">
        <f>IF(OR(C836="",F836=""),"",IF(F836&lt;&gt;"Espèces","—",IF(I836&lt;&gt;"","☑ Oui","☐ Non")))</f>
        <v/>
      </c>
      <c r="N836" s="39">
        <f>IF(D836="","",IFERROR(VALUE(MID(D836,LEN(D836)-3,3)),""))</f>
        <v/>
      </c>
      <c r="O836" s="33">
        <f>IF(N836="","",L836&amp;"|"&amp;N836)</f>
        <v/>
      </c>
      <c r="P836" s="33">
        <f>IF(N836="","",IF(L836="À RENSEIGNER","GIC",L836)&amp;"-"&amp;TEXT(N836,"000"))</f>
        <v/>
      </c>
      <c r="Q836" s="33">
        <f>IF(O836="","",IFERROR(INDEX(Cl_nom,MATCH(O836,Cl_cle,0)),"(client introuvable)"))</f>
        <v/>
      </c>
      <c r="R836" s="40">
        <f>IF(O836="","",IFERROR(INDEX(Cl_reste,MATCH(O836,Cl_cle,0)),""))</f>
        <v/>
      </c>
      <c r="S836" s="34">
        <f>IF(C836="","",YEAR(C836-WEEKDAY(C836,2)+4)&amp;"-S"&amp;TEXT(INT((C836-DATE(YEAR(C836-WEEKDAY(C836,2)+4),1,3)+WEEKDAY(DATE(YEAR(C836-WEEKDAY(C836,2)+4),1,3),2)+5)/7),"00"))</f>
        <v/>
      </c>
    </row>
    <row r="837" ht="18" customHeight="1">
      <c r="A837" s="39" t="n">
        <v>832</v>
      </c>
      <c r="B837" s="33">
        <f>IF(C837="","",IF(L837="À RENSEIGNER","GIC",L837)&amp;"-E"&amp;TEXT(A837,"00000"))</f>
        <v/>
      </c>
      <c r="C837" s="32" t="n"/>
      <c r="D837" s="36" t="n"/>
      <c r="E837" s="37" t="n"/>
      <c r="F837" s="36" t="n"/>
      <c r="G837" s="44" t="n"/>
      <c r="H837" s="43" t="n"/>
      <c r="I837" s="32" t="n"/>
      <c r="J837" s="44" t="n"/>
      <c r="K837" s="36" t="n"/>
      <c r="L837" s="33">
        <f>IF(C837="","",Commercial_Id)</f>
        <v/>
      </c>
      <c r="M837" s="34">
        <f>IF(OR(C837="",F837=""),"",IF(F837&lt;&gt;"Espèces","—",IF(I837&lt;&gt;"","☑ Oui","☐ Non")))</f>
        <v/>
      </c>
      <c r="N837" s="39">
        <f>IF(D837="","",IFERROR(VALUE(MID(D837,LEN(D837)-3,3)),""))</f>
        <v/>
      </c>
      <c r="O837" s="33">
        <f>IF(N837="","",L837&amp;"|"&amp;N837)</f>
        <v/>
      </c>
      <c r="P837" s="33">
        <f>IF(N837="","",IF(L837="À RENSEIGNER","GIC",L837)&amp;"-"&amp;TEXT(N837,"000"))</f>
        <v/>
      </c>
      <c r="Q837" s="33">
        <f>IF(O837="","",IFERROR(INDEX(Cl_nom,MATCH(O837,Cl_cle,0)),"(client introuvable)"))</f>
        <v/>
      </c>
      <c r="R837" s="40">
        <f>IF(O837="","",IFERROR(INDEX(Cl_reste,MATCH(O837,Cl_cle,0)),""))</f>
        <v/>
      </c>
      <c r="S837" s="34">
        <f>IF(C837="","",YEAR(C837-WEEKDAY(C837,2)+4)&amp;"-S"&amp;TEXT(INT((C837-DATE(YEAR(C837-WEEKDAY(C837,2)+4),1,3)+WEEKDAY(DATE(YEAR(C837-WEEKDAY(C837,2)+4),1,3),2)+5)/7),"00"))</f>
        <v/>
      </c>
    </row>
    <row r="838" ht="18" customHeight="1">
      <c r="A838" s="39" t="n">
        <v>833</v>
      </c>
      <c r="B838" s="33">
        <f>IF(C838="","",IF(L838="À RENSEIGNER","GIC",L838)&amp;"-E"&amp;TEXT(A838,"00000"))</f>
        <v/>
      </c>
      <c r="C838" s="32" t="n"/>
      <c r="D838" s="36" t="n"/>
      <c r="E838" s="37" t="n"/>
      <c r="F838" s="36" t="n"/>
      <c r="G838" s="44" t="n"/>
      <c r="H838" s="43" t="n"/>
      <c r="I838" s="32" t="n"/>
      <c r="J838" s="44" t="n"/>
      <c r="K838" s="36" t="n"/>
      <c r="L838" s="33">
        <f>IF(C838="","",Commercial_Id)</f>
        <v/>
      </c>
      <c r="M838" s="34">
        <f>IF(OR(C838="",F838=""),"",IF(F838&lt;&gt;"Espèces","—",IF(I838&lt;&gt;"","☑ Oui","☐ Non")))</f>
        <v/>
      </c>
      <c r="N838" s="39">
        <f>IF(D838="","",IFERROR(VALUE(MID(D838,LEN(D838)-3,3)),""))</f>
        <v/>
      </c>
      <c r="O838" s="33">
        <f>IF(N838="","",L838&amp;"|"&amp;N838)</f>
        <v/>
      </c>
      <c r="P838" s="33">
        <f>IF(N838="","",IF(L838="À RENSEIGNER","GIC",L838)&amp;"-"&amp;TEXT(N838,"000"))</f>
        <v/>
      </c>
      <c r="Q838" s="33">
        <f>IF(O838="","",IFERROR(INDEX(Cl_nom,MATCH(O838,Cl_cle,0)),"(client introuvable)"))</f>
        <v/>
      </c>
      <c r="R838" s="40">
        <f>IF(O838="","",IFERROR(INDEX(Cl_reste,MATCH(O838,Cl_cle,0)),""))</f>
        <v/>
      </c>
      <c r="S838" s="34">
        <f>IF(C838="","",YEAR(C838-WEEKDAY(C838,2)+4)&amp;"-S"&amp;TEXT(INT((C838-DATE(YEAR(C838-WEEKDAY(C838,2)+4),1,3)+WEEKDAY(DATE(YEAR(C838-WEEKDAY(C838,2)+4),1,3),2)+5)/7),"00"))</f>
        <v/>
      </c>
    </row>
    <row r="839" ht="18" customHeight="1">
      <c r="A839" s="39" t="n">
        <v>834</v>
      </c>
      <c r="B839" s="33">
        <f>IF(C839="","",IF(L839="À RENSEIGNER","GIC",L839)&amp;"-E"&amp;TEXT(A839,"00000"))</f>
        <v/>
      </c>
      <c r="C839" s="32" t="n"/>
      <c r="D839" s="36" t="n"/>
      <c r="E839" s="37" t="n"/>
      <c r="F839" s="36" t="n"/>
      <c r="G839" s="44" t="n"/>
      <c r="H839" s="43" t="n"/>
      <c r="I839" s="32" t="n"/>
      <c r="J839" s="44" t="n"/>
      <c r="K839" s="36" t="n"/>
      <c r="L839" s="33">
        <f>IF(C839="","",Commercial_Id)</f>
        <v/>
      </c>
      <c r="M839" s="34">
        <f>IF(OR(C839="",F839=""),"",IF(F839&lt;&gt;"Espèces","—",IF(I839&lt;&gt;"","☑ Oui","☐ Non")))</f>
        <v/>
      </c>
      <c r="N839" s="39">
        <f>IF(D839="","",IFERROR(VALUE(MID(D839,LEN(D839)-3,3)),""))</f>
        <v/>
      </c>
      <c r="O839" s="33">
        <f>IF(N839="","",L839&amp;"|"&amp;N839)</f>
        <v/>
      </c>
      <c r="P839" s="33">
        <f>IF(N839="","",IF(L839="À RENSEIGNER","GIC",L839)&amp;"-"&amp;TEXT(N839,"000"))</f>
        <v/>
      </c>
      <c r="Q839" s="33">
        <f>IF(O839="","",IFERROR(INDEX(Cl_nom,MATCH(O839,Cl_cle,0)),"(client introuvable)"))</f>
        <v/>
      </c>
      <c r="R839" s="40">
        <f>IF(O839="","",IFERROR(INDEX(Cl_reste,MATCH(O839,Cl_cle,0)),""))</f>
        <v/>
      </c>
      <c r="S839" s="34">
        <f>IF(C839="","",YEAR(C839-WEEKDAY(C839,2)+4)&amp;"-S"&amp;TEXT(INT((C839-DATE(YEAR(C839-WEEKDAY(C839,2)+4),1,3)+WEEKDAY(DATE(YEAR(C839-WEEKDAY(C839,2)+4),1,3),2)+5)/7),"00"))</f>
        <v/>
      </c>
    </row>
    <row r="840" ht="18" customHeight="1">
      <c r="A840" s="39" t="n">
        <v>835</v>
      </c>
      <c r="B840" s="33">
        <f>IF(C840="","",IF(L840="À RENSEIGNER","GIC",L840)&amp;"-E"&amp;TEXT(A840,"00000"))</f>
        <v/>
      </c>
      <c r="C840" s="32" t="n"/>
      <c r="D840" s="36" t="n"/>
      <c r="E840" s="37" t="n"/>
      <c r="F840" s="36" t="n"/>
      <c r="G840" s="44" t="n"/>
      <c r="H840" s="43" t="n"/>
      <c r="I840" s="32" t="n"/>
      <c r="J840" s="44" t="n"/>
      <c r="K840" s="36" t="n"/>
      <c r="L840" s="33">
        <f>IF(C840="","",Commercial_Id)</f>
        <v/>
      </c>
      <c r="M840" s="34">
        <f>IF(OR(C840="",F840=""),"",IF(F840&lt;&gt;"Espèces","—",IF(I840&lt;&gt;"","☑ Oui","☐ Non")))</f>
        <v/>
      </c>
      <c r="N840" s="39">
        <f>IF(D840="","",IFERROR(VALUE(MID(D840,LEN(D840)-3,3)),""))</f>
        <v/>
      </c>
      <c r="O840" s="33">
        <f>IF(N840="","",L840&amp;"|"&amp;N840)</f>
        <v/>
      </c>
      <c r="P840" s="33">
        <f>IF(N840="","",IF(L840="À RENSEIGNER","GIC",L840)&amp;"-"&amp;TEXT(N840,"000"))</f>
        <v/>
      </c>
      <c r="Q840" s="33">
        <f>IF(O840="","",IFERROR(INDEX(Cl_nom,MATCH(O840,Cl_cle,0)),"(client introuvable)"))</f>
        <v/>
      </c>
      <c r="R840" s="40">
        <f>IF(O840="","",IFERROR(INDEX(Cl_reste,MATCH(O840,Cl_cle,0)),""))</f>
        <v/>
      </c>
      <c r="S840" s="34">
        <f>IF(C840="","",YEAR(C840-WEEKDAY(C840,2)+4)&amp;"-S"&amp;TEXT(INT((C840-DATE(YEAR(C840-WEEKDAY(C840,2)+4),1,3)+WEEKDAY(DATE(YEAR(C840-WEEKDAY(C840,2)+4),1,3),2)+5)/7),"00"))</f>
        <v/>
      </c>
    </row>
    <row r="841" ht="18" customHeight="1">
      <c r="A841" s="39" t="n">
        <v>836</v>
      </c>
      <c r="B841" s="33">
        <f>IF(C841="","",IF(L841="À RENSEIGNER","GIC",L841)&amp;"-E"&amp;TEXT(A841,"00000"))</f>
        <v/>
      </c>
      <c r="C841" s="32" t="n"/>
      <c r="D841" s="36" t="n"/>
      <c r="E841" s="37" t="n"/>
      <c r="F841" s="36" t="n"/>
      <c r="G841" s="44" t="n"/>
      <c r="H841" s="43" t="n"/>
      <c r="I841" s="32" t="n"/>
      <c r="J841" s="44" t="n"/>
      <c r="K841" s="36" t="n"/>
      <c r="L841" s="33">
        <f>IF(C841="","",Commercial_Id)</f>
        <v/>
      </c>
      <c r="M841" s="34">
        <f>IF(OR(C841="",F841=""),"",IF(F841&lt;&gt;"Espèces","—",IF(I841&lt;&gt;"","☑ Oui","☐ Non")))</f>
        <v/>
      </c>
      <c r="N841" s="39">
        <f>IF(D841="","",IFERROR(VALUE(MID(D841,LEN(D841)-3,3)),""))</f>
        <v/>
      </c>
      <c r="O841" s="33">
        <f>IF(N841="","",L841&amp;"|"&amp;N841)</f>
        <v/>
      </c>
      <c r="P841" s="33">
        <f>IF(N841="","",IF(L841="À RENSEIGNER","GIC",L841)&amp;"-"&amp;TEXT(N841,"000"))</f>
        <v/>
      </c>
      <c r="Q841" s="33">
        <f>IF(O841="","",IFERROR(INDEX(Cl_nom,MATCH(O841,Cl_cle,0)),"(client introuvable)"))</f>
        <v/>
      </c>
      <c r="R841" s="40">
        <f>IF(O841="","",IFERROR(INDEX(Cl_reste,MATCH(O841,Cl_cle,0)),""))</f>
        <v/>
      </c>
      <c r="S841" s="34">
        <f>IF(C841="","",YEAR(C841-WEEKDAY(C841,2)+4)&amp;"-S"&amp;TEXT(INT((C841-DATE(YEAR(C841-WEEKDAY(C841,2)+4),1,3)+WEEKDAY(DATE(YEAR(C841-WEEKDAY(C841,2)+4),1,3),2)+5)/7),"00"))</f>
        <v/>
      </c>
    </row>
    <row r="842" ht="18" customHeight="1">
      <c r="A842" s="39" t="n">
        <v>837</v>
      </c>
      <c r="B842" s="33">
        <f>IF(C842="","",IF(L842="À RENSEIGNER","GIC",L842)&amp;"-E"&amp;TEXT(A842,"00000"))</f>
        <v/>
      </c>
      <c r="C842" s="32" t="n"/>
      <c r="D842" s="36" t="n"/>
      <c r="E842" s="37" t="n"/>
      <c r="F842" s="36" t="n"/>
      <c r="G842" s="44" t="n"/>
      <c r="H842" s="43" t="n"/>
      <c r="I842" s="32" t="n"/>
      <c r="J842" s="44" t="n"/>
      <c r="K842" s="36" t="n"/>
      <c r="L842" s="33">
        <f>IF(C842="","",Commercial_Id)</f>
        <v/>
      </c>
      <c r="M842" s="34">
        <f>IF(OR(C842="",F842=""),"",IF(F842&lt;&gt;"Espèces","—",IF(I842&lt;&gt;"","☑ Oui","☐ Non")))</f>
        <v/>
      </c>
      <c r="N842" s="39">
        <f>IF(D842="","",IFERROR(VALUE(MID(D842,LEN(D842)-3,3)),""))</f>
        <v/>
      </c>
      <c r="O842" s="33">
        <f>IF(N842="","",L842&amp;"|"&amp;N842)</f>
        <v/>
      </c>
      <c r="P842" s="33">
        <f>IF(N842="","",IF(L842="À RENSEIGNER","GIC",L842)&amp;"-"&amp;TEXT(N842,"000"))</f>
        <v/>
      </c>
      <c r="Q842" s="33">
        <f>IF(O842="","",IFERROR(INDEX(Cl_nom,MATCH(O842,Cl_cle,0)),"(client introuvable)"))</f>
        <v/>
      </c>
      <c r="R842" s="40">
        <f>IF(O842="","",IFERROR(INDEX(Cl_reste,MATCH(O842,Cl_cle,0)),""))</f>
        <v/>
      </c>
      <c r="S842" s="34">
        <f>IF(C842="","",YEAR(C842-WEEKDAY(C842,2)+4)&amp;"-S"&amp;TEXT(INT((C842-DATE(YEAR(C842-WEEKDAY(C842,2)+4),1,3)+WEEKDAY(DATE(YEAR(C842-WEEKDAY(C842,2)+4),1,3),2)+5)/7),"00"))</f>
        <v/>
      </c>
    </row>
    <row r="843" ht="18" customHeight="1">
      <c r="A843" s="39" t="n">
        <v>838</v>
      </c>
      <c r="B843" s="33">
        <f>IF(C843="","",IF(L843="À RENSEIGNER","GIC",L843)&amp;"-E"&amp;TEXT(A843,"00000"))</f>
        <v/>
      </c>
      <c r="C843" s="32" t="n"/>
      <c r="D843" s="36" t="n"/>
      <c r="E843" s="37" t="n"/>
      <c r="F843" s="36" t="n"/>
      <c r="G843" s="44" t="n"/>
      <c r="H843" s="43" t="n"/>
      <c r="I843" s="32" t="n"/>
      <c r="J843" s="44" t="n"/>
      <c r="K843" s="36" t="n"/>
      <c r="L843" s="33">
        <f>IF(C843="","",Commercial_Id)</f>
        <v/>
      </c>
      <c r="M843" s="34">
        <f>IF(OR(C843="",F843=""),"",IF(F843&lt;&gt;"Espèces","—",IF(I843&lt;&gt;"","☑ Oui","☐ Non")))</f>
        <v/>
      </c>
      <c r="N843" s="39">
        <f>IF(D843="","",IFERROR(VALUE(MID(D843,LEN(D843)-3,3)),""))</f>
        <v/>
      </c>
      <c r="O843" s="33">
        <f>IF(N843="","",L843&amp;"|"&amp;N843)</f>
        <v/>
      </c>
      <c r="P843" s="33">
        <f>IF(N843="","",IF(L843="À RENSEIGNER","GIC",L843)&amp;"-"&amp;TEXT(N843,"000"))</f>
        <v/>
      </c>
      <c r="Q843" s="33">
        <f>IF(O843="","",IFERROR(INDEX(Cl_nom,MATCH(O843,Cl_cle,0)),"(client introuvable)"))</f>
        <v/>
      </c>
      <c r="R843" s="40">
        <f>IF(O843="","",IFERROR(INDEX(Cl_reste,MATCH(O843,Cl_cle,0)),""))</f>
        <v/>
      </c>
      <c r="S843" s="34">
        <f>IF(C843="","",YEAR(C843-WEEKDAY(C843,2)+4)&amp;"-S"&amp;TEXT(INT((C843-DATE(YEAR(C843-WEEKDAY(C843,2)+4),1,3)+WEEKDAY(DATE(YEAR(C843-WEEKDAY(C843,2)+4),1,3),2)+5)/7),"00"))</f>
        <v/>
      </c>
    </row>
    <row r="844" ht="18" customHeight="1">
      <c r="A844" s="39" t="n">
        <v>839</v>
      </c>
      <c r="B844" s="33">
        <f>IF(C844="","",IF(L844="À RENSEIGNER","GIC",L844)&amp;"-E"&amp;TEXT(A844,"00000"))</f>
        <v/>
      </c>
      <c r="C844" s="32" t="n"/>
      <c r="D844" s="36" t="n"/>
      <c r="E844" s="37" t="n"/>
      <c r="F844" s="36" t="n"/>
      <c r="G844" s="44" t="n"/>
      <c r="H844" s="43" t="n"/>
      <c r="I844" s="32" t="n"/>
      <c r="J844" s="44" t="n"/>
      <c r="K844" s="36" t="n"/>
      <c r="L844" s="33">
        <f>IF(C844="","",Commercial_Id)</f>
        <v/>
      </c>
      <c r="M844" s="34">
        <f>IF(OR(C844="",F844=""),"",IF(F844&lt;&gt;"Espèces","—",IF(I844&lt;&gt;"","☑ Oui","☐ Non")))</f>
        <v/>
      </c>
      <c r="N844" s="39">
        <f>IF(D844="","",IFERROR(VALUE(MID(D844,LEN(D844)-3,3)),""))</f>
        <v/>
      </c>
      <c r="O844" s="33">
        <f>IF(N844="","",L844&amp;"|"&amp;N844)</f>
        <v/>
      </c>
      <c r="P844" s="33">
        <f>IF(N844="","",IF(L844="À RENSEIGNER","GIC",L844)&amp;"-"&amp;TEXT(N844,"000"))</f>
        <v/>
      </c>
      <c r="Q844" s="33">
        <f>IF(O844="","",IFERROR(INDEX(Cl_nom,MATCH(O844,Cl_cle,0)),"(client introuvable)"))</f>
        <v/>
      </c>
      <c r="R844" s="40">
        <f>IF(O844="","",IFERROR(INDEX(Cl_reste,MATCH(O844,Cl_cle,0)),""))</f>
        <v/>
      </c>
      <c r="S844" s="34">
        <f>IF(C844="","",YEAR(C844-WEEKDAY(C844,2)+4)&amp;"-S"&amp;TEXT(INT((C844-DATE(YEAR(C844-WEEKDAY(C844,2)+4),1,3)+WEEKDAY(DATE(YEAR(C844-WEEKDAY(C844,2)+4),1,3),2)+5)/7),"00"))</f>
        <v/>
      </c>
    </row>
    <row r="845" ht="18" customHeight="1">
      <c r="A845" s="39" t="n">
        <v>840</v>
      </c>
      <c r="B845" s="33">
        <f>IF(C845="","",IF(L845="À RENSEIGNER","GIC",L845)&amp;"-E"&amp;TEXT(A845,"00000"))</f>
        <v/>
      </c>
      <c r="C845" s="32" t="n"/>
      <c r="D845" s="36" t="n"/>
      <c r="E845" s="37" t="n"/>
      <c r="F845" s="36" t="n"/>
      <c r="G845" s="44" t="n"/>
      <c r="H845" s="43" t="n"/>
      <c r="I845" s="32" t="n"/>
      <c r="J845" s="44" t="n"/>
      <c r="K845" s="36" t="n"/>
      <c r="L845" s="33">
        <f>IF(C845="","",Commercial_Id)</f>
        <v/>
      </c>
      <c r="M845" s="34">
        <f>IF(OR(C845="",F845=""),"",IF(F845&lt;&gt;"Espèces","—",IF(I845&lt;&gt;"","☑ Oui","☐ Non")))</f>
        <v/>
      </c>
      <c r="N845" s="39">
        <f>IF(D845="","",IFERROR(VALUE(MID(D845,LEN(D845)-3,3)),""))</f>
        <v/>
      </c>
      <c r="O845" s="33">
        <f>IF(N845="","",L845&amp;"|"&amp;N845)</f>
        <v/>
      </c>
      <c r="P845" s="33">
        <f>IF(N845="","",IF(L845="À RENSEIGNER","GIC",L845)&amp;"-"&amp;TEXT(N845,"000"))</f>
        <v/>
      </c>
      <c r="Q845" s="33">
        <f>IF(O845="","",IFERROR(INDEX(Cl_nom,MATCH(O845,Cl_cle,0)),"(client introuvable)"))</f>
        <v/>
      </c>
      <c r="R845" s="40">
        <f>IF(O845="","",IFERROR(INDEX(Cl_reste,MATCH(O845,Cl_cle,0)),""))</f>
        <v/>
      </c>
      <c r="S845" s="34">
        <f>IF(C845="","",YEAR(C845-WEEKDAY(C845,2)+4)&amp;"-S"&amp;TEXT(INT((C845-DATE(YEAR(C845-WEEKDAY(C845,2)+4),1,3)+WEEKDAY(DATE(YEAR(C845-WEEKDAY(C845,2)+4),1,3),2)+5)/7),"00"))</f>
        <v/>
      </c>
    </row>
    <row r="846" ht="18" customHeight="1">
      <c r="A846" s="39" t="n">
        <v>841</v>
      </c>
      <c r="B846" s="33">
        <f>IF(C846="","",IF(L846="À RENSEIGNER","GIC",L846)&amp;"-E"&amp;TEXT(A846,"00000"))</f>
        <v/>
      </c>
      <c r="C846" s="32" t="n"/>
      <c r="D846" s="36" t="n"/>
      <c r="E846" s="37" t="n"/>
      <c r="F846" s="36" t="n"/>
      <c r="G846" s="44" t="n"/>
      <c r="H846" s="43" t="n"/>
      <c r="I846" s="32" t="n"/>
      <c r="J846" s="44" t="n"/>
      <c r="K846" s="36" t="n"/>
      <c r="L846" s="33">
        <f>IF(C846="","",Commercial_Id)</f>
        <v/>
      </c>
      <c r="M846" s="34">
        <f>IF(OR(C846="",F846=""),"",IF(F846&lt;&gt;"Espèces","—",IF(I846&lt;&gt;"","☑ Oui","☐ Non")))</f>
        <v/>
      </c>
      <c r="N846" s="39">
        <f>IF(D846="","",IFERROR(VALUE(MID(D846,LEN(D846)-3,3)),""))</f>
        <v/>
      </c>
      <c r="O846" s="33">
        <f>IF(N846="","",L846&amp;"|"&amp;N846)</f>
        <v/>
      </c>
      <c r="P846" s="33">
        <f>IF(N846="","",IF(L846="À RENSEIGNER","GIC",L846)&amp;"-"&amp;TEXT(N846,"000"))</f>
        <v/>
      </c>
      <c r="Q846" s="33">
        <f>IF(O846="","",IFERROR(INDEX(Cl_nom,MATCH(O846,Cl_cle,0)),"(client introuvable)"))</f>
        <v/>
      </c>
      <c r="R846" s="40">
        <f>IF(O846="","",IFERROR(INDEX(Cl_reste,MATCH(O846,Cl_cle,0)),""))</f>
        <v/>
      </c>
      <c r="S846" s="34">
        <f>IF(C846="","",YEAR(C846-WEEKDAY(C846,2)+4)&amp;"-S"&amp;TEXT(INT((C846-DATE(YEAR(C846-WEEKDAY(C846,2)+4),1,3)+WEEKDAY(DATE(YEAR(C846-WEEKDAY(C846,2)+4),1,3),2)+5)/7),"00"))</f>
        <v/>
      </c>
    </row>
    <row r="847" ht="18" customHeight="1">
      <c r="A847" s="39" t="n">
        <v>842</v>
      </c>
      <c r="B847" s="33">
        <f>IF(C847="","",IF(L847="À RENSEIGNER","GIC",L847)&amp;"-E"&amp;TEXT(A847,"00000"))</f>
        <v/>
      </c>
      <c r="C847" s="32" t="n"/>
      <c r="D847" s="36" t="n"/>
      <c r="E847" s="37" t="n"/>
      <c r="F847" s="36" t="n"/>
      <c r="G847" s="44" t="n"/>
      <c r="H847" s="43" t="n"/>
      <c r="I847" s="32" t="n"/>
      <c r="J847" s="44" t="n"/>
      <c r="K847" s="36" t="n"/>
      <c r="L847" s="33">
        <f>IF(C847="","",Commercial_Id)</f>
        <v/>
      </c>
      <c r="M847" s="34">
        <f>IF(OR(C847="",F847=""),"",IF(F847&lt;&gt;"Espèces","—",IF(I847&lt;&gt;"","☑ Oui","☐ Non")))</f>
        <v/>
      </c>
      <c r="N847" s="39">
        <f>IF(D847="","",IFERROR(VALUE(MID(D847,LEN(D847)-3,3)),""))</f>
        <v/>
      </c>
      <c r="O847" s="33">
        <f>IF(N847="","",L847&amp;"|"&amp;N847)</f>
        <v/>
      </c>
      <c r="P847" s="33">
        <f>IF(N847="","",IF(L847="À RENSEIGNER","GIC",L847)&amp;"-"&amp;TEXT(N847,"000"))</f>
        <v/>
      </c>
      <c r="Q847" s="33">
        <f>IF(O847="","",IFERROR(INDEX(Cl_nom,MATCH(O847,Cl_cle,0)),"(client introuvable)"))</f>
        <v/>
      </c>
      <c r="R847" s="40">
        <f>IF(O847="","",IFERROR(INDEX(Cl_reste,MATCH(O847,Cl_cle,0)),""))</f>
        <v/>
      </c>
      <c r="S847" s="34">
        <f>IF(C847="","",YEAR(C847-WEEKDAY(C847,2)+4)&amp;"-S"&amp;TEXT(INT((C847-DATE(YEAR(C847-WEEKDAY(C847,2)+4),1,3)+WEEKDAY(DATE(YEAR(C847-WEEKDAY(C847,2)+4),1,3),2)+5)/7),"00"))</f>
        <v/>
      </c>
    </row>
    <row r="848" ht="18" customHeight="1">
      <c r="A848" s="39" t="n">
        <v>843</v>
      </c>
      <c r="B848" s="33">
        <f>IF(C848="","",IF(L848="À RENSEIGNER","GIC",L848)&amp;"-E"&amp;TEXT(A848,"00000"))</f>
        <v/>
      </c>
      <c r="C848" s="32" t="n"/>
      <c r="D848" s="36" t="n"/>
      <c r="E848" s="37" t="n"/>
      <c r="F848" s="36" t="n"/>
      <c r="G848" s="44" t="n"/>
      <c r="H848" s="43" t="n"/>
      <c r="I848" s="32" t="n"/>
      <c r="J848" s="44" t="n"/>
      <c r="K848" s="36" t="n"/>
      <c r="L848" s="33">
        <f>IF(C848="","",Commercial_Id)</f>
        <v/>
      </c>
      <c r="M848" s="34">
        <f>IF(OR(C848="",F848=""),"",IF(F848&lt;&gt;"Espèces","—",IF(I848&lt;&gt;"","☑ Oui","☐ Non")))</f>
        <v/>
      </c>
      <c r="N848" s="39">
        <f>IF(D848="","",IFERROR(VALUE(MID(D848,LEN(D848)-3,3)),""))</f>
        <v/>
      </c>
      <c r="O848" s="33">
        <f>IF(N848="","",L848&amp;"|"&amp;N848)</f>
        <v/>
      </c>
      <c r="P848" s="33">
        <f>IF(N848="","",IF(L848="À RENSEIGNER","GIC",L848)&amp;"-"&amp;TEXT(N848,"000"))</f>
        <v/>
      </c>
      <c r="Q848" s="33">
        <f>IF(O848="","",IFERROR(INDEX(Cl_nom,MATCH(O848,Cl_cle,0)),"(client introuvable)"))</f>
        <v/>
      </c>
      <c r="R848" s="40">
        <f>IF(O848="","",IFERROR(INDEX(Cl_reste,MATCH(O848,Cl_cle,0)),""))</f>
        <v/>
      </c>
      <c r="S848" s="34">
        <f>IF(C848="","",YEAR(C848-WEEKDAY(C848,2)+4)&amp;"-S"&amp;TEXT(INT((C848-DATE(YEAR(C848-WEEKDAY(C848,2)+4),1,3)+WEEKDAY(DATE(YEAR(C848-WEEKDAY(C848,2)+4),1,3),2)+5)/7),"00"))</f>
        <v/>
      </c>
    </row>
    <row r="849" ht="18" customHeight="1">
      <c r="A849" s="39" t="n">
        <v>844</v>
      </c>
      <c r="B849" s="33">
        <f>IF(C849="","",IF(L849="À RENSEIGNER","GIC",L849)&amp;"-E"&amp;TEXT(A849,"00000"))</f>
        <v/>
      </c>
      <c r="C849" s="32" t="n"/>
      <c r="D849" s="36" t="n"/>
      <c r="E849" s="37" t="n"/>
      <c r="F849" s="36" t="n"/>
      <c r="G849" s="44" t="n"/>
      <c r="H849" s="43" t="n"/>
      <c r="I849" s="32" t="n"/>
      <c r="J849" s="44" t="n"/>
      <c r="K849" s="36" t="n"/>
      <c r="L849" s="33">
        <f>IF(C849="","",Commercial_Id)</f>
        <v/>
      </c>
      <c r="M849" s="34">
        <f>IF(OR(C849="",F849=""),"",IF(F849&lt;&gt;"Espèces","—",IF(I849&lt;&gt;"","☑ Oui","☐ Non")))</f>
        <v/>
      </c>
      <c r="N849" s="39">
        <f>IF(D849="","",IFERROR(VALUE(MID(D849,LEN(D849)-3,3)),""))</f>
        <v/>
      </c>
      <c r="O849" s="33">
        <f>IF(N849="","",L849&amp;"|"&amp;N849)</f>
        <v/>
      </c>
      <c r="P849" s="33">
        <f>IF(N849="","",IF(L849="À RENSEIGNER","GIC",L849)&amp;"-"&amp;TEXT(N849,"000"))</f>
        <v/>
      </c>
      <c r="Q849" s="33">
        <f>IF(O849="","",IFERROR(INDEX(Cl_nom,MATCH(O849,Cl_cle,0)),"(client introuvable)"))</f>
        <v/>
      </c>
      <c r="R849" s="40">
        <f>IF(O849="","",IFERROR(INDEX(Cl_reste,MATCH(O849,Cl_cle,0)),""))</f>
        <v/>
      </c>
      <c r="S849" s="34">
        <f>IF(C849="","",YEAR(C849-WEEKDAY(C849,2)+4)&amp;"-S"&amp;TEXT(INT((C849-DATE(YEAR(C849-WEEKDAY(C849,2)+4),1,3)+WEEKDAY(DATE(YEAR(C849-WEEKDAY(C849,2)+4),1,3),2)+5)/7),"00"))</f>
        <v/>
      </c>
    </row>
    <row r="850" ht="18" customHeight="1">
      <c r="A850" s="39" t="n">
        <v>845</v>
      </c>
      <c r="B850" s="33">
        <f>IF(C850="","",IF(L850="À RENSEIGNER","GIC",L850)&amp;"-E"&amp;TEXT(A850,"00000"))</f>
        <v/>
      </c>
      <c r="C850" s="32" t="n"/>
      <c r="D850" s="36" t="n"/>
      <c r="E850" s="37" t="n"/>
      <c r="F850" s="36" t="n"/>
      <c r="G850" s="44" t="n"/>
      <c r="H850" s="43" t="n"/>
      <c r="I850" s="32" t="n"/>
      <c r="J850" s="44" t="n"/>
      <c r="K850" s="36" t="n"/>
      <c r="L850" s="33">
        <f>IF(C850="","",Commercial_Id)</f>
        <v/>
      </c>
      <c r="M850" s="34">
        <f>IF(OR(C850="",F850=""),"",IF(F850&lt;&gt;"Espèces","—",IF(I850&lt;&gt;"","☑ Oui","☐ Non")))</f>
        <v/>
      </c>
      <c r="N850" s="39">
        <f>IF(D850="","",IFERROR(VALUE(MID(D850,LEN(D850)-3,3)),""))</f>
        <v/>
      </c>
      <c r="O850" s="33">
        <f>IF(N850="","",L850&amp;"|"&amp;N850)</f>
        <v/>
      </c>
      <c r="P850" s="33">
        <f>IF(N850="","",IF(L850="À RENSEIGNER","GIC",L850)&amp;"-"&amp;TEXT(N850,"000"))</f>
        <v/>
      </c>
      <c r="Q850" s="33">
        <f>IF(O850="","",IFERROR(INDEX(Cl_nom,MATCH(O850,Cl_cle,0)),"(client introuvable)"))</f>
        <v/>
      </c>
      <c r="R850" s="40">
        <f>IF(O850="","",IFERROR(INDEX(Cl_reste,MATCH(O850,Cl_cle,0)),""))</f>
        <v/>
      </c>
      <c r="S850" s="34">
        <f>IF(C850="","",YEAR(C850-WEEKDAY(C850,2)+4)&amp;"-S"&amp;TEXT(INT((C850-DATE(YEAR(C850-WEEKDAY(C850,2)+4),1,3)+WEEKDAY(DATE(YEAR(C850-WEEKDAY(C850,2)+4),1,3),2)+5)/7),"00"))</f>
        <v/>
      </c>
    </row>
    <row r="851" ht="18" customHeight="1">
      <c r="A851" s="39" t="n">
        <v>846</v>
      </c>
      <c r="B851" s="33">
        <f>IF(C851="","",IF(L851="À RENSEIGNER","GIC",L851)&amp;"-E"&amp;TEXT(A851,"00000"))</f>
        <v/>
      </c>
      <c r="C851" s="32" t="n"/>
      <c r="D851" s="36" t="n"/>
      <c r="E851" s="37" t="n"/>
      <c r="F851" s="36" t="n"/>
      <c r="G851" s="44" t="n"/>
      <c r="H851" s="43" t="n"/>
      <c r="I851" s="32" t="n"/>
      <c r="J851" s="44" t="n"/>
      <c r="K851" s="36" t="n"/>
      <c r="L851" s="33">
        <f>IF(C851="","",Commercial_Id)</f>
        <v/>
      </c>
      <c r="M851" s="34">
        <f>IF(OR(C851="",F851=""),"",IF(F851&lt;&gt;"Espèces","—",IF(I851&lt;&gt;"","☑ Oui","☐ Non")))</f>
        <v/>
      </c>
      <c r="N851" s="39">
        <f>IF(D851="","",IFERROR(VALUE(MID(D851,LEN(D851)-3,3)),""))</f>
        <v/>
      </c>
      <c r="O851" s="33">
        <f>IF(N851="","",L851&amp;"|"&amp;N851)</f>
        <v/>
      </c>
      <c r="P851" s="33">
        <f>IF(N851="","",IF(L851="À RENSEIGNER","GIC",L851)&amp;"-"&amp;TEXT(N851,"000"))</f>
        <v/>
      </c>
      <c r="Q851" s="33">
        <f>IF(O851="","",IFERROR(INDEX(Cl_nom,MATCH(O851,Cl_cle,0)),"(client introuvable)"))</f>
        <v/>
      </c>
      <c r="R851" s="40">
        <f>IF(O851="","",IFERROR(INDEX(Cl_reste,MATCH(O851,Cl_cle,0)),""))</f>
        <v/>
      </c>
      <c r="S851" s="34">
        <f>IF(C851="","",YEAR(C851-WEEKDAY(C851,2)+4)&amp;"-S"&amp;TEXT(INT((C851-DATE(YEAR(C851-WEEKDAY(C851,2)+4),1,3)+WEEKDAY(DATE(YEAR(C851-WEEKDAY(C851,2)+4),1,3),2)+5)/7),"00"))</f>
        <v/>
      </c>
    </row>
    <row r="852" ht="18" customHeight="1">
      <c r="A852" s="39" t="n">
        <v>847</v>
      </c>
      <c r="B852" s="33">
        <f>IF(C852="","",IF(L852="À RENSEIGNER","GIC",L852)&amp;"-E"&amp;TEXT(A852,"00000"))</f>
        <v/>
      </c>
      <c r="C852" s="32" t="n"/>
      <c r="D852" s="36" t="n"/>
      <c r="E852" s="37" t="n"/>
      <c r="F852" s="36" t="n"/>
      <c r="G852" s="44" t="n"/>
      <c r="H852" s="43" t="n"/>
      <c r="I852" s="32" t="n"/>
      <c r="J852" s="44" t="n"/>
      <c r="K852" s="36" t="n"/>
      <c r="L852" s="33">
        <f>IF(C852="","",Commercial_Id)</f>
        <v/>
      </c>
      <c r="M852" s="34">
        <f>IF(OR(C852="",F852=""),"",IF(F852&lt;&gt;"Espèces","—",IF(I852&lt;&gt;"","☑ Oui","☐ Non")))</f>
        <v/>
      </c>
      <c r="N852" s="39">
        <f>IF(D852="","",IFERROR(VALUE(MID(D852,LEN(D852)-3,3)),""))</f>
        <v/>
      </c>
      <c r="O852" s="33">
        <f>IF(N852="","",L852&amp;"|"&amp;N852)</f>
        <v/>
      </c>
      <c r="P852" s="33">
        <f>IF(N852="","",IF(L852="À RENSEIGNER","GIC",L852)&amp;"-"&amp;TEXT(N852,"000"))</f>
        <v/>
      </c>
      <c r="Q852" s="33">
        <f>IF(O852="","",IFERROR(INDEX(Cl_nom,MATCH(O852,Cl_cle,0)),"(client introuvable)"))</f>
        <v/>
      </c>
      <c r="R852" s="40">
        <f>IF(O852="","",IFERROR(INDEX(Cl_reste,MATCH(O852,Cl_cle,0)),""))</f>
        <v/>
      </c>
      <c r="S852" s="34">
        <f>IF(C852="","",YEAR(C852-WEEKDAY(C852,2)+4)&amp;"-S"&amp;TEXT(INT((C852-DATE(YEAR(C852-WEEKDAY(C852,2)+4),1,3)+WEEKDAY(DATE(YEAR(C852-WEEKDAY(C852,2)+4),1,3),2)+5)/7),"00"))</f>
        <v/>
      </c>
    </row>
    <row r="853" ht="18" customHeight="1">
      <c r="A853" s="39" t="n">
        <v>848</v>
      </c>
      <c r="B853" s="33">
        <f>IF(C853="","",IF(L853="À RENSEIGNER","GIC",L853)&amp;"-E"&amp;TEXT(A853,"00000"))</f>
        <v/>
      </c>
      <c r="C853" s="32" t="n"/>
      <c r="D853" s="36" t="n"/>
      <c r="E853" s="37" t="n"/>
      <c r="F853" s="36" t="n"/>
      <c r="G853" s="44" t="n"/>
      <c r="H853" s="43" t="n"/>
      <c r="I853" s="32" t="n"/>
      <c r="J853" s="44" t="n"/>
      <c r="K853" s="36" t="n"/>
      <c r="L853" s="33">
        <f>IF(C853="","",Commercial_Id)</f>
        <v/>
      </c>
      <c r="M853" s="34">
        <f>IF(OR(C853="",F853=""),"",IF(F853&lt;&gt;"Espèces","—",IF(I853&lt;&gt;"","☑ Oui","☐ Non")))</f>
        <v/>
      </c>
      <c r="N853" s="39">
        <f>IF(D853="","",IFERROR(VALUE(MID(D853,LEN(D853)-3,3)),""))</f>
        <v/>
      </c>
      <c r="O853" s="33">
        <f>IF(N853="","",L853&amp;"|"&amp;N853)</f>
        <v/>
      </c>
      <c r="P853" s="33">
        <f>IF(N853="","",IF(L853="À RENSEIGNER","GIC",L853)&amp;"-"&amp;TEXT(N853,"000"))</f>
        <v/>
      </c>
      <c r="Q853" s="33">
        <f>IF(O853="","",IFERROR(INDEX(Cl_nom,MATCH(O853,Cl_cle,0)),"(client introuvable)"))</f>
        <v/>
      </c>
      <c r="R853" s="40">
        <f>IF(O853="","",IFERROR(INDEX(Cl_reste,MATCH(O853,Cl_cle,0)),""))</f>
        <v/>
      </c>
      <c r="S853" s="34">
        <f>IF(C853="","",YEAR(C853-WEEKDAY(C853,2)+4)&amp;"-S"&amp;TEXT(INT((C853-DATE(YEAR(C853-WEEKDAY(C853,2)+4),1,3)+WEEKDAY(DATE(YEAR(C853-WEEKDAY(C853,2)+4),1,3),2)+5)/7),"00"))</f>
        <v/>
      </c>
    </row>
    <row r="854" ht="18" customHeight="1">
      <c r="A854" s="39" t="n">
        <v>849</v>
      </c>
      <c r="B854" s="33">
        <f>IF(C854="","",IF(L854="À RENSEIGNER","GIC",L854)&amp;"-E"&amp;TEXT(A854,"00000"))</f>
        <v/>
      </c>
      <c r="C854" s="32" t="n"/>
      <c r="D854" s="36" t="n"/>
      <c r="E854" s="37" t="n"/>
      <c r="F854" s="36" t="n"/>
      <c r="G854" s="44" t="n"/>
      <c r="H854" s="43" t="n"/>
      <c r="I854" s="32" t="n"/>
      <c r="J854" s="44" t="n"/>
      <c r="K854" s="36" t="n"/>
      <c r="L854" s="33">
        <f>IF(C854="","",Commercial_Id)</f>
        <v/>
      </c>
      <c r="M854" s="34">
        <f>IF(OR(C854="",F854=""),"",IF(F854&lt;&gt;"Espèces","—",IF(I854&lt;&gt;"","☑ Oui","☐ Non")))</f>
        <v/>
      </c>
      <c r="N854" s="39">
        <f>IF(D854="","",IFERROR(VALUE(MID(D854,LEN(D854)-3,3)),""))</f>
        <v/>
      </c>
      <c r="O854" s="33">
        <f>IF(N854="","",L854&amp;"|"&amp;N854)</f>
        <v/>
      </c>
      <c r="P854" s="33">
        <f>IF(N854="","",IF(L854="À RENSEIGNER","GIC",L854)&amp;"-"&amp;TEXT(N854,"000"))</f>
        <v/>
      </c>
      <c r="Q854" s="33">
        <f>IF(O854="","",IFERROR(INDEX(Cl_nom,MATCH(O854,Cl_cle,0)),"(client introuvable)"))</f>
        <v/>
      </c>
      <c r="R854" s="40">
        <f>IF(O854="","",IFERROR(INDEX(Cl_reste,MATCH(O854,Cl_cle,0)),""))</f>
        <v/>
      </c>
      <c r="S854" s="34">
        <f>IF(C854="","",YEAR(C854-WEEKDAY(C854,2)+4)&amp;"-S"&amp;TEXT(INT((C854-DATE(YEAR(C854-WEEKDAY(C854,2)+4),1,3)+WEEKDAY(DATE(YEAR(C854-WEEKDAY(C854,2)+4),1,3),2)+5)/7),"00"))</f>
        <v/>
      </c>
    </row>
    <row r="855" ht="18" customHeight="1">
      <c r="A855" s="39" t="n">
        <v>850</v>
      </c>
      <c r="B855" s="33">
        <f>IF(C855="","",IF(L855="À RENSEIGNER","GIC",L855)&amp;"-E"&amp;TEXT(A855,"00000"))</f>
        <v/>
      </c>
      <c r="C855" s="32" t="n"/>
      <c r="D855" s="36" t="n"/>
      <c r="E855" s="37" t="n"/>
      <c r="F855" s="36" t="n"/>
      <c r="G855" s="44" t="n"/>
      <c r="H855" s="43" t="n"/>
      <c r="I855" s="32" t="n"/>
      <c r="J855" s="44" t="n"/>
      <c r="K855" s="36" t="n"/>
      <c r="L855" s="33">
        <f>IF(C855="","",Commercial_Id)</f>
        <v/>
      </c>
      <c r="M855" s="34">
        <f>IF(OR(C855="",F855=""),"",IF(F855&lt;&gt;"Espèces","—",IF(I855&lt;&gt;"","☑ Oui","☐ Non")))</f>
        <v/>
      </c>
      <c r="N855" s="39">
        <f>IF(D855="","",IFERROR(VALUE(MID(D855,LEN(D855)-3,3)),""))</f>
        <v/>
      </c>
      <c r="O855" s="33">
        <f>IF(N855="","",L855&amp;"|"&amp;N855)</f>
        <v/>
      </c>
      <c r="P855" s="33">
        <f>IF(N855="","",IF(L855="À RENSEIGNER","GIC",L855)&amp;"-"&amp;TEXT(N855,"000"))</f>
        <v/>
      </c>
      <c r="Q855" s="33">
        <f>IF(O855="","",IFERROR(INDEX(Cl_nom,MATCH(O855,Cl_cle,0)),"(client introuvable)"))</f>
        <v/>
      </c>
      <c r="R855" s="40">
        <f>IF(O855="","",IFERROR(INDEX(Cl_reste,MATCH(O855,Cl_cle,0)),""))</f>
        <v/>
      </c>
      <c r="S855" s="34">
        <f>IF(C855="","",YEAR(C855-WEEKDAY(C855,2)+4)&amp;"-S"&amp;TEXT(INT((C855-DATE(YEAR(C855-WEEKDAY(C855,2)+4),1,3)+WEEKDAY(DATE(YEAR(C855-WEEKDAY(C855,2)+4),1,3),2)+5)/7),"00"))</f>
        <v/>
      </c>
    </row>
    <row r="856" ht="18" customHeight="1">
      <c r="A856" s="39" t="n">
        <v>851</v>
      </c>
      <c r="B856" s="33">
        <f>IF(C856="","",IF(L856="À RENSEIGNER","GIC",L856)&amp;"-E"&amp;TEXT(A856,"00000"))</f>
        <v/>
      </c>
      <c r="C856" s="32" t="n"/>
      <c r="D856" s="36" t="n"/>
      <c r="E856" s="37" t="n"/>
      <c r="F856" s="36" t="n"/>
      <c r="G856" s="44" t="n"/>
      <c r="H856" s="43" t="n"/>
      <c r="I856" s="32" t="n"/>
      <c r="J856" s="44" t="n"/>
      <c r="K856" s="36" t="n"/>
      <c r="L856" s="33">
        <f>IF(C856="","",Commercial_Id)</f>
        <v/>
      </c>
      <c r="M856" s="34">
        <f>IF(OR(C856="",F856=""),"",IF(F856&lt;&gt;"Espèces","—",IF(I856&lt;&gt;"","☑ Oui","☐ Non")))</f>
        <v/>
      </c>
      <c r="N856" s="39">
        <f>IF(D856="","",IFERROR(VALUE(MID(D856,LEN(D856)-3,3)),""))</f>
        <v/>
      </c>
      <c r="O856" s="33">
        <f>IF(N856="","",L856&amp;"|"&amp;N856)</f>
        <v/>
      </c>
      <c r="P856" s="33">
        <f>IF(N856="","",IF(L856="À RENSEIGNER","GIC",L856)&amp;"-"&amp;TEXT(N856,"000"))</f>
        <v/>
      </c>
      <c r="Q856" s="33">
        <f>IF(O856="","",IFERROR(INDEX(Cl_nom,MATCH(O856,Cl_cle,0)),"(client introuvable)"))</f>
        <v/>
      </c>
      <c r="R856" s="40">
        <f>IF(O856="","",IFERROR(INDEX(Cl_reste,MATCH(O856,Cl_cle,0)),""))</f>
        <v/>
      </c>
      <c r="S856" s="34">
        <f>IF(C856="","",YEAR(C856-WEEKDAY(C856,2)+4)&amp;"-S"&amp;TEXT(INT((C856-DATE(YEAR(C856-WEEKDAY(C856,2)+4),1,3)+WEEKDAY(DATE(YEAR(C856-WEEKDAY(C856,2)+4),1,3),2)+5)/7),"00"))</f>
        <v/>
      </c>
    </row>
    <row r="857" ht="18" customHeight="1">
      <c r="A857" s="39" t="n">
        <v>852</v>
      </c>
      <c r="B857" s="33">
        <f>IF(C857="","",IF(L857="À RENSEIGNER","GIC",L857)&amp;"-E"&amp;TEXT(A857,"00000"))</f>
        <v/>
      </c>
      <c r="C857" s="32" t="n"/>
      <c r="D857" s="36" t="n"/>
      <c r="E857" s="37" t="n"/>
      <c r="F857" s="36" t="n"/>
      <c r="G857" s="44" t="n"/>
      <c r="H857" s="43" t="n"/>
      <c r="I857" s="32" t="n"/>
      <c r="J857" s="44" t="n"/>
      <c r="K857" s="36" t="n"/>
      <c r="L857" s="33">
        <f>IF(C857="","",Commercial_Id)</f>
        <v/>
      </c>
      <c r="M857" s="34">
        <f>IF(OR(C857="",F857=""),"",IF(F857&lt;&gt;"Espèces","—",IF(I857&lt;&gt;"","☑ Oui","☐ Non")))</f>
        <v/>
      </c>
      <c r="N857" s="39">
        <f>IF(D857="","",IFERROR(VALUE(MID(D857,LEN(D857)-3,3)),""))</f>
        <v/>
      </c>
      <c r="O857" s="33">
        <f>IF(N857="","",L857&amp;"|"&amp;N857)</f>
        <v/>
      </c>
      <c r="P857" s="33">
        <f>IF(N857="","",IF(L857="À RENSEIGNER","GIC",L857)&amp;"-"&amp;TEXT(N857,"000"))</f>
        <v/>
      </c>
      <c r="Q857" s="33">
        <f>IF(O857="","",IFERROR(INDEX(Cl_nom,MATCH(O857,Cl_cle,0)),"(client introuvable)"))</f>
        <v/>
      </c>
      <c r="R857" s="40">
        <f>IF(O857="","",IFERROR(INDEX(Cl_reste,MATCH(O857,Cl_cle,0)),""))</f>
        <v/>
      </c>
      <c r="S857" s="34">
        <f>IF(C857="","",YEAR(C857-WEEKDAY(C857,2)+4)&amp;"-S"&amp;TEXT(INT((C857-DATE(YEAR(C857-WEEKDAY(C857,2)+4),1,3)+WEEKDAY(DATE(YEAR(C857-WEEKDAY(C857,2)+4),1,3),2)+5)/7),"00"))</f>
        <v/>
      </c>
    </row>
    <row r="858" ht="18" customHeight="1">
      <c r="A858" s="39" t="n">
        <v>853</v>
      </c>
      <c r="B858" s="33">
        <f>IF(C858="","",IF(L858="À RENSEIGNER","GIC",L858)&amp;"-E"&amp;TEXT(A858,"00000"))</f>
        <v/>
      </c>
      <c r="C858" s="32" t="n"/>
      <c r="D858" s="36" t="n"/>
      <c r="E858" s="37" t="n"/>
      <c r="F858" s="36" t="n"/>
      <c r="G858" s="44" t="n"/>
      <c r="H858" s="43" t="n"/>
      <c r="I858" s="32" t="n"/>
      <c r="J858" s="44" t="n"/>
      <c r="K858" s="36" t="n"/>
      <c r="L858" s="33">
        <f>IF(C858="","",Commercial_Id)</f>
        <v/>
      </c>
      <c r="M858" s="34">
        <f>IF(OR(C858="",F858=""),"",IF(F858&lt;&gt;"Espèces","—",IF(I858&lt;&gt;"","☑ Oui","☐ Non")))</f>
        <v/>
      </c>
      <c r="N858" s="39">
        <f>IF(D858="","",IFERROR(VALUE(MID(D858,LEN(D858)-3,3)),""))</f>
        <v/>
      </c>
      <c r="O858" s="33">
        <f>IF(N858="","",L858&amp;"|"&amp;N858)</f>
        <v/>
      </c>
      <c r="P858" s="33">
        <f>IF(N858="","",IF(L858="À RENSEIGNER","GIC",L858)&amp;"-"&amp;TEXT(N858,"000"))</f>
        <v/>
      </c>
      <c r="Q858" s="33">
        <f>IF(O858="","",IFERROR(INDEX(Cl_nom,MATCH(O858,Cl_cle,0)),"(client introuvable)"))</f>
        <v/>
      </c>
      <c r="R858" s="40">
        <f>IF(O858="","",IFERROR(INDEX(Cl_reste,MATCH(O858,Cl_cle,0)),""))</f>
        <v/>
      </c>
      <c r="S858" s="34">
        <f>IF(C858="","",YEAR(C858-WEEKDAY(C858,2)+4)&amp;"-S"&amp;TEXT(INT((C858-DATE(YEAR(C858-WEEKDAY(C858,2)+4),1,3)+WEEKDAY(DATE(YEAR(C858-WEEKDAY(C858,2)+4),1,3),2)+5)/7),"00"))</f>
        <v/>
      </c>
    </row>
    <row r="859" ht="18" customHeight="1">
      <c r="A859" s="39" t="n">
        <v>854</v>
      </c>
      <c r="B859" s="33">
        <f>IF(C859="","",IF(L859="À RENSEIGNER","GIC",L859)&amp;"-E"&amp;TEXT(A859,"00000"))</f>
        <v/>
      </c>
      <c r="C859" s="32" t="n"/>
      <c r="D859" s="36" t="n"/>
      <c r="E859" s="37" t="n"/>
      <c r="F859" s="36" t="n"/>
      <c r="G859" s="44" t="n"/>
      <c r="H859" s="43" t="n"/>
      <c r="I859" s="32" t="n"/>
      <c r="J859" s="44" t="n"/>
      <c r="K859" s="36" t="n"/>
      <c r="L859" s="33">
        <f>IF(C859="","",Commercial_Id)</f>
        <v/>
      </c>
      <c r="M859" s="34">
        <f>IF(OR(C859="",F859=""),"",IF(F859&lt;&gt;"Espèces","—",IF(I859&lt;&gt;"","☑ Oui","☐ Non")))</f>
        <v/>
      </c>
      <c r="N859" s="39">
        <f>IF(D859="","",IFERROR(VALUE(MID(D859,LEN(D859)-3,3)),""))</f>
        <v/>
      </c>
      <c r="O859" s="33">
        <f>IF(N859="","",L859&amp;"|"&amp;N859)</f>
        <v/>
      </c>
      <c r="P859" s="33">
        <f>IF(N859="","",IF(L859="À RENSEIGNER","GIC",L859)&amp;"-"&amp;TEXT(N859,"000"))</f>
        <v/>
      </c>
      <c r="Q859" s="33">
        <f>IF(O859="","",IFERROR(INDEX(Cl_nom,MATCH(O859,Cl_cle,0)),"(client introuvable)"))</f>
        <v/>
      </c>
      <c r="R859" s="40">
        <f>IF(O859="","",IFERROR(INDEX(Cl_reste,MATCH(O859,Cl_cle,0)),""))</f>
        <v/>
      </c>
      <c r="S859" s="34">
        <f>IF(C859="","",YEAR(C859-WEEKDAY(C859,2)+4)&amp;"-S"&amp;TEXT(INT((C859-DATE(YEAR(C859-WEEKDAY(C859,2)+4),1,3)+WEEKDAY(DATE(YEAR(C859-WEEKDAY(C859,2)+4),1,3),2)+5)/7),"00"))</f>
        <v/>
      </c>
    </row>
    <row r="860" ht="18" customHeight="1">
      <c r="A860" s="39" t="n">
        <v>855</v>
      </c>
      <c r="B860" s="33">
        <f>IF(C860="","",IF(L860="À RENSEIGNER","GIC",L860)&amp;"-E"&amp;TEXT(A860,"00000"))</f>
        <v/>
      </c>
      <c r="C860" s="32" t="n"/>
      <c r="D860" s="36" t="n"/>
      <c r="E860" s="37" t="n"/>
      <c r="F860" s="36" t="n"/>
      <c r="G860" s="44" t="n"/>
      <c r="H860" s="43" t="n"/>
      <c r="I860" s="32" t="n"/>
      <c r="J860" s="44" t="n"/>
      <c r="K860" s="36" t="n"/>
      <c r="L860" s="33">
        <f>IF(C860="","",Commercial_Id)</f>
        <v/>
      </c>
      <c r="M860" s="34">
        <f>IF(OR(C860="",F860=""),"",IF(F860&lt;&gt;"Espèces","—",IF(I860&lt;&gt;"","☑ Oui","☐ Non")))</f>
        <v/>
      </c>
      <c r="N860" s="39">
        <f>IF(D860="","",IFERROR(VALUE(MID(D860,LEN(D860)-3,3)),""))</f>
        <v/>
      </c>
      <c r="O860" s="33">
        <f>IF(N860="","",L860&amp;"|"&amp;N860)</f>
        <v/>
      </c>
      <c r="P860" s="33">
        <f>IF(N860="","",IF(L860="À RENSEIGNER","GIC",L860)&amp;"-"&amp;TEXT(N860,"000"))</f>
        <v/>
      </c>
      <c r="Q860" s="33">
        <f>IF(O860="","",IFERROR(INDEX(Cl_nom,MATCH(O860,Cl_cle,0)),"(client introuvable)"))</f>
        <v/>
      </c>
      <c r="R860" s="40">
        <f>IF(O860="","",IFERROR(INDEX(Cl_reste,MATCH(O860,Cl_cle,0)),""))</f>
        <v/>
      </c>
      <c r="S860" s="34">
        <f>IF(C860="","",YEAR(C860-WEEKDAY(C860,2)+4)&amp;"-S"&amp;TEXT(INT((C860-DATE(YEAR(C860-WEEKDAY(C860,2)+4),1,3)+WEEKDAY(DATE(YEAR(C860-WEEKDAY(C860,2)+4),1,3),2)+5)/7),"00"))</f>
        <v/>
      </c>
    </row>
    <row r="861" ht="18" customHeight="1">
      <c r="A861" s="39" t="n">
        <v>856</v>
      </c>
      <c r="B861" s="33">
        <f>IF(C861="","",IF(L861="À RENSEIGNER","GIC",L861)&amp;"-E"&amp;TEXT(A861,"00000"))</f>
        <v/>
      </c>
      <c r="C861" s="32" t="n"/>
      <c r="D861" s="36" t="n"/>
      <c r="E861" s="37" t="n"/>
      <c r="F861" s="36" t="n"/>
      <c r="G861" s="44" t="n"/>
      <c r="H861" s="43" t="n"/>
      <c r="I861" s="32" t="n"/>
      <c r="J861" s="44" t="n"/>
      <c r="K861" s="36" t="n"/>
      <c r="L861" s="33">
        <f>IF(C861="","",Commercial_Id)</f>
        <v/>
      </c>
      <c r="M861" s="34">
        <f>IF(OR(C861="",F861=""),"",IF(F861&lt;&gt;"Espèces","—",IF(I861&lt;&gt;"","☑ Oui","☐ Non")))</f>
        <v/>
      </c>
      <c r="N861" s="39">
        <f>IF(D861="","",IFERROR(VALUE(MID(D861,LEN(D861)-3,3)),""))</f>
        <v/>
      </c>
      <c r="O861" s="33">
        <f>IF(N861="","",L861&amp;"|"&amp;N861)</f>
        <v/>
      </c>
      <c r="P861" s="33">
        <f>IF(N861="","",IF(L861="À RENSEIGNER","GIC",L861)&amp;"-"&amp;TEXT(N861,"000"))</f>
        <v/>
      </c>
      <c r="Q861" s="33">
        <f>IF(O861="","",IFERROR(INDEX(Cl_nom,MATCH(O861,Cl_cle,0)),"(client introuvable)"))</f>
        <v/>
      </c>
      <c r="R861" s="40">
        <f>IF(O861="","",IFERROR(INDEX(Cl_reste,MATCH(O861,Cl_cle,0)),""))</f>
        <v/>
      </c>
      <c r="S861" s="34">
        <f>IF(C861="","",YEAR(C861-WEEKDAY(C861,2)+4)&amp;"-S"&amp;TEXT(INT((C861-DATE(YEAR(C861-WEEKDAY(C861,2)+4),1,3)+WEEKDAY(DATE(YEAR(C861-WEEKDAY(C861,2)+4),1,3),2)+5)/7),"00"))</f>
        <v/>
      </c>
    </row>
    <row r="862" ht="18" customHeight="1">
      <c r="A862" s="39" t="n">
        <v>857</v>
      </c>
      <c r="B862" s="33">
        <f>IF(C862="","",IF(L862="À RENSEIGNER","GIC",L862)&amp;"-E"&amp;TEXT(A862,"00000"))</f>
        <v/>
      </c>
      <c r="C862" s="32" t="n"/>
      <c r="D862" s="36" t="n"/>
      <c r="E862" s="37" t="n"/>
      <c r="F862" s="36" t="n"/>
      <c r="G862" s="44" t="n"/>
      <c r="H862" s="43" t="n"/>
      <c r="I862" s="32" t="n"/>
      <c r="J862" s="44" t="n"/>
      <c r="K862" s="36" t="n"/>
      <c r="L862" s="33">
        <f>IF(C862="","",Commercial_Id)</f>
        <v/>
      </c>
      <c r="M862" s="34">
        <f>IF(OR(C862="",F862=""),"",IF(F862&lt;&gt;"Espèces","—",IF(I862&lt;&gt;"","☑ Oui","☐ Non")))</f>
        <v/>
      </c>
      <c r="N862" s="39">
        <f>IF(D862="","",IFERROR(VALUE(MID(D862,LEN(D862)-3,3)),""))</f>
        <v/>
      </c>
      <c r="O862" s="33">
        <f>IF(N862="","",L862&amp;"|"&amp;N862)</f>
        <v/>
      </c>
      <c r="P862" s="33">
        <f>IF(N862="","",IF(L862="À RENSEIGNER","GIC",L862)&amp;"-"&amp;TEXT(N862,"000"))</f>
        <v/>
      </c>
      <c r="Q862" s="33">
        <f>IF(O862="","",IFERROR(INDEX(Cl_nom,MATCH(O862,Cl_cle,0)),"(client introuvable)"))</f>
        <v/>
      </c>
      <c r="R862" s="40">
        <f>IF(O862="","",IFERROR(INDEX(Cl_reste,MATCH(O862,Cl_cle,0)),""))</f>
        <v/>
      </c>
      <c r="S862" s="34">
        <f>IF(C862="","",YEAR(C862-WEEKDAY(C862,2)+4)&amp;"-S"&amp;TEXT(INT((C862-DATE(YEAR(C862-WEEKDAY(C862,2)+4),1,3)+WEEKDAY(DATE(YEAR(C862-WEEKDAY(C862,2)+4),1,3),2)+5)/7),"00"))</f>
        <v/>
      </c>
    </row>
    <row r="863" ht="18" customHeight="1">
      <c r="A863" s="39" t="n">
        <v>858</v>
      </c>
      <c r="B863" s="33">
        <f>IF(C863="","",IF(L863="À RENSEIGNER","GIC",L863)&amp;"-E"&amp;TEXT(A863,"00000"))</f>
        <v/>
      </c>
      <c r="C863" s="32" t="n"/>
      <c r="D863" s="36" t="n"/>
      <c r="E863" s="37" t="n"/>
      <c r="F863" s="36" t="n"/>
      <c r="G863" s="44" t="n"/>
      <c r="H863" s="43" t="n"/>
      <c r="I863" s="32" t="n"/>
      <c r="J863" s="44" t="n"/>
      <c r="K863" s="36" t="n"/>
      <c r="L863" s="33">
        <f>IF(C863="","",Commercial_Id)</f>
        <v/>
      </c>
      <c r="M863" s="34">
        <f>IF(OR(C863="",F863=""),"",IF(F863&lt;&gt;"Espèces","—",IF(I863&lt;&gt;"","☑ Oui","☐ Non")))</f>
        <v/>
      </c>
      <c r="N863" s="39">
        <f>IF(D863="","",IFERROR(VALUE(MID(D863,LEN(D863)-3,3)),""))</f>
        <v/>
      </c>
      <c r="O863" s="33">
        <f>IF(N863="","",L863&amp;"|"&amp;N863)</f>
        <v/>
      </c>
      <c r="P863" s="33">
        <f>IF(N863="","",IF(L863="À RENSEIGNER","GIC",L863)&amp;"-"&amp;TEXT(N863,"000"))</f>
        <v/>
      </c>
      <c r="Q863" s="33">
        <f>IF(O863="","",IFERROR(INDEX(Cl_nom,MATCH(O863,Cl_cle,0)),"(client introuvable)"))</f>
        <v/>
      </c>
      <c r="R863" s="40">
        <f>IF(O863="","",IFERROR(INDEX(Cl_reste,MATCH(O863,Cl_cle,0)),""))</f>
        <v/>
      </c>
      <c r="S863" s="34">
        <f>IF(C863="","",YEAR(C863-WEEKDAY(C863,2)+4)&amp;"-S"&amp;TEXT(INT((C863-DATE(YEAR(C863-WEEKDAY(C863,2)+4),1,3)+WEEKDAY(DATE(YEAR(C863-WEEKDAY(C863,2)+4),1,3),2)+5)/7),"00"))</f>
        <v/>
      </c>
    </row>
    <row r="864" ht="18" customHeight="1">
      <c r="A864" s="39" t="n">
        <v>859</v>
      </c>
      <c r="B864" s="33">
        <f>IF(C864="","",IF(L864="À RENSEIGNER","GIC",L864)&amp;"-E"&amp;TEXT(A864,"00000"))</f>
        <v/>
      </c>
      <c r="C864" s="32" t="n"/>
      <c r="D864" s="36" t="n"/>
      <c r="E864" s="37" t="n"/>
      <c r="F864" s="36" t="n"/>
      <c r="G864" s="44" t="n"/>
      <c r="H864" s="43" t="n"/>
      <c r="I864" s="32" t="n"/>
      <c r="J864" s="44" t="n"/>
      <c r="K864" s="36" t="n"/>
      <c r="L864" s="33">
        <f>IF(C864="","",Commercial_Id)</f>
        <v/>
      </c>
      <c r="M864" s="34">
        <f>IF(OR(C864="",F864=""),"",IF(F864&lt;&gt;"Espèces","—",IF(I864&lt;&gt;"","☑ Oui","☐ Non")))</f>
        <v/>
      </c>
      <c r="N864" s="39">
        <f>IF(D864="","",IFERROR(VALUE(MID(D864,LEN(D864)-3,3)),""))</f>
        <v/>
      </c>
      <c r="O864" s="33">
        <f>IF(N864="","",L864&amp;"|"&amp;N864)</f>
        <v/>
      </c>
      <c r="P864" s="33">
        <f>IF(N864="","",IF(L864="À RENSEIGNER","GIC",L864)&amp;"-"&amp;TEXT(N864,"000"))</f>
        <v/>
      </c>
      <c r="Q864" s="33">
        <f>IF(O864="","",IFERROR(INDEX(Cl_nom,MATCH(O864,Cl_cle,0)),"(client introuvable)"))</f>
        <v/>
      </c>
      <c r="R864" s="40">
        <f>IF(O864="","",IFERROR(INDEX(Cl_reste,MATCH(O864,Cl_cle,0)),""))</f>
        <v/>
      </c>
      <c r="S864" s="34">
        <f>IF(C864="","",YEAR(C864-WEEKDAY(C864,2)+4)&amp;"-S"&amp;TEXT(INT((C864-DATE(YEAR(C864-WEEKDAY(C864,2)+4),1,3)+WEEKDAY(DATE(YEAR(C864-WEEKDAY(C864,2)+4),1,3),2)+5)/7),"00"))</f>
        <v/>
      </c>
    </row>
    <row r="865" ht="18" customHeight="1">
      <c r="A865" s="39" t="n">
        <v>860</v>
      </c>
      <c r="B865" s="33">
        <f>IF(C865="","",IF(L865="À RENSEIGNER","GIC",L865)&amp;"-E"&amp;TEXT(A865,"00000"))</f>
        <v/>
      </c>
      <c r="C865" s="32" t="n"/>
      <c r="D865" s="36" t="n"/>
      <c r="E865" s="37" t="n"/>
      <c r="F865" s="36" t="n"/>
      <c r="G865" s="44" t="n"/>
      <c r="H865" s="43" t="n"/>
      <c r="I865" s="32" t="n"/>
      <c r="J865" s="44" t="n"/>
      <c r="K865" s="36" t="n"/>
      <c r="L865" s="33">
        <f>IF(C865="","",Commercial_Id)</f>
        <v/>
      </c>
      <c r="M865" s="34">
        <f>IF(OR(C865="",F865=""),"",IF(F865&lt;&gt;"Espèces","—",IF(I865&lt;&gt;"","☑ Oui","☐ Non")))</f>
        <v/>
      </c>
      <c r="N865" s="39">
        <f>IF(D865="","",IFERROR(VALUE(MID(D865,LEN(D865)-3,3)),""))</f>
        <v/>
      </c>
      <c r="O865" s="33">
        <f>IF(N865="","",L865&amp;"|"&amp;N865)</f>
        <v/>
      </c>
      <c r="P865" s="33">
        <f>IF(N865="","",IF(L865="À RENSEIGNER","GIC",L865)&amp;"-"&amp;TEXT(N865,"000"))</f>
        <v/>
      </c>
      <c r="Q865" s="33">
        <f>IF(O865="","",IFERROR(INDEX(Cl_nom,MATCH(O865,Cl_cle,0)),"(client introuvable)"))</f>
        <v/>
      </c>
      <c r="R865" s="40">
        <f>IF(O865="","",IFERROR(INDEX(Cl_reste,MATCH(O865,Cl_cle,0)),""))</f>
        <v/>
      </c>
      <c r="S865" s="34">
        <f>IF(C865="","",YEAR(C865-WEEKDAY(C865,2)+4)&amp;"-S"&amp;TEXT(INT((C865-DATE(YEAR(C865-WEEKDAY(C865,2)+4),1,3)+WEEKDAY(DATE(YEAR(C865-WEEKDAY(C865,2)+4),1,3),2)+5)/7),"00"))</f>
        <v/>
      </c>
    </row>
    <row r="866" ht="18" customHeight="1">
      <c r="A866" s="39" t="n">
        <v>861</v>
      </c>
      <c r="B866" s="33">
        <f>IF(C866="","",IF(L866="À RENSEIGNER","GIC",L866)&amp;"-E"&amp;TEXT(A866,"00000"))</f>
        <v/>
      </c>
      <c r="C866" s="32" t="n"/>
      <c r="D866" s="36" t="n"/>
      <c r="E866" s="37" t="n"/>
      <c r="F866" s="36" t="n"/>
      <c r="G866" s="44" t="n"/>
      <c r="H866" s="43" t="n"/>
      <c r="I866" s="32" t="n"/>
      <c r="J866" s="44" t="n"/>
      <c r="K866" s="36" t="n"/>
      <c r="L866" s="33">
        <f>IF(C866="","",Commercial_Id)</f>
        <v/>
      </c>
      <c r="M866" s="34">
        <f>IF(OR(C866="",F866=""),"",IF(F866&lt;&gt;"Espèces","—",IF(I866&lt;&gt;"","☑ Oui","☐ Non")))</f>
        <v/>
      </c>
      <c r="N866" s="39">
        <f>IF(D866="","",IFERROR(VALUE(MID(D866,LEN(D866)-3,3)),""))</f>
        <v/>
      </c>
      <c r="O866" s="33">
        <f>IF(N866="","",L866&amp;"|"&amp;N866)</f>
        <v/>
      </c>
      <c r="P866" s="33">
        <f>IF(N866="","",IF(L866="À RENSEIGNER","GIC",L866)&amp;"-"&amp;TEXT(N866,"000"))</f>
        <v/>
      </c>
      <c r="Q866" s="33">
        <f>IF(O866="","",IFERROR(INDEX(Cl_nom,MATCH(O866,Cl_cle,0)),"(client introuvable)"))</f>
        <v/>
      </c>
      <c r="R866" s="40">
        <f>IF(O866="","",IFERROR(INDEX(Cl_reste,MATCH(O866,Cl_cle,0)),""))</f>
        <v/>
      </c>
      <c r="S866" s="34">
        <f>IF(C866="","",YEAR(C866-WEEKDAY(C866,2)+4)&amp;"-S"&amp;TEXT(INT((C866-DATE(YEAR(C866-WEEKDAY(C866,2)+4),1,3)+WEEKDAY(DATE(YEAR(C866-WEEKDAY(C866,2)+4),1,3),2)+5)/7),"00"))</f>
        <v/>
      </c>
    </row>
    <row r="867" ht="18" customHeight="1">
      <c r="A867" s="39" t="n">
        <v>862</v>
      </c>
      <c r="B867" s="33">
        <f>IF(C867="","",IF(L867="À RENSEIGNER","GIC",L867)&amp;"-E"&amp;TEXT(A867,"00000"))</f>
        <v/>
      </c>
      <c r="C867" s="32" t="n"/>
      <c r="D867" s="36" t="n"/>
      <c r="E867" s="37" t="n"/>
      <c r="F867" s="36" t="n"/>
      <c r="G867" s="44" t="n"/>
      <c r="H867" s="43" t="n"/>
      <c r="I867" s="32" t="n"/>
      <c r="J867" s="44" t="n"/>
      <c r="K867" s="36" t="n"/>
      <c r="L867" s="33">
        <f>IF(C867="","",Commercial_Id)</f>
        <v/>
      </c>
      <c r="M867" s="34">
        <f>IF(OR(C867="",F867=""),"",IF(F867&lt;&gt;"Espèces","—",IF(I867&lt;&gt;"","☑ Oui","☐ Non")))</f>
        <v/>
      </c>
      <c r="N867" s="39">
        <f>IF(D867="","",IFERROR(VALUE(MID(D867,LEN(D867)-3,3)),""))</f>
        <v/>
      </c>
      <c r="O867" s="33">
        <f>IF(N867="","",L867&amp;"|"&amp;N867)</f>
        <v/>
      </c>
      <c r="P867" s="33">
        <f>IF(N867="","",IF(L867="À RENSEIGNER","GIC",L867)&amp;"-"&amp;TEXT(N867,"000"))</f>
        <v/>
      </c>
      <c r="Q867" s="33">
        <f>IF(O867="","",IFERROR(INDEX(Cl_nom,MATCH(O867,Cl_cle,0)),"(client introuvable)"))</f>
        <v/>
      </c>
      <c r="R867" s="40">
        <f>IF(O867="","",IFERROR(INDEX(Cl_reste,MATCH(O867,Cl_cle,0)),""))</f>
        <v/>
      </c>
      <c r="S867" s="34">
        <f>IF(C867="","",YEAR(C867-WEEKDAY(C867,2)+4)&amp;"-S"&amp;TEXT(INT((C867-DATE(YEAR(C867-WEEKDAY(C867,2)+4),1,3)+WEEKDAY(DATE(YEAR(C867-WEEKDAY(C867,2)+4),1,3),2)+5)/7),"00"))</f>
        <v/>
      </c>
    </row>
    <row r="868" ht="18" customHeight="1">
      <c r="A868" s="39" t="n">
        <v>863</v>
      </c>
      <c r="B868" s="33">
        <f>IF(C868="","",IF(L868="À RENSEIGNER","GIC",L868)&amp;"-E"&amp;TEXT(A868,"00000"))</f>
        <v/>
      </c>
      <c r="C868" s="32" t="n"/>
      <c r="D868" s="36" t="n"/>
      <c r="E868" s="37" t="n"/>
      <c r="F868" s="36" t="n"/>
      <c r="G868" s="44" t="n"/>
      <c r="H868" s="43" t="n"/>
      <c r="I868" s="32" t="n"/>
      <c r="J868" s="44" t="n"/>
      <c r="K868" s="36" t="n"/>
      <c r="L868" s="33">
        <f>IF(C868="","",Commercial_Id)</f>
        <v/>
      </c>
      <c r="M868" s="34">
        <f>IF(OR(C868="",F868=""),"",IF(F868&lt;&gt;"Espèces","—",IF(I868&lt;&gt;"","☑ Oui","☐ Non")))</f>
        <v/>
      </c>
      <c r="N868" s="39">
        <f>IF(D868="","",IFERROR(VALUE(MID(D868,LEN(D868)-3,3)),""))</f>
        <v/>
      </c>
      <c r="O868" s="33">
        <f>IF(N868="","",L868&amp;"|"&amp;N868)</f>
        <v/>
      </c>
      <c r="P868" s="33">
        <f>IF(N868="","",IF(L868="À RENSEIGNER","GIC",L868)&amp;"-"&amp;TEXT(N868,"000"))</f>
        <v/>
      </c>
      <c r="Q868" s="33">
        <f>IF(O868="","",IFERROR(INDEX(Cl_nom,MATCH(O868,Cl_cle,0)),"(client introuvable)"))</f>
        <v/>
      </c>
      <c r="R868" s="40">
        <f>IF(O868="","",IFERROR(INDEX(Cl_reste,MATCH(O868,Cl_cle,0)),""))</f>
        <v/>
      </c>
      <c r="S868" s="34">
        <f>IF(C868="","",YEAR(C868-WEEKDAY(C868,2)+4)&amp;"-S"&amp;TEXT(INT((C868-DATE(YEAR(C868-WEEKDAY(C868,2)+4),1,3)+WEEKDAY(DATE(YEAR(C868-WEEKDAY(C868,2)+4),1,3),2)+5)/7),"00"))</f>
        <v/>
      </c>
    </row>
    <row r="869" ht="18" customHeight="1">
      <c r="A869" s="39" t="n">
        <v>864</v>
      </c>
      <c r="B869" s="33">
        <f>IF(C869="","",IF(L869="À RENSEIGNER","GIC",L869)&amp;"-E"&amp;TEXT(A869,"00000"))</f>
        <v/>
      </c>
      <c r="C869" s="32" t="n"/>
      <c r="D869" s="36" t="n"/>
      <c r="E869" s="37" t="n"/>
      <c r="F869" s="36" t="n"/>
      <c r="G869" s="44" t="n"/>
      <c r="H869" s="43" t="n"/>
      <c r="I869" s="32" t="n"/>
      <c r="J869" s="44" t="n"/>
      <c r="K869" s="36" t="n"/>
      <c r="L869" s="33">
        <f>IF(C869="","",Commercial_Id)</f>
        <v/>
      </c>
      <c r="M869" s="34">
        <f>IF(OR(C869="",F869=""),"",IF(F869&lt;&gt;"Espèces","—",IF(I869&lt;&gt;"","☑ Oui","☐ Non")))</f>
        <v/>
      </c>
      <c r="N869" s="39">
        <f>IF(D869="","",IFERROR(VALUE(MID(D869,LEN(D869)-3,3)),""))</f>
        <v/>
      </c>
      <c r="O869" s="33">
        <f>IF(N869="","",L869&amp;"|"&amp;N869)</f>
        <v/>
      </c>
      <c r="P869" s="33">
        <f>IF(N869="","",IF(L869="À RENSEIGNER","GIC",L869)&amp;"-"&amp;TEXT(N869,"000"))</f>
        <v/>
      </c>
      <c r="Q869" s="33">
        <f>IF(O869="","",IFERROR(INDEX(Cl_nom,MATCH(O869,Cl_cle,0)),"(client introuvable)"))</f>
        <v/>
      </c>
      <c r="R869" s="40">
        <f>IF(O869="","",IFERROR(INDEX(Cl_reste,MATCH(O869,Cl_cle,0)),""))</f>
        <v/>
      </c>
      <c r="S869" s="34">
        <f>IF(C869="","",YEAR(C869-WEEKDAY(C869,2)+4)&amp;"-S"&amp;TEXT(INT((C869-DATE(YEAR(C869-WEEKDAY(C869,2)+4),1,3)+WEEKDAY(DATE(YEAR(C869-WEEKDAY(C869,2)+4),1,3),2)+5)/7),"00"))</f>
        <v/>
      </c>
    </row>
    <row r="870" ht="18" customHeight="1">
      <c r="A870" s="39" t="n">
        <v>865</v>
      </c>
      <c r="B870" s="33">
        <f>IF(C870="","",IF(L870="À RENSEIGNER","GIC",L870)&amp;"-E"&amp;TEXT(A870,"00000"))</f>
        <v/>
      </c>
      <c r="C870" s="32" t="n"/>
      <c r="D870" s="36" t="n"/>
      <c r="E870" s="37" t="n"/>
      <c r="F870" s="36" t="n"/>
      <c r="G870" s="44" t="n"/>
      <c r="H870" s="43" t="n"/>
      <c r="I870" s="32" t="n"/>
      <c r="J870" s="44" t="n"/>
      <c r="K870" s="36" t="n"/>
      <c r="L870" s="33">
        <f>IF(C870="","",Commercial_Id)</f>
        <v/>
      </c>
      <c r="M870" s="34">
        <f>IF(OR(C870="",F870=""),"",IF(F870&lt;&gt;"Espèces","—",IF(I870&lt;&gt;"","☑ Oui","☐ Non")))</f>
        <v/>
      </c>
      <c r="N870" s="39">
        <f>IF(D870="","",IFERROR(VALUE(MID(D870,LEN(D870)-3,3)),""))</f>
        <v/>
      </c>
      <c r="O870" s="33">
        <f>IF(N870="","",L870&amp;"|"&amp;N870)</f>
        <v/>
      </c>
      <c r="P870" s="33">
        <f>IF(N870="","",IF(L870="À RENSEIGNER","GIC",L870)&amp;"-"&amp;TEXT(N870,"000"))</f>
        <v/>
      </c>
      <c r="Q870" s="33">
        <f>IF(O870="","",IFERROR(INDEX(Cl_nom,MATCH(O870,Cl_cle,0)),"(client introuvable)"))</f>
        <v/>
      </c>
      <c r="R870" s="40">
        <f>IF(O870="","",IFERROR(INDEX(Cl_reste,MATCH(O870,Cl_cle,0)),""))</f>
        <v/>
      </c>
      <c r="S870" s="34">
        <f>IF(C870="","",YEAR(C870-WEEKDAY(C870,2)+4)&amp;"-S"&amp;TEXT(INT((C870-DATE(YEAR(C870-WEEKDAY(C870,2)+4),1,3)+WEEKDAY(DATE(YEAR(C870-WEEKDAY(C870,2)+4),1,3),2)+5)/7),"00"))</f>
        <v/>
      </c>
    </row>
    <row r="871" ht="18" customHeight="1">
      <c r="A871" s="39" t="n">
        <v>866</v>
      </c>
      <c r="B871" s="33">
        <f>IF(C871="","",IF(L871="À RENSEIGNER","GIC",L871)&amp;"-E"&amp;TEXT(A871,"00000"))</f>
        <v/>
      </c>
      <c r="C871" s="32" t="n"/>
      <c r="D871" s="36" t="n"/>
      <c r="E871" s="37" t="n"/>
      <c r="F871" s="36" t="n"/>
      <c r="G871" s="44" t="n"/>
      <c r="H871" s="43" t="n"/>
      <c r="I871" s="32" t="n"/>
      <c r="J871" s="44" t="n"/>
      <c r="K871" s="36" t="n"/>
      <c r="L871" s="33">
        <f>IF(C871="","",Commercial_Id)</f>
        <v/>
      </c>
      <c r="M871" s="34">
        <f>IF(OR(C871="",F871=""),"",IF(F871&lt;&gt;"Espèces","—",IF(I871&lt;&gt;"","☑ Oui","☐ Non")))</f>
        <v/>
      </c>
      <c r="N871" s="39">
        <f>IF(D871="","",IFERROR(VALUE(MID(D871,LEN(D871)-3,3)),""))</f>
        <v/>
      </c>
      <c r="O871" s="33">
        <f>IF(N871="","",L871&amp;"|"&amp;N871)</f>
        <v/>
      </c>
      <c r="P871" s="33">
        <f>IF(N871="","",IF(L871="À RENSEIGNER","GIC",L871)&amp;"-"&amp;TEXT(N871,"000"))</f>
        <v/>
      </c>
      <c r="Q871" s="33">
        <f>IF(O871="","",IFERROR(INDEX(Cl_nom,MATCH(O871,Cl_cle,0)),"(client introuvable)"))</f>
        <v/>
      </c>
      <c r="R871" s="40">
        <f>IF(O871="","",IFERROR(INDEX(Cl_reste,MATCH(O871,Cl_cle,0)),""))</f>
        <v/>
      </c>
      <c r="S871" s="34">
        <f>IF(C871="","",YEAR(C871-WEEKDAY(C871,2)+4)&amp;"-S"&amp;TEXT(INT((C871-DATE(YEAR(C871-WEEKDAY(C871,2)+4),1,3)+WEEKDAY(DATE(YEAR(C871-WEEKDAY(C871,2)+4),1,3),2)+5)/7),"00"))</f>
        <v/>
      </c>
    </row>
    <row r="872" ht="18" customHeight="1">
      <c r="A872" s="39" t="n">
        <v>867</v>
      </c>
      <c r="B872" s="33">
        <f>IF(C872="","",IF(L872="À RENSEIGNER","GIC",L872)&amp;"-E"&amp;TEXT(A872,"00000"))</f>
        <v/>
      </c>
      <c r="C872" s="32" t="n"/>
      <c r="D872" s="36" t="n"/>
      <c r="E872" s="37" t="n"/>
      <c r="F872" s="36" t="n"/>
      <c r="G872" s="44" t="n"/>
      <c r="H872" s="43" t="n"/>
      <c r="I872" s="32" t="n"/>
      <c r="J872" s="44" t="n"/>
      <c r="K872" s="36" t="n"/>
      <c r="L872" s="33">
        <f>IF(C872="","",Commercial_Id)</f>
        <v/>
      </c>
      <c r="M872" s="34">
        <f>IF(OR(C872="",F872=""),"",IF(F872&lt;&gt;"Espèces","—",IF(I872&lt;&gt;"","☑ Oui","☐ Non")))</f>
        <v/>
      </c>
      <c r="N872" s="39">
        <f>IF(D872="","",IFERROR(VALUE(MID(D872,LEN(D872)-3,3)),""))</f>
        <v/>
      </c>
      <c r="O872" s="33">
        <f>IF(N872="","",L872&amp;"|"&amp;N872)</f>
        <v/>
      </c>
      <c r="P872" s="33">
        <f>IF(N872="","",IF(L872="À RENSEIGNER","GIC",L872)&amp;"-"&amp;TEXT(N872,"000"))</f>
        <v/>
      </c>
      <c r="Q872" s="33">
        <f>IF(O872="","",IFERROR(INDEX(Cl_nom,MATCH(O872,Cl_cle,0)),"(client introuvable)"))</f>
        <v/>
      </c>
      <c r="R872" s="40">
        <f>IF(O872="","",IFERROR(INDEX(Cl_reste,MATCH(O872,Cl_cle,0)),""))</f>
        <v/>
      </c>
      <c r="S872" s="34">
        <f>IF(C872="","",YEAR(C872-WEEKDAY(C872,2)+4)&amp;"-S"&amp;TEXT(INT((C872-DATE(YEAR(C872-WEEKDAY(C872,2)+4),1,3)+WEEKDAY(DATE(YEAR(C872-WEEKDAY(C872,2)+4),1,3),2)+5)/7),"00"))</f>
        <v/>
      </c>
    </row>
    <row r="873" ht="18" customHeight="1">
      <c r="A873" s="39" t="n">
        <v>868</v>
      </c>
      <c r="B873" s="33">
        <f>IF(C873="","",IF(L873="À RENSEIGNER","GIC",L873)&amp;"-E"&amp;TEXT(A873,"00000"))</f>
        <v/>
      </c>
      <c r="C873" s="32" t="n"/>
      <c r="D873" s="36" t="n"/>
      <c r="E873" s="37" t="n"/>
      <c r="F873" s="36" t="n"/>
      <c r="G873" s="44" t="n"/>
      <c r="H873" s="43" t="n"/>
      <c r="I873" s="32" t="n"/>
      <c r="J873" s="44" t="n"/>
      <c r="K873" s="36" t="n"/>
      <c r="L873" s="33">
        <f>IF(C873="","",Commercial_Id)</f>
        <v/>
      </c>
      <c r="M873" s="34">
        <f>IF(OR(C873="",F873=""),"",IF(F873&lt;&gt;"Espèces","—",IF(I873&lt;&gt;"","☑ Oui","☐ Non")))</f>
        <v/>
      </c>
      <c r="N873" s="39">
        <f>IF(D873="","",IFERROR(VALUE(MID(D873,LEN(D873)-3,3)),""))</f>
        <v/>
      </c>
      <c r="O873" s="33">
        <f>IF(N873="","",L873&amp;"|"&amp;N873)</f>
        <v/>
      </c>
      <c r="P873" s="33">
        <f>IF(N873="","",IF(L873="À RENSEIGNER","GIC",L873)&amp;"-"&amp;TEXT(N873,"000"))</f>
        <v/>
      </c>
      <c r="Q873" s="33">
        <f>IF(O873="","",IFERROR(INDEX(Cl_nom,MATCH(O873,Cl_cle,0)),"(client introuvable)"))</f>
        <v/>
      </c>
      <c r="R873" s="40">
        <f>IF(O873="","",IFERROR(INDEX(Cl_reste,MATCH(O873,Cl_cle,0)),""))</f>
        <v/>
      </c>
      <c r="S873" s="34">
        <f>IF(C873="","",YEAR(C873-WEEKDAY(C873,2)+4)&amp;"-S"&amp;TEXT(INT((C873-DATE(YEAR(C873-WEEKDAY(C873,2)+4),1,3)+WEEKDAY(DATE(YEAR(C873-WEEKDAY(C873,2)+4),1,3),2)+5)/7),"00"))</f>
        <v/>
      </c>
    </row>
    <row r="874" ht="18" customHeight="1">
      <c r="A874" s="39" t="n">
        <v>869</v>
      </c>
      <c r="B874" s="33">
        <f>IF(C874="","",IF(L874="À RENSEIGNER","GIC",L874)&amp;"-E"&amp;TEXT(A874,"00000"))</f>
        <v/>
      </c>
      <c r="C874" s="32" t="n"/>
      <c r="D874" s="36" t="n"/>
      <c r="E874" s="37" t="n"/>
      <c r="F874" s="36" t="n"/>
      <c r="G874" s="44" t="n"/>
      <c r="H874" s="43" t="n"/>
      <c r="I874" s="32" t="n"/>
      <c r="J874" s="44" t="n"/>
      <c r="K874" s="36" t="n"/>
      <c r="L874" s="33">
        <f>IF(C874="","",Commercial_Id)</f>
        <v/>
      </c>
      <c r="M874" s="34">
        <f>IF(OR(C874="",F874=""),"",IF(F874&lt;&gt;"Espèces","—",IF(I874&lt;&gt;"","☑ Oui","☐ Non")))</f>
        <v/>
      </c>
      <c r="N874" s="39">
        <f>IF(D874="","",IFERROR(VALUE(MID(D874,LEN(D874)-3,3)),""))</f>
        <v/>
      </c>
      <c r="O874" s="33">
        <f>IF(N874="","",L874&amp;"|"&amp;N874)</f>
        <v/>
      </c>
      <c r="P874" s="33">
        <f>IF(N874="","",IF(L874="À RENSEIGNER","GIC",L874)&amp;"-"&amp;TEXT(N874,"000"))</f>
        <v/>
      </c>
      <c r="Q874" s="33">
        <f>IF(O874="","",IFERROR(INDEX(Cl_nom,MATCH(O874,Cl_cle,0)),"(client introuvable)"))</f>
        <v/>
      </c>
      <c r="R874" s="40">
        <f>IF(O874="","",IFERROR(INDEX(Cl_reste,MATCH(O874,Cl_cle,0)),""))</f>
        <v/>
      </c>
      <c r="S874" s="34">
        <f>IF(C874="","",YEAR(C874-WEEKDAY(C874,2)+4)&amp;"-S"&amp;TEXT(INT((C874-DATE(YEAR(C874-WEEKDAY(C874,2)+4),1,3)+WEEKDAY(DATE(YEAR(C874-WEEKDAY(C874,2)+4),1,3),2)+5)/7),"00"))</f>
        <v/>
      </c>
    </row>
    <row r="875" ht="18" customHeight="1">
      <c r="A875" s="39" t="n">
        <v>870</v>
      </c>
      <c r="B875" s="33">
        <f>IF(C875="","",IF(L875="À RENSEIGNER","GIC",L875)&amp;"-E"&amp;TEXT(A875,"00000"))</f>
        <v/>
      </c>
      <c r="C875" s="32" t="n"/>
      <c r="D875" s="36" t="n"/>
      <c r="E875" s="37" t="n"/>
      <c r="F875" s="36" t="n"/>
      <c r="G875" s="44" t="n"/>
      <c r="H875" s="43" t="n"/>
      <c r="I875" s="32" t="n"/>
      <c r="J875" s="44" t="n"/>
      <c r="K875" s="36" t="n"/>
      <c r="L875" s="33">
        <f>IF(C875="","",Commercial_Id)</f>
        <v/>
      </c>
      <c r="M875" s="34">
        <f>IF(OR(C875="",F875=""),"",IF(F875&lt;&gt;"Espèces","—",IF(I875&lt;&gt;"","☑ Oui","☐ Non")))</f>
        <v/>
      </c>
      <c r="N875" s="39">
        <f>IF(D875="","",IFERROR(VALUE(MID(D875,LEN(D875)-3,3)),""))</f>
        <v/>
      </c>
      <c r="O875" s="33">
        <f>IF(N875="","",L875&amp;"|"&amp;N875)</f>
        <v/>
      </c>
      <c r="P875" s="33">
        <f>IF(N875="","",IF(L875="À RENSEIGNER","GIC",L875)&amp;"-"&amp;TEXT(N875,"000"))</f>
        <v/>
      </c>
      <c r="Q875" s="33">
        <f>IF(O875="","",IFERROR(INDEX(Cl_nom,MATCH(O875,Cl_cle,0)),"(client introuvable)"))</f>
        <v/>
      </c>
      <c r="R875" s="40">
        <f>IF(O875="","",IFERROR(INDEX(Cl_reste,MATCH(O875,Cl_cle,0)),""))</f>
        <v/>
      </c>
      <c r="S875" s="34">
        <f>IF(C875="","",YEAR(C875-WEEKDAY(C875,2)+4)&amp;"-S"&amp;TEXT(INT((C875-DATE(YEAR(C875-WEEKDAY(C875,2)+4),1,3)+WEEKDAY(DATE(YEAR(C875-WEEKDAY(C875,2)+4),1,3),2)+5)/7),"00"))</f>
        <v/>
      </c>
    </row>
    <row r="876" ht="18" customHeight="1">
      <c r="A876" s="39" t="n">
        <v>871</v>
      </c>
      <c r="B876" s="33">
        <f>IF(C876="","",IF(L876="À RENSEIGNER","GIC",L876)&amp;"-E"&amp;TEXT(A876,"00000"))</f>
        <v/>
      </c>
      <c r="C876" s="32" t="n"/>
      <c r="D876" s="36" t="n"/>
      <c r="E876" s="37" t="n"/>
      <c r="F876" s="36" t="n"/>
      <c r="G876" s="44" t="n"/>
      <c r="H876" s="43" t="n"/>
      <c r="I876" s="32" t="n"/>
      <c r="J876" s="44" t="n"/>
      <c r="K876" s="36" t="n"/>
      <c r="L876" s="33">
        <f>IF(C876="","",Commercial_Id)</f>
        <v/>
      </c>
      <c r="M876" s="34">
        <f>IF(OR(C876="",F876=""),"",IF(F876&lt;&gt;"Espèces","—",IF(I876&lt;&gt;"","☑ Oui","☐ Non")))</f>
        <v/>
      </c>
      <c r="N876" s="39">
        <f>IF(D876="","",IFERROR(VALUE(MID(D876,LEN(D876)-3,3)),""))</f>
        <v/>
      </c>
      <c r="O876" s="33">
        <f>IF(N876="","",L876&amp;"|"&amp;N876)</f>
        <v/>
      </c>
      <c r="P876" s="33">
        <f>IF(N876="","",IF(L876="À RENSEIGNER","GIC",L876)&amp;"-"&amp;TEXT(N876,"000"))</f>
        <v/>
      </c>
      <c r="Q876" s="33">
        <f>IF(O876="","",IFERROR(INDEX(Cl_nom,MATCH(O876,Cl_cle,0)),"(client introuvable)"))</f>
        <v/>
      </c>
      <c r="R876" s="40">
        <f>IF(O876="","",IFERROR(INDEX(Cl_reste,MATCH(O876,Cl_cle,0)),""))</f>
        <v/>
      </c>
      <c r="S876" s="34">
        <f>IF(C876="","",YEAR(C876-WEEKDAY(C876,2)+4)&amp;"-S"&amp;TEXT(INT((C876-DATE(YEAR(C876-WEEKDAY(C876,2)+4),1,3)+WEEKDAY(DATE(YEAR(C876-WEEKDAY(C876,2)+4),1,3),2)+5)/7),"00"))</f>
        <v/>
      </c>
    </row>
    <row r="877" ht="18" customHeight="1">
      <c r="A877" s="39" t="n">
        <v>872</v>
      </c>
      <c r="B877" s="33">
        <f>IF(C877="","",IF(L877="À RENSEIGNER","GIC",L877)&amp;"-E"&amp;TEXT(A877,"00000"))</f>
        <v/>
      </c>
      <c r="C877" s="32" t="n"/>
      <c r="D877" s="36" t="n"/>
      <c r="E877" s="37" t="n"/>
      <c r="F877" s="36" t="n"/>
      <c r="G877" s="44" t="n"/>
      <c r="H877" s="43" t="n"/>
      <c r="I877" s="32" t="n"/>
      <c r="J877" s="44" t="n"/>
      <c r="K877" s="36" t="n"/>
      <c r="L877" s="33">
        <f>IF(C877="","",Commercial_Id)</f>
        <v/>
      </c>
      <c r="M877" s="34">
        <f>IF(OR(C877="",F877=""),"",IF(F877&lt;&gt;"Espèces","—",IF(I877&lt;&gt;"","☑ Oui","☐ Non")))</f>
        <v/>
      </c>
      <c r="N877" s="39">
        <f>IF(D877="","",IFERROR(VALUE(MID(D877,LEN(D877)-3,3)),""))</f>
        <v/>
      </c>
      <c r="O877" s="33">
        <f>IF(N877="","",L877&amp;"|"&amp;N877)</f>
        <v/>
      </c>
      <c r="P877" s="33">
        <f>IF(N877="","",IF(L877="À RENSEIGNER","GIC",L877)&amp;"-"&amp;TEXT(N877,"000"))</f>
        <v/>
      </c>
      <c r="Q877" s="33">
        <f>IF(O877="","",IFERROR(INDEX(Cl_nom,MATCH(O877,Cl_cle,0)),"(client introuvable)"))</f>
        <v/>
      </c>
      <c r="R877" s="40">
        <f>IF(O877="","",IFERROR(INDEX(Cl_reste,MATCH(O877,Cl_cle,0)),""))</f>
        <v/>
      </c>
      <c r="S877" s="34">
        <f>IF(C877="","",YEAR(C877-WEEKDAY(C877,2)+4)&amp;"-S"&amp;TEXT(INT((C877-DATE(YEAR(C877-WEEKDAY(C877,2)+4),1,3)+WEEKDAY(DATE(YEAR(C877-WEEKDAY(C877,2)+4),1,3),2)+5)/7),"00"))</f>
        <v/>
      </c>
    </row>
    <row r="878" ht="18" customHeight="1">
      <c r="A878" s="39" t="n">
        <v>873</v>
      </c>
      <c r="B878" s="33">
        <f>IF(C878="","",IF(L878="À RENSEIGNER","GIC",L878)&amp;"-E"&amp;TEXT(A878,"00000"))</f>
        <v/>
      </c>
      <c r="C878" s="32" t="n"/>
      <c r="D878" s="36" t="n"/>
      <c r="E878" s="37" t="n"/>
      <c r="F878" s="36" t="n"/>
      <c r="G878" s="44" t="n"/>
      <c r="H878" s="43" t="n"/>
      <c r="I878" s="32" t="n"/>
      <c r="J878" s="44" t="n"/>
      <c r="K878" s="36" t="n"/>
      <c r="L878" s="33">
        <f>IF(C878="","",Commercial_Id)</f>
        <v/>
      </c>
      <c r="M878" s="34">
        <f>IF(OR(C878="",F878=""),"",IF(F878&lt;&gt;"Espèces","—",IF(I878&lt;&gt;"","☑ Oui","☐ Non")))</f>
        <v/>
      </c>
      <c r="N878" s="39">
        <f>IF(D878="","",IFERROR(VALUE(MID(D878,LEN(D878)-3,3)),""))</f>
        <v/>
      </c>
      <c r="O878" s="33">
        <f>IF(N878="","",L878&amp;"|"&amp;N878)</f>
        <v/>
      </c>
      <c r="P878" s="33">
        <f>IF(N878="","",IF(L878="À RENSEIGNER","GIC",L878)&amp;"-"&amp;TEXT(N878,"000"))</f>
        <v/>
      </c>
      <c r="Q878" s="33">
        <f>IF(O878="","",IFERROR(INDEX(Cl_nom,MATCH(O878,Cl_cle,0)),"(client introuvable)"))</f>
        <v/>
      </c>
      <c r="R878" s="40">
        <f>IF(O878="","",IFERROR(INDEX(Cl_reste,MATCH(O878,Cl_cle,0)),""))</f>
        <v/>
      </c>
      <c r="S878" s="34">
        <f>IF(C878="","",YEAR(C878-WEEKDAY(C878,2)+4)&amp;"-S"&amp;TEXT(INT((C878-DATE(YEAR(C878-WEEKDAY(C878,2)+4),1,3)+WEEKDAY(DATE(YEAR(C878-WEEKDAY(C878,2)+4),1,3),2)+5)/7),"00"))</f>
        <v/>
      </c>
    </row>
    <row r="879" ht="18" customHeight="1">
      <c r="A879" s="39" t="n">
        <v>874</v>
      </c>
      <c r="B879" s="33">
        <f>IF(C879="","",IF(L879="À RENSEIGNER","GIC",L879)&amp;"-E"&amp;TEXT(A879,"00000"))</f>
        <v/>
      </c>
      <c r="C879" s="32" t="n"/>
      <c r="D879" s="36" t="n"/>
      <c r="E879" s="37" t="n"/>
      <c r="F879" s="36" t="n"/>
      <c r="G879" s="44" t="n"/>
      <c r="H879" s="43" t="n"/>
      <c r="I879" s="32" t="n"/>
      <c r="J879" s="44" t="n"/>
      <c r="K879" s="36" t="n"/>
      <c r="L879" s="33">
        <f>IF(C879="","",Commercial_Id)</f>
        <v/>
      </c>
      <c r="M879" s="34">
        <f>IF(OR(C879="",F879=""),"",IF(F879&lt;&gt;"Espèces","—",IF(I879&lt;&gt;"","☑ Oui","☐ Non")))</f>
        <v/>
      </c>
      <c r="N879" s="39">
        <f>IF(D879="","",IFERROR(VALUE(MID(D879,LEN(D879)-3,3)),""))</f>
        <v/>
      </c>
      <c r="O879" s="33">
        <f>IF(N879="","",L879&amp;"|"&amp;N879)</f>
        <v/>
      </c>
      <c r="P879" s="33">
        <f>IF(N879="","",IF(L879="À RENSEIGNER","GIC",L879)&amp;"-"&amp;TEXT(N879,"000"))</f>
        <v/>
      </c>
      <c r="Q879" s="33">
        <f>IF(O879="","",IFERROR(INDEX(Cl_nom,MATCH(O879,Cl_cle,0)),"(client introuvable)"))</f>
        <v/>
      </c>
      <c r="R879" s="40">
        <f>IF(O879="","",IFERROR(INDEX(Cl_reste,MATCH(O879,Cl_cle,0)),""))</f>
        <v/>
      </c>
      <c r="S879" s="34">
        <f>IF(C879="","",YEAR(C879-WEEKDAY(C879,2)+4)&amp;"-S"&amp;TEXT(INT((C879-DATE(YEAR(C879-WEEKDAY(C879,2)+4),1,3)+WEEKDAY(DATE(YEAR(C879-WEEKDAY(C879,2)+4),1,3),2)+5)/7),"00"))</f>
        <v/>
      </c>
    </row>
    <row r="880" ht="18" customHeight="1">
      <c r="A880" s="39" t="n">
        <v>875</v>
      </c>
      <c r="B880" s="33">
        <f>IF(C880="","",IF(L880="À RENSEIGNER","GIC",L880)&amp;"-E"&amp;TEXT(A880,"00000"))</f>
        <v/>
      </c>
      <c r="C880" s="32" t="n"/>
      <c r="D880" s="36" t="n"/>
      <c r="E880" s="37" t="n"/>
      <c r="F880" s="36" t="n"/>
      <c r="G880" s="44" t="n"/>
      <c r="H880" s="43" t="n"/>
      <c r="I880" s="32" t="n"/>
      <c r="J880" s="44" t="n"/>
      <c r="K880" s="36" t="n"/>
      <c r="L880" s="33">
        <f>IF(C880="","",Commercial_Id)</f>
        <v/>
      </c>
      <c r="M880" s="34">
        <f>IF(OR(C880="",F880=""),"",IF(F880&lt;&gt;"Espèces","—",IF(I880&lt;&gt;"","☑ Oui","☐ Non")))</f>
        <v/>
      </c>
      <c r="N880" s="39">
        <f>IF(D880="","",IFERROR(VALUE(MID(D880,LEN(D880)-3,3)),""))</f>
        <v/>
      </c>
      <c r="O880" s="33">
        <f>IF(N880="","",L880&amp;"|"&amp;N880)</f>
        <v/>
      </c>
      <c r="P880" s="33">
        <f>IF(N880="","",IF(L880="À RENSEIGNER","GIC",L880)&amp;"-"&amp;TEXT(N880,"000"))</f>
        <v/>
      </c>
      <c r="Q880" s="33">
        <f>IF(O880="","",IFERROR(INDEX(Cl_nom,MATCH(O880,Cl_cle,0)),"(client introuvable)"))</f>
        <v/>
      </c>
      <c r="R880" s="40">
        <f>IF(O880="","",IFERROR(INDEX(Cl_reste,MATCH(O880,Cl_cle,0)),""))</f>
        <v/>
      </c>
      <c r="S880" s="34">
        <f>IF(C880="","",YEAR(C880-WEEKDAY(C880,2)+4)&amp;"-S"&amp;TEXT(INT((C880-DATE(YEAR(C880-WEEKDAY(C880,2)+4),1,3)+WEEKDAY(DATE(YEAR(C880-WEEKDAY(C880,2)+4),1,3),2)+5)/7),"00"))</f>
        <v/>
      </c>
    </row>
    <row r="881" ht="18" customHeight="1">
      <c r="A881" s="39" t="n">
        <v>876</v>
      </c>
      <c r="B881" s="33">
        <f>IF(C881="","",IF(L881="À RENSEIGNER","GIC",L881)&amp;"-E"&amp;TEXT(A881,"00000"))</f>
        <v/>
      </c>
      <c r="C881" s="32" t="n"/>
      <c r="D881" s="36" t="n"/>
      <c r="E881" s="37" t="n"/>
      <c r="F881" s="36" t="n"/>
      <c r="G881" s="44" t="n"/>
      <c r="H881" s="43" t="n"/>
      <c r="I881" s="32" t="n"/>
      <c r="J881" s="44" t="n"/>
      <c r="K881" s="36" t="n"/>
      <c r="L881" s="33">
        <f>IF(C881="","",Commercial_Id)</f>
        <v/>
      </c>
      <c r="M881" s="34">
        <f>IF(OR(C881="",F881=""),"",IF(F881&lt;&gt;"Espèces","—",IF(I881&lt;&gt;"","☑ Oui","☐ Non")))</f>
        <v/>
      </c>
      <c r="N881" s="39">
        <f>IF(D881="","",IFERROR(VALUE(MID(D881,LEN(D881)-3,3)),""))</f>
        <v/>
      </c>
      <c r="O881" s="33">
        <f>IF(N881="","",L881&amp;"|"&amp;N881)</f>
        <v/>
      </c>
      <c r="P881" s="33">
        <f>IF(N881="","",IF(L881="À RENSEIGNER","GIC",L881)&amp;"-"&amp;TEXT(N881,"000"))</f>
        <v/>
      </c>
      <c r="Q881" s="33">
        <f>IF(O881="","",IFERROR(INDEX(Cl_nom,MATCH(O881,Cl_cle,0)),"(client introuvable)"))</f>
        <v/>
      </c>
      <c r="R881" s="40">
        <f>IF(O881="","",IFERROR(INDEX(Cl_reste,MATCH(O881,Cl_cle,0)),""))</f>
        <v/>
      </c>
      <c r="S881" s="34">
        <f>IF(C881="","",YEAR(C881-WEEKDAY(C881,2)+4)&amp;"-S"&amp;TEXT(INT((C881-DATE(YEAR(C881-WEEKDAY(C881,2)+4),1,3)+WEEKDAY(DATE(YEAR(C881-WEEKDAY(C881,2)+4),1,3),2)+5)/7),"00"))</f>
        <v/>
      </c>
    </row>
    <row r="882" ht="18" customHeight="1">
      <c r="A882" s="39" t="n">
        <v>877</v>
      </c>
      <c r="B882" s="33">
        <f>IF(C882="","",IF(L882="À RENSEIGNER","GIC",L882)&amp;"-E"&amp;TEXT(A882,"00000"))</f>
        <v/>
      </c>
      <c r="C882" s="32" t="n"/>
      <c r="D882" s="36" t="n"/>
      <c r="E882" s="37" t="n"/>
      <c r="F882" s="36" t="n"/>
      <c r="G882" s="44" t="n"/>
      <c r="H882" s="43" t="n"/>
      <c r="I882" s="32" t="n"/>
      <c r="J882" s="44" t="n"/>
      <c r="K882" s="36" t="n"/>
      <c r="L882" s="33">
        <f>IF(C882="","",Commercial_Id)</f>
        <v/>
      </c>
      <c r="M882" s="34">
        <f>IF(OR(C882="",F882=""),"",IF(F882&lt;&gt;"Espèces","—",IF(I882&lt;&gt;"","☑ Oui","☐ Non")))</f>
        <v/>
      </c>
      <c r="N882" s="39">
        <f>IF(D882="","",IFERROR(VALUE(MID(D882,LEN(D882)-3,3)),""))</f>
        <v/>
      </c>
      <c r="O882" s="33">
        <f>IF(N882="","",L882&amp;"|"&amp;N882)</f>
        <v/>
      </c>
      <c r="P882" s="33">
        <f>IF(N882="","",IF(L882="À RENSEIGNER","GIC",L882)&amp;"-"&amp;TEXT(N882,"000"))</f>
        <v/>
      </c>
      <c r="Q882" s="33">
        <f>IF(O882="","",IFERROR(INDEX(Cl_nom,MATCH(O882,Cl_cle,0)),"(client introuvable)"))</f>
        <v/>
      </c>
      <c r="R882" s="40">
        <f>IF(O882="","",IFERROR(INDEX(Cl_reste,MATCH(O882,Cl_cle,0)),""))</f>
        <v/>
      </c>
      <c r="S882" s="34">
        <f>IF(C882="","",YEAR(C882-WEEKDAY(C882,2)+4)&amp;"-S"&amp;TEXT(INT((C882-DATE(YEAR(C882-WEEKDAY(C882,2)+4),1,3)+WEEKDAY(DATE(YEAR(C882-WEEKDAY(C882,2)+4),1,3),2)+5)/7),"00"))</f>
        <v/>
      </c>
    </row>
    <row r="883" ht="18" customHeight="1">
      <c r="A883" s="39" t="n">
        <v>878</v>
      </c>
      <c r="B883" s="33">
        <f>IF(C883="","",IF(L883="À RENSEIGNER","GIC",L883)&amp;"-E"&amp;TEXT(A883,"00000"))</f>
        <v/>
      </c>
      <c r="C883" s="32" t="n"/>
      <c r="D883" s="36" t="n"/>
      <c r="E883" s="37" t="n"/>
      <c r="F883" s="36" t="n"/>
      <c r="G883" s="44" t="n"/>
      <c r="H883" s="43" t="n"/>
      <c r="I883" s="32" t="n"/>
      <c r="J883" s="44" t="n"/>
      <c r="K883" s="36" t="n"/>
      <c r="L883" s="33">
        <f>IF(C883="","",Commercial_Id)</f>
        <v/>
      </c>
      <c r="M883" s="34">
        <f>IF(OR(C883="",F883=""),"",IF(F883&lt;&gt;"Espèces","—",IF(I883&lt;&gt;"","☑ Oui","☐ Non")))</f>
        <v/>
      </c>
      <c r="N883" s="39">
        <f>IF(D883="","",IFERROR(VALUE(MID(D883,LEN(D883)-3,3)),""))</f>
        <v/>
      </c>
      <c r="O883" s="33">
        <f>IF(N883="","",L883&amp;"|"&amp;N883)</f>
        <v/>
      </c>
      <c r="P883" s="33">
        <f>IF(N883="","",IF(L883="À RENSEIGNER","GIC",L883)&amp;"-"&amp;TEXT(N883,"000"))</f>
        <v/>
      </c>
      <c r="Q883" s="33">
        <f>IF(O883="","",IFERROR(INDEX(Cl_nom,MATCH(O883,Cl_cle,0)),"(client introuvable)"))</f>
        <v/>
      </c>
      <c r="R883" s="40">
        <f>IF(O883="","",IFERROR(INDEX(Cl_reste,MATCH(O883,Cl_cle,0)),""))</f>
        <v/>
      </c>
      <c r="S883" s="34">
        <f>IF(C883="","",YEAR(C883-WEEKDAY(C883,2)+4)&amp;"-S"&amp;TEXT(INT((C883-DATE(YEAR(C883-WEEKDAY(C883,2)+4),1,3)+WEEKDAY(DATE(YEAR(C883-WEEKDAY(C883,2)+4),1,3),2)+5)/7),"00"))</f>
        <v/>
      </c>
    </row>
    <row r="884" ht="18" customHeight="1">
      <c r="A884" s="39" t="n">
        <v>879</v>
      </c>
      <c r="B884" s="33">
        <f>IF(C884="","",IF(L884="À RENSEIGNER","GIC",L884)&amp;"-E"&amp;TEXT(A884,"00000"))</f>
        <v/>
      </c>
      <c r="C884" s="32" t="n"/>
      <c r="D884" s="36" t="n"/>
      <c r="E884" s="37" t="n"/>
      <c r="F884" s="36" t="n"/>
      <c r="G884" s="44" t="n"/>
      <c r="H884" s="43" t="n"/>
      <c r="I884" s="32" t="n"/>
      <c r="J884" s="44" t="n"/>
      <c r="K884" s="36" t="n"/>
      <c r="L884" s="33">
        <f>IF(C884="","",Commercial_Id)</f>
        <v/>
      </c>
      <c r="M884" s="34">
        <f>IF(OR(C884="",F884=""),"",IF(F884&lt;&gt;"Espèces","—",IF(I884&lt;&gt;"","☑ Oui","☐ Non")))</f>
        <v/>
      </c>
      <c r="N884" s="39">
        <f>IF(D884="","",IFERROR(VALUE(MID(D884,LEN(D884)-3,3)),""))</f>
        <v/>
      </c>
      <c r="O884" s="33">
        <f>IF(N884="","",L884&amp;"|"&amp;N884)</f>
        <v/>
      </c>
      <c r="P884" s="33">
        <f>IF(N884="","",IF(L884="À RENSEIGNER","GIC",L884)&amp;"-"&amp;TEXT(N884,"000"))</f>
        <v/>
      </c>
      <c r="Q884" s="33">
        <f>IF(O884="","",IFERROR(INDEX(Cl_nom,MATCH(O884,Cl_cle,0)),"(client introuvable)"))</f>
        <v/>
      </c>
      <c r="R884" s="40">
        <f>IF(O884="","",IFERROR(INDEX(Cl_reste,MATCH(O884,Cl_cle,0)),""))</f>
        <v/>
      </c>
      <c r="S884" s="34">
        <f>IF(C884="","",YEAR(C884-WEEKDAY(C884,2)+4)&amp;"-S"&amp;TEXT(INT((C884-DATE(YEAR(C884-WEEKDAY(C884,2)+4),1,3)+WEEKDAY(DATE(YEAR(C884-WEEKDAY(C884,2)+4),1,3),2)+5)/7),"00"))</f>
        <v/>
      </c>
    </row>
    <row r="885" ht="18" customHeight="1">
      <c r="A885" s="39" t="n">
        <v>880</v>
      </c>
      <c r="B885" s="33">
        <f>IF(C885="","",IF(L885="À RENSEIGNER","GIC",L885)&amp;"-E"&amp;TEXT(A885,"00000"))</f>
        <v/>
      </c>
      <c r="C885" s="32" t="n"/>
      <c r="D885" s="36" t="n"/>
      <c r="E885" s="37" t="n"/>
      <c r="F885" s="36" t="n"/>
      <c r="G885" s="44" t="n"/>
      <c r="H885" s="43" t="n"/>
      <c r="I885" s="32" t="n"/>
      <c r="J885" s="44" t="n"/>
      <c r="K885" s="36" t="n"/>
      <c r="L885" s="33">
        <f>IF(C885="","",Commercial_Id)</f>
        <v/>
      </c>
      <c r="M885" s="34">
        <f>IF(OR(C885="",F885=""),"",IF(F885&lt;&gt;"Espèces","—",IF(I885&lt;&gt;"","☑ Oui","☐ Non")))</f>
        <v/>
      </c>
      <c r="N885" s="39">
        <f>IF(D885="","",IFERROR(VALUE(MID(D885,LEN(D885)-3,3)),""))</f>
        <v/>
      </c>
      <c r="O885" s="33">
        <f>IF(N885="","",L885&amp;"|"&amp;N885)</f>
        <v/>
      </c>
      <c r="P885" s="33">
        <f>IF(N885="","",IF(L885="À RENSEIGNER","GIC",L885)&amp;"-"&amp;TEXT(N885,"000"))</f>
        <v/>
      </c>
      <c r="Q885" s="33">
        <f>IF(O885="","",IFERROR(INDEX(Cl_nom,MATCH(O885,Cl_cle,0)),"(client introuvable)"))</f>
        <v/>
      </c>
      <c r="R885" s="40">
        <f>IF(O885="","",IFERROR(INDEX(Cl_reste,MATCH(O885,Cl_cle,0)),""))</f>
        <v/>
      </c>
      <c r="S885" s="34">
        <f>IF(C885="","",YEAR(C885-WEEKDAY(C885,2)+4)&amp;"-S"&amp;TEXT(INT((C885-DATE(YEAR(C885-WEEKDAY(C885,2)+4),1,3)+WEEKDAY(DATE(YEAR(C885-WEEKDAY(C885,2)+4),1,3),2)+5)/7),"00"))</f>
        <v/>
      </c>
    </row>
    <row r="886" ht="18" customHeight="1">
      <c r="A886" s="39" t="n">
        <v>881</v>
      </c>
      <c r="B886" s="33">
        <f>IF(C886="","",IF(L886="À RENSEIGNER","GIC",L886)&amp;"-E"&amp;TEXT(A886,"00000"))</f>
        <v/>
      </c>
      <c r="C886" s="32" t="n"/>
      <c r="D886" s="36" t="n"/>
      <c r="E886" s="37" t="n"/>
      <c r="F886" s="36" t="n"/>
      <c r="G886" s="44" t="n"/>
      <c r="H886" s="43" t="n"/>
      <c r="I886" s="32" t="n"/>
      <c r="J886" s="44" t="n"/>
      <c r="K886" s="36" t="n"/>
      <c r="L886" s="33">
        <f>IF(C886="","",Commercial_Id)</f>
        <v/>
      </c>
      <c r="M886" s="34">
        <f>IF(OR(C886="",F886=""),"",IF(F886&lt;&gt;"Espèces","—",IF(I886&lt;&gt;"","☑ Oui","☐ Non")))</f>
        <v/>
      </c>
      <c r="N886" s="39">
        <f>IF(D886="","",IFERROR(VALUE(MID(D886,LEN(D886)-3,3)),""))</f>
        <v/>
      </c>
      <c r="O886" s="33">
        <f>IF(N886="","",L886&amp;"|"&amp;N886)</f>
        <v/>
      </c>
      <c r="P886" s="33">
        <f>IF(N886="","",IF(L886="À RENSEIGNER","GIC",L886)&amp;"-"&amp;TEXT(N886,"000"))</f>
        <v/>
      </c>
      <c r="Q886" s="33">
        <f>IF(O886="","",IFERROR(INDEX(Cl_nom,MATCH(O886,Cl_cle,0)),"(client introuvable)"))</f>
        <v/>
      </c>
      <c r="R886" s="40">
        <f>IF(O886="","",IFERROR(INDEX(Cl_reste,MATCH(O886,Cl_cle,0)),""))</f>
        <v/>
      </c>
      <c r="S886" s="34">
        <f>IF(C886="","",YEAR(C886-WEEKDAY(C886,2)+4)&amp;"-S"&amp;TEXT(INT((C886-DATE(YEAR(C886-WEEKDAY(C886,2)+4),1,3)+WEEKDAY(DATE(YEAR(C886-WEEKDAY(C886,2)+4),1,3),2)+5)/7),"00"))</f>
        <v/>
      </c>
    </row>
    <row r="887" ht="18" customHeight="1">
      <c r="A887" s="39" t="n">
        <v>882</v>
      </c>
      <c r="B887" s="33">
        <f>IF(C887="","",IF(L887="À RENSEIGNER","GIC",L887)&amp;"-E"&amp;TEXT(A887,"00000"))</f>
        <v/>
      </c>
      <c r="C887" s="32" t="n"/>
      <c r="D887" s="36" t="n"/>
      <c r="E887" s="37" t="n"/>
      <c r="F887" s="36" t="n"/>
      <c r="G887" s="44" t="n"/>
      <c r="H887" s="43" t="n"/>
      <c r="I887" s="32" t="n"/>
      <c r="J887" s="44" t="n"/>
      <c r="K887" s="36" t="n"/>
      <c r="L887" s="33">
        <f>IF(C887="","",Commercial_Id)</f>
        <v/>
      </c>
      <c r="M887" s="34">
        <f>IF(OR(C887="",F887=""),"",IF(F887&lt;&gt;"Espèces","—",IF(I887&lt;&gt;"","☑ Oui","☐ Non")))</f>
        <v/>
      </c>
      <c r="N887" s="39">
        <f>IF(D887="","",IFERROR(VALUE(MID(D887,LEN(D887)-3,3)),""))</f>
        <v/>
      </c>
      <c r="O887" s="33">
        <f>IF(N887="","",L887&amp;"|"&amp;N887)</f>
        <v/>
      </c>
      <c r="P887" s="33">
        <f>IF(N887="","",IF(L887="À RENSEIGNER","GIC",L887)&amp;"-"&amp;TEXT(N887,"000"))</f>
        <v/>
      </c>
      <c r="Q887" s="33">
        <f>IF(O887="","",IFERROR(INDEX(Cl_nom,MATCH(O887,Cl_cle,0)),"(client introuvable)"))</f>
        <v/>
      </c>
      <c r="R887" s="40">
        <f>IF(O887="","",IFERROR(INDEX(Cl_reste,MATCH(O887,Cl_cle,0)),""))</f>
        <v/>
      </c>
      <c r="S887" s="34">
        <f>IF(C887="","",YEAR(C887-WEEKDAY(C887,2)+4)&amp;"-S"&amp;TEXT(INT((C887-DATE(YEAR(C887-WEEKDAY(C887,2)+4),1,3)+WEEKDAY(DATE(YEAR(C887-WEEKDAY(C887,2)+4),1,3),2)+5)/7),"00"))</f>
        <v/>
      </c>
    </row>
    <row r="888" ht="18" customHeight="1">
      <c r="A888" s="39" t="n">
        <v>883</v>
      </c>
      <c r="B888" s="33">
        <f>IF(C888="","",IF(L888="À RENSEIGNER","GIC",L888)&amp;"-E"&amp;TEXT(A888,"00000"))</f>
        <v/>
      </c>
      <c r="C888" s="32" t="n"/>
      <c r="D888" s="36" t="n"/>
      <c r="E888" s="37" t="n"/>
      <c r="F888" s="36" t="n"/>
      <c r="G888" s="44" t="n"/>
      <c r="H888" s="43" t="n"/>
      <c r="I888" s="32" t="n"/>
      <c r="J888" s="44" t="n"/>
      <c r="K888" s="36" t="n"/>
      <c r="L888" s="33">
        <f>IF(C888="","",Commercial_Id)</f>
        <v/>
      </c>
      <c r="M888" s="34">
        <f>IF(OR(C888="",F888=""),"",IF(F888&lt;&gt;"Espèces","—",IF(I888&lt;&gt;"","☑ Oui","☐ Non")))</f>
        <v/>
      </c>
      <c r="N888" s="39">
        <f>IF(D888="","",IFERROR(VALUE(MID(D888,LEN(D888)-3,3)),""))</f>
        <v/>
      </c>
      <c r="O888" s="33">
        <f>IF(N888="","",L888&amp;"|"&amp;N888)</f>
        <v/>
      </c>
      <c r="P888" s="33">
        <f>IF(N888="","",IF(L888="À RENSEIGNER","GIC",L888)&amp;"-"&amp;TEXT(N888,"000"))</f>
        <v/>
      </c>
      <c r="Q888" s="33">
        <f>IF(O888="","",IFERROR(INDEX(Cl_nom,MATCH(O888,Cl_cle,0)),"(client introuvable)"))</f>
        <v/>
      </c>
      <c r="R888" s="40">
        <f>IF(O888="","",IFERROR(INDEX(Cl_reste,MATCH(O888,Cl_cle,0)),""))</f>
        <v/>
      </c>
      <c r="S888" s="34">
        <f>IF(C888="","",YEAR(C888-WEEKDAY(C888,2)+4)&amp;"-S"&amp;TEXT(INT((C888-DATE(YEAR(C888-WEEKDAY(C888,2)+4),1,3)+WEEKDAY(DATE(YEAR(C888-WEEKDAY(C888,2)+4),1,3),2)+5)/7),"00"))</f>
        <v/>
      </c>
    </row>
    <row r="889" ht="18" customHeight="1">
      <c r="A889" s="39" t="n">
        <v>884</v>
      </c>
      <c r="B889" s="33">
        <f>IF(C889="","",IF(L889="À RENSEIGNER","GIC",L889)&amp;"-E"&amp;TEXT(A889,"00000"))</f>
        <v/>
      </c>
      <c r="C889" s="32" t="n"/>
      <c r="D889" s="36" t="n"/>
      <c r="E889" s="37" t="n"/>
      <c r="F889" s="36" t="n"/>
      <c r="G889" s="44" t="n"/>
      <c r="H889" s="43" t="n"/>
      <c r="I889" s="32" t="n"/>
      <c r="J889" s="44" t="n"/>
      <c r="K889" s="36" t="n"/>
      <c r="L889" s="33">
        <f>IF(C889="","",Commercial_Id)</f>
        <v/>
      </c>
      <c r="M889" s="34">
        <f>IF(OR(C889="",F889=""),"",IF(F889&lt;&gt;"Espèces","—",IF(I889&lt;&gt;"","☑ Oui","☐ Non")))</f>
        <v/>
      </c>
      <c r="N889" s="39">
        <f>IF(D889="","",IFERROR(VALUE(MID(D889,LEN(D889)-3,3)),""))</f>
        <v/>
      </c>
      <c r="O889" s="33">
        <f>IF(N889="","",L889&amp;"|"&amp;N889)</f>
        <v/>
      </c>
      <c r="P889" s="33">
        <f>IF(N889="","",IF(L889="À RENSEIGNER","GIC",L889)&amp;"-"&amp;TEXT(N889,"000"))</f>
        <v/>
      </c>
      <c r="Q889" s="33">
        <f>IF(O889="","",IFERROR(INDEX(Cl_nom,MATCH(O889,Cl_cle,0)),"(client introuvable)"))</f>
        <v/>
      </c>
      <c r="R889" s="40">
        <f>IF(O889="","",IFERROR(INDEX(Cl_reste,MATCH(O889,Cl_cle,0)),""))</f>
        <v/>
      </c>
      <c r="S889" s="34">
        <f>IF(C889="","",YEAR(C889-WEEKDAY(C889,2)+4)&amp;"-S"&amp;TEXT(INT((C889-DATE(YEAR(C889-WEEKDAY(C889,2)+4),1,3)+WEEKDAY(DATE(YEAR(C889-WEEKDAY(C889,2)+4),1,3),2)+5)/7),"00"))</f>
        <v/>
      </c>
    </row>
    <row r="890" ht="18" customHeight="1">
      <c r="A890" s="39" t="n">
        <v>885</v>
      </c>
      <c r="B890" s="33">
        <f>IF(C890="","",IF(L890="À RENSEIGNER","GIC",L890)&amp;"-E"&amp;TEXT(A890,"00000"))</f>
        <v/>
      </c>
      <c r="C890" s="32" t="n"/>
      <c r="D890" s="36" t="n"/>
      <c r="E890" s="37" t="n"/>
      <c r="F890" s="36" t="n"/>
      <c r="G890" s="44" t="n"/>
      <c r="H890" s="43" t="n"/>
      <c r="I890" s="32" t="n"/>
      <c r="J890" s="44" t="n"/>
      <c r="K890" s="36" t="n"/>
      <c r="L890" s="33">
        <f>IF(C890="","",Commercial_Id)</f>
        <v/>
      </c>
      <c r="M890" s="34">
        <f>IF(OR(C890="",F890=""),"",IF(F890&lt;&gt;"Espèces","—",IF(I890&lt;&gt;"","☑ Oui","☐ Non")))</f>
        <v/>
      </c>
      <c r="N890" s="39">
        <f>IF(D890="","",IFERROR(VALUE(MID(D890,LEN(D890)-3,3)),""))</f>
        <v/>
      </c>
      <c r="O890" s="33">
        <f>IF(N890="","",L890&amp;"|"&amp;N890)</f>
        <v/>
      </c>
      <c r="P890" s="33">
        <f>IF(N890="","",IF(L890="À RENSEIGNER","GIC",L890)&amp;"-"&amp;TEXT(N890,"000"))</f>
        <v/>
      </c>
      <c r="Q890" s="33">
        <f>IF(O890="","",IFERROR(INDEX(Cl_nom,MATCH(O890,Cl_cle,0)),"(client introuvable)"))</f>
        <v/>
      </c>
      <c r="R890" s="40">
        <f>IF(O890="","",IFERROR(INDEX(Cl_reste,MATCH(O890,Cl_cle,0)),""))</f>
        <v/>
      </c>
      <c r="S890" s="34">
        <f>IF(C890="","",YEAR(C890-WEEKDAY(C890,2)+4)&amp;"-S"&amp;TEXT(INT((C890-DATE(YEAR(C890-WEEKDAY(C890,2)+4),1,3)+WEEKDAY(DATE(YEAR(C890-WEEKDAY(C890,2)+4),1,3),2)+5)/7),"00"))</f>
        <v/>
      </c>
    </row>
    <row r="891" ht="18" customHeight="1">
      <c r="A891" s="39" t="n">
        <v>886</v>
      </c>
      <c r="B891" s="33">
        <f>IF(C891="","",IF(L891="À RENSEIGNER","GIC",L891)&amp;"-E"&amp;TEXT(A891,"00000"))</f>
        <v/>
      </c>
      <c r="C891" s="32" t="n"/>
      <c r="D891" s="36" t="n"/>
      <c r="E891" s="37" t="n"/>
      <c r="F891" s="36" t="n"/>
      <c r="G891" s="44" t="n"/>
      <c r="H891" s="43" t="n"/>
      <c r="I891" s="32" t="n"/>
      <c r="J891" s="44" t="n"/>
      <c r="K891" s="36" t="n"/>
      <c r="L891" s="33">
        <f>IF(C891="","",Commercial_Id)</f>
        <v/>
      </c>
      <c r="M891" s="34">
        <f>IF(OR(C891="",F891=""),"",IF(F891&lt;&gt;"Espèces","—",IF(I891&lt;&gt;"","☑ Oui","☐ Non")))</f>
        <v/>
      </c>
      <c r="N891" s="39">
        <f>IF(D891="","",IFERROR(VALUE(MID(D891,LEN(D891)-3,3)),""))</f>
        <v/>
      </c>
      <c r="O891" s="33">
        <f>IF(N891="","",L891&amp;"|"&amp;N891)</f>
        <v/>
      </c>
      <c r="P891" s="33">
        <f>IF(N891="","",IF(L891="À RENSEIGNER","GIC",L891)&amp;"-"&amp;TEXT(N891,"000"))</f>
        <v/>
      </c>
      <c r="Q891" s="33">
        <f>IF(O891="","",IFERROR(INDEX(Cl_nom,MATCH(O891,Cl_cle,0)),"(client introuvable)"))</f>
        <v/>
      </c>
      <c r="R891" s="40">
        <f>IF(O891="","",IFERROR(INDEX(Cl_reste,MATCH(O891,Cl_cle,0)),""))</f>
        <v/>
      </c>
      <c r="S891" s="34">
        <f>IF(C891="","",YEAR(C891-WEEKDAY(C891,2)+4)&amp;"-S"&amp;TEXT(INT((C891-DATE(YEAR(C891-WEEKDAY(C891,2)+4),1,3)+WEEKDAY(DATE(YEAR(C891-WEEKDAY(C891,2)+4),1,3),2)+5)/7),"00"))</f>
        <v/>
      </c>
    </row>
    <row r="892" ht="18" customHeight="1">
      <c r="A892" s="39" t="n">
        <v>887</v>
      </c>
      <c r="B892" s="33">
        <f>IF(C892="","",IF(L892="À RENSEIGNER","GIC",L892)&amp;"-E"&amp;TEXT(A892,"00000"))</f>
        <v/>
      </c>
      <c r="C892" s="32" t="n"/>
      <c r="D892" s="36" t="n"/>
      <c r="E892" s="37" t="n"/>
      <c r="F892" s="36" t="n"/>
      <c r="G892" s="44" t="n"/>
      <c r="H892" s="43" t="n"/>
      <c r="I892" s="32" t="n"/>
      <c r="J892" s="44" t="n"/>
      <c r="K892" s="36" t="n"/>
      <c r="L892" s="33">
        <f>IF(C892="","",Commercial_Id)</f>
        <v/>
      </c>
      <c r="M892" s="34">
        <f>IF(OR(C892="",F892=""),"",IF(F892&lt;&gt;"Espèces","—",IF(I892&lt;&gt;"","☑ Oui","☐ Non")))</f>
        <v/>
      </c>
      <c r="N892" s="39">
        <f>IF(D892="","",IFERROR(VALUE(MID(D892,LEN(D892)-3,3)),""))</f>
        <v/>
      </c>
      <c r="O892" s="33">
        <f>IF(N892="","",L892&amp;"|"&amp;N892)</f>
        <v/>
      </c>
      <c r="P892" s="33">
        <f>IF(N892="","",IF(L892="À RENSEIGNER","GIC",L892)&amp;"-"&amp;TEXT(N892,"000"))</f>
        <v/>
      </c>
      <c r="Q892" s="33">
        <f>IF(O892="","",IFERROR(INDEX(Cl_nom,MATCH(O892,Cl_cle,0)),"(client introuvable)"))</f>
        <v/>
      </c>
      <c r="R892" s="40">
        <f>IF(O892="","",IFERROR(INDEX(Cl_reste,MATCH(O892,Cl_cle,0)),""))</f>
        <v/>
      </c>
      <c r="S892" s="34">
        <f>IF(C892="","",YEAR(C892-WEEKDAY(C892,2)+4)&amp;"-S"&amp;TEXT(INT((C892-DATE(YEAR(C892-WEEKDAY(C892,2)+4),1,3)+WEEKDAY(DATE(YEAR(C892-WEEKDAY(C892,2)+4),1,3),2)+5)/7),"00"))</f>
        <v/>
      </c>
    </row>
    <row r="893" ht="18" customHeight="1">
      <c r="A893" s="39" t="n">
        <v>888</v>
      </c>
      <c r="B893" s="33">
        <f>IF(C893="","",IF(L893="À RENSEIGNER","GIC",L893)&amp;"-E"&amp;TEXT(A893,"00000"))</f>
        <v/>
      </c>
      <c r="C893" s="32" t="n"/>
      <c r="D893" s="36" t="n"/>
      <c r="E893" s="37" t="n"/>
      <c r="F893" s="36" t="n"/>
      <c r="G893" s="44" t="n"/>
      <c r="H893" s="43" t="n"/>
      <c r="I893" s="32" t="n"/>
      <c r="J893" s="44" t="n"/>
      <c r="K893" s="36" t="n"/>
      <c r="L893" s="33">
        <f>IF(C893="","",Commercial_Id)</f>
        <v/>
      </c>
      <c r="M893" s="34">
        <f>IF(OR(C893="",F893=""),"",IF(F893&lt;&gt;"Espèces","—",IF(I893&lt;&gt;"","☑ Oui","☐ Non")))</f>
        <v/>
      </c>
      <c r="N893" s="39">
        <f>IF(D893="","",IFERROR(VALUE(MID(D893,LEN(D893)-3,3)),""))</f>
        <v/>
      </c>
      <c r="O893" s="33">
        <f>IF(N893="","",L893&amp;"|"&amp;N893)</f>
        <v/>
      </c>
      <c r="P893" s="33">
        <f>IF(N893="","",IF(L893="À RENSEIGNER","GIC",L893)&amp;"-"&amp;TEXT(N893,"000"))</f>
        <v/>
      </c>
      <c r="Q893" s="33">
        <f>IF(O893="","",IFERROR(INDEX(Cl_nom,MATCH(O893,Cl_cle,0)),"(client introuvable)"))</f>
        <v/>
      </c>
      <c r="R893" s="40">
        <f>IF(O893="","",IFERROR(INDEX(Cl_reste,MATCH(O893,Cl_cle,0)),""))</f>
        <v/>
      </c>
      <c r="S893" s="34">
        <f>IF(C893="","",YEAR(C893-WEEKDAY(C893,2)+4)&amp;"-S"&amp;TEXT(INT((C893-DATE(YEAR(C893-WEEKDAY(C893,2)+4),1,3)+WEEKDAY(DATE(YEAR(C893-WEEKDAY(C893,2)+4),1,3),2)+5)/7),"00"))</f>
        <v/>
      </c>
    </row>
    <row r="894" ht="18" customHeight="1">
      <c r="A894" s="39" t="n">
        <v>889</v>
      </c>
      <c r="B894" s="33">
        <f>IF(C894="","",IF(L894="À RENSEIGNER","GIC",L894)&amp;"-E"&amp;TEXT(A894,"00000"))</f>
        <v/>
      </c>
      <c r="C894" s="32" t="n"/>
      <c r="D894" s="36" t="n"/>
      <c r="E894" s="37" t="n"/>
      <c r="F894" s="36" t="n"/>
      <c r="G894" s="44" t="n"/>
      <c r="H894" s="43" t="n"/>
      <c r="I894" s="32" t="n"/>
      <c r="J894" s="44" t="n"/>
      <c r="K894" s="36" t="n"/>
      <c r="L894" s="33">
        <f>IF(C894="","",Commercial_Id)</f>
        <v/>
      </c>
      <c r="M894" s="34">
        <f>IF(OR(C894="",F894=""),"",IF(F894&lt;&gt;"Espèces","—",IF(I894&lt;&gt;"","☑ Oui","☐ Non")))</f>
        <v/>
      </c>
      <c r="N894" s="39">
        <f>IF(D894="","",IFERROR(VALUE(MID(D894,LEN(D894)-3,3)),""))</f>
        <v/>
      </c>
      <c r="O894" s="33">
        <f>IF(N894="","",L894&amp;"|"&amp;N894)</f>
        <v/>
      </c>
      <c r="P894" s="33">
        <f>IF(N894="","",IF(L894="À RENSEIGNER","GIC",L894)&amp;"-"&amp;TEXT(N894,"000"))</f>
        <v/>
      </c>
      <c r="Q894" s="33">
        <f>IF(O894="","",IFERROR(INDEX(Cl_nom,MATCH(O894,Cl_cle,0)),"(client introuvable)"))</f>
        <v/>
      </c>
      <c r="R894" s="40">
        <f>IF(O894="","",IFERROR(INDEX(Cl_reste,MATCH(O894,Cl_cle,0)),""))</f>
        <v/>
      </c>
      <c r="S894" s="34">
        <f>IF(C894="","",YEAR(C894-WEEKDAY(C894,2)+4)&amp;"-S"&amp;TEXT(INT((C894-DATE(YEAR(C894-WEEKDAY(C894,2)+4),1,3)+WEEKDAY(DATE(YEAR(C894-WEEKDAY(C894,2)+4),1,3),2)+5)/7),"00"))</f>
        <v/>
      </c>
    </row>
    <row r="895" ht="18" customHeight="1">
      <c r="A895" s="39" t="n">
        <v>890</v>
      </c>
      <c r="B895" s="33">
        <f>IF(C895="","",IF(L895="À RENSEIGNER","GIC",L895)&amp;"-E"&amp;TEXT(A895,"00000"))</f>
        <v/>
      </c>
      <c r="C895" s="32" t="n"/>
      <c r="D895" s="36" t="n"/>
      <c r="E895" s="37" t="n"/>
      <c r="F895" s="36" t="n"/>
      <c r="G895" s="44" t="n"/>
      <c r="H895" s="43" t="n"/>
      <c r="I895" s="32" t="n"/>
      <c r="J895" s="44" t="n"/>
      <c r="K895" s="36" t="n"/>
      <c r="L895" s="33">
        <f>IF(C895="","",Commercial_Id)</f>
        <v/>
      </c>
      <c r="M895" s="34">
        <f>IF(OR(C895="",F895=""),"",IF(F895&lt;&gt;"Espèces","—",IF(I895&lt;&gt;"","☑ Oui","☐ Non")))</f>
        <v/>
      </c>
      <c r="N895" s="39">
        <f>IF(D895="","",IFERROR(VALUE(MID(D895,LEN(D895)-3,3)),""))</f>
        <v/>
      </c>
      <c r="O895" s="33">
        <f>IF(N895="","",L895&amp;"|"&amp;N895)</f>
        <v/>
      </c>
      <c r="P895" s="33">
        <f>IF(N895="","",IF(L895="À RENSEIGNER","GIC",L895)&amp;"-"&amp;TEXT(N895,"000"))</f>
        <v/>
      </c>
      <c r="Q895" s="33">
        <f>IF(O895="","",IFERROR(INDEX(Cl_nom,MATCH(O895,Cl_cle,0)),"(client introuvable)"))</f>
        <v/>
      </c>
      <c r="R895" s="40">
        <f>IF(O895="","",IFERROR(INDEX(Cl_reste,MATCH(O895,Cl_cle,0)),""))</f>
        <v/>
      </c>
      <c r="S895" s="34">
        <f>IF(C895="","",YEAR(C895-WEEKDAY(C895,2)+4)&amp;"-S"&amp;TEXT(INT((C895-DATE(YEAR(C895-WEEKDAY(C895,2)+4),1,3)+WEEKDAY(DATE(YEAR(C895-WEEKDAY(C895,2)+4),1,3),2)+5)/7),"00"))</f>
        <v/>
      </c>
    </row>
    <row r="896" ht="18" customHeight="1">
      <c r="A896" s="39" t="n">
        <v>891</v>
      </c>
      <c r="B896" s="33">
        <f>IF(C896="","",IF(L896="À RENSEIGNER","GIC",L896)&amp;"-E"&amp;TEXT(A896,"00000"))</f>
        <v/>
      </c>
      <c r="C896" s="32" t="n"/>
      <c r="D896" s="36" t="n"/>
      <c r="E896" s="37" t="n"/>
      <c r="F896" s="36" t="n"/>
      <c r="G896" s="44" t="n"/>
      <c r="H896" s="43" t="n"/>
      <c r="I896" s="32" t="n"/>
      <c r="J896" s="44" t="n"/>
      <c r="K896" s="36" t="n"/>
      <c r="L896" s="33">
        <f>IF(C896="","",Commercial_Id)</f>
        <v/>
      </c>
      <c r="M896" s="34">
        <f>IF(OR(C896="",F896=""),"",IF(F896&lt;&gt;"Espèces","—",IF(I896&lt;&gt;"","☑ Oui","☐ Non")))</f>
        <v/>
      </c>
      <c r="N896" s="39">
        <f>IF(D896="","",IFERROR(VALUE(MID(D896,LEN(D896)-3,3)),""))</f>
        <v/>
      </c>
      <c r="O896" s="33">
        <f>IF(N896="","",L896&amp;"|"&amp;N896)</f>
        <v/>
      </c>
      <c r="P896" s="33">
        <f>IF(N896="","",IF(L896="À RENSEIGNER","GIC",L896)&amp;"-"&amp;TEXT(N896,"000"))</f>
        <v/>
      </c>
      <c r="Q896" s="33">
        <f>IF(O896="","",IFERROR(INDEX(Cl_nom,MATCH(O896,Cl_cle,0)),"(client introuvable)"))</f>
        <v/>
      </c>
      <c r="R896" s="40">
        <f>IF(O896="","",IFERROR(INDEX(Cl_reste,MATCH(O896,Cl_cle,0)),""))</f>
        <v/>
      </c>
      <c r="S896" s="34">
        <f>IF(C896="","",YEAR(C896-WEEKDAY(C896,2)+4)&amp;"-S"&amp;TEXT(INT((C896-DATE(YEAR(C896-WEEKDAY(C896,2)+4),1,3)+WEEKDAY(DATE(YEAR(C896-WEEKDAY(C896,2)+4),1,3),2)+5)/7),"00"))</f>
        <v/>
      </c>
    </row>
    <row r="897" ht="18" customHeight="1">
      <c r="A897" s="39" t="n">
        <v>892</v>
      </c>
      <c r="B897" s="33">
        <f>IF(C897="","",IF(L897="À RENSEIGNER","GIC",L897)&amp;"-E"&amp;TEXT(A897,"00000"))</f>
        <v/>
      </c>
      <c r="C897" s="32" t="n"/>
      <c r="D897" s="36" t="n"/>
      <c r="E897" s="37" t="n"/>
      <c r="F897" s="36" t="n"/>
      <c r="G897" s="44" t="n"/>
      <c r="H897" s="43" t="n"/>
      <c r="I897" s="32" t="n"/>
      <c r="J897" s="44" t="n"/>
      <c r="K897" s="36" t="n"/>
      <c r="L897" s="33">
        <f>IF(C897="","",Commercial_Id)</f>
        <v/>
      </c>
      <c r="M897" s="34">
        <f>IF(OR(C897="",F897=""),"",IF(F897&lt;&gt;"Espèces","—",IF(I897&lt;&gt;"","☑ Oui","☐ Non")))</f>
        <v/>
      </c>
      <c r="N897" s="39">
        <f>IF(D897="","",IFERROR(VALUE(MID(D897,LEN(D897)-3,3)),""))</f>
        <v/>
      </c>
      <c r="O897" s="33">
        <f>IF(N897="","",L897&amp;"|"&amp;N897)</f>
        <v/>
      </c>
      <c r="P897" s="33">
        <f>IF(N897="","",IF(L897="À RENSEIGNER","GIC",L897)&amp;"-"&amp;TEXT(N897,"000"))</f>
        <v/>
      </c>
      <c r="Q897" s="33">
        <f>IF(O897="","",IFERROR(INDEX(Cl_nom,MATCH(O897,Cl_cle,0)),"(client introuvable)"))</f>
        <v/>
      </c>
      <c r="R897" s="40">
        <f>IF(O897="","",IFERROR(INDEX(Cl_reste,MATCH(O897,Cl_cle,0)),""))</f>
        <v/>
      </c>
      <c r="S897" s="34">
        <f>IF(C897="","",YEAR(C897-WEEKDAY(C897,2)+4)&amp;"-S"&amp;TEXT(INT((C897-DATE(YEAR(C897-WEEKDAY(C897,2)+4),1,3)+WEEKDAY(DATE(YEAR(C897-WEEKDAY(C897,2)+4),1,3),2)+5)/7),"00"))</f>
        <v/>
      </c>
    </row>
    <row r="898" ht="18" customHeight="1">
      <c r="A898" s="39" t="n">
        <v>893</v>
      </c>
      <c r="B898" s="33">
        <f>IF(C898="","",IF(L898="À RENSEIGNER","GIC",L898)&amp;"-E"&amp;TEXT(A898,"00000"))</f>
        <v/>
      </c>
      <c r="C898" s="32" t="n"/>
      <c r="D898" s="36" t="n"/>
      <c r="E898" s="37" t="n"/>
      <c r="F898" s="36" t="n"/>
      <c r="G898" s="44" t="n"/>
      <c r="H898" s="43" t="n"/>
      <c r="I898" s="32" t="n"/>
      <c r="J898" s="44" t="n"/>
      <c r="K898" s="36" t="n"/>
      <c r="L898" s="33">
        <f>IF(C898="","",Commercial_Id)</f>
        <v/>
      </c>
      <c r="M898" s="34">
        <f>IF(OR(C898="",F898=""),"",IF(F898&lt;&gt;"Espèces","—",IF(I898&lt;&gt;"","☑ Oui","☐ Non")))</f>
        <v/>
      </c>
      <c r="N898" s="39">
        <f>IF(D898="","",IFERROR(VALUE(MID(D898,LEN(D898)-3,3)),""))</f>
        <v/>
      </c>
      <c r="O898" s="33">
        <f>IF(N898="","",L898&amp;"|"&amp;N898)</f>
        <v/>
      </c>
      <c r="P898" s="33">
        <f>IF(N898="","",IF(L898="À RENSEIGNER","GIC",L898)&amp;"-"&amp;TEXT(N898,"000"))</f>
        <v/>
      </c>
      <c r="Q898" s="33">
        <f>IF(O898="","",IFERROR(INDEX(Cl_nom,MATCH(O898,Cl_cle,0)),"(client introuvable)"))</f>
        <v/>
      </c>
      <c r="R898" s="40">
        <f>IF(O898="","",IFERROR(INDEX(Cl_reste,MATCH(O898,Cl_cle,0)),""))</f>
        <v/>
      </c>
      <c r="S898" s="34">
        <f>IF(C898="","",YEAR(C898-WEEKDAY(C898,2)+4)&amp;"-S"&amp;TEXT(INT((C898-DATE(YEAR(C898-WEEKDAY(C898,2)+4),1,3)+WEEKDAY(DATE(YEAR(C898-WEEKDAY(C898,2)+4),1,3),2)+5)/7),"00"))</f>
        <v/>
      </c>
    </row>
    <row r="899" ht="18" customHeight="1">
      <c r="A899" s="39" t="n">
        <v>894</v>
      </c>
      <c r="B899" s="33">
        <f>IF(C899="","",IF(L899="À RENSEIGNER","GIC",L899)&amp;"-E"&amp;TEXT(A899,"00000"))</f>
        <v/>
      </c>
      <c r="C899" s="32" t="n"/>
      <c r="D899" s="36" t="n"/>
      <c r="E899" s="37" t="n"/>
      <c r="F899" s="36" t="n"/>
      <c r="G899" s="44" t="n"/>
      <c r="H899" s="43" t="n"/>
      <c r="I899" s="32" t="n"/>
      <c r="J899" s="44" t="n"/>
      <c r="K899" s="36" t="n"/>
      <c r="L899" s="33">
        <f>IF(C899="","",Commercial_Id)</f>
        <v/>
      </c>
      <c r="M899" s="34">
        <f>IF(OR(C899="",F899=""),"",IF(F899&lt;&gt;"Espèces","—",IF(I899&lt;&gt;"","☑ Oui","☐ Non")))</f>
        <v/>
      </c>
      <c r="N899" s="39">
        <f>IF(D899="","",IFERROR(VALUE(MID(D899,LEN(D899)-3,3)),""))</f>
        <v/>
      </c>
      <c r="O899" s="33">
        <f>IF(N899="","",L899&amp;"|"&amp;N899)</f>
        <v/>
      </c>
      <c r="P899" s="33">
        <f>IF(N899="","",IF(L899="À RENSEIGNER","GIC",L899)&amp;"-"&amp;TEXT(N899,"000"))</f>
        <v/>
      </c>
      <c r="Q899" s="33">
        <f>IF(O899="","",IFERROR(INDEX(Cl_nom,MATCH(O899,Cl_cle,0)),"(client introuvable)"))</f>
        <v/>
      </c>
      <c r="R899" s="40">
        <f>IF(O899="","",IFERROR(INDEX(Cl_reste,MATCH(O899,Cl_cle,0)),""))</f>
        <v/>
      </c>
      <c r="S899" s="34">
        <f>IF(C899="","",YEAR(C899-WEEKDAY(C899,2)+4)&amp;"-S"&amp;TEXT(INT((C899-DATE(YEAR(C899-WEEKDAY(C899,2)+4),1,3)+WEEKDAY(DATE(YEAR(C899-WEEKDAY(C899,2)+4),1,3),2)+5)/7),"00"))</f>
        <v/>
      </c>
    </row>
    <row r="900" ht="18" customHeight="1">
      <c r="A900" s="39" t="n">
        <v>895</v>
      </c>
      <c r="B900" s="33">
        <f>IF(C900="","",IF(L900="À RENSEIGNER","GIC",L900)&amp;"-E"&amp;TEXT(A900,"00000"))</f>
        <v/>
      </c>
      <c r="C900" s="32" t="n"/>
      <c r="D900" s="36" t="n"/>
      <c r="E900" s="37" t="n"/>
      <c r="F900" s="36" t="n"/>
      <c r="G900" s="44" t="n"/>
      <c r="H900" s="43" t="n"/>
      <c r="I900" s="32" t="n"/>
      <c r="J900" s="44" t="n"/>
      <c r="K900" s="36" t="n"/>
      <c r="L900" s="33">
        <f>IF(C900="","",Commercial_Id)</f>
        <v/>
      </c>
      <c r="M900" s="34">
        <f>IF(OR(C900="",F900=""),"",IF(F900&lt;&gt;"Espèces","—",IF(I900&lt;&gt;"","☑ Oui","☐ Non")))</f>
        <v/>
      </c>
      <c r="N900" s="39">
        <f>IF(D900="","",IFERROR(VALUE(MID(D900,LEN(D900)-3,3)),""))</f>
        <v/>
      </c>
      <c r="O900" s="33">
        <f>IF(N900="","",L900&amp;"|"&amp;N900)</f>
        <v/>
      </c>
      <c r="P900" s="33">
        <f>IF(N900="","",IF(L900="À RENSEIGNER","GIC",L900)&amp;"-"&amp;TEXT(N900,"000"))</f>
        <v/>
      </c>
      <c r="Q900" s="33">
        <f>IF(O900="","",IFERROR(INDEX(Cl_nom,MATCH(O900,Cl_cle,0)),"(client introuvable)"))</f>
        <v/>
      </c>
      <c r="R900" s="40">
        <f>IF(O900="","",IFERROR(INDEX(Cl_reste,MATCH(O900,Cl_cle,0)),""))</f>
        <v/>
      </c>
      <c r="S900" s="34">
        <f>IF(C900="","",YEAR(C900-WEEKDAY(C900,2)+4)&amp;"-S"&amp;TEXT(INT((C900-DATE(YEAR(C900-WEEKDAY(C900,2)+4),1,3)+WEEKDAY(DATE(YEAR(C900-WEEKDAY(C900,2)+4),1,3),2)+5)/7),"00"))</f>
        <v/>
      </c>
    </row>
    <row r="901" ht="18" customHeight="1">
      <c r="A901" s="39" t="n">
        <v>896</v>
      </c>
      <c r="B901" s="33">
        <f>IF(C901="","",IF(L901="À RENSEIGNER","GIC",L901)&amp;"-E"&amp;TEXT(A901,"00000"))</f>
        <v/>
      </c>
      <c r="C901" s="32" t="n"/>
      <c r="D901" s="36" t="n"/>
      <c r="E901" s="37" t="n"/>
      <c r="F901" s="36" t="n"/>
      <c r="G901" s="44" t="n"/>
      <c r="H901" s="43" t="n"/>
      <c r="I901" s="32" t="n"/>
      <c r="J901" s="44" t="n"/>
      <c r="K901" s="36" t="n"/>
      <c r="L901" s="33">
        <f>IF(C901="","",Commercial_Id)</f>
        <v/>
      </c>
      <c r="M901" s="34">
        <f>IF(OR(C901="",F901=""),"",IF(F901&lt;&gt;"Espèces","—",IF(I901&lt;&gt;"","☑ Oui","☐ Non")))</f>
        <v/>
      </c>
      <c r="N901" s="39">
        <f>IF(D901="","",IFERROR(VALUE(MID(D901,LEN(D901)-3,3)),""))</f>
        <v/>
      </c>
      <c r="O901" s="33">
        <f>IF(N901="","",L901&amp;"|"&amp;N901)</f>
        <v/>
      </c>
      <c r="P901" s="33">
        <f>IF(N901="","",IF(L901="À RENSEIGNER","GIC",L901)&amp;"-"&amp;TEXT(N901,"000"))</f>
        <v/>
      </c>
      <c r="Q901" s="33">
        <f>IF(O901="","",IFERROR(INDEX(Cl_nom,MATCH(O901,Cl_cle,0)),"(client introuvable)"))</f>
        <v/>
      </c>
      <c r="R901" s="40">
        <f>IF(O901="","",IFERROR(INDEX(Cl_reste,MATCH(O901,Cl_cle,0)),""))</f>
        <v/>
      </c>
      <c r="S901" s="34">
        <f>IF(C901="","",YEAR(C901-WEEKDAY(C901,2)+4)&amp;"-S"&amp;TEXT(INT((C901-DATE(YEAR(C901-WEEKDAY(C901,2)+4),1,3)+WEEKDAY(DATE(YEAR(C901-WEEKDAY(C901,2)+4),1,3),2)+5)/7),"00"))</f>
        <v/>
      </c>
    </row>
    <row r="902" ht="18" customHeight="1">
      <c r="A902" s="39" t="n">
        <v>897</v>
      </c>
      <c r="B902" s="33">
        <f>IF(C902="","",IF(L902="À RENSEIGNER","GIC",L902)&amp;"-E"&amp;TEXT(A902,"00000"))</f>
        <v/>
      </c>
      <c r="C902" s="32" t="n"/>
      <c r="D902" s="36" t="n"/>
      <c r="E902" s="37" t="n"/>
      <c r="F902" s="36" t="n"/>
      <c r="G902" s="44" t="n"/>
      <c r="H902" s="43" t="n"/>
      <c r="I902" s="32" t="n"/>
      <c r="J902" s="44" t="n"/>
      <c r="K902" s="36" t="n"/>
      <c r="L902" s="33">
        <f>IF(C902="","",Commercial_Id)</f>
        <v/>
      </c>
      <c r="M902" s="34">
        <f>IF(OR(C902="",F902=""),"",IF(F902&lt;&gt;"Espèces","—",IF(I902&lt;&gt;"","☑ Oui","☐ Non")))</f>
        <v/>
      </c>
      <c r="N902" s="39">
        <f>IF(D902="","",IFERROR(VALUE(MID(D902,LEN(D902)-3,3)),""))</f>
        <v/>
      </c>
      <c r="O902" s="33">
        <f>IF(N902="","",L902&amp;"|"&amp;N902)</f>
        <v/>
      </c>
      <c r="P902" s="33">
        <f>IF(N902="","",IF(L902="À RENSEIGNER","GIC",L902)&amp;"-"&amp;TEXT(N902,"000"))</f>
        <v/>
      </c>
      <c r="Q902" s="33">
        <f>IF(O902="","",IFERROR(INDEX(Cl_nom,MATCH(O902,Cl_cle,0)),"(client introuvable)"))</f>
        <v/>
      </c>
      <c r="R902" s="40">
        <f>IF(O902="","",IFERROR(INDEX(Cl_reste,MATCH(O902,Cl_cle,0)),""))</f>
        <v/>
      </c>
      <c r="S902" s="34">
        <f>IF(C902="","",YEAR(C902-WEEKDAY(C902,2)+4)&amp;"-S"&amp;TEXT(INT((C902-DATE(YEAR(C902-WEEKDAY(C902,2)+4),1,3)+WEEKDAY(DATE(YEAR(C902-WEEKDAY(C902,2)+4),1,3),2)+5)/7),"00"))</f>
        <v/>
      </c>
    </row>
    <row r="903" ht="18" customHeight="1">
      <c r="A903" s="39" t="n">
        <v>898</v>
      </c>
      <c r="B903" s="33">
        <f>IF(C903="","",IF(L903="À RENSEIGNER","GIC",L903)&amp;"-E"&amp;TEXT(A903,"00000"))</f>
        <v/>
      </c>
      <c r="C903" s="32" t="n"/>
      <c r="D903" s="36" t="n"/>
      <c r="E903" s="37" t="n"/>
      <c r="F903" s="36" t="n"/>
      <c r="G903" s="44" t="n"/>
      <c r="H903" s="43" t="n"/>
      <c r="I903" s="32" t="n"/>
      <c r="J903" s="44" t="n"/>
      <c r="K903" s="36" t="n"/>
      <c r="L903" s="33">
        <f>IF(C903="","",Commercial_Id)</f>
        <v/>
      </c>
      <c r="M903" s="34">
        <f>IF(OR(C903="",F903=""),"",IF(F903&lt;&gt;"Espèces","—",IF(I903&lt;&gt;"","☑ Oui","☐ Non")))</f>
        <v/>
      </c>
      <c r="N903" s="39">
        <f>IF(D903="","",IFERROR(VALUE(MID(D903,LEN(D903)-3,3)),""))</f>
        <v/>
      </c>
      <c r="O903" s="33">
        <f>IF(N903="","",L903&amp;"|"&amp;N903)</f>
        <v/>
      </c>
      <c r="P903" s="33">
        <f>IF(N903="","",IF(L903="À RENSEIGNER","GIC",L903)&amp;"-"&amp;TEXT(N903,"000"))</f>
        <v/>
      </c>
      <c r="Q903" s="33">
        <f>IF(O903="","",IFERROR(INDEX(Cl_nom,MATCH(O903,Cl_cle,0)),"(client introuvable)"))</f>
        <v/>
      </c>
      <c r="R903" s="40">
        <f>IF(O903="","",IFERROR(INDEX(Cl_reste,MATCH(O903,Cl_cle,0)),""))</f>
        <v/>
      </c>
      <c r="S903" s="34">
        <f>IF(C903="","",YEAR(C903-WEEKDAY(C903,2)+4)&amp;"-S"&amp;TEXT(INT((C903-DATE(YEAR(C903-WEEKDAY(C903,2)+4),1,3)+WEEKDAY(DATE(YEAR(C903-WEEKDAY(C903,2)+4),1,3),2)+5)/7),"00"))</f>
        <v/>
      </c>
    </row>
    <row r="904" ht="18" customHeight="1">
      <c r="A904" s="39" t="n">
        <v>899</v>
      </c>
      <c r="B904" s="33">
        <f>IF(C904="","",IF(L904="À RENSEIGNER","GIC",L904)&amp;"-E"&amp;TEXT(A904,"00000"))</f>
        <v/>
      </c>
      <c r="C904" s="32" t="n"/>
      <c r="D904" s="36" t="n"/>
      <c r="E904" s="37" t="n"/>
      <c r="F904" s="36" t="n"/>
      <c r="G904" s="44" t="n"/>
      <c r="H904" s="43" t="n"/>
      <c r="I904" s="32" t="n"/>
      <c r="J904" s="44" t="n"/>
      <c r="K904" s="36" t="n"/>
      <c r="L904" s="33">
        <f>IF(C904="","",Commercial_Id)</f>
        <v/>
      </c>
      <c r="M904" s="34">
        <f>IF(OR(C904="",F904=""),"",IF(F904&lt;&gt;"Espèces","—",IF(I904&lt;&gt;"","☑ Oui","☐ Non")))</f>
        <v/>
      </c>
      <c r="N904" s="39">
        <f>IF(D904="","",IFERROR(VALUE(MID(D904,LEN(D904)-3,3)),""))</f>
        <v/>
      </c>
      <c r="O904" s="33">
        <f>IF(N904="","",L904&amp;"|"&amp;N904)</f>
        <v/>
      </c>
      <c r="P904" s="33">
        <f>IF(N904="","",IF(L904="À RENSEIGNER","GIC",L904)&amp;"-"&amp;TEXT(N904,"000"))</f>
        <v/>
      </c>
      <c r="Q904" s="33">
        <f>IF(O904="","",IFERROR(INDEX(Cl_nom,MATCH(O904,Cl_cle,0)),"(client introuvable)"))</f>
        <v/>
      </c>
      <c r="R904" s="40">
        <f>IF(O904="","",IFERROR(INDEX(Cl_reste,MATCH(O904,Cl_cle,0)),""))</f>
        <v/>
      </c>
      <c r="S904" s="34">
        <f>IF(C904="","",YEAR(C904-WEEKDAY(C904,2)+4)&amp;"-S"&amp;TEXT(INT((C904-DATE(YEAR(C904-WEEKDAY(C904,2)+4),1,3)+WEEKDAY(DATE(YEAR(C904-WEEKDAY(C904,2)+4),1,3),2)+5)/7),"00"))</f>
        <v/>
      </c>
    </row>
    <row r="905" ht="18" customHeight="1">
      <c r="A905" s="39" t="n">
        <v>900</v>
      </c>
      <c r="B905" s="33">
        <f>IF(C905="","",IF(L905="À RENSEIGNER","GIC",L905)&amp;"-E"&amp;TEXT(A905,"00000"))</f>
        <v/>
      </c>
      <c r="C905" s="32" t="n"/>
      <c r="D905" s="36" t="n"/>
      <c r="E905" s="37" t="n"/>
      <c r="F905" s="36" t="n"/>
      <c r="G905" s="44" t="n"/>
      <c r="H905" s="43" t="n"/>
      <c r="I905" s="32" t="n"/>
      <c r="J905" s="44" t="n"/>
      <c r="K905" s="36" t="n"/>
      <c r="L905" s="33">
        <f>IF(C905="","",Commercial_Id)</f>
        <v/>
      </c>
      <c r="M905" s="34">
        <f>IF(OR(C905="",F905=""),"",IF(F905&lt;&gt;"Espèces","—",IF(I905&lt;&gt;"","☑ Oui","☐ Non")))</f>
        <v/>
      </c>
      <c r="N905" s="39">
        <f>IF(D905="","",IFERROR(VALUE(MID(D905,LEN(D905)-3,3)),""))</f>
        <v/>
      </c>
      <c r="O905" s="33">
        <f>IF(N905="","",L905&amp;"|"&amp;N905)</f>
        <v/>
      </c>
      <c r="P905" s="33">
        <f>IF(N905="","",IF(L905="À RENSEIGNER","GIC",L905)&amp;"-"&amp;TEXT(N905,"000"))</f>
        <v/>
      </c>
      <c r="Q905" s="33">
        <f>IF(O905="","",IFERROR(INDEX(Cl_nom,MATCH(O905,Cl_cle,0)),"(client introuvable)"))</f>
        <v/>
      </c>
      <c r="R905" s="40">
        <f>IF(O905="","",IFERROR(INDEX(Cl_reste,MATCH(O905,Cl_cle,0)),""))</f>
        <v/>
      </c>
      <c r="S905" s="34">
        <f>IF(C905="","",YEAR(C905-WEEKDAY(C905,2)+4)&amp;"-S"&amp;TEXT(INT((C905-DATE(YEAR(C905-WEEKDAY(C905,2)+4),1,3)+WEEKDAY(DATE(YEAR(C905-WEEKDAY(C905,2)+4),1,3),2)+5)/7),"00"))</f>
        <v/>
      </c>
    </row>
    <row r="906" ht="18" customHeight="1">
      <c r="A906" s="39" t="n">
        <v>901</v>
      </c>
      <c r="B906" s="33">
        <f>IF(C906="","",IF(L906="À RENSEIGNER","GIC",L906)&amp;"-E"&amp;TEXT(A906,"00000"))</f>
        <v/>
      </c>
      <c r="C906" s="32" t="n"/>
      <c r="D906" s="36" t="n"/>
      <c r="E906" s="37" t="n"/>
      <c r="F906" s="36" t="n"/>
      <c r="G906" s="44" t="n"/>
      <c r="H906" s="43" t="n"/>
      <c r="I906" s="32" t="n"/>
      <c r="J906" s="44" t="n"/>
      <c r="K906" s="36" t="n"/>
      <c r="L906" s="33">
        <f>IF(C906="","",Commercial_Id)</f>
        <v/>
      </c>
      <c r="M906" s="34">
        <f>IF(OR(C906="",F906=""),"",IF(F906&lt;&gt;"Espèces","—",IF(I906&lt;&gt;"","☑ Oui","☐ Non")))</f>
        <v/>
      </c>
      <c r="N906" s="39">
        <f>IF(D906="","",IFERROR(VALUE(MID(D906,LEN(D906)-3,3)),""))</f>
        <v/>
      </c>
      <c r="O906" s="33">
        <f>IF(N906="","",L906&amp;"|"&amp;N906)</f>
        <v/>
      </c>
      <c r="P906" s="33">
        <f>IF(N906="","",IF(L906="À RENSEIGNER","GIC",L906)&amp;"-"&amp;TEXT(N906,"000"))</f>
        <v/>
      </c>
      <c r="Q906" s="33">
        <f>IF(O906="","",IFERROR(INDEX(Cl_nom,MATCH(O906,Cl_cle,0)),"(client introuvable)"))</f>
        <v/>
      </c>
      <c r="R906" s="40">
        <f>IF(O906="","",IFERROR(INDEX(Cl_reste,MATCH(O906,Cl_cle,0)),""))</f>
        <v/>
      </c>
      <c r="S906" s="34">
        <f>IF(C906="","",YEAR(C906-WEEKDAY(C906,2)+4)&amp;"-S"&amp;TEXT(INT((C906-DATE(YEAR(C906-WEEKDAY(C906,2)+4),1,3)+WEEKDAY(DATE(YEAR(C906-WEEKDAY(C906,2)+4),1,3),2)+5)/7),"00"))</f>
        <v/>
      </c>
    </row>
    <row r="907" ht="18" customHeight="1">
      <c r="A907" s="39" t="n">
        <v>902</v>
      </c>
      <c r="B907" s="33">
        <f>IF(C907="","",IF(L907="À RENSEIGNER","GIC",L907)&amp;"-E"&amp;TEXT(A907,"00000"))</f>
        <v/>
      </c>
      <c r="C907" s="32" t="n"/>
      <c r="D907" s="36" t="n"/>
      <c r="E907" s="37" t="n"/>
      <c r="F907" s="36" t="n"/>
      <c r="G907" s="44" t="n"/>
      <c r="H907" s="43" t="n"/>
      <c r="I907" s="32" t="n"/>
      <c r="J907" s="44" t="n"/>
      <c r="K907" s="36" t="n"/>
      <c r="L907" s="33">
        <f>IF(C907="","",Commercial_Id)</f>
        <v/>
      </c>
      <c r="M907" s="34">
        <f>IF(OR(C907="",F907=""),"",IF(F907&lt;&gt;"Espèces","—",IF(I907&lt;&gt;"","☑ Oui","☐ Non")))</f>
        <v/>
      </c>
      <c r="N907" s="39">
        <f>IF(D907="","",IFERROR(VALUE(MID(D907,LEN(D907)-3,3)),""))</f>
        <v/>
      </c>
      <c r="O907" s="33">
        <f>IF(N907="","",L907&amp;"|"&amp;N907)</f>
        <v/>
      </c>
      <c r="P907" s="33">
        <f>IF(N907="","",IF(L907="À RENSEIGNER","GIC",L907)&amp;"-"&amp;TEXT(N907,"000"))</f>
        <v/>
      </c>
      <c r="Q907" s="33">
        <f>IF(O907="","",IFERROR(INDEX(Cl_nom,MATCH(O907,Cl_cle,0)),"(client introuvable)"))</f>
        <v/>
      </c>
      <c r="R907" s="40">
        <f>IF(O907="","",IFERROR(INDEX(Cl_reste,MATCH(O907,Cl_cle,0)),""))</f>
        <v/>
      </c>
      <c r="S907" s="34">
        <f>IF(C907="","",YEAR(C907-WEEKDAY(C907,2)+4)&amp;"-S"&amp;TEXT(INT((C907-DATE(YEAR(C907-WEEKDAY(C907,2)+4),1,3)+WEEKDAY(DATE(YEAR(C907-WEEKDAY(C907,2)+4),1,3),2)+5)/7),"00"))</f>
        <v/>
      </c>
    </row>
    <row r="908" ht="18" customHeight="1">
      <c r="A908" s="39" t="n">
        <v>903</v>
      </c>
      <c r="B908" s="33">
        <f>IF(C908="","",IF(L908="À RENSEIGNER","GIC",L908)&amp;"-E"&amp;TEXT(A908,"00000"))</f>
        <v/>
      </c>
      <c r="C908" s="32" t="n"/>
      <c r="D908" s="36" t="n"/>
      <c r="E908" s="37" t="n"/>
      <c r="F908" s="36" t="n"/>
      <c r="G908" s="44" t="n"/>
      <c r="H908" s="43" t="n"/>
      <c r="I908" s="32" t="n"/>
      <c r="J908" s="44" t="n"/>
      <c r="K908" s="36" t="n"/>
      <c r="L908" s="33">
        <f>IF(C908="","",Commercial_Id)</f>
        <v/>
      </c>
      <c r="M908" s="34">
        <f>IF(OR(C908="",F908=""),"",IF(F908&lt;&gt;"Espèces","—",IF(I908&lt;&gt;"","☑ Oui","☐ Non")))</f>
        <v/>
      </c>
      <c r="N908" s="39">
        <f>IF(D908="","",IFERROR(VALUE(MID(D908,LEN(D908)-3,3)),""))</f>
        <v/>
      </c>
      <c r="O908" s="33">
        <f>IF(N908="","",L908&amp;"|"&amp;N908)</f>
        <v/>
      </c>
      <c r="P908" s="33">
        <f>IF(N908="","",IF(L908="À RENSEIGNER","GIC",L908)&amp;"-"&amp;TEXT(N908,"000"))</f>
        <v/>
      </c>
      <c r="Q908" s="33">
        <f>IF(O908="","",IFERROR(INDEX(Cl_nom,MATCH(O908,Cl_cle,0)),"(client introuvable)"))</f>
        <v/>
      </c>
      <c r="R908" s="40">
        <f>IF(O908="","",IFERROR(INDEX(Cl_reste,MATCH(O908,Cl_cle,0)),""))</f>
        <v/>
      </c>
      <c r="S908" s="34">
        <f>IF(C908="","",YEAR(C908-WEEKDAY(C908,2)+4)&amp;"-S"&amp;TEXT(INT((C908-DATE(YEAR(C908-WEEKDAY(C908,2)+4),1,3)+WEEKDAY(DATE(YEAR(C908-WEEKDAY(C908,2)+4),1,3),2)+5)/7),"00"))</f>
        <v/>
      </c>
    </row>
    <row r="909" ht="18" customHeight="1">
      <c r="A909" s="39" t="n">
        <v>904</v>
      </c>
      <c r="B909" s="33">
        <f>IF(C909="","",IF(L909="À RENSEIGNER","GIC",L909)&amp;"-E"&amp;TEXT(A909,"00000"))</f>
        <v/>
      </c>
      <c r="C909" s="32" t="n"/>
      <c r="D909" s="36" t="n"/>
      <c r="E909" s="37" t="n"/>
      <c r="F909" s="36" t="n"/>
      <c r="G909" s="44" t="n"/>
      <c r="H909" s="43" t="n"/>
      <c r="I909" s="32" t="n"/>
      <c r="J909" s="44" t="n"/>
      <c r="K909" s="36" t="n"/>
      <c r="L909" s="33">
        <f>IF(C909="","",Commercial_Id)</f>
        <v/>
      </c>
      <c r="M909" s="34">
        <f>IF(OR(C909="",F909=""),"",IF(F909&lt;&gt;"Espèces","—",IF(I909&lt;&gt;"","☑ Oui","☐ Non")))</f>
        <v/>
      </c>
      <c r="N909" s="39">
        <f>IF(D909="","",IFERROR(VALUE(MID(D909,LEN(D909)-3,3)),""))</f>
        <v/>
      </c>
      <c r="O909" s="33">
        <f>IF(N909="","",L909&amp;"|"&amp;N909)</f>
        <v/>
      </c>
      <c r="P909" s="33">
        <f>IF(N909="","",IF(L909="À RENSEIGNER","GIC",L909)&amp;"-"&amp;TEXT(N909,"000"))</f>
        <v/>
      </c>
      <c r="Q909" s="33">
        <f>IF(O909="","",IFERROR(INDEX(Cl_nom,MATCH(O909,Cl_cle,0)),"(client introuvable)"))</f>
        <v/>
      </c>
      <c r="R909" s="40">
        <f>IF(O909="","",IFERROR(INDEX(Cl_reste,MATCH(O909,Cl_cle,0)),""))</f>
        <v/>
      </c>
      <c r="S909" s="34">
        <f>IF(C909="","",YEAR(C909-WEEKDAY(C909,2)+4)&amp;"-S"&amp;TEXT(INT((C909-DATE(YEAR(C909-WEEKDAY(C909,2)+4),1,3)+WEEKDAY(DATE(YEAR(C909-WEEKDAY(C909,2)+4),1,3),2)+5)/7),"00"))</f>
        <v/>
      </c>
    </row>
    <row r="910" ht="18" customHeight="1">
      <c r="A910" s="39" t="n">
        <v>905</v>
      </c>
      <c r="B910" s="33">
        <f>IF(C910="","",IF(L910="À RENSEIGNER","GIC",L910)&amp;"-E"&amp;TEXT(A910,"00000"))</f>
        <v/>
      </c>
      <c r="C910" s="32" t="n"/>
      <c r="D910" s="36" t="n"/>
      <c r="E910" s="37" t="n"/>
      <c r="F910" s="36" t="n"/>
      <c r="G910" s="44" t="n"/>
      <c r="H910" s="43" t="n"/>
      <c r="I910" s="32" t="n"/>
      <c r="J910" s="44" t="n"/>
      <c r="K910" s="36" t="n"/>
      <c r="L910" s="33">
        <f>IF(C910="","",Commercial_Id)</f>
        <v/>
      </c>
      <c r="M910" s="34">
        <f>IF(OR(C910="",F910=""),"",IF(F910&lt;&gt;"Espèces","—",IF(I910&lt;&gt;"","☑ Oui","☐ Non")))</f>
        <v/>
      </c>
      <c r="N910" s="39">
        <f>IF(D910="","",IFERROR(VALUE(MID(D910,LEN(D910)-3,3)),""))</f>
        <v/>
      </c>
      <c r="O910" s="33">
        <f>IF(N910="","",L910&amp;"|"&amp;N910)</f>
        <v/>
      </c>
      <c r="P910" s="33">
        <f>IF(N910="","",IF(L910="À RENSEIGNER","GIC",L910)&amp;"-"&amp;TEXT(N910,"000"))</f>
        <v/>
      </c>
      <c r="Q910" s="33">
        <f>IF(O910="","",IFERROR(INDEX(Cl_nom,MATCH(O910,Cl_cle,0)),"(client introuvable)"))</f>
        <v/>
      </c>
      <c r="R910" s="40">
        <f>IF(O910="","",IFERROR(INDEX(Cl_reste,MATCH(O910,Cl_cle,0)),""))</f>
        <v/>
      </c>
      <c r="S910" s="34">
        <f>IF(C910="","",YEAR(C910-WEEKDAY(C910,2)+4)&amp;"-S"&amp;TEXT(INT((C910-DATE(YEAR(C910-WEEKDAY(C910,2)+4),1,3)+WEEKDAY(DATE(YEAR(C910-WEEKDAY(C910,2)+4),1,3),2)+5)/7),"00"))</f>
        <v/>
      </c>
    </row>
    <row r="911" ht="18" customHeight="1">
      <c r="A911" s="39" t="n">
        <v>906</v>
      </c>
      <c r="B911" s="33">
        <f>IF(C911="","",IF(L911="À RENSEIGNER","GIC",L911)&amp;"-E"&amp;TEXT(A911,"00000"))</f>
        <v/>
      </c>
      <c r="C911" s="32" t="n"/>
      <c r="D911" s="36" t="n"/>
      <c r="E911" s="37" t="n"/>
      <c r="F911" s="36" t="n"/>
      <c r="G911" s="44" t="n"/>
      <c r="H911" s="43" t="n"/>
      <c r="I911" s="32" t="n"/>
      <c r="J911" s="44" t="n"/>
      <c r="K911" s="36" t="n"/>
      <c r="L911" s="33">
        <f>IF(C911="","",Commercial_Id)</f>
        <v/>
      </c>
      <c r="M911" s="34">
        <f>IF(OR(C911="",F911=""),"",IF(F911&lt;&gt;"Espèces","—",IF(I911&lt;&gt;"","☑ Oui","☐ Non")))</f>
        <v/>
      </c>
      <c r="N911" s="39">
        <f>IF(D911="","",IFERROR(VALUE(MID(D911,LEN(D911)-3,3)),""))</f>
        <v/>
      </c>
      <c r="O911" s="33">
        <f>IF(N911="","",L911&amp;"|"&amp;N911)</f>
        <v/>
      </c>
      <c r="P911" s="33">
        <f>IF(N911="","",IF(L911="À RENSEIGNER","GIC",L911)&amp;"-"&amp;TEXT(N911,"000"))</f>
        <v/>
      </c>
      <c r="Q911" s="33">
        <f>IF(O911="","",IFERROR(INDEX(Cl_nom,MATCH(O911,Cl_cle,0)),"(client introuvable)"))</f>
        <v/>
      </c>
      <c r="R911" s="40">
        <f>IF(O911="","",IFERROR(INDEX(Cl_reste,MATCH(O911,Cl_cle,0)),""))</f>
        <v/>
      </c>
      <c r="S911" s="34">
        <f>IF(C911="","",YEAR(C911-WEEKDAY(C911,2)+4)&amp;"-S"&amp;TEXT(INT((C911-DATE(YEAR(C911-WEEKDAY(C911,2)+4),1,3)+WEEKDAY(DATE(YEAR(C911-WEEKDAY(C911,2)+4),1,3),2)+5)/7),"00"))</f>
        <v/>
      </c>
    </row>
    <row r="912" ht="18" customHeight="1">
      <c r="A912" s="39" t="n">
        <v>907</v>
      </c>
      <c r="B912" s="33">
        <f>IF(C912="","",IF(L912="À RENSEIGNER","GIC",L912)&amp;"-E"&amp;TEXT(A912,"00000"))</f>
        <v/>
      </c>
      <c r="C912" s="32" t="n"/>
      <c r="D912" s="36" t="n"/>
      <c r="E912" s="37" t="n"/>
      <c r="F912" s="36" t="n"/>
      <c r="G912" s="44" t="n"/>
      <c r="H912" s="43" t="n"/>
      <c r="I912" s="32" t="n"/>
      <c r="J912" s="44" t="n"/>
      <c r="K912" s="36" t="n"/>
      <c r="L912" s="33">
        <f>IF(C912="","",Commercial_Id)</f>
        <v/>
      </c>
      <c r="M912" s="34">
        <f>IF(OR(C912="",F912=""),"",IF(F912&lt;&gt;"Espèces","—",IF(I912&lt;&gt;"","☑ Oui","☐ Non")))</f>
        <v/>
      </c>
      <c r="N912" s="39">
        <f>IF(D912="","",IFERROR(VALUE(MID(D912,LEN(D912)-3,3)),""))</f>
        <v/>
      </c>
      <c r="O912" s="33">
        <f>IF(N912="","",L912&amp;"|"&amp;N912)</f>
        <v/>
      </c>
      <c r="P912" s="33">
        <f>IF(N912="","",IF(L912="À RENSEIGNER","GIC",L912)&amp;"-"&amp;TEXT(N912,"000"))</f>
        <v/>
      </c>
      <c r="Q912" s="33">
        <f>IF(O912="","",IFERROR(INDEX(Cl_nom,MATCH(O912,Cl_cle,0)),"(client introuvable)"))</f>
        <v/>
      </c>
      <c r="R912" s="40">
        <f>IF(O912="","",IFERROR(INDEX(Cl_reste,MATCH(O912,Cl_cle,0)),""))</f>
        <v/>
      </c>
      <c r="S912" s="34">
        <f>IF(C912="","",YEAR(C912-WEEKDAY(C912,2)+4)&amp;"-S"&amp;TEXT(INT((C912-DATE(YEAR(C912-WEEKDAY(C912,2)+4),1,3)+WEEKDAY(DATE(YEAR(C912-WEEKDAY(C912,2)+4),1,3),2)+5)/7),"00"))</f>
        <v/>
      </c>
    </row>
    <row r="913" ht="18" customHeight="1">
      <c r="A913" s="39" t="n">
        <v>908</v>
      </c>
      <c r="B913" s="33">
        <f>IF(C913="","",IF(L913="À RENSEIGNER","GIC",L913)&amp;"-E"&amp;TEXT(A913,"00000"))</f>
        <v/>
      </c>
      <c r="C913" s="32" t="n"/>
      <c r="D913" s="36" t="n"/>
      <c r="E913" s="37" t="n"/>
      <c r="F913" s="36" t="n"/>
      <c r="G913" s="44" t="n"/>
      <c r="H913" s="43" t="n"/>
      <c r="I913" s="32" t="n"/>
      <c r="J913" s="44" t="n"/>
      <c r="K913" s="36" t="n"/>
      <c r="L913" s="33">
        <f>IF(C913="","",Commercial_Id)</f>
        <v/>
      </c>
      <c r="M913" s="34">
        <f>IF(OR(C913="",F913=""),"",IF(F913&lt;&gt;"Espèces","—",IF(I913&lt;&gt;"","☑ Oui","☐ Non")))</f>
        <v/>
      </c>
      <c r="N913" s="39">
        <f>IF(D913="","",IFERROR(VALUE(MID(D913,LEN(D913)-3,3)),""))</f>
        <v/>
      </c>
      <c r="O913" s="33">
        <f>IF(N913="","",L913&amp;"|"&amp;N913)</f>
        <v/>
      </c>
      <c r="P913" s="33">
        <f>IF(N913="","",IF(L913="À RENSEIGNER","GIC",L913)&amp;"-"&amp;TEXT(N913,"000"))</f>
        <v/>
      </c>
      <c r="Q913" s="33">
        <f>IF(O913="","",IFERROR(INDEX(Cl_nom,MATCH(O913,Cl_cle,0)),"(client introuvable)"))</f>
        <v/>
      </c>
      <c r="R913" s="40">
        <f>IF(O913="","",IFERROR(INDEX(Cl_reste,MATCH(O913,Cl_cle,0)),""))</f>
        <v/>
      </c>
      <c r="S913" s="34">
        <f>IF(C913="","",YEAR(C913-WEEKDAY(C913,2)+4)&amp;"-S"&amp;TEXT(INT((C913-DATE(YEAR(C913-WEEKDAY(C913,2)+4),1,3)+WEEKDAY(DATE(YEAR(C913-WEEKDAY(C913,2)+4),1,3),2)+5)/7),"00"))</f>
        <v/>
      </c>
    </row>
    <row r="914" ht="18" customHeight="1">
      <c r="A914" s="39" t="n">
        <v>909</v>
      </c>
      <c r="B914" s="33">
        <f>IF(C914="","",IF(L914="À RENSEIGNER","GIC",L914)&amp;"-E"&amp;TEXT(A914,"00000"))</f>
        <v/>
      </c>
      <c r="C914" s="32" t="n"/>
      <c r="D914" s="36" t="n"/>
      <c r="E914" s="37" t="n"/>
      <c r="F914" s="36" t="n"/>
      <c r="G914" s="44" t="n"/>
      <c r="H914" s="43" t="n"/>
      <c r="I914" s="32" t="n"/>
      <c r="J914" s="44" t="n"/>
      <c r="K914" s="36" t="n"/>
      <c r="L914" s="33">
        <f>IF(C914="","",Commercial_Id)</f>
        <v/>
      </c>
      <c r="M914" s="34">
        <f>IF(OR(C914="",F914=""),"",IF(F914&lt;&gt;"Espèces","—",IF(I914&lt;&gt;"","☑ Oui","☐ Non")))</f>
        <v/>
      </c>
      <c r="N914" s="39">
        <f>IF(D914="","",IFERROR(VALUE(MID(D914,LEN(D914)-3,3)),""))</f>
        <v/>
      </c>
      <c r="O914" s="33">
        <f>IF(N914="","",L914&amp;"|"&amp;N914)</f>
        <v/>
      </c>
      <c r="P914" s="33">
        <f>IF(N914="","",IF(L914="À RENSEIGNER","GIC",L914)&amp;"-"&amp;TEXT(N914,"000"))</f>
        <v/>
      </c>
      <c r="Q914" s="33">
        <f>IF(O914="","",IFERROR(INDEX(Cl_nom,MATCH(O914,Cl_cle,0)),"(client introuvable)"))</f>
        <v/>
      </c>
      <c r="R914" s="40">
        <f>IF(O914="","",IFERROR(INDEX(Cl_reste,MATCH(O914,Cl_cle,0)),""))</f>
        <v/>
      </c>
      <c r="S914" s="34">
        <f>IF(C914="","",YEAR(C914-WEEKDAY(C914,2)+4)&amp;"-S"&amp;TEXT(INT((C914-DATE(YEAR(C914-WEEKDAY(C914,2)+4),1,3)+WEEKDAY(DATE(YEAR(C914-WEEKDAY(C914,2)+4),1,3),2)+5)/7),"00"))</f>
        <v/>
      </c>
    </row>
    <row r="915" ht="18" customHeight="1">
      <c r="A915" s="39" t="n">
        <v>910</v>
      </c>
      <c r="B915" s="33">
        <f>IF(C915="","",IF(L915="À RENSEIGNER","GIC",L915)&amp;"-E"&amp;TEXT(A915,"00000"))</f>
        <v/>
      </c>
      <c r="C915" s="32" t="n"/>
      <c r="D915" s="36" t="n"/>
      <c r="E915" s="37" t="n"/>
      <c r="F915" s="36" t="n"/>
      <c r="G915" s="44" t="n"/>
      <c r="H915" s="43" t="n"/>
      <c r="I915" s="32" t="n"/>
      <c r="J915" s="44" t="n"/>
      <c r="K915" s="36" t="n"/>
      <c r="L915" s="33">
        <f>IF(C915="","",Commercial_Id)</f>
        <v/>
      </c>
      <c r="M915" s="34">
        <f>IF(OR(C915="",F915=""),"",IF(F915&lt;&gt;"Espèces","—",IF(I915&lt;&gt;"","☑ Oui","☐ Non")))</f>
        <v/>
      </c>
      <c r="N915" s="39">
        <f>IF(D915="","",IFERROR(VALUE(MID(D915,LEN(D915)-3,3)),""))</f>
        <v/>
      </c>
      <c r="O915" s="33">
        <f>IF(N915="","",L915&amp;"|"&amp;N915)</f>
        <v/>
      </c>
      <c r="P915" s="33">
        <f>IF(N915="","",IF(L915="À RENSEIGNER","GIC",L915)&amp;"-"&amp;TEXT(N915,"000"))</f>
        <v/>
      </c>
      <c r="Q915" s="33">
        <f>IF(O915="","",IFERROR(INDEX(Cl_nom,MATCH(O915,Cl_cle,0)),"(client introuvable)"))</f>
        <v/>
      </c>
      <c r="R915" s="40">
        <f>IF(O915="","",IFERROR(INDEX(Cl_reste,MATCH(O915,Cl_cle,0)),""))</f>
        <v/>
      </c>
      <c r="S915" s="34">
        <f>IF(C915="","",YEAR(C915-WEEKDAY(C915,2)+4)&amp;"-S"&amp;TEXT(INT((C915-DATE(YEAR(C915-WEEKDAY(C915,2)+4),1,3)+WEEKDAY(DATE(YEAR(C915-WEEKDAY(C915,2)+4),1,3),2)+5)/7),"00"))</f>
        <v/>
      </c>
    </row>
    <row r="916" ht="18" customHeight="1">
      <c r="A916" s="39" t="n">
        <v>911</v>
      </c>
      <c r="B916" s="33">
        <f>IF(C916="","",IF(L916="À RENSEIGNER","GIC",L916)&amp;"-E"&amp;TEXT(A916,"00000"))</f>
        <v/>
      </c>
      <c r="C916" s="32" t="n"/>
      <c r="D916" s="36" t="n"/>
      <c r="E916" s="37" t="n"/>
      <c r="F916" s="36" t="n"/>
      <c r="G916" s="44" t="n"/>
      <c r="H916" s="43" t="n"/>
      <c r="I916" s="32" t="n"/>
      <c r="J916" s="44" t="n"/>
      <c r="K916" s="36" t="n"/>
      <c r="L916" s="33">
        <f>IF(C916="","",Commercial_Id)</f>
        <v/>
      </c>
      <c r="M916" s="34">
        <f>IF(OR(C916="",F916=""),"",IF(F916&lt;&gt;"Espèces","—",IF(I916&lt;&gt;"","☑ Oui","☐ Non")))</f>
        <v/>
      </c>
      <c r="N916" s="39">
        <f>IF(D916="","",IFERROR(VALUE(MID(D916,LEN(D916)-3,3)),""))</f>
        <v/>
      </c>
      <c r="O916" s="33">
        <f>IF(N916="","",L916&amp;"|"&amp;N916)</f>
        <v/>
      </c>
      <c r="P916" s="33">
        <f>IF(N916="","",IF(L916="À RENSEIGNER","GIC",L916)&amp;"-"&amp;TEXT(N916,"000"))</f>
        <v/>
      </c>
      <c r="Q916" s="33">
        <f>IF(O916="","",IFERROR(INDEX(Cl_nom,MATCH(O916,Cl_cle,0)),"(client introuvable)"))</f>
        <v/>
      </c>
      <c r="R916" s="40">
        <f>IF(O916="","",IFERROR(INDEX(Cl_reste,MATCH(O916,Cl_cle,0)),""))</f>
        <v/>
      </c>
      <c r="S916" s="34">
        <f>IF(C916="","",YEAR(C916-WEEKDAY(C916,2)+4)&amp;"-S"&amp;TEXT(INT((C916-DATE(YEAR(C916-WEEKDAY(C916,2)+4),1,3)+WEEKDAY(DATE(YEAR(C916-WEEKDAY(C916,2)+4),1,3),2)+5)/7),"00"))</f>
        <v/>
      </c>
    </row>
    <row r="917" ht="18" customHeight="1">
      <c r="A917" s="39" t="n">
        <v>912</v>
      </c>
      <c r="B917" s="33">
        <f>IF(C917="","",IF(L917="À RENSEIGNER","GIC",L917)&amp;"-E"&amp;TEXT(A917,"00000"))</f>
        <v/>
      </c>
      <c r="C917" s="32" t="n"/>
      <c r="D917" s="36" t="n"/>
      <c r="E917" s="37" t="n"/>
      <c r="F917" s="36" t="n"/>
      <c r="G917" s="44" t="n"/>
      <c r="H917" s="43" t="n"/>
      <c r="I917" s="32" t="n"/>
      <c r="J917" s="44" t="n"/>
      <c r="K917" s="36" t="n"/>
      <c r="L917" s="33">
        <f>IF(C917="","",Commercial_Id)</f>
        <v/>
      </c>
      <c r="M917" s="34">
        <f>IF(OR(C917="",F917=""),"",IF(F917&lt;&gt;"Espèces","—",IF(I917&lt;&gt;"","☑ Oui","☐ Non")))</f>
        <v/>
      </c>
      <c r="N917" s="39">
        <f>IF(D917="","",IFERROR(VALUE(MID(D917,LEN(D917)-3,3)),""))</f>
        <v/>
      </c>
      <c r="O917" s="33">
        <f>IF(N917="","",L917&amp;"|"&amp;N917)</f>
        <v/>
      </c>
      <c r="P917" s="33">
        <f>IF(N917="","",IF(L917="À RENSEIGNER","GIC",L917)&amp;"-"&amp;TEXT(N917,"000"))</f>
        <v/>
      </c>
      <c r="Q917" s="33">
        <f>IF(O917="","",IFERROR(INDEX(Cl_nom,MATCH(O917,Cl_cle,0)),"(client introuvable)"))</f>
        <v/>
      </c>
      <c r="R917" s="40">
        <f>IF(O917="","",IFERROR(INDEX(Cl_reste,MATCH(O917,Cl_cle,0)),""))</f>
        <v/>
      </c>
      <c r="S917" s="34">
        <f>IF(C917="","",YEAR(C917-WEEKDAY(C917,2)+4)&amp;"-S"&amp;TEXT(INT((C917-DATE(YEAR(C917-WEEKDAY(C917,2)+4),1,3)+WEEKDAY(DATE(YEAR(C917-WEEKDAY(C917,2)+4),1,3),2)+5)/7),"00"))</f>
        <v/>
      </c>
    </row>
    <row r="918" ht="18" customHeight="1">
      <c r="A918" s="39" t="n">
        <v>913</v>
      </c>
      <c r="B918" s="33">
        <f>IF(C918="","",IF(L918="À RENSEIGNER","GIC",L918)&amp;"-E"&amp;TEXT(A918,"00000"))</f>
        <v/>
      </c>
      <c r="C918" s="32" t="n"/>
      <c r="D918" s="36" t="n"/>
      <c r="E918" s="37" t="n"/>
      <c r="F918" s="36" t="n"/>
      <c r="G918" s="44" t="n"/>
      <c r="H918" s="43" t="n"/>
      <c r="I918" s="32" t="n"/>
      <c r="J918" s="44" t="n"/>
      <c r="K918" s="36" t="n"/>
      <c r="L918" s="33">
        <f>IF(C918="","",Commercial_Id)</f>
        <v/>
      </c>
      <c r="M918" s="34">
        <f>IF(OR(C918="",F918=""),"",IF(F918&lt;&gt;"Espèces","—",IF(I918&lt;&gt;"","☑ Oui","☐ Non")))</f>
        <v/>
      </c>
      <c r="N918" s="39">
        <f>IF(D918="","",IFERROR(VALUE(MID(D918,LEN(D918)-3,3)),""))</f>
        <v/>
      </c>
      <c r="O918" s="33">
        <f>IF(N918="","",L918&amp;"|"&amp;N918)</f>
        <v/>
      </c>
      <c r="P918" s="33">
        <f>IF(N918="","",IF(L918="À RENSEIGNER","GIC",L918)&amp;"-"&amp;TEXT(N918,"000"))</f>
        <v/>
      </c>
      <c r="Q918" s="33">
        <f>IF(O918="","",IFERROR(INDEX(Cl_nom,MATCH(O918,Cl_cle,0)),"(client introuvable)"))</f>
        <v/>
      </c>
      <c r="R918" s="40">
        <f>IF(O918="","",IFERROR(INDEX(Cl_reste,MATCH(O918,Cl_cle,0)),""))</f>
        <v/>
      </c>
      <c r="S918" s="34">
        <f>IF(C918="","",YEAR(C918-WEEKDAY(C918,2)+4)&amp;"-S"&amp;TEXT(INT((C918-DATE(YEAR(C918-WEEKDAY(C918,2)+4),1,3)+WEEKDAY(DATE(YEAR(C918-WEEKDAY(C918,2)+4),1,3),2)+5)/7),"00"))</f>
        <v/>
      </c>
    </row>
    <row r="919" ht="18" customHeight="1">
      <c r="A919" s="39" t="n">
        <v>914</v>
      </c>
      <c r="B919" s="33">
        <f>IF(C919="","",IF(L919="À RENSEIGNER","GIC",L919)&amp;"-E"&amp;TEXT(A919,"00000"))</f>
        <v/>
      </c>
      <c r="C919" s="32" t="n"/>
      <c r="D919" s="36" t="n"/>
      <c r="E919" s="37" t="n"/>
      <c r="F919" s="36" t="n"/>
      <c r="G919" s="44" t="n"/>
      <c r="H919" s="43" t="n"/>
      <c r="I919" s="32" t="n"/>
      <c r="J919" s="44" t="n"/>
      <c r="K919" s="36" t="n"/>
      <c r="L919" s="33">
        <f>IF(C919="","",Commercial_Id)</f>
        <v/>
      </c>
      <c r="M919" s="34">
        <f>IF(OR(C919="",F919=""),"",IF(F919&lt;&gt;"Espèces","—",IF(I919&lt;&gt;"","☑ Oui","☐ Non")))</f>
        <v/>
      </c>
      <c r="N919" s="39">
        <f>IF(D919="","",IFERROR(VALUE(MID(D919,LEN(D919)-3,3)),""))</f>
        <v/>
      </c>
      <c r="O919" s="33">
        <f>IF(N919="","",L919&amp;"|"&amp;N919)</f>
        <v/>
      </c>
      <c r="P919" s="33">
        <f>IF(N919="","",IF(L919="À RENSEIGNER","GIC",L919)&amp;"-"&amp;TEXT(N919,"000"))</f>
        <v/>
      </c>
      <c r="Q919" s="33">
        <f>IF(O919="","",IFERROR(INDEX(Cl_nom,MATCH(O919,Cl_cle,0)),"(client introuvable)"))</f>
        <v/>
      </c>
      <c r="R919" s="40">
        <f>IF(O919="","",IFERROR(INDEX(Cl_reste,MATCH(O919,Cl_cle,0)),""))</f>
        <v/>
      </c>
      <c r="S919" s="34">
        <f>IF(C919="","",YEAR(C919-WEEKDAY(C919,2)+4)&amp;"-S"&amp;TEXT(INT((C919-DATE(YEAR(C919-WEEKDAY(C919,2)+4),1,3)+WEEKDAY(DATE(YEAR(C919-WEEKDAY(C919,2)+4),1,3),2)+5)/7),"00"))</f>
        <v/>
      </c>
    </row>
    <row r="920" ht="18" customHeight="1">
      <c r="A920" s="39" t="n">
        <v>915</v>
      </c>
      <c r="B920" s="33">
        <f>IF(C920="","",IF(L920="À RENSEIGNER","GIC",L920)&amp;"-E"&amp;TEXT(A920,"00000"))</f>
        <v/>
      </c>
      <c r="C920" s="32" t="n"/>
      <c r="D920" s="36" t="n"/>
      <c r="E920" s="37" t="n"/>
      <c r="F920" s="36" t="n"/>
      <c r="G920" s="44" t="n"/>
      <c r="H920" s="43" t="n"/>
      <c r="I920" s="32" t="n"/>
      <c r="J920" s="44" t="n"/>
      <c r="K920" s="36" t="n"/>
      <c r="L920" s="33">
        <f>IF(C920="","",Commercial_Id)</f>
        <v/>
      </c>
      <c r="M920" s="34">
        <f>IF(OR(C920="",F920=""),"",IF(F920&lt;&gt;"Espèces","—",IF(I920&lt;&gt;"","☑ Oui","☐ Non")))</f>
        <v/>
      </c>
      <c r="N920" s="39">
        <f>IF(D920="","",IFERROR(VALUE(MID(D920,LEN(D920)-3,3)),""))</f>
        <v/>
      </c>
      <c r="O920" s="33">
        <f>IF(N920="","",L920&amp;"|"&amp;N920)</f>
        <v/>
      </c>
      <c r="P920" s="33">
        <f>IF(N920="","",IF(L920="À RENSEIGNER","GIC",L920)&amp;"-"&amp;TEXT(N920,"000"))</f>
        <v/>
      </c>
      <c r="Q920" s="33">
        <f>IF(O920="","",IFERROR(INDEX(Cl_nom,MATCH(O920,Cl_cle,0)),"(client introuvable)"))</f>
        <v/>
      </c>
      <c r="R920" s="40">
        <f>IF(O920="","",IFERROR(INDEX(Cl_reste,MATCH(O920,Cl_cle,0)),""))</f>
        <v/>
      </c>
      <c r="S920" s="34">
        <f>IF(C920="","",YEAR(C920-WEEKDAY(C920,2)+4)&amp;"-S"&amp;TEXT(INT((C920-DATE(YEAR(C920-WEEKDAY(C920,2)+4),1,3)+WEEKDAY(DATE(YEAR(C920-WEEKDAY(C920,2)+4),1,3),2)+5)/7),"00"))</f>
        <v/>
      </c>
    </row>
    <row r="921" ht="18" customHeight="1">
      <c r="A921" s="39" t="n">
        <v>916</v>
      </c>
      <c r="B921" s="33">
        <f>IF(C921="","",IF(L921="À RENSEIGNER","GIC",L921)&amp;"-E"&amp;TEXT(A921,"00000"))</f>
        <v/>
      </c>
      <c r="C921" s="32" t="n"/>
      <c r="D921" s="36" t="n"/>
      <c r="E921" s="37" t="n"/>
      <c r="F921" s="36" t="n"/>
      <c r="G921" s="44" t="n"/>
      <c r="H921" s="43" t="n"/>
      <c r="I921" s="32" t="n"/>
      <c r="J921" s="44" t="n"/>
      <c r="K921" s="36" t="n"/>
      <c r="L921" s="33">
        <f>IF(C921="","",Commercial_Id)</f>
        <v/>
      </c>
      <c r="M921" s="34">
        <f>IF(OR(C921="",F921=""),"",IF(F921&lt;&gt;"Espèces","—",IF(I921&lt;&gt;"","☑ Oui","☐ Non")))</f>
        <v/>
      </c>
      <c r="N921" s="39">
        <f>IF(D921="","",IFERROR(VALUE(MID(D921,LEN(D921)-3,3)),""))</f>
        <v/>
      </c>
      <c r="O921" s="33">
        <f>IF(N921="","",L921&amp;"|"&amp;N921)</f>
        <v/>
      </c>
      <c r="P921" s="33">
        <f>IF(N921="","",IF(L921="À RENSEIGNER","GIC",L921)&amp;"-"&amp;TEXT(N921,"000"))</f>
        <v/>
      </c>
      <c r="Q921" s="33">
        <f>IF(O921="","",IFERROR(INDEX(Cl_nom,MATCH(O921,Cl_cle,0)),"(client introuvable)"))</f>
        <v/>
      </c>
      <c r="R921" s="40">
        <f>IF(O921="","",IFERROR(INDEX(Cl_reste,MATCH(O921,Cl_cle,0)),""))</f>
        <v/>
      </c>
      <c r="S921" s="34">
        <f>IF(C921="","",YEAR(C921-WEEKDAY(C921,2)+4)&amp;"-S"&amp;TEXT(INT((C921-DATE(YEAR(C921-WEEKDAY(C921,2)+4),1,3)+WEEKDAY(DATE(YEAR(C921-WEEKDAY(C921,2)+4),1,3),2)+5)/7),"00"))</f>
        <v/>
      </c>
    </row>
    <row r="922" ht="18" customHeight="1">
      <c r="A922" s="39" t="n">
        <v>917</v>
      </c>
      <c r="B922" s="33">
        <f>IF(C922="","",IF(L922="À RENSEIGNER","GIC",L922)&amp;"-E"&amp;TEXT(A922,"00000"))</f>
        <v/>
      </c>
      <c r="C922" s="32" t="n"/>
      <c r="D922" s="36" t="n"/>
      <c r="E922" s="37" t="n"/>
      <c r="F922" s="36" t="n"/>
      <c r="G922" s="44" t="n"/>
      <c r="H922" s="43" t="n"/>
      <c r="I922" s="32" t="n"/>
      <c r="J922" s="44" t="n"/>
      <c r="K922" s="36" t="n"/>
      <c r="L922" s="33">
        <f>IF(C922="","",Commercial_Id)</f>
        <v/>
      </c>
      <c r="M922" s="34">
        <f>IF(OR(C922="",F922=""),"",IF(F922&lt;&gt;"Espèces","—",IF(I922&lt;&gt;"","☑ Oui","☐ Non")))</f>
        <v/>
      </c>
      <c r="N922" s="39">
        <f>IF(D922="","",IFERROR(VALUE(MID(D922,LEN(D922)-3,3)),""))</f>
        <v/>
      </c>
      <c r="O922" s="33">
        <f>IF(N922="","",L922&amp;"|"&amp;N922)</f>
        <v/>
      </c>
      <c r="P922" s="33">
        <f>IF(N922="","",IF(L922="À RENSEIGNER","GIC",L922)&amp;"-"&amp;TEXT(N922,"000"))</f>
        <v/>
      </c>
      <c r="Q922" s="33">
        <f>IF(O922="","",IFERROR(INDEX(Cl_nom,MATCH(O922,Cl_cle,0)),"(client introuvable)"))</f>
        <v/>
      </c>
      <c r="R922" s="40">
        <f>IF(O922="","",IFERROR(INDEX(Cl_reste,MATCH(O922,Cl_cle,0)),""))</f>
        <v/>
      </c>
      <c r="S922" s="34">
        <f>IF(C922="","",YEAR(C922-WEEKDAY(C922,2)+4)&amp;"-S"&amp;TEXT(INT((C922-DATE(YEAR(C922-WEEKDAY(C922,2)+4),1,3)+WEEKDAY(DATE(YEAR(C922-WEEKDAY(C922,2)+4),1,3),2)+5)/7),"00"))</f>
        <v/>
      </c>
    </row>
    <row r="923" ht="18" customHeight="1">
      <c r="A923" s="39" t="n">
        <v>918</v>
      </c>
      <c r="B923" s="33">
        <f>IF(C923="","",IF(L923="À RENSEIGNER","GIC",L923)&amp;"-E"&amp;TEXT(A923,"00000"))</f>
        <v/>
      </c>
      <c r="C923" s="32" t="n"/>
      <c r="D923" s="36" t="n"/>
      <c r="E923" s="37" t="n"/>
      <c r="F923" s="36" t="n"/>
      <c r="G923" s="44" t="n"/>
      <c r="H923" s="43" t="n"/>
      <c r="I923" s="32" t="n"/>
      <c r="J923" s="44" t="n"/>
      <c r="K923" s="36" t="n"/>
      <c r="L923" s="33">
        <f>IF(C923="","",Commercial_Id)</f>
        <v/>
      </c>
      <c r="M923" s="34">
        <f>IF(OR(C923="",F923=""),"",IF(F923&lt;&gt;"Espèces","—",IF(I923&lt;&gt;"","☑ Oui","☐ Non")))</f>
        <v/>
      </c>
      <c r="N923" s="39">
        <f>IF(D923="","",IFERROR(VALUE(MID(D923,LEN(D923)-3,3)),""))</f>
        <v/>
      </c>
      <c r="O923" s="33">
        <f>IF(N923="","",L923&amp;"|"&amp;N923)</f>
        <v/>
      </c>
      <c r="P923" s="33">
        <f>IF(N923="","",IF(L923="À RENSEIGNER","GIC",L923)&amp;"-"&amp;TEXT(N923,"000"))</f>
        <v/>
      </c>
      <c r="Q923" s="33">
        <f>IF(O923="","",IFERROR(INDEX(Cl_nom,MATCH(O923,Cl_cle,0)),"(client introuvable)"))</f>
        <v/>
      </c>
      <c r="R923" s="40">
        <f>IF(O923="","",IFERROR(INDEX(Cl_reste,MATCH(O923,Cl_cle,0)),""))</f>
        <v/>
      </c>
      <c r="S923" s="34">
        <f>IF(C923="","",YEAR(C923-WEEKDAY(C923,2)+4)&amp;"-S"&amp;TEXT(INT((C923-DATE(YEAR(C923-WEEKDAY(C923,2)+4),1,3)+WEEKDAY(DATE(YEAR(C923-WEEKDAY(C923,2)+4),1,3),2)+5)/7),"00"))</f>
        <v/>
      </c>
    </row>
    <row r="924" ht="18" customHeight="1">
      <c r="A924" s="39" t="n">
        <v>919</v>
      </c>
      <c r="B924" s="33">
        <f>IF(C924="","",IF(L924="À RENSEIGNER","GIC",L924)&amp;"-E"&amp;TEXT(A924,"00000"))</f>
        <v/>
      </c>
      <c r="C924" s="32" t="n"/>
      <c r="D924" s="36" t="n"/>
      <c r="E924" s="37" t="n"/>
      <c r="F924" s="36" t="n"/>
      <c r="G924" s="44" t="n"/>
      <c r="H924" s="43" t="n"/>
      <c r="I924" s="32" t="n"/>
      <c r="J924" s="44" t="n"/>
      <c r="K924" s="36" t="n"/>
      <c r="L924" s="33">
        <f>IF(C924="","",Commercial_Id)</f>
        <v/>
      </c>
      <c r="M924" s="34">
        <f>IF(OR(C924="",F924=""),"",IF(F924&lt;&gt;"Espèces","—",IF(I924&lt;&gt;"","☑ Oui","☐ Non")))</f>
        <v/>
      </c>
      <c r="N924" s="39">
        <f>IF(D924="","",IFERROR(VALUE(MID(D924,LEN(D924)-3,3)),""))</f>
        <v/>
      </c>
      <c r="O924" s="33">
        <f>IF(N924="","",L924&amp;"|"&amp;N924)</f>
        <v/>
      </c>
      <c r="P924" s="33">
        <f>IF(N924="","",IF(L924="À RENSEIGNER","GIC",L924)&amp;"-"&amp;TEXT(N924,"000"))</f>
        <v/>
      </c>
      <c r="Q924" s="33">
        <f>IF(O924="","",IFERROR(INDEX(Cl_nom,MATCH(O924,Cl_cle,0)),"(client introuvable)"))</f>
        <v/>
      </c>
      <c r="R924" s="40">
        <f>IF(O924="","",IFERROR(INDEX(Cl_reste,MATCH(O924,Cl_cle,0)),""))</f>
        <v/>
      </c>
      <c r="S924" s="34">
        <f>IF(C924="","",YEAR(C924-WEEKDAY(C924,2)+4)&amp;"-S"&amp;TEXT(INT((C924-DATE(YEAR(C924-WEEKDAY(C924,2)+4),1,3)+WEEKDAY(DATE(YEAR(C924-WEEKDAY(C924,2)+4),1,3),2)+5)/7),"00"))</f>
        <v/>
      </c>
    </row>
    <row r="925" ht="18" customHeight="1">
      <c r="A925" s="39" t="n">
        <v>920</v>
      </c>
      <c r="B925" s="33">
        <f>IF(C925="","",IF(L925="À RENSEIGNER","GIC",L925)&amp;"-E"&amp;TEXT(A925,"00000"))</f>
        <v/>
      </c>
      <c r="C925" s="32" t="n"/>
      <c r="D925" s="36" t="n"/>
      <c r="E925" s="37" t="n"/>
      <c r="F925" s="36" t="n"/>
      <c r="G925" s="44" t="n"/>
      <c r="H925" s="43" t="n"/>
      <c r="I925" s="32" t="n"/>
      <c r="J925" s="44" t="n"/>
      <c r="K925" s="36" t="n"/>
      <c r="L925" s="33">
        <f>IF(C925="","",Commercial_Id)</f>
        <v/>
      </c>
      <c r="M925" s="34">
        <f>IF(OR(C925="",F925=""),"",IF(F925&lt;&gt;"Espèces","—",IF(I925&lt;&gt;"","☑ Oui","☐ Non")))</f>
        <v/>
      </c>
      <c r="N925" s="39">
        <f>IF(D925="","",IFERROR(VALUE(MID(D925,LEN(D925)-3,3)),""))</f>
        <v/>
      </c>
      <c r="O925" s="33">
        <f>IF(N925="","",L925&amp;"|"&amp;N925)</f>
        <v/>
      </c>
      <c r="P925" s="33">
        <f>IF(N925="","",IF(L925="À RENSEIGNER","GIC",L925)&amp;"-"&amp;TEXT(N925,"000"))</f>
        <v/>
      </c>
      <c r="Q925" s="33">
        <f>IF(O925="","",IFERROR(INDEX(Cl_nom,MATCH(O925,Cl_cle,0)),"(client introuvable)"))</f>
        <v/>
      </c>
      <c r="R925" s="40">
        <f>IF(O925="","",IFERROR(INDEX(Cl_reste,MATCH(O925,Cl_cle,0)),""))</f>
        <v/>
      </c>
      <c r="S925" s="34">
        <f>IF(C925="","",YEAR(C925-WEEKDAY(C925,2)+4)&amp;"-S"&amp;TEXT(INT((C925-DATE(YEAR(C925-WEEKDAY(C925,2)+4),1,3)+WEEKDAY(DATE(YEAR(C925-WEEKDAY(C925,2)+4),1,3),2)+5)/7),"00"))</f>
        <v/>
      </c>
    </row>
    <row r="926" ht="18" customHeight="1">
      <c r="A926" s="39" t="n">
        <v>921</v>
      </c>
      <c r="B926" s="33">
        <f>IF(C926="","",IF(L926="À RENSEIGNER","GIC",L926)&amp;"-E"&amp;TEXT(A926,"00000"))</f>
        <v/>
      </c>
      <c r="C926" s="32" t="n"/>
      <c r="D926" s="36" t="n"/>
      <c r="E926" s="37" t="n"/>
      <c r="F926" s="36" t="n"/>
      <c r="G926" s="44" t="n"/>
      <c r="H926" s="43" t="n"/>
      <c r="I926" s="32" t="n"/>
      <c r="J926" s="44" t="n"/>
      <c r="K926" s="36" t="n"/>
      <c r="L926" s="33">
        <f>IF(C926="","",Commercial_Id)</f>
        <v/>
      </c>
      <c r="M926" s="34">
        <f>IF(OR(C926="",F926=""),"",IF(F926&lt;&gt;"Espèces","—",IF(I926&lt;&gt;"","☑ Oui","☐ Non")))</f>
        <v/>
      </c>
      <c r="N926" s="39">
        <f>IF(D926="","",IFERROR(VALUE(MID(D926,LEN(D926)-3,3)),""))</f>
        <v/>
      </c>
      <c r="O926" s="33">
        <f>IF(N926="","",L926&amp;"|"&amp;N926)</f>
        <v/>
      </c>
      <c r="P926" s="33">
        <f>IF(N926="","",IF(L926="À RENSEIGNER","GIC",L926)&amp;"-"&amp;TEXT(N926,"000"))</f>
        <v/>
      </c>
      <c r="Q926" s="33">
        <f>IF(O926="","",IFERROR(INDEX(Cl_nom,MATCH(O926,Cl_cle,0)),"(client introuvable)"))</f>
        <v/>
      </c>
      <c r="R926" s="40">
        <f>IF(O926="","",IFERROR(INDEX(Cl_reste,MATCH(O926,Cl_cle,0)),""))</f>
        <v/>
      </c>
      <c r="S926" s="34">
        <f>IF(C926="","",YEAR(C926-WEEKDAY(C926,2)+4)&amp;"-S"&amp;TEXT(INT((C926-DATE(YEAR(C926-WEEKDAY(C926,2)+4),1,3)+WEEKDAY(DATE(YEAR(C926-WEEKDAY(C926,2)+4),1,3),2)+5)/7),"00"))</f>
        <v/>
      </c>
    </row>
    <row r="927" ht="18" customHeight="1">
      <c r="A927" s="39" t="n">
        <v>922</v>
      </c>
      <c r="B927" s="33">
        <f>IF(C927="","",IF(L927="À RENSEIGNER","GIC",L927)&amp;"-E"&amp;TEXT(A927,"00000"))</f>
        <v/>
      </c>
      <c r="C927" s="32" t="n"/>
      <c r="D927" s="36" t="n"/>
      <c r="E927" s="37" t="n"/>
      <c r="F927" s="36" t="n"/>
      <c r="G927" s="44" t="n"/>
      <c r="H927" s="43" t="n"/>
      <c r="I927" s="32" t="n"/>
      <c r="J927" s="44" t="n"/>
      <c r="K927" s="36" t="n"/>
      <c r="L927" s="33">
        <f>IF(C927="","",Commercial_Id)</f>
        <v/>
      </c>
      <c r="M927" s="34">
        <f>IF(OR(C927="",F927=""),"",IF(F927&lt;&gt;"Espèces","—",IF(I927&lt;&gt;"","☑ Oui","☐ Non")))</f>
        <v/>
      </c>
      <c r="N927" s="39">
        <f>IF(D927="","",IFERROR(VALUE(MID(D927,LEN(D927)-3,3)),""))</f>
        <v/>
      </c>
      <c r="O927" s="33">
        <f>IF(N927="","",L927&amp;"|"&amp;N927)</f>
        <v/>
      </c>
      <c r="P927" s="33">
        <f>IF(N927="","",IF(L927="À RENSEIGNER","GIC",L927)&amp;"-"&amp;TEXT(N927,"000"))</f>
        <v/>
      </c>
      <c r="Q927" s="33">
        <f>IF(O927="","",IFERROR(INDEX(Cl_nom,MATCH(O927,Cl_cle,0)),"(client introuvable)"))</f>
        <v/>
      </c>
      <c r="R927" s="40">
        <f>IF(O927="","",IFERROR(INDEX(Cl_reste,MATCH(O927,Cl_cle,0)),""))</f>
        <v/>
      </c>
      <c r="S927" s="34">
        <f>IF(C927="","",YEAR(C927-WEEKDAY(C927,2)+4)&amp;"-S"&amp;TEXT(INT((C927-DATE(YEAR(C927-WEEKDAY(C927,2)+4),1,3)+WEEKDAY(DATE(YEAR(C927-WEEKDAY(C927,2)+4),1,3),2)+5)/7),"00"))</f>
        <v/>
      </c>
    </row>
    <row r="928" ht="18" customHeight="1">
      <c r="A928" s="39" t="n">
        <v>923</v>
      </c>
      <c r="B928" s="33">
        <f>IF(C928="","",IF(L928="À RENSEIGNER","GIC",L928)&amp;"-E"&amp;TEXT(A928,"00000"))</f>
        <v/>
      </c>
      <c r="C928" s="32" t="n"/>
      <c r="D928" s="36" t="n"/>
      <c r="E928" s="37" t="n"/>
      <c r="F928" s="36" t="n"/>
      <c r="G928" s="44" t="n"/>
      <c r="H928" s="43" t="n"/>
      <c r="I928" s="32" t="n"/>
      <c r="J928" s="44" t="n"/>
      <c r="K928" s="36" t="n"/>
      <c r="L928" s="33">
        <f>IF(C928="","",Commercial_Id)</f>
        <v/>
      </c>
      <c r="M928" s="34">
        <f>IF(OR(C928="",F928=""),"",IF(F928&lt;&gt;"Espèces","—",IF(I928&lt;&gt;"","☑ Oui","☐ Non")))</f>
        <v/>
      </c>
      <c r="N928" s="39">
        <f>IF(D928="","",IFERROR(VALUE(MID(D928,LEN(D928)-3,3)),""))</f>
        <v/>
      </c>
      <c r="O928" s="33">
        <f>IF(N928="","",L928&amp;"|"&amp;N928)</f>
        <v/>
      </c>
      <c r="P928" s="33">
        <f>IF(N928="","",IF(L928="À RENSEIGNER","GIC",L928)&amp;"-"&amp;TEXT(N928,"000"))</f>
        <v/>
      </c>
      <c r="Q928" s="33">
        <f>IF(O928="","",IFERROR(INDEX(Cl_nom,MATCH(O928,Cl_cle,0)),"(client introuvable)"))</f>
        <v/>
      </c>
      <c r="R928" s="40">
        <f>IF(O928="","",IFERROR(INDEX(Cl_reste,MATCH(O928,Cl_cle,0)),""))</f>
        <v/>
      </c>
      <c r="S928" s="34">
        <f>IF(C928="","",YEAR(C928-WEEKDAY(C928,2)+4)&amp;"-S"&amp;TEXT(INT((C928-DATE(YEAR(C928-WEEKDAY(C928,2)+4),1,3)+WEEKDAY(DATE(YEAR(C928-WEEKDAY(C928,2)+4),1,3),2)+5)/7),"00"))</f>
        <v/>
      </c>
    </row>
    <row r="929" ht="18" customHeight="1">
      <c r="A929" s="39" t="n">
        <v>924</v>
      </c>
      <c r="B929" s="33">
        <f>IF(C929="","",IF(L929="À RENSEIGNER","GIC",L929)&amp;"-E"&amp;TEXT(A929,"00000"))</f>
        <v/>
      </c>
      <c r="C929" s="32" t="n"/>
      <c r="D929" s="36" t="n"/>
      <c r="E929" s="37" t="n"/>
      <c r="F929" s="36" t="n"/>
      <c r="G929" s="44" t="n"/>
      <c r="H929" s="43" t="n"/>
      <c r="I929" s="32" t="n"/>
      <c r="J929" s="44" t="n"/>
      <c r="K929" s="36" t="n"/>
      <c r="L929" s="33">
        <f>IF(C929="","",Commercial_Id)</f>
        <v/>
      </c>
      <c r="M929" s="34">
        <f>IF(OR(C929="",F929=""),"",IF(F929&lt;&gt;"Espèces","—",IF(I929&lt;&gt;"","☑ Oui","☐ Non")))</f>
        <v/>
      </c>
      <c r="N929" s="39">
        <f>IF(D929="","",IFERROR(VALUE(MID(D929,LEN(D929)-3,3)),""))</f>
        <v/>
      </c>
      <c r="O929" s="33">
        <f>IF(N929="","",L929&amp;"|"&amp;N929)</f>
        <v/>
      </c>
      <c r="P929" s="33">
        <f>IF(N929="","",IF(L929="À RENSEIGNER","GIC",L929)&amp;"-"&amp;TEXT(N929,"000"))</f>
        <v/>
      </c>
      <c r="Q929" s="33">
        <f>IF(O929="","",IFERROR(INDEX(Cl_nom,MATCH(O929,Cl_cle,0)),"(client introuvable)"))</f>
        <v/>
      </c>
      <c r="R929" s="40">
        <f>IF(O929="","",IFERROR(INDEX(Cl_reste,MATCH(O929,Cl_cle,0)),""))</f>
        <v/>
      </c>
      <c r="S929" s="34">
        <f>IF(C929="","",YEAR(C929-WEEKDAY(C929,2)+4)&amp;"-S"&amp;TEXT(INT((C929-DATE(YEAR(C929-WEEKDAY(C929,2)+4),1,3)+WEEKDAY(DATE(YEAR(C929-WEEKDAY(C929,2)+4),1,3),2)+5)/7),"00"))</f>
        <v/>
      </c>
    </row>
    <row r="930" ht="18" customHeight="1">
      <c r="A930" s="39" t="n">
        <v>925</v>
      </c>
      <c r="B930" s="33">
        <f>IF(C930="","",IF(L930="À RENSEIGNER","GIC",L930)&amp;"-E"&amp;TEXT(A930,"00000"))</f>
        <v/>
      </c>
      <c r="C930" s="32" t="n"/>
      <c r="D930" s="36" t="n"/>
      <c r="E930" s="37" t="n"/>
      <c r="F930" s="36" t="n"/>
      <c r="G930" s="44" t="n"/>
      <c r="H930" s="43" t="n"/>
      <c r="I930" s="32" t="n"/>
      <c r="J930" s="44" t="n"/>
      <c r="K930" s="36" t="n"/>
      <c r="L930" s="33">
        <f>IF(C930="","",Commercial_Id)</f>
        <v/>
      </c>
      <c r="M930" s="34">
        <f>IF(OR(C930="",F930=""),"",IF(F930&lt;&gt;"Espèces","—",IF(I930&lt;&gt;"","☑ Oui","☐ Non")))</f>
        <v/>
      </c>
      <c r="N930" s="39">
        <f>IF(D930="","",IFERROR(VALUE(MID(D930,LEN(D930)-3,3)),""))</f>
        <v/>
      </c>
      <c r="O930" s="33">
        <f>IF(N930="","",L930&amp;"|"&amp;N930)</f>
        <v/>
      </c>
      <c r="P930" s="33">
        <f>IF(N930="","",IF(L930="À RENSEIGNER","GIC",L930)&amp;"-"&amp;TEXT(N930,"000"))</f>
        <v/>
      </c>
      <c r="Q930" s="33">
        <f>IF(O930="","",IFERROR(INDEX(Cl_nom,MATCH(O930,Cl_cle,0)),"(client introuvable)"))</f>
        <v/>
      </c>
      <c r="R930" s="40">
        <f>IF(O930="","",IFERROR(INDEX(Cl_reste,MATCH(O930,Cl_cle,0)),""))</f>
        <v/>
      </c>
      <c r="S930" s="34">
        <f>IF(C930="","",YEAR(C930-WEEKDAY(C930,2)+4)&amp;"-S"&amp;TEXT(INT((C930-DATE(YEAR(C930-WEEKDAY(C930,2)+4),1,3)+WEEKDAY(DATE(YEAR(C930-WEEKDAY(C930,2)+4),1,3),2)+5)/7),"00"))</f>
        <v/>
      </c>
    </row>
    <row r="931" ht="18" customHeight="1">
      <c r="A931" s="39" t="n">
        <v>926</v>
      </c>
      <c r="B931" s="33">
        <f>IF(C931="","",IF(L931="À RENSEIGNER","GIC",L931)&amp;"-E"&amp;TEXT(A931,"00000"))</f>
        <v/>
      </c>
      <c r="C931" s="32" t="n"/>
      <c r="D931" s="36" t="n"/>
      <c r="E931" s="37" t="n"/>
      <c r="F931" s="36" t="n"/>
      <c r="G931" s="44" t="n"/>
      <c r="H931" s="43" t="n"/>
      <c r="I931" s="32" t="n"/>
      <c r="J931" s="44" t="n"/>
      <c r="K931" s="36" t="n"/>
      <c r="L931" s="33">
        <f>IF(C931="","",Commercial_Id)</f>
        <v/>
      </c>
      <c r="M931" s="34">
        <f>IF(OR(C931="",F931=""),"",IF(F931&lt;&gt;"Espèces","—",IF(I931&lt;&gt;"","☑ Oui","☐ Non")))</f>
        <v/>
      </c>
      <c r="N931" s="39">
        <f>IF(D931="","",IFERROR(VALUE(MID(D931,LEN(D931)-3,3)),""))</f>
        <v/>
      </c>
      <c r="O931" s="33">
        <f>IF(N931="","",L931&amp;"|"&amp;N931)</f>
        <v/>
      </c>
      <c r="P931" s="33">
        <f>IF(N931="","",IF(L931="À RENSEIGNER","GIC",L931)&amp;"-"&amp;TEXT(N931,"000"))</f>
        <v/>
      </c>
      <c r="Q931" s="33">
        <f>IF(O931="","",IFERROR(INDEX(Cl_nom,MATCH(O931,Cl_cle,0)),"(client introuvable)"))</f>
        <v/>
      </c>
      <c r="R931" s="40">
        <f>IF(O931="","",IFERROR(INDEX(Cl_reste,MATCH(O931,Cl_cle,0)),""))</f>
        <v/>
      </c>
      <c r="S931" s="34">
        <f>IF(C931="","",YEAR(C931-WEEKDAY(C931,2)+4)&amp;"-S"&amp;TEXT(INT((C931-DATE(YEAR(C931-WEEKDAY(C931,2)+4),1,3)+WEEKDAY(DATE(YEAR(C931-WEEKDAY(C931,2)+4),1,3),2)+5)/7),"00"))</f>
        <v/>
      </c>
    </row>
    <row r="932" ht="18" customHeight="1">
      <c r="A932" s="39" t="n">
        <v>927</v>
      </c>
      <c r="B932" s="33">
        <f>IF(C932="","",IF(L932="À RENSEIGNER","GIC",L932)&amp;"-E"&amp;TEXT(A932,"00000"))</f>
        <v/>
      </c>
      <c r="C932" s="32" t="n"/>
      <c r="D932" s="36" t="n"/>
      <c r="E932" s="37" t="n"/>
      <c r="F932" s="36" t="n"/>
      <c r="G932" s="44" t="n"/>
      <c r="H932" s="43" t="n"/>
      <c r="I932" s="32" t="n"/>
      <c r="J932" s="44" t="n"/>
      <c r="K932" s="36" t="n"/>
      <c r="L932" s="33">
        <f>IF(C932="","",Commercial_Id)</f>
        <v/>
      </c>
      <c r="M932" s="34">
        <f>IF(OR(C932="",F932=""),"",IF(F932&lt;&gt;"Espèces","—",IF(I932&lt;&gt;"","☑ Oui","☐ Non")))</f>
        <v/>
      </c>
      <c r="N932" s="39">
        <f>IF(D932="","",IFERROR(VALUE(MID(D932,LEN(D932)-3,3)),""))</f>
        <v/>
      </c>
      <c r="O932" s="33">
        <f>IF(N932="","",L932&amp;"|"&amp;N932)</f>
        <v/>
      </c>
      <c r="P932" s="33">
        <f>IF(N932="","",IF(L932="À RENSEIGNER","GIC",L932)&amp;"-"&amp;TEXT(N932,"000"))</f>
        <v/>
      </c>
      <c r="Q932" s="33">
        <f>IF(O932="","",IFERROR(INDEX(Cl_nom,MATCH(O932,Cl_cle,0)),"(client introuvable)"))</f>
        <v/>
      </c>
      <c r="R932" s="40">
        <f>IF(O932="","",IFERROR(INDEX(Cl_reste,MATCH(O932,Cl_cle,0)),""))</f>
        <v/>
      </c>
      <c r="S932" s="34">
        <f>IF(C932="","",YEAR(C932-WEEKDAY(C932,2)+4)&amp;"-S"&amp;TEXT(INT((C932-DATE(YEAR(C932-WEEKDAY(C932,2)+4),1,3)+WEEKDAY(DATE(YEAR(C932-WEEKDAY(C932,2)+4),1,3),2)+5)/7),"00"))</f>
        <v/>
      </c>
    </row>
    <row r="933" ht="18" customHeight="1">
      <c r="A933" s="39" t="n">
        <v>928</v>
      </c>
      <c r="B933" s="33">
        <f>IF(C933="","",IF(L933="À RENSEIGNER","GIC",L933)&amp;"-E"&amp;TEXT(A933,"00000"))</f>
        <v/>
      </c>
      <c r="C933" s="32" t="n"/>
      <c r="D933" s="36" t="n"/>
      <c r="E933" s="37" t="n"/>
      <c r="F933" s="36" t="n"/>
      <c r="G933" s="44" t="n"/>
      <c r="H933" s="43" t="n"/>
      <c r="I933" s="32" t="n"/>
      <c r="J933" s="44" t="n"/>
      <c r="K933" s="36" t="n"/>
      <c r="L933" s="33">
        <f>IF(C933="","",Commercial_Id)</f>
        <v/>
      </c>
      <c r="M933" s="34">
        <f>IF(OR(C933="",F933=""),"",IF(F933&lt;&gt;"Espèces","—",IF(I933&lt;&gt;"","☑ Oui","☐ Non")))</f>
        <v/>
      </c>
      <c r="N933" s="39">
        <f>IF(D933="","",IFERROR(VALUE(MID(D933,LEN(D933)-3,3)),""))</f>
        <v/>
      </c>
      <c r="O933" s="33">
        <f>IF(N933="","",L933&amp;"|"&amp;N933)</f>
        <v/>
      </c>
      <c r="P933" s="33">
        <f>IF(N933="","",IF(L933="À RENSEIGNER","GIC",L933)&amp;"-"&amp;TEXT(N933,"000"))</f>
        <v/>
      </c>
      <c r="Q933" s="33">
        <f>IF(O933="","",IFERROR(INDEX(Cl_nom,MATCH(O933,Cl_cle,0)),"(client introuvable)"))</f>
        <v/>
      </c>
      <c r="R933" s="40">
        <f>IF(O933="","",IFERROR(INDEX(Cl_reste,MATCH(O933,Cl_cle,0)),""))</f>
        <v/>
      </c>
      <c r="S933" s="34">
        <f>IF(C933="","",YEAR(C933-WEEKDAY(C933,2)+4)&amp;"-S"&amp;TEXT(INT((C933-DATE(YEAR(C933-WEEKDAY(C933,2)+4),1,3)+WEEKDAY(DATE(YEAR(C933-WEEKDAY(C933,2)+4),1,3),2)+5)/7),"00"))</f>
        <v/>
      </c>
    </row>
    <row r="934" ht="18" customHeight="1">
      <c r="A934" s="39" t="n">
        <v>929</v>
      </c>
      <c r="B934" s="33">
        <f>IF(C934="","",IF(L934="À RENSEIGNER","GIC",L934)&amp;"-E"&amp;TEXT(A934,"00000"))</f>
        <v/>
      </c>
      <c r="C934" s="32" t="n"/>
      <c r="D934" s="36" t="n"/>
      <c r="E934" s="37" t="n"/>
      <c r="F934" s="36" t="n"/>
      <c r="G934" s="44" t="n"/>
      <c r="H934" s="43" t="n"/>
      <c r="I934" s="32" t="n"/>
      <c r="J934" s="44" t="n"/>
      <c r="K934" s="36" t="n"/>
      <c r="L934" s="33">
        <f>IF(C934="","",Commercial_Id)</f>
        <v/>
      </c>
      <c r="M934" s="34">
        <f>IF(OR(C934="",F934=""),"",IF(F934&lt;&gt;"Espèces","—",IF(I934&lt;&gt;"","☑ Oui","☐ Non")))</f>
        <v/>
      </c>
      <c r="N934" s="39">
        <f>IF(D934="","",IFERROR(VALUE(MID(D934,LEN(D934)-3,3)),""))</f>
        <v/>
      </c>
      <c r="O934" s="33">
        <f>IF(N934="","",L934&amp;"|"&amp;N934)</f>
        <v/>
      </c>
      <c r="P934" s="33">
        <f>IF(N934="","",IF(L934="À RENSEIGNER","GIC",L934)&amp;"-"&amp;TEXT(N934,"000"))</f>
        <v/>
      </c>
      <c r="Q934" s="33">
        <f>IF(O934="","",IFERROR(INDEX(Cl_nom,MATCH(O934,Cl_cle,0)),"(client introuvable)"))</f>
        <v/>
      </c>
      <c r="R934" s="40">
        <f>IF(O934="","",IFERROR(INDEX(Cl_reste,MATCH(O934,Cl_cle,0)),""))</f>
        <v/>
      </c>
      <c r="S934" s="34">
        <f>IF(C934="","",YEAR(C934-WEEKDAY(C934,2)+4)&amp;"-S"&amp;TEXT(INT((C934-DATE(YEAR(C934-WEEKDAY(C934,2)+4),1,3)+WEEKDAY(DATE(YEAR(C934-WEEKDAY(C934,2)+4),1,3),2)+5)/7),"00"))</f>
        <v/>
      </c>
    </row>
    <row r="935" ht="18" customHeight="1">
      <c r="A935" s="39" t="n">
        <v>930</v>
      </c>
      <c r="B935" s="33">
        <f>IF(C935="","",IF(L935="À RENSEIGNER","GIC",L935)&amp;"-E"&amp;TEXT(A935,"00000"))</f>
        <v/>
      </c>
      <c r="C935" s="32" t="n"/>
      <c r="D935" s="36" t="n"/>
      <c r="E935" s="37" t="n"/>
      <c r="F935" s="36" t="n"/>
      <c r="G935" s="44" t="n"/>
      <c r="H935" s="43" t="n"/>
      <c r="I935" s="32" t="n"/>
      <c r="J935" s="44" t="n"/>
      <c r="K935" s="36" t="n"/>
      <c r="L935" s="33">
        <f>IF(C935="","",Commercial_Id)</f>
        <v/>
      </c>
      <c r="M935" s="34">
        <f>IF(OR(C935="",F935=""),"",IF(F935&lt;&gt;"Espèces","—",IF(I935&lt;&gt;"","☑ Oui","☐ Non")))</f>
        <v/>
      </c>
      <c r="N935" s="39">
        <f>IF(D935="","",IFERROR(VALUE(MID(D935,LEN(D935)-3,3)),""))</f>
        <v/>
      </c>
      <c r="O935" s="33">
        <f>IF(N935="","",L935&amp;"|"&amp;N935)</f>
        <v/>
      </c>
      <c r="P935" s="33">
        <f>IF(N935="","",IF(L935="À RENSEIGNER","GIC",L935)&amp;"-"&amp;TEXT(N935,"000"))</f>
        <v/>
      </c>
      <c r="Q935" s="33">
        <f>IF(O935="","",IFERROR(INDEX(Cl_nom,MATCH(O935,Cl_cle,0)),"(client introuvable)"))</f>
        <v/>
      </c>
      <c r="R935" s="40">
        <f>IF(O935="","",IFERROR(INDEX(Cl_reste,MATCH(O935,Cl_cle,0)),""))</f>
        <v/>
      </c>
      <c r="S935" s="34">
        <f>IF(C935="","",YEAR(C935-WEEKDAY(C935,2)+4)&amp;"-S"&amp;TEXT(INT((C935-DATE(YEAR(C935-WEEKDAY(C935,2)+4),1,3)+WEEKDAY(DATE(YEAR(C935-WEEKDAY(C935,2)+4),1,3),2)+5)/7),"00"))</f>
        <v/>
      </c>
    </row>
    <row r="936" ht="18" customHeight="1">
      <c r="A936" s="39" t="n">
        <v>931</v>
      </c>
      <c r="B936" s="33">
        <f>IF(C936="","",IF(L936="À RENSEIGNER","GIC",L936)&amp;"-E"&amp;TEXT(A936,"00000"))</f>
        <v/>
      </c>
      <c r="C936" s="32" t="n"/>
      <c r="D936" s="36" t="n"/>
      <c r="E936" s="37" t="n"/>
      <c r="F936" s="36" t="n"/>
      <c r="G936" s="44" t="n"/>
      <c r="H936" s="43" t="n"/>
      <c r="I936" s="32" t="n"/>
      <c r="J936" s="44" t="n"/>
      <c r="K936" s="36" t="n"/>
      <c r="L936" s="33">
        <f>IF(C936="","",Commercial_Id)</f>
        <v/>
      </c>
      <c r="M936" s="34">
        <f>IF(OR(C936="",F936=""),"",IF(F936&lt;&gt;"Espèces","—",IF(I936&lt;&gt;"","☑ Oui","☐ Non")))</f>
        <v/>
      </c>
      <c r="N936" s="39">
        <f>IF(D936="","",IFERROR(VALUE(MID(D936,LEN(D936)-3,3)),""))</f>
        <v/>
      </c>
      <c r="O936" s="33">
        <f>IF(N936="","",L936&amp;"|"&amp;N936)</f>
        <v/>
      </c>
      <c r="P936" s="33">
        <f>IF(N936="","",IF(L936="À RENSEIGNER","GIC",L936)&amp;"-"&amp;TEXT(N936,"000"))</f>
        <v/>
      </c>
      <c r="Q936" s="33">
        <f>IF(O936="","",IFERROR(INDEX(Cl_nom,MATCH(O936,Cl_cle,0)),"(client introuvable)"))</f>
        <v/>
      </c>
      <c r="R936" s="40">
        <f>IF(O936="","",IFERROR(INDEX(Cl_reste,MATCH(O936,Cl_cle,0)),""))</f>
        <v/>
      </c>
      <c r="S936" s="34">
        <f>IF(C936="","",YEAR(C936-WEEKDAY(C936,2)+4)&amp;"-S"&amp;TEXT(INT((C936-DATE(YEAR(C936-WEEKDAY(C936,2)+4),1,3)+WEEKDAY(DATE(YEAR(C936-WEEKDAY(C936,2)+4),1,3),2)+5)/7),"00"))</f>
        <v/>
      </c>
    </row>
    <row r="937" ht="18" customHeight="1">
      <c r="A937" s="39" t="n">
        <v>932</v>
      </c>
      <c r="B937" s="33">
        <f>IF(C937="","",IF(L937="À RENSEIGNER","GIC",L937)&amp;"-E"&amp;TEXT(A937,"00000"))</f>
        <v/>
      </c>
      <c r="C937" s="32" t="n"/>
      <c r="D937" s="36" t="n"/>
      <c r="E937" s="37" t="n"/>
      <c r="F937" s="36" t="n"/>
      <c r="G937" s="44" t="n"/>
      <c r="H937" s="43" t="n"/>
      <c r="I937" s="32" t="n"/>
      <c r="J937" s="44" t="n"/>
      <c r="K937" s="36" t="n"/>
      <c r="L937" s="33">
        <f>IF(C937="","",Commercial_Id)</f>
        <v/>
      </c>
      <c r="M937" s="34">
        <f>IF(OR(C937="",F937=""),"",IF(F937&lt;&gt;"Espèces","—",IF(I937&lt;&gt;"","☑ Oui","☐ Non")))</f>
        <v/>
      </c>
      <c r="N937" s="39">
        <f>IF(D937="","",IFERROR(VALUE(MID(D937,LEN(D937)-3,3)),""))</f>
        <v/>
      </c>
      <c r="O937" s="33">
        <f>IF(N937="","",L937&amp;"|"&amp;N937)</f>
        <v/>
      </c>
      <c r="P937" s="33">
        <f>IF(N937="","",IF(L937="À RENSEIGNER","GIC",L937)&amp;"-"&amp;TEXT(N937,"000"))</f>
        <v/>
      </c>
      <c r="Q937" s="33">
        <f>IF(O937="","",IFERROR(INDEX(Cl_nom,MATCH(O937,Cl_cle,0)),"(client introuvable)"))</f>
        <v/>
      </c>
      <c r="R937" s="40">
        <f>IF(O937="","",IFERROR(INDEX(Cl_reste,MATCH(O937,Cl_cle,0)),""))</f>
        <v/>
      </c>
      <c r="S937" s="34">
        <f>IF(C937="","",YEAR(C937-WEEKDAY(C937,2)+4)&amp;"-S"&amp;TEXT(INT((C937-DATE(YEAR(C937-WEEKDAY(C937,2)+4),1,3)+WEEKDAY(DATE(YEAR(C937-WEEKDAY(C937,2)+4),1,3),2)+5)/7),"00"))</f>
        <v/>
      </c>
    </row>
    <row r="938" ht="18" customHeight="1">
      <c r="A938" s="39" t="n">
        <v>933</v>
      </c>
      <c r="B938" s="33">
        <f>IF(C938="","",IF(L938="À RENSEIGNER","GIC",L938)&amp;"-E"&amp;TEXT(A938,"00000"))</f>
        <v/>
      </c>
      <c r="C938" s="32" t="n"/>
      <c r="D938" s="36" t="n"/>
      <c r="E938" s="37" t="n"/>
      <c r="F938" s="36" t="n"/>
      <c r="G938" s="44" t="n"/>
      <c r="H938" s="43" t="n"/>
      <c r="I938" s="32" t="n"/>
      <c r="J938" s="44" t="n"/>
      <c r="K938" s="36" t="n"/>
      <c r="L938" s="33">
        <f>IF(C938="","",Commercial_Id)</f>
        <v/>
      </c>
      <c r="M938" s="34">
        <f>IF(OR(C938="",F938=""),"",IF(F938&lt;&gt;"Espèces","—",IF(I938&lt;&gt;"","☑ Oui","☐ Non")))</f>
        <v/>
      </c>
      <c r="N938" s="39">
        <f>IF(D938="","",IFERROR(VALUE(MID(D938,LEN(D938)-3,3)),""))</f>
        <v/>
      </c>
      <c r="O938" s="33">
        <f>IF(N938="","",L938&amp;"|"&amp;N938)</f>
        <v/>
      </c>
      <c r="P938" s="33">
        <f>IF(N938="","",IF(L938="À RENSEIGNER","GIC",L938)&amp;"-"&amp;TEXT(N938,"000"))</f>
        <v/>
      </c>
      <c r="Q938" s="33">
        <f>IF(O938="","",IFERROR(INDEX(Cl_nom,MATCH(O938,Cl_cle,0)),"(client introuvable)"))</f>
        <v/>
      </c>
      <c r="R938" s="40">
        <f>IF(O938="","",IFERROR(INDEX(Cl_reste,MATCH(O938,Cl_cle,0)),""))</f>
        <v/>
      </c>
      <c r="S938" s="34">
        <f>IF(C938="","",YEAR(C938-WEEKDAY(C938,2)+4)&amp;"-S"&amp;TEXT(INT((C938-DATE(YEAR(C938-WEEKDAY(C938,2)+4),1,3)+WEEKDAY(DATE(YEAR(C938-WEEKDAY(C938,2)+4),1,3),2)+5)/7),"00"))</f>
        <v/>
      </c>
    </row>
    <row r="939" ht="18" customHeight="1">
      <c r="A939" s="39" t="n">
        <v>934</v>
      </c>
      <c r="B939" s="33">
        <f>IF(C939="","",IF(L939="À RENSEIGNER","GIC",L939)&amp;"-E"&amp;TEXT(A939,"00000"))</f>
        <v/>
      </c>
      <c r="C939" s="32" t="n"/>
      <c r="D939" s="36" t="n"/>
      <c r="E939" s="37" t="n"/>
      <c r="F939" s="36" t="n"/>
      <c r="G939" s="44" t="n"/>
      <c r="H939" s="43" t="n"/>
      <c r="I939" s="32" t="n"/>
      <c r="J939" s="44" t="n"/>
      <c r="K939" s="36" t="n"/>
      <c r="L939" s="33">
        <f>IF(C939="","",Commercial_Id)</f>
        <v/>
      </c>
      <c r="M939" s="34">
        <f>IF(OR(C939="",F939=""),"",IF(F939&lt;&gt;"Espèces","—",IF(I939&lt;&gt;"","☑ Oui","☐ Non")))</f>
        <v/>
      </c>
      <c r="N939" s="39">
        <f>IF(D939="","",IFERROR(VALUE(MID(D939,LEN(D939)-3,3)),""))</f>
        <v/>
      </c>
      <c r="O939" s="33">
        <f>IF(N939="","",L939&amp;"|"&amp;N939)</f>
        <v/>
      </c>
      <c r="P939" s="33">
        <f>IF(N939="","",IF(L939="À RENSEIGNER","GIC",L939)&amp;"-"&amp;TEXT(N939,"000"))</f>
        <v/>
      </c>
      <c r="Q939" s="33">
        <f>IF(O939="","",IFERROR(INDEX(Cl_nom,MATCH(O939,Cl_cle,0)),"(client introuvable)"))</f>
        <v/>
      </c>
      <c r="R939" s="40">
        <f>IF(O939="","",IFERROR(INDEX(Cl_reste,MATCH(O939,Cl_cle,0)),""))</f>
        <v/>
      </c>
      <c r="S939" s="34">
        <f>IF(C939="","",YEAR(C939-WEEKDAY(C939,2)+4)&amp;"-S"&amp;TEXT(INT((C939-DATE(YEAR(C939-WEEKDAY(C939,2)+4),1,3)+WEEKDAY(DATE(YEAR(C939-WEEKDAY(C939,2)+4),1,3),2)+5)/7),"00"))</f>
        <v/>
      </c>
    </row>
    <row r="940" ht="18" customHeight="1">
      <c r="A940" s="39" t="n">
        <v>935</v>
      </c>
      <c r="B940" s="33">
        <f>IF(C940="","",IF(L940="À RENSEIGNER","GIC",L940)&amp;"-E"&amp;TEXT(A940,"00000"))</f>
        <v/>
      </c>
      <c r="C940" s="32" t="n"/>
      <c r="D940" s="36" t="n"/>
      <c r="E940" s="37" t="n"/>
      <c r="F940" s="36" t="n"/>
      <c r="G940" s="44" t="n"/>
      <c r="H940" s="43" t="n"/>
      <c r="I940" s="32" t="n"/>
      <c r="J940" s="44" t="n"/>
      <c r="K940" s="36" t="n"/>
      <c r="L940" s="33">
        <f>IF(C940="","",Commercial_Id)</f>
        <v/>
      </c>
      <c r="M940" s="34">
        <f>IF(OR(C940="",F940=""),"",IF(F940&lt;&gt;"Espèces","—",IF(I940&lt;&gt;"","☑ Oui","☐ Non")))</f>
        <v/>
      </c>
      <c r="N940" s="39">
        <f>IF(D940="","",IFERROR(VALUE(MID(D940,LEN(D940)-3,3)),""))</f>
        <v/>
      </c>
      <c r="O940" s="33">
        <f>IF(N940="","",L940&amp;"|"&amp;N940)</f>
        <v/>
      </c>
      <c r="P940" s="33">
        <f>IF(N940="","",IF(L940="À RENSEIGNER","GIC",L940)&amp;"-"&amp;TEXT(N940,"000"))</f>
        <v/>
      </c>
      <c r="Q940" s="33">
        <f>IF(O940="","",IFERROR(INDEX(Cl_nom,MATCH(O940,Cl_cle,0)),"(client introuvable)"))</f>
        <v/>
      </c>
      <c r="R940" s="40">
        <f>IF(O940="","",IFERROR(INDEX(Cl_reste,MATCH(O940,Cl_cle,0)),""))</f>
        <v/>
      </c>
      <c r="S940" s="34">
        <f>IF(C940="","",YEAR(C940-WEEKDAY(C940,2)+4)&amp;"-S"&amp;TEXT(INT((C940-DATE(YEAR(C940-WEEKDAY(C940,2)+4),1,3)+WEEKDAY(DATE(YEAR(C940-WEEKDAY(C940,2)+4),1,3),2)+5)/7),"00"))</f>
        <v/>
      </c>
    </row>
    <row r="941" ht="18" customHeight="1">
      <c r="A941" s="39" t="n">
        <v>936</v>
      </c>
      <c r="B941" s="33">
        <f>IF(C941="","",IF(L941="À RENSEIGNER","GIC",L941)&amp;"-E"&amp;TEXT(A941,"00000"))</f>
        <v/>
      </c>
      <c r="C941" s="32" t="n"/>
      <c r="D941" s="36" t="n"/>
      <c r="E941" s="37" t="n"/>
      <c r="F941" s="36" t="n"/>
      <c r="G941" s="44" t="n"/>
      <c r="H941" s="43" t="n"/>
      <c r="I941" s="32" t="n"/>
      <c r="J941" s="44" t="n"/>
      <c r="K941" s="36" t="n"/>
      <c r="L941" s="33">
        <f>IF(C941="","",Commercial_Id)</f>
        <v/>
      </c>
      <c r="M941" s="34">
        <f>IF(OR(C941="",F941=""),"",IF(F941&lt;&gt;"Espèces","—",IF(I941&lt;&gt;"","☑ Oui","☐ Non")))</f>
        <v/>
      </c>
      <c r="N941" s="39">
        <f>IF(D941="","",IFERROR(VALUE(MID(D941,LEN(D941)-3,3)),""))</f>
        <v/>
      </c>
      <c r="O941" s="33">
        <f>IF(N941="","",L941&amp;"|"&amp;N941)</f>
        <v/>
      </c>
      <c r="P941" s="33">
        <f>IF(N941="","",IF(L941="À RENSEIGNER","GIC",L941)&amp;"-"&amp;TEXT(N941,"000"))</f>
        <v/>
      </c>
      <c r="Q941" s="33">
        <f>IF(O941="","",IFERROR(INDEX(Cl_nom,MATCH(O941,Cl_cle,0)),"(client introuvable)"))</f>
        <v/>
      </c>
      <c r="R941" s="40">
        <f>IF(O941="","",IFERROR(INDEX(Cl_reste,MATCH(O941,Cl_cle,0)),""))</f>
        <v/>
      </c>
      <c r="S941" s="34">
        <f>IF(C941="","",YEAR(C941-WEEKDAY(C941,2)+4)&amp;"-S"&amp;TEXT(INT((C941-DATE(YEAR(C941-WEEKDAY(C941,2)+4),1,3)+WEEKDAY(DATE(YEAR(C941-WEEKDAY(C941,2)+4),1,3),2)+5)/7),"00"))</f>
        <v/>
      </c>
    </row>
    <row r="942" ht="18" customHeight="1">
      <c r="A942" s="39" t="n">
        <v>937</v>
      </c>
      <c r="B942" s="33">
        <f>IF(C942="","",IF(L942="À RENSEIGNER","GIC",L942)&amp;"-E"&amp;TEXT(A942,"00000"))</f>
        <v/>
      </c>
      <c r="C942" s="32" t="n"/>
      <c r="D942" s="36" t="n"/>
      <c r="E942" s="37" t="n"/>
      <c r="F942" s="36" t="n"/>
      <c r="G942" s="44" t="n"/>
      <c r="H942" s="43" t="n"/>
      <c r="I942" s="32" t="n"/>
      <c r="J942" s="44" t="n"/>
      <c r="K942" s="36" t="n"/>
      <c r="L942" s="33">
        <f>IF(C942="","",Commercial_Id)</f>
        <v/>
      </c>
      <c r="M942" s="34">
        <f>IF(OR(C942="",F942=""),"",IF(F942&lt;&gt;"Espèces","—",IF(I942&lt;&gt;"","☑ Oui","☐ Non")))</f>
        <v/>
      </c>
      <c r="N942" s="39">
        <f>IF(D942="","",IFERROR(VALUE(MID(D942,LEN(D942)-3,3)),""))</f>
        <v/>
      </c>
      <c r="O942" s="33">
        <f>IF(N942="","",L942&amp;"|"&amp;N942)</f>
        <v/>
      </c>
      <c r="P942" s="33">
        <f>IF(N942="","",IF(L942="À RENSEIGNER","GIC",L942)&amp;"-"&amp;TEXT(N942,"000"))</f>
        <v/>
      </c>
      <c r="Q942" s="33">
        <f>IF(O942="","",IFERROR(INDEX(Cl_nom,MATCH(O942,Cl_cle,0)),"(client introuvable)"))</f>
        <v/>
      </c>
      <c r="R942" s="40">
        <f>IF(O942="","",IFERROR(INDEX(Cl_reste,MATCH(O942,Cl_cle,0)),""))</f>
        <v/>
      </c>
      <c r="S942" s="34">
        <f>IF(C942="","",YEAR(C942-WEEKDAY(C942,2)+4)&amp;"-S"&amp;TEXT(INT((C942-DATE(YEAR(C942-WEEKDAY(C942,2)+4),1,3)+WEEKDAY(DATE(YEAR(C942-WEEKDAY(C942,2)+4),1,3),2)+5)/7),"00"))</f>
        <v/>
      </c>
    </row>
    <row r="943" ht="18" customHeight="1">
      <c r="A943" s="39" t="n">
        <v>938</v>
      </c>
      <c r="B943" s="33">
        <f>IF(C943="","",IF(L943="À RENSEIGNER","GIC",L943)&amp;"-E"&amp;TEXT(A943,"00000"))</f>
        <v/>
      </c>
      <c r="C943" s="32" t="n"/>
      <c r="D943" s="36" t="n"/>
      <c r="E943" s="37" t="n"/>
      <c r="F943" s="36" t="n"/>
      <c r="G943" s="44" t="n"/>
      <c r="H943" s="43" t="n"/>
      <c r="I943" s="32" t="n"/>
      <c r="J943" s="44" t="n"/>
      <c r="K943" s="36" t="n"/>
      <c r="L943" s="33">
        <f>IF(C943="","",Commercial_Id)</f>
        <v/>
      </c>
      <c r="M943" s="34">
        <f>IF(OR(C943="",F943=""),"",IF(F943&lt;&gt;"Espèces","—",IF(I943&lt;&gt;"","☑ Oui","☐ Non")))</f>
        <v/>
      </c>
      <c r="N943" s="39">
        <f>IF(D943="","",IFERROR(VALUE(MID(D943,LEN(D943)-3,3)),""))</f>
        <v/>
      </c>
      <c r="O943" s="33">
        <f>IF(N943="","",L943&amp;"|"&amp;N943)</f>
        <v/>
      </c>
      <c r="P943" s="33">
        <f>IF(N943="","",IF(L943="À RENSEIGNER","GIC",L943)&amp;"-"&amp;TEXT(N943,"000"))</f>
        <v/>
      </c>
      <c r="Q943" s="33">
        <f>IF(O943="","",IFERROR(INDEX(Cl_nom,MATCH(O943,Cl_cle,0)),"(client introuvable)"))</f>
        <v/>
      </c>
      <c r="R943" s="40">
        <f>IF(O943="","",IFERROR(INDEX(Cl_reste,MATCH(O943,Cl_cle,0)),""))</f>
        <v/>
      </c>
      <c r="S943" s="34">
        <f>IF(C943="","",YEAR(C943-WEEKDAY(C943,2)+4)&amp;"-S"&amp;TEXT(INT((C943-DATE(YEAR(C943-WEEKDAY(C943,2)+4),1,3)+WEEKDAY(DATE(YEAR(C943-WEEKDAY(C943,2)+4),1,3),2)+5)/7),"00"))</f>
        <v/>
      </c>
    </row>
    <row r="944" ht="18" customHeight="1">
      <c r="A944" s="39" t="n">
        <v>939</v>
      </c>
      <c r="B944" s="33">
        <f>IF(C944="","",IF(L944="À RENSEIGNER","GIC",L944)&amp;"-E"&amp;TEXT(A944,"00000"))</f>
        <v/>
      </c>
      <c r="C944" s="32" t="n"/>
      <c r="D944" s="36" t="n"/>
      <c r="E944" s="37" t="n"/>
      <c r="F944" s="36" t="n"/>
      <c r="G944" s="44" t="n"/>
      <c r="H944" s="43" t="n"/>
      <c r="I944" s="32" t="n"/>
      <c r="J944" s="44" t="n"/>
      <c r="K944" s="36" t="n"/>
      <c r="L944" s="33">
        <f>IF(C944="","",Commercial_Id)</f>
        <v/>
      </c>
      <c r="M944" s="34">
        <f>IF(OR(C944="",F944=""),"",IF(F944&lt;&gt;"Espèces","—",IF(I944&lt;&gt;"","☑ Oui","☐ Non")))</f>
        <v/>
      </c>
      <c r="N944" s="39">
        <f>IF(D944="","",IFERROR(VALUE(MID(D944,LEN(D944)-3,3)),""))</f>
        <v/>
      </c>
      <c r="O944" s="33">
        <f>IF(N944="","",L944&amp;"|"&amp;N944)</f>
        <v/>
      </c>
      <c r="P944" s="33">
        <f>IF(N944="","",IF(L944="À RENSEIGNER","GIC",L944)&amp;"-"&amp;TEXT(N944,"000"))</f>
        <v/>
      </c>
      <c r="Q944" s="33">
        <f>IF(O944="","",IFERROR(INDEX(Cl_nom,MATCH(O944,Cl_cle,0)),"(client introuvable)"))</f>
        <v/>
      </c>
      <c r="R944" s="40">
        <f>IF(O944="","",IFERROR(INDEX(Cl_reste,MATCH(O944,Cl_cle,0)),""))</f>
        <v/>
      </c>
      <c r="S944" s="34">
        <f>IF(C944="","",YEAR(C944-WEEKDAY(C944,2)+4)&amp;"-S"&amp;TEXT(INT((C944-DATE(YEAR(C944-WEEKDAY(C944,2)+4),1,3)+WEEKDAY(DATE(YEAR(C944-WEEKDAY(C944,2)+4),1,3),2)+5)/7),"00"))</f>
        <v/>
      </c>
    </row>
    <row r="945" ht="18" customHeight="1">
      <c r="A945" s="39" t="n">
        <v>940</v>
      </c>
      <c r="B945" s="33">
        <f>IF(C945="","",IF(L945="À RENSEIGNER","GIC",L945)&amp;"-E"&amp;TEXT(A945,"00000"))</f>
        <v/>
      </c>
      <c r="C945" s="32" t="n"/>
      <c r="D945" s="36" t="n"/>
      <c r="E945" s="37" t="n"/>
      <c r="F945" s="36" t="n"/>
      <c r="G945" s="44" t="n"/>
      <c r="H945" s="43" t="n"/>
      <c r="I945" s="32" t="n"/>
      <c r="J945" s="44" t="n"/>
      <c r="K945" s="36" t="n"/>
      <c r="L945" s="33">
        <f>IF(C945="","",Commercial_Id)</f>
        <v/>
      </c>
      <c r="M945" s="34">
        <f>IF(OR(C945="",F945=""),"",IF(F945&lt;&gt;"Espèces","—",IF(I945&lt;&gt;"","☑ Oui","☐ Non")))</f>
        <v/>
      </c>
      <c r="N945" s="39">
        <f>IF(D945="","",IFERROR(VALUE(MID(D945,LEN(D945)-3,3)),""))</f>
        <v/>
      </c>
      <c r="O945" s="33">
        <f>IF(N945="","",L945&amp;"|"&amp;N945)</f>
        <v/>
      </c>
      <c r="P945" s="33">
        <f>IF(N945="","",IF(L945="À RENSEIGNER","GIC",L945)&amp;"-"&amp;TEXT(N945,"000"))</f>
        <v/>
      </c>
      <c r="Q945" s="33">
        <f>IF(O945="","",IFERROR(INDEX(Cl_nom,MATCH(O945,Cl_cle,0)),"(client introuvable)"))</f>
        <v/>
      </c>
      <c r="R945" s="40">
        <f>IF(O945="","",IFERROR(INDEX(Cl_reste,MATCH(O945,Cl_cle,0)),""))</f>
        <v/>
      </c>
      <c r="S945" s="34">
        <f>IF(C945="","",YEAR(C945-WEEKDAY(C945,2)+4)&amp;"-S"&amp;TEXT(INT((C945-DATE(YEAR(C945-WEEKDAY(C945,2)+4),1,3)+WEEKDAY(DATE(YEAR(C945-WEEKDAY(C945,2)+4),1,3),2)+5)/7),"00"))</f>
        <v/>
      </c>
    </row>
    <row r="946" ht="18" customHeight="1">
      <c r="A946" s="39" t="n">
        <v>941</v>
      </c>
      <c r="B946" s="33">
        <f>IF(C946="","",IF(L946="À RENSEIGNER","GIC",L946)&amp;"-E"&amp;TEXT(A946,"00000"))</f>
        <v/>
      </c>
      <c r="C946" s="32" t="n"/>
      <c r="D946" s="36" t="n"/>
      <c r="E946" s="37" t="n"/>
      <c r="F946" s="36" t="n"/>
      <c r="G946" s="44" t="n"/>
      <c r="H946" s="43" t="n"/>
      <c r="I946" s="32" t="n"/>
      <c r="J946" s="44" t="n"/>
      <c r="K946" s="36" t="n"/>
      <c r="L946" s="33">
        <f>IF(C946="","",Commercial_Id)</f>
        <v/>
      </c>
      <c r="M946" s="34">
        <f>IF(OR(C946="",F946=""),"",IF(F946&lt;&gt;"Espèces","—",IF(I946&lt;&gt;"","☑ Oui","☐ Non")))</f>
        <v/>
      </c>
      <c r="N946" s="39">
        <f>IF(D946="","",IFERROR(VALUE(MID(D946,LEN(D946)-3,3)),""))</f>
        <v/>
      </c>
      <c r="O946" s="33">
        <f>IF(N946="","",L946&amp;"|"&amp;N946)</f>
        <v/>
      </c>
      <c r="P946" s="33">
        <f>IF(N946="","",IF(L946="À RENSEIGNER","GIC",L946)&amp;"-"&amp;TEXT(N946,"000"))</f>
        <v/>
      </c>
      <c r="Q946" s="33">
        <f>IF(O946="","",IFERROR(INDEX(Cl_nom,MATCH(O946,Cl_cle,0)),"(client introuvable)"))</f>
        <v/>
      </c>
      <c r="R946" s="40">
        <f>IF(O946="","",IFERROR(INDEX(Cl_reste,MATCH(O946,Cl_cle,0)),""))</f>
        <v/>
      </c>
      <c r="S946" s="34">
        <f>IF(C946="","",YEAR(C946-WEEKDAY(C946,2)+4)&amp;"-S"&amp;TEXT(INT((C946-DATE(YEAR(C946-WEEKDAY(C946,2)+4),1,3)+WEEKDAY(DATE(YEAR(C946-WEEKDAY(C946,2)+4),1,3),2)+5)/7),"00"))</f>
        <v/>
      </c>
    </row>
    <row r="947" ht="18" customHeight="1">
      <c r="A947" s="39" t="n">
        <v>942</v>
      </c>
      <c r="B947" s="33">
        <f>IF(C947="","",IF(L947="À RENSEIGNER","GIC",L947)&amp;"-E"&amp;TEXT(A947,"00000"))</f>
        <v/>
      </c>
      <c r="C947" s="32" t="n"/>
      <c r="D947" s="36" t="n"/>
      <c r="E947" s="37" t="n"/>
      <c r="F947" s="36" t="n"/>
      <c r="G947" s="44" t="n"/>
      <c r="H947" s="43" t="n"/>
      <c r="I947" s="32" t="n"/>
      <c r="J947" s="44" t="n"/>
      <c r="K947" s="36" t="n"/>
      <c r="L947" s="33">
        <f>IF(C947="","",Commercial_Id)</f>
        <v/>
      </c>
      <c r="M947" s="34">
        <f>IF(OR(C947="",F947=""),"",IF(F947&lt;&gt;"Espèces","—",IF(I947&lt;&gt;"","☑ Oui","☐ Non")))</f>
        <v/>
      </c>
      <c r="N947" s="39">
        <f>IF(D947="","",IFERROR(VALUE(MID(D947,LEN(D947)-3,3)),""))</f>
        <v/>
      </c>
      <c r="O947" s="33">
        <f>IF(N947="","",L947&amp;"|"&amp;N947)</f>
        <v/>
      </c>
      <c r="P947" s="33">
        <f>IF(N947="","",IF(L947="À RENSEIGNER","GIC",L947)&amp;"-"&amp;TEXT(N947,"000"))</f>
        <v/>
      </c>
      <c r="Q947" s="33">
        <f>IF(O947="","",IFERROR(INDEX(Cl_nom,MATCH(O947,Cl_cle,0)),"(client introuvable)"))</f>
        <v/>
      </c>
      <c r="R947" s="40">
        <f>IF(O947="","",IFERROR(INDEX(Cl_reste,MATCH(O947,Cl_cle,0)),""))</f>
        <v/>
      </c>
      <c r="S947" s="34">
        <f>IF(C947="","",YEAR(C947-WEEKDAY(C947,2)+4)&amp;"-S"&amp;TEXT(INT((C947-DATE(YEAR(C947-WEEKDAY(C947,2)+4),1,3)+WEEKDAY(DATE(YEAR(C947-WEEKDAY(C947,2)+4),1,3),2)+5)/7),"00"))</f>
        <v/>
      </c>
    </row>
    <row r="948" ht="18" customHeight="1">
      <c r="A948" s="39" t="n">
        <v>943</v>
      </c>
      <c r="B948" s="33">
        <f>IF(C948="","",IF(L948="À RENSEIGNER","GIC",L948)&amp;"-E"&amp;TEXT(A948,"00000"))</f>
        <v/>
      </c>
      <c r="C948" s="32" t="n"/>
      <c r="D948" s="36" t="n"/>
      <c r="E948" s="37" t="n"/>
      <c r="F948" s="36" t="n"/>
      <c r="G948" s="44" t="n"/>
      <c r="H948" s="43" t="n"/>
      <c r="I948" s="32" t="n"/>
      <c r="J948" s="44" t="n"/>
      <c r="K948" s="36" t="n"/>
      <c r="L948" s="33">
        <f>IF(C948="","",Commercial_Id)</f>
        <v/>
      </c>
      <c r="M948" s="34">
        <f>IF(OR(C948="",F948=""),"",IF(F948&lt;&gt;"Espèces","—",IF(I948&lt;&gt;"","☑ Oui","☐ Non")))</f>
        <v/>
      </c>
      <c r="N948" s="39">
        <f>IF(D948="","",IFERROR(VALUE(MID(D948,LEN(D948)-3,3)),""))</f>
        <v/>
      </c>
      <c r="O948" s="33">
        <f>IF(N948="","",L948&amp;"|"&amp;N948)</f>
        <v/>
      </c>
      <c r="P948" s="33">
        <f>IF(N948="","",IF(L948="À RENSEIGNER","GIC",L948)&amp;"-"&amp;TEXT(N948,"000"))</f>
        <v/>
      </c>
      <c r="Q948" s="33">
        <f>IF(O948="","",IFERROR(INDEX(Cl_nom,MATCH(O948,Cl_cle,0)),"(client introuvable)"))</f>
        <v/>
      </c>
      <c r="R948" s="40">
        <f>IF(O948="","",IFERROR(INDEX(Cl_reste,MATCH(O948,Cl_cle,0)),""))</f>
        <v/>
      </c>
      <c r="S948" s="34">
        <f>IF(C948="","",YEAR(C948-WEEKDAY(C948,2)+4)&amp;"-S"&amp;TEXT(INT((C948-DATE(YEAR(C948-WEEKDAY(C948,2)+4),1,3)+WEEKDAY(DATE(YEAR(C948-WEEKDAY(C948,2)+4),1,3),2)+5)/7),"00"))</f>
        <v/>
      </c>
    </row>
    <row r="949" ht="18" customHeight="1">
      <c r="A949" s="39" t="n">
        <v>944</v>
      </c>
      <c r="B949" s="33">
        <f>IF(C949="","",IF(L949="À RENSEIGNER","GIC",L949)&amp;"-E"&amp;TEXT(A949,"00000"))</f>
        <v/>
      </c>
      <c r="C949" s="32" t="n"/>
      <c r="D949" s="36" t="n"/>
      <c r="E949" s="37" t="n"/>
      <c r="F949" s="36" t="n"/>
      <c r="G949" s="44" t="n"/>
      <c r="H949" s="43" t="n"/>
      <c r="I949" s="32" t="n"/>
      <c r="J949" s="44" t="n"/>
      <c r="K949" s="36" t="n"/>
      <c r="L949" s="33">
        <f>IF(C949="","",Commercial_Id)</f>
        <v/>
      </c>
      <c r="M949" s="34">
        <f>IF(OR(C949="",F949=""),"",IF(F949&lt;&gt;"Espèces","—",IF(I949&lt;&gt;"","☑ Oui","☐ Non")))</f>
        <v/>
      </c>
      <c r="N949" s="39">
        <f>IF(D949="","",IFERROR(VALUE(MID(D949,LEN(D949)-3,3)),""))</f>
        <v/>
      </c>
      <c r="O949" s="33">
        <f>IF(N949="","",L949&amp;"|"&amp;N949)</f>
        <v/>
      </c>
      <c r="P949" s="33">
        <f>IF(N949="","",IF(L949="À RENSEIGNER","GIC",L949)&amp;"-"&amp;TEXT(N949,"000"))</f>
        <v/>
      </c>
      <c r="Q949" s="33">
        <f>IF(O949="","",IFERROR(INDEX(Cl_nom,MATCH(O949,Cl_cle,0)),"(client introuvable)"))</f>
        <v/>
      </c>
      <c r="R949" s="40">
        <f>IF(O949="","",IFERROR(INDEX(Cl_reste,MATCH(O949,Cl_cle,0)),""))</f>
        <v/>
      </c>
      <c r="S949" s="34">
        <f>IF(C949="","",YEAR(C949-WEEKDAY(C949,2)+4)&amp;"-S"&amp;TEXT(INT((C949-DATE(YEAR(C949-WEEKDAY(C949,2)+4),1,3)+WEEKDAY(DATE(YEAR(C949-WEEKDAY(C949,2)+4),1,3),2)+5)/7),"00"))</f>
        <v/>
      </c>
    </row>
    <row r="950" ht="18" customHeight="1">
      <c r="A950" s="39" t="n">
        <v>945</v>
      </c>
      <c r="B950" s="33">
        <f>IF(C950="","",IF(L950="À RENSEIGNER","GIC",L950)&amp;"-E"&amp;TEXT(A950,"00000"))</f>
        <v/>
      </c>
      <c r="C950" s="32" t="n"/>
      <c r="D950" s="36" t="n"/>
      <c r="E950" s="37" t="n"/>
      <c r="F950" s="36" t="n"/>
      <c r="G950" s="44" t="n"/>
      <c r="H950" s="43" t="n"/>
      <c r="I950" s="32" t="n"/>
      <c r="J950" s="44" t="n"/>
      <c r="K950" s="36" t="n"/>
      <c r="L950" s="33">
        <f>IF(C950="","",Commercial_Id)</f>
        <v/>
      </c>
      <c r="M950" s="34">
        <f>IF(OR(C950="",F950=""),"",IF(F950&lt;&gt;"Espèces","—",IF(I950&lt;&gt;"","☑ Oui","☐ Non")))</f>
        <v/>
      </c>
      <c r="N950" s="39">
        <f>IF(D950="","",IFERROR(VALUE(MID(D950,LEN(D950)-3,3)),""))</f>
        <v/>
      </c>
      <c r="O950" s="33">
        <f>IF(N950="","",L950&amp;"|"&amp;N950)</f>
        <v/>
      </c>
      <c r="P950" s="33">
        <f>IF(N950="","",IF(L950="À RENSEIGNER","GIC",L950)&amp;"-"&amp;TEXT(N950,"000"))</f>
        <v/>
      </c>
      <c r="Q950" s="33">
        <f>IF(O950="","",IFERROR(INDEX(Cl_nom,MATCH(O950,Cl_cle,0)),"(client introuvable)"))</f>
        <v/>
      </c>
      <c r="R950" s="40">
        <f>IF(O950="","",IFERROR(INDEX(Cl_reste,MATCH(O950,Cl_cle,0)),""))</f>
        <v/>
      </c>
      <c r="S950" s="34">
        <f>IF(C950="","",YEAR(C950-WEEKDAY(C950,2)+4)&amp;"-S"&amp;TEXT(INT((C950-DATE(YEAR(C950-WEEKDAY(C950,2)+4),1,3)+WEEKDAY(DATE(YEAR(C950-WEEKDAY(C950,2)+4),1,3),2)+5)/7),"00"))</f>
        <v/>
      </c>
    </row>
    <row r="951" ht="18" customHeight="1">
      <c r="A951" s="39" t="n">
        <v>946</v>
      </c>
      <c r="B951" s="33">
        <f>IF(C951="","",IF(L951="À RENSEIGNER","GIC",L951)&amp;"-E"&amp;TEXT(A951,"00000"))</f>
        <v/>
      </c>
      <c r="C951" s="32" t="n"/>
      <c r="D951" s="36" t="n"/>
      <c r="E951" s="37" t="n"/>
      <c r="F951" s="36" t="n"/>
      <c r="G951" s="44" t="n"/>
      <c r="H951" s="43" t="n"/>
      <c r="I951" s="32" t="n"/>
      <c r="J951" s="44" t="n"/>
      <c r="K951" s="36" t="n"/>
      <c r="L951" s="33">
        <f>IF(C951="","",Commercial_Id)</f>
        <v/>
      </c>
      <c r="M951" s="34">
        <f>IF(OR(C951="",F951=""),"",IF(F951&lt;&gt;"Espèces","—",IF(I951&lt;&gt;"","☑ Oui","☐ Non")))</f>
        <v/>
      </c>
      <c r="N951" s="39">
        <f>IF(D951="","",IFERROR(VALUE(MID(D951,LEN(D951)-3,3)),""))</f>
        <v/>
      </c>
      <c r="O951" s="33">
        <f>IF(N951="","",L951&amp;"|"&amp;N951)</f>
        <v/>
      </c>
      <c r="P951" s="33">
        <f>IF(N951="","",IF(L951="À RENSEIGNER","GIC",L951)&amp;"-"&amp;TEXT(N951,"000"))</f>
        <v/>
      </c>
      <c r="Q951" s="33">
        <f>IF(O951="","",IFERROR(INDEX(Cl_nom,MATCH(O951,Cl_cle,0)),"(client introuvable)"))</f>
        <v/>
      </c>
      <c r="R951" s="40">
        <f>IF(O951="","",IFERROR(INDEX(Cl_reste,MATCH(O951,Cl_cle,0)),""))</f>
        <v/>
      </c>
      <c r="S951" s="34">
        <f>IF(C951="","",YEAR(C951-WEEKDAY(C951,2)+4)&amp;"-S"&amp;TEXT(INT((C951-DATE(YEAR(C951-WEEKDAY(C951,2)+4),1,3)+WEEKDAY(DATE(YEAR(C951-WEEKDAY(C951,2)+4),1,3),2)+5)/7),"00"))</f>
        <v/>
      </c>
    </row>
    <row r="952" ht="18" customHeight="1">
      <c r="A952" s="39" t="n">
        <v>947</v>
      </c>
      <c r="B952" s="33">
        <f>IF(C952="","",IF(L952="À RENSEIGNER","GIC",L952)&amp;"-E"&amp;TEXT(A952,"00000"))</f>
        <v/>
      </c>
      <c r="C952" s="32" t="n"/>
      <c r="D952" s="36" t="n"/>
      <c r="E952" s="37" t="n"/>
      <c r="F952" s="36" t="n"/>
      <c r="G952" s="44" t="n"/>
      <c r="H952" s="43" t="n"/>
      <c r="I952" s="32" t="n"/>
      <c r="J952" s="44" t="n"/>
      <c r="K952" s="36" t="n"/>
      <c r="L952" s="33">
        <f>IF(C952="","",Commercial_Id)</f>
        <v/>
      </c>
      <c r="M952" s="34">
        <f>IF(OR(C952="",F952=""),"",IF(F952&lt;&gt;"Espèces","—",IF(I952&lt;&gt;"","☑ Oui","☐ Non")))</f>
        <v/>
      </c>
      <c r="N952" s="39">
        <f>IF(D952="","",IFERROR(VALUE(MID(D952,LEN(D952)-3,3)),""))</f>
        <v/>
      </c>
      <c r="O952" s="33">
        <f>IF(N952="","",L952&amp;"|"&amp;N952)</f>
        <v/>
      </c>
      <c r="P952" s="33">
        <f>IF(N952="","",IF(L952="À RENSEIGNER","GIC",L952)&amp;"-"&amp;TEXT(N952,"000"))</f>
        <v/>
      </c>
      <c r="Q952" s="33">
        <f>IF(O952="","",IFERROR(INDEX(Cl_nom,MATCH(O952,Cl_cle,0)),"(client introuvable)"))</f>
        <v/>
      </c>
      <c r="R952" s="40">
        <f>IF(O952="","",IFERROR(INDEX(Cl_reste,MATCH(O952,Cl_cle,0)),""))</f>
        <v/>
      </c>
      <c r="S952" s="34">
        <f>IF(C952="","",YEAR(C952-WEEKDAY(C952,2)+4)&amp;"-S"&amp;TEXT(INT((C952-DATE(YEAR(C952-WEEKDAY(C952,2)+4),1,3)+WEEKDAY(DATE(YEAR(C952-WEEKDAY(C952,2)+4),1,3),2)+5)/7),"00"))</f>
        <v/>
      </c>
    </row>
    <row r="953" ht="18" customHeight="1">
      <c r="A953" s="39" t="n">
        <v>948</v>
      </c>
      <c r="B953" s="33">
        <f>IF(C953="","",IF(L953="À RENSEIGNER","GIC",L953)&amp;"-E"&amp;TEXT(A953,"00000"))</f>
        <v/>
      </c>
      <c r="C953" s="32" t="n"/>
      <c r="D953" s="36" t="n"/>
      <c r="E953" s="37" t="n"/>
      <c r="F953" s="36" t="n"/>
      <c r="G953" s="44" t="n"/>
      <c r="H953" s="43" t="n"/>
      <c r="I953" s="32" t="n"/>
      <c r="J953" s="44" t="n"/>
      <c r="K953" s="36" t="n"/>
      <c r="L953" s="33">
        <f>IF(C953="","",Commercial_Id)</f>
        <v/>
      </c>
      <c r="M953" s="34">
        <f>IF(OR(C953="",F953=""),"",IF(F953&lt;&gt;"Espèces","—",IF(I953&lt;&gt;"","☑ Oui","☐ Non")))</f>
        <v/>
      </c>
      <c r="N953" s="39">
        <f>IF(D953="","",IFERROR(VALUE(MID(D953,LEN(D953)-3,3)),""))</f>
        <v/>
      </c>
      <c r="O953" s="33">
        <f>IF(N953="","",L953&amp;"|"&amp;N953)</f>
        <v/>
      </c>
      <c r="P953" s="33">
        <f>IF(N953="","",IF(L953="À RENSEIGNER","GIC",L953)&amp;"-"&amp;TEXT(N953,"000"))</f>
        <v/>
      </c>
      <c r="Q953" s="33">
        <f>IF(O953="","",IFERROR(INDEX(Cl_nom,MATCH(O953,Cl_cle,0)),"(client introuvable)"))</f>
        <v/>
      </c>
      <c r="R953" s="40">
        <f>IF(O953="","",IFERROR(INDEX(Cl_reste,MATCH(O953,Cl_cle,0)),""))</f>
        <v/>
      </c>
      <c r="S953" s="34">
        <f>IF(C953="","",YEAR(C953-WEEKDAY(C953,2)+4)&amp;"-S"&amp;TEXT(INT((C953-DATE(YEAR(C953-WEEKDAY(C953,2)+4),1,3)+WEEKDAY(DATE(YEAR(C953-WEEKDAY(C953,2)+4),1,3),2)+5)/7),"00"))</f>
        <v/>
      </c>
    </row>
    <row r="954" ht="18" customHeight="1">
      <c r="A954" s="39" t="n">
        <v>949</v>
      </c>
      <c r="B954" s="33">
        <f>IF(C954="","",IF(L954="À RENSEIGNER","GIC",L954)&amp;"-E"&amp;TEXT(A954,"00000"))</f>
        <v/>
      </c>
      <c r="C954" s="32" t="n"/>
      <c r="D954" s="36" t="n"/>
      <c r="E954" s="37" t="n"/>
      <c r="F954" s="36" t="n"/>
      <c r="G954" s="44" t="n"/>
      <c r="H954" s="43" t="n"/>
      <c r="I954" s="32" t="n"/>
      <c r="J954" s="44" t="n"/>
      <c r="K954" s="36" t="n"/>
      <c r="L954" s="33">
        <f>IF(C954="","",Commercial_Id)</f>
        <v/>
      </c>
      <c r="M954" s="34">
        <f>IF(OR(C954="",F954=""),"",IF(F954&lt;&gt;"Espèces","—",IF(I954&lt;&gt;"","☑ Oui","☐ Non")))</f>
        <v/>
      </c>
      <c r="N954" s="39">
        <f>IF(D954="","",IFERROR(VALUE(MID(D954,LEN(D954)-3,3)),""))</f>
        <v/>
      </c>
      <c r="O954" s="33">
        <f>IF(N954="","",L954&amp;"|"&amp;N954)</f>
        <v/>
      </c>
      <c r="P954" s="33">
        <f>IF(N954="","",IF(L954="À RENSEIGNER","GIC",L954)&amp;"-"&amp;TEXT(N954,"000"))</f>
        <v/>
      </c>
      <c r="Q954" s="33">
        <f>IF(O954="","",IFERROR(INDEX(Cl_nom,MATCH(O954,Cl_cle,0)),"(client introuvable)"))</f>
        <v/>
      </c>
      <c r="R954" s="40">
        <f>IF(O954="","",IFERROR(INDEX(Cl_reste,MATCH(O954,Cl_cle,0)),""))</f>
        <v/>
      </c>
      <c r="S954" s="34">
        <f>IF(C954="","",YEAR(C954-WEEKDAY(C954,2)+4)&amp;"-S"&amp;TEXT(INT((C954-DATE(YEAR(C954-WEEKDAY(C954,2)+4),1,3)+WEEKDAY(DATE(YEAR(C954-WEEKDAY(C954,2)+4),1,3),2)+5)/7),"00"))</f>
        <v/>
      </c>
    </row>
    <row r="955" ht="18" customHeight="1">
      <c r="A955" s="39" t="n">
        <v>950</v>
      </c>
      <c r="B955" s="33">
        <f>IF(C955="","",IF(L955="À RENSEIGNER","GIC",L955)&amp;"-E"&amp;TEXT(A955,"00000"))</f>
        <v/>
      </c>
      <c r="C955" s="32" t="n"/>
      <c r="D955" s="36" t="n"/>
      <c r="E955" s="37" t="n"/>
      <c r="F955" s="36" t="n"/>
      <c r="G955" s="44" t="n"/>
      <c r="H955" s="43" t="n"/>
      <c r="I955" s="32" t="n"/>
      <c r="J955" s="44" t="n"/>
      <c r="K955" s="36" t="n"/>
      <c r="L955" s="33">
        <f>IF(C955="","",Commercial_Id)</f>
        <v/>
      </c>
      <c r="M955" s="34">
        <f>IF(OR(C955="",F955=""),"",IF(F955&lt;&gt;"Espèces","—",IF(I955&lt;&gt;"","☑ Oui","☐ Non")))</f>
        <v/>
      </c>
      <c r="N955" s="39">
        <f>IF(D955="","",IFERROR(VALUE(MID(D955,LEN(D955)-3,3)),""))</f>
        <v/>
      </c>
      <c r="O955" s="33">
        <f>IF(N955="","",L955&amp;"|"&amp;N955)</f>
        <v/>
      </c>
      <c r="P955" s="33">
        <f>IF(N955="","",IF(L955="À RENSEIGNER","GIC",L955)&amp;"-"&amp;TEXT(N955,"000"))</f>
        <v/>
      </c>
      <c r="Q955" s="33">
        <f>IF(O955="","",IFERROR(INDEX(Cl_nom,MATCH(O955,Cl_cle,0)),"(client introuvable)"))</f>
        <v/>
      </c>
      <c r="R955" s="40">
        <f>IF(O955="","",IFERROR(INDEX(Cl_reste,MATCH(O955,Cl_cle,0)),""))</f>
        <v/>
      </c>
      <c r="S955" s="34">
        <f>IF(C955="","",YEAR(C955-WEEKDAY(C955,2)+4)&amp;"-S"&amp;TEXT(INT((C955-DATE(YEAR(C955-WEEKDAY(C955,2)+4),1,3)+WEEKDAY(DATE(YEAR(C955-WEEKDAY(C955,2)+4),1,3),2)+5)/7),"00"))</f>
        <v/>
      </c>
    </row>
    <row r="956" ht="18" customHeight="1">
      <c r="A956" s="39" t="n">
        <v>951</v>
      </c>
      <c r="B956" s="33">
        <f>IF(C956="","",IF(L956="À RENSEIGNER","GIC",L956)&amp;"-E"&amp;TEXT(A956,"00000"))</f>
        <v/>
      </c>
      <c r="C956" s="32" t="n"/>
      <c r="D956" s="36" t="n"/>
      <c r="E956" s="37" t="n"/>
      <c r="F956" s="36" t="n"/>
      <c r="G956" s="44" t="n"/>
      <c r="H956" s="43" t="n"/>
      <c r="I956" s="32" t="n"/>
      <c r="J956" s="44" t="n"/>
      <c r="K956" s="36" t="n"/>
      <c r="L956" s="33">
        <f>IF(C956="","",Commercial_Id)</f>
        <v/>
      </c>
      <c r="M956" s="34">
        <f>IF(OR(C956="",F956=""),"",IF(F956&lt;&gt;"Espèces","—",IF(I956&lt;&gt;"","☑ Oui","☐ Non")))</f>
        <v/>
      </c>
      <c r="N956" s="39">
        <f>IF(D956="","",IFERROR(VALUE(MID(D956,LEN(D956)-3,3)),""))</f>
        <v/>
      </c>
      <c r="O956" s="33">
        <f>IF(N956="","",L956&amp;"|"&amp;N956)</f>
        <v/>
      </c>
      <c r="P956" s="33">
        <f>IF(N956="","",IF(L956="À RENSEIGNER","GIC",L956)&amp;"-"&amp;TEXT(N956,"000"))</f>
        <v/>
      </c>
      <c r="Q956" s="33">
        <f>IF(O956="","",IFERROR(INDEX(Cl_nom,MATCH(O956,Cl_cle,0)),"(client introuvable)"))</f>
        <v/>
      </c>
      <c r="R956" s="40">
        <f>IF(O956="","",IFERROR(INDEX(Cl_reste,MATCH(O956,Cl_cle,0)),""))</f>
        <v/>
      </c>
      <c r="S956" s="34">
        <f>IF(C956="","",YEAR(C956-WEEKDAY(C956,2)+4)&amp;"-S"&amp;TEXT(INT((C956-DATE(YEAR(C956-WEEKDAY(C956,2)+4),1,3)+WEEKDAY(DATE(YEAR(C956-WEEKDAY(C956,2)+4),1,3),2)+5)/7),"00"))</f>
        <v/>
      </c>
    </row>
    <row r="957" ht="18" customHeight="1">
      <c r="A957" s="39" t="n">
        <v>952</v>
      </c>
      <c r="B957" s="33">
        <f>IF(C957="","",IF(L957="À RENSEIGNER","GIC",L957)&amp;"-E"&amp;TEXT(A957,"00000"))</f>
        <v/>
      </c>
      <c r="C957" s="32" t="n"/>
      <c r="D957" s="36" t="n"/>
      <c r="E957" s="37" t="n"/>
      <c r="F957" s="36" t="n"/>
      <c r="G957" s="44" t="n"/>
      <c r="H957" s="43" t="n"/>
      <c r="I957" s="32" t="n"/>
      <c r="J957" s="44" t="n"/>
      <c r="K957" s="36" t="n"/>
      <c r="L957" s="33">
        <f>IF(C957="","",Commercial_Id)</f>
        <v/>
      </c>
      <c r="M957" s="34">
        <f>IF(OR(C957="",F957=""),"",IF(F957&lt;&gt;"Espèces","—",IF(I957&lt;&gt;"","☑ Oui","☐ Non")))</f>
        <v/>
      </c>
      <c r="N957" s="39">
        <f>IF(D957="","",IFERROR(VALUE(MID(D957,LEN(D957)-3,3)),""))</f>
        <v/>
      </c>
      <c r="O957" s="33">
        <f>IF(N957="","",L957&amp;"|"&amp;N957)</f>
        <v/>
      </c>
      <c r="P957" s="33">
        <f>IF(N957="","",IF(L957="À RENSEIGNER","GIC",L957)&amp;"-"&amp;TEXT(N957,"000"))</f>
        <v/>
      </c>
      <c r="Q957" s="33">
        <f>IF(O957="","",IFERROR(INDEX(Cl_nom,MATCH(O957,Cl_cle,0)),"(client introuvable)"))</f>
        <v/>
      </c>
      <c r="R957" s="40">
        <f>IF(O957="","",IFERROR(INDEX(Cl_reste,MATCH(O957,Cl_cle,0)),""))</f>
        <v/>
      </c>
      <c r="S957" s="34">
        <f>IF(C957="","",YEAR(C957-WEEKDAY(C957,2)+4)&amp;"-S"&amp;TEXT(INT((C957-DATE(YEAR(C957-WEEKDAY(C957,2)+4),1,3)+WEEKDAY(DATE(YEAR(C957-WEEKDAY(C957,2)+4),1,3),2)+5)/7),"00"))</f>
        <v/>
      </c>
    </row>
    <row r="958" ht="18" customHeight="1">
      <c r="A958" s="39" t="n">
        <v>953</v>
      </c>
      <c r="B958" s="33">
        <f>IF(C958="","",IF(L958="À RENSEIGNER","GIC",L958)&amp;"-E"&amp;TEXT(A958,"00000"))</f>
        <v/>
      </c>
      <c r="C958" s="32" t="n"/>
      <c r="D958" s="36" t="n"/>
      <c r="E958" s="37" t="n"/>
      <c r="F958" s="36" t="n"/>
      <c r="G958" s="44" t="n"/>
      <c r="H958" s="43" t="n"/>
      <c r="I958" s="32" t="n"/>
      <c r="J958" s="44" t="n"/>
      <c r="K958" s="36" t="n"/>
      <c r="L958" s="33">
        <f>IF(C958="","",Commercial_Id)</f>
        <v/>
      </c>
      <c r="M958" s="34">
        <f>IF(OR(C958="",F958=""),"",IF(F958&lt;&gt;"Espèces","—",IF(I958&lt;&gt;"","☑ Oui","☐ Non")))</f>
        <v/>
      </c>
      <c r="N958" s="39">
        <f>IF(D958="","",IFERROR(VALUE(MID(D958,LEN(D958)-3,3)),""))</f>
        <v/>
      </c>
      <c r="O958" s="33">
        <f>IF(N958="","",L958&amp;"|"&amp;N958)</f>
        <v/>
      </c>
      <c r="P958" s="33">
        <f>IF(N958="","",IF(L958="À RENSEIGNER","GIC",L958)&amp;"-"&amp;TEXT(N958,"000"))</f>
        <v/>
      </c>
      <c r="Q958" s="33">
        <f>IF(O958="","",IFERROR(INDEX(Cl_nom,MATCH(O958,Cl_cle,0)),"(client introuvable)"))</f>
        <v/>
      </c>
      <c r="R958" s="40">
        <f>IF(O958="","",IFERROR(INDEX(Cl_reste,MATCH(O958,Cl_cle,0)),""))</f>
        <v/>
      </c>
      <c r="S958" s="34">
        <f>IF(C958="","",YEAR(C958-WEEKDAY(C958,2)+4)&amp;"-S"&amp;TEXT(INT((C958-DATE(YEAR(C958-WEEKDAY(C958,2)+4),1,3)+WEEKDAY(DATE(YEAR(C958-WEEKDAY(C958,2)+4),1,3),2)+5)/7),"00"))</f>
        <v/>
      </c>
    </row>
    <row r="959" ht="18" customHeight="1">
      <c r="A959" s="39" t="n">
        <v>954</v>
      </c>
      <c r="B959" s="33">
        <f>IF(C959="","",IF(L959="À RENSEIGNER","GIC",L959)&amp;"-E"&amp;TEXT(A959,"00000"))</f>
        <v/>
      </c>
      <c r="C959" s="32" t="n"/>
      <c r="D959" s="36" t="n"/>
      <c r="E959" s="37" t="n"/>
      <c r="F959" s="36" t="n"/>
      <c r="G959" s="44" t="n"/>
      <c r="H959" s="43" t="n"/>
      <c r="I959" s="32" t="n"/>
      <c r="J959" s="44" t="n"/>
      <c r="K959" s="36" t="n"/>
      <c r="L959" s="33">
        <f>IF(C959="","",Commercial_Id)</f>
        <v/>
      </c>
      <c r="M959" s="34">
        <f>IF(OR(C959="",F959=""),"",IF(F959&lt;&gt;"Espèces","—",IF(I959&lt;&gt;"","☑ Oui","☐ Non")))</f>
        <v/>
      </c>
      <c r="N959" s="39">
        <f>IF(D959="","",IFERROR(VALUE(MID(D959,LEN(D959)-3,3)),""))</f>
        <v/>
      </c>
      <c r="O959" s="33">
        <f>IF(N959="","",L959&amp;"|"&amp;N959)</f>
        <v/>
      </c>
      <c r="P959" s="33">
        <f>IF(N959="","",IF(L959="À RENSEIGNER","GIC",L959)&amp;"-"&amp;TEXT(N959,"000"))</f>
        <v/>
      </c>
      <c r="Q959" s="33">
        <f>IF(O959="","",IFERROR(INDEX(Cl_nom,MATCH(O959,Cl_cle,0)),"(client introuvable)"))</f>
        <v/>
      </c>
      <c r="R959" s="40">
        <f>IF(O959="","",IFERROR(INDEX(Cl_reste,MATCH(O959,Cl_cle,0)),""))</f>
        <v/>
      </c>
      <c r="S959" s="34">
        <f>IF(C959="","",YEAR(C959-WEEKDAY(C959,2)+4)&amp;"-S"&amp;TEXT(INT((C959-DATE(YEAR(C959-WEEKDAY(C959,2)+4),1,3)+WEEKDAY(DATE(YEAR(C959-WEEKDAY(C959,2)+4),1,3),2)+5)/7),"00"))</f>
        <v/>
      </c>
    </row>
    <row r="960" ht="18" customHeight="1">
      <c r="A960" s="39" t="n">
        <v>955</v>
      </c>
      <c r="B960" s="33">
        <f>IF(C960="","",IF(L960="À RENSEIGNER","GIC",L960)&amp;"-E"&amp;TEXT(A960,"00000"))</f>
        <v/>
      </c>
      <c r="C960" s="32" t="n"/>
      <c r="D960" s="36" t="n"/>
      <c r="E960" s="37" t="n"/>
      <c r="F960" s="36" t="n"/>
      <c r="G960" s="44" t="n"/>
      <c r="H960" s="43" t="n"/>
      <c r="I960" s="32" t="n"/>
      <c r="J960" s="44" t="n"/>
      <c r="K960" s="36" t="n"/>
      <c r="L960" s="33">
        <f>IF(C960="","",Commercial_Id)</f>
        <v/>
      </c>
      <c r="M960" s="34">
        <f>IF(OR(C960="",F960=""),"",IF(F960&lt;&gt;"Espèces","—",IF(I960&lt;&gt;"","☑ Oui","☐ Non")))</f>
        <v/>
      </c>
      <c r="N960" s="39">
        <f>IF(D960="","",IFERROR(VALUE(MID(D960,LEN(D960)-3,3)),""))</f>
        <v/>
      </c>
      <c r="O960" s="33">
        <f>IF(N960="","",L960&amp;"|"&amp;N960)</f>
        <v/>
      </c>
      <c r="P960" s="33">
        <f>IF(N960="","",IF(L960="À RENSEIGNER","GIC",L960)&amp;"-"&amp;TEXT(N960,"000"))</f>
        <v/>
      </c>
      <c r="Q960" s="33">
        <f>IF(O960="","",IFERROR(INDEX(Cl_nom,MATCH(O960,Cl_cle,0)),"(client introuvable)"))</f>
        <v/>
      </c>
      <c r="R960" s="40">
        <f>IF(O960="","",IFERROR(INDEX(Cl_reste,MATCH(O960,Cl_cle,0)),""))</f>
        <v/>
      </c>
      <c r="S960" s="34">
        <f>IF(C960="","",YEAR(C960-WEEKDAY(C960,2)+4)&amp;"-S"&amp;TEXT(INT((C960-DATE(YEAR(C960-WEEKDAY(C960,2)+4),1,3)+WEEKDAY(DATE(YEAR(C960-WEEKDAY(C960,2)+4),1,3),2)+5)/7),"00"))</f>
        <v/>
      </c>
    </row>
    <row r="961" ht="18" customHeight="1">
      <c r="A961" s="39" t="n">
        <v>956</v>
      </c>
      <c r="B961" s="33">
        <f>IF(C961="","",IF(L961="À RENSEIGNER","GIC",L961)&amp;"-E"&amp;TEXT(A961,"00000"))</f>
        <v/>
      </c>
      <c r="C961" s="32" t="n"/>
      <c r="D961" s="36" t="n"/>
      <c r="E961" s="37" t="n"/>
      <c r="F961" s="36" t="n"/>
      <c r="G961" s="44" t="n"/>
      <c r="H961" s="43" t="n"/>
      <c r="I961" s="32" t="n"/>
      <c r="J961" s="44" t="n"/>
      <c r="K961" s="36" t="n"/>
      <c r="L961" s="33">
        <f>IF(C961="","",Commercial_Id)</f>
        <v/>
      </c>
      <c r="M961" s="34">
        <f>IF(OR(C961="",F961=""),"",IF(F961&lt;&gt;"Espèces","—",IF(I961&lt;&gt;"","☑ Oui","☐ Non")))</f>
        <v/>
      </c>
      <c r="N961" s="39">
        <f>IF(D961="","",IFERROR(VALUE(MID(D961,LEN(D961)-3,3)),""))</f>
        <v/>
      </c>
      <c r="O961" s="33">
        <f>IF(N961="","",L961&amp;"|"&amp;N961)</f>
        <v/>
      </c>
      <c r="P961" s="33">
        <f>IF(N961="","",IF(L961="À RENSEIGNER","GIC",L961)&amp;"-"&amp;TEXT(N961,"000"))</f>
        <v/>
      </c>
      <c r="Q961" s="33">
        <f>IF(O961="","",IFERROR(INDEX(Cl_nom,MATCH(O961,Cl_cle,0)),"(client introuvable)"))</f>
        <v/>
      </c>
      <c r="R961" s="40">
        <f>IF(O961="","",IFERROR(INDEX(Cl_reste,MATCH(O961,Cl_cle,0)),""))</f>
        <v/>
      </c>
      <c r="S961" s="34">
        <f>IF(C961="","",YEAR(C961-WEEKDAY(C961,2)+4)&amp;"-S"&amp;TEXT(INT((C961-DATE(YEAR(C961-WEEKDAY(C961,2)+4),1,3)+WEEKDAY(DATE(YEAR(C961-WEEKDAY(C961,2)+4),1,3),2)+5)/7),"00"))</f>
        <v/>
      </c>
    </row>
    <row r="962" ht="18" customHeight="1">
      <c r="A962" s="39" t="n">
        <v>957</v>
      </c>
      <c r="B962" s="33">
        <f>IF(C962="","",IF(L962="À RENSEIGNER","GIC",L962)&amp;"-E"&amp;TEXT(A962,"00000"))</f>
        <v/>
      </c>
      <c r="C962" s="32" t="n"/>
      <c r="D962" s="36" t="n"/>
      <c r="E962" s="37" t="n"/>
      <c r="F962" s="36" t="n"/>
      <c r="G962" s="44" t="n"/>
      <c r="H962" s="43" t="n"/>
      <c r="I962" s="32" t="n"/>
      <c r="J962" s="44" t="n"/>
      <c r="K962" s="36" t="n"/>
      <c r="L962" s="33">
        <f>IF(C962="","",Commercial_Id)</f>
        <v/>
      </c>
      <c r="M962" s="34">
        <f>IF(OR(C962="",F962=""),"",IF(F962&lt;&gt;"Espèces","—",IF(I962&lt;&gt;"","☑ Oui","☐ Non")))</f>
        <v/>
      </c>
      <c r="N962" s="39">
        <f>IF(D962="","",IFERROR(VALUE(MID(D962,LEN(D962)-3,3)),""))</f>
        <v/>
      </c>
      <c r="O962" s="33">
        <f>IF(N962="","",L962&amp;"|"&amp;N962)</f>
        <v/>
      </c>
      <c r="P962" s="33">
        <f>IF(N962="","",IF(L962="À RENSEIGNER","GIC",L962)&amp;"-"&amp;TEXT(N962,"000"))</f>
        <v/>
      </c>
      <c r="Q962" s="33">
        <f>IF(O962="","",IFERROR(INDEX(Cl_nom,MATCH(O962,Cl_cle,0)),"(client introuvable)"))</f>
        <v/>
      </c>
      <c r="R962" s="40">
        <f>IF(O962="","",IFERROR(INDEX(Cl_reste,MATCH(O962,Cl_cle,0)),""))</f>
        <v/>
      </c>
      <c r="S962" s="34">
        <f>IF(C962="","",YEAR(C962-WEEKDAY(C962,2)+4)&amp;"-S"&amp;TEXT(INT((C962-DATE(YEAR(C962-WEEKDAY(C962,2)+4),1,3)+WEEKDAY(DATE(YEAR(C962-WEEKDAY(C962,2)+4),1,3),2)+5)/7),"00"))</f>
        <v/>
      </c>
    </row>
    <row r="963" ht="18" customHeight="1">
      <c r="A963" s="39" t="n">
        <v>958</v>
      </c>
      <c r="B963" s="33">
        <f>IF(C963="","",IF(L963="À RENSEIGNER","GIC",L963)&amp;"-E"&amp;TEXT(A963,"00000"))</f>
        <v/>
      </c>
      <c r="C963" s="32" t="n"/>
      <c r="D963" s="36" t="n"/>
      <c r="E963" s="37" t="n"/>
      <c r="F963" s="36" t="n"/>
      <c r="G963" s="44" t="n"/>
      <c r="H963" s="43" t="n"/>
      <c r="I963" s="32" t="n"/>
      <c r="J963" s="44" t="n"/>
      <c r="K963" s="36" t="n"/>
      <c r="L963" s="33">
        <f>IF(C963="","",Commercial_Id)</f>
        <v/>
      </c>
      <c r="M963" s="34">
        <f>IF(OR(C963="",F963=""),"",IF(F963&lt;&gt;"Espèces","—",IF(I963&lt;&gt;"","☑ Oui","☐ Non")))</f>
        <v/>
      </c>
      <c r="N963" s="39">
        <f>IF(D963="","",IFERROR(VALUE(MID(D963,LEN(D963)-3,3)),""))</f>
        <v/>
      </c>
      <c r="O963" s="33">
        <f>IF(N963="","",L963&amp;"|"&amp;N963)</f>
        <v/>
      </c>
      <c r="P963" s="33">
        <f>IF(N963="","",IF(L963="À RENSEIGNER","GIC",L963)&amp;"-"&amp;TEXT(N963,"000"))</f>
        <v/>
      </c>
      <c r="Q963" s="33">
        <f>IF(O963="","",IFERROR(INDEX(Cl_nom,MATCH(O963,Cl_cle,0)),"(client introuvable)"))</f>
        <v/>
      </c>
      <c r="R963" s="40">
        <f>IF(O963="","",IFERROR(INDEX(Cl_reste,MATCH(O963,Cl_cle,0)),""))</f>
        <v/>
      </c>
      <c r="S963" s="34">
        <f>IF(C963="","",YEAR(C963-WEEKDAY(C963,2)+4)&amp;"-S"&amp;TEXT(INT((C963-DATE(YEAR(C963-WEEKDAY(C963,2)+4),1,3)+WEEKDAY(DATE(YEAR(C963-WEEKDAY(C963,2)+4),1,3),2)+5)/7),"00"))</f>
        <v/>
      </c>
    </row>
    <row r="964" ht="18" customHeight="1">
      <c r="A964" s="39" t="n">
        <v>959</v>
      </c>
      <c r="B964" s="33">
        <f>IF(C964="","",IF(L964="À RENSEIGNER","GIC",L964)&amp;"-E"&amp;TEXT(A964,"00000"))</f>
        <v/>
      </c>
      <c r="C964" s="32" t="n"/>
      <c r="D964" s="36" t="n"/>
      <c r="E964" s="37" t="n"/>
      <c r="F964" s="36" t="n"/>
      <c r="G964" s="44" t="n"/>
      <c r="H964" s="43" t="n"/>
      <c r="I964" s="32" t="n"/>
      <c r="J964" s="44" t="n"/>
      <c r="K964" s="36" t="n"/>
      <c r="L964" s="33">
        <f>IF(C964="","",Commercial_Id)</f>
        <v/>
      </c>
      <c r="M964" s="34">
        <f>IF(OR(C964="",F964=""),"",IF(F964&lt;&gt;"Espèces","—",IF(I964&lt;&gt;"","☑ Oui","☐ Non")))</f>
        <v/>
      </c>
      <c r="N964" s="39">
        <f>IF(D964="","",IFERROR(VALUE(MID(D964,LEN(D964)-3,3)),""))</f>
        <v/>
      </c>
      <c r="O964" s="33">
        <f>IF(N964="","",L964&amp;"|"&amp;N964)</f>
        <v/>
      </c>
      <c r="P964" s="33">
        <f>IF(N964="","",IF(L964="À RENSEIGNER","GIC",L964)&amp;"-"&amp;TEXT(N964,"000"))</f>
        <v/>
      </c>
      <c r="Q964" s="33">
        <f>IF(O964="","",IFERROR(INDEX(Cl_nom,MATCH(O964,Cl_cle,0)),"(client introuvable)"))</f>
        <v/>
      </c>
      <c r="R964" s="40">
        <f>IF(O964="","",IFERROR(INDEX(Cl_reste,MATCH(O964,Cl_cle,0)),""))</f>
        <v/>
      </c>
      <c r="S964" s="34">
        <f>IF(C964="","",YEAR(C964-WEEKDAY(C964,2)+4)&amp;"-S"&amp;TEXT(INT((C964-DATE(YEAR(C964-WEEKDAY(C964,2)+4),1,3)+WEEKDAY(DATE(YEAR(C964-WEEKDAY(C964,2)+4),1,3),2)+5)/7),"00"))</f>
        <v/>
      </c>
    </row>
    <row r="965" ht="18" customHeight="1">
      <c r="A965" s="39" t="n">
        <v>960</v>
      </c>
      <c r="B965" s="33">
        <f>IF(C965="","",IF(L965="À RENSEIGNER","GIC",L965)&amp;"-E"&amp;TEXT(A965,"00000"))</f>
        <v/>
      </c>
      <c r="C965" s="32" t="n"/>
      <c r="D965" s="36" t="n"/>
      <c r="E965" s="37" t="n"/>
      <c r="F965" s="36" t="n"/>
      <c r="G965" s="44" t="n"/>
      <c r="H965" s="43" t="n"/>
      <c r="I965" s="32" t="n"/>
      <c r="J965" s="44" t="n"/>
      <c r="K965" s="36" t="n"/>
      <c r="L965" s="33">
        <f>IF(C965="","",Commercial_Id)</f>
        <v/>
      </c>
      <c r="M965" s="34">
        <f>IF(OR(C965="",F965=""),"",IF(F965&lt;&gt;"Espèces","—",IF(I965&lt;&gt;"","☑ Oui","☐ Non")))</f>
        <v/>
      </c>
      <c r="N965" s="39">
        <f>IF(D965="","",IFERROR(VALUE(MID(D965,LEN(D965)-3,3)),""))</f>
        <v/>
      </c>
      <c r="O965" s="33">
        <f>IF(N965="","",L965&amp;"|"&amp;N965)</f>
        <v/>
      </c>
      <c r="P965" s="33">
        <f>IF(N965="","",IF(L965="À RENSEIGNER","GIC",L965)&amp;"-"&amp;TEXT(N965,"000"))</f>
        <v/>
      </c>
      <c r="Q965" s="33">
        <f>IF(O965="","",IFERROR(INDEX(Cl_nom,MATCH(O965,Cl_cle,0)),"(client introuvable)"))</f>
        <v/>
      </c>
      <c r="R965" s="40">
        <f>IF(O965="","",IFERROR(INDEX(Cl_reste,MATCH(O965,Cl_cle,0)),""))</f>
        <v/>
      </c>
      <c r="S965" s="34">
        <f>IF(C965="","",YEAR(C965-WEEKDAY(C965,2)+4)&amp;"-S"&amp;TEXT(INT((C965-DATE(YEAR(C965-WEEKDAY(C965,2)+4),1,3)+WEEKDAY(DATE(YEAR(C965-WEEKDAY(C965,2)+4),1,3),2)+5)/7),"00"))</f>
        <v/>
      </c>
    </row>
    <row r="966" ht="18" customHeight="1">
      <c r="A966" s="39" t="n">
        <v>961</v>
      </c>
      <c r="B966" s="33">
        <f>IF(C966="","",IF(L966="À RENSEIGNER","GIC",L966)&amp;"-E"&amp;TEXT(A966,"00000"))</f>
        <v/>
      </c>
      <c r="C966" s="32" t="n"/>
      <c r="D966" s="36" t="n"/>
      <c r="E966" s="37" t="n"/>
      <c r="F966" s="36" t="n"/>
      <c r="G966" s="44" t="n"/>
      <c r="H966" s="43" t="n"/>
      <c r="I966" s="32" t="n"/>
      <c r="J966" s="44" t="n"/>
      <c r="K966" s="36" t="n"/>
      <c r="L966" s="33">
        <f>IF(C966="","",Commercial_Id)</f>
        <v/>
      </c>
      <c r="M966" s="34">
        <f>IF(OR(C966="",F966=""),"",IF(F966&lt;&gt;"Espèces","—",IF(I966&lt;&gt;"","☑ Oui","☐ Non")))</f>
        <v/>
      </c>
      <c r="N966" s="39">
        <f>IF(D966="","",IFERROR(VALUE(MID(D966,LEN(D966)-3,3)),""))</f>
        <v/>
      </c>
      <c r="O966" s="33">
        <f>IF(N966="","",L966&amp;"|"&amp;N966)</f>
        <v/>
      </c>
      <c r="P966" s="33">
        <f>IF(N966="","",IF(L966="À RENSEIGNER","GIC",L966)&amp;"-"&amp;TEXT(N966,"000"))</f>
        <v/>
      </c>
      <c r="Q966" s="33">
        <f>IF(O966="","",IFERROR(INDEX(Cl_nom,MATCH(O966,Cl_cle,0)),"(client introuvable)"))</f>
        <v/>
      </c>
      <c r="R966" s="40">
        <f>IF(O966="","",IFERROR(INDEX(Cl_reste,MATCH(O966,Cl_cle,0)),""))</f>
        <v/>
      </c>
      <c r="S966" s="34">
        <f>IF(C966="","",YEAR(C966-WEEKDAY(C966,2)+4)&amp;"-S"&amp;TEXT(INT((C966-DATE(YEAR(C966-WEEKDAY(C966,2)+4),1,3)+WEEKDAY(DATE(YEAR(C966-WEEKDAY(C966,2)+4),1,3),2)+5)/7),"00"))</f>
        <v/>
      </c>
    </row>
    <row r="967" ht="18" customHeight="1">
      <c r="A967" s="39" t="n">
        <v>962</v>
      </c>
      <c r="B967" s="33">
        <f>IF(C967="","",IF(L967="À RENSEIGNER","GIC",L967)&amp;"-E"&amp;TEXT(A967,"00000"))</f>
        <v/>
      </c>
      <c r="C967" s="32" t="n"/>
      <c r="D967" s="36" t="n"/>
      <c r="E967" s="37" t="n"/>
      <c r="F967" s="36" t="n"/>
      <c r="G967" s="44" t="n"/>
      <c r="H967" s="43" t="n"/>
      <c r="I967" s="32" t="n"/>
      <c r="J967" s="44" t="n"/>
      <c r="K967" s="36" t="n"/>
      <c r="L967" s="33">
        <f>IF(C967="","",Commercial_Id)</f>
        <v/>
      </c>
      <c r="M967" s="34">
        <f>IF(OR(C967="",F967=""),"",IF(F967&lt;&gt;"Espèces","—",IF(I967&lt;&gt;"","☑ Oui","☐ Non")))</f>
        <v/>
      </c>
      <c r="N967" s="39">
        <f>IF(D967="","",IFERROR(VALUE(MID(D967,LEN(D967)-3,3)),""))</f>
        <v/>
      </c>
      <c r="O967" s="33">
        <f>IF(N967="","",L967&amp;"|"&amp;N967)</f>
        <v/>
      </c>
      <c r="P967" s="33">
        <f>IF(N967="","",IF(L967="À RENSEIGNER","GIC",L967)&amp;"-"&amp;TEXT(N967,"000"))</f>
        <v/>
      </c>
      <c r="Q967" s="33">
        <f>IF(O967="","",IFERROR(INDEX(Cl_nom,MATCH(O967,Cl_cle,0)),"(client introuvable)"))</f>
        <v/>
      </c>
      <c r="R967" s="40">
        <f>IF(O967="","",IFERROR(INDEX(Cl_reste,MATCH(O967,Cl_cle,0)),""))</f>
        <v/>
      </c>
      <c r="S967" s="34">
        <f>IF(C967="","",YEAR(C967-WEEKDAY(C967,2)+4)&amp;"-S"&amp;TEXT(INT((C967-DATE(YEAR(C967-WEEKDAY(C967,2)+4),1,3)+WEEKDAY(DATE(YEAR(C967-WEEKDAY(C967,2)+4),1,3),2)+5)/7),"00"))</f>
        <v/>
      </c>
    </row>
    <row r="968" ht="18" customHeight="1">
      <c r="A968" s="39" t="n">
        <v>963</v>
      </c>
      <c r="B968" s="33">
        <f>IF(C968="","",IF(L968="À RENSEIGNER","GIC",L968)&amp;"-E"&amp;TEXT(A968,"00000"))</f>
        <v/>
      </c>
      <c r="C968" s="32" t="n"/>
      <c r="D968" s="36" t="n"/>
      <c r="E968" s="37" t="n"/>
      <c r="F968" s="36" t="n"/>
      <c r="G968" s="44" t="n"/>
      <c r="H968" s="43" t="n"/>
      <c r="I968" s="32" t="n"/>
      <c r="J968" s="44" t="n"/>
      <c r="K968" s="36" t="n"/>
      <c r="L968" s="33">
        <f>IF(C968="","",Commercial_Id)</f>
        <v/>
      </c>
      <c r="M968" s="34">
        <f>IF(OR(C968="",F968=""),"",IF(F968&lt;&gt;"Espèces","—",IF(I968&lt;&gt;"","☑ Oui","☐ Non")))</f>
        <v/>
      </c>
      <c r="N968" s="39">
        <f>IF(D968="","",IFERROR(VALUE(MID(D968,LEN(D968)-3,3)),""))</f>
        <v/>
      </c>
      <c r="O968" s="33">
        <f>IF(N968="","",L968&amp;"|"&amp;N968)</f>
        <v/>
      </c>
      <c r="P968" s="33">
        <f>IF(N968="","",IF(L968="À RENSEIGNER","GIC",L968)&amp;"-"&amp;TEXT(N968,"000"))</f>
        <v/>
      </c>
      <c r="Q968" s="33">
        <f>IF(O968="","",IFERROR(INDEX(Cl_nom,MATCH(O968,Cl_cle,0)),"(client introuvable)"))</f>
        <v/>
      </c>
      <c r="R968" s="40">
        <f>IF(O968="","",IFERROR(INDEX(Cl_reste,MATCH(O968,Cl_cle,0)),""))</f>
        <v/>
      </c>
      <c r="S968" s="34">
        <f>IF(C968="","",YEAR(C968-WEEKDAY(C968,2)+4)&amp;"-S"&amp;TEXT(INT((C968-DATE(YEAR(C968-WEEKDAY(C968,2)+4),1,3)+WEEKDAY(DATE(YEAR(C968-WEEKDAY(C968,2)+4),1,3),2)+5)/7),"00"))</f>
        <v/>
      </c>
    </row>
    <row r="969" ht="18" customHeight="1">
      <c r="A969" s="39" t="n">
        <v>964</v>
      </c>
      <c r="B969" s="33">
        <f>IF(C969="","",IF(L969="À RENSEIGNER","GIC",L969)&amp;"-E"&amp;TEXT(A969,"00000"))</f>
        <v/>
      </c>
      <c r="C969" s="32" t="n"/>
      <c r="D969" s="36" t="n"/>
      <c r="E969" s="37" t="n"/>
      <c r="F969" s="36" t="n"/>
      <c r="G969" s="44" t="n"/>
      <c r="H969" s="43" t="n"/>
      <c r="I969" s="32" t="n"/>
      <c r="J969" s="44" t="n"/>
      <c r="K969" s="36" t="n"/>
      <c r="L969" s="33">
        <f>IF(C969="","",Commercial_Id)</f>
        <v/>
      </c>
      <c r="M969" s="34">
        <f>IF(OR(C969="",F969=""),"",IF(F969&lt;&gt;"Espèces","—",IF(I969&lt;&gt;"","☑ Oui","☐ Non")))</f>
        <v/>
      </c>
      <c r="N969" s="39">
        <f>IF(D969="","",IFERROR(VALUE(MID(D969,LEN(D969)-3,3)),""))</f>
        <v/>
      </c>
      <c r="O969" s="33">
        <f>IF(N969="","",L969&amp;"|"&amp;N969)</f>
        <v/>
      </c>
      <c r="P969" s="33">
        <f>IF(N969="","",IF(L969="À RENSEIGNER","GIC",L969)&amp;"-"&amp;TEXT(N969,"000"))</f>
        <v/>
      </c>
      <c r="Q969" s="33">
        <f>IF(O969="","",IFERROR(INDEX(Cl_nom,MATCH(O969,Cl_cle,0)),"(client introuvable)"))</f>
        <v/>
      </c>
      <c r="R969" s="40">
        <f>IF(O969="","",IFERROR(INDEX(Cl_reste,MATCH(O969,Cl_cle,0)),""))</f>
        <v/>
      </c>
      <c r="S969" s="34">
        <f>IF(C969="","",YEAR(C969-WEEKDAY(C969,2)+4)&amp;"-S"&amp;TEXT(INT((C969-DATE(YEAR(C969-WEEKDAY(C969,2)+4),1,3)+WEEKDAY(DATE(YEAR(C969-WEEKDAY(C969,2)+4),1,3),2)+5)/7),"00"))</f>
        <v/>
      </c>
    </row>
    <row r="970" ht="18" customHeight="1">
      <c r="A970" s="39" t="n">
        <v>965</v>
      </c>
      <c r="B970" s="33">
        <f>IF(C970="","",IF(L970="À RENSEIGNER","GIC",L970)&amp;"-E"&amp;TEXT(A970,"00000"))</f>
        <v/>
      </c>
      <c r="C970" s="32" t="n"/>
      <c r="D970" s="36" t="n"/>
      <c r="E970" s="37" t="n"/>
      <c r="F970" s="36" t="n"/>
      <c r="G970" s="44" t="n"/>
      <c r="H970" s="43" t="n"/>
      <c r="I970" s="32" t="n"/>
      <c r="J970" s="44" t="n"/>
      <c r="K970" s="36" t="n"/>
      <c r="L970" s="33">
        <f>IF(C970="","",Commercial_Id)</f>
        <v/>
      </c>
      <c r="M970" s="34">
        <f>IF(OR(C970="",F970=""),"",IF(F970&lt;&gt;"Espèces","—",IF(I970&lt;&gt;"","☑ Oui","☐ Non")))</f>
        <v/>
      </c>
      <c r="N970" s="39">
        <f>IF(D970="","",IFERROR(VALUE(MID(D970,LEN(D970)-3,3)),""))</f>
        <v/>
      </c>
      <c r="O970" s="33">
        <f>IF(N970="","",L970&amp;"|"&amp;N970)</f>
        <v/>
      </c>
      <c r="P970" s="33">
        <f>IF(N970="","",IF(L970="À RENSEIGNER","GIC",L970)&amp;"-"&amp;TEXT(N970,"000"))</f>
        <v/>
      </c>
      <c r="Q970" s="33">
        <f>IF(O970="","",IFERROR(INDEX(Cl_nom,MATCH(O970,Cl_cle,0)),"(client introuvable)"))</f>
        <v/>
      </c>
      <c r="R970" s="40">
        <f>IF(O970="","",IFERROR(INDEX(Cl_reste,MATCH(O970,Cl_cle,0)),""))</f>
        <v/>
      </c>
      <c r="S970" s="34">
        <f>IF(C970="","",YEAR(C970-WEEKDAY(C970,2)+4)&amp;"-S"&amp;TEXT(INT((C970-DATE(YEAR(C970-WEEKDAY(C970,2)+4),1,3)+WEEKDAY(DATE(YEAR(C970-WEEKDAY(C970,2)+4),1,3),2)+5)/7),"00"))</f>
        <v/>
      </c>
    </row>
    <row r="971" ht="18" customHeight="1">
      <c r="A971" s="39" t="n">
        <v>966</v>
      </c>
      <c r="B971" s="33">
        <f>IF(C971="","",IF(L971="À RENSEIGNER","GIC",L971)&amp;"-E"&amp;TEXT(A971,"00000"))</f>
        <v/>
      </c>
      <c r="C971" s="32" t="n"/>
      <c r="D971" s="36" t="n"/>
      <c r="E971" s="37" t="n"/>
      <c r="F971" s="36" t="n"/>
      <c r="G971" s="44" t="n"/>
      <c r="H971" s="43" t="n"/>
      <c r="I971" s="32" t="n"/>
      <c r="J971" s="44" t="n"/>
      <c r="K971" s="36" t="n"/>
      <c r="L971" s="33">
        <f>IF(C971="","",Commercial_Id)</f>
        <v/>
      </c>
      <c r="M971" s="34">
        <f>IF(OR(C971="",F971=""),"",IF(F971&lt;&gt;"Espèces","—",IF(I971&lt;&gt;"","☑ Oui","☐ Non")))</f>
        <v/>
      </c>
      <c r="N971" s="39">
        <f>IF(D971="","",IFERROR(VALUE(MID(D971,LEN(D971)-3,3)),""))</f>
        <v/>
      </c>
      <c r="O971" s="33">
        <f>IF(N971="","",L971&amp;"|"&amp;N971)</f>
        <v/>
      </c>
      <c r="P971" s="33">
        <f>IF(N971="","",IF(L971="À RENSEIGNER","GIC",L971)&amp;"-"&amp;TEXT(N971,"000"))</f>
        <v/>
      </c>
      <c r="Q971" s="33">
        <f>IF(O971="","",IFERROR(INDEX(Cl_nom,MATCH(O971,Cl_cle,0)),"(client introuvable)"))</f>
        <v/>
      </c>
      <c r="R971" s="40">
        <f>IF(O971="","",IFERROR(INDEX(Cl_reste,MATCH(O971,Cl_cle,0)),""))</f>
        <v/>
      </c>
      <c r="S971" s="34">
        <f>IF(C971="","",YEAR(C971-WEEKDAY(C971,2)+4)&amp;"-S"&amp;TEXT(INT((C971-DATE(YEAR(C971-WEEKDAY(C971,2)+4),1,3)+WEEKDAY(DATE(YEAR(C971-WEEKDAY(C971,2)+4),1,3),2)+5)/7),"00"))</f>
        <v/>
      </c>
    </row>
    <row r="972" ht="18" customHeight="1">
      <c r="A972" s="39" t="n">
        <v>967</v>
      </c>
      <c r="B972" s="33">
        <f>IF(C972="","",IF(L972="À RENSEIGNER","GIC",L972)&amp;"-E"&amp;TEXT(A972,"00000"))</f>
        <v/>
      </c>
      <c r="C972" s="32" t="n"/>
      <c r="D972" s="36" t="n"/>
      <c r="E972" s="37" t="n"/>
      <c r="F972" s="36" t="n"/>
      <c r="G972" s="44" t="n"/>
      <c r="H972" s="43" t="n"/>
      <c r="I972" s="32" t="n"/>
      <c r="J972" s="44" t="n"/>
      <c r="K972" s="36" t="n"/>
      <c r="L972" s="33">
        <f>IF(C972="","",Commercial_Id)</f>
        <v/>
      </c>
      <c r="M972" s="34">
        <f>IF(OR(C972="",F972=""),"",IF(F972&lt;&gt;"Espèces","—",IF(I972&lt;&gt;"","☑ Oui","☐ Non")))</f>
        <v/>
      </c>
      <c r="N972" s="39">
        <f>IF(D972="","",IFERROR(VALUE(MID(D972,LEN(D972)-3,3)),""))</f>
        <v/>
      </c>
      <c r="O972" s="33">
        <f>IF(N972="","",L972&amp;"|"&amp;N972)</f>
        <v/>
      </c>
      <c r="P972" s="33">
        <f>IF(N972="","",IF(L972="À RENSEIGNER","GIC",L972)&amp;"-"&amp;TEXT(N972,"000"))</f>
        <v/>
      </c>
      <c r="Q972" s="33">
        <f>IF(O972="","",IFERROR(INDEX(Cl_nom,MATCH(O972,Cl_cle,0)),"(client introuvable)"))</f>
        <v/>
      </c>
      <c r="R972" s="40">
        <f>IF(O972="","",IFERROR(INDEX(Cl_reste,MATCH(O972,Cl_cle,0)),""))</f>
        <v/>
      </c>
      <c r="S972" s="34">
        <f>IF(C972="","",YEAR(C972-WEEKDAY(C972,2)+4)&amp;"-S"&amp;TEXT(INT((C972-DATE(YEAR(C972-WEEKDAY(C972,2)+4),1,3)+WEEKDAY(DATE(YEAR(C972-WEEKDAY(C972,2)+4),1,3),2)+5)/7),"00"))</f>
        <v/>
      </c>
    </row>
    <row r="973" ht="18" customHeight="1">
      <c r="A973" s="39" t="n">
        <v>968</v>
      </c>
      <c r="B973" s="33">
        <f>IF(C973="","",IF(L973="À RENSEIGNER","GIC",L973)&amp;"-E"&amp;TEXT(A973,"00000"))</f>
        <v/>
      </c>
      <c r="C973" s="32" t="n"/>
      <c r="D973" s="36" t="n"/>
      <c r="E973" s="37" t="n"/>
      <c r="F973" s="36" t="n"/>
      <c r="G973" s="44" t="n"/>
      <c r="H973" s="43" t="n"/>
      <c r="I973" s="32" t="n"/>
      <c r="J973" s="44" t="n"/>
      <c r="K973" s="36" t="n"/>
      <c r="L973" s="33">
        <f>IF(C973="","",Commercial_Id)</f>
        <v/>
      </c>
      <c r="M973" s="34">
        <f>IF(OR(C973="",F973=""),"",IF(F973&lt;&gt;"Espèces","—",IF(I973&lt;&gt;"","☑ Oui","☐ Non")))</f>
        <v/>
      </c>
      <c r="N973" s="39">
        <f>IF(D973="","",IFERROR(VALUE(MID(D973,LEN(D973)-3,3)),""))</f>
        <v/>
      </c>
      <c r="O973" s="33">
        <f>IF(N973="","",L973&amp;"|"&amp;N973)</f>
        <v/>
      </c>
      <c r="P973" s="33">
        <f>IF(N973="","",IF(L973="À RENSEIGNER","GIC",L973)&amp;"-"&amp;TEXT(N973,"000"))</f>
        <v/>
      </c>
      <c r="Q973" s="33">
        <f>IF(O973="","",IFERROR(INDEX(Cl_nom,MATCH(O973,Cl_cle,0)),"(client introuvable)"))</f>
        <v/>
      </c>
      <c r="R973" s="40">
        <f>IF(O973="","",IFERROR(INDEX(Cl_reste,MATCH(O973,Cl_cle,0)),""))</f>
        <v/>
      </c>
      <c r="S973" s="34">
        <f>IF(C973="","",YEAR(C973-WEEKDAY(C973,2)+4)&amp;"-S"&amp;TEXT(INT((C973-DATE(YEAR(C973-WEEKDAY(C973,2)+4),1,3)+WEEKDAY(DATE(YEAR(C973-WEEKDAY(C973,2)+4),1,3),2)+5)/7),"00"))</f>
        <v/>
      </c>
    </row>
    <row r="974" ht="18" customHeight="1">
      <c r="A974" s="39" t="n">
        <v>969</v>
      </c>
      <c r="B974" s="33">
        <f>IF(C974="","",IF(L974="À RENSEIGNER","GIC",L974)&amp;"-E"&amp;TEXT(A974,"00000"))</f>
        <v/>
      </c>
      <c r="C974" s="32" t="n"/>
      <c r="D974" s="36" t="n"/>
      <c r="E974" s="37" t="n"/>
      <c r="F974" s="36" t="n"/>
      <c r="G974" s="44" t="n"/>
      <c r="H974" s="43" t="n"/>
      <c r="I974" s="32" t="n"/>
      <c r="J974" s="44" t="n"/>
      <c r="K974" s="36" t="n"/>
      <c r="L974" s="33">
        <f>IF(C974="","",Commercial_Id)</f>
        <v/>
      </c>
      <c r="M974" s="34">
        <f>IF(OR(C974="",F974=""),"",IF(F974&lt;&gt;"Espèces","—",IF(I974&lt;&gt;"","☑ Oui","☐ Non")))</f>
        <v/>
      </c>
      <c r="N974" s="39">
        <f>IF(D974="","",IFERROR(VALUE(MID(D974,LEN(D974)-3,3)),""))</f>
        <v/>
      </c>
      <c r="O974" s="33">
        <f>IF(N974="","",L974&amp;"|"&amp;N974)</f>
        <v/>
      </c>
      <c r="P974" s="33">
        <f>IF(N974="","",IF(L974="À RENSEIGNER","GIC",L974)&amp;"-"&amp;TEXT(N974,"000"))</f>
        <v/>
      </c>
      <c r="Q974" s="33">
        <f>IF(O974="","",IFERROR(INDEX(Cl_nom,MATCH(O974,Cl_cle,0)),"(client introuvable)"))</f>
        <v/>
      </c>
      <c r="R974" s="40">
        <f>IF(O974="","",IFERROR(INDEX(Cl_reste,MATCH(O974,Cl_cle,0)),""))</f>
        <v/>
      </c>
      <c r="S974" s="34">
        <f>IF(C974="","",YEAR(C974-WEEKDAY(C974,2)+4)&amp;"-S"&amp;TEXT(INT((C974-DATE(YEAR(C974-WEEKDAY(C974,2)+4),1,3)+WEEKDAY(DATE(YEAR(C974-WEEKDAY(C974,2)+4),1,3),2)+5)/7),"00"))</f>
        <v/>
      </c>
    </row>
    <row r="975" ht="18" customHeight="1">
      <c r="A975" s="39" t="n">
        <v>970</v>
      </c>
      <c r="B975" s="33">
        <f>IF(C975="","",IF(L975="À RENSEIGNER","GIC",L975)&amp;"-E"&amp;TEXT(A975,"00000"))</f>
        <v/>
      </c>
      <c r="C975" s="32" t="n"/>
      <c r="D975" s="36" t="n"/>
      <c r="E975" s="37" t="n"/>
      <c r="F975" s="36" t="n"/>
      <c r="G975" s="44" t="n"/>
      <c r="H975" s="43" t="n"/>
      <c r="I975" s="32" t="n"/>
      <c r="J975" s="44" t="n"/>
      <c r="K975" s="36" t="n"/>
      <c r="L975" s="33">
        <f>IF(C975="","",Commercial_Id)</f>
        <v/>
      </c>
      <c r="M975" s="34">
        <f>IF(OR(C975="",F975=""),"",IF(F975&lt;&gt;"Espèces","—",IF(I975&lt;&gt;"","☑ Oui","☐ Non")))</f>
        <v/>
      </c>
      <c r="N975" s="39">
        <f>IF(D975="","",IFERROR(VALUE(MID(D975,LEN(D975)-3,3)),""))</f>
        <v/>
      </c>
      <c r="O975" s="33">
        <f>IF(N975="","",L975&amp;"|"&amp;N975)</f>
        <v/>
      </c>
      <c r="P975" s="33">
        <f>IF(N975="","",IF(L975="À RENSEIGNER","GIC",L975)&amp;"-"&amp;TEXT(N975,"000"))</f>
        <v/>
      </c>
      <c r="Q975" s="33">
        <f>IF(O975="","",IFERROR(INDEX(Cl_nom,MATCH(O975,Cl_cle,0)),"(client introuvable)"))</f>
        <v/>
      </c>
      <c r="R975" s="40">
        <f>IF(O975="","",IFERROR(INDEX(Cl_reste,MATCH(O975,Cl_cle,0)),""))</f>
        <v/>
      </c>
      <c r="S975" s="34">
        <f>IF(C975="","",YEAR(C975-WEEKDAY(C975,2)+4)&amp;"-S"&amp;TEXT(INT((C975-DATE(YEAR(C975-WEEKDAY(C975,2)+4),1,3)+WEEKDAY(DATE(YEAR(C975-WEEKDAY(C975,2)+4),1,3),2)+5)/7),"00"))</f>
        <v/>
      </c>
    </row>
    <row r="976" ht="18" customHeight="1">
      <c r="A976" s="39" t="n">
        <v>971</v>
      </c>
      <c r="B976" s="33">
        <f>IF(C976="","",IF(L976="À RENSEIGNER","GIC",L976)&amp;"-E"&amp;TEXT(A976,"00000"))</f>
        <v/>
      </c>
      <c r="C976" s="32" t="n"/>
      <c r="D976" s="36" t="n"/>
      <c r="E976" s="37" t="n"/>
      <c r="F976" s="36" t="n"/>
      <c r="G976" s="44" t="n"/>
      <c r="H976" s="43" t="n"/>
      <c r="I976" s="32" t="n"/>
      <c r="J976" s="44" t="n"/>
      <c r="K976" s="36" t="n"/>
      <c r="L976" s="33">
        <f>IF(C976="","",Commercial_Id)</f>
        <v/>
      </c>
      <c r="M976" s="34">
        <f>IF(OR(C976="",F976=""),"",IF(F976&lt;&gt;"Espèces","—",IF(I976&lt;&gt;"","☑ Oui","☐ Non")))</f>
        <v/>
      </c>
      <c r="N976" s="39">
        <f>IF(D976="","",IFERROR(VALUE(MID(D976,LEN(D976)-3,3)),""))</f>
        <v/>
      </c>
      <c r="O976" s="33">
        <f>IF(N976="","",L976&amp;"|"&amp;N976)</f>
        <v/>
      </c>
      <c r="P976" s="33">
        <f>IF(N976="","",IF(L976="À RENSEIGNER","GIC",L976)&amp;"-"&amp;TEXT(N976,"000"))</f>
        <v/>
      </c>
      <c r="Q976" s="33">
        <f>IF(O976="","",IFERROR(INDEX(Cl_nom,MATCH(O976,Cl_cle,0)),"(client introuvable)"))</f>
        <v/>
      </c>
      <c r="R976" s="40">
        <f>IF(O976="","",IFERROR(INDEX(Cl_reste,MATCH(O976,Cl_cle,0)),""))</f>
        <v/>
      </c>
      <c r="S976" s="34">
        <f>IF(C976="","",YEAR(C976-WEEKDAY(C976,2)+4)&amp;"-S"&amp;TEXT(INT((C976-DATE(YEAR(C976-WEEKDAY(C976,2)+4),1,3)+WEEKDAY(DATE(YEAR(C976-WEEKDAY(C976,2)+4),1,3),2)+5)/7),"00"))</f>
        <v/>
      </c>
    </row>
    <row r="977" ht="18" customHeight="1">
      <c r="A977" s="39" t="n">
        <v>972</v>
      </c>
      <c r="B977" s="33">
        <f>IF(C977="","",IF(L977="À RENSEIGNER","GIC",L977)&amp;"-E"&amp;TEXT(A977,"00000"))</f>
        <v/>
      </c>
      <c r="C977" s="32" t="n"/>
      <c r="D977" s="36" t="n"/>
      <c r="E977" s="37" t="n"/>
      <c r="F977" s="36" t="n"/>
      <c r="G977" s="44" t="n"/>
      <c r="H977" s="43" t="n"/>
      <c r="I977" s="32" t="n"/>
      <c r="J977" s="44" t="n"/>
      <c r="K977" s="36" t="n"/>
      <c r="L977" s="33">
        <f>IF(C977="","",Commercial_Id)</f>
        <v/>
      </c>
      <c r="M977" s="34">
        <f>IF(OR(C977="",F977=""),"",IF(F977&lt;&gt;"Espèces","—",IF(I977&lt;&gt;"","☑ Oui","☐ Non")))</f>
        <v/>
      </c>
      <c r="N977" s="39">
        <f>IF(D977="","",IFERROR(VALUE(MID(D977,LEN(D977)-3,3)),""))</f>
        <v/>
      </c>
      <c r="O977" s="33">
        <f>IF(N977="","",L977&amp;"|"&amp;N977)</f>
        <v/>
      </c>
      <c r="P977" s="33">
        <f>IF(N977="","",IF(L977="À RENSEIGNER","GIC",L977)&amp;"-"&amp;TEXT(N977,"000"))</f>
        <v/>
      </c>
      <c r="Q977" s="33">
        <f>IF(O977="","",IFERROR(INDEX(Cl_nom,MATCH(O977,Cl_cle,0)),"(client introuvable)"))</f>
        <v/>
      </c>
      <c r="R977" s="40">
        <f>IF(O977="","",IFERROR(INDEX(Cl_reste,MATCH(O977,Cl_cle,0)),""))</f>
        <v/>
      </c>
      <c r="S977" s="34">
        <f>IF(C977="","",YEAR(C977-WEEKDAY(C977,2)+4)&amp;"-S"&amp;TEXT(INT((C977-DATE(YEAR(C977-WEEKDAY(C977,2)+4),1,3)+WEEKDAY(DATE(YEAR(C977-WEEKDAY(C977,2)+4),1,3),2)+5)/7),"00"))</f>
        <v/>
      </c>
    </row>
    <row r="978" ht="18" customHeight="1">
      <c r="A978" s="39" t="n">
        <v>973</v>
      </c>
      <c r="B978" s="33">
        <f>IF(C978="","",IF(L978="À RENSEIGNER","GIC",L978)&amp;"-E"&amp;TEXT(A978,"00000"))</f>
        <v/>
      </c>
      <c r="C978" s="32" t="n"/>
      <c r="D978" s="36" t="n"/>
      <c r="E978" s="37" t="n"/>
      <c r="F978" s="36" t="n"/>
      <c r="G978" s="44" t="n"/>
      <c r="H978" s="43" t="n"/>
      <c r="I978" s="32" t="n"/>
      <c r="J978" s="44" t="n"/>
      <c r="K978" s="36" t="n"/>
      <c r="L978" s="33">
        <f>IF(C978="","",Commercial_Id)</f>
        <v/>
      </c>
      <c r="M978" s="34">
        <f>IF(OR(C978="",F978=""),"",IF(F978&lt;&gt;"Espèces","—",IF(I978&lt;&gt;"","☑ Oui","☐ Non")))</f>
        <v/>
      </c>
      <c r="N978" s="39">
        <f>IF(D978="","",IFERROR(VALUE(MID(D978,LEN(D978)-3,3)),""))</f>
        <v/>
      </c>
      <c r="O978" s="33">
        <f>IF(N978="","",L978&amp;"|"&amp;N978)</f>
        <v/>
      </c>
      <c r="P978" s="33">
        <f>IF(N978="","",IF(L978="À RENSEIGNER","GIC",L978)&amp;"-"&amp;TEXT(N978,"000"))</f>
        <v/>
      </c>
      <c r="Q978" s="33">
        <f>IF(O978="","",IFERROR(INDEX(Cl_nom,MATCH(O978,Cl_cle,0)),"(client introuvable)"))</f>
        <v/>
      </c>
      <c r="R978" s="40">
        <f>IF(O978="","",IFERROR(INDEX(Cl_reste,MATCH(O978,Cl_cle,0)),""))</f>
        <v/>
      </c>
      <c r="S978" s="34">
        <f>IF(C978="","",YEAR(C978-WEEKDAY(C978,2)+4)&amp;"-S"&amp;TEXT(INT((C978-DATE(YEAR(C978-WEEKDAY(C978,2)+4),1,3)+WEEKDAY(DATE(YEAR(C978-WEEKDAY(C978,2)+4),1,3),2)+5)/7),"00"))</f>
        <v/>
      </c>
    </row>
    <row r="979" ht="18" customHeight="1">
      <c r="A979" s="39" t="n">
        <v>974</v>
      </c>
      <c r="B979" s="33">
        <f>IF(C979="","",IF(L979="À RENSEIGNER","GIC",L979)&amp;"-E"&amp;TEXT(A979,"00000"))</f>
        <v/>
      </c>
      <c r="C979" s="32" t="n"/>
      <c r="D979" s="36" t="n"/>
      <c r="E979" s="37" t="n"/>
      <c r="F979" s="36" t="n"/>
      <c r="G979" s="44" t="n"/>
      <c r="H979" s="43" t="n"/>
      <c r="I979" s="32" t="n"/>
      <c r="J979" s="44" t="n"/>
      <c r="K979" s="36" t="n"/>
      <c r="L979" s="33">
        <f>IF(C979="","",Commercial_Id)</f>
        <v/>
      </c>
      <c r="M979" s="34">
        <f>IF(OR(C979="",F979=""),"",IF(F979&lt;&gt;"Espèces","—",IF(I979&lt;&gt;"","☑ Oui","☐ Non")))</f>
        <v/>
      </c>
      <c r="N979" s="39">
        <f>IF(D979="","",IFERROR(VALUE(MID(D979,LEN(D979)-3,3)),""))</f>
        <v/>
      </c>
      <c r="O979" s="33">
        <f>IF(N979="","",L979&amp;"|"&amp;N979)</f>
        <v/>
      </c>
      <c r="P979" s="33">
        <f>IF(N979="","",IF(L979="À RENSEIGNER","GIC",L979)&amp;"-"&amp;TEXT(N979,"000"))</f>
        <v/>
      </c>
      <c r="Q979" s="33">
        <f>IF(O979="","",IFERROR(INDEX(Cl_nom,MATCH(O979,Cl_cle,0)),"(client introuvable)"))</f>
        <v/>
      </c>
      <c r="R979" s="40">
        <f>IF(O979="","",IFERROR(INDEX(Cl_reste,MATCH(O979,Cl_cle,0)),""))</f>
        <v/>
      </c>
      <c r="S979" s="34">
        <f>IF(C979="","",YEAR(C979-WEEKDAY(C979,2)+4)&amp;"-S"&amp;TEXT(INT((C979-DATE(YEAR(C979-WEEKDAY(C979,2)+4),1,3)+WEEKDAY(DATE(YEAR(C979-WEEKDAY(C979,2)+4),1,3),2)+5)/7),"00"))</f>
        <v/>
      </c>
    </row>
    <row r="980" ht="18" customHeight="1">
      <c r="A980" s="39" t="n">
        <v>975</v>
      </c>
      <c r="B980" s="33">
        <f>IF(C980="","",IF(L980="À RENSEIGNER","GIC",L980)&amp;"-E"&amp;TEXT(A980,"00000"))</f>
        <v/>
      </c>
      <c r="C980" s="32" t="n"/>
      <c r="D980" s="36" t="n"/>
      <c r="E980" s="37" t="n"/>
      <c r="F980" s="36" t="n"/>
      <c r="G980" s="44" t="n"/>
      <c r="H980" s="43" t="n"/>
      <c r="I980" s="32" t="n"/>
      <c r="J980" s="44" t="n"/>
      <c r="K980" s="36" t="n"/>
      <c r="L980" s="33">
        <f>IF(C980="","",Commercial_Id)</f>
        <v/>
      </c>
      <c r="M980" s="34">
        <f>IF(OR(C980="",F980=""),"",IF(F980&lt;&gt;"Espèces","—",IF(I980&lt;&gt;"","☑ Oui","☐ Non")))</f>
        <v/>
      </c>
      <c r="N980" s="39">
        <f>IF(D980="","",IFERROR(VALUE(MID(D980,LEN(D980)-3,3)),""))</f>
        <v/>
      </c>
      <c r="O980" s="33">
        <f>IF(N980="","",L980&amp;"|"&amp;N980)</f>
        <v/>
      </c>
      <c r="P980" s="33">
        <f>IF(N980="","",IF(L980="À RENSEIGNER","GIC",L980)&amp;"-"&amp;TEXT(N980,"000"))</f>
        <v/>
      </c>
      <c r="Q980" s="33">
        <f>IF(O980="","",IFERROR(INDEX(Cl_nom,MATCH(O980,Cl_cle,0)),"(client introuvable)"))</f>
        <v/>
      </c>
      <c r="R980" s="40">
        <f>IF(O980="","",IFERROR(INDEX(Cl_reste,MATCH(O980,Cl_cle,0)),""))</f>
        <v/>
      </c>
      <c r="S980" s="34">
        <f>IF(C980="","",YEAR(C980-WEEKDAY(C980,2)+4)&amp;"-S"&amp;TEXT(INT((C980-DATE(YEAR(C980-WEEKDAY(C980,2)+4),1,3)+WEEKDAY(DATE(YEAR(C980-WEEKDAY(C980,2)+4),1,3),2)+5)/7),"00"))</f>
        <v/>
      </c>
    </row>
    <row r="981" ht="18" customHeight="1">
      <c r="A981" s="39" t="n">
        <v>976</v>
      </c>
      <c r="B981" s="33">
        <f>IF(C981="","",IF(L981="À RENSEIGNER","GIC",L981)&amp;"-E"&amp;TEXT(A981,"00000"))</f>
        <v/>
      </c>
      <c r="C981" s="32" t="n"/>
      <c r="D981" s="36" t="n"/>
      <c r="E981" s="37" t="n"/>
      <c r="F981" s="36" t="n"/>
      <c r="G981" s="44" t="n"/>
      <c r="H981" s="43" t="n"/>
      <c r="I981" s="32" t="n"/>
      <c r="J981" s="44" t="n"/>
      <c r="K981" s="36" t="n"/>
      <c r="L981" s="33">
        <f>IF(C981="","",Commercial_Id)</f>
        <v/>
      </c>
      <c r="M981" s="34">
        <f>IF(OR(C981="",F981=""),"",IF(F981&lt;&gt;"Espèces","—",IF(I981&lt;&gt;"","☑ Oui","☐ Non")))</f>
        <v/>
      </c>
      <c r="N981" s="39">
        <f>IF(D981="","",IFERROR(VALUE(MID(D981,LEN(D981)-3,3)),""))</f>
        <v/>
      </c>
      <c r="O981" s="33">
        <f>IF(N981="","",L981&amp;"|"&amp;N981)</f>
        <v/>
      </c>
      <c r="P981" s="33">
        <f>IF(N981="","",IF(L981="À RENSEIGNER","GIC",L981)&amp;"-"&amp;TEXT(N981,"000"))</f>
        <v/>
      </c>
      <c r="Q981" s="33">
        <f>IF(O981="","",IFERROR(INDEX(Cl_nom,MATCH(O981,Cl_cle,0)),"(client introuvable)"))</f>
        <v/>
      </c>
      <c r="R981" s="40">
        <f>IF(O981="","",IFERROR(INDEX(Cl_reste,MATCH(O981,Cl_cle,0)),""))</f>
        <v/>
      </c>
      <c r="S981" s="34">
        <f>IF(C981="","",YEAR(C981-WEEKDAY(C981,2)+4)&amp;"-S"&amp;TEXT(INT((C981-DATE(YEAR(C981-WEEKDAY(C981,2)+4),1,3)+WEEKDAY(DATE(YEAR(C981-WEEKDAY(C981,2)+4),1,3),2)+5)/7),"00"))</f>
        <v/>
      </c>
    </row>
    <row r="982" ht="18" customHeight="1">
      <c r="A982" s="39" t="n">
        <v>977</v>
      </c>
      <c r="B982" s="33">
        <f>IF(C982="","",IF(L982="À RENSEIGNER","GIC",L982)&amp;"-E"&amp;TEXT(A982,"00000"))</f>
        <v/>
      </c>
      <c r="C982" s="32" t="n"/>
      <c r="D982" s="36" t="n"/>
      <c r="E982" s="37" t="n"/>
      <c r="F982" s="36" t="n"/>
      <c r="G982" s="44" t="n"/>
      <c r="H982" s="43" t="n"/>
      <c r="I982" s="32" t="n"/>
      <c r="J982" s="44" t="n"/>
      <c r="K982" s="36" t="n"/>
      <c r="L982" s="33">
        <f>IF(C982="","",Commercial_Id)</f>
        <v/>
      </c>
      <c r="M982" s="34">
        <f>IF(OR(C982="",F982=""),"",IF(F982&lt;&gt;"Espèces","—",IF(I982&lt;&gt;"","☑ Oui","☐ Non")))</f>
        <v/>
      </c>
      <c r="N982" s="39">
        <f>IF(D982="","",IFERROR(VALUE(MID(D982,LEN(D982)-3,3)),""))</f>
        <v/>
      </c>
      <c r="O982" s="33">
        <f>IF(N982="","",L982&amp;"|"&amp;N982)</f>
        <v/>
      </c>
      <c r="P982" s="33">
        <f>IF(N982="","",IF(L982="À RENSEIGNER","GIC",L982)&amp;"-"&amp;TEXT(N982,"000"))</f>
        <v/>
      </c>
      <c r="Q982" s="33">
        <f>IF(O982="","",IFERROR(INDEX(Cl_nom,MATCH(O982,Cl_cle,0)),"(client introuvable)"))</f>
        <v/>
      </c>
      <c r="R982" s="40">
        <f>IF(O982="","",IFERROR(INDEX(Cl_reste,MATCH(O982,Cl_cle,0)),""))</f>
        <v/>
      </c>
      <c r="S982" s="34">
        <f>IF(C982="","",YEAR(C982-WEEKDAY(C982,2)+4)&amp;"-S"&amp;TEXT(INT((C982-DATE(YEAR(C982-WEEKDAY(C982,2)+4),1,3)+WEEKDAY(DATE(YEAR(C982-WEEKDAY(C982,2)+4),1,3),2)+5)/7),"00"))</f>
        <v/>
      </c>
    </row>
    <row r="983" ht="18" customHeight="1">
      <c r="A983" s="39" t="n">
        <v>978</v>
      </c>
      <c r="B983" s="33">
        <f>IF(C983="","",IF(L983="À RENSEIGNER","GIC",L983)&amp;"-E"&amp;TEXT(A983,"00000"))</f>
        <v/>
      </c>
      <c r="C983" s="32" t="n"/>
      <c r="D983" s="36" t="n"/>
      <c r="E983" s="37" t="n"/>
      <c r="F983" s="36" t="n"/>
      <c r="G983" s="44" t="n"/>
      <c r="H983" s="43" t="n"/>
      <c r="I983" s="32" t="n"/>
      <c r="J983" s="44" t="n"/>
      <c r="K983" s="36" t="n"/>
      <c r="L983" s="33">
        <f>IF(C983="","",Commercial_Id)</f>
        <v/>
      </c>
      <c r="M983" s="34">
        <f>IF(OR(C983="",F983=""),"",IF(F983&lt;&gt;"Espèces","—",IF(I983&lt;&gt;"","☑ Oui","☐ Non")))</f>
        <v/>
      </c>
      <c r="N983" s="39">
        <f>IF(D983="","",IFERROR(VALUE(MID(D983,LEN(D983)-3,3)),""))</f>
        <v/>
      </c>
      <c r="O983" s="33">
        <f>IF(N983="","",L983&amp;"|"&amp;N983)</f>
        <v/>
      </c>
      <c r="P983" s="33">
        <f>IF(N983="","",IF(L983="À RENSEIGNER","GIC",L983)&amp;"-"&amp;TEXT(N983,"000"))</f>
        <v/>
      </c>
      <c r="Q983" s="33">
        <f>IF(O983="","",IFERROR(INDEX(Cl_nom,MATCH(O983,Cl_cle,0)),"(client introuvable)"))</f>
        <v/>
      </c>
      <c r="R983" s="40">
        <f>IF(O983="","",IFERROR(INDEX(Cl_reste,MATCH(O983,Cl_cle,0)),""))</f>
        <v/>
      </c>
      <c r="S983" s="34">
        <f>IF(C983="","",YEAR(C983-WEEKDAY(C983,2)+4)&amp;"-S"&amp;TEXT(INT((C983-DATE(YEAR(C983-WEEKDAY(C983,2)+4),1,3)+WEEKDAY(DATE(YEAR(C983-WEEKDAY(C983,2)+4),1,3),2)+5)/7),"00"))</f>
        <v/>
      </c>
    </row>
    <row r="984" ht="18" customHeight="1">
      <c r="A984" s="39" t="n">
        <v>979</v>
      </c>
      <c r="B984" s="33">
        <f>IF(C984="","",IF(L984="À RENSEIGNER","GIC",L984)&amp;"-E"&amp;TEXT(A984,"00000"))</f>
        <v/>
      </c>
      <c r="C984" s="32" t="n"/>
      <c r="D984" s="36" t="n"/>
      <c r="E984" s="37" t="n"/>
      <c r="F984" s="36" t="n"/>
      <c r="G984" s="44" t="n"/>
      <c r="H984" s="43" t="n"/>
      <c r="I984" s="32" t="n"/>
      <c r="J984" s="44" t="n"/>
      <c r="K984" s="36" t="n"/>
      <c r="L984" s="33">
        <f>IF(C984="","",Commercial_Id)</f>
        <v/>
      </c>
      <c r="M984" s="34">
        <f>IF(OR(C984="",F984=""),"",IF(F984&lt;&gt;"Espèces","—",IF(I984&lt;&gt;"","☑ Oui","☐ Non")))</f>
        <v/>
      </c>
      <c r="N984" s="39">
        <f>IF(D984="","",IFERROR(VALUE(MID(D984,LEN(D984)-3,3)),""))</f>
        <v/>
      </c>
      <c r="O984" s="33">
        <f>IF(N984="","",L984&amp;"|"&amp;N984)</f>
        <v/>
      </c>
      <c r="P984" s="33">
        <f>IF(N984="","",IF(L984="À RENSEIGNER","GIC",L984)&amp;"-"&amp;TEXT(N984,"000"))</f>
        <v/>
      </c>
      <c r="Q984" s="33">
        <f>IF(O984="","",IFERROR(INDEX(Cl_nom,MATCH(O984,Cl_cle,0)),"(client introuvable)"))</f>
        <v/>
      </c>
      <c r="R984" s="40">
        <f>IF(O984="","",IFERROR(INDEX(Cl_reste,MATCH(O984,Cl_cle,0)),""))</f>
        <v/>
      </c>
      <c r="S984" s="34">
        <f>IF(C984="","",YEAR(C984-WEEKDAY(C984,2)+4)&amp;"-S"&amp;TEXT(INT((C984-DATE(YEAR(C984-WEEKDAY(C984,2)+4),1,3)+WEEKDAY(DATE(YEAR(C984-WEEKDAY(C984,2)+4),1,3),2)+5)/7),"00"))</f>
        <v/>
      </c>
    </row>
    <row r="985" ht="18" customHeight="1">
      <c r="A985" s="39" t="n">
        <v>980</v>
      </c>
      <c r="B985" s="33">
        <f>IF(C985="","",IF(L985="À RENSEIGNER","GIC",L985)&amp;"-E"&amp;TEXT(A985,"00000"))</f>
        <v/>
      </c>
      <c r="C985" s="32" t="n"/>
      <c r="D985" s="36" t="n"/>
      <c r="E985" s="37" t="n"/>
      <c r="F985" s="36" t="n"/>
      <c r="G985" s="44" t="n"/>
      <c r="H985" s="43" t="n"/>
      <c r="I985" s="32" t="n"/>
      <c r="J985" s="44" t="n"/>
      <c r="K985" s="36" t="n"/>
      <c r="L985" s="33">
        <f>IF(C985="","",Commercial_Id)</f>
        <v/>
      </c>
      <c r="M985" s="34">
        <f>IF(OR(C985="",F985=""),"",IF(F985&lt;&gt;"Espèces","—",IF(I985&lt;&gt;"","☑ Oui","☐ Non")))</f>
        <v/>
      </c>
      <c r="N985" s="39">
        <f>IF(D985="","",IFERROR(VALUE(MID(D985,LEN(D985)-3,3)),""))</f>
        <v/>
      </c>
      <c r="O985" s="33">
        <f>IF(N985="","",L985&amp;"|"&amp;N985)</f>
        <v/>
      </c>
      <c r="P985" s="33">
        <f>IF(N985="","",IF(L985="À RENSEIGNER","GIC",L985)&amp;"-"&amp;TEXT(N985,"000"))</f>
        <v/>
      </c>
      <c r="Q985" s="33">
        <f>IF(O985="","",IFERROR(INDEX(Cl_nom,MATCH(O985,Cl_cle,0)),"(client introuvable)"))</f>
        <v/>
      </c>
      <c r="R985" s="40">
        <f>IF(O985="","",IFERROR(INDEX(Cl_reste,MATCH(O985,Cl_cle,0)),""))</f>
        <v/>
      </c>
      <c r="S985" s="34">
        <f>IF(C985="","",YEAR(C985-WEEKDAY(C985,2)+4)&amp;"-S"&amp;TEXT(INT((C985-DATE(YEAR(C985-WEEKDAY(C985,2)+4),1,3)+WEEKDAY(DATE(YEAR(C985-WEEKDAY(C985,2)+4),1,3),2)+5)/7),"00"))</f>
        <v/>
      </c>
    </row>
    <row r="986" ht="18" customHeight="1">
      <c r="A986" s="39" t="n">
        <v>981</v>
      </c>
      <c r="B986" s="33">
        <f>IF(C986="","",IF(L986="À RENSEIGNER","GIC",L986)&amp;"-E"&amp;TEXT(A986,"00000"))</f>
        <v/>
      </c>
      <c r="C986" s="32" t="n"/>
      <c r="D986" s="36" t="n"/>
      <c r="E986" s="37" t="n"/>
      <c r="F986" s="36" t="n"/>
      <c r="G986" s="44" t="n"/>
      <c r="H986" s="43" t="n"/>
      <c r="I986" s="32" t="n"/>
      <c r="J986" s="44" t="n"/>
      <c r="K986" s="36" t="n"/>
      <c r="L986" s="33">
        <f>IF(C986="","",Commercial_Id)</f>
        <v/>
      </c>
      <c r="M986" s="34">
        <f>IF(OR(C986="",F986=""),"",IF(F986&lt;&gt;"Espèces","—",IF(I986&lt;&gt;"","☑ Oui","☐ Non")))</f>
        <v/>
      </c>
      <c r="N986" s="39">
        <f>IF(D986="","",IFERROR(VALUE(MID(D986,LEN(D986)-3,3)),""))</f>
        <v/>
      </c>
      <c r="O986" s="33">
        <f>IF(N986="","",L986&amp;"|"&amp;N986)</f>
        <v/>
      </c>
      <c r="P986" s="33">
        <f>IF(N986="","",IF(L986="À RENSEIGNER","GIC",L986)&amp;"-"&amp;TEXT(N986,"000"))</f>
        <v/>
      </c>
      <c r="Q986" s="33">
        <f>IF(O986="","",IFERROR(INDEX(Cl_nom,MATCH(O986,Cl_cle,0)),"(client introuvable)"))</f>
        <v/>
      </c>
      <c r="R986" s="40">
        <f>IF(O986="","",IFERROR(INDEX(Cl_reste,MATCH(O986,Cl_cle,0)),""))</f>
        <v/>
      </c>
      <c r="S986" s="34">
        <f>IF(C986="","",YEAR(C986-WEEKDAY(C986,2)+4)&amp;"-S"&amp;TEXT(INT((C986-DATE(YEAR(C986-WEEKDAY(C986,2)+4),1,3)+WEEKDAY(DATE(YEAR(C986-WEEKDAY(C986,2)+4),1,3),2)+5)/7),"00"))</f>
        <v/>
      </c>
    </row>
    <row r="987" ht="18" customHeight="1">
      <c r="A987" s="39" t="n">
        <v>982</v>
      </c>
      <c r="B987" s="33">
        <f>IF(C987="","",IF(L987="À RENSEIGNER","GIC",L987)&amp;"-E"&amp;TEXT(A987,"00000"))</f>
        <v/>
      </c>
      <c r="C987" s="32" t="n"/>
      <c r="D987" s="36" t="n"/>
      <c r="E987" s="37" t="n"/>
      <c r="F987" s="36" t="n"/>
      <c r="G987" s="44" t="n"/>
      <c r="H987" s="43" t="n"/>
      <c r="I987" s="32" t="n"/>
      <c r="J987" s="44" t="n"/>
      <c r="K987" s="36" t="n"/>
      <c r="L987" s="33">
        <f>IF(C987="","",Commercial_Id)</f>
        <v/>
      </c>
      <c r="M987" s="34">
        <f>IF(OR(C987="",F987=""),"",IF(F987&lt;&gt;"Espèces","—",IF(I987&lt;&gt;"","☑ Oui","☐ Non")))</f>
        <v/>
      </c>
      <c r="N987" s="39">
        <f>IF(D987="","",IFERROR(VALUE(MID(D987,LEN(D987)-3,3)),""))</f>
        <v/>
      </c>
      <c r="O987" s="33">
        <f>IF(N987="","",L987&amp;"|"&amp;N987)</f>
        <v/>
      </c>
      <c r="P987" s="33">
        <f>IF(N987="","",IF(L987="À RENSEIGNER","GIC",L987)&amp;"-"&amp;TEXT(N987,"000"))</f>
        <v/>
      </c>
      <c r="Q987" s="33">
        <f>IF(O987="","",IFERROR(INDEX(Cl_nom,MATCH(O987,Cl_cle,0)),"(client introuvable)"))</f>
        <v/>
      </c>
      <c r="R987" s="40">
        <f>IF(O987="","",IFERROR(INDEX(Cl_reste,MATCH(O987,Cl_cle,0)),""))</f>
        <v/>
      </c>
      <c r="S987" s="34">
        <f>IF(C987="","",YEAR(C987-WEEKDAY(C987,2)+4)&amp;"-S"&amp;TEXT(INT((C987-DATE(YEAR(C987-WEEKDAY(C987,2)+4),1,3)+WEEKDAY(DATE(YEAR(C987-WEEKDAY(C987,2)+4),1,3),2)+5)/7),"00"))</f>
        <v/>
      </c>
    </row>
    <row r="988" ht="18" customHeight="1">
      <c r="A988" s="39" t="n">
        <v>983</v>
      </c>
      <c r="B988" s="33">
        <f>IF(C988="","",IF(L988="À RENSEIGNER","GIC",L988)&amp;"-E"&amp;TEXT(A988,"00000"))</f>
        <v/>
      </c>
      <c r="C988" s="32" t="n"/>
      <c r="D988" s="36" t="n"/>
      <c r="E988" s="37" t="n"/>
      <c r="F988" s="36" t="n"/>
      <c r="G988" s="44" t="n"/>
      <c r="H988" s="43" t="n"/>
      <c r="I988" s="32" t="n"/>
      <c r="J988" s="44" t="n"/>
      <c r="K988" s="36" t="n"/>
      <c r="L988" s="33">
        <f>IF(C988="","",Commercial_Id)</f>
        <v/>
      </c>
      <c r="M988" s="34">
        <f>IF(OR(C988="",F988=""),"",IF(F988&lt;&gt;"Espèces","—",IF(I988&lt;&gt;"","☑ Oui","☐ Non")))</f>
        <v/>
      </c>
      <c r="N988" s="39">
        <f>IF(D988="","",IFERROR(VALUE(MID(D988,LEN(D988)-3,3)),""))</f>
        <v/>
      </c>
      <c r="O988" s="33">
        <f>IF(N988="","",L988&amp;"|"&amp;N988)</f>
        <v/>
      </c>
      <c r="P988" s="33">
        <f>IF(N988="","",IF(L988="À RENSEIGNER","GIC",L988)&amp;"-"&amp;TEXT(N988,"000"))</f>
        <v/>
      </c>
      <c r="Q988" s="33">
        <f>IF(O988="","",IFERROR(INDEX(Cl_nom,MATCH(O988,Cl_cle,0)),"(client introuvable)"))</f>
        <v/>
      </c>
      <c r="R988" s="40">
        <f>IF(O988="","",IFERROR(INDEX(Cl_reste,MATCH(O988,Cl_cle,0)),""))</f>
        <v/>
      </c>
      <c r="S988" s="34">
        <f>IF(C988="","",YEAR(C988-WEEKDAY(C988,2)+4)&amp;"-S"&amp;TEXT(INT((C988-DATE(YEAR(C988-WEEKDAY(C988,2)+4),1,3)+WEEKDAY(DATE(YEAR(C988-WEEKDAY(C988,2)+4),1,3),2)+5)/7),"00"))</f>
        <v/>
      </c>
    </row>
    <row r="989" ht="18" customHeight="1">
      <c r="A989" s="39" t="n">
        <v>984</v>
      </c>
      <c r="B989" s="33">
        <f>IF(C989="","",IF(L989="À RENSEIGNER","GIC",L989)&amp;"-E"&amp;TEXT(A989,"00000"))</f>
        <v/>
      </c>
      <c r="C989" s="32" t="n"/>
      <c r="D989" s="36" t="n"/>
      <c r="E989" s="37" t="n"/>
      <c r="F989" s="36" t="n"/>
      <c r="G989" s="44" t="n"/>
      <c r="H989" s="43" t="n"/>
      <c r="I989" s="32" t="n"/>
      <c r="J989" s="44" t="n"/>
      <c r="K989" s="36" t="n"/>
      <c r="L989" s="33">
        <f>IF(C989="","",Commercial_Id)</f>
        <v/>
      </c>
      <c r="M989" s="34">
        <f>IF(OR(C989="",F989=""),"",IF(F989&lt;&gt;"Espèces","—",IF(I989&lt;&gt;"","☑ Oui","☐ Non")))</f>
        <v/>
      </c>
      <c r="N989" s="39">
        <f>IF(D989="","",IFERROR(VALUE(MID(D989,LEN(D989)-3,3)),""))</f>
        <v/>
      </c>
      <c r="O989" s="33">
        <f>IF(N989="","",L989&amp;"|"&amp;N989)</f>
        <v/>
      </c>
      <c r="P989" s="33">
        <f>IF(N989="","",IF(L989="À RENSEIGNER","GIC",L989)&amp;"-"&amp;TEXT(N989,"000"))</f>
        <v/>
      </c>
      <c r="Q989" s="33">
        <f>IF(O989="","",IFERROR(INDEX(Cl_nom,MATCH(O989,Cl_cle,0)),"(client introuvable)"))</f>
        <v/>
      </c>
      <c r="R989" s="40">
        <f>IF(O989="","",IFERROR(INDEX(Cl_reste,MATCH(O989,Cl_cle,0)),""))</f>
        <v/>
      </c>
      <c r="S989" s="34">
        <f>IF(C989="","",YEAR(C989-WEEKDAY(C989,2)+4)&amp;"-S"&amp;TEXT(INT((C989-DATE(YEAR(C989-WEEKDAY(C989,2)+4),1,3)+WEEKDAY(DATE(YEAR(C989-WEEKDAY(C989,2)+4),1,3),2)+5)/7),"00"))</f>
        <v/>
      </c>
    </row>
    <row r="990" ht="18" customHeight="1">
      <c r="A990" s="39" t="n">
        <v>985</v>
      </c>
      <c r="B990" s="33">
        <f>IF(C990="","",IF(L990="À RENSEIGNER","GIC",L990)&amp;"-E"&amp;TEXT(A990,"00000"))</f>
        <v/>
      </c>
      <c r="C990" s="32" t="n"/>
      <c r="D990" s="36" t="n"/>
      <c r="E990" s="37" t="n"/>
      <c r="F990" s="36" t="n"/>
      <c r="G990" s="44" t="n"/>
      <c r="H990" s="43" t="n"/>
      <c r="I990" s="32" t="n"/>
      <c r="J990" s="44" t="n"/>
      <c r="K990" s="36" t="n"/>
      <c r="L990" s="33">
        <f>IF(C990="","",Commercial_Id)</f>
        <v/>
      </c>
      <c r="M990" s="34">
        <f>IF(OR(C990="",F990=""),"",IF(F990&lt;&gt;"Espèces","—",IF(I990&lt;&gt;"","☑ Oui","☐ Non")))</f>
        <v/>
      </c>
      <c r="N990" s="39">
        <f>IF(D990="","",IFERROR(VALUE(MID(D990,LEN(D990)-3,3)),""))</f>
        <v/>
      </c>
      <c r="O990" s="33">
        <f>IF(N990="","",L990&amp;"|"&amp;N990)</f>
        <v/>
      </c>
      <c r="P990" s="33">
        <f>IF(N990="","",IF(L990="À RENSEIGNER","GIC",L990)&amp;"-"&amp;TEXT(N990,"000"))</f>
        <v/>
      </c>
      <c r="Q990" s="33">
        <f>IF(O990="","",IFERROR(INDEX(Cl_nom,MATCH(O990,Cl_cle,0)),"(client introuvable)"))</f>
        <v/>
      </c>
      <c r="R990" s="40">
        <f>IF(O990="","",IFERROR(INDEX(Cl_reste,MATCH(O990,Cl_cle,0)),""))</f>
        <v/>
      </c>
      <c r="S990" s="34">
        <f>IF(C990="","",YEAR(C990-WEEKDAY(C990,2)+4)&amp;"-S"&amp;TEXT(INT((C990-DATE(YEAR(C990-WEEKDAY(C990,2)+4),1,3)+WEEKDAY(DATE(YEAR(C990-WEEKDAY(C990,2)+4),1,3),2)+5)/7),"00"))</f>
        <v/>
      </c>
    </row>
    <row r="991" ht="18" customHeight="1">
      <c r="A991" s="39" t="n">
        <v>986</v>
      </c>
      <c r="B991" s="33">
        <f>IF(C991="","",IF(L991="À RENSEIGNER","GIC",L991)&amp;"-E"&amp;TEXT(A991,"00000"))</f>
        <v/>
      </c>
      <c r="C991" s="32" t="n"/>
      <c r="D991" s="36" t="n"/>
      <c r="E991" s="37" t="n"/>
      <c r="F991" s="36" t="n"/>
      <c r="G991" s="44" t="n"/>
      <c r="H991" s="43" t="n"/>
      <c r="I991" s="32" t="n"/>
      <c r="J991" s="44" t="n"/>
      <c r="K991" s="36" t="n"/>
      <c r="L991" s="33">
        <f>IF(C991="","",Commercial_Id)</f>
        <v/>
      </c>
      <c r="M991" s="34">
        <f>IF(OR(C991="",F991=""),"",IF(F991&lt;&gt;"Espèces","—",IF(I991&lt;&gt;"","☑ Oui","☐ Non")))</f>
        <v/>
      </c>
      <c r="N991" s="39">
        <f>IF(D991="","",IFERROR(VALUE(MID(D991,LEN(D991)-3,3)),""))</f>
        <v/>
      </c>
      <c r="O991" s="33">
        <f>IF(N991="","",L991&amp;"|"&amp;N991)</f>
        <v/>
      </c>
      <c r="P991" s="33">
        <f>IF(N991="","",IF(L991="À RENSEIGNER","GIC",L991)&amp;"-"&amp;TEXT(N991,"000"))</f>
        <v/>
      </c>
      <c r="Q991" s="33">
        <f>IF(O991="","",IFERROR(INDEX(Cl_nom,MATCH(O991,Cl_cle,0)),"(client introuvable)"))</f>
        <v/>
      </c>
      <c r="R991" s="40">
        <f>IF(O991="","",IFERROR(INDEX(Cl_reste,MATCH(O991,Cl_cle,0)),""))</f>
        <v/>
      </c>
      <c r="S991" s="34">
        <f>IF(C991="","",YEAR(C991-WEEKDAY(C991,2)+4)&amp;"-S"&amp;TEXT(INT((C991-DATE(YEAR(C991-WEEKDAY(C991,2)+4),1,3)+WEEKDAY(DATE(YEAR(C991-WEEKDAY(C991,2)+4),1,3),2)+5)/7),"00"))</f>
        <v/>
      </c>
    </row>
    <row r="992" ht="18" customHeight="1">
      <c r="A992" s="39" t="n">
        <v>987</v>
      </c>
      <c r="B992" s="33">
        <f>IF(C992="","",IF(L992="À RENSEIGNER","GIC",L992)&amp;"-E"&amp;TEXT(A992,"00000"))</f>
        <v/>
      </c>
      <c r="C992" s="32" t="n"/>
      <c r="D992" s="36" t="n"/>
      <c r="E992" s="37" t="n"/>
      <c r="F992" s="36" t="n"/>
      <c r="G992" s="44" t="n"/>
      <c r="H992" s="43" t="n"/>
      <c r="I992" s="32" t="n"/>
      <c r="J992" s="44" t="n"/>
      <c r="K992" s="36" t="n"/>
      <c r="L992" s="33">
        <f>IF(C992="","",Commercial_Id)</f>
        <v/>
      </c>
      <c r="M992" s="34">
        <f>IF(OR(C992="",F992=""),"",IF(F992&lt;&gt;"Espèces","—",IF(I992&lt;&gt;"","☑ Oui","☐ Non")))</f>
        <v/>
      </c>
      <c r="N992" s="39">
        <f>IF(D992="","",IFERROR(VALUE(MID(D992,LEN(D992)-3,3)),""))</f>
        <v/>
      </c>
      <c r="O992" s="33">
        <f>IF(N992="","",L992&amp;"|"&amp;N992)</f>
        <v/>
      </c>
      <c r="P992" s="33">
        <f>IF(N992="","",IF(L992="À RENSEIGNER","GIC",L992)&amp;"-"&amp;TEXT(N992,"000"))</f>
        <v/>
      </c>
      <c r="Q992" s="33">
        <f>IF(O992="","",IFERROR(INDEX(Cl_nom,MATCH(O992,Cl_cle,0)),"(client introuvable)"))</f>
        <v/>
      </c>
      <c r="R992" s="40">
        <f>IF(O992="","",IFERROR(INDEX(Cl_reste,MATCH(O992,Cl_cle,0)),""))</f>
        <v/>
      </c>
      <c r="S992" s="34">
        <f>IF(C992="","",YEAR(C992-WEEKDAY(C992,2)+4)&amp;"-S"&amp;TEXT(INT((C992-DATE(YEAR(C992-WEEKDAY(C992,2)+4),1,3)+WEEKDAY(DATE(YEAR(C992-WEEKDAY(C992,2)+4),1,3),2)+5)/7),"00"))</f>
        <v/>
      </c>
    </row>
    <row r="993" ht="18" customHeight="1">
      <c r="A993" s="39" t="n">
        <v>988</v>
      </c>
      <c r="B993" s="33">
        <f>IF(C993="","",IF(L993="À RENSEIGNER","GIC",L993)&amp;"-E"&amp;TEXT(A993,"00000"))</f>
        <v/>
      </c>
      <c r="C993" s="32" t="n"/>
      <c r="D993" s="36" t="n"/>
      <c r="E993" s="37" t="n"/>
      <c r="F993" s="36" t="n"/>
      <c r="G993" s="44" t="n"/>
      <c r="H993" s="43" t="n"/>
      <c r="I993" s="32" t="n"/>
      <c r="J993" s="44" t="n"/>
      <c r="K993" s="36" t="n"/>
      <c r="L993" s="33">
        <f>IF(C993="","",Commercial_Id)</f>
        <v/>
      </c>
      <c r="M993" s="34">
        <f>IF(OR(C993="",F993=""),"",IF(F993&lt;&gt;"Espèces","—",IF(I993&lt;&gt;"","☑ Oui","☐ Non")))</f>
        <v/>
      </c>
      <c r="N993" s="39">
        <f>IF(D993="","",IFERROR(VALUE(MID(D993,LEN(D993)-3,3)),""))</f>
        <v/>
      </c>
      <c r="O993" s="33">
        <f>IF(N993="","",L993&amp;"|"&amp;N993)</f>
        <v/>
      </c>
      <c r="P993" s="33">
        <f>IF(N993="","",IF(L993="À RENSEIGNER","GIC",L993)&amp;"-"&amp;TEXT(N993,"000"))</f>
        <v/>
      </c>
      <c r="Q993" s="33">
        <f>IF(O993="","",IFERROR(INDEX(Cl_nom,MATCH(O993,Cl_cle,0)),"(client introuvable)"))</f>
        <v/>
      </c>
      <c r="R993" s="40">
        <f>IF(O993="","",IFERROR(INDEX(Cl_reste,MATCH(O993,Cl_cle,0)),""))</f>
        <v/>
      </c>
      <c r="S993" s="34">
        <f>IF(C993="","",YEAR(C993-WEEKDAY(C993,2)+4)&amp;"-S"&amp;TEXT(INT((C993-DATE(YEAR(C993-WEEKDAY(C993,2)+4),1,3)+WEEKDAY(DATE(YEAR(C993-WEEKDAY(C993,2)+4),1,3),2)+5)/7),"00"))</f>
        <v/>
      </c>
    </row>
    <row r="994" ht="18" customHeight="1">
      <c r="A994" s="39" t="n">
        <v>989</v>
      </c>
      <c r="B994" s="33">
        <f>IF(C994="","",IF(L994="À RENSEIGNER","GIC",L994)&amp;"-E"&amp;TEXT(A994,"00000"))</f>
        <v/>
      </c>
      <c r="C994" s="32" t="n"/>
      <c r="D994" s="36" t="n"/>
      <c r="E994" s="37" t="n"/>
      <c r="F994" s="36" t="n"/>
      <c r="G994" s="44" t="n"/>
      <c r="H994" s="43" t="n"/>
      <c r="I994" s="32" t="n"/>
      <c r="J994" s="44" t="n"/>
      <c r="K994" s="36" t="n"/>
      <c r="L994" s="33">
        <f>IF(C994="","",Commercial_Id)</f>
        <v/>
      </c>
      <c r="M994" s="34">
        <f>IF(OR(C994="",F994=""),"",IF(F994&lt;&gt;"Espèces","—",IF(I994&lt;&gt;"","☑ Oui","☐ Non")))</f>
        <v/>
      </c>
      <c r="N994" s="39">
        <f>IF(D994="","",IFERROR(VALUE(MID(D994,LEN(D994)-3,3)),""))</f>
        <v/>
      </c>
      <c r="O994" s="33">
        <f>IF(N994="","",L994&amp;"|"&amp;N994)</f>
        <v/>
      </c>
      <c r="P994" s="33">
        <f>IF(N994="","",IF(L994="À RENSEIGNER","GIC",L994)&amp;"-"&amp;TEXT(N994,"000"))</f>
        <v/>
      </c>
      <c r="Q994" s="33">
        <f>IF(O994="","",IFERROR(INDEX(Cl_nom,MATCH(O994,Cl_cle,0)),"(client introuvable)"))</f>
        <v/>
      </c>
      <c r="R994" s="40">
        <f>IF(O994="","",IFERROR(INDEX(Cl_reste,MATCH(O994,Cl_cle,0)),""))</f>
        <v/>
      </c>
      <c r="S994" s="34">
        <f>IF(C994="","",YEAR(C994-WEEKDAY(C994,2)+4)&amp;"-S"&amp;TEXT(INT((C994-DATE(YEAR(C994-WEEKDAY(C994,2)+4),1,3)+WEEKDAY(DATE(YEAR(C994-WEEKDAY(C994,2)+4),1,3),2)+5)/7),"00"))</f>
        <v/>
      </c>
    </row>
    <row r="995" ht="18" customHeight="1">
      <c r="A995" s="39" t="n">
        <v>990</v>
      </c>
      <c r="B995" s="33">
        <f>IF(C995="","",IF(L995="À RENSEIGNER","GIC",L995)&amp;"-E"&amp;TEXT(A995,"00000"))</f>
        <v/>
      </c>
      <c r="C995" s="32" t="n"/>
      <c r="D995" s="36" t="n"/>
      <c r="E995" s="37" t="n"/>
      <c r="F995" s="36" t="n"/>
      <c r="G995" s="44" t="n"/>
      <c r="H995" s="43" t="n"/>
      <c r="I995" s="32" t="n"/>
      <c r="J995" s="44" t="n"/>
      <c r="K995" s="36" t="n"/>
      <c r="L995" s="33">
        <f>IF(C995="","",Commercial_Id)</f>
        <v/>
      </c>
      <c r="M995" s="34">
        <f>IF(OR(C995="",F995=""),"",IF(F995&lt;&gt;"Espèces","—",IF(I995&lt;&gt;"","☑ Oui","☐ Non")))</f>
        <v/>
      </c>
      <c r="N995" s="39">
        <f>IF(D995="","",IFERROR(VALUE(MID(D995,LEN(D995)-3,3)),""))</f>
        <v/>
      </c>
      <c r="O995" s="33">
        <f>IF(N995="","",L995&amp;"|"&amp;N995)</f>
        <v/>
      </c>
      <c r="P995" s="33">
        <f>IF(N995="","",IF(L995="À RENSEIGNER","GIC",L995)&amp;"-"&amp;TEXT(N995,"000"))</f>
        <v/>
      </c>
      <c r="Q995" s="33">
        <f>IF(O995="","",IFERROR(INDEX(Cl_nom,MATCH(O995,Cl_cle,0)),"(client introuvable)"))</f>
        <v/>
      </c>
      <c r="R995" s="40">
        <f>IF(O995="","",IFERROR(INDEX(Cl_reste,MATCH(O995,Cl_cle,0)),""))</f>
        <v/>
      </c>
      <c r="S995" s="34">
        <f>IF(C995="","",YEAR(C995-WEEKDAY(C995,2)+4)&amp;"-S"&amp;TEXT(INT((C995-DATE(YEAR(C995-WEEKDAY(C995,2)+4),1,3)+WEEKDAY(DATE(YEAR(C995-WEEKDAY(C995,2)+4),1,3),2)+5)/7),"00"))</f>
        <v/>
      </c>
    </row>
    <row r="996" ht="18" customHeight="1">
      <c r="A996" s="39" t="n">
        <v>991</v>
      </c>
      <c r="B996" s="33">
        <f>IF(C996="","",IF(L996="À RENSEIGNER","GIC",L996)&amp;"-E"&amp;TEXT(A996,"00000"))</f>
        <v/>
      </c>
      <c r="C996" s="32" t="n"/>
      <c r="D996" s="36" t="n"/>
      <c r="E996" s="37" t="n"/>
      <c r="F996" s="36" t="n"/>
      <c r="G996" s="44" t="n"/>
      <c r="H996" s="43" t="n"/>
      <c r="I996" s="32" t="n"/>
      <c r="J996" s="44" t="n"/>
      <c r="K996" s="36" t="n"/>
      <c r="L996" s="33">
        <f>IF(C996="","",Commercial_Id)</f>
        <v/>
      </c>
      <c r="M996" s="34">
        <f>IF(OR(C996="",F996=""),"",IF(F996&lt;&gt;"Espèces","—",IF(I996&lt;&gt;"","☑ Oui","☐ Non")))</f>
        <v/>
      </c>
      <c r="N996" s="39">
        <f>IF(D996="","",IFERROR(VALUE(MID(D996,LEN(D996)-3,3)),""))</f>
        <v/>
      </c>
      <c r="O996" s="33">
        <f>IF(N996="","",L996&amp;"|"&amp;N996)</f>
        <v/>
      </c>
      <c r="P996" s="33">
        <f>IF(N996="","",IF(L996="À RENSEIGNER","GIC",L996)&amp;"-"&amp;TEXT(N996,"000"))</f>
        <v/>
      </c>
      <c r="Q996" s="33">
        <f>IF(O996="","",IFERROR(INDEX(Cl_nom,MATCH(O996,Cl_cle,0)),"(client introuvable)"))</f>
        <v/>
      </c>
      <c r="R996" s="40">
        <f>IF(O996="","",IFERROR(INDEX(Cl_reste,MATCH(O996,Cl_cle,0)),""))</f>
        <v/>
      </c>
      <c r="S996" s="34">
        <f>IF(C996="","",YEAR(C996-WEEKDAY(C996,2)+4)&amp;"-S"&amp;TEXT(INT((C996-DATE(YEAR(C996-WEEKDAY(C996,2)+4),1,3)+WEEKDAY(DATE(YEAR(C996-WEEKDAY(C996,2)+4),1,3),2)+5)/7),"00"))</f>
        <v/>
      </c>
    </row>
    <row r="997" ht="18" customHeight="1">
      <c r="A997" s="39" t="n">
        <v>992</v>
      </c>
      <c r="B997" s="33">
        <f>IF(C997="","",IF(L997="À RENSEIGNER","GIC",L997)&amp;"-E"&amp;TEXT(A997,"00000"))</f>
        <v/>
      </c>
      <c r="C997" s="32" t="n"/>
      <c r="D997" s="36" t="n"/>
      <c r="E997" s="37" t="n"/>
      <c r="F997" s="36" t="n"/>
      <c r="G997" s="44" t="n"/>
      <c r="H997" s="43" t="n"/>
      <c r="I997" s="32" t="n"/>
      <c r="J997" s="44" t="n"/>
      <c r="K997" s="36" t="n"/>
      <c r="L997" s="33">
        <f>IF(C997="","",Commercial_Id)</f>
        <v/>
      </c>
      <c r="M997" s="34">
        <f>IF(OR(C997="",F997=""),"",IF(F997&lt;&gt;"Espèces","—",IF(I997&lt;&gt;"","☑ Oui","☐ Non")))</f>
        <v/>
      </c>
      <c r="N997" s="39">
        <f>IF(D997="","",IFERROR(VALUE(MID(D997,LEN(D997)-3,3)),""))</f>
        <v/>
      </c>
      <c r="O997" s="33">
        <f>IF(N997="","",L997&amp;"|"&amp;N997)</f>
        <v/>
      </c>
      <c r="P997" s="33">
        <f>IF(N997="","",IF(L997="À RENSEIGNER","GIC",L997)&amp;"-"&amp;TEXT(N997,"000"))</f>
        <v/>
      </c>
      <c r="Q997" s="33">
        <f>IF(O997="","",IFERROR(INDEX(Cl_nom,MATCH(O997,Cl_cle,0)),"(client introuvable)"))</f>
        <v/>
      </c>
      <c r="R997" s="40">
        <f>IF(O997="","",IFERROR(INDEX(Cl_reste,MATCH(O997,Cl_cle,0)),""))</f>
        <v/>
      </c>
      <c r="S997" s="34">
        <f>IF(C997="","",YEAR(C997-WEEKDAY(C997,2)+4)&amp;"-S"&amp;TEXT(INT((C997-DATE(YEAR(C997-WEEKDAY(C997,2)+4),1,3)+WEEKDAY(DATE(YEAR(C997-WEEKDAY(C997,2)+4),1,3),2)+5)/7),"00"))</f>
        <v/>
      </c>
    </row>
    <row r="998" ht="18" customHeight="1">
      <c r="A998" s="39" t="n">
        <v>993</v>
      </c>
      <c r="B998" s="33">
        <f>IF(C998="","",IF(L998="À RENSEIGNER","GIC",L998)&amp;"-E"&amp;TEXT(A998,"00000"))</f>
        <v/>
      </c>
      <c r="C998" s="32" t="n"/>
      <c r="D998" s="36" t="n"/>
      <c r="E998" s="37" t="n"/>
      <c r="F998" s="36" t="n"/>
      <c r="G998" s="44" t="n"/>
      <c r="H998" s="43" t="n"/>
      <c r="I998" s="32" t="n"/>
      <c r="J998" s="44" t="n"/>
      <c r="K998" s="36" t="n"/>
      <c r="L998" s="33">
        <f>IF(C998="","",Commercial_Id)</f>
        <v/>
      </c>
      <c r="M998" s="34">
        <f>IF(OR(C998="",F998=""),"",IF(F998&lt;&gt;"Espèces","—",IF(I998&lt;&gt;"","☑ Oui","☐ Non")))</f>
        <v/>
      </c>
      <c r="N998" s="39">
        <f>IF(D998="","",IFERROR(VALUE(MID(D998,LEN(D998)-3,3)),""))</f>
        <v/>
      </c>
      <c r="O998" s="33">
        <f>IF(N998="","",L998&amp;"|"&amp;N998)</f>
        <v/>
      </c>
      <c r="P998" s="33">
        <f>IF(N998="","",IF(L998="À RENSEIGNER","GIC",L998)&amp;"-"&amp;TEXT(N998,"000"))</f>
        <v/>
      </c>
      <c r="Q998" s="33">
        <f>IF(O998="","",IFERROR(INDEX(Cl_nom,MATCH(O998,Cl_cle,0)),"(client introuvable)"))</f>
        <v/>
      </c>
      <c r="R998" s="40">
        <f>IF(O998="","",IFERROR(INDEX(Cl_reste,MATCH(O998,Cl_cle,0)),""))</f>
        <v/>
      </c>
      <c r="S998" s="34">
        <f>IF(C998="","",YEAR(C998-WEEKDAY(C998,2)+4)&amp;"-S"&amp;TEXT(INT((C998-DATE(YEAR(C998-WEEKDAY(C998,2)+4),1,3)+WEEKDAY(DATE(YEAR(C998-WEEKDAY(C998,2)+4),1,3),2)+5)/7),"00"))</f>
        <v/>
      </c>
    </row>
    <row r="999" ht="18" customHeight="1">
      <c r="A999" s="39" t="n">
        <v>994</v>
      </c>
      <c r="B999" s="33">
        <f>IF(C999="","",IF(L999="À RENSEIGNER","GIC",L999)&amp;"-E"&amp;TEXT(A999,"00000"))</f>
        <v/>
      </c>
      <c r="C999" s="32" t="n"/>
      <c r="D999" s="36" t="n"/>
      <c r="E999" s="37" t="n"/>
      <c r="F999" s="36" t="n"/>
      <c r="G999" s="44" t="n"/>
      <c r="H999" s="43" t="n"/>
      <c r="I999" s="32" t="n"/>
      <c r="J999" s="44" t="n"/>
      <c r="K999" s="36" t="n"/>
      <c r="L999" s="33">
        <f>IF(C999="","",Commercial_Id)</f>
        <v/>
      </c>
      <c r="M999" s="34">
        <f>IF(OR(C999="",F999=""),"",IF(F999&lt;&gt;"Espèces","—",IF(I999&lt;&gt;"","☑ Oui","☐ Non")))</f>
        <v/>
      </c>
      <c r="N999" s="39">
        <f>IF(D999="","",IFERROR(VALUE(MID(D999,LEN(D999)-3,3)),""))</f>
        <v/>
      </c>
      <c r="O999" s="33">
        <f>IF(N999="","",L999&amp;"|"&amp;N999)</f>
        <v/>
      </c>
      <c r="P999" s="33">
        <f>IF(N999="","",IF(L999="À RENSEIGNER","GIC",L999)&amp;"-"&amp;TEXT(N999,"000"))</f>
        <v/>
      </c>
      <c r="Q999" s="33">
        <f>IF(O999="","",IFERROR(INDEX(Cl_nom,MATCH(O999,Cl_cle,0)),"(client introuvable)"))</f>
        <v/>
      </c>
      <c r="R999" s="40">
        <f>IF(O999="","",IFERROR(INDEX(Cl_reste,MATCH(O999,Cl_cle,0)),""))</f>
        <v/>
      </c>
      <c r="S999" s="34">
        <f>IF(C999="","",YEAR(C999-WEEKDAY(C999,2)+4)&amp;"-S"&amp;TEXT(INT((C999-DATE(YEAR(C999-WEEKDAY(C999,2)+4),1,3)+WEEKDAY(DATE(YEAR(C999-WEEKDAY(C999,2)+4),1,3),2)+5)/7),"00"))</f>
        <v/>
      </c>
    </row>
    <row r="1000" ht="18" customHeight="1">
      <c r="A1000" s="39" t="n">
        <v>995</v>
      </c>
      <c r="B1000" s="33">
        <f>IF(C1000="","",IF(L1000="À RENSEIGNER","GIC",L1000)&amp;"-E"&amp;TEXT(A1000,"00000"))</f>
        <v/>
      </c>
      <c r="C1000" s="32" t="n"/>
      <c r="D1000" s="36" t="n"/>
      <c r="E1000" s="37" t="n"/>
      <c r="F1000" s="36" t="n"/>
      <c r="G1000" s="44" t="n"/>
      <c r="H1000" s="43" t="n"/>
      <c r="I1000" s="32" t="n"/>
      <c r="J1000" s="44" t="n"/>
      <c r="K1000" s="36" t="n"/>
      <c r="L1000" s="33">
        <f>IF(C1000="","",Commercial_Id)</f>
        <v/>
      </c>
      <c r="M1000" s="34">
        <f>IF(OR(C1000="",F1000=""),"",IF(F1000&lt;&gt;"Espèces","—",IF(I1000&lt;&gt;"","☑ Oui","☐ Non")))</f>
        <v/>
      </c>
      <c r="N1000" s="39">
        <f>IF(D1000="","",IFERROR(VALUE(MID(D1000,LEN(D1000)-3,3)),""))</f>
        <v/>
      </c>
      <c r="O1000" s="33">
        <f>IF(N1000="","",L1000&amp;"|"&amp;N1000)</f>
        <v/>
      </c>
      <c r="P1000" s="33">
        <f>IF(N1000="","",IF(L1000="À RENSEIGNER","GIC",L1000)&amp;"-"&amp;TEXT(N1000,"000"))</f>
        <v/>
      </c>
      <c r="Q1000" s="33">
        <f>IF(O1000="","",IFERROR(INDEX(Cl_nom,MATCH(O1000,Cl_cle,0)),"(client introuvable)"))</f>
        <v/>
      </c>
      <c r="R1000" s="40">
        <f>IF(O1000="","",IFERROR(INDEX(Cl_reste,MATCH(O1000,Cl_cle,0)),""))</f>
        <v/>
      </c>
      <c r="S1000" s="34">
        <f>IF(C1000="","",YEAR(C1000-WEEKDAY(C1000,2)+4)&amp;"-S"&amp;TEXT(INT((C1000-DATE(YEAR(C1000-WEEKDAY(C1000,2)+4),1,3)+WEEKDAY(DATE(YEAR(C1000-WEEKDAY(C1000,2)+4),1,3),2)+5)/7),"00"))</f>
        <v/>
      </c>
    </row>
    <row r="1001" ht="18" customHeight="1">
      <c r="A1001" s="39" t="n">
        <v>996</v>
      </c>
      <c r="B1001" s="33">
        <f>IF(C1001="","",IF(L1001="À RENSEIGNER","GIC",L1001)&amp;"-E"&amp;TEXT(A1001,"00000"))</f>
        <v/>
      </c>
      <c r="C1001" s="32" t="n"/>
      <c r="D1001" s="36" t="n"/>
      <c r="E1001" s="37" t="n"/>
      <c r="F1001" s="36" t="n"/>
      <c r="G1001" s="44" t="n"/>
      <c r="H1001" s="43" t="n"/>
      <c r="I1001" s="32" t="n"/>
      <c r="J1001" s="44" t="n"/>
      <c r="K1001" s="36" t="n"/>
      <c r="L1001" s="33">
        <f>IF(C1001="","",Commercial_Id)</f>
        <v/>
      </c>
      <c r="M1001" s="34">
        <f>IF(OR(C1001="",F1001=""),"",IF(F1001&lt;&gt;"Espèces","—",IF(I1001&lt;&gt;"","☑ Oui","☐ Non")))</f>
        <v/>
      </c>
      <c r="N1001" s="39">
        <f>IF(D1001="","",IFERROR(VALUE(MID(D1001,LEN(D1001)-3,3)),""))</f>
        <v/>
      </c>
      <c r="O1001" s="33">
        <f>IF(N1001="","",L1001&amp;"|"&amp;N1001)</f>
        <v/>
      </c>
      <c r="P1001" s="33">
        <f>IF(N1001="","",IF(L1001="À RENSEIGNER","GIC",L1001)&amp;"-"&amp;TEXT(N1001,"000"))</f>
        <v/>
      </c>
      <c r="Q1001" s="33">
        <f>IF(O1001="","",IFERROR(INDEX(Cl_nom,MATCH(O1001,Cl_cle,0)),"(client introuvable)"))</f>
        <v/>
      </c>
      <c r="R1001" s="40">
        <f>IF(O1001="","",IFERROR(INDEX(Cl_reste,MATCH(O1001,Cl_cle,0)),""))</f>
        <v/>
      </c>
      <c r="S1001" s="34">
        <f>IF(C1001="","",YEAR(C1001-WEEKDAY(C1001,2)+4)&amp;"-S"&amp;TEXT(INT((C1001-DATE(YEAR(C1001-WEEKDAY(C1001,2)+4),1,3)+WEEKDAY(DATE(YEAR(C1001-WEEKDAY(C1001,2)+4),1,3),2)+5)/7),"00"))</f>
        <v/>
      </c>
    </row>
    <row r="1002" ht="18" customHeight="1">
      <c r="A1002" s="39" t="n">
        <v>997</v>
      </c>
      <c r="B1002" s="33">
        <f>IF(C1002="","",IF(L1002="À RENSEIGNER","GIC",L1002)&amp;"-E"&amp;TEXT(A1002,"00000"))</f>
        <v/>
      </c>
      <c r="C1002" s="32" t="n"/>
      <c r="D1002" s="36" t="n"/>
      <c r="E1002" s="37" t="n"/>
      <c r="F1002" s="36" t="n"/>
      <c r="G1002" s="44" t="n"/>
      <c r="H1002" s="43" t="n"/>
      <c r="I1002" s="32" t="n"/>
      <c r="J1002" s="44" t="n"/>
      <c r="K1002" s="36" t="n"/>
      <c r="L1002" s="33">
        <f>IF(C1002="","",Commercial_Id)</f>
        <v/>
      </c>
      <c r="M1002" s="34">
        <f>IF(OR(C1002="",F1002=""),"",IF(F1002&lt;&gt;"Espèces","—",IF(I1002&lt;&gt;"","☑ Oui","☐ Non")))</f>
        <v/>
      </c>
      <c r="N1002" s="39">
        <f>IF(D1002="","",IFERROR(VALUE(MID(D1002,LEN(D1002)-3,3)),""))</f>
        <v/>
      </c>
      <c r="O1002" s="33">
        <f>IF(N1002="","",L1002&amp;"|"&amp;N1002)</f>
        <v/>
      </c>
      <c r="P1002" s="33">
        <f>IF(N1002="","",IF(L1002="À RENSEIGNER","GIC",L1002)&amp;"-"&amp;TEXT(N1002,"000"))</f>
        <v/>
      </c>
      <c r="Q1002" s="33">
        <f>IF(O1002="","",IFERROR(INDEX(Cl_nom,MATCH(O1002,Cl_cle,0)),"(client introuvable)"))</f>
        <v/>
      </c>
      <c r="R1002" s="40">
        <f>IF(O1002="","",IFERROR(INDEX(Cl_reste,MATCH(O1002,Cl_cle,0)),""))</f>
        <v/>
      </c>
      <c r="S1002" s="34">
        <f>IF(C1002="","",YEAR(C1002-WEEKDAY(C1002,2)+4)&amp;"-S"&amp;TEXT(INT((C1002-DATE(YEAR(C1002-WEEKDAY(C1002,2)+4),1,3)+WEEKDAY(DATE(YEAR(C1002-WEEKDAY(C1002,2)+4),1,3),2)+5)/7),"00"))</f>
        <v/>
      </c>
    </row>
    <row r="1003" ht="18" customHeight="1">
      <c r="A1003" s="39" t="n">
        <v>998</v>
      </c>
      <c r="B1003" s="33">
        <f>IF(C1003="","",IF(L1003="À RENSEIGNER","GIC",L1003)&amp;"-E"&amp;TEXT(A1003,"00000"))</f>
        <v/>
      </c>
      <c r="C1003" s="32" t="n"/>
      <c r="D1003" s="36" t="n"/>
      <c r="E1003" s="37" t="n"/>
      <c r="F1003" s="36" t="n"/>
      <c r="G1003" s="44" t="n"/>
      <c r="H1003" s="43" t="n"/>
      <c r="I1003" s="32" t="n"/>
      <c r="J1003" s="44" t="n"/>
      <c r="K1003" s="36" t="n"/>
      <c r="L1003" s="33">
        <f>IF(C1003="","",Commercial_Id)</f>
        <v/>
      </c>
      <c r="M1003" s="34">
        <f>IF(OR(C1003="",F1003=""),"",IF(F1003&lt;&gt;"Espèces","—",IF(I1003&lt;&gt;"","☑ Oui","☐ Non")))</f>
        <v/>
      </c>
      <c r="N1003" s="39">
        <f>IF(D1003="","",IFERROR(VALUE(MID(D1003,LEN(D1003)-3,3)),""))</f>
        <v/>
      </c>
      <c r="O1003" s="33">
        <f>IF(N1003="","",L1003&amp;"|"&amp;N1003)</f>
        <v/>
      </c>
      <c r="P1003" s="33">
        <f>IF(N1003="","",IF(L1003="À RENSEIGNER","GIC",L1003)&amp;"-"&amp;TEXT(N1003,"000"))</f>
        <v/>
      </c>
      <c r="Q1003" s="33">
        <f>IF(O1003="","",IFERROR(INDEX(Cl_nom,MATCH(O1003,Cl_cle,0)),"(client introuvable)"))</f>
        <v/>
      </c>
      <c r="R1003" s="40">
        <f>IF(O1003="","",IFERROR(INDEX(Cl_reste,MATCH(O1003,Cl_cle,0)),""))</f>
        <v/>
      </c>
      <c r="S1003" s="34">
        <f>IF(C1003="","",YEAR(C1003-WEEKDAY(C1003,2)+4)&amp;"-S"&amp;TEXT(INT((C1003-DATE(YEAR(C1003-WEEKDAY(C1003,2)+4),1,3)+WEEKDAY(DATE(YEAR(C1003-WEEKDAY(C1003,2)+4),1,3),2)+5)/7),"00"))</f>
        <v/>
      </c>
    </row>
    <row r="1004" ht="18" customHeight="1">
      <c r="A1004" s="39" t="n">
        <v>999</v>
      </c>
      <c r="B1004" s="33">
        <f>IF(C1004="","",IF(L1004="À RENSEIGNER","GIC",L1004)&amp;"-E"&amp;TEXT(A1004,"00000"))</f>
        <v/>
      </c>
      <c r="C1004" s="32" t="n"/>
      <c r="D1004" s="36" t="n"/>
      <c r="E1004" s="37" t="n"/>
      <c r="F1004" s="36" t="n"/>
      <c r="G1004" s="44" t="n"/>
      <c r="H1004" s="43" t="n"/>
      <c r="I1004" s="32" t="n"/>
      <c r="J1004" s="44" t="n"/>
      <c r="K1004" s="36" t="n"/>
      <c r="L1004" s="33">
        <f>IF(C1004="","",Commercial_Id)</f>
        <v/>
      </c>
      <c r="M1004" s="34">
        <f>IF(OR(C1004="",F1004=""),"",IF(F1004&lt;&gt;"Espèces","—",IF(I1004&lt;&gt;"","☑ Oui","☐ Non")))</f>
        <v/>
      </c>
      <c r="N1004" s="39">
        <f>IF(D1004="","",IFERROR(VALUE(MID(D1004,LEN(D1004)-3,3)),""))</f>
        <v/>
      </c>
      <c r="O1004" s="33">
        <f>IF(N1004="","",L1004&amp;"|"&amp;N1004)</f>
        <v/>
      </c>
      <c r="P1004" s="33">
        <f>IF(N1004="","",IF(L1004="À RENSEIGNER","GIC",L1004)&amp;"-"&amp;TEXT(N1004,"000"))</f>
        <v/>
      </c>
      <c r="Q1004" s="33">
        <f>IF(O1004="","",IFERROR(INDEX(Cl_nom,MATCH(O1004,Cl_cle,0)),"(client introuvable)"))</f>
        <v/>
      </c>
      <c r="R1004" s="40">
        <f>IF(O1004="","",IFERROR(INDEX(Cl_reste,MATCH(O1004,Cl_cle,0)),""))</f>
        <v/>
      </c>
      <c r="S1004" s="34">
        <f>IF(C1004="","",YEAR(C1004-WEEKDAY(C1004,2)+4)&amp;"-S"&amp;TEXT(INT((C1004-DATE(YEAR(C1004-WEEKDAY(C1004,2)+4),1,3)+WEEKDAY(DATE(YEAR(C1004-WEEKDAY(C1004,2)+4),1,3),2)+5)/7),"00"))</f>
        <v/>
      </c>
    </row>
    <row r="1005" ht="18" customHeight="1">
      <c r="A1005" s="39" t="n">
        <v>1000</v>
      </c>
      <c r="B1005" s="33">
        <f>IF(C1005="","",IF(L1005="À RENSEIGNER","GIC",L1005)&amp;"-E"&amp;TEXT(A1005,"00000"))</f>
        <v/>
      </c>
      <c r="C1005" s="32" t="n"/>
      <c r="D1005" s="36" t="n"/>
      <c r="E1005" s="37" t="n"/>
      <c r="F1005" s="36" t="n"/>
      <c r="G1005" s="44" t="n"/>
      <c r="H1005" s="43" t="n"/>
      <c r="I1005" s="32" t="n"/>
      <c r="J1005" s="44" t="n"/>
      <c r="K1005" s="36" t="n"/>
      <c r="L1005" s="33">
        <f>IF(C1005="","",Commercial_Id)</f>
        <v/>
      </c>
      <c r="M1005" s="34">
        <f>IF(OR(C1005="",F1005=""),"",IF(F1005&lt;&gt;"Espèces","—",IF(I1005&lt;&gt;"","☑ Oui","☐ Non")))</f>
        <v/>
      </c>
      <c r="N1005" s="39">
        <f>IF(D1005="","",IFERROR(VALUE(MID(D1005,LEN(D1005)-3,3)),""))</f>
        <v/>
      </c>
      <c r="O1005" s="33">
        <f>IF(N1005="","",L1005&amp;"|"&amp;N1005)</f>
        <v/>
      </c>
      <c r="P1005" s="33">
        <f>IF(N1005="","",IF(L1005="À RENSEIGNER","GIC",L1005)&amp;"-"&amp;TEXT(N1005,"000"))</f>
        <v/>
      </c>
      <c r="Q1005" s="33">
        <f>IF(O1005="","",IFERROR(INDEX(Cl_nom,MATCH(O1005,Cl_cle,0)),"(client introuvable)"))</f>
        <v/>
      </c>
      <c r="R1005" s="40">
        <f>IF(O1005="","",IFERROR(INDEX(Cl_reste,MATCH(O1005,Cl_cle,0)),""))</f>
        <v/>
      </c>
      <c r="S1005" s="34">
        <f>IF(C1005="","",YEAR(C1005-WEEKDAY(C1005,2)+4)&amp;"-S"&amp;TEXT(INT((C1005-DATE(YEAR(C1005-WEEKDAY(C1005,2)+4),1,3)+WEEKDAY(DATE(YEAR(C1005-WEEKDAY(C1005,2)+4),1,3),2)+5)/7),"00"))</f>
        <v/>
      </c>
    </row>
    <row r="1006" ht="18" customHeight="1">
      <c r="A1006" s="39" t="n">
        <v>1001</v>
      </c>
      <c r="B1006" s="33">
        <f>IF(C1006="","",IF(L1006="À RENSEIGNER","GIC",L1006)&amp;"-E"&amp;TEXT(A1006,"00000"))</f>
        <v/>
      </c>
      <c r="C1006" s="32" t="n"/>
      <c r="D1006" s="36" t="n"/>
      <c r="E1006" s="37" t="n"/>
      <c r="F1006" s="36" t="n"/>
      <c r="G1006" s="44" t="n"/>
      <c r="H1006" s="43" t="n"/>
      <c r="I1006" s="32" t="n"/>
      <c r="J1006" s="44" t="n"/>
      <c r="K1006" s="36" t="n"/>
      <c r="L1006" s="33">
        <f>IF(C1006="","",Commercial_Id)</f>
        <v/>
      </c>
      <c r="M1006" s="34">
        <f>IF(OR(C1006="",F1006=""),"",IF(F1006&lt;&gt;"Espèces","—",IF(I1006&lt;&gt;"","☑ Oui","☐ Non")))</f>
        <v/>
      </c>
      <c r="N1006" s="39">
        <f>IF(D1006="","",IFERROR(VALUE(MID(D1006,LEN(D1006)-3,3)),""))</f>
        <v/>
      </c>
      <c r="O1006" s="33">
        <f>IF(N1006="","",L1006&amp;"|"&amp;N1006)</f>
        <v/>
      </c>
      <c r="P1006" s="33">
        <f>IF(N1006="","",IF(L1006="À RENSEIGNER","GIC",L1006)&amp;"-"&amp;TEXT(N1006,"000"))</f>
        <v/>
      </c>
      <c r="Q1006" s="33">
        <f>IF(O1006="","",IFERROR(INDEX(Cl_nom,MATCH(O1006,Cl_cle,0)),"(client introuvable)"))</f>
        <v/>
      </c>
      <c r="R1006" s="40">
        <f>IF(O1006="","",IFERROR(INDEX(Cl_reste,MATCH(O1006,Cl_cle,0)),""))</f>
        <v/>
      </c>
      <c r="S1006" s="34">
        <f>IF(C1006="","",YEAR(C1006-WEEKDAY(C1006,2)+4)&amp;"-S"&amp;TEXT(INT((C1006-DATE(YEAR(C1006-WEEKDAY(C1006,2)+4),1,3)+WEEKDAY(DATE(YEAR(C1006-WEEKDAY(C1006,2)+4),1,3),2)+5)/7),"00"))</f>
        <v/>
      </c>
    </row>
    <row r="1007" ht="18" customHeight="1">
      <c r="A1007" s="39" t="n">
        <v>1002</v>
      </c>
      <c r="B1007" s="33">
        <f>IF(C1007="","",IF(L1007="À RENSEIGNER","GIC",L1007)&amp;"-E"&amp;TEXT(A1007,"00000"))</f>
        <v/>
      </c>
      <c r="C1007" s="32" t="n"/>
      <c r="D1007" s="36" t="n"/>
      <c r="E1007" s="37" t="n"/>
      <c r="F1007" s="36" t="n"/>
      <c r="G1007" s="44" t="n"/>
      <c r="H1007" s="43" t="n"/>
      <c r="I1007" s="32" t="n"/>
      <c r="J1007" s="44" t="n"/>
      <c r="K1007" s="36" t="n"/>
      <c r="L1007" s="33">
        <f>IF(C1007="","",Commercial_Id)</f>
        <v/>
      </c>
      <c r="M1007" s="34">
        <f>IF(OR(C1007="",F1007=""),"",IF(F1007&lt;&gt;"Espèces","—",IF(I1007&lt;&gt;"","☑ Oui","☐ Non")))</f>
        <v/>
      </c>
      <c r="N1007" s="39">
        <f>IF(D1007="","",IFERROR(VALUE(MID(D1007,LEN(D1007)-3,3)),""))</f>
        <v/>
      </c>
      <c r="O1007" s="33">
        <f>IF(N1007="","",L1007&amp;"|"&amp;N1007)</f>
        <v/>
      </c>
      <c r="P1007" s="33">
        <f>IF(N1007="","",IF(L1007="À RENSEIGNER","GIC",L1007)&amp;"-"&amp;TEXT(N1007,"000"))</f>
        <v/>
      </c>
      <c r="Q1007" s="33">
        <f>IF(O1007="","",IFERROR(INDEX(Cl_nom,MATCH(O1007,Cl_cle,0)),"(client introuvable)"))</f>
        <v/>
      </c>
      <c r="R1007" s="40">
        <f>IF(O1007="","",IFERROR(INDEX(Cl_reste,MATCH(O1007,Cl_cle,0)),""))</f>
        <v/>
      </c>
      <c r="S1007" s="34">
        <f>IF(C1007="","",YEAR(C1007-WEEKDAY(C1007,2)+4)&amp;"-S"&amp;TEXT(INT((C1007-DATE(YEAR(C1007-WEEKDAY(C1007,2)+4),1,3)+WEEKDAY(DATE(YEAR(C1007-WEEKDAY(C1007,2)+4),1,3),2)+5)/7),"00"))</f>
        <v/>
      </c>
    </row>
    <row r="1008" ht="18" customHeight="1">
      <c r="A1008" s="39" t="n">
        <v>1003</v>
      </c>
      <c r="B1008" s="33">
        <f>IF(C1008="","",IF(L1008="À RENSEIGNER","GIC",L1008)&amp;"-E"&amp;TEXT(A1008,"00000"))</f>
        <v/>
      </c>
      <c r="C1008" s="32" t="n"/>
      <c r="D1008" s="36" t="n"/>
      <c r="E1008" s="37" t="n"/>
      <c r="F1008" s="36" t="n"/>
      <c r="G1008" s="44" t="n"/>
      <c r="H1008" s="43" t="n"/>
      <c r="I1008" s="32" t="n"/>
      <c r="J1008" s="44" t="n"/>
      <c r="K1008" s="36" t="n"/>
      <c r="L1008" s="33">
        <f>IF(C1008="","",Commercial_Id)</f>
        <v/>
      </c>
      <c r="M1008" s="34">
        <f>IF(OR(C1008="",F1008=""),"",IF(F1008&lt;&gt;"Espèces","—",IF(I1008&lt;&gt;"","☑ Oui","☐ Non")))</f>
        <v/>
      </c>
      <c r="N1008" s="39">
        <f>IF(D1008="","",IFERROR(VALUE(MID(D1008,LEN(D1008)-3,3)),""))</f>
        <v/>
      </c>
      <c r="O1008" s="33">
        <f>IF(N1008="","",L1008&amp;"|"&amp;N1008)</f>
        <v/>
      </c>
      <c r="P1008" s="33">
        <f>IF(N1008="","",IF(L1008="À RENSEIGNER","GIC",L1008)&amp;"-"&amp;TEXT(N1008,"000"))</f>
        <v/>
      </c>
      <c r="Q1008" s="33">
        <f>IF(O1008="","",IFERROR(INDEX(Cl_nom,MATCH(O1008,Cl_cle,0)),"(client introuvable)"))</f>
        <v/>
      </c>
      <c r="R1008" s="40">
        <f>IF(O1008="","",IFERROR(INDEX(Cl_reste,MATCH(O1008,Cl_cle,0)),""))</f>
        <v/>
      </c>
      <c r="S1008" s="34">
        <f>IF(C1008="","",YEAR(C1008-WEEKDAY(C1008,2)+4)&amp;"-S"&amp;TEXT(INT((C1008-DATE(YEAR(C1008-WEEKDAY(C1008,2)+4),1,3)+WEEKDAY(DATE(YEAR(C1008-WEEKDAY(C1008,2)+4),1,3),2)+5)/7),"00"))</f>
        <v/>
      </c>
    </row>
    <row r="1009" ht="18" customHeight="1">
      <c r="A1009" s="39" t="n">
        <v>1004</v>
      </c>
      <c r="B1009" s="33">
        <f>IF(C1009="","",IF(L1009="À RENSEIGNER","GIC",L1009)&amp;"-E"&amp;TEXT(A1009,"00000"))</f>
        <v/>
      </c>
      <c r="C1009" s="32" t="n"/>
      <c r="D1009" s="36" t="n"/>
      <c r="E1009" s="37" t="n"/>
      <c r="F1009" s="36" t="n"/>
      <c r="G1009" s="44" t="n"/>
      <c r="H1009" s="43" t="n"/>
      <c r="I1009" s="32" t="n"/>
      <c r="J1009" s="44" t="n"/>
      <c r="K1009" s="36" t="n"/>
      <c r="L1009" s="33">
        <f>IF(C1009="","",Commercial_Id)</f>
        <v/>
      </c>
      <c r="M1009" s="34">
        <f>IF(OR(C1009="",F1009=""),"",IF(F1009&lt;&gt;"Espèces","—",IF(I1009&lt;&gt;"","☑ Oui","☐ Non")))</f>
        <v/>
      </c>
      <c r="N1009" s="39">
        <f>IF(D1009="","",IFERROR(VALUE(MID(D1009,LEN(D1009)-3,3)),""))</f>
        <v/>
      </c>
      <c r="O1009" s="33">
        <f>IF(N1009="","",L1009&amp;"|"&amp;N1009)</f>
        <v/>
      </c>
      <c r="P1009" s="33">
        <f>IF(N1009="","",IF(L1009="À RENSEIGNER","GIC",L1009)&amp;"-"&amp;TEXT(N1009,"000"))</f>
        <v/>
      </c>
      <c r="Q1009" s="33">
        <f>IF(O1009="","",IFERROR(INDEX(Cl_nom,MATCH(O1009,Cl_cle,0)),"(client introuvable)"))</f>
        <v/>
      </c>
      <c r="R1009" s="40">
        <f>IF(O1009="","",IFERROR(INDEX(Cl_reste,MATCH(O1009,Cl_cle,0)),""))</f>
        <v/>
      </c>
      <c r="S1009" s="34">
        <f>IF(C1009="","",YEAR(C1009-WEEKDAY(C1009,2)+4)&amp;"-S"&amp;TEXT(INT((C1009-DATE(YEAR(C1009-WEEKDAY(C1009,2)+4),1,3)+WEEKDAY(DATE(YEAR(C1009-WEEKDAY(C1009,2)+4),1,3),2)+5)/7),"00"))</f>
        <v/>
      </c>
    </row>
    <row r="1010" ht="18" customHeight="1">
      <c r="A1010" s="39" t="n">
        <v>1005</v>
      </c>
      <c r="B1010" s="33">
        <f>IF(C1010="","",IF(L1010="À RENSEIGNER","GIC",L1010)&amp;"-E"&amp;TEXT(A1010,"00000"))</f>
        <v/>
      </c>
      <c r="C1010" s="32" t="n"/>
      <c r="D1010" s="36" t="n"/>
      <c r="E1010" s="37" t="n"/>
      <c r="F1010" s="36" t="n"/>
      <c r="G1010" s="44" t="n"/>
      <c r="H1010" s="43" t="n"/>
      <c r="I1010" s="32" t="n"/>
      <c r="J1010" s="44" t="n"/>
      <c r="K1010" s="36" t="n"/>
      <c r="L1010" s="33">
        <f>IF(C1010="","",Commercial_Id)</f>
        <v/>
      </c>
      <c r="M1010" s="34">
        <f>IF(OR(C1010="",F1010=""),"",IF(F1010&lt;&gt;"Espèces","—",IF(I1010&lt;&gt;"","☑ Oui","☐ Non")))</f>
        <v/>
      </c>
      <c r="N1010" s="39">
        <f>IF(D1010="","",IFERROR(VALUE(MID(D1010,LEN(D1010)-3,3)),""))</f>
        <v/>
      </c>
      <c r="O1010" s="33">
        <f>IF(N1010="","",L1010&amp;"|"&amp;N1010)</f>
        <v/>
      </c>
      <c r="P1010" s="33">
        <f>IF(N1010="","",IF(L1010="À RENSEIGNER","GIC",L1010)&amp;"-"&amp;TEXT(N1010,"000"))</f>
        <v/>
      </c>
      <c r="Q1010" s="33">
        <f>IF(O1010="","",IFERROR(INDEX(Cl_nom,MATCH(O1010,Cl_cle,0)),"(client introuvable)"))</f>
        <v/>
      </c>
      <c r="R1010" s="40">
        <f>IF(O1010="","",IFERROR(INDEX(Cl_reste,MATCH(O1010,Cl_cle,0)),""))</f>
        <v/>
      </c>
      <c r="S1010" s="34">
        <f>IF(C1010="","",YEAR(C1010-WEEKDAY(C1010,2)+4)&amp;"-S"&amp;TEXT(INT((C1010-DATE(YEAR(C1010-WEEKDAY(C1010,2)+4),1,3)+WEEKDAY(DATE(YEAR(C1010-WEEKDAY(C1010,2)+4),1,3),2)+5)/7),"00"))</f>
        <v/>
      </c>
    </row>
    <row r="1011" ht="18" customHeight="1">
      <c r="A1011" s="39" t="n">
        <v>1006</v>
      </c>
      <c r="B1011" s="33">
        <f>IF(C1011="","",IF(L1011="À RENSEIGNER","GIC",L1011)&amp;"-E"&amp;TEXT(A1011,"00000"))</f>
        <v/>
      </c>
      <c r="C1011" s="32" t="n"/>
      <c r="D1011" s="36" t="n"/>
      <c r="E1011" s="37" t="n"/>
      <c r="F1011" s="36" t="n"/>
      <c r="G1011" s="44" t="n"/>
      <c r="H1011" s="43" t="n"/>
      <c r="I1011" s="32" t="n"/>
      <c r="J1011" s="44" t="n"/>
      <c r="K1011" s="36" t="n"/>
      <c r="L1011" s="33">
        <f>IF(C1011="","",Commercial_Id)</f>
        <v/>
      </c>
      <c r="M1011" s="34">
        <f>IF(OR(C1011="",F1011=""),"",IF(F1011&lt;&gt;"Espèces","—",IF(I1011&lt;&gt;"","☑ Oui","☐ Non")))</f>
        <v/>
      </c>
      <c r="N1011" s="39">
        <f>IF(D1011="","",IFERROR(VALUE(MID(D1011,LEN(D1011)-3,3)),""))</f>
        <v/>
      </c>
      <c r="O1011" s="33">
        <f>IF(N1011="","",L1011&amp;"|"&amp;N1011)</f>
        <v/>
      </c>
      <c r="P1011" s="33">
        <f>IF(N1011="","",IF(L1011="À RENSEIGNER","GIC",L1011)&amp;"-"&amp;TEXT(N1011,"000"))</f>
        <v/>
      </c>
      <c r="Q1011" s="33">
        <f>IF(O1011="","",IFERROR(INDEX(Cl_nom,MATCH(O1011,Cl_cle,0)),"(client introuvable)"))</f>
        <v/>
      </c>
      <c r="R1011" s="40">
        <f>IF(O1011="","",IFERROR(INDEX(Cl_reste,MATCH(O1011,Cl_cle,0)),""))</f>
        <v/>
      </c>
      <c r="S1011" s="34">
        <f>IF(C1011="","",YEAR(C1011-WEEKDAY(C1011,2)+4)&amp;"-S"&amp;TEXT(INT((C1011-DATE(YEAR(C1011-WEEKDAY(C1011,2)+4),1,3)+WEEKDAY(DATE(YEAR(C1011-WEEKDAY(C1011,2)+4),1,3),2)+5)/7),"00"))</f>
        <v/>
      </c>
    </row>
    <row r="1012" ht="18" customHeight="1">
      <c r="A1012" s="39" t="n">
        <v>1007</v>
      </c>
      <c r="B1012" s="33">
        <f>IF(C1012="","",IF(L1012="À RENSEIGNER","GIC",L1012)&amp;"-E"&amp;TEXT(A1012,"00000"))</f>
        <v/>
      </c>
      <c r="C1012" s="32" t="n"/>
      <c r="D1012" s="36" t="n"/>
      <c r="E1012" s="37" t="n"/>
      <c r="F1012" s="36" t="n"/>
      <c r="G1012" s="44" t="n"/>
      <c r="H1012" s="43" t="n"/>
      <c r="I1012" s="32" t="n"/>
      <c r="J1012" s="44" t="n"/>
      <c r="K1012" s="36" t="n"/>
      <c r="L1012" s="33">
        <f>IF(C1012="","",Commercial_Id)</f>
        <v/>
      </c>
      <c r="M1012" s="34">
        <f>IF(OR(C1012="",F1012=""),"",IF(F1012&lt;&gt;"Espèces","—",IF(I1012&lt;&gt;"","☑ Oui","☐ Non")))</f>
        <v/>
      </c>
      <c r="N1012" s="39">
        <f>IF(D1012="","",IFERROR(VALUE(MID(D1012,LEN(D1012)-3,3)),""))</f>
        <v/>
      </c>
      <c r="O1012" s="33">
        <f>IF(N1012="","",L1012&amp;"|"&amp;N1012)</f>
        <v/>
      </c>
      <c r="P1012" s="33">
        <f>IF(N1012="","",IF(L1012="À RENSEIGNER","GIC",L1012)&amp;"-"&amp;TEXT(N1012,"000"))</f>
        <v/>
      </c>
      <c r="Q1012" s="33">
        <f>IF(O1012="","",IFERROR(INDEX(Cl_nom,MATCH(O1012,Cl_cle,0)),"(client introuvable)"))</f>
        <v/>
      </c>
      <c r="R1012" s="40">
        <f>IF(O1012="","",IFERROR(INDEX(Cl_reste,MATCH(O1012,Cl_cle,0)),""))</f>
        <v/>
      </c>
      <c r="S1012" s="34">
        <f>IF(C1012="","",YEAR(C1012-WEEKDAY(C1012,2)+4)&amp;"-S"&amp;TEXT(INT((C1012-DATE(YEAR(C1012-WEEKDAY(C1012,2)+4),1,3)+WEEKDAY(DATE(YEAR(C1012-WEEKDAY(C1012,2)+4),1,3),2)+5)/7),"00"))</f>
        <v/>
      </c>
    </row>
    <row r="1013" ht="18" customHeight="1">
      <c r="A1013" s="39" t="n">
        <v>1008</v>
      </c>
      <c r="B1013" s="33">
        <f>IF(C1013="","",IF(L1013="À RENSEIGNER","GIC",L1013)&amp;"-E"&amp;TEXT(A1013,"00000"))</f>
        <v/>
      </c>
      <c r="C1013" s="32" t="n"/>
      <c r="D1013" s="36" t="n"/>
      <c r="E1013" s="37" t="n"/>
      <c r="F1013" s="36" t="n"/>
      <c r="G1013" s="44" t="n"/>
      <c r="H1013" s="43" t="n"/>
      <c r="I1013" s="32" t="n"/>
      <c r="J1013" s="44" t="n"/>
      <c r="K1013" s="36" t="n"/>
      <c r="L1013" s="33">
        <f>IF(C1013="","",Commercial_Id)</f>
        <v/>
      </c>
      <c r="M1013" s="34">
        <f>IF(OR(C1013="",F1013=""),"",IF(F1013&lt;&gt;"Espèces","—",IF(I1013&lt;&gt;"","☑ Oui","☐ Non")))</f>
        <v/>
      </c>
      <c r="N1013" s="39">
        <f>IF(D1013="","",IFERROR(VALUE(MID(D1013,LEN(D1013)-3,3)),""))</f>
        <v/>
      </c>
      <c r="O1013" s="33">
        <f>IF(N1013="","",L1013&amp;"|"&amp;N1013)</f>
        <v/>
      </c>
      <c r="P1013" s="33">
        <f>IF(N1013="","",IF(L1013="À RENSEIGNER","GIC",L1013)&amp;"-"&amp;TEXT(N1013,"000"))</f>
        <v/>
      </c>
      <c r="Q1013" s="33">
        <f>IF(O1013="","",IFERROR(INDEX(Cl_nom,MATCH(O1013,Cl_cle,0)),"(client introuvable)"))</f>
        <v/>
      </c>
      <c r="R1013" s="40">
        <f>IF(O1013="","",IFERROR(INDEX(Cl_reste,MATCH(O1013,Cl_cle,0)),""))</f>
        <v/>
      </c>
      <c r="S1013" s="34">
        <f>IF(C1013="","",YEAR(C1013-WEEKDAY(C1013,2)+4)&amp;"-S"&amp;TEXT(INT((C1013-DATE(YEAR(C1013-WEEKDAY(C1013,2)+4),1,3)+WEEKDAY(DATE(YEAR(C1013-WEEKDAY(C1013,2)+4),1,3),2)+5)/7),"00"))</f>
        <v/>
      </c>
    </row>
    <row r="1014" ht="18" customHeight="1">
      <c r="A1014" s="39" t="n">
        <v>1009</v>
      </c>
      <c r="B1014" s="33">
        <f>IF(C1014="","",IF(L1014="À RENSEIGNER","GIC",L1014)&amp;"-E"&amp;TEXT(A1014,"00000"))</f>
        <v/>
      </c>
      <c r="C1014" s="32" t="n"/>
      <c r="D1014" s="36" t="n"/>
      <c r="E1014" s="37" t="n"/>
      <c r="F1014" s="36" t="n"/>
      <c r="G1014" s="44" t="n"/>
      <c r="H1014" s="43" t="n"/>
      <c r="I1014" s="32" t="n"/>
      <c r="J1014" s="44" t="n"/>
      <c r="K1014" s="36" t="n"/>
      <c r="L1014" s="33">
        <f>IF(C1014="","",Commercial_Id)</f>
        <v/>
      </c>
      <c r="M1014" s="34">
        <f>IF(OR(C1014="",F1014=""),"",IF(F1014&lt;&gt;"Espèces","—",IF(I1014&lt;&gt;"","☑ Oui","☐ Non")))</f>
        <v/>
      </c>
      <c r="N1014" s="39">
        <f>IF(D1014="","",IFERROR(VALUE(MID(D1014,LEN(D1014)-3,3)),""))</f>
        <v/>
      </c>
      <c r="O1014" s="33">
        <f>IF(N1014="","",L1014&amp;"|"&amp;N1014)</f>
        <v/>
      </c>
      <c r="P1014" s="33">
        <f>IF(N1014="","",IF(L1014="À RENSEIGNER","GIC",L1014)&amp;"-"&amp;TEXT(N1014,"000"))</f>
        <v/>
      </c>
      <c r="Q1014" s="33">
        <f>IF(O1014="","",IFERROR(INDEX(Cl_nom,MATCH(O1014,Cl_cle,0)),"(client introuvable)"))</f>
        <v/>
      </c>
      <c r="R1014" s="40">
        <f>IF(O1014="","",IFERROR(INDEX(Cl_reste,MATCH(O1014,Cl_cle,0)),""))</f>
        <v/>
      </c>
      <c r="S1014" s="34">
        <f>IF(C1014="","",YEAR(C1014-WEEKDAY(C1014,2)+4)&amp;"-S"&amp;TEXT(INT((C1014-DATE(YEAR(C1014-WEEKDAY(C1014,2)+4),1,3)+WEEKDAY(DATE(YEAR(C1014-WEEKDAY(C1014,2)+4),1,3),2)+5)/7),"00"))</f>
        <v/>
      </c>
    </row>
    <row r="1015" ht="18" customHeight="1">
      <c r="A1015" s="39" t="n">
        <v>1010</v>
      </c>
      <c r="B1015" s="33">
        <f>IF(C1015="","",IF(L1015="À RENSEIGNER","GIC",L1015)&amp;"-E"&amp;TEXT(A1015,"00000"))</f>
        <v/>
      </c>
      <c r="C1015" s="32" t="n"/>
      <c r="D1015" s="36" t="n"/>
      <c r="E1015" s="37" t="n"/>
      <c r="F1015" s="36" t="n"/>
      <c r="G1015" s="44" t="n"/>
      <c r="H1015" s="43" t="n"/>
      <c r="I1015" s="32" t="n"/>
      <c r="J1015" s="44" t="n"/>
      <c r="K1015" s="36" t="n"/>
      <c r="L1015" s="33">
        <f>IF(C1015="","",Commercial_Id)</f>
        <v/>
      </c>
      <c r="M1015" s="34">
        <f>IF(OR(C1015="",F1015=""),"",IF(F1015&lt;&gt;"Espèces","—",IF(I1015&lt;&gt;"","☑ Oui","☐ Non")))</f>
        <v/>
      </c>
      <c r="N1015" s="39">
        <f>IF(D1015="","",IFERROR(VALUE(MID(D1015,LEN(D1015)-3,3)),""))</f>
        <v/>
      </c>
      <c r="O1015" s="33">
        <f>IF(N1015="","",L1015&amp;"|"&amp;N1015)</f>
        <v/>
      </c>
      <c r="P1015" s="33">
        <f>IF(N1015="","",IF(L1015="À RENSEIGNER","GIC",L1015)&amp;"-"&amp;TEXT(N1015,"000"))</f>
        <v/>
      </c>
      <c r="Q1015" s="33">
        <f>IF(O1015="","",IFERROR(INDEX(Cl_nom,MATCH(O1015,Cl_cle,0)),"(client introuvable)"))</f>
        <v/>
      </c>
      <c r="R1015" s="40">
        <f>IF(O1015="","",IFERROR(INDEX(Cl_reste,MATCH(O1015,Cl_cle,0)),""))</f>
        <v/>
      </c>
      <c r="S1015" s="34">
        <f>IF(C1015="","",YEAR(C1015-WEEKDAY(C1015,2)+4)&amp;"-S"&amp;TEXT(INT((C1015-DATE(YEAR(C1015-WEEKDAY(C1015,2)+4),1,3)+WEEKDAY(DATE(YEAR(C1015-WEEKDAY(C1015,2)+4),1,3),2)+5)/7),"00"))</f>
        <v/>
      </c>
    </row>
    <row r="1016" ht="18" customHeight="1">
      <c r="A1016" s="39" t="n">
        <v>1011</v>
      </c>
      <c r="B1016" s="33">
        <f>IF(C1016="","",IF(L1016="À RENSEIGNER","GIC",L1016)&amp;"-E"&amp;TEXT(A1016,"00000"))</f>
        <v/>
      </c>
      <c r="C1016" s="32" t="n"/>
      <c r="D1016" s="36" t="n"/>
      <c r="E1016" s="37" t="n"/>
      <c r="F1016" s="36" t="n"/>
      <c r="G1016" s="44" t="n"/>
      <c r="H1016" s="43" t="n"/>
      <c r="I1016" s="32" t="n"/>
      <c r="J1016" s="44" t="n"/>
      <c r="K1016" s="36" t="n"/>
      <c r="L1016" s="33">
        <f>IF(C1016="","",Commercial_Id)</f>
        <v/>
      </c>
      <c r="M1016" s="34">
        <f>IF(OR(C1016="",F1016=""),"",IF(F1016&lt;&gt;"Espèces","—",IF(I1016&lt;&gt;"","☑ Oui","☐ Non")))</f>
        <v/>
      </c>
      <c r="N1016" s="39">
        <f>IF(D1016="","",IFERROR(VALUE(MID(D1016,LEN(D1016)-3,3)),""))</f>
        <v/>
      </c>
      <c r="O1016" s="33">
        <f>IF(N1016="","",L1016&amp;"|"&amp;N1016)</f>
        <v/>
      </c>
      <c r="P1016" s="33">
        <f>IF(N1016="","",IF(L1016="À RENSEIGNER","GIC",L1016)&amp;"-"&amp;TEXT(N1016,"000"))</f>
        <v/>
      </c>
      <c r="Q1016" s="33">
        <f>IF(O1016="","",IFERROR(INDEX(Cl_nom,MATCH(O1016,Cl_cle,0)),"(client introuvable)"))</f>
        <v/>
      </c>
      <c r="R1016" s="40">
        <f>IF(O1016="","",IFERROR(INDEX(Cl_reste,MATCH(O1016,Cl_cle,0)),""))</f>
        <v/>
      </c>
      <c r="S1016" s="34">
        <f>IF(C1016="","",YEAR(C1016-WEEKDAY(C1016,2)+4)&amp;"-S"&amp;TEXT(INT((C1016-DATE(YEAR(C1016-WEEKDAY(C1016,2)+4),1,3)+WEEKDAY(DATE(YEAR(C1016-WEEKDAY(C1016,2)+4),1,3),2)+5)/7),"00"))</f>
        <v/>
      </c>
    </row>
    <row r="1017" ht="18" customHeight="1">
      <c r="A1017" s="39" t="n">
        <v>1012</v>
      </c>
      <c r="B1017" s="33">
        <f>IF(C1017="","",IF(L1017="À RENSEIGNER","GIC",L1017)&amp;"-E"&amp;TEXT(A1017,"00000"))</f>
        <v/>
      </c>
      <c r="C1017" s="32" t="n"/>
      <c r="D1017" s="36" t="n"/>
      <c r="E1017" s="37" t="n"/>
      <c r="F1017" s="36" t="n"/>
      <c r="G1017" s="44" t="n"/>
      <c r="H1017" s="43" t="n"/>
      <c r="I1017" s="32" t="n"/>
      <c r="J1017" s="44" t="n"/>
      <c r="K1017" s="36" t="n"/>
      <c r="L1017" s="33">
        <f>IF(C1017="","",Commercial_Id)</f>
        <v/>
      </c>
      <c r="M1017" s="34">
        <f>IF(OR(C1017="",F1017=""),"",IF(F1017&lt;&gt;"Espèces","—",IF(I1017&lt;&gt;"","☑ Oui","☐ Non")))</f>
        <v/>
      </c>
      <c r="N1017" s="39">
        <f>IF(D1017="","",IFERROR(VALUE(MID(D1017,LEN(D1017)-3,3)),""))</f>
        <v/>
      </c>
      <c r="O1017" s="33">
        <f>IF(N1017="","",L1017&amp;"|"&amp;N1017)</f>
        <v/>
      </c>
      <c r="P1017" s="33">
        <f>IF(N1017="","",IF(L1017="À RENSEIGNER","GIC",L1017)&amp;"-"&amp;TEXT(N1017,"000"))</f>
        <v/>
      </c>
      <c r="Q1017" s="33">
        <f>IF(O1017="","",IFERROR(INDEX(Cl_nom,MATCH(O1017,Cl_cle,0)),"(client introuvable)"))</f>
        <v/>
      </c>
      <c r="R1017" s="40">
        <f>IF(O1017="","",IFERROR(INDEX(Cl_reste,MATCH(O1017,Cl_cle,0)),""))</f>
        <v/>
      </c>
      <c r="S1017" s="34">
        <f>IF(C1017="","",YEAR(C1017-WEEKDAY(C1017,2)+4)&amp;"-S"&amp;TEXT(INT((C1017-DATE(YEAR(C1017-WEEKDAY(C1017,2)+4),1,3)+WEEKDAY(DATE(YEAR(C1017-WEEKDAY(C1017,2)+4),1,3),2)+5)/7),"00"))</f>
        <v/>
      </c>
    </row>
    <row r="1018" ht="18" customHeight="1">
      <c r="A1018" s="39" t="n">
        <v>1013</v>
      </c>
      <c r="B1018" s="33">
        <f>IF(C1018="","",IF(L1018="À RENSEIGNER","GIC",L1018)&amp;"-E"&amp;TEXT(A1018,"00000"))</f>
        <v/>
      </c>
      <c r="C1018" s="32" t="n"/>
      <c r="D1018" s="36" t="n"/>
      <c r="E1018" s="37" t="n"/>
      <c r="F1018" s="36" t="n"/>
      <c r="G1018" s="44" t="n"/>
      <c r="H1018" s="43" t="n"/>
      <c r="I1018" s="32" t="n"/>
      <c r="J1018" s="44" t="n"/>
      <c r="K1018" s="36" t="n"/>
      <c r="L1018" s="33">
        <f>IF(C1018="","",Commercial_Id)</f>
        <v/>
      </c>
      <c r="M1018" s="34">
        <f>IF(OR(C1018="",F1018=""),"",IF(F1018&lt;&gt;"Espèces","—",IF(I1018&lt;&gt;"","☑ Oui","☐ Non")))</f>
        <v/>
      </c>
      <c r="N1018" s="39">
        <f>IF(D1018="","",IFERROR(VALUE(MID(D1018,LEN(D1018)-3,3)),""))</f>
        <v/>
      </c>
      <c r="O1018" s="33">
        <f>IF(N1018="","",L1018&amp;"|"&amp;N1018)</f>
        <v/>
      </c>
      <c r="P1018" s="33">
        <f>IF(N1018="","",IF(L1018="À RENSEIGNER","GIC",L1018)&amp;"-"&amp;TEXT(N1018,"000"))</f>
        <v/>
      </c>
      <c r="Q1018" s="33">
        <f>IF(O1018="","",IFERROR(INDEX(Cl_nom,MATCH(O1018,Cl_cle,0)),"(client introuvable)"))</f>
        <v/>
      </c>
      <c r="R1018" s="40">
        <f>IF(O1018="","",IFERROR(INDEX(Cl_reste,MATCH(O1018,Cl_cle,0)),""))</f>
        <v/>
      </c>
      <c r="S1018" s="34">
        <f>IF(C1018="","",YEAR(C1018-WEEKDAY(C1018,2)+4)&amp;"-S"&amp;TEXT(INT((C1018-DATE(YEAR(C1018-WEEKDAY(C1018,2)+4),1,3)+WEEKDAY(DATE(YEAR(C1018-WEEKDAY(C1018,2)+4),1,3),2)+5)/7),"00"))</f>
        <v/>
      </c>
    </row>
    <row r="1019" ht="18" customHeight="1">
      <c r="A1019" s="39" t="n">
        <v>1014</v>
      </c>
      <c r="B1019" s="33">
        <f>IF(C1019="","",IF(L1019="À RENSEIGNER","GIC",L1019)&amp;"-E"&amp;TEXT(A1019,"00000"))</f>
        <v/>
      </c>
      <c r="C1019" s="32" t="n"/>
      <c r="D1019" s="36" t="n"/>
      <c r="E1019" s="37" t="n"/>
      <c r="F1019" s="36" t="n"/>
      <c r="G1019" s="44" t="n"/>
      <c r="H1019" s="43" t="n"/>
      <c r="I1019" s="32" t="n"/>
      <c r="J1019" s="44" t="n"/>
      <c r="K1019" s="36" t="n"/>
      <c r="L1019" s="33">
        <f>IF(C1019="","",Commercial_Id)</f>
        <v/>
      </c>
      <c r="M1019" s="34">
        <f>IF(OR(C1019="",F1019=""),"",IF(F1019&lt;&gt;"Espèces","—",IF(I1019&lt;&gt;"","☑ Oui","☐ Non")))</f>
        <v/>
      </c>
      <c r="N1019" s="39">
        <f>IF(D1019="","",IFERROR(VALUE(MID(D1019,LEN(D1019)-3,3)),""))</f>
        <v/>
      </c>
      <c r="O1019" s="33">
        <f>IF(N1019="","",L1019&amp;"|"&amp;N1019)</f>
        <v/>
      </c>
      <c r="P1019" s="33">
        <f>IF(N1019="","",IF(L1019="À RENSEIGNER","GIC",L1019)&amp;"-"&amp;TEXT(N1019,"000"))</f>
        <v/>
      </c>
      <c r="Q1019" s="33">
        <f>IF(O1019="","",IFERROR(INDEX(Cl_nom,MATCH(O1019,Cl_cle,0)),"(client introuvable)"))</f>
        <v/>
      </c>
      <c r="R1019" s="40">
        <f>IF(O1019="","",IFERROR(INDEX(Cl_reste,MATCH(O1019,Cl_cle,0)),""))</f>
        <v/>
      </c>
      <c r="S1019" s="34">
        <f>IF(C1019="","",YEAR(C1019-WEEKDAY(C1019,2)+4)&amp;"-S"&amp;TEXT(INT((C1019-DATE(YEAR(C1019-WEEKDAY(C1019,2)+4),1,3)+WEEKDAY(DATE(YEAR(C1019-WEEKDAY(C1019,2)+4),1,3),2)+5)/7),"00"))</f>
        <v/>
      </c>
    </row>
    <row r="1020" ht="18" customHeight="1">
      <c r="A1020" s="39" t="n">
        <v>1015</v>
      </c>
      <c r="B1020" s="33">
        <f>IF(C1020="","",IF(L1020="À RENSEIGNER","GIC",L1020)&amp;"-E"&amp;TEXT(A1020,"00000"))</f>
        <v/>
      </c>
      <c r="C1020" s="32" t="n"/>
      <c r="D1020" s="36" t="n"/>
      <c r="E1020" s="37" t="n"/>
      <c r="F1020" s="36" t="n"/>
      <c r="G1020" s="44" t="n"/>
      <c r="H1020" s="43" t="n"/>
      <c r="I1020" s="32" t="n"/>
      <c r="J1020" s="44" t="n"/>
      <c r="K1020" s="36" t="n"/>
      <c r="L1020" s="33">
        <f>IF(C1020="","",Commercial_Id)</f>
        <v/>
      </c>
      <c r="M1020" s="34">
        <f>IF(OR(C1020="",F1020=""),"",IF(F1020&lt;&gt;"Espèces","—",IF(I1020&lt;&gt;"","☑ Oui","☐ Non")))</f>
        <v/>
      </c>
      <c r="N1020" s="39">
        <f>IF(D1020="","",IFERROR(VALUE(MID(D1020,LEN(D1020)-3,3)),""))</f>
        <v/>
      </c>
      <c r="O1020" s="33">
        <f>IF(N1020="","",L1020&amp;"|"&amp;N1020)</f>
        <v/>
      </c>
      <c r="P1020" s="33">
        <f>IF(N1020="","",IF(L1020="À RENSEIGNER","GIC",L1020)&amp;"-"&amp;TEXT(N1020,"000"))</f>
        <v/>
      </c>
      <c r="Q1020" s="33">
        <f>IF(O1020="","",IFERROR(INDEX(Cl_nom,MATCH(O1020,Cl_cle,0)),"(client introuvable)"))</f>
        <v/>
      </c>
      <c r="R1020" s="40">
        <f>IF(O1020="","",IFERROR(INDEX(Cl_reste,MATCH(O1020,Cl_cle,0)),""))</f>
        <v/>
      </c>
      <c r="S1020" s="34">
        <f>IF(C1020="","",YEAR(C1020-WEEKDAY(C1020,2)+4)&amp;"-S"&amp;TEXT(INT((C1020-DATE(YEAR(C1020-WEEKDAY(C1020,2)+4),1,3)+WEEKDAY(DATE(YEAR(C1020-WEEKDAY(C1020,2)+4),1,3),2)+5)/7),"00"))</f>
        <v/>
      </c>
    </row>
    <row r="1021" ht="18" customHeight="1">
      <c r="A1021" s="39" t="n">
        <v>1016</v>
      </c>
      <c r="B1021" s="33">
        <f>IF(C1021="","",IF(L1021="À RENSEIGNER","GIC",L1021)&amp;"-E"&amp;TEXT(A1021,"00000"))</f>
        <v/>
      </c>
      <c r="C1021" s="32" t="n"/>
      <c r="D1021" s="36" t="n"/>
      <c r="E1021" s="37" t="n"/>
      <c r="F1021" s="36" t="n"/>
      <c r="G1021" s="44" t="n"/>
      <c r="H1021" s="43" t="n"/>
      <c r="I1021" s="32" t="n"/>
      <c r="J1021" s="44" t="n"/>
      <c r="K1021" s="36" t="n"/>
      <c r="L1021" s="33">
        <f>IF(C1021="","",Commercial_Id)</f>
        <v/>
      </c>
      <c r="M1021" s="34">
        <f>IF(OR(C1021="",F1021=""),"",IF(F1021&lt;&gt;"Espèces","—",IF(I1021&lt;&gt;"","☑ Oui","☐ Non")))</f>
        <v/>
      </c>
      <c r="N1021" s="39">
        <f>IF(D1021="","",IFERROR(VALUE(MID(D1021,LEN(D1021)-3,3)),""))</f>
        <v/>
      </c>
      <c r="O1021" s="33">
        <f>IF(N1021="","",L1021&amp;"|"&amp;N1021)</f>
        <v/>
      </c>
      <c r="P1021" s="33">
        <f>IF(N1021="","",IF(L1021="À RENSEIGNER","GIC",L1021)&amp;"-"&amp;TEXT(N1021,"000"))</f>
        <v/>
      </c>
      <c r="Q1021" s="33">
        <f>IF(O1021="","",IFERROR(INDEX(Cl_nom,MATCH(O1021,Cl_cle,0)),"(client introuvable)"))</f>
        <v/>
      </c>
      <c r="R1021" s="40">
        <f>IF(O1021="","",IFERROR(INDEX(Cl_reste,MATCH(O1021,Cl_cle,0)),""))</f>
        <v/>
      </c>
      <c r="S1021" s="34">
        <f>IF(C1021="","",YEAR(C1021-WEEKDAY(C1021,2)+4)&amp;"-S"&amp;TEXT(INT((C1021-DATE(YEAR(C1021-WEEKDAY(C1021,2)+4),1,3)+WEEKDAY(DATE(YEAR(C1021-WEEKDAY(C1021,2)+4),1,3),2)+5)/7),"00"))</f>
        <v/>
      </c>
    </row>
    <row r="1022" ht="18" customHeight="1">
      <c r="A1022" s="39" t="n">
        <v>1017</v>
      </c>
      <c r="B1022" s="33">
        <f>IF(C1022="","",IF(L1022="À RENSEIGNER","GIC",L1022)&amp;"-E"&amp;TEXT(A1022,"00000"))</f>
        <v/>
      </c>
      <c r="C1022" s="32" t="n"/>
      <c r="D1022" s="36" t="n"/>
      <c r="E1022" s="37" t="n"/>
      <c r="F1022" s="36" t="n"/>
      <c r="G1022" s="44" t="n"/>
      <c r="H1022" s="43" t="n"/>
      <c r="I1022" s="32" t="n"/>
      <c r="J1022" s="44" t="n"/>
      <c r="K1022" s="36" t="n"/>
      <c r="L1022" s="33">
        <f>IF(C1022="","",Commercial_Id)</f>
        <v/>
      </c>
      <c r="M1022" s="34">
        <f>IF(OR(C1022="",F1022=""),"",IF(F1022&lt;&gt;"Espèces","—",IF(I1022&lt;&gt;"","☑ Oui","☐ Non")))</f>
        <v/>
      </c>
      <c r="N1022" s="39">
        <f>IF(D1022="","",IFERROR(VALUE(MID(D1022,LEN(D1022)-3,3)),""))</f>
        <v/>
      </c>
      <c r="O1022" s="33">
        <f>IF(N1022="","",L1022&amp;"|"&amp;N1022)</f>
        <v/>
      </c>
      <c r="P1022" s="33">
        <f>IF(N1022="","",IF(L1022="À RENSEIGNER","GIC",L1022)&amp;"-"&amp;TEXT(N1022,"000"))</f>
        <v/>
      </c>
      <c r="Q1022" s="33">
        <f>IF(O1022="","",IFERROR(INDEX(Cl_nom,MATCH(O1022,Cl_cle,0)),"(client introuvable)"))</f>
        <v/>
      </c>
      <c r="R1022" s="40">
        <f>IF(O1022="","",IFERROR(INDEX(Cl_reste,MATCH(O1022,Cl_cle,0)),""))</f>
        <v/>
      </c>
      <c r="S1022" s="34">
        <f>IF(C1022="","",YEAR(C1022-WEEKDAY(C1022,2)+4)&amp;"-S"&amp;TEXT(INT((C1022-DATE(YEAR(C1022-WEEKDAY(C1022,2)+4),1,3)+WEEKDAY(DATE(YEAR(C1022-WEEKDAY(C1022,2)+4),1,3),2)+5)/7),"00"))</f>
        <v/>
      </c>
    </row>
    <row r="1023" ht="18" customHeight="1">
      <c r="A1023" s="39" t="n">
        <v>1018</v>
      </c>
      <c r="B1023" s="33">
        <f>IF(C1023="","",IF(L1023="À RENSEIGNER","GIC",L1023)&amp;"-E"&amp;TEXT(A1023,"00000"))</f>
        <v/>
      </c>
      <c r="C1023" s="32" t="n"/>
      <c r="D1023" s="36" t="n"/>
      <c r="E1023" s="37" t="n"/>
      <c r="F1023" s="36" t="n"/>
      <c r="G1023" s="44" t="n"/>
      <c r="H1023" s="43" t="n"/>
      <c r="I1023" s="32" t="n"/>
      <c r="J1023" s="44" t="n"/>
      <c r="K1023" s="36" t="n"/>
      <c r="L1023" s="33">
        <f>IF(C1023="","",Commercial_Id)</f>
        <v/>
      </c>
      <c r="M1023" s="34">
        <f>IF(OR(C1023="",F1023=""),"",IF(F1023&lt;&gt;"Espèces","—",IF(I1023&lt;&gt;"","☑ Oui","☐ Non")))</f>
        <v/>
      </c>
      <c r="N1023" s="39">
        <f>IF(D1023="","",IFERROR(VALUE(MID(D1023,LEN(D1023)-3,3)),""))</f>
        <v/>
      </c>
      <c r="O1023" s="33">
        <f>IF(N1023="","",L1023&amp;"|"&amp;N1023)</f>
        <v/>
      </c>
      <c r="P1023" s="33">
        <f>IF(N1023="","",IF(L1023="À RENSEIGNER","GIC",L1023)&amp;"-"&amp;TEXT(N1023,"000"))</f>
        <v/>
      </c>
      <c r="Q1023" s="33">
        <f>IF(O1023="","",IFERROR(INDEX(Cl_nom,MATCH(O1023,Cl_cle,0)),"(client introuvable)"))</f>
        <v/>
      </c>
      <c r="R1023" s="40">
        <f>IF(O1023="","",IFERROR(INDEX(Cl_reste,MATCH(O1023,Cl_cle,0)),""))</f>
        <v/>
      </c>
      <c r="S1023" s="34">
        <f>IF(C1023="","",YEAR(C1023-WEEKDAY(C1023,2)+4)&amp;"-S"&amp;TEXT(INT((C1023-DATE(YEAR(C1023-WEEKDAY(C1023,2)+4),1,3)+WEEKDAY(DATE(YEAR(C1023-WEEKDAY(C1023,2)+4),1,3),2)+5)/7),"00"))</f>
        <v/>
      </c>
    </row>
    <row r="1024" ht="18" customHeight="1">
      <c r="A1024" s="39" t="n">
        <v>1019</v>
      </c>
      <c r="B1024" s="33">
        <f>IF(C1024="","",IF(L1024="À RENSEIGNER","GIC",L1024)&amp;"-E"&amp;TEXT(A1024,"00000"))</f>
        <v/>
      </c>
      <c r="C1024" s="32" t="n"/>
      <c r="D1024" s="36" t="n"/>
      <c r="E1024" s="37" t="n"/>
      <c r="F1024" s="36" t="n"/>
      <c r="G1024" s="44" t="n"/>
      <c r="H1024" s="43" t="n"/>
      <c r="I1024" s="32" t="n"/>
      <c r="J1024" s="44" t="n"/>
      <c r="K1024" s="36" t="n"/>
      <c r="L1024" s="33">
        <f>IF(C1024="","",Commercial_Id)</f>
        <v/>
      </c>
      <c r="M1024" s="34">
        <f>IF(OR(C1024="",F1024=""),"",IF(F1024&lt;&gt;"Espèces","—",IF(I1024&lt;&gt;"","☑ Oui","☐ Non")))</f>
        <v/>
      </c>
      <c r="N1024" s="39">
        <f>IF(D1024="","",IFERROR(VALUE(MID(D1024,LEN(D1024)-3,3)),""))</f>
        <v/>
      </c>
      <c r="O1024" s="33">
        <f>IF(N1024="","",L1024&amp;"|"&amp;N1024)</f>
        <v/>
      </c>
      <c r="P1024" s="33">
        <f>IF(N1024="","",IF(L1024="À RENSEIGNER","GIC",L1024)&amp;"-"&amp;TEXT(N1024,"000"))</f>
        <v/>
      </c>
      <c r="Q1024" s="33">
        <f>IF(O1024="","",IFERROR(INDEX(Cl_nom,MATCH(O1024,Cl_cle,0)),"(client introuvable)"))</f>
        <v/>
      </c>
      <c r="R1024" s="40">
        <f>IF(O1024="","",IFERROR(INDEX(Cl_reste,MATCH(O1024,Cl_cle,0)),""))</f>
        <v/>
      </c>
      <c r="S1024" s="34">
        <f>IF(C1024="","",YEAR(C1024-WEEKDAY(C1024,2)+4)&amp;"-S"&amp;TEXT(INT((C1024-DATE(YEAR(C1024-WEEKDAY(C1024,2)+4),1,3)+WEEKDAY(DATE(YEAR(C1024-WEEKDAY(C1024,2)+4),1,3),2)+5)/7),"00"))</f>
        <v/>
      </c>
    </row>
    <row r="1025" ht="18" customHeight="1">
      <c r="A1025" s="39" t="n">
        <v>1020</v>
      </c>
      <c r="B1025" s="33">
        <f>IF(C1025="","",IF(L1025="À RENSEIGNER","GIC",L1025)&amp;"-E"&amp;TEXT(A1025,"00000"))</f>
        <v/>
      </c>
      <c r="C1025" s="32" t="n"/>
      <c r="D1025" s="36" t="n"/>
      <c r="E1025" s="37" t="n"/>
      <c r="F1025" s="36" t="n"/>
      <c r="G1025" s="44" t="n"/>
      <c r="H1025" s="43" t="n"/>
      <c r="I1025" s="32" t="n"/>
      <c r="J1025" s="44" t="n"/>
      <c r="K1025" s="36" t="n"/>
      <c r="L1025" s="33">
        <f>IF(C1025="","",Commercial_Id)</f>
        <v/>
      </c>
      <c r="M1025" s="34">
        <f>IF(OR(C1025="",F1025=""),"",IF(F1025&lt;&gt;"Espèces","—",IF(I1025&lt;&gt;"","☑ Oui","☐ Non")))</f>
        <v/>
      </c>
      <c r="N1025" s="39">
        <f>IF(D1025="","",IFERROR(VALUE(MID(D1025,LEN(D1025)-3,3)),""))</f>
        <v/>
      </c>
      <c r="O1025" s="33">
        <f>IF(N1025="","",L1025&amp;"|"&amp;N1025)</f>
        <v/>
      </c>
      <c r="P1025" s="33">
        <f>IF(N1025="","",IF(L1025="À RENSEIGNER","GIC",L1025)&amp;"-"&amp;TEXT(N1025,"000"))</f>
        <v/>
      </c>
      <c r="Q1025" s="33">
        <f>IF(O1025="","",IFERROR(INDEX(Cl_nom,MATCH(O1025,Cl_cle,0)),"(client introuvable)"))</f>
        <v/>
      </c>
      <c r="R1025" s="40">
        <f>IF(O1025="","",IFERROR(INDEX(Cl_reste,MATCH(O1025,Cl_cle,0)),""))</f>
        <v/>
      </c>
      <c r="S1025" s="34">
        <f>IF(C1025="","",YEAR(C1025-WEEKDAY(C1025,2)+4)&amp;"-S"&amp;TEXT(INT((C1025-DATE(YEAR(C1025-WEEKDAY(C1025,2)+4),1,3)+WEEKDAY(DATE(YEAR(C1025-WEEKDAY(C1025,2)+4),1,3),2)+5)/7),"00"))</f>
        <v/>
      </c>
    </row>
    <row r="1026" ht="18" customHeight="1">
      <c r="A1026" s="39" t="n">
        <v>1021</v>
      </c>
      <c r="B1026" s="33">
        <f>IF(C1026="","",IF(L1026="À RENSEIGNER","GIC",L1026)&amp;"-E"&amp;TEXT(A1026,"00000"))</f>
        <v/>
      </c>
      <c r="C1026" s="32" t="n"/>
      <c r="D1026" s="36" t="n"/>
      <c r="E1026" s="37" t="n"/>
      <c r="F1026" s="36" t="n"/>
      <c r="G1026" s="44" t="n"/>
      <c r="H1026" s="43" t="n"/>
      <c r="I1026" s="32" t="n"/>
      <c r="J1026" s="44" t="n"/>
      <c r="K1026" s="36" t="n"/>
      <c r="L1026" s="33">
        <f>IF(C1026="","",Commercial_Id)</f>
        <v/>
      </c>
      <c r="M1026" s="34">
        <f>IF(OR(C1026="",F1026=""),"",IF(F1026&lt;&gt;"Espèces","—",IF(I1026&lt;&gt;"","☑ Oui","☐ Non")))</f>
        <v/>
      </c>
      <c r="N1026" s="39">
        <f>IF(D1026="","",IFERROR(VALUE(MID(D1026,LEN(D1026)-3,3)),""))</f>
        <v/>
      </c>
      <c r="O1026" s="33">
        <f>IF(N1026="","",L1026&amp;"|"&amp;N1026)</f>
        <v/>
      </c>
      <c r="P1026" s="33">
        <f>IF(N1026="","",IF(L1026="À RENSEIGNER","GIC",L1026)&amp;"-"&amp;TEXT(N1026,"000"))</f>
        <v/>
      </c>
      <c r="Q1026" s="33">
        <f>IF(O1026="","",IFERROR(INDEX(Cl_nom,MATCH(O1026,Cl_cle,0)),"(client introuvable)"))</f>
        <v/>
      </c>
      <c r="R1026" s="40">
        <f>IF(O1026="","",IFERROR(INDEX(Cl_reste,MATCH(O1026,Cl_cle,0)),""))</f>
        <v/>
      </c>
      <c r="S1026" s="34">
        <f>IF(C1026="","",YEAR(C1026-WEEKDAY(C1026,2)+4)&amp;"-S"&amp;TEXT(INT((C1026-DATE(YEAR(C1026-WEEKDAY(C1026,2)+4),1,3)+WEEKDAY(DATE(YEAR(C1026-WEEKDAY(C1026,2)+4),1,3),2)+5)/7),"00"))</f>
        <v/>
      </c>
    </row>
    <row r="1027" ht="18" customHeight="1">
      <c r="A1027" s="39" t="n">
        <v>1022</v>
      </c>
      <c r="B1027" s="33">
        <f>IF(C1027="","",IF(L1027="À RENSEIGNER","GIC",L1027)&amp;"-E"&amp;TEXT(A1027,"00000"))</f>
        <v/>
      </c>
      <c r="C1027" s="32" t="n"/>
      <c r="D1027" s="36" t="n"/>
      <c r="E1027" s="37" t="n"/>
      <c r="F1027" s="36" t="n"/>
      <c r="G1027" s="44" t="n"/>
      <c r="H1027" s="43" t="n"/>
      <c r="I1027" s="32" t="n"/>
      <c r="J1027" s="44" t="n"/>
      <c r="K1027" s="36" t="n"/>
      <c r="L1027" s="33">
        <f>IF(C1027="","",Commercial_Id)</f>
        <v/>
      </c>
      <c r="M1027" s="34">
        <f>IF(OR(C1027="",F1027=""),"",IF(F1027&lt;&gt;"Espèces","—",IF(I1027&lt;&gt;"","☑ Oui","☐ Non")))</f>
        <v/>
      </c>
      <c r="N1027" s="39">
        <f>IF(D1027="","",IFERROR(VALUE(MID(D1027,LEN(D1027)-3,3)),""))</f>
        <v/>
      </c>
      <c r="O1027" s="33">
        <f>IF(N1027="","",L1027&amp;"|"&amp;N1027)</f>
        <v/>
      </c>
      <c r="P1027" s="33">
        <f>IF(N1027="","",IF(L1027="À RENSEIGNER","GIC",L1027)&amp;"-"&amp;TEXT(N1027,"000"))</f>
        <v/>
      </c>
      <c r="Q1027" s="33">
        <f>IF(O1027="","",IFERROR(INDEX(Cl_nom,MATCH(O1027,Cl_cle,0)),"(client introuvable)"))</f>
        <v/>
      </c>
      <c r="R1027" s="40">
        <f>IF(O1027="","",IFERROR(INDEX(Cl_reste,MATCH(O1027,Cl_cle,0)),""))</f>
        <v/>
      </c>
      <c r="S1027" s="34">
        <f>IF(C1027="","",YEAR(C1027-WEEKDAY(C1027,2)+4)&amp;"-S"&amp;TEXT(INT((C1027-DATE(YEAR(C1027-WEEKDAY(C1027,2)+4),1,3)+WEEKDAY(DATE(YEAR(C1027-WEEKDAY(C1027,2)+4),1,3),2)+5)/7),"00"))</f>
        <v/>
      </c>
    </row>
    <row r="1028" ht="18" customHeight="1">
      <c r="A1028" s="39" t="n">
        <v>1023</v>
      </c>
      <c r="B1028" s="33">
        <f>IF(C1028="","",IF(L1028="À RENSEIGNER","GIC",L1028)&amp;"-E"&amp;TEXT(A1028,"00000"))</f>
        <v/>
      </c>
      <c r="C1028" s="32" t="n"/>
      <c r="D1028" s="36" t="n"/>
      <c r="E1028" s="37" t="n"/>
      <c r="F1028" s="36" t="n"/>
      <c r="G1028" s="44" t="n"/>
      <c r="H1028" s="43" t="n"/>
      <c r="I1028" s="32" t="n"/>
      <c r="J1028" s="44" t="n"/>
      <c r="K1028" s="36" t="n"/>
      <c r="L1028" s="33">
        <f>IF(C1028="","",Commercial_Id)</f>
        <v/>
      </c>
      <c r="M1028" s="34">
        <f>IF(OR(C1028="",F1028=""),"",IF(F1028&lt;&gt;"Espèces","—",IF(I1028&lt;&gt;"","☑ Oui","☐ Non")))</f>
        <v/>
      </c>
      <c r="N1028" s="39">
        <f>IF(D1028="","",IFERROR(VALUE(MID(D1028,LEN(D1028)-3,3)),""))</f>
        <v/>
      </c>
      <c r="O1028" s="33">
        <f>IF(N1028="","",L1028&amp;"|"&amp;N1028)</f>
        <v/>
      </c>
      <c r="P1028" s="33">
        <f>IF(N1028="","",IF(L1028="À RENSEIGNER","GIC",L1028)&amp;"-"&amp;TEXT(N1028,"000"))</f>
        <v/>
      </c>
      <c r="Q1028" s="33">
        <f>IF(O1028="","",IFERROR(INDEX(Cl_nom,MATCH(O1028,Cl_cle,0)),"(client introuvable)"))</f>
        <v/>
      </c>
      <c r="R1028" s="40">
        <f>IF(O1028="","",IFERROR(INDEX(Cl_reste,MATCH(O1028,Cl_cle,0)),""))</f>
        <v/>
      </c>
      <c r="S1028" s="34">
        <f>IF(C1028="","",YEAR(C1028-WEEKDAY(C1028,2)+4)&amp;"-S"&amp;TEXT(INT((C1028-DATE(YEAR(C1028-WEEKDAY(C1028,2)+4),1,3)+WEEKDAY(DATE(YEAR(C1028-WEEKDAY(C1028,2)+4),1,3),2)+5)/7),"00"))</f>
        <v/>
      </c>
    </row>
    <row r="1029" ht="18" customHeight="1">
      <c r="A1029" s="39" t="n">
        <v>1024</v>
      </c>
      <c r="B1029" s="33">
        <f>IF(C1029="","",IF(L1029="À RENSEIGNER","GIC",L1029)&amp;"-E"&amp;TEXT(A1029,"00000"))</f>
        <v/>
      </c>
      <c r="C1029" s="32" t="n"/>
      <c r="D1029" s="36" t="n"/>
      <c r="E1029" s="37" t="n"/>
      <c r="F1029" s="36" t="n"/>
      <c r="G1029" s="44" t="n"/>
      <c r="H1029" s="43" t="n"/>
      <c r="I1029" s="32" t="n"/>
      <c r="J1029" s="44" t="n"/>
      <c r="K1029" s="36" t="n"/>
      <c r="L1029" s="33">
        <f>IF(C1029="","",Commercial_Id)</f>
        <v/>
      </c>
      <c r="M1029" s="34">
        <f>IF(OR(C1029="",F1029=""),"",IF(F1029&lt;&gt;"Espèces","—",IF(I1029&lt;&gt;"","☑ Oui","☐ Non")))</f>
        <v/>
      </c>
      <c r="N1029" s="39">
        <f>IF(D1029="","",IFERROR(VALUE(MID(D1029,LEN(D1029)-3,3)),""))</f>
        <v/>
      </c>
      <c r="O1029" s="33">
        <f>IF(N1029="","",L1029&amp;"|"&amp;N1029)</f>
        <v/>
      </c>
      <c r="P1029" s="33">
        <f>IF(N1029="","",IF(L1029="À RENSEIGNER","GIC",L1029)&amp;"-"&amp;TEXT(N1029,"000"))</f>
        <v/>
      </c>
      <c r="Q1029" s="33">
        <f>IF(O1029="","",IFERROR(INDEX(Cl_nom,MATCH(O1029,Cl_cle,0)),"(client introuvable)"))</f>
        <v/>
      </c>
      <c r="R1029" s="40">
        <f>IF(O1029="","",IFERROR(INDEX(Cl_reste,MATCH(O1029,Cl_cle,0)),""))</f>
        <v/>
      </c>
      <c r="S1029" s="34">
        <f>IF(C1029="","",YEAR(C1029-WEEKDAY(C1029,2)+4)&amp;"-S"&amp;TEXT(INT((C1029-DATE(YEAR(C1029-WEEKDAY(C1029,2)+4),1,3)+WEEKDAY(DATE(YEAR(C1029-WEEKDAY(C1029,2)+4),1,3),2)+5)/7),"00"))</f>
        <v/>
      </c>
    </row>
    <row r="1030" ht="18" customHeight="1">
      <c r="A1030" s="39" t="n">
        <v>1025</v>
      </c>
      <c r="B1030" s="33">
        <f>IF(C1030="","",IF(L1030="À RENSEIGNER","GIC",L1030)&amp;"-E"&amp;TEXT(A1030,"00000"))</f>
        <v/>
      </c>
      <c r="C1030" s="32" t="n"/>
      <c r="D1030" s="36" t="n"/>
      <c r="E1030" s="37" t="n"/>
      <c r="F1030" s="36" t="n"/>
      <c r="G1030" s="44" t="n"/>
      <c r="H1030" s="43" t="n"/>
      <c r="I1030" s="32" t="n"/>
      <c r="J1030" s="44" t="n"/>
      <c r="K1030" s="36" t="n"/>
      <c r="L1030" s="33">
        <f>IF(C1030="","",Commercial_Id)</f>
        <v/>
      </c>
      <c r="M1030" s="34">
        <f>IF(OR(C1030="",F1030=""),"",IF(F1030&lt;&gt;"Espèces","—",IF(I1030&lt;&gt;"","☑ Oui","☐ Non")))</f>
        <v/>
      </c>
      <c r="N1030" s="39">
        <f>IF(D1030="","",IFERROR(VALUE(MID(D1030,LEN(D1030)-3,3)),""))</f>
        <v/>
      </c>
      <c r="O1030" s="33">
        <f>IF(N1030="","",L1030&amp;"|"&amp;N1030)</f>
        <v/>
      </c>
      <c r="P1030" s="33">
        <f>IF(N1030="","",IF(L1030="À RENSEIGNER","GIC",L1030)&amp;"-"&amp;TEXT(N1030,"000"))</f>
        <v/>
      </c>
      <c r="Q1030" s="33">
        <f>IF(O1030="","",IFERROR(INDEX(Cl_nom,MATCH(O1030,Cl_cle,0)),"(client introuvable)"))</f>
        <v/>
      </c>
      <c r="R1030" s="40">
        <f>IF(O1030="","",IFERROR(INDEX(Cl_reste,MATCH(O1030,Cl_cle,0)),""))</f>
        <v/>
      </c>
      <c r="S1030" s="34">
        <f>IF(C1030="","",YEAR(C1030-WEEKDAY(C1030,2)+4)&amp;"-S"&amp;TEXT(INT((C1030-DATE(YEAR(C1030-WEEKDAY(C1030,2)+4),1,3)+WEEKDAY(DATE(YEAR(C1030-WEEKDAY(C1030,2)+4),1,3),2)+5)/7),"00"))</f>
        <v/>
      </c>
    </row>
    <row r="1031" ht="18" customHeight="1">
      <c r="A1031" s="39" t="n">
        <v>1026</v>
      </c>
      <c r="B1031" s="33">
        <f>IF(C1031="","",IF(L1031="À RENSEIGNER","GIC",L1031)&amp;"-E"&amp;TEXT(A1031,"00000"))</f>
        <v/>
      </c>
      <c r="C1031" s="32" t="n"/>
      <c r="D1031" s="36" t="n"/>
      <c r="E1031" s="37" t="n"/>
      <c r="F1031" s="36" t="n"/>
      <c r="G1031" s="44" t="n"/>
      <c r="H1031" s="43" t="n"/>
      <c r="I1031" s="32" t="n"/>
      <c r="J1031" s="44" t="n"/>
      <c r="K1031" s="36" t="n"/>
      <c r="L1031" s="33">
        <f>IF(C1031="","",Commercial_Id)</f>
        <v/>
      </c>
      <c r="M1031" s="34">
        <f>IF(OR(C1031="",F1031=""),"",IF(F1031&lt;&gt;"Espèces","—",IF(I1031&lt;&gt;"","☑ Oui","☐ Non")))</f>
        <v/>
      </c>
      <c r="N1031" s="39">
        <f>IF(D1031="","",IFERROR(VALUE(MID(D1031,LEN(D1031)-3,3)),""))</f>
        <v/>
      </c>
      <c r="O1031" s="33">
        <f>IF(N1031="","",L1031&amp;"|"&amp;N1031)</f>
        <v/>
      </c>
      <c r="P1031" s="33">
        <f>IF(N1031="","",IF(L1031="À RENSEIGNER","GIC",L1031)&amp;"-"&amp;TEXT(N1031,"000"))</f>
        <v/>
      </c>
      <c r="Q1031" s="33">
        <f>IF(O1031="","",IFERROR(INDEX(Cl_nom,MATCH(O1031,Cl_cle,0)),"(client introuvable)"))</f>
        <v/>
      </c>
      <c r="R1031" s="40">
        <f>IF(O1031="","",IFERROR(INDEX(Cl_reste,MATCH(O1031,Cl_cle,0)),""))</f>
        <v/>
      </c>
      <c r="S1031" s="34">
        <f>IF(C1031="","",YEAR(C1031-WEEKDAY(C1031,2)+4)&amp;"-S"&amp;TEXT(INT((C1031-DATE(YEAR(C1031-WEEKDAY(C1031,2)+4),1,3)+WEEKDAY(DATE(YEAR(C1031-WEEKDAY(C1031,2)+4),1,3),2)+5)/7),"00"))</f>
        <v/>
      </c>
    </row>
    <row r="1032" ht="18" customHeight="1">
      <c r="A1032" s="39" t="n">
        <v>1027</v>
      </c>
      <c r="B1032" s="33">
        <f>IF(C1032="","",IF(L1032="À RENSEIGNER","GIC",L1032)&amp;"-E"&amp;TEXT(A1032,"00000"))</f>
        <v/>
      </c>
      <c r="C1032" s="32" t="n"/>
      <c r="D1032" s="36" t="n"/>
      <c r="E1032" s="37" t="n"/>
      <c r="F1032" s="36" t="n"/>
      <c r="G1032" s="44" t="n"/>
      <c r="H1032" s="43" t="n"/>
      <c r="I1032" s="32" t="n"/>
      <c r="J1032" s="44" t="n"/>
      <c r="K1032" s="36" t="n"/>
      <c r="L1032" s="33">
        <f>IF(C1032="","",Commercial_Id)</f>
        <v/>
      </c>
      <c r="M1032" s="34">
        <f>IF(OR(C1032="",F1032=""),"",IF(F1032&lt;&gt;"Espèces","—",IF(I1032&lt;&gt;"","☑ Oui","☐ Non")))</f>
        <v/>
      </c>
      <c r="N1032" s="39">
        <f>IF(D1032="","",IFERROR(VALUE(MID(D1032,LEN(D1032)-3,3)),""))</f>
        <v/>
      </c>
      <c r="O1032" s="33">
        <f>IF(N1032="","",L1032&amp;"|"&amp;N1032)</f>
        <v/>
      </c>
      <c r="P1032" s="33">
        <f>IF(N1032="","",IF(L1032="À RENSEIGNER","GIC",L1032)&amp;"-"&amp;TEXT(N1032,"000"))</f>
        <v/>
      </c>
      <c r="Q1032" s="33">
        <f>IF(O1032="","",IFERROR(INDEX(Cl_nom,MATCH(O1032,Cl_cle,0)),"(client introuvable)"))</f>
        <v/>
      </c>
      <c r="R1032" s="40">
        <f>IF(O1032="","",IFERROR(INDEX(Cl_reste,MATCH(O1032,Cl_cle,0)),""))</f>
        <v/>
      </c>
      <c r="S1032" s="34">
        <f>IF(C1032="","",YEAR(C1032-WEEKDAY(C1032,2)+4)&amp;"-S"&amp;TEXT(INT((C1032-DATE(YEAR(C1032-WEEKDAY(C1032,2)+4),1,3)+WEEKDAY(DATE(YEAR(C1032-WEEKDAY(C1032,2)+4),1,3),2)+5)/7),"00"))</f>
        <v/>
      </c>
    </row>
    <row r="1033" ht="18" customHeight="1">
      <c r="A1033" s="39" t="n">
        <v>1028</v>
      </c>
      <c r="B1033" s="33">
        <f>IF(C1033="","",IF(L1033="À RENSEIGNER","GIC",L1033)&amp;"-E"&amp;TEXT(A1033,"00000"))</f>
        <v/>
      </c>
      <c r="C1033" s="32" t="n"/>
      <c r="D1033" s="36" t="n"/>
      <c r="E1033" s="37" t="n"/>
      <c r="F1033" s="36" t="n"/>
      <c r="G1033" s="44" t="n"/>
      <c r="H1033" s="43" t="n"/>
      <c r="I1033" s="32" t="n"/>
      <c r="J1033" s="44" t="n"/>
      <c r="K1033" s="36" t="n"/>
      <c r="L1033" s="33">
        <f>IF(C1033="","",Commercial_Id)</f>
        <v/>
      </c>
      <c r="M1033" s="34">
        <f>IF(OR(C1033="",F1033=""),"",IF(F1033&lt;&gt;"Espèces","—",IF(I1033&lt;&gt;"","☑ Oui","☐ Non")))</f>
        <v/>
      </c>
      <c r="N1033" s="39">
        <f>IF(D1033="","",IFERROR(VALUE(MID(D1033,LEN(D1033)-3,3)),""))</f>
        <v/>
      </c>
      <c r="O1033" s="33">
        <f>IF(N1033="","",L1033&amp;"|"&amp;N1033)</f>
        <v/>
      </c>
      <c r="P1033" s="33">
        <f>IF(N1033="","",IF(L1033="À RENSEIGNER","GIC",L1033)&amp;"-"&amp;TEXT(N1033,"000"))</f>
        <v/>
      </c>
      <c r="Q1033" s="33">
        <f>IF(O1033="","",IFERROR(INDEX(Cl_nom,MATCH(O1033,Cl_cle,0)),"(client introuvable)"))</f>
        <v/>
      </c>
      <c r="R1033" s="40">
        <f>IF(O1033="","",IFERROR(INDEX(Cl_reste,MATCH(O1033,Cl_cle,0)),""))</f>
        <v/>
      </c>
      <c r="S1033" s="34">
        <f>IF(C1033="","",YEAR(C1033-WEEKDAY(C1033,2)+4)&amp;"-S"&amp;TEXT(INT((C1033-DATE(YEAR(C1033-WEEKDAY(C1033,2)+4),1,3)+WEEKDAY(DATE(YEAR(C1033-WEEKDAY(C1033,2)+4),1,3),2)+5)/7),"00"))</f>
        <v/>
      </c>
    </row>
    <row r="1034" ht="18" customHeight="1">
      <c r="A1034" s="39" t="n">
        <v>1029</v>
      </c>
      <c r="B1034" s="33">
        <f>IF(C1034="","",IF(L1034="À RENSEIGNER","GIC",L1034)&amp;"-E"&amp;TEXT(A1034,"00000"))</f>
        <v/>
      </c>
      <c r="C1034" s="32" t="n"/>
      <c r="D1034" s="36" t="n"/>
      <c r="E1034" s="37" t="n"/>
      <c r="F1034" s="36" t="n"/>
      <c r="G1034" s="44" t="n"/>
      <c r="H1034" s="43" t="n"/>
      <c r="I1034" s="32" t="n"/>
      <c r="J1034" s="44" t="n"/>
      <c r="K1034" s="36" t="n"/>
      <c r="L1034" s="33">
        <f>IF(C1034="","",Commercial_Id)</f>
        <v/>
      </c>
      <c r="M1034" s="34">
        <f>IF(OR(C1034="",F1034=""),"",IF(F1034&lt;&gt;"Espèces","—",IF(I1034&lt;&gt;"","☑ Oui","☐ Non")))</f>
        <v/>
      </c>
      <c r="N1034" s="39">
        <f>IF(D1034="","",IFERROR(VALUE(MID(D1034,LEN(D1034)-3,3)),""))</f>
        <v/>
      </c>
      <c r="O1034" s="33">
        <f>IF(N1034="","",L1034&amp;"|"&amp;N1034)</f>
        <v/>
      </c>
      <c r="P1034" s="33">
        <f>IF(N1034="","",IF(L1034="À RENSEIGNER","GIC",L1034)&amp;"-"&amp;TEXT(N1034,"000"))</f>
        <v/>
      </c>
      <c r="Q1034" s="33">
        <f>IF(O1034="","",IFERROR(INDEX(Cl_nom,MATCH(O1034,Cl_cle,0)),"(client introuvable)"))</f>
        <v/>
      </c>
      <c r="R1034" s="40">
        <f>IF(O1034="","",IFERROR(INDEX(Cl_reste,MATCH(O1034,Cl_cle,0)),""))</f>
        <v/>
      </c>
      <c r="S1034" s="34">
        <f>IF(C1034="","",YEAR(C1034-WEEKDAY(C1034,2)+4)&amp;"-S"&amp;TEXT(INT((C1034-DATE(YEAR(C1034-WEEKDAY(C1034,2)+4),1,3)+WEEKDAY(DATE(YEAR(C1034-WEEKDAY(C1034,2)+4),1,3),2)+5)/7),"00"))</f>
        <v/>
      </c>
    </row>
    <row r="1035" ht="18" customHeight="1">
      <c r="A1035" s="39" t="n">
        <v>1030</v>
      </c>
      <c r="B1035" s="33">
        <f>IF(C1035="","",IF(L1035="À RENSEIGNER","GIC",L1035)&amp;"-E"&amp;TEXT(A1035,"00000"))</f>
        <v/>
      </c>
      <c r="C1035" s="32" t="n"/>
      <c r="D1035" s="36" t="n"/>
      <c r="E1035" s="37" t="n"/>
      <c r="F1035" s="36" t="n"/>
      <c r="G1035" s="44" t="n"/>
      <c r="H1035" s="43" t="n"/>
      <c r="I1035" s="32" t="n"/>
      <c r="J1035" s="44" t="n"/>
      <c r="K1035" s="36" t="n"/>
      <c r="L1035" s="33">
        <f>IF(C1035="","",Commercial_Id)</f>
        <v/>
      </c>
      <c r="M1035" s="34">
        <f>IF(OR(C1035="",F1035=""),"",IF(F1035&lt;&gt;"Espèces","—",IF(I1035&lt;&gt;"","☑ Oui","☐ Non")))</f>
        <v/>
      </c>
      <c r="N1035" s="39">
        <f>IF(D1035="","",IFERROR(VALUE(MID(D1035,LEN(D1035)-3,3)),""))</f>
        <v/>
      </c>
      <c r="O1035" s="33">
        <f>IF(N1035="","",L1035&amp;"|"&amp;N1035)</f>
        <v/>
      </c>
      <c r="P1035" s="33">
        <f>IF(N1035="","",IF(L1035="À RENSEIGNER","GIC",L1035)&amp;"-"&amp;TEXT(N1035,"000"))</f>
        <v/>
      </c>
      <c r="Q1035" s="33">
        <f>IF(O1035="","",IFERROR(INDEX(Cl_nom,MATCH(O1035,Cl_cle,0)),"(client introuvable)"))</f>
        <v/>
      </c>
      <c r="R1035" s="40">
        <f>IF(O1035="","",IFERROR(INDEX(Cl_reste,MATCH(O1035,Cl_cle,0)),""))</f>
        <v/>
      </c>
      <c r="S1035" s="34">
        <f>IF(C1035="","",YEAR(C1035-WEEKDAY(C1035,2)+4)&amp;"-S"&amp;TEXT(INT((C1035-DATE(YEAR(C1035-WEEKDAY(C1035,2)+4),1,3)+WEEKDAY(DATE(YEAR(C1035-WEEKDAY(C1035,2)+4),1,3),2)+5)/7),"00"))</f>
        <v/>
      </c>
    </row>
    <row r="1036" ht="18" customHeight="1">
      <c r="A1036" s="39" t="n">
        <v>1031</v>
      </c>
      <c r="B1036" s="33">
        <f>IF(C1036="","",IF(L1036="À RENSEIGNER","GIC",L1036)&amp;"-E"&amp;TEXT(A1036,"00000"))</f>
        <v/>
      </c>
      <c r="C1036" s="32" t="n"/>
      <c r="D1036" s="36" t="n"/>
      <c r="E1036" s="37" t="n"/>
      <c r="F1036" s="36" t="n"/>
      <c r="G1036" s="44" t="n"/>
      <c r="H1036" s="43" t="n"/>
      <c r="I1036" s="32" t="n"/>
      <c r="J1036" s="44" t="n"/>
      <c r="K1036" s="36" t="n"/>
      <c r="L1036" s="33">
        <f>IF(C1036="","",Commercial_Id)</f>
        <v/>
      </c>
      <c r="M1036" s="34">
        <f>IF(OR(C1036="",F1036=""),"",IF(F1036&lt;&gt;"Espèces","—",IF(I1036&lt;&gt;"","☑ Oui","☐ Non")))</f>
        <v/>
      </c>
      <c r="N1036" s="39">
        <f>IF(D1036="","",IFERROR(VALUE(MID(D1036,LEN(D1036)-3,3)),""))</f>
        <v/>
      </c>
      <c r="O1036" s="33">
        <f>IF(N1036="","",L1036&amp;"|"&amp;N1036)</f>
        <v/>
      </c>
      <c r="P1036" s="33">
        <f>IF(N1036="","",IF(L1036="À RENSEIGNER","GIC",L1036)&amp;"-"&amp;TEXT(N1036,"000"))</f>
        <v/>
      </c>
      <c r="Q1036" s="33">
        <f>IF(O1036="","",IFERROR(INDEX(Cl_nom,MATCH(O1036,Cl_cle,0)),"(client introuvable)"))</f>
        <v/>
      </c>
      <c r="R1036" s="40">
        <f>IF(O1036="","",IFERROR(INDEX(Cl_reste,MATCH(O1036,Cl_cle,0)),""))</f>
        <v/>
      </c>
      <c r="S1036" s="34">
        <f>IF(C1036="","",YEAR(C1036-WEEKDAY(C1036,2)+4)&amp;"-S"&amp;TEXT(INT((C1036-DATE(YEAR(C1036-WEEKDAY(C1036,2)+4),1,3)+WEEKDAY(DATE(YEAR(C1036-WEEKDAY(C1036,2)+4),1,3),2)+5)/7),"00"))</f>
        <v/>
      </c>
    </row>
    <row r="1037" ht="18" customHeight="1">
      <c r="A1037" s="39" t="n">
        <v>1032</v>
      </c>
      <c r="B1037" s="33">
        <f>IF(C1037="","",IF(L1037="À RENSEIGNER","GIC",L1037)&amp;"-E"&amp;TEXT(A1037,"00000"))</f>
        <v/>
      </c>
      <c r="C1037" s="32" t="n"/>
      <c r="D1037" s="36" t="n"/>
      <c r="E1037" s="37" t="n"/>
      <c r="F1037" s="36" t="n"/>
      <c r="G1037" s="44" t="n"/>
      <c r="H1037" s="43" t="n"/>
      <c r="I1037" s="32" t="n"/>
      <c r="J1037" s="44" t="n"/>
      <c r="K1037" s="36" t="n"/>
      <c r="L1037" s="33">
        <f>IF(C1037="","",Commercial_Id)</f>
        <v/>
      </c>
      <c r="M1037" s="34">
        <f>IF(OR(C1037="",F1037=""),"",IF(F1037&lt;&gt;"Espèces","—",IF(I1037&lt;&gt;"","☑ Oui","☐ Non")))</f>
        <v/>
      </c>
      <c r="N1037" s="39">
        <f>IF(D1037="","",IFERROR(VALUE(MID(D1037,LEN(D1037)-3,3)),""))</f>
        <v/>
      </c>
      <c r="O1037" s="33">
        <f>IF(N1037="","",L1037&amp;"|"&amp;N1037)</f>
        <v/>
      </c>
      <c r="P1037" s="33">
        <f>IF(N1037="","",IF(L1037="À RENSEIGNER","GIC",L1037)&amp;"-"&amp;TEXT(N1037,"000"))</f>
        <v/>
      </c>
      <c r="Q1037" s="33">
        <f>IF(O1037="","",IFERROR(INDEX(Cl_nom,MATCH(O1037,Cl_cle,0)),"(client introuvable)"))</f>
        <v/>
      </c>
      <c r="R1037" s="40">
        <f>IF(O1037="","",IFERROR(INDEX(Cl_reste,MATCH(O1037,Cl_cle,0)),""))</f>
        <v/>
      </c>
      <c r="S1037" s="34">
        <f>IF(C1037="","",YEAR(C1037-WEEKDAY(C1037,2)+4)&amp;"-S"&amp;TEXT(INT((C1037-DATE(YEAR(C1037-WEEKDAY(C1037,2)+4),1,3)+WEEKDAY(DATE(YEAR(C1037-WEEKDAY(C1037,2)+4),1,3),2)+5)/7),"00"))</f>
        <v/>
      </c>
    </row>
    <row r="1038" ht="18" customHeight="1">
      <c r="A1038" s="39" t="n">
        <v>1033</v>
      </c>
      <c r="B1038" s="33">
        <f>IF(C1038="","",IF(L1038="À RENSEIGNER","GIC",L1038)&amp;"-E"&amp;TEXT(A1038,"00000"))</f>
        <v/>
      </c>
      <c r="C1038" s="32" t="n"/>
      <c r="D1038" s="36" t="n"/>
      <c r="E1038" s="37" t="n"/>
      <c r="F1038" s="36" t="n"/>
      <c r="G1038" s="44" t="n"/>
      <c r="H1038" s="43" t="n"/>
      <c r="I1038" s="32" t="n"/>
      <c r="J1038" s="44" t="n"/>
      <c r="K1038" s="36" t="n"/>
      <c r="L1038" s="33">
        <f>IF(C1038="","",Commercial_Id)</f>
        <v/>
      </c>
      <c r="M1038" s="34">
        <f>IF(OR(C1038="",F1038=""),"",IF(F1038&lt;&gt;"Espèces","—",IF(I1038&lt;&gt;"","☑ Oui","☐ Non")))</f>
        <v/>
      </c>
      <c r="N1038" s="39">
        <f>IF(D1038="","",IFERROR(VALUE(MID(D1038,LEN(D1038)-3,3)),""))</f>
        <v/>
      </c>
      <c r="O1038" s="33">
        <f>IF(N1038="","",L1038&amp;"|"&amp;N1038)</f>
        <v/>
      </c>
      <c r="P1038" s="33">
        <f>IF(N1038="","",IF(L1038="À RENSEIGNER","GIC",L1038)&amp;"-"&amp;TEXT(N1038,"000"))</f>
        <v/>
      </c>
      <c r="Q1038" s="33">
        <f>IF(O1038="","",IFERROR(INDEX(Cl_nom,MATCH(O1038,Cl_cle,0)),"(client introuvable)"))</f>
        <v/>
      </c>
      <c r="R1038" s="40">
        <f>IF(O1038="","",IFERROR(INDEX(Cl_reste,MATCH(O1038,Cl_cle,0)),""))</f>
        <v/>
      </c>
      <c r="S1038" s="34">
        <f>IF(C1038="","",YEAR(C1038-WEEKDAY(C1038,2)+4)&amp;"-S"&amp;TEXT(INT((C1038-DATE(YEAR(C1038-WEEKDAY(C1038,2)+4),1,3)+WEEKDAY(DATE(YEAR(C1038-WEEKDAY(C1038,2)+4),1,3),2)+5)/7),"00"))</f>
        <v/>
      </c>
    </row>
    <row r="1039" ht="18" customHeight="1">
      <c r="A1039" s="39" t="n">
        <v>1034</v>
      </c>
      <c r="B1039" s="33">
        <f>IF(C1039="","",IF(L1039="À RENSEIGNER","GIC",L1039)&amp;"-E"&amp;TEXT(A1039,"00000"))</f>
        <v/>
      </c>
      <c r="C1039" s="32" t="n"/>
      <c r="D1039" s="36" t="n"/>
      <c r="E1039" s="37" t="n"/>
      <c r="F1039" s="36" t="n"/>
      <c r="G1039" s="44" t="n"/>
      <c r="H1039" s="43" t="n"/>
      <c r="I1039" s="32" t="n"/>
      <c r="J1039" s="44" t="n"/>
      <c r="K1039" s="36" t="n"/>
      <c r="L1039" s="33">
        <f>IF(C1039="","",Commercial_Id)</f>
        <v/>
      </c>
      <c r="M1039" s="34">
        <f>IF(OR(C1039="",F1039=""),"",IF(F1039&lt;&gt;"Espèces","—",IF(I1039&lt;&gt;"","☑ Oui","☐ Non")))</f>
        <v/>
      </c>
      <c r="N1039" s="39">
        <f>IF(D1039="","",IFERROR(VALUE(MID(D1039,LEN(D1039)-3,3)),""))</f>
        <v/>
      </c>
      <c r="O1039" s="33">
        <f>IF(N1039="","",L1039&amp;"|"&amp;N1039)</f>
        <v/>
      </c>
      <c r="P1039" s="33">
        <f>IF(N1039="","",IF(L1039="À RENSEIGNER","GIC",L1039)&amp;"-"&amp;TEXT(N1039,"000"))</f>
        <v/>
      </c>
      <c r="Q1039" s="33">
        <f>IF(O1039="","",IFERROR(INDEX(Cl_nom,MATCH(O1039,Cl_cle,0)),"(client introuvable)"))</f>
        <v/>
      </c>
      <c r="R1039" s="40">
        <f>IF(O1039="","",IFERROR(INDEX(Cl_reste,MATCH(O1039,Cl_cle,0)),""))</f>
        <v/>
      </c>
      <c r="S1039" s="34">
        <f>IF(C1039="","",YEAR(C1039-WEEKDAY(C1039,2)+4)&amp;"-S"&amp;TEXT(INT((C1039-DATE(YEAR(C1039-WEEKDAY(C1039,2)+4),1,3)+WEEKDAY(DATE(YEAR(C1039-WEEKDAY(C1039,2)+4),1,3),2)+5)/7),"00"))</f>
        <v/>
      </c>
    </row>
    <row r="1040" ht="18" customHeight="1">
      <c r="A1040" s="39" t="n">
        <v>1035</v>
      </c>
      <c r="B1040" s="33">
        <f>IF(C1040="","",IF(L1040="À RENSEIGNER","GIC",L1040)&amp;"-E"&amp;TEXT(A1040,"00000"))</f>
        <v/>
      </c>
      <c r="C1040" s="32" t="n"/>
      <c r="D1040" s="36" t="n"/>
      <c r="E1040" s="37" t="n"/>
      <c r="F1040" s="36" t="n"/>
      <c r="G1040" s="44" t="n"/>
      <c r="H1040" s="43" t="n"/>
      <c r="I1040" s="32" t="n"/>
      <c r="J1040" s="44" t="n"/>
      <c r="K1040" s="36" t="n"/>
      <c r="L1040" s="33">
        <f>IF(C1040="","",Commercial_Id)</f>
        <v/>
      </c>
      <c r="M1040" s="34">
        <f>IF(OR(C1040="",F1040=""),"",IF(F1040&lt;&gt;"Espèces","—",IF(I1040&lt;&gt;"","☑ Oui","☐ Non")))</f>
        <v/>
      </c>
      <c r="N1040" s="39">
        <f>IF(D1040="","",IFERROR(VALUE(MID(D1040,LEN(D1040)-3,3)),""))</f>
        <v/>
      </c>
      <c r="O1040" s="33">
        <f>IF(N1040="","",L1040&amp;"|"&amp;N1040)</f>
        <v/>
      </c>
      <c r="P1040" s="33">
        <f>IF(N1040="","",IF(L1040="À RENSEIGNER","GIC",L1040)&amp;"-"&amp;TEXT(N1040,"000"))</f>
        <v/>
      </c>
      <c r="Q1040" s="33">
        <f>IF(O1040="","",IFERROR(INDEX(Cl_nom,MATCH(O1040,Cl_cle,0)),"(client introuvable)"))</f>
        <v/>
      </c>
      <c r="R1040" s="40">
        <f>IF(O1040="","",IFERROR(INDEX(Cl_reste,MATCH(O1040,Cl_cle,0)),""))</f>
        <v/>
      </c>
      <c r="S1040" s="34">
        <f>IF(C1040="","",YEAR(C1040-WEEKDAY(C1040,2)+4)&amp;"-S"&amp;TEXT(INT((C1040-DATE(YEAR(C1040-WEEKDAY(C1040,2)+4),1,3)+WEEKDAY(DATE(YEAR(C1040-WEEKDAY(C1040,2)+4),1,3),2)+5)/7),"00"))</f>
        <v/>
      </c>
    </row>
    <row r="1041" ht="18" customHeight="1">
      <c r="A1041" s="39" t="n">
        <v>1036</v>
      </c>
      <c r="B1041" s="33">
        <f>IF(C1041="","",IF(L1041="À RENSEIGNER","GIC",L1041)&amp;"-E"&amp;TEXT(A1041,"00000"))</f>
        <v/>
      </c>
      <c r="C1041" s="32" t="n"/>
      <c r="D1041" s="36" t="n"/>
      <c r="E1041" s="37" t="n"/>
      <c r="F1041" s="36" t="n"/>
      <c r="G1041" s="44" t="n"/>
      <c r="H1041" s="43" t="n"/>
      <c r="I1041" s="32" t="n"/>
      <c r="J1041" s="44" t="n"/>
      <c r="K1041" s="36" t="n"/>
      <c r="L1041" s="33">
        <f>IF(C1041="","",Commercial_Id)</f>
        <v/>
      </c>
      <c r="M1041" s="34">
        <f>IF(OR(C1041="",F1041=""),"",IF(F1041&lt;&gt;"Espèces","—",IF(I1041&lt;&gt;"","☑ Oui","☐ Non")))</f>
        <v/>
      </c>
      <c r="N1041" s="39">
        <f>IF(D1041="","",IFERROR(VALUE(MID(D1041,LEN(D1041)-3,3)),""))</f>
        <v/>
      </c>
      <c r="O1041" s="33">
        <f>IF(N1041="","",L1041&amp;"|"&amp;N1041)</f>
        <v/>
      </c>
      <c r="P1041" s="33">
        <f>IF(N1041="","",IF(L1041="À RENSEIGNER","GIC",L1041)&amp;"-"&amp;TEXT(N1041,"000"))</f>
        <v/>
      </c>
      <c r="Q1041" s="33">
        <f>IF(O1041="","",IFERROR(INDEX(Cl_nom,MATCH(O1041,Cl_cle,0)),"(client introuvable)"))</f>
        <v/>
      </c>
      <c r="R1041" s="40">
        <f>IF(O1041="","",IFERROR(INDEX(Cl_reste,MATCH(O1041,Cl_cle,0)),""))</f>
        <v/>
      </c>
      <c r="S1041" s="34">
        <f>IF(C1041="","",YEAR(C1041-WEEKDAY(C1041,2)+4)&amp;"-S"&amp;TEXT(INT((C1041-DATE(YEAR(C1041-WEEKDAY(C1041,2)+4),1,3)+WEEKDAY(DATE(YEAR(C1041-WEEKDAY(C1041,2)+4),1,3),2)+5)/7),"00"))</f>
        <v/>
      </c>
    </row>
    <row r="1042" ht="18" customHeight="1">
      <c r="A1042" s="39" t="n">
        <v>1037</v>
      </c>
      <c r="B1042" s="33">
        <f>IF(C1042="","",IF(L1042="À RENSEIGNER","GIC",L1042)&amp;"-E"&amp;TEXT(A1042,"00000"))</f>
        <v/>
      </c>
      <c r="C1042" s="32" t="n"/>
      <c r="D1042" s="36" t="n"/>
      <c r="E1042" s="37" t="n"/>
      <c r="F1042" s="36" t="n"/>
      <c r="G1042" s="44" t="n"/>
      <c r="H1042" s="43" t="n"/>
      <c r="I1042" s="32" t="n"/>
      <c r="J1042" s="44" t="n"/>
      <c r="K1042" s="36" t="n"/>
      <c r="L1042" s="33">
        <f>IF(C1042="","",Commercial_Id)</f>
        <v/>
      </c>
      <c r="M1042" s="34">
        <f>IF(OR(C1042="",F1042=""),"",IF(F1042&lt;&gt;"Espèces","—",IF(I1042&lt;&gt;"","☑ Oui","☐ Non")))</f>
        <v/>
      </c>
      <c r="N1042" s="39">
        <f>IF(D1042="","",IFERROR(VALUE(MID(D1042,LEN(D1042)-3,3)),""))</f>
        <v/>
      </c>
      <c r="O1042" s="33">
        <f>IF(N1042="","",L1042&amp;"|"&amp;N1042)</f>
        <v/>
      </c>
      <c r="P1042" s="33">
        <f>IF(N1042="","",IF(L1042="À RENSEIGNER","GIC",L1042)&amp;"-"&amp;TEXT(N1042,"000"))</f>
        <v/>
      </c>
      <c r="Q1042" s="33">
        <f>IF(O1042="","",IFERROR(INDEX(Cl_nom,MATCH(O1042,Cl_cle,0)),"(client introuvable)"))</f>
        <v/>
      </c>
      <c r="R1042" s="40">
        <f>IF(O1042="","",IFERROR(INDEX(Cl_reste,MATCH(O1042,Cl_cle,0)),""))</f>
        <v/>
      </c>
      <c r="S1042" s="34">
        <f>IF(C1042="","",YEAR(C1042-WEEKDAY(C1042,2)+4)&amp;"-S"&amp;TEXT(INT((C1042-DATE(YEAR(C1042-WEEKDAY(C1042,2)+4),1,3)+WEEKDAY(DATE(YEAR(C1042-WEEKDAY(C1042,2)+4),1,3),2)+5)/7),"00"))</f>
        <v/>
      </c>
    </row>
    <row r="1043" ht="18" customHeight="1">
      <c r="A1043" s="39" t="n">
        <v>1038</v>
      </c>
      <c r="B1043" s="33">
        <f>IF(C1043="","",IF(L1043="À RENSEIGNER","GIC",L1043)&amp;"-E"&amp;TEXT(A1043,"00000"))</f>
        <v/>
      </c>
      <c r="C1043" s="32" t="n"/>
      <c r="D1043" s="36" t="n"/>
      <c r="E1043" s="37" t="n"/>
      <c r="F1043" s="36" t="n"/>
      <c r="G1043" s="44" t="n"/>
      <c r="H1043" s="43" t="n"/>
      <c r="I1043" s="32" t="n"/>
      <c r="J1043" s="44" t="n"/>
      <c r="K1043" s="36" t="n"/>
      <c r="L1043" s="33">
        <f>IF(C1043="","",Commercial_Id)</f>
        <v/>
      </c>
      <c r="M1043" s="34">
        <f>IF(OR(C1043="",F1043=""),"",IF(F1043&lt;&gt;"Espèces","—",IF(I1043&lt;&gt;"","☑ Oui","☐ Non")))</f>
        <v/>
      </c>
      <c r="N1043" s="39">
        <f>IF(D1043="","",IFERROR(VALUE(MID(D1043,LEN(D1043)-3,3)),""))</f>
        <v/>
      </c>
      <c r="O1043" s="33">
        <f>IF(N1043="","",L1043&amp;"|"&amp;N1043)</f>
        <v/>
      </c>
      <c r="P1043" s="33">
        <f>IF(N1043="","",IF(L1043="À RENSEIGNER","GIC",L1043)&amp;"-"&amp;TEXT(N1043,"000"))</f>
        <v/>
      </c>
      <c r="Q1043" s="33">
        <f>IF(O1043="","",IFERROR(INDEX(Cl_nom,MATCH(O1043,Cl_cle,0)),"(client introuvable)"))</f>
        <v/>
      </c>
      <c r="R1043" s="40">
        <f>IF(O1043="","",IFERROR(INDEX(Cl_reste,MATCH(O1043,Cl_cle,0)),""))</f>
        <v/>
      </c>
      <c r="S1043" s="34">
        <f>IF(C1043="","",YEAR(C1043-WEEKDAY(C1043,2)+4)&amp;"-S"&amp;TEXT(INT((C1043-DATE(YEAR(C1043-WEEKDAY(C1043,2)+4),1,3)+WEEKDAY(DATE(YEAR(C1043-WEEKDAY(C1043,2)+4),1,3),2)+5)/7),"00"))</f>
        <v/>
      </c>
    </row>
    <row r="1044" ht="18" customHeight="1">
      <c r="A1044" s="39" t="n">
        <v>1039</v>
      </c>
      <c r="B1044" s="33">
        <f>IF(C1044="","",IF(L1044="À RENSEIGNER","GIC",L1044)&amp;"-E"&amp;TEXT(A1044,"00000"))</f>
        <v/>
      </c>
      <c r="C1044" s="32" t="n"/>
      <c r="D1044" s="36" t="n"/>
      <c r="E1044" s="37" t="n"/>
      <c r="F1044" s="36" t="n"/>
      <c r="G1044" s="44" t="n"/>
      <c r="H1044" s="43" t="n"/>
      <c r="I1044" s="32" t="n"/>
      <c r="J1044" s="44" t="n"/>
      <c r="K1044" s="36" t="n"/>
      <c r="L1044" s="33">
        <f>IF(C1044="","",Commercial_Id)</f>
        <v/>
      </c>
      <c r="M1044" s="34">
        <f>IF(OR(C1044="",F1044=""),"",IF(F1044&lt;&gt;"Espèces","—",IF(I1044&lt;&gt;"","☑ Oui","☐ Non")))</f>
        <v/>
      </c>
      <c r="N1044" s="39">
        <f>IF(D1044="","",IFERROR(VALUE(MID(D1044,LEN(D1044)-3,3)),""))</f>
        <v/>
      </c>
      <c r="O1044" s="33">
        <f>IF(N1044="","",L1044&amp;"|"&amp;N1044)</f>
        <v/>
      </c>
      <c r="P1044" s="33">
        <f>IF(N1044="","",IF(L1044="À RENSEIGNER","GIC",L1044)&amp;"-"&amp;TEXT(N1044,"000"))</f>
        <v/>
      </c>
      <c r="Q1044" s="33">
        <f>IF(O1044="","",IFERROR(INDEX(Cl_nom,MATCH(O1044,Cl_cle,0)),"(client introuvable)"))</f>
        <v/>
      </c>
      <c r="R1044" s="40">
        <f>IF(O1044="","",IFERROR(INDEX(Cl_reste,MATCH(O1044,Cl_cle,0)),""))</f>
        <v/>
      </c>
      <c r="S1044" s="34">
        <f>IF(C1044="","",YEAR(C1044-WEEKDAY(C1044,2)+4)&amp;"-S"&amp;TEXT(INT((C1044-DATE(YEAR(C1044-WEEKDAY(C1044,2)+4),1,3)+WEEKDAY(DATE(YEAR(C1044-WEEKDAY(C1044,2)+4),1,3),2)+5)/7),"00"))</f>
        <v/>
      </c>
    </row>
    <row r="1045" ht="18" customHeight="1">
      <c r="A1045" s="39" t="n">
        <v>1040</v>
      </c>
      <c r="B1045" s="33">
        <f>IF(C1045="","",IF(L1045="À RENSEIGNER","GIC",L1045)&amp;"-E"&amp;TEXT(A1045,"00000"))</f>
        <v/>
      </c>
      <c r="C1045" s="32" t="n"/>
      <c r="D1045" s="36" t="n"/>
      <c r="E1045" s="37" t="n"/>
      <c r="F1045" s="36" t="n"/>
      <c r="G1045" s="44" t="n"/>
      <c r="H1045" s="43" t="n"/>
      <c r="I1045" s="32" t="n"/>
      <c r="J1045" s="44" t="n"/>
      <c r="K1045" s="36" t="n"/>
      <c r="L1045" s="33">
        <f>IF(C1045="","",Commercial_Id)</f>
        <v/>
      </c>
      <c r="M1045" s="34">
        <f>IF(OR(C1045="",F1045=""),"",IF(F1045&lt;&gt;"Espèces","—",IF(I1045&lt;&gt;"","☑ Oui","☐ Non")))</f>
        <v/>
      </c>
      <c r="N1045" s="39">
        <f>IF(D1045="","",IFERROR(VALUE(MID(D1045,LEN(D1045)-3,3)),""))</f>
        <v/>
      </c>
      <c r="O1045" s="33">
        <f>IF(N1045="","",L1045&amp;"|"&amp;N1045)</f>
        <v/>
      </c>
      <c r="P1045" s="33">
        <f>IF(N1045="","",IF(L1045="À RENSEIGNER","GIC",L1045)&amp;"-"&amp;TEXT(N1045,"000"))</f>
        <v/>
      </c>
      <c r="Q1045" s="33">
        <f>IF(O1045="","",IFERROR(INDEX(Cl_nom,MATCH(O1045,Cl_cle,0)),"(client introuvable)"))</f>
        <v/>
      </c>
      <c r="R1045" s="40">
        <f>IF(O1045="","",IFERROR(INDEX(Cl_reste,MATCH(O1045,Cl_cle,0)),""))</f>
        <v/>
      </c>
      <c r="S1045" s="34">
        <f>IF(C1045="","",YEAR(C1045-WEEKDAY(C1045,2)+4)&amp;"-S"&amp;TEXT(INT((C1045-DATE(YEAR(C1045-WEEKDAY(C1045,2)+4),1,3)+WEEKDAY(DATE(YEAR(C1045-WEEKDAY(C1045,2)+4),1,3),2)+5)/7),"00"))</f>
        <v/>
      </c>
    </row>
    <row r="1046" ht="18" customHeight="1">
      <c r="A1046" s="39" t="n">
        <v>1041</v>
      </c>
      <c r="B1046" s="33">
        <f>IF(C1046="","",IF(L1046="À RENSEIGNER","GIC",L1046)&amp;"-E"&amp;TEXT(A1046,"00000"))</f>
        <v/>
      </c>
      <c r="C1046" s="32" t="n"/>
      <c r="D1046" s="36" t="n"/>
      <c r="E1046" s="37" t="n"/>
      <c r="F1046" s="36" t="n"/>
      <c r="G1046" s="44" t="n"/>
      <c r="H1046" s="43" t="n"/>
      <c r="I1046" s="32" t="n"/>
      <c r="J1046" s="44" t="n"/>
      <c r="K1046" s="36" t="n"/>
      <c r="L1046" s="33">
        <f>IF(C1046="","",Commercial_Id)</f>
        <v/>
      </c>
      <c r="M1046" s="34">
        <f>IF(OR(C1046="",F1046=""),"",IF(F1046&lt;&gt;"Espèces","—",IF(I1046&lt;&gt;"","☑ Oui","☐ Non")))</f>
        <v/>
      </c>
      <c r="N1046" s="39">
        <f>IF(D1046="","",IFERROR(VALUE(MID(D1046,LEN(D1046)-3,3)),""))</f>
        <v/>
      </c>
      <c r="O1046" s="33">
        <f>IF(N1046="","",L1046&amp;"|"&amp;N1046)</f>
        <v/>
      </c>
      <c r="P1046" s="33">
        <f>IF(N1046="","",IF(L1046="À RENSEIGNER","GIC",L1046)&amp;"-"&amp;TEXT(N1046,"000"))</f>
        <v/>
      </c>
      <c r="Q1046" s="33">
        <f>IF(O1046="","",IFERROR(INDEX(Cl_nom,MATCH(O1046,Cl_cle,0)),"(client introuvable)"))</f>
        <v/>
      </c>
      <c r="R1046" s="40">
        <f>IF(O1046="","",IFERROR(INDEX(Cl_reste,MATCH(O1046,Cl_cle,0)),""))</f>
        <v/>
      </c>
      <c r="S1046" s="34">
        <f>IF(C1046="","",YEAR(C1046-WEEKDAY(C1046,2)+4)&amp;"-S"&amp;TEXT(INT((C1046-DATE(YEAR(C1046-WEEKDAY(C1046,2)+4),1,3)+WEEKDAY(DATE(YEAR(C1046-WEEKDAY(C1046,2)+4),1,3),2)+5)/7),"00"))</f>
        <v/>
      </c>
    </row>
    <row r="1047" ht="18" customHeight="1">
      <c r="A1047" s="39" t="n">
        <v>1042</v>
      </c>
      <c r="B1047" s="33">
        <f>IF(C1047="","",IF(L1047="À RENSEIGNER","GIC",L1047)&amp;"-E"&amp;TEXT(A1047,"00000"))</f>
        <v/>
      </c>
      <c r="C1047" s="32" t="n"/>
      <c r="D1047" s="36" t="n"/>
      <c r="E1047" s="37" t="n"/>
      <c r="F1047" s="36" t="n"/>
      <c r="G1047" s="44" t="n"/>
      <c r="H1047" s="43" t="n"/>
      <c r="I1047" s="32" t="n"/>
      <c r="J1047" s="44" t="n"/>
      <c r="K1047" s="36" t="n"/>
      <c r="L1047" s="33">
        <f>IF(C1047="","",Commercial_Id)</f>
        <v/>
      </c>
      <c r="M1047" s="34">
        <f>IF(OR(C1047="",F1047=""),"",IF(F1047&lt;&gt;"Espèces","—",IF(I1047&lt;&gt;"","☑ Oui","☐ Non")))</f>
        <v/>
      </c>
      <c r="N1047" s="39">
        <f>IF(D1047="","",IFERROR(VALUE(MID(D1047,LEN(D1047)-3,3)),""))</f>
        <v/>
      </c>
      <c r="O1047" s="33">
        <f>IF(N1047="","",L1047&amp;"|"&amp;N1047)</f>
        <v/>
      </c>
      <c r="P1047" s="33">
        <f>IF(N1047="","",IF(L1047="À RENSEIGNER","GIC",L1047)&amp;"-"&amp;TEXT(N1047,"000"))</f>
        <v/>
      </c>
      <c r="Q1047" s="33">
        <f>IF(O1047="","",IFERROR(INDEX(Cl_nom,MATCH(O1047,Cl_cle,0)),"(client introuvable)"))</f>
        <v/>
      </c>
      <c r="R1047" s="40">
        <f>IF(O1047="","",IFERROR(INDEX(Cl_reste,MATCH(O1047,Cl_cle,0)),""))</f>
        <v/>
      </c>
      <c r="S1047" s="34">
        <f>IF(C1047="","",YEAR(C1047-WEEKDAY(C1047,2)+4)&amp;"-S"&amp;TEXT(INT((C1047-DATE(YEAR(C1047-WEEKDAY(C1047,2)+4),1,3)+WEEKDAY(DATE(YEAR(C1047-WEEKDAY(C1047,2)+4),1,3),2)+5)/7),"00"))</f>
        <v/>
      </c>
    </row>
    <row r="1048" ht="18" customHeight="1">
      <c r="A1048" s="39" t="n">
        <v>1043</v>
      </c>
      <c r="B1048" s="33">
        <f>IF(C1048="","",IF(L1048="À RENSEIGNER","GIC",L1048)&amp;"-E"&amp;TEXT(A1048,"00000"))</f>
        <v/>
      </c>
      <c r="C1048" s="32" t="n"/>
      <c r="D1048" s="36" t="n"/>
      <c r="E1048" s="37" t="n"/>
      <c r="F1048" s="36" t="n"/>
      <c r="G1048" s="44" t="n"/>
      <c r="H1048" s="43" t="n"/>
      <c r="I1048" s="32" t="n"/>
      <c r="J1048" s="44" t="n"/>
      <c r="K1048" s="36" t="n"/>
      <c r="L1048" s="33">
        <f>IF(C1048="","",Commercial_Id)</f>
        <v/>
      </c>
      <c r="M1048" s="34">
        <f>IF(OR(C1048="",F1048=""),"",IF(F1048&lt;&gt;"Espèces","—",IF(I1048&lt;&gt;"","☑ Oui","☐ Non")))</f>
        <v/>
      </c>
      <c r="N1048" s="39">
        <f>IF(D1048="","",IFERROR(VALUE(MID(D1048,LEN(D1048)-3,3)),""))</f>
        <v/>
      </c>
      <c r="O1048" s="33">
        <f>IF(N1048="","",L1048&amp;"|"&amp;N1048)</f>
        <v/>
      </c>
      <c r="P1048" s="33">
        <f>IF(N1048="","",IF(L1048="À RENSEIGNER","GIC",L1048)&amp;"-"&amp;TEXT(N1048,"000"))</f>
        <v/>
      </c>
      <c r="Q1048" s="33">
        <f>IF(O1048="","",IFERROR(INDEX(Cl_nom,MATCH(O1048,Cl_cle,0)),"(client introuvable)"))</f>
        <v/>
      </c>
      <c r="R1048" s="40">
        <f>IF(O1048="","",IFERROR(INDEX(Cl_reste,MATCH(O1048,Cl_cle,0)),""))</f>
        <v/>
      </c>
      <c r="S1048" s="34">
        <f>IF(C1048="","",YEAR(C1048-WEEKDAY(C1048,2)+4)&amp;"-S"&amp;TEXT(INT((C1048-DATE(YEAR(C1048-WEEKDAY(C1048,2)+4),1,3)+WEEKDAY(DATE(YEAR(C1048-WEEKDAY(C1048,2)+4),1,3),2)+5)/7),"00"))</f>
        <v/>
      </c>
    </row>
    <row r="1049" ht="18" customHeight="1">
      <c r="A1049" s="39" t="n">
        <v>1044</v>
      </c>
      <c r="B1049" s="33">
        <f>IF(C1049="","",IF(L1049="À RENSEIGNER","GIC",L1049)&amp;"-E"&amp;TEXT(A1049,"00000"))</f>
        <v/>
      </c>
      <c r="C1049" s="32" t="n"/>
      <c r="D1049" s="36" t="n"/>
      <c r="E1049" s="37" t="n"/>
      <c r="F1049" s="36" t="n"/>
      <c r="G1049" s="44" t="n"/>
      <c r="H1049" s="43" t="n"/>
      <c r="I1049" s="32" t="n"/>
      <c r="J1049" s="44" t="n"/>
      <c r="K1049" s="36" t="n"/>
      <c r="L1049" s="33">
        <f>IF(C1049="","",Commercial_Id)</f>
        <v/>
      </c>
      <c r="M1049" s="34">
        <f>IF(OR(C1049="",F1049=""),"",IF(F1049&lt;&gt;"Espèces","—",IF(I1049&lt;&gt;"","☑ Oui","☐ Non")))</f>
        <v/>
      </c>
      <c r="N1049" s="39">
        <f>IF(D1049="","",IFERROR(VALUE(MID(D1049,LEN(D1049)-3,3)),""))</f>
        <v/>
      </c>
      <c r="O1049" s="33">
        <f>IF(N1049="","",L1049&amp;"|"&amp;N1049)</f>
        <v/>
      </c>
      <c r="P1049" s="33">
        <f>IF(N1049="","",IF(L1049="À RENSEIGNER","GIC",L1049)&amp;"-"&amp;TEXT(N1049,"000"))</f>
        <v/>
      </c>
      <c r="Q1049" s="33">
        <f>IF(O1049="","",IFERROR(INDEX(Cl_nom,MATCH(O1049,Cl_cle,0)),"(client introuvable)"))</f>
        <v/>
      </c>
      <c r="R1049" s="40">
        <f>IF(O1049="","",IFERROR(INDEX(Cl_reste,MATCH(O1049,Cl_cle,0)),""))</f>
        <v/>
      </c>
      <c r="S1049" s="34">
        <f>IF(C1049="","",YEAR(C1049-WEEKDAY(C1049,2)+4)&amp;"-S"&amp;TEXT(INT((C1049-DATE(YEAR(C1049-WEEKDAY(C1049,2)+4),1,3)+WEEKDAY(DATE(YEAR(C1049-WEEKDAY(C1049,2)+4),1,3),2)+5)/7),"00"))</f>
        <v/>
      </c>
    </row>
    <row r="1050" ht="18" customHeight="1">
      <c r="A1050" s="39" t="n">
        <v>1045</v>
      </c>
      <c r="B1050" s="33">
        <f>IF(C1050="","",IF(L1050="À RENSEIGNER","GIC",L1050)&amp;"-E"&amp;TEXT(A1050,"00000"))</f>
        <v/>
      </c>
      <c r="C1050" s="32" t="n"/>
      <c r="D1050" s="36" t="n"/>
      <c r="E1050" s="37" t="n"/>
      <c r="F1050" s="36" t="n"/>
      <c r="G1050" s="44" t="n"/>
      <c r="H1050" s="43" t="n"/>
      <c r="I1050" s="32" t="n"/>
      <c r="J1050" s="44" t="n"/>
      <c r="K1050" s="36" t="n"/>
      <c r="L1050" s="33">
        <f>IF(C1050="","",Commercial_Id)</f>
        <v/>
      </c>
      <c r="M1050" s="34">
        <f>IF(OR(C1050="",F1050=""),"",IF(F1050&lt;&gt;"Espèces","—",IF(I1050&lt;&gt;"","☑ Oui","☐ Non")))</f>
        <v/>
      </c>
      <c r="N1050" s="39">
        <f>IF(D1050="","",IFERROR(VALUE(MID(D1050,LEN(D1050)-3,3)),""))</f>
        <v/>
      </c>
      <c r="O1050" s="33">
        <f>IF(N1050="","",L1050&amp;"|"&amp;N1050)</f>
        <v/>
      </c>
      <c r="P1050" s="33">
        <f>IF(N1050="","",IF(L1050="À RENSEIGNER","GIC",L1050)&amp;"-"&amp;TEXT(N1050,"000"))</f>
        <v/>
      </c>
      <c r="Q1050" s="33">
        <f>IF(O1050="","",IFERROR(INDEX(Cl_nom,MATCH(O1050,Cl_cle,0)),"(client introuvable)"))</f>
        <v/>
      </c>
      <c r="R1050" s="40">
        <f>IF(O1050="","",IFERROR(INDEX(Cl_reste,MATCH(O1050,Cl_cle,0)),""))</f>
        <v/>
      </c>
      <c r="S1050" s="34">
        <f>IF(C1050="","",YEAR(C1050-WEEKDAY(C1050,2)+4)&amp;"-S"&amp;TEXT(INT((C1050-DATE(YEAR(C1050-WEEKDAY(C1050,2)+4),1,3)+WEEKDAY(DATE(YEAR(C1050-WEEKDAY(C1050,2)+4),1,3),2)+5)/7),"00"))</f>
        <v/>
      </c>
    </row>
    <row r="1051" ht="18" customHeight="1">
      <c r="A1051" s="39" t="n">
        <v>1046</v>
      </c>
      <c r="B1051" s="33">
        <f>IF(C1051="","",IF(L1051="À RENSEIGNER","GIC",L1051)&amp;"-E"&amp;TEXT(A1051,"00000"))</f>
        <v/>
      </c>
      <c r="C1051" s="32" t="n"/>
      <c r="D1051" s="36" t="n"/>
      <c r="E1051" s="37" t="n"/>
      <c r="F1051" s="36" t="n"/>
      <c r="G1051" s="44" t="n"/>
      <c r="H1051" s="43" t="n"/>
      <c r="I1051" s="32" t="n"/>
      <c r="J1051" s="44" t="n"/>
      <c r="K1051" s="36" t="n"/>
      <c r="L1051" s="33">
        <f>IF(C1051="","",Commercial_Id)</f>
        <v/>
      </c>
      <c r="M1051" s="34">
        <f>IF(OR(C1051="",F1051=""),"",IF(F1051&lt;&gt;"Espèces","—",IF(I1051&lt;&gt;"","☑ Oui","☐ Non")))</f>
        <v/>
      </c>
      <c r="N1051" s="39">
        <f>IF(D1051="","",IFERROR(VALUE(MID(D1051,LEN(D1051)-3,3)),""))</f>
        <v/>
      </c>
      <c r="O1051" s="33">
        <f>IF(N1051="","",L1051&amp;"|"&amp;N1051)</f>
        <v/>
      </c>
      <c r="P1051" s="33">
        <f>IF(N1051="","",IF(L1051="À RENSEIGNER","GIC",L1051)&amp;"-"&amp;TEXT(N1051,"000"))</f>
        <v/>
      </c>
      <c r="Q1051" s="33">
        <f>IF(O1051="","",IFERROR(INDEX(Cl_nom,MATCH(O1051,Cl_cle,0)),"(client introuvable)"))</f>
        <v/>
      </c>
      <c r="R1051" s="40">
        <f>IF(O1051="","",IFERROR(INDEX(Cl_reste,MATCH(O1051,Cl_cle,0)),""))</f>
        <v/>
      </c>
      <c r="S1051" s="34">
        <f>IF(C1051="","",YEAR(C1051-WEEKDAY(C1051,2)+4)&amp;"-S"&amp;TEXT(INT((C1051-DATE(YEAR(C1051-WEEKDAY(C1051,2)+4),1,3)+WEEKDAY(DATE(YEAR(C1051-WEEKDAY(C1051,2)+4),1,3),2)+5)/7),"00"))</f>
        <v/>
      </c>
    </row>
    <row r="1052" ht="18" customHeight="1">
      <c r="A1052" s="39" t="n">
        <v>1047</v>
      </c>
      <c r="B1052" s="33">
        <f>IF(C1052="","",IF(L1052="À RENSEIGNER","GIC",L1052)&amp;"-E"&amp;TEXT(A1052,"00000"))</f>
        <v/>
      </c>
      <c r="C1052" s="32" t="n"/>
      <c r="D1052" s="36" t="n"/>
      <c r="E1052" s="37" t="n"/>
      <c r="F1052" s="36" t="n"/>
      <c r="G1052" s="44" t="n"/>
      <c r="H1052" s="43" t="n"/>
      <c r="I1052" s="32" t="n"/>
      <c r="J1052" s="44" t="n"/>
      <c r="K1052" s="36" t="n"/>
      <c r="L1052" s="33">
        <f>IF(C1052="","",Commercial_Id)</f>
        <v/>
      </c>
      <c r="M1052" s="34">
        <f>IF(OR(C1052="",F1052=""),"",IF(F1052&lt;&gt;"Espèces","—",IF(I1052&lt;&gt;"","☑ Oui","☐ Non")))</f>
        <v/>
      </c>
      <c r="N1052" s="39">
        <f>IF(D1052="","",IFERROR(VALUE(MID(D1052,LEN(D1052)-3,3)),""))</f>
        <v/>
      </c>
      <c r="O1052" s="33">
        <f>IF(N1052="","",L1052&amp;"|"&amp;N1052)</f>
        <v/>
      </c>
      <c r="P1052" s="33">
        <f>IF(N1052="","",IF(L1052="À RENSEIGNER","GIC",L1052)&amp;"-"&amp;TEXT(N1052,"000"))</f>
        <v/>
      </c>
      <c r="Q1052" s="33">
        <f>IF(O1052="","",IFERROR(INDEX(Cl_nom,MATCH(O1052,Cl_cle,0)),"(client introuvable)"))</f>
        <v/>
      </c>
      <c r="R1052" s="40">
        <f>IF(O1052="","",IFERROR(INDEX(Cl_reste,MATCH(O1052,Cl_cle,0)),""))</f>
        <v/>
      </c>
      <c r="S1052" s="34">
        <f>IF(C1052="","",YEAR(C1052-WEEKDAY(C1052,2)+4)&amp;"-S"&amp;TEXT(INT((C1052-DATE(YEAR(C1052-WEEKDAY(C1052,2)+4),1,3)+WEEKDAY(DATE(YEAR(C1052-WEEKDAY(C1052,2)+4),1,3),2)+5)/7),"00"))</f>
        <v/>
      </c>
    </row>
    <row r="1053" ht="18" customHeight="1">
      <c r="A1053" s="39" t="n">
        <v>1048</v>
      </c>
      <c r="B1053" s="33">
        <f>IF(C1053="","",IF(L1053="À RENSEIGNER","GIC",L1053)&amp;"-E"&amp;TEXT(A1053,"00000"))</f>
        <v/>
      </c>
      <c r="C1053" s="32" t="n"/>
      <c r="D1053" s="36" t="n"/>
      <c r="E1053" s="37" t="n"/>
      <c r="F1053" s="36" t="n"/>
      <c r="G1053" s="44" t="n"/>
      <c r="H1053" s="43" t="n"/>
      <c r="I1053" s="32" t="n"/>
      <c r="J1053" s="44" t="n"/>
      <c r="K1053" s="36" t="n"/>
      <c r="L1053" s="33">
        <f>IF(C1053="","",Commercial_Id)</f>
        <v/>
      </c>
      <c r="M1053" s="34">
        <f>IF(OR(C1053="",F1053=""),"",IF(F1053&lt;&gt;"Espèces","—",IF(I1053&lt;&gt;"","☑ Oui","☐ Non")))</f>
        <v/>
      </c>
      <c r="N1053" s="39">
        <f>IF(D1053="","",IFERROR(VALUE(MID(D1053,LEN(D1053)-3,3)),""))</f>
        <v/>
      </c>
      <c r="O1053" s="33">
        <f>IF(N1053="","",L1053&amp;"|"&amp;N1053)</f>
        <v/>
      </c>
      <c r="P1053" s="33">
        <f>IF(N1053="","",IF(L1053="À RENSEIGNER","GIC",L1053)&amp;"-"&amp;TEXT(N1053,"000"))</f>
        <v/>
      </c>
      <c r="Q1053" s="33">
        <f>IF(O1053="","",IFERROR(INDEX(Cl_nom,MATCH(O1053,Cl_cle,0)),"(client introuvable)"))</f>
        <v/>
      </c>
      <c r="R1053" s="40">
        <f>IF(O1053="","",IFERROR(INDEX(Cl_reste,MATCH(O1053,Cl_cle,0)),""))</f>
        <v/>
      </c>
      <c r="S1053" s="34">
        <f>IF(C1053="","",YEAR(C1053-WEEKDAY(C1053,2)+4)&amp;"-S"&amp;TEXT(INT((C1053-DATE(YEAR(C1053-WEEKDAY(C1053,2)+4),1,3)+WEEKDAY(DATE(YEAR(C1053-WEEKDAY(C1053,2)+4),1,3),2)+5)/7),"00"))</f>
        <v/>
      </c>
    </row>
    <row r="1054" ht="18" customHeight="1">
      <c r="A1054" s="39" t="n">
        <v>1049</v>
      </c>
      <c r="B1054" s="33">
        <f>IF(C1054="","",IF(L1054="À RENSEIGNER","GIC",L1054)&amp;"-E"&amp;TEXT(A1054,"00000"))</f>
        <v/>
      </c>
      <c r="C1054" s="32" t="n"/>
      <c r="D1054" s="36" t="n"/>
      <c r="E1054" s="37" t="n"/>
      <c r="F1054" s="36" t="n"/>
      <c r="G1054" s="44" t="n"/>
      <c r="H1054" s="43" t="n"/>
      <c r="I1054" s="32" t="n"/>
      <c r="J1054" s="44" t="n"/>
      <c r="K1054" s="36" t="n"/>
      <c r="L1054" s="33">
        <f>IF(C1054="","",Commercial_Id)</f>
        <v/>
      </c>
      <c r="M1054" s="34">
        <f>IF(OR(C1054="",F1054=""),"",IF(F1054&lt;&gt;"Espèces","—",IF(I1054&lt;&gt;"","☑ Oui","☐ Non")))</f>
        <v/>
      </c>
      <c r="N1054" s="39">
        <f>IF(D1054="","",IFERROR(VALUE(MID(D1054,LEN(D1054)-3,3)),""))</f>
        <v/>
      </c>
      <c r="O1054" s="33">
        <f>IF(N1054="","",L1054&amp;"|"&amp;N1054)</f>
        <v/>
      </c>
      <c r="P1054" s="33">
        <f>IF(N1054="","",IF(L1054="À RENSEIGNER","GIC",L1054)&amp;"-"&amp;TEXT(N1054,"000"))</f>
        <v/>
      </c>
      <c r="Q1054" s="33">
        <f>IF(O1054="","",IFERROR(INDEX(Cl_nom,MATCH(O1054,Cl_cle,0)),"(client introuvable)"))</f>
        <v/>
      </c>
      <c r="R1054" s="40">
        <f>IF(O1054="","",IFERROR(INDEX(Cl_reste,MATCH(O1054,Cl_cle,0)),""))</f>
        <v/>
      </c>
      <c r="S1054" s="34">
        <f>IF(C1054="","",YEAR(C1054-WEEKDAY(C1054,2)+4)&amp;"-S"&amp;TEXT(INT((C1054-DATE(YEAR(C1054-WEEKDAY(C1054,2)+4),1,3)+WEEKDAY(DATE(YEAR(C1054-WEEKDAY(C1054,2)+4),1,3),2)+5)/7),"00"))</f>
        <v/>
      </c>
    </row>
    <row r="1055" ht="18" customHeight="1">
      <c r="A1055" s="39" t="n">
        <v>1050</v>
      </c>
      <c r="B1055" s="33">
        <f>IF(C1055="","",IF(L1055="À RENSEIGNER","GIC",L1055)&amp;"-E"&amp;TEXT(A1055,"00000"))</f>
        <v/>
      </c>
      <c r="C1055" s="32" t="n"/>
      <c r="D1055" s="36" t="n"/>
      <c r="E1055" s="37" t="n"/>
      <c r="F1055" s="36" t="n"/>
      <c r="G1055" s="44" t="n"/>
      <c r="H1055" s="43" t="n"/>
      <c r="I1055" s="32" t="n"/>
      <c r="J1055" s="44" t="n"/>
      <c r="K1055" s="36" t="n"/>
      <c r="L1055" s="33">
        <f>IF(C1055="","",Commercial_Id)</f>
        <v/>
      </c>
      <c r="M1055" s="34">
        <f>IF(OR(C1055="",F1055=""),"",IF(F1055&lt;&gt;"Espèces","—",IF(I1055&lt;&gt;"","☑ Oui","☐ Non")))</f>
        <v/>
      </c>
      <c r="N1055" s="39">
        <f>IF(D1055="","",IFERROR(VALUE(MID(D1055,LEN(D1055)-3,3)),""))</f>
        <v/>
      </c>
      <c r="O1055" s="33">
        <f>IF(N1055="","",L1055&amp;"|"&amp;N1055)</f>
        <v/>
      </c>
      <c r="P1055" s="33">
        <f>IF(N1055="","",IF(L1055="À RENSEIGNER","GIC",L1055)&amp;"-"&amp;TEXT(N1055,"000"))</f>
        <v/>
      </c>
      <c r="Q1055" s="33">
        <f>IF(O1055="","",IFERROR(INDEX(Cl_nom,MATCH(O1055,Cl_cle,0)),"(client introuvable)"))</f>
        <v/>
      </c>
      <c r="R1055" s="40">
        <f>IF(O1055="","",IFERROR(INDEX(Cl_reste,MATCH(O1055,Cl_cle,0)),""))</f>
        <v/>
      </c>
      <c r="S1055" s="34">
        <f>IF(C1055="","",YEAR(C1055-WEEKDAY(C1055,2)+4)&amp;"-S"&amp;TEXT(INT((C1055-DATE(YEAR(C1055-WEEKDAY(C1055,2)+4),1,3)+WEEKDAY(DATE(YEAR(C1055-WEEKDAY(C1055,2)+4),1,3),2)+5)/7),"00"))</f>
        <v/>
      </c>
    </row>
    <row r="1056" ht="18" customHeight="1">
      <c r="A1056" s="39" t="n">
        <v>1051</v>
      </c>
      <c r="B1056" s="33">
        <f>IF(C1056="","",IF(L1056="À RENSEIGNER","GIC",L1056)&amp;"-E"&amp;TEXT(A1056,"00000"))</f>
        <v/>
      </c>
      <c r="C1056" s="32" t="n"/>
      <c r="D1056" s="36" t="n"/>
      <c r="E1056" s="37" t="n"/>
      <c r="F1056" s="36" t="n"/>
      <c r="G1056" s="44" t="n"/>
      <c r="H1056" s="43" t="n"/>
      <c r="I1056" s="32" t="n"/>
      <c r="J1056" s="44" t="n"/>
      <c r="K1056" s="36" t="n"/>
      <c r="L1056" s="33">
        <f>IF(C1056="","",Commercial_Id)</f>
        <v/>
      </c>
      <c r="M1056" s="34">
        <f>IF(OR(C1056="",F1056=""),"",IF(F1056&lt;&gt;"Espèces","—",IF(I1056&lt;&gt;"","☑ Oui","☐ Non")))</f>
        <v/>
      </c>
      <c r="N1056" s="39">
        <f>IF(D1056="","",IFERROR(VALUE(MID(D1056,LEN(D1056)-3,3)),""))</f>
        <v/>
      </c>
      <c r="O1056" s="33">
        <f>IF(N1056="","",L1056&amp;"|"&amp;N1056)</f>
        <v/>
      </c>
      <c r="P1056" s="33">
        <f>IF(N1056="","",IF(L1056="À RENSEIGNER","GIC",L1056)&amp;"-"&amp;TEXT(N1056,"000"))</f>
        <v/>
      </c>
      <c r="Q1056" s="33">
        <f>IF(O1056="","",IFERROR(INDEX(Cl_nom,MATCH(O1056,Cl_cle,0)),"(client introuvable)"))</f>
        <v/>
      </c>
      <c r="R1056" s="40">
        <f>IF(O1056="","",IFERROR(INDEX(Cl_reste,MATCH(O1056,Cl_cle,0)),""))</f>
        <v/>
      </c>
      <c r="S1056" s="34">
        <f>IF(C1056="","",YEAR(C1056-WEEKDAY(C1056,2)+4)&amp;"-S"&amp;TEXT(INT((C1056-DATE(YEAR(C1056-WEEKDAY(C1056,2)+4),1,3)+WEEKDAY(DATE(YEAR(C1056-WEEKDAY(C1056,2)+4),1,3),2)+5)/7),"00"))</f>
        <v/>
      </c>
    </row>
    <row r="1057" ht="18" customHeight="1">
      <c r="A1057" s="39" t="n">
        <v>1052</v>
      </c>
      <c r="B1057" s="33">
        <f>IF(C1057="","",IF(L1057="À RENSEIGNER","GIC",L1057)&amp;"-E"&amp;TEXT(A1057,"00000"))</f>
        <v/>
      </c>
      <c r="C1057" s="32" t="n"/>
      <c r="D1057" s="36" t="n"/>
      <c r="E1057" s="37" t="n"/>
      <c r="F1057" s="36" t="n"/>
      <c r="G1057" s="44" t="n"/>
      <c r="H1057" s="43" t="n"/>
      <c r="I1057" s="32" t="n"/>
      <c r="J1057" s="44" t="n"/>
      <c r="K1057" s="36" t="n"/>
      <c r="L1057" s="33">
        <f>IF(C1057="","",Commercial_Id)</f>
        <v/>
      </c>
      <c r="M1057" s="34">
        <f>IF(OR(C1057="",F1057=""),"",IF(F1057&lt;&gt;"Espèces","—",IF(I1057&lt;&gt;"","☑ Oui","☐ Non")))</f>
        <v/>
      </c>
      <c r="N1057" s="39">
        <f>IF(D1057="","",IFERROR(VALUE(MID(D1057,LEN(D1057)-3,3)),""))</f>
        <v/>
      </c>
      <c r="O1057" s="33">
        <f>IF(N1057="","",L1057&amp;"|"&amp;N1057)</f>
        <v/>
      </c>
      <c r="P1057" s="33">
        <f>IF(N1057="","",IF(L1057="À RENSEIGNER","GIC",L1057)&amp;"-"&amp;TEXT(N1057,"000"))</f>
        <v/>
      </c>
      <c r="Q1057" s="33">
        <f>IF(O1057="","",IFERROR(INDEX(Cl_nom,MATCH(O1057,Cl_cle,0)),"(client introuvable)"))</f>
        <v/>
      </c>
      <c r="R1057" s="40">
        <f>IF(O1057="","",IFERROR(INDEX(Cl_reste,MATCH(O1057,Cl_cle,0)),""))</f>
        <v/>
      </c>
      <c r="S1057" s="34">
        <f>IF(C1057="","",YEAR(C1057-WEEKDAY(C1057,2)+4)&amp;"-S"&amp;TEXT(INT((C1057-DATE(YEAR(C1057-WEEKDAY(C1057,2)+4),1,3)+WEEKDAY(DATE(YEAR(C1057-WEEKDAY(C1057,2)+4),1,3),2)+5)/7),"00"))</f>
        <v/>
      </c>
    </row>
    <row r="1058" ht="18" customHeight="1">
      <c r="A1058" s="39" t="n">
        <v>1053</v>
      </c>
      <c r="B1058" s="33">
        <f>IF(C1058="","",IF(L1058="À RENSEIGNER","GIC",L1058)&amp;"-E"&amp;TEXT(A1058,"00000"))</f>
        <v/>
      </c>
      <c r="C1058" s="32" t="n"/>
      <c r="D1058" s="36" t="n"/>
      <c r="E1058" s="37" t="n"/>
      <c r="F1058" s="36" t="n"/>
      <c r="G1058" s="44" t="n"/>
      <c r="H1058" s="43" t="n"/>
      <c r="I1058" s="32" t="n"/>
      <c r="J1058" s="44" t="n"/>
      <c r="K1058" s="36" t="n"/>
      <c r="L1058" s="33">
        <f>IF(C1058="","",Commercial_Id)</f>
        <v/>
      </c>
      <c r="M1058" s="34">
        <f>IF(OR(C1058="",F1058=""),"",IF(F1058&lt;&gt;"Espèces","—",IF(I1058&lt;&gt;"","☑ Oui","☐ Non")))</f>
        <v/>
      </c>
      <c r="N1058" s="39">
        <f>IF(D1058="","",IFERROR(VALUE(MID(D1058,LEN(D1058)-3,3)),""))</f>
        <v/>
      </c>
      <c r="O1058" s="33">
        <f>IF(N1058="","",L1058&amp;"|"&amp;N1058)</f>
        <v/>
      </c>
      <c r="P1058" s="33">
        <f>IF(N1058="","",IF(L1058="À RENSEIGNER","GIC",L1058)&amp;"-"&amp;TEXT(N1058,"000"))</f>
        <v/>
      </c>
      <c r="Q1058" s="33">
        <f>IF(O1058="","",IFERROR(INDEX(Cl_nom,MATCH(O1058,Cl_cle,0)),"(client introuvable)"))</f>
        <v/>
      </c>
      <c r="R1058" s="40">
        <f>IF(O1058="","",IFERROR(INDEX(Cl_reste,MATCH(O1058,Cl_cle,0)),""))</f>
        <v/>
      </c>
      <c r="S1058" s="34">
        <f>IF(C1058="","",YEAR(C1058-WEEKDAY(C1058,2)+4)&amp;"-S"&amp;TEXT(INT((C1058-DATE(YEAR(C1058-WEEKDAY(C1058,2)+4),1,3)+WEEKDAY(DATE(YEAR(C1058-WEEKDAY(C1058,2)+4),1,3),2)+5)/7),"00"))</f>
        <v/>
      </c>
    </row>
    <row r="1059" ht="18" customHeight="1">
      <c r="A1059" s="39" t="n">
        <v>1054</v>
      </c>
      <c r="B1059" s="33">
        <f>IF(C1059="","",IF(L1059="À RENSEIGNER","GIC",L1059)&amp;"-E"&amp;TEXT(A1059,"00000"))</f>
        <v/>
      </c>
      <c r="C1059" s="32" t="n"/>
      <c r="D1059" s="36" t="n"/>
      <c r="E1059" s="37" t="n"/>
      <c r="F1059" s="36" t="n"/>
      <c r="G1059" s="44" t="n"/>
      <c r="H1059" s="43" t="n"/>
      <c r="I1059" s="32" t="n"/>
      <c r="J1059" s="44" t="n"/>
      <c r="K1059" s="36" t="n"/>
      <c r="L1059" s="33">
        <f>IF(C1059="","",Commercial_Id)</f>
        <v/>
      </c>
      <c r="M1059" s="34">
        <f>IF(OR(C1059="",F1059=""),"",IF(F1059&lt;&gt;"Espèces","—",IF(I1059&lt;&gt;"","☑ Oui","☐ Non")))</f>
        <v/>
      </c>
      <c r="N1059" s="39">
        <f>IF(D1059="","",IFERROR(VALUE(MID(D1059,LEN(D1059)-3,3)),""))</f>
        <v/>
      </c>
      <c r="O1059" s="33">
        <f>IF(N1059="","",L1059&amp;"|"&amp;N1059)</f>
        <v/>
      </c>
      <c r="P1059" s="33">
        <f>IF(N1059="","",IF(L1059="À RENSEIGNER","GIC",L1059)&amp;"-"&amp;TEXT(N1059,"000"))</f>
        <v/>
      </c>
      <c r="Q1059" s="33">
        <f>IF(O1059="","",IFERROR(INDEX(Cl_nom,MATCH(O1059,Cl_cle,0)),"(client introuvable)"))</f>
        <v/>
      </c>
      <c r="R1059" s="40">
        <f>IF(O1059="","",IFERROR(INDEX(Cl_reste,MATCH(O1059,Cl_cle,0)),""))</f>
        <v/>
      </c>
      <c r="S1059" s="34">
        <f>IF(C1059="","",YEAR(C1059-WEEKDAY(C1059,2)+4)&amp;"-S"&amp;TEXT(INT((C1059-DATE(YEAR(C1059-WEEKDAY(C1059,2)+4),1,3)+WEEKDAY(DATE(YEAR(C1059-WEEKDAY(C1059,2)+4),1,3),2)+5)/7),"00"))</f>
        <v/>
      </c>
    </row>
    <row r="1060" ht="18" customHeight="1">
      <c r="A1060" s="39" t="n">
        <v>1055</v>
      </c>
      <c r="B1060" s="33">
        <f>IF(C1060="","",IF(L1060="À RENSEIGNER","GIC",L1060)&amp;"-E"&amp;TEXT(A1060,"00000"))</f>
        <v/>
      </c>
      <c r="C1060" s="32" t="n"/>
      <c r="D1060" s="36" t="n"/>
      <c r="E1060" s="37" t="n"/>
      <c r="F1060" s="36" t="n"/>
      <c r="G1060" s="44" t="n"/>
      <c r="H1060" s="43" t="n"/>
      <c r="I1060" s="32" t="n"/>
      <c r="J1060" s="44" t="n"/>
      <c r="K1060" s="36" t="n"/>
      <c r="L1060" s="33">
        <f>IF(C1060="","",Commercial_Id)</f>
        <v/>
      </c>
      <c r="M1060" s="34">
        <f>IF(OR(C1060="",F1060=""),"",IF(F1060&lt;&gt;"Espèces","—",IF(I1060&lt;&gt;"","☑ Oui","☐ Non")))</f>
        <v/>
      </c>
      <c r="N1060" s="39">
        <f>IF(D1060="","",IFERROR(VALUE(MID(D1060,LEN(D1060)-3,3)),""))</f>
        <v/>
      </c>
      <c r="O1060" s="33">
        <f>IF(N1060="","",L1060&amp;"|"&amp;N1060)</f>
        <v/>
      </c>
      <c r="P1060" s="33">
        <f>IF(N1060="","",IF(L1060="À RENSEIGNER","GIC",L1060)&amp;"-"&amp;TEXT(N1060,"000"))</f>
        <v/>
      </c>
      <c r="Q1060" s="33">
        <f>IF(O1060="","",IFERROR(INDEX(Cl_nom,MATCH(O1060,Cl_cle,0)),"(client introuvable)"))</f>
        <v/>
      </c>
      <c r="R1060" s="40">
        <f>IF(O1060="","",IFERROR(INDEX(Cl_reste,MATCH(O1060,Cl_cle,0)),""))</f>
        <v/>
      </c>
      <c r="S1060" s="34">
        <f>IF(C1060="","",YEAR(C1060-WEEKDAY(C1060,2)+4)&amp;"-S"&amp;TEXT(INT((C1060-DATE(YEAR(C1060-WEEKDAY(C1060,2)+4),1,3)+WEEKDAY(DATE(YEAR(C1060-WEEKDAY(C1060,2)+4),1,3),2)+5)/7),"00"))</f>
        <v/>
      </c>
    </row>
    <row r="1061" ht="18" customHeight="1">
      <c r="A1061" s="39" t="n">
        <v>1056</v>
      </c>
      <c r="B1061" s="33">
        <f>IF(C1061="","",IF(L1061="À RENSEIGNER","GIC",L1061)&amp;"-E"&amp;TEXT(A1061,"00000"))</f>
        <v/>
      </c>
      <c r="C1061" s="32" t="n"/>
      <c r="D1061" s="36" t="n"/>
      <c r="E1061" s="37" t="n"/>
      <c r="F1061" s="36" t="n"/>
      <c r="G1061" s="44" t="n"/>
      <c r="H1061" s="43" t="n"/>
      <c r="I1061" s="32" t="n"/>
      <c r="J1061" s="44" t="n"/>
      <c r="K1061" s="36" t="n"/>
      <c r="L1061" s="33">
        <f>IF(C1061="","",Commercial_Id)</f>
        <v/>
      </c>
      <c r="M1061" s="34">
        <f>IF(OR(C1061="",F1061=""),"",IF(F1061&lt;&gt;"Espèces","—",IF(I1061&lt;&gt;"","☑ Oui","☐ Non")))</f>
        <v/>
      </c>
      <c r="N1061" s="39">
        <f>IF(D1061="","",IFERROR(VALUE(MID(D1061,LEN(D1061)-3,3)),""))</f>
        <v/>
      </c>
      <c r="O1061" s="33">
        <f>IF(N1061="","",L1061&amp;"|"&amp;N1061)</f>
        <v/>
      </c>
      <c r="P1061" s="33">
        <f>IF(N1061="","",IF(L1061="À RENSEIGNER","GIC",L1061)&amp;"-"&amp;TEXT(N1061,"000"))</f>
        <v/>
      </c>
      <c r="Q1061" s="33">
        <f>IF(O1061="","",IFERROR(INDEX(Cl_nom,MATCH(O1061,Cl_cle,0)),"(client introuvable)"))</f>
        <v/>
      </c>
      <c r="R1061" s="40">
        <f>IF(O1061="","",IFERROR(INDEX(Cl_reste,MATCH(O1061,Cl_cle,0)),""))</f>
        <v/>
      </c>
      <c r="S1061" s="34">
        <f>IF(C1061="","",YEAR(C1061-WEEKDAY(C1061,2)+4)&amp;"-S"&amp;TEXT(INT((C1061-DATE(YEAR(C1061-WEEKDAY(C1061,2)+4),1,3)+WEEKDAY(DATE(YEAR(C1061-WEEKDAY(C1061,2)+4),1,3),2)+5)/7),"00"))</f>
        <v/>
      </c>
    </row>
    <row r="1062" ht="18" customHeight="1">
      <c r="A1062" s="39" t="n">
        <v>1057</v>
      </c>
      <c r="B1062" s="33">
        <f>IF(C1062="","",IF(L1062="À RENSEIGNER","GIC",L1062)&amp;"-E"&amp;TEXT(A1062,"00000"))</f>
        <v/>
      </c>
      <c r="C1062" s="32" t="n"/>
      <c r="D1062" s="36" t="n"/>
      <c r="E1062" s="37" t="n"/>
      <c r="F1062" s="36" t="n"/>
      <c r="G1062" s="44" t="n"/>
      <c r="H1062" s="43" t="n"/>
      <c r="I1062" s="32" t="n"/>
      <c r="J1062" s="44" t="n"/>
      <c r="K1062" s="36" t="n"/>
      <c r="L1062" s="33">
        <f>IF(C1062="","",Commercial_Id)</f>
        <v/>
      </c>
      <c r="M1062" s="34">
        <f>IF(OR(C1062="",F1062=""),"",IF(F1062&lt;&gt;"Espèces","—",IF(I1062&lt;&gt;"","☑ Oui","☐ Non")))</f>
        <v/>
      </c>
      <c r="N1062" s="39">
        <f>IF(D1062="","",IFERROR(VALUE(MID(D1062,LEN(D1062)-3,3)),""))</f>
        <v/>
      </c>
      <c r="O1062" s="33">
        <f>IF(N1062="","",L1062&amp;"|"&amp;N1062)</f>
        <v/>
      </c>
      <c r="P1062" s="33">
        <f>IF(N1062="","",IF(L1062="À RENSEIGNER","GIC",L1062)&amp;"-"&amp;TEXT(N1062,"000"))</f>
        <v/>
      </c>
      <c r="Q1062" s="33">
        <f>IF(O1062="","",IFERROR(INDEX(Cl_nom,MATCH(O1062,Cl_cle,0)),"(client introuvable)"))</f>
        <v/>
      </c>
      <c r="R1062" s="40">
        <f>IF(O1062="","",IFERROR(INDEX(Cl_reste,MATCH(O1062,Cl_cle,0)),""))</f>
        <v/>
      </c>
      <c r="S1062" s="34">
        <f>IF(C1062="","",YEAR(C1062-WEEKDAY(C1062,2)+4)&amp;"-S"&amp;TEXT(INT((C1062-DATE(YEAR(C1062-WEEKDAY(C1062,2)+4),1,3)+WEEKDAY(DATE(YEAR(C1062-WEEKDAY(C1062,2)+4),1,3),2)+5)/7),"00"))</f>
        <v/>
      </c>
    </row>
    <row r="1063" ht="18" customHeight="1">
      <c r="A1063" s="39" t="n">
        <v>1058</v>
      </c>
      <c r="B1063" s="33">
        <f>IF(C1063="","",IF(L1063="À RENSEIGNER","GIC",L1063)&amp;"-E"&amp;TEXT(A1063,"00000"))</f>
        <v/>
      </c>
      <c r="C1063" s="32" t="n"/>
      <c r="D1063" s="36" t="n"/>
      <c r="E1063" s="37" t="n"/>
      <c r="F1063" s="36" t="n"/>
      <c r="G1063" s="44" t="n"/>
      <c r="H1063" s="43" t="n"/>
      <c r="I1063" s="32" t="n"/>
      <c r="J1063" s="44" t="n"/>
      <c r="K1063" s="36" t="n"/>
      <c r="L1063" s="33">
        <f>IF(C1063="","",Commercial_Id)</f>
        <v/>
      </c>
      <c r="M1063" s="34">
        <f>IF(OR(C1063="",F1063=""),"",IF(F1063&lt;&gt;"Espèces","—",IF(I1063&lt;&gt;"","☑ Oui","☐ Non")))</f>
        <v/>
      </c>
      <c r="N1063" s="39">
        <f>IF(D1063="","",IFERROR(VALUE(MID(D1063,LEN(D1063)-3,3)),""))</f>
        <v/>
      </c>
      <c r="O1063" s="33">
        <f>IF(N1063="","",L1063&amp;"|"&amp;N1063)</f>
        <v/>
      </c>
      <c r="P1063" s="33">
        <f>IF(N1063="","",IF(L1063="À RENSEIGNER","GIC",L1063)&amp;"-"&amp;TEXT(N1063,"000"))</f>
        <v/>
      </c>
      <c r="Q1063" s="33">
        <f>IF(O1063="","",IFERROR(INDEX(Cl_nom,MATCH(O1063,Cl_cle,0)),"(client introuvable)"))</f>
        <v/>
      </c>
      <c r="R1063" s="40">
        <f>IF(O1063="","",IFERROR(INDEX(Cl_reste,MATCH(O1063,Cl_cle,0)),""))</f>
        <v/>
      </c>
      <c r="S1063" s="34">
        <f>IF(C1063="","",YEAR(C1063-WEEKDAY(C1063,2)+4)&amp;"-S"&amp;TEXT(INT((C1063-DATE(YEAR(C1063-WEEKDAY(C1063,2)+4),1,3)+WEEKDAY(DATE(YEAR(C1063-WEEKDAY(C1063,2)+4),1,3),2)+5)/7),"00"))</f>
        <v/>
      </c>
    </row>
    <row r="1064" ht="18" customHeight="1">
      <c r="A1064" s="39" t="n">
        <v>1059</v>
      </c>
      <c r="B1064" s="33">
        <f>IF(C1064="","",IF(L1064="À RENSEIGNER","GIC",L1064)&amp;"-E"&amp;TEXT(A1064,"00000"))</f>
        <v/>
      </c>
      <c r="C1064" s="32" t="n"/>
      <c r="D1064" s="36" t="n"/>
      <c r="E1064" s="37" t="n"/>
      <c r="F1064" s="36" t="n"/>
      <c r="G1064" s="44" t="n"/>
      <c r="H1064" s="43" t="n"/>
      <c r="I1064" s="32" t="n"/>
      <c r="J1064" s="44" t="n"/>
      <c r="K1064" s="36" t="n"/>
      <c r="L1064" s="33">
        <f>IF(C1064="","",Commercial_Id)</f>
        <v/>
      </c>
      <c r="M1064" s="34">
        <f>IF(OR(C1064="",F1064=""),"",IF(F1064&lt;&gt;"Espèces","—",IF(I1064&lt;&gt;"","☑ Oui","☐ Non")))</f>
        <v/>
      </c>
      <c r="N1064" s="39">
        <f>IF(D1064="","",IFERROR(VALUE(MID(D1064,LEN(D1064)-3,3)),""))</f>
        <v/>
      </c>
      <c r="O1064" s="33">
        <f>IF(N1064="","",L1064&amp;"|"&amp;N1064)</f>
        <v/>
      </c>
      <c r="P1064" s="33">
        <f>IF(N1064="","",IF(L1064="À RENSEIGNER","GIC",L1064)&amp;"-"&amp;TEXT(N1064,"000"))</f>
        <v/>
      </c>
      <c r="Q1064" s="33">
        <f>IF(O1064="","",IFERROR(INDEX(Cl_nom,MATCH(O1064,Cl_cle,0)),"(client introuvable)"))</f>
        <v/>
      </c>
      <c r="R1064" s="40">
        <f>IF(O1064="","",IFERROR(INDEX(Cl_reste,MATCH(O1064,Cl_cle,0)),""))</f>
        <v/>
      </c>
      <c r="S1064" s="34">
        <f>IF(C1064="","",YEAR(C1064-WEEKDAY(C1064,2)+4)&amp;"-S"&amp;TEXT(INT((C1064-DATE(YEAR(C1064-WEEKDAY(C1064,2)+4),1,3)+WEEKDAY(DATE(YEAR(C1064-WEEKDAY(C1064,2)+4),1,3),2)+5)/7),"00"))</f>
        <v/>
      </c>
    </row>
    <row r="1065" ht="18" customHeight="1">
      <c r="A1065" s="39" t="n">
        <v>1060</v>
      </c>
      <c r="B1065" s="33">
        <f>IF(C1065="","",IF(L1065="À RENSEIGNER","GIC",L1065)&amp;"-E"&amp;TEXT(A1065,"00000"))</f>
        <v/>
      </c>
      <c r="C1065" s="32" t="n"/>
      <c r="D1065" s="36" t="n"/>
      <c r="E1065" s="37" t="n"/>
      <c r="F1065" s="36" t="n"/>
      <c r="G1065" s="44" t="n"/>
      <c r="H1065" s="43" t="n"/>
      <c r="I1065" s="32" t="n"/>
      <c r="J1065" s="44" t="n"/>
      <c r="K1065" s="36" t="n"/>
      <c r="L1065" s="33">
        <f>IF(C1065="","",Commercial_Id)</f>
        <v/>
      </c>
      <c r="M1065" s="34">
        <f>IF(OR(C1065="",F1065=""),"",IF(F1065&lt;&gt;"Espèces","—",IF(I1065&lt;&gt;"","☑ Oui","☐ Non")))</f>
        <v/>
      </c>
      <c r="N1065" s="39">
        <f>IF(D1065="","",IFERROR(VALUE(MID(D1065,LEN(D1065)-3,3)),""))</f>
        <v/>
      </c>
      <c r="O1065" s="33">
        <f>IF(N1065="","",L1065&amp;"|"&amp;N1065)</f>
        <v/>
      </c>
      <c r="P1065" s="33">
        <f>IF(N1065="","",IF(L1065="À RENSEIGNER","GIC",L1065)&amp;"-"&amp;TEXT(N1065,"000"))</f>
        <v/>
      </c>
      <c r="Q1065" s="33">
        <f>IF(O1065="","",IFERROR(INDEX(Cl_nom,MATCH(O1065,Cl_cle,0)),"(client introuvable)"))</f>
        <v/>
      </c>
      <c r="R1065" s="40">
        <f>IF(O1065="","",IFERROR(INDEX(Cl_reste,MATCH(O1065,Cl_cle,0)),""))</f>
        <v/>
      </c>
      <c r="S1065" s="34">
        <f>IF(C1065="","",YEAR(C1065-WEEKDAY(C1065,2)+4)&amp;"-S"&amp;TEXT(INT((C1065-DATE(YEAR(C1065-WEEKDAY(C1065,2)+4),1,3)+WEEKDAY(DATE(YEAR(C1065-WEEKDAY(C1065,2)+4),1,3),2)+5)/7),"00"))</f>
        <v/>
      </c>
    </row>
    <row r="1066" ht="18" customHeight="1">
      <c r="A1066" s="39" t="n">
        <v>1061</v>
      </c>
      <c r="B1066" s="33">
        <f>IF(C1066="","",IF(L1066="À RENSEIGNER","GIC",L1066)&amp;"-E"&amp;TEXT(A1066,"00000"))</f>
        <v/>
      </c>
      <c r="C1066" s="32" t="n"/>
      <c r="D1066" s="36" t="n"/>
      <c r="E1066" s="37" t="n"/>
      <c r="F1066" s="36" t="n"/>
      <c r="G1066" s="44" t="n"/>
      <c r="H1066" s="43" t="n"/>
      <c r="I1066" s="32" t="n"/>
      <c r="J1066" s="44" t="n"/>
      <c r="K1066" s="36" t="n"/>
      <c r="L1066" s="33">
        <f>IF(C1066="","",Commercial_Id)</f>
        <v/>
      </c>
      <c r="M1066" s="34">
        <f>IF(OR(C1066="",F1066=""),"",IF(F1066&lt;&gt;"Espèces","—",IF(I1066&lt;&gt;"","☑ Oui","☐ Non")))</f>
        <v/>
      </c>
      <c r="N1066" s="39">
        <f>IF(D1066="","",IFERROR(VALUE(MID(D1066,LEN(D1066)-3,3)),""))</f>
        <v/>
      </c>
      <c r="O1066" s="33">
        <f>IF(N1066="","",L1066&amp;"|"&amp;N1066)</f>
        <v/>
      </c>
      <c r="P1066" s="33">
        <f>IF(N1066="","",IF(L1066="À RENSEIGNER","GIC",L1066)&amp;"-"&amp;TEXT(N1066,"000"))</f>
        <v/>
      </c>
      <c r="Q1066" s="33">
        <f>IF(O1066="","",IFERROR(INDEX(Cl_nom,MATCH(O1066,Cl_cle,0)),"(client introuvable)"))</f>
        <v/>
      </c>
      <c r="R1066" s="40">
        <f>IF(O1066="","",IFERROR(INDEX(Cl_reste,MATCH(O1066,Cl_cle,0)),""))</f>
        <v/>
      </c>
      <c r="S1066" s="34">
        <f>IF(C1066="","",YEAR(C1066-WEEKDAY(C1066,2)+4)&amp;"-S"&amp;TEXT(INT((C1066-DATE(YEAR(C1066-WEEKDAY(C1066,2)+4),1,3)+WEEKDAY(DATE(YEAR(C1066-WEEKDAY(C1066,2)+4),1,3),2)+5)/7),"00"))</f>
        <v/>
      </c>
    </row>
    <row r="1067" ht="18" customHeight="1">
      <c r="A1067" s="39" t="n">
        <v>1062</v>
      </c>
      <c r="B1067" s="33">
        <f>IF(C1067="","",IF(L1067="À RENSEIGNER","GIC",L1067)&amp;"-E"&amp;TEXT(A1067,"00000"))</f>
        <v/>
      </c>
      <c r="C1067" s="32" t="n"/>
      <c r="D1067" s="36" t="n"/>
      <c r="E1067" s="37" t="n"/>
      <c r="F1067" s="36" t="n"/>
      <c r="G1067" s="44" t="n"/>
      <c r="H1067" s="43" t="n"/>
      <c r="I1067" s="32" t="n"/>
      <c r="J1067" s="44" t="n"/>
      <c r="K1067" s="36" t="n"/>
      <c r="L1067" s="33">
        <f>IF(C1067="","",Commercial_Id)</f>
        <v/>
      </c>
      <c r="M1067" s="34">
        <f>IF(OR(C1067="",F1067=""),"",IF(F1067&lt;&gt;"Espèces","—",IF(I1067&lt;&gt;"","☑ Oui","☐ Non")))</f>
        <v/>
      </c>
      <c r="N1067" s="39">
        <f>IF(D1067="","",IFERROR(VALUE(MID(D1067,LEN(D1067)-3,3)),""))</f>
        <v/>
      </c>
      <c r="O1067" s="33">
        <f>IF(N1067="","",L1067&amp;"|"&amp;N1067)</f>
        <v/>
      </c>
      <c r="P1067" s="33">
        <f>IF(N1067="","",IF(L1067="À RENSEIGNER","GIC",L1067)&amp;"-"&amp;TEXT(N1067,"000"))</f>
        <v/>
      </c>
      <c r="Q1067" s="33">
        <f>IF(O1067="","",IFERROR(INDEX(Cl_nom,MATCH(O1067,Cl_cle,0)),"(client introuvable)"))</f>
        <v/>
      </c>
      <c r="R1067" s="40">
        <f>IF(O1067="","",IFERROR(INDEX(Cl_reste,MATCH(O1067,Cl_cle,0)),""))</f>
        <v/>
      </c>
      <c r="S1067" s="34">
        <f>IF(C1067="","",YEAR(C1067-WEEKDAY(C1067,2)+4)&amp;"-S"&amp;TEXT(INT((C1067-DATE(YEAR(C1067-WEEKDAY(C1067,2)+4),1,3)+WEEKDAY(DATE(YEAR(C1067-WEEKDAY(C1067,2)+4),1,3),2)+5)/7),"00"))</f>
        <v/>
      </c>
    </row>
    <row r="1068" ht="18" customHeight="1">
      <c r="A1068" s="39" t="n">
        <v>1063</v>
      </c>
      <c r="B1068" s="33">
        <f>IF(C1068="","",IF(L1068="À RENSEIGNER","GIC",L1068)&amp;"-E"&amp;TEXT(A1068,"00000"))</f>
        <v/>
      </c>
      <c r="C1068" s="32" t="n"/>
      <c r="D1068" s="36" t="n"/>
      <c r="E1068" s="37" t="n"/>
      <c r="F1068" s="36" t="n"/>
      <c r="G1068" s="44" t="n"/>
      <c r="H1068" s="43" t="n"/>
      <c r="I1068" s="32" t="n"/>
      <c r="J1068" s="44" t="n"/>
      <c r="K1068" s="36" t="n"/>
      <c r="L1068" s="33">
        <f>IF(C1068="","",Commercial_Id)</f>
        <v/>
      </c>
      <c r="M1068" s="34">
        <f>IF(OR(C1068="",F1068=""),"",IF(F1068&lt;&gt;"Espèces","—",IF(I1068&lt;&gt;"","☑ Oui","☐ Non")))</f>
        <v/>
      </c>
      <c r="N1068" s="39">
        <f>IF(D1068="","",IFERROR(VALUE(MID(D1068,LEN(D1068)-3,3)),""))</f>
        <v/>
      </c>
      <c r="O1068" s="33">
        <f>IF(N1068="","",L1068&amp;"|"&amp;N1068)</f>
        <v/>
      </c>
      <c r="P1068" s="33">
        <f>IF(N1068="","",IF(L1068="À RENSEIGNER","GIC",L1068)&amp;"-"&amp;TEXT(N1068,"000"))</f>
        <v/>
      </c>
      <c r="Q1068" s="33">
        <f>IF(O1068="","",IFERROR(INDEX(Cl_nom,MATCH(O1068,Cl_cle,0)),"(client introuvable)"))</f>
        <v/>
      </c>
      <c r="R1068" s="40">
        <f>IF(O1068="","",IFERROR(INDEX(Cl_reste,MATCH(O1068,Cl_cle,0)),""))</f>
        <v/>
      </c>
      <c r="S1068" s="34">
        <f>IF(C1068="","",YEAR(C1068-WEEKDAY(C1068,2)+4)&amp;"-S"&amp;TEXT(INT((C1068-DATE(YEAR(C1068-WEEKDAY(C1068,2)+4),1,3)+WEEKDAY(DATE(YEAR(C1068-WEEKDAY(C1068,2)+4),1,3),2)+5)/7),"00"))</f>
        <v/>
      </c>
    </row>
    <row r="1069" ht="18" customHeight="1">
      <c r="A1069" s="39" t="n">
        <v>1064</v>
      </c>
      <c r="B1069" s="33">
        <f>IF(C1069="","",IF(L1069="À RENSEIGNER","GIC",L1069)&amp;"-E"&amp;TEXT(A1069,"00000"))</f>
        <v/>
      </c>
      <c r="C1069" s="32" t="n"/>
      <c r="D1069" s="36" t="n"/>
      <c r="E1069" s="37" t="n"/>
      <c r="F1069" s="36" t="n"/>
      <c r="G1069" s="44" t="n"/>
      <c r="H1069" s="43" t="n"/>
      <c r="I1069" s="32" t="n"/>
      <c r="J1069" s="44" t="n"/>
      <c r="K1069" s="36" t="n"/>
      <c r="L1069" s="33">
        <f>IF(C1069="","",Commercial_Id)</f>
        <v/>
      </c>
      <c r="M1069" s="34">
        <f>IF(OR(C1069="",F1069=""),"",IF(F1069&lt;&gt;"Espèces","—",IF(I1069&lt;&gt;"","☑ Oui","☐ Non")))</f>
        <v/>
      </c>
      <c r="N1069" s="39">
        <f>IF(D1069="","",IFERROR(VALUE(MID(D1069,LEN(D1069)-3,3)),""))</f>
        <v/>
      </c>
      <c r="O1069" s="33">
        <f>IF(N1069="","",L1069&amp;"|"&amp;N1069)</f>
        <v/>
      </c>
      <c r="P1069" s="33">
        <f>IF(N1069="","",IF(L1069="À RENSEIGNER","GIC",L1069)&amp;"-"&amp;TEXT(N1069,"000"))</f>
        <v/>
      </c>
      <c r="Q1069" s="33">
        <f>IF(O1069="","",IFERROR(INDEX(Cl_nom,MATCH(O1069,Cl_cle,0)),"(client introuvable)"))</f>
        <v/>
      </c>
      <c r="R1069" s="40">
        <f>IF(O1069="","",IFERROR(INDEX(Cl_reste,MATCH(O1069,Cl_cle,0)),""))</f>
        <v/>
      </c>
      <c r="S1069" s="34">
        <f>IF(C1069="","",YEAR(C1069-WEEKDAY(C1069,2)+4)&amp;"-S"&amp;TEXT(INT((C1069-DATE(YEAR(C1069-WEEKDAY(C1069,2)+4),1,3)+WEEKDAY(DATE(YEAR(C1069-WEEKDAY(C1069,2)+4),1,3),2)+5)/7),"00"))</f>
        <v/>
      </c>
    </row>
    <row r="1070" ht="18" customHeight="1">
      <c r="A1070" s="39" t="n">
        <v>1065</v>
      </c>
      <c r="B1070" s="33">
        <f>IF(C1070="","",IF(L1070="À RENSEIGNER","GIC",L1070)&amp;"-E"&amp;TEXT(A1070,"00000"))</f>
        <v/>
      </c>
      <c r="C1070" s="32" t="n"/>
      <c r="D1070" s="36" t="n"/>
      <c r="E1070" s="37" t="n"/>
      <c r="F1070" s="36" t="n"/>
      <c r="G1070" s="44" t="n"/>
      <c r="H1070" s="43" t="n"/>
      <c r="I1070" s="32" t="n"/>
      <c r="J1070" s="44" t="n"/>
      <c r="K1070" s="36" t="n"/>
      <c r="L1070" s="33">
        <f>IF(C1070="","",Commercial_Id)</f>
        <v/>
      </c>
      <c r="M1070" s="34">
        <f>IF(OR(C1070="",F1070=""),"",IF(F1070&lt;&gt;"Espèces","—",IF(I1070&lt;&gt;"","☑ Oui","☐ Non")))</f>
        <v/>
      </c>
      <c r="N1070" s="39">
        <f>IF(D1070="","",IFERROR(VALUE(MID(D1070,LEN(D1070)-3,3)),""))</f>
        <v/>
      </c>
      <c r="O1070" s="33">
        <f>IF(N1070="","",L1070&amp;"|"&amp;N1070)</f>
        <v/>
      </c>
      <c r="P1070" s="33">
        <f>IF(N1070="","",IF(L1070="À RENSEIGNER","GIC",L1070)&amp;"-"&amp;TEXT(N1070,"000"))</f>
        <v/>
      </c>
      <c r="Q1070" s="33">
        <f>IF(O1070="","",IFERROR(INDEX(Cl_nom,MATCH(O1070,Cl_cle,0)),"(client introuvable)"))</f>
        <v/>
      </c>
      <c r="R1070" s="40">
        <f>IF(O1070="","",IFERROR(INDEX(Cl_reste,MATCH(O1070,Cl_cle,0)),""))</f>
        <v/>
      </c>
      <c r="S1070" s="34">
        <f>IF(C1070="","",YEAR(C1070-WEEKDAY(C1070,2)+4)&amp;"-S"&amp;TEXT(INT((C1070-DATE(YEAR(C1070-WEEKDAY(C1070,2)+4),1,3)+WEEKDAY(DATE(YEAR(C1070-WEEKDAY(C1070,2)+4),1,3),2)+5)/7),"00"))</f>
        <v/>
      </c>
    </row>
    <row r="1071" ht="18" customHeight="1">
      <c r="A1071" s="39" t="n">
        <v>1066</v>
      </c>
      <c r="B1071" s="33">
        <f>IF(C1071="","",IF(L1071="À RENSEIGNER","GIC",L1071)&amp;"-E"&amp;TEXT(A1071,"00000"))</f>
        <v/>
      </c>
      <c r="C1071" s="32" t="n"/>
      <c r="D1071" s="36" t="n"/>
      <c r="E1071" s="37" t="n"/>
      <c r="F1071" s="36" t="n"/>
      <c r="G1071" s="44" t="n"/>
      <c r="H1071" s="43" t="n"/>
      <c r="I1071" s="32" t="n"/>
      <c r="J1071" s="44" t="n"/>
      <c r="K1071" s="36" t="n"/>
      <c r="L1071" s="33">
        <f>IF(C1071="","",Commercial_Id)</f>
        <v/>
      </c>
      <c r="M1071" s="34">
        <f>IF(OR(C1071="",F1071=""),"",IF(F1071&lt;&gt;"Espèces","—",IF(I1071&lt;&gt;"","☑ Oui","☐ Non")))</f>
        <v/>
      </c>
      <c r="N1071" s="39">
        <f>IF(D1071="","",IFERROR(VALUE(MID(D1071,LEN(D1071)-3,3)),""))</f>
        <v/>
      </c>
      <c r="O1071" s="33">
        <f>IF(N1071="","",L1071&amp;"|"&amp;N1071)</f>
        <v/>
      </c>
      <c r="P1071" s="33">
        <f>IF(N1071="","",IF(L1071="À RENSEIGNER","GIC",L1071)&amp;"-"&amp;TEXT(N1071,"000"))</f>
        <v/>
      </c>
      <c r="Q1071" s="33">
        <f>IF(O1071="","",IFERROR(INDEX(Cl_nom,MATCH(O1071,Cl_cle,0)),"(client introuvable)"))</f>
        <v/>
      </c>
      <c r="R1071" s="40">
        <f>IF(O1071="","",IFERROR(INDEX(Cl_reste,MATCH(O1071,Cl_cle,0)),""))</f>
        <v/>
      </c>
      <c r="S1071" s="34">
        <f>IF(C1071="","",YEAR(C1071-WEEKDAY(C1071,2)+4)&amp;"-S"&amp;TEXT(INT((C1071-DATE(YEAR(C1071-WEEKDAY(C1071,2)+4),1,3)+WEEKDAY(DATE(YEAR(C1071-WEEKDAY(C1071,2)+4),1,3),2)+5)/7),"00"))</f>
        <v/>
      </c>
    </row>
    <row r="1072" ht="18" customHeight="1">
      <c r="A1072" s="39" t="n">
        <v>1067</v>
      </c>
      <c r="B1072" s="33">
        <f>IF(C1072="","",IF(L1072="À RENSEIGNER","GIC",L1072)&amp;"-E"&amp;TEXT(A1072,"00000"))</f>
        <v/>
      </c>
      <c r="C1072" s="32" t="n"/>
      <c r="D1072" s="36" t="n"/>
      <c r="E1072" s="37" t="n"/>
      <c r="F1072" s="36" t="n"/>
      <c r="G1072" s="44" t="n"/>
      <c r="H1072" s="43" t="n"/>
      <c r="I1072" s="32" t="n"/>
      <c r="J1072" s="44" t="n"/>
      <c r="K1072" s="36" t="n"/>
      <c r="L1072" s="33">
        <f>IF(C1072="","",Commercial_Id)</f>
        <v/>
      </c>
      <c r="M1072" s="34">
        <f>IF(OR(C1072="",F1072=""),"",IF(F1072&lt;&gt;"Espèces","—",IF(I1072&lt;&gt;"","☑ Oui","☐ Non")))</f>
        <v/>
      </c>
      <c r="N1072" s="39">
        <f>IF(D1072="","",IFERROR(VALUE(MID(D1072,LEN(D1072)-3,3)),""))</f>
        <v/>
      </c>
      <c r="O1072" s="33">
        <f>IF(N1072="","",L1072&amp;"|"&amp;N1072)</f>
        <v/>
      </c>
      <c r="P1072" s="33">
        <f>IF(N1072="","",IF(L1072="À RENSEIGNER","GIC",L1072)&amp;"-"&amp;TEXT(N1072,"000"))</f>
        <v/>
      </c>
      <c r="Q1072" s="33">
        <f>IF(O1072="","",IFERROR(INDEX(Cl_nom,MATCH(O1072,Cl_cle,0)),"(client introuvable)"))</f>
        <v/>
      </c>
      <c r="R1072" s="40">
        <f>IF(O1072="","",IFERROR(INDEX(Cl_reste,MATCH(O1072,Cl_cle,0)),""))</f>
        <v/>
      </c>
      <c r="S1072" s="34">
        <f>IF(C1072="","",YEAR(C1072-WEEKDAY(C1072,2)+4)&amp;"-S"&amp;TEXT(INT((C1072-DATE(YEAR(C1072-WEEKDAY(C1072,2)+4),1,3)+WEEKDAY(DATE(YEAR(C1072-WEEKDAY(C1072,2)+4),1,3),2)+5)/7),"00"))</f>
        <v/>
      </c>
    </row>
    <row r="1073" ht="18" customHeight="1">
      <c r="A1073" s="39" t="n">
        <v>1068</v>
      </c>
      <c r="B1073" s="33">
        <f>IF(C1073="","",IF(L1073="À RENSEIGNER","GIC",L1073)&amp;"-E"&amp;TEXT(A1073,"00000"))</f>
        <v/>
      </c>
      <c r="C1073" s="32" t="n"/>
      <c r="D1073" s="36" t="n"/>
      <c r="E1073" s="37" t="n"/>
      <c r="F1073" s="36" t="n"/>
      <c r="G1073" s="44" t="n"/>
      <c r="H1073" s="43" t="n"/>
      <c r="I1073" s="32" t="n"/>
      <c r="J1073" s="44" t="n"/>
      <c r="K1073" s="36" t="n"/>
      <c r="L1073" s="33">
        <f>IF(C1073="","",Commercial_Id)</f>
        <v/>
      </c>
      <c r="M1073" s="34">
        <f>IF(OR(C1073="",F1073=""),"",IF(F1073&lt;&gt;"Espèces","—",IF(I1073&lt;&gt;"","☑ Oui","☐ Non")))</f>
        <v/>
      </c>
      <c r="N1073" s="39">
        <f>IF(D1073="","",IFERROR(VALUE(MID(D1073,LEN(D1073)-3,3)),""))</f>
        <v/>
      </c>
      <c r="O1073" s="33">
        <f>IF(N1073="","",L1073&amp;"|"&amp;N1073)</f>
        <v/>
      </c>
      <c r="P1073" s="33">
        <f>IF(N1073="","",IF(L1073="À RENSEIGNER","GIC",L1073)&amp;"-"&amp;TEXT(N1073,"000"))</f>
        <v/>
      </c>
      <c r="Q1073" s="33">
        <f>IF(O1073="","",IFERROR(INDEX(Cl_nom,MATCH(O1073,Cl_cle,0)),"(client introuvable)"))</f>
        <v/>
      </c>
      <c r="R1073" s="40">
        <f>IF(O1073="","",IFERROR(INDEX(Cl_reste,MATCH(O1073,Cl_cle,0)),""))</f>
        <v/>
      </c>
      <c r="S1073" s="34">
        <f>IF(C1073="","",YEAR(C1073-WEEKDAY(C1073,2)+4)&amp;"-S"&amp;TEXT(INT((C1073-DATE(YEAR(C1073-WEEKDAY(C1073,2)+4),1,3)+WEEKDAY(DATE(YEAR(C1073-WEEKDAY(C1073,2)+4),1,3),2)+5)/7),"00"))</f>
        <v/>
      </c>
    </row>
    <row r="1074" ht="18" customHeight="1">
      <c r="A1074" s="39" t="n">
        <v>1069</v>
      </c>
      <c r="B1074" s="33">
        <f>IF(C1074="","",IF(L1074="À RENSEIGNER","GIC",L1074)&amp;"-E"&amp;TEXT(A1074,"00000"))</f>
        <v/>
      </c>
      <c r="C1074" s="32" t="n"/>
      <c r="D1074" s="36" t="n"/>
      <c r="E1074" s="37" t="n"/>
      <c r="F1074" s="36" t="n"/>
      <c r="G1074" s="44" t="n"/>
      <c r="H1074" s="43" t="n"/>
      <c r="I1074" s="32" t="n"/>
      <c r="J1074" s="44" t="n"/>
      <c r="K1074" s="36" t="n"/>
      <c r="L1074" s="33">
        <f>IF(C1074="","",Commercial_Id)</f>
        <v/>
      </c>
      <c r="M1074" s="34">
        <f>IF(OR(C1074="",F1074=""),"",IF(F1074&lt;&gt;"Espèces","—",IF(I1074&lt;&gt;"","☑ Oui","☐ Non")))</f>
        <v/>
      </c>
      <c r="N1074" s="39">
        <f>IF(D1074="","",IFERROR(VALUE(MID(D1074,LEN(D1074)-3,3)),""))</f>
        <v/>
      </c>
      <c r="O1074" s="33">
        <f>IF(N1074="","",L1074&amp;"|"&amp;N1074)</f>
        <v/>
      </c>
      <c r="P1074" s="33">
        <f>IF(N1074="","",IF(L1074="À RENSEIGNER","GIC",L1074)&amp;"-"&amp;TEXT(N1074,"000"))</f>
        <v/>
      </c>
      <c r="Q1074" s="33">
        <f>IF(O1074="","",IFERROR(INDEX(Cl_nom,MATCH(O1074,Cl_cle,0)),"(client introuvable)"))</f>
        <v/>
      </c>
      <c r="R1074" s="40">
        <f>IF(O1074="","",IFERROR(INDEX(Cl_reste,MATCH(O1074,Cl_cle,0)),""))</f>
        <v/>
      </c>
      <c r="S1074" s="34">
        <f>IF(C1074="","",YEAR(C1074-WEEKDAY(C1074,2)+4)&amp;"-S"&amp;TEXT(INT((C1074-DATE(YEAR(C1074-WEEKDAY(C1074,2)+4),1,3)+WEEKDAY(DATE(YEAR(C1074-WEEKDAY(C1074,2)+4),1,3),2)+5)/7),"00"))</f>
        <v/>
      </c>
    </row>
    <row r="1075" ht="18" customHeight="1">
      <c r="A1075" s="39" t="n">
        <v>1070</v>
      </c>
      <c r="B1075" s="33">
        <f>IF(C1075="","",IF(L1075="À RENSEIGNER","GIC",L1075)&amp;"-E"&amp;TEXT(A1075,"00000"))</f>
        <v/>
      </c>
      <c r="C1075" s="32" t="n"/>
      <c r="D1075" s="36" t="n"/>
      <c r="E1075" s="37" t="n"/>
      <c r="F1075" s="36" t="n"/>
      <c r="G1075" s="44" t="n"/>
      <c r="H1075" s="43" t="n"/>
      <c r="I1075" s="32" t="n"/>
      <c r="J1075" s="44" t="n"/>
      <c r="K1075" s="36" t="n"/>
      <c r="L1075" s="33">
        <f>IF(C1075="","",Commercial_Id)</f>
        <v/>
      </c>
      <c r="M1075" s="34">
        <f>IF(OR(C1075="",F1075=""),"",IF(F1075&lt;&gt;"Espèces","—",IF(I1075&lt;&gt;"","☑ Oui","☐ Non")))</f>
        <v/>
      </c>
      <c r="N1075" s="39">
        <f>IF(D1075="","",IFERROR(VALUE(MID(D1075,LEN(D1075)-3,3)),""))</f>
        <v/>
      </c>
      <c r="O1075" s="33">
        <f>IF(N1075="","",L1075&amp;"|"&amp;N1075)</f>
        <v/>
      </c>
      <c r="P1075" s="33">
        <f>IF(N1075="","",IF(L1075="À RENSEIGNER","GIC",L1075)&amp;"-"&amp;TEXT(N1075,"000"))</f>
        <v/>
      </c>
      <c r="Q1075" s="33">
        <f>IF(O1075="","",IFERROR(INDEX(Cl_nom,MATCH(O1075,Cl_cle,0)),"(client introuvable)"))</f>
        <v/>
      </c>
      <c r="R1075" s="40">
        <f>IF(O1075="","",IFERROR(INDEX(Cl_reste,MATCH(O1075,Cl_cle,0)),""))</f>
        <v/>
      </c>
      <c r="S1075" s="34">
        <f>IF(C1075="","",YEAR(C1075-WEEKDAY(C1075,2)+4)&amp;"-S"&amp;TEXT(INT((C1075-DATE(YEAR(C1075-WEEKDAY(C1075,2)+4),1,3)+WEEKDAY(DATE(YEAR(C1075-WEEKDAY(C1075,2)+4),1,3),2)+5)/7),"00"))</f>
        <v/>
      </c>
    </row>
    <row r="1076" ht="18" customHeight="1">
      <c r="A1076" s="39" t="n">
        <v>1071</v>
      </c>
      <c r="B1076" s="33">
        <f>IF(C1076="","",IF(L1076="À RENSEIGNER","GIC",L1076)&amp;"-E"&amp;TEXT(A1076,"00000"))</f>
        <v/>
      </c>
      <c r="C1076" s="32" t="n"/>
      <c r="D1076" s="36" t="n"/>
      <c r="E1076" s="37" t="n"/>
      <c r="F1076" s="36" t="n"/>
      <c r="G1076" s="44" t="n"/>
      <c r="H1076" s="43" t="n"/>
      <c r="I1076" s="32" t="n"/>
      <c r="J1076" s="44" t="n"/>
      <c r="K1076" s="36" t="n"/>
      <c r="L1076" s="33">
        <f>IF(C1076="","",Commercial_Id)</f>
        <v/>
      </c>
      <c r="M1076" s="34">
        <f>IF(OR(C1076="",F1076=""),"",IF(F1076&lt;&gt;"Espèces","—",IF(I1076&lt;&gt;"","☑ Oui","☐ Non")))</f>
        <v/>
      </c>
      <c r="N1076" s="39">
        <f>IF(D1076="","",IFERROR(VALUE(MID(D1076,LEN(D1076)-3,3)),""))</f>
        <v/>
      </c>
      <c r="O1076" s="33">
        <f>IF(N1076="","",L1076&amp;"|"&amp;N1076)</f>
        <v/>
      </c>
      <c r="P1076" s="33">
        <f>IF(N1076="","",IF(L1076="À RENSEIGNER","GIC",L1076)&amp;"-"&amp;TEXT(N1076,"000"))</f>
        <v/>
      </c>
      <c r="Q1076" s="33">
        <f>IF(O1076="","",IFERROR(INDEX(Cl_nom,MATCH(O1076,Cl_cle,0)),"(client introuvable)"))</f>
        <v/>
      </c>
      <c r="R1076" s="40">
        <f>IF(O1076="","",IFERROR(INDEX(Cl_reste,MATCH(O1076,Cl_cle,0)),""))</f>
        <v/>
      </c>
      <c r="S1076" s="34">
        <f>IF(C1076="","",YEAR(C1076-WEEKDAY(C1076,2)+4)&amp;"-S"&amp;TEXT(INT((C1076-DATE(YEAR(C1076-WEEKDAY(C1076,2)+4),1,3)+WEEKDAY(DATE(YEAR(C1076-WEEKDAY(C1076,2)+4),1,3),2)+5)/7),"00"))</f>
        <v/>
      </c>
    </row>
    <row r="1077" ht="18" customHeight="1">
      <c r="A1077" s="39" t="n">
        <v>1072</v>
      </c>
      <c r="B1077" s="33">
        <f>IF(C1077="","",IF(L1077="À RENSEIGNER","GIC",L1077)&amp;"-E"&amp;TEXT(A1077,"00000"))</f>
        <v/>
      </c>
      <c r="C1077" s="32" t="n"/>
      <c r="D1077" s="36" t="n"/>
      <c r="E1077" s="37" t="n"/>
      <c r="F1077" s="36" t="n"/>
      <c r="G1077" s="44" t="n"/>
      <c r="H1077" s="43" t="n"/>
      <c r="I1077" s="32" t="n"/>
      <c r="J1077" s="44" t="n"/>
      <c r="K1077" s="36" t="n"/>
      <c r="L1077" s="33">
        <f>IF(C1077="","",Commercial_Id)</f>
        <v/>
      </c>
      <c r="M1077" s="34">
        <f>IF(OR(C1077="",F1077=""),"",IF(F1077&lt;&gt;"Espèces","—",IF(I1077&lt;&gt;"","☑ Oui","☐ Non")))</f>
        <v/>
      </c>
      <c r="N1077" s="39">
        <f>IF(D1077="","",IFERROR(VALUE(MID(D1077,LEN(D1077)-3,3)),""))</f>
        <v/>
      </c>
      <c r="O1077" s="33">
        <f>IF(N1077="","",L1077&amp;"|"&amp;N1077)</f>
        <v/>
      </c>
      <c r="P1077" s="33">
        <f>IF(N1077="","",IF(L1077="À RENSEIGNER","GIC",L1077)&amp;"-"&amp;TEXT(N1077,"000"))</f>
        <v/>
      </c>
      <c r="Q1077" s="33">
        <f>IF(O1077="","",IFERROR(INDEX(Cl_nom,MATCH(O1077,Cl_cle,0)),"(client introuvable)"))</f>
        <v/>
      </c>
      <c r="R1077" s="40">
        <f>IF(O1077="","",IFERROR(INDEX(Cl_reste,MATCH(O1077,Cl_cle,0)),""))</f>
        <v/>
      </c>
      <c r="S1077" s="34">
        <f>IF(C1077="","",YEAR(C1077-WEEKDAY(C1077,2)+4)&amp;"-S"&amp;TEXT(INT((C1077-DATE(YEAR(C1077-WEEKDAY(C1077,2)+4),1,3)+WEEKDAY(DATE(YEAR(C1077-WEEKDAY(C1077,2)+4),1,3),2)+5)/7),"00"))</f>
        <v/>
      </c>
    </row>
    <row r="1078" ht="18" customHeight="1">
      <c r="A1078" s="39" t="n">
        <v>1073</v>
      </c>
      <c r="B1078" s="33">
        <f>IF(C1078="","",IF(L1078="À RENSEIGNER","GIC",L1078)&amp;"-E"&amp;TEXT(A1078,"00000"))</f>
        <v/>
      </c>
      <c r="C1078" s="32" t="n"/>
      <c r="D1078" s="36" t="n"/>
      <c r="E1078" s="37" t="n"/>
      <c r="F1078" s="36" t="n"/>
      <c r="G1078" s="44" t="n"/>
      <c r="H1078" s="43" t="n"/>
      <c r="I1078" s="32" t="n"/>
      <c r="J1078" s="44" t="n"/>
      <c r="K1078" s="36" t="n"/>
      <c r="L1078" s="33">
        <f>IF(C1078="","",Commercial_Id)</f>
        <v/>
      </c>
      <c r="M1078" s="34">
        <f>IF(OR(C1078="",F1078=""),"",IF(F1078&lt;&gt;"Espèces","—",IF(I1078&lt;&gt;"","☑ Oui","☐ Non")))</f>
        <v/>
      </c>
      <c r="N1078" s="39">
        <f>IF(D1078="","",IFERROR(VALUE(MID(D1078,LEN(D1078)-3,3)),""))</f>
        <v/>
      </c>
      <c r="O1078" s="33">
        <f>IF(N1078="","",L1078&amp;"|"&amp;N1078)</f>
        <v/>
      </c>
      <c r="P1078" s="33">
        <f>IF(N1078="","",IF(L1078="À RENSEIGNER","GIC",L1078)&amp;"-"&amp;TEXT(N1078,"000"))</f>
        <v/>
      </c>
      <c r="Q1078" s="33">
        <f>IF(O1078="","",IFERROR(INDEX(Cl_nom,MATCH(O1078,Cl_cle,0)),"(client introuvable)"))</f>
        <v/>
      </c>
      <c r="R1078" s="40">
        <f>IF(O1078="","",IFERROR(INDEX(Cl_reste,MATCH(O1078,Cl_cle,0)),""))</f>
        <v/>
      </c>
      <c r="S1078" s="34">
        <f>IF(C1078="","",YEAR(C1078-WEEKDAY(C1078,2)+4)&amp;"-S"&amp;TEXT(INT((C1078-DATE(YEAR(C1078-WEEKDAY(C1078,2)+4),1,3)+WEEKDAY(DATE(YEAR(C1078-WEEKDAY(C1078,2)+4),1,3),2)+5)/7),"00"))</f>
        <v/>
      </c>
    </row>
    <row r="1079" ht="18" customHeight="1">
      <c r="A1079" s="39" t="n">
        <v>1074</v>
      </c>
      <c r="B1079" s="33">
        <f>IF(C1079="","",IF(L1079="À RENSEIGNER","GIC",L1079)&amp;"-E"&amp;TEXT(A1079,"00000"))</f>
        <v/>
      </c>
      <c r="C1079" s="32" t="n"/>
      <c r="D1079" s="36" t="n"/>
      <c r="E1079" s="37" t="n"/>
      <c r="F1079" s="36" t="n"/>
      <c r="G1079" s="44" t="n"/>
      <c r="H1079" s="43" t="n"/>
      <c r="I1079" s="32" t="n"/>
      <c r="J1079" s="44" t="n"/>
      <c r="K1079" s="36" t="n"/>
      <c r="L1079" s="33">
        <f>IF(C1079="","",Commercial_Id)</f>
        <v/>
      </c>
      <c r="M1079" s="34">
        <f>IF(OR(C1079="",F1079=""),"",IF(F1079&lt;&gt;"Espèces","—",IF(I1079&lt;&gt;"","☑ Oui","☐ Non")))</f>
        <v/>
      </c>
      <c r="N1079" s="39">
        <f>IF(D1079="","",IFERROR(VALUE(MID(D1079,LEN(D1079)-3,3)),""))</f>
        <v/>
      </c>
      <c r="O1079" s="33">
        <f>IF(N1079="","",L1079&amp;"|"&amp;N1079)</f>
        <v/>
      </c>
      <c r="P1079" s="33">
        <f>IF(N1079="","",IF(L1079="À RENSEIGNER","GIC",L1079)&amp;"-"&amp;TEXT(N1079,"000"))</f>
        <v/>
      </c>
      <c r="Q1079" s="33">
        <f>IF(O1079="","",IFERROR(INDEX(Cl_nom,MATCH(O1079,Cl_cle,0)),"(client introuvable)"))</f>
        <v/>
      </c>
      <c r="R1079" s="40">
        <f>IF(O1079="","",IFERROR(INDEX(Cl_reste,MATCH(O1079,Cl_cle,0)),""))</f>
        <v/>
      </c>
      <c r="S1079" s="34">
        <f>IF(C1079="","",YEAR(C1079-WEEKDAY(C1079,2)+4)&amp;"-S"&amp;TEXT(INT((C1079-DATE(YEAR(C1079-WEEKDAY(C1079,2)+4),1,3)+WEEKDAY(DATE(YEAR(C1079-WEEKDAY(C1079,2)+4),1,3),2)+5)/7),"00"))</f>
        <v/>
      </c>
    </row>
    <row r="1080" ht="18" customHeight="1">
      <c r="A1080" s="39" t="n">
        <v>1075</v>
      </c>
      <c r="B1080" s="33">
        <f>IF(C1080="","",IF(L1080="À RENSEIGNER","GIC",L1080)&amp;"-E"&amp;TEXT(A1080,"00000"))</f>
        <v/>
      </c>
      <c r="C1080" s="32" t="n"/>
      <c r="D1080" s="36" t="n"/>
      <c r="E1080" s="37" t="n"/>
      <c r="F1080" s="36" t="n"/>
      <c r="G1080" s="44" t="n"/>
      <c r="H1080" s="43" t="n"/>
      <c r="I1080" s="32" t="n"/>
      <c r="J1080" s="44" t="n"/>
      <c r="K1080" s="36" t="n"/>
      <c r="L1080" s="33">
        <f>IF(C1080="","",Commercial_Id)</f>
        <v/>
      </c>
      <c r="M1080" s="34">
        <f>IF(OR(C1080="",F1080=""),"",IF(F1080&lt;&gt;"Espèces","—",IF(I1080&lt;&gt;"","☑ Oui","☐ Non")))</f>
        <v/>
      </c>
      <c r="N1080" s="39">
        <f>IF(D1080="","",IFERROR(VALUE(MID(D1080,LEN(D1080)-3,3)),""))</f>
        <v/>
      </c>
      <c r="O1080" s="33">
        <f>IF(N1080="","",L1080&amp;"|"&amp;N1080)</f>
        <v/>
      </c>
      <c r="P1080" s="33">
        <f>IF(N1080="","",IF(L1080="À RENSEIGNER","GIC",L1080)&amp;"-"&amp;TEXT(N1080,"000"))</f>
        <v/>
      </c>
      <c r="Q1080" s="33">
        <f>IF(O1080="","",IFERROR(INDEX(Cl_nom,MATCH(O1080,Cl_cle,0)),"(client introuvable)"))</f>
        <v/>
      </c>
      <c r="R1080" s="40">
        <f>IF(O1080="","",IFERROR(INDEX(Cl_reste,MATCH(O1080,Cl_cle,0)),""))</f>
        <v/>
      </c>
      <c r="S1080" s="34">
        <f>IF(C1080="","",YEAR(C1080-WEEKDAY(C1080,2)+4)&amp;"-S"&amp;TEXT(INT((C1080-DATE(YEAR(C1080-WEEKDAY(C1080,2)+4),1,3)+WEEKDAY(DATE(YEAR(C1080-WEEKDAY(C1080,2)+4),1,3),2)+5)/7),"00"))</f>
        <v/>
      </c>
    </row>
    <row r="1081" ht="18" customHeight="1">
      <c r="A1081" s="39" t="n">
        <v>1076</v>
      </c>
      <c r="B1081" s="33">
        <f>IF(C1081="","",IF(L1081="À RENSEIGNER","GIC",L1081)&amp;"-E"&amp;TEXT(A1081,"00000"))</f>
        <v/>
      </c>
      <c r="C1081" s="32" t="n"/>
      <c r="D1081" s="36" t="n"/>
      <c r="E1081" s="37" t="n"/>
      <c r="F1081" s="36" t="n"/>
      <c r="G1081" s="44" t="n"/>
      <c r="H1081" s="43" t="n"/>
      <c r="I1081" s="32" t="n"/>
      <c r="J1081" s="44" t="n"/>
      <c r="K1081" s="36" t="n"/>
      <c r="L1081" s="33">
        <f>IF(C1081="","",Commercial_Id)</f>
        <v/>
      </c>
      <c r="M1081" s="34">
        <f>IF(OR(C1081="",F1081=""),"",IF(F1081&lt;&gt;"Espèces","—",IF(I1081&lt;&gt;"","☑ Oui","☐ Non")))</f>
        <v/>
      </c>
      <c r="N1081" s="39">
        <f>IF(D1081="","",IFERROR(VALUE(MID(D1081,LEN(D1081)-3,3)),""))</f>
        <v/>
      </c>
      <c r="O1081" s="33">
        <f>IF(N1081="","",L1081&amp;"|"&amp;N1081)</f>
        <v/>
      </c>
      <c r="P1081" s="33">
        <f>IF(N1081="","",IF(L1081="À RENSEIGNER","GIC",L1081)&amp;"-"&amp;TEXT(N1081,"000"))</f>
        <v/>
      </c>
      <c r="Q1081" s="33">
        <f>IF(O1081="","",IFERROR(INDEX(Cl_nom,MATCH(O1081,Cl_cle,0)),"(client introuvable)"))</f>
        <v/>
      </c>
      <c r="R1081" s="40">
        <f>IF(O1081="","",IFERROR(INDEX(Cl_reste,MATCH(O1081,Cl_cle,0)),""))</f>
        <v/>
      </c>
      <c r="S1081" s="34">
        <f>IF(C1081="","",YEAR(C1081-WEEKDAY(C1081,2)+4)&amp;"-S"&amp;TEXT(INT((C1081-DATE(YEAR(C1081-WEEKDAY(C1081,2)+4),1,3)+WEEKDAY(DATE(YEAR(C1081-WEEKDAY(C1081,2)+4),1,3),2)+5)/7),"00"))</f>
        <v/>
      </c>
    </row>
    <row r="1082" ht="18" customHeight="1">
      <c r="A1082" s="39" t="n">
        <v>1077</v>
      </c>
      <c r="B1082" s="33">
        <f>IF(C1082="","",IF(L1082="À RENSEIGNER","GIC",L1082)&amp;"-E"&amp;TEXT(A1082,"00000"))</f>
        <v/>
      </c>
      <c r="C1082" s="32" t="n"/>
      <c r="D1082" s="36" t="n"/>
      <c r="E1082" s="37" t="n"/>
      <c r="F1082" s="36" t="n"/>
      <c r="G1082" s="44" t="n"/>
      <c r="H1082" s="43" t="n"/>
      <c r="I1082" s="32" t="n"/>
      <c r="J1082" s="44" t="n"/>
      <c r="K1082" s="36" t="n"/>
      <c r="L1082" s="33">
        <f>IF(C1082="","",Commercial_Id)</f>
        <v/>
      </c>
      <c r="M1082" s="34">
        <f>IF(OR(C1082="",F1082=""),"",IF(F1082&lt;&gt;"Espèces","—",IF(I1082&lt;&gt;"","☑ Oui","☐ Non")))</f>
        <v/>
      </c>
      <c r="N1082" s="39">
        <f>IF(D1082="","",IFERROR(VALUE(MID(D1082,LEN(D1082)-3,3)),""))</f>
        <v/>
      </c>
      <c r="O1082" s="33">
        <f>IF(N1082="","",L1082&amp;"|"&amp;N1082)</f>
        <v/>
      </c>
      <c r="P1082" s="33">
        <f>IF(N1082="","",IF(L1082="À RENSEIGNER","GIC",L1082)&amp;"-"&amp;TEXT(N1082,"000"))</f>
        <v/>
      </c>
      <c r="Q1082" s="33">
        <f>IF(O1082="","",IFERROR(INDEX(Cl_nom,MATCH(O1082,Cl_cle,0)),"(client introuvable)"))</f>
        <v/>
      </c>
      <c r="R1082" s="40">
        <f>IF(O1082="","",IFERROR(INDEX(Cl_reste,MATCH(O1082,Cl_cle,0)),""))</f>
        <v/>
      </c>
      <c r="S1082" s="34">
        <f>IF(C1082="","",YEAR(C1082-WEEKDAY(C1082,2)+4)&amp;"-S"&amp;TEXT(INT((C1082-DATE(YEAR(C1082-WEEKDAY(C1082,2)+4),1,3)+WEEKDAY(DATE(YEAR(C1082-WEEKDAY(C1082,2)+4),1,3),2)+5)/7),"00"))</f>
        <v/>
      </c>
    </row>
    <row r="1083" ht="18" customHeight="1">
      <c r="A1083" s="39" t="n">
        <v>1078</v>
      </c>
      <c r="B1083" s="33">
        <f>IF(C1083="","",IF(L1083="À RENSEIGNER","GIC",L1083)&amp;"-E"&amp;TEXT(A1083,"00000"))</f>
        <v/>
      </c>
      <c r="C1083" s="32" t="n"/>
      <c r="D1083" s="36" t="n"/>
      <c r="E1083" s="37" t="n"/>
      <c r="F1083" s="36" t="n"/>
      <c r="G1083" s="44" t="n"/>
      <c r="H1083" s="43" t="n"/>
      <c r="I1083" s="32" t="n"/>
      <c r="J1083" s="44" t="n"/>
      <c r="K1083" s="36" t="n"/>
      <c r="L1083" s="33">
        <f>IF(C1083="","",Commercial_Id)</f>
        <v/>
      </c>
      <c r="M1083" s="34">
        <f>IF(OR(C1083="",F1083=""),"",IF(F1083&lt;&gt;"Espèces","—",IF(I1083&lt;&gt;"","☑ Oui","☐ Non")))</f>
        <v/>
      </c>
      <c r="N1083" s="39">
        <f>IF(D1083="","",IFERROR(VALUE(MID(D1083,LEN(D1083)-3,3)),""))</f>
        <v/>
      </c>
      <c r="O1083" s="33">
        <f>IF(N1083="","",L1083&amp;"|"&amp;N1083)</f>
        <v/>
      </c>
      <c r="P1083" s="33">
        <f>IF(N1083="","",IF(L1083="À RENSEIGNER","GIC",L1083)&amp;"-"&amp;TEXT(N1083,"000"))</f>
        <v/>
      </c>
      <c r="Q1083" s="33">
        <f>IF(O1083="","",IFERROR(INDEX(Cl_nom,MATCH(O1083,Cl_cle,0)),"(client introuvable)"))</f>
        <v/>
      </c>
      <c r="R1083" s="40">
        <f>IF(O1083="","",IFERROR(INDEX(Cl_reste,MATCH(O1083,Cl_cle,0)),""))</f>
        <v/>
      </c>
      <c r="S1083" s="34">
        <f>IF(C1083="","",YEAR(C1083-WEEKDAY(C1083,2)+4)&amp;"-S"&amp;TEXT(INT((C1083-DATE(YEAR(C1083-WEEKDAY(C1083,2)+4),1,3)+WEEKDAY(DATE(YEAR(C1083-WEEKDAY(C1083,2)+4),1,3),2)+5)/7),"00"))</f>
        <v/>
      </c>
    </row>
    <row r="1084" ht="18" customHeight="1">
      <c r="A1084" s="39" t="n">
        <v>1079</v>
      </c>
      <c r="B1084" s="33">
        <f>IF(C1084="","",IF(L1084="À RENSEIGNER","GIC",L1084)&amp;"-E"&amp;TEXT(A1084,"00000"))</f>
        <v/>
      </c>
      <c r="C1084" s="32" t="n"/>
      <c r="D1084" s="36" t="n"/>
      <c r="E1084" s="37" t="n"/>
      <c r="F1084" s="36" t="n"/>
      <c r="G1084" s="44" t="n"/>
      <c r="H1084" s="43" t="n"/>
      <c r="I1084" s="32" t="n"/>
      <c r="J1084" s="44" t="n"/>
      <c r="K1084" s="36" t="n"/>
      <c r="L1084" s="33">
        <f>IF(C1084="","",Commercial_Id)</f>
        <v/>
      </c>
      <c r="M1084" s="34">
        <f>IF(OR(C1084="",F1084=""),"",IF(F1084&lt;&gt;"Espèces","—",IF(I1084&lt;&gt;"","☑ Oui","☐ Non")))</f>
        <v/>
      </c>
      <c r="N1084" s="39">
        <f>IF(D1084="","",IFERROR(VALUE(MID(D1084,LEN(D1084)-3,3)),""))</f>
        <v/>
      </c>
      <c r="O1084" s="33">
        <f>IF(N1084="","",L1084&amp;"|"&amp;N1084)</f>
        <v/>
      </c>
      <c r="P1084" s="33">
        <f>IF(N1084="","",IF(L1084="À RENSEIGNER","GIC",L1084)&amp;"-"&amp;TEXT(N1084,"000"))</f>
        <v/>
      </c>
      <c r="Q1084" s="33">
        <f>IF(O1084="","",IFERROR(INDEX(Cl_nom,MATCH(O1084,Cl_cle,0)),"(client introuvable)"))</f>
        <v/>
      </c>
      <c r="R1084" s="40">
        <f>IF(O1084="","",IFERROR(INDEX(Cl_reste,MATCH(O1084,Cl_cle,0)),""))</f>
        <v/>
      </c>
      <c r="S1084" s="34">
        <f>IF(C1084="","",YEAR(C1084-WEEKDAY(C1084,2)+4)&amp;"-S"&amp;TEXT(INT((C1084-DATE(YEAR(C1084-WEEKDAY(C1084,2)+4),1,3)+WEEKDAY(DATE(YEAR(C1084-WEEKDAY(C1084,2)+4),1,3),2)+5)/7),"00"))</f>
        <v/>
      </c>
    </row>
    <row r="1085" ht="18" customHeight="1">
      <c r="A1085" s="39" t="n">
        <v>1080</v>
      </c>
      <c r="B1085" s="33">
        <f>IF(C1085="","",IF(L1085="À RENSEIGNER","GIC",L1085)&amp;"-E"&amp;TEXT(A1085,"00000"))</f>
        <v/>
      </c>
      <c r="C1085" s="32" t="n"/>
      <c r="D1085" s="36" t="n"/>
      <c r="E1085" s="37" t="n"/>
      <c r="F1085" s="36" t="n"/>
      <c r="G1085" s="44" t="n"/>
      <c r="H1085" s="43" t="n"/>
      <c r="I1085" s="32" t="n"/>
      <c r="J1085" s="44" t="n"/>
      <c r="K1085" s="36" t="n"/>
      <c r="L1085" s="33">
        <f>IF(C1085="","",Commercial_Id)</f>
        <v/>
      </c>
      <c r="M1085" s="34">
        <f>IF(OR(C1085="",F1085=""),"",IF(F1085&lt;&gt;"Espèces","—",IF(I1085&lt;&gt;"","☑ Oui","☐ Non")))</f>
        <v/>
      </c>
      <c r="N1085" s="39">
        <f>IF(D1085="","",IFERROR(VALUE(MID(D1085,LEN(D1085)-3,3)),""))</f>
        <v/>
      </c>
      <c r="O1085" s="33">
        <f>IF(N1085="","",L1085&amp;"|"&amp;N1085)</f>
        <v/>
      </c>
      <c r="P1085" s="33">
        <f>IF(N1085="","",IF(L1085="À RENSEIGNER","GIC",L1085)&amp;"-"&amp;TEXT(N1085,"000"))</f>
        <v/>
      </c>
      <c r="Q1085" s="33">
        <f>IF(O1085="","",IFERROR(INDEX(Cl_nom,MATCH(O1085,Cl_cle,0)),"(client introuvable)"))</f>
        <v/>
      </c>
      <c r="R1085" s="40">
        <f>IF(O1085="","",IFERROR(INDEX(Cl_reste,MATCH(O1085,Cl_cle,0)),""))</f>
        <v/>
      </c>
      <c r="S1085" s="34">
        <f>IF(C1085="","",YEAR(C1085-WEEKDAY(C1085,2)+4)&amp;"-S"&amp;TEXT(INT((C1085-DATE(YEAR(C1085-WEEKDAY(C1085,2)+4),1,3)+WEEKDAY(DATE(YEAR(C1085-WEEKDAY(C1085,2)+4),1,3),2)+5)/7),"00"))</f>
        <v/>
      </c>
    </row>
    <row r="1086" ht="18" customHeight="1">
      <c r="A1086" s="39" t="n">
        <v>1081</v>
      </c>
      <c r="B1086" s="33">
        <f>IF(C1086="","",IF(L1086="À RENSEIGNER","GIC",L1086)&amp;"-E"&amp;TEXT(A1086,"00000"))</f>
        <v/>
      </c>
      <c r="C1086" s="32" t="n"/>
      <c r="D1086" s="36" t="n"/>
      <c r="E1086" s="37" t="n"/>
      <c r="F1086" s="36" t="n"/>
      <c r="G1086" s="44" t="n"/>
      <c r="H1086" s="43" t="n"/>
      <c r="I1086" s="32" t="n"/>
      <c r="J1086" s="44" t="n"/>
      <c r="K1086" s="36" t="n"/>
      <c r="L1086" s="33">
        <f>IF(C1086="","",Commercial_Id)</f>
        <v/>
      </c>
      <c r="M1086" s="34">
        <f>IF(OR(C1086="",F1086=""),"",IF(F1086&lt;&gt;"Espèces","—",IF(I1086&lt;&gt;"","☑ Oui","☐ Non")))</f>
        <v/>
      </c>
      <c r="N1086" s="39">
        <f>IF(D1086="","",IFERROR(VALUE(MID(D1086,LEN(D1086)-3,3)),""))</f>
        <v/>
      </c>
      <c r="O1086" s="33">
        <f>IF(N1086="","",L1086&amp;"|"&amp;N1086)</f>
        <v/>
      </c>
      <c r="P1086" s="33">
        <f>IF(N1086="","",IF(L1086="À RENSEIGNER","GIC",L1086)&amp;"-"&amp;TEXT(N1086,"000"))</f>
        <v/>
      </c>
      <c r="Q1086" s="33">
        <f>IF(O1086="","",IFERROR(INDEX(Cl_nom,MATCH(O1086,Cl_cle,0)),"(client introuvable)"))</f>
        <v/>
      </c>
      <c r="R1086" s="40">
        <f>IF(O1086="","",IFERROR(INDEX(Cl_reste,MATCH(O1086,Cl_cle,0)),""))</f>
        <v/>
      </c>
      <c r="S1086" s="34">
        <f>IF(C1086="","",YEAR(C1086-WEEKDAY(C1086,2)+4)&amp;"-S"&amp;TEXT(INT((C1086-DATE(YEAR(C1086-WEEKDAY(C1086,2)+4),1,3)+WEEKDAY(DATE(YEAR(C1086-WEEKDAY(C1086,2)+4),1,3),2)+5)/7),"00"))</f>
        <v/>
      </c>
    </row>
    <row r="1087" ht="18" customHeight="1">
      <c r="A1087" s="39" t="n">
        <v>1082</v>
      </c>
      <c r="B1087" s="33">
        <f>IF(C1087="","",IF(L1087="À RENSEIGNER","GIC",L1087)&amp;"-E"&amp;TEXT(A1087,"00000"))</f>
        <v/>
      </c>
      <c r="C1087" s="32" t="n"/>
      <c r="D1087" s="36" t="n"/>
      <c r="E1087" s="37" t="n"/>
      <c r="F1087" s="36" t="n"/>
      <c r="G1087" s="44" t="n"/>
      <c r="H1087" s="43" t="n"/>
      <c r="I1087" s="32" t="n"/>
      <c r="J1087" s="44" t="n"/>
      <c r="K1087" s="36" t="n"/>
      <c r="L1087" s="33">
        <f>IF(C1087="","",Commercial_Id)</f>
        <v/>
      </c>
      <c r="M1087" s="34">
        <f>IF(OR(C1087="",F1087=""),"",IF(F1087&lt;&gt;"Espèces","—",IF(I1087&lt;&gt;"","☑ Oui","☐ Non")))</f>
        <v/>
      </c>
      <c r="N1087" s="39">
        <f>IF(D1087="","",IFERROR(VALUE(MID(D1087,LEN(D1087)-3,3)),""))</f>
        <v/>
      </c>
      <c r="O1087" s="33">
        <f>IF(N1087="","",L1087&amp;"|"&amp;N1087)</f>
        <v/>
      </c>
      <c r="P1087" s="33">
        <f>IF(N1087="","",IF(L1087="À RENSEIGNER","GIC",L1087)&amp;"-"&amp;TEXT(N1087,"000"))</f>
        <v/>
      </c>
      <c r="Q1087" s="33">
        <f>IF(O1087="","",IFERROR(INDEX(Cl_nom,MATCH(O1087,Cl_cle,0)),"(client introuvable)"))</f>
        <v/>
      </c>
      <c r="R1087" s="40">
        <f>IF(O1087="","",IFERROR(INDEX(Cl_reste,MATCH(O1087,Cl_cle,0)),""))</f>
        <v/>
      </c>
      <c r="S1087" s="34">
        <f>IF(C1087="","",YEAR(C1087-WEEKDAY(C1087,2)+4)&amp;"-S"&amp;TEXT(INT((C1087-DATE(YEAR(C1087-WEEKDAY(C1087,2)+4),1,3)+WEEKDAY(DATE(YEAR(C1087-WEEKDAY(C1087,2)+4),1,3),2)+5)/7),"00"))</f>
        <v/>
      </c>
    </row>
    <row r="1088" ht="18" customHeight="1">
      <c r="A1088" s="39" t="n">
        <v>1083</v>
      </c>
      <c r="B1088" s="33">
        <f>IF(C1088="","",IF(L1088="À RENSEIGNER","GIC",L1088)&amp;"-E"&amp;TEXT(A1088,"00000"))</f>
        <v/>
      </c>
      <c r="C1088" s="32" t="n"/>
      <c r="D1088" s="36" t="n"/>
      <c r="E1088" s="37" t="n"/>
      <c r="F1088" s="36" t="n"/>
      <c r="G1088" s="44" t="n"/>
      <c r="H1088" s="43" t="n"/>
      <c r="I1088" s="32" t="n"/>
      <c r="J1088" s="44" t="n"/>
      <c r="K1088" s="36" t="n"/>
      <c r="L1088" s="33">
        <f>IF(C1088="","",Commercial_Id)</f>
        <v/>
      </c>
      <c r="M1088" s="34">
        <f>IF(OR(C1088="",F1088=""),"",IF(F1088&lt;&gt;"Espèces","—",IF(I1088&lt;&gt;"","☑ Oui","☐ Non")))</f>
        <v/>
      </c>
      <c r="N1088" s="39">
        <f>IF(D1088="","",IFERROR(VALUE(MID(D1088,LEN(D1088)-3,3)),""))</f>
        <v/>
      </c>
      <c r="O1088" s="33">
        <f>IF(N1088="","",L1088&amp;"|"&amp;N1088)</f>
        <v/>
      </c>
      <c r="P1088" s="33">
        <f>IF(N1088="","",IF(L1088="À RENSEIGNER","GIC",L1088)&amp;"-"&amp;TEXT(N1088,"000"))</f>
        <v/>
      </c>
      <c r="Q1088" s="33">
        <f>IF(O1088="","",IFERROR(INDEX(Cl_nom,MATCH(O1088,Cl_cle,0)),"(client introuvable)"))</f>
        <v/>
      </c>
      <c r="R1088" s="40">
        <f>IF(O1088="","",IFERROR(INDEX(Cl_reste,MATCH(O1088,Cl_cle,0)),""))</f>
        <v/>
      </c>
      <c r="S1088" s="34">
        <f>IF(C1088="","",YEAR(C1088-WEEKDAY(C1088,2)+4)&amp;"-S"&amp;TEXT(INT((C1088-DATE(YEAR(C1088-WEEKDAY(C1088,2)+4),1,3)+WEEKDAY(DATE(YEAR(C1088-WEEKDAY(C1088,2)+4),1,3),2)+5)/7),"00"))</f>
        <v/>
      </c>
    </row>
    <row r="1089" ht="18" customHeight="1">
      <c r="A1089" s="39" t="n">
        <v>1084</v>
      </c>
      <c r="B1089" s="33">
        <f>IF(C1089="","",IF(L1089="À RENSEIGNER","GIC",L1089)&amp;"-E"&amp;TEXT(A1089,"00000"))</f>
        <v/>
      </c>
      <c r="C1089" s="32" t="n"/>
      <c r="D1089" s="36" t="n"/>
      <c r="E1089" s="37" t="n"/>
      <c r="F1089" s="36" t="n"/>
      <c r="G1089" s="44" t="n"/>
      <c r="H1089" s="43" t="n"/>
      <c r="I1089" s="32" t="n"/>
      <c r="J1089" s="44" t="n"/>
      <c r="K1089" s="36" t="n"/>
      <c r="L1089" s="33">
        <f>IF(C1089="","",Commercial_Id)</f>
        <v/>
      </c>
      <c r="M1089" s="34">
        <f>IF(OR(C1089="",F1089=""),"",IF(F1089&lt;&gt;"Espèces","—",IF(I1089&lt;&gt;"","☑ Oui","☐ Non")))</f>
        <v/>
      </c>
      <c r="N1089" s="39">
        <f>IF(D1089="","",IFERROR(VALUE(MID(D1089,LEN(D1089)-3,3)),""))</f>
        <v/>
      </c>
      <c r="O1089" s="33">
        <f>IF(N1089="","",L1089&amp;"|"&amp;N1089)</f>
        <v/>
      </c>
      <c r="P1089" s="33">
        <f>IF(N1089="","",IF(L1089="À RENSEIGNER","GIC",L1089)&amp;"-"&amp;TEXT(N1089,"000"))</f>
        <v/>
      </c>
      <c r="Q1089" s="33">
        <f>IF(O1089="","",IFERROR(INDEX(Cl_nom,MATCH(O1089,Cl_cle,0)),"(client introuvable)"))</f>
        <v/>
      </c>
      <c r="R1089" s="40">
        <f>IF(O1089="","",IFERROR(INDEX(Cl_reste,MATCH(O1089,Cl_cle,0)),""))</f>
        <v/>
      </c>
      <c r="S1089" s="34">
        <f>IF(C1089="","",YEAR(C1089-WEEKDAY(C1089,2)+4)&amp;"-S"&amp;TEXT(INT((C1089-DATE(YEAR(C1089-WEEKDAY(C1089,2)+4),1,3)+WEEKDAY(DATE(YEAR(C1089-WEEKDAY(C1089,2)+4),1,3),2)+5)/7),"00"))</f>
        <v/>
      </c>
    </row>
    <row r="1090" ht="18" customHeight="1">
      <c r="A1090" s="39" t="n">
        <v>1085</v>
      </c>
      <c r="B1090" s="33">
        <f>IF(C1090="","",IF(L1090="À RENSEIGNER","GIC",L1090)&amp;"-E"&amp;TEXT(A1090,"00000"))</f>
        <v/>
      </c>
      <c r="C1090" s="32" t="n"/>
      <c r="D1090" s="36" t="n"/>
      <c r="E1090" s="37" t="n"/>
      <c r="F1090" s="36" t="n"/>
      <c r="G1090" s="44" t="n"/>
      <c r="H1090" s="43" t="n"/>
      <c r="I1090" s="32" t="n"/>
      <c r="J1090" s="44" t="n"/>
      <c r="K1090" s="36" t="n"/>
      <c r="L1090" s="33">
        <f>IF(C1090="","",Commercial_Id)</f>
        <v/>
      </c>
      <c r="M1090" s="34">
        <f>IF(OR(C1090="",F1090=""),"",IF(F1090&lt;&gt;"Espèces","—",IF(I1090&lt;&gt;"","☑ Oui","☐ Non")))</f>
        <v/>
      </c>
      <c r="N1090" s="39">
        <f>IF(D1090="","",IFERROR(VALUE(MID(D1090,LEN(D1090)-3,3)),""))</f>
        <v/>
      </c>
      <c r="O1090" s="33">
        <f>IF(N1090="","",L1090&amp;"|"&amp;N1090)</f>
        <v/>
      </c>
      <c r="P1090" s="33">
        <f>IF(N1090="","",IF(L1090="À RENSEIGNER","GIC",L1090)&amp;"-"&amp;TEXT(N1090,"000"))</f>
        <v/>
      </c>
      <c r="Q1090" s="33">
        <f>IF(O1090="","",IFERROR(INDEX(Cl_nom,MATCH(O1090,Cl_cle,0)),"(client introuvable)"))</f>
        <v/>
      </c>
      <c r="R1090" s="40">
        <f>IF(O1090="","",IFERROR(INDEX(Cl_reste,MATCH(O1090,Cl_cle,0)),""))</f>
        <v/>
      </c>
      <c r="S1090" s="34">
        <f>IF(C1090="","",YEAR(C1090-WEEKDAY(C1090,2)+4)&amp;"-S"&amp;TEXT(INT((C1090-DATE(YEAR(C1090-WEEKDAY(C1090,2)+4),1,3)+WEEKDAY(DATE(YEAR(C1090-WEEKDAY(C1090,2)+4),1,3),2)+5)/7),"00"))</f>
        <v/>
      </c>
    </row>
    <row r="1091" ht="18" customHeight="1">
      <c r="A1091" s="39" t="n">
        <v>1086</v>
      </c>
      <c r="B1091" s="33">
        <f>IF(C1091="","",IF(L1091="À RENSEIGNER","GIC",L1091)&amp;"-E"&amp;TEXT(A1091,"00000"))</f>
        <v/>
      </c>
      <c r="C1091" s="32" t="n"/>
      <c r="D1091" s="36" t="n"/>
      <c r="E1091" s="37" t="n"/>
      <c r="F1091" s="36" t="n"/>
      <c r="G1091" s="44" t="n"/>
      <c r="H1091" s="43" t="n"/>
      <c r="I1091" s="32" t="n"/>
      <c r="J1091" s="44" t="n"/>
      <c r="K1091" s="36" t="n"/>
      <c r="L1091" s="33">
        <f>IF(C1091="","",Commercial_Id)</f>
        <v/>
      </c>
      <c r="M1091" s="34">
        <f>IF(OR(C1091="",F1091=""),"",IF(F1091&lt;&gt;"Espèces","—",IF(I1091&lt;&gt;"","☑ Oui","☐ Non")))</f>
        <v/>
      </c>
      <c r="N1091" s="39">
        <f>IF(D1091="","",IFERROR(VALUE(MID(D1091,LEN(D1091)-3,3)),""))</f>
        <v/>
      </c>
      <c r="O1091" s="33">
        <f>IF(N1091="","",L1091&amp;"|"&amp;N1091)</f>
        <v/>
      </c>
      <c r="P1091" s="33">
        <f>IF(N1091="","",IF(L1091="À RENSEIGNER","GIC",L1091)&amp;"-"&amp;TEXT(N1091,"000"))</f>
        <v/>
      </c>
      <c r="Q1091" s="33">
        <f>IF(O1091="","",IFERROR(INDEX(Cl_nom,MATCH(O1091,Cl_cle,0)),"(client introuvable)"))</f>
        <v/>
      </c>
      <c r="R1091" s="40">
        <f>IF(O1091="","",IFERROR(INDEX(Cl_reste,MATCH(O1091,Cl_cle,0)),""))</f>
        <v/>
      </c>
      <c r="S1091" s="34">
        <f>IF(C1091="","",YEAR(C1091-WEEKDAY(C1091,2)+4)&amp;"-S"&amp;TEXT(INT((C1091-DATE(YEAR(C1091-WEEKDAY(C1091,2)+4),1,3)+WEEKDAY(DATE(YEAR(C1091-WEEKDAY(C1091,2)+4),1,3),2)+5)/7),"00"))</f>
        <v/>
      </c>
    </row>
    <row r="1092" ht="18" customHeight="1">
      <c r="A1092" s="39" t="n">
        <v>1087</v>
      </c>
      <c r="B1092" s="33">
        <f>IF(C1092="","",IF(L1092="À RENSEIGNER","GIC",L1092)&amp;"-E"&amp;TEXT(A1092,"00000"))</f>
        <v/>
      </c>
      <c r="C1092" s="32" t="n"/>
      <c r="D1092" s="36" t="n"/>
      <c r="E1092" s="37" t="n"/>
      <c r="F1092" s="36" t="n"/>
      <c r="G1092" s="44" t="n"/>
      <c r="H1092" s="43" t="n"/>
      <c r="I1092" s="32" t="n"/>
      <c r="J1092" s="44" t="n"/>
      <c r="K1092" s="36" t="n"/>
      <c r="L1092" s="33">
        <f>IF(C1092="","",Commercial_Id)</f>
        <v/>
      </c>
      <c r="M1092" s="34">
        <f>IF(OR(C1092="",F1092=""),"",IF(F1092&lt;&gt;"Espèces","—",IF(I1092&lt;&gt;"","☑ Oui","☐ Non")))</f>
        <v/>
      </c>
      <c r="N1092" s="39">
        <f>IF(D1092="","",IFERROR(VALUE(MID(D1092,LEN(D1092)-3,3)),""))</f>
        <v/>
      </c>
      <c r="O1092" s="33">
        <f>IF(N1092="","",L1092&amp;"|"&amp;N1092)</f>
        <v/>
      </c>
      <c r="P1092" s="33">
        <f>IF(N1092="","",IF(L1092="À RENSEIGNER","GIC",L1092)&amp;"-"&amp;TEXT(N1092,"000"))</f>
        <v/>
      </c>
      <c r="Q1092" s="33">
        <f>IF(O1092="","",IFERROR(INDEX(Cl_nom,MATCH(O1092,Cl_cle,0)),"(client introuvable)"))</f>
        <v/>
      </c>
      <c r="R1092" s="40">
        <f>IF(O1092="","",IFERROR(INDEX(Cl_reste,MATCH(O1092,Cl_cle,0)),""))</f>
        <v/>
      </c>
      <c r="S1092" s="34">
        <f>IF(C1092="","",YEAR(C1092-WEEKDAY(C1092,2)+4)&amp;"-S"&amp;TEXT(INT((C1092-DATE(YEAR(C1092-WEEKDAY(C1092,2)+4),1,3)+WEEKDAY(DATE(YEAR(C1092-WEEKDAY(C1092,2)+4),1,3),2)+5)/7),"00"))</f>
        <v/>
      </c>
    </row>
    <row r="1093" ht="18" customHeight="1">
      <c r="A1093" s="39" t="n">
        <v>1088</v>
      </c>
      <c r="B1093" s="33">
        <f>IF(C1093="","",IF(L1093="À RENSEIGNER","GIC",L1093)&amp;"-E"&amp;TEXT(A1093,"00000"))</f>
        <v/>
      </c>
      <c r="C1093" s="32" t="n"/>
      <c r="D1093" s="36" t="n"/>
      <c r="E1093" s="37" t="n"/>
      <c r="F1093" s="36" t="n"/>
      <c r="G1093" s="44" t="n"/>
      <c r="H1093" s="43" t="n"/>
      <c r="I1093" s="32" t="n"/>
      <c r="J1093" s="44" t="n"/>
      <c r="K1093" s="36" t="n"/>
      <c r="L1093" s="33">
        <f>IF(C1093="","",Commercial_Id)</f>
        <v/>
      </c>
      <c r="M1093" s="34">
        <f>IF(OR(C1093="",F1093=""),"",IF(F1093&lt;&gt;"Espèces","—",IF(I1093&lt;&gt;"","☑ Oui","☐ Non")))</f>
        <v/>
      </c>
      <c r="N1093" s="39">
        <f>IF(D1093="","",IFERROR(VALUE(MID(D1093,LEN(D1093)-3,3)),""))</f>
        <v/>
      </c>
      <c r="O1093" s="33">
        <f>IF(N1093="","",L1093&amp;"|"&amp;N1093)</f>
        <v/>
      </c>
      <c r="P1093" s="33">
        <f>IF(N1093="","",IF(L1093="À RENSEIGNER","GIC",L1093)&amp;"-"&amp;TEXT(N1093,"000"))</f>
        <v/>
      </c>
      <c r="Q1093" s="33">
        <f>IF(O1093="","",IFERROR(INDEX(Cl_nom,MATCH(O1093,Cl_cle,0)),"(client introuvable)"))</f>
        <v/>
      </c>
      <c r="R1093" s="40">
        <f>IF(O1093="","",IFERROR(INDEX(Cl_reste,MATCH(O1093,Cl_cle,0)),""))</f>
        <v/>
      </c>
      <c r="S1093" s="34">
        <f>IF(C1093="","",YEAR(C1093-WEEKDAY(C1093,2)+4)&amp;"-S"&amp;TEXT(INT((C1093-DATE(YEAR(C1093-WEEKDAY(C1093,2)+4),1,3)+WEEKDAY(DATE(YEAR(C1093-WEEKDAY(C1093,2)+4),1,3),2)+5)/7),"00"))</f>
        <v/>
      </c>
    </row>
    <row r="1094" ht="18" customHeight="1">
      <c r="A1094" s="39" t="n">
        <v>1089</v>
      </c>
      <c r="B1094" s="33">
        <f>IF(C1094="","",IF(L1094="À RENSEIGNER","GIC",L1094)&amp;"-E"&amp;TEXT(A1094,"00000"))</f>
        <v/>
      </c>
      <c r="C1094" s="32" t="n"/>
      <c r="D1094" s="36" t="n"/>
      <c r="E1094" s="37" t="n"/>
      <c r="F1094" s="36" t="n"/>
      <c r="G1094" s="44" t="n"/>
      <c r="H1094" s="43" t="n"/>
      <c r="I1094" s="32" t="n"/>
      <c r="J1094" s="44" t="n"/>
      <c r="K1094" s="36" t="n"/>
      <c r="L1094" s="33">
        <f>IF(C1094="","",Commercial_Id)</f>
        <v/>
      </c>
      <c r="M1094" s="34">
        <f>IF(OR(C1094="",F1094=""),"",IF(F1094&lt;&gt;"Espèces","—",IF(I1094&lt;&gt;"","☑ Oui","☐ Non")))</f>
        <v/>
      </c>
      <c r="N1094" s="39">
        <f>IF(D1094="","",IFERROR(VALUE(MID(D1094,LEN(D1094)-3,3)),""))</f>
        <v/>
      </c>
      <c r="O1094" s="33">
        <f>IF(N1094="","",L1094&amp;"|"&amp;N1094)</f>
        <v/>
      </c>
      <c r="P1094" s="33">
        <f>IF(N1094="","",IF(L1094="À RENSEIGNER","GIC",L1094)&amp;"-"&amp;TEXT(N1094,"000"))</f>
        <v/>
      </c>
      <c r="Q1094" s="33">
        <f>IF(O1094="","",IFERROR(INDEX(Cl_nom,MATCH(O1094,Cl_cle,0)),"(client introuvable)"))</f>
        <v/>
      </c>
      <c r="R1094" s="40">
        <f>IF(O1094="","",IFERROR(INDEX(Cl_reste,MATCH(O1094,Cl_cle,0)),""))</f>
        <v/>
      </c>
      <c r="S1094" s="34">
        <f>IF(C1094="","",YEAR(C1094-WEEKDAY(C1094,2)+4)&amp;"-S"&amp;TEXT(INT((C1094-DATE(YEAR(C1094-WEEKDAY(C1094,2)+4),1,3)+WEEKDAY(DATE(YEAR(C1094-WEEKDAY(C1094,2)+4),1,3),2)+5)/7),"00"))</f>
        <v/>
      </c>
    </row>
    <row r="1095" ht="18" customHeight="1">
      <c r="A1095" s="39" t="n">
        <v>1090</v>
      </c>
      <c r="B1095" s="33">
        <f>IF(C1095="","",IF(L1095="À RENSEIGNER","GIC",L1095)&amp;"-E"&amp;TEXT(A1095,"00000"))</f>
        <v/>
      </c>
      <c r="C1095" s="32" t="n"/>
      <c r="D1095" s="36" t="n"/>
      <c r="E1095" s="37" t="n"/>
      <c r="F1095" s="36" t="n"/>
      <c r="G1095" s="44" t="n"/>
      <c r="H1095" s="43" t="n"/>
      <c r="I1095" s="32" t="n"/>
      <c r="J1095" s="44" t="n"/>
      <c r="K1095" s="36" t="n"/>
      <c r="L1095" s="33">
        <f>IF(C1095="","",Commercial_Id)</f>
        <v/>
      </c>
      <c r="M1095" s="34">
        <f>IF(OR(C1095="",F1095=""),"",IF(F1095&lt;&gt;"Espèces","—",IF(I1095&lt;&gt;"","☑ Oui","☐ Non")))</f>
        <v/>
      </c>
      <c r="N1095" s="39">
        <f>IF(D1095="","",IFERROR(VALUE(MID(D1095,LEN(D1095)-3,3)),""))</f>
        <v/>
      </c>
      <c r="O1095" s="33">
        <f>IF(N1095="","",L1095&amp;"|"&amp;N1095)</f>
        <v/>
      </c>
      <c r="P1095" s="33">
        <f>IF(N1095="","",IF(L1095="À RENSEIGNER","GIC",L1095)&amp;"-"&amp;TEXT(N1095,"000"))</f>
        <v/>
      </c>
      <c r="Q1095" s="33">
        <f>IF(O1095="","",IFERROR(INDEX(Cl_nom,MATCH(O1095,Cl_cle,0)),"(client introuvable)"))</f>
        <v/>
      </c>
      <c r="R1095" s="40">
        <f>IF(O1095="","",IFERROR(INDEX(Cl_reste,MATCH(O1095,Cl_cle,0)),""))</f>
        <v/>
      </c>
      <c r="S1095" s="34">
        <f>IF(C1095="","",YEAR(C1095-WEEKDAY(C1095,2)+4)&amp;"-S"&amp;TEXT(INT((C1095-DATE(YEAR(C1095-WEEKDAY(C1095,2)+4),1,3)+WEEKDAY(DATE(YEAR(C1095-WEEKDAY(C1095,2)+4),1,3),2)+5)/7),"00"))</f>
        <v/>
      </c>
    </row>
    <row r="1096" ht="18" customHeight="1">
      <c r="A1096" s="39" t="n">
        <v>1091</v>
      </c>
      <c r="B1096" s="33">
        <f>IF(C1096="","",IF(L1096="À RENSEIGNER","GIC",L1096)&amp;"-E"&amp;TEXT(A1096,"00000"))</f>
        <v/>
      </c>
      <c r="C1096" s="32" t="n"/>
      <c r="D1096" s="36" t="n"/>
      <c r="E1096" s="37" t="n"/>
      <c r="F1096" s="36" t="n"/>
      <c r="G1096" s="44" t="n"/>
      <c r="H1096" s="43" t="n"/>
      <c r="I1096" s="32" t="n"/>
      <c r="J1096" s="44" t="n"/>
      <c r="K1096" s="36" t="n"/>
      <c r="L1096" s="33">
        <f>IF(C1096="","",Commercial_Id)</f>
        <v/>
      </c>
      <c r="M1096" s="34">
        <f>IF(OR(C1096="",F1096=""),"",IF(F1096&lt;&gt;"Espèces","—",IF(I1096&lt;&gt;"","☑ Oui","☐ Non")))</f>
        <v/>
      </c>
      <c r="N1096" s="39">
        <f>IF(D1096="","",IFERROR(VALUE(MID(D1096,LEN(D1096)-3,3)),""))</f>
        <v/>
      </c>
      <c r="O1096" s="33">
        <f>IF(N1096="","",L1096&amp;"|"&amp;N1096)</f>
        <v/>
      </c>
      <c r="P1096" s="33">
        <f>IF(N1096="","",IF(L1096="À RENSEIGNER","GIC",L1096)&amp;"-"&amp;TEXT(N1096,"000"))</f>
        <v/>
      </c>
      <c r="Q1096" s="33">
        <f>IF(O1096="","",IFERROR(INDEX(Cl_nom,MATCH(O1096,Cl_cle,0)),"(client introuvable)"))</f>
        <v/>
      </c>
      <c r="R1096" s="40">
        <f>IF(O1096="","",IFERROR(INDEX(Cl_reste,MATCH(O1096,Cl_cle,0)),""))</f>
        <v/>
      </c>
      <c r="S1096" s="34">
        <f>IF(C1096="","",YEAR(C1096-WEEKDAY(C1096,2)+4)&amp;"-S"&amp;TEXT(INT((C1096-DATE(YEAR(C1096-WEEKDAY(C1096,2)+4),1,3)+WEEKDAY(DATE(YEAR(C1096-WEEKDAY(C1096,2)+4),1,3),2)+5)/7),"00"))</f>
        <v/>
      </c>
    </row>
    <row r="1097" ht="18" customHeight="1">
      <c r="A1097" s="39" t="n">
        <v>1092</v>
      </c>
      <c r="B1097" s="33">
        <f>IF(C1097="","",IF(L1097="À RENSEIGNER","GIC",L1097)&amp;"-E"&amp;TEXT(A1097,"00000"))</f>
        <v/>
      </c>
      <c r="C1097" s="32" t="n"/>
      <c r="D1097" s="36" t="n"/>
      <c r="E1097" s="37" t="n"/>
      <c r="F1097" s="36" t="n"/>
      <c r="G1097" s="44" t="n"/>
      <c r="H1097" s="43" t="n"/>
      <c r="I1097" s="32" t="n"/>
      <c r="J1097" s="44" t="n"/>
      <c r="K1097" s="36" t="n"/>
      <c r="L1097" s="33">
        <f>IF(C1097="","",Commercial_Id)</f>
        <v/>
      </c>
      <c r="M1097" s="34">
        <f>IF(OR(C1097="",F1097=""),"",IF(F1097&lt;&gt;"Espèces","—",IF(I1097&lt;&gt;"","☑ Oui","☐ Non")))</f>
        <v/>
      </c>
      <c r="N1097" s="39">
        <f>IF(D1097="","",IFERROR(VALUE(MID(D1097,LEN(D1097)-3,3)),""))</f>
        <v/>
      </c>
      <c r="O1097" s="33">
        <f>IF(N1097="","",L1097&amp;"|"&amp;N1097)</f>
        <v/>
      </c>
      <c r="P1097" s="33">
        <f>IF(N1097="","",IF(L1097="À RENSEIGNER","GIC",L1097)&amp;"-"&amp;TEXT(N1097,"000"))</f>
        <v/>
      </c>
      <c r="Q1097" s="33">
        <f>IF(O1097="","",IFERROR(INDEX(Cl_nom,MATCH(O1097,Cl_cle,0)),"(client introuvable)"))</f>
        <v/>
      </c>
      <c r="R1097" s="40">
        <f>IF(O1097="","",IFERROR(INDEX(Cl_reste,MATCH(O1097,Cl_cle,0)),""))</f>
        <v/>
      </c>
      <c r="S1097" s="34">
        <f>IF(C1097="","",YEAR(C1097-WEEKDAY(C1097,2)+4)&amp;"-S"&amp;TEXT(INT((C1097-DATE(YEAR(C1097-WEEKDAY(C1097,2)+4),1,3)+WEEKDAY(DATE(YEAR(C1097-WEEKDAY(C1097,2)+4),1,3),2)+5)/7),"00"))</f>
        <v/>
      </c>
    </row>
    <row r="1098" ht="18" customHeight="1">
      <c r="A1098" s="39" t="n">
        <v>1093</v>
      </c>
      <c r="B1098" s="33">
        <f>IF(C1098="","",IF(L1098="À RENSEIGNER","GIC",L1098)&amp;"-E"&amp;TEXT(A1098,"00000"))</f>
        <v/>
      </c>
      <c r="C1098" s="32" t="n"/>
      <c r="D1098" s="36" t="n"/>
      <c r="E1098" s="37" t="n"/>
      <c r="F1098" s="36" t="n"/>
      <c r="G1098" s="44" t="n"/>
      <c r="H1098" s="43" t="n"/>
      <c r="I1098" s="32" t="n"/>
      <c r="J1098" s="44" t="n"/>
      <c r="K1098" s="36" t="n"/>
      <c r="L1098" s="33">
        <f>IF(C1098="","",Commercial_Id)</f>
        <v/>
      </c>
      <c r="M1098" s="34">
        <f>IF(OR(C1098="",F1098=""),"",IF(F1098&lt;&gt;"Espèces","—",IF(I1098&lt;&gt;"","☑ Oui","☐ Non")))</f>
        <v/>
      </c>
      <c r="N1098" s="39">
        <f>IF(D1098="","",IFERROR(VALUE(MID(D1098,LEN(D1098)-3,3)),""))</f>
        <v/>
      </c>
      <c r="O1098" s="33">
        <f>IF(N1098="","",L1098&amp;"|"&amp;N1098)</f>
        <v/>
      </c>
      <c r="P1098" s="33">
        <f>IF(N1098="","",IF(L1098="À RENSEIGNER","GIC",L1098)&amp;"-"&amp;TEXT(N1098,"000"))</f>
        <v/>
      </c>
      <c r="Q1098" s="33">
        <f>IF(O1098="","",IFERROR(INDEX(Cl_nom,MATCH(O1098,Cl_cle,0)),"(client introuvable)"))</f>
        <v/>
      </c>
      <c r="R1098" s="40">
        <f>IF(O1098="","",IFERROR(INDEX(Cl_reste,MATCH(O1098,Cl_cle,0)),""))</f>
        <v/>
      </c>
      <c r="S1098" s="34">
        <f>IF(C1098="","",YEAR(C1098-WEEKDAY(C1098,2)+4)&amp;"-S"&amp;TEXT(INT((C1098-DATE(YEAR(C1098-WEEKDAY(C1098,2)+4),1,3)+WEEKDAY(DATE(YEAR(C1098-WEEKDAY(C1098,2)+4),1,3),2)+5)/7),"00"))</f>
        <v/>
      </c>
    </row>
    <row r="1099" ht="18" customHeight="1">
      <c r="A1099" s="39" t="n">
        <v>1094</v>
      </c>
      <c r="B1099" s="33">
        <f>IF(C1099="","",IF(L1099="À RENSEIGNER","GIC",L1099)&amp;"-E"&amp;TEXT(A1099,"00000"))</f>
        <v/>
      </c>
      <c r="C1099" s="32" t="n"/>
      <c r="D1099" s="36" t="n"/>
      <c r="E1099" s="37" t="n"/>
      <c r="F1099" s="36" t="n"/>
      <c r="G1099" s="44" t="n"/>
      <c r="H1099" s="43" t="n"/>
      <c r="I1099" s="32" t="n"/>
      <c r="J1099" s="44" t="n"/>
      <c r="K1099" s="36" t="n"/>
      <c r="L1099" s="33">
        <f>IF(C1099="","",Commercial_Id)</f>
        <v/>
      </c>
      <c r="M1099" s="34">
        <f>IF(OR(C1099="",F1099=""),"",IF(F1099&lt;&gt;"Espèces","—",IF(I1099&lt;&gt;"","☑ Oui","☐ Non")))</f>
        <v/>
      </c>
      <c r="N1099" s="39">
        <f>IF(D1099="","",IFERROR(VALUE(MID(D1099,LEN(D1099)-3,3)),""))</f>
        <v/>
      </c>
      <c r="O1099" s="33">
        <f>IF(N1099="","",L1099&amp;"|"&amp;N1099)</f>
        <v/>
      </c>
      <c r="P1099" s="33">
        <f>IF(N1099="","",IF(L1099="À RENSEIGNER","GIC",L1099)&amp;"-"&amp;TEXT(N1099,"000"))</f>
        <v/>
      </c>
      <c r="Q1099" s="33">
        <f>IF(O1099="","",IFERROR(INDEX(Cl_nom,MATCH(O1099,Cl_cle,0)),"(client introuvable)"))</f>
        <v/>
      </c>
      <c r="R1099" s="40">
        <f>IF(O1099="","",IFERROR(INDEX(Cl_reste,MATCH(O1099,Cl_cle,0)),""))</f>
        <v/>
      </c>
      <c r="S1099" s="34">
        <f>IF(C1099="","",YEAR(C1099-WEEKDAY(C1099,2)+4)&amp;"-S"&amp;TEXT(INT((C1099-DATE(YEAR(C1099-WEEKDAY(C1099,2)+4),1,3)+WEEKDAY(DATE(YEAR(C1099-WEEKDAY(C1099,2)+4),1,3),2)+5)/7),"00"))</f>
        <v/>
      </c>
    </row>
    <row r="1100" ht="18" customHeight="1">
      <c r="A1100" s="39" t="n">
        <v>1095</v>
      </c>
      <c r="B1100" s="33">
        <f>IF(C1100="","",IF(L1100="À RENSEIGNER","GIC",L1100)&amp;"-E"&amp;TEXT(A1100,"00000"))</f>
        <v/>
      </c>
      <c r="C1100" s="32" t="n"/>
      <c r="D1100" s="36" t="n"/>
      <c r="E1100" s="37" t="n"/>
      <c r="F1100" s="36" t="n"/>
      <c r="G1100" s="44" t="n"/>
      <c r="H1100" s="43" t="n"/>
      <c r="I1100" s="32" t="n"/>
      <c r="J1100" s="44" t="n"/>
      <c r="K1100" s="36" t="n"/>
      <c r="L1100" s="33">
        <f>IF(C1100="","",Commercial_Id)</f>
        <v/>
      </c>
      <c r="M1100" s="34">
        <f>IF(OR(C1100="",F1100=""),"",IF(F1100&lt;&gt;"Espèces","—",IF(I1100&lt;&gt;"","☑ Oui","☐ Non")))</f>
        <v/>
      </c>
      <c r="N1100" s="39">
        <f>IF(D1100="","",IFERROR(VALUE(MID(D1100,LEN(D1100)-3,3)),""))</f>
        <v/>
      </c>
      <c r="O1100" s="33">
        <f>IF(N1100="","",L1100&amp;"|"&amp;N1100)</f>
        <v/>
      </c>
      <c r="P1100" s="33">
        <f>IF(N1100="","",IF(L1100="À RENSEIGNER","GIC",L1100)&amp;"-"&amp;TEXT(N1100,"000"))</f>
        <v/>
      </c>
      <c r="Q1100" s="33">
        <f>IF(O1100="","",IFERROR(INDEX(Cl_nom,MATCH(O1100,Cl_cle,0)),"(client introuvable)"))</f>
        <v/>
      </c>
      <c r="R1100" s="40">
        <f>IF(O1100="","",IFERROR(INDEX(Cl_reste,MATCH(O1100,Cl_cle,0)),""))</f>
        <v/>
      </c>
      <c r="S1100" s="34">
        <f>IF(C1100="","",YEAR(C1100-WEEKDAY(C1100,2)+4)&amp;"-S"&amp;TEXT(INT((C1100-DATE(YEAR(C1100-WEEKDAY(C1100,2)+4),1,3)+WEEKDAY(DATE(YEAR(C1100-WEEKDAY(C1100,2)+4),1,3),2)+5)/7),"00"))</f>
        <v/>
      </c>
    </row>
    <row r="1101" ht="18" customHeight="1">
      <c r="A1101" s="39" t="n">
        <v>1096</v>
      </c>
      <c r="B1101" s="33">
        <f>IF(C1101="","",IF(L1101="À RENSEIGNER","GIC",L1101)&amp;"-E"&amp;TEXT(A1101,"00000"))</f>
        <v/>
      </c>
      <c r="C1101" s="32" t="n"/>
      <c r="D1101" s="36" t="n"/>
      <c r="E1101" s="37" t="n"/>
      <c r="F1101" s="36" t="n"/>
      <c r="G1101" s="44" t="n"/>
      <c r="H1101" s="43" t="n"/>
      <c r="I1101" s="32" t="n"/>
      <c r="J1101" s="44" t="n"/>
      <c r="K1101" s="36" t="n"/>
      <c r="L1101" s="33">
        <f>IF(C1101="","",Commercial_Id)</f>
        <v/>
      </c>
      <c r="M1101" s="34">
        <f>IF(OR(C1101="",F1101=""),"",IF(F1101&lt;&gt;"Espèces","—",IF(I1101&lt;&gt;"","☑ Oui","☐ Non")))</f>
        <v/>
      </c>
      <c r="N1101" s="39">
        <f>IF(D1101="","",IFERROR(VALUE(MID(D1101,LEN(D1101)-3,3)),""))</f>
        <v/>
      </c>
      <c r="O1101" s="33">
        <f>IF(N1101="","",L1101&amp;"|"&amp;N1101)</f>
        <v/>
      </c>
      <c r="P1101" s="33">
        <f>IF(N1101="","",IF(L1101="À RENSEIGNER","GIC",L1101)&amp;"-"&amp;TEXT(N1101,"000"))</f>
        <v/>
      </c>
      <c r="Q1101" s="33">
        <f>IF(O1101="","",IFERROR(INDEX(Cl_nom,MATCH(O1101,Cl_cle,0)),"(client introuvable)"))</f>
        <v/>
      </c>
      <c r="R1101" s="40">
        <f>IF(O1101="","",IFERROR(INDEX(Cl_reste,MATCH(O1101,Cl_cle,0)),""))</f>
        <v/>
      </c>
      <c r="S1101" s="34">
        <f>IF(C1101="","",YEAR(C1101-WEEKDAY(C1101,2)+4)&amp;"-S"&amp;TEXT(INT((C1101-DATE(YEAR(C1101-WEEKDAY(C1101,2)+4),1,3)+WEEKDAY(DATE(YEAR(C1101-WEEKDAY(C1101,2)+4),1,3),2)+5)/7),"00"))</f>
        <v/>
      </c>
    </row>
    <row r="1102" ht="18" customHeight="1">
      <c r="A1102" s="39" t="n">
        <v>1097</v>
      </c>
      <c r="B1102" s="33">
        <f>IF(C1102="","",IF(L1102="À RENSEIGNER","GIC",L1102)&amp;"-E"&amp;TEXT(A1102,"00000"))</f>
        <v/>
      </c>
      <c r="C1102" s="32" t="n"/>
      <c r="D1102" s="36" t="n"/>
      <c r="E1102" s="37" t="n"/>
      <c r="F1102" s="36" t="n"/>
      <c r="G1102" s="44" t="n"/>
      <c r="H1102" s="43" t="n"/>
      <c r="I1102" s="32" t="n"/>
      <c r="J1102" s="44" t="n"/>
      <c r="K1102" s="36" t="n"/>
      <c r="L1102" s="33">
        <f>IF(C1102="","",Commercial_Id)</f>
        <v/>
      </c>
      <c r="M1102" s="34">
        <f>IF(OR(C1102="",F1102=""),"",IF(F1102&lt;&gt;"Espèces","—",IF(I1102&lt;&gt;"","☑ Oui","☐ Non")))</f>
        <v/>
      </c>
      <c r="N1102" s="39">
        <f>IF(D1102="","",IFERROR(VALUE(MID(D1102,LEN(D1102)-3,3)),""))</f>
        <v/>
      </c>
      <c r="O1102" s="33">
        <f>IF(N1102="","",L1102&amp;"|"&amp;N1102)</f>
        <v/>
      </c>
      <c r="P1102" s="33">
        <f>IF(N1102="","",IF(L1102="À RENSEIGNER","GIC",L1102)&amp;"-"&amp;TEXT(N1102,"000"))</f>
        <v/>
      </c>
      <c r="Q1102" s="33">
        <f>IF(O1102="","",IFERROR(INDEX(Cl_nom,MATCH(O1102,Cl_cle,0)),"(client introuvable)"))</f>
        <v/>
      </c>
      <c r="R1102" s="40">
        <f>IF(O1102="","",IFERROR(INDEX(Cl_reste,MATCH(O1102,Cl_cle,0)),""))</f>
        <v/>
      </c>
      <c r="S1102" s="34">
        <f>IF(C1102="","",YEAR(C1102-WEEKDAY(C1102,2)+4)&amp;"-S"&amp;TEXT(INT((C1102-DATE(YEAR(C1102-WEEKDAY(C1102,2)+4),1,3)+WEEKDAY(DATE(YEAR(C1102-WEEKDAY(C1102,2)+4),1,3),2)+5)/7),"00"))</f>
        <v/>
      </c>
    </row>
    <row r="1103" ht="18" customHeight="1">
      <c r="A1103" s="39" t="n">
        <v>1098</v>
      </c>
      <c r="B1103" s="33">
        <f>IF(C1103="","",IF(L1103="À RENSEIGNER","GIC",L1103)&amp;"-E"&amp;TEXT(A1103,"00000"))</f>
        <v/>
      </c>
      <c r="C1103" s="32" t="n"/>
      <c r="D1103" s="36" t="n"/>
      <c r="E1103" s="37" t="n"/>
      <c r="F1103" s="36" t="n"/>
      <c r="G1103" s="44" t="n"/>
      <c r="H1103" s="43" t="n"/>
      <c r="I1103" s="32" t="n"/>
      <c r="J1103" s="44" t="n"/>
      <c r="K1103" s="36" t="n"/>
      <c r="L1103" s="33">
        <f>IF(C1103="","",Commercial_Id)</f>
        <v/>
      </c>
      <c r="M1103" s="34">
        <f>IF(OR(C1103="",F1103=""),"",IF(F1103&lt;&gt;"Espèces","—",IF(I1103&lt;&gt;"","☑ Oui","☐ Non")))</f>
        <v/>
      </c>
      <c r="N1103" s="39">
        <f>IF(D1103="","",IFERROR(VALUE(MID(D1103,LEN(D1103)-3,3)),""))</f>
        <v/>
      </c>
      <c r="O1103" s="33">
        <f>IF(N1103="","",L1103&amp;"|"&amp;N1103)</f>
        <v/>
      </c>
      <c r="P1103" s="33">
        <f>IF(N1103="","",IF(L1103="À RENSEIGNER","GIC",L1103)&amp;"-"&amp;TEXT(N1103,"000"))</f>
        <v/>
      </c>
      <c r="Q1103" s="33">
        <f>IF(O1103="","",IFERROR(INDEX(Cl_nom,MATCH(O1103,Cl_cle,0)),"(client introuvable)"))</f>
        <v/>
      </c>
      <c r="R1103" s="40">
        <f>IF(O1103="","",IFERROR(INDEX(Cl_reste,MATCH(O1103,Cl_cle,0)),""))</f>
        <v/>
      </c>
      <c r="S1103" s="34">
        <f>IF(C1103="","",YEAR(C1103-WEEKDAY(C1103,2)+4)&amp;"-S"&amp;TEXT(INT((C1103-DATE(YEAR(C1103-WEEKDAY(C1103,2)+4),1,3)+WEEKDAY(DATE(YEAR(C1103-WEEKDAY(C1103,2)+4),1,3),2)+5)/7),"00"))</f>
        <v/>
      </c>
    </row>
    <row r="1104" ht="18" customHeight="1">
      <c r="A1104" s="39" t="n">
        <v>1099</v>
      </c>
      <c r="B1104" s="33">
        <f>IF(C1104="","",IF(L1104="À RENSEIGNER","GIC",L1104)&amp;"-E"&amp;TEXT(A1104,"00000"))</f>
        <v/>
      </c>
      <c r="C1104" s="32" t="n"/>
      <c r="D1104" s="36" t="n"/>
      <c r="E1104" s="37" t="n"/>
      <c r="F1104" s="36" t="n"/>
      <c r="G1104" s="44" t="n"/>
      <c r="H1104" s="43" t="n"/>
      <c r="I1104" s="32" t="n"/>
      <c r="J1104" s="44" t="n"/>
      <c r="K1104" s="36" t="n"/>
      <c r="L1104" s="33">
        <f>IF(C1104="","",Commercial_Id)</f>
        <v/>
      </c>
      <c r="M1104" s="34">
        <f>IF(OR(C1104="",F1104=""),"",IF(F1104&lt;&gt;"Espèces","—",IF(I1104&lt;&gt;"","☑ Oui","☐ Non")))</f>
        <v/>
      </c>
      <c r="N1104" s="39">
        <f>IF(D1104="","",IFERROR(VALUE(MID(D1104,LEN(D1104)-3,3)),""))</f>
        <v/>
      </c>
      <c r="O1104" s="33">
        <f>IF(N1104="","",L1104&amp;"|"&amp;N1104)</f>
        <v/>
      </c>
      <c r="P1104" s="33">
        <f>IF(N1104="","",IF(L1104="À RENSEIGNER","GIC",L1104)&amp;"-"&amp;TEXT(N1104,"000"))</f>
        <v/>
      </c>
      <c r="Q1104" s="33">
        <f>IF(O1104="","",IFERROR(INDEX(Cl_nom,MATCH(O1104,Cl_cle,0)),"(client introuvable)"))</f>
        <v/>
      </c>
      <c r="R1104" s="40">
        <f>IF(O1104="","",IFERROR(INDEX(Cl_reste,MATCH(O1104,Cl_cle,0)),""))</f>
        <v/>
      </c>
      <c r="S1104" s="34">
        <f>IF(C1104="","",YEAR(C1104-WEEKDAY(C1104,2)+4)&amp;"-S"&amp;TEXT(INT((C1104-DATE(YEAR(C1104-WEEKDAY(C1104,2)+4),1,3)+WEEKDAY(DATE(YEAR(C1104-WEEKDAY(C1104,2)+4),1,3),2)+5)/7),"00"))</f>
        <v/>
      </c>
    </row>
    <row r="1105" ht="18" customHeight="1">
      <c r="A1105" s="39" t="n">
        <v>1100</v>
      </c>
      <c r="B1105" s="33">
        <f>IF(C1105="","",IF(L1105="À RENSEIGNER","GIC",L1105)&amp;"-E"&amp;TEXT(A1105,"00000"))</f>
        <v/>
      </c>
      <c r="C1105" s="32" t="n"/>
      <c r="D1105" s="36" t="n"/>
      <c r="E1105" s="37" t="n"/>
      <c r="F1105" s="36" t="n"/>
      <c r="G1105" s="44" t="n"/>
      <c r="H1105" s="43" t="n"/>
      <c r="I1105" s="32" t="n"/>
      <c r="J1105" s="44" t="n"/>
      <c r="K1105" s="36" t="n"/>
      <c r="L1105" s="33">
        <f>IF(C1105="","",Commercial_Id)</f>
        <v/>
      </c>
      <c r="M1105" s="34">
        <f>IF(OR(C1105="",F1105=""),"",IF(F1105&lt;&gt;"Espèces","—",IF(I1105&lt;&gt;"","☑ Oui","☐ Non")))</f>
        <v/>
      </c>
      <c r="N1105" s="39">
        <f>IF(D1105="","",IFERROR(VALUE(MID(D1105,LEN(D1105)-3,3)),""))</f>
        <v/>
      </c>
      <c r="O1105" s="33">
        <f>IF(N1105="","",L1105&amp;"|"&amp;N1105)</f>
        <v/>
      </c>
      <c r="P1105" s="33">
        <f>IF(N1105="","",IF(L1105="À RENSEIGNER","GIC",L1105)&amp;"-"&amp;TEXT(N1105,"000"))</f>
        <v/>
      </c>
      <c r="Q1105" s="33">
        <f>IF(O1105="","",IFERROR(INDEX(Cl_nom,MATCH(O1105,Cl_cle,0)),"(client introuvable)"))</f>
        <v/>
      </c>
      <c r="R1105" s="40">
        <f>IF(O1105="","",IFERROR(INDEX(Cl_reste,MATCH(O1105,Cl_cle,0)),""))</f>
        <v/>
      </c>
      <c r="S1105" s="34">
        <f>IF(C1105="","",YEAR(C1105-WEEKDAY(C1105,2)+4)&amp;"-S"&amp;TEXT(INT((C1105-DATE(YEAR(C1105-WEEKDAY(C1105,2)+4),1,3)+WEEKDAY(DATE(YEAR(C1105-WEEKDAY(C1105,2)+4),1,3),2)+5)/7),"00"))</f>
        <v/>
      </c>
    </row>
    <row r="1106" ht="18" customHeight="1">
      <c r="A1106" s="39" t="n">
        <v>1101</v>
      </c>
      <c r="B1106" s="33">
        <f>IF(C1106="","",IF(L1106="À RENSEIGNER","GIC",L1106)&amp;"-E"&amp;TEXT(A1106,"00000"))</f>
        <v/>
      </c>
      <c r="C1106" s="32" t="n"/>
      <c r="D1106" s="36" t="n"/>
      <c r="E1106" s="37" t="n"/>
      <c r="F1106" s="36" t="n"/>
      <c r="G1106" s="44" t="n"/>
      <c r="H1106" s="43" t="n"/>
      <c r="I1106" s="32" t="n"/>
      <c r="J1106" s="44" t="n"/>
      <c r="K1106" s="36" t="n"/>
      <c r="L1106" s="33">
        <f>IF(C1106="","",Commercial_Id)</f>
        <v/>
      </c>
      <c r="M1106" s="34">
        <f>IF(OR(C1106="",F1106=""),"",IF(F1106&lt;&gt;"Espèces","—",IF(I1106&lt;&gt;"","☑ Oui","☐ Non")))</f>
        <v/>
      </c>
      <c r="N1106" s="39">
        <f>IF(D1106="","",IFERROR(VALUE(MID(D1106,LEN(D1106)-3,3)),""))</f>
        <v/>
      </c>
      <c r="O1106" s="33">
        <f>IF(N1106="","",L1106&amp;"|"&amp;N1106)</f>
        <v/>
      </c>
      <c r="P1106" s="33">
        <f>IF(N1106="","",IF(L1106="À RENSEIGNER","GIC",L1106)&amp;"-"&amp;TEXT(N1106,"000"))</f>
        <v/>
      </c>
      <c r="Q1106" s="33">
        <f>IF(O1106="","",IFERROR(INDEX(Cl_nom,MATCH(O1106,Cl_cle,0)),"(client introuvable)"))</f>
        <v/>
      </c>
      <c r="R1106" s="40">
        <f>IF(O1106="","",IFERROR(INDEX(Cl_reste,MATCH(O1106,Cl_cle,0)),""))</f>
        <v/>
      </c>
      <c r="S1106" s="34">
        <f>IF(C1106="","",YEAR(C1106-WEEKDAY(C1106,2)+4)&amp;"-S"&amp;TEXT(INT((C1106-DATE(YEAR(C1106-WEEKDAY(C1106,2)+4),1,3)+WEEKDAY(DATE(YEAR(C1106-WEEKDAY(C1106,2)+4),1,3),2)+5)/7),"00"))</f>
        <v/>
      </c>
    </row>
    <row r="1107" ht="18" customHeight="1">
      <c r="A1107" s="39" t="n">
        <v>1102</v>
      </c>
      <c r="B1107" s="33">
        <f>IF(C1107="","",IF(L1107="À RENSEIGNER","GIC",L1107)&amp;"-E"&amp;TEXT(A1107,"00000"))</f>
        <v/>
      </c>
      <c r="C1107" s="32" t="n"/>
      <c r="D1107" s="36" t="n"/>
      <c r="E1107" s="37" t="n"/>
      <c r="F1107" s="36" t="n"/>
      <c r="G1107" s="44" t="n"/>
      <c r="H1107" s="43" t="n"/>
      <c r="I1107" s="32" t="n"/>
      <c r="J1107" s="44" t="n"/>
      <c r="K1107" s="36" t="n"/>
      <c r="L1107" s="33">
        <f>IF(C1107="","",Commercial_Id)</f>
        <v/>
      </c>
      <c r="M1107" s="34">
        <f>IF(OR(C1107="",F1107=""),"",IF(F1107&lt;&gt;"Espèces","—",IF(I1107&lt;&gt;"","☑ Oui","☐ Non")))</f>
        <v/>
      </c>
      <c r="N1107" s="39">
        <f>IF(D1107="","",IFERROR(VALUE(MID(D1107,LEN(D1107)-3,3)),""))</f>
        <v/>
      </c>
      <c r="O1107" s="33">
        <f>IF(N1107="","",L1107&amp;"|"&amp;N1107)</f>
        <v/>
      </c>
      <c r="P1107" s="33">
        <f>IF(N1107="","",IF(L1107="À RENSEIGNER","GIC",L1107)&amp;"-"&amp;TEXT(N1107,"000"))</f>
        <v/>
      </c>
      <c r="Q1107" s="33">
        <f>IF(O1107="","",IFERROR(INDEX(Cl_nom,MATCH(O1107,Cl_cle,0)),"(client introuvable)"))</f>
        <v/>
      </c>
      <c r="R1107" s="40">
        <f>IF(O1107="","",IFERROR(INDEX(Cl_reste,MATCH(O1107,Cl_cle,0)),""))</f>
        <v/>
      </c>
      <c r="S1107" s="34">
        <f>IF(C1107="","",YEAR(C1107-WEEKDAY(C1107,2)+4)&amp;"-S"&amp;TEXT(INT((C1107-DATE(YEAR(C1107-WEEKDAY(C1107,2)+4),1,3)+WEEKDAY(DATE(YEAR(C1107-WEEKDAY(C1107,2)+4),1,3),2)+5)/7),"00"))</f>
        <v/>
      </c>
    </row>
    <row r="1108" ht="18" customHeight="1">
      <c r="A1108" s="39" t="n">
        <v>1103</v>
      </c>
      <c r="B1108" s="33">
        <f>IF(C1108="","",IF(L1108="À RENSEIGNER","GIC",L1108)&amp;"-E"&amp;TEXT(A1108,"00000"))</f>
        <v/>
      </c>
      <c r="C1108" s="32" t="n"/>
      <c r="D1108" s="36" t="n"/>
      <c r="E1108" s="37" t="n"/>
      <c r="F1108" s="36" t="n"/>
      <c r="G1108" s="44" t="n"/>
      <c r="H1108" s="43" t="n"/>
      <c r="I1108" s="32" t="n"/>
      <c r="J1108" s="44" t="n"/>
      <c r="K1108" s="36" t="n"/>
      <c r="L1108" s="33">
        <f>IF(C1108="","",Commercial_Id)</f>
        <v/>
      </c>
      <c r="M1108" s="34">
        <f>IF(OR(C1108="",F1108=""),"",IF(F1108&lt;&gt;"Espèces","—",IF(I1108&lt;&gt;"","☑ Oui","☐ Non")))</f>
        <v/>
      </c>
      <c r="N1108" s="39">
        <f>IF(D1108="","",IFERROR(VALUE(MID(D1108,LEN(D1108)-3,3)),""))</f>
        <v/>
      </c>
      <c r="O1108" s="33">
        <f>IF(N1108="","",L1108&amp;"|"&amp;N1108)</f>
        <v/>
      </c>
      <c r="P1108" s="33">
        <f>IF(N1108="","",IF(L1108="À RENSEIGNER","GIC",L1108)&amp;"-"&amp;TEXT(N1108,"000"))</f>
        <v/>
      </c>
      <c r="Q1108" s="33">
        <f>IF(O1108="","",IFERROR(INDEX(Cl_nom,MATCH(O1108,Cl_cle,0)),"(client introuvable)"))</f>
        <v/>
      </c>
      <c r="R1108" s="40">
        <f>IF(O1108="","",IFERROR(INDEX(Cl_reste,MATCH(O1108,Cl_cle,0)),""))</f>
        <v/>
      </c>
      <c r="S1108" s="34">
        <f>IF(C1108="","",YEAR(C1108-WEEKDAY(C1108,2)+4)&amp;"-S"&amp;TEXT(INT((C1108-DATE(YEAR(C1108-WEEKDAY(C1108,2)+4),1,3)+WEEKDAY(DATE(YEAR(C1108-WEEKDAY(C1108,2)+4),1,3),2)+5)/7),"00"))</f>
        <v/>
      </c>
    </row>
    <row r="1109" ht="18" customHeight="1">
      <c r="A1109" s="39" t="n">
        <v>1104</v>
      </c>
      <c r="B1109" s="33">
        <f>IF(C1109="","",IF(L1109="À RENSEIGNER","GIC",L1109)&amp;"-E"&amp;TEXT(A1109,"00000"))</f>
        <v/>
      </c>
      <c r="C1109" s="32" t="n"/>
      <c r="D1109" s="36" t="n"/>
      <c r="E1109" s="37" t="n"/>
      <c r="F1109" s="36" t="n"/>
      <c r="G1109" s="44" t="n"/>
      <c r="H1109" s="43" t="n"/>
      <c r="I1109" s="32" t="n"/>
      <c r="J1109" s="44" t="n"/>
      <c r="K1109" s="36" t="n"/>
      <c r="L1109" s="33">
        <f>IF(C1109="","",Commercial_Id)</f>
        <v/>
      </c>
      <c r="M1109" s="34">
        <f>IF(OR(C1109="",F1109=""),"",IF(F1109&lt;&gt;"Espèces","—",IF(I1109&lt;&gt;"","☑ Oui","☐ Non")))</f>
        <v/>
      </c>
      <c r="N1109" s="39">
        <f>IF(D1109="","",IFERROR(VALUE(MID(D1109,LEN(D1109)-3,3)),""))</f>
        <v/>
      </c>
      <c r="O1109" s="33">
        <f>IF(N1109="","",L1109&amp;"|"&amp;N1109)</f>
        <v/>
      </c>
      <c r="P1109" s="33">
        <f>IF(N1109="","",IF(L1109="À RENSEIGNER","GIC",L1109)&amp;"-"&amp;TEXT(N1109,"000"))</f>
        <v/>
      </c>
      <c r="Q1109" s="33">
        <f>IF(O1109="","",IFERROR(INDEX(Cl_nom,MATCH(O1109,Cl_cle,0)),"(client introuvable)"))</f>
        <v/>
      </c>
      <c r="R1109" s="40">
        <f>IF(O1109="","",IFERROR(INDEX(Cl_reste,MATCH(O1109,Cl_cle,0)),""))</f>
        <v/>
      </c>
      <c r="S1109" s="34">
        <f>IF(C1109="","",YEAR(C1109-WEEKDAY(C1109,2)+4)&amp;"-S"&amp;TEXT(INT((C1109-DATE(YEAR(C1109-WEEKDAY(C1109,2)+4),1,3)+WEEKDAY(DATE(YEAR(C1109-WEEKDAY(C1109,2)+4),1,3),2)+5)/7),"00"))</f>
        <v/>
      </c>
    </row>
    <row r="1110" ht="18" customHeight="1">
      <c r="A1110" s="39" t="n">
        <v>1105</v>
      </c>
      <c r="B1110" s="33">
        <f>IF(C1110="","",IF(L1110="À RENSEIGNER","GIC",L1110)&amp;"-E"&amp;TEXT(A1110,"00000"))</f>
        <v/>
      </c>
      <c r="C1110" s="32" t="n"/>
      <c r="D1110" s="36" t="n"/>
      <c r="E1110" s="37" t="n"/>
      <c r="F1110" s="36" t="n"/>
      <c r="G1110" s="44" t="n"/>
      <c r="H1110" s="43" t="n"/>
      <c r="I1110" s="32" t="n"/>
      <c r="J1110" s="44" t="n"/>
      <c r="K1110" s="36" t="n"/>
      <c r="L1110" s="33">
        <f>IF(C1110="","",Commercial_Id)</f>
        <v/>
      </c>
      <c r="M1110" s="34">
        <f>IF(OR(C1110="",F1110=""),"",IF(F1110&lt;&gt;"Espèces","—",IF(I1110&lt;&gt;"","☑ Oui","☐ Non")))</f>
        <v/>
      </c>
      <c r="N1110" s="39">
        <f>IF(D1110="","",IFERROR(VALUE(MID(D1110,LEN(D1110)-3,3)),""))</f>
        <v/>
      </c>
      <c r="O1110" s="33">
        <f>IF(N1110="","",L1110&amp;"|"&amp;N1110)</f>
        <v/>
      </c>
      <c r="P1110" s="33">
        <f>IF(N1110="","",IF(L1110="À RENSEIGNER","GIC",L1110)&amp;"-"&amp;TEXT(N1110,"000"))</f>
        <v/>
      </c>
      <c r="Q1110" s="33">
        <f>IF(O1110="","",IFERROR(INDEX(Cl_nom,MATCH(O1110,Cl_cle,0)),"(client introuvable)"))</f>
        <v/>
      </c>
      <c r="R1110" s="40">
        <f>IF(O1110="","",IFERROR(INDEX(Cl_reste,MATCH(O1110,Cl_cle,0)),""))</f>
        <v/>
      </c>
      <c r="S1110" s="34">
        <f>IF(C1110="","",YEAR(C1110-WEEKDAY(C1110,2)+4)&amp;"-S"&amp;TEXT(INT((C1110-DATE(YEAR(C1110-WEEKDAY(C1110,2)+4),1,3)+WEEKDAY(DATE(YEAR(C1110-WEEKDAY(C1110,2)+4),1,3),2)+5)/7),"00"))</f>
        <v/>
      </c>
    </row>
    <row r="1111" ht="18" customHeight="1">
      <c r="A1111" s="39" t="n">
        <v>1106</v>
      </c>
      <c r="B1111" s="33">
        <f>IF(C1111="","",IF(L1111="À RENSEIGNER","GIC",L1111)&amp;"-E"&amp;TEXT(A1111,"00000"))</f>
        <v/>
      </c>
      <c r="C1111" s="32" t="n"/>
      <c r="D1111" s="36" t="n"/>
      <c r="E1111" s="37" t="n"/>
      <c r="F1111" s="36" t="n"/>
      <c r="G1111" s="44" t="n"/>
      <c r="H1111" s="43" t="n"/>
      <c r="I1111" s="32" t="n"/>
      <c r="J1111" s="44" t="n"/>
      <c r="K1111" s="36" t="n"/>
      <c r="L1111" s="33">
        <f>IF(C1111="","",Commercial_Id)</f>
        <v/>
      </c>
      <c r="M1111" s="34">
        <f>IF(OR(C1111="",F1111=""),"",IF(F1111&lt;&gt;"Espèces","—",IF(I1111&lt;&gt;"","☑ Oui","☐ Non")))</f>
        <v/>
      </c>
      <c r="N1111" s="39">
        <f>IF(D1111="","",IFERROR(VALUE(MID(D1111,LEN(D1111)-3,3)),""))</f>
        <v/>
      </c>
      <c r="O1111" s="33">
        <f>IF(N1111="","",L1111&amp;"|"&amp;N1111)</f>
        <v/>
      </c>
      <c r="P1111" s="33">
        <f>IF(N1111="","",IF(L1111="À RENSEIGNER","GIC",L1111)&amp;"-"&amp;TEXT(N1111,"000"))</f>
        <v/>
      </c>
      <c r="Q1111" s="33">
        <f>IF(O1111="","",IFERROR(INDEX(Cl_nom,MATCH(O1111,Cl_cle,0)),"(client introuvable)"))</f>
        <v/>
      </c>
      <c r="R1111" s="40">
        <f>IF(O1111="","",IFERROR(INDEX(Cl_reste,MATCH(O1111,Cl_cle,0)),""))</f>
        <v/>
      </c>
      <c r="S1111" s="34">
        <f>IF(C1111="","",YEAR(C1111-WEEKDAY(C1111,2)+4)&amp;"-S"&amp;TEXT(INT((C1111-DATE(YEAR(C1111-WEEKDAY(C1111,2)+4),1,3)+WEEKDAY(DATE(YEAR(C1111-WEEKDAY(C1111,2)+4),1,3),2)+5)/7),"00"))</f>
        <v/>
      </c>
    </row>
    <row r="1112" ht="18" customHeight="1">
      <c r="A1112" s="39" t="n">
        <v>1107</v>
      </c>
      <c r="B1112" s="33">
        <f>IF(C1112="","",IF(L1112="À RENSEIGNER","GIC",L1112)&amp;"-E"&amp;TEXT(A1112,"00000"))</f>
        <v/>
      </c>
      <c r="C1112" s="32" t="n"/>
      <c r="D1112" s="36" t="n"/>
      <c r="E1112" s="37" t="n"/>
      <c r="F1112" s="36" t="n"/>
      <c r="G1112" s="44" t="n"/>
      <c r="H1112" s="43" t="n"/>
      <c r="I1112" s="32" t="n"/>
      <c r="J1112" s="44" t="n"/>
      <c r="K1112" s="36" t="n"/>
      <c r="L1112" s="33">
        <f>IF(C1112="","",Commercial_Id)</f>
        <v/>
      </c>
      <c r="M1112" s="34">
        <f>IF(OR(C1112="",F1112=""),"",IF(F1112&lt;&gt;"Espèces","—",IF(I1112&lt;&gt;"","☑ Oui","☐ Non")))</f>
        <v/>
      </c>
      <c r="N1112" s="39">
        <f>IF(D1112="","",IFERROR(VALUE(MID(D1112,LEN(D1112)-3,3)),""))</f>
        <v/>
      </c>
      <c r="O1112" s="33">
        <f>IF(N1112="","",L1112&amp;"|"&amp;N1112)</f>
        <v/>
      </c>
      <c r="P1112" s="33">
        <f>IF(N1112="","",IF(L1112="À RENSEIGNER","GIC",L1112)&amp;"-"&amp;TEXT(N1112,"000"))</f>
        <v/>
      </c>
      <c r="Q1112" s="33">
        <f>IF(O1112="","",IFERROR(INDEX(Cl_nom,MATCH(O1112,Cl_cle,0)),"(client introuvable)"))</f>
        <v/>
      </c>
      <c r="R1112" s="40">
        <f>IF(O1112="","",IFERROR(INDEX(Cl_reste,MATCH(O1112,Cl_cle,0)),""))</f>
        <v/>
      </c>
      <c r="S1112" s="34">
        <f>IF(C1112="","",YEAR(C1112-WEEKDAY(C1112,2)+4)&amp;"-S"&amp;TEXT(INT((C1112-DATE(YEAR(C1112-WEEKDAY(C1112,2)+4),1,3)+WEEKDAY(DATE(YEAR(C1112-WEEKDAY(C1112,2)+4),1,3),2)+5)/7),"00"))</f>
        <v/>
      </c>
    </row>
    <row r="1113" ht="18" customHeight="1">
      <c r="A1113" s="39" t="n">
        <v>1108</v>
      </c>
      <c r="B1113" s="33">
        <f>IF(C1113="","",IF(L1113="À RENSEIGNER","GIC",L1113)&amp;"-E"&amp;TEXT(A1113,"00000"))</f>
        <v/>
      </c>
      <c r="C1113" s="32" t="n"/>
      <c r="D1113" s="36" t="n"/>
      <c r="E1113" s="37" t="n"/>
      <c r="F1113" s="36" t="n"/>
      <c r="G1113" s="44" t="n"/>
      <c r="H1113" s="43" t="n"/>
      <c r="I1113" s="32" t="n"/>
      <c r="J1113" s="44" t="n"/>
      <c r="K1113" s="36" t="n"/>
      <c r="L1113" s="33">
        <f>IF(C1113="","",Commercial_Id)</f>
        <v/>
      </c>
      <c r="M1113" s="34">
        <f>IF(OR(C1113="",F1113=""),"",IF(F1113&lt;&gt;"Espèces","—",IF(I1113&lt;&gt;"","☑ Oui","☐ Non")))</f>
        <v/>
      </c>
      <c r="N1113" s="39">
        <f>IF(D1113="","",IFERROR(VALUE(MID(D1113,LEN(D1113)-3,3)),""))</f>
        <v/>
      </c>
      <c r="O1113" s="33">
        <f>IF(N1113="","",L1113&amp;"|"&amp;N1113)</f>
        <v/>
      </c>
      <c r="P1113" s="33">
        <f>IF(N1113="","",IF(L1113="À RENSEIGNER","GIC",L1113)&amp;"-"&amp;TEXT(N1113,"000"))</f>
        <v/>
      </c>
      <c r="Q1113" s="33">
        <f>IF(O1113="","",IFERROR(INDEX(Cl_nom,MATCH(O1113,Cl_cle,0)),"(client introuvable)"))</f>
        <v/>
      </c>
      <c r="R1113" s="40">
        <f>IF(O1113="","",IFERROR(INDEX(Cl_reste,MATCH(O1113,Cl_cle,0)),""))</f>
        <v/>
      </c>
      <c r="S1113" s="34">
        <f>IF(C1113="","",YEAR(C1113-WEEKDAY(C1113,2)+4)&amp;"-S"&amp;TEXT(INT((C1113-DATE(YEAR(C1113-WEEKDAY(C1113,2)+4),1,3)+WEEKDAY(DATE(YEAR(C1113-WEEKDAY(C1113,2)+4),1,3),2)+5)/7),"00"))</f>
        <v/>
      </c>
    </row>
    <row r="1114" ht="18" customHeight="1">
      <c r="A1114" s="39" t="n">
        <v>1109</v>
      </c>
      <c r="B1114" s="33">
        <f>IF(C1114="","",IF(L1114="À RENSEIGNER","GIC",L1114)&amp;"-E"&amp;TEXT(A1114,"00000"))</f>
        <v/>
      </c>
      <c r="C1114" s="32" t="n"/>
      <c r="D1114" s="36" t="n"/>
      <c r="E1114" s="37" t="n"/>
      <c r="F1114" s="36" t="n"/>
      <c r="G1114" s="44" t="n"/>
      <c r="H1114" s="43" t="n"/>
      <c r="I1114" s="32" t="n"/>
      <c r="J1114" s="44" t="n"/>
      <c r="K1114" s="36" t="n"/>
      <c r="L1114" s="33">
        <f>IF(C1114="","",Commercial_Id)</f>
        <v/>
      </c>
      <c r="M1114" s="34">
        <f>IF(OR(C1114="",F1114=""),"",IF(F1114&lt;&gt;"Espèces","—",IF(I1114&lt;&gt;"","☑ Oui","☐ Non")))</f>
        <v/>
      </c>
      <c r="N1114" s="39">
        <f>IF(D1114="","",IFERROR(VALUE(MID(D1114,LEN(D1114)-3,3)),""))</f>
        <v/>
      </c>
      <c r="O1114" s="33">
        <f>IF(N1114="","",L1114&amp;"|"&amp;N1114)</f>
        <v/>
      </c>
      <c r="P1114" s="33">
        <f>IF(N1114="","",IF(L1114="À RENSEIGNER","GIC",L1114)&amp;"-"&amp;TEXT(N1114,"000"))</f>
        <v/>
      </c>
      <c r="Q1114" s="33">
        <f>IF(O1114="","",IFERROR(INDEX(Cl_nom,MATCH(O1114,Cl_cle,0)),"(client introuvable)"))</f>
        <v/>
      </c>
      <c r="R1114" s="40">
        <f>IF(O1114="","",IFERROR(INDEX(Cl_reste,MATCH(O1114,Cl_cle,0)),""))</f>
        <v/>
      </c>
      <c r="S1114" s="34">
        <f>IF(C1114="","",YEAR(C1114-WEEKDAY(C1114,2)+4)&amp;"-S"&amp;TEXT(INT((C1114-DATE(YEAR(C1114-WEEKDAY(C1114,2)+4),1,3)+WEEKDAY(DATE(YEAR(C1114-WEEKDAY(C1114,2)+4),1,3),2)+5)/7),"00"))</f>
        <v/>
      </c>
    </row>
    <row r="1115" ht="18" customHeight="1">
      <c r="A1115" s="39" t="n">
        <v>1110</v>
      </c>
      <c r="B1115" s="33">
        <f>IF(C1115="","",IF(L1115="À RENSEIGNER","GIC",L1115)&amp;"-E"&amp;TEXT(A1115,"00000"))</f>
        <v/>
      </c>
      <c r="C1115" s="32" t="n"/>
      <c r="D1115" s="36" t="n"/>
      <c r="E1115" s="37" t="n"/>
      <c r="F1115" s="36" t="n"/>
      <c r="G1115" s="44" t="n"/>
      <c r="H1115" s="43" t="n"/>
      <c r="I1115" s="32" t="n"/>
      <c r="J1115" s="44" t="n"/>
      <c r="K1115" s="36" t="n"/>
      <c r="L1115" s="33">
        <f>IF(C1115="","",Commercial_Id)</f>
        <v/>
      </c>
      <c r="M1115" s="34">
        <f>IF(OR(C1115="",F1115=""),"",IF(F1115&lt;&gt;"Espèces","—",IF(I1115&lt;&gt;"","☑ Oui","☐ Non")))</f>
        <v/>
      </c>
      <c r="N1115" s="39">
        <f>IF(D1115="","",IFERROR(VALUE(MID(D1115,LEN(D1115)-3,3)),""))</f>
        <v/>
      </c>
      <c r="O1115" s="33">
        <f>IF(N1115="","",L1115&amp;"|"&amp;N1115)</f>
        <v/>
      </c>
      <c r="P1115" s="33">
        <f>IF(N1115="","",IF(L1115="À RENSEIGNER","GIC",L1115)&amp;"-"&amp;TEXT(N1115,"000"))</f>
        <v/>
      </c>
      <c r="Q1115" s="33">
        <f>IF(O1115="","",IFERROR(INDEX(Cl_nom,MATCH(O1115,Cl_cle,0)),"(client introuvable)"))</f>
        <v/>
      </c>
      <c r="R1115" s="40">
        <f>IF(O1115="","",IFERROR(INDEX(Cl_reste,MATCH(O1115,Cl_cle,0)),""))</f>
        <v/>
      </c>
      <c r="S1115" s="34">
        <f>IF(C1115="","",YEAR(C1115-WEEKDAY(C1115,2)+4)&amp;"-S"&amp;TEXT(INT((C1115-DATE(YEAR(C1115-WEEKDAY(C1115,2)+4),1,3)+WEEKDAY(DATE(YEAR(C1115-WEEKDAY(C1115,2)+4),1,3),2)+5)/7),"00"))</f>
        <v/>
      </c>
    </row>
    <row r="1116" ht="18" customHeight="1">
      <c r="A1116" s="39" t="n">
        <v>1111</v>
      </c>
      <c r="B1116" s="33">
        <f>IF(C1116="","",IF(L1116="À RENSEIGNER","GIC",L1116)&amp;"-E"&amp;TEXT(A1116,"00000"))</f>
        <v/>
      </c>
      <c r="C1116" s="32" t="n"/>
      <c r="D1116" s="36" t="n"/>
      <c r="E1116" s="37" t="n"/>
      <c r="F1116" s="36" t="n"/>
      <c r="G1116" s="44" t="n"/>
      <c r="H1116" s="43" t="n"/>
      <c r="I1116" s="32" t="n"/>
      <c r="J1116" s="44" t="n"/>
      <c r="K1116" s="36" t="n"/>
      <c r="L1116" s="33">
        <f>IF(C1116="","",Commercial_Id)</f>
        <v/>
      </c>
      <c r="M1116" s="34">
        <f>IF(OR(C1116="",F1116=""),"",IF(F1116&lt;&gt;"Espèces","—",IF(I1116&lt;&gt;"","☑ Oui","☐ Non")))</f>
        <v/>
      </c>
      <c r="N1116" s="39">
        <f>IF(D1116="","",IFERROR(VALUE(MID(D1116,LEN(D1116)-3,3)),""))</f>
        <v/>
      </c>
      <c r="O1116" s="33">
        <f>IF(N1116="","",L1116&amp;"|"&amp;N1116)</f>
        <v/>
      </c>
      <c r="P1116" s="33">
        <f>IF(N1116="","",IF(L1116="À RENSEIGNER","GIC",L1116)&amp;"-"&amp;TEXT(N1116,"000"))</f>
        <v/>
      </c>
      <c r="Q1116" s="33">
        <f>IF(O1116="","",IFERROR(INDEX(Cl_nom,MATCH(O1116,Cl_cle,0)),"(client introuvable)"))</f>
        <v/>
      </c>
      <c r="R1116" s="40">
        <f>IF(O1116="","",IFERROR(INDEX(Cl_reste,MATCH(O1116,Cl_cle,0)),""))</f>
        <v/>
      </c>
      <c r="S1116" s="34">
        <f>IF(C1116="","",YEAR(C1116-WEEKDAY(C1116,2)+4)&amp;"-S"&amp;TEXT(INT((C1116-DATE(YEAR(C1116-WEEKDAY(C1116,2)+4),1,3)+WEEKDAY(DATE(YEAR(C1116-WEEKDAY(C1116,2)+4),1,3),2)+5)/7),"00"))</f>
        <v/>
      </c>
    </row>
    <row r="1117" ht="18" customHeight="1">
      <c r="A1117" s="39" t="n">
        <v>1112</v>
      </c>
      <c r="B1117" s="33">
        <f>IF(C1117="","",IF(L1117="À RENSEIGNER","GIC",L1117)&amp;"-E"&amp;TEXT(A1117,"00000"))</f>
        <v/>
      </c>
      <c r="C1117" s="32" t="n"/>
      <c r="D1117" s="36" t="n"/>
      <c r="E1117" s="37" t="n"/>
      <c r="F1117" s="36" t="n"/>
      <c r="G1117" s="44" t="n"/>
      <c r="H1117" s="43" t="n"/>
      <c r="I1117" s="32" t="n"/>
      <c r="J1117" s="44" t="n"/>
      <c r="K1117" s="36" t="n"/>
      <c r="L1117" s="33">
        <f>IF(C1117="","",Commercial_Id)</f>
        <v/>
      </c>
      <c r="M1117" s="34">
        <f>IF(OR(C1117="",F1117=""),"",IF(F1117&lt;&gt;"Espèces","—",IF(I1117&lt;&gt;"","☑ Oui","☐ Non")))</f>
        <v/>
      </c>
      <c r="N1117" s="39">
        <f>IF(D1117="","",IFERROR(VALUE(MID(D1117,LEN(D1117)-3,3)),""))</f>
        <v/>
      </c>
      <c r="O1117" s="33">
        <f>IF(N1117="","",L1117&amp;"|"&amp;N1117)</f>
        <v/>
      </c>
      <c r="P1117" s="33">
        <f>IF(N1117="","",IF(L1117="À RENSEIGNER","GIC",L1117)&amp;"-"&amp;TEXT(N1117,"000"))</f>
        <v/>
      </c>
      <c r="Q1117" s="33">
        <f>IF(O1117="","",IFERROR(INDEX(Cl_nom,MATCH(O1117,Cl_cle,0)),"(client introuvable)"))</f>
        <v/>
      </c>
      <c r="R1117" s="40">
        <f>IF(O1117="","",IFERROR(INDEX(Cl_reste,MATCH(O1117,Cl_cle,0)),""))</f>
        <v/>
      </c>
      <c r="S1117" s="34">
        <f>IF(C1117="","",YEAR(C1117-WEEKDAY(C1117,2)+4)&amp;"-S"&amp;TEXT(INT((C1117-DATE(YEAR(C1117-WEEKDAY(C1117,2)+4),1,3)+WEEKDAY(DATE(YEAR(C1117-WEEKDAY(C1117,2)+4),1,3),2)+5)/7),"00"))</f>
        <v/>
      </c>
    </row>
    <row r="1118" ht="18" customHeight="1">
      <c r="A1118" s="39" t="n">
        <v>1113</v>
      </c>
      <c r="B1118" s="33">
        <f>IF(C1118="","",IF(L1118="À RENSEIGNER","GIC",L1118)&amp;"-E"&amp;TEXT(A1118,"00000"))</f>
        <v/>
      </c>
      <c r="C1118" s="32" t="n"/>
      <c r="D1118" s="36" t="n"/>
      <c r="E1118" s="37" t="n"/>
      <c r="F1118" s="36" t="n"/>
      <c r="G1118" s="44" t="n"/>
      <c r="H1118" s="43" t="n"/>
      <c r="I1118" s="32" t="n"/>
      <c r="J1118" s="44" t="n"/>
      <c r="K1118" s="36" t="n"/>
      <c r="L1118" s="33">
        <f>IF(C1118="","",Commercial_Id)</f>
        <v/>
      </c>
      <c r="M1118" s="34">
        <f>IF(OR(C1118="",F1118=""),"",IF(F1118&lt;&gt;"Espèces","—",IF(I1118&lt;&gt;"","☑ Oui","☐ Non")))</f>
        <v/>
      </c>
      <c r="N1118" s="39">
        <f>IF(D1118="","",IFERROR(VALUE(MID(D1118,LEN(D1118)-3,3)),""))</f>
        <v/>
      </c>
      <c r="O1118" s="33">
        <f>IF(N1118="","",L1118&amp;"|"&amp;N1118)</f>
        <v/>
      </c>
      <c r="P1118" s="33">
        <f>IF(N1118="","",IF(L1118="À RENSEIGNER","GIC",L1118)&amp;"-"&amp;TEXT(N1118,"000"))</f>
        <v/>
      </c>
      <c r="Q1118" s="33">
        <f>IF(O1118="","",IFERROR(INDEX(Cl_nom,MATCH(O1118,Cl_cle,0)),"(client introuvable)"))</f>
        <v/>
      </c>
      <c r="R1118" s="40">
        <f>IF(O1118="","",IFERROR(INDEX(Cl_reste,MATCH(O1118,Cl_cle,0)),""))</f>
        <v/>
      </c>
      <c r="S1118" s="34">
        <f>IF(C1118="","",YEAR(C1118-WEEKDAY(C1118,2)+4)&amp;"-S"&amp;TEXT(INT((C1118-DATE(YEAR(C1118-WEEKDAY(C1118,2)+4),1,3)+WEEKDAY(DATE(YEAR(C1118-WEEKDAY(C1118,2)+4),1,3),2)+5)/7),"00"))</f>
        <v/>
      </c>
    </row>
    <row r="1119" ht="18" customHeight="1">
      <c r="A1119" s="39" t="n">
        <v>1114</v>
      </c>
      <c r="B1119" s="33">
        <f>IF(C1119="","",IF(L1119="À RENSEIGNER","GIC",L1119)&amp;"-E"&amp;TEXT(A1119,"00000"))</f>
        <v/>
      </c>
      <c r="C1119" s="32" t="n"/>
      <c r="D1119" s="36" t="n"/>
      <c r="E1119" s="37" t="n"/>
      <c r="F1119" s="36" t="n"/>
      <c r="G1119" s="44" t="n"/>
      <c r="H1119" s="43" t="n"/>
      <c r="I1119" s="32" t="n"/>
      <c r="J1119" s="44" t="n"/>
      <c r="K1119" s="36" t="n"/>
      <c r="L1119" s="33">
        <f>IF(C1119="","",Commercial_Id)</f>
        <v/>
      </c>
      <c r="M1119" s="34">
        <f>IF(OR(C1119="",F1119=""),"",IF(F1119&lt;&gt;"Espèces","—",IF(I1119&lt;&gt;"","☑ Oui","☐ Non")))</f>
        <v/>
      </c>
      <c r="N1119" s="39">
        <f>IF(D1119="","",IFERROR(VALUE(MID(D1119,LEN(D1119)-3,3)),""))</f>
        <v/>
      </c>
      <c r="O1119" s="33">
        <f>IF(N1119="","",L1119&amp;"|"&amp;N1119)</f>
        <v/>
      </c>
      <c r="P1119" s="33">
        <f>IF(N1119="","",IF(L1119="À RENSEIGNER","GIC",L1119)&amp;"-"&amp;TEXT(N1119,"000"))</f>
        <v/>
      </c>
      <c r="Q1119" s="33">
        <f>IF(O1119="","",IFERROR(INDEX(Cl_nom,MATCH(O1119,Cl_cle,0)),"(client introuvable)"))</f>
        <v/>
      </c>
      <c r="R1119" s="40">
        <f>IF(O1119="","",IFERROR(INDEX(Cl_reste,MATCH(O1119,Cl_cle,0)),""))</f>
        <v/>
      </c>
      <c r="S1119" s="34">
        <f>IF(C1119="","",YEAR(C1119-WEEKDAY(C1119,2)+4)&amp;"-S"&amp;TEXT(INT((C1119-DATE(YEAR(C1119-WEEKDAY(C1119,2)+4),1,3)+WEEKDAY(DATE(YEAR(C1119-WEEKDAY(C1119,2)+4),1,3),2)+5)/7),"00"))</f>
        <v/>
      </c>
    </row>
    <row r="1120" ht="18" customHeight="1">
      <c r="A1120" s="39" t="n">
        <v>1115</v>
      </c>
      <c r="B1120" s="33">
        <f>IF(C1120="","",IF(L1120="À RENSEIGNER","GIC",L1120)&amp;"-E"&amp;TEXT(A1120,"00000"))</f>
        <v/>
      </c>
      <c r="C1120" s="32" t="n"/>
      <c r="D1120" s="36" t="n"/>
      <c r="E1120" s="37" t="n"/>
      <c r="F1120" s="36" t="n"/>
      <c r="G1120" s="44" t="n"/>
      <c r="H1120" s="43" t="n"/>
      <c r="I1120" s="32" t="n"/>
      <c r="J1120" s="44" t="n"/>
      <c r="K1120" s="36" t="n"/>
      <c r="L1120" s="33">
        <f>IF(C1120="","",Commercial_Id)</f>
        <v/>
      </c>
      <c r="M1120" s="34">
        <f>IF(OR(C1120="",F1120=""),"",IF(F1120&lt;&gt;"Espèces","—",IF(I1120&lt;&gt;"","☑ Oui","☐ Non")))</f>
        <v/>
      </c>
      <c r="N1120" s="39">
        <f>IF(D1120="","",IFERROR(VALUE(MID(D1120,LEN(D1120)-3,3)),""))</f>
        <v/>
      </c>
      <c r="O1120" s="33">
        <f>IF(N1120="","",L1120&amp;"|"&amp;N1120)</f>
        <v/>
      </c>
      <c r="P1120" s="33">
        <f>IF(N1120="","",IF(L1120="À RENSEIGNER","GIC",L1120)&amp;"-"&amp;TEXT(N1120,"000"))</f>
        <v/>
      </c>
      <c r="Q1120" s="33">
        <f>IF(O1120="","",IFERROR(INDEX(Cl_nom,MATCH(O1120,Cl_cle,0)),"(client introuvable)"))</f>
        <v/>
      </c>
      <c r="R1120" s="40">
        <f>IF(O1120="","",IFERROR(INDEX(Cl_reste,MATCH(O1120,Cl_cle,0)),""))</f>
        <v/>
      </c>
      <c r="S1120" s="34">
        <f>IF(C1120="","",YEAR(C1120-WEEKDAY(C1120,2)+4)&amp;"-S"&amp;TEXT(INT((C1120-DATE(YEAR(C1120-WEEKDAY(C1120,2)+4),1,3)+WEEKDAY(DATE(YEAR(C1120-WEEKDAY(C1120,2)+4),1,3),2)+5)/7),"00"))</f>
        <v/>
      </c>
    </row>
    <row r="1121" ht="18" customHeight="1">
      <c r="A1121" s="39" t="n">
        <v>1116</v>
      </c>
      <c r="B1121" s="33">
        <f>IF(C1121="","",IF(L1121="À RENSEIGNER","GIC",L1121)&amp;"-E"&amp;TEXT(A1121,"00000"))</f>
        <v/>
      </c>
      <c r="C1121" s="32" t="n"/>
      <c r="D1121" s="36" t="n"/>
      <c r="E1121" s="37" t="n"/>
      <c r="F1121" s="36" t="n"/>
      <c r="G1121" s="44" t="n"/>
      <c r="H1121" s="43" t="n"/>
      <c r="I1121" s="32" t="n"/>
      <c r="J1121" s="44" t="n"/>
      <c r="K1121" s="36" t="n"/>
      <c r="L1121" s="33">
        <f>IF(C1121="","",Commercial_Id)</f>
        <v/>
      </c>
      <c r="M1121" s="34">
        <f>IF(OR(C1121="",F1121=""),"",IF(F1121&lt;&gt;"Espèces","—",IF(I1121&lt;&gt;"","☑ Oui","☐ Non")))</f>
        <v/>
      </c>
      <c r="N1121" s="39">
        <f>IF(D1121="","",IFERROR(VALUE(MID(D1121,LEN(D1121)-3,3)),""))</f>
        <v/>
      </c>
      <c r="O1121" s="33">
        <f>IF(N1121="","",L1121&amp;"|"&amp;N1121)</f>
        <v/>
      </c>
      <c r="P1121" s="33">
        <f>IF(N1121="","",IF(L1121="À RENSEIGNER","GIC",L1121)&amp;"-"&amp;TEXT(N1121,"000"))</f>
        <v/>
      </c>
      <c r="Q1121" s="33">
        <f>IF(O1121="","",IFERROR(INDEX(Cl_nom,MATCH(O1121,Cl_cle,0)),"(client introuvable)"))</f>
        <v/>
      </c>
      <c r="R1121" s="40">
        <f>IF(O1121="","",IFERROR(INDEX(Cl_reste,MATCH(O1121,Cl_cle,0)),""))</f>
        <v/>
      </c>
      <c r="S1121" s="34">
        <f>IF(C1121="","",YEAR(C1121-WEEKDAY(C1121,2)+4)&amp;"-S"&amp;TEXT(INT((C1121-DATE(YEAR(C1121-WEEKDAY(C1121,2)+4),1,3)+WEEKDAY(DATE(YEAR(C1121-WEEKDAY(C1121,2)+4),1,3),2)+5)/7),"00"))</f>
        <v/>
      </c>
    </row>
    <row r="1122" ht="18" customHeight="1">
      <c r="A1122" s="39" t="n">
        <v>1117</v>
      </c>
      <c r="B1122" s="33">
        <f>IF(C1122="","",IF(L1122="À RENSEIGNER","GIC",L1122)&amp;"-E"&amp;TEXT(A1122,"00000"))</f>
        <v/>
      </c>
      <c r="C1122" s="32" t="n"/>
      <c r="D1122" s="36" t="n"/>
      <c r="E1122" s="37" t="n"/>
      <c r="F1122" s="36" t="n"/>
      <c r="G1122" s="44" t="n"/>
      <c r="H1122" s="43" t="n"/>
      <c r="I1122" s="32" t="n"/>
      <c r="J1122" s="44" t="n"/>
      <c r="K1122" s="36" t="n"/>
      <c r="L1122" s="33">
        <f>IF(C1122="","",Commercial_Id)</f>
        <v/>
      </c>
      <c r="M1122" s="34">
        <f>IF(OR(C1122="",F1122=""),"",IF(F1122&lt;&gt;"Espèces","—",IF(I1122&lt;&gt;"","☑ Oui","☐ Non")))</f>
        <v/>
      </c>
      <c r="N1122" s="39">
        <f>IF(D1122="","",IFERROR(VALUE(MID(D1122,LEN(D1122)-3,3)),""))</f>
        <v/>
      </c>
      <c r="O1122" s="33">
        <f>IF(N1122="","",L1122&amp;"|"&amp;N1122)</f>
        <v/>
      </c>
      <c r="P1122" s="33">
        <f>IF(N1122="","",IF(L1122="À RENSEIGNER","GIC",L1122)&amp;"-"&amp;TEXT(N1122,"000"))</f>
        <v/>
      </c>
      <c r="Q1122" s="33">
        <f>IF(O1122="","",IFERROR(INDEX(Cl_nom,MATCH(O1122,Cl_cle,0)),"(client introuvable)"))</f>
        <v/>
      </c>
      <c r="R1122" s="40">
        <f>IF(O1122="","",IFERROR(INDEX(Cl_reste,MATCH(O1122,Cl_cle,0)),""))</f>
        <v/>
      </c>
      <c r="S1122" s="34">
        <f>IF(C1122="","",YEAR(C1122-WEEKDAY(C1122,2)+4)&amp;"-S"&amp;TEXT(INT((C1122-DATE(YEAR(C1122-WEEKDAY(C1122,2)+4),1,3)+WEEKDAY(DATE(YEAR(C1122-WEEKDAY(C1122,2)+4),1,3),2)+5)/7),"00"))</f>
        <v/>
      </c>
    </row>
    <row r="1123" ht="18" customHeight="1">
      <c r="A1123" s="39" t="n">
        <v>1118</v>
      </c>
      <c r="B1123" s="33">
        <f>IF(C1123="","",IF(L1123="À RENSEIGNER","GIC",L1123)&amp;"-E"&amp;TEXT(A1123,"00000"))</f>
        <v/>
      </c>
      <c r="C1123" s="32" t="n"/>
      <c r="D1123" s="36" t="n"/>
      <c r="E1123" s="37" t="n"/>
      <c r="F1123" s="36" t="n"/>
      <c r="G1123" s="44" t="n"/>
      <c r="H1123" s="43" t="n"/>
      <c r="I1123" s="32" t="n"/>
      <c r="J1123" s="44" t="n"/>
      <c r="K1123" s="36" t="n"/>
      <c r="L1123" s="33">
        <f>IF(C1123="","",Commercial_Id)</f>
        <v/>
      </c>
      <c r="M1123" s="34">
        <f>IF(OR(C1123="",F1123=""),"",IF(F1123&lt;&gt;"Espèces","—",IF(I1123&lt;&gt;"","☑ Oui","☐ Non")))</f>
        <v/>
      </c>
      <c r="N1123" s="39">
        <f>IF(D1123="","",IFERROR(VALUE(MID(D1123,LEN(D1123)-3,3)),""))</f>
        <v/>
      </c>
      <c r="O1123" s="33">
        <f>IF(N1123="","",L1123&amp;"|"&amp;N1123)</f>
        <v/>
      </c>
      <c r="P1123" s="33">
        <f>IF(N1123="","",IF(L1123="À RENSEIGNER","GIC",L1123)&amp;"-"&amp;TEXT(N1123,"000"))</f>
        <v/>
      </c>
      <c r="Q1123" s="33">
        <f>IF(O1123="","",IFERROR(INDEX(Cl_nom,MATCH(O1123,Cl_cle,0)),"(client introuvable)"))</f>
        <v/>
      </c>
      <c r="R1123" s="40">
        <f>IF(O1123="","",IFERROR(INDEX(Cl_reste,MATCH(O1123,Cl_cle,0)),""))</f>
        <v/>
      </c>
      <c r="S1123" s="34">
        <f>IF(C1123="","",YEAR(C1123-WEEKDAY(C1123,2)+4)&amp;"-S"&amp;TEXT(INT((C1123-DATE(YEAR(C1123-WEEKDAY(C1123,2)+4),1,3)+WEEKDAY(DATE(YEAR(C1123-WEEKDAY(C1123,2)+4),1,3),2)+5)/7),"00"))</f>
        <v/>
      </c>
    </row>
    <row r="1124" ht="18" customHeight="1">
      <c r="A1124" s="39" t="n">
        <v>1119</v>
      </c>
      <c r="B1124" s="33">
        <f>IF(C1124="","",IF(L1124="À RENSEIGNER","GIC",L1124)&amp;"-E"&amp;TEXT(A1124,"00000"))</f>
        <v/>
      </c>
      <c r="C1124" s="32" t="n"/>
      <c r="D1124" s="36" t="n"/>
      <c r="E1124" s="37" t="n"/>
      <c r="F1124" s="36" t="n"/>
      <c r="G1124" s="44" t="n"/>
      <c r="H1124" s="43" t="n"/>
      <c r="I1124" s="32" t="n"/>
      <c r="J1124" s="44" t="n"/>
      <c r="K1124" s="36" t="n"/>
      <c r="L1124" s="33">
        <f>IF(C1124="","",Commercial_Id)</f>
        <v/>
      </c>
      <c r="M1124" s="34">
        <f>IF(OR(C1124="",F1124=""),"",IF(F1124&lt;&gt;"Espèces","—",IF(I1124&lt;&gt;"","☑ Oui","☐ Non")))</f>
        <v/>
      </c>
      <c r="N1124" s="39">
        <f>IF(D1124="","",IFERROR(VALUE(MID(D1124,LEN(D1124)-3,3)),""))</f>
        <v/>
      </c>
      <c r="O1124" s="33">
        <f>IF(N1124="","",L1124&amp;"|"&amp;N1124)</f>
        <v/>
      </c>
      <c r="P1124" s="33">
        <f>IF(N1124="","",IF(L1124="À RENSEIGNER","GIC",L1124)&amp;"-"&amp;TEXT(N1124,"000"))</f>
        <v/>
      </c>
      <c r="Q1124" s="33">
        <f>IF(O1124="","",IFERROR(INDEX(Cl_nom,MATCH(O1124,Cl_cle,0)),"(client introuvable)"))</f>
        <v/>
      </c>
      <c r="R1124" s="40">
        <f>IF(O1124="","",IFERROR(INDEX(Cl_reste,MATCH(O1124,Cl_cle,0)),""))</f>
        <v/>
      </c>
      <c r="S1124" s="34">
        <f>IF(C1124="","",YEAR(C1124-WEEKDAY(C1124,2)+4)&amp;"-S"&amp;TEXT(INT((C1124-DATE(YEAR(C1124-WEEKDAY(C1124,2)+4),1,3)+WEEKDAY(DATE(YEAR(C1124-WEEKDAY(C1124,2)+4),1,3),2)+5)/7),"00"))</f>
        <v/>
      </c>
    </row>
    <row r="1125" ht="18" customHeight="1">
      <c r="A1125" s="39" t="n">
        <v>1120</v>
      </c>
      <c r="B1125" s="33">
        <f>IF(C1125="","",IF(L1125="À RENSEIGNER","GIC",L1125)&amp;"-E"&amp;TEXT(A1125,"00000"))</f>
        <v/>
      </c>
      <c r="C1125" s="32" t="n"/>
      <c r="D1125" s="36" t="n"/>
      <c r="E1125" s="37" t="n"/>
      <c r="F1125" s="36" t="n"/>
      <c r="G1125" s="44" t="n"/>
      <c r="H1125" s="43" t="n"/>
      <c r="I1125" s="32" t="n"/>
      <c r="J1125" s="44" t="n"/>
      <c r="K1125" s="36" t="n"/>
      <c r="L1125" s="33">
        <f>IF(C1125="","",Commercial_Id)</f>
        <v/>
      </c>
      <c r="M1125" s="34">
        <f>IF(OR(C1125="",F1125=""),"",IF(F1125&lt;&gt;"Espèces","—",IF(I1125&lt;&gt;"","☑ Oui","☐ Non")))</f>
        <v/>
      </c>
      <c r="N1125" s="39">
        <f>IF(D1125="","",IFERROR(VALUE(MID(D1125,LEN(D1125)-3,3)),""))</f>
        <v/>
      </c>
      <c r="O1125" s="33">
        <f>IF(N1125="","",L1125&amp;"|"&amp;N1125)</f>
        <v/>
      </c>
      <c r="P1125" s="33">
        <f>IF(N1125="","",IF(L1125="À RENSEIGNER","GIC",L1125)&amp;"-"&amp;TEXT(N1125,"000"))</f>
        <v/>
      </c>
      <c r="Q1125" s="33">
        <f>IF(O1125="","",IFERROR(INDEX(Cl_nom,MATCH(O1125,Cl_cle,0)),"(client introuvable)"))</f>
        <v/>
      </c>
      <c r="R1125" s="40">
        <f>IF(O1125="","",IFERROR(INDEX(Cl_reste,MATCH(O1125,Cl_cle,0)),""))</f>
        <v/>
      </c>
      <c r="S1125" s="34">
        <f>IF(C1125="","",YEAR(C1125-WEEKDAY(C1125,2)+4)&amp;"-S"&amp;TEXT(INT((C1125-DATE(YEAR(C1125-WEEKDAY(C1125,2)+4),1,3)+WEEKDAY(DATE(YEAR(C1125-WEEKDAY(C1125,2)+4),1,3),2)+5)/7),"00"))</f>
        <v/>
      </c>
    </row>
    <row r="1126" ht="18" customHeight="1">
      <c r="A1126" s="39" t="n">
        <v>1121</v>
      </c>
      <c r="B1126" s="33">
        <f>IF(C1126="","",IF(L1126="À RENSEIGNER","GIC",L1126)&amp;"-E"&amp;TEXT(A1126,"00000"))</f>
        <v/>
      </c>
      <c r="C1126" s="32" t="n"/>
      <c r="D1126" s="36" t="n"/>
      <c r="E1126" s="37" t="n"/>
      <c r="F1126" s="36" t="n"/>
      <c r="G1126" s="44" t="n"/>
      <c r="H1126" s="43" t="n"/>
      <c r="I1126" s="32" t="n"/>
      <c r="J1126" s="44" t="n"/>
      <c r="K1126" s="36" t="n"/>
      <c r="L1126" s="33">
        <f>IF(C1126="","",Commercial_Id)</f>
        <v/>
      </c>
      <c r="M1126" s="34">
        <f>IF(OR(C1126="",F1126=""),"",IF(F1126&lt;&gt;"Espèces","—",IF(I1126&lt;&gt;"","☑ Oui","☐ Non")))</f>
        <v/>
      </c>
      <c r="N1126" s="39">
        <f>IF(D1126="","",IFERROR(VALUE(MID(D1126,LEN(D1126)-3,3)),""))</f>
        <v/>
      </c>
      <c r="O1126" s="33">
        <f>IF(N1126="","",L1126&amp;"|"&amp;N1126)</f>
        <v/>
      </c>
      <c r="P1126" s="33">
        <f>IF(N1126="","",IF(L1126="À RENSEIGNER","GIC",L1126)&amp;"-"&amp;TEXT(N1126,"000"))</f>
        <v/>
      </c>
      <c r="Q1126" s="33">
        <f>IF(O1126="","",IFERROR(INDEX(Cl_nom,MATCH(O1126,Cl_cle,0)),"(client introuvable)"))</f>
        <v/>
      </c>
      <c r="R1126" s="40">
        <f>IF(O1126="","",IFERROR(INDEX(Cl_reste,MATCH(O1126,Cl_cle,0)),""))</f>
        <v/>
      </c>
      <c r="S1126" s="34">
        <f>IF(C1126="","",YEAR(C1126-WEEKDAY(C1126,2)+4)&amp;"-S"&amp;TEXT(INT((C1126-DATE(YEAR(C1126-WEEKDAY(C1126,2)+4),1,3)+WEEKDAY(DATE(YEAR(C1126-WEEKDAY(C1126,2)+4),1,3),2)+5)/7),"00"))</f>
        <v/>
      </c>
    </row>
    <row r="1127" ht="18" customHeight="1">
      <c r="A1127" s="39" t="n">
        <v>1122</v>
      </c>
      <c r="B1127" s="33">
        <f>IF(C1127="","",IF(L1127="À RENSEIGNER","GIC",L1127)&amp;"-E"&amp;TEXT(A1127,"00000"))</f>
        <v/>
      </c>
      <c r="C1127" s="32" t="n"/>
      <c r="D1127" s="36" t="n"/>
      <c r="E1127" s="37" t="n"/>
      <c r="F1127" s="36" t="n"/>
      <c r="G1127" s="44" t="n"/>
      <c r="H1127" s="43" t="n"/>
      <c r="I1127" s="32" t="n"/>
      <c r="J1127" s="44" t="n"/>
      <c r="K1127" s="36" t="n"/>
      <c r="L1127" s="33">
        <f>IF(C1127="","",Commercial_Id)</f>
        <v/>
      </c>
      <c r="M1127" s="34">
        <f>IF(OR(C1127="",F1127=""),"",IF(F1127&lt;&gt;"Espèces","—",IF(I1127&lt;&gt;"","☑ Oui","☐ Non")))</f>
        <v/>
      </c>
      <c r="N1127" s="39">
        <f>IF(D1127="","",IFERROR(VALUE(MID(D1127,LEN(D1127)-3,3)),""))</f>
        <v/>
      </c>
      <c r="O1127" s="33">
        <f>IF(N1127="","",L1127&amp;"|"&amp;N1127)</f>
        <v/>
      </c>
      <c r="P1127" s="33">
        <f>IF(N1127="","",IF(L1127="À RENSEIGNER","GIC",L1127)&amp;"-"&amp;TEXT(N1127,"000"))</f>
        <v/>
      </c>
      <c r="Q1127" s="33">
        <f>IF(O1127="","",IFERROR(INDEX(Cl_nom,MATCH(O1127,Cl_cle,0)),"(client introuvable)"))</f>
        <v/>
      </c>
      <c r="R1127" s="40">
        <f>IF(O1127="","",IFERROR(INDEX(Cl_reste,MATCH(O1127,Cl_cle,0)),""))</f>
        <v/>
      </c>
      <c r="S1127" s="34">
        <f>IF(C1127="","",YEAR(C1127-WEEKDAY(C1127,2)+4)&amp;"-S"&amp;TEXT(INT((C1127-DATE(YEAR(C1127-WEEKDAY(C1127,2)+4),1,3)+WEEKDAY(DATE(YEAR(C1127-WEEKDAY(C1127,2)+4),1,3),2)+5)/7),"00"))</f>
        <v/>
      </c>
    </row>
    <row r="1128" ht="18" customHeight="1">
      <c r="A1128" s="39" t="n">
        <v>1123</v>
      </c>
      <c r="B1128" s="33">
        <f>IF(C1128="","",IF(L1128="À RENSEIGNER","GIC",L1128)&amp;"-E"&amp;TEXT(A1128,"00000"))</f>
        <v/>
      </c>
      <c r="C1128" s="32" t="n"/>
      <c r="D1128" s="36" t="n"/>
      <c r="E1128" s="37" t="n"/>
      <c r="F1128" s="36" t="n"/>
      <c r="G1128" s="44" t="n"/>
      <c r="H1128" s="43" t="n"/>
      <c r="I1128" s="32" t="n"/>
      <c r="J1128" s="44" t="n"/>
      <c r="K1128" s="36" t="n"/>
      <c r="L1128" s="33">
        <f>IF(C1128="","",Commercial_Id)</f>
        <v/>
      </c>
      <c r="M1128" s="34">
        <f>IF(OR(C1128="",F1128=""),"",IF(F1128&lt;&gt;"Espèces","—",IF(I1128&lt;&gt;"","☑ Oui","☐ Non")))</f>
        <v/>
      </c>
      <c r="N1128" s="39">
        <f>IF(D1128="","",IFERROR(VALUE(MID(D1128,LEN(D1128)-3,3)),""))</f>
        <v/>
      </c>
      <c r="O1128" s="33">
        <f>IF(N1128="","",L1128&amp;"|"&amp;N1128)</f>
        <v/>
      </c>
      <c r="P1128" s="33">
        <f>IF(N1128="","",IF(L1128="À RENSEIGNER","GIC",L1128)&amp;"-"&amp;TEXT(N1128,"000"))</f>
        <v/>
      </c>
      <c r="Q1128" s="33">
        <f>IF(O1128="","",IFERROR(INDEX(Cl_nom,MATCH(O1128,Cl_cle,0)),"(client introuvable)"))</f>
        <v/>
      </c>
      <c r="R1128" s="40">
        <f>IF(O1128="","",IFERROR(INDEX(Cl_reste,MATCH(O1128,Cl_cle,0)),""))</f>
        <v/>
      </c>
      <c r="S1128" s="34">
        <f>IF(C1128="","",YEAR(C1128-WEEKDAY(C1128,2)+4)&amp;"-S"&amp;TEXT(INT((C1128-DATE(YEAR(C1128-WEEKDAY(C1128,2)+4),1,3)+WEEKDAY(DATE(YEAR(C1128-WEEKDAY(C1128,2)+4),1,3),2)+5)/7),"00"))</f>
        <v/>
      </c>
    </row>
    <row r="1129" ht="18" customHeight="1">
      <c r="A1129" s="39" t="n">
        <v>1124</v>
      </c>
      <c r="B1129" s="33">
        <f>IF(C1129="","",IF(L1129="À RENSEIGNER","GIC",L1129)&amp;"-E"&amp;TEXT(A1129,"00000"))</f>
        <v/>
      </c>
      <c r="C1129" s="32" t="n"/>
      <c r="D1129" s="36" t="n"/>
      <c r="E1129" s="37" t="n"/>
      <c r="F1129" s="36" t="n"/>
      <c r="G1129" s="44" t="n"/>
      <c r="H1129" s="43" t="n"/>
      <c r="I1129" s="32" t="n"/>
      <c r="J1129" s="44" t="n"/>
      <c r="K1129" s="36" t="n"/>
      <c r="L1129" s="33">
        <f>IF(C1129="","",Commercial_Id)</f>
        <v/>
      </c>
      <c r="M1129" s="34">
        <f>IF(OR(C1129="",F1129=""),"",IF(F1129&lt;&gt;"Espèces","—",IF(I1129&lt;&gt;"","☑ Oui","☐ Non")))</f>
        <v/>
      </c>
      <c r="N1129" s="39">
        <f>IF(D1129="","",IFERROR(VALUE(MID(D1129,LEN(D1129)-3,3)),""))</f>
        <v/>
      </c>
      <c r="O1129" s="33">
        <f>IF(N1129="","",L1129&amp;"|"&amp;N1129)</f>
        <v/>
      </c>
      <c r="P1129" s="33">
        <f>IF(N1129="","",IF(L1129="À RENSEIGNER","GIC",L1129)&amp;"-"&amp;TEXT(N1129,"000"))</f>
        <v/>
      </c>
      <c r="Q1129" s="33">
        <f>IF(O1129="","",IFERROR(INDEX(Cl_nom,MATCH(O1129,Cl_cle,0)),"(client introuvable)"))</f>
        <v/>
      </c>
      <c r="R1129" s="40">
        <f>IF(O1129="","",IFERROR(INDEX(Cl_reste,MATCH(O1129,Cl_cle,0)),""))</f>
        <v/>
      </c>
      <c r="S1129" s="34">
        <f>IF(C1129="","",YEAR(C1129-WEEKDAY(C1129,2)+4)&amp;"-S"&amp;TEXT(INT((C1129-DATE(YEAR(C1129-WEEKDAY(C1129,2)+4),1,3)+WEEKDAY(DATE(YEAR(C1129-WEEKDAY(C1129,2)+4),1,3),2)+5)/7),"00"))</f>
        <v/>
      </c>
    </row>
    <row r="1130" ht="18" customHeight="1">
      <c r="A1130" s="39" t="n">
        <v>1125</v>
      </c>
      <c r="B1130" s="33">
        <f>IF(C1130="","",IF(L1130="À RENSEIGNER","GIC",L1130)&amp;"-E"&amp;TEXT(A1130,"00000"))</f>
        <v/>
      </c>
      <c r="C1130" s="32" t="n"/>
      <c r="D1130" s="36" t="n"/>
      <c r="E1130" s="37" t="n"/>
      <c r="F1130" s="36" t="n"/>
      <c r="G1130" s="44" t="n"/>
      <c r="H1130" s="43" t="n"/>
      <c r="I1130" s="32" t="n"/>
      <c r="J1130" s="44" t="n"/>
      <c r="K1130" s="36" t="n"/>
      <c r="L1130" s="33">
        <f>IF(C1130="","",Commercial_Id)</f>
        <v/>
      </c>
      <c r="M1130" s="34">
        <f>IF(OR(C1130="",F1130=""),"",IF(F1130&lt;&gt;"Espèces","—",IF(I1130&lt;&gt;"","☑ Oui","☐ Non")))</f>
        <v/>
      </c>
      <c r="N1130" s="39">
        <f>IF(D1130="","",IFERROR(VALUE(MID(D1130,LEN(D1130)-3,3)),""))</f>
        <v/>
      </c>
      <c r="O1130" s="33">
        <f>IF(N1130="","",L1130&amp;"|"&amp;N1130)</f>
        <v/>
      </c>
      <c r="P1130" s="33">
        <f>IF(N1130="","",IF(L1130="À RENSEIGNER","GIC",L1130)&amp;"-"&amp;TEXT(N1130,"000"))</f>
        <v/>
      </c>
      <c r="Q1130" s="33">
        <f>IF(O1130="","",IFERROR(INDEX(Cl_nom,MATCH(O1130,Cl_cle,0)),"(client introuvable)"))</f>
        <v/>
      </c>
      <c r="R1130" s="40">
        <f>IF(O1130="","",IFERROR(INDEX(Cl_reste,MATCH(O1130,Cl_cle,0)),""))</f>
        <v/>
      </c>
      <c r="S1130" s="34">
        <f>IF(C1130="","",YEAR(C1130-WEEKDAY(C1130,2)+4)&amp;"-S"&amp;TEXT(INT((C1130-DATE(YEAR(C1130-WEEKDAY(C1130,2)+4),1,3)+WEEKDAY(DATE(YEAR(C1130-WEEKDAY(C1130,2)+4),1,3),2)+5)/7),"00"))</f>
        <v/>
      </c>
    </row>
    <row r="1131" ht="18" customHeight="1">
      <c r="A1131" s="39" t="n">
        <v>1126</v>
      </c>
      <c r="B1131" s="33">
        <f>IF(C1131="","",IF(L1131="À RENSEIGNER","GIC",L1131)&amp;"-E"&amp;TEXT(A1131,"00000"))</f>
        <v/>
      </c>
      <c r="C1131" s="32" t="n"/>
      <c r="D1131" s="36" t="n"/>
      <c r="E1131" s="37" t="n"/>
      <c r="F1131" s="36" t="n"/>
      <c r="G1131" s="44" t="n"/>
      <c r="H1131" s="43" t="n"/>
      <c r="I1131" s="32" t="n"/>
      <c r="J1131" s="44" t="n"/>
      <c r="K1131" s="36" t="n"/>
      <c r="L1131" s="33">
        <f>IF(C1131="","",Commercial_Id)</f>
        <v/>
      </c>
      <c r="M1131" s="34">
        <f>IF(OR(C1131="",F1131=""),"",IF(F1131&lt;&gt;"Espèces","—",IF(I1131&lt;&gt;"","☑ Oui","☐ Non")))</f>
        <v/>
      </c>
      <c r="N1131" s="39">
        <f>IF(D1131="","",IFERROR(VALUE(MID(D1131,LEN(D1131)-3,3)),""))</f>
        <v/>
      </c>
      <c r="O1131" s="33">
        <f>IF(N1131="","",L1131&amp;"|"&amp;N1131)</f>
        <v/>
      </c>
      <c r="P1131" s="33">
        <f>IF(N1131="","",IF(L1131="À RENSEIGNER","GIC",L1131)&amp;"-"&amp;TEXT(N1131,"000"))</f>
        <v/>
      </c>
      <c r="Q1131" s="33">
        <f>IF(O1131="","",IFERROR(INDEX(Cl_nom,MATCH(O1131,Cl_cle,0)),"(client introuvable)"))</f>
        <v/>
      </c>
      <c r="R1131" s="40">
        <f>IF(O1131="","",IFERROR(INDEX(Cl_reste,MATCH(O1131,Cl_cle,0)),""))</f>
        <v/>
      </c>
      <c r="S1131" s="34">
        <f>IF(C1131="","",YEAR(C1131-WEEKDAY(C1131,2)+4)&amp;"-S"&amp;TEXT(INT((C1131-DATE(YEAR(C1131-WEEKDAY(C1131,2)+4),1,3)+WEEKDAY(DATE(YEAR(C1131-WEEKDAY(C1131,2)+4),1,3),2)+5)/7),"00"))</f>
        <v/>
      </c>
    </row>
    <row r="1132" ht="18" customHeight="1">
      <c r="A1132" s="39" t="n">
        <v>1127</v>
      </c>
      <c r="B1132" s="33">
        <f>IF(C1132="","",IF(L1132="À RENSEIGNER","GIC",L1132)&amp;"-E"&amp;TEXT(A1132,"00000"))</f>
        <v/>
      </c>
      <c r="C1132" s="32" t="n"/>
      <c r="D1132" s="36" t="n"/>
      <c r="E1132" s="37" t="n"/>
      <c r="F1132" s="36" t="n"/>
      <c r="G1132" s="44" t="n"/>
      <c r="H1132" s="43" t="n"/>
      <c r="I1132" s="32" t="n"/>
      <c r="J1132" s="44" t="n"/>
      <c r="K1132" s="36" t="n"/>
      <c r="L1132" s="33">
        <f>IF(C1132="","",Commercial_Id)</f>
        <v/>
      </c>
      <c r="M1132" s="34">
        <f>IF(OR(C1132="",F1132=""),"",IF(F1132&lt;&gt;"Espèces","—",IF(I1132&lt;&gt;"","☑ Oui","☐ Non")))</f>
        <v/>
      </c>
      <c r="N1132" s="39">
        <f>IF(D1132="","",IFERROR(VALUE(MID(D1132,LEN(D1132)-3,3)),""))</f>
        <v/>
      </c>
      <c r="O1132" s="33">
        <f>IF(N1132="","",L1132&amp;"|"&amp;N1132)</f>
        <v/>
      </c>
      <c r="P1132" s="33">
        <f>IF(N1132="","",IF(L1132="À RENSEIGNER","GIC",L1132)&amp;"-"&amp;TEXT(N1132,"000"))</f>
        <v/>
      </c>
      <c r="Q1132" s="33">
        <f>IF(O1132="","",IFERROR(INDEX(Cl_nom,MATCH(O1132,Cl_cle,0)),"(client introuvable)"))</f>
        <v/>
      </c>
      <c r="R1132" s="40">
        <f>IF(O1132="","",IFERROR(INDEX(Cl_reste,MATCH(O1132,Cl_cle,0)),""))</f>
        <v/>
      </c>
      <c r="S1132" s="34">
        <f>IF(C1132="","",YEAR(C1132-WEEKDAY(C1132,2)+4)&amp;"-S"&amp;TEXT(INT((C1132-DATE(YEAR(C1132-WEEKDAY(C1132,2)+4),1,3)+WEEKDAY(DATE(YEAR(C1132-WEEKDAY(C1132,2)+4),1,3),2)+5)/7),"00"))</f>
        <v/>
      </c>
    </row>
    <row r="1133" ht="18" customHeight="1">
      <c r="A1133" s="39" t="n">
        <v>1128</v>
      </c>
      <c r="B1133" s="33">
        <f>IF(C1133="","",IF(L1133="À RENSEIGNER","GIC",L1133)&amp;"-E"&amp;TEXT(A1133,"00000"))</f>
        <v/>
      </c>
      <c r="C1133" s="32" t="n"/>
      <c r="D1133" s="36" t="n"/>
      <c r="E1133" s="37" t="n"/>
      <c r="F1133" s="36" t="n"/>
      <c r="G1133" s="44" t="n"/>
      <c r="H1133" s="43" t="n"/>
      <c r="I1133" s="32" t="n"/>
      <c r="J1133" s="44" t="n"/>
      <c r="K1133" s="36" t="n"/>
      <c r="L1133" s="33">
        <f>IF(C1133="","",Commercial_Id)</f>
        <v/>
      </c>
      <c r="M1133" s="34">
        <f>IF(OR(C1133="",F1133=""),"",IF(F1133&lt;&gt;"Espèces","—",IF(I1133&lt;&gt;"","☑ Oui","☐ Non")))</f>
        <v/>
      </c>
      <c r="N1133" s="39">
        <f>IF(D1133="","",IFERROR(VALUE(MID(D1133,LEN(D1133)-3,3)),""))</f>
        <v/>
      </c>
      <c r="O1133" s="33">
        <f>IF(N1133="","",L1133&amp;"|"&amp;N1133)</f>
        <v/>
      </c>
      <c r="P1133" s="33">
        <f>IF(N1133="","",IF(L1133="À RENSEIGNER","GIC",L1133)&amp;"-"&amp;TEXT(N1133,"000"))</f>
        <v/>
      </c>
      <c r="Q1133" s="33">
        <f>IF(O1133="","",IFERROR(INDEX(Cl_nom,MATCH(O1133,Cl_cle,0)),"(client introuvable)"))</f>
        <v/>
      </c>
      <c r="R1133" s="40">
        <f>IF(O1133="","",IFERROR(INDEX(Cl_reste,MATCH(O1133,Cl_cle,0)),""))</f>
        <v/>
      </c>
      <c r="S1133" s="34">
        <f>IF(C1133="","",YEAR(C1133-WEEKDAY(C1133,2)+4)&amp;"-S"&amp;TEXT(INT((C1133-DATE(YEAR(C1133-WEEKDAY(C1133,2)+4),1,3)+WEEKDAY(DATE(YEAR(C1133-WEEKDAY(C1133,2)+4),1,3),2)+5)/7),"00"))</f>
        <v/>
      </c>
    </row>
    <row r="1134" ht="18" customHeight="1">
      <c r="A1134" s="39" t="n">
        <v>1129</v>
      </c>
      <c r="B1134" s="33">
        <f>IF(C1134="","",IF(L1134="À RENSEIGNER","GIC",L1134)&amp;"-E"&amp;TEXT(A1134,"00000"))</f>
        <v/>
      </c>
      <c r="C1134" s="32" t="n"/>
      <c r="D1134" s="36" t="n"/>
      <c r="E1134" s="37" t="n"/>
      <c r="F1134" s="36" t="n"/>
      <c r="G1134" s="44" t="n"/>
      <c r="H1134" s="43" t="n"/>
      <c r="I1134" s="32" t="n"/>
      <c r="J1134" s="44" t="n"/>
      <c r="K1134" s="36" t="n"/>
      <c r="L1134" s="33">
        <f>IF(C1134="","",Commercial_Id)</f>
        <v/>
      </c>
      <c r="M1134" s="34">
        <f>IF(OR(C1134="",F1134=""),"",IF(F1134&lt;&gt;"Espèces","—",IF(I1134&lt;&gt;"","☑ Oui","☐ Non")))</f>
        <v/>
      </c>
      <c r="N1134" s="39">
        <f>IF(D1134="","",IFERROR(VALUE(MID(D1134,LEN(D1134)-3,3)),""))</f>
        <v/>
      </c>
      <c r="O1134" s="33">
        <f>IF(N1134="","",L1134&amp;"|"&amp;N1134)</f>
        <v/>
      </c>
      <c r="P1134" s="33">
        <f>IF(N1134="","",IF(L1134="À RENSEIGNER","GIC",L1134)&amp;"-"&amp;TEXT(N1134,"000"))</f>
        <v/>
      </c>
      <c r="Q1134" s="33">
        <f>IF(O1134="","",IFERROR(INDEX(Cl_nom,MATCH(O1134,Cl_cle,0)),"(client introuvable)"))</f>
        <v/>
      </c>
      <c r="R1134" s="40">
        <f>IF(O1134="","",IFERROR(INDEX(Cl_reste,MATCH(O1134,Cl_cle,0)),""))</f>
        <v/>
      </c>
      <c r="S1134" s="34">
        <f>IF(C1134="","",YEAR(C1134-WEEKDAY(C1134,2)+4)&amp;"-S"&amp;TEXT(INT((C1134-DATE(YEAR(C1134-WEEKDAY(C1134,2)+4),1,3)+WEEKDAY(DATE(YEAR(C1134-WEEKDAY(C1134,2)+4),1,3),2)+5)/7),"00"))</f>
        <v/>
      </c>
    </row>
    <row r="1135" ht="18" customHeight="1">
      <c r="A1135" s="39" t="n">
        <v>1130</v>
      </c>
      <c r="B1135" s="33">
        <f>IF(C1135="","",IF(L1135="À RENSEIGNER","GIC",L1135)&amp;"-E"&amp;TEXT(A1135,"00000"))</f>
        <v/>
      </c>
      <c r="C1135" s="32" t="n"/>
      <c r="D1135" s="36" t="n"/>
      <c r="E1135" s="37" t="n"/>
      <c r="F1135" s="36" t="n"/>
      <c r="G1135" s="44" t="n"/>
      <c r="H1135" s="43" t="n"/>
      <c r="I1135" s="32" t="n"/>
      <c r="J1135" s="44" t="n"/>
      <c r="K1135" s="36" t="n"/>
      <c r="L1135" s="33">
        <f>IF(C1135="","",Commercial_Id)</f>
        <v/>
      </c>
      <c r="M1135" s="34">
        <f>IF(OR(C1135="",F1135=""),"",IF(F1135&lt;&gt;"Espèces","—",IF(I1135&lt;&gt;"","☑ Oui","☐ Non")))</f>
        <v/>
      </c>
      <c r="N1135" s="39">
        <f>IF(D1135="","",IFERROR(VALUE(MID(D1135,LEN(D1135)-3,3)),""))</f>
        <v/>
      </c>
      <c r="O1135" s="33">
        <f>IF(N1135="","",L1135&amp;"|"&amp;N1135)</f>
        <v/>
      </c>
      <c r="P1135" s="33">
        <f>IF(N1135="","",IF(L1135="À RENSEIGNER","GIC",L1135)&amp;"-"&amp;TEXT(N1135,"000"))</f>
        <v/>
      </c>
      <c r="Q1135" s="33">
        <f>IF(O1135="","",IFERROR(INDEX(Cl_nom,MATCH(O1135,Cl_cle,0)),"(client introuvable)"))</f>
        <v/>
      </c>
      <c r="R1135" s="40">
        <f>IF(O1135="","",IFERROR(INDEX(Cl_reste,MATCH(O1135,Cl_cle,0)),""))</f>
        <v/>
      </c>
      <c r="S1135" s="34">
        <f>IF(C1135="","",YEAR(C1135-WEEKDAY(C1135,2)+4)&amp;"-S"&amp;TEXT(INT((C1135-DATE(YEAR(C1135-WEEKDAY(C1135,2)+4),1,3)+WEEKDAY(DATE(YEAR(C1135-WEEKDAY(C1135,2)+4),1,3),2)+5)/7),"00"))</f>
        <v/>
      </c>
    </row>
    <row r="1136" ht="18" customHeight="1">
      <c r="A1136" s="39" t="n">
        <v>1131</v>
      </c>
      <c r="B1136" s="33">
        <f>IF(C1136="","",IF(L1136="À RENSEIGNER","GIC",L1136)&amp;"-E"&amp;TEXT(A1136,"00000"))</f>
        <v/>
      </c>
      <c r="C1136" s="32" t="n"/>
      <c r="D1136" s="36" t="n"/>
      <c r="E1136" s="37" t="n"/>
      <c r="F1136" s="36" t="n"/>
      <c r="G1136" s="44" t="n"/>
      <c r="H1136" s="43" t="n"/>
      <c r="I1136" s="32" t="n"/>
      <c r="J1136" s="44" t="n"/>
      <c r="K1136" s="36" t="n"/>
      <c r="L1136" s="33">
        <f>IF(C1136="","",Commercial_Id)</f>
        <v/>
      </c>
      <c r="M1136" s="34">
        <f>IF(OR(C1136="",F1136=""),"",IF(F1136&lt;&gt;"Espèces","—",IF(I1136&lt;&gt;"","☑ Oui","☐ Non")))</f>
        <v/>
      </c>
      <c r="N1136" s="39">
        <f>IF(D1136="","",IFERROR(VALUE(MID(D1136,LEN(D1136)-3,3)),""))</f>
        <v/>
      </c>
      <c r="O1136" s="33">
        <f>IF(N1136="","",L1136&amp;"|"&amp;N1136)</f>
        <v/>
      </c>
      <c r="P1136" s="33">
        <f>IF(N1136="","",IF(L1136="À RENSEIGNER","GIC",L1136)&amp;"-"&amp;TEXT(N1136,"000"))</f>
        <v/>
      </c>
      <c r="Q1136" s="33">
        <f>IF(O1136="","",IFERROR(INDEX(Cl_nom,MATCH(O1136,Cl_cle,0)),"(client introuvable)"))</f>
        <v/>
      </c>
      <c r="R1136" s="40">
        <f>IF(O1136="","",IFERROR(INDEX(Cl_reste,MATCH(O1136,Cl_cle,0)),""))</f>
        <v/>
      </c>
      <c r="S1136" s="34">
        <f>IF(C1136="","",YEAR(C1136-WEEKDAY(C1136,2)+4)&amp;"-S"&amp;TEXT(INT((C1136-DATE(YEAR(C1136-WEEKDAY(C1136,2)+4),1,3)+WEEKDAY(DATE(YEAR(C1136-WEEKDAY(C1136,2)+4),1,3),2)+5)/7),"00"))</f>
        <v/>
      </c>
    </row>
    <row r="1137" ht="18" customHeight="1">
      <c r="A1137" s="39" t="n">
        <v>1132</v>
      </c>
      <c r="B1137" s="33">
        <f>IF(C1137="","",IF(L1137="À RENSEIGNER","GIC",L1137)&amp;"-E"&amp;TEXT(A1137,"00000"))</f>
        <v/>
      </c>
      <c r="C1137" s="32" t="n"/>
      <c r="D1137" s="36" t="n"/>
      <c r="E1137" s="37" t="n"/>
      <c r="F1137" s="36" t="n"/>
      <c r="G1137" s="44" t="n"/>
      <c r="H1137" s="43" t="n"/>
      <c r="I1137" s="32" t="n"/>
      <c r="J1137" s="44" t="n"/>
      <c r="K1137" s="36" t="n"/>
      <c r="L1137" s="33">
        <f>IF(C1137="","",Commercial_Id)</f>
        <v/>
      </c>
      <c r="M1137" s="34">
        <f>IF(OR(C1137="",F1137=""),"",IF(F1137&lt;&gt;"Espèces","—",IF(I1137&lt;&gt;"","☑ Oui","☐ Non")))</f>
        <v/>
      </c>
      <c r="N1137" s="39">
        <f>IF(D1137="","",IFERROR(VALUE(MID(D1137,LEN(D1137)-3,3)),""))</f>
        <v/>
      </c>
      <c r="O1137" s="33">
        <f>IF(N1137="","",L1137&amp;"|"&amp;N1137)</f>
        <v/>
      </c>
      <c r="P1137" s="33">
        <f>IF(N1137="","",IF(L1137="À RENSEIGNER","GIC",L1137)&amp;"-"&amp;TEXT(N1137,"000"))</f>
        <v/>
      </c>
      <c r="Q1137" s="33">
        <f>IF(O1137="","",IFERROR(INDEX(Cl_nom,MATCH(O1137,Cl_cle,0)),"(client introuvable)"))</f>
        <v/>
      </c>
      <c r="R1137" s="40">
        <f>IF(O1137="","",IFERROR(INDEX(Cl_reste,MATCH(O1137,Cl_cle,0)),""))</f>
        <v/>
      </c>
      <c r="S1137" s="34">
        <f>IF(C1137="","",YEAR(C1137-WEEKDAY(C1137,2)+4)&amp;"-S"&amp;TEXT(INT((C1137-DATE(YEAR(C1137-WEEKDAY(C1137,2)+4),1,3)+WEEKDAY(DATE(YEAR(C1137-WEEKDAY(C1137,2)+4),1,3),2)+5)/7),"00"))</f>
        <v/>
      </c>
    </row>
    <row r="1138" ht="18" customHeight="1">
      <c r="A1138" s="39" t="n">
        <v>1133</v>
      </c>
      <c r="B1138" s="33">
        <f>IF(C1138="","",IF(L1138="À RENSEIGNER","GIC",L1138)&amp;"-E"&amp;TEXT(A1138,"00000"))</f>
        <v/>
      </c>
      <c r="C1138" s="32" t="n"/>
      <c r="D1138" s="36" t="n"/>
      <c r="E1138" s="37" t="n"/>
      <c r="F1138" s="36" t="n"/>
      <c r="G1138" s="44" t="n"/>
      <c r="H1138" s="43" t="n"/>
      <c r="I1138" s="32" t="n"/>
      <c r="J1138" s="44" t="n"/>
      <c r="K1138" s="36" t="n"/>
      <c r="L1138" s="33">
        <f>IF(C1138="","",Commercial_Id)</f>
        <v/>
      </c>
      <c r="M1138" s="34">
        <f>IF(OR(C1138="",F1138=""),"",IF(F1138&lt;&gt;"Espèces","—",IF(I1138&lt;&gt;"","☑ Oui","☐ Non")))</f>
        <v/>
      </c>
      <c r="N1138" s="39">
        <f>IF(D1138="","",IFERROR(VALUE(MID(D1138,LEN(D1138)-3,3)),""))</f>
        <v/>
      </c>
      <c r="O1138" s="33">
        <f>IF(N1138="","",L1138&amp;"|"&amp;N1138)</f>
        <v/>
      </c>
      <c r="P1138" s="33">
        <f>IF(N1138="","",IF(L1138="À RENSEIGNER","GIC",L1138)&amp;"-"&amp;TEXT(N1138,"000"))</f>
        <v/>
      </c>
      <c r="Q1138" s="33">
        <f>IF(O1138="","",IFERROR(INDEX(Cl_nom,MATCH(O1138,Cl_cle,0)),"(client introuvable)"))</f>
        <v/>
      </c>
      <c r="R1138" s="40">
        <f>IF(O1138="","",IFERROR(INDEX(Cl_reste,MATCH(O1138,Cl_cle,0)),""))</f>
        <v/>
      </c>
      <c r="S1138" s="34">
        <f>IF(C1138="","",YEAR(C1138-WEEKDAY(C1138,2)+4)&amp;"-S"&amp;TEXT(INT((C1138-DATE(YEAR(C1138-WEEKDAY(C1138,2)+4),1,3)+WEEKDAY(DATE(YEAR(C1138-WEEKDAY(C1138,2)+4),1,3),2)+5)/7),"00"))</f>
        <v/>
      </c>
    </row>
    <row r="1139" ht="18" customHeight="1">
      <c r="A1139" s="39" t="n">
        <v>1134</v>
      </c>
      <c r="B1139" s="33">
        <f>IF(C1139="","",IF(L1139="À RENSEIGNER","GIC",L1139)&amp;"-E"&amp;TEXT(A1139,"00000"))</f>
        <v/>
      </c>
      <c r="C1139" s="32" t="n"/>
      <c r="D1139" s="36" t="n"/>
      <c r="E1139" s="37" t="n"/>
      <c r="F1139" s="36" t="n"/>
      <c r="G1139" s="44" t="n"/>
      <c r="H1139" s="43" t="n"/>
      <c r="I1139" s="32" t="n"/>
      <c r="J1139" s="44" t="n"/>
      <c r="K1139" s="36" t="n"/>
      <c r="L1139" s="33">
        <f>IF(C1139="","",Commercial_Id)</f>
        <v/>
      </c>
      <c r="M1139" s="34">
        <f>IF(OR(C1139="",F1139=""),"",IF(F1139&lt;&gt;"Espèces","—",IF(I1139&lt;&gt;"","☑ Oui","☐ Non")))</f>
        <v/>
      </c>
      <c r="N1139" s="39">
        <f>IF(D1139="","",IFERROR(VALUE(MID(D1139,LEN(D1139)-3,3)),""))</f>
        <v/>
      </c>
      <c r="O1139" s="33">
        <f>IF(N1139="","",L1139&amp;"|"&amp;N1139)</f>
        <v/>
      </c>
      <c r="P1139" s="33">
        <f>IF(N1139="","",IF(L1139="À RENSEIGNER","GIC",L1139)&amp;"-"&amp;TEXT(N1139,"000"))</f>
        <v/>
      </c>
      <c r="Q1139" s="33">
        <f>IF(O1139="","",IFERROR(INDEX(Cl_nom,MATCH(O1139,Cl_cle,0)),"(client introuvable)"))</f>
        <v/>
      </c>
      <c r="R1139" s="40">
        <f>IF(O1139="","",IFERROR(INDEX(Cl_reste,MATCH(O1139,Cl_cle,0)),""))</f>
        <v/>
      </c>
      <c r="S1139" s="34">
        <f>IF(C1139="","",YEAR(C1139-WEEKDAY(C1139,2)+4)&amp;"-S"&amp;TEXT(INT((C1139-DATE(YEAR(C1139-WEEKDAY(C1139,2)+4),1,3)+WEEKDAY(DATE(YEAR(C1139-WEEKDAY(C1139,2)+4),1,3),2)+5)/7),"00"))</f>
        <v/>
      </c>
    </row>
    <row r="1140" ht="18" customHeight="1">
      <c r="A1140" s="39" t="n">
        <v>1135</v>
      </c>
      <c r="B1140" s="33">
        <f>IF(C1140="","",IF(L1140="À RENSEIGNER","GIC",L1140)&amp;"-E"&amp;TEXT(A1140,"00000"))</f>
        <v/>
      </c>
      <c r="C1140" s="32" t="n"/>
      <c r="D1140" s="36" t="n"/>
      <c r="E1140" s="37" t="n"/>
      <c r="F1140" s="36" t="n"/>
      <c r="G1140" s="44" t="n"/>
      <c r="H1140" s="43" t="n"/>
      <c r="I1140" s="32" t="n"/>
      <c r="J1140" s="44" t="n"/>
      <c r="K1140" s="36" t="n"/>
      <c r="L1140" s="33">
        <f>IF(C1140="","",Commercial_Id)</f>
        <v/>
      </c>
      <c r="M1140" s="34">
        <f>IF(OR(C1140="",F1140=""),"",IF(F1140&lt;&gt;"Espèces","—",IF(I1140&lt;&gt;"","☑ Oui","☐ Non")))</f>
        <v/>
      </c>
      <c r="N1140" s="39">
        <f>IF(D1140="","",IFERROR(VALUE(MID(D1140,LEN(D1140)-3,3)),""))</f>
        <v/>
      </c>
      <c r="O1140" s="33">
        <f>IF(N1140="","",L1140&amp;"|"&amp;N1140)</f>
        <v/>
      </c>
      <c r="P1140" s="33">
        <f>IF(N1140="","",IF(L1140="À RENSEIGNER","GIC",L1140)&amp;"-"&amp;TEXT(N1140,"000"))</f>
        <v/>
      </c>
      <c r="Q1140" s="33">
        <f>IF(O1140="","",IFERROR(INDEX(Cl_nom,MATCH(O1140,Cl_cle,0)),"(client introuvable)"))</f>
        <v/>
      </c>
      <c r="R1140" s="40">
        <f>IF(O1140="","",IFERROR(INDEX(Cl_reste,MATCH(O1140,Cl_cle,0)),""))</f>
        <v/>
      </c>
      <c r="S1140" s="34">
        <f>IF(C1140="","",YEAR(C1140-WEEKDAY(C1140,2)+4)&amp;"-S"&amp;TEXT(INT((C1140-DATE(YEAR(C1140-WEEKDAY(C1140,2)+4),1,3)+WEEKDAY(DATE(YEAR(C1140-WEEKDAY(C1140,2)+4),1,3),2)+5)/7),"00"))</f>
        <v/>
      </c>
    </row>
    <row r="1141" ht="18" customHeight="1">
      <c r="A1141" s="39" t="n">
        <v>1136</v>
      </c>
      <c r="B1141" s="33">
        <f>IF(C1141="","",IF(L1141="À RENSEIGNER","GIC",L1141)&amp;"-E"&amp;TEXT(A1141,"00000"))</f>
        <v/>
      </c>
      <c r="C1141" s="32" t="n"/>
      <c r="D1141" s="36" t="n"/>
      <c r="E1141" s="37" t="n"/>
      <c r="F1141" s="36" t="n"/>
      <c r="G1141" s="44" t="n"/>
      <c r="H1141" s="43" t="n"/>
      <c r="I1141" s="32" t="n"/>
      <c r="J1141" s="44" t="n"/>
      <c r="K1141" s="36" t="n"/>
      <c r="L1141" s="33">
        <f>IF(C1141="","",Commercial_Id)</f>
        <v/>
      </c>
      <c r="M1141" s="34">
        <f>IF(OR(C1141="",F1141=""),"",IF(F1141&lt;&gt;"Espèces","—",IF(I1141&lt;&gt;"","☑ Oui","☐ Non")))</f>
        <v/>
      </c>
      <c r="N1141" s="39">
        <f>IF(D1141="","",IFERROR(VALUE(MID(D1141,LEN(D1141)-3,3)),""))</f>
        <v/>
      </c>
      <c r="O1141" s="33">
        <f>IF(N1141="","",L1141&amp;"|"&amp;N1141)</f>
        <v/>
      </c>
      <c r="P1141" s="33">
        <f>IF(N1141="","",IF(L1141="À RENSEIGNER","GIC",L1141)&amp;"-"&amp;TEXT(N1141,"000"))</f>
        <v/>
      </c>
      <c r="Q1141" s="33">
        <f>IF(O1141="","",IFERROR(INDEX(Cl_nom,MATCH(O1141,Cl_cle,0)),"(client introuvable)"))</f>
        <v/>
      </c>
      <c r="R1141" s="40">
        <f>IF(O1141="","",IFERROR(INDEX(Cl_reste,MATCH(O1141,Cl_cle,0)),""))</f>
        <v/>
      </c>
      <c r="S1141" s="34">
        <f>IF(C1141="","",YEAR(C1141-WEEKDAY(C1141,2)+4)&amp;"-S"&amp;TEXT(INT((C1141-DATE(YEAR(C1141-WEEKDAY(C1141,2)+4),1,3)+WEEKDAY(DATE(YEAR(C1141-WEEKDAY(C1141,2)+4),1,3),2)+5)/7),"00"))</f>
        <v/>
      </c>
    </row>
    <row r="1142" ht="18" customHeight="1">
      <c r="A1142" s="39" t="n">
        <v>1137</v>
      </c>
      <c r="B1142" s="33">
        <f>IF(C1142="","",IF(L1142="À RENSEIGNER","GIC",L1142)&amp;"-E"&amp;TEXT(A1142,"00000"))</f>
        <v/>
      </c>
      <c r="C1142" s="32" t="n"/>
      <c r="D1142" s="36" t="n"/>
      <c r="E1142" s="37" t="n"/>
      <c r="F1142" s="36" t="n"/>
      <c r="G1142" s="44" t="n"/>
      <c r="H1142" s="43" t="n"/>
      <c r="I1142" s="32" t="n"/>
      <c r="J1142" s="44" t="n"/>
      <c r="K1142" s="36" t="n"/>
      <c r="L1142" s="33">
        <f>IF(C1142="","",Commercial_Id)</f>
        <v/>
      </c>
      <c r="M1142" s="34">
        <f>IF(OR(C1142="",F1142=""),"",IF(F1142&lt;&gt;"Espèces","—",IF(I1142&lt;&gt;"","☑ Oui","☐ Non")))</f>
        <v/>
      </c>
      <c r="N1142" s="39">
        <f>IF(D1142="","",IFERROR(VALUE(MID(D1142,LEN(D1142)-3,3)),""))</f>
        <v/>
      </c>
      <c r="O1142" s="33">
        <f>IF(N1142="","",L1142&amp;"|"&amp;N1142)</f>
        <v/>
      </c>
      <c r="P1142" s="33">
        <f>IF(N1142="","",IF(L1142="À RENSEIGNER","GIC",L1142)&amp;"-"&amp;TEXT(N1142,"000"))</f>
        <v/>
      </c>
      <c r="Q1142" s="33">
        <f>IF(O1142="","",IFERROR(INDEX(Cl_nom,MATCH(O1142,Cl_cle,0)),"(client introuvable)"))</f>
        <v/>
      </c>
      <c r="R1142" s="40">
        <f>IF(O1142="","",IFERROR(INDEX(Cl_reste,MATCH(O1142,Cl_cle,0)),""))</f>
        <v/>
      </c>
      <c r="S1142" s="34">
        <f>IF(C1142="","",YEAR(C1142-WEEKDAY(C1142,2)+4)&amp;"-S"&amp;TEXT(INT((C1142-DATE(YEAR(C1142-WEEKDAY(C1142,2)+4),1,3)+WEEKDAY(DATE(YEAR(C1142-WEEKDAY(C1142,2)+4),1,3),2)+5)/7),"00"))</f>
        <v/>
      </c>
    </row>
    <row r="1143" ht="18" customHeight="1">
      <c r="A1143" s="39" t="n">
        <v>1138</v>
      </c>
      <c r="B1143" s="33">
        <f>IF(C1143="","",IF(L1143="À RENSEIGNER","GIC",L1143)&amp;"-E"&amp;TEXT(A1143,"00000"))</f>
        <v/>
      </c>
      <c r="C1143" s="32" t="n"/>
      <c r="D1143" s="36" t="n"/>
      <c r="E1143" s="37" t="n"/>
      <c r="F1143" s="36" t="n"/>
      <c r="G1143" s="44" t="n"/>
      <c r="H1143" s="43" t="n"/>
      <c r="I1143" s="32" t="n"/>
      <c r="J1143" s="44" t="n"/>
      <c r="K1143" s="36" t="n"/>
      <c r="L1143" s="33">
        <f>IF(C1143="","",Commercial_Id)</f>
        <v/>
      </c>
      <c r="M1143" s="34">
        <f>IF(OR(C1143="",F1143=""),"",IF(F1143&lt;&gt;"Espèces","—",IF(I1143&lt;&gt;"","☑ Oui","☐ Non")))</f>
        <v/>
      </c>
      <c r="N1143" s="39">
        <f>IF(D1143="","",IFERROR(VALUE(MID(D1143,LEN(D1143)-3,3)),""))</f>
        <v/>
      </c>
      <c r="O1143" s="33">
        <f>IF(N1143="","",L1143&amp;"|"&amp;N1143)</f>
        <v/>
      </c>
      <c r="P1143" s="33">
        <f>IF(N1143="","",IF(L1143="À RENSEIGNER","GIC",L1143)&amp;"-"&amp;TEXT(N1143,"000"))</f>
        <v/>
      </c>
      <c r="Q1143" s="33">
        <f>IF(O1143="","",IFERROR(INDEX(Cl_nom,MATCH(O1143,Cl_cle,0)),"(client introuvable)"))</f>
        <v/>
      </c>
      <c r="R1143" s="40">
        <f>IF(O1143="","",IFERROR(INDEX(Cl_reste,MATCH(O1143,Cl_cle,0)),""))</f>
        <v/>
      </c>
      <c r="S1143" s="34">
        <f>IF(C1143="","",YEAR(C1143-WEEKDAY(C1143,2)+4)&amp;"-S"&amp;TEXT(INT((C1143-DATE(YEAR(C1143-WEEKDAY(C1143,2)+4),1,3)+WEEKDAY(DATE(YEAR(C1143-WEEKDAY(C1143,2)+4),1,3),2)+5)/7),"00"))</f>
        <v/>
      </c>
    </row>
    <row r="1144" ht="18" customHeight="1">
      <c r="A1144" s="39" t="n">
        <v>1139</v>
      </c>
      <c r="B1144" s="33">
        <f>IF(C1144="","",IF(L1144="À RENSEIGNER","GIC",L1144)&amp;"-E"&amp;TEXT(A1144,"00000"))</f>
        <v/>
      </c>
      <c r="C1144" s="32" t="n"/>
      <c r="D1144" s="36" t="n"/>
      <c r="E1144" s="37" t="n"/>
      <c r="F1144" s="36" t="n"/>
      <c r="G1144" s="44" t="n"/>
      <c r="H1144" s="43" t="n"/>
      <c r="I1144" s="32" t="n"/>
      <c r="J1144" s="44" t="n"/>
      <c r="K1144" s="36" t="n"/>
      <c r="L1144" s="33">
        <f>IF(C1144="","",Commercial_Id)</f>
        <v/>
      </c>
      <c r="M1144" s="34">
        <f>IF(OR(C1144="",F1144=""),"",IF(F1144&lt;&gt;"Espèces","—",IF(I1144&lt;&gt;"","☑ Oui","☐ Non")))</f>
        <v/>
      </c>
      <c r="N1144" s="39">
        <f>IF(D1144="","",IFERROR(VALUE(MID(D1144,LEN(D1144)-3,3)),""))</f>
        <v/>
      </c>
      <c r="O1144" s="33">
        <f>IF(N1144="","",L1144&amp;"|"&amp;N1144)</f>
        <v/>
      </c>
      <c r="P1144" s="33">
        <f>IF(N1144="","",IF(L1144="À RENSEIGNER","GIC",L1144)&amp;"-"&amp;TEXT(N1144,"000"))</f>
        <v/>
      </c>
      <c r="Q1144" s="33">
        <f>IF(O1144="","",IFERROR(INDEX(Cl_nom,MATCH(O1144,Cl_cle,0)),"(client introuvable)"))</f>
        <v/>
      </c>
      <c r="R1144" s="40">
        <f>IF(O1144="","",IFERROR(INDEX(Cl_reste,MATCH(O1144,Cl_cle,0)),""))</f>
        <v/>
      </c>
      <c r="S1144" s="34">
        <f>IF(C1144="","",YEAR(C1144-WEEKDAY(C1144,2)+4)&amp;"-S"&amp;TEXT(INT((C1144-DATE(YEAR(C1144-WEEKDAY(C1144,2)+4),1,3)+WEEKDAY(DATE(YEAR(C1144-WEEKDAY(C1144,2)+4),1,3),2)+5)/7),"00"))</f>
        <v/>
      </c>
    </row>
    <row r="1145" ht="18" customHeight="1">
      <c r="A1145" s="39" t="n">
        <v>1140</v>
      </c>
      <c r="B1145" s="33">
        <f>IF(C1145="","",IF(L1145="À RENSEIGNER","GIC",L1145)&amp;"-E"&amp;TEXT(A1145,"00000"))</f>
        <v/>
      </c>
      <c r="C1145" s="32" t="n"/>
      <c r="D1145" s="36" t="n"/>
      <c r="E1145" s="37" t="n"/>
      <c r="F1145" s="36" t="n"/>
      <c r="G1145" s="44" t="n"/>
      <c r="H1145" s="43" t="n"/>
      <c r="I1145" s="32" t="n"/>
      <c r="J1145" s="44" t="n"/>
      <c r="K1145" s="36" t="n"/>
      <c r="L1145" s="33">
        <f>IF(C1145="","",Commercial_Id)</f>
        <v/>
      </c>
      <c r="M1145" s="34">
        <f>IF(OR(C1145="",F1145=""),"",IF(F1145&lt;&gt;"Espèces","—",IF(I1145&lt;&gt;"","☑ Oui","☐ Non")))</f>
        <v/>
      </c>
      <c r="N1145" s="39">
        <f>IF(D1145="","",IFERROR(VALUE(MID(D1145,LEN(D1145)-3,3)),""))</f>
        <v/>
      </c>
      <c r="O1145" s="33">
        <f>IF(N1145="","",L1145&amp;"|"&amp;N1145)</f>
        <v/>
      </c>
      <c r="P1145" s="33">
        <f>IF(N1145="","",IF(L1145="À RENSEIGNER","GIC",L1145)&amp;"-"&amp;TEXT(N1145,"000"))</f>
        <v/>
      </c>
      <c r="Q1145" s="33">
        <f>IF(O1145="","",IFERROR(INDEX(Cl_nom,MATCH(O1145,Cl_cle,0)),"(client introuvable)"))</f>
        <v/>
      </c>
      <c r="R1145" s="40">
        <f>IF(O1145="","",IFERROR(INDEX(Cl_reste,MATCH(O1145,Cl_cle,0)),""))</f>
        <v/>
      </c>
      <c r="S1145" s="34">
        <f>IF(C1145="","",YEAR(C1145-WEEKDAY(C1145,2)+4)&amp;"-S"&amp;TEXT(INT((C1145-DATE(YEAR(C1145-WEEKDAY(C1145,2)+4),1,3)+WEEKDAY(DATE(YEAR(C1145-WEEKDAY(C1145,2)+4),1,3),2)+5)/7),"00"))</f>
        <v/>
      </c>
    </row>
    <row r="1146" ht="18" customHeight="1">
      <c r="A1146" s="39" t="n">
        <v>1141</v>
      </c>
      <c r="B1146" s="33">
        <f>IF(C1146="","",IF(L1146="À RENSEIGNER","GIC",L1146)&amp;"-E"&amp;TEXT(A1146,"00000"))</f>
        <v/>
      </c>
      <c r="C1146" s="32" t="n"/>
      <c r="D1146" s="36" t="n"/>
      <c r="E1146" s="37" t="n"/>
      <c r="F1146" s="36" t="n"/>
      <c r="G1146" s="44" t="n"/>
      <c r="H1146" s="43" t="n"/>
      <c r="I1146" s="32" t="n"/>
      <c r="J1146" s="44" t="n"/>
      <c r="K1146" s="36" t="n"/>
      <c r="L1146" s="33">
        <f>IF(C1146="","",Commercial_Id)</f>
        <v/>
      </c>
      <c r="M1146" s="34">
        <f>IF(OR(C1146="",F1146=""),"",IF(F1146&lt;&gt;"Espèces","—",IF(I1146&lt;&gt;"","☑ Oui","☐ Non")))</f>
        <v/>
      </c>
      <c r="N1146" s="39">
        <f>IF(D1146="","",IFERROR(VALUE(MID(D1146,LEN(D1146)-3,3)),""))</f>
        <v/>
      </c>
      <c r="O1146" s="33">
        <f>IF(N1146="","",L1146&amp;"|"&amp;N1146)</f>
        <v/>
      </c>
      <c r="P1146" s="33">
        <f>IF(N1146="","",IF(L1146="À RENSEIGNER","GIC",L1146)&amp;"-"&amp;TEXT(N1146,"000"))</f>
        <v/>
      </c>
      <c r="Q1146" s="33">
        <f>IF(O1146="","",IFERROR(INDEX(Cl_nom,MATCH(O1146,Cl_cle,0)),"(client introuvable)"))</f>
        <v/>
      </c>
      <c r="R1146" s="40">
        <f>IF(O1146="","",IFERROR(INDEX(Cl_reste,MATCH(O1146,Cl_cle,0)),""))</f>
        <v/>
      </c>
      <c r="S1146" s="34">
        <f>IF(C1146="","",YEAR(C1146-WEEKDAY(C1146,2)+4)&amp;"-S"&amp;TEXT(INT((C1146-DATE(YEAR(C1146-WEEKDAY(C1146,2)+4),1,3)+WEEKDAY(DATE(YEAR(C1146-WEEKDAY(C1146,2)+4),1,3),2)+5)/7),"00"))</f>
        <v/>
      </c>
    </row>
    <row r="1147" ht="18" customHeight="1">
      <c r="A1147" s="39" t="n">
        <v>1142</v>
      </c>
      <c r="B1147" s="33">
        <f>IF(C1147="","",IF(L1147="À RENSEIGNER","GIC",L1147)&amp;"-E"&amp;TEXT(A1147,"00000"))</f>
        <v/>
      </c>
      <c r="C1147" s="32" t="n"/>
      <c r="D1147" s="36" t="n"/>
      <c r="E1147" s="37" t="n"/>
      <c r="F1147" s="36" t="n"/>
      <c r="G1147" s="44" t="n"/>
      <c r="H1147" s="43" t="n"/>
      <c r="I1147" s="32" t="n"/>
      <c r="J1147" s="44" t="n"/>
      <c r="K1147" s="36" t="n"/>
      <c r="L1147" s="33">
        <f>IF(C1147="","",Commercial_Id)</f>
        <v/>
      </c>
      <c r="M1147" s="34">
        <f>IF(OR(C1147="",F1147=""),"",IF(F1147&lt;&gt;"Espèces","—",IF(I1147&lt;&gt;"","☑ Oui","☐ Non")))</f>
        <v/>
      </c>
      <c r="N1147" s="39">
        <f>IF(D1147="","",IFERROR(VALUE(MID(D1147,LEN(D1147)-3,3)),""))</f>
        <v/>
      </c>
      <c r="O1147" s="33">
        <f>IF(N1147="","",L1147&amp;"|"&amp;N1147)</f>
        <v/>
      </c>
      <c r="P1147" s="33">
        <f>IF(N1147="","",IF(L1147="À RENSEIGNER","GIC",L1147)&amp;"-"&amp;TEXT(N1147,"000"))</f>
        <v/>
      </c>
      <c r="Q1147" s="33">
        <f>IF(O1147="","",IFERROR(INDEX(Cl_nom,MATCH(O1147,Cl_cle,0)),"(client introuvable)"))</f>
        <v/>
      </c>
      <c r="R1147" s="40">
        <f>IF(O1147="","",IFERROR(INDEX(Cl_reste,MATCH(O1147,Cl_cle,0)),""))</f>
        <v/>
      </c>
      <c r="S1147" s="34">
        <f>IF(C1147="","",YEAR(C1147-WEEKDAY(C1147,2)+4)&amp;"-S"&amp;TEXT(INT((C1147-DATE(YEAR(C1147-WEEKDAY(C1147,2)+4),1,3)+WEEKDAY(DATE(YEAR(C1147-WEEKDAY(C1147,2)+4),1,3),2)+5)/7),"00"))</f>
        <v/>
      </c>
    </row>
    <row r="1148" ht="18" customHeight="1">
      <c r="A1148" s="39" t="n">
        <v>1143</v>
      </c>
      <c r="B1148" s="33">
        <f>IF(C1148="","",IF(L1148="À RENSEIGNER","GIC",L1148)&amp;"-E"&amp;TEXT(A1148,"00000"))</f>
        <v/>
      </c>
      <c r="C1148" s="32" t="n"/>
      <c r="D1148" s="36" t="n"/>
      <c r="E1148" s="37" t="n"/>
      <c r="F1148" s="36" t="n"/>
      <c r="G1148" s="44" t="n"/>
      <c r="H1148" s="43" t="n"/>
      <c r="I1148" s="32" t="n"/>
      <c r="J1148" s="44" t="n"/>
      <c r="K1148" s="36" t="n"/>
      <c r="L1148" s="33">
        <f>IF(C1148="","",Commercial_Id)</f>
        <v/>
      </c>
      <c r="M1148" s="34">
        <f>IF(OR(C1148="",F1148=""),"",IF(F1148&lt;&gt;"Espèces","—",IF(I1148&lt;&gt;"","☑ Oui","☐ Non")))</f>
        <v/>
      </c>
      <c r="N1148" s="39">
        <f>IF(D1148="","",IFERROR(VALUE(MID(D1148,LEN(D1148)-3,3)),""))</f>
        <v/>
      </c>
      <c r="O1148" s="33">
        <f>IF(N1148="","",L1148&amp;"|"&amp;N1148)</f>
        <v/>
      </c>
      <c r="P1148" s="33">
        <f>IF(N1148="","",IF(L1148="À RENSEIGNER","GIC",L1148)&amp;"-"&amp;TEXT(N1148,"000"))</f>
        <v/>
      </c>
      <c r="Q1148" s="33">
        <f>IF(O1148="","",IFERROR(INDEX(Cl_nom,MATCH(O1148,Cl_cle,0)),"(client introuvable)"))</f>
        <v/>
      </c>
      <c r="R1148" s="40">
        <f>IF(O1148="","",IFERROR(INDEX(Cl_reste,MATCH(O1148,Cl_cle,0)),""))</f>
        <v/>
      </c>
      <c r="S1148" s="34">
        <f>IF(C1148="","",YEAR(C1148-WEEKDAY(C1148,2)+4)&amp;"-S"&amp;TEXT(INT((C1148-DATE(YEAR(C1148-WEEKDAY(C1148,2)+4),1,3)+WEEKDAY(DATE(YEAR(C1148-WEEKDAY(C1148,2)+4),1,3),2)+5)/7),"00"))</f>
        <v/>
      </c>
    </row>
    <row r="1149" ht="18" customHeight="1">
      <c r="A1149" s="39" t="n">
        <v>1144</v>
      </c>
      <c r="B1149" s="33">
        <f>IF(C1149="","",IF(L1149="À RENSEIGNER","GIC",L1149)&amp;"-E"&amp;TEXT(A1149,"00000"))</f>
        <v/>
      </c>
      <c r="C1149" s="32" t="n"/>
      <c r="D1149" s="36" t="n"/>
      <c r="E1149" s="37" t="n"/>
      <c r="F1149" s="36" t="n"/>
      <c r="G1149" s="44" t="n"/>
      <c r="H1149" s="43" t="n"/>
      <c r="I1149" s="32" t="n"/>
      <c r="J1149" s="44" t="n"/>
      <c r="K1149" s="36" t="n"/>
      <c r="L1149" s="33">
        <f>IF(C1149="","",Commercial_Id)</f>
        <v/>
      </c>
      <c r="M1149" s="34">
        <f>IF(OR(C1149="",F1149=""),"",IF(F1149&lt;&gt;"Espèces","—",IF(I1149&lt;&gt;"","☑ Oui","☐ Non")))</f>
        <v/>
      </c>
      <c r="N1149" s="39">
        <f>IF(D1149="","",IFERROR(VALUE(MID(D1149,LEN(D1149)-3,3)),""))</f>
        <v/>
      </c>
      <c r="O1149" s="33">
        <f>IF(N1149="","",L1149&amp;"|"&amp;N1149)</f>
        <v/>
      </c>
      <c r="P1149" s="33">
        <f>IF(N1149="","",IF(L1149="À RENSEIGNER","GIC",L1149)&amp;"-"&amp;TEXT(N1149,"000"))</f>
        <v/>
      </c>
      <c r="Q1149" s="33">
        <f>IF(O1149="","",IFERROR(INDEX(Cl_nom,MATCH(O1149,Cl_cle,0)),"(client introuvable)"))</f>
        <v/>
      </c>
      <c r="R1149" s="40">
        <f>IF(O1149="","",IFERROR(INDEX(Cl_reste,MATCH(O1149,Cl_cle,0)),""))</f>
        <v/>
      </c>
      <c r="S1149" s="34">
        <f>IF(C1149="","",YEAR(C1149-WEEKDAY(C1149,2)+4)&amp;"-S"&amp;TEXT(INT((C1149-DATE(YEAR(C1149-WEEKDAY(C1149,2)+4),1,3)+WEEKDAY(DATE(YEAR(C1149-WEEKDAY(C1149,2)+4),1,3),2)+5)/7),"00"))</f>
        <v/>
      </c>
    </row>
    <row r="1150" ht="18" customHeight="1">
      <c r="A1150" s="39" t="n">
        <v>1145</v>
      </c>
      <c r="B1150" s="33">
        <f>IF(C1150="","",IF(L1150="À RENSEIGNER","GIC",L1150)&amp;"-E"&amp;TEXT(A1150,"00000"))</f>
        <v/>
      </c>
      <c r="C1150" s="32" t="n"/>
      <c r="D1150" s="36" t="n"/>
      <c r="E1150" s="37" t="n"/>
      <c r="F1150" s="36" t="n"/>
      <c r="G1150" s="44" t="n"/>
      <c r="H1150" s="43" t="n"/>
      <c r="I1150" s="32" t="n"/>
      <c r="J1150" s="44" t="n"/>
      <c r="K1150" s="36" t="n"/>
      <c r="L1150" s="33">
        <f>IF(C1150="","",Commercial_Id)</f>
        <v/>
      </c>
      <c r="M1150" s="34">
        <f>IF(OR(C1150="",F1150=""),"",IF(F1150&lt;&gt;"Espèces","—",IF(I1150&lt;&gt;"","☑ Oui","☐ Non")))</f>
        <v/>
      </c>
      <c r="N1150" s="39">
        <f>IF(D1150="","",IFERROR(VALUE(MID(D1150,LEN(D1150)-3,3)),""))</f>
        <v/>
      </c>
      <c r="O1150" s="33">
        <f>IF(N1150="","",L1150&amp;"|"&amp;N1150)</f>
        <v/>
      </c>
      <c r="P1150" s="33">
        <f>IF(N1150="","",IF(L1150="À RENSEIGNER","GIC",L1150)&amp;"-"&amp;TEXT(N1150,"000"))</f>
        <v/>
      </c>
      <c r="Q1150" s="33">
        <f>IF(O1150="","",IFERROR(INDEX(Cl_nom,MATCH(O1150,Cl_cle,0)),"(client introuvable)"))</f>
        <v/>
      </c>
      <c r="R1150" s="40">
        <f>IF(O1150="","",IFERROR(INDEX(Cl_reste,MATCH(O1150,Cl_cle,0)),""))</f>
        <v/>
      </c>
      <c r="S1150" s="34">
        <f>IF(C1150="","",YEAR(C1150-WEEKDAY(C1150,2)+4)&amp;"-S"&amp;TEXT(INT((C1150-DATE(YEAR(C1150-WEEKDAY(C1150,2)+4),1,3)+WEEKDAY(DATE(YEAR(C1150-WEEKDAY(C1150,2)+4),1,3),2)+5)/7),"00"))</f>
        <v/>
      </c>
    </row>
    <row r="1151" ht="18" customHeight="1">
      <c r="A1151" s="39" t="n">
        <v>1146</v>
      </c>
      <c r="B1151" s="33">
        <f>IF(C1151="","",IF(L1151="À RENSEIGNER","GIC",L1151)&amp;"-E"&amp;TEXT(A1151,"00000"))</f>
        <v/>
      </c>
      <c r="C1151" s="32" t="n"/>
      <c r="D1151" s="36" t="n"/>
      <c r="E1151" s="37" t="n"/>
      <c r="F1151" s="36" t="n"/>
      <c r="G1151" s="44" t="n"/>
      <c r="H1151" s="43" t="n"/>
      <c r="I1151" s="32" t="n"/>
      <c r="J1151" s="44" t="n"/>
      <c r="K1151" s="36" t="n"/>
      <c r="L1151" s="33">
        <f>IF(C1151="","",Commercial_Id)</f>
        <v/>
      </c>
      <c r="M1151" s="34">
        <f>IF(OR(C1151="",F1151=""),"",IF(F1151&lt;&gt;"Espèces","—",IF(I1151&lt;&gt;"","☑ Oui","☐ Non")))</f>
        <v/>
      </c>
      <c r="N1151" s="39">
        <f>IF(D1151="","",IFERROR(VALUE(MID(D1151,LEN(D1151)-3,3)),""))</f>
        <v/>
      </c>
      <c r="O1151" s="33">
        <f>IF(N1151="","",L1151&amp;"|"&amp;N1151)</f>
        <v/>
      </c>
      <c r="P1151" s="33">
        <f>IF(N1151="","",IF(L1151="À RENSEIGNER","GIC",L1151)&amp;"-"&amp;TEXT(N1151,"000"))</f>
        <v/>
      </c>
      <c r="Q1151" s="33">
        <f>IF(O1151="","",IFERROR(INDEX(Cl_nom,MATCH(O1151,Cl_cle,0)),"(client introuvable)"))</f>
        <v/>
      </c>
      <c r="R1151" s="40">
        <f>IF(O1151="","",IFERROR(INDEX(Cl_reste,MATCH(O1151,Cl_cle,0)),""))</f>
        <v/>
      </c>
      <c r="S1151" s="34">
        <f>IF(C1151="","",YEAR(C1151-WEEKDAY(C1151,2)+4)&amp;"-S"&amp;TEXT(INT((C1151-DATE(YEAR(C1151-WEEKDAY(C1151,2)+4),1,3)+WEEKDAY(DATE(YEAR(C1151-WEEKDAY(C1151,2)+4),1,3),2)+5)/7),"00"))</f>
        <v/>
      </c>
    </row>
    <row r="1152" ht="18" customHeight="1">
      <c r="A1152" s="39" t="n">
        <v>1147</v>
      </c>
      <c r="B1152" s="33">
        <f>IF(C1152="","",IF(L1152="À RENSEIGNER","GIC",L1152)&amp;"-E"&amp;TEXT(A1152,"00000"))</f>
        <v/>
      </c>
      <c r="C1152" s="32" t="n"/>
      <c r="D1152" s="36" t="n"/>
      <c r="E1152" s="37" t="n"/>
      <c r="F1152" s="36" t="n"/>
      <c r="G1152" s="44" t="n"/>
      <c r="H1152" s="43" t="n"/>
      <c r="I1152" s="32" t="n"/>
      <c r="J1152" s="44" t="n"/>
      <c r="K1152" s="36" t="n"/>
      <c r="L1152" s="33">
        <f>IF(C1152="","",Commercial_Id)</f>
        <v/>
      </c>
      <c r="M1152" s="34">
        <f>IF(OR(C1152="",F1152=""),"",IF(F1152&lt;&gt;"Espèces","—",IF(I1152&lt;&gt;"","☑ Oui","☐ Non")))</f>
        <v/>
      </c>
      <c r="N1152" s="39">
        <f>IF(D1152="","",IFERROR(VALUE(MID(D1152,LEN(D1152)-3,3)),""))</f>
        <v/>
      </c>
      <c r="O1152" s="33">
        <f>IF(N1152="","",L1152&amp;"|"&amp;N1152)</f>
        <v/>
      </c>
      <c r="P1152" s="33">
        <f>IF(N1152="","",IF(L1152="À RENSEIGNER","GIC",L1152)&amp;"-"&amp;TEXT(N1152,"000"))</f>
        <v/>
      </c>
      <c r="Q1152" s="33">
        <f>IF(O1152="","",IFERROR(INDEX(Cl_nom,MATCH(O1152,Cl_cle,0)),"(client introuvable)"))</f>
        <v/>
      </c>
      <c r="R1152" s="40">
        <f>IF(O1152="","",IFERROR(INDEX(Cl_reste,MATCH(O1152,Cl_cle,0)),""))</f>
        <v/>
      </c>
      <c r="S1152" s="34">
        <f>IF(C1152="","",YEAR(C1152-WEEKDAY(C1152,2)+4)&amp;"-S"&amp;TEXT(INT((C1152-DATE(YEAR(C1152-WEEKDAY(C1152,2)+4),1,3)+WEEKDAY(DATE(YEAR(C1152-WEEKDAY(C1152,2)+4),1,3),2)+5)/7),"00"))</f>
        <v/>
      </c>
    </row>
    <row r="1153" ht="18" customHeight="1">
      <c r="A1153" s="39" t="n">
        <v>1148</v>
      </c>
      <c r="B1153" s="33">
        <f>IF(C1153="","",IF(L1153="À RENSEIGNER","GIC",L1153)&amp;"-E"&amp;TEXT(A1153,"00000"))</f>
        <v/>
      </c>
      <c r="C1153" s="32" t="n"/>
      <c r="D1153" s="36" t="n"/>
      <c r="E1153" s="37" t="n"/>
      <c r="F1153" s="36" t="n"/>
      <c r="G1153" s="44" t="n"/>
      <c r="H1153" s="43" t="n"/>
      <c r="I1153" s="32" t="n"/>
      <c r="J1153" s="44" t="n"/>
      <c r="K1153" s="36" t="n"/>
      <c r="L1153" s="33">
        <f>IF(C1153="","",Commercial_Id)</f>
        <v/>
      </c>
      <c r="M1153" s="34">
        <f>IF(OR(C1153="",F1153=""),"",IF(F1153&lt;&gt;"Espèces","—",IF(I1153&lt;&gt;"","☑ Oui","☐ Non")))</f>
        <v/>
      </c>
      <c r="N1153" s="39">
        <f>IF(D1153="","",IFERROR(VALUE(MID(D1153,LEN(D1153)-3,3)),""))</f>
        <v/>
      </c>
      <c r="O1153" s="33">
        <f>IF(N1153="","",L1153&amp;"|"&amp;N1153)</f>
        <v/>
      </c>
      <c r="P1153" s="33">
        <f>IF(N1153="","",IF(L1153="À RENSEIGNER","GIC",L1153)&amp;"-"&amp;TEXT(N1153,"000"))</f>
        <v/>
      </c>
      <c r="Q1153" s="33">
        <f>IF(O1153="","",IFERROR(INDEX(Cl_nom,MATCH(O1153,Cl_cle,0)),"(client introuvable)"))</f>
        <v/>
      </c>
      <c r="R1153" s="40">
        <f>IF(O1153="","",IFERROR(INDEX(Cl_reste,MATCH(O1153,Cl_cle,0)),""))</f>
        <v/>
      </c>
      <c r="S1153" s="34">
        <f>IF(C1153="","",YEAR(C1153-WEEKDAY(C1153,2)+4)&amp;"-S"&amp;TEXT(INT((C1153-DATE(YEAR(C1153-WEEKDAY(C1153,2)+4),1,3)+WEEKDAY(DATE(YEAR(C1153-WEEKDAY(C1153,2)+4),1,3),2)+5)/7),"00"))</f>
        <v/>
      </c>
    </row>
    <row r="1154" ht="18" customHeight="1">
      <c r="A1154" s="39" t="n">
        <v>1149</v>
      </c>
      <c r="B1154" s="33">
        <f>IF(C1154="","",IF(L1154="À RENSEIGNER","GIC",L1154)&amp;"-E"&amp;TEXT(A1154,"00000"))</f>
        <v/>
      </c>
      <c r="C1154" s="32" t="n"/>
      <c r="D1154" s="36" t="n"/>
      <c r="E1154" s="37" t="n"/>
      <c r="F1154" s="36" t="n"/>
      <c r="G1154" s="44" t="n"/>
      <c r="H1154" s="43" t="n"/>
      <c r="I1154" s="32" t="n"/>
      <c r="J1154" s="44" t="n"/>
      <c r="K1154" s="36" t="n"/>
      <c r="L1154" s="33">
        <f>IF(C1154="","",Commercial_Id)</f>
        <v/>
      </c>
      <c r="M1154" s="34">
        <f>IF(OR(C1154="",F1154=""),"",IF(F1154&lt;&gt;"Espèces","—",IF(I1154&lt;&gt;"","☑ Oui","☐ Non")))</f>
        <v/>
      </c>
      <c r="N1154" s="39">
        <f>IF(D1154="","",IFERROR(VALUE(MID(D1154,LEN(D1154)-3,3)),""))</f>
        <v/>
      </c>
      <c r="O1154" s="33">
        <f>IF(N1154="","",L1154&amp;"|"&amp;N1154)</f>
        <v/>
      </c>
      <c r="P1154" s="33">
        <f>IF(N1154="","",IF(L1154="À RENSEIGNER","GIC",L1154)&amp;"-"&amp;TEXT(N1154,"000"))</f>
        <v/>
      </c>
      <c r="Q1154" s="33">
        <f>IF(O1154="","",IFERROR(INDEX(Cl_nom,MATCH(O1154,Cl_cle,0)),"(client introuvable)"))</f>
        <v/>
      </c>
      <c r="R1154" s="40">
        <f>IF(O1154="","",IFERROR(INDEX(Cl_reste,MATCH(O1154,Cl_cle,0)),""))</f>
        <v/>
      </c>
      <c r="S1154" s="34">
        <f>IF(C1154="","",YEAR(C1154-WEEKDAY(C1154,2)+4)&amp;"-S"&amp;TEXT(INT((C1154-DATE(YEAR(C1154-WEEKDAY(C1154,2)+4),1,3)+WEEKDAY(DATE(YEAR(C1154-WEEKDAY(C1154,2)+4),1,3),2)+5)/7),"00"))</f>
        <v/>
      </c>
    </row>
    <row r="1155" ht="18" customHeight="1">
      <c r="A1155" s="39" t="n">
        <v>1150</v>
      </c>
      <c r="B1155" s="33">
        <f>IF(C1155="","",IF(L1155="À RENSEIGNER","GIC",L1155)&amp;"-E"&amp;TEXT(A1155,"00000"))</f>
        <v/>
      </c>
      <c r="C1155" s="32" t="n"/>
      <c r="D1155" s="36" t="n"/>
      <c r="E1155" s="37" t="n"/>
      <c r="F1155" s="36" t="n"/>
      <c r="G1155" s="44" t="n"/>
      <c r="H1155" s="43" t="n"/>
      <c r="I1155" s="32" t="n"/>
      <c r="J1155" s="44" t="n"/>
      <c r="K1155" s="36" t="n"/>
      <c r="L1155" s="33">
        <f>IF(C1155="","",Commercial_Id)</f>
        <v/>
      </c>
      <c r="M1155" s="34">
        <f>IF(OR(C1155="",F1155=""),"",IF(F1155&lt;&gt;"Espèces","—",IF(I1155&lt;&gt;"","☑ Oui","☐ Non")))</f>
        <v/>
      </c>
      <c r="N1155" s="39">
        <f>IF(D1155="","",IFERROR(VALUE(MID(D1155,LEN(D1155)-3,3)),""))</f>
        <v/>
      </c>
      <c r="O1155" s="33">
        <f>IF(N1155="","",L1155&amp;"|"&amp;N1155)</f>
        <v/>
      </c>
      <c r="P1155" s="33">
        <f>IF(N1155="","",IF(L1155="À RENSEIGNER","GIC",L1155)&amp;"-"&amp;TEXT(N1155,"000"))</f>
        <v/>
      </c>
      <c r="Q1155" s="33">
        <f>IF(O1155="","",IFERROR(INDEX(Cl_nom,MATCH(O1155,Cl_cle,0)),"(client introuvable)"))</f>
        <v/>
      </c>
      <c r="R1155" s="40">
        <f>IF(O1155="","",IFERROR(INDEX(Cl_reste,MATCH(O1155,Cl_cle,0)),""))</f>
        <v/>
      </c>
      <c r="S1155" s="34">
        <f>IF(C1155="","",YEAR(C1155-WEEKDAY(C1155,2)+4)&amp;"-S"&amp;TEXT(INT((C1155-DATE(YEAR(C1155-WEEKDAY(C1155,2)+4),1,3)+WEEKDAY(DATE(YEAR(C1155-WEEKDAY(C1155,2)+4),1,3),2)+5)/7),"00"))</f>
        <v/>
      </c>
    </row>
    <row r="1156" ht="18" customHeight="1">
      <c r="A1156" s="39" t="n">
        <v>1151</v>
      </c>
      <c r="B1156" s="33">
        <f>IF(C1156="","",IF(L1156="À RENSEIGNER","GIC",L1156)&amp;"-E"&amp;TEXT(A1156,"00000"))</f>
        <v/>
      </c>
      <c r="C1156" s="32" t="n"/>
      <c r="D1156" s="36" t="n"/>
      <c r="E1156" s="37" t="n"/>
      <c r="F1156" s="36" t="n"/>
      <c r="G1156" s="44" t="n"/>
      <c r="H1156" s="43" t="n"/>
      <c r="I1156" s="32" t="n"/>
      <c r="J1156" s="44" t="n"/>
      <c r="K1156" s="36" t="n"/>
      <c r="L1156" s="33">
        <f>IF(C1156="","",Commercial_Id)</f>
        <v/>
      </c>
      <c r="M1156" s="34">
        <f>IF(OR(C1156="",F1156=""),"",IF(F1156&lt;&gt;"Espèces","—",IF(I1156&lt;&gt;"","☑ Oui","☐ Non")))</f>
        <v/>
      </c>
      <c r="N1156" s="39">
        <f>IF(D1156="","",IFERROR(VALUE(MID(D1156,LEN(D1156)-3,3)),""))</f>
        <v/>
      </c>
      <c r="O1156" s="33">
        <f>IF(N1156="","",L1156&amp;"|"&amp;N1156)</f>
        <v/>
      </c>
      <c r="P1156" s="33">
        <f>IF(N1156="","",IF(L1156="À RENSEIGNER","GIC",L1156)&amp;"-"&amp;TEXT(N1156,"000"))</f>
        <v/>
      </c>
      <c r="Q1156" s="33">
        <f>IF(O1156="","",IFERROR(INDEX(Cl_nom,MATCH(O1156,Cl_cle,0)),"(client introuvable)"))</f>
        <v/>
      </c>
      <c r="R1156" s="40">
        <f>IF(O1156="","",IFERROR(INDEX(Cl_reste,MATCH(O1156,Cl_cle,0)),""))</f>
        <v/>
      </c>
      <c r="S1156" s="34">
        <f>IF(C1156="","",YEAR(C1156-WEEKDAY(C1156,2)+4)&amp;"-S"&amp;TEXT(INT((C1156-DATE(YEAR(C1156-WEEKDAY(C1156,2)+4),1,3)+WEEKDAY(DATE(YEAR(C1156-WEEKDAY(C1156,2)+4),1,3),2)+5)/7),"00"))</f>
        <v/>
      </c>
    </row>
    <row r="1157" ht="18" customHeight="1">
      <c r="A1157" s="39" t="n">
        <v>1152</v>
      </c>
      <c r="B1157" s="33">
        <f>IF(C1157="","",IF(L1157="À RENSEIGNER","GIC",L1157)&amp;"-E"&amp;TEXT(A1157,"00000"))</f>
        <v/>
      </c>
      <c r="C1157" s="32" t="n"/>
      <c r="D1157" s="36" t="n"/>
      <c r="E1157" s="37" t="n"/>
      <c r="F1157" s="36" t="n"/>
      <c r="G1157" s="44" t="n"/>
      <c r="H1157" s="43" t="n"/>
      <c r="I1157" s="32" t="n"/>
      <c r="J1157" s="44" t="n"/>
      <c r="K1157" s="36" t="n"/>
      <c r="L1157" s="33">
        <f>IF(C1157="","",Commercial_Id)</f>
        <v/>
      </c>
      <c r="M1157" s="34">
        <f>IF(OR(C1157="",F1157=""),"",IF(F1157&lt;&gt;"Espèces","—",IF(I1157&lt;&gt;"","☑ Oui","☐ Non")))</f>
        <v/>
      </c>
      <c r="N1157" s="39">
        <f>IF(D1157="","",IFERROR(VALUE(MID(D1157,LEN(D1157)-3,3)),""))</f>
        <v/>
      </c>
      <c r="O1157" s="33">
        <f>IF(N1157="","",L1157&amp;"|"&amp;N1157)</f>
        <v/>
      </c>
      <c r="P1157" s="33">
        <f>IF(N1157="","",IF(L1157="À RENSEIGNER","GIC",L1157)&amp;"-"&amp;TEXT(N1157,"000"))</f>
        <v/>
      </c>
      <c r="Q1157" s="33">
        <f>IF(O1157="","",IFERROR(INDEX(Cl_nom,MATCH(O1157,Cl_cle,0)),"(client introuvable)"))</f>
        <v/>
      </c>
      <c r="R1157" s="40">
        <f>IF(O1157="","",IFERROR(INDEX(Cl_reste,MATCH(O1157,Cl_cle,0)),""))</f>
        <v/>
      </c>
      <c r="S1157" s="34">
        <f>IF(C1157="","",YEAR(C1157-WEEKDAY(C1157,2)+4)&amp;"-S"&amp;TEXT(INT((C1157-DATE(YEAR(C1157-WEEKDAY(C1157,2)+4),1,3)+WEEKDAY(DATE(YEAR(C1157-WEEKDAY(C1157,2)+4),1,3),2)+5)/7),"00"))</f>
        <v/>
      </c>
    </row>
    <row r="1158" ht="18" customHeight="1">
      <c r="A1158" s="39" t="n">
        <v>1153</v>
      </c>
      <c r="B1158" s="33">
        <f>IF(C1158="","",IF(L1158="À RENSEIGNER","GIC",L1158)&amp;"-E"&amp;TEXT(A1158,"00000"))</f>
        <v/>
      </c>
      <c r="C1158" s="32" t="n"/>
      <c r="D1158" s="36" t="n"/>
      <c r="E1158" s="37" t="n"/>
      <c r="F1158" s="36" t="n"/>
      <c r="G1158" s="44" t="n"/>
      <c r="H1158" s="43" t="n"/>
      <c r="I1158" s="32" t="n"/>
      <c r="J1158" s="44" t="n"/>
      <c r="K1158" s="36" t="n"/>
      <c r="L1158" s="33">
        <f>IF(C1158="","",Commercial_Id)</f>
        <v/>
      </c>
      <c r="M1158" s="34">
        <f>IF(OR(C1158="",F1158=""),"",IF(F1158&lt;&gt;"Espèces","—",IF(I1158&lt;&gt;"","☑ Oui","☐ Non")))</f>
        <v/>
      </c>
      <c r="N1158" s="39">
        <f>IF(D1158="","",IFERROR(VALUE(MID(D1158,LEN(D1158)-3,3)),""))</f>
        <v/>
      </c>
      <c r="O1158" s="33">
        <f>IF(N1158="","",L1158&amp;"|"&amp;N1158)</f>
        <v/>
      </c>
      <c r="P1158" s="33">
        <f>IF(N1158="","",IF(L1158="À RENSEIGNER","GIC",L1158)&amp;"-"&amp;TEXT(N1158,"000"))</f>
        <v/>
      </c>
      <c r="Q1158" s="33">
        <f>IF(O1158="","",IFERROR(INDEX(Cl_nom,MATCH(O1158,Cl_cle,0)),"(client introuvable)"))</f>
        <v/>
      </c>
      <c r="R1158" s="40">
        <f>IF(O1158="","",IFERROR(INDEX(Cl_reste,MATCH(O1158,Cl_cle,0)),""))</f>
        <v/>
      </c>
      <c r="S1158" s="34">
        <f>IF(C1158="","",YEAR(C1158-WEEKDAY(C1158,2)+4)&amp;"-S"&amp;TEXT(INT((C1158-DATE(YEAR(C1158-WEEKDAY(C1158,2)+4),1,3)+WEEKDAY(DATE(YEAR(C1158-WEEKDAY(C1158,2)+4),1,3),2)+5)/7),"00"))</f>
        <v/>
      </c>
    </row>
    <row r="1159" ht="18" customHeight="1">
      <c r="A1159" s="39" t="n">
        <v>1154</v>
      </c>
      <c r="B1159" s="33">
        <f>IF(C1159="","",IF(L1159="À RENSEIGNER","GIC",L1159)&amp;"-E"&amp;TEXT(A1159,"00000"))</f>
        <v/>
      </c>
      <c r="C1159" s="32" t="n"/>
      <c r="D1159" s="36" t="n"/>
      <c r="E1159" s="37" t="n"/>
      <c r="F1159" s="36" t="n"/>
      <c r="G1159" s="44" t="n"/>
      <c r="H1159" s="43" t="n"/>
      <c r="I1159" s="32" t="n"/>
      <c r="J1159" s="44" t="n"/>
      <c r="K1159" s="36" t="n"/>
      <c r="L1159" s="33">
        <f>IF(C1159="","",Commercial_Id)</f>
        <v/>
      </c>
      <c r="M1159" s="34">
        <f>IF(OR(C1159="",F1159=""),"",IF(F1159&lt;&gt;"Espèces","—",IF(I1159&lt;&gt;"","☑ Oui","☐ Non")))</f>
        <v/>
      </c>
      <c r="N1159" s="39">
        <f>IF(D1159="","",IFERROR(VALUE(MID(D1159,LEN(D1159)-3,3)),""))</f>
        <v/>
      </c>
      <c r="O1159" s="33">
        <f>IF(N1159="","",L1159&amp;"|"&amp;N1159)</f>
        <v/>
      </c>
      <c r="P1159" s="33">
        <f>IF(N1159="","",IF(L1159="À RENSEIGNER","GIC",L1159)&amp;"-"&amp;TEXT(N1159,"000"))</f>
        <v/>
      </c>
      <c r="Q1159" s="33">
        <f>IF(O1159="","",IFERROR(INDEX(Cl_nom,MATCH(O1159,Cl_cle,0)),"(client introuvable)"))</f>
        <v/>
      </c>
      <c r="R1159" s="40">
        <f>IF(O1159="","",IFERROR(INDEX(Cl_reste,MATCH(O1159,Cl_cle,0)),""))</f>
        <v/>
      </c>
      <c r="S1159" s="34">
        <f>IF(C1159="","",YEAR(C1159-WEEKDAY(C1159,2)+4)&amp;"-S"&amp;TEXT(INT((C1159-DATE(YEAR(C1159-WEEKDAY(C1159,2)+4),1,3)+WEEKDAY(DATE(YEAR(C1159-WEEKDAY(C1159,2)+4),1,3),2)+5)/7),"00"))</f>
        <v/>
      </c>
    </row>
    <row r="1160" ht="18" customHeight="1">
      <c r="A1160" s="39" t="n">
        <v>1155</v>
      </c>
      <c r="B1160" s="33">
        <f>IF(C1160="","",IF(L1160="À RENSEIGNER","GIC",L1160)&amp;"-E"&amp;TEXT(A1160,"00000"))</f>
        <v/>
      </c>
      <c r="C1160" s="32" t="n"/>
      <c r="D1160" s="36" t="n"/>
      <c r="E1160" s="37" t="n"/>
      <c r="F1160" s="36" t="n"/>
      <c r="G1160" s="44" t="n"/>
      <c r="H1160" s="43" t="n"/>
      <c r="I1160" s="32" t="n"/>
      <c r="J1160" s="44" t="n"/>
      <c r="K1160" s="36" t="n"/>
      <c r="L1160" s="33">
        <f>IF(C1160="","",Commercial_Id)</f>
        <v/>
      </c>
      <c r="M1160" s="34">
        <f>IF(OR(C1160="",F1160=""),"",IF(F1160&lt;&gt;"Espèces","—",IF(I1160&lt;&gt;"","☑ Oui","☐ Non")))</f>
        <v/>
      </c>
      <c r="N1160" s="39">
        <f>IF(D1160="","",IFERROR(VALUE(MID(D1160,LEN(D1160)-3,3)),""))</f>
        <v/>
      </c>
      <c r="O1160" s="33">
        <f>IF(N1160="","",L1160&amp;"|"&amp;N1160)</f>
        <v/>
      </c>
      <c r="P1160" s="33">
        <f>IF(N1160="","",IF(L1160="À RENSEIGNER","GIC",L1160)&amp;"-"&amp;TEXT(N1160,"000"))</f>
        <v/>
      </c>
      <c r="Q1160" s="33">
        <f>IF(O1160="","",IFERROR(INDEX(Cl_nom,MATCH(O1160,Cl_cle,0)),"(client introuvable)"))</f>
        <v/>
      </c>
      <c r="R1160" s="40">
        <f>IF(O1160="","",IFERROR(INDEX(Cl_reste,MATCH(O1160,Cl_cle,0)),""))</f>
        <v/>
      </c>
      <c r="S1160" s="34">
        <f>IF(C1160="","",YEAR(C1160-WEEKDAY(C1160,2)+4)&amp;"-S"&amp;TEXT(INT((C1160-DATE(YEAR(C1160-WEEKDAY(C1160,2)+4),1,3)+WEEKDAY(DATE(YEAR(C1160-WEEKDAY(C1160,2)+4),1,3),2)+5)/7),"00"))</f>
        <v/>
      </c>
    </row>
    <row r="1161" ht="18" customHeight="1">
      <c r="A1161" s="39" t="n">
        <v>1156</v>
      </c>
      <c r="B1161" s="33">
        <f>IF(C1161="","",IF(L1161="À RENSEIGNER","GIC",L1161)&amp;"-E"&amp;TEXT(A1161,"00000"))</f>
        <v/>
      </c>
      <c r="C1161" s="32" t="n"/>
      <c r="D1161" s="36" t="n"/>
      <c r="E1161" s="37" t="n"/>
      <c r="F1161" s="36" t="n"/>
      <c r="G1161" s="44" t="n"/>
      <c r="H1161" s="43" t="n"/>
      <c r="I1161" s="32" t="n"/>
      <c r="J1161" s="44" t="n"/>
      <c r="K1161" s="36" t="n"/>
      <c r="L1161" s="33">
        <f>IF(C1161="","",Commercial_Id)</f>
        <v/>
      </c>
      <c r="M1161" s="34">
        <f>IF(OR(C1161="",F1161=""),"",IF(F1161&lt;&gt;"Espèces","—",IF(I1161&lt;&gt;"","☑ Oui","☐ Non")))</f>
        <v/>
      </c>
      <c r="N1161" s="39">
        <f>IF(D1161="","",IFERROR(VALUE(MID(D1161,LEN(D1161)-3,3)),""))</f>
        <v/>
      </c>
      <c r="O1161" s="33">
        <f>IF(N1161="","",L1161&amp;"|"&amp;N1161)</f>
        <v/>
      </c>
      <c r="P1161" s="33">
        <f>IF(N1161="","",IF(L1161="À RENSEIGNER","GIC",L1161)&amp;"-"&amp;TEXT(N1161,"000"))</f>
        <v/>
      </c>
      <c r="Q1161" s="33">
        <f>IF(O1161="","",IFERROR(INDEX(Cl_nom,MATCH(O1161,Cl_cle,0)),"(client introuvable)"))</f>
        <v/>
      </c>
      <c r="R1161" s="40">
        <f>IF(O1161="","",IFERROR(INDEX(Cl_reste,MATCH(O1161,Cl_cle,0)),""))</f>
        <v/>
      </c>
      <c r="S1161" s="34">
        <f>IF(C1161="","",YEAR(C1161-WEEKDAY(C1161,2)+4)&amp;"-S"&amp;TEXT(INT((C1161-DATE(YEAR(C1161-WEEKDAY(C1161,2)+4),1,3)+WEEKDAY(DATE(YEAR(C1161-WEEKDAY(C1161,2)+4),1,3),2)+5)/7),"00"))</f>
        <v/>
      </c>
    </row>
    <row r="1162" ht="18" customHeight="1">
      <c r="A1162" s="39" t="n">
        <v>1157</v>
      </c>
      <c r="B1162" s="33">
        <f>IF(C1162="","",IF(L1162="À RENSEIGNER","GIC",L1162)&amp;"-E"&amp;TEXT(A1162,"00000"))</f>
        <v/>
      </c>
      <c r="C1162" s="32" t="n"/>
      <c r="D1162" s="36" t="n"/>
      <c r="E1162" s="37" t="n"/>
      <c r="F1162" s="36" t="n"/>
      <c r="G1162" s="44" t="n"/>
      <c r="H1162" s="43" t="n"/>
      <c r="I1162" s="32" t="n"/>
      <c r="J1162" s="44" t="n"/>
      <c r="K1162" s="36" t="n"/>
      <c r="L1162" s="33">
        <f>IF(C1162="","",Commercial_Id)</f>
        <v/>
      </c>
      <c r="M1162" s="34">
        <f>IF(OR(C1162="",F1162=""),"",IF(F1162&lt;&gt;"Espèces","—",IF(I1162&lt;&gt;"","☑ Oui","☐ Non")))</f>
        <v/>
      </c>
      <c r="N1162" s="39">
        <f>IF(D1162="","",IFERROR(VALUE(MID(D1162,LEN(D1162)-3,3)),""))</f>
        <v/>
      </c>
      <c r="O1162" s="33">
        <f>IF(N1162="","",L1162&amp;"|"&amp;N1162)</f>
        <v/>
      </c>
      <c r="P1162" s="33">
        <f>IF(N1162="","",IF(L1162="À RENSEIGNER","GIC",L1162)&amp;"-"&amp;TEXT(N1162,"000"))</f>
        <v/>
      </c>
      <c r="Q1162" s="33">
        <f>IF(O1162="","",IFERROR(INDEX(Cl_nom,MATCH(O1162,Cl_cle,0)),"(client introuvable)"))</f>
        <v/>
      </c>
      <c r="R1162" s="40">
        <f>IF(O1162="","",IFERROR(INDEX(Cl_reste,MATCH(O1162,Cl_cle,0)),""))</f>
        <v/>
      </c>
      <c r="S1162" s="34">
        <f>IF(C1162="","",YEAR(C1162-WEEKDAY(C1162,2)+4)&amp;"-S"&amp;TEXT(INT((C1162-DATE(YEAR(C1162-WEEKDAY(C1162,2)+4),1,3)+WEEKDAY(DATE(YEAR(C1162-WEEKDAY(C1162,2)+4),1,3),2)+5)/7),"00"))</f>
        <v/>
      </c>
    </row>
    <row r="1163" ht="18" customHeight="1">
      <c r="A1163" s="39" t="n">
        <v>1158</v>
      </c>
      <c r="B1163" s="33">
        <f>IF(C1163="","",IF(L1163="À RENSEIGNER","GIC",L1163)&amp;"-E"&amp;TEXT(A1163,"00000"))</f>
        <v/>
      </c>
      <c r="C1163" s="32" t="n"/>
      <c r="D1163" s="36" t="n"/>
      <c r="E1163" s="37" t="n"/>
      <c r="F1163" s="36" t="n"/>
      <c r="G1163" s="44" t="n"/>
      <c r="H1163" s="43" t="n"/>
      <c r="I1163" s="32" t="n"/>
      <c r="J1163" s="44" t="n"/>
      <c r="K1163" s="36" t="n"/>
      <c r="L1163" s="33">
        <f>IF(C1163="","",Commercial_Id)</f>
        <v/>
      </c>
      <c r="M1163" s="34">
        <f>IF(OR(C1163="",F1163=""),"",IF(F1163&lt;&gt;"Espèces","—",IF(I1163&lt;&gt;"","☑ Oui","☐ Non")))</f>
        <v/>
      </c>
      <c r="N1163" s="39">
        <f>IF(D1163="","",IFERROR(VALUE(MID(D1163,LEN(D1163)-3,3)),""))</f>
        <v/>
      </c>
      <c r="O1163" s="33">
        <f>IF(N1163="","",L1163&amp;"|"&amp;N1163)</f>
        <v/>
      </c>
      <c r="P1163" s="33">
        <f>IF(N1163="","",IF(L1163="À RENSEIGNER","GIC",L1163)&amp;"-"&amp;TEXT(N1163,"000"))</f>
        <v/>
      </c>
      <c r="Q1163" s="33">
        <f>IF(O1163="","",IFERROR(INDEX(Cl_nom,MATCH(O1163,Cl_cle,0)),"(client introuvable)"))</f>
        <v/>
      </c>
      <c r="R1163" s="40">
        <f>IF(O1163="","",IFERROR(INDEX(Cl_reste,MATCH(O1163,Cl_cle,0)),""))</f>
        <v/>
      </c>
      <c r="S1163" s="34">
        <f>IF(C1163="","",YEAR(C1163-WEEKDAY(C1163,2)+4)&amp;"-S"&amp;TEXT(INT((C1163-DATE(YEAR(C1163-WEEKDAY(C1163,2)+4),1,3)+WEEKDAY(DATE(YEAR(C1163-WEEKDAY(C1163,2)+4),1,3),2)+5)/7),"00"))</f>
        <v/>
      </c>
    </row>
    <row r="1164" ht="18" customHeight="1">
      <c r="A1164" s="39" t="n">
        <v>1159</v>
      </c>
      <c r="B1164" s="33">
        <f>IF(C1164="","",IF(L1164="À RENSEIGNER","GIC",L1164)&amp;"-E"&amp;TEXT(A1164,"00000"))</f>
        <v/>
      </c>
      <c r="C1164" s="32" t="n"/>
      <c r="D1164" s="36" t="n"/>
      <c r="E1164" s="37" t="n"/>
      <c r="F1164" s="36" t="n"/>
      <c r="G1164" s="44" t="n"/>
      <c r="H1164" s="43" t="n"/>
      <c r="I1164" s="32" t="n"/>
      <c r="J1164" s="44" t="n"/>
      <c r="K1164" s="36" t="n"/>
      <c r="L1164" s="33">
        <f>IF(C1164="","",Commercial_Id)</f>
        <v/>
      </c>
      <c r="M1164" s="34">
        <f>IF(OR(C1164="",F1164=""),"",IF(F1164&lt;&gt;"Espèces","—",IF(I1164&lt;&gt;"","☑ Oui","☐ Non")))</f>
        <v/>
      </c>
      <c r="N1164" s="39">
        <f>IF(D1164="","",IFERROR(VALUE(MID(D1164,LEN(D1164)-3,3)),""))</f>
        <v/>
      </c>
      <c r="O1164" s="33">
        <f>IF(N1164="","",L1164&amp;"|"&amp;N1164)</f>
        <v/>
      </c>
      <c r="P1164" s="33">
        <f>IF(N1164="","",IF(L1164="À RENSEIGNER","GIC",L1164)&amp;"-"&amp;TEXT(N1164,"000"))</f>
        <v/>
      </c>
      <c r="Q1164" s="33">
        <f>IF(O1164="","",IFERROR(INDEX(Cl_nom,MATCH(O1164,Cl_cle,0)),"(client introuvable)"))</f>
        <v/>
      </c>
      <c r="R1164" s="40">
        <f>IF(O1164="","",IFERROR(INDEX(Cl_reste,MATCH(O1164,Cl_cle,0)),""))</f>
        <v/>
      </c>
      <c r="S1164" s="34">
        <f>IF(C1164="","",YEAR(C1164-WEEKDAY(C1164,2)+4)&amp;"-S"&amp;TEXT(INT((C1164-DATE(YEAR(C1164-WEEKDAY(C1164,2)+4),1,3)+WEEKDAY(DATE(YEAR(C1164-WEEKDAY(C1164,2)+4),1,3),2)+5)/7),"00"))</f>
        <v/>
      </c>
    </row>
    <row r="1165" ht="18" customHeight="1">
      <c r="A1165" s="39" t="n">
        <v>1160</v>
      </c>
      <c r="B1165" s="33">
        <f>IF(C1165="","",IF(L1165="À RENSEIGNER","GIC",L1165)&amp;"-E"&amp;TEXT(A1165,"00000"))</f>
        <v/>
      </c>
      <c r="C1165" s="32" t="n"/>
      <c r="D1165" s="36" t="n"/>
      <c r="E1165" s="37" t="n"/>
      <c r="F1165" s="36" t="n"/>
      <c r="G1165" s="44" t="n"/>
      <c r="H1165" s="43" t="n"/>
      <c r="I1165" s="32" t="n"/>
      <c r="J1165" s="44" t="n"/>
      <c r="K1165" s="36" t="n"/>
      <c r="L1165" s="33">
        <f>IF(C1165="","",Commercial_Id)</f>
        <v/>
      </c>
      <c r="M1165" s="34">
        <f>IF(OR(C1165="",F1165=""),"",IF(F1165&lt;&gt;"Espèces","—",IF(I1165&lt;&gt;"","☑ Oui","☐ Non")))</f>
        <v/>
      </c>
      <c r="N1165" s="39">
        <f>IF(D1165="","",IFERROR(VALUE(MID(D1165,LEN(D1165)-3,3)),""))</f>
        <v/>
      </c>
      <c r="O1165" s="33">
        <f>IF(N1165="","",L1165&amp;"|"&amp;N1165)</f>
        <v/>
      </c>
      <c r="P1165" s="33">
        <f>IF(N1165="","",IF(L1165="À RENSEIGNER","GIC",L1165)&amp;"-"&amp;TEXT(N1165,"000"))</f>
        <v/>
      </c>
      <c r="Q1165" s="33">
        <f>IF(O1165="","",IFERROR(INDEX(Cl_nom,MATCH(O1165,Cl_cle,0)),"(client introuvable)"))</f>
        <v/>
      </c>
      <c r="R1165" s="40">
        <f>IF(O1165="","",IFERROR(INDEX(Cl_reste,MATCH(O1165,Cl_cle,0)),""))</f>
        <v/>
      </c>
      <c r="S1165" s="34">
        <f>IF(C1165="","",YEAR(C1165-WEEKDAY(C1165,2)+4)&amp;"-S"&amp;TEXT(INT((C1165-DATE(YEAR(C1165-WEEKDAY(C1165,2)+4),1,3)+WEEKDAY(DATE(YEAR(C1165-WEEKDAY(C1165,2)+4),1,3),2)+5)/7),"00"))</f>
        <v/>
      </c>
    </row>
    <row r="1166" ht="18" customHeight="1">
      <c r="A1166" s="39" t="n">
        <v>1161</v>
      </c>
      <c r="B1166" s="33">
        <f>IF(C1166="","",IF(L1166="À RENSEIGNER","GIC",L1166)&amp;"-E"&amp;TEXT(A1166,"00000"))</f>
        <v/>
      </c>
      <c r="C1166" s="32" t="n"/>
      <c r="D1166" s="36" t="n"/>
      <c r="E1166" s="37" t="n"/>
      <c r="F1166" s="36" t="n"/>
      <c r="G1166" s="44" t="n"/>
      <c r="H1166" s="43" t="n"/>
      <c r="I1166" s="32" t="n"/>
      <c r="J1166" s="44" t="n"/>
      <c r="K1166" s="36" t="n"/>
      <c r="L1166" s="33">
        <f>IF(C1166="","",Commercial_Id)</f>
        <v/>
      </c>
      <c r="M1166" s="34">
        <f>IF(OR(C1166="",F1166=""),"",IF(F1166&lt;&gt;"Espèces","—",IF(I1166&lt;&gt;"","☑ Oui","☐ Non")))</f>
        <v/>
      </c>
      <c r="N1166" s="39">
        <f>IF(D1166="","",IFERROR(VALUE(MID(D1166,LEN(D1166)-3,3)),""))</f>
        <v/>
      </c>
      <c r="O1166" s="33">
        <f>IF(N1166="","",L1166&amp;"|"&amp;N1166)</f>
        <v/>
      </c>
      <c r="P1166" s="33">
        <f>IF(N1166="","",IF(L1166="À RENSEIGNER","GIC",L1166)&amp;"-"&amp;TEXT(N1166,"000"))</f>
        <v/>
      </c>
      <c r="Q1166" s="33">
        <f>IF(O1166="","",IFERROR(INDEX(Cl_nom,MATCH(O1166,Cl_cle,0)),"(client introuvable)"))</f>
        <v/>
      </c>
      <c r="R1166" s="40">
        <f>IF(O1166="","",IFERROR(INDEX(Cl_reste,MATCH(O1166,Cl_cle,0)),""))</f>
        <v/>
      </c>
      <c r="S1166" s="34">
        <f>IF(C1166="","",YEAR(C1166-WEEKDAY(C1166,2)+4)&amp;"-S"&amp;TEXT(INT((C1166-DATE(YEAR(C1166-WEEKDAY(C1166,2)+4),1,3)+WEEKDAY(DATE(YEAR(C1166-WEEKDAY(C1166,2)+4),1,3),2)+5)/7),"00"))</f>
        <v/>
      </c>
    </row>
    <row r="1167" ht="18" customHeight="1">
      <c r="A1167" s="39" t="n">
        <v>1162</v>
      </c>
      <c r="B1167" s="33">
        <f>IF(C1167="","",IF(L1167="À RENSEIGNER","GIC",L1167)&amp;"-E"&amp;TEXT(A1167,"00000"))</f>
        <v/>
      </c>
      <c r="C1167" s="32" t="n"/>
      <c r="D1167" s="36" t="n"/>
      <c r="E1167" s="37" t="n"/>
      <c r="F1167" s="36" t="n"/>
      <c r="G1167" s="44" t="n"/>
      <c r="H1167" s="43" t="n"/>
      <c r="I1167" s="32" t="n"/>
      <c r="J1167" s="44" t="n"/>
      <c r="K1167" s="36" t="n"/>
      <c r="L1167" s="33">
        <f>IF(C1167="","",Commercial_Id)</f>
        <v/>
      </c>
      <c r="M1167" s="34">
        <f>IF(OR(C1167="",F1167=""),"",IF(F1167&lt;&gt;"Espèces","—",IF(I1167&lt;&gt;"","☑ Oui","☐ Non")))</f>
        <v/>
      </c>
      <c r="N1167" s="39">
        <f>IF(D1167="","",IFERROR(VALUE(MID(D1167,LEN(D1167)-3,3)),""))</f>
        <v/>
      </c>
      <c r="O1167" s="33">
        <f>IF(N1167="","",L1167&amp;"|"&amp;N1167)</f>
        <v/>
      </c>
      <c r="P1167" s="33">
        <f>IF(N1167="","",IF(L1167="À RENSEIGNER","GIC",L1167)&amp;"-"&amp;TEXT(N1167,"000"))</f>
        <v/>
      </c>
      <c r="Q1167" s="33">
        <f>IF(O1167="","",IFERROR(INDEX(Cl_nom,MATCH(O1167,Cl_cle,0)),"(client introuvable)"))</f>
        <v/>
      </c>
      <c r="R1167" s="40">
        <f>IF(O1167="","",IFERROR(INDEX(Cl_reste,MATCH(O1167,Cl_cle,0)),""))</f>
        <v/>
      </c>
      <c r="S1167" s="34">
        <f>IF(C1167="","",YEAR(C1167-WEEKDAY(C1167,2)+4)&amp;"-S"&amp;TEXT(INT((C1167-DATE(YEAR(C1167-WEEKDAY(C1167,2)+4),1,3)+WEEKDAY(DATE(YEAR(C1167-WEEKDAY(C1167,2)+4),1,3),2)+5)/7),"00"))</f>
        <v/>
      </c>
    </row>
    <row r="1168" ht="18" customHeight="1">
      <c r="A1168" s="39" t="n">
        <v>1163</v>
      </c>
      <c r="B1168" s="33">
        <f>IF(C1168="","",IF(L1168="À RENSEIGNER","GIC",L1168)&amp;"-E"&amp;TEXT(A1168,"00000"))</f>
        <v/>
      </c>
      <c r="C1168" s="32" t="n"/>
      <c r="D1168" s="36" t="n"/>
      <c r="E1168" s="37" t="n"/>
      <c r="F1168" s="36" t="n"/>
      <c r="G1168" s="44" t="n"/>
      <c r="H1168" s="43" t="n"/>
      <c r="I1168" s="32" t="n"/>
      <c r="J1168" s="44" t="n"/>
      <c r="K1168" s="36" t="n"/>
      <c r="L1168" s="33">
        <f>IF(C1168="","",Commercial_Id)</f>
        <v/>
      </c>
      <c r="M1168" s="34">
        <f>IF(OR(C1168="",F1168=""),"",IF(F1168&lt;&gt;"Espèces","—",IF(I1168&lt;&gt;"","☑ Oui","☐ Non")))</f>
        <v/>
      </c>
      <c r="N1168" s="39">
        <f>IF(D1168="","",IFERROR(VALUE(MID(D1168,LEN(D1168)-3,3)),""))</f>
        <v/>
      </c>
      <c r="O1168" s="33">
        <f>IF(N1168="","",L1168&amp;"|"&amp;N1168)</f>
        <v/>
      </c>
      <c r="P1168" s="33">
        <f>IF(N1168="","",IF(L1168="À RENSEIGNER","GIC",L1168)&amp;"-"&amp;TEXT(N1168,"000"))</f>
        <v/>
      </c>
      <c r="Q1168" s="33">
        <f>IF(O1168="","",IFERROR(INDEX(Cl_nom,MATCH(O1168,Cl_cle,0)),"(client introuvable)"))</f>
        <v/>
      </c>
      <c r="R1168" s="40">
        <f>IF(O1168="","",IFERROR(INDEX(Cl_reste,MATCH(O1168,Cl_cle,0)),""))</f>
        <v/>
      </c>
      <c r="S1168" s="34">
        <f>IF(C1168="","",YEAR(C1168-WEEKDAY(C1168,2)+4)&amp;"-S"&amp;TEXT(INT((C1168-DATE(YEAR(C1168-WEEKDAY(C1168,2)+4),1,3)+WEEKDAY(DATE(YEAR(C1168-WEEKDAY(C1168,2)+4),1,3),2)+5)/7),"00"))</f>
        <v/>
      </c>
    </row>
    <row r="1169" ht="18" customHeight="1">
      <c r="A1169" s="39" t="n">
        <v>1164</v>
      </c>
      <c r="B1169" s="33">
        <f>IF(C1169="","",IF(L1169="À RENSEIGNER","GIC",L1169)&amp;"-E"&amp;TEXT(A1169,"00000"))</f>
        <v/>
      </c>
      <c r="C1169" s="32" t="n"/>
      <c r="D1169" s="36" t="n"/>
      <c r="E1169" s="37" t="n"/>
      <c r="F1169" s="36" t="n"/>
      <c r="G1169" s="44" t="n"/>
      <c r="H1169" s="43" t="n"/>
      <c r="I1169" s="32" t="n"/>
      <c r="J1169" s="44" t="n"/>
      <c r="K1169" s="36" t="n"/>
      <c r="L1169" s="33">
        <f>IF(C1169="","",Commercial_Id)</f>
        <v/>
      </c>
      <c r="M1169" s="34">
        <f>IF(OR(C1169="",F1169=""),"",IF(F1169&lt;&gt;"Espèces","—",IF(I1169&lt;&gt;"","☑ Oui","☐ Non")))</f>
        <v/>
      </c>
      <c r="N1169" s="39">
        <f>IF(D1169="","",IFERROR(VALUE(MID(D1169,LEN(D1169)-3,3)),""))</f>
        <v/>
      </c>
      <c r="O1169" s="33">
        <f>IF(N1169="","",L1169&amp;"|"&amp;N1169)</f>
        <v/>
      </c>
      <c r="P1169" s="33">
        <f>IF(N1169="","",IF(L1169="À RENSEIGNER","GIC",L1169)&amp;"-"&amp;TEXT(N1169,"000"))</f>
        <v/>
      </c>
      <c r="Q1169" s="33">
        <f>IF(O1169="","",IFERROR(INDEX(Cl_nom,MATCH(O1169,Cl_cle,0)),"(client introuvable)"))</f>
        <v/>
      </c>
      <c r="R1169" s="40">
        <f>IF(O1169="","",IFERROR(INDEX(Cl_reste,MATCH(O1169,Cl_cle,0)),""))</f>
        <v/>
      </c>
      <c r="S1169" s="34">
        <f>IF(C1169="","",YEAR(C1169-WEEKDAY(C1169,2)+4)&amp;"-S"&amp;TEXT(INT((C1169-DATE(YEAR(C1169-WEEKDAY(C1169,2)+4),1,3)+WEEKDAY(DATE(YEAR(C1169-WEEKDAY(C1169,2)+4),1,3),2)+5)/7),"00"))</f>
        <v/>
      </c>
    </row>
    <row r="1170" ht="18" customHeight="1">
      <c r="A1170" s="39" t="n">
        <v>1165</v>
      </c>
      <c r="B1170" s="33">
        <f>IF(C1170="","",IF(L1170="À RENSEIGNER","GIC",L1170)&amp;"-E"&amp;TEXT(A1170,"00000"))</f>
        <v/>
      </c>
      <c r="C1170" s="32" t="n"/>
      <c r="D1170" s="36" t="n"/>
      <c r="E1170" s="37" t="n"/>
      <c r="F1170" s="36" t="n"/>
      <c r="G1170" s="44" t="n"/>
      <c r="H1170" s="43" t="n"/>
      <c r="I1170" s="32" t="n"/>
      <c r="J1170" s="44" t="n"/>
      <c r="K1170" s="36" t="n"/>
      <c r="L1170" s="33">
        <f>IF(C1170="","",Commercial_Id)</f>
        <v/>
      </c>
      <c r="M1170" s="34">
        <f>IF(OR(C1170="",F1170=""),"",IF(F1170&lt;&gt;"Espèces","—",IF(I1170&lt;&gt;"","☑ Oui","☐ Non")))</f>
        <v/>
      </c>
      <c r="N1170" s="39">
        <f>IF(D1170="","",IFERROR(VALUE(MID(D1170,LEN(D1170)-3,3)),""))</f>
        <v/>
      </c>
      <c r="O1170" s="33">
        <f>IF(N1170="","",L1170&amp;"|"&amp;N1170)</f>
        <v/>
      </c>
      <c r="P1170" s="33">
        <f>IF(N1170="","",IF(L1170="À RENSEIGNER","GIC",L1170)&amp;"-"&amp;TEXT(N1170,"000"))</f>
        <v/>
      </c>
      <c r="Q1170" s="33">
        <f>IF(O1170="","",IFERROR(INDEX(Cl_nom,MATCH(O1170,Cl_cle,0)),"(client introuvable)"))</f>
        <v/>
      </c>
      <c r="R1170" s="40">
        <f>IF(O1170="","",IFERROR(INDEX(Cl_reste,MATCH(O1170,Cl_cle,0)),""))</f>
        <v/>
      </c>
      <c r="S1170" s="34">
        <f>IF(C1170="","",YEAR(C1170-WEEKDAY(C1170,2)+4)&amp;"-S"&amp;TEXT(INT((C1170-DATE(YEAR(C1170-WEEKDAY(C1170,2)+4),1,3)+WEEKDAY(DATE(YEAR(C1170-WEEKDAY(C1170,2)+4),1,3),2)+5)/7),"00"))</f>
        <v/>
      </c>
    </row>
    <row r="1171" ht="18" customHeight="1">
      <c r="A1171" s="39" t="n">
        <v>1166</v>
      </c>
      <c r="B1171" s="33">
        <f>IF(C1171="","",IF(L1171="À RENSEIGNER","GIC",L1171)&amp;"-E"&amp;TEXT(A1171,"00000"))</f>
        <v/>
      </c>
      <c r="C1171" s="32" t="n"/>
      <c r="D1171" s="36" t="n"/>
      <c r="E1171" s="37" t="n"/>
      <c r="F1171" s="36" t="n"/>
      <c r="G1171" s="44" t="n"/>
      <c r="H1171" s="43" t="n"/>
      <c r="I1171" s="32" t="n"/>
      <c r="J1171" s="44" t="n"/>
      <c r="K1171" s="36" t="n"/>
      <c r="L1171" s="33">
        <f>IF(C1171="","",Commercial_Id)</f>
        <v/>
      </c>
      <c r="M1171" s="34">
        <f>IF(OR(C1171="",F1171=""),"",IF(F1171&lt;&gt;"Espèces","—",IF(I1171&lt;&gt;"","☑ Oui","☐ Non")))</f>
        <v/>
      </c>
      <c r="N1171" s="39">
        <f>IF(D1171="","",IFERROR(VALUE(MID(D1171,LEN(D1171)-3,3)),""))</f>
        <v/>
      </c>
      <c r="O1171" s="33">
        <f>IF(N1171="","",L1171&amp;"|"&amp;N1171)</f>
        <v/>
      </c>
      <c r="P1171" s="33">
        <f>IF(N1171="","",IF(L1171="À RENSEIGNER","GIC",L1171)&amp;"-"&amp;TEXT(N1171,"000"))</f>
        <v/>
      </c>
      <c r="Q1171" s="33">
        <f>IF(O1171="","",IFERROR(INDEX(Cl_nom,MATCH(O1171,Cl_cle,0)),"(client introuvable)"))</f>
        <v/>
      </c>
      <c r="R1171" s="40">
        <f>IF(O1171="","",IFERROR(INDEX(Cl_reste,MATCH(O1171,Cl_cle,0)),""))</f>
        <v/>
      </c>
      <c r="S1171" s="34">
        <f>IF(C1171="","",YEAR(C1171-WEEKDAY(C1171,2)+4)&amp;"-S"&amp;TEXT(INT((C1171-DATE(YEAR(C1171-WEEKDAY(C1171,2)+4),1,3)+WEEKDAY(DATE(YEAR(C1171-WEEKDAY(C1171,2)+4),1,3),2)+5)/7),"00"))</f>
        <v/>
      </c>
    </row>
    <row r="1172" ht="18" customHeight="1">
      <c r="A1172" s="39" t="n">
        <v>1167</v>
      </c>
      <c r="B1172" s="33">
        <f>IF(C1172="","",IF(L1172="À RENSEIGNER","GIC",L1172)&amp;"-E"&amp;TEXT(A1172,"00000"))</f>
        <v/>
      </c>
      <c r="C1172" s="32" t="n"/>
      <c r="D1172" s="36" t="n"/>
      <c r="E1172" s="37" t="n"/>
      <c r="F1172" s="36" t="n"/>
      <c r="G1172" s="44" t="n"/>
      <c r="H1172" s="43" t="n"/>
      <c r="I1172" s="32" t="n"/>
      <c r="J1172" s="44" t="n"/>
      <c r="K1172" s="36" t="n"/>
      <c r="L1172" s="33">
        <f>IF(C1172="","",Commercial_Id)</f>
        <v/>
      </c>
      <c r="M1172" s="34">
        <f>IF(OR(C1172="",F1172=""),"",IF(F1172&lt;&gt;"Espèces","—",IF(I1172&lt;&gt;"","☑ Oui","☐ Non")))</f>
        <v/>
      </c>
      <c r="N1172" s="39">
        <f>IF(D1172="","",IFERROR(VALUE(MID(D1172,LEN(D1172)-3,3)),""))</f>
        <v/>
      </c>
      <c r="O1172" s="33">
        <f>IF(N1172="","",L1172&amp;"|"&amp;N1172)</f>
        <v/>
      </c>
      <c r="P1172" s="33">
        <f>IF(N1172="","",IF(L1172="À RENSEIGNER","GIC",L1172)&amp;"-"&amp;TEXT(N1172,"000"))</f>
        <v/>
      </c>
      <c r="Q1172" s="33">
        <f>IF(O1172="","",IFERROR(INDEX(Cl_nom,MATCH(O1172,Cl_cle,0)),"(client introuvable)"))</f>
        <v/>
      </c>
      <c r="R1172" s="40">
        <f>IF(O1172="","",IFERROR(INDEX(Cl_reste,MATCH(O1172,Cl_cle,0)),""))</f>
        <v/>
      </c>
      <c r="S1172" s="34">
        <f>IF(C1172="","",YEAR(C1172-WEEKDAY(C1172,2)+4)&amp;"-S"&amp;TEXT(INT((C1172-DATE(YEAR(C1172-WEEKDAY(C1172,2)+4),1,3)+WEEKDAY(DATE(YEAR(C1172-WEEKDAY(C1172,2)+4),1,3),2)+5)/7),"00"))</f>
        <v/>
      </c>
    </row>
    <row r="1173" ht="18" customHeight="1">
      <c r="A1173" s="39" t="n">
        <v>1168</v>
      </c>
      <c r="B1173" s="33">
        <f>IF(C1173="","",IF(L1173="À RENSEIGNER","GIC",L1173)&amp;"-E"&amp;TEXT(A1173,"00000"))</f>
        <v/>
      </c>
      <c r="C1173" s="32" t="n"/>
      <c r="D1173" s="36" t="n"/>
      <c r="E1173" s="37" t="n"/>
      <c r="F1173" s="36" t="n"/>
      <c r="G1173" s="44" t="n"/>
      <c r="H1173" s="43" t="n"/>
      <c r="I1173" s="32" t="n"/>
      <c r="J1173" s="44" t="n"/>
      <c r="K1173" s="36" t="n"/>
      <c r="L1173" s="33">
        <f>IF(C1173="","",Commercial_Id)</f>
        <v/>
      </c>
      <c r="M1173" s="34">
        <f>IF(OR(C1173="",F1173=""),"",IF(F1173&lt;&gt;"Espèces","—",IF(I1173&lt;&gt;"","☑ Oui","☐ Non")))</f>
        <v/>
      </c>
      <c r="N1173" s="39">
        <f>IF(D1173="","",IFERROR(VALUE(MID(D1173,LEN(D1173)-3,3)),""))</f>
        <v/>
      </c>
      <c r="O1173" s="33">
        <f>IF(N1173="","",L1173&amp;"|"&amp;N1173)</f>
        <v/>
      </c>
      <c r="P1173" s="33">
        <f>IF(N1173="","",IF(L1173="À RENSEIGNER","GIC",L1173)&amp;"-"&amp;TEXT(N1173,"000"))</f>
        <v/>
      </c>
      <c r="Q1173" s="33">
        <f>IF(O1173="","",IFERROR(INDEX(Cl_nom,MATCH(O1173,Cl_cle,0)),"(client introuvable)"))</f>
        <v/>
      </c>
      <c r="R1173" s="40">
        <f>IF(O1173="","",IFERROR(INDEX(Cl_reste,MATCH(O1173,Cl_cle,0)),""))</f>
        <v/>
      </c>
      <c r="S1173" s="34">
        <f>IF(C1173="","",YEAR(C1173-WEEKDAY(C1173,2)+4)&amp;"-S"&amp;TEXT(INT((C1173-DATE(YEAR(C1173-WEEKDAY(C1173,2)+4),1,3)+WEEKDAY(DATE(YEAR(C1173-WEEKDAY(C1173,2)+4),1,3),2)+5)/7),"00"))</f>
        <v/>
      </c>
    </row>
    <row r="1174" ht="18" customHeight="1">
      <c r="A1174" s="39" t="n">
        <v>1169</v>
      </c>
      <c r="B1174" s="33">
        <f>IF(C1174="","",IF(L1174="À RENSEIGNER","GIC",L1174)&amp;"-E"&amp;TEXT(A1174,"00000"))</f>
        <v/>
      </c>
      <c r="C1174" s="32" t="n"/>
      <c r="D1174" s="36" t="n"/>
      <c r="E1174" s="37" t="n"/>
      <c r="F1174" s="36" t="n"/>
      <c r="G1174" s="44" t="n"/>
      <c r="H1174" s="43" t="n"/>
      <c r="I1174" s="32" t="n"/>
      <c r="J1174" s="44" t="n"/>
      <c r="K1174" s="36" t="n"/>
      <c r="L1174" s="33">
        <f>IF(C1174="","",Commercial_Id)</f>
        <v/>
      </c>
      <c r="M1174" s="34">
        <f>IF(OR(C1174="",F1174=""),"",IF(F1174&lt;&gt;"Espèces","—",IF(I1174&lt;&gt;"","☑ Oui","☐ Non")))</f>
        <v/>
      </c>
      <c r="N1174" s="39">
        <f>IF(D1174="","",IFERROR(VALUE(MID(D1174,LEN(D1174)-3,3)),""))</f>
        <v/>
      </c>
      <c r="O1174" s="33">
        <f>IF(N1174="","",L1174&amp;"|"&amp;N1174)</f>
        <v/>
      </c>
      <c r="P1174" s="33">
        <f>IF(N1174="","",IF(L1174="À RENSEIGNER","GIC",L1174)&amp;"-"&amp;TEXT(N1174,"000"))</f>
        <v/>
      </c>
      <c r="Q1174" s="33">
        <f>IF(O1174="","",IFERROR(INDEX(Cl_nom,MATCH(O1174,Cl_cle,0)),"(client introuvable)"))</f>
        <v/>
      </c>
      <c r="R1174" s="40">
        <f>IF(O1174="","",IFERROR(INDEX(Cl_reste,MATCH(O1174,Cl_cle,0)),""))</f>
        <v/>
      </c>
      <c r="S1174" s="34">
        <f>IF(C1174="","",YEAR(C1174-WEEKDAY(C1174,2)+4)&amp;"-S"&amp;TEXT(INT((C1174-DATE(YEAR(C1174-WEEKDAY(C1174,2)+4),1,3)+WEEKDAY(DATE(YEAR(C1174-WEEKDAY(C1174,2)+4),1,3),2)+5)/7),"00"))</f>
        <v/>
      </c>
    </row>
    <row r="1175" ht="18" customHeight="1">
      <c r="A1175" s="39" t="n">
        <v>1170</v>
      </c>
      <c r="B1175" s="33">
        <f>IF(C1175="","",IF(L1175="À RENSEIGNER","GIC",L1175)&amp;"-E"&amp;TEXT(A1175,"00000"))</f>
        <v/>
      </c>
      <c r="C1175" s="32" t="n"/>
      <c r="D1175" s="36" t="n"/>
      <c r="E1175" s="37" t="n"/>
      <c r="F1175" s="36" t="n"/>
      <c r="G1175" s="44" t="n"/>
      <c r="H1175" s="43" t="n"/>
      <c r="I1175" s="32" t="n"/>
      <c r="J1175" s="44" t="n"/>
      <c r="K1175" s="36" t="n"/>
      <c r="L1175" s="33">
        <f>IF(C1175="","",Commercial_Id)</f>
        <v/>
      </c>
      <c r="M1175" s="34">
        <f>IF(OR(C1175="",F1175=""),"",IF(F1175&lt;&gt;"Espèces","—",IF(I1175&lt;&gt;"","☑ Oui","☐ Non")))</f>
        <v/>
      </c>
      <c r="N1175" s="39">
        <f>IF(D1175="","",IFERROR(VALUE(MID(D1175,LEN(D1175)-3,3)),""))</f>
        <v/>
      </c>
      <c r="O1175" s="33">
        <f>IF(N1175="","",L1175&amp;"|"&amp;N1175)</f>
        <v/>
      </c>
      <c r="P1175" s="33">
        <f>IF(N1175="","",IF(L1175="À RENSEIGNER","GIC",L1175)&amp;"-"&amp;TEXT(N1175,"000"))</f>
        <v/>
      </c>
      <c r="Q1175" s="33">
        <f>IF(O1175="","",IFERROR(INDEX(Cl_nom,MATCH(O1175,Cl_cle,0)),"(client introuvable)"))</f>
        <v/>
      </c>
      <c r="R1175" s="40">
        <f>IF(O1175="","",IFERROR(INDEX(Cl_reste,MATCH(O1175,Cl_cle,0)),""))</f>
        <v/>
      </c>
      <c r="S1175" s="34">
        <f>IF(C1175="","",YEAR(C1175-WEEKDAY(C1175,2)+4)&amp;"-S"&amp;TEXT(INT((C1175-DATE(YEAR(C1175-WEEKDAY(C1175,2)+4),1,3)+WEEKDAY(DATE(YEAR(C1175-WEEKDAY(C1175,2)+4),1,3),2)+5)/7),"00"))</f>
        <v/>
      </c>
    </row>
    <row r="1176" ht="18" customHeight="1">
      <c r="A1176" s="39" t="n">
        <v>1171</v>
      </c>
      <c r="B1176" s="33">
        <f>IF(C1176="","",IF(L1176="À RENSEIGNER","GIC",L1176)&amp;"-E"&amp;TEXT(A1176,"00000"))</f>
        <v/>
      </c>
      <c r="C1176" s="32" t="n"/>
      <c r="D1176" s="36" t="n"/>
      <c r="E1176" s="37" t="n"/>
      <c r="F1176" s="36" t="n"/>
      <c r="G1176" s="44" t="n"/>
      <c r="H1176" s="43" t="n"/>
      <c r="I1176" s="32" t="n"/>
      <c r="J1176" s="44" t="n"/>
      <c r="K1176" s="36" t="n"/>
      <c r="L1176" s="33">
        <f>IF(C1176="","",Commercial_Id)</f>
        <v/>
      </c>
      <c r="M1176" s="34">
        <f>IF(OR(C1176="",F1176=""),"",IF(F1176&lt;&gt;"Espèces","—",IF(I1176&lt;&gt;"","☑ Oui","☐ Non")))</f>
        <v/>
      </c>
      <c r="N1176" s="39">
        <f>IF(D1176="","",IFERROR(VALUE(MID(D1176,LEN(D1176)-3,3)),""))</f>
        <v/>
      </c>
      <c r="O1176" s="33">
        <f>IF(N1176="","",L1176&amp;"|"&amp;N1176)</f>
        <v/>
      </c>
      <c r="P1176" s="33">
        <f>IF(N1176="","",IF(L1176="À RENSEIGNER","GIC",L1176)&amp;"-"&amp;TEXT(N1176,"000"))</f>
        <v/>
      </c>
      <c r="Q1176" s="33">
        <f>IF(O1176="","",IFERROR(INDEX(Cl_nom,MATCH(O1176,Cl_cle,0)),"(client introuvable)"))</f>
        <v/>
      </c>
      <c r="R1176" s="40">
        <f>IF(O1176="","",IFERROR(INDEX(Cl_reste,MATCH(O1176,Cl_cle,0)),""))</f>
        <v/>
      </c>
      <c r="S1176" s="34">
        <f>IF(C1176="","",YEAR(C1176-WEEKDAY(C1176,2)+4)&amp;"-S"&amp;TEXT(INT((C1176-DATE(YEAR(C1176-WEEKDAY(C1176,2)+4),1,3)+WEEKDAY(DATE(YEAR(C1176-WEEKDAY(C1176,2)+4),1,3),2)+5)/7),"00"))</f>
        <v/>
      </c>
    </row>
    <row r="1177" ht="18" customHeight="1">
      <c r="A1177" s="39" t="n">
        <v>1172</v>
      </c>
      <c r="B1177" s="33">
        <f>IF(C1177="","",IF(L1177="À RENSEIGNER","GIC",L1177)&amp;"-E"&amp;TEXT(A1177,"00000"))</f>
        <v/>
      </c>
      <c r="C1177" s="32" t="n"/>
      <c r="D1177" s="36" t="n"/>
      <c r="E1177" s="37" t="n"/>
      <c r="F1177" s="36" t="n"/>
      <c r="G1177" s="44" t="n"/>
      <c r="H1177" s="43" t="n"/>
      <c r="I1177" s="32" t="n"/>
      <c r="J1177" s="44" t="n"/>
      <c r="K1177" s="36" t="n"/>
      <c r="L1177" s="33">
        <f>IF(C1177="","",Commercial_Id)</f>
        <v/>
      </c>
      <c r="M1177" s="34">
        <f>IF(OR(C1177="",F1177=""),"",IF(F1177&lt;&gt;"Espèces","—",IF(I1177&lt;&gt;"","☑ Oui","☐ Non")))</f>
        <v/>
      </c>
      <c r="N1177" s="39">
        <f>IF(D1177="","",IFERROR(VALUE(MID(D1177,LEN(D1177)-3,3)),""))</f>
        <v/>
      </c>
      <c r="O1177" s="33">
        <f>IF(N1177="","",L1177&amp;"|"&amp;N1177)</f>
        <v/>
      </c>
      <c r="P1177" s="33">
        <f>IF(N1177="","",IF(L1177="À RENSEIGNER","GIC",L1177)&amp;"-"&amp;TEXT(N1177,"000"))</f>
        <v/>
      </c>
      <c r="Q1177" s="33">
        <f>IF(O1177="","",IFERROR(INDEX(Cl_nom,MATCH(O1177,Cl_cle,0)),"(client introuvable)"))</f>
        <v/>
      </c>
      <c r="R1177" s="40">
        <f>IF(O1177="","",IFERROR(INDEX(Cl_reste,MATCH(O1177,Cl_cle,0)),""))</f>
        <v/>
      </c>
      <c r="S1177" s="34">
        <f>IF(C1177="","",YEAR(C1177-WEEKDAY(C1177,2)+4)&amp;"-S"&amp;TEXT(INT((C1177-DATE(YEAR(C1177-WEEKDAY(C1177,2)+4),1,3)+WEEKDAY(DATE(YEAR(C1177-WEEKDAY(C1177,2)+4),1,3),2)+5)/7),"00"))</f>
        <v/>
      </c>
    </row>
    <row r="1178" ht="18" customHeight="1">
      <c r="A1178" s="39" t="n">
        <v>1173</v>
      </c>
      <c r="B1178" s="33">
        <f>IF(C1178="","",IF(L1178="À RENSEIGNER","GIC",L1178)&amp;"-E"&amp;TEXT(A1178,"00000"))</f>
        <v/>
      </c>
      <c r="C1178" s="32" t="n"/>
      <c r="D1178" s="36" t="n"/>
      <c r="E1178" s="37" t="n"/>
      <c r="F1178" s="36" t="n"/>
      <c r="G1178" s="44" t="n"/>
      <c r="H1178" s="43" t="n"/>
      <c r="I1178" s="32" t="n"/>
      <c r="J1178" s="44" t="n"/>
      <c r="K1178" s="36" t="n"/>
      <c r="L1178" s="33">
        <f>IF(C1178="","",Commercial_Id)</f>
        <v/>
      </c>
      <c r="M1178" s="34">
        <f>IF(OR(C1178="",F1178=""),"",IF(F1178&lt;&gt;"Espèces","—",IF(I1178&lt;&gt;"","☑ Oui","☐ Non")))</f>
        <v/>
      </c>
      <c r="N1178" s="39">
        <f>IF(D1178="","",IFERROR(VALUE(MID(D1178,LEN(D1178)-3,3)),""))</f>
        <v/>
      </c>
      <c r="O1178" s="33">
        <f>IF(N1178="","",L1178&amp;"|"&amp;N1178)</f>
        <v/>
      </c>
      <c r="P1178" s="33">
        <f>IF(N1178="","",IF(L1178="À RENSEIGNER","GIC",L1178)&amp;"-"&amp;TEXT(N1178,"000"))</f>
        <v/>
      </c>
      <c r="Q1178" s="33">
        <f>IF(O1178="","",IFERROR(INDEX(Cl_nom,MATCH(O1178,Cl_cle,0)),"(client introuvable)"))</f>
        <v/>
      </c>
      <c r="R1178" s="40">
        <f>IF(O1178="","",IFERROR(INDEX(Cl_reste,MATCH(O1178,Cl_cle,0)),""))</f>
        <v/>
      </c>
      <c r="S1178" s="34">
        <f>IF(C1178="","",YEAR(C1178-WEEKDAY(C1178,2)+4)&amp;"-S"&amp;TEXT(INT((C1178-DATE(YEAR(C1178-WEEKDAY(C1178,2)+4),1,3)+WEEKDAY(DATE(YEAR(C1178-WEEKDAY(C1178,2)+4),1,3),2)+5)/7),"00"))</f>
        <v/>
      </c>
    </row>
    <row r="1179" ht="18" customHeight="1">
      <c r="A1179" s="39" t="n">
        <v>1174</v>
      </c>
      <c r="B1179" s="33">
        <f>IF(C1179="","",IF(L1179="À RENSEIGNER","GIC",L1179)&amp;"-E"&amp;TEXT(A1179,"00000"))</f>
        <v/>
      </c>
      <c r="C1179" s="32" t="n"/>
      <c r="D1179" s="36" t="n"/>
      <c r="E1179" s="37" t="n"/>
      <c r="F1179" s="36" t="n"/>
      <c r="G1179" s="44" t="n"/>
      <c r="H1179" s="43" t="n"/>
      <c r="I1179" s="32" t="n"/>
      <c r="J1179" s="44" t="n"/>
      <c r="K1179" s="36" t="n"/>
      <c r="L1179" s="33">
        <f>IF(C1179="","",Commercial_Id)</f>
        <v/>
      </c>
      <c r="M1179" s="34">
        <f>IF(OR(C1179="",F1179=""),"",IF(F1179&lt;&gt;"Espèces","—",IF(I1179&lt;&gt;"","☑ Oui","☐ Non")))</f>
        <v/>
      </c>
      <c r="N1179" s="39">
        <f>IF(D1179="","",IFERROR(VALUE(MID(D1179,LEN(D1179)-3,3)),""))</f>
        <v/>
      </c>
      <c r="O1179" s="33">
        <f>IF(N1179="","",L1179&amp;"|"&amp;N1179)</f>
        <v/>
      </c>
      <c r="P1179" s="33">
        <f>IF(N1179="","",IF(L1179="À RENSEIGNER","GIC",L1179)&amp;"-"&amp;TEXT(N1179,"000"))</f>
        <v/>
      </c>
      <c r="Q1179" s="33">
        <f>IF(O1179="","",IFERROR(INDEX(Cl_nom,MATCH(O1179,Cl_cle,0)),"(client introuvable)"))</f>
        <v/>
      </c>
      <c r="R1179" s="40">
        <f>IF(O1179="","",IFERROR(INDEX(Cl_reste,MATCH(O1179,Cl_cle,0)),""))</f>
        <v/>
      </c>
      <c r="S1179" s="34">
        <f>IF(C1179="","",YEAR(C1179-WEEKDAY(C1179,2)+4)&amp;"-S"&amp;TEXT(INT((C1179-DATE(YEAR(C1179-WEEKDAY(C1179,2)+4),1,3)+WEEKDAY(DATE(YEAR(C1179-WEEKDAY(C1179,2)+4),1,3),2)+5)/7),"00"))</f>
        <v/>
      </c>
    </row>
    <row r="1180" ht="18" customHeight="1">
      <c r="A1180" s="39" t="n">
        <v>1175</v>
      </c>
      <c r="B1180" s="33">
        <f>IF(C1180="","",IF(L1180="À RENSEIGNER","GIC",L1180)&amp;"-E"&amp;TEXT(A1180,"00000"))</f>
        <v/>
      </c>
      <c r="C1180" s="32" t="n"/>
      <c r="D1180" s="36" t="n"/>
      <c r="E1180" s="37" t="n"/>
      <c r="F1180" s="36" t="n"/>
      <c r="G1180" s="44" t="n"/>
      <c r="H1180" s="43" t="n"/>
      <c r="I1180" s="32" t="n"/>
      <c r="J1180" s="44" t="n"/>
      <c r="K1180" s="36" t="n"/>
      <c r="L1180" s="33">
        <f>IF(C1180="","",Commercial_Id)</f>
        <v/>
      </c>
      <c r="M1180" s="34">
        <f>IF(OR(C1180="",F1180=""),"",IF(F1180&lt;&gt;"Espèces","—",IF(I1180&lt;&gt;"","☑ Oui","☐ Non")))</f>
        <v/>
      </c>
      <c r="N1180" s="39">
        <f>IF(D1180="","",IFERROR(VALUE(MID(D1180,LEN(D1180)-3,3)),""))</f>
        <v/>
      </c>
      <c r="O1180" s="33">
        <f>IF(N1180="","",L1180&amp;"|"&amp;N1180)</f>
        <v/>
      </c>
      <c r="P1180" s="33">
        <f>IF(N1180="","",IF(L1180="À RENSEIGNER","GIC",L1180)&amp;"-"&amp;TEXT(N1180,"000"))</f>
        <v/>
      </c>
      <c r="Q1180" s="33">
        <f>IF(O1180="","",IFERROR(INDEX(Cl_nom,MATCH(O1180,Cl_cle,0)),"(client introuvable)"))</f>
        <v/>
      </c>
      <c r="R1180" s="40">
        <f>IF(O1180="","",IFERROR(INDEX(Cl_reste,MATCH(O1180,Cl_cle,0)),""))</f>
        <v/>
      </c>
      <c r="S1180" s="34">
        <f>IF(C1180="","",YEAR(C1180-WEEKDAY(C1180,2)+4)&amp;"-S"&amp;TEXT(INT((C1180-DATE(YEAR(C1180-WEEKDAY(C1180,2)+4),1,3)+WEEKDAY(DATE(YEAR(C1180-WEEKDAY(C1180,2)+4),1,3),2)+5)/7),"00"))</f>
        <v/>
      </c>
    </row>
    <row r="1181" ht="18" customHeight="1">
      <c r="A1181" s="39" t="n">
        <v>1176</v>
      </c>
      <c r="B1181" s="33">
        <f>IF(C1181="","",IF(L1181="À RENSEIGNER","GIC",L1181)&amp;"-E"&amp;TEXT(A1181,"00000"))</f>
        <v/>
      </c>
      <c r="C1181" s="32" t="n"/>
      <c r="D1181" s="36" t="n"/>
      <c r="E1181" s="37" t="n"/>
      <c r="F1181" s="36" t="n"/>
      <c r="G1181" s="44" t="n"/>
      <c r="H1181" s="43" t="n"/>
      <c r="I1181" s="32" t="n"/>
      <c r="J1181" s="44" t="n"/>
      <c r="K1181" s="36" t="n"/>
      <c r="L1181" s="33">
        <f>IF(C1181="","",Commercial_Id)</f>
        <v/>
      </c>
      <c r="M1181" s="34">
        <f>IF(OR(C1181="",F1181=""),"",IF(F1181&lt;&gt;"Espèces","—",IF(I1181&lt;&gt;"","☑ Oui","☐ Non")))</f>
        <v/>
      </c>
      <c r="N1181" s="39">
        <f>IF(D1181="","",IFERROR(VALUE(MID(D1181,LEN(D1181)-3,3)),""))</f>
        <v/>
      </c>
      <c r="O1181" s="33">
        <f>IF(N1181="","",L1181&amp;"|"&amp;N1181)</f>
        <v/>
      </c>
      <c r="P1181" s="33">
        <f>IF(N1181="","",IF(L1181="À RENSEIGNER","GIC",L1181)&amp;"-"&amp;TEXT(N1181,"000"))</f>
        <v/>
      </c>
      <c r="Q1181" s="33">
        <f>IF(O1181="","",IFERROR(INDEX(Cl_nom,MATCH(O1181,Cl_cle,0)),"(client introuvable)"))</f>
        <v/>
      </c>
      <c r="R1181" s="40">
        <f>IF(O1181="","",IFERROR(INDEX(Cl_reste,MATCH(O1181,Cl_cle,0)),""))</f>
        <v/>
      </c>
      <c r="S1181" s="34">
        <f>IF(C1181="","",YEAR(C1181-WEEKDAY(C1181,2)+4)&amp;"-S"&amp;TEXT(INT((C1181-DATE(YEAR(C1181-WEEKDAY(C1181,2)+4),1,3)+WEEKDAY(DATE(YEAR(C1181-WEEKDAY(C1181,2)+4),1,3),2)+5)/7),"00"))</f>
        <v/>
      </c>
    </row>
    <row r="1182" ht="18" customHeight="1">
      <c r="A1182" s="39" t="n">
        <v>1177</v>
      </c>
      <c r="B1182" s="33">
        <f>IF(C1182="","",IF(L1182="À RENSEIGNER","GIC",L1182)&amp;"-E"&amp;TEXT(A1182,"00000"))</f>
        <v/>
      </c>
      <c r="C1182" s="32" t="n"/>
      <c r="D1182" s="36" t="n"/>
      <c r="E1182" s="37" t="n"/>
      <c r="F1182" s="36" t="n"/>
      <c r="G1182" s="44" t="n"/>
      <c r="H1182" s="43" t="n"/>
      <c r="I1182" s="32" t="n"/>
      <c r="J1182" s="44" t="n"/>
      <c r="K1182" s="36" t="n"/>
      <c r="L1182" s="33">
        <f>IF(C1182="","",Commercial_Id)</f>
        <v/>
      </c>
      <c r="M1182" s="34">
        <f>IF(OR(C1182="",F1182=""),"",IF(F1182&lt;&gt;"Espèces","—",IF(I1182&lt;&gt;"","☑ Oui","☐ Non")))</f>
        <v/>
      </c>
      <c r="N1182" s="39">
        <f>IF(D1182="","",IFERROR(VALUE(MID(D1182,LEN(D1182)-3,3)),""))</f>
        <v/>
      </c>
      <c r="O1182" s="33">
        <f>IF(N1182="","",L1182&amp;"|"&amp;N1182)</f>
        <v/>
      </c>
      <c r="P1182" s="33">
        <f>IF(N1182="","",IF(L1182="À RENSEIGNER","GIC",L1182)&amp;"-"&amp;TEXT(N1182,"000"))</f>
        <v/>
      </c>
      <c r="Q1182" s="33">
        <f>IF(O1182="","",IFERROR(INDEX(Cl_nom,MATCH(O1182,Cl_cle,0)),"(client introuvable)"))</f>
        <v/>
      </c>
      <c r="R1182" s="40">
        <f>IF(O1182="","",IFERROR(INDEX(Cl_reste,MATCH(O1182,Cl_cle,0)),""))</f>
        <v/>
      </c>
      <c r="S1182" s="34">
        <f>IF(C1182="","",YEAR(C1182-WEEKDAY(C1182,2)+4)&amp;"-S"&amp;TEXT(INT((C1182-DATE(YEAR(C1182-WEEKDAY(C1182,2)+4),1,3)+WEEKDAY(DATE(YEAR(C1182-WEEKDAY(C1182,2)+4),1,3),2)+5)/7),"00"))</f>
        <v/>
      </c>
    </row>
    <row r="1183" ht="18" customHeight="1">
      <c r="A1183" s="39" t="n">
        <v>1178</v>
      </c>
      <c r="B1183" s="33">
        <f>IF(C1183="","",IF(L1183="À RENSEIGNER","GIC",L1183)&amp;"-E"&amp;TEXT(A1183,"00000"))</f>
        <v/>
      </c>
      <c r="C1183" s="32" t="n"/>
      <c r="D1183" s="36" t="n"/>
      <c r="E1183" s="37" t="n"/>
      <c r="F1183" s="36" t="n"/>
      <c r="G1183" s="44" t="n"/>
      <c r="H1183" s="43" t="n"/>
      <c r="I1183" s="32" t="n"/>
      <c r="J1183" s="44" t="n"/>
      <c r="K1183" s="36" t="n"/>
      <c r="L1183" s="33">
        <f>IF(C1183="","",Commercial_Id)</f>
        <v/>
      </c>
      <c r="M1183" s="34">
        <f>IF(OR(C1183="",F1183=""),"",IF(F1183&lt;&gt;"Espèces","—",IF(I1183&lt;&gt;"","☑ Oui","☐ Non")))</f>
        <v/>
      </c>
      <c r="N1183" s="39">
        <f>IF(D1183="","",IFERROR(VALUE(MID(D1183,LEN(D1183)-3,3)),""))</f>
        <v/>
      </c>
      <c r="O1183" s="33">
        <f>IF(N1183="","",L1183&amp;"|"&amp;N1183)</f>
        <v/>
      </c>
      <c r="P1183" s="33">
        <f>IF(N1183="","",IF(L1183="À RENSEIGNER","GIC",L1183)&amp;"-"&amp;TEXT(N1183,"000"))</f>
        <v/>
      </c>
      <c r="Q1183" s="33">
        <f>IF(O1183="","",IFERROR(INDEX(Cl_nom,MATCH(O1183,Cl_cle,0)),"(client introuvable)"))</f>
        <v/>
      </c>
      <c r="R1183" s="40">
        <f>IF(O1183="","",IFERROR(INDEX(Cl_reste,MATCH(O1183,Cl_cle,0)),""))</f>
        <v/>
      </c>
      <c r="S1183" s="34">
        <f>IF(C1183="","",YEAR(C1183-WEEKDAY(C1183,2)+4)&amp;"-S"&amp;TEXT(INT((C1183-DATE(YEAR(C1183-WEEKDAY(C1183,2)+4),1,3)+WEEKDAY(DATE(YEAR(C1183-WEEKDAY(C1183,2)+4),1,3),2)+5)/7),"00"))</f>
        <v/>
      </c>
    </row>
    <row r="1184" ht="18" customHeight="1">
      <c r="A1184" s="39" t="n">
        <v>1179</v>
      </c>
      <c r="B1184" s="33">
        <f>IF(C1184="","",IF(L1184="À RENSEIGNER","GIC",L1184)&amp;"-E"&amp;TEXT(A1184,"00000"))</f>
        <v/>
      </c>
      <c r="C1184" s="32" t="n"/>
      <c r="D1184" s="36" t="n"/>
      <c r="E1184" s="37" t="n"/>
      <c r="F1184" s="36" t="n"/>
      <c r="G1184" s="44" t="n"/>
      <c r="H1184" s="43" t="n"/>
      <c r="I1184" s="32" t="n"/>
      <c r="J1184" s="44" t="n"/>
      <c r="K1184" s="36" t="n"/>
      <c r="L1184" s="33">
        <f>IF(C1184="","",Commercial_Id)</f>
        <v/>
      </c>
      <c r="M1184" s="34">
        <f>IF(OR(C1184="",F1184=""),"",IF(F1184&lt;&gt;"Espèces","—",IF(I1184&lt;&gt;"","☑ Oui","☐ Non")))</f>
        <v/>
      </c>
      <c r="N1184" s="39">
        <f>IF(D1184="","",IFERROR(VALUE(MID(D1184,LEN(D1184)-3,3)),""))</f>
        <v/>
      </c>
      <c r="O1184" s="33">
        <f>IF(N1184="","",L1184&amp;"|"&amp;N1184)</f>
        <v/>
      </c>
      <c r="P1184" s="33">
        <f>IF(N1184="","",IF(L1184="À RENSEIGNER","GIC",L1184)&amp;"-"&amp;TEXT(N1184,"000"))</f>
        <v/>
      </c>
      <c r="Q1184" s="33">
        <f>IF(O1184="","",IFERROR(INDEX(Cl_nom,MATCH(O1184,Cl_cle,0)),"(client introuvable)"))</f>
        <v/>
      </c>
      <c r="R1184" s="40">
        <f>IF(O1184="","",IFERROR(INDEX(Cl_reste,MATCH(O1184,Cl_cle,0)),""))</f>
        <v/>
      </c>
      <c r="S1184" s="34">
        <f>IF(C1184="","",YEAR(C1184-WEEKDAY(C1184,2)+4)&amp;"-S"&amp;TEXT(INT((C1184-DATE(YEAR(C1184-WEEKDAY(C1184,2)+4),1,3)+WEEKDAY(DATE(YEAR(C1184-WEEKDAY(C1184,2)+4),1,3),2)+5)/7),"00"))</f>
        <v/>
      </c>
    </row>
    <row r="1185" ht="18" customHeight="1">
      <c r="A1185" s="39" t="n">
        <v>1180</v>
      </c>
      <c r="B1185" s="33">
        <f>IF(C1185="","",IF(L1185="À RENSEIGNER","GIC",L1185)&amp;"-E"&amp;TEXT(A1185,"00000"))</f>
        <v/>
      </c>
      <c r="C1185" s="32" t="n"/>
      <c r="D1185" s="36" t="n"/>
      <c r="E1185" s="37" t="n"/>
      <c r="F1185" s="36" t="n"/>
      <c r="G1185" s="44" t="n"/>
      <c r="H1185" s="43" t="n"/>
      <c r="I1185" s="32" t="n"/>
      <c r="J1185" s="44" t="n"/>
      <c r="K1185" s="36" t="n"/>
      <c r="L1185" s="33">
        <f>IF(C1185="","",Commercial_Id)</f>
        <v/>
      </c>
      <c r="M1185" s="34">
        <f>IF(OR(C1185="",F1185=""),"",IF(F1185&lt;&gt;"Espèces","—",IF(I1185&lt;&gt;"","☑ Oui","☐ Non")))</f>
        <v/>
      </c>
      <c r="N1185" s="39">
        <f>IF(D1185="","",IFERROR(VALUE(MID(D1185,LEN(D1185)-3,3)),""))</f>
        <v/>
      </c>
      <c r="O1185" s="33">
        <f>IF(N1185="","",L1185&amp;"|"&amp;N1185)</f>
        <v/>
      </c>
      <c r="P1185" s="33">
        <f>IF(N1185="","",IF(L1185="À RENSEIGNER","GIC",L1185)&amp;"-"&amp;TEXT(N1185,"000"))</f>
        <v/>
      </c>
      <c r="Q1185" s="33">
        <f>IF(O1185="","",IFERROR(INDEX(Cl_nom,MATCH(O1185,Cl_cle,0)),"(client introuvable)"))</f>
        <v/>
      </c>
      <c r="R1185" s="40">
        <f>IF(O1185="","",IFERROR(INDEX(Cl_reste,MATCH(O1185,Cl_cle,0)),""))</f>
        <v/>
      </c>
      <c r="S1185" s="34">
        <f>IF(C1185="","",YEAR(C1185-WEEKDAY(C1185,2)+4)&amp;"-S"&amp;TEXT(INT((C1185-DATE(YEAR(C1185-WEEKDAY(C1185,2)+4),1,3)+WEEKDAY(DATE(YEAR(C1185-WEEKDAY(C1185,2)+4),1,3),2)+5)/7),"00"))</f>
        <v/>
      </c>
    </row>
    <row r="1186" ht="18" customHeight="1">
      <c r="A1186" s="39" t="n">
        <v>1181</v>
      </c>
      <c r="B1186" s="33">
        <f>IF(C1186="","",IF(L1186="À RENSEIGNER","GIC",L1186)&amp;"-E"&amp;TEXT(A1186,"00000"))</f>
        <v/>
      </c>
      <c r="C1186" s="32" t="n"/>
      <c r="D1186" s="36" t="n"/>
      <c r="E1186" s="37" t="n"/>
      <c r="F1186" s="36" t="n"/>
      <c r="G1186" s="44" t="n"/>
      <c r="H1186" s="43" t="n"/>
      <c r="I1186" s="32" t="n"/>
      <c r="J1186" s="44" t="n"/>
      <c r="K1186" s="36" t="n"/>
      <c r="L1186" s="33">
        <f>IF(C1186="","",Commercial_Id)</f>
        <v/>
      </c>
      <c r="M1186" s="34">
        <f>IF(OR(C1186="",F1186=""),"",IF(F1186&lt;&gt;"Espèces","—",IF(I1186&lt;&gt;"","☑ Oui","☐ Non")))</f>
        <v/>
      </c>
      <c r="N1186" s="39">
        <f>IF(D1186="","",IFERROR(VALUE(MID(D1186,LEN(D1186)-3,3)),""))</f>
        <v/>
      </c>
      <c r="O1186" s="33">
        <f>IF(N1186="","",L1186&amp;"|"&amp;N1186)</f>
        <v/>
      </c>
      <c r="P1186" s="33">
        <f>IF(N1186="","",IF(L1186="À RENSEIGNER","GIC",L1186)&amp;"-"&amp;TEXT(N1186,"000"))</f>
        <v/>
      </c>
      <c r="Q1186" s="33">
        <f>IF(O1186="","",IFERROR(INDEX(Cl_nom,MATCH(O1186,Cl_cle,0)),"(client introuvable)"))</f>
        <v/>
      </c>
      <c r="R1186" s="40">
        <f>IF(O1186="","",IFERROR(INDEX(Cl_reste,MATCH(O1186,Cl_cle,0)),""))</f>
        <v/>
      </c>
      <c r="S1186" s="34">
        <f>IF(C1186="","",YEAR(C1186-WEEKDAY(C1186,2)+4)&amp;"-S"&amp;TEXT(INT((C1186-DATE(YEAR(C1186-WEEKDAY(C1186,2)+4),1,3)+WEEKDAY(DATE(YEAR(C1186-WEEKDAY(C1186,2)+4),1,3),2)+5)/7),"00"))</f>
        <v/>
      </c>
    </row>
    <row r="1187" ht="18" customHeight="1">
      <c r="A1187" s="39" t="n">
        <v>1182</v>
      </c>
      <c r="B1187" s="33">
        <f>IF(C1187="","",IF(L1187="À RENSEIGNER","GIC",L1187)&amp;"-E"&amp;TEXT(A1187,"00000"))</f>
        <v/>
      </c>
      <c r="C1187" s="32" t="n"/>
      <c r="D1187" s="36" t="n"/>
      <c r="E1187" s="37" t="n"/>
      <c r="F1187" s="36" t="n"/>
      <c r="G1187" s="44" t="n"/>
      <c r="H1187" s="43" t="n"/>
      <c r="I1187" s="32" t="n"/>
      <c r="J1187" s="44" t="n"/>
      <c r="K1187" s="36" t="n"/>
      <c r="L1187" s="33">
        <f>IF(C1187="","",Commercial_Id)</f>
        <v/>
      </c>
      <c r="M1187" s="34">
        <f>IF(OR(C1187="",F1187=""),"",IF(F1187&lt;&gt;"Espèces","—",IF(I1187&lt;&gt;"","☑ Oui","☐ Non")))</f>
        <v/>
      </c>
      <c r="N1187" s="39">
        <f>IF(D1187="","",IFERROR(VALUE(MID(D1187,LEN(D1187)-3,3)),""))</f>
        <v/>
      </c>
      <c r="O1187" s="33">
        <f>IF(N1187="","",L1187&amp;"|"&amp;N1187)</f>
        <v/>
      </c>
      <c r="P1187" s="33">
        <f>IF(N1187="","",IF(L1187="À RENSEIGNER","GIC",L1187)&amp;"-"&amp;TEXT(N1187,"000"))</f>
        <v/>
      </c>
      <c r="Q1187" s="33">
        <f>IF(O1187="","",IFERROR(INDEX(Cl_nom,MATCH(O1187,Cl_cle,0)),"(client introuvable)"))</f>
        <v/>
      </c>
      <c r="R1187" s="40">
        <f>IF(O1187="","",IFERROR(INDEX(Cl_reste,MATCH(O1187,Cl_cle,0)),""))</f>
        <v/>
      </c>
      <c r="S1187" s="34">
        <f>IF(C1187="","",YEAR(C1187-WEEKDAY(C1187,2)+4)&amp;"-S"&amp;TEXT(INT((C1187-DATE(YEAR(C1187-WEEKDAY(C1187,2)+4),1,3)+WEEKDAY(DATE(YEAR(C1187-WEEKDAY(C1187,2)+4),1,3),2)+5)/7),"00"))</f>
        <v/>
      </c>
    </row>
    <row r="1188" ht="18" customHeight="1">
      <c r="A1188" s="39" t="n">
        <v>1183</v>
      </c>
      <c r="B1188" s="33">
        <f>IF(C1188="","",IF(L1188="À RENSEIGNER","GIC",L1188)&amp;"-E"&amp;TEXT(A1188,"00000"))</f>
        <v/>
      </c>
      <c r="C1188" s="32" t="n"/>
      <c r="D1188" s="36" t="n"/>
      <c r="E1188" s="37" t="n"/>
      <c r="F1188" s="36" t="n"/>
      <c r="G1188" s="44" t="n"/>
      <c r="H1188" s="43" t="n"/>
      <c r="I1188" s="32" t="n"/>
      <c r="J1188" s="44" t="n"/>
      <c r="K1188" s="36" t="n"/>
      <c r="L1188" s="33">
        <f>IF(C1188="","",Commercial_Id)</f>
        <v/>
      </c>
      <c r="M1188" s="34">
        <f>IF(OR(C1188="",F1188=""),"",IF(F1188&lt;&gt;"Espèces","—",IF(I1188&lt;&gt;"","☑ Oui","☐ Non")))</f>
        <v/>
      </c>
      <c r="N1188" s="39">
        <f>IF(D1188="","",IFERROR(VALUE(MID(D1188,LEN(D1188)-3,3)),""))</f>
        <v/>
      </c>
      <c r="O1188" s="33">
        <f>IF(N1188="","",L1188&amp;"|"&amp;N1188)</f>
        <v/>
      </c>
      <c r="P1188" s="33">
        <f>IF(N1188="","",IF(L1188="À RENSEIGNER","GIC",L1188)&amp;"-"&amp;TEXT(N1188,"000"))</f>
        <v/>
      </c>
      <c r="Q1188" s="33">
        <f>IF(O1188="","",IFERROR(INDEX(Cl_nom,MATCH(O1188,Cl_cle,0)),"(client introuvable)"))</f>
        <v/>
      </c>
      <c r="R1188" s="40">
        <f>IF(O1188="","",IFERROR(INDEX(Cl_reste,MATCH(O1188,Cl_cle,0)),""))</f>
        <v/>
      </c>
      <c r="S1188" s="34">
        <f>IF(C1188="","",YEAR(C1188-WEEKDAY(C1188,2)+4)&amp;"-S"&amp;TEXT(INT((C1188-DATE(YEAR(C1188-WEEKDAY(C1188,2)+4),1,3)+WEEKDAY(DATE(YEAR(C1188-WEEKDAY(C1188,2)+4),1,3),2)+5)/7),"00"))</f>
        <v/>
      </c>
    </row>
    <row r="1189" ht="18" customHeight="1">
      <c r="A1189" s="39" t="n">
        <v>1184</v>
      </c>
      <c r="B1189" s="33">
        <f>IF(C1189="","",IF(L1189="À RENSEIGNER","GIC",L1189)&amp;"-E"&amp;TEXT(A1189,"00000"))</f>
        <v/>
      </c>
      <c r="C1189" s="32" t="n"/>
      <c r="D1189" s="36" t="n"/>
      <c r="E1189" s="37" t="n"/>
      <c r="F1189" s="36" t="n"/>
      <c r="G1189" s="44" t="n"/>
      <c r="H1189" s="43" t="n"/>
      <c r="I1189" s="32" t="n"/>
      <c r="J1189" s="44" t="n"/>
      <c r="K1189" s="36" t="n"/>
      <c r="L1189" s="33">
        <f>IF(C1189="","",Commercial_Id)</f>
        <v/>
      </c>
      <c r="M1189" s="34">
        <f>IF(OR(C1189="",F1189=""),"",IF(F1189&lt;&gt;"Espèces","—",IF(I1189&lt;&gt;"","☑ Oui","☐ Non")))</f>
        <v/>
      </c>
      <c r="N1189" s="39">
        <f>IF(D1189="","",IFERROR(VALUE(MID(D1189,LEN(D1189)-3,3)),""))</f>
        <v/>
      </c>
      <c r="O1189" s="33">
        <f>IF(N1189="","",L1189&amp;"|"&amp;N1189)</f>
        <v/>
      </c>
      <c r="P1189" s="33">
        <f>IF(N1189="","",IF(L1189="À RENSEIGNER","GIC",L1189)&amp;"-"&amp;TEXT(N1189,"000"))</f>
        <v/>
      </c>
      <c r="Q1189" s="33">
        <f>IF(O1189="","",IFERROR(INDEX(Cl_nom,MATCH(O1189,Cl_cle,0)),"(client introuvable)"))</f>
        <v/>
      </c>
      <c r="R1189" s="40">
        <f>IF(O1189="","",IFERROR(INDEX(Cl_reste,MATCH(O1189,Cl_cle,0)),""))</f>
        <v/>
      </c>
      <c r="S1189" s="34">
        <f>IF(C1189="","",YEAR(C1189-WEEKDAY(C1189,2)+4)&amp;"-S"&amp;TEXT(INT((C1189-DATE(YEAR(C1189-WEEKDAY(C1189,2)+4),1,3)+WEEKDAY(DATE(YEAR(C1189-WEEKDAY(C1189,2)+4),1,3),2)+5)/7),"00"))</f>
        <v/>
      </c>
    </row>
    <row r="1190" ht="18" customHeight="1">
      <c r="A1190" s="39" t="n">
        <v>1185</v>
      </c>
      <c r="B1190" s="33">
        <f>IF(C1190="","",IF(L1190="À RENSEIGNER","GIC",L1190)&amp;"-E"&amp;TEXT(A1190,"00000"))</f>
        <v/>
      </c>
      <c r="C1190" s="32" t="n"/>
      <c r="D1190" s="36" t="n"/>
      <c r="E1190" s="37" t="n"/>
      <c r="F1190" s="36" t="n"/>
      <c r="G1190" s="44" t="n"/>
      <c r="H1190" s="43" t="n"/>
      <c r="I1190" s="32" t="n"/>
      <c r="J1190" s="44" t="n"/>
      <c r="K1190" s="36" t="n"/>
      <c r="L1190" s="33">
        <f>IF(C1190="","",Commercial_Id)</f>
        <v/>
      </c>
      <c r="M1190" s="34">
        <f>IF(OR(C1190="",F1190=""),"",IF(F1190&lt;&gt;"Espèces","—",IF(I1190&lt;&gt;"","☑ Oui","☐ Non")))</f>
        <v/>
      </c>
      <c r="N1190" s="39">
        <f>IF(D1190="","",IFERROR(VALUE(MID(D1190,LEN(D1190)-3,3)),""))</f>
        <v/>
      </c>
      <c r="O1190" s="33">
        <f>IF(N1190="","",L1190&amp;"|"&amp;N1190)</f>
        <v/>
      </c>
      <c r="P1190" s="33">
        <f>IF(N1190="","",IF(L1190="À RENSEIGNER","GIC",L1190)&amp;"-"&amp;TEXT(N1190,"000"))</f>
        <v/>
      </c>
      <c r="Q1190" s="33">
        <f>IF(O1190="","",IFERROR(INDEX(Cl_nom,MATCH(O1190,Cl_cle,0)),"(client introuvable)"))</f>
        <v/>
      </c>
      <c r="R1190" s="40">
        <f>IF(O1190="","",IFERROR(INDEX(Cl_reste,MATCH(O1190,Cl_cle,0)),""))</f>
        <v/>
      </c>
      <c r="S1190" s="34">
        <f>IF(C1190="","",YEAR(C1190-WEEKDAY(C1190,2)+4)&amp;"-S"&amp;TEXT(INT((C1190-DATE(YEAR(C1190-WEEKDAY(C1190,2)+4),1,3)+WEEKDAY(DATE(YEAR(C1190-WEEKDAY(C1190,2)+4),1,3),2)+5)/7),"00"))</f>
        <v/>
      </c>
    </row>
    <row r="1191" ht="18" customHeight="1">
      <c r="A1191" s="39" t="n">
        <v>1186</v>
      </c>
      <c r="B1191" s="33">
        <f>IF(C1191="","",IF(L1191="À RENSEIGNER","GIC",L1191)&amp;"-E"&amp;TEXT(A1191,"00000"))</f>
        <v/>
      </c>
      <c r="C1191" s="32" t="n"/>
      <c r="D1191" s="36" t="n"/>
      <c r="E1191" s="37" t="n"/>
      <c r="F1191" s="36" t="n"/>
      <c r="G1191" s="44" t="n"/>
      <c r="H1191" s="43" t="n"/>
      <c r="I1191" s="32" t="n"/>
      <c r="J1191" s="44" t="n"/>
      <c r="K1191" s="36" t="n"/>
      <c r="L1191" s="33">
        <f>IF(C1191="","",Commercial_Id)</f>
        <v/>
      </c>
      <c r="M1191" s="34">
        <f>IF(OR(C1191="",F1191=""),"",IF(F1191&lt;&gt;"Espèces","—",IF(I1191&lt;&gt;"","☑ Oui","☐ Non")))</f>
        <v/>
      </c>
      <c r="N1191" s="39">
        <f>IF(D1191="","",IFERROR(VALUE(MID(D1191,LEN(D1191)-3,3)),""))</f>
        <v/>
      </c>
      <c r="O1191" s="33">
        <f>IF(N1191="","",L1191&amp;"|"&amp;N1191)</f>
        <v/>
      </c>
      <c r="P1191" s="33">
        <f>IF(N1191="","",IF(L1191="À RENSEIGNER","GIC",L1191)&amp;"-"&amp;TEXT(N1191,"000"))</f>
        <v/>
      </c>
      <c r="Q1191" s="33">
        <f>IF(O1191="","",IFERROR(INDEX(Cl_nom,MATCH(O1191,Cl_cle,0)),"(client introuvable)"))</f>
        <v/>
      </c>
      <c r="R1191" s="40">
        <f>IF(O1191="","",IFERROR(INDEX(Cl_reste,MATCH(O1191,Cl_cle,0)),""))</f>
        <v/>
      </c>
      <c r="S1191" s="34">
        <f>IF(C1191="","",YEAR(C1191-WEEKDAY(C1191,2)+4)&amp;"-S"&amp;TEXT(INT((C1191-DATE(YEAR(C1191-WEEKDAY(C1191,2)+4),1,3)+WEEKDAY(DATE(YEAR(C1191-WEEKDAY(C1191,2)+4),1,3),2)+5)/7),"00"))</f>
        <v/>
      </c>
    </row>
    <row r="1192" ht="18" customHeight="1">
      <c r="A1192" s="39" t="n">
        <v>1187</v>
      </c>
      <c r="B1192" s="33">
        <f>IF(C1192="","",IF(L1192="À RENSEIGNER","GIC",L1192)&amp;"-E"&amp;TEXT(A1192,"00000"))</f>
        <v/>
      </c>
      <c r="C1192" s="32" t="n"/>
      <c r="D1192" s="36" t="n"/>
      <c r="E1192" s="37" t="n"/>
      <c r="F1192" s="36" t="n"/>
      <c r="G1192" s="44" t="n"/>
      <c r="H1192" s="43" t="n"/>
      <c r="I1192" s="32" t="n"/>
      <c r="J1192" s="44" t="n"/>
      <c r="K1192" s="36" t="n"/>
      <c r="L1192" s="33">
        <f>IF(C1192="","",Commercial_Id)</f>
        <v/>
      </c>
      <c r="M1192" s="34">
        <f>IF(OR(C1192="",F1192=""),"",IF(F1192&lt;&gt;"Espèces","—",IF(I1192&lt;&gt;"","☑ Oui","☐ Non")))</f>
        <v/>
      </c>
      <c r="N1192" s="39">
        <f>IF(D1192="","",IFERROR(VALUE(MID(D1192,LEN(D1192)-3,3)),""))</f>
        <v/>
      </c>
      <c r="O1192" s="33">
        <f>IF(N1192="","",L1192&amp;"|"&amp;N1192)</f>
        <v/>
      </c>
      <c r="P1192" s="33">
        <f>IF(N1192="","",IF(L1192="À RENSEIGNER","GIC",L1192)&amp;"-"&amp;TEXT(N1192,"000"))</f>
        <v/>
      </c>
      <c r="Q1192" s="33">
        <f>IF(O1192="","",IFERROR(INDEX(Cl_nom,MATCH(O1192,Cl_cle,0)),"(client introuvable)"))</f>
        <v/>
      </c>
      <c r="R1192" s="40">
        <f>IF(O1192="","",IFERROR(INDEX(Cl_reste,MATCH(O1192,Cl_cle,0)),""))</f>
        <v/>
      </c>
      <c r="S1192" s="34">
        <f>IF(C1192="","",YEAR(C1192-WEEKDAY(C1192,2)+4)&amp;"-S"&amp;TEXT(INT((C1192-DATE(YEAR(C1192-WEEKDAY(C1192,2)+4),1,3)+WEEKDAY(DATE(YEAR(C1192-WEEKDAY(C1192,2)+4),1,3),2)+5)/7),"00"))</f>
        <v/>
      </c>
    </row>
    <row r="1193" ht="18" customHeight="1">
      <c r="A1193" s="39" t="n">
        <v>1188</v>
      </c>
      <c r="B1193" s="33">
        <f>IF(C1193="","",IF(L1193="À RENSEIGNER","GIC",L1193)&amp;"-E"&amp;TEXT(A1193,"00000"))</f>
        <v/>
      </c>
      <c r="C1193" s="32" t="n"/>
      <c r="D1193" s="36" t="n"/>
      <c r="E1193" s="37" t="n"/>
      <c r="F1193" s="36" t="n"/>
      <c r="G1193" s="44" t="n"/>
      <c r="H1193" s="43" t="n"/>
      <c r="I1193" s="32" t="n"/>
      <c r="J1193" s="44" t="n"/>
      <c r="K1193" s="36" t="n"/>
      <c r="L1193" s="33">
        <f>IF(C1193="","",Commercial_Id)</f>
        <v/>
      </c>
      <c r="M1193" s="34">
        <f>IF(OR(C1193="",F1193=""),"",IF(F1193&lt;&gt;"Espèces","—",IF(I1193&lt;&gt;"","☑ Oui","☐ Non")))</f>
        <v/>
      </c>
      <c r="N1193" s="39">
        <f>IF(D1193="","",IFERROR(VALUE(MID(D1193,LEN(D1193)-3,3)),""))</f>
        <v/>
      </c>
      <c r="O1193" s="33">
        <f>IF(N1193="","",L1193&amp;"|"&amp;N1193)</f>
        <v/>
      </c>
      <c r="P1193" s="33">
        <f>IF(N1193="","",IF(L1193="À RENSEIGNER","GIC",L1193)&amp;"-"&amp;TEXT(N1193,"000"))</f>
        <v/>
      </c>
      <c r="Q1193" s="33">
        <f>IF(O1193="","",IFERROR(INDEX(Cl_nom,MATCH(O1193,Cl_cle,0)),"(client introuvable)"))</f>
        <v/>
      </c>
      <c r="R1193" s="40">
        <f>IF(O1193="","",IFERROR(INDEX(Cl_reste,MATCH(O1193,Cl_cle,0)),""))</f>
        <v/>
      </c>
      <c r="S1193" s="34">
        <f>IF(C1193="","",YEAR(C1193-WEEKDAY(C1193,2)+4)&amp;"-S"&amp;TEXT(INT((C1193-DATE(YEAR(C1193-WEEKDAY(C1193,2)+4),1,3)+WEEKDAY(DATE(YEAR(C1193-WEEKDAY(C1193,2)+4),1,3),2)+5)/7),"00"))</f>
        <v/>
      </c>
    </row>
    <row r="1194" ht="18" customHeight="1">
      <c r="A1194" s="39" t="n">
        <v>1189</v>
      </c>
      <c r="B1194" s="33">
        <f>IF(C1194="","",IF(L1194="À RENSEIGNER","GIC",L1194)&amp;"-E"&amp;TEXT(A1194,"00000"))</f>
        <v/>
      </c>
      <c r="C1194" s="32" t="n"/>
      <c r="D1194" s="36" t="n"/>
      <c r="E1194" s="37" t="n"/>
      <c r="F1194" s="36" t="n"/>
      <c r="G1194" s="44" t="n"/>
      <c r="H1194" s="43" t="n"/>
      <c r="I1194" s="32" t="n"/>
      <c r="J1194" s="44" t="n"/>
      <c r="K1194" s="36" t="n"/>
      <c r="L1194" s="33">
        <f>IF(C1194="","",Commercial_Id)</f>
        <v/>
      </c>
      <c r="M1194" s="34">
        <f>IF(OR(C1194="",F1194=""),"",IF(F1194&lt;&gt;"Espèces","—",IF(I1194&lt;&gt;"","☑ Oui","☐ Non")))</f>
        <v/>
      </c>
      <c r="N1194" s="39">
        <f>IF(D1194="","",IFERROR(VALUE(MID(D1194,LEN(D1194)-3,3)),""))</f>
        <v/>
      </c>
      <c r="O1194" s="33">
        <f>IF(N1194="","",L1194&amp;"|"&amp;N1194)</f>
        <v/>
      </c>
      <c r="P1194" s="33">
        <f>IF(N1194="","",IF(L1194="À RENSEIGNER","GIC",L1194)&amp;"-"&amp;TEXT(N1194,"000"))</f>
        <v/>
      </c>
      <c r="Q1194" s="33">
        <f>IF(O1194="","",IFERROR(INDEX(Cl_nom,MATCH(O1194,Cl_cle,0)),"(client introuvable)"))</f>
        <v/>
      </c>
      <c r="R1194" s="40">
        <f>IF(O1194="","",IFERROR(INDEX(Cl_reste,MATCH(O1194,Cl_cle,0)),""))</f>
        <v/>
      </c>
      <c r="S1194" s="34">
        <f>IF(C1194="","",YEAR(C1194-WEEKDAY(C1194,2)+4)&amp;"-S"&amp;TEXT(INT((C1194-DATE(YEAR(C1194-WEEKDAY(C1194,2)+4),1,3)+WEEKDAY(DATE(YEAR(C1194-WEEKDAY(C1194,2)+4),1,3),2)+5)/7),"00"))</f>
        <v/>
      </c>
    </row>
    <row r="1195" ht="18" customHeight="1">
      <c r="A1195" s="39" t="n">
        <v>1190</v>
      </c>
      <c r="B1195" s="33">
        <f>IF(C1195="","",IF(L1195="À RENSEIGNER","GIC",L1195)&amp;"-E"&amp;TEXT(A1195,"00000"))</f>
        <v/>
      </c>
      <c r="C1195" s="32" t="n"/>
      <c r="D1195" s="36" t="n"/>
      <c r="E1195" s="37" t="n"/>
      <c r="F1195" s="36" t="n"/>
      <c r="G1195" s="44" t="n"/>
      <c r="H1195" s="43" t="n"/>
      <c r="I1195" s="32" t="n"/>
      <c r="J1195" s="44" t="n"/>
      <c r="K1195" s="36" t="n"/>
      <c r="L1195" s="33">
        <f>IF(C1195="","",Commercial_Id)</f>
        <v/>
      </c>
      <c r="M1195" s="34">
        <f>IF(OR(C1195="",F1195=""),"",IF(F1195&lt;&gt;"Espèces","—",IF(I1195&lt;&gt;"","☑ Oui","☐ Non")))</f>
        <v/>
      </c>
      <c r="N1195" s="39">
        <f>IF(D1195="","",IFERROR(VALUE(MID(D1195,LEN(D1195)-3,3)),""))</f>
        <v/>
      </c>
      <c r="O1195" s="33">
        <f>IF(N1195="","",L1195&amp;"|"&amp;N1195)</f>
        <v/>
      </c>
      <c r="P1195" s="33">
        <f>IF(N1195="","",IF(L1195="À RENSEIGNER","GIC",L1195)&amp;"-"&amp;TEXT(N1195,"000"))</f>
        <v/>
      </c>
      <c r="Q1195" s="33">
        <f>IF(O1195="","",IFERROR(INDEX(Cl_nom,MATCH(O1195,Cl_cle,0)),"(client introuvable)"))</f>
        <v/>
      </c>
      <c r="R1195" s="40">
        <f>IF(O1195="","",IFERROR(INDEX(Cl_reste,MATCH(O1195,Cl_cle,0)),""))</f>
        <v/>
      </c>
      <c r="S1195" s="34">
        <f>IF(C1195="","",YEAR(C1195-WEEKDAY(C1195,2)+4)&amp;"-S"&amp;TEXT(INT((C1195-DATE(YEAR(C1195-WEEKDAY(C1195,2)+4),1,3)+WEEKDAY(DATE(YEAR(C1195-WEEKDAY(C1195,2)+4),1,3),2)+5)/7),"00"))</f>
        <v/>
      </c>
    </row>
    <row r="1196" ht="18" customHeight="1">
      <c r="A1196" s="39" t="n">
        <v>1191</v>
      </c>
      <c r="B1196" s="33">
        <f>IF(C1196="","",IF(L1196="À RENSEIGNER","GIC",L1196)&amp;"-E"&amp;TEXT(A1196,"00000"))</f>
        <v/>
      </c>
      <c r="C1196" s="32" t="n"/>
      <c r="D1196" s="36" t="n"/>
      <c r="E1196" s="37" t="n"/>
      <c r="F1196" s="36" t="n"/>
      <c r="G1196" s="44" t="n"/>
      <c r="H1196" s="43" t="n"/>
      <c r="I1196" s="32" t="n"/>
      <c r="J1196" s="44" t="n"/>
      <c r="K1196" s="36" t="n"/>
      <c r="L1196" s="33">
        <f>IF(C1196="","",Commercial_Id)</f>
        <v/>
      </c>
      <c r="M1196" s="34">
        <f>IF(OR(C1196="",F1196=""),"",IF(F1196&lt;&gt;"Espèces","—",IF(I1196&lt;&gt;"","☑ Oui","☐ Non")))</f>
        <v/>
      </c>
      <c r="N1196" s="39">
        <f>IF(D1196="","",IFERROR(VALUE(MID(D1196,LEN(D1196)-3,3)),""))</f>
        <v/>
      </c>
      <c r="O1196" s="33">
        <f>IF(N1196="","",L1196&amp;"|"&amp;N1196)</f>
        <v/>
      </c>
      <c r="P1196" s="33">
        <f>IF(N1196="","",IF(L1196="À RENSEIGNER","GIC",L1196)&amp;"-"&amp;TEXT(N1196,"000"))</f>
        <v/>
      </c>
      <c r="Q1196" s="33">
        <f>IF(O1196="","",IFERROR(INDEX(Cl_nom,MATCH(O1196,Cl_cle,0)),"(client introuvable)"))</f>
        <v/>
      </c>
      <c r="R1196" s="40">
        <f>IF(O1196="","",IFERROR(INDEX(Cl_reste,MATCH(O1196,Cl_cle,0)),""))</f>
        <v/>
      </c>
      <c r="S1196" s="34">
        <f>IF(C1196="","",YEAR(C1196-WEEKDAY(C1196,2)+4)&amp;"-S"&amp;TEXT(INT((C1196-DATE(YEAR(C1196-WEEKDAY(C1196,2)+4),1,3)+WEEKDAY(DATE(YEAR(C1196-WEEKDAY(C1196,2)+4),1,3),2)+5)/7),"00"))</f>
        <v/>
      </c>
    </row>
    <row r="1197" ht="18" customHeight="1">
      <c r="A1197" s="39" t="n">
        <v>1192</v>
      </c>
      <c r="B1197" s="33">
        <f>IF(C1197="","",IF(L1197="À RENSEIGNER","GIC",L1197)&amp;"-E"&amp;TEXT(A1197,"00000"))</f>
        <v/>
      </c>
      <c r="C1197" s="32" t="n"/>
      <c r="D1197" s="36" t="n"/>
      <c r="E1197" s="37" t="n"/>
      <c r="F1197" s="36" t="n"/>
      <c r="G1197" s="44" t="n"/>
      <c r="H1197" s="43" t="n"/>
      <c r="I1197" s="32" t="n"/>
      <c r="J1197" s="44" t="n"/>
      <c r="K1197" s="36" t="n"/>
      <c r="L1197" s="33">
        <f>IF(C1197="","",Commercial_Id)</f>
        <v/>
      </c>
      <c r="M1197" s="34">
        <f>IF(OR(C1197="",F1197=""),"",IF(F1197&lt;&gt;"Espèces","—",IF(I1197&lt;&gt;"","☑ Oui","☐ Non")))</f>
        <v/>
      </c>
      <c r="N1197" s="39">
        <f>IF(D1197="","",IFERROR(VALUE(MID(D1197,LEN(D1197)-3,3)),""))</f>
        <v/>
      </c>
      <c r="O1197" s="33">
        <f>IF(N1197="","",L1197&amp;"|"&amp;N1197)</f>
        <v/>
      </c>
      <c r="P1197" s="33">
        <f>IF(N1197="","",IF(L1197="À RENSEIGNER","GIC",L1197)&amp;"-"&amp;TEXT(N1197,"000"))</f>
        <v/>
      </c>
      <c r="Q1197" s="33">
        <f>IF(O1197="","",IFERROR(INDEX(Cl_nom,MATCH(O1197,Cl_cle,0)),"(client introuvable)"))</f>
        <v/>
      </c>
      <c r="R1197" s="40">
        <f>IF(O1197="","",IFERROR(INDEX(Cl_reste,MATCH(O1197,Cl_cle,0)),""))</f>
        <v/>
      </c>
      <c r="S1197" s="34">
        <f>IF(C1197="","",YEAR(C1197-WEEKDAY(C1197,2)+4)&amp;"-S"&amp;TEXT(INT((C1197-DATE(YEAR(C1197-WEEKDAY(C1197,2)+4),1,3)+WEEKDAY(DATE(YEAR(C1197-WEEKDAY(C1197,2)+4),1,3),2)+5)/7),"00"))</f>
        <v/>
      </c>
    </row>
    <row r="1198" ht="18" customHeight="1">
      <c r="A1198" s="39" t="n">
        <v>1193</v>
      </c>
      <c r="B1198" s="33">
        <f>IF(C1198="","",IF(L1198="À RENSEIGNER","GIC",L1198)&amp;"-E"&amp;TEXT(A1198,"00000"))</f>
        <v/>
      </c>
      <c r="C1198" s="32" t="n"/>
      <c r="D1198" s="36" t="n"/>
      <c r="E1198" s="37" t="n"/>
      <c r="F1198" s="36" t="n"/>
      <c r="G1198" s="44" t="n"/>
      <c r="H1198" s="43" t="n"/>
      <c r="I1198" s="32" t="n"/>
      <c r="J1198" s="44" t="n"/>
      <c r="K1198" s="36" t="n"/>
      <c r="L1198" s="33">
        <f>IF(C1198="","",Commercial_Id)</f>
        <v/>
      </c>
      <c r="M1198" s="34">
        <f>IF(OR(C1198="",F1198=""),"",IF(F1198&lt;&gt;"Espèces","—",IF(I1198&lt;&gt;"","☑ Oui","☐ Non")))</f>
        <v/>
      </c>
      <c r="N1198" s="39">
        <f>IF(D1198="","",IFERROR(VALUE(MID(D1198,LEN(D1198)-3,3)),""))</f>
        <v/>
      </c>
      <c r="O1198" s="33">
        <f>IF(N1198="","",L1198&amp;"|"&amp;N1198)</f>
        <v/>
      </c>
      <c r="P1198" s="33">
        <f>IF(N1198="","",IF(L1198="À RENSEIGNER","GIC",L1198)&amp;"-"&amp;TEXT(N1198,"000"))</f>
        <v/>
      </c>
      <c r="Q1198" s="33">
        <f>IF(O1198="","",IFERROR(INDEX(Cl_nom,MATCH(O1198,Cl_cle,0)),"(client introuvable)"))</f>
        <v/>
      </c>
      <c r="R1198" s="40">
        <f>IF(O1198="","",IFERROR(INDEX(Cl_reste,MATCH(O1198,Cl_cle,0)),""))</f>
        <v/>
      </c>
      <c r="S1198" s="34">
        <f>IF(C1198="","",YEAR(C1198-WEEKDAY(C1198,2)+4)&amp;"-S"&amp;TEXT(INT((C1198-DATE(YEAR(C1198-WEEKDAY(C1198,2)+4),1,3)+WEEKDAY(DATE(YEAR(C1198-WEEKDAY(C1198,2)+4),1,3),2)+5)/7),"00"))</f>
        <v/>
      </c>
    </row>
    <row r="1199" ht="18" customHeight="1">
      <c r="A1199" s="39" t="n">
        <v>1194</v>
      </c>
      <c r="B1199" s="33">
        <f>IF(C1199="","",IF(L1199="À RENSEIGNER","GIC",L1199)&amp;"-E"&amp;TEXT(A1199,"00000"))</f>
        <v/>
      </c>
      <c r="C1199" s="32" t="n"/>
      <c r="D1199" s="36" t="n"/>
      <c r="E1199" s="37" t="n"/>
      <c r="F1199" s="36" t="n"/>
      <c r="G1199" s="44" t="n"/>
      <c r="H1199" s="43" t="n"/>
      <c r="I1199" s="32" t="n"/>
      <c r="J1199" s="44" t="n"/>
      <c r="K1199" s="36" t="n"/>
      <c r="L1199" s="33">
        <f>IF(C1199="","",Commercial_Id)</f>
        <v/>
      </c>
      <c r="M1199" s="34">
        <f>IF(OR(C1199="",F1199=""),"",IF(F1199&lt;&gt;"Espèces","—",IF(I1199&lt;&gt;"","☑ Oui","☐ Non")))</f>
        <v/>
      </c>
      <c r="N1199" s="39">
        <f>IF(D1199="","",IFERROR(VALUE(MID(D1199,LEN(D1199)-3,3)),""))</f>
        <v/>
      </c>
      <c r="O1199" s="33">
        <f>IF(N1199="","",L1199&amp;"|"&amp;N1199)</f>
        <v/>
      </c>
      <c r="P1199" s="33">
        <f>IF(N1199="","",IF(L1199="À RENSEIGNER","GIC",L1199)&amp;"-"&amp;TEXT(N1199,"000"))</f>
        <v/>
      </c>
      <c r="Q1199" s="33">
        <f>IF(O1199="","",IFERROR(INDEX(Cl_nom,MATCH(O1199,Cl_cle,0)),"(client introuvable)"))</f>
        <v/>
      </c>
      <c r="R1199" s="40">
        <f>IF(O1199="","",IFERROR(INDEX(Cl_reste,MATCH(O1199,Cl_cle,0)),""))</f>
        <v/>
      </c>
      <c r="S1199" s="34">
        <f>IF(C1199="","",YEAR(C1199-WEEKDAY(C1199,2)+4)&amp;"-S"&amp;TEXT(INT((C1199-DATE(YEAR(C1199-WEEKDAY(C1199,2)+4),1,3)+WEEKDAY(DATE(YEAR(C1199-WEEKDAY(C1199,2)+4),1,3),2)+5)/7),"00"))</f>
        <v/>
      </c>
    </row>
    <row r="1200" ht="18" customHeight="1">
      <c r="A1200" s="39" t="n">
        <v>1195</v>
      </c>
      <c r="B1200" s="33">
        <f>IF(C1200="","",IF(L1200="À RENSEIGNER","GIC",L1200)&amp;"-E"&amp;TEXT(A1200,"00000"))</f>
        <v/>
      </c>
      <c r="C1200" s="32" t="n"/>
      <c r="D1200" s="36" t="n"/>
      <c r="E1200" s="37" t="n"/>
      <c r="F1200" s="36" t="n"/>
      <c r="G1200" s="44" t="n"/>
      <c r="H1200" s="43" t="n"/>
      <c r="I1200" s="32" t="n"/>
      <c r="J1200" s="44" t="n"/>
      <c r="K1200" s="36" t="n"/>
      <c r="L1200" s="33">
        <f>IF(C1200="","",Commercial_Id)</f>
        <v/>
      </c>
      <c r="M1200" s="34">
        <f>IF(OR(C1200="",F1200=""),"",IF(F1200&lt;&gt;"Espèces","—",IF(I1200&lt;&gt;"","☑ Oui","☐ Non")))</f>
        <v/>
      </c>
      <c r="N1200" s="39">
        <f>IF(D1200="","",IFERROR(VALUE(MID(D1200,LEN(D1200)-3,3)),""))</f>
        <v/>
      </c>
      <c r="O1200" s="33">
        <f>IF(N1200="","",L1200&amp;"|"&amp;N1200)</f>
        <v/>
      </c>
      <c r="P1200" s="33">
        <f>IF(N1200="","",IF(L1200="À RENSEIGNER","GIC",L1200)&amp;"-"&amp;TEXT(N1200,"000"))</f>
        <v/>
      </c>
      <c r="Q1200" s="33">
        <f>IF(O1200="","",IFERROR(INDEX(Cl_nom,MATCH(O1200,Cl_cle,0)),"(client introuvable)"))</f>
        <v/>
      </c>
      <c r="R1200" s="40">
        <f>IF(O1200="","",IFERROR(INDEX(Cl_reste,MATCH(O1200,Cl_cle,0)),""))</f>
        <v/>
      </c>
      <c r="S1200" s="34">
        <f>IF(C1200="","",YEAR(C1200-WEEKDAY(C1200,2)+4)&amp;"-S"&amp;TEXT(INT((C1200-DATE(YEAR(C1200-WEEKDAY(C1200,2)+4),1,3)+WEEKDAY(DATE(YEAR(C1200-WEEKDAY(C1200,2)+4),1,3),2)+5)/7),"00"))</f>
        <v/>
      </c>
    </row>
    <row r="1201" ht="18" customHeight="1">
      <c r="A1201" s="39" t="n">
        <v>1196</v>
      </c>
      <c r="B1201" s="33">
        <f>IF(C1201="","",IF(L1201="À RENSEIGNER","GIC",L1201)&amp;"-E"&amp;TEXT(A1201,"00000"))</f>
        <v/>
      </c>
      <c r="C1201" s="32" t="n"/>
      <c r="D1201" s="36" t="n"/>
      <c r="E1201" s="37" t="n"/>
      <c r="F1201" s="36" t="n"/>
      <c r="G1201" s="44" t="n"/>
      <c r="H1201" s="43" t="n"/>
      <c r="I1201" s="32" t="n"/>
      <c r="J1201" s="44" t="n"/>
      <c r="K1201" s="36" t="n"/>
      <c r="L1201" s="33">
        <f>IF(C1201="","",Commercial_Id)</f>
        <v/>
      </c>
      <c r="M1201" s="34">
        <f>IF(OR(C1201="",F1201=""),"",IF(F1201&lt;&gt;"Espèces","—",IF(I1201&lt;&gt;"","☑ Oui","☐ Non")))</f>
        <v/>
      </c>
      <c r="N1201" s="39">
        <f>IF(D1201="","",IFERROR(VALUE(MID(D1201,LEN(D1201)-3,3)),""))</f>
        <v/>
      </c>
      <c r="O1201" s="33">
        <f>IF(N1201="","",L1201&amp;"|"&amp;N1201)</f>
        <v/>
      </c>
      <c r="P1201" s="33">
        <f>IF(N1201="","",IF(L1201="À RENSEIGNER","GIC",L1201)&amp;"-"&amp;TEXT(N1201,"000"))</f>
        <v/>
      </c>
      <c r="Q1201" s="33">
        <f>IF(O1201="","",IFERROR(INDEX(Cl_nom,MATCH(O1201,Cl_cle,0)),"(client introuvable)"))</f>
        <v/>
      </c>
      <c r="R1201" s="40">
        <f>IF(O1201="","",IFERROR(INDEX(Cl_reste,MATCH(O1201,Cl_cle,0)),""))</f>
        <v/>
      </c>
      <c r="S1201" s="34">
        <f>IF(C1201="","",YEAR(C1201-WEEKDAY(C1201,2)+4)&amp;"-S"&amp;TEXT(INT((C1201-DATE(YEAR(C1201-WEEKDAY(C1201,2)+4),1,3)+WEEKDAY(DATE(YEAR(C1201-WEEKDAY(C1201,2)+4),1,3),2)+5)/7),"00"))</f>
        <v/>
      </c>
    </row>
    <row r="1202" ht="18" customHeight="1">
      <c r="A1202" s="39" t="n">
        <v>1197</v>
      </c>
      <c r="B1202" s="33">
        <f>IF(C1202="","",IF(L1202="À RENSEIGNER","GIC",L1202)&amp;"-E"&amp;TEXT(A1202,"00000"))</f>
        <v/>
      </c>
      <c r="C1202" s="32" t="n"/>
      <c r="D1202" s="36" t="n"/>
      <c r="E1202" s="37" t="n"/>
      <c r="F1202" s="36" t="n"/>
      <c r="G1202" s="44" t="n"/>
      <c r="H1202" s="43" t="n"/>
      <c r="I1202" s="32" t="n"/>
      <c r="J1202" s="44" t="n"/>
      <c r="K1202" s="36" t="n"/>
      <c r="L1202" s="33">
        <f>IF(C1202="","",Commercial_Id)</f>
        <v/>
      </c>
      <c r="M1202" s="34">
        <f>IF(OR(C1202="",F1202=""),"",IF(F1202&lt;&gt;"Espèces","—",IF(I1202&lt;&gt;"","☑ Oui","☐ Non")))</f>
        <v/>
      </c>
      <c r="N1202" s="39">
        <f>IF(D1202="","",IFERROR(VALUE(MID(D1202,LEN(D1202)-3,3)),""))</f>
        <v/>
      </c>
      <c r="O1202" s="33">
        <f>IF(N1202="","",L1202&amp;"|"&amp;N1202)</f>
        <v/>
      </c>
      <c r="P1202" s="33">
        <f>IF(N1202="","",IF(L1202="À RENSEIGNER","GIC",L1202)&amp;"-"&amp;TEXT(N1202,"000"))</f>
        <v/>
      </c>
      <c r="Q1202" s="33">
        <f>IF(O1202="","",IFERROR(INDEX(Cl_nom,MATCH(O1202,Cl_cle,0)),"(client introuvable)"))</f>
        <v/>
      </c>
      <c r="R1202" s="40">
        <f>IF(O1202="","",IFERROR(INDEX(Cl_reste,MATCH(O1202,Cl_cle,0)),""))</f>
        <v/>
      </c>
      <c r="S1202" s="34">
        <f>IF(C1202="","",YEAR(C1202-WEEKDAY(C1202,2)+4)&amp;"-S"&amp;TEXT(INT((C1202-DATE(YEAR(C1202-WEEKDAY(C1202,2)+4),1,3)+WEEKDAY(DATE(YEAR(C1202-WEEKDAY(C1202,2)+4),1,3),2)+5)/7),"00"))</f>
        <v/>
      </c>
    </row>
    <row r="1203" ht="18" customHeight="1">
      <c r="A1203" s="39" t="n">
        <v>1198</v>
      </c>
      <c r="B1203" s="33">
        <f>IF(C1203="","",IF(L1203="À RENSEIGNER","GIC",L1203)&amp;"-E"&amp;TEXT(A1203,"00000"))</f>
        <v/>
      </c>
      <c r="C1203" s="32" t="n"/>
      <c r="D1203" s="36" t="n"/>
      <c r="E1203" s="37" t="n"/>
      <c r="F1203" s="36" t="n"/>
      <c r="G1203" s="44" t="n"/>
      <c r="H1203" s="43" t="n"/>
      <c r="I1203" s="32" t="n"/>
      <c r="J1203" s="44" t="n"/>
      <c r="K1203" s="36" t="n"/>
      <c r="L1203" s="33">
        <f>IF(C1203="","",Commercial_Id)</f>
        <v/>
      </c>
      <c r="M1203" s="34">
        <f>IF(OR(C1203="",F1203=""),"",IF(F1203&lt;&gt;"Espèces","—",IF(I1203&lt;&gt;"","☑ Oui","☐ Non")))</f>
        <v/>
      </c>
      <c r="N1203" s="39">
        <f>IF(D1203="","",IFERROR(VALUE(MID(D1203,LEN(D1203)-3,3)),""))</f>
        <v/>
      </c>
      <c r="O1203" s="33">
        <f>IF(N1203="","",L1203&amp;"|"&amp;N1203)</f>
        <v/>
      </c>
      <c r="P1203" s="33">
        <f>IF(N1203="","",IF(L1203="À RENSEIGNER","GIC",L1203)&amp;"-"&amp;TEXT(N1203,"000"))</f>
        <v/>
      </c>
      <c r="Q1203" s="33">
        <f>IF(O1203="","",IFERROR(INDEX(Cl_nom,MATCH(O1203,Cl_cle,0)),"(client introuvable)"))</f>
        <v/>
      </c>
      <c r="R1203" s="40">
        <f>IF(O1203="","",IFERROR(INDEX(Cl_reste,MATCH(O1203,Cl_cle,0)),""))</f>
        <v/>
      </c>
      <c r="S1203" s="34">
        <f>IF(C1203="","",YEAR(C1203-WEEKDAY(C1203,2)+4)&amp;"-S"&amp;TEXT(INT((C1203-DATE(YEAR(C1203-WEEKDAY(C1203,2)+4),1,3)+WEEKDAY(DATE(YEAR(C1203-WEEKDAY(C1203,2)+4),1,3),2)+5)/7),"00"))</f>
        <v/>
      </c>
    </row>
    <row r="1204" ht="18" customHeight="1">
      <c r="A1204" s="39" t="n">
        <v>1199</v>
      </c>
      <c r="B1204" s="33">
        <f>IF(C1204="","",IF(L1204="À RENSEIGNER","GIC",L1204)&amp;"-E"&amp;TEXT(A1204,"00000"))</f>
        <v/>
      </c>
      <c r="C1204" s="32" t="n"/>
      <c r="D1204" s="36" t="n"/>
      <c r="E1204" s="37" t="n"/>
      <c r="F1204" s="36" t="n"/>
      <c r="G1204" s="44" t="n"/>
      <c r="H1204" s="43" t="n"/>
      <c r="I1204" s="32" t="n"/>
      <c r="J1204" s="44" t="n"/>
      <c r="K1204" s="36" t="n"/>
      <c r="L1204" s="33">
        <f>IF(C1204="","",Commercial_Id)</f>
        <v/>
      </c>
      <c r="M1204" s="34">
        <f>IF(OR(C1204="",F1204=""),"",IF(F1204&lt;&gt;"Espèces","—",IF(I1204&lt;&gt;"","☑ Oui","☐ Non")))</f>
        <v/>
      </c>
      <c r="N1204" s="39">
        <f>IF(D1204="","",IFERROR(VALUE(MID(D1204,LEN(D1204)-3,3)),""))</f>
        <v/>
      </c>
      <c r="O1204" s="33">
        <f>IF(N1204="","",L1204&amp;"|"&amp;N1204)</f>
        <v/>
      </c>
      <c r="P1204" s="33">
        <f>IF(N1204="","",IF(L1204="À RENSEIGNER","GIC",L1204)&amp;"-"&amp;TEXT(N1204,"000"))</f>
        <v/>
      </c>
      <c r="Q1204" s="33">
        <f>IF(O1204="","",IFERROR(INDEX(Cl_nom,MATCH(O1204,Cl_cle,0)),"(client introuvable)"))</f>
        <v/>
      </c>
      <c r="R1204" s="40">
        <f>IF(O1204="","",IFERROR(INDEX(Cl_reste,MATCH(O1204,Cl_cle,0)),""))</f>
        <v/>
      </c>
      <c r="S1204" s="34">
        <f>IF(C1204="","",YEAR(C1204-WEEKDAY(C1204,2)+4)&amp;"-S"&amp;TEXT(INT((C1204-DATE(YEAR(C1204-WEEKDAY(C1204,2)+4),1,3)+WEEKDAY(DATE(YEAR(C1204-WEEKDAY(C1204,2)+4),1,3),2)+5)/7),"00"))</f>
        <v/>
      </c>
    </row>
    <row r="1205" ht="18" customHeight="1">
      <c r="A1205" s="39" t="n">
        <v>1200</v>
      </c>
      <c r="B1205" s="33">
        <f>IF(C1205="","",IF(L1205="À RENSEIGNER","GIC",L1205)&amp;"-E"&amp;TEXT(A1205,"00000"))</f>
        <v/>
      </c>
      <c r="C1205" s="32" t="n"/>
      <c r="D1205" s="36" t="n"/>
      <c r="E1205" s="37" t="n"/>
      <c r="F1205" s="36" t="n"/>
      <c r="G1205" s="44" t="n"/>
      <c r="H1205" s="43" t="n"/>
      <c r="I1205" s="32" t="n"/>
      <c r="J1205" s="44" t="n"/>
      <c r="K1205" s="36" t="n"/>
      <c r="L1205" s="33">
        <f>IF(C1205="","",Commercial_Id)</f>
        <v/>
      </c>
      <c r="M1205" s="34">
        <f>IF(OR(C1205="",F1205=""),"",IF(F1205&lt;&gt;"Espèces","—",IF(I1205&lt;&gt;"","☑ Oui","☐ Non")))</f>
        <v/>
      </c>
      <c r="N1205" s="39">
        <f>IF(D1205="","",IFERROR(VALUE(MID(D1205,LEN(D1205)-3,3)),""))</f>
        <v/>
      </c>
      <c r="O1205" s="33">
        <f>IF(N1205="","",L1205&amp;"|"&amp;N1205)</f>
        <v/>
      </c>
      <c r="P1205" s="33">
        <f>IF(N1205="","",IF(L1205="À RENSEIGNER","GIC",L1205)&amp;"-"&amp;TEXT(N1205,"000"))</f>
        <v/>
      </c>
      <c r="Q1205" s="33">
        <f>IF(O1205="","",IFERROR(INDEX(Cl_nom,MATCH(O1205,Cl_cle,0)),"(client introuvable)"))</f>
        <v/>
      </c>
      <c r="R1205" s="40">
        <f>IF(O1205="","",IFERROR(INDEX(Cl_reste,MATCH(O1205,Cl_cle,0)),""))</f>
        <v/>
      </c>
      <c r="S1205" s="34">
        <f>IF(C1205="","",YEAR(C1205-WEEKDAY(C1205,2)+4)&amp;"-S"&amp;TEXT(INT((C1205-DATE(YEAR(C1205-WEEKDAY(C1205,2)+4),1,3)+WEEKDAY(DATE(YEAR(C1205-WEEKDAY(C1205,2)+4),1,3),2)+5)/7),"00"))</f>
        <v/>
      </c>
    </row>
    <row r="1206" ht="18" customHeight="1">
      <c r="A1206" s="39" t="n">
        <v>1201</v>
      </c>
      <c r="B1206" s="33">
        <f>IF(C1206="","",IF(L1206="À RENSEIGNER","GIC",L1206)&amp;"-E"&amp;TEXT(A1206,"00000"))</f>
        <v/>
      </c>
      <c r="C1206" s="32" t="n"/>
      <c r="D1206" s="36" t="n"/>
      <c r="E1206" s="37" t="n"/>
      <c r="F1206" s="36" t="n"/>
      <c r="G1206" s="44" t="n"/>
      <c r="H1206" s="43" t="n"/>
      <c r="I1206" s="32" t="n"/>
      <c r="J1206" s="44" t="n"/>
      <c r="K1206" s="36" t="n"/>
      <c r="L1206" s="33">
        <f>IF(C1206="","",Commercial_Id)</f>
        <v/>
      </c>
      <c r="M1206" s="34">
        <f>IF(OR(C1206="",F1206=""),"",IF(F1206&lt;&gt;"Espèces","—",IF(I1206&lt;&gt;"","☑ Oui","☐ Non")))</f>
        <v/>
      </c>
      <c r="N1206" s="39">
        <f>IF(D1206="","",IFERROR(VALUE(MID(D1206,LEN(D1206)-3,3)),""))</f>
        <v/>
      </c>
      <c r="O1206" s="33">
        <f>IF(N1206="","",L1206&amp;"|"&amp;N1206)</f>
        <v/>
      </c>
      <c r="P1206" s="33">
        <f>IF(N1206="","",IF(L1206="À RENSEIGNER","GIC",L1206)&amp;"-"&amp;TEXT(N1206,"000"))</f>
        <v/>
      </c>
      <c r="Q1206" s="33">
        <f>IF(O1206="","",IFERROR(INDEX(Cl_nom,MATCH(O1206,Cl_cle,0)),"(client introuvable)"))</f>
        <v/>
      </c>
      <c r="R1206" s="40">
        <f>IF(O1206="","",IFERROR(INDEX(Cl_reste,MATCH(O1206,Cl_cle,0)),""))</f>
        <v/>
      </c>
      <c r="S1206" s="34">
        <f>IF(C1206="","",YEAR(C1206-WEEKDAY(C1206,2)+4)&amp;"-S"&amp;TEXT(INT((C1206-DATE(YEAR(C1206-WEEKDAY(C1206,2)+4),1,3)+WEEKDAY(DATE(YEAR(C1206-WEEKDAY(C1206,2)+4),1,3),2)+5)/7),"00"))</f>
        <v/>
      </c>
    </row>
    <row r="1207" ht="18" customHeight="1">
      <c r="A1207" s="39" t="n">
        <v>1202</v>
      </c>
      <c r="B1207" s="33">
        <f>IF(C1207="","",IF(L1207="À RENSEIGNER","GIC",L1207)&amp;"-E"&amp;TEXT(A1207,"00000"))</f>
        <v/>
      </c>
      <c r="C1207" s="32" t="n"/>
      <c r="D1207" s="36" t="n"/>
      <c r="E1207" s="37" t="n"/>
      <c r="F1207" s="36" t="n"/>
      <c r="G1207" s="44" t="n"/>
      <c r="H1207" s="43" t="n"/>
      <c r="I1207" s="32" t="n"/>
      <c r="J1207" s="44" t="n"/>
      <c r="K1207" s="36" t="n"/>
      <c r="L1207" s="33">
        <f>IF(C1207="","",Commercial_Id)</f>
        <v/>
      </c>
      <c r="M1207" s="34">
        <f>IF(OR(C1207="",F1207=""),"",IF(F1207&lt;&gt;"Espèces","—",IF(I1207&lt;&gt;"","☑ Oui","☐ Non")))</f>
        <v/>
      </c>
      <c r="N1207" s="39">
        <f>IF(D1207="","",IFERROR(VALUE(MID(D1207,LEN(D1207)-3,3)),""))</f>
        <v/>
      </c>
      <c r="O1207" s="33">
        <f>IF(N1207="","",L1207&amp;"|"&amp;N1207)</f>
        <v/>
      </c>
      <c r="P1207" s="33">
        <f>IF(N1207="","",IF(L1207="À RENSEIGNER","GIC",L1207)&amp;"-"&amp;TEXT(N1207,"000"))</f>
        <v/>
      </c>
      <c r="Q1207" s="33">
        <f>IF(O1207="","",IFERROR(INDEX(Cl_nom,MATCH(O1207,Cl_cle,0)),"(client introuvable)"))</f>
        <v/>
      </c>
      <c r="R1207" s="40">
        <f>IF(O1207="","",IFERROR(INDEX(Cl_reste,MATCH(O1207,Cl_cle,0)),""))</f>
        <v/>
      </c>
      <c r="S1207" s="34">
        <f>IF(C1207="","",YEAR(C1207-WEEKDAY(C1207,2)+4)&amp;"-S"&amp;TEXT(INT((C1207-DATE(YEAR(C1207-WEEKDAY(C1207,2)+4),1,3)+WEEKDAY(DATE(YEAR(C1207-WEEKDAY(C1207,2)+4),1,3),2)+5)/7),"00"))</f>
        <v/>
      </c>
    </row>
    <row r="1208" ht="18" customHeight="1">
      <c r="A1208" s="39" t="n">
        <v>1203</v>
      </c>
      <c r="B1208" s="33">
        <f>IF(C1208="","",IF(L1208="À RENSEIGNER","GIC",L1208)&amp;"-E"&amp;TEXT(A1208,"00000"))</f>
        <v/>
      </c>
      <c r="C1208" s="32" t="n"/>
      <c r="D1208" s="36" t="n"/>
      <c r="E1208" s="37" t="n"/>
      <c r="F1208" s="36" t="n"/>
      <c r="G1208" s="44" t="n"/>
      <c r="H1208" s="43" t="n"/>
      <c r="I1208" s="32" t="n"/>
      <c r="J1208" s="44" t="n"/>
      <c r="K1208" s="36" t="n"/>
      <c r="L1208" s="33">
        <f>IF(C1208="","",Commercial_Id)</f>
        <v/>
      </c>
      <c r="M1208" s="34">
        <f>IF(OR(C1208="",F1208=""),"",IF(F1208&lt;&gt;"Espèces","—",IF(I1208&lt;&gt;"","☑ Oui","☐ Non")))</f>
        <v/>
      </c>
      <c r="N1208" s="39">
        <f>IF(D1208="","",IFERROR(VALUE(MID(D1208,LEN(D1208)-3,3)),""))</f>
        <v/>
      </c>
      <c r="O1208" s="33">
        <f>IF(N1208="","",L1208&amp;"|"&amp;N1208)</f>
        <v/>
      </c>
      <c r="P1208" s="33">
        <f>IF(N1208="","",IF(L1208="À RENSEIGNER","GIC",L1208)&amp;"-"&amp;TEXT(N1208,"000"))</f>
        <v/>
      </c>
      <c r="Q1208" s="33">
        <f>IF(O1208="","",IFERROR(INDEX(Cl_nom,MATCH(O1208,Cl_cle,0)),"(client introuvable)"))</f>
        <v/>
      </c>
      <c r="R1208" s="40">
        <f>IF(O1208="","",IFERROR(INDEX(Cl_reste,MATCH(O1208,Cl_cle,0)),""))</f>
        <v/>
      </c>
      <c r="S1208" s="34">
        <f>IF(C1208="","",YEAR(C1208-WEEKDAY(C1208,2)+4)&amp;"-S"&amp;TEXT(INT((C1208-DATE(YEAR(C1208-WEEKDAY(C1208,2)+4),1,3)+WEEKDAY(DATE(YEAR(C1208-WEEKDAY(C1208,2)+4),1,3),2)+5)/7),"00"))</f>
        <v/>
      </c>
    </row>
    <row r="1209" ht="18" customHeight="1">
      <c r="A1209" s="39" t="n">
        <v>1204</v>
      </c>
      <c r="B1209" s="33">
        <f>IF(C1209="","",IF(L1209="À RENSEIGNER","GIC",L1209)&amp;"-E"&amp;TEXT(A1209,"00000"))</f>
        <v/>
      </c>
      <c r="C1209" s="32" t="n"/>
      <c r="D1209" s="36" t="n"/>
      <c r="E1209" s="37" t="n"/>
      <c r="F1209" s="36" t="n"/>
      <c r="G1209" s="44" t="n"/>
      <c r="H1209" s="43" t="n"/>
      <c r="I1209" s="32" t="n"/>
      <c r="J1209" s="44" t="n"/>
      <c r="K1209" s="36" t="n"/>
      <c r="L1209" s="33">
        <f>IF(C1209="","",Commercial_Id)</f>
        <v/>
      </c>
      <c r="M1209" s="34">
        <f>IF(OR(C1209="",F1209=""),"",IF(F1209&lt;&gt;"Espèces","—",IF(I1209&lt;&gt;"","☑ Oui","☐ Non")))</f>
        <v/>
      </c>
      <c r="N1209" s="39">
        <f>IF(D1209="","",IFERROR(VALUE(MID(D1209,LEN(D1209)-3,3)),""))</f>
        <v/>
      </c>
      <c r="O1209" s="33">
        <f>IF(N1209="","",L1209&amp;"|"&amp;N1209)</f>
        <v/>
      </c>
      <c r="P1209" s="33">
        <f>IF(N1209="","",IF(L1209="À RENSEIGNER","GIC",L1209)&amp;"-"&amp;TEXT(N1209,"000"))</f>
        <v/>
      </c>
      <c r="Q1209" s="33">
        <f>IF(O1209="","",IFERROR(INDEX(Cl_nom,MATCH(O1209,Cl_cle,0)),"(client introuvable)"))</f>
        <v/>
      </c>
      <c r="R1209" s="40">
        <f>IF(O1209="","",IFERROR(INDEX(Cl_reste,MATCH(O1209,Cl_cle,0)),""))</f>
        <v/>
      </c>
      <c r="S1209" s="34">
        <f>IF(C1209="","",YEAR(C1209-WEEKDAY(C1209,2)+4)&amp;"-S"&amp;TEXT(INT((C1209-DATE(YEAR(C1209-WEEKDAY(C1209,2)+4),1,3)+WEEKDAY(DATE(YEAR(C1209-WEEKDAY(C1209,2)+4),1,3),2)+5)/7),"00"))</f>
        <v/>
      </c>
    </row>
    <row r="1210" ht="18" customHeight="1">
      <c r="A1210" s="39" t="n">
        <v>1205</v>
      </c>
      <c r="B1210" s="33">
        <f>IF(C1210="","",IF(L1210="À RENSEIGNER","GIC",L1210)&amp;"-E"&amp;TEXT(A1210,"00000"))</f>
        <v/>
      </c>
      <c r="C1210" s="32" t="n"/>
      <c r="D1210" s="36" t="n"/>
      <c r="E1210" s="37" t="n"/>
      <c r="F1210" s="36" t="n"/>
      <c r="G1210" s="44" t="n"/>
      <c r="H1210" s="43" t="n"/>
      <c r="I1210" s="32" t="n"/>
      <c r="J1210" s="44" t="n"/>
      <c r="K1210" s="36" t="n"/>
      <c r="L1210" s="33">
        <f>IF(C1210="","",Commercial_Id)</f>
        <v/>
      </c>
      <c r="M1210" s="34">
        <f>IF(OR(C1210="",F1210=""),"",IF(F1210&lt;&gt;"Espèces","—",IF(I1210&lt;&gt;"","☑ Oui","☐ Non")))</f>
        <v/>
      </c>
      <c r="N1210" s="39">
        <f>IF(D1210="","",IFERROR(VALUE(MID(D1210,LEN(D1210)-3,3)),""))</f>
        <v/>
      </c>
      <c r="O1210" s="33">
        <f>IF(N1210="","",L1210&amp;"|"&amp;N1210)</f>
        <v/>
      </c>
      <c r="P1210" s="33">
        <f>IF(N1210="","",IF(L1210="À RENSEIGNER","GIC",L1210)&amp;"-"&amp;TEXT(N1210,"000"))</f>
        <v/>
      </c>
      <c r="Q1210" s="33">
        <f>IF(O1210="","",IFERROR(INDEX(Cl_nom,MATCH(O1210,Cl_cle,0)),"(client introuvable)"))</f>
        <v/>
      </c>
      <c r="R1210" s="40">
        <f>IF(O1210="","",IFERROR(INDEX(Cl_reste,MATCH(O1210,Cl_cle,0)),""))</f>
        <v/>
      </c>
      <c r="S1210" s="34">
        <f>IF(C1210="","",YEAR(C1210-WEEKDAY(C1210,2)+4)&amp;"-S"&amp;TEXT(INT((C1210-DATE(YEAR(C1210-WEEKDAY(C1210,2)+4),1,3)+WEEKDAY(DATE(YEAR(C1210-WEEKDAY(C1210,2)+4),1,3),2)+5)/7),"00"))</f>
        <v/>
      </c>
    </row>
    <row r="1211" ht="18" customHeight="1">
      <c r="A1211" s="39" t="n">
        <v>1206</v>
      </c>
      <c r="B1211" s="33">
        <f>IF(C1211="","",IF(L1211="À RENSEIGNER","GIC",L1211)&amp;"-E"&amp;TEXT(A1211,"00000"))</f>
        <v/>
      </c>
      <c r="C1211" s="32" t="n"/>
      <c r="D1211" s="36" t="n"/>
      <c r="E1211" s="37" t="n"/>
      <c r="F1211" s="36" t="n"/>
      <c r="G1211" s="44" t="n"/>
      <c r="H1211" s="43" t="n"/>
      <c r="I1211" s="32" t="n"/>
      <c r="J1211" s="44" t="n"/>
      <c r="K1211" s="36" t="n"/>
      <c r="L1211" s="33">
        <f>IF(C1211="","",Commercial_Id)</f>
        <v/>
      </c>
      <c r="M1211" s="34">
        <f>IF(OR(C1211="",F1211=""),"",IF(F1211&lt;&gt;"Espèces","—",IF(I1211&lt;&gt;"","☑ Oui","☐ Non")))</f>
        <v/>
      </c>
      <c r="N1211" s="39">
        <f>IF(D1211="","",IFERROR(VALUE(MID(D1211,LEN(D1211)-3,3)),""))</f>
        <v/>
      </c>
      <c r="O1211" s="33">
        <f>IF(N1211="","",L1211&amp;"|"&amp;N1211)</f>
        <v/>
      </c>
      <c r="P1211" s="33">
        <f>IF(N1211="","",IF(L1211="À RENSEIGNER","GIC",L1211)&amp;"-"&amp;TEXT(N1211,"000"))</f>
        <v/>
      </c>
      <c r="Q1211" s="33">
        <f>IF(O1211="","",IFERROR(INDEX(Cl_nom,MATCH(O1211,Cl_cle,0)),"(client introuvable)"))</f>
        <v/>
      </c>
      <c r="R1211" s="40">
        <f>IF(O1211="","",IFERROR(INDEX(Cl_reste,MATCH(O1211,Cl_cle,0)),""))</f>
        <v/>
      </c>
      <c r="S1211" s="34">
        <f>IF(C1211="","",YEAR(C1211-WEEKDAY(C1211,2)+4)&amp;"-S"&amp;TEXT(INT((C1211-DATE(YEAR(C1211-WEEKDAY(C1211,2)+4),1,3)+WEEKDAY(DATE(YEAR(C1211-WEEKDAY(C1211,2)+4),1,3),2)+5)/7),"00"))</f>
        <v/>
      </c>
    </row>
    <row r="1212" ht="18" customHeight="1">
      <c r="A1212" s="39" t="n">
        <v>1207</v>
      </c>
      <c r="B1212" s="33">
        <f>IF(C1212="","",IF(L1212="À RENSEIGNER","GIC",L1212)&amp;"-E"&amp;TEXT(A1212,"00000"))</f>
        <v/>
      </c>
      <c r="C1212" s="32" t="n"/>
      <c r="D1212" s="36" t="n"/>
      <c r="E1212" s="37" t="n"/>
      <c r="F1212" s="36" t="n"/>
      <c r="G1212" s="44" t="n"/>
      <c r="H1212" s="43" t="n"/>
      <c r="I1212" s="32" t="n"/>
      <c r="J1212" s="44" t="n"/>
      <c r="K1212" s="36" t="n"/>
      <c r="L1212" s="33">
        <f>IF(C1212="","",Commercial_Id)</f>
        <v/>
      </c>
      <c r="M1212" s="34">
        <f>IF(OR(C1212="",F1212=""),"",IF(F1212&lt;&gt;"Espèces","—",IF(I1212&lt;&gt;"","☑ Oui","☐ Non")))</f>
        <v/>
      </c>
      <c r="N1212" s="39">
        <f>IF(D1212="","",IFERROR(VALUE(MID(D1212,LEN(D1212)-3,3)),""))</f>
        <v/>
      </c>
      <c r="O1212" s="33">
        <f>IF(N1212="","",L1212&amp;"|"&amp;N1212)</f>
        <v/>
      </c>
      <c r="P1212" s="33">
        <f>IF(N1212="","",IF(L1212="À RENSEIGNER","GIC",L1212)&amp;"-"&amp;TEXT(N1212,"000"))</f>
        <v/>
      </c>
      <c r="Q1212" s="33">
        <f>IF(O1212="","",IFERROR(INDEX(Cl_nom,MATCH(O1212,Cl_cle,0)),"(client introuvable)"))</f>
        <v/>
      </c>
      <c r="R1212" s="40">
        <f>IF(O1212="","",IFERROR(INDEX(Cl_reste,MATCH(O1212,Cl_cle,0)),""))</f>
        <v/>
      </c>
      <c r="S1212" s="34">
        <f>IF(C1212="","",YEAR(C1212-WEEKDAY(C1212,2)+4)&amp;"-S"&amp;TEXT(INT((C1212-DATE(YEAR(C1212-WEEKDAY(C1212,2)+4),1,3)+WEEKDAY(DATE(YEAR(C1212-WEEKDAY(C1212,2)+4),1,3),2)+5)/7),"00"))</f>
        <v/>
      </c>
    </row>
    <row r="1213" ht="18" customHeight="1">
      <c r="A1213" s="39" t="n">
        <v>1208</v>
      </c>
      <c r="B1213" s="33">
        <f>IF(C1213="","",IF(L1213="À RENSEIGNER","GIC",L1213)&amp;"-E"&amp;TEXT(A1213,"00000"))</f>
        <v/>
      </c>
      <c r="C1213" s="32" t="n"/>
      <c r="D1213" s="36" t="n"/>
      <c r="E1213" s="37" t="n"/>
      <c r="F1213" s="36" t="n"/>
      <c r="G1213" s="44" t="n"/>
      <c r="H1213" s="43" t="n"/>
      <c r="I1213" s="32" t="n"/>
      <c r="J1213" s="44" t="n"/>
      <c r="K1213" s="36" t="n"/>
      <c r="L1213" s="33">
        <f>IF(C1213="","",Commercial_Id)</f>
        <v/>
      </c>
      <c r="M1213" s="34">
        <f>IF(OR(C1213="",F1213=""),"",IF(F1213&lt;&gt;"Espèces","—",IF(I1213&lt;&gt;"","☑ Oui","☐ Non")))</f>
        <v/>
      </c>
      <c r="N1213" s="39">
        <f>IF(D1213="","",IFERROR(VALUE(MID(D1213,LEN(D1213)-3,3)),""))</f>
        <v/>
      </c>
      <c r="O1213" s="33">
        <f>IF(N1213="","",L1213&amp;"|"&amp;N1213)</f>
        <v/>
      </c>
      <c r="P1213" s="33">
        <f>IF(N1213="","",IF(L1213="À RENSEIGNER","GIC",L1213)&amp;"-"&amp;TEXT(N1213,"000"))</f>
        <v/>
      </c>
      <c r="Q1213" s="33">
        <f>IF(O1213="","",IFERROR(INDEX(Cl_nom,MATCH(O1213,Cl_cle,0)),"(client introuvable)"))</f>
        <v/>
      </c>
      <c r="R1213" s="40">
        <f>IF(O1213="","",IFERROR(INDEX(Cl_reste,MATCH(O1213,Cl_cle,0)),""))</f>
        <v/>
      </c>
      <c r="S1213" s="34">
        <f>IF(C1213="","",YEAR(C1213-WEEKDAY(C1213,2)+4)&amp;"-S"&amp;TEXT(INT((C1213-DATE(YEAR(C1213-WEEKDAY(C1213,2)+4),1,3)+WEEKDAY(DATE(YEAR(C1213-WEEKDAY(C1213,2)+4),1,3),2)+5)/7),"00"))</f>
        <v/>
      </c>
    </row>
    <row r="1214" ht="18" customHeight="1">
      <c r="A1214" s="39" t="n">
        <v>1209</v>
      </c>
      <c r="B1214" s="33">
        <f>IF(C1214="","",IF(L1214="À RENSEIGNER","GIC",L1214)&amp;"-E"&amp;TEXT(A1214,"00000"))</f>
        <v/>
      </c>
      <c r="C1214" s="32" t="n"/>
      <c r="D1214" s="36" t="n"/>
      <c r="E1214" s="37" t="n"/>
      <c r="F1214" s="36" t="n"/>
      <c r="G1214" s="44" t="n"/>
      <c r="H1214" s="43" t="n"/>
      <c r="I1214" s="32" t="n"/>
      <c r="J1214" s="44" t="n"/>
      <c r="K1214" s="36" t="n"/>
      <c r="L1214" s="33">
        <f>IF(C1214="","",Commercial_Id)</f>
        <v/>
      </c>
      <c r="M1214" s="34">
        <f>IF(OR(C1214="",F1214=""),"",IF(F1214&lt;&gt;"Espèces","—",IF(I1214&lt;&gt;"","☑ Oui","☐ Non")))</f>
        <v/>
      </c>
      <c r="N1214" s="39">
        <f>IF(D1214="","",IFERROR(VALUE(MID(D1214,LEN(D1214)-3,3)),""))</f>
        <v/>
      </c>
      <c r="O1214" s="33">
        <f>IF(N1214="","",L1214&amp;"|"&amp;N1214)</f>
        <v/>
      </c>
      <c r="P1214" s="33">
        <f>IF(N1214="","",IF(L1214="À RENSEIGNER","GIC",L1214)&amp;"-"&amp;TEXT(N1214,"000"))</f>
        <v/>
      </c>
      <c r="Q1214" s="33">
        <f>IF(O1214="","",IFERROR(INDEX(Cl_nom,MATCH(O1214,Cl_cle,0)),"(client introuvable)"))</f>
        <v/>
      </c>
      <c r="R1214" s="40">
        <f>IF(O1214="","",IFERROR(INDEX(Cl_reste,MATCH(O1214,Cl_cle,0)),""))</f>
        <v/>
      </c>
      <c r="S1214" s="34">
        <f>IF(C1214="","",YEAR(C1214-WEEKDAY(C1214,2)+4)&amp;"-S"&amp;TEXT(INT((C1214-DATE(YEAR(C1214-WEEKDAY(C1214,2)+4),1,3)+WEEKDAY(DATE(YEAR(C1214-WEEKDAY(C1214,2)+4),1,3),2)+5)/7),"00"))</f>
        <v/>
      </c>
    </row>
    <row r="1215" ht="18" customHeight="1">
      <c r="A1215" s="39" t="n">
        <v>1210</v>
      </c>
      <c r="B1215" s="33">
        <f>IF(C1215="","",IF(L1215="À RENSEIGNER","GIC",L1215)&amp;"-E"&amp;TEXT(A1215,"00000"))</f>
        <v/>
      </c>
      <c r="C1215" s="32" t="n"/>
      <c r="D1215" s="36" t="n"/>
      <c r="E1215" s="37" t="n"/>
      <c r="F1215" s="36" t="n"/>
      <c r="G1215" s="44" t="n"/>
      <c r="H1215" s="43" t="n"/>
      <c r="I1215" s="32" t="n"/>
      <c r="J1215" s="44" t="n"/>
      <c r="K1215" s="36" t="n"/>
      <c r="L1215" s="33">
        <f>IF(C1215="","",Commercial_Id)</f>
        <v/>
      </c>
      <c r="M1215" s="34">
        <f>IF(OR(C1215="",F1215=""),"",IF(F1215&lt;&gt;"Espèces","—",IF(I1215&lt;&gt;"","☑ Oui","☐ Non")))</f>
        <v/>
      </c>
      <c r="N1215" s="39">
        <f>IF(D1215="","",IFERROR(VALUE(MID(D1215,LEN(D1215)-3,3)),""))</f>
        <v/>
      </c>
      <c r="O1215" s="33">
        <f>IF(N1215="","",L1215&amp;"|"&amp;N1215)</f>
        <v/>
      </c>
      <c r="P1215" s="33">
        <f>IF(N1215="","",IF(L1215="À RENSEIGNER","GIC",L1215)&amp;"-"&amp;TEXT(N1215,"000"))</f>
        <v/>
      </c>
      <c r="Q1215" s="33">
        <f>IF(O1215="","",IFERROR(INDEX(Cl_nom,MATCH(O1215,Cl_cle,0)),"(client introuvable)"))</f>
        <v/>
      </c>
      <c r="R1215" s="40">
        <f>IF(O1215="","",IFERROR(INDEX(Cl_reste,MATCH(O1215,Cl_cle,0)),""))</f>
        <v/>
      </c>
      <c r="S1215" s="34">
        <f>IF(C1215="","",YEAR(C1215-WEEKDAY(C1215,2)+4)&amp;"-S"&amp;TEXT(INT((C1215-DATE(YEAR(C1215-WEEKDAY(C1215,2)+4),1,3)+WEEKDAY(DATE(YEAR(C1215-WEEKDAY(C1215,2)+4),1,3),2)+5)/7),"00"))</f>
        <v/>
      </c>
    </row>
    <row r="1216" ht="18" customHeight="1">
      <c r="A1216" s="39" t="n">
        <v>1211</v>
      </c>
      <c r="B1216" s="33">
        <f>IF(C1216="","",IF(L1216="À RENSEIGNER","GIC",L1216)&amp;"-E"&amp;TEXT(A1216,"00000"))</f>
        <v/>
      </c>
      <c r="C1216" s="32" t="n"/>
      <c r="D1216" s="36" t="n"/>
      <c r="E1216" s="37" t="n"/>
      <c r="F1216" s="36" t="n"/>
      <c r="G1216" s="44" t="n"/>
      <c r="H1216" s="43" t="n"/>
      <c r="I1216" s="32" t="n"/>
      <c r="J1216" s="44" t="n"/>
      <c r="K1216" s="36" t="n"/>
      <c r="L1216" s="33">
        <f>IF(C1216="","",Commercial_Id)</f>
        <v/>
      </c>
      <c r="M1216" s="34">
        <f>IF(OR(C1216="",F1216=""),"",IF(F1216&lt;&gt;"Espèces","—",IF(I1216&lt;&gt;"","☑ Oui","☐ Non")))</f>
        <v/>
      </c>
      <c r="N1216" s="39">
        <f>IF(D1216="","",IFERROR(VALUE(MID(D1216,LEN(D1216)-3,3)),""))</f>
        <v/>
      </c>
      <c r="O1216" s="33">
        <f>IF(N1216="","",L1216&amp;"|"&amp;N1216)</f>
        <v/>
      </c>
      <c r="P1216" s="33">
        <f>IF(N1216="","",IF(L1216="À RENSEIGNER","GIC",L1216)&amp;"-"&amp;TEXT(N1216,"000"))</f>
        <v/>
      </c>
      <c r="Q1216" s="33">
        <f>IF(O1216="","",IFERROR(INDEX(Cl_nom,MATCH(O1216,Cl_cle,0)),"(client introuvable)"))</f>
        <v/>
      </c>
      <c r="R1216" s="40">
        <f>IF(O1216="","",IFERROR(INDEX(Cl_reste,MATCH(O1216,Cl_cle,0)),""))</f>
        <v/>
      </c>
      <c r="S1216" s="34">
        <f>IF(C1216="","",YEAR(C1216-WEEKDAY(C1216,2)+4)&amp;"-S"&amp;TEXT(INT((C1216-DATE(YEAR(C1216-WEEKDAY(C1216,2)+4),1,3)+WEEKDAY(DATE(YEAR(C1216-WEEKDAY(C1216,2)+4),1,3),2)+5)/7),"00"))</f>
        <v/>
      </c>
    </row>
    <row r="1217" ht="18" customHeight="1">
      <c r="A1217" s="39" t="n">
        <v>1212</v>
      </c>
      <c r="B1217" s="33">
        <f>IF(C1217="","",IF(L1217="À RENSEIGNER","GIC",L1217)&amp;"-E"&amp;TEXT(A1217,"00000"))</f>
        <v/>
      </c>
      <c r="C1217" s="32" t="n"/>
      <c r="D1217" s="36" t="n"/>
      <c r="E1217" s="37" t="n"/>
      <c r="F1217" s="36" t="n"/>
      <c r="G1217" s="44" t="n"/>
      <c r="H1217" s="43" t="n"/>
      <c r="I1217" s="32" t="n"/>
      <c r="J1217" s="44" t="n"/>
      <c r="K1217" s="36" t="n"/>
      <c r="L1217" s="33">
        <f>IF(C1217="","",Commercial_Id)</f>
        <v/>
      </c>
      <c r="M1217" s="34">
        <f>IF(OR(C1217="",F1217=""),"",IF(F1217&lt;&gt;"Espèces","—",IF(I1217&lt;&gt;"","☑ Oui","☐ Non")))</f>
        <v/>
      </c>
      <c r="N1217" s="39">
        <f>IF(D1217="","",IFERROR(VALUE(MID(D1217,LEN(D1217)-3,3)),""))</f>
        <v/>
      </c>
      <c r="O1217" s="33">
        <f>IF(N1217="","",L1217&amp;"|"&amp;N1217)</f>
        <v/>
      </c>
      <c r="P1217" s="33">
        <f>IF(N1217="","",IF(L1217="À RENSEIGNER","GIC",L1217)&amp;"-"&amp;TEXT(N1217,"000"))</f>
        <v/>
      </c>
      <c r="Q1217" s="33">
        <f>IF(O1217="","",IFERROR(INDEX(Cl_nom,MATCH(O1217,Cl_cle,0)),"(client introuvable)"))</f>
        <v/>
      </c>
      <c r="R1217" s="40">
        <f>IF(O1217="","",IFERROR(INDEX(Cl_reste,MATCH(O1217,Cl_cle,0)),""))</f>
        <v/>
      </c>
      <c r="S1217" s="34">
        <f>IF(C1217="","",YEAR(C1217-WEEKDAY(C1217,2)+4)&amp;"-S"&amp;TEXT(INT((C1217-DATE(YEAR(C1217-WEEKDAY(C1217,2)+4),1,3)+WEEKDAY(DATE(YEAR(C1217-WEEKDAY(C1217,2)+4),1,3),2)+5)/7),"00"))</f>
        <v/>
      </c>
    </row>
    <row r="1218" ht="18" customHeight="1">
      <c r="A1218" s="39" t="n">
        <v>1213</v>
      </c>
      <c r="B1218" s="33">
        <f>IF(C1218="","",IF(L1218="À RENSEIGNER","GIC",L1218)&amp;"-E"&amp;TEXT(A1218,"00000"))</f>
        <v/>
      </c>
      <c r="C1218" s="32" t="n"/>
      <c r="D1218" s="36" t="n"/>
      <c r="E1218" s="37" t="n"/>
      <c r="F1218" s="36" t="n"/>
      <c r="G1218" s="44" t="n"/>
      <c r="H1218" s="43" t="n"/>
      <c r="I1218" s="32" t="n"/>
      <c r="J1218" s="44" t="n"/>
      <c r="K1218" s="36" t="n"/>
      <c r="L1218" s="33">
        <f>IF(C1218="","",Commercial_Id)</f>
        <v/>
      </c>
      <c r="M1218" s="34">
        <f>IF(OR(C1218="",F1218=""),"",IF(F1218&lt;&gt;"Espèces","—",IF(I1218&lt;&gt;"","☑ Oui","☐ Non")))</f>
        <v/>
      </c>
      <c r="N1218" s="39">
        <f>IF(D1218="","",IFERROR(VALUE(MID(D1218,LEN(D1218)-3,3)),""))</f>
        <v/>
      </c>
      <c r="O1218" s="33">
        <f>IF(N1218="","",L1218&amp;"|"&amp;N1218)</f>
        <v/>
      </c>
      <c r="P1218" s="33">
        <f>IF(N1218="","",IF(L1218="À RENSEIGNER","GIC",L1218)&amp;"-"&amp;TEXT(N1218,"000"))</f>
        <v/>
      </c>
      <c r="Q1218" s="33">
        <f>IF(O1218="","",IFERROR(INDEX(Cl_nom,MATCH(O1218,Cl_cle,0)),"(client introuvable)"))</f>
        <v/>
      </c>
      <c r="R1218" s="40">
        <f>IF(O1218="","",IFERROR(INDEX(Cl_reste,MATCH(O1218,Cl_cle,0)),""))</f>
        <v/>
      </c>
      <c r="S1218" s="34">
        <f>IF(C1218="","",YEAR(C1218-WEEKDAY(C1218,2)+4)&amp;"-S"&amp;TEXT(INT((C1218-DATE(YEAR(C1218-WEEKDAY(C1218,2)+4),1,3)+WEEKDAY(DATE(YEAR(C1218-WEEKDAY(C1218,2)+4),1,3),2)+5)/7),"00"))</f>
        <v/>
      </c>
    </row>
    <row r="1219" ht="18" customHeight="1">
      <c r="A1219" s="39" t="n">
        <v>1214</v>
      </c>
      <c r="B1219" s="33">
        <f>IF(C1219="","",IF(L1219="À RENSEIGNER","GIC",L1219)&amp;"-E"&amp;TEXT(A1219,"00000"))</f>
        <v/>
      </c>
      <c r="C1219" s="32" t="n"/>
      <c r="D1219" s="36" t="n"/>
      <c r="E1219" s="37" t="n"/>
      <c r="F1219" s="36" t="n"/>
      <c r="G1219" s="44" t="n"/>
      <c r="H1219" s="43" t="n"/>
      <c r="I1219" s="32" t="n"/>
      <c r="J1219" s="44" t="n"/>
      <c r="K1219" s="36" t="n"/>
      <c r="L1219" s="33">
        <f>IF(C1219="","",Commercial_Id)</f>
        <v/>
      </c>
      <c r="M1219" s="34">
        <f>IF(OR(C1219="",F1219=""),"",IF(F1219&lt;&gt;"Espèces","—",IF(I1219&lt;&gt;"","☑ Oui","☐ Non")))</f>
        <v/>
      </c>
      <c r="N1219" s="39">
        <f>IF(D1219="","",IFERROR(VALUE(MID(D1219,LEN(D1219)-3,3)),""))</f>
        <v/>
      </c>
      <c r="O1219" s="33">
        <f>IF(N1219="","",L1219&amp;"|"&amp;N1219)</f>
        <v/>
      </c>
      <c r="P1219" s="33">
        <f>IF(N1219="","",IF(L1219="À RENSEIGNER","GIC",L1219)&amp;"-"&amp;TEXT(N1219,"000"))</f>
        <v/>
      </c>
      <c r="Q1219" s="33">
        <f>IF(O1219="","",IFERROR(INDEX(Cl_nom,MATCH(O1219,Cl_cle,0)),"(client introuvable)"))</f>
        <v/>
      </c>
      <c r="R1219" s="40">
        <f>IF(O1219="","",IFERROR(INDEX(Cl_reste,MATCH(O1219,Cl_cle,0)),""))</f>
        <v/>
      </c>
      <c r="S1219" s="34">
        <f>IF(C1219="","",YEAR(C1219-WEEKDAY(C1219,2)+4)&amp;"-S"&amp;TEXT(INT((C1219-DATE(YEAR(C1219-WEEKDAY(C1219,2)+4),1,3)+WEEKDAY(DATE(YEAR(C1219-WEEKDAY(C1219,2)+4),1,3),2)+5)/7),"00"))</f>
        <v/>
      </c>
    </row>
    <row r="1220" ht="18" customHeight="1">
      <c r="A1220" s="39" t="n">
        <v>1215</v>
      </c>
      <c r="B1220" s="33">
        <f>IF(C1220="","",IF(L1220="À RENSEIGNER","GIC",L1220)&amp;"-E"&amp;TEXT(A1220,"00000"))</f>
        <v/>
      </c>
      <c r="C1220" s="32" t="n"/>
      <c r="D1220" s="36" t="n"/>
      <c r="E1220" s="37" t="n"/>
      <c r="F1220" s="36" t="n"/>
      <c r="G1220" s="44" t="n"/>
      <c r="H1220" s="43" t="n"/>
      <c r="I1220" s="32" t="n"/>
      <c r="J1220" s="44" t="n"/>
      <c r="K1220" s="36" t="n"/>
      <c r="L1220" s="33">
        <f>IF(C1220="","",Commercial_Id)</f>
        <v/>
      </c>
      <c r="M1220" s="34">
        <f>IF(OR(C1220="",F1220=""),"",IF(F1220&lt;&gt;"Espèces","—",IF(I1220&lt;&gt;"","☑ Oui","☐ Non")))</f>
        <v/>
      </c>
      <c r="N1220" s="39">
        <f>IF(D1220="","",IFERROR(VALUE(MID(D1220,LEN(D1220)-3,3)),""))</f>
        <v/>
      </c>
      <c r="O1220" s="33">
        <f>IF(N1220="","",L1220&amp;"|"&amp;N1220)</f>
        <v/>
      </c>
      <c r="P1220" s="33">
        <f>IF(N1220="","",IF(L1220="À RENSEIGNER","GIC",L1220)&amp;"-"&amp;TEXT(N1220,"000"))</f>
        <v/>
      </c>
      <c r="Q1220" s="33">
        <f>IF(O1220="","",IFERROR(INDEX(Cl_nom,MATCH(O1220,Cl_cle,0)),"(client introuvable)"))</f>
        <v/>
      </c>
      <c r="R1220" s="40">
        <f>IF(O1220="","",IFERROR(INDEX(Cl_reste,MATCH(O1220,Cl_cle,0)),""))</f>
        <v/>
      </c>
      <c r="S1220" s="34">
        <f>IF(C1220="","",YEAR(C1220-WEEKDAY(C1220,2)+4)&amp;"-S"&amp;TEXT(INT((C1220-DATE(YEAR(C1220-WEEKDAY(C1220,2)+4),1,3)+WEEKDAY(DATE(YEAR(C1220-WEEKDAY(C1220,2)+4),1,3),2)+5)/7),"00"))</f>
        <v/>
      </c>
    </row>
    <row r="1221" ht="18" customHeight="1">
      <c r="A1221" s="39" t="n">
        <v>1216</v>
      </c>
      <c r="B1221" s="33">
        <f>IF(C1221="","",IF(L1221="À RENSEIGNER","GIC",L1221)&amp;"-E"&amp;TEXT(A1221,"00000"))</f>
        <v/>
      </c>
      <c r="C1221" s="32" t="n"/>
      <c r="D1221" s="36" t="n"/>
      <c r="E1221" s="37" t="n"/>
      <c r="F1221" s="36" t="n"/>
      <c r="G1221" s="44" t="n"/>
      <c r="H1221" s="43" t="n"/>
      <c r="I1221" s="32" t="n"/>
      <c r="J1221" s="44" t="n"/>
      <c r="K1221" s="36" t="n"/>
      <c r="L1221" s="33">
        <f>IF(C1221="","",Commercial_Id)</f>
        <v/>
      </c>
      <c r="M1221" s="34">
        <f>IF(OR(C1221="",F1221=""),"",IF(F1221&lt;&gt;"Espèces","—",IF(I1221&lt;&gt;"","☑ Oui","☐ Non")))</f>
        <v/>
      </c>
      <c r="N1221" s="39">
        <f>IF(D1221="","",IFERROR(VALUE(MID(D1221,LEN(D1221)-3,3)),""))</f>
        <v/>
      </c>
      <c r="O1221" s="33">
        <f>IF(N1221="","",L1221&amp;"|"&amp;N1221)</f>
        <v/>
      </c>
      <c r="P1221" s="33">
        <f>IF(N1221="","",IF(L1221="À RENSEIGNER","GIC",L1221)&amp;"-"&amp;TEXT(N1221,"000"))</f>
        <v/>
      </c>
      <c r="Q1221" s="33">
        <f>IF(O1221="","",IFERROR(INDEX(Cl_nom,MATCH(O1221,Cl_cle,0)),"(client introuvable)"))</f>
        <v/>
      </c>
      <c r="R1221" s="40">
        <f>IF(O1221="","",IFERROR(INDEX(Cl_reste,MATCH(O1221,Cl_cle,0)),""))</f>
        <v/>
      </c>
      <c r="S1221" s="34">
        <f>IF(C1221="","",YEAR(C1221-WEEKDAY(C1221,2)+4)&amp;"-S"&amp;TEXT(INT((C1221-DATE(YEAR(C1221-WEEKDAY(C1221,2)+4),1,3)+WEEKDAY(DATE(YEAR(C1221-WEEKDAY(C1221,2)+4),1,3),2)+5)/7),"00"))</f>
        <v/>
      </c>
    </row>
    <row r="1222" ht="18" customHeight="1">
      <c r="A1222" s="39" t="n">
        <v>1217</v>
      </c>
      <c r="B1222" s="33">
        <f>IF(C1222="","",IF(L1222="À RENSEIGNER","GIC",L1222)&amp;"-E"&amp;TEXT(A1222,"00000"))</f>
        <v/>
      </c>
      <c r="C1222" s="32" t="n"/>
      <c r="D1222" s="36" t="n"/>
      <c r="E1222" s="37" t="n"/>
      <c r="F1222" s="36" t="n"/>
      <c r="G1222" s="44" t="n"/>
      <c r="H1222" s="43" t="n"/>
      <c r="I1222" s="32" t="n"/>
      <c r="J1222" s="44" t="n"/>
      <c r="K1222" s="36" t="n"/>
      <c r="L1222" s="33">
        <f>IF(C1222="","",Commercial_Id)</f>
        <v/>
      </c>
      <c r="M1222" s="34">
        <f>IF(OR(C1222="",F1222=""),"",IF(F1222&lt;&gt;"Espèces","—",IF(I1222&lt;&gt;"","☑ Oui","☐ Non")))</f>
        <v/>
      </c>
      <c r="N1222" s="39">
        <f>IF(D1222="","",IFERROR(VALUE(MID(D1222,LEN(D1222)-3,3)),""))</f>
        <v/>
      </c>
      <c r="O1222" s="33">
        <f>IF(N1222="","",L1222&amp;"|"&amp;N1222)</f>
        <v/>
      </c>
      <c r="P1222" s="33">
        <f>IF(N1222="","",IF(L1222="À RENSEIGNER","GIC",L1222)&amp;"-"&amp;TEXT(N1222,"000"))</f>
        <v/>
      </c>
      <c r="Q1222" s="33">
        <f>IF(O1222="","",IFERROR(INDEX(Cl_nom,MATCH(O1222,Cl_cle,0)),"(client introuvable)"))</f>
        <v/>
      </c>
      <c r="R1222" s="40">
        <f>IF(O1222="","",IFERROR(INDEX(Cl_reste,MATCH(O1222,Cl_cle,0)),""))</f>
        <v/>
      </c>
      <c r="S1222" s="34">
        <f>IF(C1222="","",YEAR(C1222-WEEKDAY(C1222,2)+4)&amp;"-S"&amp;TEXT(INT((C1222-DATE(YEAR(C1222-WEEKDAY(C1222,2)+4),1,3)+WEEKDAY(DATE(YEAR(C1222-WEEKDAY(C1222,2)+4),1,3),2)+5)/7),"00"))</f>
        <v/>
      </c>
    </row>
    <row r="1223" ht="18" customHeight="1">
      <c r="A1223" s="39" t="n">
        <v>1218</v>
      </c>
      <c r="B1223" s="33">
        <f>IF(C1223="","",IF(L1223="À RENSEIGNER","GIC",L1223)&amp;"-E"&amp;TEXT(A1223,"00000"))</f>
        <v/>
      </c>
      <c r="C1223" s="32" t="n"/>
      <c r="D1223" s="36" t="n"/>
      <c r="E1223" s="37" t="n"/>
      <c r="F1223" s="36" t="n"/>
      <c r="G1223" s="44" t="n"/>
      <c r="H1223" s="43" t="n"/>
      <c r="I1223" s="32" t="n"/>
      <c r="J1223" s="44" t="n"/>
      <c r="K1223" s="36" t="n"/>
      <c r="L1223" s="33">
        <f>IF(C1223="","",Commercial_Id)</f>
        <v/>
      </c>
      <c r="M1223" s="34">
        <f>IF(OR(C1223="",F1223=""),"",IF(F1223&lt;&gt;"Espèces","—",IF(I1223&lt;&gt;"","☑ Oui","☐ Non")))</f>
        <v/>
      </c>
      <c r="N1223" s="39">
        <f>IF(D1223="","",IFERROR(VALUE(MID(D1223,LEN(D1223)-3,3)),""))</f>
        <v/>
      </c>
      <c r="O1223" s="33">
        <f>IF(N1223="","",L1223&amp;"|"&amp;N1223)</f>
        <v/>
      </c>
      <c r="P1223" s="33">
        <f>IF(N1223="","",IF(L1223="À RENSEIGNER","GIC",L1223)&amp;"-"&amp;TEXT(N1223,"000"))</f>
        <v/>
      </c>
      <c r="Q1223" s="33">
        <f>IF(O1223="","",IFERROR(INDEX(Cl_nom,MATCH(O1223,Cl_cle,0)),"(client introuvable)"))</f>
        <v/>
      </c>
      <c r="R1223" s="40">
        <f>IF(O1223="","",IFERROR(INDEX(Cl_reste,MATCH(O1223,Cl_cle,0)),""))</f>
        <v/>
      </c>
      <c r="S1223" s="34">
        <f>IF(C1223="","",YEAR(C1223-WEEKDAY(C1223,2)+4)&amp;"-S"&amp;TEXT(INT((C1223-DATE(YEAR(C1223-WEEKDAY(C1223,2)+4),1,3)+WEEKDAY(DATE(YEAR(C1223-WEEKDAY(C1223,2)+4),1,3),2)+5)/7),"00"))</f>
        <v/>
      </c>
    </row>
    <row r="1224" ht="18" customHeight="1">
      <c r="A1224" s="39" t="n">
        <v>1219</v>
      </c>
      <c r="B1224" s="33">
        <f>IF(C1224="","",IF(L1224="À RENSEIGNER","GIC",L1224)&amp;"-E"&amp;TEXT(A1224,"00000"))</f>
        <v/>
      </c>
      <c r="C1224" s="32" t="n"/>
      <c r="D1224" s="36" t="n"/>
      <c r="E1224" s="37" t="n"/>
      <c r="F1224" s="36" t="n"/>
      <c r="G1224" s="44" t="n"/>
      <c r="H1224" s="43" t="n"/>
      <c r="I1224" s="32" t="n"/>
      <c r="J1224" s="44" t="n"/>
      <c r="K1224" s="36" t="n"/>
      <c r="L1224" s="33">
        <f>IF(C1224="","",Commercial_Id)</f>
        <v/>
      </c>
      <c r="M1224" s="34">
        <f>IF(OR(C1224="",F1224=""),"",IF(F1224&lt;&gt;"Espèces","—",IF(I1224&lt;&gt;"","☑ Oui","☐ Non")))</f>
        <v/>
      </c>
      <c r="N1224" s="39">
        <f>IF(D1224="","",IFERROR(VALUE(MID(D1224,LEN(D1224)-3,3)),""))</f>
        <v/>
      </c>
      <c r="O1224" s="33">
        <f>IF(N1224="","",L1224&amp;"|"&amp;N1224)</f>
        <v/>
      </c>
      <c r="P1224" s="33">
        <f>IF(N1224="","",IF(L1224="À RENSEIGNER","GIC",L1224)&amp;"-"&amp;TEXT(N1224,"000"))</f>
        <v/>
      </c>
      <c r="Q1224" s="33">
        <f>IF(O1224="","",IFERROR(INDEX(Cl_nom,MATCH(O1224,Cl_cle,0)),"(client introuvable)"))</f>
        <v/>
      </c>
      <c r="R1224" s="40">
        <f>IF(O1224="","",IFERROR(INDEX(Cl_reste,MATCH(O1224,Cl_cle,0)),""))</f>
        <v/>
      </c>
      <c r="S1224" s="34">
        <f>IF(C1224="","",YEAR(C1224-WEEKDAY(C1224,2)+4)&amp;"-S"&amp;TEXT(INT((C1224-DATE(YEAR(C1224-WEEKDAY(C1224,2)+4),1,3)+WEEKDAY(DATE(YEAR(C1224-WEEKDAY(C1224,2)+4),1,3),2)+5)/7),"00"))</f>
        <v/>
      </c>
    </row>
    <row r="1225" ht="18" customHeight="1">
      <c r="A1225" s="39" t="n">
        <v>1220</v>
      </c>
      <c r="B1225" s="33">
        <f>IF(C1225="","",IF(L1225="À RENSEIGNER","GIC",L1225)&amp;"-E"&amp;TEXT(A1225,"00000"))</f>
        <v/>
      </c>
      <c r="C1225" s="32" t="n"/>
      <c r="D1225" s="36" t="n"/>
      <c r="E1225" s="37" t="n"/>
      <c r="F1225" s="36" t="n"/>
      <c r="G1225" s="44" t="n"/>
      <c r="H1225" s="43" t="n"/>
      <c r="I1225" s="32" t="n"/>
      <c r="J1225" s="44" t="n"/>
      <c r="K1225" s="36" t="n"/>
      <c r="L1225" s="33">
        <f>IF(C1225="","",Commercial_Id)</f>
        <v/>
      </c>
      <c r="M1225" s="34">
        <f>IF(OR(C1225="",F1225=""),"",IF(F1225&lt;&gt;"Espèces","—",IF(I1225&lt;&gt;"","☑ Oui","☐ Non")))</f>
        <v/>
      </c>
      <c r="N1225" s="39">
        <f>IF(D1225="","",IFERROR(VALUE(MID(D1225,LEN(D1225)-3,3)),""))</f>
        <v/>
      </c>
      <c r="O1225" s="33">
        <f>IF(N1225="","",L1225&amp;"|"&amp;N1225)</f>
        <v/>
      </c>
      <c r="P1225" s="33">
        <f>IF(N1225="","",IF(L1225="À RENSEIGNER","GIC",L1225)&amp;"-"&amp;TEXT(N1225,"000"))</f>
        <v/>
      </c>
      <c r="Q1225" s="33">
        <f>IF(O1225="","",IFERROR(INDEX(Cl_nom,MATCH(O1225,Cl_cle,0)),"(client introuvable)"))</f>
        <v/>
      </c>
      <c r="R1225" s="40">
        <f>IF(O1225="","",IFERROR(INDEX(Cl_reste,MATCH(O1225,Cl_cle,0)),""))</f>
        <v/>
      </c>
      <c r="S1225" s="34">
        <f>IF(C1225="","",YEAR(C1225-WEEKDAY(C1225,2)+4)&amp;"-S"&amp;TEXT(INT((C1225-DATE(YEAR(C1225-WEEKDAY(C1225,2)+4),1,3)+WEEKDAY(DATE(YEAR(C1225-WEEKDAY(C1225,2)+4),1,3),2)+5)/7),"00"))</f>
        <v/>
      </c>
    </row>
    <row r="1226" ht="18" customHeight="1">
      <c r="A1226" s="39" t="n">
        <v>1221</v>
      </c>
      <c r="B1226" s="33">
        <f>IF(C1226="","",IF(L1226="À RENSEIGNER","GIC",L1226)&amp;"-E"&amp;TEXT(A1226,"00000"))</f>
        <v/>
      </c>
      <c r="C1226" s="32" t="n"/>
      <c r="D1226" s="36" t="n"/>
      <c r="E1226" s="37" t="n"/>
      <c r="F1226" s="36" t="n"/>
      <c r="G1226" s="44" t="n"/>
      <c r="H1226" s="43" t="n"/>
      <c r="I1226" s="32" t="n"/>
      <c r="J1226" s="44" t="n"/>
      <c r="K1226" s="36" t="n"/>
      <c r="L1226" s="33">
        <f>IF(C1226="","",Commercial_Id)</f>
        <v/>
      </c>
      <c r="M1226" s="34">
        <f>IF(OR(C1226="",F1226=""),"",IF(F1226&lt;&gt;"Espèces","—",IF(I1226&lt;&gt;"","☑ Oui","☐ Non")))</f>
        <v/>
      </c>
      <c r="N1226" s="39">
        <f>IF(D1226="","",IFERROR(VALUE(MID(D1226,LEN(D1226)-3,3)),""))</f>
        <v/>
      </c>
      <c r="O1226" s="33">
        <f>IF(N1226="","",L1226&amp;"|"&amp;N1226)</f>
        <v/>
      </c>
      <c r="P1226" s="33">
        <f>IF(N1226="","",IF(L1226="À RENSEIGNER","GIC",L1226)&amp;"-"&amp;TEXT(N1226,"000"))</f>
        <v/>
      </c>
      <c r="Q1226" s="33">
        <f>IF(O1226="","",IFERROR(INDEX(Cl_nom,MATCH(O1226,Cl_cle,0)),"(client introuvable)"))</f>
        <v/>
      </c>
      <c r="R1226" s="40">
        <f>IF(O1226="","",IFERROR(INDEX(Cl_reste,MATCH(O1226,Cl_cle,0)),""))</f>
        <v/>
      </c>
      <c r="S1226" s="34">
        <f>IF(C1226="","",YEAR(C1226-WEEKDAY(C1226,2)+4)&amp;"-S"&amp;TEXT(INT((C1226-DATE(YEAR(C1226-WEEKDAY(C1226,2)+4),1,3)+WEEKDAY(DATE(YEAR(C1226-WEEKDAY(C1226,2)+4),1,3),2)+5)/7),"00"))</f>
        <v/>
      </c>
    </row>
    <row r="1227" ht="18" customHeight="1">
      <c r="A1227" s="39" t="n">
        <v>1222</v>
      </c>
      <c r="B1227" s="33">
        <f>IF(C1227="","",IF(L1227="À RENSEIGNER","GIC",L1227)&amp;"-E"&amp;TEXT(A1227,"00000"))</f>
        <v/>
      </c>
      <c r="C1227" s="32" t="n"/>
      <c r="D1227" s="36" t="n"/>
      <c r="E1227" s="37" t="n"/>
      <c r="F1227" s="36" t="n"/>
      <c r="G1227" s="44" t="n"/>
      <c r="H1227" s="43" t="n"/>
      <c r="I1227" s="32" t="n"/>
      <c r="J1227" s="44" t="n"/>
      <c r="K1227" s="36" t="n"/>
      <c r="L1227" s="33">
        <f>IF(C1227="","",Commercial_Id)</f>
        <v/>
      </c>
      <c r="M1227" s="34">
        <f>IF(OR(C1227="",F1227=""),"",IF(F1227&lt;&gt;"Espèces","—",IF(I1227&lt;&gt;"","☑ Oui","☐ Non")))</f>
        <v/>
      </c>
      <c r="N1227" s="39">
        <f>IF(D1227="","",IFERROR(VALUE(MID(D1227,LEN(D1227)-3,3)),""))</f>
        <v/>
      </c>
      <c r="O1227" s="33">
        <f>IF(N1227="","",L1227&amp;"|"&amp;N1227)</f>
        <v/>
      </c>
      <c r="P1227" s="33">
        <f>IF(N1227="","",IF(L1227="À RENSEIGNER","GIC",L1227)&amp;"-"&amp;TEXT(N1227,"000"))</f>
        <v/>
      </c>
      <c r="Q1227" s="33">
        <f>IF(O1227="","",IFERROR(INDEX(Cl_nom,MATCH(O1227,Cl_cle,0)),"(client introuvable)"))</f>
        <v/>
      </c>
      <c r="R1227" s="40">
        <f>IF(O1227="","",IFERROR(INDEX(Cl_reste,MATCH(O1227,Cl_cle,0)),""))</f>
        <v/>
      </c>
      <c r="S1227" s="34">
        <f>IF(C1227="","",YEAR(C1227-WEEKDAY(C1227,2)+4)&amp;"-S"&amp;TEXT(INT((C1227-DATE(YEAR(C1227-WEEKDAY(C1227,2)+4),1,3)+WEEKDAY(DATE(YEAR(C1227-WEEKDAY(C1227,2)+4),1,3),2)+5)/7),"00"))</f>
        <v/>
      </c>
    </row>
    <row r="1228" ht="18" customHeight="1">
      <c r="A1228" s="39" t="n">
        <v>1223</v>
      </c>
      <c r="B1228" s="33">
        <f>IF(C1228="","",IF(L1228="À RENSEIGNER","GIC",L1228)&amp;"-E"&amp;TEXT(A1228,"00000"))</f>
        <v/>
      </c>
      <c r="C1228" s="32" t="n"/>
      <c r="D1228" s="36" t="n"/>
      <c r="E1228" s="37" t="n"/>
      <c r="F1228" s="36" t="n"/>
      <c r="G1228" s="44" t="n"/>
      <c r="H1228" s="43" t="n"/>
      <c r="I1228" s="32" t="n"/>
      <c r="J1228" s="44" t="n"/>
      <c r="K1228" s="36" t="n"/>
      <c r="L1228" s="33">
        <f>IF(C1228="","",Commercial_Id)</f>
        <v/>
      </c>
      <c r="M1228" s="34">
        <f>IF(OR(C1228="",F1228=""),"",IF(F1228&lt;&gt;"Espèces","—",IF(I1228&lt;&gt;"","☑ Oui","☐ Non")))</f>
        <v/>
      </c>
      <c r="N1228" s="39">
        <f>IF(D1228="","",IFERROR(VALUE(MID(D1228,LEN(D1228)-3,3)),""))</f>
        <v/>
      </c>
      <c r="O1228" s="33">
        <f>IF(N1228="","",L1228&amp;"|"&amp;N1228)</f>
        <v/>
      </c>
      <c r="P1228" s="33">
        <f>IF(N1228="","",IF(L1228="À RENSEIGNER","GIC",L1228)&amp;"-"&amp;TEXT(N1228,"000"))</f>
        <v/>
      </c>
      <c r="Q1228" s="33">
        <f>IF(O1228="","",IFERROR(INDEX(Cl_nom,MATCH(O1228,Cl_cle,0)),"(client introuvable)"))</f>
        <v/>
      </c>
      <c r="R1228" s="40">
        <f>IF(O1228="","",IFERROR(INDEX(Cl_reste,MATCH(O1228,Cl_cle,0)),""))</f>
        <v/>
      </c>
      <c r="S1228" s="34">
        <f>IF(C1228="","",YEAR(C1228-WEEKDAY(C1228,2)+4)&amp;"-S"&amp;TEXT(INT((C1228-DATE(YEAR(C1228-WEEKDAY(C1228,2)+4),1,3)+WEEKDAY(DATE(YEAR(C1228-WEEKDAY(C1228,2)+4),1,3),2)+5)/7),"00"))</f>
        <v/>
      </c>
    </row>
    <row r="1229" ht="18" customHeight="1">
      <c r="A1229" s="39" t="n">
        <v>1224</v>
      </c>
      <c r="B1229" s="33">
        <f>IF(C1229="","",IF(L1229="À RENSEIGNER","GIC",L1229)&amp;"-E"&amp;TEXT(A1229,"00000"))</f>
        <v/>
      </c>
      <c r="C1229" s="32" t="n"/>
      <c r="D1229" s="36" t="n"/>
      <c r="E1229" s="37" t="n"/>
      <c r="F1229" s="36" t="n"/>
      <c r="G1229" s="44" t="n"/>
      <c r="H1229" s="43" t="n"/>
      <c r="I1229" s="32" t="n"/>
      <c r="J1229" s="44" t="n"/>
      <c r="K1229" s="36" t="n"/>
      <c r="L1229" s="33">
        <f>IF(C1229="","",Commercial_Id)</f>
        <v/>
      </c>
      <c r="M1229" s="34">
        <f>IF(OR(C1229="",F1229=""),"",IF(F1229&lt;&gt;"Espèces","—",IF(I1229&lt;&gt;"","☑ Oui","☐ Non")))</f>
        <v/>
      </c>
      <c r="N1229" s="39">
        <f>IF(D1229="","",IFERROR(VALUE(MID(D1229,LEN(D1229)-3,3)),""))</f>
        <v/>
      </c>
      <c r="O1229" s="33">
        <f>IF(N1229="","",L1229&amp;"|"&amp;N1229)</f>
        <v/>
      </c>
      <c r="P1229" s="33">
        <f>IF(N1229="","",IF(L1229="À RENSEIGNER","GIC",L1229)&amp;"-"&amp;TEXT(N1229,"000"))</f>
        <v/>
      </c>
      <c r="Q1229" s="33">
        <f>IF(O1229="","",IFERROR(INDEX(Cl_nom,MATCH(O1229,Cl_cle,0)),"(client introuvable)"))</f>
        <v/>
      </c>
      <c r="R1229" s="40">
        <f>IF(O1229="","",IFERROR(INDEX(Cl_reste,MATCH(O1229,Cl_cle,0)),""))</f>
        <v/>
      </c>
      <c r="S1229" s="34">
        <f>IF(C1229="","",YEAR(C1229-WEEKDAY(C1229,2)+4)&amp;"-S"&amp;TEXT(INT((C1229-DATE(YEAR(C1229-WEEKDAY(C1229,2)+4),1,3)+WEEKDAY(DATE(YEAR(C1229-WEEKDAY(C1229,2)+4),1,3),2)+5)/7),"00"))</f>
        <v/>
      </c>
    </row>
    <row r="1230" ht="18" customHeight="1">
      <c r="A1230" s="39" t="n">
        <v>1225</v>
      </c>
      <c r="B1230" s="33">
        <f>IF(C1230="","",IF(L1230="À RENSEIGNER","GIC",L1230)&amp;"-E"&amp;TEXT(A1230,"00000"))</f>
        <v/>
      </c>
      <c r="C1230" s="32" t="n"/>
      <c r="D1230" s="36" t="n"/>
      <c r="E1230" s="37" t="n"/>
      <c r="F1230" s="36" t="n"/>
      <c r="G1230" s="44" t="n"/>
      <c r="H1230" s="43" t="n"/>
      <c r="I1230" s="32" t="n"/>
      <c r="J1230" s="44" t="n"/>
      <c r="K1230" s="36" t="n"/>
      <c r="L1230" s="33">
        <f>IF(C1230="","",Commercial_Id)</f>
        <v/>
      </c>
      <c r="M1230" s="34">
        <f>IF(OR(C1230="",F1230=""),"",IF(F1230&lt;&gt;"Espèces","—",IF(I1230&lt;&gt;"","☑ Oui","☐ Non")))</f>
        <v/>
      </c>
      <c r="N1230" s="39">
        <f>IF(D1230="","",IFERROR(VALUE(MID(D1230,LEN(D1230)-3,3)),""))</f>
        <v/>
      </c>
      <c r="O1230" s="33">
        <f>IF(N1230="","",L1230&amp;"|"&amp;N1230)</f>
        <v/>
      </c>
      <c r="P1230" s="33">
        <f>IF(N1230="","",IF(L1230="À RENSEIGNER","GIC",L1230)&amp;"-"&amp;TEXT(N1230,"000"))</f>
        <v/>
      </c>
      <c r="Q1230" s="33">
        <f>IF(O1230="","",IFERROR(INDEX(Cl_nom,MATCH(O1230,Cl_cle,0)),"(client introuvable)"))</f>
        <v/>
      </c>
      <c r="R1230" s="40">
        <f>IF(O1230="","",IFERROR(INDEX(Cl_reste,MATCH(O1230,Cl_cle,0)),""))</f>
        <v/>
      </c>
      <c r="S1230" s="34">
        <f>IF(C1230="","",YEAR(C1230-WEEKDAY(C1230,2)+4)&amp;"-S"&amp;TEXT(INT((C1230-DATE(YEAR(C1230-WEEKDAY(C1230,2)+4),1,3)+WEEKDAY(DATE(YEAR(C1230-WEEKDAY(C1230,2)+4),1,3),2)+5)/7),"00"))</f>
        <v/>
      </c>
    </row>
    <row r="1231" ht="18" customHeight="1">
      <c r="A1231" s="39" t="n">
        <v>1226</v>
      </c>
      <c r="B1231" s="33">
        <f>IF(C1231="","",IF(L1231="À RENSEIGNER","GIC",L1231)&amp;"-E"&amp;TEXT(A1231,"00000"))</f>
        <v/>
      </c>
      <c r="C1231" s="32" t="n"/>
      <c r="D1231" s="36" t="n"/>
      <c r="E1231" s="37" t="n"/>
      <c r="F1231" s="36" t="n"/>
      <c r="G1231" s="44" t="n"/>
      <c r="H1231" s="43" t="n"/>
      <c r="I1231" s="32" t="n"/>
      <c r="J1231" s="44" t="n"/>
      <c r="K1231" s="36" t="n"/>
      <c r="L1231" s="33">
        <f>IF(C1231="","",Commercial_Id)</f>
        <v/>
      </c>
      <c r="M1231" s="34">
        <f>IF(OR(C1231="",F1231=""),"",IF(F1231&lt;&gt;"Espèces","—",IF(I1231&lt;&gt;"","☑ Oui","☐ Non")))</f>
        <v/>
      </c>
      <c r="N1231" s="39">
        <f>IF(D1231="","",IFERROR(VALUE(MID(D1231,LEN(D1231)-3,3)),""))</f>
        <v/>
      </c>
      <c r="O1231" s="33">
        <f>IF(N1231="","",L1231&amp;"|"&amp;N1231)</f>
        <v/>
      </c>
      <c r="P1231" s="33">
        <f>IF(N1231="","",IF(L1231="À RENSEIGNER","GIC",L1231)&amp;"-"&amp;TEXT(N1231,"000"))</f>
        <v/>
      </c>
      <c r="Q1231" s="33">
        <f>IF(O1231="","",IFERROR(INDEX(Cl_nom,MATCH(O1231,Cl_cle,0)),"(client introuvable)"))</f>
        <v/>
      </c>
      <c r="R1231" s="40">
        <f>IF(O1231="","",IFERROR(INDEX(Cl_reste,MATCH(O1231,Cl_cle,0)),""))</f>
        <v/>
      </c>
      <c r="S1231" s="34">
        <f>IF(C1231="","",YEAR(C1231-WEEKDAY(C1231,2)+4)&amp;"-S"&amp;TEXT(INT((C1231-DATE(YEAR(C1231-WEEKDAY(C1231,2)+4),1,3)+WEEKDAY(DATE(YEAR(C1231-WEEKDAY(C1231,2)+4),1,3),2)+5)/7),"00"))</f>
        <v/>
      </c>
    </row>
    <row r="1232" ht="18" customHeight="1">
      <c r="A1232" s="39" t="n">
        <v>1227</v>
      </c>
      <c r="B1232" s="33">
        <f>IF(C1232="","",IF(L1232="À RENSEIGNER","GIC",L1232)&amp;"-E"&amp;TEXT(A1232,"00000"))</f>
        <v/>
      </c>
      <c r="C1232" s="32" t="n"/>
      <c r="D1232" s="36" t="n"/>
      <c r="E1232" s="37" t="n"/>
      <c r="F1232" s="36" t="n"/>
      <c r="G1232" s="44" t="n"/>
      <c r="H1232" s="43" t="n"/>
      <c r="I1232" s="32" t="n"/>
      <c r="J1232" s="44" t="n"/>
      <c r="K1232" s="36" t="n"/>
      <c r="L1232" s="33">
        <f>IF(C1232="","",Commercial_Id)</f>
        <v/>
      </c>
      <c r="M1232" s="34">
        <f>IF(OR(C1232="",F1232=""),"",IF(F1232&lt;&gt;"Espèces","—",IF(I1232&lt;&gt;"","☑ Oui","☐ Non")))</f>
        <v/>
      </c>
      <c r="N1232" s="39">
        <f>IF(D1232="","",IFERROR(VALUE(MID(D1232,LEN(D1232)-3,3)),""))</f>
        <v/>
      </c>
      <c r="O1232" s="33">
        <f>IF(N1232="","",L1232&amp;"|"&amp;N1232)</f>
        <v/>
      </c>
      <c r="P1232" s="33">
        <f>IF(N1232="","",IF(L1232="À RENSEIGNER","GIC",L1232)&amp;"-"&amp;TEXT(N1232,"000"))</f>
        <v/>
      </c>
      <c r="Q1232" s="33">
        <f>IF(O1232="","",IFERROR(INDEX(Cl_nom,MATCH(O1232,Cl_cle,0)),"(client introuvable)"))</f>
        <v/>
      </c>
      <c r="R1232" s="40">
        <f>IF(O1232="","",IFERROR(INDEX(Cl_reste,MATCH(O1232,Cl_cle,0)),""))</f>
        <v/>
      </c>
      <c r="S1232" s="34">
        <f>IF(C1232="","",YEAR(C1232-WEEKDAY(C1232,2)+4)&amp;"-S"&amp;TEXT(INT((C1232-DATE(YEAR(C1232-WEEKDAY(C1232,2)+4),1,3)+WEEKDAY(DATE(YEAR(C1232-WEEKDAY(C1232,2)+4),1,3),2)+5)/7),"00"))</f>
        <v/>
      </c>
    </row>
    <row r="1233" ht="18" customHeight="1">
      <c r="A1233" s="39" t="n">
        <v>1228</v>
      </c>
      <c r="B1233" s="33">
        <f>IF(C1233="","",IF(L1233="À RENSEIGNER","GIC",L1233)&amp;"-E"&amp;TEXT(A1233,"00000"))</f>
        <v/>
      </c>
      <c r="C1233" s="32" t="n"/>
      <c r="D1233" s="36" t="n"/>
      <c r="E1233" s="37" t="n"/>
      <c r="F1233" s="36" t="n"/>
      <c r="G1233" s="44" t="n"/>
      <c r="H1233" s="43" t="n"/>
      <c r="I1233" s="32" t="n"/>
      <c r="J1233" s="44" t="n"/>
      <c r="K1233" s="36" t="n"/>
      <c r="L1233" s="33">
        <f>IF(C1233="","",Commercial_Id)</f>
        <v/>
      </c>
      <c r="M1233" s="34">
        <f>IF(OR(C1233="",F1233=""),"",IF(F1233&lt;&gt;"Espèces","—",IF(I1233&lt;&gt;"","☑ Oui","☐ Non")))</f>
        <v/>
      </c>
      <c r="N1233" s="39">
        <f>IF(D1233="","",IFERROR(VALUE(MID(D1233,LEN(D1233)-3,3)),""))</f>
        <v/>
      </c>
      <c r="O1233" s="33">
        <f>IF(N1233="","",L1233&amp;"|"&amp;N1233)</f>
        <v/>
      </c>
      <c r="P1233" s="33">
        <f>IF(N1233="","",IF(L1233="À RENSEIGNER","GIC",L1233)&amp;"-"&amp;TEXT(N1233,"000"))</f>
        <v/>
      </c>
      <c r="Q1233" s="33">
        <f>IF(O1233="","",IFERROR(INDEX(Cl_nom,MATCH(O1233,Cl_cle,0)),"(client introuvable)"))</f>
        <v/>
      </c>
      <c r="R1233" s="40">
        <f>IF(O1233="","",IFERROR(INDEX(Cl_reste,MATCH(O1233,Cl_cle,0)),""))</f>
        <v/>
      </c>
      <c r="S1233" s="34">
        <f>IF(C1233="","",YEAR(C1233-WEEKDAY(C1233,2)+4)&amp;"-S"&amp;TEXT(INT((C1233-DATE(YEAR(C1233-WEEKDAY(C1233,2)+4),1,3)+WEEKDAY(DATE(YEAR(C1233-WEEKDAY(C1233,2)+4),1,3),2)+5)/7),"00"))</f>
        <v/>
      </c>
    </row>
    <row r="1234" ht="18" customHeight="1">
      <c r="A1234" s="39" t="n">
        <v>1229</v>
      </c>
      <c r="B1234" s="33">
        <f>IF(C1234="","",IF(L1234="À RENSEIGNER","GIC",L1234)&amp;"-E"&amp;TEXT(A1234,"00000"))</f>
        <v/>
      </c>
      <c r="C1234" s="32" t="n"/>
      <c r="D1234" s="36" t="n"/>
      <c r="E1234" s="37" t="n"/>
      <c r="F1234" s="36" t="n"/>
      <c r="G1234" s="44" t="n"/>
      <c r="H1234" s="43" t="n"/>
      <c r="I1234" s="32" t="n"/>
      <c r="J1234" s="44" t="n"/>
      <c r="K1234" s="36" t="n"/>
      <c r="L1234" s="33">
        <f>IF(C1234="","",Commercial_Id)</f>
        <v/>
      </c>
      <c r="M1234" s="34">
        <f>IF(OR(C1234="",F1234=""),"",IF(F1234&lt;&gt;"Espèces","—",IF(I1234&lt;&gt;"","☑ Oui","☐ Non")))</f>
        <v/>
      </c>
      <c r="N1234" s="39">
        <f>IF(D1234="","",IFERROR(VALUE(MID(D1234,LEN(D1234)-3,3)),""))</f>
        <v/>
      </c>
      <c r="O1234" s="33">
        <f>IF(N1234="","",L1234&amp;"|"&amp;N1234)</f>
        <v/>
      </c>
      <c r="P1234" s="33">
        <f>IF(N1234="","",IF(L1234="À RENSEIGNER","GIC",L1234)&amp;"-"&amp;TEXT(N1234,"000"))</f>
        <v/>
      </c>
      <c r="Q1234" s="33">
        <f>IF(O1234="","",IFERROR(INDEX(Cl_nom,MATCH(O1234,Cl_cle,0)),"(client introuvable)"))</f>
        <v/>
      </c>
      <c r="R1234" s="40">
        <f>IF(O1234="","",IFERROR(INDEX(Cl_reste,MATCH(O1234,Cl_cle,0)),""))</f>
        <v/>
      </c>
      <c r="S1234" s="34">
        <f>IF(C1234="","",YEAR(C1234-WEEKDAY(C1234,2)+4)&amp;"-S"&amp;TEXT(INT((C1234-DATE(YEAR(C1234-WEEKDAY(C1234,2)+4),1,3)+WEEKDAY(DATE(YEAR(C1234-WEEKDAY(C1234,2)+4),1,3),2)+5)/7),"00"))</f>
        <v/>
      </c>
    </row>
    <row r="1235" ht="18" customHeight="1">
      <c r="A1235" s="39" t="n">
        <v>1230</v>
      </c>
      <c r="B1235" s="33">
        <f>IF(C1235="","",IF(L1235="À RENSEIGNER","GIC",L1235)&amp;"-E"&amp;TEXT(A1235,"00000"))</f>
        <v/>
      </c>
      <c r="C1235" s="32" t="n"/>
      <c r="D1235" s="36" t="n"/>
      <c r="E1235" s="37" t="n"/>
      <c r="F1235" s="36" t="n"/>
      <c r="G1235" s="44" t="n"/>
      <c r="H1235" s="43" t="n"/>
      <c r="I1235" s="32" t="n"/>
      <c r="J1235" s="44" t="n"/>
      <c r="K1235" s="36" t="n"/>
      <c r="L1235" s="33">
        <f>IF(C1235="","",Commercial_Id)</f>
        <v/>
      </c>
      <c r="M1235" s="34">
        <f>IF(OR(C1235="",F1235=""),"",IF(F1235&lt;&gt;"Espèces","—",IF(I1235&lt;&gt;"","☑ Oui","☐ Non")))</f>
        <v/>
      </c>
      <c r="N1235" s="39">
        <f>IF(D1235="","",IFERROR(VALUE(MID(D1235,LEN(D1235)-3,3)),""))</f>
        <v/>
      </c>
      <c r="O1235" s="33">
        <f>IF(N1235="","",L1235&amp;"|"&amp;N1235)</f>
        <v/>
      </c>
      <c r="P1235" s="33">
        <f>IF(N1235="","",IF(L1235="À RENSEIGNER","GIC",L1235)&amp;"-"&amp;TEXT(N1235,"000"))</f>
        <v/>
      </c>
      <c r="Q1235" s="33">
        <f>IF(O1235="","",IFERROR(INDEX(Cl_nom,MATCH(O1235,Cl_cle,0)),"(client introuvable)"))</f>
        <v/>
      </c>
      <c r="R1235" s="40">
        <f>IF(O1235="","",IFERROR(INDEX(Cl_reste,MATCH(O1235,Cl_cle,0)),""))</f>
        <v/>
      </c>
      <c r="S1235" s="34">
        <f>IF(C1235="","",YEAR(C1235-WEEKDAY(C1235,2)+4)&amp;"-S"&amp;TEXT(INT((C1235-DATE(YEAR(C1235-WEEKDAY(C1235,2)+4),1,3)+WEEKDAY(DATE(YEAR(C1235-WEEKDAY(C1235,2)+4),1,3),2)+5)/7),"00"))</f>
        <v/>
      </c>
    </row>
    <row r="1236" ht="18" customHeight="1">
      <c r="A1236" s="39" t="n">
        <v>1231</v>
      </c>
      <c r="B1236" s="33">
        <f>IF(C1236="","",IF(L1236="À RENSEIGNER","GIC",L1236)&amp;"-E"&amp;TEXT(A1236,"00000"))</f>
        <v/>
      </c>
      <c r="C1236" s="32" t="n"/>
      <c r="D1236" s="36" t="n"/>
      <c r="E1236" s="37" t="n"/>
      <c r="F1236" s="36" t="n"/>
      <c r="G1236" s="44" t="n"/>
      <c r="H1236" s="43" t="n"/>
      <c r="I1236" s="32" t="n"/>
      <c r="J1236" s="44" t="n"/>
      <c r="K1236" s="36" t="n"/>
      <c r="L1236" s="33">
        <f>IF(C1236="","",Commercial_Id)</f>
        <v/>
      </c>
      <c r="M1236" s="34">
        <f>IF(OR(C1236="",F1236=""),"",IF(F1236&lt;&gt;"Espèces","—",IF(I1236&lt;&gt;"","☑ Oui","☐ Non")))</f>
        <v/>
      </c>
      <c r="N1236" s="39">
        <f>IF(D1236="","",IFERROR(VALUE(MID(D1236,LEN(D1236)-3,3)),""))</f>
        <v/>
      </c>
      <c r="O1236" s="33">
        <f>IF(N1236="","",L1236&amp;"|"&amp;N1236)</f>
        <v/>
      </c>
      <c r="P1236" s="33">
        <f>IF(N1236="","",IF(L1236="À RENSEIGNER","GIC",L1236)&amp;"-"&amp;TEXT(N1236,"000"))</f>
        <v/>
      </c>
      <c r="Q1236" s="33">
        <f>IF(O1236="","",IFERROR(INDEX(Cl_nom,MATCH(O1236,Cl_cle,0)),"(client introuvable)"))</f>
        <v/>
      </c>
      <c r="R1236" s="40">
        <f>IF(O1236="","",IFERROR(INDEX(Cl_reste,MATCH(O1236,Cl_cle,0)),""))</f>
        <v/>
      </c>
      <c r="S1236" s="34">
        <f>IF(C1236="","",YEAR(C1236-WEEKDAY(C1236,2)+4)&amp;"-S"&amp;TEXT(INT((C1236-DATE(YEAR(C1236-WEEKDAY(C1236,2)+4),1,3)+WEEKDAY(DATE(YEAR(C1236-WEEKDAY(C1236,2)+4),1,3),2)+5)/7),"00"))</f>
        <v/>
      </c>
    </row>
    <row r="1237" ht="18" customHeight="1">
      <c r="A1237" s="39" t="n">
        <v>1232</v>
      </c>
      <c r="B1237" s="33">
        <f>IF(C1237="","",IF(L1237="À RENSEIGNER","GIC",L1237)&amp;"-E"&amp;TEXT(A1237,"00000"))</f>
        <v/>
      </c>
      <c r="C1237" s="32" t="n"/>
      <c r="D1237" s="36" t="n"/>
      <c r="E1237" s="37" t="n"/>
      <c r="F1237" s="36" t="n"/>
      <c r="G1237" s="44" t="n"/>
      <c r="H1237" s="43" t="n"/>
      <c r="I1237" s="32" t="n"/>
      <c r="J1237" s="44" t="n"/>
      <c r="K1237" s="36" t="n"/>
      <c r="L1237" s="33">
        <f>IF(C1237="","",Commercial_Id)</f>
        <v/>
      </c>
      <c r="M1237" s="34">
        <f>IF(OR(C1237="",F1237=""),"",IF(F1237&lt;&gt;"Espèces","—",IF(I1237&lt;&gt;"","☑ Oui","☐ Non")))</f>
        <v/>
      </c>
      <c r="N1237" s="39">
        <f>IF(D1237="","",IFERROR(VALUE(MID(D1237,LEN(D1237)-3,3)),""))</f>
        <v/>
      </c>
      <c r="O1237" s="33">
        <f>IF(N1237="","",L1237&amp;"|"&amp;N1237)</f>
        <v/>
      </c>
      <c r="P1237" s="33">
        <f>IF(N1237="","",IF(L1237="À RENSEIGNER","GIC",L1237)&amp;"-"&amp;TEXT(N1237,"000"))</f>
        <v/>
      </c>
      <c r="Q1237" s="33">
        <f>IF(O1237="","",IFERROR(INDEX(Cl_nom,MATCH(O1237,Cl_cle,0)),"(client introuvable)"))</f>
        <v/>
      </c>
      <c r="R1237" s="40">
        <f>IF(O1237="","",IFERROR(INDEX(Cl_reste,MATCH(O1237,Cl_cle,0)),""))</f>
        <v/>
      </c>
      <c r="S1237" s="34">
        <f>IF(C1237="","",YEAR(C1237-WEEKDAY(C1237,2)+4)&amp;"-S"&amp;TEXT(INT((C1237-DATE(YEAR(C1237-WEEKDAY(C1237,2)+4),1,3)+WEEKDAY(DATE(YEAR(C1237-WEEKDAY(C1237,2)+4),1,3),2)+5)/7),"00"))</f>
        <v/>
      </c>
    </row>
    <row r="1238" ht="18" customHeight="1">
      <c r="A1238" s="39" t="n">
        <v>1233</v>
      </c>
      <c r="B1238" s="33">
        <f>IF(C1238="","",IF(L1238="À RENSEIGNER","GIC",L1238)&amp;"-E"&amp;TEXT(A1238,"00000"))</f>
        <v/>
      </c>
      <c r="C1238" s="32" t="n"/>
      <c r="D1238" s="36" t="n"/>
      <c r="E1238" s="37" t="n"/>
      <c r="F1238" s="36" t="n"/>
      <c r="G1238" s="44" t="n"/>
      <c r="H1238" s="43" t="n"/>
      <c r="I1238" s="32" t="n"/>
      <c r="J1238" s="44" t="n"/>
      <c r="K1238" s="36" t="n"/>
      <c r="L1238" s="33">
        <f>IF(C1238="","",Commercial_Id)</f>
        <v/>
      </c>
      <c r="M1238" s="34">
        <f>IF(OR(C1238="",F1238=""),"",IF(F1238&lt;&gt;"Espèces","—",IF(I1238&lt;&gt;"","☑ Oui","☐ Non")))</f>
        <v/>
      </c>
      <c r="N1238" s="39">
        <f>IF(D1238="","",IFERROR(VALUE(MID(D1238,LEN(D1238)-3,3)),""))</f>
        <v/>
      </c>
      <c r="O1238" s="33">
        <f>IF(N1238="","",L1238&amp;"|"&amp;N1238)</f>
        <v/>
      </c>
      <c r="P1238" s="33">
        <f>IF(N1238="","",IF(L1238="À RENSEIGNER","GIC",L1238)&amp;"-"&amp;TEXT(N1238,"000"))</f>
        <v/>
      </c>
      <c r="Q1238" s="33">
        <f>IF(O1238="","",IFERROR(INDEX(Cl_nom,MATCH(O1238,Cl_cle,0)),"(client introuvable)"))</f>
        <v/>
      </c>
      <c r="R1238" s="40">
        <f>IF(O1238="","",IFERROR(INDEX(Cl_reste,MATCH(O1238,Cl_cle,0)),""))</f>
        <v/>
      </c>
      <c r="S1238" s="34">
        <f>IF(C1238="","",YEAR(C1238-WEEKDAY(C1238,2)+4)&amp;"-S"&amp;TEXT(INT((C1238-DATE(YEAR(C1238-WEEKDAY(C1238,2)+4),1,3)+WEEKDAY(DATE(YEAR(C1238-WEEKDAY(C1238,2)+4),1,3),2)+5)/7),"00"))</f>
        <v/>
      </c>
    </row>
    <row r="1239" ht="18" customHeight="1">
      <c r="A1239" s="39" t="n">
        <v>1234</v>
      </c>
      <c r="B1239" s="33">
        <f>IF(C1239="","",IF(L1239="À RENSEIGNER","GIC",L1239)&amp;"-E"&amp;TEXT(A1239,"00000"))</f>
        <v/>
      </c>
      <c r="C1239" s="32" t="n"/>
      <c r="D1239" s="36" t="n"/>
      <c r="E1239" s="37" t="n"/>
      <c r="F1239" s="36" t="n"/>
      <c r="G1239" s="44" t="n"/>
      <c r="H1239" s="43" t="n"/>
      <c r="I1239" s="32" t="n"/>
      <c r="J1239" s="44" t="n"/>
      <c r="K1239" s="36" t="n"/>
      <c r="L1239" s="33">
        <f>IF(C1239="","",Commercial_Id)</f>
        <v/>
      </c>
      <c r="M1239" s="34">
        <f>IF(OR(C1239="",F1239=""),"",IF(F1239&lt;&gt;"Espèces","—",IF(I1239&lt;&gt;"","☑ Oui","☐ Non")))</f>
        <v/>
      </c>
      <c r="N1239" s="39">
        <f>IF(D1239="","",IFERROR(VALUE(MID(D1239,LEN(D1239)-3,3)),""))</f>
        <v/>
      </c>
      <c r="O1239" s="33">
        <f>IF(N1239="","",L1239&amp;"|"&amp;N1239)</f>
        <v/>
      </c>
      <c r="P1239" s="33">
        <f>IF(N1239="","",IF(L1239="À RENSEIGNER","GIC",L1239)&amp;"-"&amp;TEXT(N1239,"000"))</f>
        <v/>
      </c>
      <c r="Q1239" s="33">
        <f>IF(O1239="","",IFERROR(INDEX(Cl_nom,MATCH(O1239,Cl_cle,0)),"(client introuvable)"))</f>
        <v/>
      </c>
      <c r="R1239" s="40">
        <f>IF(O1239="","",IFERROR(INDEX(Cl_reste,MATCH(O1239,Cl_cle,0)),""))</f>
        <v/>
      </c>
      <c r="S1239" s="34">
        <f>IF(C1239="","",YEAR(C1239-WEEKDAY(C1239,2)+4)&amp;"-S"&amp;TEXT(INT((C1239-DATE(YEAR(C1239-WEEKDAY(C1239,2)+4),1,3)+WEEKDAY(DATE(YEAR(C1239-WEEKDAY(C1239,2)+4),1,3),2)+5)/7),"00"))</f>
        <v/>
      </c>
    </row>
    <row r="1240" ht="18" customHeight="1">
      <c r="A1240" s="39" t="n">
        <v>1235</v>
      </c>
      <c r="B1240" s="33">
        <f>IF(C1240="","",IF(L1240="À RENSEIGNER","GIC",L1240)&amp;"-E"&amp;TEXT(A1240,"00000"))</f>
        <v/>
      </c>
      <c r="C1240" s="32" t="n"/>
      <c r="D1240" s="36" t="n"/>
      <c r="E1240" s="37" t="n"/>
      <c r="F1240" s="36" t="n"/>
      <c r="G1240" s="44" t="n"/>
      <c r="H1240" s="43" t="n"/>
      <c r="I1240" s="32" t="n"/>
      <c r="J1240" s="44" t="n"/>
      <c r="K1240" s="36" t="n"/>
      <c r="L1240" s="33">
        <f>IF(C1240="","",Commercial_Id)</f>
        <v/>
      </c>
      <c r="M1240" s="34">
        <f>IF(OR(C1240="",F1240=""),"",IF(F1240&lt;&gt;"Espèces","—",IF(I1240&lt;&gt;"","☑ Oui","☐ Non")))</f>
        <v/>
      </c>
      <c r="N1240" s="39">
        <f>IF(D1240="","",IFERROR(VALUE(MID(D1240,LEN(D1240)-3,3)),""))</f>
        <v/>
      </c>
      <c r="O1240" s="33">
        <f>IF(N1240="","",L1240&amp;"|"&amp;N1240)</f>
        <v/>
      </c>
      <c r="P1240" s="33">
        <f>IF(N1240="","",IF(L1240="À RENSEIGNER","GIC",L1240)&amp;"-"&amp;TEXT(N1240,"000"))</f>
        <v/>
      </c>
      <c r="Q1240" s="33">
        <f>IF(O1240="","",IFERROR(INDEX(Cl_nom,MATCH(O1240,Cl_cle,0)),"(client introuvable)"))</f>
        <v/>
      </c>
      <c r="R1240" s="40">
        <f>IF(O1240="","",IFERROR(INDEX(Cl_reste,MATCH(O1240,Cl_cle,0)),""))</f>
        <v/>
      </c>
      <c r="S1240" s="34">
        <f>IF(C1240="","",YEAR(C1240-WEEKDAY(C1240,2)+4)&amp;"-S"&amp;TEXT(INT((C1240-DATE(YEAR(C1240-WEEKDAY(C1240,2)+4),1,3)+WEEKDAY(DATE(YEAR(C1240-WEEKDAY(C1240,2)+4),1,3),2)+5)/7),"00"))</f>
        <v/>
      </c>
    </row>
    <row r="1241" ht="18" customHeight="1">
      <c r="A1241" s="39" t="n">
        <v>1236</v>
      </c>
      <c r="B1241" s="33">
        <f>IF(C1241="","",IF(L1241="À RENSEIGNER","GIC",L1241)&amp;"-E"&amp;TEXT(A1241,"00000"))</f>
        <v/>
      </c>
      <c r="C1241" s="32" t="n"/>
      <c r="D1241" s="36" t="n"/>
      <c r="E1241" s="37" t="n"/>
      <c r="F1241" s="36" t="n"/>
      <c r="G1241" s="44" t="n"/>
      <c r="H1241" s="43" t="n"/>
      <c r="I1241" s="32" t="n"/>
      <c r="J1241" s="44" t="n"/>
      <c r="K1241" s="36" t="n"/>
      <c r="L1241" s="33">
        <f>IF(C1241="","",Commercial_Id)</f>
        <v/>
      </c>
      <c r="M1241" s="34">
        <f>IF(OR(C1241="",F1241=""),"",IF(F1241&lt;&gt;"Espèces","—",IF(I1241&lt;&gt;"","☑ Oui","☐ Non")))</f>
        <v/>
      </c>
      <c r="N1241" s="39">
        <f>IF(D1241="","",IFERROR(VALUE(MID(D1241,LEN(D1241)-3,3)),""))</f>
        <v/>
      </c>
      <c r="O1241" s="33">
        <f>IF(N1241="","",L1241&amp;"|"&amp;N1241)</f>
        <v/>
      </c>
      <c r="P1241" s="33">
        <f>IF(N1241="","",IF(L1241="À RENSEIGNER","GIC",L1241)&amp;"-"&amp;TEXT(N1241,"000"))</f>
        <v/>
      </c>
      <c r="Q1241" s="33">
        <f>IF(O1241="","",IFERROR(INDEX(Cl_nom,MATCH(O1241,Cl_cle,0)),"(client introuvable)"))</f>
        <v/>
      </c>
      <c r="R1241" s="40">
        <f>IF(O1241="","",IFERROR(INDEX(Cl_reste,MATCH(O1241,Cl_cle,0)),""))</f>
        <v/>
      </c>
      <c r="S1241" s="34">
        <f>IF(C1241="","",YEAR(C1241-WEEKDAY(C1241,2)+4)&amp;"-S"&amp;TEXT(INT((C1241-DATE(YEAR(C1241-WEEKDAY(C1241,2)+4),1,3)+WEEKDAY(DATE(YEAR(C1241-WEEKDAY(C1241,2)+4),1,3),2)+5)/7),"00"))</f>
        <v/>
      </c>
    </row>
    <row r="1242" ht="18" customHeight="1">
      <c r="A1242" s="39" t="n">
        <v>1237</v>
      </c>
      <c r="B1242" s="33">
        <f>IF(C1242="","",IF(L1242="À RENSEIGNER","GIC",L1242)&amp;"-E"&amp;TEXT(A1242,"00000"))</f>
        <v/>
      </c>
      <c r="C1242" s="32" t="n"/>
      <c r="D1242" s="36" t="n"/>
      <c r="E1242" s="37" t="n"/>
      <c r="F1242" s="36" t="n"/>
      <c r="G1242" s="44" t="n"/>
      <c r="H1242" s="43" t="n"/>
      <c r="I1242" s="32" t="n"/>
      <c r="J1242" s="44" t="n"/>
      <c r="K1242" s="36" t="n"/>
      <c r="L1242" s="33">
        <f>IF(C1242="","",Commercial_Id)</f>
        <v/>
      </c>
      <c r="M1242" s="34">
        <f>IF(OR(C1242="",F1242=""),"",IF(F1242&lt;&gt;"Espèces","—",IF(I1242&lt;&gt;"","☑ Oui","☐ Non")))</f>
        <v/>
      </c>
      <c r="N1242" s="39">
        <f>IF(D1242="","",IFERROR(VALUE(MID(D1242,LEN(D1242)-3,3)),""))</f>
        <v/>
      </c>
      <c r="O1242" s="33">
        <f>IF(N1242="","",L1242&amp;"|"&amp;N1242)</f>
        <v/>
      </c>
      <c r="P1242" s="33">
        <f>IF(N1242="","",IF(L1242="À RENSEIGNER","GIC",L1242)&amp;"-"&amp;TEXT(N1242,"000"))</f>
        <v/>
      </c>
      <c r="Q1242" s="33">
        <f>IF(O1242="","",IFERROR(INDEX(Cl_nom,MATCH(O1242,Cl_cle,0)),"(client introuvable)"))</f>
        <v/>
      </c>
      <c r="R1242" s="40">
        <f>IF(O1242="","",IFERROR(INDEX(Cl_reste,MATCH(O1242,Cl_cle,0)),""))</f>
        <v/>
      </c>
      <c r="S1242" s="34">
        <f>IF(C1242="","",YEAR(C1242-WEEKDAY(C1242,2)+4)&amp;"-S"&amp;TEXT(INT((C1242-DATE(YEAR(C1242-WEEKDAY(C1242,2)+4),1,3)+WEEKDAY(DATE(YEAR(C1242-WEEKDAY(C1242,2)+4),1,3),2)+5)/7),"00"))</f>
        <v/>
      </c>
    </row>
    <row r="1243" ht="18" customHeight="1">
      <c r="A1243" s="39" t="n">
        <v>1238</v>
      </c>
      <c r="B1243" s="33">
        <f>IF(C1243="","",IF(L1243="À RENSEIGNER","GIC",L1243)&amp;"-E"&amp;TEXT(A1243,"00000"))</f>
        <v/>
      </c>
      <c r="C1243" s="32" t="n"/>
      <c r="D1243" s="36" t="n"/>
      <c r="E1243" s="37" t="n"/>
      <c r="F1243" s="36" t="n"/>
      <c r="G1243" s="44" t="n"/>
      <c r="H1243" s="43" t="n"/>
      <c r="I1243" s="32" t="n"/>
      <c r="J1243" s="44" t="n"/>
      <c r="K1243" s="36" t="n"/>
      <c r="L1243" s="33">
        <f>IF(C1243="","",Commercial_Id)</f>
        <v/>
      </c>
      <c r="M1243" s="34">
        <f>IF(OR(C1243="",F1243=""),"",IF(F1243&lt;&gt;"Espèces","—",IF(I1243&lt;&gt;"","☑ Oui","☐ Non")))</f>
        <v/>
      </c>
      <c r="N1243" s="39">
        <f>IF(D1243="","",IFERROR(VALUE(MID(D1243,LEN(D1243)-3,3)),""))</f>
        <v/>
      </c>
      <c r="O1243" s="33">
        <f>IF(N1243="","",L1243&amp;"|"&amp;N1243)</f>
        <v/>
      </c>
      <c r="P1243" s="33">
        <f>IF(N1243="","",IF(L1243="À RENSEIGNER","GIC",L1243)&amp;"-"&amp;TEXT(N1243,"000"))</f>
        <v/>
      </c>
      <c r="Q1243" s="33">
        <f>IF(O1243="","",IFERROR(INDEX(Cl_nom,MATCH(O1243,Cl_cle,0)),"(client introuvable)"))</f>
        <v/>
      </c>
      <c r="R1243" s="40">
        <f>IF(O1243="","",IFERROR(INDEX(Cl_reste,MATCH(O1243,Cl_cle,0)),""))</f>
        <v/>
      </c>
      <c r="S1243" s="34">
        <f>IF(C1243="","",YEAR(C1243-WEEKDAY(C1243,2)+4)&amp;"-S"&amp;TEXT(INT((C1243-DATE(YEAR(C1243-WEEKDAY(C1243,2)+4),1,3)+WEEKDAY(DATE(YEAR(C1243-WEEKDAY(C1243,2)+4),1,3),2)+5)/7),"00"))</f>
        <v/>
      </c>
    </row>
    <row r="1244" ht="18" customHeight="1">
      <c r="A1244" s="39" t="n">
        <v>1239</v>
      </c>
      <c r="B1244" s="33">
        <f>IF(C1244="","",IF(L1244="À RENSEIGNER","GIC",L1244)&amp;"-E"&amp;TEXT(A1244,"00000"))</f>
        <v/>
      </c>
      <c r="C1244" s="32" t="n"/>
      <c r="D1244" s="36" t="n"/>
      <c r="E1244" s="37" t="n"/>
      <c r="F1244" s="36" t="n"/>
      <c r="G1244" s="44" t="n"/>
      <c r="H1244" s="43" t="n"/>
      <c r="I1244" s="32" t="n"/>
      <c r="J1244" s="44" t="n"/>
      <c r="K1244" s="36" t="n"/>
      <c r="L1244" s="33">
        <f>IF(C1244="","",Commercial_Id)</f>
        <v/>
      </c>
      <c r="M1244" s="34">
        <f>IF(OR(C1244="",F1244=""),"",IF(F1244&lt;&gt;"Espèces","—",IF(I1244&lt;&gt;"","☑ Oui","☐ Non")))</f>
        <v/>
      </c>
      <c r="N1244" s="39">
        <f>IF(D1244="","",IFERROR(VALUE(MID(D1244,LEN(D1244)-3,3)),""))</f>
        <v/>
      </c>
      <c r="O1244" s="33">
        <f>IF(N1244="","",L1244&amp;"|"&amp;N1244)</f>
        <v/>
      </c>
      <c r="P1244" s="33">
        <f>IF(N1244="","",IF(L1244="À RENSEIGNER","GIC",L1244)&amp;"-"&amp;TEXT(N1244,"000"))</f>
        <v/>
      </c>
      <c r="Q1244" s="33">
        <f>IF(O1244="","",IFERROR(INDEX(Cl_nom,MATCH(O1244,Cl_cle,0)),"(client introuvable)"))</f>
        <v/>
      </c>
      <c r="R1244" s="40">
        <f>IF(O1244="","",IFERROR(INDEX(Cl_reste,MATCH(O1244,Cl_cle,0)),""))</f>
        <v/>
      </c>
      <c r="S1244" s="34">
        <f>IF(C1244="","",YEAR(C1244-WEEKDAY(C1244,2)+4)&amp;"-S"&amp;TEXT(INT((C1244-DATE(YEAR(C1244-WEEKDAY(C1244,2)+4),1,3)+WEEKDAY(DATE(YEAR(C1244-WEEKDAY(C1244,2)+4),1,3),2)+5)/7),"00"))</f>
        <v/>
      </c>
    </row>
    <row r="1245" ht="18" customHeight="1">
      <c r="A1245" s="39" t="n">
        <v>1240</v>
      </c>
      <c r="B1245" s="33">
        <f>IF(C1245="","",IF(L1245="À RENSEIGNER","GIC",L1245)&amp;"-E"&amp;TEXT(A1245,"00000"))</f>
        <v/>
      </c>
      <c r="C1245" s="32" t="n"/>
      <c r="D1245" s="36" t="n"/>
      <c r="E1245" s="37" t="n"/>
      <c r="F1245" s="36" t="n"/>
      <c r="G1245" s="44" t="n"/>
      <c r="H1245" s="43" t="n"/>
      <c r="I1245" s="32" t="n"/>
      <c r="J1245" s="44" t="n"/>
      <c r="K1245" s="36" t="n"/>
      <c r="L1245" s="33">
        <f>IF(C1245="","",Commercial_Id)</f>
        <v/>
      </c>
      <c r="M1245" s="34">
        <f>IF(OR(C1245="",F1245=""),"",IF(F1245&lt;&gt;"Espèces","—",IF(I1245&lt;&gt;"","☑ Oui","☐ Non")))</f>
        <v/>
      </c>
      <c r="N1245" s="39">
        <f>IF(D1245="","",IFERROR(VALUE(MID(D1245,LEN(D1245)-3,3)),""))</f>
        <v/>
      </c>
      <c r="O1245" s="33">
        <f>IF(N1245="","",L1245&amp;"|"&amp;N1245)</f>
        <v/>
      </c>
      <c r="P1245" s="33">
        <f>IF(N1245="","",IF(L1245="À RENSEIGNER","GIC",L1245)&amp;"-"&amp;TEXT(N1245,"000"))</f>
        <v/>
      </c>
      <c r="Q1245" s="33">
        <f>IF(O1245="","",IFERROR(INDEX(Cl_nom,MATCH(O1245,Cl_cle,0)),"(client introuvable)"))</f>
        <v/>
      </c>
      <c r="R1245" s="40">
        <f>IF(O1245="","",IFERROR(INDEX(Cl_reste,MATCH(O1245,Cl_cle,0)),""))</f>
        <v/>
      </c>
      <c r="S1245" s="34">
        <f>IF(C1245="","",YEAR(C1245-WEEKDAY(C1245,2)+4)&amp;"-S"&amp;TEXT(INT((C1245-DATE(YEAR(C1245-WEEKDAY(C1245,2)+4),1,3)+WEEKDAY(DATE(YEAR(C1245-WEEKDAY(C1245,2)+4),1,3),2)+5)/7),"00"))</f>
        <v/>
      </c>
    </row>
    <row r="1246" ht="18" customHeight="1">
      <c r="A1246" s="39" t="n">
        <v>1241</v>
      </c>
      <c r="B1246" s="33">
        <f>IF(C1246="","",IF(L1246="À RENSEIGNER","GIC",L1246)&amp;"-E"&amp;TEXT(A1246,"00000"))</f>
        <v/>
      </c>
      <c r="C1246" s="32" t="n"/>
      <c r="D1246" s="36" t="n"/>
      <c r="E1246" s="37" t="n"/>
      <c r="F1246" s="36" t="n"/>
      <c r="G1246" s="44" t="n"/>
      <c r="H1246" s="43" t="n"/>
      <c r="I1246" s="32" t="n"/>
      <c r="J1246" s="44" t="n"/>
      <c r="K1246" s="36" t="n"/>
      <c r="L1246" s="33">
        <f>IF(C1246="","",Commercial_Id)</f>
        <v/>
      </c>
      <c r="M1246" s="34">
        <f>IF(OR(C1246="",F1246=""),"",IF(F1246&lt;&gt;"Espèces","—",IF(I1246&lt;&gt;"","☑ Oui","☐ Non")))</f>
        <v/>
      </c>
      <c r="N1246" s="39">
        <f>IF(D1246="","",IFERROR(VALUE(MID(D1246,LEN(D1246)-3,3)),""))</f>
        <v/>
      </c>
      <c r="O1246" s="33">
        <f>IF(N1246="","",L1246&amp;"|"&amp;N1246)</f>
        <v/>
      </c>
      <c r="P1246" s="33">
        <f>IF(N1246="","",IF(L1246="À RENSEIGNER","GIC",L1246)&amp;"-"&amp;TEXT(N1246,"000"))</f>
        <v/>
      </c>
      <c r="Q1246" s="33">
        <f>IF(O1246="","",IFERROR(INDEX(Cl_nom,MATCH(O1246,Cl_cle,0)),"(client introuvable)"))</f>
        <v/>
      </c>
      <c r="R1246" s="40">
        <f>IF(O1246="","",IFERROR(INDEX(Cl_reste,MATCH(O1246,Cl_cle,0)),""))</f>
        <v/>
      </c>
      <c r="S1246" s="34">
        <f>IF(C1246="","",YEAR(C1246-WEEKDAY(C1246,2)+4)&amp;"-S"&amp;TEXT(INT((C1246-DATE(YEAR(C1246-WEEKDAY(C1246,2)+4),1,3)+WEEKDAY(DATE(YEAR(C1246-WEEKDAY(C1246,2)+4),1,3),2)+5)/7),"00"))</f>
        <v/>
      </c>
    </row>
    <row r="1247" ht="18" customHeight="1">
      <c r="A1247" s="39" t="n">
        <v>1242</v>
      </c>
      <c r="B1247" s="33">
        <f>IF(C1247="","",IF(L1247="À RENSEIGNER","GIC",L1247)&amp;"-E"&amp;TEXT(A1247,"00000"))</f>
        <v/>
      </c>
      <c r="C1247" s="32" t="n"/>
      <c r="D1247" s="36" t="n"/>
      <c r="E1247" s="37" t="n"/>
      <c r="F1247" s="36" t="n"/>
      <c r="G1247" s="44" t="n"/>
      <c r="H1247" s="43" t="n"/>
      <c r="I1247" s="32" t="n"/>
      <c r="J1247" s="44" t="n"/>
      <c r="K1247" s="36" t="n"/>
      <c r="L1247" s="33">
        <f>IF(C1247="","",Commercial_Id)</f>
        <v/>
      </c>
      <c r="M1247" s="34">
        <f>IF(OR(C1247="",F1247=""),"",IF(F1247&lt;&gt;"Espèces","—",IF(I1247&lt;&gt;"","☑ Oui","☐ Non")))</f>
        <v/>
      </c>
      <c r="N1247" s="39">
        <f>IF(D1247="","",IFERROR(VALUE(MID(D1247,LEN(D1247)-3,3)),""))</f>
        <v/>
      </c>
      <c r="O1247" s="33">
        <f>IF(N1247="","",L1247&amp;"|"&amp;N1247)</f>
        <v/>
      </c>
      <c r="P1247" s="33">
        <f>IF(N1247="","",IF(L1247="À RENSEIGNER","GIC",L1247)&amp;"-"&amp;TEXT(N1247,"000"))</f>
        <v/>
      </c>
      <c r="Q1247" s="33">
        <f>IF(O1247="","",IFERROR(INDEX(Cl_nom,MATCH(O1247,Cl_cle,0)),"(client introuvable)"))</f>
        <v/>
      </c>
      <c r="R1247" s="40">
        <f>IF(O1247="","",IFERROR(INDEX(Cl_reste,MATCH(O1247,Cl_cle,0)),""))</f>
        <v/>
      </c>
      <c r="S1247" s="34">
        <f>IF(C1247="","",YEAR(C1247-WEEKDAY(C1247,2)+4)&amp;"-S"&amp;TEXT(INT((C1247-DATE(YEAR(C1247-WEEKDAY(C1247,2)+4),1,3)+WEEKDAY(DATE(YEAR(C1247-WEEKDAY(C1247,2)+4),1,3),2)+5)/7),"00"))</f>
        <v/>
      </c>
    </row>
    <row r="1248" ht="18" customHeight="1">
      <c r="A1248" s="39" t="n">
        <v>1243</v>
      </c>
      <c r="B1248" s="33">
        <f>IF(C1248="","",IF(L1248="À RENSEIGNER","GIC",L1248)&amp;"-E"&amp;TEXT(A1248,"00000"))</f>
        <v/>
      </c>
      <c r="C1248" s="32" t="n"/>
      <c r="D1248" s="36" t="n"/>
      <c r="E1248" s="37" t="n"/>
      <c r="F1248" s="36" t="n"/>
      <c r="G1248" s="44" t="n"/>
      <c r="H1248" s="43" t="n"/>
      <c r="I1248" s="32" t="n"/>
      <c r="J1248" s="44" t="n"/>
      <c r="K1248" s="36" t="n"/>
      <c r="L1248" s="33">
        <f>IF(C1248="","",Commercial_Id)</f>
        <v/>
      </c>
      <c r="M1248" s="34">
        <f>IF(OR(C1248="",F1248=""),"",IF(F1248&lt;&gt;"Espèces","—",IF(I1248&lt;&gt;"","☑ Oui","☐ Non")))</f>
        <v/>
      </c>
      <c r="N1248" s="39">
        <f>IF(D1248="","",IFERROR(VALUE(MID(D1248,LEN(D1248)-3,3)),""))</f>
        <v/>
      </c>
      <c r="O1248" s="33">
        <f>IF(N1248="","",L1248&amp;"|"&amp;N1248)</f>
        <v/>
      </c>
      <c r="P1248" s="33">
        <f>IF(N1248="","",IF(L1248="À RENSEIGNER","GIC",L1248)&amp;"-"&amp;TEXT(N1248,"000"))</f>
        <v/>
      </c>
      <c r="Q1248" s="33">
        <f>IF(O1248="","",IFERROR(INDEX(Cl_nom,MATCH(O1248,Cl_cle,0)),"(client introuvable)"))</f>
        <v/>
      </c>
      <c r="R1248" s="40">
        <f>IF(O1248="","",IFERROR(INDEX(Cl_reste,MATCH(O1248,Cl_cle,0)),""))</f>
        <v/>
      </c>
      <c r="S1248" s="34">
        <f>IF(C1248="","",YEAR(C1248-WEEKDAY(C1248,2)+4)&amp;"-S"&amp;TEXT(INT((C1248-DATE(YEAR(C1248-WEEKDAY(C1248,2)+4),1,3)+WEEKDAY(DATE(YEAR(C1248-WEEKDAY(C1248,2)+4),1,3),2)+5)/7),"00"))</f>
        <v/>
      </c>
    </row>
    <row r="1249" ht="18" customHeight="1">
      <c r="A1249" s="39" t="n">
        <v>1244</v>
      </c>
      <c r="B1249" s="33">
        <f>IF(C1249="","",IF(L1249="À RENSEIGNER","GIC",L1249)&amp;"-E"&amp;TEXT(A1249,"00000"))</f>
        <v/>
      </c>
      <c r="C1249" s="32" t="n"/>
      <c r="D1249" s="36" t="n"/>
      <c r="E1249" s="37" t="n"/>
      <c r="F1249" s="36" t="n"/>
      <c r="G1249" s="44" t="n"/>
      <c r="H1249" s="43" t="n"/>
      <c r="I1249" s="32" t="n"/>
      <c r="J1249" s="44" t="n"/>
      <c r="K1249" s="36" t="n"/>
      <c r="L1249" s="33">
        <f>IF(C1249="","",Commercial_Id)</f>
        <v/>
      </c>
      <c r="M1249" s="34">
        <f>IF(OR(C1249="",F1249=""),"",IF(F1249&lt;&gt;"Espèces","—",IF(I1249&lt;&gt;"","☑ Oui","☐ Non")))</f>
        <v/>
      </c>
      <c r="N1249" s="39">
        <f>IF(D1249="","",IFERROR(VALUE(MID(D1249,LEN(D1249)-3,3)),""))</f>
        <v/>
      </c>
      <c r="O1249" s="33">
        <f>IF(N1249="","",L1249&amp;"|"&amp;N1249)</f>
        <v/>
      </c>
      <c r="P1249" s="33">
        <f>IF(N1249="","",IF(L1249="À RENSEIGNER","GIC",L1249)&amp;"-"&amp;TEXT(N1249,"000"))</f>
        <v/>
      </c>
      <c r="Q1249" s="33">
        <f>IF(O1249="","",IFERROR(INDEX(Cl_nom,MATCH(O1249,Cl_cle,0)),"(client introuvable)"))</f>
        <v/>
      </c>
      <c r="R1249" s="40">
        <f>IF(O1249="","",IFERROR(INDEX(Cl_reste,MATCH(O1249,Cl_cle,0)),""))</f>
        <v/>
      </c>
      <c r="S1249" s="34">
        <f>IF(C1249="","",YEAR(C1249-WEEKDAY(C1249,2)+4)&amp;"-S"&amp;TEXT(INT((C1249-DATE(YEAR(C1249-WEEKDAY(C1249,2)+4),1,3)+WEEKDAY(DATE(YEAR(C1249-WEEKDAY(C1249,2)+4),1,3),2)+5)/7),"00"))</f>
        <v/>
      </c>
    </row>
    <row r="1250" ht="18" customHeight="1">
      <c r="A1250" s="39" t="n">
        <v>1245</v>
      </c>
      <c r="B1250" s="33">
        <f>IF(C1250="","",IF(L1250="À RENSEIGNER","GIC",L1250)&amp;"-E"&amp;TEXT(A1250,"00000"))</f>
        <v/>
      </c>
      <c r="C1250" s="32" t="n"/>
      <c r="D1250" s="36" t="n"/>
      <c r="E1250" s="37" t="n"/>
      <c r="F1250" s="36" t="n"/>
      <c r="G1250" s="44" t="n"/>
      <c r="H1250" s="43" t="n"/>
      <c r="I1250" s="32" t="n"/>
      <c r="J1250" s="44" t="n"/>
      <c r="K1250" s="36" t="n"/>
      <c r="L1250" s="33">
        <f>IF(C1250="","",Commercial_Id)</f>
        <v/>
      </c>
      <c r="M1250" s="34">
        <f>IF(OR(C1250="",F1250=""),"",IF(F1250&lt;&gt;"Espèces","—",IF(I1250&lt;&gt;"","☑ Oui","☐ Non")))</f>
        <v/>
      </c>
      <c r="N1250" s="39">
        <f>IF(D1250="","",IFERROR(VALUE(MID(D1250,LEN(D1250)-3,3)),""))</f>
        <v/>
      </c>
      <c r="O1250" s="33">
        <f>IF(N1250="","",L1250&amp;"|"&amp;N1250)</f>
        <v/>
      </c>
      <c r="P1250" s="33">
        <f>IF(N1250="","",IF(L1250="À RENSEIGNER","GIC",L1250)&amp;"-"&amp;TEXT(N1250,"000"))</f>
        <v/>
      </c>
      <c r="Q1250" s="33">
        <f>IF(O1250="","",IFERROR(INDEX(Cl_nom,MATCH(O1250,Cl_cle,0)),"(client introuvable)"))</f>
        <v/>
      </c>
      <c r="R1250" s="40">
        <f>IF(O1250="","",IFERROR(INDEX(Cl_reste,MATCH(O1250,Cl_cle,0)),""))</f>
        <v/>
      </c>
      <c r="S1250" s="34">
        <f>IF(C1250="","",YEAR(C1250-WEEKDAY(C1250,2)+4)&amp;"-S"&amp;TEXT(INT((C1250-DATE(YEAR(C1250-WEEKDAY(C1250,2)+4),1,3)+WEEKDAY(DATE(YEAR(C1250-WEEKDAY(C1250,2)+4),1,3),2)+5)/7),"00"))</f>
        <v/>
      </c>
    </row>
    <row r="1251" ht="18" customHeight="1">
      <c r="A1251" s="39" t="n">
        <v>1246</v>
      </c>
      <c r="B1251" s="33">
        <f>IF(C1251="","",IF(L1251="À RENSEIGNER","GIC",L1251)&amp;"-E"&amp;TEXT(A1251,"00000"))</f>
        <v/>
      </c>
      <c r="C1251" s="32" t="n"/>
      <c r="D1251" s="36" t="n"/>
      <c r="E1251" s="37" t="n"/>
      <c r="F1251" s="36" t="n"/>
      <c r="G1251" s="44" t="n"/>
      <c r="H1251" s="43" t="n"/>
      <c r="I1251" s="32" t="n"/>
      <c r="J1251" s="44" t="n"/>
      <c r="K1251" s="36" t="n"/>
      <c r="L1251" s="33">
        <f>IF(C1251="","",Commercial_Id)</f>
        <v/>
      </c>
      <c r="M1251" s="34">
        <f>IF(OR(C1251="",F1251=""),"",IF(F1251&lt;&gt;"Espèces","—",IF(I1251&lt;&gt;"","☑ Oui","☐ Non")))</f>
        <v/>
      </c>
      <c r="N1251" s="39">
        <f>IF(D1251="","",IFERROR(VALUE(MID(D1251,LEN(D1251)-3,3)),""))</f>
        <v/>
      </c>
      <c r="O1251" s="33">
        <f>IF(N1251="","",L1251&amp;"|"&amp;N1251)</f>
        <v/>
      </c>
      <c r="P1251" s="33">
        <f>IF(N1251="","",IF(L1251="À RENSEIGNER","GIC",L1251)&amp;"-"&amp;TEXT(N1251,"000"))</f>
        <v/>
      </c>
      <c r="Q1251" s="33">
        <f>IF(O1251="","",IFERROR(INDEX(Cl_nom,MATCH(O1251,Cl_cle,0)),"(client introuvable)"))</f>
        <v/>
      </c>
      <c r="R1251" s="40">
        <f>IF(O1251="","",IFERROR(INDEX(Cl_reste,MATCH(O1251,Cl_cle,0)),""))</f>
        <v/>
      </c>
      <c r="S1251" s="34">
        <f>IF(C1251="","",YEAR(C1251-WEEKDAY(C1251,2)+4)&amp;"-S"&amp;TEXT(INT((C1251-DATE(YEAR(C1251-WEEKDAY(C1251,2)+4),1,3)+WEEKDAY(DATE(YEAR(C1251-WEEKDAY(C1251,2)+4),1,3),2)+5)/7),"00"))</f>
        <v/>
      </c>
    </row>
    <row r="1252" ht="18" customHeight="1">
      <c r="A1252" s="39" t="n">
        <v>1247</v>
      </c>
      <c r="B1252" s="33">
        <f>IF(C1252="","",IF(L1252="À RENSEIGNER","GIC",L1252)&amp;"-E"&amp;TEXT(A1252,"00000"))</f>
        <v/>
      </c>
      <c r="C1252" s="32" t="n"/>
      <c r="D1252" s="36" t="n"/>
      <c r="E1252" s="37" t="n"/>
      <c r="F1252" s="36" t="n"/>
      <c r="G1252" s="44" t="n"/>
      <c r="H1252" s="43" t="n"/>
      <c r="I1252" s="32" t="n"/>
      <c r="J1252" s="44" t="n"/>
      <c r="K1252" s="36" t="n"/>
      <c r="L1252" s="33">
        <f>IF(C1252="","",Commercial_Id)</f>
        <v/>
      </c>
      <c r="M1252" s="34">
        <f>IF(OR(C1252="",F1252=""),"",IF(F1252&lt;&gt;"Espèces","—",IF(I1252&lt;&gt;"","☑ Oui","☐ Non")))</f>
        <v/>
      </c>
      <c r="N1252" s="39">
        <f>IF(D1252="","",IFERROR(VALUE(MID(D1252,LEN(D1252)-3,3)),""))</f>
        <v/>
      </c>
      <c r="O1252" s="33">
        <f>IF(N1252="","",L1252&amp;"|"&amp;N1252)</f>
        <v/>
      </c>
      <c r="P1252" s="33">
        <f>IF(N1252="","",IF(L1252="À RENSEIGNER","GIC",L1252)&amp;"-"&amp;TEXT(N1252,"000"))</f>
        <v/>
      </c>
      <c r="Q1252" s="33">
        <f>IF(O1252="","",IFERROR(INDEX(Cl_nom,MATCH(O1252,Cl_cle,0)),"(client introuvable)"))</f>
        <v/>
      </c>
      <c r="R1252" s="40">
        <f>IF(O1252="","",IFERROR(INDEX(Cl_reste,MATCH(O1252,Cl_cle,0)),""))</f>
        <v/>
      </c>
      <c r="S1252" s="34">
        <f>IF(C1252="","",YEAR(C1252-WEEKDAY(C1252,2)+4)&amp;"-S"&amp;TEXT(INT((C1252-DATE(YEAR(C1252-WEEKDAY(C1252,2)+4),1,3)+WEEKDAY(DATE(YEAR(C1252-WEEKDAY(C1252,2)+4),1,3),2)+5)/7),"00"))</f>
        <v/>
      </c>
    </row>
    <row r="1253" ht="18" customHeight="1">
      <c r="A1253" s="39" t="n">
        <v>1248</v>
      </c>
      <c r="B1253" s="33">
        <f>IF(C1253="","",IF(L1253="À RENSEIGNER","GIC",L1253)&amp;"-E"&amp;TEXT(A1253,"00000"))</f>
        <v/>
      </c>
      <c r="C1253" s="32" t="n"/>
      <c r="D1253" s="36" t="n"/>
      <c r="E1253" s="37" t="n"/>
      <c r="F1253" s="36" t="n"/>
      <c r="G1253" s="44" t="n"/>
      <c r="H1253" s="43" t="n"/>
      <c r="I1253" s="32" t="n"/>
      <c r="J1253" s="44" t="n"/>
      <c r="K1253" s="36" t="n"/>
      <c r="L1253" s="33">
        <f>IF(C1253="","",Commercial_Id)</f>
        <v/>
      </c>
      <c r="M1253" s="34">
        <f>IF(OR(C1253="",F1253=""),"",IF(F1253&lt;&gt;"Espèces","—",IF(I1253&lt;&gt;"","☑ Oui","☐ Non")))</f>
        <v/>
      </c>
      <c r="N1253" s="39">
        <f>IF(D1253="","",IFERROR(VALUE(MID(D1253,LEN(D1253)-3,3)),""))</f>
        <v/>
      </c>
      <c r="O1253" s="33">
        <f>IF(N1253="","",L1253&amp;"|"&amp;N1253)</f>
        <v/>
      </c>
      <c r="P1253" s="33">
        <f>IF(N1253="","",IF(L1253="À RENSEIGNER","GIC",L1253)&amp;"-"&amp;TEXT(N1253,"000"))</f>
        <v/>
      </c>
      <c r="Q1253" s="33">
        <f>IF(O1253="","",IFERROR(INDEX(Cl_nom,MATCH(O1253,Cl_cle,0)),"(client introuvable)"))</f>
        <v/>
      </c>
      <c r="R1253" s="40">
        <f>IF(O1253="","",IFERROR(INDEX(Cl_reste,MATCH(O1253,Cl_cle,0)),""))</f>
        <v/>
      </c>
      <c r="S1253" s="34">
        <f>IF(C1253="","",YEAR(C1253-WEEKDAY(C1253,2)+4)&amp;"-S"&amp;TEXT(INT((C1253-DATE(YEAR(C1253-WEEKDAY(C1253,2)+4),1,3)+WEEKDAY(DATE(YEAR(C1253-WEEKDAY(C1253,2)+4),1,3),2)+5)/7),"00"))</f>
        <v/>
      </c>
    </row>
    <row r="1254" ht="18" customHeight="1">
      <c r="A1254" s="39" t="n">
        <v>1249</v>
      </c>
      <c r="B1254" s="33">
        <f>IF(C1254="","",IF(L1254="À RENSEIGNER","GIC",L1254)&amp;"-E"&amp;TEXT(A1254,"00000"))</f>
        <v/>
      </c>
      <c r="C1254" s="32" t="n"/>
      <c r="D1254" s="36" t="n"/>
      <c r="E1254" s="37" t="n"/>
      <c r="F1254" s="36" t="n"/>
      <c r="G1254" s="44" t="n"/>
      <c r="H1254" s="43" t="n"/>
      <c r="I1254" s="32" t="n"/>
      <c r="J1254" s="44" t="n"/>
      <c r="K1254" s="36" t="n"/>
      <c r="L1254" s="33">
        <f>IF(C1254="","",Commercial_Id)</f>
        <v/>
      </c>
      <c r="M1254" s="34">
        <f>IF(OR(C1254="",F1254=""),"",IF(F1254&lt;&gt;"Espèces","—",IF(I1254&lt;&gt;"","☑ Oui","☐ Non")))</f>
        <v/>
      </c>
      <c r="N1254" s="39">
        <f>IF(D1254="","",IFERROR(VALUE(MID(D1254,LEN(D1254)-3,3)),""))</f>
        <v/>
      </c>
      <c r="O1254" s="33">
        <f>IF(N1254="","",L1254&amp;"|"&amp;N1254)</f>
        <v/>
      </c>
      <c r="P1254" s="33">
        <f>IF(N1254="","",IF(L1254="À RENSEIGNER","GIC",L1254)&amp;"-"&amp;TEXT(N1254,"000"))</f>
        <v/>
      </c>
      <c r="Q1254" s="33">
        <f>IF(O1254="","",IFERROR(INDEX(Cl_nom,MATCH(O1254,Cl_cle,0)),"(client introuvable)"))</f>
        <v/>
      </c>
      <c r="R1254" s="40">
        <f>IF(O1254="","",IFERROR(INDEX(Cl_reste,MATCH(O1254,Cl_cle,0)),""))</f>
        <v/>
      </c>
      <c r="S1254" s="34">
        <f>IF(C1254="","",YEAR(C1254-WEEKDAY(C1254,2)+4)&amp;"-S"&amp;TEXT(INT((C1254-DATE(YEAR(C1254-WEEKDAY(C1254,2)+4),1,3)+WEEKDAY(DATE(YEAR(C1254-WEEKDAY(C1254,2)+4),1,3),2)+5)/7),"00"))</f>
        <v/>
      </c>
    </row>
    <row r="1255" ht="18" customHeight="1">
      <c r="A1255" s="39" t="n">
        <v>1250</v>
      </c>
      <c r="B1255" s="33">
        <f>IF(C1255="","",IF(L1255="À RENSEIGNER","GIC",L1255)&amp;"-E"&amp;TEXT(A1255,"00000"))</f>
        <v/>
      </c>
      <c r="C1255" s="32" t="n"/>
      <c r="D1255" s="36" t="n"/>
      <c r="E1255" s="37" t="n"/>
      <c r="F1255" s="36" t="n"/>
      <c r="G1255" s="44" t="n"/>
      <c r="H1255" s="43" t="n"/>
      <c r="I1255" s="32" t="n"/>
      <c r="J1255" s="44" t="n"/>
      <c r="K1255" s="36" t="n"/>
      <c r="L1255" s="33">
        <f>IF(C1255="","",Commercial_Id)</f>
        <v/>
      </c>
      <c r="M1255" s="34">
        <f>IF(OR(C1255="",F1255=""),"",IF(F1255&lt;&gt;"Espèces","—",IF(I1255&lt;&gt;"","☑ Oui","☐ Non")))</f>
        <v/>
      </c>
      <c r="N1255" s="39">
        <f>IF(D1255="","",IFERROR(VALUE(MID(D1255,LEN(D1255)-3,3)),""))</f>
        <v/>
      </c>
      <c r="O1255" s="33">
        <f>IF(N1255="","",L1255&amp;"|"&amp;N1255)</f>
        <v/>
      </c>
      <c r="P1255" s="33">
        <f>IF(N1255="","",IF(L1255="À RENSEIGNER","GIC",L1255)&amp;"-"&amp;TEXT(N1255,"000"))</f>
        <v/>
      </c>
      <c r="Q1255" s="33">
        <f>IF(O1255="","",IFERROR(INDEX(Cl_nom,MATCH(O1255,Cl_cle,0)),"(client introuvable)"))</f>
        <v/>
      </c>
      <c r="R1255" s="40">
        <f>IF(O1255="","",IFERROR(INDEX(Cl_reste,MATCH(O1255,Cl_cle,0)),""))</f>
        <v/>
      </c>
      <c r="S1255" s="34">
        <f>IF(C1255="","",YEAR(C1255-WEEKDAY(C1255,2)+4)&amp;"-S"&amp;TEXT(INT((C1255-DATE(YEAR(C1255-WEEKDAY(C1255,2)+4),1,3)+WEEKDAY(DATE(YEAR(C1255-WEEKDAY(C1255,2)+4),1,3),2)+5)/7),"00"))</f>
        <v/>
      </c>
    </row>
    <row r="1256" ht="18" customHeight="1">
      <c r="A1256" s="39" t="n">
        <v>1251</v>
      </c>
      <c r="B1256" s="33">
        <f>IF(C1256="","",IF(L1256="À RENSEIGNER","GIC",L1256)&amp;"-E"&amp;TEXT(A1256,"00000"))</f>
        <v/>
      </c>
      <c r="C1256" s="32" t="n"/>
      <c r="D1256" s="36" t="n"/>
      <c r="E1256" s="37" t="n"/>
      <c r="F1256" s="36" t="n"/>
      <c r="G1256" s="44" t="n"/>
      <c r="H1256" s="43" t="n"/>
      <c r="I1256" s="32" t="n"/>
      <c r="J1256" s="44" t="n"/>
      <c r="K1256" s="36" t="n"/>
      <c r="L1256" s="33">
        <f>IF(C1256="","",Commercial_Id)</f>
        <v/>
      </c>
      <c r="M1256" s="34">
        <f>IF(OR(C1256="",F1256=""),"",IF(F1256&lt;&gt;"Espèces","—",IF(I1256&lt;&gt;"","☑ Oui","☐ Non")))</f>
        <v/>
      </c>
      <c r="N1256" s="39">
        <f>IF(D1256="","",IFERROR(VALUE(MID(D1256,LEN(D1256)-3,3)),""))</f>
        <v/>
      </c>
      <c r="O1256" s="33">
        <f>IF(N1256="","",L1256&amp;"|"&amp;N1256)</f>
        <v/>
      </c>
      <c r="P1256" s="33">
        <f>IF(N1256="","",IF(L1256="À RENSEIGNER","GIC",L1256)&amp;"-"&amp;TEXT(N1256,"000"))</f>
        <v/>
      </c>
      <c r="Q1256" s="33">
        <f>IF(O1256="","",IFERROR(INDEX(Cl_nom,MATCH(O1256,Cl_cle,0)),"(client introuvable)"))</f>
        <v/>
      </c>
      <c r="R1256" s="40">
        <f>IF(O1256="","",IFERROR(INDEX(Cl_reste,MATCH(O1256,Cl_cle,0)),""))</f>
        <v/>
      </c>
      <c r="S1256" s="34">
        <f>IF(C1256="","",YEAR(C1256-WEEKDAY(C1256,2)+4)&amp;"-S"&amp;TEXT(INT((C1256-DATE(YEAR(C1256-WEEKDAY(C1256,2)+4),1,3)+WEEKDAY(DATE(YEAR(C1256-WEEKDAY(C1256,2)+4),1,3),2)+5)/7),"00"))</f>
        <v/>
      </c>
    </row>
    <row r="1257" ht="18" customHeight="1">
      <c r="A1257" s="39" t="n">
        <v>1252</v>
      </c>
      <c r="B1257" s="33">
        <f>IF(C1257="","",IF(L1257="À RENSEIGNER","GIC",L1257)&amp;"-E"&amp;TEXT(A1257,"00000"))</f>
        <v/>
      </c>
      <c r="C1257" s="32" t="n"/>
      <c r="D1257" s="36" t="n"/>
      <c r="E1257" s="37" t="n"/>
      <c r="F1257" s="36" t="n"/>
      <c r="G1257" s="44" t="n"/>
      <c r="H1257" s="43" t="n"/>
      <c r="I1257" s="32" t="n"/>
      <c r="J1257" s="44" t="n"/>
      <c r="K1257" s="36" t="n"/>
      <c r="L1257" s="33">
        <f>IF(C1257="","",Commercial_Id)</f>
        <v/>
      </c>
      <c r="M1257" s="34">
        <f>IF(OR(C1257="",F1257=""),"",IF(F1257&lt;&gt;"Espèces","—",IF(I1257&lt;&gt;"","☑ Oui","☐ Non")))</f>
        <v/>
      </c>
      <c r="N1257" s="39">
        <f>IF(D1257="","",IFERROR(VALUE(MID(D1257,LEN(D1257)-3,3)),""))</f>
        <v/>
      </c>
      <c r="O1257" s="33">
        <f>IF(N1257="","",L1257&amp;"|"&amp;N1257)</f>
        <v/>
      </c>
      <c r="P1257" s="33">
        <f>IF(N1257="","",IF(L1257="À RENSEIGNER","GIC",L1257)&amp;"-"&amp;TEXT(N1257,"000"))</f>
        <v/>
      </c>
      <c r="Q1257" s="33">
        <f>IF(O1257="","",IFERROR(INDEX(Cl_nom,MATCH(O1257,Cl_cle,0)),"(client introuvable)"))</f>
        <v/>
      </c>
      <c r="R1257" s="40">
        <f>IF(O1257="","",IFERROR(INDEX(Cl_reste,MATCH(O1257,Cl_cle,0)),""))</f>
        <v/>
      </c>
      <c r="S1257" s="34">
        <f>IF(C1257="","",YEAR(C1257-WEEKDAY(C1257,2)+4)&amp;"-S"&amp;TEXT(INT((C1257-DATE(YEAR(C1257-WEEKDAY(C1257,2)+4),1,3)+WEEKDAY(DATE(YEAR(C1257-WEEKDAY(C1257,2)+4),1,3),2)+5)/7),"00"))</f>
        <v/>
      </c>
    </row>
    <row r="1258" ht="18" customHeight="1">
      <c r="A1258" s="39" t="n">
        <v>1253</v>
      </c>
      <c r="B1258" s="33">
        <f>IF(C1258="","",IF(L1258="À RENSEIGNER","GIC",L1258)&amp;"-E"&amp;TEXT(A1258,"00000"))</f>
        <v/>
      </c>
      <c r="C1258" s="32" t="n"/>
      <c r="D1258" s="36" t="n"/>
      <c r="E1258" s="37" t="n"/>
      <c r="F1258" s="36" t="n"/>
      <c r="G1258" s="44" t="n"/>
      <c r="H1258" s="43" t="n"/>
      <c r="I1258" s="32" t="n"/>
      <c r="J1258" s="44" t="n"/>
      <c r="K1258" s="36" t="n"/>
      <c r="L1258" s="33">
        <f>IF(C1258="","",Commercial_Id)</f>
        <v/>
      </c>
      <c r="M1258" s="34">
        <f>IF(OR(C1258="",F1258=""),"",IF(F1258&lt;&gt;"Espèces","—",IF(I1258&lt;&gt;"","☑ Oui","☐ Non")))</f>
        <v/>
      </c>
      <c r="N1258" s="39">
        <f>IF(D1258="","",IFERROR(VALUE(MID(D1258,LEN(D1258)-3,3)),""))</f>
        <v/>
      </c>
      <c r="O1258" s="33">
        <f>IF(N1258="","",L1258&amp;"|"&amp;N1258)</f>
        <v/>
      </c>
      <c r="P1258" s="33">
        <f>IF(N1258="","",IF(L1258="À RENSEIGNER","GIC",L1258)&amp;"-"&amp;TEXT(N1258,"000"))</f>
        <v/>
      </c>
      <c r="Q1258" s="33">
        <f>IF(O1258="","",IFERROR(INDEX(Cl_nom,MATCH(O1258,Cl_cle,0)),"(client introuvable)"))</f>
        <v/>
      </c>
      <c r="R1258" s="40">
        <f>IF(O1258="","",IFERROR(INDEX(Cl_reste,MATCH(O1258,Cl_cle,0)),""))</f>
        <v/>
      </c>
      <c r="S1258" s="34">
        <f>IF(C1258="","",YEAR(C1258-WEEKDAY(C1258,2)+4)&amp;"-S"&amp;TEXT(INT((C1258-DATE(YEAR(C1258-WEEKDAY(C1258,2)+4),1,3)+WEEKDAY(DATE(YEAR(C1258-WEEKDAY(C1258,2)+4),1,3),2)+5)/7),"00"))</f>
        <v/>
      </c>
    </row>
    <row r="1259" ht="18" customHeight="1">
      <c r="A1259" s="39" t="n">
        <v>1254</v>
      </c>
      <c r="B1259" s="33">
        <f>IF(C1259="","",IF(L1259="À RENSEIGNER","GIC",L1259)&amp;"-E"&amp;TEXT(A1259,"00000"))</f>
        <v/>
      </c>
      <c r="C1259" s="32" t="n"/>
      <c r="D1259" s="36" t="n"/>
      <c r="E1259" s="37" t="n"/>
      <c r="F1259" s="36" t="n"/>
      <c r="G1259" s="44" t="n"/>
      <c r="H1259" s="43" t="n"/>
      <c r="I1259" s="32" t="n"/>
      <c r="J1259" s="44" t="n"/>
      <c r="K1259" s="36" t="n"/>
      <c r="L1259" s="33">
        <f>IF(C1259="","",Commercial_Id)</f>
        <v/>
      </c>
      <c r="M1259" s="34">
        <f>IF(OR(C1259="",F1259=""),"",IF(F1259&lt;&gt;"Espèces","—",IF(I1259&lt;&gt;"","☑ Oui","☐ Non")))</f>
        <v/>
      </c>
      <c r="N1259" s="39">
        <f>IF(D1259="","",IFERROR(VALUE(MID(D1259,LEN(D1259)-3,3)),""))</f>
        <v/>
      </c>
      <c r="O1259" s="33">
        <f>IF(N1259="","",L1259&amp;"|"&amp;N1259)</f>
        <v/>
      </c>
      <c r="P1259" s="33">
        <f>IF(N1259="","",IF(L1259="À RENSEIGNER","GIC",L1259)&amp;"-"&amp;TEXT(N1259,"000"))</f>
        <v/>
      </c>
      <c r="Q1259" s="33">
        <f>IF(O1259="","",IFERROR(INDEX(Cl_nom,MATCH(O1259,Cl_cle,0)),"(client introuvable)"))</f>
        <v/>
      </c>
      <c r="R1259" s="40">
        <f>IF(O1259="","",IFERROR(INDEX(Cl_reste,MATCH(O1259,Cl_cle,0)),""))</f>
        <v/>
      </c>
      <c r="S1259" s="34">
        <f>IF(C1259="","",YEAR(C1259-WEEKDAY(C1259,2)+4)&amp;"-S"&amp;TEXT(INT((C1259-DATE(YEAR(C1259-WEEKDAY(C1259,2)+4),1,3)+WEEKDAY(DATE(YEAR(C1259-WEEKDAY(C1259,2)+4),1,3),2)+5)/7),"00"))</f>
        <v/>
      </c>
    </row>
    <row r="1260" ht="18" customHeight="1">
      <c r="A1260" s="39" t="n">
        <v>1255</v>
      </c>
      <c r="B1260" s="33">
        <f>IF(C1260="","",IF(L1260="À RENSEIGNER","GIC",L1260)&amp;"-E"&amp;TEXT(A1260,"00000"))</f>
        <v/>
      </c>
      <c r="C1260" s="32" t="n"/>
      <c r="D1260" s="36" t="n"/>
      <c r="E1260" s="37" t="n"/>
      <c r="F1260" s="36" t="n"/>
      <c r="G1260" s="44" t="n"/>
      <c r="H1260" s="43" t="n"/>
      <c r="I1260" s="32" t="n"/>
      <c r="J1260" s="44" t="n"/>
      <c r="K1260" s="36" t="n"/>
      <c r="L1260" s="33">
        <f>IF(C1260="","",Commercial_Id)</f>
        <v/>
      </c>
      <c r="M1260" s="34">
        <f>IF(OR(C1260="",F1260=""),"",IF(F1260&lt;&gt;"Espèces","—",IF(I1260&lt;&gt;"","☑ Oui","☐ Non")))</f>
        <v/>
      </c>
      <c r="N1260" s="39">
        <f>IF(D1260="","",IFERROR(VALUE(MID(D1260,LEN(D1260)-3,3)),""))</f>
        <v/>
      </c>
      <c r="O1260" s="33">
        <f>IF(N1260="","",L1260&amp;"|"&amp;N1260)</f>
        <v/>
      </c>
      <c r="P1260" s="33">
        <f>IF(N1260="","",IF(L1260="À RENSEIGNER","GIC",L1260)&amp;"-"&amp;TEXT(N1260,"000"))</f>
        <v/>
      </c>
      <c r="Q1260" s="33">
        <f>IF(O1260="","",IFERROR(INDEX(Cl_nom,MATCH(O1260,Cl_cle,0)),"(client introuvable)"))</f>
        <v/>
      </c>
      <c r="R1260" s="40">
        <f>IF(O1260="","",IFERROR(INDEX(Cl_reste,MATCH(O1260,Cl_cle,0)),""))</f>
        <v/>
      </c>
      <c r="S1260" s="34">
        <f>IF(C1260="","",YEAR(C1260-WEEKDAY(C1260,2)+4)&amp;"-S"&amp;TEXT(INT((C1260-DATE(YEAR(C1260-WEEKDAY(C1260,2)+4),1,3)+WEEKDAY(DATE(YEAR(C1260-WEEKDAY(C1260,2)+4),1,3),2)+5)/7),"00"))</f>
        <v/>
      </c>
    </row>
    <row r="1261" ht="18" customHeight="1">
      <c r="A1261" s="39" t="n">
        <v>1256</v>
      </c>
      <c r="B1261" s="33">
        <f>IF(C1261="","",IF(L1261="À RENSEIGNER","GIC",L1261)&amp;"-E"&amp;TEXT(A1261,"00000"))</f>
        <v/>
      </c>
      <c r="C1261" s="32" t="n"/>
      <c r="D1261" s="36" t="n"/>
      <c r="E1261" s="37" t="n"/>
      <c r="F1261" s="36" t="n"/>
      <c r="G1261" s="44" t="n"/>
      <c r="H1261" s="43" t="n"/>
      <c r="I1261" s="32" t="n"/>
      <c r="J1261" s="44" t="n"/>
      <c r="K1261" s="36" t="n"/>
      <c r="L1261" s="33">
        <f>IF(C1261="","",Commercial_Id)</f>
        <v/>
      </c>
      <c r="M1261" s="34">
        <f>IF(OR(C1261="",F1261=""),"",IF(F1261&lt;&gt;"Espèces","—",IF(I1261&lt;&gt;"","☑ Oui","☐ Non")))</f>
        <v/>
      </c>
      <c r="N1261" s="39">
        <f>IF(D1261="","",IFERROR(VALUE(MID(D1261,LEN(D1261)-3,3)),""))</f>
        <v/>
      </c>
      <c r="O1261" s="33">
        <f>IF(N1261="","",L1261&amp;"|"&amp;N1261)</f>
        <v/>
      </c>
      <c r="P1261" s="33">
        <f>IF(N1261="","",IF(L1261="À RENSEIGNER","GIC",L1261)&amp;"-"&amp;TEXT(N1261,"000"))</f>
        <v/>
      </c>
      <c r="Q1261" s="33">
        <f>IF(O1261="","",IFERROR(INDEX(Cl_nom,MATCH(O1261,Cl_cle,0)),"(client introuvable)"))</f>
        <v/>
      </c>
      <c r="R1261" s="40">
        <f>IF(O1261="","",IFERROR(INDEX(Cl_reste,MATCH(O1261,Cl_cle,0)),""))</f>
        <v/>
      </c>
      <c r="S1261" s="34">
        <f>IF(C1261="","",YEAR(C1261-WEEKDAY(C1261,2)+4)&amp;"-S"&amp;TEXT(INT((C1261-DATE(YEAR(C1261-WEEKDAY(C1261,2)+4),1,3)+WEEKDAY(DATE(YEAR(C1261-WEEKDAY(C1261,2)+4),1,3),2)+5)/7),"00"))</f>
        <v/>
      </c>
    </row>
    <row r="1262" ht="18" customHeight="1">
      <c r="A1262" s="39" t="n">
        <v>1257</v>
      </c>
      <c r="B1262" s="33">
        <f>IF(C1262="","",IF(L1262="À RENSEIGNER","GIC",L1262)&amp;"-E"&amp;TEXT(A1262,"00000"))</f>
        <v/>
      </c>
      <c r="C1262" s="32" t="n"/>
      <c r="D1262" s="36" t="n"/>
      <c r="E1262" s="37" t="n"/>
      <c r="F1262" s="36" t="n"/>
      <c r="G1262" s="44" t="n"/>
      <c r="H1262" s="43" t="n"/>
      <c r="I1262" s="32" t="n"/>
      <c r="J1262" s="44" t="n"/>
      <c r="K1262" s="36" t="n"/>
      <c r="L1262" s="33">
        <f>IF(C1262="","",Commercial_Id)</f>
        <v/>
      </c>
      <c r="M1262" s="34">
        <f>IF(OR(C1262="",F1262=""),"",IF(F1262&lt;&gt;"Espèces","—",IF(I1262&lt;&gt;"","☑ Oui","☐ Non")))</f>
        <v/>
      </c>
      <c r="N1262" s="39">
        <f>IF(D1262="","",IFERROR(VALUE(MID(D1262,LEN(D1262)-3,3)),""))</f>
        <v/>
      </c>
      <c r="O1262" s="33">
        <f>IF(N1262="","",L1262&amp;"|"&amp;N1262)</f>
        <v/>
      </c>
      <c r="P1262" s="33">
        <f>IF(N1262="","",IF(L1262="À RENSEIGNER","GIC",L1262)&amp;"-"&amp;TEXT(N1262,"000"))</f>
        <v/>
      </c>
      <c r="Q1262" s="33">
        <f>IF(O1262="","",IFERROR(INDEX(Cl_nom,MATCH(O1262,Cl_cle,0)),"(client introuvable)"))</f>
        <v/>
      </c>
      <c r="R1262" s="40">
        <f>IF(O1262="","",IFERROR(INDEX(Cl_reste,MATCH(O1262,Cl_cle,0)),""))</f>
        <v/>
      </c>
      <c r="S1262" s="34">
        <f>IF(C1262="","",YEAR(C1262-WEEKDAY(C1262,2)+4)&amp;"-S"&amp;TEXT(INT((C1262-DATE(YEAR(C1262-WEEKDAY(C1262,2)+4),1,3)+WEEKDAY(DATE(YEAR(C1262-WEEKDAY(C1262,2)+4),1,3),2)+5)/7),"00"))</f>
        <v/>
      </c>
    </row>
    <row r="1263" ht="18" customHeight="1">
      <c r="A1263" s="39" t="n">
        <v>1258</v>
      </c>
      <c r="B1263" s="33">
        <f>IF(C1263="","",IF(L1263="À RENSEIGNER","GIC",L1263)&amp;"-E"&amp;TEXT(A1263,"00000"))</f>
        <v/>
      </c>
      <c r="C1263" s="32" t="n"/>
      <c r="D1263" s="36" t="n"/>
      <c r="E1263" s="37" t="n"/>
      <c r="F1263" s="36" t="n"/>
      <c r="G1263" s="44" t="n"/>
      <c r="H1263" s="43" t="n"/>
      <c r="I1263" s="32" t="n"/>
      <c r="J1263" s="44" t="n"/>
      <c r="K1263" s="36" t="n"/>
      <c r="L1263" s="33">
        <f>IF(C1263="","",Commercial_Id)</f>
        <v/>
      </c>
      <c r="M1263" s="34">
        <f>IF(OR(C1263="",F1263=""),"",IF(F1263&lt;&gt;"Espèces","—",IF(I1263&lt;&gt;"","☑ Oui","☐ Non")))</f>
        <v/>
      </c>
      <c r="N1263" s="39">
        <f>IF(D1263="","",IFERROR(VALUE(MID(D1263,LEN(D1263)-3,3)),""))</f>
        <v/>
      </c>
      <c r="O1263" s="33">
        <f>IF(N1263="","",L1263&amp;"|"&amp;N1263)</f>
        <v/>
      </c>
      <c r="P1263" s="33">
        <f>IF(N1263="","",IF(L1263="À RENSEIGNER","GIC",L1263)&amp;"-"&amp;TEXT(N1263,"000"))</f>
        <v/>
      </c>
      <c r="Q1263" s="33">
        <f>IF(O1263="","",IFERROR(INDEX(Cl_nom,MATCH(O1263,Cl_cle,0)),"(client introuvable)"))</f>
        <v/>
      </c>
      <c r="R1263" s="40">
        <f>IF(O1263="","",IFERROR(INDEX(Cl_reste,MATCH(O1263,Cl_cle,0)),""))</f>
        <v/>
      </c>
      <c r="S1263" s="34">
        <f>IF(C1263="","",YEAR(C1263-WEEKDAY(C1263,2)+4)&amp;"-S"&amp;TEXT(INT((C1263-DATE(YEAR(C1263-WEEKDAY(C1263,2)+4),1,3)+WEEKDAY(DATE(YEAR(C1263-WEEKDAY(C1263,2)+4),1,3),2)+5)/7),"00"))</f>
        <v/>
      </c>
    </row>
    <row r="1264" ht="18" customHeight="1">
      <c r="A1264" s="39" t="n">
        <v>1259</v>
      </c>
      <c r="B1264" s="33">
        <f>IF(C1264="","",IF(L1264="À RENSEIGNER","GIC",L1264)&amp;"-E"&amp;TEXT(A1264,"00000"))</f>
        <v/>
      </c>
      <c r="C1264" s="32" t="n"/>
      <c r="D1264" s="36" t="n"/>
      <c r="E1264" s="37" t="n"/>
      <c r="F1264" s="36" t="n"/>
      <c r="G1264" s="44" t="n"/>
      <c r="H1264" s="43" t="n"/>
      <c r="I1264" s="32" t="n"/>
      <c r="J1264" s="44" t="n"/>
      <c r="K1264" s="36" t="n"/>
      <c r="L1264" s="33">
        <f>IF(C1264="","",Commercial_Id)</f>
        <v/>
      </c>
      <c r="M1264" s="34">
        <f>IF(OR(C1264="",F1264=""),"",IF(F1264&lt;&gt;"Espèces","—",IF(I1264&lt;&gt;"","☑ Oui","☐ Non")))</f>
        <v/>
      </c>
      <c r="N1264" s="39">
        <f>IF(D1264="","",IFERROR(VALUE(MID(D1264,LEN(D1264)-3,3)),""))</f>
        <v/>
      </c>
      <c r="O1264" s="33">
        <f>IF(N1264="","",L1264&amp;"|"&amp;N1264)</f>
        <v/>
      </c>
      <c r="P1264" s="33">
        <f>IF(N1264="","",IF(L1264="À RENSEIGNER","GIC",L1264)&amp;"-"&amp;TEXT(N1264,"000"))</f>
        <v/>
      </c>
      <c r="Q1264" s="33">
        <f>IF(O1264="","",IFERROR(INDEX(Cl_nom,MATCH(O1264,Cl_cle,0)),"(client introuvable)"))</f>
        <v/>
      </c>
      <c r="R1264" s="40">
        <f>IF(O1264="","",IFERROR(INDEX(Cl_reste,MATCH(O1264,Cl_cle,0)),""))</f>
        <v/>
      </c>
      <c r="S1264" s="34">
        <f>IF(C1264="","",YEAR(C1264-WEEKDAY(C1264,2)+4)&amp;"-S"&amp;TEXT(INT((C1264-DATE(YEAR(C1264-WEEKDAY(C1264,2)+4),1,3)+WEEKDAY(DATE(YEAR(C1264-WEEKDAY(C1264,2)+4),1,3),2)+5)/7),"00"))</f>
        <v/>
      </c>
    </row>
    <row r="1265" ht="18" customHeight="1">
      <c r="A1265" s="39" t="n">
        <v>1260</v>
      </c>
      <c r="B1265" s="33">
        <f>IF(C1265="","",IF(L1265="À RENSEIGNER","GIC",L1265)&amp;"-E"&amp;TEXT(A1265,"00000"))</f>
        <v/>
      </c>
      <c r="C1265" s="32" t="n"/>
      <c r="D1265" s="36" t="n"/>
      <c r="E1265" s="37" t="n"/>
      <c r="F1265" s="36" t="n"/>
      <c r="G1265" s="44" t="n"/>
      <c r="H1265" s="43" t="n"/>
      <c r="I1265" s="32" t="n"/>
      <c r="J1265" s="44" t="n"/>
      <c r="K1265" s="36" t="n"/>
      <c r="L1265" s="33">
        <f>IF(C1265="","",Commercial_Id)</f>
        <v/>
      </c>
      <c r="M1265" s="34">
        <f>IF(OR(C1265="",F1265=""),"",IF(F1265&lt;&gt;"Espèces","—",IF(I1265&lt;&gt;"","☑ Oui","☐ Non")))</f>
        <v/>
      </c>
      <c r="N1265" s="39">
        <f>IF(D1265="","",IFERROR(VALUE(MID(D1265,LEN(D1265)-3,3)),""))</f>
        <v/>
      </c>
      <c r="O1265" s="33">
        <f>IF(N1265="","",L1265&amp;"|"&amp;N1265)</f>
        <v/>
      </c>
      <c r="P1265" s="33">
        <f>IF(N1265="","",IF(L1265="À RENSEIGNER","GIC",L1265)&amp;"-"&amp;TEXT(N1265,"000"))</f>
        <v/>
      </c>
      <c r="Q1265" s="33">
        <f>IF(O1265="","",IFERROR(INDEX(Cl_nom,MATCH(O1265,Cl_cle,0)),"(client introuvable)"))</f>
        <v/>
      </c>
      <c r="R1265" s="40">
        <f>IF(O1265="","",IFERROR(INDEX(Cl_reste,MATCH(O1265,Cl_cle,0)),""))</f>
        <v/>
      </c>
      <c r="S1265" s="34">
        <f>IF(C1265="","",YEAR(C1265-WEEKDAY(C1265,2)+4)&amp;"-S"&amp;TEXT(INT((C1265-DATE(YEAR(C1265-WEEKDAY(C1265,2)+4),1,3)+WEEKDAY(DATE(YEAR(C1265-WEEKDAY(C1265,2)+4),1,3),2)+5)/7),"00"))</f>
        <v/>
      </c>
    </row>
    <row r="1266" ht="18" customHeight="1">
      <c r="A1266" s="39" t="n">
        <v>1261</v>
      </c>
      <c r="B1266" s="33">
        <f>IF(C1266="","",IF(L1266="À RENSEIGNER","GIC",L1266)&amp;"-E"&amp;TEXT(A1266,"00000"))</f>
        <v/>
      </c>
      <c r="C1266" s="32" t="n"/>
      <c r="D1266" s="36" t="n"/>
      <c r="E1266" s="37" t="n"/>
      <c r="F1266" s="36" t="n"/>
      <c r="G1266" s="44" t="n"/>
      <c r="H1266" s="43" t="n"/>
      <c r="I1266" s="32" t="n"/>
      <c r="J1266" s="44" t="n"/>
      <c r="K1266" s="36" t="n"/>
      <c r="L1266" s="33">
        <f>IF(C1266="","",Commercial_Id)</f>
        <v/>
      </c>
      <c r="M1266" s="34">
        <f>IF(OR(C1266="",F1266=""),"",IF(F1266&lt;&gt;"Espèces","—",IF(I1266&lt;&gt;"","☑ Oui","☐ Non")))</f>
        <v/>
      </c>
      <c r="N1266" s="39">
        <f>IF(D1266="","",IFERROR(VALUE(MID(D1266,LEN(D1266)-3,3)),""))</f>
        <v/>
      </c>
      <c r="O1266" s="33">
        <f>IF(N1266="","",L1266&amp;"|"&amp;N1266)</f>
        <v/>
      </c>
      <c r="P1266" s="33">
        <f>IF(N1266="","",IF(L1266="À RENSEIGNER","GIC",L1266)&amp;"-"&amp;TEXT(N1266,"000"))</f>
        <v/>
      </c>
      <c r="Q1266" s="33">
        <f>IF(O1266="","",IFERROR(INDEX(Cl_nom,MATCH(O1266,Cl_cle,0)),"(client introuvable)"))</f>
        <v/>
      </c>
      <c r="R1266" s="40">
        <f>IF(O1266="","",IFERROR(INDEX(Cl_reste,MATCH(O1266,Cl_cle,0)),""))</f>
        <v/>
      </c>
      <c r="S1266" s="34">
        <f>IF(C1266="","",YEAR(C1266-WEEKDAY(C1266,2)+4)&amp;"-S"&amp;TEXT(INT((C1266-DATE(YEAR(C1266-WEEKDAY(C1266,2)+4),1,3)+WEEKDAY(DATE(YEAR(C1266-WEEKDAY(C1266,2)+4),1,3),2)+5)/7),"00"))</f>
        <v/>
      </c>
    </row>
    <row r="1267" ht="18" customHeight="1">
      <c r="A1267" s="39" t="n">
        <v>1262</v>
      </c>
      <c r="B1267" s="33">
        <f>IF(C1267="","",IF(L1267="À RENSEIGNER","GIC",L1267)&amp;"-E"&amp;TEXT(A1267,"00000"))</f>
        <v/>
      </c>
      <c r="C1267" s="32" t="n"/>
      <c r="D1267" s="36" t="n"/>
      <c r="E1267" s="37" t="n"/>
      <c r="F1267" s="36" t="n"/>
      <c r="G1267" s="44" t="n"/>
      <c r="H1267" s="43" t="n"/>
      <c r="I1267" s="32" t="n"/>
      <c r="J1267" s="44" t="n"/>
      <c r="K1267" s="36" t="n"/>
      <c r="L1267" s="33">
        <f>IF(C1267="","",Commercial_Id)</f>
        <v/>
      </c>
      <c r="M1267" s="34">
        <f>IF(OR(C1267="",F1267=""),"",IF(F1267&lt;&gt;"Espèces","—",IF(I1267&lt;&gt;"","☑ Oui","☐ Non")))</f>
        <v/>
      </c>
      <c r="N1267" s="39">
        <f>IF(D1267="","",IFERROR(VALUE(MID(D1267,LEN(D1267)-3,3)),""))</f>
        <v/>
      </c>
      <c r="O1267" s="33">
        <f>IF(N1267="","",L1267&amp;"|"&amp;N1267)</f>
        <v/>
      </c>
      <c r="P1267" s="33">
        <f>IF(N1267="","",IF(L1267="À RENSEIGNER","GIC",L1267)&amp;"-"&amp;TEXT(N1267,"000"))</f>
        <v/>
      </c>
      <c r="Q1267" s="33">
        <f>IF(O1267="","",IFERROR(INDEX(Cl_nom,MATCH(O1267,Cl_cle,0)),"(client introuvable)"))</f>
        <v/>
      </c>
      <c r="R1267" s="40">
        <f>IF(O1267="","",IFERROR(INDEX(Cl_reste,MATCH(O1267,Cl_cle,0)),""))</f>
        <v/>
      </c>
      <c r="S1267" s="34">
        <f>IF(C1267="","",YEAR(C1267-WEEKDAY(C1267,2)+4)&amp;"-S"&amp;TEXT(INT((C1267-DATE(YEAR(C1267-WEEKDAY(C1267,2)+4),1,3)+WEEKDAY(DATE(YEAR(C1267-WEEKDAY(C1267,2)+4),1,3),2)+5)/7),"00"))</f>
        <v/>
      </c>
    </row>
    <row r="1268" ht="18" customHeight="1">
      <c r="A1268" s="39" t="n">
        <v>1263</v>
      </c>
      <c r="B1268" s="33">
        <f>IF(C1268="","",IF(L1268="À RENSEIGNER","GIC",L1268)&amp;"-E"&amp;TEXT(A1268,"00000"))</f>
        <v/>
      </c>
      <c r="C1268" s="32" t="n"/>
      <c r="D1268" s="36" t="n"/>
      <c r="E1268" s="37" t="n"/>
      <c r="F1268" s="36" t="n"/>
      <c r="G1268" s="44" t="n"/>
      <c r="H1268" s="43" t="n"/>
      <c r="I1268" s="32" t="n"/>
      <c r="J1268" s="44" t="n"/>
      <c r="K1268" s="36" t="n"/>
      <c r="L1268" s="33">
        <f>IF(C1268="","",Commercial_Id)</f>
        <v/>
      </c>
      <c r="M1268" s="34">
        <f>IF(OR(C1268="",F1268=""),"",IF(F1268&lt;&gt;"Espèces","—",IF(I1268&lt;&gt;"","☑ Oui","☐ Non")))</f>
        <v/>
      </c>
      <c r="N1268" s="39">
        <f>IF(D1268="","",IFERROR(VALUE(MID(D1268,LEN(D1268)-3,3)),""))</f>
        <v/>
      </c>
      <c r="O1268" s="33">
        <f>IF(N1268="","",L1268&amp;"|"&amp;N1268)</f>
        <v/>
      </c>
      <c r="P1268" s="33">
        <f>IF(N1268="","",IF(L1268="À RENSEIGNER","GIC",L1268)&amp;"-"&amp;TEXT(N1268,"000"))</f>
        <v/>
      </c>
      <c r="Q1268" s="33">
        <f>IF(O1268="","",IFERROR(INDEX(Cl_nom,MATCH(O1268,Cl_cle,0)),"(client introuvable)"))</f>
        <v/>
      </c>
      <c r="R1268" s="40">
        <f>IF(O1268="","",IFERROR(INDEX(Cl_reste,MATCH(O1268,Cl_cle,0)),""))</f>
        <v/>
      </c>
      <c r="S1268" s="34">
        <f>IF(C1268="","",YEAR(C1268-WEEKDAY(C1268,2)+4)&amp;"-S"&amp;TEXT(INT((C1268-DATE(YEAR(C1268-WEEKDAY(C1268,2)+4),1,3)+WEEKDAY(DATE(YEAR(C1268-WEEKDAY(C1268,2)+4),1,3),2)+5)/7),"00"))</f>
        <v/>
      </c>
    </row>
    <row r="1269" ht="18" customHeight="1">
      <c r="A1269" s="39" t="n">
        <v>1264</v>
      </c>
      <c r="B1269" s="33">
        <f>IF(C1269="","",IF(L1269="À RENSEIGNER","GIC",L1269)&amp;"-E"&amp;TEXT(A1269,"00000"))</f>
        <v/>
      </c>
      <c r="C1269" s="32" t="n"/>
      <c r="D1269" s="36" t="n"/>
      <c r="E1269" s="37" t="n"/>
      <c r="F1269" s="36" t="n"/>
      <c r="G1269" s="44" t="n"/>
      <c r="H1269" s="43" t="n"/>
      <c r="I1269" s="32" t="n"/>
      <c r="J1269" s="44" t="n"/>
      <c r="K1269" s="36" t="n"/>
      <c r="L1269" s="33">
        <f>IF(C1269="","",Commercial_Id)</f>
        <v/>
      </c>
      <c r="M1269" s="34">
        <f>IF(OR(C1269="",F1269=""),"",IF(F1269&lt;&gt;"Espèces","—",IF(I1269&lt;&gt;"","☑ Oui","☐ Non")))</f>
        <v/>
      </c>
      <c r="N1269" s="39">
        <f>IF(D1269="","",IFERROR(VALUE(MID(D1269,LEN(D1269)-3,3)),""))</f>
        <v/>
      </c>
      <c r="O1269" s="33">
        <f>IF(N1269="","",L1269&amp;"|"&amp;N1269)</f>
        <v/>
      </c>
      <c r="P1269" s="33">
        <f>IF(N1269="","",IF(L1269="À RENSEIGNER","GIC",L1269)&amp;"-"&amp;TEXT(N1269,"000"))</f>
        <v/>
      </c>
      <c r="Q1269" s="33">
        <f>IF(O1269="","",IFERROR(INDEX(Cl_nom,MATCH(O1269,Cl_cle,0)),"(client introuvable)"))</f>
        <v/>
      </c>
      <c r="R1269" s="40">
        <f>IF(O1269="","",IFERROR(INDEX(Cl_reste,MATCH(O1269,Cl_cle,0)),""))</f>
        <v/>
      </c>
      <c r="S1269" s="34">
        <f>IF(C1269="","",YEAR(C1269-WEEKDAY(C1269,2)+4)&amp;"-S"&amp;TEXT(INT((C1269-DATE(YEAR(C1269-WEEKDAY(C1269,2)+4),1,3)+WEEKDAY(DATE(YEAR(C1269-WEEKDAY(C1269,2)+4),1,3),2)+5)/7),"00"))</f>
        <v/>
      </c>
    </row>
    <row r="1270" ht="18" customHeight="1">
      <c r="A1270" s="39" t="n">
        <v>1265</v>
      </c>
      <c r="B1270" s="33">
        <f>IF(C1270="","",IF(L1270="À RENSEIGNER","GIC",L1270)&amp;"-E"&amp;TEXT(A1270,"00000"))</f>
        <v/>
      </c>
      <c r="C1270" s="32" t="n"/>
      <c r="D1270" s="36" t="n"/>
      <c r="E1270" s="37" t="n"/>
      <c r="F1270" s="36" t="n"/>
      <c r="G1270" s="44" t="n"/>
      <c r="H1270" s="43" t="n"/>
      <c r="I1270" s="32" t="n"/>
      <c r="J1270" s="44" t="n"/>
      <c r="K1270" s="36" t="n"/>
      <c r="L1270" s="33">
        <f>IF(C1270="","",Commercial_Id)</f>
        <v/>
      </c>
      <c r="M1270" s="34">
        <f>IF(OR(C1270="",F1270=""),"",IF(F1270&lt;&gt;"Espèces","—",IF(I1270&lt;&gt;"","☑ Oui","☐ Non")))</f>
        <v/>
      </c>
      <c r="N1270" s="39">
        <f>IF(D1270="","",IFERROR(VALUE(MID(D1270,LEN(D1270)-3,3)),""))</f>
        <v/>
      </c>
      <c r="O1270" s="33">
        <f>IF(N1270="","",L1270&amp;"|"&amp;N1270)</f>
        <v/>
      </c>
      <c r="P1270" s="33">
        <f>IF(N1270="","",IF(L1270="À RENSEIGNER","GIC",L1270)&amp;"-"&amp;TEXT(N1270,"000"))</f>
        <v/>
      </c>
      <c r="Q1270" s="33">
        <f>IF(O1270="","",IFERROR(INDEX(Cl_nom,MATCH(O1270,Cl_cle,0)),"(client introuvable)"))</f>
        <v/>
      </c>
      <c r="R1270" s="40">
        <f>IF(O1270="","",IFERROR(INDEX(Cl_reste,MATCH(O1270,Cl_cle,0)),""))</f>
        <v/>
      </c>
      <c r="S1270" s="34">
        <f>IF(C1270="","",YEAR(C1270-WEEKDAY(C1270,2)+4)&amp;"-S"&amp;TEXT(INT((C1270-DATE(YEAR(C1270-WEEKDAY(C1270,2)+4),1,3)+WEEKDAY(DATE(YEAR(C1270-WEEKDAY(C1270,2)+4),1,3),2)+5)/7),"00"))</f>
        <v/>
      </c>
    </row>
    <row r="1271" ht="18" customHeight="1">
      <c r="A1271" s="39" t="n">
        <v>1266</v>
      </c>
      <c r="B1271" s="33">
        <f>IF(C1271="","",IF(L1271="À RENSEIGNER","GIC",L1271)&amp;"-E"&amp;TEXT(A1271,"00000"))</f>
        <v/>
      </c>
      <c r="C1271" s="32" t="n"/>
      <c r="D1271" s="36" t="n"/>
      <c r="E1271" s="37" t="n"/>
      <c r="F1271" s="36" t="n"/>
      <c r="G1271" s="44" t="n"/>
      <c r="H1271" s="43" t="n"/>
      <c r="I1271" s="32" t="n"/>
      <c r="J1271" s="44" t="n"/>
      <c r="K1271" s="36" t="n"/>
      <c r="L1271" s="33">
        <f>IF(C1271="","",Commercial_Id)</f>
        <v/>
      </c>
      <c r="M1271" s="34">
        <f>IF(OR(C1271="",F1271=""),"",IF(F1271&lt;&gt;"Espèces","—",IF(I1271&lt;&gt;"","☑ Oui","☐ Non")))</f>
        <v/>
      </c>
      <c r="N1271" s="39">
        <f>IF(D1271="","",IFERROR(VALUE(MID(D1271,LEN(D1271)-3,3)),""))</f>
        <v/>
      </c>
      <c r="O1271" s="33">
        <f>IF(N1271="","",L1271&amp;"|"&amp;N1271)</f>
        <v/>
      </c>
      <c r="P1271" s="33">
        <f>IF(N1271="","",IF(L1271="À RENSEIGNER","GIC",L1271)&amp;"-"&amp;TEXT(N1271,"000"))</f>
        <v/>
      </c>
      <c r="Q1271" s="33">
        <f>IF(O1271="","",IFERROR(INDEX(Cl_nom,MATCH(O1271,Cl_cle,0)),"(client introuvable)"))</f>
        <v/>
      </c>
      <c r="R1271" s="40">
        <f>IF(O1271="","",IFERROR(INDEX(Cl_reste,MATCH(O1271,Cl_cle,0)),""))</f>
        <v/>
      </c>
      <c r="S1271" s="34">
        <f>IF(C1271="","",YEAR(C1271-WEEKDAY(C1271,2)+4)&amp;"-S"&amp;TEXT(INT((C1271-DATE(YEAR(C1271-WEEKDAY(C1271,2)+4),1,3)+WEEKDAY(DATE(YEAR(C1271-WEEKDAY(C1271,2)+4),1,3),2)+5)/7),"00"))</f>
        <v/>
      </c>
    </row>
    <row r="1272" ht="18" customHeight="1">
      <c r="A1272" s="39" t="n">
        <v>1267</v>
      </c>
      <c r="B1272" s="33">
        <f>IF(C1272="","",IF(L1272="À RENSEIGNER","GIC",L1272)&amp;"-E"&amp;TEXT(A1272,"00000"))</f>
        <v/>
      </c>
      <c r="C1272" s="32" t="n"/>
      <c r="D1272" s="36" t="n"/>
      <c r="E1272" s="37" t="n"/>
      <c r="F1272" s="36" t="n"/>
      <c r="G1272" s="44" t="n"/>
      <c r="H1272" s="43" t="n"/>
      <c r="I1272" s="32" t="n"/>
      <c r="J1272" s="44" t="n"/>
      <c r="K1272" s="36" t="n"/>
      <c r="L1272" s="33">
        <f>IF(C1272="","",Commercial_Id)</f>
        <v/>
      </c>
      <c r="M1272" s="34">
        <f>IF(OR(C1272="",F1272=""),"",IF(F1272&lt;&gt;"Espèces","—",IF(I1272&lt;&gt;"","☑ Oui","☐ Non")))</f>
        <v/>
      </c>
      <c r="N1272" s="39">
        <f>IF(D1272="","",IFERROR(VALUE(MID(D1272,LEN(D1272)-3,3)),""))</f>
        <v/>
      </c>
      <c r="O1272" s="33">
        <f>IF(N1272="","",L1272&amp;"|"&amp;N1272)</f>
        <v/>
      </c>
      <c r="P1272" s="33">
        <f>IF(N1272="","",IF(L1272="À RENSEIGNER","GIC",L1272)&amp;"-"&amp;TEXT(N1272,"000"))</f>
        <v/>
      </c>
      <c r="Q1272" s="33">
        <f>IF(O1272="","",IFERROR(INDEX(Cl_nom,MATCH(O1272,Cl_cle,0)),"(client introuvable)"))</f>
        <v/>
      </c>
      <c r="R1272" s="40">
        <f>IF(O1272="","",IFERROR(INDEX(Cl_reste,MATCH(O1272,Cl_cle,0)),""))</f>
        <v/>
      </c>
      <c r="S1272" s="34">
        <f>IF(C1272="","",YEAR(C1272-WEEKDAY(C1272,2)+4)&amp;"-S"&amp;TEXT(INT((C1272-DATE(YEAR(C1272-WEEKDAY(C1272,2)+4),1,3)+WEEKDAY(DATE(YEAR(C1272-WEEKDAY(C1272,2)+4),1,3),2)+5)/7),"00"))</f>
        <v/>
      </c>
    </row>
    <row r="1273" ht="18" customHeight="1">
      <c r="A1273" s="39" t="n">
        <v>1268</v>
      </c>
      <c r="B1273" s="33">
        <f>IF(C1273="","",IF(L1273="À RENSEIGNER","GIC",L1273)&amp;"-E"&amp;TEXT(A1273,"00000"))</f>
        <v/>
      </c>
      <c r="C1273" s="32" t="n"/>
      <c r="D1273" s="36" t="n"/>
      <c r="E1273" s="37" t="n"/>
      <c r="F1273" s="36" t="n"/>
      <c r="G1273" s="44" t="n"/>
      <c r="H1273" s="43" t="n"/>
      <c r="I1273" s="32" t="n"/>
      <c r="J1273" s="44" t="n"/>
      <c r="K1273" s="36" t="n"/>
      <c r="L1273" s="33">
        <f>IF(C1273="","",Commercial_Id)</f>
        <v/>
      </c>
      <c r="M1273" s="34">
        <f>IF(OR(C1273="",F1273=""),"",IF(F1273&lt;&gt;"Espèces","—",IF(I1273&lt;&gt;"","☑ Oui","☐ Non")))</f>
        <v/>
      </c>
      <c r="N1273" s="39">
        <f>IF(D1273="","",IFERROR(VALUE(MID(D1273,LEN(D1273)-3,3)),""))</f>
        <v/>
      </c>
      <c r="O1273" s="33">
        <f>IF(N1273="","",L1273&amp;"|"&amp;N1273)</f>
        <v/>
      </c>
      <c r="P1273" s="33">
        <f>IF(N1273="","",IF(L1273="À RENSEIGNER","GIC",L1273)&amp;"-"&amp;TEXT(N1273,"000"))</f>
        <v/>
      </c>
      <c r="Q1273" s="33">
        <f>IF(O1273="","",IFERROR(INDEX(Cl_nom,MATCH(O1273,Cl_cle,0)),"(client introuvable)"))</f>
        <v/>
      </c>
      <c r="R1273" s="40">
        <f>IF(O1273="","",IFERROR(INDEX(Cl_reste,MATCH(O1273,Cl_cle,0)),""))</f>
        <v/>
      </c>
      <c r="S1273" s="34">
        <f>IF(C1273="","",YEAR(C1273-WEEKDAY(C1273,2)+4)&amp;"-S"&amp;TEXT(INT((C1273-DATE(YEAR(C1273-WEEKDAY(C1273,2)+4),1,3)+WEEKDAY(DATE(YEAR(C1273-WEEKDAY(C1273,2)+4),1,3),2)+5)/7),"00"))</f>
        <v/>
      </c>
    </row>
    <row r="1274" ht="18" customHeight="1">
      <c r="A1274" s="39" t="n">
        <v>1269</v>
      </c>
      <c r="B1274" s="33">
        <f>IF(C1274="","",IF(L1274="À RENSEIGNER","GIC",L1274)&amp;"-E"&amp;TEXT(A1274,"00000"))</f>
        <v/>
      </c>
      <c r="C1274" s="32" t="n"/>
      <c r="D1274" s="36" t="n"/>
      <c r="E1274" s="37" t="n"/>
      <c r="F1274" s="36" t="n"/>
      <c r="G1274" s="44" t="n"/>
      <c r="H1274" s="43" t="n"/>
      <c r="I1274" s="32" t="n"/>
      <c r="J1274" s="44" t="n"/>
      <c r="K1274" s="36" t="n"/>
      <c r="L1274" s="33">
        <f>IF(C1274="","",Commercial_Id)</f>
        <v/>
      </c>
      <c r="M1274" s="34">
        <f>IF(OR(C1274="",F1274=""),"",IF(F1274&lt;&gt;"Espèces","—",IF(I1274&lt;&gt;"","☑ Oui","☐ Non")))</f>
        <v/>
      </c>
      <c r="N1274" s="39">
        <f>IF(D1274="","",IFERROR(VALUE(MID(D1274,LEN(D1274)-3,3)),""))</f>
        <v/>
      </c>
      <c r="O1274" s="33">
        <f>IF(N1274="","",L1274&amp;"|"&amp;N1274)</f>
        <v/>
      </c>
      <c r="P1274" s="33">
        <f>IF(N1274="","",IF(L1274="À RENSEIGNER","GIC",L1274)&amp;"-"&amp;TEXT(N1274,"000"))</f>
        <v/>
      </c>
      <c r="Q1274" s="33">
        <f>IF(O1274="","",IFERROR(INDEX(Cl_nom,MATCH(O1274,Cl_cle,0)),"(client introuvable)"))</f>
        <v/>
      </c>
      <c r="R1274" s="40">
        <f>IF(O1274="","",IFERROR(INDEX(Cl_reste,MATCH(O1274,Cl_cle,0)),""))</f>
        <v/>
      </c>
      <c r="S1274" s="34">
        <f>IF(C1274="","",YEAR(C1274-WEEKDAY(C1274,2)+4)&amp;"-S"&amp;TEXT(INT((C1274-DATE(YEAR(C1274-WEEKDAY(C1274,2)+4),1,3)+WEEKDAY(DATE(YEAR(C1274-WEEKDAY(C1274,2)+4),1,3),2)+5)/7),"00"))</f>
        <v/>
      </c>
    </row>
    <row r="1275" ht="18" customHeight="1">
      <c r="A1275" s="39" t="n">
        <v>1270</v>
      </c>
      <c r="B1275" s="33">
        <f>IF(C1275="","",IF(L1275="À RENSEIGNER","GIC",L1275)&amp;"-E"&amp;TEXT(A1275,"00000"))</f>
        <v/>
      </c>
      <c r="C1275" s="32" t="n"/>
      <c r="D1275" s="36" t="n"/>
      <c r="E1275" s="37" t="n"/>
      <c r="F1275" s="36" t="n"/>
      <c r="G1275" s="44" t="n"/>
      <c r="H1275" s="43" t="n"/>
      <c r="I1275" s="32" t="n"/>
      <c r="J1275" s="44" t="n"/>
      <c r="K1275" s="36" t="n"/>
      <c r="L1275" s="33">
        <f>IF(C1275="","",Commercial_Id)</f>
        <v/>
      </c>
      <c r="M1275" s="34">
        <f>IF(OR(C1275="",F1275=""),"",IF(F1275&lt;&gt;"Espèces","—",IF(I1275&lt;&gt;"","☑ Oui","☐ Non")))</f>
        <v/>
      </c>
      <c r="N1275" s="39">
        <f>IF(D1275="","",IFERROR(VALUE(MID(D1275,LEN(D1275)-3,3)),""))</f>
        <v/>
      </c>
      <c r="O1275" s="33">
        <f>IF(N1275="","",L1275&amp;"|"&amp;N1275)</f>
        <v/>
      </c>
      <c r="P1275" s="33">
        <f>IF(N1275="","",IF(L1275="À RENSEIGNER","GIC",L1275)&amp;"-"&amp;TEXT(N1275,"000"))</f>
        <v/>
      </c>
      <c r="Q1275" s="33">
        <f>IF(O1275="","",IFERROR(INDEX(Cl_nom,MATCH(O1275,Cl_cle,0)),"(client introuvable)"))</f>
        <v/>
      </c>
      <c r="R1275" s="40">
        <f>IF(O1275="","",IFERROR(INDEX(Cl_reste,MATCH(O1275,Cl_cle,0)),""))</f>
        <v/>
      </c>
      <c r="S1275" s="34">
        <f>IF(C1275="","",YEAR(C1275-WEEKDAY(C1275,2)+4)&amp;"-S"&amp;TEXT(INT((C1275-DATE(YEAR(C1275-WEEKDAY(C1275,2)+4),1,3)+WEEKDAY(DATE(YEAR(C1275-WEEKDAY(C1275,2)+4),1,3),2)+5)/7),"00"))</f>
        <v/>
      </c>
    </row>
    <row r="1276" ht="18" customHeight="1">
      <c r="A1276" s="39" t="n">
        <v>1271</v>
      </c>
      <c r="B1276" s="33">
        <f>IF(C1276="","",IF(L1276="À RENSEIGNER","GIC",L1276)&amp;"-E"&amp;TEXT(A1276,"00000"))</f>
        <v/>
      </c>
      <c r="C1276" s="32" t="n"/>
      <c r="D1276" s="36" t="n"/>
      <c r="E1276" s="37" t="n"/>
      <c r="F1276" s="36" t="n"/>
      <c r="G1276" s="44" t="n"/>
      <c r="H1276" s="43" t="n"/>
      <c r="I1276" s="32" t="n"/>
      <c r="J1276" s="44" t="n"/>
      <c r="K1276" s="36" t="n"/>
      <c r="L1276" s="33">
        <f>IF(C1276="","",Commercial_Id)</f>
        <v/>
      </c>
      <c r="M1276" s="34">
        <f>IF(OR(C1276="",F1276=""),"",IF(F1276&lt;&gt;"Espèces","—",IF(I1276&lt;&gt;"","☑ Oui","☐ Non")))</f>
        <v/>
      </c>
      <c r="N1276" s="39">
        <f>IF(D1276="","",IFERROR(VALUE(MID(D1276,LEN(D1276)-3,3)),""))</f>
        <v/>
      </c>
      <c r="O1276" s="33">
        <f>IF(N1276="","",L1276&amp;"|"&amp;N1276)</f>
        <v/>
      </c>
      <c r="P1276" s="33">
        <f>IF(N1276="","",IF(L1276="À RENSEIGNER","GIC",L1276)&amp;"-"&amp;TEXT(N1276,"000"))</f>
        <v/>
      </c>
      <c r="Q1276" s="33">
        <f>IF(O1276="","",IFERROR(INDEX(Cl_nom,MATCH(O1276,Cl_cle,0)),"(client introuvable)"))</f>
        <v/>
      </c>
      <c r="R1276" s="40">
        <f>IF(O1276="","",IFERROR(INDEX(Cl_reste,MATCH(O1276,Cl_cle,0)),""))</f>
        <v/>
      </c>
      <c r="S1276" s="34">
        <f>IF(C1276="","",YEAR(C1276-WEEKDAY(C1276,2)+4)&amp;"-S"&amp;TEXT(INT((C1276-DATE(YEAR(C1276-WEEKDAY(C1276,2)+4),1,3)+WEEKDAY(DATE(YEAR(C1276-WEEKDAY(C1276,2)+4),1,3),2)+5)/7),"00"))</f>
        <v/>
      </c>
    </row>
    <row r="1277" ht="18" customHeight="1">
      <c r="A1277" s="39" t="n">
        <v>1272</v>
      </c>
      <c r="B1277" s="33">
        <f>IF(C1277="","",IF(L1277="À RENSEIGNER","GIC",L1277)&amp;"-E"&amp;TEXT(A1277,"00000"))</f>
        <v/>
      </c>
      <c r="C1277" s="32" t="n"/>
      <c r="D1277" s="36" t="n"/>
      <c r="E1277" s="37" t="n"/>
      <c r="F1277" s="36" t="n"/>
      <c r="G1277" s="44" t="n"/>
      <c r="H1277" s="43" t="n"/>
      <c r="I1277" s="32" t="n"/>
      <c r="J1277" s="44" t="n"/>
      <c r="K1277" s="36" t="n"/>
      <c r="L1277" s="33">
        <f>IF(C1277="","",Commercial_Id)</f>
        <v/>
      </c>
      <c r="M1277" s="34">
        <f>IF(OR(C1277="",F1277=""),"",IF(F1277&lt;&gt;"Espèces","—",IF(I1277&lt;&gt;"","☑ Oui","☐ Non")))</f>
        <v/>
      </c>
      <c r="N1277" s="39">
        <f>IF(D1277="","",IFERROR(VALUE(MID(D1277,LEN(D1277)-3,3)),""))</f>
        <v/>
      </c>
      <c r="O1277" s="33">
        <f>IF(N1277="","",L1277&amp;"|"&amp;N1277)</f>
        <v/>
      </c>
      <c r="P1277" s="33">
        <f>IF(N1277="","",IF(L1277="À RENSEIGNER","GIC",L1277)&amp;"-"&amp;TEXT(N1277,"000"))</f>
        <v/>
      </c>
      <c r="Q1277" s="33">
        <f>IF(O1277="","",IFERROR(INDEX(Cl_nom,MATCH(O1277,Cl_cle,0)),"(client introuvable)"))</f>
        <v/>
      </c>
      <c r="R1277" s="40">
        <f>IF(O1277="","",IFERROR(INDEX(Cl_reste,MATCH(O1277,Cl_cle,0)),""))</f>
        <v/>
      </c>
      <c r="S1277" s="34">
        <f>IF(C1277="","",YEAR(C1277-WEEKDAY(C1277,2)+4)&amp;"-S"&amp;TEXT(INT((C1277-DATE(YEAR(C1277-WEEKDAY(C1277,2)+4),1,3)+WEEKDAY(DATE(YEAR(C1277-WEEKDAY(C1277,2)+4),1,3),2)+5)/7),"00"))</f>
        <v/>
      </c>
    </row>
    <row r="1278" ht="18" customHeight="1">
      <c r="A1278" s="39" t="n">
        <v>1273</v>
      </c>
      <c r="B1278" s="33">
        <f>IF(C1278="","",IF(L1278="À RENSEIGNER","GIC",L1278)&amp;"-E"&amp;TEXT(A1278,"00000"))</f>
        <v/>
      </c>
      <c r="C1278" s="32" t="n"/>
      <c r="D1278" s="36" t="n"/>
      <c r="E1278" s="37" t="n"/>
      <c r="F1278" s="36" t="n"/>
      <c r="G1278" s="44" t="n"/>
      <c r="H1278" s="43" t="n"/>
      <c r="I1278" s="32" t="n"/>
      <c r="J1278" s="44" t="n"/>
      <c r="K1278" s="36" t="n"/>
      <c r="L1278" s="33">
        <f>IF(C1278="","",Commercial_Id)</f>
        <v/>
      </c>
      <c r="M1278" s="34">
        <f>IF(OR(C1278="",F1278=""),"",IF(F1278&lt;&gt;"Espèces","—",IF(I1278&lt;&gt;"","☑ Oui","☐ Non")))</f>
        <v/>
      </c>
      <c r="N1278" s="39">
        <f>IF(D1278="","",IFERROR(VALUE(MID(D1278,LEN(D1278)-3,3)),""))</f>
        <v/>
      </c>
      <c r="O1278" s="33">
        <f>IF(N1278="","",L1278&amp;"|"&amp;N1278)</f>
        <v/>
      </c>
      <c r="P1278" s="33">
        <f>IF(N1278="","",IF(L1278="À RENSEIGNER","GIC",L1278)&amp;"-"&amp;TEXT(N1278,"000"))</f>
        <v/>
      </c>
      <c r="Q1278" s="33">
        <f>IF(O1278="","",IFERROR(INDEX(Cl_nom,MATCH(O1278,Cl_cle,0)),"(client introuvable)"))</f>
        <v/>
      </c>
      <c r="R1278" s="40">
        <f>IF(O1278="","",IFERROR(INDEX(Cl_reste,MATCH(O1278,Cl_cle,0)),""))</f>
        <v/>
      </c>
      <c r="S1278" s="34">
        <f>IF(C1278="","",YEAR(C1278-WEEKDAY(C1278,2)+4)&amp;"-S"&amp;TEXT(INT((C1278-DATE(YEAR(C1278-WEEKDAY(C1278,2)+4),1,3)+WEEKDAY(DATE(YEAR(C1278-WEEKDAY(C1278,2)+4),1,3),2)+5)/7),"00"))</f>
        <v/>
      </c>
    </row>
    <row r="1279" ht="18" customHeight="1">
      <c r="A1279" s="39" t="n">
        <v>1274</v>
      </c>
      <c r="B1279" s="33">
        <f>IF(C1279="","",IF(L1279="À RENSEIGNER","GIC",L1279)&amp;"-E"&amp;TEXT(A1279,"00000"))</f>
        <v/>
      </c>
      <c r="C1279" s="32" t="n"/>
      <c r="D1279" s="36" t="n"/>
      <c r="E1279" s="37" t="n"/>
      <c r="F1279" s="36" t="n"/>
      <c r="G1279" s="44" t="n"/>
      <c r="H1279" s="43" t="n"/>
      <c r="I1279" s="32" t="n"/>
      <c r="J1279" s="44" t="n"/>
      <c r="K1279" s="36" t="n"/>
      <c r="L1279" s="33">
        <f>IF(C1279="","",Commercial_Id)</f>
        <v/>
      </c>
      <c r="M1279" s="34">
        <f>IF(OR(C1279="",F1279=""),"",IF(F1279&lt;&gt;"Espèces","—",IF(I1279&lt;&gt;"","☑ Oui","☐ Non")))</f>
        <v/>
      </c>
      <c r="N1279" s="39">
        <f>IF(D1279="","",IFERROR(VALUE(MID(D1279,LEN(D1279)-3,3)),""))</f>
        <v/>
      </c>
      <c r="O1279" s="33">
        <f>IF(N1279="","",L1279&amp;"|"&amp;N1279)</f>
        <v/>
      </c>
      <c r="P1279" s="33">
        <f>IF(N1279="","",IF(L1279="À RENSEIGNER","GIC",L1279)&amp;"-"&amp;TEXT(N1279,"000"))</f>
        <v/>
      </c>
      <c r="Q1279" s="33">
        <f>IF(O1279="","",IFERROR(INDEX(Cl_nom,MATCH(O1279,Cl_cle,0)),"(client introuvable)"))</f>
        <v/>
      </c>
      <c r="R1279" s="40">
        <f>IF(O1279="","",IFERROR(INDEX(Cl_reste,MATCH(O1279,Cl_cle,0)),""))</f>
        <v/>
      </c>
      <c r="S1279" s="34">
        <f>IF(C1279="","",YEAR(C1279-WEEKDAY(C1279,2)+4)&amp;"-S"&amp;TEXT(INT((C1279-DATE(YEAR(C1279-WEEKDAY(C1279,2)+4),1,3)+WEEKDAY(DATE(YEAR(C1279-WEEKDAY(C1279,2)+4),1,3),2)+5)/7),"00"))</f>
        <v/>
      </c>
    </row>
    <row r="1280" ht="18" customHeight="1">
      <c r="A1280" s="39" t="n">
        <v>1275</v>
      </c>
      <c r="B1280" s="33">
        <f>IF(C1280="","",IF(L1280="À RENSEIGNER","GIC",L1280)&amp;"-E"&amp;TEXT(A1280,"00000"))</f>
        <v/>
      </c>
      <c r="C1280" s="32" t="n"/>
      <c r="D1280" s="36" t="n"/>
      <c r="E1280" s="37" t="n"/>
      <c r="F1280" s="36" t="n"/>
      <c r="G1280" s="44" t="n"/>
      <c r="H1280" s="43" t="n"/>
      <c r="I1280" s="32" t="n"/>
      <c r="J1280" s="44" t="n"/>
      <c r="K1280" s="36" t="n"/>
      <c r="L1280" s="33">
        <f>IF(C1280="","",Commercial_Id)</f>
        <v/>
      </c>
      <c r="M1280" s="34">
        <f>IF(OR(C1280="",F1280=""),"",IF(F1280&lt;&gt;"Espèces","—",IF(I1280&lt;&gt;"","☑ Oui","☐ Non")))</f>
        <v/>
      </c>
      <c r="N1280" s="39">
        <f>IF(D1280="","",IFERROR(VALUE(MID(D1280,LEN(D1280)-3,3)),""))</f>
        <v/>
      </c>
      <c r="O1280" s="33">
        <f>IF(N1280="","",L1280&amp;"|"&amp;N1280)</f>
        <v/>
      </c>
      <c r="P1280" s="33">
        <f>IF(N1280="","",IF(L1280="À RENSEIGNER","GIC",L1280)&amp;"-"&amp;TEXT(N1280,"000"))</f>
        <v/>
      </c>
      <c r="Q1280" s="33">
        <f>IF(O1280="","",IFERROR(INDEX(Cl_nom,MATCH(O1280,Cl_cle,0)),"(client introuvable)"))</f>
        <v/>
      </c>
      <c r="R1280" s="40">
        <f>IF(O1280="","",IFERROR(INDEX(Cl_reste,MATCH(O1280,Cl_cle,0)),""))</f>
        <v/>
      </c>
      <c r="S1280" s="34">
        <f>IF(C1280="","",YEAR(C1280-WEEKDAY(C1280,2)+4)&amp;"-S"&amp;TEXT(INT((C1280-DATE(YEAR(C1280-WEEKDAY(C1280,2)+4),1,3)+WEEKDAY(DATE(YEAR(C1280-WEEKDAY(C1280,2)+4),1,3),2)+5)/7),"00"))</f>
        <v/>
      </c>
    </row>
    <row r="1281" ht="18" customHeight="1">
      <c r="A1281" s="39" t="n">
        <v>1276</v>
      </c>
      <c r="B1281" s="33">
        <f>IF(C1281="","",IF(L1281="À RENSEIGNER","GIC",L1281)&amp;"-E"&amp;TEXT(A1281,"00000"))</f>
        <v/>
      </c>
      <c r="C1281" s="32" t="n"/>
      <c r="D1281" s="36" t="n"/>
      <c r="E1281" s="37" t="n"/>
      <c r="F1281" s="36" t="n"/>
      <c r="G1281" s="44" t="n"/>
      <c r="H1281" s="43" t="n"/>
      <c r="I1281" s="32" t="n"/>
      <c r="J1281" s="44" t="n"/>
      <c r="K1281" s="36" t="n"/>
      <c r="L1281" s="33">
        <f>IF(C1281="","",Commercial_Id)</f>
        <v/>
      </c>
      <c r="M1281" s="34">
        <f>IF(OR(C1281="",F1281=""),"",IF(F1281&lt;&gt;"Espèces","—",IF(I1281&lt;&gt;"","☑ Oui","☐ Non")))</f>
        <v/>
      </c>
      <c r="N1281" s="39">
        <f>IF(D1281="","",IFERROR(VALUE(MID(D1281,LEN(D1281)-3,3)),""))</f>
        <v/>
      </c>
      <c r="O1281" s="33">
        <f>IF(N1281="","",L1281&amp;"|"&amp;N1281)</f>
        <v/>
      </c>
      <c r="P1281" s="33">
        <f>IF(N1281="","",IF(L1281="À RENSEIGNER","GIC",L1281)&amp;"-"&amp;TEXT(N1281,"000"))</f>
        <v/>
      </c>
      <c r="Q1281" s="33">
        <f>IF(O1281="","",IFERROR(INDEX(Cl_nom,MATCH(O1281,Cl_cle,0)),"(client introuvable)"))</f>
        <v/>
      </c>
      <c r="R1281" s="40">
        <f>IF(O1281="","",IFERROR(INDEX(Cl_reste,MATCH(O1281,Cl_cle,0)),""))</f>
        <v/>
      </c>
      <c r="S1281" s="34">
        <f>IF(C1281="","",YEAR(C1281-WEEKDAY(C1281,2)+4)&amp;"-S"&amp;TEXT(INT((C1281-DATE(YEAR(C1281-WEEKDAY(C1281,2)+4),1,3)+WEEKDAY(DATE(YEAR(C1281-WEEKDAY(C1281,2)+4),1,3),2)+5)/7),"00"))</f>
        <v/>
      </c>
    </row>
    <row r="1282" ht="18" customHeight="1">
      <c r="A1282" s="39" t="n">
        <v>1277</v>
      </c>
      <c r="B1282" s="33">
        <f>IF(C1282="","",IF(L1282="À RENSEIGNER","GIC",L1282)&amp;"-E"&amp;TEXT(A1282,"00000"))</f>
        <v/>
      </c>
      <c r="C1282" s="32" t="n"/>
      <c r="D1282" s="36" t="n"/>
      <c r="E1282" s="37" t="n"/>
      <c r="F1282" s="36" t="n"/>
      <c r="G1282" s="44" t="n"/>
      <c r="H1282" s="43" t="n"/>
      <c r="I1282" s="32" t="n"/>
      <c r="J1282" s="44" t="n"/>
      <c r="K1282" s="36" t="n"/>
      <c r="L1282" s="33">
        <f>IF(C1282="","",Commercial_Id)</f>
        <v/>
      </c>
      <c r="M1282" s="34">
        <f>IF(OR(C1282="",F1282=""),"",IF(F1282&lt;&gt;"Espèces","—",IF(I1282&lt;&gt;"","☑ Oui","☐ Non")))</f>
        <v/>
      </c>
      <c r="N1282" s="39">
        <f>IF(D1282="","",IFERROR(VALUE(MID(D1282,LEN(D1282)-3,3)),""))</f>
        <v/>
      </c>
      <c r="O1282" s="33">
        <f>IF(N1282="","",L1282&amp;"|"&amp;N1282)</f>
        <v/>
      </c>
      <c r="P1282" s="33">
        <f>IF(N1282="","",IF(L1282="À RENSEIGNER","GIC",L1282)&amp;"-"&amp;TEXT(N1282,"000"))</f>
        <v/>
      </c>
      <c r="Q1282" s="33">
        <f>IF(O1282="","",IFERROR(INDEX(Cl_nom,MATCH(O1282,Cl_cle,0)),"(client introuvable)"))</f>
        <v/>
      </c>
      <c r="R1282" s="40">
        <f>IF(O1282="","",IFERROR(INDEX(Cl_reste,MATCH(O1282,Cl_cle,0)),""))</f>
        <v/>
      </c>
      <c r="S1282" s="34">
        <f>IF(C1282="","",YEAR(C1282-WEEKDAY(C1282,2)+4)&amp;"-S"&amp;TEXT(INT((C1282-DATE(YEAR(C1282-WEEKDAY(C1282,2)+4),1,3)+WEEKDAY(DATE(YEAR(C1282-WEEKDAY(C1282,2)+4),1,3),2)+5)/7),"00"))</f>
        <v/>
      </c>
    </row>
    <row r="1283" ht="18" customHeight="1">
      <c r="A1283" s="39" t="n">
        <v>1278</v>
      </c>
      <c r="B1283" s="33">
        <f>IF(C1283="","",IF(L1283="À RENSEIGNER","GIC",L1283)&amp;"-E"&amp;TEXT(A1283,"00000"))</f>
        <v/>
      </c>
      <c r="C1283" s="32" t="n"/>
      <c r="D1283" s="36" t="n"/>
      <c r="E1283" s="37" t="n"/>
      <c r="F1283" s="36" t="n"/>
      <c r="G1283" s="44" t="n"/>
      <c r="H1283" s="43" t="n"/>
      <c r="I1283" s="32" t="n"/>
      <c r="J1283" s="44" t="n"/>
      <c r="K1283" s="36" t="n"/>
      <c r="L1283" s="33">
        <f>IF(C1283="","",Commercial_Id)</f>
        <v/>
      </c>
      <c r="M1283" s="34">
        <f>IF(OR(C1283="",F1283=""),"",IF(F1283&lt;&gt;"Espèces","—",IF(I1283&lt;&gt;"","☑ Oui","☐ Non")))</f>
        <v/>
      </c>
      <c r="N1283" s="39">
        <f>IF(D1283="","",IFERROR(VALUE(MID(D1283,LEN(D1283)-3,3)),""))</f>
        <v/>
      </c>
      <c r="O1283" s="33">
        <f>IF(N1283="","",L1283&amp;"|"&amp;N1283)</f>
        <v/>
      </c>
      <c r="P1283" s="33">
        <f>IF(N1283="","",IF(L1283="À RENSEIGNER","GIC",L1283)&amp;"-"&amp;TEXT(N1283,"000"))</f>
        <v/>
      </c>
      <c r="Q1283" s="33">
        <f>IF(O1283="","",IFERROR(INDEX(Cl_nom,MATCH(O1283,Cl_cle,0)),"(client introuvable)"))</f>
        <v/>
      </c>
      <c r="R1283" s="40">
        <f>IF(O1283="","",IFERROR(INDEX(Cl_reste,MATCH(O1283,Cl_cle,0)),""))</f>
        <v/>
      </c>
      <c r="S1283" s="34">
        <f>IF(C1283="","",YEAR(C1283-WEEKDAY(C1283,2)+4)&amp;"-S"&amp;TEXT(INT((C1283-DATE(YEAR(C1283-WEEKDAY(C1283,2)+4),1,3)+WEEKDAY(DATE(YEAR(C1283-WEEKDAY(C1283,2)+4),1,3),2)+5)/7),"00"))</f>
        <v/>
      </c>
    </row>
    <row r="1284" ht="18" customHeight="1">
      <c r="A1284" s="39" t="n">
        <v>1279</v>
      </c>
      <c r="B1284" s="33">
        <f>IF(C1284="","",IF(L1284="À RENSEIGNER","GIC",L1284)&amp;"-E"&amp;TEXT(A1284,"00000"))</f>
        <v/>
      </c>
      <c r="C1284" s="32" t="n"/>
      <c r="D1284" s="36" t="n"/>
      <c r="E1284" s="37" t="n"/>
      <c r="F1284" s="36" t="n"/>
      <c r="G1284" s="44" t="n"/>
      <c r="H1284" s="43" t="n"/>
      <c r="I1284" s="32" t="n"/>
      <c r="J1284" s="44" t="n"/>
      <c r="K1284" s="36" t="n"/>
      <c r="L1284" s="33">
        <f>IF(C1284="","",Commercial_Id)</f>
        <v/>
      </c>
      <c r="M1284" s="34">
        <f>IF(OR(C1284="",F1284=""),"",IF(F1284&lt;&gt;"Espèces","—",IF(I1284&lt;&gt;"","☑ Oui","☐ Non")))</f>
        <v/>
      </c>
      <c r="N1284" s="39">
        <f>IF(D1284="","",IFERROR(VALUE(MID(D1284,LEN(D1284)-3,3)),""))</f>
        <v/>
      </c>
      <c r="O1284" s="33">
        <f>IF(N1284="","",L1284&amp;"|"&amp;N1284)</f>
        <v/>
      </c>
      <c r="P1284" s="33">
        <f>IF(N1284="","",IF(L1284="À RENSEIGNER","GIC",L1284)&amp;"-"&amp;TEXT(N1284,"000"))</f>
        <v/>
      </c>
      <c r="Q1284" s="33">
        <f>IF(O1284="","",IFERROR(INDEX(Cl_nom,MATCH(O1284,Cl_cle,0)),"(client introuvable)"))</f>
        <v/>
      </c>
      <c r="R1284" s="40">
        <f>IF(O1284="","",IFERROR(INDEX(Cl_reste,MATCH(O1284,Cl_cle,0)),""))</f>
        <v/>
      </c>
      <c r="S1284" s="34">
        <f>IF(C1284="","",YEAR(C1284-WEEKDAY(C1284,2)+4)&amp;"-S"&amp;TEXT(INT((C1284-DATE(YEAR(C1284-WEEKDAY(C1284,2)+4),1,3)+WEEKDAY(DATE(YEAR(C1284-WEEKDAY(C1284,2)+4),1,3),2)+5)/7),"00"))</f>
        <v/>
      </c>
    </row>
    <row r="1285" ht="18" customHeight="1">
      <c r="A1285" s="39" t="n">
        <v>1280</v>
      </c>
      <c r="B1285" s="33">
        <f>IF(C1285="","",IF(L1285="À RENSEIGNER","GIC",L1285)&amp;"-E"&amp;TEXT(A1285,"00000"))</f>
        <v/>
      </c>
      <c r="C1285" s="32" t="n"/>
      <c r="D1285" s="36" t="n"/>
      <c r="E1285" s="37" t="n"/>
      <c r="F1285" s="36" t="n"/>
      <c r="G1285" s="44" t="n"/>
      <c r="H1285" s="43" t="n"/>
      <c r="I1285" s="32" t="n"/>
      <c r="J1285" s="44" t="n"/>
      <c r="K1285" s="36" t="n"/>
      <c r="L1285" s="33">
        <f>IF(C1285="","",Commercial_Id)</f>
        <v/>
      </c>
      <c r="M1285" s="34">
        <f>IF(OR(C1285="",F1285=""),"",IF(F1285&lt;&gt;"Espèces","—",IF(I1285&lt;&gt;"","☑ Oui","☐ Non")))</f>
        <v/>
      </c>
      <c r="N1285" s="39">
        <f>IF(D1285="","",IFERROR(VALUE(MID(D1285,LEN(D1285)-3,3)),""))</f>
        <v/>
      </c>
      <c r="O1285" s="33">
        <f>IF(N1285="","",L1285&amp;"|"&amp;N1285)</f>
        <v/>
      </c>
      <c r="P1285" s="33">
        <f>IF(N1285="","",IF(L1285="À RENSEIGNER","GIC",L1285)&amp;"-"&amp;TEXT(N1285,"000"))</f>
        <v/>
      </c>
      <c r="Q1285" s="33">
        <f>IF(O1285="","",IFERROR(INDEX(Cl_nom,MATCH(O1285,Cl_cle,0)),"(client introuvable)"))</f>
        <v/>
      </c>
      <c r="R1285" s="40">
        <f>IF(O1285="","",IFERROR(INDEX(Cl_reste,MATCH(O1285,Cl_cle,0)),""))</f>
        <v/>
      </c>
      <c r="S1285" s="34">
        <f>IF(C1285="","",YEAR(C1285-WEEKDAY(C1285,2)+4)&amp;"-S"&amp;TEXT(INT((C1285-DATE(YEAR(C1285-WEEKDAY(C1285,2)+4),1,3)+WEEKDAY(DATE(YEAR(C1285-WEEKDAY(C1285,2)+4),1,3),2)+5)/7),"00"))</f>
        <v/>
      </c>
    </row>
    <row r="1286" ht="18" customHeight="1">
      <c r="A1286" s="39" t="n">
        <v>1281</v>
      </c>
      <c r="B1286" s="33">
        <f>IF(C1286="","",IF(L1286="À RENSEIGNER","GIC",L1286)&amp;"-E"&amp;TEXT(A1286,"00000"))</f>
        <v/>
      </c>
      <c r="C1286" s="32" t="n"/>
      <c r="D1286" s="36" t="n"/>
      <c r="E1286" s="37" t="n"/>
      <c r="F1286" s="36" t="n"/>
      <c r="G1286" s="44" t="n"/>
      <c r="H1286" s="43" t="n"/>
      <c r="I1286" s="32" t="n"/>
      <c r="J1286" s="44" t="n"/>
      <c r="K1286" s="36" t="n"/>
      <c r="L1286" s="33">
        <f>IF(C1286="","",Commercial_Id)</f>
        <v/>
      </c>
      <c r="M1286" s="34">
        <f>IF(OR(C1286="",F1286=""),"",IF(F1286&lt;&gt;"Espèces","—",IF(I1286&lt;&gt;"","☑ Oui","☐ Non")))</f>
        <v/>
      </c>
      <c r="N1286" s="39">
        <f>IF(D1286="","",IFERROR(VALUE(MID(D1286,LEN(D1286)-3,3)),""))</f>
        <v/>
      </c>
      <c r="O1286" s="33">
        <f>IF(N1286="","",L1286&amp;"|"&amp;N1286)</f>
        <v/>
      </c>
      <c r="P1286" s="33">
        <f>IF(N1286="","",IF(L1286="À RENSEIGNER","GIC",L1286)&amp;"-"&amp;TEXT(N1286,"000"))</f>
        <v/>
      </c>
      <c r="Q1286" s="33">
        <f>IF(O1286="","",IFERROR(INDEX(Cl_nom,MATCH(O1286,Cl_cle,0)),"(client introuvable)"))</f>
        <v/>
      </c>
      <c r="R1286" s="40">
        <f>IF(O1286="","",IFERROR(INDEX(Cl_reste,MATCH(O1286,Cl_cle,0)),""))</f>
        <v/>
      </c>
      <c r="S1286" s="34">
        <f>IF(C1286="","",YEAR(C1286-WEEKDAY(C1286,2)+4)&amp;"-S"&amp;TEXT(INT((C1286-DATE(YEAR(C1286-WEEKDAY(C1286,2)+4),1,3)+WEEKDAY(DATE(YEAR(C1286-WEEKDAY(C1286,2)+4),1,3),2)+5)/7),"00"))</f>
        <v/>
      </c>
    </row>
    <row r="1287" ht="18" customHeight="1">
      <c r="A1287" s="39" t="n">
        <v>1282</v>
      </c>
      <c r="B1287" s="33">
        <f>IF(C1287="","",IF(L1287="À RENSEIGNER","GIC",L1287)&amp;"-E"&amp;TEXT(A1287,"00000"))</f>
        <v/>
      </c>
      <c r="C1287" s="32" t="n"/>
      <c r="D1287" s="36" t="n"/>
      <c r="E1287" s="37" t="n"/>
      <c r="F1287" s="36" t="n"/>
      <c r="G1287" s="44" t="n"/>
      <c r="H1287" s="43" t="n"/>
      <c r="I1287" s="32" t="n"/>
      <c r="J1287" s="44" t="n"/>
      <c r="K1287" s="36" t="n"/>
      <c r="L1287" s="33">
        <f>IF(C1287="","",Commercial_Id)</f>
        <v/>
      </c>
      <c r="M1287" s="34">
        <f>IF(OR(C1287="",F1287=""),"",IF(F1287&lt;&gt;"Espèces","—",IF(I1287&lt;&gt;"","☑ Oui","☐ Non")))</f>
        <v/>
      </c>
      <c r="N1287" s="39">
        <f>IF(D1287="","",IFERROR(VALUE(MID(D1287,LEN(D1287)-3,3)),""))</f>
        <v/>
      </c>
      <c r="O1287" s="33">
        <f>IF(N1287="","",L1287&amp;"|"&amp;N1287)</f>
        <v/>
      </c>
      <c r="P1287" s="33">
        <f>IF(N1287="","",IF(L1287="À RENSEIGNER","GIC",L1287)&amp;"-"&amp;TEXT(N1287,"000"))</f>
        <v/>
      </c>
      <c r="Q1287" s="33">
        <f>IF(O1287="","",IFERROR(INDEX(Cl_nom,MATCH(O1287,Cl_cle,0)),"(client introuvable)"))</f>
        <v/>
      </c>
      <c r="R1287" s="40">
        <f>IF(O1287="","",IFERROR(INDEX(Cl_reste,MATCH(O1287,Cl_cle,0)),""))</f>
        <v/>
      </c>
      <c r="S1287" s="34">
        <f>IF(C1287="","",YEAR(C1287-WEEKDAY(C1287,2)+4)&amp;"-S"&amp;TEXT(INT((C1287-DATE(YEAR(C1287-WEEKDAY(C1287,2)+4),1,3)+WEEKDAY(DATE(YEAR(C1287-WEEKDAY(C1287,2)+4),1,3),2)+5)/7),"00"))</f>
        <v/>
      </c>
    </row>
    <row r="1288" ht="18" customHeight="1">
      <c r="A1288" s="39" t="n">
        <v>1283</v>
      </c>
      <c r="B1288" s="33">
        <f>IF(C1288="","",IF(L1288="À RENSEIGNER","GIC",L1288)&amp;"-E"&amp;TEXT(A1288,"00000"))</f>
        <v/>
      </c>
      <c r="C1288" s="32" t="n"/>
      <c r="D1288" s="36" t="n"/>
      <c r="E1288" s="37" t="n"/>
      <c r="F1288" s="36" t="n"/>
      <c r="G1288" s="44" t="n"/>
      <c r="H1288" s="43" t="n"/>
      <c r="I1288" s="32" t="n"/>
      <c r="J1288" s="44" t="n"/>
      <c r="K1288" s="36" t="n"/>
      <c r="L1288" s="33">
        <f>IF(C1288="","",Commercial_Id)</f>
        <v/>
      </c>
      <c r="M1288" s="34">
        <f>IF(OR(C1288="",F1288=""),"",IF(F1288&lt;&gt;"Espèces","—",IF(I1288&lt;&gt;"","☑ Oui","☐ Non")))</f>
        <v/>
      </c>
      <c r="N1288" s="39">
        <f>IF(D1288="","",IFERROR(VALUE(MID(D1288,LEN(D1288)-3,3)),""))</f>
        <v/>
      </c>
      <c r="O1288" s="33">
        <f>IF(N1288="","",L1288&amp;"|"&amp;N1288)</f>
        <v/>
      </c>
      <c r="P1288" s="33">
        <f>IF(N1288="","",IF(L1288="À RENSEIGNER","GIC",L1288)&amp;"-"&amp;TEXT(N1288,"000"))</f>
        <v/>
      </c>
      <c r="Q1288" s="33">
        <f>IF(O1288="","",IFERROR(INDEX(Cl_nom,MATCH(O1288,Cl_cle,0)),"(client introuvable)"))</f>
        <v/>
      </c>
      <c r="R1288" s="40">
        <f>IF(O1288="","",IFERROR(INDEX(Cl_reste,MATCH(O1288,Cl_cle,0)),""))</f>
        <v/>
      </c>
      <c r="S1288" s="34">
        <f>IF(C1288="","",YEAR(C1288-WEEKDAY(C1288,2)+4)&amp;"-S"&amp;TEXT(INT((C1288-DATE(YEAR(C1288-WEEKDAY(C1288,2)+4),1,3)+WEEKDAY(DATE(YEAR(C1288-WEEKDAY(C1288,2)+4),1,3),2)+5)/7),"00"))</f>
        <v/>
      </c>
    </row>
    <row r="1289" ht="18" customHeight="1">
      <c r="A1289" s="39" t="n">
        <v>1284</v>
      </c>
      <c r="B1289" s="33">
        <f>IF(C1289="","",IF(L1289="À RENSEIGNER","GIC",L1289)&amp;"-E"&amp;TEXT(A1289,"00000"))</f>
        <v/>
      </c>
      <c r="C1289" s="32" t="n"/>
      <c r="D1289" s="36" t="n"/>
      <c r="E1289" s="37" t="n"/>
      <c r="F1289" s="36" t="n"/>
      <c r="G1289" s="44" t="n"/>
      <c r="H1289" s="43" t="n"/>
      <c r="I1289" s="32" t="n"/>
      <c r="J1289" s="44" t="n"/>
      <c r="K1289" s="36" t="n"/>
      <c r="L1289" s="33">
        <f>IF(C1289="","",Commercial_Id)</f>
        <v/>
      </c>
      <c r="M1289" s="34">
        <f>IF(OR(C1289="",F1289=""),"",IF(F1289&lt;&gt;"Espèces","—",IF(I1289&lt;&gt;"","☑ Oui","☐ Non")))</f>
        <v/>
      </c>
      <c r="N1289" s="39">
        <f>IF(D1289="","",IFERROR(VALUE(MID(D1289,LEN(D1289)-3,3)),""))</f>
        <v/>
      </c>
      <c r="O1289" s="33">
        <f>IF(N1289="","",L1289&amp;"|"&amp;N1289)</f>
        <v/>
      </c>
      <c r="P1289" s="33">
        <f>IF(N1289="","",IF(L1289="À RENSEIGNER","GIC",L1289)&amp;"-"&amp;TEXT(N1289,"000"))</f>
        <v/>
      </c>
      <c r="Q1289" s="33">
        <f>IF(O1289="","",IFERROR(INDEX(Cl_nom,MATCH(O1289,Cl_cle,0)),"(client introuvable)"))</f>
        <v/>
      </c>
      <c r="R1289" s="40">
        <f>IF(O1289="","",IFERROR(INDEX(Cl_reste,MATCH(O1289,Cl_cle,0)),""))</f>
        <v/>
      </c>
      <c r="S1289" s="34">
        <f>IF(C1289="","",YEAR(C1289-WEEKDAY(C1289,2)+4)&amp;"-S"&amp;TEXT(INT((C1289-DATE(YEAR(C1289-WEEKDAY(C1289,2)+4),1,3)+WEEKDAY(DATE(YEAR(C1289-WEEKDAY(C1289,2)+4),1,3),2)+5)/7),"00"))</f>
        <v/>
      </c>
    </row>
    <row r="1290" ht="18" customHeight="1">
      <c r="A1290" s="39" t="n">
        <v>1285</v>
      </c>
      <c r="B1290" s="33">
        <f>IF(C1290="","",IF(L1290="À RENSEIGNER","GIC",L1290)&amp;"-E"&amp;TEXT(A1290,"00000"))</f>
        <v/>
      </c>
      <c r="C1290" s="32" t="n"/>
      <c r="D1290" s="36" t="n"/>
      <c r="E1290" s="37" t="n"/>
      <c r="F1290" s="36" t="n"/>
      <c r="G1290" s="44" t="n"/>
      <c r="H1290" s="43" t="n"/>
      <c r="I1290" s="32" t="n"/>
      <c r="J1290" s="44" t="n"/>
      <c r="K1290" s="36" t="n"/>
      <c r="L1290" s="33">
        <f>IF(C1290="","",Commercial_Id)</f>
        <v/>
      </c>
      <c r="M1290" s="34">
        <f>IF(OR(C1290="",F1290=""),"",IF(F1290&lt;&gt;"Espèces","—",IF(I1290&lt;&gt;"","☑ Oui","☐ Non")))</f>
        <v/>
      </c>
      <c r="N1290" s="39">
        <f>IF(D1290="","",IFERROR(VALUE(MID(D1290,LEN(D1290)-3,3)),""))</f>
        <v/>
      </c>
      <c r="O1290" s="33">
        <f>IF(N1290="","",L1290&amp;"|"&amp;N1290)</f>
        <v/>
      </c>
      <c r="P1290" s="33">
        <f>IF(N1290="","",IF(L1290="À RENSEIGNER","GIC",L1290)&amp;"-"&amp;TEXT(N1290,"000"))</f>
        <v/>
      </c>
      <c r="Q1290" s="33">
        <f>IF(O1290="","",IFERROR(INDEX(Cl_nom,MATCH(O1290,Cl_cle,0)),"(client introuvable)"))</f>
        <v/>
      </c>
      <c r="R1290" s="40">
        <f>IF(O1290="","",IFERROR(INDEX(Cl_reste,MATCH(O1290,Cl_cle,0)),""))</f>
        <v/>
      </c>
      <c r="S1290" s="34">
        <f>IF(C1290="","",YEAR(C1290-WEEKDAY(C1290,2)+4)&amp;"-S"&amp;TEXT(INT((C1290-DATE(YEAR(C1290-WEEKDAY(C1290,2)+4),1,3)+WEEKDAY(DATE(YEAR(C1290-WEEKDAY(C1290,2)+4),1,3),2)+5)/7),"00"))</f>
        <v/>
      </c>
    </row>
    <row r="1291" ht="18" customHeight="1">
      <c r="A1291" s="39" t="n">
        <v>1286</v>
      </c>
      <c r="B1291" s="33">
        <f>IF(C1291="","",IF(L1291="À RENSEIGNER","GIC",L1291)&amp;"-E"&amp;TEXT(A1291,"00000"))</f>
        <v/>
      </c>
      <c r="C1291" s="32" t="n"/>
      <c r="D1291" s="36" t="n"/>
      <c r="E1291" s="37" t="n"/>
      <c r="F1291" s="36" t="n"/>
      <c r="G1291" s="44" t="n"/>
      <c r="H1291" s="43" t="n"/>
      <c r="I1291" s="32" t="n"/>
      <c r="J1291" s="44" t="n"/>
      <c r="K1291" s="36" t="n"/>
      <c r="L1291" s="33">
        <f>IF(C1291="","",Commercial_Id)</f>
        <v/>
      </c>
      <c r="M1291" s="34">
        <f>IF(OR(C1291="",F1291=""),"",IF(F1291&lt;&gt;"Espèces","—",IF(I1291&lt;&gt;"","☑ Oui","☐ Non")))</f>
        <v/>
      </c>
      <c r="N1291" s="39">
        <f>IF(D1291="","",IFERROR(VALUE(MID(D1291,LEN(D1291)-3,3)),""))</f>
        <v/>
      </c>
      <c r="O1291" s="33">
        <f>IF(N1291="","",L1291&amp;"|"&amp;N1291)</f>
        <v/>
      </c>
      <c r="P1291" s="33">
        <f>IF(N1291="","",IF(L1291="À RENSEIGNER","GIC",L1291)&amp;"-"&amp;TEXT(N1291,"000"))</f>
        <v/>
      </c>
      <c r="Q1291" s="33">
        <f>IF(O1291="","",IFERROR(INDEX(Cl_nom,MATCH(O1291,Cl_cle,0)),"(client introuvable)"))</f>
        <v/>
      </c>
      <c r="R1291" s="40">
        <f>IF(O1291="","",IFERROR(INDEX(Cl_reste,MATCH(O1291,Cl_cle,0)),""))</f>
        <v/>
      </c>
      <c r="S1291" s="34">
        <f>IF(C1291="","",YEAR(C1291-WEEKDAY(C1291,2)+4)&amp;"-S"&amp;TEXT(INT((C1291-DATE(YEAR(C1291-WEEKDAY(C1291,2)+4),1,3)+WEEKDAY(DATE(YEAR(C1291-WEEKDAY(C1291,2)+4),1,3),2)+5)/7),"00"))</f>
        <v/>
      </c>
    </row>
    <row r="1292" ht="18" customHeight="1">
      <c r="A1292" s="39" t="n">
        <v>1287</v>
      </c>
      <c r="B1292" s="33">
        <f>IF(C1292="","",IF(L1292="À RENSEIGNER","GIC",L1292)&amp;"-E"&amp;TEXT(A1292,"00000"))</f>
        <v/>
      </c>
      <c r="C1292" s="32" t="n"/>
      <c r="D1292" s="36" t="n"/>
      <c r="E1292" s="37" t="n"/>
      <c r="F1292" s="36" t="n"/>
      <c r="G1292" s="44" t="n"/>
      <c r="H1292" s="43" t="n"/>
      <c r="I1292" s="32" t="n"/>
      <c r="J1292" s="44" t="n"/>
      <c r="K1292" s="36" t="n"/>
      <c r="L1292" s="33">
        <f>IF(C1292="","",Commercial_Id)</f>
        <v/>
      </c>
      <c r="M1292" s="34">
        <f>IF(OR(C1292="",F1292=""),"",IF(F1292&lt;&gt;"Espèces","—",IF(I1292&lt;&gt;"","☑ Oui","☐ Non")))</f>
        <v/>
      </c>
      <c r="N1292" s="39">
        <f>IF(D1292="","",IFERROR(VALUE(MID(D1292,LEN(D1292)-3,3)),""))</f>
        <v/>
      </c>
      <c r="O1292" s="33">
        <f>IF(N1292="","",L1292&amp;"|"&amp;N1292)</f>
        <v/>
      </c>
      <c r="P1292" s="33">
        <f>IF(N1292="","",IF(L1292="À RENSEIGNER","GIC",L1292)&amp;"-"&amp;TEXT(N1292,"000"))</f>
        <v/>
      </c>
      <c r="Q1292" s="33">
        <f>IF(O1292="","",IFERROR(INDEX(Cl_nom,MATCH(O1292,Cl_cle,0)),"(client introuvable)"))</f>
        <v/>
      </c>
      <c r="R1292" s="40">
        <f>IF(O1292="","",IFERROR(INDEX(Cl_reste,MATCH(O1292,Cl_cle,0)),""))</f>
        <v/>
      </c>
      <c r="S1292" s="34">
        <f>IF(C1292="","",YEAR(C1292-WEEKDAY(C1292,2)+4)&amp;"-S"&amp;TEXT(INT((C1292-DATE(YEAR(C1292-WEEKDAY(C1292,2)+4),1,3)+WEEKDAY(DATE(YEAR(C1292-WEEKDAY(C1292,2)+4),1,3),2)+5)/7),"00"))</f>
        <v/>
      </c>
    </row>
    <row r="1293" ht="18" customHeight="1">
      <c r="A1293" s="39" t="n">
        <v>1288</v>
      </c>
      <c r="B1293" s="33">
        <f>IF(C1293="","",IF(L1293="À RENSEIGNER","GIC",L1293)&amp;"-E"&amp;TEXT(A1293,"00000"))</f>
        <v/>
      </c>
      <c r="C1293" s="32" t="n"/>
      <c r="D1293" s="36" t="n"/>
      <c r="E1293" s="37" t="n"/>
      <c r="F1293" s="36" t="n"/>
      <c r="G1293" s="44" t="n"/>
      <c r="H1293" s="43" t="n"/>
      <c r="I1293" s="32" t="n"/>
      <c r="J1293" s="44" t="n"/>
      <c r="K1293" s="36" t="n"/>
      <c r="L1293" s="33">
        <f>IF(C1293="","",Commercial_Id)</f>
        <v/>
      </c>
      <c r="M1293" s="34">
        <f>IF(OR(C1293="",F1293=""),"",IF(F1293&lt;&gt;"Espèces","—",IF(I1293&lt;&gt;"","☑ Oui","☐ Non")))</f>
        <v/>
      </c>
      <c r="N1293" s="39">
        <f>IF(D1293="","",IFERROR(VALUE(MID(D1293,LEN(D1293)-3,3)),""))</f>
        <v/>
      </c>
      <c r="O1293" s="33">
        <f>IF(N1293="","",L1293&amp;"|"&amp;N1293)</f>
        <v/>
      </c>
      <c r="P1293" s="33">
        <f>IF(N1293="","",IF(L1293="À RENSEIGNER","GIC",L1293)&amp;"-"&amp;TEXT(N1293,"000"))</f>
        <v/>
      </c>
      <c r="Q1293" s="33">
        <f>IF(O1293="","",IFERROR(INDEX(Cl_nom,MATCH(O1293,Cl_cle,0)),"(client introuvable)"))</f>
        <v/>
      </c>
      <c r="R1293" s="40">
        <f>IF(O1293="","",IFERROR(INDEX(Cl_reste,MATCH(O1293,Cl_cle,0)),""))</f>
        <v/>
      </c>
      <c r="S1293" s="34">
        <f>IF(C1293="","",YEAR(C1293-WEEKDAY(C1293,2)+4)&amp;"-S"&amp;TEXT(INT((C1293-DATE(YEAR(C1293-WEEKDAY(C1293,2)+4),1,3)+WEEKDAY(DATE(YEAR(C1293-WEEKDAY(C1293,2)+4),1,3),2)+5)/7),"00"))</f>
        <v/>
      </c>
    </row>
    <row r="1294" ht="18" customHeight="1">
      <c r="A1294" s="39" t="n">
        <v>1289</v>
      </c>
      <c r="B1294" s="33">
        <f>IF(C1294="","",IF(L1294="À RENSEIGNER","GIC",L1294)&amp;"-E"&amp;TEXT(A1294,"00000"))</f>
        <v/>
      </c>
      <c r="C1294" s="32" t="n"/>
      <c r="D1294" s="36" t="n"/>
      <c r="E1294" s="37" t="n"/>
      <c r="F1294" s="36" t="n"/>
      <c r="G1294" s="44" t="n"/>
      <c r="H1294" s="43" t="n"/>
      <c r="I1294" s="32" t="n"/>
      <c r="J1294" s="44" t="n"/>
      <c r="K1294" s="36" t="n"/>
      <c r="L1294" s="33">
        <f>IF(C1294="","",Commercial_Id)</f>
        <v/>
      </c>
      <c r="M1294" s="34">
        <f>IF(OR(C1294="",F1294=""),"",IF(F1294&lt;&gt;"Espèces","—",IF(I1294&lt;&gt;"","☑ Oui","☐ Non")))</f>
        <v/>
      </c>
      <c r="N1294" s="39">
        <f>IF(D1294="","",IFERROR(VALUE(MID(D1294,LEN(D1294)-3,3)),""))</f>
        <v/>
      </c>
      <c r="O1294" s="33">
        <f>IF(N1294="","",L1294&amp;"|"&amp;N1294)</f>
        <v/>
      </c>
      <c r="P1294" s="33">
        <f>IF(N1294="","",IF(L1294="À RENSEIGNER","GIC",L1294)&amp;"-"&amp;TEXT(N1294,"000"))</f>
        <v/>
      </c>
      <c r="Q1294" s="33">
        <f>IF(O1294="","",IFERROR(INDEX(Cl_nom,MATCH(O1294,Cl_cle,0)),"(client introuvable)"))</f>
        <v/>
      </c>
      <c r="R1294" s="40">
        <f>IF(O1294="","",IFERROR(INDEX(Cl_reste,MATCH(O1294,Cl_cle,0)),""))</f>
        <v/>
      </c>
      <c r="S1294" s="34">
        <f>IF(C1294="","",YEAR(C1294-WEEKDAY(C1294,2)+4)&amp;"-S"&amp;TEXT(INT((C1294-DATE(YEAR(C1294-WEEKDAY(C1294,2)+4),1,3)+WEEKDAY(DATE(YEAR(C1294-WEEKDAY(C1294,2)+4),1,3),2)+5)/7),"00"))</f>
        <v/>
      </c>
    </row>
    <row r="1295" ht="18" customHeight="1">
      <c r="A1295" s="39" t="n">
        <v>1290</v>
      </c>
      <c r="B1295" s="33">
        <f>IF(C1295="","",IF(L1295="À RENSEIGNER","GIC",L1295)&amp;"-E"&amp;TEXT(A1295,"00000"))</f>
        <v/>
      </c>
      <c r="C1295" s="32" t="n"/>
      <c r="D1295" s="36" t="n"/>
      <c r="E1295" s="37" t="n"/>
      <c r="F1295" s="36" t="n"/>
      <c r="G1295" s="44" t="n"/>
      <c r="H1295" s="43" t="n"/>
      <c r="I1295" s="32" t="n"/>
      <c r="J1295" s="44" t="n"/>
      <c r="K1295" s="36" t="n"/>
      <c r="L1295" s="33">
        <f>IF(C1295="","",Commercial_Id)</f>
        <v/>
      </c>
      <c r="M1295" s="34">
        <f>IF(OR(C1295="",F1295=""),"",IF(F1295&lt;&gt;"Espèces","—",IF(I1295&lt;&gt;"","☑ Oui","☐ Non")))</f>
        <v/>
      </c>
      <c r="N1295" s="39">
        <f>IF(D1295="","",IFERROR(VALUE(MID(D1295,LEN(D1295)-3,3)),""))</f>
        <v/>
      </c>
      <c r="O1295" s="33">
        <f>IF(N1295="","",L1295&amp;"|"&amp;N1295)</f>
        <v/>
      </c>
      <c r="P1295" s="33">
        <f>IF(N1295="","",IF(L1295="À RENSEIGNER","GIC",L1295)&amp;"-"&amp;TEXT(N1295,"000"))</f>
        <v/>
      </c>
      <c r="Q1295" s="33">
        <f>IF(O1295="","",IFERROR(INDEX(Cl_nom,MATCH(O1295,Cl_cle,0)),"(client introuvable)"))</f>
        <v/>
      </c>
      <c r="R1295" s="40">
        <f>IF(O1295="","",IFERROR(INDEX(Cl_reste,MATCH(O1295,Cl_cle,0)),""))</f>
        <v/>
      </c>
      <c r="S1295" s="34">
        <f>IF(C1295="","",YEAR(C1295-WEEKDAY(C1295,2)+4)&amp;"-S"&amp;TEXT(INT((C1295-DATE(YEAR(C1295-WEEKDAY(C1295,2)+4),1,3)+WEEKDAY(DATE(YEAR(C1295-WEEKDAY(C1295,2)+4),1,3),2)+5)/7),"00"))</f>
        <v/>
      </c>
    </row>
    <row r="1296" ht="18" customHeight="1">
      <c r="A1296" s="39" t="n">
        <v>1291</v>
      </c>
      <c r="B1296" s="33">
        <f>IF(C1296="","",IF(L1296="À RENSEIGNER","GIC",L1296)&amp;"-E"&amp;TEXT(A1296,"00000"))</f>
        <v/>
      </c>
      <c r="C1296" s="32" t="n"/>
      <c r="D1296" s="36" t="n"/>
      <c r="E1296" s="37" t="n"/>
      <c r="F1296" s="36" t="n"/>
      <c r="G1296" s="44" t="n"/>
      <c r="H1296" s="43" t="n"/>
      <c r="I1296" s="32" t="n"/>
      <c r="J1296" s="44" t="n"/>
      <c r="K1296" s="36" t="n"/>
      <c r="L1296" s="33">
        <f>IF(C1296="","",Commercial_Id)</f>
        <v/>
      </c>
      <c r="M1296" s="34">
        <f>IF(OR(C1296="",F1296=""),"",IF(F1296&lt;&gt;"Espèces","—",IF(I1296&lt;&gt;"","☑ Oui","☐ Non")))</f>
        <v/>
      </c>
      <c r="N1296" s="39">
        <f>IF(D1296="","",IFERROR(VALUE(MID(D1296,LEN(D1296)-3,3)),""))</f>
        <v/>
      </c>
      <c r="O1296" s="33">
        <f>IF(N1296="","",L1296&amp;"|"&amp;N1296)</f>
        <v/>
      </c>
      <c r="P1296" s="33">
        <f>IF(N1296="","",IF(L1296="À RENSEIGNER","GIC",L1296)&amp;"-"&amp;TEXT(N1296,"000"))</f>
        <v/>
      </c>
      <c r="Q1296" s="33">
        <f>IF(O1296="","",IFERROR(INDEX(Cl_nom,MATCH(O1296,Cl_cle,0)),"(client introuvable)"))</f>
        <v/>
      </c>
      <c r="R1296" s="40">
        <f>IF(O1296="","",IFERROR(INDEX(Cl_reste,MATCH(O1296,Cl_cle,0)),""))</f>
        <v/>
      </c>
      <c r="S1296" s="34">
        <f>IF(C1296="","",YEAR(C1296-WEEKDAY(C1296,2)+4)&amp;"-S"&amp;TEXT(INT((C1296-DATE(YEAR(C1296-WEEKDAY(C1296,2)+4),1,3)+WEEKDAY(DATE(YEAR(C1296-WEEKDAY(C1296,2)+4),1,3),2)+5)/7),"00"))</f>
        <v/>
      </c>
    </row>
    <row r="1297" ht="18" customHeight="1">
      <c r="A1297" s="39" t="n">
        <v>1292</v>
      </c>
      <c r="B1297" s="33">
        <f>IF(C1297="","",IF(L1297="À RENSEIGNER","GIC",L1297)&amp;"-E"&amp;TEXT(A1297,"00000"))</f>
        <v/>
      </c>
      <c r="C1297" s="32" t="n"/>
      <c r="D1297" s="36" t="n"/>
      <c r="E1297" s="37" t="n"/>
      <c r="F1297" s="36" t="n"/>
      <c r="G1297" s="44" t="n"/>
      <c r="H1297" s="43" t="n"/>
      <c r="I1297" s="32" t="n"/>
      <c r="J1297" s="44" t="n"/>
      <c r="K1297" s="36" t="n"/>
      <c r="L1297" s="33">
        <f>IF(C1297="","",Commercial_Id)</f>
        <v/>
      </c>
      <c r="M1297" s="34">
        <f>IF(OR(C1297="",F1297=""),"",IF(F1297&lt;&gt;"Espèces","—",IF(I1297&lt;&gt;"","☑ Oui","☐ Non")))</f>
        <v/>
      </c>
      <c r="N1297" s="39">
        <f>IF(D1297="","",IFERROR(VALUE(MID(D1297,LEN(D1297)-3,3)),""))</f>
        <v/>
      </c>
      <c r="O1297" s="33">
        <f>IF(N1297="","",L1297&amp;"|"&amp;N1297)</f>
        <v/>
      </c>
      <c r="P1297" s="33">
        <f>IF(N1297="","",IF(L1297="À RENSEIGNER","GIC",L1297)&amp;"-"&amp;TEXT(N1297,"000"))</f>
        <v/>
      </c>
      <c r="Q1297" s="33">
        <f>IF(O1297="","",IFERROR(INDEX(Cl_nom,MATCH(O1297,Cl_cle,0)),"(client introuvable)"))</f>
        <v/>
      </c>
      <c r="R1297" s="40">
        <f>IF(O1297="","",IFERROR(INDEX(Cl_reste,MATCH(O1297,Cl_cle,0)),""))</f>
        <v/>
      </c>
      <c r="S1297" s="34">
        <f>IF(C1297="","",YEAR(C1297-WEEKDAY(C1297,2)+4)&amp;"-S"&amp;TEXT(INT((C1297-DATE(YEAR(C1297-WEEKDAY(C1297,2)+4),1,3)+WEEKDAY(DATE(YEAR(C1297-WEEKDAY(C1297,2)+4),1,3),2)+5)/7),"00"))</f>
        <v/>
      </c>
    </row>
    <row r="1298" ht="18" customHeight="1">
      <c r="A1298" s="39" t="n">
        <v>1293</v>
      </c>
      <c r="B1298" s="33">
        <f>IF(C1298="","",IF(L1298="À RENSEIGNER","GIC",L1298)&amp;"-E"&amp;TEXT(A1298,"00000"))</f>
        <v/>
      </c>
      <c r="C1298" s="32" t="n"/>
      <c r="D1298" s="36" t="n"/>
      <c r="E1298" s="37" t="n"/>
      <c r="F1298" s="36" t="n"/>
      <c r="G1298" s="44" t="n"/>
      <c r="H1298" s="43" t="n"/>
      <c r="I1298" s="32" t="n"/>
      <c r="J1298" s="44" t="n"/>
      <c r="K1298" s="36" t="n"/>
      <c r="L1298" s="33">
        <f>IF(C1298="","",Commercial_Id)</f>
        <v/>
      </c>
      <c r="M1298" s="34">
        <f>IF(OR(C1298="",F1298=""),"",IF(F1298&lt;&gt;"Espèces","—",IF(I1298&lt;&gt;"","☑ Oui","☐ Non")))</f>
        <v/>
      </c>
      <c r="N1298" s="39">
        <f>IF(D1298="","",IFERROR(VALUE(MID(D1298,LEN(D1298)-3,3)),""))</f>
        <v/>
      </c>
      <c r="O1298" s="33">
        <f>IF(N1298="","",L1298&amp;"|"&amp;N1298)</f>
        <v/>
      </c>
      <c r="P1298" s="33">
        <f>IF(N1298="","",IF(L1298="À RENSEIGNER","GIC",L1298)&amp;"-"&amp;TEXT(N1298,"000"))</f>
        <v/>
      </c>
      <c r="Q1298" s="33">
        <f>IF(O1298="","",IFERROR(INDEX(Cl_nom,MATCH(O1298,Cl_cle,0)),"(client introuvable)"))</f>
        <v/>
      </c>
      <c r="R1298" s="40">
        <f>IF(O1298="","",IFERROR(INDEX(Cl_reste,MATCH(O1298,Cl_cle,0)),""))</f>
        <v/>
      </c>
      <c r="S1298" s="34">
        <f>IF(C1298="","",YEAR(C1298-WEEKDAY(C1298,2)+4)&amp;"-S"&amp;TEXT(INT((C1298-DATE(YEAR(C1298-WEEKDAY(C1298,2)+4),1,3)+WEEKDAY(DATE(YEAR(C1298-WEEKDAY(C1298,2)+4),1,3),2)+5)/7),"00"))</f>
        <v/>
      </c>
    </row>
    <row r="1299" ht="18" customHeight="1">
      <c r="A1299" s="39" t="n">
        <v>1294</v>
      </c>
      <c r="B1299" s="33">
        <f>IF(C1299="","",IF(L1299="À RENSEIGNER","GIC",L1299)&amp;"-E"&amp;TEXT(A1299,"00000"))</f>
        <v/>
      </c>
      <c r="C1299" s="32" t="n"/>
      <c r="D1299" s="36" t="n"/>
      <c r="E1299" s="37" t="n"/>
      <c r="F1299" s="36" t="n"/>
      <c r="G1299" s="44" t="n"/>
      <c r="H1299" s="43" t="n"/>
      <c r="I1299" s="32" t="n"/>
      <c r="J1299" s="44" t="n"/>
      <c r="K1299" s="36" t="n"/>
      <c r="L1299" s="33">
        <f>IF(C1299="","",Commercial_Id)</f>
        <v/>
      </c>
      <c r="M1299" s="34">
        <f>IF(OR(C1299="",F1299=""),"",IF(F1299&lt;&gt;"Espèces","—",IF(I1299&lt;&gt;"","☑ Oui","☐ Non")))</f>
        <v/>
      </c>
      <c r="N1299" s="39">
        <f>IF(D1299="","",IFERROR(VALUE(MID(D1299,LEN(D1299)-3,3)),""))</f>
        <v/>
      </c>
      <c r="O1299" s="33">
        <f>IF(N1299="","",L1299&amp;"|"&amp;N1299)</f>
        <v/>
      </c>
      <c r="P1299" s="33">
        <f>IF(N1299="","",IF(L1299="À RENSEIGNER","GIC",L1299)&amp;"-"&amp;TEXT(N1299,"000"))</f>
        <v/>
      </c>
      <c r="Q1299" s="33">
        <f>IF(O1299="","",IFERROR(INDEX(Cl_nom,MATCH(O1299,Cl_cle,0)),"(client introuvable)"))</f>
        <v/>
      </c>
      <c r="R1299" s="40">
        <f>IF(O1299="","",IFERROR(INDEX(Cl_reste,MATCH(O1299,Cl_cle,0)),""))</f>
        <v/>
      </c>
      <c r="S1299" s="34">
        <f>IF(C1299="","",YEAR(C1299-WEEKDAY(C1299,2)+4)&amp;"-S"&amp;TEXT(INT((C1299-DATE(YEAR(C1299-WEEKDAY(C1299,2)+4),1,3)+WEEKDAY(DATE(YEAR(C1299-WEEKDAY(C1299,2)+4),1,3),2)+5)/7),"00"))</f>
        <v/>
      </c>
    </row>
    <row r="1300" ht="18" customHeight="1">
      <c r="A1300" s="39" t="n">
        <v>1295</v>
      </c>
      <c r="B1300" s="33">
        <f>IF(C1300="","",IF(L1300="À RENSEIGNER","GIC",L1300)&amp;"-E"&amp;TEXT(A1300,"00000"))</f>
        <v/>
      </c>
      <c r="C1300" s="32" t="n"/>
      <c r="D1300" s="36" t="n"/>
      <c r="E1300" s="37" t="n"/>
      <c r="F1300" s="36" t="n"/>
      <c r="G1300" s="44" t="n"/>
      <c r="H1300" s="43" t="n"/>
      <c r="I1300" s="32" t="n"/>
      <c r="J1300" s="44" t="n"/>
      <c r="K1300" s="36" t="n"/>
      <c r="L1300" s="33">
        <f>IF(C1300="","",Commercial_Id)</f>
        <v/>
      </c>
      <c r="M1300" s="34">
        <f>IF(OR(C1300="",F1300=""),"",IF(F1300&lt;&gt;"Espèces","—",IF(I1300&lt;&gt;"","☑ Oui","☐ Non")))</f>
        <v/>
      </c>
      <c r="N1300" s="39">
        <f>IF(D1300="","",IFERROR(VALUE(MID(D1300,LEN(D1300)-3,3)),""))</f>
        <v/>
      </c>
      <c r="O1300" s="33">
        <f>IF(N1300="","",L1300&amp;"|"&amp;N1300)</f>
        <v/>
      </c>
      <c r="P1300" s="33">
        <f>IF(N1300="","",IF(L1300="À RENSEIGNER","GIC",L1300)&amp;"-"&amp;TEXT(N1300,"000"))</f>
        <v/>
      </c>
      <c r="Q1300" s="33">
        <f>IF(O1300="","",IFERROR(INDEX(Cl_nom,MATCH(O1300,Cl_cle,0)),"(client introuvable)"))</f>
        <v/>
      </c>
      <c r="R1300" s="40">
        <f>IF(O1300="","",IFERROR(INDEX(Cl_reste,MATCH(O1300,Cl_cle,0)),""))</f>
        <v/>
      </c>
      <c r="S1300" s="34">
        <f>IF(C1300="","",YEAR(C1300-WEEKDAY(C1300,2)+4)&amp;"-S"&amp;TEXT(INT((C1300-DATE(YEAR(C1300-WEEKDAY(C1300,2)+4),1,3)+WEEKDAY(DATE(YEAR(C1300-WEEKDAY(C1300,2)+4),1,3),2)+5)/7),"00"))</f>
        <v/>
      </c>
    </row>
    <row r="1301" ht="18" customHeight="1">
      <c r="A1301" s="39" t="n">
        <v>1296</v>
      </c>
      <c r="B1301" s="33">
        <f>IF(C1301="","",IF(L1301="À RENSEIGNER","GIC",L1301)&amp;"-E"&amp;TEXT(A1301,"00000"))</f>
        <v/>
      </c>
      <c r="C1301" s="32" t="n"/>
      <c r="D1301" s="36" t="n"/>
      <c r="E1301" s="37" t="n"/>
      <c r="F1301" s="36" t="n"/>
      <c r="G1301" s="44" t="n"/>
      <c r="H1301" s="43" t="n"/>
      <c r="I1301" s="32" t="n"/>
      <c r="J1301" s="44" t="n"/>
      <c r="K1301" s="36" t="n"/>
      <c r="L1301" s="33">
        <f>IF(C1301="","",Commercial_Id)</f>
        <v/>
      </c>
      <c r="M1301" s="34">
        <f>IF(OR(C1301="",F1301=""),"",IF(F1301&lt;&gt;"Espèces","—",IF(I1301&lt;&gt;"","☑ Oui","☐ Non")))</f>
        <v/>
      </c>
      <c r="N1301" s="39">
        <f>IF(D1301="","",IFERROR(VALUE(MID(D1301,LEN(D1301)-3,3)),""))</f>
        <v/>
      </c>
      <c r="O1301" s="33">
        <f>IF(N1301="","",L1301&amp;"|"&amp;N1301)</f>
        <v/>
      </c>
      <c r="P1301" s="33">
        <f>IF(N1301="","",IF(L1301="À RENSEIGNER","GIC",L1301)&amp;"-"&amp;TEXT(N1301,"000"))</f>
        <v/>
      </c>
      <c r="Q1301" s="33">
        <f>IF(O1301="","",IFERROR(INDEX(Cl_nom,MATCH(O1301,Cl_cle,0)),"(client introuvable)"))</f>
        <v/>
      </c>
      <c r="R1301" s="40">
        <f>IF(O1301="","",IFERROR(INDEX(Cl_reste,MATCH(O1301,Cl_cle,0)),""))</f>
        <v/>
      </c>
      <c r="S1301" s="34">
        <f>IF(C1301="","",YEAR(C1301-WEEKDAY(C1301,2)+4)&amp;"-S"&amp;TEXT(INT((C1301-DATE(YEAR(C1301-WEEKDAY(C1301,2)+4),1,3)+WEEKDAY(DATE(YEAR(C1301-WEEKDAY(C1301,2)+4),1,3),2)+5)/7),"00"))</f>
        <v/>
      </c>
    </row>
    <row r="1302" ht="18" customHeight="1">
      <c r="A1302" s="39" t="n">
        <v>1297</v>
      </c>
      <c r="B1302" s="33">
        <f>IF(C1302="","",IF(L1302="À RENSEIGNER","GIC",L1302)&amp;"-E"&amp;TEXT(A1302,"00000"))</f>
        <v/>
      </c>
      <c r="C1302" s="32" t="n"/>
      <c r="D1302" s="36" t="n"/>
      <c r="E1302" s="37" t="n"/>
      <c r="F1302" s="36" t="n"/>
      <c r="G1302" s="44" t="n"/>
      <c r="H1302" s="43" t="n"/>
      <c r="I1302" s="32" t="n"/>
      <c r="J1302" s="44" t="n"/>
      <c r="K1302" s="36" t="n"/>
      <c r="L1302" s="33">
        <f>IF(C1302="","",Commercial_Id)</f>
        <v/>
      </c>
      <c r="M1302" s="34">
        <f>IF(OR(C1302="",F1302=""),"",IF(F1302&lt;&gt;"Espèces","—",IF(I1302&lt;&gt;"","☑ Oui","☐ Non")))</f>
        <v/>
      </c>
      <c r="N1302" s="39">
        <f>IF(D1302="","",IFERROR(VALUE(MID(D1302,LEN(D1302)-3,3)),""))</f>
        <v/>
      </c>
      <c r="O1302" s="33">
        <f>IF(N1302="","",L1302&amp;"|"&amp;N1302)</f>
        <v/>
      </c>
      <c r="P1302" s="33">
        <f>IF(N1302="","",IF(L1302="À RENSEIGNER","GIC",L1302)&amp;"-"&amp;TEXT(N1302,"000"))</f>
        <v/>
      </c>
      <c r="Q1302" s="33">
        <f>IF(O1302="","",IFERROR(INDEX(Cl_nom,MATCH(O1302,Cl_cle,0)),"(client introuvable)"))</f>
        <v/>
      </c>
      <c r="R1302" s="40">
        <f>IF(O1302="","",IFERROR(INDEX(Cl_reste,MATCH(O1302,Cl_cle,0)),""))</f>
        <v/>
      </c>
      <c r="S1302" s="34">
        <f>IF(C1302="","",YEAR(C1302-WEEKDAY(C1302,2)+4)&amp;"-S"&amp;TEXT(INT((C1302-DATE(YEAR(C1302-WEEKDAY(C1302,2)+4),1,3)+WEEKDAY(DATE(YEAR(C1302-WEEKDAY(C1302,2)+4),1,3),2)+5)/7),"00"))</f>
        <v/>
      </c>
    </row>
    <row r="1303" ht="18" customHeight="1">
      <c r="A1303" s="39" t="n">
        <v>1298</v>
      </c>
      <c r="B1303" s="33">
        <f>IF(C1303="","",IF(L1303="À RENSEIGNER","GIC",L1303)&amp;"-E"&amp;TEXT(A1303,"00000"))</f>
        <v/>
      </c>
      <c r="C1303" s="32" t="n"/>
      <c r="D1303" s="36" t="n"/>
      <c r="E1303" s="37" t="n"/>
      <c r="F1303" s="36" t="n"/>
      <c r="G1303" s="44" t="n"/>
      <c r="H1303" s="43" t="n"/>
      <c r="I1303" s="32" t="n"/>
      <c r="J1303" s="44" t="n"/>
      <c r="K1303" s="36" t="n"/>
      <c r="L1303" s="33">
        <f>IF(C1303="","",Commercial_Id)</f>
        <v/>
      </c>
      <c r="M1303" s="34">
        <f>IF(OR(C1303="",F1303=""),"",IF(F1303&lt;&gt;"Espèces","—",IF(I1303&lt;&gt;"","☑ Oui","☐ Non")))</f>
        <v/>
      </c>
      <c r="N1303" s="39">
        <f>IF(D1303="","",IFERROR(VALUE(MID(D1303,LEN(D1303)-3,3)),""))</f>
        <v/>
      </c>
      <c r="O1303" s="33">
        <f>IF(N1303="","",L1303&amp;"|"&amp;N1303)</f>
        <v/>
      </c>
      <c r="P1303" s="33">
        <f>IF(N1303="","",IF(L1303="À RENSEIGNER","GIC",L1303)&amp;"-"&amp;TEXT(N1303,"000"))</f>
        <v/>
      </c>
      <c r="Q1303" s="33">
        <f>IF(O1303="","",IFERROR(INDEX(Cl_nom,MATCH(O1303,Cl_cle,0)),"(client introuvable)"))</f>
        <v/>
      </c>
      <c r="R1303" s="40">
        <f>IF(O1303="","",IFERROR(INDEX(Cl_reste,MATCH(O1303,Cl_cle,0)),""))</f>
        <v/>
      </c>
      <c r="S1303" s="34">
        <f>IF(C1303="","",YEAR(C1303-WEEKDAY(C1303,2)+4)&amp;"-S"&amp;TEXT(INT((C1303-DATE(YEAR(C1303-WEEKDAY(C1303,2)+4),1,3)+WEEKDAY(DATE(YEAR(C1303-WEEKDAY(C1303,2)+4),1,3),2)+5)/7),"00"))</f>
        <v/>
      </c>
    </row>
    <row r="1304" ht="18" customHeight="1">
      <c r="A1304" s="39" t="n">
        <v>1299</v>
      </c>
      <c r="B1304" s="33">
        <f>IF(C1304="","",IF(L1304="À RENSEIGNER","GIC",L1304)&amp;"-E"&amp;TEXT(A1304,"00000"))</f>
        <v/>
      </c>
      <c r="C1304" s="32" t="n"/>
      <c r="D1304" s="36" t="n"/>
      <c r="E1304" s="37" t="n"/>
      <c r="F1304" s="36" t="n"/>
      <c r="G1304" s="44" t="n"/>
      <c r="H1304" s="43" t="n"/>
      <c r="I1304" s="32" t="n"/>
      <c r="J1304" s="44" t="n"/>
      <c r="K1304" s="36" t="n"/>
      <c r="L1304" s="33">
        <f>IF(C1304="","",Commercial_Id)</f>
        <v/>
      </c>
      <c r="M1304" s="34">
        <f>IF(OR(C1304="",F1304=""),"",IF(F1304&lt;&gt;"Espèces","—",IF(I1304&lt;&gt;"","☑ Oui","☐ Non")))</f>
        <v/>
      </c>
      <c r="N1304" s="39">
        <f>IF(D1304="","",IFERROR(VALUE(MID(D1304,LEN(D1304)-3,3)),""))</f>
        <v/>
      </c>
      <c r="O1304" s="33">
        <f>IF(N1304="","",L1304&amp;"|"&amp;N1304)</f>
        <v/>
      </c>
      <c r="P1304" s="33">
        <f>IF(N1304="","",IF(L1304="À RENSEIGNER","GIC",L1304)&amp;"-"&amp;TEXT(N1304,"000"))</f>
        <v/>
      </c>
      <c r="Q1304" s="33">
        <f>IF(O1304="","",IFERROR(INDEX(Cl_nom,MATCH(O1304,Cl_cle,0)),"(client introuvable)"))</f>
        <v/>
      </c>
      <c r="R1304" s="40">
        <f>IF(O1304="","",IFERROR(INDEX(Cl_reste,MATCH(O1304,Cl_cle,0)),""))</f>
        <v/>
      </c>
      <c r="S1304" s="34">
        <f>IF(C1304="","",YEAR(C1304-WEEKDAY(C1304,2)+4)&amp;"-S"&amp;TEXT(INT((C1304-DATE(YEAR(C1304-WEEKDAY(C1304,2)+4),1,3)+WEEKDAY(DATE(YEAR(C1304-WEEKDAY(C1304,2)+4),1,3),2)+5)/7),"00"))</f>
        <v/>
      </c>
    </row>
    <row r="1305" ht="18" customHeight="1">
      <c r="A1305" s="39" t="n">
        <v>1300</v>
      </c>
      <c r="B1305" s="33">
        <f>IF(C1305="","",IF(L1305="À RENSEIGNER","GIC",L1305)&amp;"-E"&amp;TEXT(A1305,"00000"))</f>
        <v/>
      </c>
      <c r="C1305" s="32" t="n"/>
      <c r="D1305" s="36" t="n"/>
      <c r="E1305" s="37" t="n"/>
      <c r="F1305" s="36" t="n"/>
      <c r="G1305" s="44" t="n"/>
      <c r="H1305" s="43" t="n"/>
      <c r="I1305" s="32" t="n"/>
      <c r="J1305" s="44" t="n"/>
      <c r="K1305" s="36" t="n"/>
      <c r="L1305" s="33">
        <f>IF(C1305="","",Commercial_Id)</f>
        <v/>
      </c>
      <c r="M1305" s="34">
        <f>IF(OR(C1305="",F1305=""),"",IF(F1305&lt;&gt;"Espèces","—",IF(I1305&lt;&gt;"","☑ Oui","☐ Non")))</f>
        <v/>
      </c>
      <c r="N1305" s="39">
        <f>IF(D1305="","",IFERROR(VALUE(MID(D1305,LEN(D1305)-3,3)),""))</f>
        <v/>
      </c>
      <c r="O1305" s="33">
        <f>IF(N1305="","",L1305&amp;"|"&amp;N1305)</f>
        <v/>
      </c>
      <c r="P1305" s="33">
        <f>IF(N1305="","",IF(L1305="À RENSEIGNER","GIC",L1305)&amp;"-"&amp;TEXT(N1305,"000"))</f>
        <v/>
      </c>
      <c r="Q1305" s="33">
        <f>IF(O1305="","",IFERROR(INDEX(Cl_nom,MATCH(O1305,Cl_cle,0)),"(client introuvable)"))</f>
        <v/>
      </c>
      <c r="R1305" s="40">
        <f>IF(O1305="","",IFERROR(INDEX(Cl_reste,MATCH(O1305,Cl_cle,0)),""))</f>
        <v/>
      </c>
      <c r="S1305" s="34">
        <f>IF(C1305="","",YEAR(C1305-WEEKDAY(C1305,2)+4)&amp;"-S"&amp;TEXT(INT((C1305-DATE(YEAR(C1305-WEEKDAY(C1305,2)+4),1,3)+WEEKDAY(DATE(YEAR(C1305-WEEKDAY(C1305,2)+4),1,3),2)+5)/7),"00"))</f>
        <v/>
      </c>
    </row>
    <row r="1306" ht="18" customHeight="1">
      <c r="A1306" s="39" t="n">
        <v>1301</v>
      </c>
      <c r="B1306" s="33">
        <f>IF(C1306="","",IF(L1306="À RENSEIGNER","GIC",L1306)&amp;"-E"&amp;TEXT(A1306,"00000"))</f>
        <v/>
      </c>
      <c r="C1306" s="32" t="n"/>
      <c r="D1306" s="36" t="n"/>
      <c r="E1306" s="37" t="n"/>
      <c r="F1306" s="36" t="n"/>
      <c r="G1306" s="44" t="n"/>
      <c r="H1306" s="43" t="n"/>
      <c r="I1306" s="32" t="n"/>
      <c r="J1306" s="44" t="n"/>
      <c r="K1306" s="36" t="n"/>
      <c r="L1306" s="33">
        <f>IF(C1306="","",Commercial_Id)</f>
        <v/>
      </c>
      <c r="M1306" s="34">
        <f>IF(OR(C1306="",F1306=""),"",IF(F1306&lt;&gt;"Espèces","—",IF(I1306&lt;&gt;"","☑ Oui","☐ Non")))</f>
        <v/>
      </c>
      <c r="N1306" s="39">
        <f>IF(D1306="","",IFERROR(VALUE(MID(D1306,LEN(D1306)-3,3)),""))</f>
        <v/>
      </c>
      <c r="O1306" s="33">
        <f>IF(N1306="","",L1306&amp;"|"&amp;N1306)</f>
        <v/>
      </c>
      <c r="P1306" s="33">
        <f>IF(N1306="","",IF(L1306="À RENSEIGNER","GIC",L1306)&amp;"-"&amp;TEXT(N1306,"000"))</f>
        <v/>
      </c>
      <c r="Q1306" s="33">
        <f>IF(O1306="","",IFERROR(INDEX(Cl_nom,MATCH(O1306,Cl_cle,0)),"(client introuvable)"))</f>
        <v/>
      </c>
      <c r="R1306" s="40">
        <f>IF(O1306="","",IFERROR(INDEX(Cl_reste,MATCH(O1306,Cl_cle,0)),""))</f>
        <v/>
      </c>
      <c r="S1306" s="34">
        <f>IF(C1306="","",YEAR(C1306-WEEKDAY(C1306,2)+4)&amp;"-S"&amp;TEXT(INT((C1306-DATE(YEAR(C1306-WEEKDAY(C1306,2)+4),1,3)+WEEKDAY(DATE(YEAR(C1306-WEEKDAY(C1306,2)+4),1,3),2)+5)/7),"00"))</f>
        <v/>
      </c>
    </row>
    <row r="1307" ht="18" customHeight="1">
      <c r="A1307" s="39" t="n">
        <v>1302</v>
      </c>
      <c r="B1307" s="33">
        <f>IF(C1307="","",IF(L1307="À RENSEIGNER","GIC",L1307)&amp;"-E"&amp;TEXT(A1307,"00000"))</f>
        <v/>
      </c>
      <c r="C1307" s="32" t="n"/>
      <c r="D1307" s="36" t="n"/>
      <c r="E1307" s="37" t="n"/>
      <c r="F1307" s="36" t="n"/>
      <c r="G1307" s="44" t="n"/>
      <c r="H1307" s="43" t="n"/>
      <c r="I1307" s="32" t="n"/>
      <c r="J1307" s="44" t="n"/>
      <c r="K1307" s="36" t="n"/>
      <c r="L1307" s="33">
        <f>IF(C1307="","",Commercial_Id)</f>
        <v/>
      </c>
      <c r="M1307" s="34">
        <f>IF(OR(C1307="",F1307=""),"",IF(F1307&lt;&gt;"Espèces","—",IF(I1307&lt;&gt;"","☑ Oui","☐ Non")))</f>
        <v/>
      </c>
      <c r="N1307" s="39">
        <f>IF(D1307="","",IFERROR(VALUE(MID(D1307,LEN(D1307)-3,3)),""))</f>
        <v/>
      </c>
      <c r="O1307" s="33">
        <f>IF(N1307="","",L1307&amp;"|"&amp;N1307)</f>
        <v/>
      </c>
      <c r="P1307" s="33">
        <f>IF(N1307="","",IF(L1307="À RENSEIGNER","GIC",L1307)&amp;"-"&amp;TEXT(N1307,"000"))</f>
        <v/>
      </c>
      <c r="Q1307" s="33">
        <f>IF(O1307="","",IFERROR(INDEX(Cl_nom,MATCH(O1307,Cl_cle,0)),"(client introuvable)"))</f>
        <v/>
      </c>
      <c r="R1307" s="40">
        <f>IF(O1307="","",IFERROR(INDEX(Cl_reste,MATCH(O1307,Cl_cle,0)),""))</f>
        <v/>
      </c>
      <c r="S1307" s="34">
        <f>IF(C1307="","",YEAR(C1307-WEEKDAY(C1307,2)+4)&amp;"-S"&amp;TEXT(INT((C1307-DATE(YEAR(C1307-WEEKDAY(C1307,2)+4),1,3)+WEEKDAY(DATE(YEAR(C1307-WEEKDAY(C1307,2)+4),1,3),2)+5)/7),"00"))</f>
        <v/>
      </c>
    </row>
    <row r="1308" ht="18" customHeight="1">
      <c r="A1308" s="39" t="n">
        <v>1303</v>
      </c>
      <c r="B1308" s="33">
        <f>IF(C1308="","",IF(L1308="À RENSEIGNER","GIC",L1308)&amp;"-E"&amp;TEXT(A1308,"00000"))</f>
        <v/>
      </c>
      <c r="C1308" s="32" t="n"/>
      <c r="D1308" s="36" t="n"/>
      <c r="E1308" s="37" t="n"/>
      <c r="F1308" s="36" t="n"/>
      <c r="G1308" s="44" t="n"/>
      <c r="H1308" s="43" t="n"/>
      <c r="I1308" s="32" t="n"/>
      <c r="J1308" s="44" t="n"/>
      <c r="K1308" s="36" t="n"/>
      <c r="L1308" s="33">
        <f>IF(C1308="","",Commercial_Id)</f>
        <v/>
      </c>
      <c r="M1308" s="34">
        <f>IF(OR(C1308="",F1308=""),"",IF(F1308&lt;&gt;"Espèces","—",IF(I1308&lt;&gt;"","☑ Oui","☐ Non")))</f>
        <v/>
      </c>
      <c r="N1308" s="39">
        <f>IF(D1308="","",IFERROR(VALUE(MID(D1308,LEN(D1308)-3,3)),""))</f>
        <v/>
      </c>
      <c r="O1308" s="33">
        <f>IF(N1308="","",L1308&amp;"|"&amp;N1308)</f>
        <v/>
      </c>
      <c r="P1308" s="33">
        <f>IF(N1308="","",IF(L1308="À RENSEIGNER","GIC",L1308)&amp;"-"&amp;TEXT(N1308,"000"))</f>
        <v/>
      </c>
      <c r="Q1308" s="33">
        <f>IF(O1308="","",IFERROR(INDEX(Cl_nom,MATCH(O1308,Cl_cle,0)),"(client introuvable)"))</f>
        <v/>
      </c>
      <c r="R1308" s="40">
        <f>IF(O1308="","",IFERROR(INDEX(Cl_reste,MATCH(O1308,Cl_cle,0)),""))</f>
        <v/>
      </c>
      <c r="S1308" s="34">
        <f>IF(C1308="","",YEAR(C1308-WEEKDAY(C1308,2)+4)&amp;"-S"&amp;TEXT(INT((C1308-DATE(YEAR(C1308-WEEKDAY(C1308,2)+4),1,3)+WEEKDAY(DATE(YEAR(C1308-WEEKDAY(C1308,2)+4),1,3),2)+5)/7),"00"))</f>
        <v/>
      </c>
    </row>
    <row r="1309" ht="18" customHeight="1">
      <c r="A1309" s="39" t="n">
        <v>1304</v>
      </c>
      <c r="B1309" s="33">
        <f>IF(C1309="","",IF(L1309="À RENSEIGNER","GIC",L1309)&amp;"-E"&amp;TEXT(A1309,"00000"))</f>
        <v/>
      </c>
      <c r="C1309" s="32" t="n"/>
      <c r="D1309" s="36" t="n"/>
      <c r="E1309" s="37" t="n"/>
      <c r="F1309" s="36" t="n"/>
      <c r="G1309" s="44" t="n"/>
      <c r="H1309" s="43" t="n"/>
      <c r="I1309" s="32" t="n"/>
      <c r="J1309" s="44" t="n"/>
      <c r="K1309" s="36" t="n"/>
      <c r="L1309" s="33">
        <f>IF(C1309="","",Commercial_Id)</f>
        <v/>
      </c>
      <c r="M1309" s="34">
        <f>IF(OR(C1309="",F1309=""),"",IF(F1309&lt;&gt;"Espèces","—",IF(I1309&lt;&gt;"","☑ Oui","☐ Non")))</f>
        <v/>
      </c>
      <c r="N1309" s="39">
        <f>IF(D1309="","",IFERROR(VALUE(MID(D1309,LEN(D1309)-3,3)),""))</f>
        <v/>
      </c>
      <c r="O1309" s="33">
        <f>IF(N1309="","",L1309&amp;"|"&amp;N1309)</f>
        <v/>
      </c>
      <c r="P1309" s="33">
        <f>IF(N1309="","",IF(L1309="À RENSEIGNER","GIC",L1309)&amp;"-"&amp;TEXT(N1309,"000"))</f>
        <v/>
      </c>
      <c r="Q1309" s="33">
        <f>IF(O1309="","",IFERROR(INDEX(Cl_nom,MATCH(O1309,Cl_cle,0)),"(client introuvable)"))</f>
        <v/>
      </c>
      <c r="R1309" s="40">
        <f>IF(O1309="","",IFERROR(INDEX(Cl_reste,MATCH(O1309,Cl_cle,0)),""))</f>
        <v/>
      </c>
      <c r="S1309" s="34">
        <f>IF(C1309="","",YEAR(C1309-WEEKDAY(C1309,2)+4)&amp;"-S"&amp;TEXT(INT((C1309-DATE(YEAR(C1309-WEEKDAY(C1309,2)+4),1,3)+WEEKDAY(DATE(YEAR(C1309-WEEKDAY(C1309,2)+4),1,3),2)+5)/7),"00"))</f>
        <v/>
      </c>
    </row>
    <row r="1310" ht="18" customHeight="1">
      <c r="A1310" s="39" t="n">
        <v>1305</v>
      </c>
      <c r="B1310" s="33">
        <f>IF(C1310="","",IF(L1310="À RENSEIGNER","GIC",L1310)&amp;"-E"&amp;TEXT(A1310,"00000"))</f>
        <v/>
      </c>
      <c r="C1310" s="32" t="n"/>
      <c r="D1310" s="36" t="n"/>
      <c r="E1310" s="37" t="n"/>
      <c r="F1310" s="36" t="n"/>
      <c r="G1310" s="44" t="n"/>
      <c r="H1310" s="43" t="n"/>
      <c r="I1310" s="32" t="n"/>
      <c r="J1310" s="44" t="n"/>
      <c r="K1310" s="36" t="n"/>
      <c r="L1310" s="33">
        <f>IF(C1310="","",Commercial_Id)</f>
        <v/>
      </c>
      <c r="M1310" s="34">
        <f>IF(OR(C1310="",F1310=""),"",IF(F1310&lt;&gt;"Espèces","—",IF(I1310&lt;&gt;"","☑ Oui","☐ Non")))</f>
        <v/>
      </c>
      <c r="N1310" s="39">
        <f>IF(D1310="","",IFERROR(VALUE(MID(D1310,LEN(D1310)-3,3)),""))</f>
        <v/>
      </c>
      <c r="O1310" s="33">
        <f>IF(N1310="","",L1310&amp;"|"&amp;N1310)</f>
        <v/>
      </c>
      <c r="P1310" s="33">
        <f>IF(N1310="","",IF(L1310="À RENSEIGNER","GIC",L1310)&amp;"-"&amp;TEXT(N1310,"000"))</f>
        <v/>
      </c>
      <c r="Q1310" s="33">
        <f>IF(O1310="","",IFERROR(INDEX(Cl_nom,MATCH(O1310,Cl_cle,0)),"(client introuvable)"))</f>
        <v/>
      </c>
      <c r="R1310" s="40">
        <f>IF(O1310="","",IFERROR(INDEX(Cl_reste,MATCH(O1310,Cl_cle,0)),""))</f>
        <v/>
      </c>
      <c r="S1310" s="34">
        <f>IF(C1310="","",YEAR(C1310-WEEKDAY(C1310,2)+4)&amp;"-S"&amp;TEXT(INT((C1310-DATE(YEAR(C1310-WEEKDAY(C1310,2)+4),1,3)+WEEKDAY(DATE(YEAR(C1310-WEEKDAY(C1310,2)+4),1,3),2)+5)/7),"00"))</f>
        <v/>
      </c>
    </row>
    <row r="1311" ht="18" customHeight="1">
      <c r="A1311" s="39" t="n">
        <v>1306</v>
      </c>
      <c r="B1311" s="33">
        <f>IF(C1311="","",IF(L1311="À RENSEIGNER","GIC",L1311)&amp;"-E"&amp;TEXT(A1311,"00000"))</f>
        <v/>
      </c>
      <c r="C1311" s="32" t="n"/>
      <c r="D1311" s="36" t="n"/>
      <c r="E1311" s="37" t="n"/>
      <c r="F1311" s="36" t="n"/>
      <c r="G1311" s="44" t="n"/>
      <c r="H1311" s="43" t="n"/>
      <c r="I1311" s="32" t="n"/>
      <c r="J1311" s="44" t="n"/>
      <c r="K1311" s="36" t="n"/>
      <c r="L1311" s="33">
        <f>IF(C1311="","",Commercial_Id)</f>
        <v/>
      </c>
      <c r="M1311" s="34">
        <f>IF(OR(C1311="",F1311=""),"",IF(F1311&lt;&gt;"Espèces","—",IF(I1311&lt;&gt;"","☑ Oui","☐ Non")))</f>
        <v/>
      </c>
      <c r="N1311" s="39">
        <f>IF(D1311="","",IFERROR(VALUE(MID(D1311,LEN(D1311)-3,3)),""))</f>
        <v/>
      </c>
      <c r="O1311" s="33">
        <f>IF(N1311="","",L1311&amp;"|"&amp;N1311)</f>
        <v/>
      </c>
      <c r="P1311" s="33">
        <f>IF(N1311="","",IF(L1311="À RENSEIGNER","GIC",L1311)&amp;"-"&amp;TEXT(N1311,"000"))</f>
        <v/>
      </c>
      <c r="Q1311" s="33">
        <f>IF(O1311="","",IFERROR(INDEX(Cl_nom,MATCH(O1311,Cl_cle,0)),"(client introuvable)"))</f>
        <v/>
      </c>
      <c r="R1311" s="40">
        <f>IF(O1311="","",IFERROR(INDEX(Cl_reste,MATCH(O1311,Cl_cle,0)),""))</f>
        <v/>
      </c>
      <c r="S1311" s="34">
        <f>IF(C1311="","",YEAR(C1311-WEEKDAY(C1311,2)+4)&amp;"-S"&amp;TEXT(INT((C1311-DATE(YEAR(C1311-WEEKDAY(C1311,2)+4),1,3)+WEEKDAY(DATE(YEAR(C1311-WEEKDAY(C1311,2)+4),1,3),2)+5)/7),"00"))</f>
        <v/>
      </c>
    </row>
    <row r="1312" ht="18" customHeight="1">
      <c r="A1312" s="39" t="n">
        <v>1307</v>
      </c>
      <c r="B1312" s="33">
        <f>IF(C1312="","",IF(L1312="À RENSEIGNER","GIC",L1312)&amp;"-E"&amp;TEXT(A1312,"00000"))</f>
        <v/>
      </c>
      <c r="C1312" s="32" t="n"/>
      <c r="D1312" s="36" t="n"/>
      <c r="E1312" s="37" t="n"/>
      <c r="F1312" s="36" t="n"/>
      <c r="G1312" s="44" t="n"/>
      <c r="H1312" s="43" t="n"/>
      <c r="I1312" s="32" t="n"/>
      <c r="J1312" s="44" t="n"/>
      <c r="K1312" s="36" t="n"/>
      <c r="L1312" s="33">
        <f>IF(C1312="","",Commercial_Id)</f>
        <v/>
      </c>
      <c r="M1312" s="34">
        <f>IF(OR(C1312="",F1312=""),"",IF(F1312&lt;&gt;"Espèces","—",IF(I1312&lt;&gt;"","☑ Oui","☐ Non")))</f>
        <v/>
      </c>
      <c r="N1312" s="39">
        <f>IF(D1312="","",IFERROR(VALUE(MID(D1312,LEN(D1312)-3,3)),""))</f>
        <v/>
      </c>
      <c r="O1312" s="33">
        <f>IF(N1312="","",L1312&amp;"|"&amp;N1312)</f>
        <v/>
      </c>
      <c r="P1312" s="33">
        <f>IF(N1312="","",IF(L1312="À RENSEIGNER","GIC",L1312)&amp;"-"&amp;TEXT(N1312,"000"))</f>
        <v/>
      </c>
      <c r="Q1312" s="33">
        <f>IF(O1312="","",IFERROR(INDEX(Cl_nom,MATCH(O1312,Cl_cle,0)),"(client introuvable)"))</f>
        <v/>
      </c>
      <c r="R1312" s="40">
        <f>IF(O1312="","",IFERROR(INDEX(Cl_reste,MATCH(O1312,Cl_cle,0)),""))</f>
        <v/>
      </c>
      <c r="S1312" s="34">
        <f>IF(C1312="","",YEAR(C1312-WEEKDAY(C1312,2)+4)&amp;"-S"&amp;TEXT(INT((C1312-DATE(YEAR(C1312-WEEKDAY(C1312,2)+4),1,3)+WEEKDAY(DATE(YEAR(C1312-WEEKDAY(C1312,2)+4),1,3),2)+5)/7),"00"))</f>
        <v/>
      </c>
    </row>
    <row r="1313" ht="18" customHeight="1">
      <c r="A1313" s="39" t="n">
        <v>1308</v>
      </c>
      <c r="B1313" s="33">
        <f>IF(C1313="","",IF(L1313="À RENSEIGNER","GIC",L1313)&amp;"-E"&amp;TEXT(A1313,"00000"))</f>
        <v/>
      </c>
      <c r="C1313" s="32" t="n"/>
      <c r="D1313" s="36" t="n"/>
      <c r="E1313" s="37" t="n"/>
      <c r="F1313" s="36" t="n"/>
      <c r="G1313" s="44" t="n"/>
      <c r="H1313" s="43" t="n"/>
      <c r="I1313" s="32" t="n"/>
      <c r="J1313" s="44" t="n"/>
      <c r="K1313" s="36" t="n"/>
      <c r="L1313" s="33">
        <f>IF(C1313="","",Commercial_Id)</f>
        <v/>
      </c>
      <c r="M1313" s="34">
        <f>IF(OR(C1313="",F1313=""),"",IF(F1313&lt;&gt;"Espèces","—",IF(I1313&lt;&gt;"","☑ Oui","☐ Non")))</f>
        <v/>
      </c>
      <c r="N1313" s="39">
        <f>IF(D1313="","",IFERROR(VALUE(MID(D1313,LEN(D1313)-3,3)),""))</f>
        <v/>
      </c>
      <c r="O1313" s="33">
        <f>IF(N1313="","",L1313&amp;"|"&amp;N1313)</f>
        <v/>
      </c>
      <c r="P1313" s="33">
        <f>IF(N1313="","",IF(L1313="À RENSEIGNER","GIC",L1313)&amp;"-"&amp;TEXT(N1313,"000"))</f>
        <v/>
      </c>
      <c r="Q1313" s="33">
        <f>IF(O1313="","",IFERROR(INDEX(Cl_nom,MATCH(O1313,Cl_cle,0)),"(client introuvable)"))</f>
        <v/>
      </c>
      <c r="R1313" s="40">
        <f>IF(O1313="","",IFERROR(INDEX(Cl_reste,MATCH(O1313,Cl_cle,0)),""))</f>
        <v/>
      </c>
      <c r="S1313" s="34">
        <f>IF(C1313="","",YEAR(C1313-WEEKDAY(C1313,2)+4)&amp;"-S"&amp;TEXT(INT((C1313-DATE(YEAR(C1313-WEEKDAY(C1313,2)+4),1,3)+WEEKDAY(DATE(YEAR(C1313-WEEKDAY(C1313,2)+4),1,3),2)+5)/7),"00"))</f>
        <v/>
      </c>
    </row>
    <row r="1314" ht="18" customHeight="1">
      <c r="A1314" s="39" t="n">
        <v>1309</v>
      </c>
      <c r="B1314" s="33">
        <f>IF(C1314="","",IF(L1314="À RENSEIGNER","GIC",L1314)&amp;"-E"&amp;TEXT(A1314,"00000"))</f>
        <v/>
      </c>
      <c r="C1314" s="32" t="n"/>
      <c r="D1314" s="36" t="n"/>
      <c r="E1314" s="37" t="n"/>
      <c r="F1314" s="36" t="n"/>
      <c r="G1314" s="44" t="n"/>
      <c r="H1314" s="43" t="n"/>
      <c r="I1314" s="32" t="n"/>
      <c r="J1314" s="44" t="n"/>
      <c r="K1314" s="36" t="n"/>
      <c r="L1314" s="33">
        <f>IF(C1314="","",Commercial_Id)</f>
        <v/>
      </c>
      <c r="M1314" s="34">
        <f>IF(OR(C1314="",F1314=""),"",IF(F1314&lt;&gt;"Espèces","—",IF(I1314&lt;&gt;"","☑ Oui","☐ Non")))</f>
        <v/>
      </c>
      <c r="N1314" s="39">
        <f>IF(D1314="","",IFERROR(VALUE(MID(D1314,LEN(D1314)-3,3)),""))</f>
        <v/>
      </c>
      <c r="O1314" s="33">
        <f>IF(N1314="","",L1314&amp;"|"&amp;N1314)</f>
        <v/>
      </c>
      <c r="P1314" s="33">
        <f>IF(N1314="","",IF(L1314="À RENSEIGNER","GIC",L1314)&amp;"-"&amp;TEXT(N1314,"000"))</f>
        <v/>
      </c>
      <c r="Q1314" s="33">
        <f>IF(O1314="","",IFERROR(INDEX(Cl_nom,MATCH(O1314,Cl_cle,0)),"(client introuvable)"))</f>
        <v/>
      </c>
      <c r="R1314" s="40">
        <f>IF(O1314="","",IFERROR(INDEX(Cl_reste,MATCH(O1314,Cl_cle,0)),""))</f>
        <v/>
      </c>
      <c r="S1314" s="34">
        <f>IF(C1314="","",YEAR(C1314-WEEKDAY(C1314,2)+4)&amp;"-S"&amp;TEXT(INT((C1314-DATE(YEAR(C1314-WEEKDAY(C1314,2)+4),1,3)+WEEKDAY(DATE(YEAR(C1314-WEEKDAY(C1314,2)+4),1,3),2)+5)/7),"00"))</f>
        <v/>
      </c>
    </row>
    <row r="1315" ht="18" customHeight="1">
      <c r="A1315" s="39" t="n">
        <v>1310</v>
      </c>
      <c r="B1315" s="33">
        <f>IF(C1315="","",IF(L1315="À RENSEIGNER","GIC",L1315)&amp;"-E"&amp;TEXT(A1315,"00000"))</f>
        <v/>
      </c>
      <c r="C1315" s="32" t="n"/>
      <c r="D1315" s="36" t="n"/>
      <c r="E1315" s="37" t="n"/>
      <c r="F1315" s="36" t="n"/>
      <c r="G1315" s="44" t="n"/>
      <c r="H1315" s="43" t="n"/>
      <c r="I1315" s="32" t="n"/>
      <c r="J1315" s="44" t="n"/>
      <c r="K1315" s="36" t="n"/>
      <c r="L1315" s="33">
        <f>IF(C1315="","",Commercial_Id)</f>
        <v/>
      </c>
      <c r="M1315" s="34">
        <f>IF(OR(C1315="",F1315=""),"",IF(F1315&lt;&gt;"Espèces","—",IF(I1315&lt;&gt;"","☑ Oui","☐ Non")))</f>
        <v/>
      </c>
      <c r="N1315" s="39">
        <f>IF(D1315="","",IFERROR(VALUE(MID(D1315,LEN(D1315)-3,3)),""))</f>
        <v/>
      </c>
      <c r="O1315" s="33">
        <f>IF(N1315="","",L1315&amp;"|"&amp;N1315)</f>
        <v/>
      </c>
      <c r="P1315" s="33">
        <f>IF(N1315="","",IF(L1315="À RENSEIGNER","GIC",L1315)&amp;"-"&amp;TEXT(N1315,"000"))</f>
        <v/>
      </c>
      <c r="Q1315" s="33">
        <f>IF(O1315="","",IFERROR(INDEX(Cl_nom,MATCH(O1315,Cl_cle,0)),"(client introuvable)"))</f>
        <v/>
      </c>
      <c r="R1315" s="40">
        <f>IF(O1315="","",IFERROR(INDEX(Cl_reste,MATCH(O1315,Cl_cle,0)),""))</f>
        <v/>
      </c>
      <c r="S1315" s="34">
        <f>IF(C1315="","",YEAR(C1315-WEEKDAY(C1315,2)+4)&amp;"-S"&amp;TEXT(INT((C1315-DATE(YEAR(C1315-WEEKDAY(C1315,2)+4),1,3)+WEEKDAY(DATE(YEAR(C1315-WEEKDAY(C1315,2)+4),1,3),2)+5)/7),"00"))</f>
        <v/>
      </c>
    </row>
    <row r="1316" ht="18" customHeight="1">
      <c r="A1316" s="39" t="n">
        <v>1311</v>
      </c>
      <c r="B1316" s="33">
        <f>IF(C1316="","",IF(L1316="À RENSEIGNER","GIC",L1316)&amp;"-E"&amp;TEXT(A1316,"00000"))</f>
        <v/>
      </c>
      <c r="C1316" s="32" t="n"/>
      <c r="D1316" s="36" t="n"/>
      <c r="E1316" s="37" t="n"/>
      <c r="F1316" s="36" t="n"/>
      <c r="G1316" s="44" t="n"/>
      <c r="H1316" s="43" t="n"/>
      <c r="I1316" s="32" t="n"/>
      <c r="J1316" s="44" t="n"/>
      <c r="K1316" s="36" t="n"/>
      <c r="L1316" s="33">
        <f>IF(C1316="","",Commercial_Id)</f>
        <v/>
      </c>
      <c r="M1316" s="34">
        <f>IF(OR(C1316="",F1316=""),"",IF(F1316&lt;&gt;"Espèces","—",IF(I1316&lt;&gt;"","☑ Oui","☐ Non")))</f>
        <v/>
      </c>
      <c r="N1316" s="39">
        <f>IF(D1316="","",IFERROR(VALUE(MID(D1316,LEN(D1316)-3,3)),""))</f>
        <v/>
      </c>
      <c r="O1316" s="33">
        <f>IF(N1316="","",L1316&amp;"|"&amp;N1316)</f>
        <v/>
      </c>
      <c r="P1316" s="33">
        <f>IF(N1316="","",IF(L1316="À RENSEIGNER","GIC",L1316)&amp;"-"&amp;TEXT(N1316,"000"))</f>
        <v/>
      </c>
      <c r="Q1316" s="33">
        <f>IF(O1316="","",IFERROR(INDEX(Cl_nom,MATCH(O1316,Cl_cle,0)),"(client introuvable)"))</f>
        <v/>
      </c>
      <c r="R1316" s="40">
        <f>IF(O1316="","",IFERROR(INDEX(Cl_reste,MATCH(O1316,Cl_cle,0)),""))</f>
        <v/>
      </c>
      <c r="S1316" s="34">
        <f>IF(C1316="","",YEAR(C1316-WEEKDAY(C1316,2)+4)&amp;"-S"&amp;TEXT(INT((C1316-DATE(YEAR(C1316-WEEKDAY(C1316,2)+4),1,3)+WEEKDAY(DATE(YEAR(C1316-WEEKDAY(C1316,2)+4),1,3),2)+5)/7),"00"))</f>
        <v/>
      </c>
    </row>
    <row r="1317" ht="18" customHeight="1">
      <c r="A1317" s="39" t="n">
        <v>1312</v>
      </c>
      <c r="B1317" s="33">
        <f>IF(C1317="","",IF(L1317="À RENSEIGNER","GIC",L1317)&amp;"-E"&amp;TEXT(A1317,"00000"))</f>
        <v/>
      </c>
      <c r="C1317" s="32" t="n"/>
      <c r="D1317" s="36" t="n"/>
      <c r="E1317" s="37" t="n"/>
      <c r="F1317" s="36" t="n"/>
      <c r="G1317" s="44" t="n"/>
      <c r="H1317" s="43" t="n"/>
      <c r="I1317" s="32" t="n"/>
      <c r="J1317" s="44" t="n"/>
      <c r="K1317" s="36" t="n"/>
      <c r="L1317" s="33">
        <f>IF(C1317="","",Commercial_Id)</f>
        <v/>
      </c>
      <c r="M1317" s="34">
        <f>IF(OR(C1317="",F1317=""),"",IF(F1317&lt;&gt;"Espèces","—",IF(I1317&lt;&gt;"","☑ Oui","☐ Non")))</f>
        <v/>
      </c>
      <c r="N1317" s="39">
        <f>IF(D1317="","",IFERROR(VALUE(MID(D1317,LEN(D1317)-3,3)),""))</f>
        <v/>
      </c>
      <c r="O1317" s="33">
        <f>IF(N1317="","",L1317&amp;"|"&amp;N1317)</f>
        <v/>
      </c>
      <c r="P1317" s="33">
        <f>IF(N1317="","",IF(L1317="À RENSEIGNER","GIC",L1317)&amp;"-"&amp;TEXT(N1317,"000"))</f>
        <v/>
      </c>
      <c r="Q1317" s="33">
        <f>IF(O1317="","",IFERROR(INDEX(Cl_nom,MATCH(O1317,Cl_cle,0)),"(client introuvable)"))</f>
        <v/>
      </c>
      <c r="R1317" s="40">
        <f>IF(O1317="","",IFERROR(INDEX(Cl_reste,MATCH(O1317,Cl_cle,0)),""))</f>
        <v/>
      </c>
      <c r="S1317" s="34">
        <f>IF(C1317="","",YEAR(C1317-WEEKDAY(C1317,2)+4)&amp;"-S"&amp;TEXT(INT((C1317-DATE(YEAR(C1317-WEEKDAY(C1317,2)+4),1,3)+WEEKDAY(DATE(YEAR(C1317-WEEKDAY(C1317,2)+4),1,3),2)+5)/7),"00"))</f>
        <v/>
      </c>
    </row>
    <row r="1318" ht="18" customHeight="1">
      <c r="A1318" s="39" t="n">
        <v>1313</v>
      </c>
      <c r="B1318" s="33">
        <f>IF(C1318="","",IF(L1318="À RENSEIGNER","GIC",L1318)&amp;"-E"&amp;TEXT(A1318,"00000"))</f>
        <v/>
      </c>
      <c r="C1318" s="32" t="n"/>
      <c r="D1318" s="36" t="n"/>
      <c r="E1318" s="37" t="n"/>
      <c r="F1318" s="36" t="n"/>
      <c r="G1318" s="44" t="n"/>
      <c r="H1318" s="43" t="n"/>
      <c r="I1318" s="32" t="n"/>
      <c r="J1318" s="44" t="n"/>
      <c r="K1318" s="36" t="n"/>
      <c r="L1318" s="33">
        <f>IF(C1318="","",Commercial_Id)</f>
        <v/>
      </c>
      <c r="M1318" s="34">
        <f>IF(OR(C1318="",F1318=""),"",IF(F1318&lt;&gt;"Espèces","—",IF(I1318&lt;&gt;"","☑ Oui","☐ Non")))</f>
        <v/>
      </c>
      <c r="N1318" s="39">
        <f>IF(D1318="","",IFERROR(VALUE(MID(D1318,LEN(D1318)-3,3)),""))</f>
        <v/>
      </c>
      <c r="O1318" s="33">
        <f>IF(N1318="","",L1318&amp;"|"&amp;N1318)</f>
        <v/>
      </c>
      <c r="P1318" s="33">
        <f>IF(N1318="","",IF(L1318="À RENSEIGNER","GIC",L1318)&amp;"-"&amp;TEXT(N1318,"000"))</f>
        <v/>
      </c>
      <c r="Q1318" s="33">
        <f>IF(O1318="","",IFERROR(INDEX(Cl_nom,MATCH(O1318,Cl_cle,0)),"(client introuvable)"))</f>
        <v/>
      </c>
      <c r="R1318" s="40">
        <f>IF(O1318="","",IFERROR(INDEX(Cl_reste,MATCH(O1318,Cl_cle,0)),""))</f>
        <v/>
      </c>
      <c r="S1318" s="34">
        <f>IF(C1318="","",YEAR(C1318-WEEKDAY(C1318,2)+4)&amp;"-S"&amp;TEXT(INT((C1318-DATE(YEAR(C1318-WEEKDAY(C1318,2)+4),1,3)+WEEKDAY(DATE(YEAR(C1318-WEEKDAY(C1318,2)+4),1,3),2)+5)/7),"00"))</f>
        <v/>
      </c>
    </row>
    <row r="1319" ht="18" customHeight="1">
      <c r="A1319" s="39" t="n">
        <v>1314</v>
      </c>
      <c r="B1319" s="33">
        <f>IF(C1319="","",IF(L1319="À RENSEIGNER","GIC",L1319)&amp;"-E"&amp;TEXT(A1319,"00000"))</f>
        <v/>
      </c>
      <c r="C1319" s="32" t="n"/>
      <c r="D1319" s="36" t="n"/>
      <c r="E1319" s="37" t="n"/>
      <c r="F1319" s="36" t="n"/>
      <c r="G1319" s="44" t="n"/>
      <c r="H1319" s="43" t="n"/>
      <c r="I1319" s="32" t="n"/>
      <c r="J1319" s="44" t="n"/>
      <c r="K1319" s="36" t="n"/>
      <c r="L1319" s="33">
        <f>IF(C1319="","",Commercial_Id)</f>
        <v/>
      </c>
      <c r="M1319" s="34">
        <f>IF(OR(C1319="",F1319=""),"",IF(F1319&lt;&gt;"Espèces","—",IF(I1319&lt;&gt;"","☑ Oui","☐ Non")))</f>
        <v/>
      </c>
      <c r="N1319" s="39">
        <f>IF(D1319="","",IFERROR(VALUE(MID(D1319,LEN(D1319)-3,3)),""))</f>
        <v/>
      </c>
      <c r="O1319" s="33">
        <f>IF(N1319="","",L1319&amp;"|"&amp;N1319)</f>
        <v/>
      </c>
      <c r="P1319" s="33">
        <f>IF(N1319="","",IF(L1319="À RENSEIGNER","GIC",L1319)&amp;"-"&amp;TEXT(N1319,"000"))</f>
        <v/>
      </c>
      <c r="Q1319" s="33">
        <f>IF(O1319="","",IFERROR(INDEX(Cl_nom,MATCH(O1319,Cl_cle,0)),"(client introuvable)"))</f>
        <v/>
      </c>
      <c r="R1319" s="40">
        <f>IF(O1319="","",IFERROR(INDEX(Cl_reste,MATCH(O1319,Cl_cle,0)),""))</f>
        <v/>
      </c>
      <c r="S1319" s="34">
        <f>IF(C1319="","",YEAR(C1319-WEEKDAY(C1319,2)+4)&amp;"-S"&amp;TEXT(INT((C1319-DATE(YEAR(C1319-WEEKDAY(C1319,2)+4),1,3)+WEEKDAY(DATE(YEAR(C1319-WEEKDAY(C1319,2)+4),1,3),2)+5)/7),"00"))</f>
        <v/>
      </c>
    </row>
    <row r="1320" ht="18" customHeight="1">
      <c r="A1320" s="39" t="n">
        <v>1315</v>
      </c>
      <c r="B1320" s="33">
        <f>IF(C1320="","",IF(L1320="À RENSEIGNER","GIC",L1320)&amp;"-E"&amp;TEXT(A1320,"00000"))</f>
        <v/>
      </c>
      <c r="C1320" s="32" t="n"/>
      <c r="D1320" s="36" t="n"/>
      <c r="E1320" s="37" t="n"/>
      <c r="F1320" s="36" t="n"/>
      <c r="G1320" s="44" t="n"/>
      <c r="H1320" s="43" t="n"/>
      <c r="I1320" s="32" t="n"/>
      <c r="J1320" s="44" t="n"/>
      <c r="K1320" s="36" t="n"/>
      <c r="L1320" s="33">
        <f>IF(C1320="","",Commercial_Id)</f>
        <v/>
      </c>
      <c r="M1320" s="34">
        <f>IF(OR(C1320="",F1320=""),"",IF(F1320&lt;&gt;"Espèces","—",IF(I1320&lt;&gt;"","☑ Oui","☐ Non")))</f>
        <v/>
      </c>
      <c r="N1320" s="39">
        <f>IF(D1320="","",IFERROR(VALUE(MID(D1320,LEN(D1320)-3,3)),""))</f>
        <v/>
      </c>
      <c r="O1320" s="33">
        <f>IF(N1320="","",L1320&amp;"|"&amp;N1320)</f>
        <v/>
      </c>
      <c r="P1320" s="33">
        <f>IF(N1320="","",IF(L1320="À RENSEIGNER","GIC",L1320)&amp;"-"&amp;TEXT(N1320,"000"))</f>
        <v/>
      </c>
      <c r="Q1320" s="33">
        <f>IF(O1320="","",IFERROR(INDEX(Cl_nom,MATCH(O1320,Cl_cle,0)),"(client introuvable)"))</f>
        <v/>
      </c>
      <c r="R1320" s="40">
        <f>IF(O1320="","",IFERROR(INDEX(Cl_reste,MATCH(O1320,Cl_cle,0)),""))</f>
        <v/>
      </c>
      <c r="S1320" s="34">
        <f>IF(C1320="","",YEAR(C1320-WEEKDAY(C1320,2)+4)&amp;"-S"&amp;TEXT(INT((C1320-DATE(YEAR(C1320-WEEKDAY(C1320,2)+4),1,3)+WEEKDAY(DATE(YEAR(C1320-WEEKDAY(C1320,2)+4),1,3),2)+5)/7),"00"))</f>
        <v/>
      </c>
    </row>
    <row r="1321" ht="18" customHeight="1">
      <c r="A1321" s="39" t="n">
        <v>1316</v>
      </c>
      <c r="B1321" s="33">
        <f>IF(C1321="","",IF(L1321="À RENSEIGNER","GIC",L1321)&amp;"-E"&amp;TEXT(A1321,"00000"))</f>
        <v/>
      </c>
      <c r="C1321" s="32" t="n"/>
      <c r="D1321" s="36" t="n"/>
      <c r="E1321" s="37" t="n"/>
      <c r="F1321" s="36" t="n"/>
      <c r="G1321" s="44" t="n"/>
      <c r="H1321" s="43" t="n"/>
      <c r="I1321" s="32" t="n"/>
      <c r="J1321" s="44" t="n"/>
      <c r="K1321" s="36" t="n"/>
      <c r="L1321" s="33">
        <f>IF(C1321="","",Commercial_Id)</f>
        <v/>
      </c>
      <c r="M1321" s="34">
        <f>IF(OR(C1321="",F1321=""),"",IF(F1321&lt;&gt;"Espèces","—",IF(I1321&lt;&gt;"","☑ Oui","☐ Non")))</f>
        <v/>
      </c>
      <c r="N1321" s="39">
        <f>IF(D1321="","",IFERROR(VALUE(MID(D1321,LEN(D1321)-3,3)),""))</f>
        <v/>
      </c>
      <c r="O1321" s="33">
        <f>IF(N1321="","",L1321&amp;"|"&amp;N1321)</f>
        <v/>
      </c>
      <c r="P1321" s="33">
        <f>IF(N1321="","",IF(L1321="À RENSEIGNER","GIC",L1321)&amp;"-"&amp;TEXT(N1321,"000"))</f>
        <v/>
      </c>
      <c r="Q1321" s="33">
        <f>IF(O1321="","",IFERROR(INDEX(Cl_nom,MATCH(O1321,Cl_cle,0)),"(client introuvable)"))</f>
        <v/>
      </c>
      <c r="R1321" s="40">
        <f>IF(O1321="","",IFERROR(INDEX(Cl_reste,MATCH(O1321,Cl_cle,0)),""))</f>
        <v/>
      </c>
      <c r="S1321" s="34">
        <f>IF(C1321="","",YEAR(C1321-WEEKDAY(C1321,2)+4)&amp;"-S"&amp;TEXT(INT((C1321-DATE(YEAR(C1321-WEEKDAY(C1321,2)+4),1,3)+WEEKDAY(DATE(YEAR(C1321-WEEKDAY(C1321,2)+4),1,3),2)+5)/7),"00"))</f>
        <v/>
      </c>
    </row>
    <row r="1322" ht="18" customHeight="1">
      <c r="A1322" s="39" t="n">
        <v>1317</v>
      </c>
      <c r="B1322" s="33">
        <f>IF(C1322="","",IF(L1322="À RENSEIGNER","GIC",L1322)&amp;"-E"&amp;TEXT(A1322,"00000"))</f>
        <v/>
      </c>
      <c r="C1322" s="32" t="n"/>
      <c r="D1322" s="36" t="n"/>
      <c r="E1322" s="37" t="n"/>
      <c r="F1322" s="36" t="n"/>
      <c r="G1322" s="44" t="n"/>
      <c r="H1322" s="43" t="n"/>
      <c r="I1322" s="32" t="n"/>
      <c r="J1322" s="44" t="n"/>
      <c r="K1322" s="36" t="n"/>
      <c r="L1322" s="33">
        <f>IF(C1322="","",Commercial_Id)</f>
        <v/>
      </c>
      <c r="M1322" s="34">
        <f>IF(OR(C1322="",F1322=""),"",IF(F1322&lt;&gt;"Espèces","—",IF(I1322&lt;&gt;"","☑ Oui","☐ Non")))</f>
        <v/>
      </c>
      <c r="N1322" s="39">
        <f>IF(D1322="","",IFERROR(VALUE(MID(D1322,LEN(D1322)-3,3)),""))</f>
        <v/>
      </c>
      <c r="O1322" s="33">
        <f>IF(N1322="","",L1322&amp;"|"&amp;N1322)</f>
        <v/>
      </c>
      <c r="P1322" s="33">
        <f>IF(N1322="","",IF(L1322="À RENSEIGNER","GIC",L1322)&amp;"-"&amp;TEXT(N1322,"000"))</f>
        <v/>
      </c>
      <c r="Q1322" s="33">
        <f>IF(O1322="","",IFERROR(INDEX(Cl_nom,MATCH(O1322,Cl_cle,0)),"(client introuvable)"))</f>
        <v/>
      </c>
      <c r="R1322" s="40">
        <f>IF(O1322="","",IFERROR(INDEX(Cl_reste,MATCH(O1322,Cl_cle,0)),""))</f>
        <v/>
      </c>
      <c r="S1322" s="34">
        <f>IF(C1322="","",YEAR(C1322-WEEKDAY(C1322,2)+4)&amp;"-S"&amp;TEXT(INT((C1322-DATE(YEAR(C1322-WEEKDAY(C1322,2)+4),1,3)+WEEKDAY(DATE(YEAR(C1322-WEEKDAY(C1322,2)+4),1,3),2)+5)/7),"00"))</f>
        <v/>
      </c>
    </row>
    <row r="1323" ht="18" customHeight="1">
      <c r="A1323" s="39" t="n">
        <v>1318</v>
      </c>
      <c r="B1323" s="33">
        <f>IF(C1323="","",IF(L1323="À RENSEIGNER","GIC",L1323)&amp;"-E"&amp;TEXT(A1323,"00000"))</f>
        <v/>
      </c>
      <c r="C1323" s="32" t="n"/>
      <c r="D1323" s="36" t="n"/>
      <c r="E1323" s="37" t="n"/>
      <c r="F1323" s="36" t="n"/>
      <c r="G1323" s="44" t="n"/>
      <c r="H1323" s="43" t="n"/>
      <c r="I1323" s="32" t="n"/>
      <c r="J1323" s="44" t="n"/>
      <c r="K1323" s="36" t="n"/>
      <c r="L1323" s="33">
        <f>IF(C1323="","",Commercial_Id)</f>
        <v/>
      </c>
      <c r="M1323" s="34">
        <f>IF(OR(C1323="",F1323=""),"",IF(F1323&lt;&gt;"Espèces","—",IF(I1323&lt;&gt;"","☑ Oui","☐ Non")))</f>
        <v/>
      </c>
      <c r="N1323" s="39">
        <f>IF(D1323="","",IFERROR(VALUE(MID(D1323,LEN(D1323)-3,3)),""))</f>
        <v/>
      </c>
      <c r="O1323" s="33">
        <f>IF(N1323="","",L1323&amp;"|"&amp;N1323)</f>
        <v/>
      </c>
      <c r="P1323" s="33">
        <f>IF(N1323="","",IF(L1323="À RENSEIGNER","GIC",L1323)&amp;"-"&amp;TEXT(N1323,"000"))</f>
        <v/>
      </c>
      <c r="Q1323" s="33">
        <f>IF(O1323="","",IFERROR(INDEX(Cl_nom,MATCH(O1323,Cl_cle,0)),"(client introuvable)"))</f>
        <v/>
      </c>
      <c r="R1323" s="40">
        <f>IF(O1323="","",IFERROR(INDEX(Cl_reste,MATCH(O1323,Cl_cle,0)),""))</f>
        <v/>
      </c>
      <c r="S1323" s="34">
        <f>IF(C1323="","",YEAR(C1323-WEEKDAY(C1323,2)+4)&amp;"-S"&amp;TEXT(INT((C1323-DATE(YEAR(C1323-WEEKDAY(C1323,2)+4),1,3)+WEEKDAY(DATE(YEAR(C1323-WEEKDAY(C1323,2)+4),1,3),2)+5)/7),"00"))</f>
        <v/>
      </c>
    </row>
    <row r="1324" ht="18" customHeight="1">
      <c r="A1324" s="39" t="n">
        <v>1319</v>
      </c>
      <c r="B1324" s="33">
        <f>IF(C1324="","",IF(L1324="À RENSEIGNER","GIC",L1324)&amp;"-E"&amp;TEXT(A1324,"00000"))</f>
        <v/>
      </c>
      <c r="C1324" s="32" t="n"/>
      <c r="D1324" s="36" t="n"/>
      <c r="E1324" s="37" t="n"/>
      <c r="F1324" s="36" t="n"/>
      <c r="G1324" s="44" t="n"/>
      <c r="H1324" s="43" t="n"/>
      <c r="I1324" s="32" t="n"/>
      <c r="J1324" s="44" t="n"/>
      <c r="K1324" s="36" t="n"/>
      <c r="L1324" s="33">
        <f>IF(C1324="","",Commercial_Id)</f>
        <v/>
      </c>
      <c r="M1324" s="34">
        <f>IF(OR(C1324="",F1324=""),"",IF(F1324&lt;&gt;"Espèces","—",IF(I1324&lt;&gt;"","☑ Oui","☐ Non")))</f>
        <v/>
      </c>
      <c r="N1324" s="39">
        <f>IF(D1324="","",IFERROR(VALUE(MID(D1324,LEN(D1324)-3,3)),""))</f>
        <v/>
      </c>
      <c r="O1324" s="33">
        <f>IF(N1324="","",L1324&amp;"|"&amp;N1324)</f>
        <v/>
      </c>
      <c r="P1324" s="33">
        <f>IF(N1324="","",IF(L1324="À RENSEIGNER","GIC",L1324)&amp;"-"&amp;TEXT(N1324,"000"))</f>
        <v/>
      </c>
      <c r="Q1324" s="33">
        <f>IF(O1324="","",IFERROR(INDEX(Cl_nom,MATCH(O1324,Cl_cle,0)),"(client introuvable)"))</f>
        <v/>
      </c>
      <c r="R1324" s="40">
        <f>IF(O1324="","",IFERROR(INDEX(Cl_reste,MATCH(O1324,Cl_cle,0)),""))</f>
        <v/>
      </c>
      <c r="S1324" s="34">
        <f>IF(C1324="","",YEAR(C1324-WEEKDAY(C1324,2)+4)&amp;"-S"&amp;TEXT(INT((C1324-DATE(YEAR(C1324-WEEKDAY(C1324,2)+4),1,3)+WEEKDAY(DATE(YEAR(C1324-WEEKDAY(C1324,2)+4),1,3),2)+5)/7),"00"))</f>
        <v/>
      </c>
    </row>
    <row r="1325" ht="18" customHeight="1">
      <c r="A1325" s="39" t="n">
        <v>1320</v>
      </c>
      <c r="B1325" s="33">
        <f>IF(C1325="","",IF(L1325="À RENSEIGNER","GIC",L1325)&amp;"-E"&amp;TEXT(A1325,"00000"))</f>
        <v/>
      </c>
      <c r="C1325" s="32" t="n"/>
      <c r="D1325" s="36" t="n"/>
      <c r="E1325" s="37" t="n"/>
      <c r="F1325" s="36" t="n"/>
      <c r="G1325" s="44" t="n"/>
      <c r="H1325" s="43" t="n"/>
      <c r="I1325" s="32" t="n"/>
      <c r="J1325" s="44" t="n"/>
      <c r="K1325" s="36" t="n"/>
      <c r="L1325" s="33">
        <f>IF(C1325="","",Commercial_Id)</f>
        <v/>
      </c>
      <c r="M1325" s="34">
        <f>IF(OR(C1325="",F1325=""),"",IF(F1325&lt;&gt;"Espèces","—",IF(I1325&lt;&gt;"","☑ Oui","☐ Non")))</f>
        <v/>
      </c>
      <c r="N1325" s="39">
        <f>IF(D1325="","",IFERROR(VALUE(MID(D1325,LEN(D1325)-3,3)),""))</f>
        <v/>
      </c>
      <c r="O1325" s="33">
        <f>IF(N1325="","",L1325&amp;"|"&amp;N1325)</f>
        <v/>
      </c>
      <c r="P1325" s="33">
        <f>IF(N1325="","",IF(L1325="À RENSEIGNER","GIC",L1325)&amp;"-"&amp;TEXT(N1325,"000"))</f>
        <v/>
      </c>
      <c r="Q1325" s="33">
        <f>IF(O1325="","",IFERROR(INDEX(Cl_nom,MATCH(O1325,Cl_cle,0)),"(client introuvable)"))</f>
        <v/>
      </c>
      <c r="R1325" s="40">
        <f>IF(O1325="","",IFERROR(INDEX(Cl_reste,MATCH(O1325,Cl_cle,0)),""))</f>
        <v/>
      </c>
      <c r="S1325" s="34">
        <f>IF(C1325="","",YEAR(C1325-WEEKDAY(C1325,2)+4)&amp;"-S"&amp;TEXT(INT((C1325-DATE(YEAR(C1325-WEEKDAY(C1325,2)+4),1,3)+WEEKDAY(DATE(YEAR(C1325-WEEKDAY(C1325,2)+4),1,3),2)+5)/7),"00"))</f>
        <v/>
      </c>
    </row>
    <row r="1326" ht="18" customHeight="1">
      <c r="A1326" s="39" t="n">
        <v>1321</v>
      </c>
      <c r="B1326" s="33">
        <f>IF(C1326="","",IF(L1326="À RENSEIGNER","GIC",L1326)&amp;"-E"&amp;TEXT(A1326,"00000"))</f>
        <v/>
      </c>
      <c r="C1326" s="32" t="n"/>
      <c r="D1326" s="36" t="n"/>
      <c r="E1326" s="37" t="n"/>
      <c r="F1326" s="36" t="n"/>
      <c r="G1326" s="44" t="n"/>
      <c r="H1326" s="43" t="n"/>
      <c r="I1326" s="32" t="n"/>
      <c r="J1326" s="44" t="n"/>
      <c r="K1326" s="36" t="n"/>
      <c r="L1326" s="33">
        <f>IF(C1326="","",Commercial_Id)</f>
        <v/>
      </c>
      <c r="M1326" s="34">
        <f>IF(OR(C1326="",F1326=""),"",IF(F1326&lt;&gt;"Espèces","—",IF(I1326&lt;&gt;"","☑ Oui","☐ Non")))</f>
        <v/>
      </c>
      <c r="N1326" s="39">
        <f>IF(D1326="","",IFERROR(VALUE(MID(D1326,LEN(D1326)-3,3)),""))</f>
        <v/>
      </c>
      <c r="O1326" s="33">
        <f>IF(N1326="","",L1326&amp;"|"&amp;N1326)</f>
        <v/>
      </c>
      <c r="P1326" s="33">
        <f>IF(N1326="","",IF(L1326="À RENSEIGNER","GIC",L1326)&amp;"-"&amp;TEXT(N1326,"000"))</f>
        <v/>
      </c>
      <c r="Q1326" s="33">
        <f>IF(O1326="","",IFERROR(INDEX(Cl_nom,MATCH(O1326,Cl_cle,0)),"(client introuvable)"))</f>
        <v/>
      </c>
      <c r="R1326" s="40">
        <f>IF(O1326="","",IFERROR(INDEX(Cl_reste,MATCH(O1326,Cl_cle,0)),""))</f>
        <v/>
      </c>
      <c r="S1326" s="34">
        <f>IF(C1326="","",YEAR(C1326-WEEKDAY(C1326,2)+4)&amp;"-S"&amp;TEXT(INT((C1326-DATE(YEAR(C1326-WEEKDAY(C1326,2)+4),1,3)+WEEKDAY(DATE(YEAR(C1326-WEEKDAY(C1326,2)+4),1,3),2)+5)/7),"00"))</f>
        <v/>
      </c>
    </row>
    <row r="1327" ht="18" customHeight="1">
      <c r="A1327" s="39" t="n">
        <v>1322</v>
      </c>
      <c r="B1327" s="33">
        <f>IF(C1327="","",IF(L1327="À RENSEIGNER","GIC",L1327)&amp;"-E"&amp;TEXT(A1327,"00000"))</f>
        <v/>
      </c>
      <c r="C1327" s="32" t="n"/>
      <c r="D1327" s="36" t="n"/>
      <c r="E1327" s="37" t="n"/>
      <c r="F1327" s="36" t="n"/>
      <c r="G1327" s="44" t="n"/>
      <c r="H1327" s="43" t="n"/>
      <c r="I1327" s="32" t="n"/>
      <c r="J1327" s="44" t="n"/>
      <c r="K1327" s="36" t="n"/>
      <c r="L1327" s="33">
        <f>IF(C1327="","",Commercial_Id)</f>
        <v/>
      </c>
      <c r="M1327" s="34">
        <f>IF(OR(C1327="",F1327=""),"",IF(F1327&lt;&gt;"Espèces","—",IF(I1327&lt;&gt;"","☑ Oui","☐ Non")))</f>
        <v/>
      </c>
      <c r="N1327" s="39">
        <f>IF(D1327="","",IFERROR(VALUE(MID(D1327,LEN(D1327)-3,3)),""))</f>
        <v/>
      </c>
      <c r="O1327" s="33">
        <f>IF(N1327="","",L1327&amp;"|"&amp;N1327)</f>
        <v/>
      </c>
      <c r="P1327" s="33">
        <f>IF(N1327="","",IF(L1327="À RENSEIGNER","GIC",L1327)&amp;"-"&amp;TEXT(N1327,"000"))</f>
        <v/>
      </c>
      <c r="Q1327" s="33">
        <f>IF(O1327="","",IFERROR(INDEX(Cl_nom,MATCH(O1327,Cl_cle,0)),"(client introuvable)"))</f>
        <v/>
      </c>
      <c r="R1327" s="40">
        <f>IF(O1327="","",IFERROR(INDEX(Cl_reste,MATCH(O1327,Cl_cle,0)),""))</f>
        <v/>
      </c>
      <c r="S1327" s="34">
        <f>IF(C1327="","",YEAR(C1327-WEEKDAY(C1327,2)+4)&amp;"-S"&amp;TEXT(INT((C1327-DATE(YEAR(C1327-WEEKDAY(C1327,2)+4),1,3)+WEEKDAY(DATE(YEAR(C1327-WEEKDAY(C1327,2)+4),1,3),2)+5)/7),"00"))</f>
        <v/>
      </c>
    </row>
    <row r="1328" ht="18" customHeight="1">
      <c r="A1328" s="39" t="n">
        <v>1323</v>
      </c>
      <c r="B1328" s="33">
        <f>IF(C1328="","",IF(L1328="À RENSEIGNER","GIC",L1328)&amp;"-E"&amp;TEXT(A1328,"00000"))</f>
        <v/>
      </c>
      <c r="C1328" s="32" t="n"/>
      <c r="D1328" s="36" t="n"/>
      <c r="E1328" s="37" t="n"/>
      <c r="F1328" s="36" t="n"/>
      <c r="G1328" s="44" t="n"/>
      <c r="H1328" s="43" t="n"/>
      <c r="I1328" s="32" t="n"/>
      <c r="J1328" s="44" t="n"/>
      <c r="K1328" s="36" t="n"/>
      <c r="L1328" s="33">
        <f>IF(C1328="","",Commercial_Id)</f>
        <v/>
      </c>
      <c r="M1328" s="34">
        <f>IF(OR(C1328="",F1328=""),"",IF(F1328&lt;&gt;"Espèces","—",IF(I1328&lt;&gt;"","☑ Oui","☐ Non")))</f>
        <v/>
      </c>
      <c r="N1328" s="39">
        <f>IF(D1328="","",IFERROR(VALUE(MID(D1328,LEN(D1328)-3,3)),""))</f>
        <v/>
      </c>
      <c r="O1328" s="33">
        <f>IF(N1328="","",L1328&amp;"|"&amp;N1328)</f>
        <v/>
      </c>
      <c r="P1328" s="33">
        <f>IF(N1328="","",IF(L1328="À RENSEIGNER","GIC",L1328)&amp;"-"&amp;TEXT(N1328,"000"))</f>
        <v/>
      </c>
      <c r="Q1328" s="33">
        <f>IF(O1328="","",IFERROR(INDEX(Cl_nom,MATCH(O1328,Cl_cle,0)),"(client introuvable)"))</f>
        <v/>
      </c>
      <c r="R1328" s="40">
        <f>IF(O1328="","",IFERROR(INDEX(Cl_reste,MATCH(O1328,Cl_cle,0)),""))</f>
        <v/>
      </c>
      <c r="S1328" s="34">
        <f>IF(C1328="","",YEAR(C1328-WEEKDAY(C1328,2)+4)&amp;"-S"&amp;TEXT(INT((C1328-DATE(YEAR(C1328-WEEKDAY(C1328,2)+4),1,3)+WEEKDAY(DATE(YEAR(C1328-WEEKDAY(C1328,2)+4),1,3),2)+5)/7),"00"))</f>
        <v/>
      </c>
    </row>
    <row r="1329" ht="18" customHeight="1">
      <c r="A1329" s="39" t="n">
        <v>1324</v>
      </c>
      <c r="B1329" s="33">
        <f>IF(C1329="","",IF(L1329="À RENSEIGNER","GIC",L1329)&amp;"-E"&amp;TEXT(A1329,"00000"))</f>
        <v/>
      </c>
      <c r="C1329" s="32" t="n"/>
      <c r="D1329" s="36" t="n"/>
      <c r="E1329" s="37" t="n"/>
      <c r="F1329" s="36" t="n"/>
      <c r="G1329" s="44" t="n"/>
      <c r="H1329" s="43" t="n"/>
      <c r="I1329" s="32" t="n"/>
      <c r="J1329" s="44" t="n"/>
      <c r="K1329" s="36" t="n"/>
      <c r="L1329" s="33">
        <f>IF(C1329="","",Commercial_Id)</f>
        <v/>
      </c>
      <c r="M1329" s="34">
        <f>IF(OR(C1329="",F1329=""),"",IF(F1329&lt;&gt;"Espèces","—",IF(I1329&lt;&gt;"","☑ Oui","☐ Non")))</f>
        <v/>
      </c>
      <c r="N1329" s="39">
        <f>IF(D1329="","",IFERROR(VALUE(MID(D1329,LEN(D1329)-3,3)),""))</f>
        <v/>
      </c>
      <c r="O1329" s="33">
        <f>IF(N1329="","",L1329&amp;"|"&amp;N1329)</f>
        <v/>
      </c>
      <c r="P1329" s="33">
        <f>IF(N1329="","",IF(L1329="À RENSEIGNER","GIC",L1329)&amp;"-"&amp;TEXT(N1329,"000"))</f>
        <v/>
      </c>
      <c r="Q1329" s="33">
        <f>IF(O1329="","",IFERROR(INDEX(Cl_nom,MATCH(O1329,Cl_cle,0)),"(client introuvable)"))</f>
        <v/>
      </c>
      <c r="R1329" s="40">
        <f>IF(O1329="","",IFERROR(INDEX(Cl_reste,MATCH(O1329,Cl_cle,0)),""))</f>
        <v/>
      </c>
      <c r="S1329" s="34">
        <f>IF(C1329="","",YEAR(C1329-WEEKDAY(C1329,2)+4)&amp;"-S"&amp;TEXT(INT((C1329-DATE(YEAR(C1329-WEEKDAY(C1329,2)+4),1,3)+WEEKDAY(DATE(YEAR(C1329-WEEKDAY(C1329,2)+4),1,3),2)+5)/7),"00"))</f>
        <v/>
      </c>
    </row>
    <row r="1330" ht="18" customHeight="1">
      <c r="A1330" s="39" t="n">
        <v>1325</v>
      </c>
      <c r="B1330" s="33">
        <f>IF(C1330="","",IF(L1330="À RENSEIGNER","GIC",L1330)&amp;"-E"&amp;TEXT(A1330,"00000"))</f>
        <v/>
      </c>
      <c r="C1330" s="32" t="n"/>
      <c r="D1330" s="36" t="n"/>
      <c r="E1330" s="37" t="n"/>
      <c r="F1330" s="36" t="n"/>
      <c r="G1330" s="44" t="n"/>
      <c r="H1330" s="43" t="n"/>
      <c r="I1330" s="32" t="n"/>
      <c r="J1330" s="44" t="n"/>
      <c r="K1330" s="36" t="n"/>
      <c r="L1330" s="33">
        <f>IF(C1330="","",Commercial_Id)</f>
        <v/>
      </c>
      <c r="M1330" s="34">
        <f>IF(OR(C1330="",F1330=""),"",IF(F1330&lt;&gt;"Espèces","—",IF(I1330&lt;&gt;"","☑ Oui","☐ Non")))</f>
        <v/>
      </c>
      <c r="N1330" s="39">
        <f>IF(D1330="","",IFERROR(VALUE(MID(D1330,LEN(D1330)-3,3)),""))</f>
        <v/>
      </c>
      <c r="O1330" s="33">
        <f>IF(N1330="","",L1330&amp;"|"&amp;N1330)</f>
        <v/>
      </c>
      <c r="P1330" s="33">
        <f>IF(N1330="","",IF(L1330="À RENSEIGNER","GIC",L1330)&amp;"-"&amp;TEXT(N1330,"000"))</f>
        <v/>
      </c>
      <c r="Q1330" s="33">
        <f>IF(O1330="","",IFERROR(INDEX(Cl_nom,MATCH(O1330,Cl_cle,0)),"(client introuvable)"))</f>
        <v/>
      </c>
      <c r="R1330" s="40">
        <f>IF(O1330="","",IFERROR(INDEX(Cl_reste,MATCH(O1330,Cl_cle,0)),""))</f>
        <v/>
      </c>
      <c r="S1330" s="34">
        <f>IF(C1330="","",YEAR(C1330-WEEKDAY(C1330,2)+4)&amp;"-S"&amp;TEXT(INT((C1330-DATE(YEAR(C1330-WEEKDAY(C1330,2)+4),1,3)+WEEKDAY(DATE(YEAR(C1330-WEEKDAY(C1330,2)+4),1,3),2)+5)/7),"00"))</f>
        <v/>
      </c>
    </row>
    <row r="1331" ht="18" customHeight="1">
      <c r="A1331" s="39" t="n">
        <v>1326</v>
      </c>
      <c r="B1331" s="33">
        <f>IF(C1331="","",IF(L1331="À RENSEIGNER","GIC",L1331)&amp;"-E"&amp;TEXT(A1331,"00000"))</f>
        <v/>
      </c>
      <c r="C1331" s="32" t="n"/>
      <c r="D1331" s="36" t="n"/>
      <c r="E1331" s="37" t="n"/>
      <c r="F1331" s="36" t="n"/>
      <c r="G1331" s="44" t="n"/>
      <c r="H1331" s="43" t="n"/>
      <c r="I1331" s="32" t="n"/>
      <c r="J1331" s="44" t="n"/>
      <c r="K1331" s="36" t="n"/>
      <c r="L1331" s="33">
        <f>IF(C1331="","",Commercial_Id)</f>
        <v/>
      </c>
      <c r="M1331" s="34">
        <f>IF(OR(C1331="",F1331=""),"",IF(F1331&lt;&gt;"Espèces","—",IF(I1331&lt;&gt;"","☑ Oui","☐ Non")))</f>
        <v/>
      </c>
      <c r="N1331" s="39">
        <f>IF(D1331="","",IFERROR(VALUE(MID(D1331,LEN(D1331)-3,3)),""))</f>
        <v/>
      </c>
      <c r="O1331" s="33">
        <f>IF(N1331="","",L1331&amp;"|"&amp;N1331)</f>
        <v/>
      </c>
      <c r="P1331" s="33">
        <f>IF(N1331="","",IF(L1331="À RENSEIGNER","GIC",L1331)&amp;"-"&amp;TEXT(N1331,"000"))</f>
        <v/>
      </c>
      <c r="Q1331" s="33">
        <f>IF(O1331="","",IFERROR(INDEX(Cl_nom,MATCH(O1331,Cl_cle,0)),"(client introuvable)"))</f>
        <v/>
      </c>
      <c r="R1331" s="40">
        <f>IF(O1331="","",IFERROR(INDEX(Cl_reste,MATCH(O1331,Cl_cle,0)),""))</f>
        <v/>
      </c>
      <c r="S1331" s="34">
        <f>IF(C1331="","",YEAR(C1331-WEEKDAY(C1331,2)+4)&amp;"-S"&amp;TEXT(INT((C1331-DATE(YEAR(C1331-WEEKDAY(C1331,2)+4),1,3)+WEEKDAY(DATE(YEAR(C1331-WEEKDAY(C1331,2)+4),1,3),2)+5)/7),"00"))</f>
        <v/>
      </c>
    </row>
    <row r="1332" ht="18" customHeight="1">
      <c r="A1332" s="39" t="n">
        <v>1327</v>
      </c>
      <c r="B1332" s="33">
        <f>IF(C1332="","",IF(L1332="À RENSEIGNER","GIC",L1332)&amp;"-E"&amp;TEXT(A1332,"00000"))</f>
        <v/>
      </c>
      <c r="C1332" s="32" t="n"/>
      <c r="D1332" s="36" t="n"/>
      <c r="E1332" s="37" t="n"/>
      <c r="F1332" s="36" t="n"/>
      <c r="G1332" s="44" t="n"/>
      <c r="H1332" s="43" t="n"/>
      <c r="I1332" s="32" t="n"/>
      <c r="J1332" s="44" t="n"/>
      <c r="K1332" s="36" t="n"/>
      <c r="L1332" s="33">
        <f>IF(C1332="","",Commercial_Id)</f>
        <v/>
      </c>
      <c r="M1332" s="34">
        <f>IF(OR(C1332="",F1332=""),"",IF(F1332&lt;&gt;"Espèces","—",IF(I1332&lt;&gt;"","☑ Oui","☐ Non")))</f>
        <v/>
      </c>
      <c r="N1332" s="39">
        <f>IF(D1332="","",IFERROR(VALUE(MID(D1332,LEN(D1332)-3,3)),""))</f>
        <v/>
      </c>
      <c r="O1332" s="33">
        <f>IF(N1332="","",L1332&amp;"|"&amp;N1332)</f>
        <v/>
      </c>
      <c r="P1332" s="33">
        <f>IF(N1332="","",IF(L1332="À RENSEIGNER","GIC",L1332)&amp;"-"&amp;TEXT(N1332,"000"))</f>
        <v/>
      </c>
      <c r="Q1332" s="33">
        <f>IF(O1332="","",IFERROR(INDEX(Cl_nom,MATCH(O1332,Cl_cle,0)),"(client introuvable)"))</f>
        <v/>
      </c>
      <c r="R1332" s="40">
        <f>IF(O1332="","",IFERROR(INDEX(Cl_reste,MATCH(O1332,Cl_cle,0)),""))</f>
        <v/>
      </c>
      <c r="S1332" s="34">
        <f>IF(C1332="","",YEAR(C1332-WEEKDAY(C1332,2)+4)&amp;"-S"&amp;TEXT(INT((C1332-DATE(YEAR(C1332-WEEKDAY(C1332,2)+4),1,3)+WEEKDAY(DATE(YEAR(C1332-WEEKDAY(C1332,2)+4),1,3),2)+5)/7),"00"))</f>
        <v/>
      </c>
    </row>
    <row r="1333" ht="18" customHeight="1">
      <c r="A1333" s="39" t="n">
        <v>1328</v>
      </c>
      <c r="B1333" s="33">
        <f>IF(C1333="","",IF(L1333="À RENSEIGNER","GIC",L1333)&amp;"-E"&amp;TEXT(A1333,"00000"))</f>
        <v/>
      </c>
      <c r="C1333" s="32" t="n"/>
      <c r="D1333" s="36" t="n"/>
      <c r="E1333" s="37" t="n"/>
      <c r="F1333" s="36" t="n"/>
      <c r="G1333" s="44" t="n"/>
      <c r="H1333" s="43" t="n"/>
      <c r="I1333" s="32" t="n"/>
      <c r="J1333" s="44" t="n"/>
      <c r="K1333" s="36" t="n"/>
      <c r="L1333" s="33">
        <f>IF(C1333="","",Commercial_Id)</f>
        <v/>
      </c>
      <c r="M1333" s="34">
        <f>IF(OR(C1333="",F1333=""),"",IF(F1333&lt;&gt;"Espèces","—",IF(I1333&lt;&gt;"","☑ Oui","☐ Non")))</f>
        <v/>
      </c>
      <c r="N1333" s="39">
        <f>IF(D1333="","",IFERROR(VALUE(MID(D1333,LEN(D1333)-3,3)),""))</f>
        <v/>
      </c>
      <c r="O1333" s="33">
        <f>IF(N1333="","",L1333&amp;"|"&amp;N1333)</f>
        <v/>
      </c>
      <c r="P1333" s="33">
        <f>IF(N1333="","",IF(L1333="À RENSEIGNER","GIC",L1333)&amp;"-"&amp;TEXT(N1333,"000"))</f>
        <v/>
      </c>
      <c r="Q1333" s="33">
        <f>IF(O1333="","",IFERROR(INDEX(Cl_nom,MATCH(O1333,Cl_cle,0)),"(client introuvable)"))</f>
        <v/>
      </c>
      <c r="R1333" s="40">
        <f>IF(O1333="","",IFERROR(INDEX(Cl_reste,MATCH(O1333,Cl_cle,0)),""))</f>
        <v/>
      </c>
      <c r="S1333" s="34">
        <f>IF(C1333="","",YEAR(C1333-WEEKDAY(C1333,2)+4)&amp;"-S"&amp;TEXT(INT((C1333-DATE(YEAR(C1333-WEEKDAY(C1333,2)+4),1,3)+WEEKDAY(DATE(YEAR(C1333-WEEKDAY(C1333,2)+4),1,3),2)+5)/7),"00"))</f>
        <v/>
      </c>
    </row>
    <row r="1334" ht="18" customHeight="1">
      <c r="A1334" s="39" t="n">
        <v>1329</v>
      </c>
      <c r="B1334" s="33">
        <f>IF(C1334="","",IF(L1334="À RENSEIGNER","GIC",L1334)&amp;"-E"&amp;TEXT(A1334,"00000"))</f>
        <v/>
      </c>
      <c r="C1334" s="32" t="n"/>
      <c r="D1334" s="36" t="n"/>
      <c r="E1334" s="37" t="n"/>
      <c r="F1334" s="36" t="n"/>
      <c r="G1334" s="44" t="n"/>
      <c r="H1334" s="43" t="n"/>
      <c r="I1334" s="32" t="n"/>
      <c r="J1334" s="44" t="n"/>
      <c r="K1334" s="36" t="n"/>
      <c r="L1334" s="33">
        <f>IF(C1334="","",Commercial_Id)</f>
        <v/>
      </c>
      <c r="M1334" s="34">
        <f>IF(OR(C1334="",F1334=""),"",IF(F1334&lt;&gt;"Espèces","—",IF(I1334&lt;&gt;"","☑ Oui","☐ Non")))</f>
        <v/>
      </c>
      <c r="N1334" s="39">
        <f>IF(D1334="","",IFERROR(VALUE(MID(D1334,LEN(D1334)-3,3)),""))</f>
        <v/>
      </c>
      <c r="O1334" s="33">
        <f>IF(N1334="","",L1334&amp;"|"&amp;N1334)</f>
        <v/>
      </c>
      <c r="P1334" s="33">
        <f>IF(N1334="","",IF(L1334="À RENSEIGNER","GIC",L1334)&amp;"-"&amp;TEXT(N1334,"000"))</f>
        <v/>
      </c>
      <c r="Q1334" s="33">
        <f>IF(O1334="","",IFERROR(INDEX(Cl_nom,MATCH(O1334,Cl_cle,0)),"(client introuvable)"))</f>
        <v/>
      </c>
      <c r="R1334" s="40">
        <f>IF(O1334="","",IFERROR(INDEX(Cl_reste,MATCH(O1334,Cl_cle,0)),""))</f>
        <v/>
      </c>
      <c r="S1334" s="34">
        <f>IF(C1334="","",YEAR(C1334-WEEKDAY(C1334,2)+4)&amp;"-S"&amp;TEXT(INT((C1334-DATE(YEAR(C1334-WEEKDAY(C1334,2)+4),1,3)+WEEKDAY(DATE(YEAR(C1334-WEEKDAY(C1334,2)+4),1,3),2)+5)/7),"00"))</f>
        <v/>
      </c>
    </row>
    <row r="1335" ht="18" customHeight="1">
      <c r="A1335" s="39" t="n">
        <v>1330</v>
      </c>
      <c r="B1335" s="33">
        <f>IF(C1335="","",IF(L1335="À RENSEIGNER","GIC",L1335)&amp;"-E"&amp;TEXT(A1335,"00000"))</f>
        <v/>
      </c>
      <c r="C1335" s="32" t="n"/>
      <c r="D1335" s="36" t="n"/>
      <c r="E1335" s="37" t="n"/>
      <c r="F1335" s="36" t="n"/>
      <c r="G1335" s="44" t="n"/>
      <c r="H1335" s="43" t="n"/>
      <c r="I1335" s="32" t="n"/>
      <c r="J1335" s="44" t="n"/>
      <c r="K1335" s="36" t="n"/>
      <c r="L1335" s="33">
        <f>IF(C1335="","",Commercial_Id)</f>
        <v/>
      </c>
      <c r="M1335" s="34">
        <f>IF(OR(C1335="",F1335=""),"",IF(F1335&lt;&gt;"Espèces","—",IF(I1335&lt;&gt;"","☑ Oui","☐ Non")))</f>
        <v/>
      </c>
      <c r="N1335" s="39">
        <f>IF(D1335="","",IFERROR(VALUE(MID(D1335,LEN(D1335)-3,3)),""))</f>
        <v/>
      </c>
      <c r="O1335" s="33">
        <f>IF(N1335="","",L1335&amp;"|"&amp;N1335)</f>
        <v/>
      </c>
      <c r="P1335" s="33">
        <f>IF(N1335="","",IF(L1335="À RENSEIGNER","GIC",L1335)&amp;"-"&amp;TEXT(N1335,"000"))</f>
        <v/>
      </c>
      <c r="Q1335" s="33">
        <f>IF(O1335="","",IFERROR(INDEX(Cl_nom,MATCH(O1335,Cl_cle,0)),"(client introuvable)"))</f>
        <v/>
      </c>
      <c r="R1335" s="40">
        <f>IF(O1335="","",IFERROR(INDEX(Cl_reste,MATCH(O1335,Cl_cle,0)),""))</f>
        <v/>
      </c>
      <c r="S1335" s="34">
        <f>IF(C1335="","",YEAR(C1335-WEEKDAY(C1335,2)+4)&amp;"-S"&amp;TEXT(INT((C1335-DATE(YEAR(C1335-WEEKDAY(C1335,2)+4),1,3)+WEEKDAY(DATE(YEAR(C1335-WEEKDAY(C1335,2)+4),1,3),2)+5)/7),"00"))</f>
        <v/>
      </c>
    </row>
    <row r="1336" ht="18" customHeight="1">
      <c r="A1336" s="39" t="n">
        <v>1331</v>
      </c>
      <c r="B1336" s="33">
        <f>IF(C1336="","",IF(L1336="À RENSEIGNER","GIC",L1336)&amp;"-E"&amp;TEXT(A1336,"00000"))</f>
        <v/>
      </c>
      <c r="C1336" s="32" t="n"/>
      <c r="D1336" s="36" t="n"/>
      <c r="E1336" s="37" t="n"/>
      <c r="F1336" s="36" t="n"/>
      <c r="G1336" s="44" t="n"/>
      <c r="H1336" s="43" t="n"/>
      <c r="I1336" s="32" t="n"/>
      <c r="J1336" s="44" t="n"/>
      <c r="K1336" s="36" t="n"/>
      <c r="L1336" s="33">
        <f>IF(C1336="","",Commercial_Id)</f>
        <v/>
      </c>
      <c r="M1336" s="34">
        <f>IF(OR(C1336="",F1336=""),"",IF(F1336&lt;&gt;"Espèces","—",IF(I1336&lt;&gt;"","☑ Oui","☐ Non")))</f>
        <v/>
      </c>
      <c r="N1336" s="39">
        <f>IF(D1336="","",IFERROR(VALUE(MID(D1336,LEN(D1336)-3,3)),""))</f>
        <v/>
      </c>
      <c r="O1336" s="33">
        <f>IF(N1336="","",L1336&amp;"|"&amp;N1336)</f>
        <v/>
      </c>
      <c r="P1336" s="33">
        <f>IF(N1336="","",IF(L1336="À RENSEIGNER","GIC",L1336)&amp;"-"&amp;TEXT(N1336,"000"))</f>
        <v/>
      </c>
      <c r="Q1336" s="33">
        <f>IF(O1336="","",IFERROR(INDEX(Cl_nom,MATCH(O1336,Cl_cle,0)),"(client introuvable)"))</f>
        <v/>
      </c>
      <c r="R1336" s="40">
        <f>IF(O1336="","",IFERROR(INDEX(Cl_reste,MATCH(O1336,Cl_cle,0)),""))</f>
        <v/>
      </c>
      <c r="S1336" s="34">
        <f>IF(C1336="","",YEAR(C1336-WEEKDAY(C1336,2)+4)&amp;"-S"&amp;TEXT(INT((C1336-DATE(YEAR(C1336-WEEKDAY(C1336,2)+4),1,3)+WEEKDAY(DATE(YEAR(C1336-WEEKDAY(C1336,2)+4),1,3),2)+5)/7),"00"))</f>
        <v/>
      </c>
    </row>
    <row r="1337" ht="18" customHeight="1">
      <c r="A1337" s="39" t="n">
        <v>1332</v>
      </c>
      <c r="B1337" s="33">
        <f>IF(C1337="","",IF(L1337="À RENSEIGNER","GIC",L1337)&amp;"-E"&amp;TEXT(A1337,"00000"))</f>
        <v/>
      </c>
      <c r="C1337" s="32" t="n"/>
      <c r="D1337" s="36" t="n"/>
      <c r="E1337" s="37" t="n"/>
      <c r="F1337" s="36" t="n"/>
      <c r="G1337" s="44" t="n"/>
      <c r="H1337" s="43" t="n"/>
      <c r="I1337" s="32" t="n"/>
      <c r="J1337" s="44" t="n"/>
      <c r="K1337" s="36" t="n"/>
      <c r="L1337" s="33">
        <f>IF(C1337="","",Commercial_Id)</f>
        <v/>
      </c>
      <c r="M1337" s="34">
        <f>IF(OR(C1337="",F1337=""),"",IF(F1337&lt;&gt;"Espèces","—",IF(I1337&lt;&gt;"","☑ Oui","☐ Non")))</f>
        <v/>
      </c>
      <c r="N1337" s="39">
        <f>IF(D1337="","",IFERROR(VALUE(MID(D1337,LEN(D1337)-3,3)),""))</f>
        <v/>
      </c>
      <c r="O1337" s="33">
        <f>IF(N1337="","",L1337&amp;"|"&amp;N1337)</f>
        <v/>
      </c>
      <c r="P1337" s="33">
        <f>IF(N1337="","",IF(L1337="À RENSEIGNER","GIC",L1337)&amp;"-"&amp;TEXT(N1337,"000"))</f>
        <v/>
      </c>
      <c r="Q1337" s="33">
        <f>IF(O1337="","",IFERROR(INDEX(Cl_nom,MATCH(O1337,Cl_cle,0)),"(client introuvable)"))</f>
        <v/>
      </c>
      <c r="R1337" s="40">
        <f>IF(O1337="","",IFERROR(INDEX(Cl_reste,MATCH(O1337,Cl_cle,0)),""))</f>
        <v/>
      </c>
      <c r="S1337" s="34">
        <f>IF(C1337="","",YEAR(C1337-WEEKDAY(C1337,2)+4)&amp;"-S"&amp;TEXT(INT((C1337-DATE(YEAR(C1337-WEEKDAY(C1337,2)+4),1,3)+WEEKDAY(DATE(YEAR(C1337-WEEKDAY(C1337,2)+4),1,3),2)+5)/7),"00"))</f>
        <v/>
      </c>
    </row>
    <row r="1338" ht="18" customHeight="1">
      <c r="A1338" s="39" t="n">
        <v>1333</v>
      </c>
      <c r="B1338" s="33">
        <f>IF(C1338="","",IF(L1338="À RENSEIGNER","GIC",L1338)&amp;"-E"&amp;TEXT(A1338,"00000"))</f>
        <v/>
      </c>
      <c r="C1338" s="32" t="n"/>
      <c r="D1338" s="36" t="n"/>
      <c r="E1338" s="37" t="n"/>
      <c r="F1338" s="36" t="n"/>
      <c r="G1338" s="44" t="n"/>
      <c r="H1338" s="43" t="n"/>
      <c r="I1338" s="32" t="n"/>
      <c r="J1338" s="44" t="n"/>
      <c r="K1338" s="36" t="n"/>
      <c r="L1338" s="33">
        <f>IF(C1338="","",Commercial_Id)</f>
        <v/>
      </c>
      <c r="M1338" s="34">
        <f>IF(OR(C1338="",F1338=""),"",IF(F1338&lt;&gt;"Espèces","—",IF(I1338&lt;&gt;"","☑ Oui","☐ Non")))</f>
        <v/>
      </c>
      <c r="N1338" s="39">
        <f>IF(D1338="","",IFERROR(VALUE(MID(D1338,LEN(D1338)-3,3)),""))</f>
        <v/>
      </c>
      <c r="O1338" s="33">
        <f>IF(N1338="","",L1338&amp;"|"&amp;N1338)</f>
        <v/>
      </c>
      <c r="P1338" s="33">
        <f>IF(N1338="","",IF(L1338="À RENSEIGNER","GIC",L1338)&amp;"-"&amp;TEXT(N1338,"000"))</f>
        <v/>
      </c>
      <c r="Q1338" s="33">
        <f>IF(O1338="","",IFERROR(INDEX(Cl_nom,MATCH(O1338,Cl_cle,0)),"(client introuvable)"))</f>
        <v/>
      </c>
      <c r="R1338" s="40">
        <f>IF(O1338="","",IFERROR(INDEX(Cl_reste,MATCH(O1338,Cl_cle,0)),""))</f>
        <v/>
      </c>
      <c r="S1338" s="34">
        <f>IF(C1338="","",YEAR(C1338-WEEKDAY(C1338,2)+4)&amp;"-S"&amp;TEXT(INT((C1338-DATE(YEAR(C1338-WEEKDAY(C1338,2)+4),1,3)+WEEKDAY(DATE(YEAR(C1338-WEEKDAY(C1338,2)+4),1,3),2)+5)/7),"00"))</f>
        <v/>
      </c>
    </row>
    <row r="1339" ht="18" customHeight="1">
      <c r="A1339" s="39" t="n">
        <v>1334</v>
      </c>
      <c r="B1339" s="33">
        <f>IF(C1339="","",IF(L1339="À RENSEIGNER","GIC",L1339)&amp;"-E"&amp;TEXT(A1339,"00000"))</f>
        <v/>
      </c>
      <c r="C1339" s="32" t="n"/>
      <c r="D1339" s="36" t="n"/>
      <c r="E1339" s="37" t="n"/>
      <c r="F1339" s="36" t="n"/>
      <c r="G1339" s="44" t="n"/>
      <c r="H1339" s="43" t="n"/>
      <c r="I1339" s="32" t="n"/>
      <c r="J1339" s="44" t="n"/>
      <c r="K1339" s="36" t="n"/>
      <c r="L1339" s="33">
        <f>IF(C1339="","",Commercial_Id)</f>
        <v/>
      </c>
      <c r="M1339" s="34">
        <f>IF(OR(C1339="",F1339=""),"",IF(F1339&lt;&gt;"Espèces","—",IF(I1339&lt;&gt;"","☑ Oui","☐ Non")))</f>
        <v/>
      </c>
      <c r="N1339" s="39">
        <f>IF(D1339="","",IFERROR(VALUE(MID(D1339,LEN(D1339)-3,3)),""))</f>
        <v/>
      </c>
      <c r="O1339" s="33">
        <f>IF(N1339="","",L1339&amp;"|"&amp;N1339)</f>
        <v/>
      </c>
      <c r="P1339" s="33">
        <f>IF(N1339="","",IF(L1339="À RENSEIGNER","GIC",L1339)&amp;"-"&amp;TEXT(N1339,"000"))</f>
        <v/>
      </c>
      <c r="Q1339" s="33">
        <f>IF(O1339="","",IFERROR(INDEX(Cl_nom,MATCH(O1339,Cl_cle,0)),"(client introuvable)"))</f>
        <v/>
      </c>
      <c r="R1339" s="40">
        <f>IF(O1339="","",IFERROR(INDEX(Cl_reste,MATCH(O1339,Cl_cle,0)),""))</f>
        <v/>
      </c>
      <c r="S1339" s="34">
        <f>IF(C1339="","",YEAR(C1339-WEEKDAY(C1339,2)+4)&amp;"-S"&amp;TEXT(INT((C1339-DATE(YEAR(C1339-WEEKDAY(C1339,2)+4),1,3)+WEEKDAY(DATE(YEAR(C1339-WEEKDAY(C1339,2)+4),1,3),2)+5)/7),"00"))</f>
        <v/>
      </c>
    </row>
    <row r="1340" ht="18" customHeight="1">
      <c r="A1340" s="39" t="n">
        <v>1335</v>
      </c>
      <c r="B1340" s="33">
        <f>IF(C1340="","",IF(L1340="À RENSEIGNER","GIC",L1340)&amp;"-E"&amp;TEXT(A1340,"00000"))</f>
        <v/>
      </c>
      <c r="C1340" s="32" t="n"/>
      <c r="D1340" s="36" t="n"/>
      <c r="E1340" s="37" t="n"/>
      <c r="F1340" s="36" t="n"/>
      <c r="G1340" s="44" t="n"/>
      <c r="H1340" s="43" t="n"/>
      <c r="I1340" s="32" t="n"/>
      <c r="J1340" s="44" t="n"/>
      <c r="K1340" s="36" t="n"/>
      <c r="L1340" s="33">
        <f>IF(C1340="","",Commercial_Id)</f>
        <v/>
      </c>
      <c r="M1340" s="34">
        <f>IF(OR(C1340="",F1340=""),"",IF(F1340&lt;&gt;"Espèces","—",IF(I1340&lt;&gt;"","☑ Oui","☐ Non")))</f>
        <v/>
      </c>
      <c r="N1340" s="39">
        <f>IF(D1340="","",IFERROR(VALUE(MID(D1340,LEN(D1340)-3,3)),""))</f>
        <v/>
      </c>
      <c r="O1340" s="33">
        <f>IF(N1340="","",L1340&amp;"|"&amp;N1340)</f>
        <v/>
      </c>
      <c r="P1340" s="33">
        <f>IF(N1340="","",IF(L1340="À RENSEIGNER","GIC",L1340)&amp;"-"&amp;TEXT(N1340,"000"))</f>
        <v/>
      </c>
      <c r="Q1340" s="33">
        <f>IF(O1340="","",IFERROR(INDEX(Cl_nom,MATCH(O1340,Cl_cle,0)),"(client introuvable)"))</f>
        <v/>
      </c>
      <c r="R1340" s="40">
        <f>IF(O1340="","",IFERROR(INDEX(Cl_reste,MATCH(O1340,Cl_cle,0)),""))</f>
        <v/>
      </c>
      <c r="S1340" s="34">
        <f>IF(C1340="","",YEAR(C1340-WEEKDAY(C1340,2)+4)&amp;"-S"&amp;TEXT(INT((C1340-DATE(YEAR(C1340-WEEKDAY(C1340,2)+4),1,3)+WEEKDAY(DATE(YEAR(C1340-WEEKDAY(C1340,2)+4),1,3),2)+5)/7),"00"))</f>
        <v/>
      </c>
    </row>
    <row r="1341" ht="18" customHeight="1">
      <c r="A1341" s="39" t="n">
        <v>1336</v>
      </c>
      <c r="B1341" s="33">
        <f>IF(C1341="","",IF(L1341="À RENSEIGNER","GIC",L1341)&amp;"-E"&amp;TEXT(A1341,"00000"))</f>
        <v/>
      </c>
      <c r="C1341" s="32" t="n"/>
      <c r="D1341" s="36" t="n"/>
      <c r="E1341" s="37" t="n"/>
      <c r="F1341" s="36" t="n"/>
      <c r="G1341" s="44" t="n"/>
      <c r="H1341" s="43" t="n"/>
      <c r="I1341" s="32" t="n"/>
      <c r="J1341" s="44" t="n"/>
      <c r="K1341" s="36" t="n"/>
      <c r="L1341" s="33">
        <f>IF(C1341="","",Commercial_Id)</f>
        <v/>
      </c>
      <c r="M1341" s="34">
        <f>IF(OR(C1341="",F1341=""),"",IF(F1341&lt;&gt;"Espèces","—",IF(I1341&lt;&gt;"","☑ Oui","☐ Non")))</f>
        <v/>
      </c>
      <c r="N1341" s="39">
        <f>IF(D1341="","",IFERROR(VALUE(MID(D1341,LEN(D1341)-3,3)),""))</f>
        <v/>
      </c>
      <c r="O1341" s="33">
        <f>IF(N1341="","",L1341&amp;"|"&amp;N1341)</f>
        <v/>
      </c>
      <c r="P1341" s="33">
        <f>IF(N1341="","",IF(L1341="À RENSEIGNER","GIC",L1341)&amp;"-"&amp;TEXT(N1341,"000"))</f>
        <v/>
      </c>
      <c r="Q1341" s="33">
        <f>IF(O1341="","",IFERROR(INDEX(Cl_nom,MATCH(O1341,Cl_cle,0)),"(client introuvable)"))</f>
        <v/>
      </c>
      <c r="R1341" s="40">
        <f>IF(O1341="","",IFERROR(INDEX(Cl_reste,MATCH(O1341,Cl_cle,0)),""))</f>
        <v/>
      </c>
      <c r="S1341" s="34">
        <f>IF(C1341="","",YEAR(C1341-WEEKDAY(C1341,2)+4)&amp;"-S"&amp;TEXT(INT((C1341-DATE(YEAR(C1341-WEEKDAY(C1341,2)+4),1,3)+WEEKDAY(DATE(YEAR(C1341-WEEKDAY(C1341,2)+4),1,3),2)+5)/7),"00"))</f>
        <v/>
      </c>
    </row>
    <row r="1342" ht="18" customHeight="1">
      <c r="A1342" s="39" t="n">
        <v>1337</v>
      </c>
      <c r="B1342" s="33">
        <f>IF(C1342="","",IF(L1342="À RENSEIGNER","GIC",L1342)&amp;"-E"&amp;TEXT(A1342,"00000"))</f>
        <v/>
      </c>
      <c r="C1342" s="32" t="n"/>
      <c r="D1342" s="36" t="n"/>
      <c r="E1342" s="37" t="n"/>
      <c r="F1342" s="36" t="n"/>
      <c r="G1342" s="44" t="n"/>
      <c r="H1342" s="43" t="n"/>
      <c r="I1342" s="32" t="n"/>
      <c r="J1342" s="44" t="n"/>
      <c r="K1342" s="36" t="n"/>
      <c r="L1342" s="33">
        <f>IF(C1342="","",Commercial_Id)</f>
        <v/>
      </c>
      <c r="M1342" s="34">
        <f>IF(OR(C1342="",F1342=""),"",IF(F1342&lt;&gt;"Espèces","—",IF(I1342&lt;&gt;"","☑ Oui","☐ Non")))</f>
        <v/>
      </c>
      <c r="N1342" s="39">
        <f>IF(D1342="","",IFERROR(VALUE(MID(D1342,LEN(D1342)-3,3)),""))</f>
        <v/>
      </c>
      <c r="O1342" s="33">
        <f>IF(N1342="","",L1342&amp;"|"&amp;N1342)</f>
        <v/>
      </c>
      <c r="P1342" s="33">
        <f>IF(N1342="","",IF(L1342="À RENSEIGNER","GIC",L1342)&amp;"-"&amp;TEXT(N1342,"000"))</f>
        <v/>
      </c>
      <c r="Q1342" s="33">
        <f>IF(O1342="","",IFERROR(INDEX(Cl_nom,MATCH(O1342,Cl_cle,0)),"(client introuvable)"))</f>
        <v/>
      </c>
      <c r="R1342" s="40">
        <f>IF(O1342="","",IFERROR(INDEX(Cl_reste,MATCH(O1342,Cl_cle,0)),""))</f>
        <v/>
      </c>
      <c r="S1342" s="34">
        <f>IF(C1342="","",YEAR(C1342-WEEKDAY(C1342,2)+4)&amp;"-S"&amp;TEXT(INT((C1342-DATE(YEAR(C1342-WEEKDAY(C1342,2)+4),1,3)+WEEKDAY(DATE(YEAR(C1342-WEEKDAY(C1342,2)+4),1,3),2)+5)/7),"00"))</f>
        <v/>
      </c>
    </row>
    <row r="1343" ht="18" customHeight="1">
      <c r="A1343" s="39" t="n">
        <v>1338</v>
      </c>
      <c r="B1343" s="33">
        <f>IF(C1343="","",IF(L1343="À RENSEIGNER","GIC",L1343)&amp;"-E"&amp;TEXT(A1343,"00000"))</f>
        <v/>
      </c>
      <c r="C1343" s="32" t="n"/>
      <c r="D1343" s="36" t="n"/>
      <c r="E1343" s="37" t="n"/>
      <c r="F1343" s="36" t="n"/>
      <c r="G1343" s="44" t="n"/>
      <c r="H1343" s="43" t="n"/>
      <c r="I1343" s="32" t="n"/>
      <c r="J1343" s="44" t="n"/>
      <c r="K1343" s="36" t="n"/>
      <c r="L1343" s="33">
        <f>IF(C1343="","",Commercial_Id)</f>
        <v/>
      </c>
      <c r="M1343" s="34">
        <f>IF(OR(C1343="",F1343=""),"",IF(F1343&lt;&gt;"Espèces","—",IF(I1343&lt;&gt;"","☑ Oui","☐ Non")))</f>
        <v/>
      </c>
      <c r="N1343" s="39">
        <f>IF(D1343="","",IFERROR(VALUE(MID(D1343,LEN(D1343)-3,3)),""))</f>
        <v/>
      </c>
      <c r="O1343" s="33">
        <f>IF(N1343="","",L1343&amp;"|"&amp;N1343)</f>
        <v/>
      </c>
      <c r="P1343" s="33">
        <f>IF(N1343="","",IF(L1343="À RENSEIGNER","GIC",L1343)&amp;"-"&amp;TEXT(N1343,"000"))</f>
        <v/>
      </c>
      <c r="Q1343" s="33">
        <f>IF(O1343="","",IFERROR(INDEX(Cl_nom,MATCH(O1343,Cl_cle,0)),"(client introuvable)"))</f>
        <v/>
      </c>
      <c r="R1343" s="40">
        <f>IF(O1343="","",IFERROR(INDEX(Cl_reste,MATCH(O1343,Cl_cle,0)),""))</f>
        <v/>
      </c>
      <c r="S1343" s="34">
        <f>IF(C1343="","",YEAR(C1343-WEEKDAY(C1343,2)+4)&amp;"-S"&amp;TEXT(INT((C1343-DATE(YEAR(C1343-WEEKDAY(C1343,2)+4),1,3)+WEEKDAY(DATE(YEAR(C1343-WEEKDAY(C1343,2)+4),1,3),2)+5)/7),"00"))</f>
        <v/>
      </c>
    </row>
    <row r="1344" ht="18" customHeight="1">
      <c r="A1344" s="39" t="n">
        <v>1339</v>
      </c>
      <c r="B1344" s="33">
        <f>IF(C1344="","",IF(L1344="À RENSEIGNER","GIC",L1344)&amp;"-E"&amp;TEXT(A1344,"00000"))</f>
        <v/>
      </c>
      <c r="C1344" s="32" t="n"/>
      <c r="D1344" s="36" t="n"/>
      <c r="E1344" s="37" t="n"/>
      <c r="F1344" s="36" t="n"/>
      <c r="G1344" s="44" t="n"/>
      <c r="H1344" s="43" t="n"/>
      <c r="I1344" s="32" t="n"/>
      <c r="J1344" s="44" t="n"/>
      <c r="K1344" s="36" t="n"/>
      <c r="L1344" s="33">
        <f>IF(C1344="","",Commercial_Id)</f>
        <v/>
      </c>
      <c r="M1344" s="34">
        <f>IF(OR(C1344="",F1344=""),"",IF(F1344&lt;&gt;"Espèces","—",IF(I1344&lt;&gt;"","☑ Oui","☐ Non")))</f>
        <v/>
      </c>
      <c r="N1344" s="39">
        <f>IF(D1344="","",IFERROR(VALUE(MID(D1344,LEN(D1344)-3,3)),""))</f>
        <v/>
      </c>
      <c r="O1344" s="33">
        <f>IF(N1344="","",L1344&amp;"|"&amp;N1344)</f>
        <v/>
      </c>
      <c r="P1344" s="33">
        <f>IF(N1344="","",IF(L1344="À RENSEIGNER","GIC",L1344)&amp;"-"&amp;TEXT(N1344,"000"))</f>
        <v/>
      </c>
      <c r="Q1344" s="33">
        <f>IF(O1344="","",IFERROR(INDEX(Cl_nom,MATCH(O1344,Cl_cle,0)),"(client introuvable)"))</f>
        <v/>
      </c>
      <c r="R1344" s="40">
        <f>IF(O1344="","",IFERROR(INDEX(Cl_reste,MATCH(O1344,Cl_cle,0)),""))</f>
        <v/>
      </c>
      <c r="S1344" s="34">
        <f>IF(C1344="","",YEAR(C1344-WEEKDAY(C1344,2)+4)&amp;"-S"&amp;TEXT(INT((C1344-DATE(YEAR(C1344-WEEKDAY(C1344,2)+4),1,3)+WEEKDAY(DATE(YEAR(C1344-WEEKDAY(C1344,2)+4),1,3),2)+5)/7),"00"))</f>
        <v/>
      </c>
    </row>
    <row r="1345" ht="18" customHeight="1">
      <c r="A1345" s="39" t="n">
        <v>1340</v>
      </c>
      <c r="B1345" s="33">
        <f>IF(C1345="","",IF(L1345="À RENSEIGNER","GIC",L1345)&amp;"-E"&amp;TEXT(A1345,"00000"))</f>
        <v/>
      </c>
      <c r="C1345" s="32" t="n"/>
      <c r="D1345" s="36" t="n"/>
      <c r="E1345" s="37" t="n"/>
      <c r="F1345" s="36" t="n"/>
      <c r="G1345" s="44" t="n"/>
      <c r="H1345" s="43" t="n"/>
      <c r="I1345" s="32" t="n"/>
      <c r="J1345" s="44" t="n"/>
      <c r="K1345" s="36" t="n"/>
      <c r="L1345" s="33">
        <f>IF(C1345="","",Commercial_Id)</f>
        <v/>
      </c>
      <c r="M1345" s="34">
        <f>IF(OR(C1345="",F1345=""),"",IF(F1345&lt;&gt;"Espèces","—",IF(I1345&lt;&gt;"","☑ Oui","☐ Non")))</f>
        <v/>
      </c>
      <c r="N1345" s="39">
        <f>IF(D1345="","",IFERROR(VALUE(MID(D1345,LEN(D1345)-3,3)),""))</f>
        <v/>
      </c>
      <c r="O1345" s="33">
        <f>IF(N1345="","",L1345&amp;"|"&amp;N1345)</f>
        <v/>
      </c>
      <c r="P1345" s="33">
        <f>IF(N1345="","",IF(L1345="À RENSEIGNER","GIC",L1345)&amp;"-"&amp;TEXT(N1345,"000"))</f>
        <v/>
      </c>
      <c r="Q1345" s="33">
        <f>IF(O1345="","",IFERROR(INDEX(Cl_nom,MATCH(O1345,Cl_cle,0)),"(client introuvable)"))</f>
        <v/>
      </c>
      <c r="R1345" s="40">
        <f>IF(O1345="","",IFERROR(INDEX(Cl_reste,MATCH(O1345,Cl_cle,0)),""))</f>
        <v/>
      </c>
      <c r="S1345" s="34">
        <f>IF(C1345="","",YEAR(C1345-WEEKDAY(C1345,2)+4)&amp;"-S"&amp;TEXT(INT((C1345-DATE(YEAR(C1345-WEEKDAY(C1345,2)+4),1,3)+WEEKDAY(DATE(YEAR(C1345-WEEKDAY(C1345,2)+4),1,3),2)+5)/7),"00"))</f>
        <v/>
      </c>
    </row>
    <row r="1346" ht="18" customHeight="1">
      <c r="A1346" s="39" t="n">
        <v>1341</v>
      </c>
      <c r="B1346" s="33">
        <f>IF(C1346="","",IF(L1346="À RENSEIGNER","GIC",L1346)&amp;"-E"&amp;TEXT(A1346,"00000"))</f>
        <v/>
      </c>
      <c r="C1346" s="32" t="n"/>
      <c r="D1346" s="36" t="n"/>
      <c r="E1346" s="37" t="n"/>
      <c r="F1346" s="36" t="n"/>
      <c r="G1346" s="44" t="n"/>
      <c r="H1346" s="43" t="n"/>
      <c r="I1346" s="32" t="n"/>
      <c r="J1346" s="44" t="n"/>
      <c r="K1346" s="36" t="n"/>
      <c r="L1346" s="33">
        <f>IF(C1346="","",Commercial_Id)</f>
        <v/>
      </c>
      <c r="M1346" s="34">
        <f>IF(OR(C1346="",F1346=""),"",IF(F1346&lt;&gt;"Espèces","—",IF(I1346&lt;&gt;"","☑ Oui","☐ Non")))</f>
        <v/>
      </c>
      <c r="N1346" s="39">
        <f>IF(D1346="","",IFERROR(VALUE(MID(D1346,LEN(D1346)-3,3)),""))</f>
        <v/>
      </c>
      <c r="O1346" s="33">
        <f>IF(N1346="","",L1346&amp;"|"&amp;N1346)</f>
        <v/>
      </c>
      <c r="P1346" s="33">
        <f>IF(N1346="","",IF(L1346="À RENSEIGNER","GIC",L1346)&amp;"-"&amp;TEXT(N1346,"000"))</f>
        <v/>
      </c>
      <c r="Q1346" s="33">
        <f>IF(O1346="","",IFERROR(INDEX(Cl_nom,MATCH(O1346,Cl_cle,0)),"(client introuvable)"))</f>
        <v/>
      </c>
      <c r="R1346" s="40">
        <f>IF(O1346="","",IFERROR(INDEX(Cl_reste,MATCH(O1346,Cl_cle,0)),""))</f>
        <v/>
      </c>
      <c r="S1346" s="34">
        <f>IF(C1346="","",YEAR(C1346-WEEKDAY(C1346,2)+4)&amp;"-S"&amp;TEXT(INT((C1346-DATE(YEAR(C1346-WEEKDAY(C1346,2)+4),1,3)+WEEKDAY(DATE(YEAR(C1346-WEEKDAY(C1346,2)+4),1,3),2)+5)/7),"00"))</f>
        <v/>
      </c>
    </row>
    <row r="1347" ht="18" customHeight="1">
      <c r="A1347" s="39" t="n">
        <v>1342</v>
      </c>
      <c r="B1347" s="33">
        <f>IF(C1347="","",IF(L1347="À RENSEIGNER","GIC",L1347)&amp;"-E"&amp;TEXT(A1347,"00000"))</f>
        <v/>
      </c>
      <c r="C1347" s="32" t="n"/>
      <c r="D1347" s="36" t="n"/>
      <c r="E1347" s="37" t="n"/>
      <c r="F1347" s="36" t="n"/>
      <c r="G1347" s="44" t="n"/>
      <c r="H1347" s="43" t="n"/>
      <c r="I1347" s="32" t="n"/>
      <c r="J1347" s="44" t="n"/>
      <c r="K1347" s="36" t="n"/>
      <c r="L1347" s="33">
        <f>IF(C1347="","",Commercial_Id)</f>
        <v/>
      </c>
      <c r="M1347" s="34">
        <f>IF(OR(C1347="",F1347=""),"",IF(F1347&lt;&gt;"Espèces","—",IF(I1347&lt;&gt;"","☑ Oui","☐ Non")))</f>
        <v/>
      </c>
      <c r="N1347" s="39">
        <f>IF(D1347="","",IFERROR(VALUE(MID(D1347,LEN(D1347)-3,3)),""))</f>
        <v/>
      </c>
      <c r="O1347" s="33">
        <f>IF(N1347="","",L1347&amp;"|"&amp;N1347)</f>
        <v/>
      </c>
      <c r="P1347" s="33">
        <f>IF(N1347="","",IF(L1347="À RENSEIGNER","GIC",L1347)&amp;"-"&amp;TEXT(N1347,"000"))</f>
        <v/>
      </c>
      <c r="Q1347" s="33">
        <f>IF(O1347="","",IFERROR(INDEX(Cl_nom,MATCH(O1347,Cl_cle,0)),"(client introuvable)"))</f>
        <v/>
      </c>
      <c r="R1347" s="40">
        <f>IF(O1347="","",IFERROR(INDEX(Cl_reste,MATCH(O1347,Cl_cle,0)),""))</f>
        <v/>
      </c>
      <c r="S1347" s="34">
        <f>IF(C1347="","",YEAR(C1347-WEEKDAY(C1347,2)+4)&amp;"-S"&amp;TEXT(INT((C1347-DATE(YEAR(C1347-WEEKDAY(C1347,2)+4),1,3)+WEEKDAY(DATE(YEAR(C1347-WEEKDAY(C1347,2)+4),1,3),2)+5)/7),"00"))</f>
        <v/>
      </c>
    </row>
    <row r="1348" ht="18" customHeight="1">
      <c r="A1348" s="39" t="n">
        <v>1343</v>
      </c>
      <c r="B1348" s="33">
        <f>IF(C1348="","",IF(L1348="À RENSEIGNER","GIC",L1348)&amp;"-E"&amp;TEXT(A1348,"00000"))</f>
        <v/>
      </c>
      <c r="C1348" s="32" t="n"/>
      <c r="D1348" s="36" t="n"/>
      <c r="E1348" s="37" t="n"/>
      <c r="F1348" s="36" t="n"/>
      <c r="G1348" s="44" t="n"/>
      <c r="H1348" s="43" t="n"/>
      <c r="I1348" s="32" t="n"/>
      <c r="J1348" s="44" t="n"/>
      <c r="K1348" s="36" t="n"/>
      <c r="L1348" s="33">
        <f>IF(C1348="","",Commercial_Id)</f>
        <v/>
      </c>
      <c r="M1348" s="34">
        <f>IF(OR(C1348="",F1348=""),"",IF(F1348&lt;&gt;"Espèces","—",IF(I1348&lt;&gt;"","☑ Oui","☐ Non")))</f>
        <v/>
      </c>
      <c r="N1348" s="39">
        <f>IF(D1348="","",IFERROR(VALUE(MID(D1348,LEN(D1348)-3,3)),""))</f>
        <v/>
      </c>
      <c r="O1348" s="33">
        <f>IF(N1348="","",L1348&amp;"|"&amp;N1348)</f>
        <v/>
      </c>
      <c r="P1348" s="33">
        <f>IF(N1348="","",IF(L1348="À RENSEIGNER","GIC",L1348)&amp;"-"&amp;TEXT(N1348,"000"))</f>
        <v/>
      </c>
      <c r="Q1348" s="33">
        <f>IF(O1348="","",IFERROR(INDEX(Cl_nom,MATCH(O1348,Cl_cle,0)),"(client introuvable)"))</f>
        <v/>
      </c>
      <c r="R1348" s="40">
        <f>IF(O1348="","",IFERROR(INDEX(Cl_reste,MATCH(O1348,Cl_cle,0)),""))</f>
        <v/>
      </c>
      <c r="S1348" s="34">
        <f>IF(C1348="","",YEAR(C1348-WEEKDAY(C1348,2)+4)&amp;"-S"&amp;TEXT(INT((C1348-DATE(YEAR(C1348-WEEKDAY(C1348,2)+4),1,3)+WEEKDAY(DATE(YEAR(C1348-WEEKDAY(C1348,2)+4),1,3),2)+5)/7),"00"))</f>
        <v/>
      </c>
    </row>
    <row r="1349" ht="18" customHeight="1">
      <c r="A1349" s="39" t="n">
        <v>1344</v>
      </c>
      <c r="B1349" s="33">
        <f>IF(C1349="","",IF(L1349="À RENSEIGNER","GIC",L1349)&amp;"-E"&amp;TEXT(A1349,"00000"))</f>
        <v/>
      </c>
      <c r="C1349" s="32" t="n"/>
      <c r="D1349" s="36" t="n"/>
      <c r="E1349" s="37" t="n"/>
      <c r="F1349" s="36" t="n"/>
      <c r="G1349" s="44" t="n"/>
      <c r="H1349" s="43" t="n"/>
      <c r="I1349" s="32" t="n"/>
      <c r="J1349" s="44" t="n"/>
      <c r="K1349" s="36" t="n"/>
      <c r="L1349" s="33">
        <f>IF(C1349="","",Commercial_Id)</f>
        <v/>
      </c>
      <c r="M1349" s="34">
        <f>IF(OR(C1349="",F1349=""),"",IF(F1349&lt;&gt;"Espèces","—",IF(I1349&lt;&gt;"","☑ Oui","☐ Non")))</f>
        <v/>
      </c>
      <c r="N1349" s="39">
        <f>IF(D1349="","",IFERROR(VALUE(MID(D1349,LEN(D1349)-3,3)),""))</f>
        <v/>
      </c>
      <c r="O1349" s="33">
        <f>IF(N1349="","",L1349&amp;"|"&amp;N1349)</f>
        <v/>
      </c>
      <c r="P1349" s="33">
        <f>IF(N1349="","",IF(L1349="À RENSEIGNER","GIC",L1349)&amp;"-"&amp;TEXT(N1349,"000"))</f>
        <v/>
      </c>
      <c r="Q1349" s="33">
        <f>IF(O1349="","",IFERROR(INDEX(Cl_nom,MATCH(O1349,Cl_cle,0)),"(client introuvable)"))</f>
        <v/>
      </c>
      <c r="R1349" s="40">
        <f>IF(O1349="","",IFERROR(INDEX(Cl_reste,MATCH(O1349,Cl_cle,0)),""))</f>
        <v/>
      </c>
      <c r="S1349" s="34">
        <f>IF(C1349="","",YEAR(C1349-WEEKDAY(C1349,2)+4)&amp;"-S"&amp;TEXT(INT((C1349-DATE(YEAR(C1349-WEEKDAY(C1349,2)+4),1,3)+WEEKDAY(DATE(YEAR(C1349-WEEKDAY(C1349,2)+4),1,3),2)+5)/7),"00"))</f>
        <v/>
      </c>
    </row>
    <row r="1350" ht="18" customHeight="1">
      <c r="A1350" s="39" t="n">
        <v>1345</v>
      </c>
      <c r="B1350" s="33">
        <f>IF(C1350="","",IF(L1350="À RENSEIGNER","GIC",L1350)&amp;"-E"&amp;TEXT(A1350,"00000"))</f>
        <v/>
      </c>
      <c r="C1350" s="32" t="n"/>
      <c r="D1350" s="36" t="n"/>
      <c r="E1350" s="37" t="n"/>
      <c r="F1350" s="36" t="n"/>
      <c r="G1350" s="44" t="n"/>
      <c r="H1350" s="43" t="n"/>
      <c r="I1350" s="32" t="n"/>
      <c r="J1350" s="44" t="n"/>
      <c r="K1350" s="36" t="n"/>
      <c r="L1350" s="33">
        <f>IF(C1350="","",Commercial_Id)</f>
        <v/>
      </c>
      <c r="M1350" s="34">
        <f>IF(OR(C1350="",F1350=""),"",IF(F1350&lt;&gt;"Espèces","—",IF(I1350&lt;&gt;"","☑ Oui","☐ Non")))</f>
        <v/>
      </c>
      <c r="N1350" s="39">
        <f>IF(D1350="","",IFERROR(VALUE(MID(D1350,LEN(D1350)-3,3)),""))</f>
        <v/>
      </c>
      <c r="O1350" s="33">
        <f>IF(N1350="","",L1350&amp;"|"&amp;N1350)</f>
        <v/>
      </c>
      <c r="P1350" s="33">
        <f>IF(N1350="","",IF(L1350="À RENSEIGNER","GIC",L1350)&amp;"-"&amp;TEXT(N1350,"000"))</f>
        <v/>
      </c>
      <c r="Q1350" s="33">
        <f>IF(O1350="","",IFERROR(INDEX(Cl_nom,MATCH(O1350,Cl_cle,0)),"(client introuvable)"))</f>
        <v/>
      </c>
      <c r="R1350" s="40">
        <f>IF(O1350="","",IFERROR(INDEX(Cl_reste,MATCH(O1350,Cl_cle,0)),""))</f>
        <v/>
      </c>
      <c r="S1350" s="34">
        <f>IF(C1350="","",YEAR(C1350-WEEKDAY(C1350,2)+4)&amp;"-S"&amp;TEXT(INT((C1350-DATE(YEAR(C1350-WEEKDAY(C1350,2)+4),1,3)+WEEKDAY(DATE(YEAR(C1350-WEEKDAY(C1350,2)+4),1,3),2)+5)/7),"00"))</f>
        <v/>
      </c>
    </row>
    <row r="1351" ht="18" customHeight="1">
      <c r="A1351" s="39" t="n">
        <v>1346</v>
      </c>
      <c r="B1351" s="33">
        <f>IF(C1351="","",IF(L1351="À RENSEIGNER","GIC",L1351)&amp;"-E"&amp;TEXT(A1351,"00000"))</f>
        <v/>
      </c>
      <c r="C1351" s="32" t="n"/>
      <c r="D1351" s="36" t="n"/>
      <c r="E1351" s="37" t="n"/>
      <c r="F1351" s="36" t="n"/>
      <c r="G1351" s="44" t="n"/>
      <c r="H1351" s="43" t="n"/>
      <c r="I1351" s="32" t="n"/>
      <c r="J1351" s="44" t="n"/>
      <c r="K1351" s="36" t="n"/>
      <c r="L1351" s="33">
        <f>IF(C1351="","",Commercial_Id)</f>
        <v/>
      </c>
      <c r="M1351" s="34">
        <f>IF(OR(C1351="",F1351=""),"",IF(F1351&lt;&gt;"Espèces","—",IF(I1351&lt;&gt;"","☑ Oui","☐ Non")))</f>
        <v/>
      </c>
      <c r="N1351" s="39">
        <f>IF(D1351="","",IFERROR(VALUE(MID(D1351,LEN(D1351)-3,3)),""))</f>
        <v/>
      </c>
      <c r="O1351" s="33">
        <f>IF(N1351="","",L1351&amp;"|"&amp;N1351)</f>
        <v/>
      </c>
      <c r="P1351" s="33">
        <f>IF(N1351="","",IF(L1351="À RENSEIGNER","GIC",L1351)&amp;"-"&amp;TEXT(N1351,"000"))</f>
        <v/>
      </c>
      <c r="Q1351" s="33">
        <f>IF(O1351="","",IFERROR(INDEX(Cl_nom,MATCH(O1351,Cl_cle,0)),"(client introuvable)"))</f>
        <v/>
      </c>
      <c r="R1351" s="40">
        <f>IF(O1351="","",IFERROR(INDEX(Cl_reste,MATCH(O1351,Cl_cle,0)),""))</f>
        <v/>
      </c>
      <c r="S1351" s="34">
        <f>IF(C1351="","",YEAR(C1351-WEEKDAY(C1351,2)+4)&amp;"-S"&amp;TEXT(INT((C1351-DATE(YEAR(C1351-WEEKDAY(C1351,2)+4),1,3)+WEEKDAY(DATE(YEAR(C1351-WEEKDAY(C1351,2)+4),1,3),2)+5)/7),"00"))</f>
        <v/>
      </c>
    </row>
    <row r="1352" ht="18" customHeight="1">
      <c r="A1352" s="39" t="n">
        <v>1347</v>
      </c>
      <c r="B1352" s="33">
        <f>IF(C1352="","",IF(L1352="À RENSEIGNER","GIC",L1352)&amp;"-E"&amp;TEXT(A1352,"00000"))</f>
        <v/>
      </c>
      <c r="C1352" s="32" t="n"/>
      <c r="D1352" s="36" t="n"/>
      <c r="E1352" s="37" t="n"/>
      <c r="F1352" s="36" t="n"/>
      <c r="G1352" s="44" t="n"/>
      <c r="H1352" s="43" t="n"/>
      <c r="I1352" s="32" t="n"/>
      <c r="J1352" s="44" t="n"/>
      <c r="K1352" s="36" t="n"/>
      <c r="L1352" s="33">
        <f>IF(C1352="","",Commercial_Id)</f>
        <v/>
      </c>
      <c r="M1352" s="34">
        <f>IF(OR(C1352="",F1352=""),"",IF(F1352&lt;&gt;"Espèces","—",IF(I1352&lt;&gt;"","☑ Oui","☐ Non")))</f>
        <v/>
      </c>
      <c r="N1352" s="39">
        <f>IF(D1352="","",IFERROR(VALUE(MID(D1352,LEN(D1352)-3,3)),""))</f>
        <v/>
      </c>
      <c r="O1352" s="33">
        <f>IF(N1352="","",L1352&amp;"|"&amp;N1352)</f>
        <v/>
      </c>
      <c r="P1352" s="33">
        <f>IF(N1352="","",IF(L1352="À RENSEIGNER","GIC",L1352)&amp;"-"&amp;TEXT(N1352,"000"))</f>
        <v/>
      </c>
      <c r="Q1352" s="33">
        <f>IF(O1352="","",IFERROR(INDEX(Cl_nom,MATCH(O1352,Cl_cle,0)),"(client introuvable)"))</f>
        <v/>
      </c>
      <c r="R1352" s="40">
        <f>IF(O1352="","",IFERROR(INDEX(Cl_reste,MATCH(O1352,Cl_cle,0)),""))</f>
        <v/>
      </c>
      <c r="S1352" s="34">
        <f>IF(C1352="","",YEAR(C1352-WEEKDAY(C1352,2)+4)&amp;"-S"&amp;TEXT(INT((C1352-DATE(YEAR(C1352-WEEKDAY(C1352,2)+4),1,3)+WEEKDAY(DATE(YEAR(C1352-WEEKDAY(C1352,2)+4),1,3),2)+5)/7),"00"))</f>
        <v/>
      </c>
    </row>
    <row r="1353" ht="18" customHeight="1">
      <c r="A1353" s="39" t="n">
        <v>1348</v>
      </c>
      <c r="B1353" s="33">
        <f>IF(C1353="","",IF(L1353="À RENSEIGNER","GIC",L1353)&amp;"-E"&amp;TEXT(A1353,"00000"))</f>
        <v/>
      </c>
      <c r="C1353" s="32" t="n"/>
      <c r="D1353" s="36" t="n"/>
      <c r="E1353" s="37" t="n"/>
      <c r="F1353" s="36" t="n"/>
      <c r="G1353" s="44" t="n"/>
      <c r="H1353" s="43" t="n"/>
      <c r="I1353" s="32" t="n"/>
      <c r="J1353" s="44" t="n"/>
      <c r="K1353" s="36" t="n"/>
      <c r="L1353" s="33">
        <f>IF(C1353="","",Commercial_Id)</f>
        <v/>
      </c>
      <c r="M1353" s="34">
        <f>IF(OR(C1353="",F1353=""),"",IF(F1353&lt;&gt;"Espèces","—",IF(I1353&lt;&gt;"","☑ Oui","☐ Non")))</f>
        <v/>
      </c>
      <c r="N1353" s="39">
        <f>IF(D1353="","",IFERROR(VALUE(MID(D1353,LEN(D1353)-3,3)),""))</f>
        <v/>
      </c>
      <c r="O1353" s="33">
        <f>IF(N1353="","",L1353&amp;"|"&amp;N1353)</f>
        <v/>
      </c>
      <c r="P1353" s="33">
        <f>IF(N1353="","",IF(L1353="À RENSEIGNER","GIC",L1353)&amp;"-"&amp;TEXT(N1353,"000"))</f>
        <v/>
      </c>
      <c r="Q1353" s="33">
        <f>IF(O1353="","",IFERROR(INDEX(Cl_nom,MATCH(O1353,Cl_cle,0)),"(client introuvable)"))</f>
        <v/>
      </c>
      <c r="R1353" s="40">
        <f>IF(O1353="","",IFERROR(INDEX(Cl_reste,MATCH(O1353,Cl_cle,0)),""))</f>
        <v/>
      </c>
      <c r="S1353" s="34">
        <f>IF(C1353="","",YEAR(C1353-WEEKDAY(C1353,2)+4)&amp;"-S"&amp;TEXT(INT((C1353-DATE(YEAR(C1353-WEEKDAY(C1353,2)+4),1,3)+WEEKDAY(DATE(YEAR(C1353-WEEKDAY(C1353,2)+4),1,3),2)+5)/7),"00"))</f>
        <v/>
      </c>
    </row>
    <row r="1354" ht="18" customHeight="1">
      <c r="A1354" s="39" t="n">
        <v>1349</v>
      </c>
      <c r="B1354" s="33">
        <f>IF(C1354="","",IF(L1354="À RENSEIGNER","GIC",L1354)&amp;"-E"&amp;TEXT(A1354,"00000"))</f>
        <v/>
      </c>
      <c r="C1354" s="32" t="n"/>
      <c r="D1354" s="36" t="n"/>
      <c r="E1354" s="37" t="n"/>
      <c r="F1354" s="36" t="n"/>
      <c r="G1354" s="44" t="n"/>
      <c r="H1354" s="43" t="n"/>
      <c r="I1354" s="32" t="n"/>
      <c r="J1354" s="44" t="n"/>
      <c r="K1354" s="36" t="n"/>
      <c r="L1354" s="33">
        <f>IF(C1354="","",Commercial_Id)</f>
        <v/>
      </c>
      <c r="M1354" s="34">
        <f>IF(OR(C1354="",F1354=""),"",IF(F1354&lt;&gt;"Espèces","—",IF(I1354&lt;&gt;"","☑ Oui","☐ Non")))</f>
        <v/>
      </c>
      <c r="N1354" s="39">
        <f>IF(D1354="","",IFERROR(VALUE(MID(D1354,LEN(D1354)-3,3)),""))</f>
        <v/>
      </c>
      <c r="O1354" s="33">
        <f>IF(N1354="","",L1354&amp;"|"&amp;N1354)</f>
        <v/>
      </c>
      <c r="P1354" s="33">
        <f>IF(N1354="","",IF(L1354="À RENSEIGNER","GIC",L1354)&amp;"-"&amp;TEXT(N1354,"000"))</f>
        <v/>
      </c>
      <c r="Q1354" s="33">
        <f>IF(O1354="","",IFERROR(INDEX(Cl_nom,MATCH(O1354,Cl_cle,0)),"(client introuvable)"))</f>
        <v/>
      </c>
      <c r="R1354" s="40">
        <f>IF(O1354="","",IFERROR(INDEX(Cl_reste,MATCH(O1354,Cl_cle,0)),""))</f>
        <v/>
      </c>
      <c r="S1354" s="34">
        <f>IF(C1354="","",YEAR(C1354-WEEKDAY(C1354,2)+4)&amp;"-S"&amp;TEXT(INT((C1354-DATE(YEAR(C1354-WEEKDAY(C1354,2)+4),1,3)+WEEKDAY(DATE(YEAR(C1354-WEEKDAY(C1354,2)+4),1,3),2)+5)/7),"00"))</f>
        <v/>
      </c>
    </row>
    <row r="1355" ht="18" customHeight="1">
      <c r="A1355" s="39" t="n">
        <v>1350</v>
      </c>
      <c r="B1355" s="33">
        <f>IF(C1355="","",IF(L1355="À RENSEIGNER","GIC",L1355)&amp;"-E"&amp;TEXT(A1355,"00000"))</f>
        <v/>
      </c>
      <c r="C1355" s="32" t="n"/>
      <c r="D1355" s="36" t="n"/>
      <c r="E1355" s="37" t="n"/>
      <c r="F1355" s="36" t="n"/>
      <c r="G1355" s="44" t="n"/>
      <c r="H1355" s="43" t="n"/>
      <c r="I1355" s="32" t="n"/>
      <c r="J1355" s="44" t="n"/>
      <c r="K1355" s="36" t="n"/>
      <c r="L1355" s="33">
        <f>IF(C1355="","",Commercial_Id)</f>
        <v/>
      </c>
      <c r="M1355" s="34">
        <f>IF(OR(C1355="",F1355=""),"",IF(F1355&lt;&gt;"Espèces","—",IF(I1355&lt;&gt;"","☑ Oui","☐ Non")))</f>
        <v/>
      </c>
      <c r="N1355" s="39">
        <f>IF(D1355="","",IFERROR(VALUE(MID(D1355,LEN(D1355)-3,3)),""))</f>
        <v/>
      </c>
      <c r="O1355" s="33">
        <f>IF(N1355="","",L1355&amp;"|"&amp;N1355)</f>
        <v/>
      </c>
      <c r="P1355" s="33">
        <f>IF(N1355="","",IF(L1355="À RENSEIGNER","GIC",L1355)&amp;"-"&amp;TEXT(N1355,"000"))</f>
        <v/>
      </c>
      <c r="Q1355" s="33">
        <f>IF(O1355="","",IFERROR(INDEX(Cl_nom,MATCH(O1355,Cl_cle,0)),"(client introuvable)"))</f>
        <v/>
      </c>
      <c r="R1355" s="40">
        <f>IF(O1355="","",IFERROR(INDEX(Cl_reste,MATCH(O1355,Cl_cle,0)),""))</f>
        <v/>
      </c>
      <c r="S1355" s="34">
        <f>IF(C1355="","",YEAR(C1355-WEEKDAY(C1355,2)+4)&amp;"-S"&amp;TEXT(INT((C1355-DATE(YEAR(C1355-WEEKDAY(C1355,2)+4),1,3)+WEEKDAY(DATE(YEAR(C1355-WEEKDAY(C1355,2)+4),1,3),2)+5)/7),"00"))</f>
        <v/>
      </c>
    </row>
    <row r="1356" ht="18" customHeight="1">
      <c r="A1356" s="39" t="n">
        <v>1351</v>
      </c>
      <c r="B1356" s="33">
        <f>IF(C1356="","",IF(L1356="À RENSEIGNER","GIC",L1356)&amp;"-E"&amp;TEXT(A1356,"00000"))</f>
        <v/>
      </c>
      <c r="C1356" s="32" t="n"/>
      <c r="D1356" s="36" t="n"/>
      <c r="E1356" s="37" t="n"/>
      <c r="F1356" s="36" t="n"/>
      <c r="G1356" s="44" t="n"/>
      <c r="H1356" s="43" t="n"/>
      <c r="I1356" s="32" t="n"/>
      <c r="J1356" s="44" t="n"/>
      <c r="K1356" s="36" t="n"/>
      <c r="L1356" s="33">
        <f>IF(C1356="","",Commercial_Id)</f>
        <v/>
      </c>
      <c r="M1356" s="34">
        <f>IF(OR(C1356="",F1356=""),"",IF(F1356&lt;&gt;"Espèces","—",IF(I1356&lt;&gt;"","☑ Oui","☐ Non")))</f>
        <v/>
      </c>
      <c r="N1356" s="39">
        <f>IF(D1356="","",IFERROR(VALUE(MID(D1356,LEN(D1356)-3,3)),""))</f>
        <v/>
      </c>
      <c r="O1356" s="33">
        <f>IF(N1356="","",L1356&amp;"|"&amp;N1356)</f>
        <v/>
      </c>
      <c r="P1356" s="33">
        <f>IF(N1356="","",IF(L1356="À RENSEIGNER","GIC",L1356)&amp;"-"&amp;TEXT(N1356,"000"))</f>
        <v/>
      </c>
      <c r="Q1356" s="33">
        <f>IF(O1356="","",IFERROR(INDEX(Cl_nom,MATCH(O1356,Cl_cle,0)),"(client introuvable)"))</f>
        <v/>
      </c>
      <c r="R1356" s="40">
        <f>IF(O1356="","",IFERROR(INDEX(Cl_reste,MATCH(O1356,Cl_cle,0)),""))</f>
        <v/>
      </c>
      <c r="S1356" s="34">
        <f>IF(C1356="","",YEAR(C1356-WEEKDAY(C1356,2)+4)&amp;"-S"&amp;TEXT(INT((C1356-DATE(YEAR(C1356-WEEKDAY(C1356,2)+4),1,3)+WEEKDAY(DATE(YEAR(C1356-WEEKDAY(C1356,2)+4),1,3),2)+5)/7),"00"))</f>
        <v/>
      </c>
    </row>
    <row r="1357" ht="18" customHeight="1">
      <c r="A1357" s="39" t="n">
        <v>1352</v>
      </c>
      <c r="B1357" s="33">
        <f>IF(C1357="","",IF(L1357="À RENSEIGNER","GIC",L1357)&amp;"-E"&amp;TEXT(A1357,"00000"))</f>
        <v/>
      </c>
      <c r="C1357" s="32" t="n"/>
      <c r="D1357" s="36" t="n"/>
      <c r="E1357" s="37" t="n"/>
      <c r="F1357" s="36" t="n"/>
      <c r="G1357" s="44" t="n"/>
      <c r="H1357" s="43" t="n"/>
      <c r="I1357" s="32" t="n"/>
      <c r="J1357" s="44" t="n"/>
      <c r="K1357" s="36" t="n"/>
      <c r="L1357" s="33">
        <f>IF(C1357="","",Commercial_Id)</f>
        <v/>
      </c>
      <c r="M1357" s="34">
        <f>IF(OR(C1357="",F1357=""),"",IF(F1357&lt;&gt;"Espèces","—",IF(I1357&lt;&gt;"","☑ Oui","☐ Non")))</f>
        <v/>
      </c>
      <c r="N1357" s="39">
        <f>IF(D1357="","",IFERROR(VALUE(MID(D1357,LEN(D1357)-3,3)),""))</f>
        <v/>
      </c>
      <c r="O1357" s="33">
        <f>IF(N1357="","",L1357&amp;"|"&amp;N1357)</f>
        <v/>
      </c>
      <c r="P1357" s="33">
        <f>IF(N1357="","",IF(L1357="À RENSEIGNER","GIC",L1357)&amp;"-"&amp;TEXT(N1357,"000"))</f>
        <v/>
      </c>
      <c r="Q1357" s="33">
        <f>IF(O1357="","",IFERROR(INDEX(Cl_nom,MATCH(O1357,Cl_cle,0)),"(client introuvable)"))</f>
        <v/>
      </c>
      <c r="R1357" s="40">
        <f>IF(O1357="","",IFERROR(INDEX(Cl_reste,MATCH(O1357,Cl_cle,0)),""))</f>
        <v/>
      </c>
      <c r="S1357" s="34">
        <f>IF(C1357="","",YEAR(C1357-WEEKDAY(C1357,2)+4)&amp;"-S"&amp;TEXT(INT((C1357-DATE(YEAR(C1357-WEEKDAY(C1357,2)+4),1,3)+WEEKDAY(DATE(YEAR(C1357-WEEKDAY(C1357,2)+4),1,3),2)+5)/7),"00"))</f>
        <v/>
      </c>
    </row>
    <row r="1358" ht="18" customHeight="1">
      <c r="A1358" s="39" t="n">
        <v>1353</v>
      </c>
      <c r="B1358" s="33">
        <f>IF(C1358="","",IF(L1358="À RENSEIGNER","GIC",L1358)&amp;"-E"&amp;TEXT(A1358,"00000"))</f>
        <v/>
      </c>
      <c r="C1358" s="32" t="n"/>
      <c r="D1358" s="36" t="n"/>
      <c r="E1358" s="37" t="n"/>
      <c r="F1358" s="36" t="n"/>
      <c r="G1358" s="44" t="n"/>
      <c r="H1358" s="43" t="n"/>
      <c r="I1358" s="32" t="n"/>
      <c r="J1358" s="44" t="n"/>
      <c r="K1358" s="36" t="n"/>
      <c r="L1358" s="33">
        <f>IF(C1358="","",Commercial_Id)</f>
        <v/>
      </c>
      <c r="M1358" s="34">
        <f>IF(OR(C1358="",F1358=""),"",IF(F1358&lt;&gt;"Espèces","—",IF(I1358&lt;&gt;"","☑ Oui","☐ Non")))</f>
        <v/>
      </c>
      <c r="N1358" s="39">
        <f>IF(D1358="","",IFERROR(VALUE(MID(D1358,LEN(D1358)-3,3)),""))</f>
        <v/>
      </c>
      <c r="O1358" s="33">
        <f>IF(N1358="","",L1358&amp;"|"&amp;N1358)</f>
        <v/>
      </c>
      <c r="P1358" s="33">
        <f>IF(N1358="","",IF(L1358="À RENSEIGNER","GIC",L1358)&amp;"-"&amp;TEXT(N1358,"000"))</f>
        <v/>
      </c>
      <c r="Q1358" s="33">
        <f>IF(O1358="","",IFERROR(INDEX(Cl_nom,MATCH(O1358,Cl_cle,0)),"(client introuvable)"))</f>
        <v/>
      </c>
      <c r="R1358" s="40">
        <f>IF(O1358="","",IFERROR(INDEX(Cl_reste,MATCH(O1358,Cl_cle,0)),""))</f>
        <v/>
      </c>
      <c r="S1358" s="34">
        <f>IF(C1358="","",YEAR(C1358-WEEKDAY(C1358,2)+4)&amp;"-S"&amp;TEXT(INT((C1358-DATE(YEAR(C1358-WEEKDAY(C1358,2)+4),1,3)+WEEKDAY(DATE(YEAR(C1358-WEEKDAY(C1358,2)+4),1,3),2)+5)/7),"00"))</f>
        <v/>
      </c>
    </row>
    <row r="1359" ht="18" customHeight="1">
      <c r="A1359" s="39" t="n">
        <v>1354</v>
      </c>
      <c r="B1359" s="33">
        <f>IF(C1359="","",IF(L1359="À RENSEIGNER","GIC",L1359)&amp;"-E"&amp;TEXT(A1359,"00000"))</f>
        <v/>
      </c>
      <c r="C1359" s="32" t="n"/>
      <c r="D1359" s="36" t="n"/>
      <c r="E1359" s="37" t="n"/>
      <c r="F1359" s="36" t="n"/>
      <c r="G1359" s="44" t="n"/>
      <c r="H1359" s="43" t="n"/>
      <c r="I1359" s="32" t="n"/>
      <c r="J1359" s="44" t="n"/>
      <c r="K1359" s="36" t="n"/>
      <c r="L1359" s="33">
        <f>IF(C1359="","",Commercial_Id)</f>
        <v/>
      </c>
      <c r="M1359" s="34">
        <f>IF(OR(C1359="",F1359=""),"",IF(F1359&lt;&gt;"Espèces","—",IF(I1359&lt;&gt;"","☑ Oui","☐ Non")))</f>
        <v/>
      </c>
      <c r="N1359" s="39">
        <f>IF(D1359="","",IFERROR(VALUE(MID(D1359,LEN(D1359)-3,3)),""))</f>
        <v/>
      </c>
      <c r="O1359" s="33">
        <f>IF(N1359="","",L1359&amp;"|"&amp;N1359)</f>
        <v/>
      </c>
      <c r="P1359" s="33">
        <f>IF(N1359="","",IF(L1359="À RENSEIGNER","GIC",L1359)&amp;"-"&amp;TEXT(N1359,"000"))</f>
        <v/>
      </c>
      <c r="Q1359" s="33">
        <f>IF(O1359="","",IFERROR(INDEX(Cl_nom,MATCH(O1359,Cl_cle,0)),"(client introuvable)"))</f>
        <v/>
      </c>
      <c r="R1359" s="40">
        <f>IF(O1359="","",IFERROR(INDEX(Cl_reste,MATCH(O1359,Cl_cle,0)),""))</f>
        <v/>
      </c>
      <c r="S1359" s="34">
        <f>IF(C1359="","",YEAR(C1359-WEEKDAY(C1359,2)+4)&amp;"-S"&amp;TEXT(INT((C1359-DATE(YEAR(C1359-WEEKDAY(C1359,2)+4),1,3)+WEEKDAY(DATE(YEAR(C1359-WEEKDAY(C1359,2)+4),1,3),2)+5)/7),"00"))</f>
        <v/>
      </c>
    </row>
    <row r="1360" ht="18" customHeight="1">
      <c r="A1360" s="39" t="n">
        <v>1355</v>
      </c>
      <c r="B1360" s="33">
        <f>IF(C1360="","",IF(L1360="À RENSEIGNER","GIC",L1360)&amp;"-E"&amp;TEXT(A1360,"00000"))</f>
        <v/>
      </c>
      <c r="C1360" s="32" t="n"/>
      <c r="D1360" s="36" t="n"/>
      <c r="E1360" s="37" t="n"/>
      <c r="F1360" s="36" t="n"/>
      <c r="G1360" s="44" t="n"/>
      <c r="H1360" s="43" t="n"/>
      <c r="I1360" s="32" t="n"/>
      <c r="J1360" s="44" t="n"/>
      <c r="K1360" s="36" t="n"/>
      <c r="L1360" s="33">
        <f>IF(C1360="","",Commercial_Id)</f>
        <v/>
      </c>
      <c r="M1360" s="34">
        <f>IF(OR(C1360="",F1360=""),"",IF(F1360&lt;&gt;"Espèces","—",IF(I1360&lt;&gt;"","☑ Oui","☐ Non")))</f>
        <v/>
      </c>
      <c r="N1360" s="39">
        <f>IF(D1360="","",IFERROR(VALUE(MID(D1360,LEN(D1360)-3,3)),""))</f>
        <v/>
      </c>
      <c r="O1360" s="33">
        <f>IF(N1360="","",L1360&amp;"|"&amp;N1360)</f>
        <v/>
      </c>
      <c r="P1360" s="33">
        <f>IF(N1360="","",IF(L1360="À RENSEIGNER","GIC",L1360)&amp;"-"&amp;TEXT(N1360,"000"))</f>
        <v/>
      </c>
      <c r="Q1360" s="33">
        <f>IF(O1360="","",IFERROR(INDEX(Cl_nom,MATCH(O1360,Cl_cle,0)),"(client introuvable)"))</f>
        <v/>
      </c>
      <c r="R1360" s="40">
        <f>IF(O1360="","",IFERROR(INDEX(Cl_reste,MATCH(O1360,Cl_cle,0)),""))</f>
        <v/>
      </c>
      <c r="S1360" s="34">
        <f>IF(C1360="","",YEAR(C1360-WEEKDAY(C1360,2)+4)&amp;"-S"&amp;TEXT(INT((C1360-DATE(YEAR(C1360-WEEKDAY(C1360,2)+4),1,3)+WEEKDAY(DATE(YEAR(C1360-WEEKDAY(C1360,2)+4),1,3),2)+5)/7),"00"))</f>
        <v/>
      </c>
    </row>
    <row r="1361" ht="18" customHeight="1">
      <c r="A1361" s="39" t="n">
        <v>1356</v>
      </c>
      <c r="B1361" s="33">
        <f>IF(C1361="","",IF(L1361="À RENSEIGNER","GIC",L1361)&amp;"-E"&amp;TEXT(A1361,"00000"))</f>
        <v/>
      </c>
      <c r="C1361" s="32" t="n"/>
      <c r="D1361" s="36" t="n"/>
      <c r="E1361" s="37" t="n"/>
      <c r="F1361" s="36" t="n"/>
      <c r="G1361" s="44" t="n"/>
      <c r="H1361" s="43" t="n"/>
      <c r="I1361" s="32" t="n"/>
      <c r="J1361" s="44" t="n"/>
      <c r="K1361" s="36" t="n"/>
      <c r="L1361" s="33">
        <f>IF(C1361="","",Commercial_Id)</f>
        <v/>
      </c>
      <c r="M1361" s="34">
        <f>IF(OR(C1361="",F1361=""),"",IF(F1361&lt;&gt;"Espèces","—",IF(I1361&lt;&gt;"","☑ Oui","☐ Non")))</f>
        <v/>
      </c>
      <c r="N1361" s="39">
        <f>IF(D1361="","",IFERROR(VALUE(MID(D1361,LEN(D1361)-3,3)),""))</f>
        <v/>
      </c>
      <c r="O1361" s="33">
        <f>IF(N1361="","",L1361&amp;"|"&amp;N1361)</f>
        <v/>
      </c>
      <c r="P1361" s="33">
        <f>IF(N1361="","",IF(L1361="À RENSEIGNER","GIC",L1361)&amp;"-"&amp;TEXT(N1361,"000"))</f>
        <v/>
      </c>
      <c r="Q1361" s="33">
        <f>IF(O1361="","",IFERROR(INDEX(Cl_nom,MATCH(O1361,Cl_cle,0)),"(client introuvable)"))</f>
        <v/>
      </c>
      <c r="R1361" s="40">
        <f>IF(O1361="","",IFERROR(INDEX(Cl_reste,MATCH(O1361,Cl_cle,0)),""))</f>
        <v/>
      </c>
      <c r="S1361" s="34">
        <f>IF(C1361="","",YEAR(C1361-WEEKDAY(C1361,2)+4)&amp;"-S"&amp;TEXT(INT((C1361-DATE(YEAR(C1361-WEEKDAY(C1361,2)+4),1,3)+WEEKDAY(DATE(YEAR(C1361-WEEKDAY(C1361,2)+4),1,3),2)+5)/7),"00"))</f>
        <v/>
      </c>
    </row>
    <row r="1362" ht="18" customHeight="1">
      <c r="A1362" s="39" t="n">
        <v>1357</v>
      </c>
      <c r="B1362" s="33">
        <f>IF(C1362="","",IF(L1362="À RENSEIGNER","GIC",L1362)&amp;"-E"&amp;TEXT(A1362,"00000"))</f>
        <v/>
      </c>
      <c r="C1362" s="32" t="n"/>
      <c r="D1362" s="36" t="n"/>
      <c r="E1362" s="37" t="n"/>
      <c r="F1362" s="36" t="n"/>
      <c r="G1362" s="44" t="n"/>
      <c r="H1362" s="43" t="n"/>
      <c r="I1362" s="32" t="n"/>
      <c r="J1362" s="44" t="n"/>
      <c r="K1362" s="36" t="n"/>
      <c r="L1362" s="33">
        <f>IF(C1362="","",Commercial_Id)</f>
        <v/>
      </c>
      <c r="M1362" s="34">
        <f>IF(OR(C1362="",F1362=""),"",IF(F1362&lt;&gt;"Espèces","—",IF(I1362&lt;&gt;"","☑ Oui","☐ Non")))</f>
        <v/>
      </c>
      <c r="N1362" s="39">
        <f>IF(D1362="","",IFERROR(VALUE(MID(D1362,LEN(D1362)-3,3)),""))</f>
        <v/>
      </c>
      <c r="O1362" s="33">
        <f>IF(N1362="","",L1362&amp;"|"&amp;N1362)</f>
        <v/>
      </c>
      <c r="P1362" s="33">
        <f>IF(N1362="","",IF(L1362="À RENSEIGNER","GIC",L1362)&amp;"-"&amp;TEXT(N1362,"000"))</f>
        <v/>
      </c>
      <c r="Q1362" s="33">
        <f>IF(O1362="","",IFERROR(INDEX(Cl_nom,MATCH(O1362,Cl_cle,0)),"(client introuvable)"))</f>
        <v/>
      </c>
      <c r="R1362" s="40">
        <f>IF(O1362="","",IFERROR(INDEX(Cl_reste,MATCH(O1362,Cl_cle,0)),""))</f>
        <v/>
      </c>
      <c r="S1362" s="34">
        <f>IF(C1362="","",YEAR(C1362-WEEKDAY(C1362,2)+4)&amp;"-S"&amp;TEXT(INT((C1362-DATE(YEAR(C1362-WEEKDAY(C1362,2)+4),1,3)+WEEKDAY(DATE(YEAR(C1362-WEEKDAY(C1362,2)+4),1,3),2)+5)/7),"00"))</f>
        <v/>
      </c>
    </row>
    <row r="1363" ht="18" customHeight="1">
      <c r="A1363" s="39" t="n">
        <v>1358</v>
      </c>
      <c r="B1363" s="33">
        <f>IF(C1363="","",IF(L1363="À RENSEIGNER","GIC",L1363)&amp;"-E"&amp;TEXT(A1363,"00000"))</f>
        <v/>
      </c>
      <c r="C1363" s="32" t="n"/>
      <c r="D1363" s="36" t="n"/>
      <c r="E1363" s="37" t="n"/>
      <c r="F1363" s="36" t="n"/>
      <c r="G1363" s="44" t="n"/>
      <c r="H1363" s="43" t="n"/>
      <c r="I1363" s="32" t="n"/>
      <c r="J1363" s="44" t="n"/>
      <c r="K1363" s="36" t="n"/>
      <c r="L1363" s="33">
        <f>IF(C1363="","",Commercial_Id)</f>
        <v/>
      </c>
      <c r="M1363" s="34">
        <f>IF(OR(C1363="",F1363=""),"",IF(F1363&lt;&gt;"Espèces","—",IF(I1363&lt;&gt;"","☑ Oui","☐ Non")))</f>
        <v/>
      </c>
      <c r="N1363" s="39">
        <f>IF(D1363="","",IFERROR(VALUE(MID(D1363,LEN(D1363)-3,3)),""))</f>
        <v/>
      </c>
      <c r="O1363" s="33">
        <f>IF(N1363="","",L1363&amp;"|"&amp;N1363)</f>
        <v/>
      </c>
      <c r="P1363" s="33">
        <f>IF(N1363="","",IF(L1363="À RENSEIGNER","GIC",L1363)&amp;"-"&amp;TEXT(N1363,"000"))</f>
        <v/>
      </c>
      <c r="Q1363" s="33">
        <f>IF(O1363="","",IFERROR(INDEX(Cl_nom,MATCH(O1363,Cl_cle,0)),"(client introuvable)"))</f>
        <v/>
      </c>
      <c r="R1363" s="40">
        <f>IF(O1363="","",IFERROR(INDEX(Cl_reste,MATCH(O1363,Cl_cle,0)),""))</f>
        <v/>
      </c>
      <c r="S1363" s="34">
        <f>IF(C1363="","",YEAR(C1363-WEEKDAY(C1363,2)+4)&amp;"-S"&amp;TEXT(INT((C1363-DATE(YEAR(C1363-WEEKDAY(C1363,2)+4),1,3)+WEEKDAY(DATE(YEAR(C1363-WEEKDAY(C1363,2)+4),1,3),2)+5)/7),"00"))</f>
        <v/>
      </c>
    </row>
    <row r="1364" ht="18" customHeight="1">
      <c r="A1364" s="39" t="n">
        <v>1359</v>
      </c>
      <c r="B1364" s="33">
        <f>IF(C1364="","",IF(L1364="À RENSEIGNER","GIC",L1364)&amp;"-E"&amp;TEXT(A1364,"00000"))</f>
        <v/>
      </c>
      <c r="C1364" s="32" t="n"/>
      <c r="D1364" s="36" t="n"/>
      <c r="E1364" s="37" t="n"/>
      <c r="F1364" s="36" t="n"/>
      <c r="G1364" s="44" t="n"/>
      <c r="H1364" s="43" t="n"/>
      <c r="I1364" s="32" t="n"/>
      <c r="J1364" s="44" t="n"/>
      <c r="K1364" s="36" t="n"/>
      <c r="L1364" s="33">
        <f>IF(C1364="","",Commercial_Id)</f>
        <v/>
      </c>
      <c r="M1364" s="34">
        <f>IF(OR(C1364="",F1364=""),"",IF(F1364&lt;&gt;"Espèces","—",IF(I1364&lt;&gt;"","☑ Oui","☐ Non")))</f>
        <v/>
      </c>
      <c r="N1364" s="39">
        <f>IF(D1364="","",IFERROR(VALUE(MID(D1364,LEN(D1364)-3,3)),""))</f>
        <v/>
      </c>
      <c r="O1364" s="33">
        <f>IF(N1364="","",L1364&amp;"|"&amp;N1364)</f>
        <v/>
      </c>
      <c r="P1364" s="33">
        <f>IF(N1364="","",IF(L1364="À RENSEIGNER","GIC",L1364)&amp;"-"&amp;TEXT(N1364,"000"))</f>
        <v/>
      </c>
      <c r="Q1364" s="33">
        <f>IF(O1364="","",IFERROR(INDEX(Cl_nom,MATCH(O1364,Cl_cle,0)),"(client introuvable)"))</f>
        <v/>
      </c>
      <c r="R1364" s="40">
        <f>IF(O1364="","",IFERROR(INDEX(Cl_reste,MATCH(O1364,Cl_cle,0)),""))</f>
        <v/>
      </c>
      <c r="S1364" s="34">
        <f>IF(C1364="","",YEAR(C1364-WEEKDAY(C1364,2)+4)&amp;"-S"&amp;TEXT(INT((C1364-DATE(YEAR(C1364-WEEKDAY(C1364,2)+4),1,3)+WEEKDAY(DATE(YEAR(C1364-WEEKDAY(C1364,2)+4),1,3),2)+5)/7),"00"))</f>
        <v/>
      </c>
    </row>
    <row r="1365" ht="18" customHeight="1">
      <c r="A1365" s="39" t="n">
        <v>1360</v>
      </c>
      <c r="B1365" s="33">
        <f>IF(C1365="","",IF(L1365="À RENSEIGNER","GIC",L1365)&amp;"-E"&amp;TEXT(A1365,"00000"))</f>
        <v/>
      </c>
      <c r="C1365" s="32" t="n"/>
      <c r="D1365" s="36" t="n"/>
      <c r="E1365" s="37" t="n"/>
      <c r="F1365" s="36" t="n"/>
      <c r="G1365" s="44" t="n"/>
      <c r="H1365" s="43" t="n"/>
      <c r="I1365" s="32" t="n"/>
      <c r="J1365" s="44" t="n"/>
      <c r="K1365" s="36" t="n"/>
      <c r="L1365" s="33">
        <f>IF(C1365="","",Commercial_Id)</f>
        <v/>
      </c>
      <c r="M1365" s="34">
        <f>IF(OR(C1365="",F1365=""),"",IF(F1365&lt;&gt;"Espèces","—",IF(I1365&lt;&gt;"","☑ Oui","☐ Non")))</f>
        <v/>
      </c>
      <c r="N1365" s="39">
        <f>IF(D1365="","",IFERROR(VALUE(MID(D1365,LEN(D1365)-3,3)),""))</f>
        <v/>
      </c>
      <c r="O1365" s="33">
        <f>IF(N1365="","",L1365&amp;"|"&amp;N1365)</f>
        <v/>
      </c>
      <c r="P1365" s="33">
        <f>IF(N1365="","",IF(L1365="À RENSEIGNER","GIC",L1365)&amp;"-"&amp;TEXT(N1365,"000"))</f>
        <v/>
      </c>
      <c r="Q1365" s="33">
        <f>IF(O1365="","",IFERROR(INDEX(Cl_nom,MATCH(O1365,Cl_cle,0)),"(client introuvable)"))</f>
        <v/>
      </c>
      <c r="R1365" s="40">
        <f>IF(O1365="","",IFERROR(INDEX(Cl_reste,MATCH(O1365,Cl_cle,0)),""))</f>
        <v/>
      </c>
      <c r="S1365" s="34">
        <f>IF(C1365="","",YEAR(C1365-WEEKDAY(C1365,2)+4)&amp;"-S"&amp;TEXT(INT((C1365-DATE(YEAR(C1365-WEEKDAY(C1365,2)+4),1,3)+WEEKDAY(DATE(YEAR(C1365-WEEKDAY(C1365,2)+4),1,3),2)+5)/7),"00"))</f>
        <v/>
      </c>
    </row>
    <row r="1366" ht="18" customHeight="1">
      <c r="A1366" s="39" t="n">
        <v>1361</v>
      </c>
      <c r="B1366" s="33">
        <f>IF(C1366="","",IF(L1366="À RENSEIGNER","GIC",L1366)&amp;"-E"&amp;TEXT(A1366,"00000"))</f>
        <v/>
      </c>
      <c r="C1366" s="32" t="n"/>
      <c r="D1366" s="36" t="n"/>
      <c r="E1366" s="37" t="n"/>
      <c r="F1366" s="36" t="n"/>
      <c r="G1366" s="44" t="n"/>
      <c r="H1366" s="43" t="n"/>
      <c r="I1366" s="32" t="n"/>
      <c r="J1366" s="44" t="n"/>
      <c r="K1366" s="36" t="n"/>
      <c r="L1366" s="33">
        <f>IF(C1366="","",Commercial_Id)</f>
        <v/>
      </c>
      <c r="M1366" s="34">
        <f>IF(OR(C1366="",F1366=""),"",IF(F1366&lt;&gt;"Espèces","—",IF(I1366&lt;&gt;"","☑ Oui","☐ Non")))</f>
        <v/>
      </c>
      <c r="N1366" s="39">
        <f>IF(D1366="","",IFERROR(VALUE(MID(D1366,LEN(D1366)-3,3)),""))</f>
        <v/>
      </c>
      <c r="O1366" s="33">
        <f>IF(N1366="","",L1366&amp;"|"&amp;N1366)</f>
        <v/>
      </c>
      <c r="P1366" s="33">
        <f>IF(N1366="","",IF(L1366="À RENSEIGNER","GIC",L1366)&amp;"-"&amp;TEXT(N1366,"000"))</f>
        <v/>
      </c>
      <c r="Q1366" s="33">
        <f>IF(O1366="","",IFERROR(INDEX(Cl_nom,MATCH(O1366,Cl_cle,0)),"(client introuvable)"))</f>
        <v/>
      </c>
      <c r="R1366" s="40">
        <f>IF(O1366="","",IFERROR(INDEX(Cl_reste,MATCH(O1366,Cl_cle,0)),""))</f>
        <v/>
      </c>
      <c r="S1366" s="34">
        <f>IF(C1366="","",YEAR(C1366-WEEKDAY(C1366,2)+4)&amp;"-S"&amp;TEXT(INT((C1366-DATE(YEAR(C1366-WEEKDAY(C1366,2)+4),1,3)+WEEKDAY(DATE(YEAR(C1366-WEEKDAY(C1366,2)+4),1,3),2)+5)/7),"00"))</f>
        <v/>
      </c>
    </row>
    <row r="1367" ht="18" customHeight="1">
      <c r="A1367" s="39" t="n">
        <v>1362</v>
      </c>
      <c r="B1367" s="33">
        <f>IF(C1367="","",IF(L1367="À RENSEIGNER","GIC",L1367)&amp;"-E"&amp;TEXT(A1367,"00000"))</f>
        <v/>
      </c>
      <c r="C1367" s="32" t="n"/>
      <c r="D1367" s="36" t="n"/>
      <c r="E1367" s="37" t="n"/>
      <c r="F1367" s="36" t="n"/>
      <c r="G1367" s="44" t="n"/>
      <c r="H1367" s="43" t="n"/>
      <c r="I1367" s="32" t="n"/>
      <c r="J1367" s="44" t="n"/>
      <c r="K1367" s="36" t="n"/>
      <c r="L1367" s="33">
        <f>IF(C1367="","",Commercial_Id)</f>
        <v/>
      </c>
      <c r="M1367" s="34">
        <f>IF(OR(C1367="",F1367=""),"",IF(F1367&lt;&gt;"Espèces","—",IF(I1367&lt;&gt;"","☑ Oui","☐ Non")))</f>
        <v/>
      </c>
      <c r="N1367" s="39">
        <f>IF(D1367="","",IFERROR(VALUE(MID(D1367,LEN(D1367)-3,3)),""))</f>
        <v/>
      </c>
      <c r="O1367" s="33">
        <f>IF(N1367="","",L1367&amp;"|"&amp;N1367)</f>
        <v/>
      </c>
      <c r="P1367" s="33">
        <f>IF(N1367="","",IF(L1367="À RENSEIGNER","GIC",L1367)&amp;"-"&amp;TEXT(N1367,"000"))</f>
        <v/>
      </c>
      <c r="Q1367" s="33">
        <f>IF(O1367="","",IFERROR(INDEX(Cl_nom,MATCH(O1367,Cl_cle,0)),"(client introuvable)"))</f>
        <v/>
      </c>
      <c r="R1367" s="40">
        <f>IF(O1367="","",IFERROR(INDEX(Cl_reste,MATCH(O1367,Cl_cle,0)),""))</f>
        <v/>
      </c>
      <c r="S1367" s="34">
        <f>IF(C1367="","",YEAR(C1367-WEEKDAY(C1367,2)+4)&amp;"-S"&amp;TEXT(INT((C1367-DATE(YEAR(C1367-WEEKDAY(C1367,2)+4),1,3)+WEEKDAY(DATE(YEAR(C1367-WEEKDAY(C1367,2)+4),1,3),2)+5)/7),"00"))</f>
        <v/>
      </c>
    </row>
    <row r="1368" ht="18" customHeight="1">
      <c r="A1368" s="39" t="n">
        <v>1363</v>
      </c>
      <c r="B1368" s="33">
        <f>IF(C1368="","",IF(L1368="À RENSEIGNER","GIC",L1368)&amp;"-E"&amp;TEXT(A1368,"00000"))</f>
        <v/>
      </c>
      <c r="C1368" s="32" t="n"/>
      <c r="D1368" s="36" t="n"/>
      <c r="E1368" s="37" t="n"/>
      <c r="F1368" s="36" t="n"/>
      <c r="G1368" s="44" t="n"/>
      <c r="H1368" s="43" t="n"/>
      <c r="I1368" s="32" t="n"/>
      <c r="J1368" s="44" t="n"/>
      <c r="K1368" s="36" t="n"/>
      <c r="L1368" s="33">
        <f>IF(C1368="","",Commercial_Id)</f>
        <v/>
      </c>
      <c r="M1368" s="34">
        <f>IF(OR(C1368="",F1368=""),"",IF(F1368&lt;&gt;"Espèces","—",IF(I1368&lt;&gt;"","☑ Oui","☐ Non")))</f>
        <v/>
      </c>
      <c r="N1368" s="39">
        <f>IF(D1368="","",IFERROR(VALUE(MID(D1368,LEN(D1368)-3,3)),""))</f>
        <v/>
      </c>
      <c r="O1368" s="33">
        <f>IF(N1368="","",L1368&amp;"|"&amp;N1368)</f>
        <v/>
      </c>
      <c r="P1368" s="33">
        <f>IF(N1368="","",IF(L1368="À RENSEIGNER","GIC",L1368)&amp;"-"&amp;TEXT(N1368,"000"))</f>
        <v/>
      </c>
      <c r="Q1368" s="33">
        <f>IF(O1368="","",IFERROR(INDEX(Cl_nom,MATCH(O1368,Cl_cle,0)),"(client introuvable)"))</f>
        <v/>
      </c>
      <c r="R1368" s="40">
        <f>IF(O1368="","",IFERROR(INDEX(Cl_reste,MATCH(O1368,Cl_cle,0)),""))</f>
        <v/>
      </c>
      <c r="S1368" s="34">
        <f>IF(C1368="","",YEAR(C1368-WEEKDAY(C1368,2)+4)&amp;"-S"&amp;TEXT(INT((C1368-DATE(YEAR(C1368-WEEKDAY(C1368,2)+4),1,3)+WEEKDAY(DATE(YEAR(C1368-WEEKDAY(C1368,2)+4),1,3),2)+5)/7),"00"))</f>
        <v/>
      </c>
    </row>
    <row r="1369" ht="18" customHeight="1">
      <c r="A1369" s="39" t="n">
        <v>1364</v>
      </c>
      <c r="B1369" s="33">
        <f>IF(C1369="","",IF(L1369="À RENSEIGNER","GIC",L1369)&amp;"-E"&amp;TEXT(A1369,"00000"))</f>
        <v/>
      </c>
      <c r="C1369" s="32" t="n"/>
      <c r="D1369" s="36" t="n"/>
      <c r="E1369" s="37" t="n"/>
      <c r="F1369" s="36" t="n"/>
      <c r="G1369" s="44" t="n"/>
      <c r="H1369" s="43" t="n"/>
      <c r="I1369" s="32" t="n"/>
      <c r="J1369" s="44" t="n"/>
      <c r="K1369" s="36" t="n"/>
      <c r="L1369" s="33">
        <f>IF(C1369="","",Commercial_Id)</f>
        <v/>
      </c>
      <c r="M1369" s="34">
        <f>IF(OR(C1369="",F1369=""),"",IF(F1369&lt;&gt;"Espèces","—",IF(I1369&lt;&gt;"","☑ Oui","☐ Non")))</f>
        <v/>
      </c>
      <c r="N1369" s="39">
        <f>IF(D1369="","",IFERROR(VALUE(MID(D1369,LEN(D1369)-3,3)),""))</f>
        <v/>
      </c>
      <c r="O1369" s="33">
        <f>IF(N1369="","",L1369&amp;"|"&amp;N1369)</f>
        <v/>
      </c>
      <c r="P1369" s="33">
        <f>IF(N1369="","",IF(L1369="À RENSEIGNER","GIC",L1369)&amp;"-"&amp;TEXT(N1369,"000"))</f>
        <v/>
      </c>
      <c r="Q1369" s="33">
        <f>IF(O1369="","",IFERROR(INDEX(Cl_nom,MATCH(O1369,Cl_cle,0)),"(client introuvable)"))</f>
        <v/>
      </c>
      <c r="R1369" s="40">
        <f>IF(O1369="","",IFERROR(INDEX(Cl_reste,MATCH(O1369,Cl_cle,0)),""))</f>
        <v/>
      </c>
      <c r="S1369" s="34">
        <f>IF(C1369="","",YEAR(C1369-WEEKDAY(C1369,2)+4)&amp;"-S"&amp;TEXT(INT((C1369-DATE(YEAR(C1369-WEEKDAY(C1369,2)+4),1,3)+WEEKDAY(DATE(YEAR(C1369-WEEKDAY(C1369,2)+4),1,3),2)+5)/7),"00"))</f>
        <v/>
      </c>
    </row>
    <row r="1370" ht="18" customHeight="1">
      <c r="A1370" s="39" t="n">
        <v>1365</v>
      </c>
      <c r="B1370" s="33">
        <f>IF(C1370="","",IF(L1370="À RENSEIGNER","GIC",L1370)&amp;"-E"&amp;TEXT(A1370,"00000"))</f>
        <v/>
      </c>
      <c r="C1370" s="32" t="n"/>
      <c r="D1370" s="36" t="n"/>
      <c r="E1370" s="37" t="n"/>
      <c r="F1370" s="36" t="n"/>
      <c r="G1370" s="44" t="n"/>
      <c r="H1370" s="43" t="n"/>
      <c r="I1370" s="32" t="n"/>
      <c r="J1370" s="44" t="n"/>
      <c r="K1370" s="36" t="n"/>
      <c r="L1370" s="33">
        <f>IF(C1370="","",Commercial_Id)</f>
        <v/>
      </c>
      <c r="M1370" s="34">
        <f>IF(OR(C1370="",F1370=""),"",IF(F1370&lt;&gt;"Espèces","—",IF(I1370&lt;&gt;"","☑ Oui","☐ Non")))</f>
        <v/>
      </c>
      <c r="N1370" s="39">
        <f>IF(D1370="","",IFERROR(VALUE(MID(D1370,LEN(D1370)-3,3)),""))</f>
        <v/>
      </c>
      <c r="O1370" s="33">
        <f>IF(N1370="","",L1370&amp;"|"&amp;N1370)</f>
        <v/>
      </c>
      <c r="P1370" s="33">
        <f>IF(N1370="","",IF(L1370="À RENSEIGNER","GIC",L1370)&amp;"-"&amp;TEXT(N1370,"000"))</f>
        <v/>
      </c>
      <c r="Q1370" s="33">
        <f>IF(O1370="","",IFERROR(INDEX(Cl_nom,MATCH(O1370,Cl_cle,0)),"(client introuvable)"))</f>
        <v/>
      </c>
      <c r="R1370" s="40">
        <f>IF(O1370="","",IFERROR(INDEX(Cl_reste,MATCH(O1370,Cl_cle,0)),""))</f>
        <v/>
      </c>
      <c r="S1370" s="34">
        <f>IF(C1370="","",YEAR(C1370-WEEKDAY(C1370,2)+4)&amp;"-S"&amp;TEXT(INT((C1370-DATE(YEAR(C1370-WEEKDAY(C1370,2)+4),1,3)+WEEKDAY(DATE(YEAR(C1370-WEEKDAY(C1370,2)+4),1,3),2)+5)/7),"00"))</f>
        <v/>
      </c>
    </row>
    <row r="1371" ht="18" customHeight="1">
      <c r="A1371" s="39" t="n">
        <v>1366</v>
      </c>
      <c r="B1371" s="33">
        <f>IF(C1371="","",IF(L1371="À RENSEIGNER","GIC",L1371)&amp;"-E"&amp;TEXT(A1371,"00000"))</f>
        <v/>
      </c>
      <c r="C1371" s="32" t="n"/>
      <c r="D1371" s="36" t="n"/>
      <c r="E1371" s="37" t="n"/>
      <c r="F1371" s="36" t="n"/>
      <c r="G1371" s="44" t="n"/>
      <c r="H1371" s="43" t="n"/>
      <c r="I1371" s="32" t="n"/>
      <c r="J1371" s="44" t="n"/>
      <c r="K1371" s="36" t="n"/>
      <c r="L1371" s="33">
        <f>IF(C1371="","",Commercial_Id)</f>
        <v/>
      </c>
      <c r="M1371" s="34">
        <f>IF(OR(C1371="",F1371=""),"",IF(F1371&lt;&gt;"Espèces","—",IF(I1371&lt;&gt;"","☑ Oui","☐ Non")))</f>
        <v/>
      </c>
      <c r="N1371" s="39">
        <f>IF(D1371="","",IFERROR(VALUE(MID(D1371,LEN(D1371)-3,3)),""))</f>
        <v/>
      </c>
      <c r="O1371" s="33">
        <f>IF(N1371="","",L1371&amp;"|"&amp;N1371)</f>
        <v/>
      </c>
      <c r="P1371" s="33">
        <f>IF(N1371="","",IF(L1371="À RENSEIGNER","GIC",L1371)&amp;"-"&amp;TEXT(N1371,"000"))</f>
        <v/>
      </c>
      <c r="Q1371" s="33">
        <f>IF(O1371="","",IFERROR(INDEX(Cl_nom,MATCH(O1371,Cl_cle,0)),"(client introuvable)"))</f>
        <v/>
      </c>
      <c r="R1371" s="40">
        <f>IF(O1371="","",IFERROR(INDEX(Cl_reste,MATCH(O1371,Cl_cle,0)),""))</f>
        <v/>
      </c>
      <c r="S1371" s="34">
        <f>IF(C1371="","",YEAR(C1371-WEEKDAY(C1371,2)+4)&amp;"-S"&amp;TEXT(INT((C1371-DATE(YEAR(C1371-WEEKDAY(C1371,2)+4),1,3)+WEEKDAY(DATE(YEAR(C1371-WEEKDAY(C1371,2)+4),1,3),2)+5)/7),"00"))</f>
        <v/>
      </c>
    </row>
    <row r="1372" ht="18" customHeight="1">
      <c r="A1372" s="39" t="n">
        <v>1367</v>
      </c>
      <c r="B1372" s="33">
        <f>IF(C1372="","",IF(L1372="À RENSEIGNER","GIC",L1372)&amp;"-E"&amp;TEXT(A1372,"00000"))</f>
        <v/>
      </c>
      <c r="C1372" s="32" t="n"/>
      <c r="D1372" s="36" t="n"/>
      <c r="E1372" s="37" t="n"/>
      <c r="F1372" s="36" t="n"/>
      <c r="G1372" s="44" t="n"/>
      <c r="H1372" s="43" t="n"/>
      <c r="I1372" s="32" t="n"/>
      <c r="J1372" s="44" t="n"/>
      <c r="K1372" s="36" t="n"/>
      <c r="L1372" s="33">
        <f>IF(C1372="","",Commercial_Id)</f>
        <v/>
      </c>
      <c r="M1372" s="34">
        <f>IF(OR(C1372="",F1372=""),"",IF(F1372&lt;&gt;"Espèces","—",IF(I1372&lt;&gt;"","☑ Oui","☐ Non")))</f>
        <v/>
      </c>
      <c r="N1372" s="39">
        <f>IF(D1372="","",IFERROR(VALUE(MID(D1372,LEN(D1372)-3,3)),""))</f>
        <v/>
      </c>
      <c r="O1372" s="33">
        <f>IF(N1372="","",L1372&amp;"|"&amp;N1372)</f>
        <v/>
      </c>
      <c r="P1372" s="33">
        <f>IF(N1372="","",IF(L1372="À RENSEIGNER","GIC",L1372)&amp;"-"&amp;TEXT(N1372,"000"))</f>
        <v/>
      </c>
      <c r="Q1372" s="33">
        <f>IF(O1372="","",IFERROR(INDEX(Cl_nom,MATCH(O1372,Cl_cle,0)),"(client introuvable)"))</f>
        <v/>
      </c>
      <c r="R1372" s="40">
        <f>IF(O1372="","",IFERROR(INDEX(Cl_reste,MATCH(O1372,Cl_cle,0)),""))</f>
        <v/>
      </c>
      <c r="S1372" s="34">
        <f>IF(C1372="","",YEAR(C1372-WEEKDAY(C1372,2)+4)&amp;"-S"&amp;TEXT(INT((C1372-DATE(YEAR(C1372-WEEKDAY(C1372,2)+4),1,3)+WEEKDAY(DATE(YEAR(C1372-WEEKDAY(C1372,2)+4),1,3),2)+5)/7),"00"))</f>
        <v/>
      </c>
    </row>
    <row r="1373" ht="18" customHeight="1">
      <c r="A1373" s="39" t="n">
        <v>1368</v>
      </c>
      <c r="B1373" s="33">
        <f>IF(C1373="","",IF(L1373="À RENSEIGNER","GIC",L1373)&amp;"-E"&amp;TEXT(A1373,"00000"))</f>
        <v/>
      </c>
      <c r="C1373" s="32" t="n"/>
      <c r="D1373" s="36" t="n"/>
      <c r="E1373" s="37" t="n"/>
      <c r="F1373" s="36" t="n"/>
      <c r="G1373" s="44" t="n"/>
      <c r="H1373" s="43" t="n"/>
      <c r="I1373" s="32" t="n"/>
      <c r="J1373" s="44" t="n"/>
      <c r="K1373" s="36" t="n"/>
      <c r="L1373" s="33">
        <f>IF(C1373="","",Commercial_Id)</f>
        <v/>
      </c>
      <c r="M1373" s="34">
        <f>IF(OR(C1373="",F1373=""),"",IF(F1373&lt;&gt;"Espèces","—",IF(I1373&lt;&gt;"","☑ Oui","☐ Non")))</f>
        <v/>
      </c>
      <c r="N1373" s="39">
        <f>IF(D1373="","",IFERROR(VALUE(MID(D1373,LEN(D1373)-3,3)),""))</f>
        <v/>
      </c>
      <c r="O1373" s="33">
        <f>IF(N1373="","",L1373&amp;"|"&amp;N1373)</f>
        <v/>
      </c>
      <c r="P1373" s="33">
        <f>IF(N1373="","",IF(L1373="À RENSEIGNER","GIC",L1373)&amp;"-"&amp;TEXT(N1373,"000"))</f>
        <v/>
      </c>
      <c r="Q1373" s="33">
        <f>IF(O1373="","",IFERROR(INDEX(Cl_nom,MATCH(O1373,Cl_cle,0)),"(client introuvable)"))</f>
        <v/>
      </c>
      <c r="R1373" s="40">
        <f>IF(O1373="","",IFERROR(INDEX(Cl_reste,MATCH(O1373,Cl_cle,0)),""))</f>
        <v/>
      </c>
      <c r="S1373" s="34">
        <f>IF(C1373="","",YEAR(C1373-WEEKDAY(C1373,2)+4)&amp;"-S"&amp;TEXT(INT((C1373-DATE(YEAR(C1373-WEEKDAY(C1373,2)+4),1,3)+WEEKDAY(DATE(YEAR(C1373-WEEKDAY(C1373,2)+4),1,3),2)+5)/7),"00"))</f>
        <v/>
      </c>
    </row>
    <row r="1374" ht="18" customHeight="1">
      <c r="A1374" s="39" t="n">
        <v>1369</v>
      </c>
      <c r="B1374" s="33">
        <f>IF(C1374="","",IF(L1374="À RENSEIGNER","GIC",L1374)&amp;"-E"&amp;TEXT(A1374,"00000"))</f>
        <v/>
      </c>
      <c r="C1374" s="32" t="n"/>
      <c r="D1374" s="36" t="n"/>
      <c r="E1374" s="37" t="n"/>
      <c r="F1374" s="36" t="n"/>
      <c r="G1374" s="44" t="n"/>
      <c r="H1374" s="43" t="n"/>
      <c r="I1374" s="32" t="n"/>
      <c r="J1374" s="44" t="n"/>
      <c r="K1374" s="36" t="n"/>
      <c r="L1374" s="33">
        <f>IF(C1374="","",Commercial_Id)</f>
        <v/>
      </c>
      <c r="M1374" s="34">
        <f>IF(OR(C1374="",F1374=""),"",IF(F1374&lt;&gt;"Espèces","—",IF(I1374&lt;&gt;"","☑ Oui","☐ Non")))</f>
        <v/>
      </c>
      <c r="N1374" s="39">
        <f>IF(D1374="","",IFERROR(VALUE(MID(D1374,LEN(D1374)-3,3)),""))</f>
        <v/>
      </c>
      <c r="O1374" s="33">
        <f>IF(N1374="","",L1374&amp;"|"&amp;N1374)</f>
        <v/>
      </c>
      <c r="P1374" s="33">
        <f>IF(N1374="","",IF(L1374="À RENSEIGNER","GIC",L1374)&amp;"-"&amp;TEXT(N1374,"000"))</f>
        <v/>
      </c>
      <c r="Q1374" s="33">
        <f>IF(O1374="","",IFERROR(INDEX(Cl_nom,MATCH(O1374,Cl_cle,0)),"(client introuvable)"))</f>
        <v/>
      </c>
      <c r="R1374" s="40">
        <f>IF(O1374="","",IFERROR(INDEX(Cl_reste,MATCH(O1374,Cl_cle,0)),""))</f>
        <v/>
      </c>
      <c r="S1374" s="34">
        <f>IF(C1374="","",YEAR(C1374-WEEKDAY(C1374,2)+4)&amp;"-S"&amp;TEXT(INT((C1374-DATE(YEAR(C1374-WEEKDAY(C1374,2)+4),1,3)+WEEKDAY(DATE(YEAR(C1374-WEEKDAY(C1374,2)+4),1,3),2)+5)/7),"00"))</f>
        <v/>
      </c>
    </row>
    <row r="1375" ht="18" customHeight="1">
      <c r="A1375" s="39" t="n">
        <v>1370</v>
      </c>
      <c r="B1375" s="33">
        <f>IF(C1375="","",IF(L1375="À RENSEIGNER","GIC",L1375)&amp;"-E"&amp;TEXT(A1375,"00000"))</f>
        <v/>
      </c>
      <c r="C1375" s="32" t="n"/>
      <c r="D1375" s="36" t="n"/>
      <c r="E1375" s="37" t="n"/>
      <c r="F1375" s="36" t="n"/>
      <c r="G1375" s="44" t="n"/>
      <c r="H1375" s="43" t="n"/>
      <c r="I1375" s="32" t="n"/>
      <c r="J1375" s="44" t="n"/>
      <c r="K1375" s="36" t="n"/>
      <c r="L1375" s="33">
        <f>IF(C1375="","",Commercial_Id)</f>
        <v/>
      </c>
      <c r="M1375" s="34">
        <f>IF(OR(C1375="",F1375=""),"",IF(F1375&lt;&gt;"Espèces","—",IF(I1375&lt;&gt;"","☑ Oui","☐ Non")))</f>
        <v/>
      </c>
      <c r="N1375" s="39">
        <f>IF(D1375="","",IFERROR(VALUE(MID(D1375,LEN(D1375)-3,3)),""))</f>
        <v/>
      </c>
      <c r="O1375" s="33">
        <f>IF(N1375="","",L1375&amp;"|"&amp;N1375)</f>
        <v/>
      </c>
      <c r="P1375" s="33">
        <f>IF(N1375="","",IF(L1375="À RENSEIGNER","GIC",L1375)&amp;"-"&amp;TEXT(N1375,"000"))</f>
        <v/>
      </c>
      <c r="Q1375" s="33">
        <f>IF(O1375="","",IFERROR(INDEX(Cl_nom,MATCH(O1375,Cl_cle,0)),"(client introuvable)"))</f>
        <v/>
      </c>
      <c r="R1375" s="40">
        <f>IF(O1375="","",IFERROR(INDEX(Cl_reste,MATCH(O1375,Cl_cle,0)),""))</f>
        <v/>
      </c>
      <c r="S1375" s="34">
        <f>IF(C1375="","",YEAR(C1375-WEEKDAY(C1375,2)+4)&amp;"-S"&amp;TEXT(INT((C1375-DATE(YEAR(C1375-WEEKDAY(C1375,2)+4),1,3)+WEEKDAY(DATE(YEAR(C1375-WEEKDAY(C1375,2)+4),1,3),2)+5)/7),"00"))</f>
        <v/>
      </c>
    </row>
    <row r="1376" ht="18" customHeight="1">
      <c r="A1376" s="39" t="n">
        <v>1371</v>
      </c>
      <c r="B1376" s="33">
        <f>IF(C1376="","",IF(L1376="À RENSEIGNER","GIC",L1376)&amp;"-E"&amp;TEXT(A1376,"00000"))</f>
        <v/>
      </c>
      <c r="C1376" s="32" t="n"/>
      <c r="D1376" s="36" t="n"/>
      <c r="E1376" s="37" t="n"/>
      <c r="F1376" s="36" t="n"/>
      <c r="G1376" s="44" t="n"/>
      <c r="H1376" s="43" t="n"/>
      <c r="I1376" s="32" t="n"/>
      <c r="J1376" s="44" t="n"/>
      <c r="K1376" s="36" t="n"/>
      <c r="L1376" s="33">
        <f>IF(C1376="","",Commercial_Id)</f>
        <v/>
      </c>
      <c r="M1376" s="34">
        <f>IF(OR(C1376="",F1376=""),"",IF(F1376&lt;&gt;"Espèces","—",IF(I1376&lt;&gt;"","☑ Oui","☐ Non")))</f>
        <v/>
      </c>
      <c r="N1376" s="39">
        <f>IF(D1376="","",IFERROR(VALUE(MID(D1376,LEN(D1376)-3,3)),""))</f>
        <v/>
      </c>
      <c r="O1376" s="33">
        <f>IF(N1376="","",L1376&amp;"|"&amp;N1376)</f>
        <v/>
      </c>
      <c r="P1376" s="33">
        <f>IF(N1376="","",IF(L1376="À RENSEIGNER","GIC",L1376)&amp;"-"&amp;TEXT(N1376,"000"))</f>
        <v/>
      </c>
      <c r="Q1376" s="33">
        <f>IF(O1376="","",IFERROR(INDEX(Cl_nom,MATCH(O1376,Cl_cle,0)),"(client introuvable)"))</f>
        <v/>
      </c>
      <c r="R1376" s="40">
        <f>IF(O1376="","",IFERROR(INDEX(Cl_reste,MATCH(O1376,Cl_cle,0)),""))</f>
        <v/>
      </c>
      <c r="S1376" s="34">
        <f>IF(C1376="","",YEAR(C1376-WEEKDAY(C1376,2)+4)&amp;"-S"&amp;TEXT(INT((C1376-DATE(YEAR(C1376-WEEKDAY(C1376,2)+4),1,3)+WEEKDAY(DATE(YEAR(C1376-WEEKDAY(C1376,2)+4),1,3),2)+5)/7),"00"))</f>
        <v/>
      </c>
    </row>
    <row r="1377" ht="18" customHeight="1">
      <c r="A1377" s="39" t="n">
        <v>1372</v>
      </c>
      <c r="B1377" s="33">
        <f>IF(C1377="","",IF(L1377="À RENSEIGNER","GIC",L1377)&amp;"-E"&amp;TEXT(A1377,"00000"))</f>
        <v/>
      </c>
      <c r="C1377" s="32" t="n"/>
      <c r="D1377" s="36" t="n"/>
      <c r="E1377" s="37" t="n"/>
      <c r="F1377" s="36" t="n"/>
      <c r="G1377" s="44" t="n"/>
      <c r="H1377" s="43" t="n"/>
      <c r="I1377" s="32" t="n"/>
      <c r="J1377" s="44" t="n"/>
      <c r="K1377" s="36" t="n"/>
      <c r="L1377" s="33">
        <f>IF(C1377="","",Commercial_Id)</f>
        <v/>
      </c>
      <c r="M1377" s="34">
        <f>IF(OR(C1377="",F1377=""),"",IF(F1377&lt;&gt;"Espèces","—",IF(I1377&lt;&gt;"","☑ Oui","☐ Non")))</f>
        <v/>
      </c>
      <c r="N1377" s="39">
        <f>IF(D1377="","",IFERROR(VALUE(MID(D1377,LEN(D1377)-3,3)),""))</f>
        <v/>
      </c>
      <c r="O1377" s="33">
        <f>IF(N1377="","",L1377&amp;"|"&amp;N1377)</f>
        <v/>
      </c>
      <c r="P1377" s="33">
        <f>IF(N1377="","",IF(L1377="À RENSEIGNER","GIC",L1377)&amp;"-"&amp;TEXT(N1377,"000"))</f>
        <v/>
      </c>
      <c r="Q1377" s="33">
        <f>IF(O1377="","",IFERROR(INDEX(Cl_nom,MATCH(O1377,Cl_cle,0)),"(client introuvable)"))</f>
        <v/>
      </c>
      <c r="R1377" s="40">
        <f>IF(O1377="","",IFERROR(INDEX(Cl_reste,MATCH(O1377,Cl_cle,0)),""))</f>
        <v/>
      </c>
      <c r="S1377" s="34">
        <f>IF(C1377="","",YEAR(C1377-WEEKDAY(C1377,2)+4)&amp;"-S"&amp;TEXT(INT((C1377-DATE(YEAR(C1377-WEEKDAY(C1377,2)+4),1,3)+WEEKDAY(DATE(YEAR(C1377-WEEKDAY(C1377,2)+4),1,3),2)+5)/7),"00"))</f>
        <v/>
      </c>
    </row>
    <row r="1378" ht="18" customHeight="1">
      <c r="A1378" s="39" t="n">
        <v>1373</v>
      </c>
      <c r="B1378" s="33">
        <f>IF(C1378="","",IF(L1378="À RENSEIGNER","GIC",L1378)&amp;"-E"&amp;TEXT(A1378,"00000"))</f>
        <v/>
      </c>
      <c r="C1378" s="32" t="n"/>
      <c r="D1378" s="36" t="n"/>
      <c r="E1378" s="37" t="n"/>
      <c r="F1378" s="36" t="n"/>
      <c r="G1378" s="44" t="n"/>
      <c r="H1378" s="43" t="n"/>
      <c r="I1378" s="32" t="n"/>
      <c r="J1378" s="44" t="n"/>
      <c r="K1378" s="36" t="n"/>
      <c r="L1378" s="33">
        <f>IF(C1378="","",Commercial_Id)</f>
        <v/>
      </c>
      <c r="M1378" s="34">
        <f>IF(OR(C1378="",F1378=""),"",IF(F1378&lt;&gt;"Espèces","—",IF(I1378&lt;&gt;"","☑ Oui","☐ Non")))</f>
        <v/>
      </c>
      <c r="N1378" s="39">
        <f>IF(D1378="","",IFERROR(VALUE(MID(D1378,LEN(D1378)-3,3)),""))</f>
        <v/>
      </c>
      <c r="O1378" s="33">
        <f>IF(N1378="","",L1378&amp;"|"&amp;N1378)</f>
        <v/>
      </c>
      <c r="P1378" s="33">
        <f>IF(N1378="","",IF(L1378="À RENSEIGNER","GIC",L1378)&amp;"-"&amp;TEXT(N1378,"000"))</f>
        <v/>
      </c>
      <c r="Q1378" s="33">
        <f>IF(O1378="","",IFERROR(INDEX(Cl_nom,MATCH(O1378,Cl_cle,0)),"(client introuvable)"))</f>
        <v/>
      </c>
      <c r="R1378" s="40">
        <f>IF(O1378="","",IFERROR(INDEX(Cl_reste,MATCH(O1378,Cl_cle,0)),""))</f>
        <v/>
      </c>
      <c r="S1378" s="34">
        <f>IF(C1378="","",YEAR(C1378-WEEKDAY(C1378,2)+4)&amp;"-S"&amp;TEXT(INT((C1378-DATE(YEAR(C1378-WEEKDAY(C1378,2)+4),1,3)+WEEKDAY(DATE(YEAR(C1378-WEEKDAY(C1378,2)+4),1,3),2)+5)/7),"00"))</f>
        <v/>
      </c>
    </row>
    <row r="1379" ht="18" customHeight="1">
      <c r="A1379" s="39" t="n">
        <v>1374</v>
      </c>
      <c r="B1379" s="33">
        <f>IF(C1379="","",IF(L1379="À RENSEIGNER","GIC",L1379)&amp;"-E"&amp;TEXT(A1379,"00000"))</f>
        <v/>
      </c>
      <c r="C1379" s="32" t="n"/>
      <c r="D1379" s="36" t="n"/>
      <c r="E1379" s="37" t="n"/>
      <c r="F1379" s="36" t="n"/>
      <c r="G1379" s="44" t="n"/>
      <c r="H1379" s="43" t="n"/>
      <c r="I1379" s="32" t="n"/>
      <c r="J1379" s="44" t="n"/>
      <c r="K1379" s="36" t="n"/>
      <c r="L1379" s="33">
        <f>IF(C1379="","",Commercial_Id)</f>
        <v/>
      </c>
      <c r="M1379" s="34">
        <f>IF(OR(C1379="",F1379=""),"",IF(F1379&lt;&gt;"Espèces","—",IF(I1379&lt;&gt;"","☑ Oui","☐ Non")))</f>
        <v/>
      </c>
      <c r="N1379" s="39">
        <f>IF(D1379="","",IFERROR(VALUE(MID(D1379,LEN(D1379)-3,3)),""))</f>
        <v/>
      </c>
      <c r="O1379" s="33">
        <f>IF(N1379="","",L1379&amp;"|"&amp;N1379)</f>
        <v/>
      </c>
      <c r="P1379" s="33">
        <f>IF(N1379="","",IF(L1379="À RENSEIGNER","GIC",L1379)&amp;"-"&amp;TEXT(N1379,"000"))</f>
        <v/>
      </c>
      <c r="Q1379" s="33">
        <f>IF(O1379="","",IFERROR(INDEX(Cl_nom,MATCH(O1379,Cl_cle,0)),"(client introuvable)"))</f>
        <v/>
      </c>
      <c r="R1379" s="40">
        <f>IF(O1379="","",IFERROR(INDEX(Cl_reste,MATCH(O1379,Cl_cle,0)),""))</f>
        <v/>
      </c>
      <c r="S1379" s="34">
        <f>IF(C1379="","",YEAR(C1379-WEEKDAY(C1379,2)+4)&amp;"-S"&amp;TEXT(INT((C1379-DATE(YEAR(C1379-WEEKDAY(C1379,2)+4),1,3)+WEEKDAY(DATE(YEAR(C1379-WEEKDAY(C1379,2)+4),1,3),2)+5)/7),"00"))</f>
        <v/>
      </c>
    </row>
    <row r="1380" ht="18" customHeight="1">
      <c r="A1380" s="39" t="n">
        <v>1375</v>
      </c>
      <c r="B1380" s="33">
        <f>IF(C1380="","",IF(L1380="À RENSEIGNER","GIC",L1380)&amp;"-E"&amp;TEXT(A1380,"00000"))</f>
        <v/>
      </c>
      <c r="C1380" s="32" t="n"/>
      <c r="D1380" s="36" t="n"/>
      <c r="E1380" s="37" t="n"/>
      <c r="F1380" s="36" t="n"/>
      <c r="G1380" s="44" t="n"/>
      <c r="H1380" s="43" t="n"/>
      <c r="I1380" s="32" t="n"/>
      <c r="J1380" s="44" t="n"/>
      <c r="K1380" s="36" t="n"/>
      <c r="L1380" s="33">
        <f>IF(C1380="","",Commercial_Id)</f>
        <v/>
      </c>
      <c r="M1380" s="34">
        <f>IF(OR(C1380="",F1380=""),"",IF(F1380&lt;&gt;"Espèces","—",IF(I1380&lt;&gt;"","☑ Oui","☐ Non")))</f>
        <v/>
      </c>
      <c r="N1380" s="39">
        <f>IF(D1380="","",IFERROR(VALUE(MID(D1380,LEN(D1380)-3,3)),""))</f>
        <v/>
      </c>
      <c r="O1380" s="33">
        <f>IF(N1380="","",L1380&amp;"|"&amp;N1380)</f>
        <v/>
      </c>
      <c r="P1380" s="33">
        <f>IF(N1380="","",IF(L1380="À RENSEIGNER","GIC",L1380)&amp;"-"&amp;TEXT(N1380,"000"))</f>
        <v/>
      </c>
      <c r="Q1380" s="33">
        <f>IF(O1380="","",IFERROR(INDEX(Cl_nom,MATCH(O1380,Cl_cle,0)),"(client introuvable)"))</f>
        <v/>
      </c>
      <c r="R1380" s="40">
        <f>IF(O1380="","",IFERROR(INDEX(Cl_reste,MATCH(O1380,Cl_cle,0)),""))</f>
        <v/>
      </c>
      <c r="S1380" s="34">
        <f>IF(C1380="","",YEAR(C1380-WEEKDAY(C1380,2)+4)&amp;"-S"&amp;TEXT(INT((C1380-DATE(YEAR(C1380-WEEKDAY(C1380,2)+4),1,3)+WEEKDAY(DATE(YEAR(C1380-WEEKDAY(C1380,2)+4),1,3),2)+5)/7),"00"))</f>
        <v/>
      </c>
    </row>
    <row r="1381" ht="18" customHeight="1">
      <c r="A1381" s="39" t="n">
        <v>1376</v>
      </c>
      <c r="B1381" s="33">
        <f>IF(C1381="","",IF(L1381="À RENSEIGNER","GIC",L1381)&amp;"-E"&amp;TEXT(A1381,"00000"))</f>
        <v/>
      </c>
      <c r="C1381" s="32" t="n"/>
      <c r="D1381" s="36" t="n"/>
      <c r="E1381" s="37" t="n"/>
      <c r="F1381" s="36" t="n"/>
      <c r="G1381" s="44" t="n"/>
      <c r="H1381" s="43" t="n"/>
      <c r="I1381" s="32" t="n"/>
      <c r="J1381" s="44" t="n"/>
      <c r="K1381" s="36" t="n"/>
      <c r="L1381" s="33">
        <f>IF(C1381="","",Commercial_Id)</f>
        <v/>
      </c>
      <c r="M1381" s="34">
        <f>IF(OR(C1381="",F1381=""),"",IF(F1381&lt;&gt;"Espèces","—",IF(I1381&lt;&gt;"","☑ Oui","☐ Non")))</f>
        <v/>
      </c>
      <c r="N1381" s="39">
        <f>IF(D1381="","",IFERROR(VALUE(MID(D1381,LEN(D1381)-3,3)),""))</f>
        <v/>
      </c>
      <c r="O1381" s="33">
        <f>IF(N1381="","",L1381&amp;"|"&amp;N1381)</f>
        <v/>
      </c>
      <c r="P1381" s="33">
        <f>IF(N1381="","",IF(L1381="À RENSEIGNER","GIC",L1381)&amp;"-"&amp;TEXT(N1381,"000"))</f>
        <v/>
      </c>
      <c r="Q1381" s="33">
        <f>IF(O1381="","",IFERROR(INDEX(Cl_nom,MATCH(O1381,Cl_cle,0)),"(client introuvable)"))</f>
        <v/>
      </c>
      <c r="R1381" s="40">
        <f>IF(O1381="","",IFERROR(INDEX(Cl_reste,MATCH(O1381,Cl_cle,0)),""))</f>
        <v/>
      </c>
      <c r="S1381" s="34">
        <f>IF(C1381="","",YEAR(C1381-WEEKDAY(C1381,2)+4)&amp;"-S"&amp;TEXT(INT((C1381-DATE(YEAR(C1381-WEEKDAY(C1381,2)+4),1,3)+WEEKDAY(DATE(YEAR(C1381-WEEKDAY(C1381,2)+4),1,3),2)+5)/7),"00"))</f>
        <v/>
      </c>
    </row>
    <row r="1382" ht="18" customHeight="1">
      <c r="A1382" s="39" t="n">
        <v>1377</v>
      </c>
      <c r="B1382" s="33">
        <f>IF(C1382="","",IF(L1382="À RENSEIGNER","GIC",L1382)&amp;"-E"&amp;TEXT(A1382,"00000"))</f>
        <v/>
      </c>
      <c r="C1382" s="32" t="n"/>
      <c r="D1382" s="36" t="n"/>
      <c r="E1382" s="37" t="n"/>
      <c r="F1382" s="36" t="n"/>
      <c r="G1382" s="44" t="n"/>
      <c r="H1382" s="43" t="n"/>
      <c r="I1382" s="32" t="n"/>
      <c r="J1382" s="44" t="n"/>
      <c r="K1382" s="36" t="n"/>
      <c r="L1382" s="33">
        <f>IF(C1382="","",Commercial_Id)</f>
        <v/>
      </c>
      <c r="M1382" s="34">
        <f>IF(OR(C1382="",F1382=""),"",IF(F1382&lt;&gt;"Espèces","—",IF(I1382&lt;&gt;"","☑ Oui","☐ Non")))</f>
        <v/>
      </c>
      <c r="N1382" s="39">
        <f>IF(D1382="","",IFERROR(VALUE(MID(D1382,LEN(D1382)-3,3)),""))</f>
        <v/>
      </c>
      <c r="O1382" s="33">
        <f>IF(N1382="","",L1382&amp;"|"&amp;N1382)</f>
        <v/>
      </c>
      <c r="P1382" s="33">
        <f>IF(N1382="","",IF(L1382="À RENSEIGNER","GIC",L1382)&amp;"-"&amp;TEXT(N1382,"000"))</f>
        <v/>
      </c>
      <c r="Q1382" s="33">
        <f>IF(O1382="","",IFERROR(INDEX(Cl_nom,MATCH(O1382,Cl_cle,0)),"(client introuvable)"))</f>
        <v/>
      </c>
      <c r="R1382" s="40">
        <f>IF(O1382="","",IFERROR(INDEX(Cl_reste,MATCH(O1382,Cl_cle,0)),""))</f>
        <v/>
      </c>
      <c r="S1382" s="34">
        <f>IF(C1382="","",YEAR(C1382-WEEKDAY(C1382,2)+4)&amp;"-S"&amp;TEXT(INT((C1382-DATE(YEAR(C1382-WEEKDAY(C1382,2)+4),1,3)+WEEKDAY(DATE(YEAR(C1382-WEEKDAY(C1382,2)+4),1,3),2)+5)/7),"00"))</f>
        <v/>
      </c>
    </row>
    <row r="1383" ht="18" customHeight="1">
      <c r="A1383" s="39" t="n">
        <v>1378</v>
      </c>
      <c r="B1383" s="33">
        <f>IF(C1383="","",IF(L1383="À RENSEIGNER","GIC",L1383)&amp;"-E"&amp;TEXT(A1383,"00000"))</f>
        <v/>
      </c>
      <c r="C1383" s="32" t="n"/>
      <c r="D1383" s="36" t="n"/>
      <c r="E1383" s="37" t="n"/>
      <c r="F1383" s="36" t="n"/>
      <c r="G1383" s="44" t="n"/>
      <c r="H1383" s="43" t="n"/>
      <c r="I1383" s="32" t="n"/>
      <c r="J1383" s="44" t="n"/>
      <c r="K1383" s="36" t="n"/>
      <c r="L1383" s="33">
        <f>IF(C1383="","",Commercial_Id)</f>
        <v/>
      </c>
      <c r="M1383" s="34">
        <f>IF(OR(C1383="",F1383=""),"",IF(F1383&lt;&gt;"Espèces","—",IF(I1383&lt;&gt;"","☑ Oui","☐ Non")))</f>
        <v/>
      </c>
      <c r="N1383" s="39">
        <f>IF(D1383="","",IFERROR(VALUE(MID(D1383,LEN(D1383)-3,3)),""))</f>
        <v/>
      </c>
      <c r="O1383" s="33">
        <f>IF(N1383="","",L1383&amp;"|"&amp;N1383)</f>
        <v/>
      </c>
      <c r="P1383" s="33">
        <f>IF(N1383="","",IF(L1383="À RENSEIGNER","GIC",L1383)&amp;"-"&amp;TEXT(N1383,"000"))</f>
        <v/>
      </c>
      <c r="Q1383" s="33">
        <f>IF(O1383="","",IFERROR(INDEX(Cl_nom,MATCH(O1383,Cl_cle,0)),"(client introuvable)"))</f>
        <v/>
      </c>
      <c r="R1383" s="40">
        <f>IF(O1383="","",IFERROR(INDEX(Cl_reste,MATCH(O1383,Cl_cle,0)),""))</f>
        <v/>
      </c>
      <c r="S1383" s="34">
        <f>IF(C1383="","",YEAR(C1383-WEEKDAY(C1383,2)+4)&amp;"-S"&amp;TEXT(INT((C1383-DATE(YEAR(C1383-WEEKDAY(C1383,2)+4),1,3)+WEEKDAY(DATE(YEAR(C1383-WEEKDAY(C1383,2)+4),1,3),2)+5)/7),"00"))</f>
        <v/>
      </c>
    </row>
    <row r="1384" ht="18" customHeight="1">
      <c r="A1384" s="39" t="n">
        <v>1379</v>
      </c>
      <c r="B1384" s="33">
        <f>IF(C1384="","",IF(L1384="À RENSEIGNER","GIC",L1384)&amp;"-E"&amp;TEXT(A1384,"00000"))</f>
        <v/>
      </c>
      <c r="C1384" s="32" t="n"/>
      <c r="D1384" s="36" t="n"/>
      <c r="E1384" s="37" t="n"/>
      <c r="F1384" s="36" t="n"/>
      <c r="G1384" s="44" t="n"/>
      <c r="H1384" s="43" t="n"/>
      <c r="I1384" s="32" t="n"/>
      <c r="J1384" s="44" t="n"/>
      <c r="K1384" s="36" t="n"/>
      <c r="L1384" s="33">
        <f>IF(C1384="","",Commercial_Id)</f>
        <v/>
      </c>
      <c r="M1384" s="34">
        <f>IF(OR(C1384="",F1384=""),"",IF(F1384&lt;&gt;"Espèces","—",IF(I1384&lt;&gt;"","☑ Oui","☐ Non")))</f>
        <v/>
      </c>
      <c r="N1384" s="39">
        <f>IF(D1384="","",IFERROR(VALUE(MID(D1384,LEN(D1384)-3,3)),""))</f>
        <v/>
      </c>
      <c r="O1384" s="33">
        <f>IF(N1384="","",L1384&amp;"|"&amp;N1384)</f>
        <v/>
      </c>
      <c r="P1384" s="33">
        <f>IF(N1384="","",IF(L1384="À RENSEIGNER","GIC",L1384)&amp;"-"&amp;TEXT(N1384,"000"))</f>
        <v/>
      </c>
      <c r="Q1384" s="33">
        <f>IF(O1384="","",IFERROR(INDEX(Cl_nom,MATCH(O1384,Cl_cle,0)),"(client introuvable)"))</f>
        <v/>
      </c>
      <c r="R1384" s="40">
        <f>IF(O1384="","",IFERROR(INDEX(Cl_reste,MATCH(O1384,Cl_cle,0)),""))</f>
        <v/>
      </c>
      <c r="S1384" s="34">
        <f>IF(C1384="","",YEAR(C1384-WEEKDAY(C1384,2)+4)&amp;"-S"&amp;TEXT(INT((C1384-DATE(YEAR(C1384-WEEKDAY(C1384,2)+4),1,3)+WEEKDAY(DATE(YEAR(C1384-WEEKDAY(C1384,2)+4),1,3),2)+5)/7),"00"))</f>
        <v/>
      </c>
    </row>
    <row r="1385" ht="18" customHeight="1">
      <c r="A1385" s="39" t="n">
        <v>1380</v>
      </c>
      <c r="B1385" s="33">
        <f>IF(C1385="","",IF(L1385="À RENSEIGNER","GIC",L1385)&amp;"-E"&amp;TEXT(A1385,"00000"))</f>
        <v/>
      </c>
      <c r="C1385" s="32" t="n"/>
      <c r="D1385" s="36" t="n"/>
      <c r="E1385" s="37" t="n"/>
      <c r="F1385" s="36" t="n"/>
      <c r="G1385" s="44" t="n"/>
      <c r="H1385" s="43" t="n"/>
      <c r="I1385" s="32" t="n"/>
      <c r="J1385" s="44" t="n"/>
      <c r="K1385" s="36" t="n"/>
      <c r="L1385" s="33">
        <f>IF(C1385="","",Commercial_Id)</f>
        <v/>
      </c>
      <c r="M1385" s="34">
        <f>IF(OR(C1385="",F1385=""),"",IF(F1385&lt;&gt;"Espèces","—",IF(I1385&lt;&gt;"","☑ Oui","☐ Non")))</f>
        <v/>
      </c>
      <c r="N1385" s="39">
        <f>IF(D1385="","",IFERROR(VALUE(MID(D1385,LEN(D1385)-3,3)),""))</f>
        <v/>
      </c>
      <c r="O1385" s="33">
        <f>IF(N1385="","",L1385&amp;"|"&amp;N1385)</f>
        <v/>
      </c>
      <c r="P1385" s="33">
        <f>IF(N1385="","",IF(L1385="À RENSEIGNER","GIC",L1385)&amp;"-"&amp;TEXT(N1385,"000"))</f>
        <v/>
      </c>
      <c r="Q1385" s="33">
        <f>IF(O1385="","",IFERROR(INDEX(Cl_nom,MATCH(O1385,Cl_cle,0)),"(client introuvable)"))</f>
        <v/>
      </c>
      <c r="R1385" s="40">
        <f>IF(O1385="","",IFERROR(INDEX(Cl_reste,MATCH(O1385,Cl_cle,0)),""))</f>
        <v/>
      </c>
      <c r="S1385" s="34">
        <f>IF(C1385="","",YEAR(C1385-WEEKDAY(C1385,2)+4)&amp;"-S"&amp;TEXT(INT((C1385-DATE(YEAR(C1385-WEEKDAY(C1385,2)+4),1,3)+WEEKDAY(DATE(YEAR(C1385-WEEKDAY(C1385,2)+4),1,3),2)+5)/7),"00"))</f>
        <v/>
      </c>
    </row>
    <row r="1386" ht="18" customHeight="1">
      <c r="A1386" s="39" t="n">
        <v>1381</v>
      </c>
      <c r="B1386" s="33">
        <f>IF(C1386="","",IF(L1386="À RENSEIGNER","GIC",L1386)&amp;"-E"&amp;TEXT(A1386,"00000"))</f>
        <v/>
      </c>
      <c r="C1386" s="32" t="n"/>
      <c r="D1386" s="36" t="n"/>
      <c r="E1386" s="37" t="n"/>
      <c r="F1386" s="36" t="n"/>
      <c r="G1386" s="44" t="n"/>
      <c r="H1386" s="43" t="n"/>
      <c r="I1386" s="32" t="n"/>
      <c r="J1386" s="44" t="n"/>
      <c r="K1386" s="36" t="n"/>
      <c r="L1386" s="33">
        <f>IF(C1386="","",Commercial_Id)</f>
        <v/>
      </c>
      <c r="M1386" s="34">
        <f>IF(OR(C1386="",F1386=""),"",IF(F1386&lt;&gt;"Espèces","—",IF(I1386&lt;&gt;"","☑ Oui","☐ Non")))</f>
        <v/>
      </c>
      <c r="N1386" s="39">
        <f>IF(D1386="","",IFERROR(VALUE(MID(D1386,LEN(D1386)-3,3)),""))</f>
        <v/>
      </c>
      <c r="O1386" s="33">
        <f>IF(N1386="","",L1386&amp;"|"&amp;N1386)</f>
        <v/>
      </c>
      <c r="P1386" s="33">
        <f>IF(N1386="","",IF(L1386="À RENSEIGNER","GIC",L1386)&amp;"-"&amp;TEXT(N1386,"000"))</f>
        <v/>
      </c>
      <c r="Q1386" s="33">
        <f>IF(O1386="","",IFERROR(INDEX(Cl_nom,MATCH(O1386,Cl_cle,0)),"(client introuvable)"))</f>
        <v/>
      </c>
      <c r="R1386" s="40">
        <f>IF(O1386="","",IFERROR(INDEX(Cl_reste,MATCH(O1386,Cl_cle,0)),""))</f>
        <v/>
      </c>
      <c r="S1386" s="34">
        <f>IF(C1386="","",YEAR(C1386-WEEKDAY(C1386,2)+4)&amp;"-S"&amp;TEXT(INT((C1386-DATE(YEAR(C1386-WEEKDAY(C1386,2)+4),1,3)+WEEKDAY(DATE(YEAR(C1386-WEEKDAY(C1386,2)+4),1,3),2)+5)/7),"00"))</f>
        <v/>
      </c>
    </row>
    <row r="1387" ht="18" customHeight="1">
      <c r="A1387" s="39" t="n">
        <v>1382</v>
      </c>
      <c r="B1387" s="33">
        <f>IF(C1387="","",IF(L1387="À RENSEIGNER","GIC",L1387)&amp;"-E"&amp;TEXT(A1387,"00000"))</f>
        <v/>
      </c>
      <c r="C1387" s="32" t="n"/>
      <c r="D1387" s="36" t="n"/>
      <c r="E1387" s="37" t="n"/>
      <c r="F1387" s="36" t="n"/>
      <c r="G1387" s="44" t="n"/>
      <c r="H1387" s="43" t="n"/>
      <c r="I1387" s="32" t="n"/>
      <c r="J1387" s="44" t="n"/>
      <c r="K1387" s="36" t="n"/>
      <c r="L1387" s="33">
        <f>IF(C1387="","",Commercial_Id)</f>
        <v/>
      </c>
      <c r="M1387" s="34">
        <f>IF(OR(C1387="",F1387=""),"",IF(F1387&lt;&gt;"Espèces","—",IF(I1387&lt;&gt;"","☑ Oui","☐ Non")))</f>
        <v/>
      </c>
      <c r="N1387" s="39">
        <f>IF(D1387="","",IFERROR(VALUE(MID(D1387,LEN(D1387)-3,3)),""))</f>
        <v/>
      </c>
      <c r="O1387" s="33">
        <f>IF(N1387="","",L1387&amp;"|"&amp;N1387)</f>
        <v/>
      </c>
      <c r="P1387" s="33">
        <f>IF(N1387="","",IF(L1387="À RENSEIGNER","GIC",L1387)&amp;"-"&amp;TEXT(N1387,"000"))</f>
        <v/>
      </c>
      <c r="Q1387" s="33">
        <f>IF(O1387="","",IFERROR(INDEX(Cl_nom,MATCH(O1387,Cl_cle,0)),"(client introuvable)"))</f>
        <v/>
      </c>
      <c r="R1387" s="40">
        <f>IF(O1387="","",IFERROR(INDEX(Cl_reste,MATCH(O1387,Cl_cle,0)),""))</f>
        <v/>
      </c>
      <c r="S1387" s="34">
        <f>IF(C1387="","",YEAR(C1387-WEEKDAY(C1387,2)+4)&amp;"-S"&amp;TEXT(INT((C1387-DATE(YEAR(C1387-WEEKDAY(C1387,2)+4),1,3)+WEEKDAY(DATE(YEAR(C1387-WEEKDAY(C1387,2)+4),1,3),2)+5)/7),"00"))</f>
        <v/>
      </c>
    </row>
    <row r="1388" ht="18" customHeight="1">
      <c r="A1388" s="39" t="n">
        <v>1383</v>
      </c>
      <c r="B1388" s="33">
        <f>IF(C1388="","",IF(L1388="À RENSEIGNER","GIC",L1388)&amp;"-E"&amp;TEXT(A1388,"00000"))</f>
        <v/>
      </c>
      <c r="C1388" s="32" t="n"/>
      <c r="D1388" s="36" t="n"/>
      <c r="E1388" s="37" t="n"/>
      <c r="F1388" s="36" t="n"/>
      <c r="G1388" s="44" t="n"/>
      <c r="H1388" s="43" t="n"/>
      <c r="I1388" s="32" t="n"/>
      <c r="J1388" s="44" t="n"/>
      <c r="K1388" s="36" t="n"/>
      <c r="L1388" s="33">
        <f>IF(C1388="","",Commercial_Id)</f>
        <v/>
      </c>
      <c r="M1388" s="34">
        <f>IF(OR(C1388="",F1388=""),"",IF(F1388&lt;&gt;"Espèces","—",IF(I1388&lt;&gt;"","☑ Oui","☐ Non")))</f>
        <v/>
      </c>
      <c r="N1388" s="39">
        <f>IF(D1388="","",IFERROR(VALUE(MID(D1388,LEN(D1388)-3,3)),""))</f>
        <v/>
      </c>
      <c r="O1388" s="33">
        <f>IF(N1388="","",L1388&amp;"|"&amp;N1388)</f>
        <v/>
      </c>
      <c r="P1388" s="33">
        <f>IF(N1388="","",IF(L1388="À RENSEIGNER","GIC",L1388)&amp;"-"&amp;TEXT(N1388,"000"))</f>
        <v/>
      </c>
      <c r="Q1388" s="33">
        <f>IF(O1388="","",IFERROR(INDEX(Cl_nom,MATCH(O1388,Cl_cle,0)),"(client introuvable)"))</f>
        <v/>
      </c>
      <c r="R1388" s="40">
        <f>IF(O1388="","",IFERROR(INDEX(Cl_reste,MATCH(O1388,Cl_cle,0)),""))</f>
        <v/>
      </c>
      <c r="S1388" s="34">
        <f>IF(C1388="","",YEAR(C1388-WEEKDAY(C1388,2)+4)&amp;"-S"&amp;TEXT(INT((C1388-DATE(YEAR(C1388-WEEKDAY(C1388,2)+4),1,3)+WEEKDAY(DATE(YEAR(C1388-WEEKDAY(C1388,2)+4),1,3),2)+5)/7),"00"))</f>
        <v/>
      </c>
    </row>
    <row r="1389" ht="18" customHeight="1">
      <c r="A1389" s="39" t="n">
        <v>1384</v>
      </c>
      <c r="B1389" s="33">
        <f>IF(C1389="","",IF(L1389="À RENSEIGNER","GIC",L1389)&amp;"-E"&amp;TEXT(A1389,"00000"))</f>
        <v/>
      </c>
      <c r="C1389" s="32" t="n"/>
      <c r="D1389" s="36" t="n"/>
      <c r="E1389" s="37" t="n"/>
      <c r="F1389" s="36" t="n"/>
      <c r="G1389" s="44" t="n"/>
      <c r="H1389" s="43" t="n"/>
      <c r="I1389" s="32" t="n"/>
      <c r="J1389" s="44" t="n"/>
      <c r="K1389" s="36" t="n"/>
      <c r="L1389" s="33">
        <f>IF(C1389="","",Commercial_Id)</f>
        <v/>
      </c>
      <c r="M1389" s="34">
        <f>IF(OR(C1389="",F1389=""),"",IF(F1389&lt;&gt;"Espèces","—",IF(I1389&lt;&gt;"","☑ Oui","☐ Non")))</f>
        <v/>
      </c>
      <c r="N1389" s="39">
        <f>IF(D1389="","",IFERROR(VALUE(MID(D1389,LEN(D1389)-3,3)),""))</f>
        <v/>
      </c>
      <c r="O1389" s="33">
        <f>IF(N1389="","",L1389&amp;"|"&amp;N1389)</f>
        <v/>
      </c>
      <c r="P1389" s="33">
        <f>IF(N1389="","",IF(L1389="À RENSEIGNER","GIC",L1389)&amp;"-"&amp;TEXT(N1389,"000"))</f>
        <v/>
      </c>
      <c r="Q1389" s="33">
        <f>IF(O1389="","",IFERROR(INDEX(Cl_nom,MATCH(O1389,Cl_cle,0)),"(client introuvable)"))</f>
        <v/>
      </c>
      <c r="R1389" s="40">
        <f>IF(O1389="","",IFERROR(INDEX(Cl_reste,MATCH(O1389,Cl_cle,0)),""))</f>
        <v/>
      </c>
      <c r="S1389" s="34">
        <f>IF(C1389="","",YEAR(C1389-WEEKDAY(C1389,2)+4)&amp;"-S"&amp;TEXT(INT((C1389-DATE(YEAR(C1389-WEEKDAY(C1389,2)+4),1,3)+WEEKDAY(DATE(YEAR(C1389-WEEKDAY(C1389,2)+4),1,3),2)+5)/7),"00"))</f>
        <v/>
      </c>
    </row>
    <row r="1390" ht="18" customHeight="1">
      <c r="A1390" s="39" t="n">
        <v>1385</v>
      </c>
      <c r="B1390" s="33">
        <f>IF(C1390="","",IF(L1390="À RENSEIGNER","GIC",L1390)&amp;"-E"&amp;TEXT(A1390,"00000"))</f>
        <v/>
      </c>
      <c r="C1390" s="32" t="n"/>
      <c r="D1390" s="36" t="n"/>
      <c r="E1390" s="37" t="n"/>
      <c r="F1390" s="36" t="n"/>
      <c r="G1390" s="44" t="n"/>
      <c r="H1390" s="43" t="n"/>
      <c r="I1390" s="32" t="n"/>
      <c r="J1390" s="44" t="n"/>
      <c r="K1390" s="36" t="n"/>
      <c r="L1390" s="33">
        <f>IF(C1390="","",Commercial_Id)</f>
        <v/>
      </c>
      <c r="M1390" s="34">
        <f>IF(OR(C1390="",F1390=""),"",IF(F1390&lt;&gt;"Espèces","—",IF(I1390&lt;&gt;"","☑ Oui","☐ Non")))</f>
        <v/>
      </c>
      <c r="N1390" s="39">
        <f>IF(D1390="","",IFERROR(VALUE(MID(D1390,LEN(D1390)-3,3)),""))</f>
        <v/>
      </c>
      <c r="O1390" s="33">
        <f>IF(N1390="","",L1390&amp;"|"&amp;N1390)</f>
        <v/>
      </c>
      <c r="P1390" s="33">
        <f>IF(N1390="","",IF(L1390="À RENSEIGNER","GIC",L1390)&amp;"-"&amp;TEXT(N1390,"000"))</f>
        <v/>
      </c>
      <c r="Q1390" s="33">
        <f>IF(O1390="","",IFERROR(INDEX(Cl_nom,MATCH(O1390,Cl_cle,0)),"(client introuvable)"))</f>
        <v/>
      </c>
      <c r="R1390" s="40">
        <f>IF(O1390="","",IFERROR(INDEX(Cl_reste,MATCH(O1390,Cl_cle,0)),""))</f>
        <v/>
      </c>
      <c r="S1390" s="34">
        <f>IF(C1390="","",YEAR(C1390-WEEKDAY(C1390,2)+4)&amp;"-S"&amp;TEXT(INT((C1390-DATE(YEAR(C1390-WEEKDAY(C1390,2)+4),1,3)+WEEKDAY(DATE(YEAR(C1390-WEEKDAY(C1390,2)+4),1,3),2)+5)/7),"00"))</f>
        <v/>
      </c>
    </row>
    <row r="1391" ht="18" customHeight="1">
      <c r="A1391" s="39" t="n">
        <v>1386</v>
      </c>
      <c r="B1391" s="33">
        <f>IF(C1391="","",IF(L1391="À RENSEIGNER","GIC",L1391)&amp;"-E"&amp;TEXT(A1391,"00000"))</f>
        <v/>
      </c>
      <c r="C1391" s="32" t="n"/>
      <c r="D1391" s="36" t="n"/>
      <c r="E1391" s="37" t="n"/>
      <c r="F1391" s="36" t="n"/>
      <c r="G1391" s="44" t="n"/>
      <c r="H1391" s="43" t="n"/>
      <c r="I1391" s="32" t="n"/>
      <c r="J1391" s="44" t="n"/>
      <c r="K1391" s="36" t="n"/>
      <c r="L1391" s="33">
        <f>IF(C1391="","",Commercial_Id)</f>
        <v/>
      </c>
      <c r="M1391" s="34">
        <f>IF(OR(C1391="",F1391=""),"",IF(F1391&lt;&gt;"Espèces","—",IF(I1391&lt;&gt;"","☑ Oui","☐ Non")))</f>
        <v/>
      </c>
      <c r="N1391" s="39">
        <f>IF(D1391="","",IFERROR(VALUE(MID(D1391,LEN(D1391)-3,3)),""))</f>
        <v/>
      </c>
      <c r="O1391" s="33">
        <f>IF(N1391="","",L1391&amp;"|"&amp;N1391)</f>
        <v/>
      </c>
      <c r="P1391" s="33">
        <f>IF(N1391="","",IF(L1391="À RENSEIGNER","GIC",L1391)&amp;"-"&amp;TEXT(N1391,"000"))</f>
        <v/>
      </c>
      <c r="Q1391" s="33">
        <f>IF(O1391="","",IFERROR(INDEX(Cl_nom,MATCH(O1391,Cl_cle,0)),"(client introuvable)"))</f>
        <v/>
      </c>
      <c r="R1391" s="40">
        <f>IF(O1391="","",IFERROR(INDEX(Cl_reste,MATCH(O1391,Cl_cle,0)),""))</f>
        <v/>
      </c>
      <c r="S1391" s="34">
        <f>IF(C1391="","",YEAR(C1391-WEEKDAY(C1391,2)+4)&amp;"-S"&amp;TEXT(INT((C1391-DATE(YEAR(C1391-WEEKDAY(C1391,2)+4),1,3)+WEEKDAY(DATE(YEAR(C1391-WEEKDAY(C1391,2)+4),1,3),2)+5)/7),"00"))</f>
        <v/>
      </c>
    </row>
    <row r="1392" ht="18" customHeight="1">
      <c r="A1392" s="39" t="n">
        <v>1387</v>
      </c>
      <c r="B1392" s="33">
        <f>IF(C1392="","",IF(L1392="À RENSEIGNER","GIC",L1392)&amp;"-E"&amp;TEXT(A1392,"00000"))</f>
        <v/>
      </c>
      <c r="C1392" s="32" t="n"/>
      <c r="D1392" s="36" t="n"/>
      <c r="E1392" s="37" t="n"/>
      <c r="F1392" s="36" t="n"/>
      <c r="G1392" s="44" t="n"/>
      <c r="H1392" s="43" t="n"/>
      <c r="I1392" s="32" t="n"/>
      <c r="J1392" s="44" t="n"/>
      <c r="K1392" s="36" t="n"/>
      <c r="L1392" s="33">
        <f>IF(C1392="","",Commercial_Id)</f>
        <v/>
      </c>
      <c r="M1392" s="34">
        <f>IF(OR(C1392="",F1392=""),"",IF(F1392&lt;&gt;"Espèces","—",IF(I1392&lt;&gt;"","☑ Oui","☐ Non")))</f>
        <v/>
      </c>
      <c r="N1392" s="39">
        <f>IF(D1392="","",IFERROR(VALUE(MID(D1392,LEN(D1392)-3,3)),""))</f>
        <v/>
      </c>
      <c r="O1392" s="33">
        <f>IF(N1392="","",L1392&amp;"|"&amp;N1392)</f>
        <v/>
      </c>
      <c r="P1392" s="33">
        <f>IF(N1392="","",IF(L1392="À RENSEIGNER","GIC",L1392)&amp;"-"&amp;TEXT(N1392,"000"))</f>
        <v/>
      </c>
      <c r="Q1392" s="33">
        <f>IF(O1392="","",IFERROR(INDEX(Cl_nom,MATCH(O1392,Cl_cle,0)),"(client introuvable)"))</f>
        <v/>
      </c>
      <c r="R1392" s="40">
        <f>IF(O1392="","",IFERROR(INDEX(Cl_reste,MATCH(O1392,Cl_cle,0)),""))</f>
        <v/>
      </c>
      <c r="S1392" s="34">
        <f>IF(C1392="","",YEAR(C1392-WEEKDAY(C1392,2)+4)&amp;"-S"&amp;TEXT(INT((C1392-DATE(YEAR(C1392-WEEKDAY(C1392,2)+4),1,3)+WEEKDAY(DATE(YEAR(C1392-WEEKDAY(C1392,2)+4),1,3),2)+5)/7),"00"))</f>
        <v/>
      </c>
    </row>
    <row r="1393" ht="18" customHeight="1">
      <c r="A1393" s="39" t="n">
        <v>1388</v>
      </c>
      <c r="B1393" s="33">
        <f>IF(C1393="","",IF(L1393="À RENSEIGNER","GIC",L1393)&amp;"-E"&amp;TEXT(A1393,"00000"))</f>
        <v/>
      </c>
      <c r="C1393" s="32" t="n"/>
      <c r="D1393" s="36" t="n"/>
      <c r="E1393" s="37" t="n"/>
      <c r="F1393" s="36" t="n"/>
      <c r="G1393" s="44" t="n"/>
      <c r="H1393" s="43" t="n"/>
      <c r="I1393" s="32" t="n"/>
      <c r="J1393" s="44" t="n"/>
      <c r="K1393" s="36" t="n"/>
      <c r="L1393" s="33">
        <f>IF(C1393="","",Commercial_Id)</f>
        <v/>
      </c>
      <c r="M1393" s="34">
        <f>IF(OR(C1393="",F1393=""),"",IF(F1393&lt;&gt;"Espèces","—",IF(I1393&lt;&gt;"","☑ Oui","☐ Non")))</f>
        <v/>
      </c>
      <c r="N1393" s="39">
        <f>IF(D1393="","",IFERROR(VALUE(MID(D1393,LEN(D1393)-3,3)),""))</f>
        <v/>
      </c>
      <c r="O1393" s="33">
        <f>IF(N1393="","",L1393&amp;"|"&amp;N1393)</f>
        <v/>
      </c>
      <c r="P1393" s="33">
        <f>IF(N1393="","",IF(L1393="À RENSEIGNER","GIC",L1393)&amp;"-"&amp;TEXT(N1393,"000"))</f>
        <v/>
      </c>
      <c r="Q1393" s="33">
        <f>IF(O1393="","",IFERROR(INDEX(Cl_nom,MATCH(O1393,Cl_cle,0)),"(client introuvable)"))</f>
        <v/>
      </c>
      <c r="R1393" s="40">
        <f>IF(O1393="","",IFERROR(INDEX(Cl_reste,MATCH(O1393,Cl_cle,0)),""))</f>
        <v/>
      </c>
      <c r="S1393" s="34">
        <f>IF(C1393="","",YEAR(C1393-WEEKDAY(C1393,2)+4)&amp;"-S"&amp;TEXT(INT((C1393-DATE(YEAR(C1393-WEEKDAY(C1393,2)+4),1,3)+WEEKDAY(DATE(YEAR(C1393-WEEKDAY(C1393,2)+4),1,3),2)+5)/7),"00"))</f>
        <v/>
      </c>
    </row>
    <row r="1394" ht="18" customHeight="1">
      <c r="A1394" s="39" t="n">
        <v>1389</v>
      </c>
      <c r="B1394" s="33">
        <f>IF(C1394="","",IF(L1394="À RENSEIGNER","GIC",L1394)&amp;"-E"&amp;TEXT(A1394,"00000"))</f>
        <v/>
      </c>
      <c r="C1394" s="32" t="n"/>
      <c r="D1394" s="36" t="n"/>
      <c r="E1394" s="37" t="n"/>
      <c r="F1394" s="36" t="n"/>
      <c r="G1394" s="44" t="n"/>
      <c r="H1394" s="43" t="n"/>
      <c r="I1394" s="32" t="n"/>
      <c r="J1394" s="44" t="n"/>
      <c r="K1394" s="36" t="n"/>
      <c r="L1394" s="33">
        <f>IF(C1394="","",Commercial_Id)</f>
        <v/>
      </c>
      <c r="M1394" s="34">
        <f>IF(OR(C1394="",F1394=""),"",IF(F1394&lt;&gt;"Espèces","—",IF(I1394&lt;&gt;"","☑ Oui","☐ Non")))</f>
        <v/>
      </c>
      <c r="N1394" s="39">
        <f>IF(D1394="","",IFERROR(VALUE(MID(D1394,LEN(D1394)-3,3)),""))</f>
        <v/>
      </c>
      <c r="O1394" s="33">
        <f>IF(N1394="","",L1394&amp;"|"&amp;N1394)</f>
        <v/>
      </c>
      <c r="P1394" s="33">
        <f>IF(N1394="","",IF(L1394="À RENSEIGNER","GIC",L1394)&amp;"-"&amp;TEXT(N1394,"000"))</f>
        <v/>
      </c>
      <c r="Q1394" s="33">
        <f>IF(O1394="","",IFERROR(INDEX(Cl_nom,MATCH(O1394,Cl_cle,0)),"(client introuvable)"))</f>
        <v/>
      </c>
      <c r="R1394" s="40">
        <f>IF(O1394="","",IFERROR(INDEX(Cl_reste,MATCH(O1394,Cl_cle,0)),""))</f>
        <v/>
      </c>
      <c r="S1394" s="34">
        <f>IF(C1394="","",YEAR(C1394-WEEKDAY(C1394,2)+4)&amp;"-S"&amp;TEXT(INT((C1394-DATE(YEAR(C1394-WEEKDAY(C1394,2)+4),1,3)+WEEKDAY(DATE(YEAR(C1394-WEEKDAY(C1394,2)+4),1,3),2)+5)/7),"00"))</f>
        <v/>
      </c>
    </row>
    <row r="1395" ht="18" customHeight="1">
      <c r="A1395" s="39" t="n">
        <v>1390</v>
      </c>
      <c r="B1395" s="33">
        <f>IF(C1395="","",IF(L1395="À RENSEIGNER","GIC",L1395)&amp;"-E"&amp;TEXT(A1395,"00000"))</f>
        <v/>
      </c>
      <c r="C1395" s="32" t="n"/>
      <c r="D1395" s="36" t="n"/>
      <c r="E1395" s="37" t="n"/>
      <c r="F1395" s="36" t="n"/>
      <c r="G1395" s="44" t="n"/>
      <c r="H1395" s="43" t="n"/>
      <c r="I1395" s="32" t="n"/>
      <c r="J1395" s="44" t="n"/>
      <c r="K1395" s="36" t="n"/>
      <c r="L1395" s="33">
        <f>IF(C1395="","",Commercial_Id)</f>
        <v/>
      </c>
      <c r="M1395" s="34">
        <f>IF(OR(C1395="",F1395=""),"",IF(F1395&lt;&gt;"Espèces","—",IF(I1395&lt;&gt;"","☑ Oui","☐ Non")))</f>
        <v/>
      </c>
      <c r="N1395" s="39">
        <f>IF(D1395="","",IFERROR(VALUE(MID(D1395,LEN(D1395)-3,3)),""))</f>
        <v/>
      </c>
      <c r="O1395" s="33">
        <f>IF(N1395="","",L1395&amp;"|"&amp;N1395)</f>
        <v/>
      </c>
      <c r="P1395" s="33">
        <f>IF(N1395="","",IF(L1395="À RENSEIGNER","GIC",L1395)&amp;"-"&amp;TEXT(N1395,"000"))</f>
        <v/>
      </c>
      <c r="Q1395" s="33">
        <f>IF(O1395="","",IFERROR(INDEX(Cl_nom,MATCH(O1395,Cl_cle,0)),"(client introuvable)"))</f>
        <v/>
      </c>
      <c r="R1395" s="40">
        <f>IF(O1395="","",IFERROR(INDEX(Cl_reste,MATCH(O1395,Cl_cle,0)),""))</f>
        <v/>
      </c>
      <c r="S1395" s="34">
        <f>IF(C1395="","",YEAR(C1395-WEEKDAY(C1395,2)+4)&amp;"-S"&amp;TEXT(INT((C1395-DATE(YEAR(C1395-WEEKDAY(C1395,2)+4),1,3)+WEEKDAY(DATE(YEAR(C1395-WEEKDAY(C1395,2)+4),1,3),2)+5)/7),"00"))</f>
        <v/>
      </c>
    </row>
    <row r="1396" ht="18" customHeight="1">
      <c r="A1396" s="39" t="n">
        <v>1391</v>
      </c>
      <c r="B1396" s="33">
        <f>IF(C1396="","",IF(L1396="À RENSEIGNER","GIC",L1396)&amp;"-E"&amp;TEXT(A1396,"00000"))</f>
        <v/>
      </c>
      <c r="C1396" s="32" t="n"/>
      <c r="D1396" s="36" t="n"/>
      <c r="E1396" s="37" t="n"/>
      <c r="F1396" s="36" t="n"/>
      <c r="G1396" s="44" t="n"/>
      <c r="H1396" s="43" t="n"/>
      <c r="I1396" s="32" t="n"/>
      <c r="J1396" s="44" t="n"/>
      <c r="K1396" s="36" t="n"/>
      <c r="L1396" s="33">
        <f>IF(C1396="","",Commercial_Id)</f>
        <v/>
      </c>
      <c r="M1396" s="34">
        <f>IF(OR(C1396="",F1396=""),"",IF(F1396&lt;&gt;"Espèces","—",IF(I1396&lt;&gt;"","☑ Oui","☐ Non")))</f>
        <v/>
      </c>
      <c r="N1396" s="39">
        <f>IF(D1396="","",IFERROR(VALUE(MID(D1396,LEN(D1396)-3,3)),""))</f>
        <v/>
      </c>
      <c r="O1396" s="33">
        <f>IF(N1396="","",L1396&amp;"|"&amp;N1396)</f>
        <v/>
      </c>
      <c r="P1396" s="33">
        <f>IF(N1396="","",IF(L1396="À RENSEIGNER","GIC",L1396)&amp;"-"&amp;TEXT(N1396,"000"))</f>
        <v/>
      </c>
      <c r="Q1396" s="33">
        <f>IF(O1396="","",IFERROR(INDEX(Cl_nom,MATCH(O1396,Cl_cle,0)),"(client introuvable)"))</f>
        <v/>
      </c>
      <c r="R1396" s="40">
        <f>IF(O1396="","",IFERROR(INDEX(Cl_reste,MATCH(O1396,Cl_cle,0)),""))</f>
        <v/>
      </c>
      <c r="S1396" s="34">
        <f>IF(C1396="","",YEAR(C1396-WEEKDAY(C1396,2)+4)&amp;"-S"&amp;TEXT(INT((C1396-DATE(YEAR(C1396-WEEKDAY(C1396,2)+4),1,3)+WEEKDAY(DATE(YEAR(C1396-WEEKDAY(C1396,2)+4),1,3),2)+5)/7),"00"))</f>
        <v/>
      </c>
    </row>
    <row r="1397" ht="18" customHeight="1">
      <c r="A1397" s="39" t="n">
        <v>1392</v>
      </c>
      <c r="B1397" s="33">
        <f>IF(C1397="","",IF(L1397="À RENSEIGNER","GIC",L1397)&amp;"-E"&amp;TEXT(A1397,"00000"))</f>
        <v/>
      </c>
      <c r="C1397" s="32" t="n"/>
      <c r="D1397" s="36" t="n"/>
      <c r="E1397" s="37" t="n"/>
      <c r="F1397" s="36" t="n"/>
      <c r="G1397" s="44" t="n"/>
      <c r="H1397" s="43" t="n"/>
      <c r="I1397" s="32" t="n"/>
      <c r="J1397" s="44" t="n"/>
      <c r="K1397" s="36" t="n"/>
      <c r="L1397" s="33">
        <f>IF(C1397="","",Commercial_Id)</f>
        <v/>
      </c>
      <c r="M1397" s="34">
        <f>IF(OR(C1397="",F1397=""),"",IF(F1397&lt;&gt;"Espèces","—",IF(I1397&lt;&gt;"","☑ Oui","☐ Non")))</f>
        <v/>
      </c>
      <c r="N1397" s="39">
        <f>IF(D1397="","",IFERROR(VALUE(MID(D1397,LEN(D1397)-3,3)),""))</f>
        <v/>
      </c>
      <c r="O1397" s="33">
        <f>IF(N1397="","",L1397&amp;"|"&amp;N1397)</f>
        <v/>
      </c>
      <c r="P1397" s="33">
        <f>IF(N1397="","",IF(L1397="À RENSEIGNER","GIC",L1397)&amp;"-"&amp;TEXT(N1397,"000"))</f>
        <v/>
      </c>
      <c r="Q1397" s="33">
        <f>IF(O1397="","",IFERROR(INDEX(Cl_nom,MATCH(O1397,Cl_cle,0)),"(client introuvable)"))</f>
        <v/>
      </c>
      <c r="R1397" s="40">
        <f>IF(O1397="","",IFERROR(INDEX(Cl_reste,MATCH(O1397,Cl_cle,0)),""))</f>
        <v/>
      </c>
      <c r="S1397" s="34">
        <f>IF(C1397="","",YEAR(C1397-WEEKDAY(C1397,2)+4)&amp;"-S"&amp;TEXT(INT((C1397-DATE(YEAR(C1397-WEEKDAY(C1397,2)+4),1,3)+WEEKDAY(DATE(YEAR(C1397-WEEKDAY(C1397,2)+4),1,3),2)+5)/7),"00"))</f>
        <v/>
      </c>
    </row>
    <row r="1398" ht="18" customHeight="1">
      <c r="A1398" s="39" t="n">
        <v>1393</v>
      </c>
      <c r="B1398" s="33">
        <f>IF(C1398="","",IF(L1398="À RENSEIGNER","GIC",L1398)&amp;"-E"&amp;TEXT(A1398,"00000"))</f>
        <v/>
      </c>
      <c r="C1398" s="32" t="n"/>
      <c r="D1398" s="36" t="n"/>
      <c r="E1398" s="37" t="n"/>
      <c r="F1398" s="36" t="n"/>
      <c r="G1398" s="44" t="n"/>
      <c r="H1398" s="43" t="n"/>
      <c r="I1398" s="32" t="n"/>
      <c r="J1398" s="44" t="n"/>
      <c r="K1398" s="36" t="n"/>
      <c r="L1398" s="33">
        <f>IF(C1398="","",Commercial_Id)</f>
        <v/>
      </c>
      <c r="M1398" s="34">
        <f>IF(OR(C1398="",F1398=""),"",IF(F1398&lt;&gt;"Espèces","—",IF(I1398&lt;&gt;"","☑ Oui","☐ Non")))</f>
        <v/>
      </c>
      <c r="N1398" s="39">
        <f>IF(D1398="","",IFERROR(VALUE(MID(D1398,LEN(D1398)-3,3)),""))</f>
        <v/>
      </c>
      <c r="O1398" s="33">
        <f>IF(N1398="","",L1398&amp;"|"&amp;N1398)</f>
        <v/>
      </c>
      <c r="P1398" s="33">
        <f>IF(N1398="","",IF(L1398="À RENSEIGNER","GIC",L1398)&amp;"-"&amp;TEXT(N1398,"000"))</f>
        <v/>
      </c>
      <c r="Q1398" s="33">
        <f>IF(O1398="","",IFERROR(INDEX(Cl_nom,MATCH(O1398,Cl_cle,0)),"(client introuvable)"))</f>
        <v/>
      </c>
      <c r="R1398" s="40">
        <f>IF(O1398="","",IFERROR(INDEX(Cl_reste,MATCH(O1398,Cl_cle,0)),""))</f>
        <v/>
      </c>
      <c r="S1398" s="34">
        <f>IF(C1398="","",YEAR(C1398-WEEKDAY(C1398,2)+4)&amp;"-S"&amp;TEXT(INT((C1398-DATE(YEAR(C1398-WEEKDAY(C1398,2)+4),1,3)+WEEKDAY(DATE(YEAR(C1398-WEEKDAY(C1398,2)+4),1,3),2)+5)/7),"00"))</f>
        <v/>
      </c>
    </row>
    <row r="1399" ht="18" customHeight="1">
      <c r="A1399" s="39" t="n">
        <v>1394</v>
      </c>
      <c r="B1399" s="33">
        <f>IF(C1399="","",IF(L1399="À RENSEIGNER","GIC",L1399)&amp;"-E"&amp;TEXT(A1399,"00000"))</f>
        <v/>
      </c>
      <c r="C1399" s="32" t="n"/>
      <c r="D1399" s="36" t="n"/>
      <c r="E1399" s="37" t="n"/>
      <c r="F1399" s="36" t="n"/>
      <c r="G1399" s="44" t="n"/>
      <c r="H1399" s="43" t="n"/>
      <c r="I1399" s="32" t="n"/>
      <c r="J1399" s="44" t="n"/>
      <c r="K1399" s="36" t="n"/>
      <c r="L1399" s="33">
        <f>IF(C1399="","",Commercial_Id)</f>
        <v/>
      </c>
      <c r="M1399" s="34">
        <f>IF(OR(C1399="",F1399=""),"",IF(F1399&lt;&gt;"Espèces","—",IF(I1399&lt;&gt;"","☑ Oui","☐ Non")))</f>
        <v/>
      </c>
      <c r="N1399" s="39">
        <f>IF(D1399="","",IFERROR(VALUE(MID(D1399,LEN(D1399)-3,3)),""))</f>
        <v/>
      </c>
      <c r="O1399" s="33">
        <f>IF(N1399="","",L1399&amp;"|"&amp;N1399)</f>
        <v/>
      </c>
      <c r="P1399" s="33">
        <f>IF(N1399="","",IF(L1399="À RENSEIGNER","GIC",L1399)&amp;"-"&amp;TEXT(N1399,"000"))</f>
        <v/>
      </c>
      <c r="Q1399" s="33">
        <f>IF(O1399="","",IFERROR(INDEX(Cl_nom,MATCH(O1399,Cl_cle,0)),"(client introuvable)"))</f>
        <v/>
      </c>
      <c r="R1399" s="40">
        <f>IF(O1399="","",IFERROR(INDEX(Cl_reste,MATCH(O1399,Cl_cle,0)),""))</f>
        <v/>
      </c>
      <c r="S1399" s="34">
        <f>IF(C1399="","",YEAR(C1399-WEEKDAY(C1399,2)+4)&amp;"-S"&amp;TEXT(INT((C1399-DATE(YEAR(C1399-WEEKDAY(C1399,2)+4),1,3)+WEEKDAY(DATE(YEAR(C1399-WEEKDAY(C1399,2)+4),1,3),2)+5)/7),"00"))</f>
        <v/>
      </c>
    </row>
    <row r="1400" ht="18" customHeight="1">
      <c r="A1400" s="39" t="n">
        <v>1395</v>
      </c>
      <c r="B1400" s="33">
        <f>IF(C1400="","",IF(L1400="À RENSEIGNER","GIC",L1400)&amp;"-E"&amp;TEXT(A1400,"00000"))</f>
        <v/>
      </c>
      <c r="C1400" s="32" t="n"/>
      <c r="D1400" s="36" t="n"/>
      <c r="E1400" s="37" t="n"/>
      <c r="F1400" s="36" t="n"/>
      <c r="G1400" s="44" t="n"/>
      <c r="H1400" s="43" t="n"/>
      <c r="I1400" s="32" t="n"/>
      <c r="J1400" s="44" t="n"/>
      <c r="K1400" s="36" t="n"/>
      <c r="L1400" s="33">
        <f>IF(C1400="","",Commercial_Id)</f>
        <v/>
      </c>
      <c r="M1400" s="34">
        <f>IF(OR(C1400="",F1400=""),"",IF(F1400&lt;&gt;"Espèces","—",IF(I1400&lt;&gt;"","☑ Oui","☐ Non")))</f>
        <v/>
      </c>
      <c r="N1400" s="39">
        <f>IF(D1400="","",IFERROR(VALUE(MID(D1400,LEN(D1400)-3,3)),""))</f>
        <v/>
      </c>
      <c r="O1400" s="33">
        <f>IF(N1400="","",L1400&amp;"|"&amp;N1400)</f>
        <v/>
      </c>
      <c r="P1400" s="33">
        <f>IF(N1400="","",IF(L1400="À RENSEIGNER","GIC",L1400)&amp;"-"&amp;TEXT(N1400,"000"))</f>
        <v/>
      </c>
      <c r="Q1400" s="33">
        <f>IF(O1400="","",IFERROR(INDEX(Cl_nom,MATCH(O1400,Cl_cle,0)),"(client introuvable)"))</f>
        <v/>
      </c>
      <c r="R1400" s="40">
        <f>IF(O1400="","",IFERROR(INDEX(Cl_reste,MATCH(O1400,Cl_cle,0)),""))</f>
        <v/>
      </c>
      <c r="S1400" s="34">
        <f>IF(C1400="","",YEAR(C1400-WEEKDAY(C1400,2)+4)&amp;"-S"&amp;TEXT(INT((C1400-DATE(YEAR(C1400-WEEKDAY(C1400,2)+4),1,3)+WEEKDAY(DATE(YEAR(C1400-WEEKDAY(C1400,2)+4),1,3),2)+5)/7),"00"))</f>
        <v/>
      </c>
    </row>
    <row r="1401" ht="18" customHeight="1">
      <c r="A1401" s="39" t="n">
        <v>1396</v>
      </c>
      <c r="B1401" s="33">
        <f>IF(C1401="","",IF(L1401="À RENSEIGNER","GIC",L1401)&amp;"-E"&amp;TEXT(A1401,"00000"))</f>
        <v/>
      </c>
      <c r="C1401" s="32" t="n"/>
      <c r="D1401" s="36" t="n"/>
      <c r="E1401" s="37" t="n"/>
      <c r="F1401" s="36" t="n"/>
      <c r="G1401" s="44" t="n"/>
      <c r="H1401" s="43" t="n"/>
      <c r="I1401" s="32" t="n"/>
      <c r="J1401" s="44" t="n"/>
      <c r="K1401" s="36" t="n"/>
      <c r="L1401" s="33">
        <f>IF(C1401="","",Commercial_Id)</f>
        <v/>
      </c>
      <c r="M1401" s="34">
        <f>IF(OR(C1401="",F1401=""),"",IF(F1401&lt;&gt;"Espèces","—",IF(I1401&lt;&gt;"","☑ Oui","☐ Non")))</f>
        <v/>
      </c>
      <c r="N1401" s="39">
        <f>IF(D1401="","",IFERROR(VALUE(MID(D1401,LEN(D1401)-3,3)),""))</f>
        <v/>
      </c>
      <c r="O1401" s="33">
        <f>IF(N1401="","",L1401&amp;"|"&amp;N1401)</f>
        <v/>
      </c>
      <c r="P1401" s="33">
        <f>IF(N1401="","",IF(L1401="À RENSEIGNER","GIC",L1401)&amp;"-"&amp;TEXT(N1401,"000"))</f>
        <v/>
      </c>
      <c r="Q1401" s="33">
        <f>IF(O1401="","",IFERROR(INDEX(Cl_nom,MATCH(O1401,Cl_cle,0)),"(client introuvable)"))</f>
        <v/>
      </c>
      <c r="R1401" s="40">
        <f>IF(O1401="","",IFERROR(INDEX(Cl_reste,MATCH(O1401,Cl_cle,0)),""))</f>
        <v/>
      </c>
      <c r="S1401" s="34">
        <f>IF(C1401="","",YEAR(C1401-WEEKDAY(C1401,2)+4)&amp;"-S"&amp;TEXT(INT((C1401-DATE(YEAR(C1401-WEEKDAY(C1401,2)+4),1,3)+WEEKDAY(DATE(YEAR(C1401-WEEKDAY(C1401,2)+4),1,3),2)+5)/7),"00"))</f>
        <v/>
      </c>
    </row>
    <row r="1402" ht="18" customHeight="1">
      <c r="A1402" s="39" t="n">
        <v>1397</v>
      </c>
      <c r="B1402" s="33">
        <f>IF(C1402="","",IF(L1402="À RENSEIGNER","GIC",L1402)&amp;"-E"&amp;TEXT(A1402,"00000"))</f>
        <v/>
      </c>
      <c r="C1402" s="32" t="n"/>
      <c r="D1402" s="36" t="n"/>
      <c r="E1402" s="37" t="n"/>
      <c r="F1402" s="36" t="n"/>
      <c r="G1402" s="44" t="n"/>
      <c r="H1402" s="43" t="n"/>
      <c r="I1402" s="32" t="n"/>
      <c r="J1402" s="44" t="n"/>
      <c r="K1402" s="36" t="n"/>
      <c r="L1402" s="33">
        <f>IF(C1402="","",Commercial_Id)</f>
        <v/>
      </c>
      <c r="M1402" s="34">
        <f>IF(OR(C1402="",F1402=""),"",IF(F1402&lt;&gt;"Espèces","—",IF(I1402&lt;&gt;"","☑ Oui","☐ Non")))</f>
        <v/>
      </c>
      <c r="N1402" s="39">
        <f>IF(D1402="","",IFERROR(VALUE(MID(D1402,LEN(D1402)-3,3)),""))</f>
        <v/>
      </c>
      <c r="O1402" s="33">
        <f>IF(N1402="","",L1402&amp;"|"&amp;N1402)</f>
        <v/>
      </c>
      <c r="P1402" s="33">
        <f>IF(N1402="","",IF(L1402="À RENSEIGNER","GIC",L1402)&amp;"-"&amp;TEXT(N1402,"000"))</f>
        <v/>
      </c>
      <c r="Q1402" s="33">
        <f>IF(O1402="","",IFERROR(INDEX(Cl_nom,MATCH(O1402,Cl_cle,0)),"(client introuvable)"))</f>
        <v/>
      </c>
      <c r="R1402" s="40">
        <f>IF(O1402="","",IFERROR(INDEX(Cl_reste,MATCH(O1402,Cl_cle,0)),""))</f>
        <v/>
      </c>
      <c r="S1402" s="34">
        <f>IF(C1402="","",YEAR(C1402-WEEKDAY(C1402,2)+4)&amp;"-S"&amp;TEXT(INT((C1402-DATE(YEAR(C1402-WEEKDAY(C1402,2)+4),1,3)+WEEKDAY(DATE(YEAR(C1402-WEEKDAY(C1402,2)+4),1,3),2)+5)/7),"00"))</f>
        <v/>
      </c>
    </row>
    <row r="1403" ht="18" customHeight="1">
      <c r="A1403" s="39" t="n">
        <v>1398</v>
      </c>
      <c r="B1403" s="33">
        <f>IF(C1403="","",IF(L1403="À RENSEIGNER","GIC",L1403)&amp;"-E"&amp;TEXT(A1403,"00000"))</f>
        <v/>
      </c>
      <c r="C1403" s="32" t="n"/>
      <c r="D1403" s="36" t="n"/>
      <c r="E1403" s="37" t="n"/>
      <c r="F1403" s="36" t="n"/>
      <c r="G1403" s="44" t="n"/>
      <c r="H1403" s="43" t="n"/>
      <c r="I1403" s="32" t="n"/>
      <c r="J1403" s="44" t="n"/>
      <c r="K1403" s="36" t="n"/>
      <c r="L1403" s="33">
        <f>IF(C1403="","",Commercial_Id)</f>
        <v/>
      </c>
      <c r="M1403" s="34">
        <f>IF(OR(C1403="",F1403=""),"",IF(F1403&lt;&gt;"Espèces","—",IF(I1403&lt;&gt;"","☑ Oui","☐ Non")))</f>
        <v/>
      </c>
      <c r="N1403" s="39">
        <f>IF(D1403="","",IFERROR(VALUE(MID(D1403,LEN(D1403)-3,3)),""))</f>
        <v/>
      </c>
      <c r="O1403" s="33">
        <f>IF(N1403="","",L1403&amp;"|"&amp;N1403)</f>
        <v/>
      </c>
      <c r="P1403" s="33">
        <f>IF(N1403="","",IF(L1403="À RENSEIGNER","GIC",L1403)&amp;"-"&amp;TEXT(N1403,"000"))</f>
        <v/>
      </c>
      <c r="Q1403" s="33">
        <f>IF(O1403="","",IFERROR(INDEX(Cl_nom,MATCH(O1403,Cl_cle,0)),"(client introuvable)"))</f>
        <v/>
      </c>
      <c r="R1403" s="40">
        <f>IF(O1403="","",IFERROR(INDEX(Cl_reste,MATCH(O1403,Cl_cle,0)),""))</f>
        <v/>
      </c>
      <c r="S1403" s="34">
        <f>IF(C1403="","",YEAR(C1403-WEEKDAY(C1403,2)+4)&amp;"-S"&amp;TEXT(INT((C1403-DATE(YEAR(C1403-WEEKDAY(C1403,2)+4),1,3)+WEEKDAY(DATE(YEAR(C1403-WEEKDAY(C1403,2)+4),1,3),2)+5)/7),"00"))</f>
        <v/>
      </c>
    </row>
    <row r="1404" ht="18" customHeight="1">
      <c r="A1404" s="39" t="n">
        <v>1399</v>
      </c>
      <c r="B1404" s="33">
        <f>IF(C1404="","",IF(L1404="À RENSEIGNER","GIC",L1404)&amp;"-E"&amp;TEXT(A1404,"00000"))</f>
        <v/>
      </c>
      <c r="C1404" s="32" t="n"/>
      <c r="D1404" s="36" t="n"/>
      <c r="E1404" s="37" t="n"/>
      <c r="F1404" s="36" t="n"/>
      <c r="G1404" s="44" t="n"/>
      <c r="H1404" s="43" t="n"/>
      <c r="I1404" s="32" t="n"/>
      <c r="J1404" s="44" t="n"/>
      <c r="K1404" s="36" t="n"/>
      <c r="L1404" s="33">
        <f>IF(C1404="","",Commercial_Id)</f>
        <v/>
      </c>
      <c r="M1404" s="34">
        <f>IF(OR(C1404="",F1404=""),"",IF(F1404&lt;&gt;"Espèces","—",IF(I1404&lt;&gt;"","☑ Oui","☐ Non")))</f>
        <v/>
      </c>
      <c r="N1404" s="39">
        <f>IF(D1404="","",IFERROR(VALUE(MID(D1404,LEN(D1404)-3,3)),""))</f>
        <v/>
      </c>
      <c r="O1404" s="33">
        <f>IF(N1404="","",L1404&amp;"|"&amp;N1404)</f>
        <v/>
      </c>
      <c r="P1404" s="33">
        <f>IF(N1404="","",IF(L1404="À RENSEIGNER","GIC",L1404)&amp;"-"&amp;TEXT(N1404,"000"))</f>
        <v/>
      </c>
      <c r="Q1404" s="33">
        <f>IF(O1404="","",IFERROR(INDEX(Cl_nom,MATCH(O1404,Cl_cle,0)),"(client introuvable)"))</f>
        <v/>
      </c>
      <c r="R1404" s="40">
        <f>IF(O1404="","",IFERROR(INDEX(Cl_reste,MATCH(O1404,Cl_cle,0)),""))</f>
        <v/>
      </c>
      <c r="S1404" s="34">
        <f>IF(C1404="","",YEAR(C1404-WEEKDAY(C1404,2)+4)&amp;"-S"&amp;TEXT(INT((C1404-DATE(YEAR(C1404-WEEKDAY(C1404,2)+4),1,3)+WEEKDAY(DATE(YEAR(C1404-WEEKDAY(C1404,2)+4),1,3),2)+5)/7),"00"))</f>
        <v/>
      </c>
    </row>
    <row r="1405" ht="18" customHeight="1">
      <c r="A1405" s="39" t="n">
        <v>1400</v>
      </c>
      <c r="B1405" s="33">
        <f>IF(C1405="","",IF(L1405="À RENSEIGNER","GIC",L1405)&amp;"-E"&amp;TEXT(A1405,"00000"))</f>
        <v/>
      </c>
      <c r="C1405" s="32" t="n"/>
      <c r="D1405" s="36" t="n"/>
      <c r="E1405" s="37" t="n"/>
      <c r="F1405" s="36" t="n"/>
      <c r="G1405" s="44" t="n"/>
      <c r="H1405" s="43" t="n"/>
      <c r="I1405" s="32" t="n"/>
      <c r="J1405" s="44" t="n"/>
      <c r="K1405" s="36" t="n"/>
      <c r="L1405" s="33">
        <f>IF(C1405="","",Commercial_Id)</f>
        <v/>
      </c>
      <c r="M1405" s="34">
        <f>IF(OR(C1405="",F1405=""),"",IF(F1405&lt;&gt;"Espèces","—",IF(I1405&lt;&gt;"","☑ Oui","☐ Non")))</f>
        <v/>
      </c>
      <c r="N1405" s="39">
        <f>IF(D1405="","",IFERROR(VALUE(MID(D1405,LEN(D1405)-3,3)),""))</f>
        <v/>
      </c>
      <c r="O1405" s="33">
        <f>IF(N1405="","",L1405&amp;"|"&amp;N1405)</f>
        <v/>
      </c>
      <c r="P1405" s="33">
        <f>IF(N1405="","",IF(L1405="À RENSEIGNER","GIC",L1405)&amp;"-"&amp;TEXT(N1405,"000"))</f>
        <v/>
      </c>
      <c r="Q1405" s="33">
        <f>IF(O1405="","",IFERROR(INDEX(Cl_nom,MATCH(O1405,Cl_cle,0)),"(client introuvable)"))</f>
        <v/>
      </c>
      <c r="R1405" s="40">
        <f>IF(O1405="","",IFERROR(INDEX(Cl_reste,MATCH(O1405,Cl_cle,0)),""))</f>
        <v/>
      </c>
      <c r="S1405" s="34">
        <f>IF(C1405="","",YEAR(C1405-WEEKDAY(C1405,2)+4)&amp;"-S"&amp;TEXT(INT((C1405-DATE(YEAR(C1405-WEEKDAY(C1405,2)+4),1,3)+WEEKDAY(DATE(YEAR(C1405-WEEKDAY(C1405,2)+4),1,3),2)+5)/7),"00"))</f>
        <v/>
      </c>
    </row>
    <row r="1406" ht="18" customHeight="1">
      <c r="A1406" s="39" t="n">
        <v>1401</v>
      </c>
      <c r="B1406" s="33">
        <f>IF(C1406="","",IF(L1406="À RENSEIGNER","GIC",L1406)&amp;"-E"&amp;TEXT(A1406,"00000"))</f>
        <v/>
      </c>
      <c r="C1406" s="32" t="n"/>
      <c r="D1406" s="36" t="n"/>
      <c r="E1406" s="37" t="n"/>
      <c r="F1406" s="36" t="n"/>
      <c r="G1406" s="44" t="n"/>
      <c r="H1406" s="43" t="n"/>
      <c r="I1406" s="32" t="n"/>
      <c r="J1406" s="44" t="n"/>
      <c r="K1406" s="36" t="n"/>
      <c r="L1406" s="33">
        <f>IF(C1406="","",Commercial_Id)</f>
        <v/>
      </c>
      <c r="M1406" s="34">
        <f>IF(OR(C1406="",F1406=""),"",IF(F1406&lt;&gt;"Espèces","—",IF(I1406&lt;&gt;"","☑ Oui","☐ Non")))</f>
        <v/>
      </c>
      <c r="N1406" s="39">
        <f>IF(D1406="","",IFERROR(VALUE(MID(D1406,LEN(D1406)-3,3)),""))</f>
        <v/>
      </c>
      <c r="O1406" s="33">
        <f>IF(N1406="","",L1406&amp;"|"&amp;N1406)</f>
        <v/>
      </c>
      <c r="P1406" s="33">
        <f>IF(N1406="","",IF(L1406="À RENSEIGNER","GIC",L1406)&amp;"-"&amp;TEXT(N1406,"000"))</f>
        <v/>
      </c>
      <c r="Q1406" s="33">
        <f>IF(O1406="","",IFERROR(INDEX(Cl_nom,MATCH(O1406,Cl_cle,0)),"(client introuvable)"))</f>
        <v/>
      </c>
      <c r="R1406" s="40">
        <f>IF(O1406="","",IFERROR(INDEX(Cl_reste,MATCH(O1406,Cl_cle,0)),""))</f>
        <v/>
      </c>
      <c r="S1406" s="34">
        <f>IF(C1406="","",YEAR(C1406-WEEKDAY(C1406,2)+4)&amp;"-S"&amp;TEXT(INT((C1406-DATE(YEAR(C1406-WEEKDAY(C1406,2)+4),1,3)+WEEKDAY(DATE(YEAR(C1406-WEEKDAY(C1406,2)+4),1,3),2)+5)/7),"00"))</f>
        <v/>
      </c>
    </row>
    <row r="1407" ht="18" customHeight="1">
      <c r="A1407" s="39" t="n">
        <v>1402</v>
      </c>
      <c r="B1407" s="33">
        <f>IF(C1407="","",IF(L1407="À RENSEIGNER","GIC",L1407)&amp;"-E"&amp;TEXT(A1407,"00000"))</f>
        <v/>
      </c>
      <c r="C1407" s="32" t="n"/>
      <c r="D1407" s="36" t="n"/>
      <c r="E1407" s="37" t="n"/>
      <c r="F1407" s="36" t="n"/>
      <c r="G1407" s="44" t="n"/>
      <c r="H1407" s="43" t="n"/>
      <c r="I1407" s="32" t="n"/>
      <c r="J1407" s="44" t="n"/>
      <c r="K1407" s="36" t="n"/>
      <c r="L1407" s="33">
        <f>IF(C1407="","",Commercial_Id)</f>
        <v/>
      </c>
      <c r="M1407" s="34">
        <f>IF(OR(C1407="",F1407=""),"",IF(F1407&lt;&gt;"Espèces","—",IF(I1407&lt;&gt;"","☑ Oui","☐ Non")))</f>
        <v/>
      </c>
      <c r="N1407" s="39">
        <f>IF(D1407="","",IFERROR(VALUE(MID(D1407,LEN(D1407)-3,3)),""))</f>
        <v/>
      </c>
      <c r="O1407" s="33">
        <f>IF(N1407="","",L1407&amp;"|"&amp;N1407)</f>
        <v/>
      </c>
      <c r="P1407" s="33">
        <f>IF(N1407="","",IF(L1407="À RENSEIGNER","GIC",L1407)&amp;"-"&amp;TEXT(N1407,"000"))</f>
        <v/>
      </c>
      <c r="Q1407" s="33">
        <f>IF(O1407="","",IFERROR(INDEX(Cl_nom,MATCH(O1407,Cl_cle,0)),"(client introuvable)"))</f>
        <v/>
      </c>
      <c r="R1407" s="40">
        <f>IF(O1407="","",IFERROR(INDEX(Cl_reste,MATCH(O1407,Cl_cle,0)),""))</f>
        <v/>
      </c>
      <c r="S1407" s="34">
        <f>IF(C1407="","",YEAR(C1407-WEEKDAY(C1407,2)+4)&amp;"-S"&amp;TEXT(INT((C1407-DATE(YEAR(C1407-WEEKDAY(C1407,2)+4),1,3)+WEEKDAY(DATE(YEAR(C1407-WEEKDAY(C1407,2)+4),1,3),2)+5)/7),"00"))</f>
        <v/>
      </c>
    </row>
    <row r="1408" ht="18" customHeight="1">
      <c r="A1408" s="39" t="n">
        <v>1403</v>
      </c>
      <c r="B1408" s="33">
        <f>IF(C1408="","",IF(L1408="À RENSEIGNER","GIC",L1408)&amp;"-E"&amp;TEXT(A1408,"00000"))</f>
        <v/>
      </c>
      <c r="C1408" s="32" t="n"/>
      <c r="D1408" s="36" t="n"/>
      <c r="E1408" s="37" t="n"/>
      <c r="F1408" s="36" t="n"/>
      <c r="G1408" s="44" t="n"/>
      <c r="H1408" s="43" t="n"/>
      <c r="I1408" s="32" t="n"/>
      <c r="J1408" s="44" t="n"/>
      <c r="K1408" s="36" t="n"/>
      <c r="L1408" s="33">
        <f>IF(C1408="","",Commercial_Id)</f>
        <v/>
      </c>
      <c r="M1408" s="34">
        <f>IF(OR(C1408="",F1408=""),"",IF(F1408&lt;&gt;"Espèces","—",IF(I1408&lt;&gt;"","☑ Oui","☐ Non")))</f>
        <v/>
      </c>
      <c r="N1408" s="39">
        <f>IF(D1408="","",IFERROR(VALUE(MID(D1408,LEN(D1408)-3,3)),""))</f>
        <v/>
      </c>
      <c r="O1408" s="33">
        <f>IF(N1408="","",L1408&amp;"|"&amp;N1408)</f>
        <v/>
      </c>
      <c r="P1408" s="33">
        <f>IF(N1408="","",IF(L1408="À RENSEIGNER","GIC",L1408)&amp;"-"&amp;TEXT(N1408,"000"))</f>
        <v/>
      </c>
      <c r="Q1408" s="33">
        <f>IF(O1408="","",IFERROR(INDEX(Cl_nom,MATCH(O1408,Cl_cle,0)),"(client introuvable)"))</f>
        <v/>
      </c>
      <c r="R1408" s="40">
        <f>IF(O1408="","",IFERROR(INDEX(Cl_reste,MATCH(O1408,Cl_cle,0)),""))</f>
        <v/>
      </c>
      <c r="S1408" s="34">
        <f>IF(C1408="","",YEAR(C1408-WEEKDAY(C1408,2)+4)&amp;"-S"&amp;TEXT(INT((C1408-DATE(YEAR(C1408-WEEKDAY(C1408,2)+4),1,3)+WEEKDAY(DATE(YEAR(C1408-WEEKDAY(C1408,2)+4),1,3),2)+5)/7),"00"))</f>
        <v/>
      </c>
    </row>
    <row r="1409" ht="18" customHeight="1">
      <c r="A1409" s="39" t="n">
        <v>1404</v>
      </c>
      <c r="B1409" s="33">
        <f>IF(C1409="","",IF(L1409="À RENSEIGNER","GIC",L1409)&amp;"-E"&amp;TEXT(A1409,"00000"))</f>
        <v/>
      </c>
      <c r="C1409" s="32" t="n"/>
      <c r="D1409" s="36" t="n"/>
      <c r="E1409" s="37" t="n"/>
      <c r="F1409" s="36" t="n"/>
      <c r="G1409" s="44" t="n"/>
      <c r="H1409" s="43" t="n"/>
      <c r="I1409" s="32" t="n"/>
      <c r="J1409" s="44" t="n"/>
      <c r="K1409" s="36" t="n"/>
      <c r="L1409" s="33">
        <f>IF(C1409="","",Commercial_Id)</f>
        <v/>
      </c>
      <c r="M1409" s="34">
        <f>IF(OR(C1409="",F1409=""),"",IF(F1409&lt;&gt;"Espèces","—",IF(I1409&lt;&gt;"","☑ Oui","☐ Non")))</f>
        <v/>
      </c>
      <c r="N1409" s="39">
        <f>IF(D1409="","",IFERROR(VALUE(MID(D1409,LEN(D1409)-3,3)),""))</f>
        <v/>
      </c>
      <c r="O1409" s="33">
        <f>IF(N1409="","",L1409&amp;"|"&amp;N1409)</f>
        <v/>
      </c>
      <c r="P1409" s="33">
        <f>IF(N1409="","",IF(L1409="À RENSEIGNER","GIC",L1409)&amp;"-"&amp;TEXT(N1409,"000"))</f>
        <v/>
      </c>
      <c r="Q1409" s="33">
        <f>IF(O1409="","",IFERROR(INDEX(Cl_nom,MATCH(O1409,Cl_cle,0)),"(client introuvable)"))</f>
        <v/>
      </c>
      <c r="R1409" s="40">
        <f>IF(O1409="","",IFERROR(INDEX(Cl_reste,MATCH(O1409,Cl_cle,0)),""))</f>
        <v/>
      </c>
      <c r="S1409" s="34">
        <f>IF(C1409="","",YEAR(C1409-WEEKDAY(C1409,2)+4)&amp;"-S"&amp;TEXT(INT((C1409-DATE(YEAR(C1409-WEEKDAY(C1409,2)+4),1,3)+WEEKDAY(DATE(YEAR(C1409-WEEKDAY(C1409,2)+4),1,3),2)+5)/7),"00"))</f>
        <v/>
      </c>
    </row>
    <row r="1410" ht="18" customHeight="1">
      <c r="A1410" s="39" t="n">
        <v>1405</v>
      </c>
      <c r="B1410" s="33">
        <f>IF(C1410="","",IF(L1410="À RENSEIGNER","GIC",L1410)&amp;"-E"&amp;TEXT(A1410,"00000"))</f>
        <v/>
      </c>
      <c r="C1410" s="32" t="n"/>
      <c r="D1410" s="36" t="n"/>
      <c r="E1410" s="37" t="n"/>
      <c r="F1410" s="36" t="n"/>
      <c r="G1410" s="44" t="n"/>
      <c r="H1410" s="43" t="n"/>
      <c r="I1410" s="32" t="n"/>
      <c r="J1410" s="44" t="n"/>
      <c r="K1410" s="36" t="n"/>
      <c r="L1410" s="33">
        <f>IF(C1410="","",Commercial_Id)</f>
        <v/>
      </c>
      <c r="M1410" s="34">
        <f>IF(OR(C1410="",F1410=""),"",IF(F1410&lt;&gt;"Espèces","—",IF(I1410&lt;&gt;"","☑ Oui","☐ Non")))</f>
        <v/>
      </c>
      <c r="N1410" s="39">
        <f>IF(D1410="","",IFERROR(VALUE(MID(D1410,LEN(D1410)-3,3)),""))</f>
        <v/>
      </c>
      <c r="O1410" s="33">
        <f>IF(N1410="","",L1410&amp;"|"&amp;N1410)</f>
        <v/>
      </c>
      <c r="P1410" s="33">
        <f>IF(N1410="","",IF(L1410="À RENSEIGNER","GIC",L1410)&amp;"-"&amp;TEXT(N1410,"000"))</f>
        <v/>
      </c>
      <c r="Q1410" s="33">
        <f>IF(O1410="","",IFERROR(INDEX(Cl_nom,MATCH(O1410,Cl_cle,0)),"(client introuvable)"))</f>
        <v/>
      </c>
      <c r="R1410" s="40">
        <f>IF(O1410="","",IFERROR(INDEX(Cl_reste,MATCH(O1410,Cl_cle,0)),""))</f>
        <v/>
      </c>
      <c r="S1410" s="34">
        <f>IF(C1410="","",YEAR(C1410-WEEKDAY(C1410,2)+4)&amp;"-S"&amp;TEXT(INT((C1410-DATE(YEAR(C1410-WEEKDAY(C1410,2)+4),1,3)+WEEKDAY(DATE(YEAR(C1410-WEEKDAY(C1410,2)+4),1,3),2)+5)/7),"00"))</f>
        <v/>
      </c>
    </row>
    <row r="1411" ht="18" customHeight="1">
      <c r="A1411" s="39" t="n">
        <v>1406</v>
      </c>
      <c r="B1411" s="33">
        <f>IF(C1411="","",IF(L1411="À RENSEIGNER","GIC",L1411)&amp;"-E"&amp;TEXT(A1411,"00000"))</f>
        <v/>
      </c>
      <c r="C1411" s="32" t="n"/>
      <c r="D1411" s="36" t="n"/>
      <c r="E1411" s="37" t="n"/>
      <c r="F1411" s="36" t="n"/>
      <c r="G1411" s="44" t="n"/>
      <c r="H1411" s="43" t="n"/>
      <c r="I1411" s="32" t="n"/>
      <c r="J1411" s="44" t="n"/>
      <c r="K1411" s="36" t="n"/>
      <c r="L1411" s="33">
        <f>IF(C1411="","",Commercial_Id)</f>
        <v/>
      </c>
      <c r="M1411" s="34">
        <f>IF(OR(C1411="",F1411=""),"",IF(F1411&lt;&gt;"Espèces","—",IF(I1411&lt;&gt;"","☑ Oui","☐ Non")))</f>
        <v/>
      </c>
      <c r="N1411" s="39">
        <f>IF(D1411="","",IFERROR(VALUE(MID(D1411,LEN(D1411)-3,3)),""))</f>
        <v/>
      </c>
      <c r="O1411" s="33">
        <f>IF(N1411="","",L1411&amp;"|"&amp;N1411)</f>
        <v/>
      </c>
      <c r="P1411" s="33">
        <f>IF(N1411="","",IF(L1411="À RENSEIGNER","GIC",L1411)&amp;"-"&amp;TEXT(N1411,"000"))</f>
        <v/>
      </c>
      <c r="Q1411" s="33">
        <f>IF(O1411="","",IFERROR(INDEX(Cl_nom,MATCH(O1411,Cl_cle,0)),"(client introuvable)"))</f>
        <v/>
      </c>
      <c r="R1411" s="40">
        <f>IF(O1411="","",IFERROR(INDEX(Cl_reste,MATCH(O1411,Cl_cle,0)),""))</f>
        <v/>
      </c>
      <c r="S1411" s="34">
        <f>IF(C1411="","",YEAR(C1411-WEEKDAY(C1411,2)+4)&amp;"-S"&amp;TEXT(INT((C1411-DATE(YEAR(C1411-WEEKDAY(C1411,2)+4),1,3)+WEEKDAY(DATE(YEAR(C1411-WEEKDAY(C1411,2)+4),1,3),2)+5)/7),"00"))</f>
        <v/>
      </c>
    </row>
    <row r="1412" ht="18" customHeight="1">
      <c r="A1412" s="39" t="n">
        <v>1407</v>
      </c>
      <c r="B1412" s="33">
        <f>IF(C1412="","",IF(L1412="À RENSEIGNER","GIC",L1412)&amp;"-E"&amp;TEXT(A1412,"00000"))</f>
        <v/>
      </c>
      <c r="C1412" s="32" t="n"/>
      <c r="D1412" s="36" t="n"/>
      <c r="E1412" s="37" t="n"/>
      <c r="F1412" s="36" t="n"/>
      <c r="G1412" s="44" t="n"/>
      <c r="H1412" s="43" t="n"/>
      <c r="I1412" s="32" t="n"/>
      <c r="J1412" s="44" t="n"/>
      <c r="K1412" s="36" t="n"/>
      <c r="L1412" s="33">
        <f>IF(C1412="","",Commercial_Id)</f>
        <v/>
      </c>
      <c r="M1412" s="34">
        <f>IF(OR(C1412="",F1412=""),"",IF(F1412&lt;&gt;"Espèces","—",IF(I1412&lt;&gt;"","☑ Oui","☐ Non")))</f>
        <v/>
      </c>
      <c r="N1412" s="39">
        <f>IF(D1412="","",IFERROR(VALUE(MID(D1412,LEN(D1412)-3,3)),""))</f>
        <v/>
      </c>
      <c r="O1412" s="33">
        <f>IF(N1412="","",L1412&amp;"|"&amp;N1412)</f>
        <v/>
      </c>
      <c r="P1412" s="33">
        <f>IF(N1412="","",IF(L1412="À RENSEIGNER","GIC",L1412)&amp;"-"&amp;TEXT(N1412,"000"))</f>
        <v/>
      </c>
      <c r="Q1412" s="33">
        <f>IF(O1412="","",IFERROR(INDEX(Cl_nom,MATCH(O1412,Cl_cle,0)),"(client introuvable)"))</f>
        <v/>
      </c>
      <c r="R1412" s="40">
        <f>IF(O1412="","",IFERROR(INDEX(Cl_reste,MATCH(O1412,Cl_cle,0)),""))</f>
        <v/>
      </c>
      <c r="S1412" s="34">
        <f>IF(C1412="","",YEAR(C1412-WEEKDAY(C1412,2)+4)&amp;"-S"&amp;TEXT(INT((C1412-DATE(YEAR(C1412-WEEKDAY(C1412,2)+4),1,3)+WEEKDAY(DATE(YEAR(C1412-WEEKDAY(C1412,2)+4),1,3),2)+5)/7),"00"))</f>
        <v/>
      </c>
    </row>
    <row r="1413" ht="18" customHeight="1">
      <c r="A1413" s="39" t="n">
        <v>1408</v>
      </c>
      <c r="B1413" s="33">
        <f>IF(C1413="","",IF(L1413="À RENSEIGNER","GIC",L1413)&amp;"-E"&amp;TEXT(A1413,"00000"))</f>
        <v/>
      </c>
      <c r="C1413" s="32" t="n"/>
      <c r="D1413" s="36" t="n"/>
      <c r="E1413" s="37" t="n"/>
      <c r="F1413" s="36" t="n"/>
      <c r="G1413" s="44" t="n"/>
      <c r="H1413" s="43" t="n"/>
      <c r="I1413" s="32" t="n"/>
      <c r="J1413" s="44" t="n"/>
      <c r="K1413" s="36" t="n"/>
      <c r="L1413" s="33">
        <f>IF(C1413="","",Commercial_Id)</f>
        <v/>
      </c>
      <c r="M1413" s="34">
        <f>IF(OR(C1413="",F1413=""),"",IF(F1413&lt;&gt;"Espèces","—",IF(I1413&lt;&gt;"","☑ Oui","☐ Non")))</f>
        <v/>
      </c>
      <c r="N1413" s="39">
        <f>IF(D1413="","",IFERROR(VALUE(MID(D1413,LEN(D1413)-3,3)),""))</f>
        <v/>
      </c>
      <c r="O1413" s="33">
        <f>IF(N1413="","",L1413&amp;"|"&amp;N1413)</f>
        <v/>
      </c>
      <c r="P1413" s="33">
        <f>IF(N1413="","",IF(L1413="À RENSEIGNER","GIC",L1413)&amp;"-"&amp;TEXT(N1413,"000"))</f>
        <v/>
      </c>
      <c r="Q1413" s="33">
        <f>IF(O1413="","",IFERROR(INDEX(Cl_nom,MATCH(O1413,Cl_cle,0)),"(client introuvable)"))</f>
        <v/>
      </c>
      <c r="R1413" s="40">
        <f>IF(O1413="","",IFERROR(INDEX(Cl_reste,MATCH(O1413,Cl_cle,0)),""))</f>
        <v/>
      </c>
      <c r="S1413" s="34">
        <f>IF(C1413="","",YEAR(C1413-WEEKDAY(C1413,2)+4)&amp;"-S"&amp;TEXT(INT((C1413-DATE(YEAR(C1413-WEEKDAY(C1413,2)+4),1,3)+WEEKDAY(DATE(YEAR(C1413-WEEKDAY(C1413,2)+4),1,3),2)+5)/7),"00"))</f>
        <v/>
      </c>
    </row>
    <row r="1414" ht="18" customHeight="1">
      <c r="A1414" s="39" t="n">
        <v>1409</v>
      </c>
      <c r="B1414" s="33">
        <f>IF(C1414="","",IF(L1414="À RENSEIGNER","GIC",L1414)&amp;"-E"&amp;TEXT(A1414,"00000"))</f>
        <v/>
      </c>
      <c r="C1414" s="32" t="n"/>
      <c r="D1414" s="36" t="n"/>
      <c r="E1414" s="37" t="n"/>
      <c r="F1414" s="36" t="n"/>
      <c r="G1414" s="44" t="n"/>
      <c r="H1414" s="43" t="n"/>
      <c r="I1414" s="32" t="n"/>
      <c r="J1414" s="44" t="n"/>
      <c r="K1414" s="36" t="n"/>
      <c r="L1414" s="33">
        <f>IF(C1414="","",Commercial_Id)</f>
        <v/>
      </c>
      <c r="M1414" s="34">
        <f>IF(OR(C1414="",F1414=""),"",IF(F1414&lt;&gt;"Espèces","—",IF(I1414&lt;&gt;"","☑ Oui","☐ Non")))</f>
        <v/>
      </c>
      <c r="N1414" s="39">
        <f>IF(D1414="","",IFERROR(VALUE(MID(D1414,LEN(D1414)-3,3)),""))</f>
        <v/>
      </c>
      <c r="O1414" s="33">
        <f>IF(N1414="","",L1414&amp;"|"&amp;N1414)</f>
        <v/>
      </c>
      <c r="P1414" s="33">
        <f>IF(N1414="","",IF(L1414="À RENSEIGNER","GIC",L1414)&amp;"-"&amp;TEXT(N1414,"000"))</f>
        <v/>
      </c>
      <c r="Q1414" s="33">
        <f>IF(O1414="","",IFERROR(INDEX(Cl_nom,MATCH(O1414,Cl_cle,0)),"(client introuvable)"))</f>
        <v/>
      </c>
      <c r="R1414" s="40">
        <f>IF(O1414="","",IFERROR(INDEX(Cl_reste,MATCH(O1414,Cl_cle,0)),""))</f>
        <v/>
      </c>
      <c r="S1414" s="34">
        <f>IF(C1414="","",YEAR(C1414-WEEKDAY(C1414,2)+4)&amp;"-S"&amp;TEXT(INT((C1414-DATE(YEAR(C1414-WEEKDAY(C1414,2)+4),1,3)+WEEKDAY(DATE(YEAR(C1414-WEEKDAY(C1414,2)+4),1,3),2)+5)/7),"00"))</f>
        <v/>
      </c>
    </row>
    <row r="1415" ht="18" customHeight="1">
      <c r="A1415" s="39" t="n">
        <v>1410</v>
      </c>
      <c r="B1415" s="33">
        <f>IF(C1415="","",IF(L1415="À RENSEIGNER","GIC",L1415)&amp;"-E"&amp;TEXT(A1415,"00000"))</f>
        <v/>
      </c>
      <c r="C1415" s="32" t="n"/>
      <c r="D1415" s="36" t="n"/>
      <c r="E1415" s="37" t="n"/>
      <c r="F1415" s="36" t="n"/>
      <c r="G1415" s="44" t="n"/>
      <c r="H1415" s="43" t="n"/>
      <c r="I1415" s="32" t="n"/>
      <c r="J1415" s="44" t="n"/>
      <c r="K1415" s="36" t="n"/>
      <c r="L1415" s="33">
        <f>IF(C1415="","",Commercial_Id)</f>
        <v/>
      </c>
      <c r="M1415" s="34">
        <f>IF(OR(C1415="",F1415=""),"",IF(F1415&lt;&gt;"Espèces","—",IF(I1415&lt;&gt;"","☑ Oui","☐ Non")))</f>
        <v/>
      </c>
      <c r="N1415" s="39">
        <f>IF(D1415="","",IFERROR(VALUE(MID(D1415,LEN(D1415)-3,3)),""))</f>
        <v/>
      </c>
      <c r="O1415" s="33">
        <f>IF(N1415="","",L1415&amp;"|"&amp;N1415)</f>
        <v/>
      </c>
      <c r="P1415" s="33">
        <f>IF(N1415="","",IF(L1415="À RENSEIGNER","GIC",L1415)&amp;"-"&amp;TEXT(N1415,"000"))</f>
        <v/>
      </c>
      <c r="Q1415" s="33">
        <f>IF(O1415="","",IFERROR(INDEX(Cl_nom,MATCH(O1415,Cl_cle,0)),"(client introuvable)"))</f>
        <v/>
      </c>
      <c r="R1415" s="40">
        <f>IF(O1415="","",IFERROR(INDEX(Cl_reste,MATCH(O1415,Cl_cle,0)),""))</f>
        <v/>
      </c>
      <c r="S1415" s="34">
        <f>IF(C1415="","",YEAR(C1415-WEEKDAY(C1415,2)+4)&amp;"-S"&amp;TEXT(INT((C1415-DATE(YEAR(C1415-WEEKDAY(C1415,2)+4),1,3)+WEEKDAY(DATE(YEAR(C1415-WEEKDAY(C1415,2)+4),1,3),2)+5)/7),"00"))</f>
        <v/>
      </c>
    </row>
    <row r="1416" ht="18" customHeight="1">
      <c r="A1416" s="39" t="n">
        <v>1411</v>
      </c>
      <c r="B1416" s="33">
        <f>IF(C1416="","",IF(L1416="À RENSEIGNER","GIC",L1416)&amp;"-E"&amp;TEXT(A1416,"00000"))</f>
        <v/>
      </c>
      <c r="C1416" s="32" t="n"/>
      <c r="D1416" s="36" t="n"/>
      <c r="E1416" s="37" t="n"/>
      <c r="F1416" s="36" t="n"/>
      <c r="G1416" s="44" t="n"/>
      <c r="H1416" s="43" t="n"/>
      <c r="I1416" s="32" t="n"/>
      <c r="J1416" s="44" t="n"/>
      <c r="K1416" s="36" t="n"/>
      <c r="L1416" s="33">
        <f>IF(C1416="","",Commercial_Id)</f>
        <v/>
      </c>
      <c r="M1416" s="34">
        <f>IF(OR(C1416="",F1416=""),"",IF(F1416&lt;&gt;"Espèces","—",IF(I1416&lt;&gt;"","☑ Oui","☐ Non")))</f>
        <v/>
      </c>
      <c r="N1416" s="39">
        <f>IF(D1416="","",IFERROR(VALUE(MID(D1416,LEN(D1416)-3,3)),""))</f>
        <v/>
      </c>
      <c r="O1416" s="33">
        <f>IF(N1416="","",L1416&amp;"|"&amp;N1416)</f>
        <v/>
      </c>
      <c r="P1416" s="33">
        <f>IF(N1416="","",IF(L1416="À RENSEIGNER","GIC",L1416)&amp;"-"&amp;TEXT(N1416,"000"))</f>
        <v/>
      </c>
      <c r="Q1416" s="33">
        <f>IF(O1416="","",IFERROR(INDEX(Cl_nom,MATCH(O1416,Cl_cle,0)),"(client introuvable)"))</f>
        <v/>
      </c>
      <c r="R1416" s="40">
        <f>IF(O1416="","",IFERROR(INDEX(Cl_reste,MATCH(O1416,Cl_cle,0)),""))</f>
        <v/>
      </c>
      <c r="S1416" s="34">
        <f>IF(C1416="","",YEAR(C1416-WEEKDAY(C1416,2)+4)&amp;"-S"&amp;TEXT(INT((C1416-DATE(YEAR(C1416-WEEKDAY(C1416,2)+4),1,3)+WEEKDAY(DATE(YEAR(C1416-WEEKDAY(C1416,2)+4),1,3),2)+5)/7),"00"))</f>
        <v/>
      </c>
    </row>
    <row r="1417" ht="18" customHeight="1">
      <c r="A1417" s="39" t="n">
        <v>1412</v>
      </c>
      <c r="B1417" s="33">
        <f>IF(C1417="","",IF(L1417="À RENSEIGNER","GIC",L1417)&amp;"-E"&amp;TEXT(A1417,"00000"))</f>
        <v/>
      </c>
      <c r="C1417" s="32" t="n"/>
      <c r="D1417" s="36" t="n"/>
      <c r="E1417" s="37" t="n"/>
      <c r="F1417" s="36" t="n"/>
      <c r="G1417" s="44" t="n"/>
      <c r="H1417" s="43" t="n"/>
      <c r="I1417" s="32" t="n"/>
      <c r="J1417" s="44" t="n"/>
      <c r="K1417" s="36" t="n"/>
      <c r="L1417" s="33">
        <f>IF(C1417="","",Commercial_Id)</f>
        <v/>
      </c>
      <c r="M1417" s="34">
        <f>IF(OR(C1417="",F1417=""),"",IF(F1417&lt;&gt;"Espèces","—",IF(I1417&lt;&gt;"","☑ Oui","☐ Non")))</f>
        <v/>
      </c>
      <c r="N1417" s="39">
        <f>IF(D1417="","",IFERROR(VALUE(MID(D1417,LEN(D1417)-3,3)),""))</f>
        <v/>
      </c>
      <c r="O1417" s="33">
        <f>IF(N1417="","",L1417&amp;"|"&amp;N1417)</f>
        <v/>
      </c>
      <c r="P1417" s="33">
        <f>IF(N1417="","",IF(L1417="À RENSEIGNER","GIC",L1417)&amp;"-"&amp;TEXT(N1417,"000"))</f>
        <v/>
      </c>
      <c r="Q1417" s="33">
        <f>IF(O1417="","",IFERROR(INDEX(Cl_nom,MATCH(O1417,Cl_cle,0)),"(client introuvable)"))</f>
        <v/>
      </c>
      <c r="R1417" s="40">
        <f>IF(O1417="","",IFERROR(INDEX(Cl_reste,MATCH(O1417,Cl_cle,0)),""))</f>
        <v/>
      </c>
      <c r="S1417" s="34">
        <f>IF(C1417="","",YEAR(C1417-WEEKDAY(C1417,2)+4)&amp;"-S"&amp;TEXT(INT((C1417-DATE(YEAR(C1417-WEEKDAY(C1417,2)+4),1,3)+WEEKDAY(DATE(YEAR(C1417-WEEKDAY(C1417,2)+4),1,3),2)+5)/7),"00"))</f>
        <v/>
      </c>
    </row>
    <row r="1418" ht="18" customHeight="1">
      <c r="A1418" s="39" t="n">
        <v>1413</v>
      </c>
      <c r="B1418" s="33">
        <f>IF(C1418="","",IF(L1418="À RENSEIGNER","GIC",L1418)&amp;"-E"&amp;TEXT(A1418,"00000"))</f>
        <v/>
      </c>
      <c r="C1418" s="32" t="n"/>
      <c r="D1418" s="36" t="n"/>
      <c r="E1418" s="37" t="n"/>
      <c r="F1418" s="36" t="n"/>
      <c r="G1418" s="44" t="n"/>
      <c r="H1418" s="43" t="n"/>
      <c r="I1418" s="32" t="n"/>
      <c r="J1418" s="44" t="n"/>
      <c r="K1418" s="36" t="n"/>
      <c r="L1418" s="33">
        <f>IF(C1418="","",Commercial_Id)</f>
        <v/>
      </c>
      <c r="M1418" s="34">
        <f>IF(OR(C1418="",F1418=""),"",IF(F1418&lt;&gt;"Espèces","—",IF(I1418&lt;&gt;"","☑ Oui","☐ Non")))</f>
        <v/>
      </c>
      <c r="N1418" s="39">
        <f>IF(D1418="","",IFERROR(VALUE(MID(D1418,LEN(D1418)-3,3)),""))</f>
        <v/>
      </c>
      <c r="O1418" s="33">
        <f>IF(N1418="","",L1418&amp;"|"&amp;N1418)</f>
        <v/>
      </c>
      <c r="P1418" s="33">
        <f>IF(N1418="","",IF(L1418="À RENSEIGNER","GIC",L1418)&amp;"-"&amp;TEXT(N1418,"000"))</f>
        <v/>
      </c>
      <c r="Q1418" s="33">
        <f>IF(O1418="","",IFERROR(INDEX(Cl_nom,MATCH(O1418,Cl_cle,0)),"(client introuvable)"))</f>
        <v/>
      </c>
      <c r="R1418" s="40">
        <f>IF(O1418="","",IFERROR(INDEX(Cl_reste,MATCH(O1418,Cl_cle,0)),""))</f>
        <v/>
      </c>
      <c r="S1418" s="34">
        <f>IF(C1418="","",YEAR(C1418-WEEKDAY(C1418,2)+4)&amp;"-S"&amp;TEXT(INT((C1418-DATE(YEAR(C1418-WEEKDAY(C1418,2)+4),1,3)+WEEKDAY(DATE(YEAR(C1418-WEEKDAY(C1418,2)+4),1,3),2)+5)/7),"00"))</f>
        <v/>
      </c>
    </row>
    <row r="1419" ht="18" customHeight="1">
      <c r="A1419" s="39" t="n">
        <v>1414</v>
      </c>
      <c r="B1419" s="33">
        <f>IF(C1419="","",IF(L1419="À RENSEIGNER","GIC",L1419)&amp;"-E"&amp;TEXT(A1419,"00000"))</f>
        <v/>
      </c>
      <c r="C1419" s="32" t="n"/>
      <c r="D1419" s="36" t="n"/>
      <c r="E1419" s="37" t="n"/>
      <c r="F1419" s="36" t="n"/>
      <c r="G1419" s="44" t="n"/>
      <c r="H1419" s="43" t="n"/>
      <c r="I1419" s="32" t="n"/>
      <c r="J1419" s="44" t="n"/>
      <c r="K1419" s="36" t="n"/>
      <c r="L1419" s="33">
        <f>IF(C1419="","",Commercial_Id)</f>
        <v/>
      </c>
      <c r="M1419" s="34">
        <f>IF(OR(C1419="",F1419=""),"",IF(F1419&lt;&gt;"Espèces","—",IF(I1419&lt;&gt;"","☑ Oui","☐ Non")))</f>
        <v/>
      </c>
      <c r="N1419" s="39">
        <f>IF(D1419="","",IFERROR(VALUE(MID(D1419,LEN(D1419)-3,3)),""))</f>
        <v/>
      </c>
      <c r="O1419" s="33">
        <f>IF(N1419="","",L1419&amp;"|"&amp;N1419)</f>
        <v/>
      </c>
      <c r="P1419" s="33">
        <f>IF(N1419="","",IF(L1419="À RENSEIGNER","GIC",L1419)&amp;"-"&amp;TEXT(N1419,"000"))</f>
        <v/>
      </c>
      <c r="Q1419" s="33">
        <f>IF(O1419="","",IFERROR(INDEX(Cl_nom,MATCH(O1419,Cl_cle,0)),"(client introuvable)"))</f>
        <v/>
      </c>
      <c r="R1419" s="40">
        <f>IF(O1419="","",IFERROR(INDEX(Cl_reste,MATCH(O1419,Cl_cle,0)),""))</f>
        <v/>
      </c>
      <c r="S1419" s="34">
        <f>IF(C1419="","",YEAR(C1419-WEEKDAY(C1419,2)+4)&amp;"-S"&amp;TEXT(INT((C1419-DATE(YEAR(C1419-WEEKDAY(C1419,2)+4),1,3)+WEEKDAY(DATE(YEAR(C1419-WEEKDAY(C1419,2)+4),1,3),2)+5)/7),"00"))</f>
        <v/>
      </c>
    </row>
    <row r="1420" ht="18" customHeight="1">
      <c r="A1420" s="39" t="n">
        <v>1415</v>
      </c>
      <c r="B1420" s="33">
        <f>IF(C1420="","",IF(L1420="À RENSEIGNER","GIC",L1420)&amp;"-E"&amp;TEXT(A1420,"00000"))</f>
        <v/>
      </c>
      <c r="C1420" s="32" t="n"/>
      <c r="D1420" s="36" t="n"/>
      <c r="E1420" s="37" t="n"/>
      <c r="F1420" s="36" t="n"/>
      <c r="G1420" s="44" t="n"/>
      <c r="H1420" s="43" t="n"/>
      <c r="I1420" s="32" t="n"/>
      <c r="J1420" s="44" t="n"/>
      <c r="K1420" s="36" t="n"/>
      <c r="L1420" s="33">
        <f>IF(C1420="","",Commercial_Id)</f>
        <v/>
      </c>
      <c r="M1420" s="34">
        <f>IF(OR(C1420="",F1420=""),"",IF(F1420&lt;&gt;"Espèces","—",IF(I1420&lt;&gt;"","☑ Oui","☐ Non")))</f>
        <v/>
      </c>
      <c r="N1420" s="39">
        <f>IF(D1420="","",IFERROR(VALUE(MID(D1420,LEN(D1420)-3,3)),""))</f>
        <v/>
      </c>
      <c r="O1420" s="33">
        <f>IF(N1420="","",L1420&amp;"|"&amp;N1420)</f>
        <v/>
      </c>
      <c r="P1420" s="33">
        <f>IF(N1420="","",IF(L1420="À RENSEIGNER","GIC",L1420)&amp;"-"&amp;TEXT(N1420,"000"))</f>
        <v/>
      </c>
      <c r="Q1420" s="33">
        <f>IF(O1420="","",IFERROR(INDEX(Cl_nom,MATCH(O1420,Cl_cle,0)),"(client introuvable)"))</f>
        <v/>
      </c>
      <c r="R1420" s="40">
        <f>IF(O1420="","",IFERROR(INDEX(Cl_reste,MATCH(O1420,Cl_cle,0)),""))</f>
        <v/>
      </c>
      <c r="S1420" s="34">
        <f>IF(C1420="","",YEAR(C1420-WEEKDAY(C1420,2)+4)&amp;"-S"&amp;TEXT(INT((C1420-DATE(YEAR(C1420-WEEKDAY(C1420,2)+4),1,3)+WEEKDAY(DATE(YEAR(C1420-WEEKDAY(C1420,2)+4),1,3),2)+5)/7),"00"))</f>
        <v/>
      </c>
    </row>
    <row r="1421" ht="18" customHeight="1">
      <c r="A1421" s="39" t="n">
        <v>1416</v>
      </c>
      <c r="B1421" s="33">
        <f>IF(C1421="","",IF(L1421="À RENSEIGNER","GIC",L1421)&amp;"-E"&amp;TEXT(A1421,"00000"))</f>
        <v/>
      </c>
      <c r="C1421" s="32" t="n"/>
      <c r="D1421" s="36" t="n"/>
      <c r="E1421" s="37" t="n"/>
      <c r="F1421" s="36" t="n"/>
      <c r="G1421" s="44" t="n"/>
      <c r="H1421" s="43" t="n"/>
      <c r="I1421" s="32" t="n"/>
      <c r="J1421" s="44" t="n"/>
      <c r="K1421" s="36" t="n"/>
      <c r="L1421" s="33">
        <f>IF(C1421="","",Commercial_Id)</f>
        <v/>
      </c>
      <c r="M1421" s="34">
        <f>IF(OR(C1421="",F1421=""),"",IF(F1421&lt;&gt;"Espèces","—",IF(I1421&lt;&gt;"","☑ Oui","☐ Non")))</f>
        <v/>
      </c>
      <c r="N1421" s="39">
        <f>IF(D1421="","",IFERROR(VALUE(MID(D1421,LEN(D1421)-3,3)),""))</f>
        <v/>
      </c>
      <c r="O1421" s="33">
        <f>IF(N1421="","",L1421&amp;"|"&amp;N1421)</f>
        <v/>
      </c>
      <c r="P1421" s="33">
        <f>IF(N1421="","",IF(L1421="À RENSEIGNER","GIC",L1421)&amp;"-"&amp;TEXT(N1421,"000"))</f>
        <v/>
      </c>
      <c r="Q1421" s="33">
        <f>IF(O1421="","",IFERROR(INDEX(Cl_nom,MATCH(O1421,Cl_cle,0)),"(client introuvable)"))</f>
        <v/>
      </c>
      <c r="R1421" s="40">
        <f>IF(O1421="","",IFERROR(INDEX(Cl_reste,MATCH(O1421,Cl_cle,0)),""))</f>
        <v/>
      </c>
      <c r="S1421" s="34">
        <f>IF(C1421="","",YEAR(C1421-WEEKDAY(C1421,2)+4)&amp;"-S"&amp;TEXT(INT((C1421-DATE(YEAR(C1421-WEEKDAY(C1421,2)+4),1,3)+WEEKDAY(DATE(YEAR(C1421-WEEKDAY(C1421,2)+4),1,3),2)+5)/7),"00"))</f>
        <v/>
      </c>
    </row>
    <row r="1422" ht="18" customHeight="1">
      <c r="A1422" s="39" t="n">
        <v>1417</v>
      </c>
      <c r="B1422" s="33">
        <f>IF(C1422="","",IF(L1422="À RENSEIGNER","GIC",L1422)&amp;"-E"&amp;TEXT(A1422,"00000"))</f>
        <v/>
      </c>
      <c r="C1422" s="32" t="n"/>
      <c r="D1422" s="36" t="n"/>
      <c r="E1422" s="37" t="n"/>
      <c r="F1422" s="36" t="n"/>
      <c r="G1422" s="44" t="n"/>
      <c r="H1422" s="43" t="n"/>
      <c r="I1422" s="32" t="n"/>
      <c r="J1422" s="44" t="n"/>
      <c r="K1422" s="36" t="n"/>
      <c r="L1422" s="33">
        <f>IF(C1422="","",Commercial_Id)</f>
        <v/>
      </c>
      <c r="M1422" s="34">
        <f>IF(OR(C1422="",F1422=""),"",IF(F1422&lt;&gt;"Espèces","—",IF(I1422&lt;&gt;"","☑ Oui","☐ Non")))</f>
        <v/>
      </c>
      <c r="N1422" s="39">
        <f>IF(D1422="","",IFERROR(VALUE(MID(D1422,LEN(D1422)-3,3)),""))</f>
        <v/>
      </c>
      <c r="O1422" s="33">
        <f>IF(N1422="","",L1422&amp;"|"&amp;N1422)</f>
        <v/>
      </c>
      <c r="P1422" s="33">
        <f>IF(N1422="","",IF(L1422="À RENSEIGNER","GIC",L1422)&amp;"-"&amp;TEXT(N1422,"000"))</f>
        <v/>
      </c>
      <c r="Q1422" s="33">
        <f>IF(O1422="","",IFERROR(INDEX(Cl_nom,MATCH(O1422,Cl_cle,0)),"(client introuvable)"))</f>
        <v/>
      </c>
      <c r="R1422" s="40">
        <f>IF(O1422="","",IFERROR(INDEX(Cl_reste,MATCH(O1422,Cl_cle,0)),""))</f>
        <v/>
      </c>
      <c r="S1422" s="34">
        <f>IF(C1422="","",YEAR(C1422-WEEKDAY(C1422,2)+4)&amp;"-S"&amp;TEXT(INT((C1422-DATE(YEAR(C1422-WEEKDAY(C1422,2)+4),1,3)+WEEKDAY(DATE(YEAR(C1422-WEEKDAY(C1422,2)+4),1,3),2)+5)/7),"00"))</f>
        <v/>
      </c>
    </row>
    <row r="1423" ht="18" customHeight="1">
      <c r="A1423" s="39" t="n">
        <v>1418</v>
      </c>
      <c r="B1423" s="33">
        <f>IF(C1423="","",IF(L1423="À RENSEIGNER","GIC",L1423)&amp;"-E"&amp;TEXT(A1423,"00000"))</f>
        <v/>
      </c>
      <c r="C1423" s="32" t="n"/>
      <c r="D1423" s="36" t="n"/>
      <c r="E1423" s="37" t="n"/>
      <c r="F1423" s="36" t="n"/>
      <c r="G1423" s="44" t="n"/>
      <c r="H1423" s="43" t="n"/>
      <c r="I1423" s="32" t="n"/>
      <c r="J1423" s="44" t="n"/>
      <c r="K1423" s="36" t="n"/>
      <c r="L1423" s="33">
        <f>IF(C1423="","",Commercial_Id)</f>
        <v/>
      </c>
      <c r="M1423" s="34">
        <f>IF(OR(C1423="",F1423=""),"",IF(F1423&lt;&gt;"Espèces","—",IF(I1423&lt;&gt;"","☑ Oui","☐ Non")))</f>
        <v/>
      </c>
      <c r="N1423" s="39">
        <f>IF(D1423="","",IFERROR(VALUE(MID(D1423,LEN(D1423)-3,3)),""))</f>
        <v/>
      </c>
      <c r="O1423" s="33">
        <f>IF(N1423="","",L1423&amp;"|"&amp;N1423)</f>
        <v/>
      </c>
      <c r="P1423" s="33">
        <f>IF(N1423="","",IF(L1423="À RENSEIGNER","GIC",L1423)&amp;"-"&amp;TEXT(N1423,"000"))</f>
        <v/>
      </c>
      <c r="Q1423" s="33">
        <f>IF(O1423="","",IFERROR(INDEX(Cl_nom,MATCH(O1423,Cl_cle,0)),"(client introuvable)"))</f>
        <v/>
      </c>
      <c r="R1423" s="40">
        <f>IF(O1423="","",IFERROR(INDEX(Cl_reste,MATCH(O1423,Cl_cle,0)),""))</f>
        <v/>
      </c>
      <c r="S1423" s="34">
        <f>IF(C1423="","",YEAR(C1423-WEEKDAY(C1423,2)+4)&amp;"-S"&amp;TEXT(INT((C1423-DATE(YEAR(C1423-WEEKDAY(C1423,2)+4),1,3)+WEEKDAY(DATE(YEAR(C1423-WEEKDAY(C1423,2)+4),1,3),2)+5)/7),"00"))</f>
        <v/>
      </c>
    </row>
    <row r="1424" ht="18" customHeight="1">
      <c r="A1424" s="39" t="n">
        <v>1419</v>
      </c>
      <c r="B1424" s="33">
        <f>IF(C1424="","",IF(L1424="À RENSEIGNER","GIC",L1424)&amp;"-E"&amp;TEXT(A1424,"00000"))</f>
        <v/>
      </c>
      <c r="C1424" s="32" t="n"/>
      <c r="D1424" s="36" t="n"/>
      <c r="E1424" s="37" t="n"/>
      <c r="F1424" s="36" t="n"/>
      <c r="G1424" s="44" t="n"/>
      <c r="H1424" s="43" t="n"/>
      <c r="I1424" s="32" t="n"/>
      <c r="J1424" s="44" t="n"/>
      <c r="K1424" s="36" t="n"/>
      <c r="L1424" s="33">
        <f>IF(C1424="","",Commercial_Id)</f>
        <v/>
      </c>
      <c r="M1424" s="34">
        <f>IF(OR(C1424="",F1424=""),"",IF(F1424&lt;&gt;"Espèces","—",IF(I1424&lt;&gt;"","☑ Oui","☐ Non")))</f>
        <v/>
      </c>
      <c r="N1424" s="39">
        <f>IF(D1424="","",IFERROR(VALUE(MID(D1424,LEN(D1424)-3,3)),""))</f>
        <v/>
      </c>
      <c r="O1424" s="33">
        <f>IF(N1424="","",L1424&amp;"|"&amp;N1424)</f>
        <v/>
      </c>
      <c r="P1424" s="33">
        <f>IF(N1424="","",IF(L1424="À RENSEIGNER","GIC",L1424)&amp;"-"&amp;TEXT(N1424,"000"))</f>
        <v/>
      </c>
      <c r="Q1424" s="33">
        <f>IF(O1424="","",IFERROR(INDEX(Cl_nom,MATCH(O1424,Cl_cle,0)),"(client introuvable)"))</f>
        <v/>
      </c>
      <c r="R1424" s="40">
        <f>IF(O1424="","",IFERROR(INDEX(Cl_reste,MATCH(O1424,Cl_cle,0)),""))</f>
        <v/>
      </c>
      <c r="S1424" s="34">
        <f>IF(C1424="","",YEAR(C1424-WEEKDAY(C1424,2)+4)&amp;"-S"&amp;TEXT(INT((C1424-DATE(YEAR(C1424-WEEKDAY(C1424,2)+4),1,3)+WEEKDAY(DATE(YEAR(C1424-WEEKDAY(C1424,2)+4),1,3),2)+5)/7),"00"))</f>
        <v/>
      </c>
    </row>
    <row r="1425" ht="18" customHeight="1">
      <c r="A1425" s="39" t="n">
        <v>1420</v>
      </c>
      <c r="B1425" s="33">
        <f>IF(C1425="","",IF(L1425="À RENSEIGNER","GIC",L1425)&amp;"-E"&amp;TEXT(A1425,"00000"))</f>
        <v/>
      </c>
      <c r="C1425" s="32" t="n"/>
      <c r="D1425" s="36" t="n"/>
      <c r="E1425" s="37" t="n"/>
      <c r="F1425" s="36" t="n"/>
      <c r="G1425" s="44" t="n"/>
      <c r="H1425" s="43" t="n"/>
      <c r="I1425" s="32" t="n"/>
      <c r="J1425" s="44" t="n"/>
      <c r="K1425" s="36" t="n"/>
      <c r="L1425" s="33">
        <f>IF(C1425="","",Commercial_Id)</f>
        <v/>
      </c>
      <c r="M1425" s="34">
        <f>IF(OR(C1425="",F1425=""),"",IF(F1425&lt;&gt;"Espèces","—",IF(I1425&lt;&gt;"","☑ Oui","☐ Non")))</f>
        <v/>
      </c>
      <c r="N1425" s="39">
        <f>IF(D1425="","",IFERROR(VALUE(MID(D1425,LEN(D1425)-3,3)),""))</f>
        <v/>
      </c>
      <c r="O1425" s="33">
        <f>IF(N1425="","",L1425&amp;"|"&amp;N1425)</f>
        <v/>
      </c>
      <c r="P1425" s="33">
        <f>IF(N1425="","",IF(L1425="À RENSEIGNER","GIC",L1425)&amp;"-"&amp;TEXT(N1425,"000"))</f>
        <v/>
      </c>
      <c r="Q1425" s="33">
        <f>IF(O1425="","",IFERROR(INDEX(Cl_nom,MATCH(O1425,Cl_cle,0)),"(client introuvable)"))</f>
        <v/>
      </c>
      <c r="R1425" s="40">
        <f>IF(O1425="","",IFERROR(INDEX(Cl_reste,MATCH(O1425,Cl_cle,0)),""))</f>
        <v/>
      </c>
      <c r="S1425" s="34">
        <f>IF(C1425="","",YEAR(C1425-WEEKDAY(C1425,2)+4)&amp;"-S"&amp;TEXT(INT((C1425-DATE(YEAR(C1425-WEEKDAY(C1425,2)+4),1,3)+WEEKDAY(DATE(YEAR(C1425-WEEKDAY(C1425,2)+4),1,3),2)+5)/7),"00"))</f>
        <v/>
      </c>
    </row>
    <row r="1426" ht="18" customHeight="1">
      <c r="A1426" s="39" t="n">
        <v>1421</v>
      </c>
      <c r="B1426" s="33">
        <f>IF(C1426="","",IF(L1426="À RENSEIGNER","GIC",L1426)&amp;"-E"&amp;TEXT(A1426,"00000"))</f>
        <v/>
      </c>
      <c r="C1426" s="32" t="n"/>
      <c r="D1426" s="36" t="n"/>
      <c r="E1426" s="37" t="n"/>
      <c r="F1426" s="36" t="n"/>
      <c r="G1426" s="44" t="n"/>
      <c r="H1426" s="43" t="n"/>
      <c r="I1426" s="32" t="n"/>
      <c r="J1426" s="44" t="n"/>
      <c r="K1426" s="36" t="n"/>
      <c r="L1426" s="33">
        <f>IF(C1426="","",Commercial_Id)</f>
        <v/>
      </c>
      <c r="M1426" s="34">
        <f>IF(OR(C1426="",F1426=""),"",IF(F1426&lt;&gt;"Espèces","—",IF(I1426&lt;&gt;"","☑ Oui","☐ Non")))</f>
        <v/>
      </c>
      <c r="N1426" s="39">
        <f>IF(D1426="","",IFERROR(VALUE(MID(D1426,LEN(D1426)-3,3)),""))</f>
        <v/>
      </c>
      <c r="O1426" s="33">
        <f>IF(N1426="","",L1426&amp;"|"&amp;N1426)</f>
        <v/>
      </c>
      <c r="P1426" s="33">
        <f>IF(N1426="","",IF(L1426="À RENSEIGNER","GIC",L1426)&amp;"-"&amp;TEXT(N1426,"000"))</f>
        <v/>
      </c>
      <c r="Q1426" s="33">
        <f>IF(O1426="","",IFERROR(INDEX(Cl_nom,MATCH(O1426,Cl_cle,0)),"(client introuvable)"))</f>
        <v/>
      </c>
      <c r="R1426" s="40">
        <f>IF(O1426="","",IFERROR(INDEX(Cl_reste,MATCH(O1426,Cl_cle,0)),""))</f>
        <v/>
      </c>
      <c r="S1426" s="34">
        <f>IF(C1426="","",YEAR(C1426-WEEKDAY(C1426,2)+4)&amp;"-S"&amp;TEXT(INT((C1426-DATE(YEAR(C1426-WEEKDAY(C1426,2)+4),1,3)+WEEKDAY(DATE(YEAR(C1426-WEEKDAY(C1426,2)+4),1,3),2)+5)/7),"00"))</f>
        <v/>
      </c>
    </row>
    <row r="1427" ht="18" customHeight="1">
      <c r="A1427" s="39" t="n">
        <v>1422</v>
      </c>
      <c r="B1427" s="33">
        <f>IF(C1427="","",IF(L1427="À RENSEIGNER","GIC",L1427)&amp;"-E"&amp;TEXT(A1427,"00000"))</f>
        <v/>
      </c>
      <c r="C1427" s="32" t="n"/>
      <c r="D1427" s="36" t="n"/>
      <c r="E1427" s="37" t="n"/>
      <c r="F1427" s="36" t="n"/>
      <c r="G1427" s="44" t="n"/>
      <c r="H1427" s="43" t="n"/>
      <c r="I1427" s="32" t="n"/>
      <c r="J1427" s="44" t="n"/>
      <c r="K1427" s="36" t="n"/>
      <c r="L1427" s="33">
        <f>IF(C1427="","",Commercial_Id)</f>
        <v/>
      </c>
      <c r="M1427" s="34">
        <f>IF(OR(C1427="",F1427=""),"",IF(F1427&lt;&gt;"Espèces","—",IF(I1427&lt;&gt;"","☑ Oui","☐ Non")))</f>
        <v/>
      </c>
      <c r="N1427" s="39">
        <f>IF(D1427="","",IFERROR(VALUE(MID(D1427,LEN(D1427)-3,3)),""))</f>
        <v/>
      </c>
      <c r="O1427" s="33">
        <f>IF(N1427="","",L1427&amp;"|"&amp;N1427)</f>
        <v/>
      </c>
      <c r="P1427" s="33">
        <f>IF(N1427="","",IF(L1427="À RENSEIGNER","GIC",L1427)&amp;"-"&amp;TEXT(N1427,"000"))</f>
        <v/>
      </c>
      <c r="Q1427" s="33">
        <f>IF(O1427="","",IFERROR(INDEX(Cl_nom,MATCH(O1427,Cl_cle,0)),"(client introuvable)"))</f>
        <v/>
      </c>
      <c r="R1427" s="40">
        <f>IF(O1427="","",IFERROR(INDEX(Cl_reste,MATCH(O1427,Cl_cle,0)),""))</f>
        <v/>
      </c>
      <c r="S1427" s="34">
        <f>IF(C1427="","",YEAR(C1427-WEEKDAY(C1427,2)+4)&amp;"-S"&amp;TEXT(INT((C1427-DATE(YEAR(C1427-WEEKDAY(C1427,2)+4),1,3)+WEEKDAY(DATE(YEAR(C1427-WEEKDAY(C1427,2)+4),1,3),2)+5)/7),"00"))</f>
        <v/>
      </c>
    </row>
    <row r="1428" ht="18" customHeight="1">
      <c r="A1428" s="39" t="n">
        <v>1423</v>
      </c>
      <c r="B1428" s="33">
        <f>IF(C1428="","",IF(L1428="À RENSEIGNER","GIC",L1428)&amp;"-E"&amp;TEXT(A1428,"00000"))</f>
        <v/>
      </c>
      <c r="C1428" s="32" t="n"/>
      <c r="D1428" s="36" t="n"/>
      <c r="E1428" s="37" t="n"/>
      <c r="F1428" s="36" t="n"/>
      <c r="G1428" s="44" t="n"/>
      <c r="H1428" s="43" t="n"/>
      <c r="I1428" s="32" t="n"/>
      <c r="J1428" s="44" t="n"/>
      <c r="K1428" s="36" t="n"/>
      <c r="L1428" s="33">
        <f>IF(C1428="","",Commercial_Id)</f>
        <v/>
      </c>
      <c r="M1428" s="34">
        <f>IF(OR(C1428="",F1428=""),"",IF(F1428&lt;&gt;"Espèces","—",IF(I1428&lt;&gt;"","☑ Oui","☐ Non")))</f>
        <v/>
      </c>
      <c r="N1428" s="39">
        <f>IF(D1428="","",IFERROR(VALUE(MID(D1428,LEN(D1428)-3,3)),""))</f>
        <v/>
      </c>
      <c r="O1428" s="33">
        <f>IF(N1428="","",L1428&amp;"|"&amp;N1428)</f>
        <v/>
      </c>
      <c r="P1428" s="33">
        <f>IF(N1428="","",IF(L1428="À RENSEIGNER","GIC",L1428)&amp;"-"&amp;TEXT(N1428,"000"))</f>
        <v/>
      </c>
      <c r="Q1428" s="33">
        <f>IF(O1428="","",IFERROR(INDEX(Cl_nom,MATCH(O1428,Cl_cle,0)),"(client introuvable)"))</f>
        <v/>
      </c>
      <c r="R1428" s="40">
        <f>IF(O1428="","",IFERROR(INDEX(Cl_reste,MATCH(O1428,Cl_cle,0)),""))</f>
        <v/>
      </c>
      <c r="S1428" s="34">
        <f>IF(C1428="","",YEAR(C1428-WEEKDAY(C1428,2)+4)&amp;"-S"&amp;TEXT(INT((C1428-DATE(YEAR(C1428-WEEKDAY(C1428,2)+4),1,3)+WEEKDAY(DATE(YEAR(C1428-WEEKDAY(C1428,2)+4),1,3),2)+5)/7),"00"))</f>
        <v/>
      </c>
    </row>
    <row r="1429" ht="18" customHeight="1">
      <c r="A1429" s="39" t="n">
        <v>1424</v>
      </c>
      <c r="B1429" s="33">
        <f>IF(C1429="","",IF(L1429="À RENSEIGNER","GIC",L1429)&amp;"-E"&amp;TEXT(A1429,"00000"))</f>
        <v/>
      </c>
      <c r="C1429" s="32" t="n"/>
      <c r="D1429" s="36" t="n"/>
      <c r="E1429" s="37" t="n"/>
      <c r="F1429" s="36" t="n"/>
      <c r="G1429" s="44" t="n"/>
      <c r="H1429" s="43" t="n"/>
      <c r="I1429" s="32" t="n"/>
      <c r="J1429" s="44" t="n"/>
      <c r="K1429" s="36" t="n"/>
      <c r="L1429" s="33">
        <f>IF(C1429="","",Commercial_Id)</f>
        <v/>
      </c>
      <c r="M1429" s="34">
        <f>IF(OR(C1429="",F1429=""),"",IF(F1429&lt;&gt;"Espèces","—",IF(I1429&lt;&gt;"","☑ Oui","☐ Non")))</f>
        <v/>
      </c>
      <c r="N1429" s="39">
        <f>IF(D1429="","",IFERROR(VALUE(MID(D1429,LEN(D1429)-3,3)),""))</f>
        <v/>
      </c>
      <c r="O1429" s="33">
        <f>IF(N1429="","",L1429&amp;"|"&amp;N1429)</f>
        <v/>
      </c>
      <c r="P1429" s="33">
        <f>IF(N1429="","",IF(L1429="À RENSEIGNER","GIC",L1429)&amp;"-"&amp;TEXT(N1429,"000"))</f>
        <v/>
      </c>
      <c r="Q1429" s="33">
        <f>IF(O1429="","",IFERROR(INDEX(Cl_nom,MATCH(O1429,Cl_cle,0)),"(client introuvable)"))</f>
        <v/>
      </c>
      <c r="R1429" s="40">
        <f>IF(O1429="","",IFERROR(INDEX(Cl_reste,MATCH(O1429,Cl_cle,0)),""))</f>
        <v/>
      </c>
      <c r="S1429" s="34">
        <f>IF(C1429="","",YEAR(C1429-WEEKDAY(C1429,2)+4)&amp;"-S"&amp;TEXT(INT((C1429-DATE(YEAR(C1429-WEEKDAY(C1429,2)+4),1,3)+WEEKDAY(DATE(YEAR(C1429-WEEKDAY(C1429,2)+4),1,3),2)+5)/7),"00"))</f>
        <v/>
      </c>
    </row>
    <row r="1430" ht="18" customHeight="1">
      <c r="A1430" s="39" t="n">
        <v>1425</v>
      </c>
      <c r="B1430" s="33">
        <f>IF(C1430="","",IF(L1430="À RENSEIGNER","GIC",L1430)&amp;"-E"&amp;TEXT(A1430,"00000"))</f>
        <v/>
      </c>
      <c r="C1430" s="32" t="n"/>
      <c r="D1430" s="36" t="n"/>
      <c r="E1430" s="37" t="n"/>
      <c r="F1430" s="36" t="n"/>
      <c r="G1430" s="44" t="n"/>
      <c r="H1430" s="43" t="n"/>
      <c r="I1430" s="32" t="n"/>
      <c r="J1430" s="44" t="n"/>
      <c r="K1430" s="36" t="n"/>
      <c r="L1430" s="33">
        <f>IF(C1430="","",Commercial_Id)</f>
        <v/>
      </c>
      <c r="M1430" s="34">
        <f>IF(OR(C1430="",F1430=""),"",IF(F1430&lt;&gt;"Espèces","—",IF(I1430&lt;&gt;"","☑ Oui","☐ Non")))</f>
        <v/>
      </c>
      <c r="N1430" s="39">
        <f>IF(D1430="","",IFERROR(VALUE(MID(D1430,LEN(D1430)-3,3)),""))</f>
        <v/>
      </c>
      <c r="O1430" s="33">
        <f>IF(N1430="","",L1430&amp;"|"&amp;N1430)</f>
        <v/>
      </c>
      <c r="P1430" s="33">
        <f>IF(N1430="","",IF(L1430="À RENSEIGNER","GIC",L1430)&amp;"-"&amp;TEXT(N1430,"000"))</f>
        <v/>
      </c>
      <c r="Q1430" s="33">
        <f>IF(O1430="","",IFERROR(INDEX(Cl_nom,MATCH(O1430,Cl_cle,0)),"(client introuvable)"))</f>
        <v/>
      </c>
      <c r="R1430" s="40">
        <f>IF(O1430="","",IFERROR(INDEX(Cl_reste,MATCH(O1430,Cl_cle,0)),""))</f>
        <v/>
      </c>
      <c r="S1430" s="34">
        <f>IF(C1430="","",YEAR(C1430-WEEKDAY(C1430,2)+4)&amp;"-S"&amp;TEXT(INT((C1430-DATE(YEAR(C1430-WEEKDAY(C1430,2)+4),1,3)+WEEKDAY(DATE(YEAR(C1430-WEEKDAY(C1430,2)+4),1,3),2)+5)/7),"00"))</f>
        <v/>
      </c>
    </row>
    <row r="1431" ht="18" customHeight="1">
      <c r="A1431" s="39" t="n">
        <v>1426</v>
      </c>
      <c r="B1431" s="33">
        <f>IF(C1431="","",IF(L1431="À RENSEIGNER","GIC",L1431)&amp;"-E"&amp;TEXT(A1431,"00000"))</f>
        <v/>
      </c>
      <c r="C1431" s="32" t="n"/>
      <c r="D1431" s="36" t="n"/>
      <c r="E1431" s="37" t="n"/>
      <c r="F1431" s="36" t="n"/>
      <c r="G1431" s="44" t="n"/>
      <c r="H1431" s="43" t="n"/>
      <c r="I1431" s="32" t="n"/>
      <c r="J1431" s="44" t="n"/>
      <c r="K1431" s="36" t="n"/>
      <c r="L1431" s="33">
        <f>IF(C1431="","",Commercial_Id)</f>
        <v/>
      </c>
      <c r="M1431" s="34">
        <f>IF(OR(C1431="",F1431=""),"",IF(F1431&lt;&gt;"Espèces","—",IF(I1431&lt;&gt;"","☑ Oui","☐ Non")))</f>
        <v/>
      </c>
      <c r="N1431" s="39">
        <f>IF(D1431="","",IFERROR(VALUE(MID(D1431,LEN(D1431)-3,3)),""))</f>
        <v/>
      </c>
      <c r="O1431" s="33">
        <f>IF(N1431="","",L1431&amp;"|"&amp;N1431)</f>
        <v/>
      </c>
      <c r="P1431" s="33">
        <f>IF(N1431="","",IF(L1431="À RENSEIGNER","GIC",L1431)&amp;"-"&amp;TEXT(N1431,"000"))</f>
        <v/>
      </c>
      <c r="Q1431" s="33">
        <f>IF(O1431="","",IFERROR(INDEX(Cl_nom,MATCH(O1431,Cl_cle,0)),"(client introuvable)"))</f>
        <v/>
      </c>
      <c r="R1431" s="40">
        <f>IF(O1431="","",IFERROR(INDEX(Cl_reste,MATCH(O1431,Cl_cle,0)),""))</f>
        <v/>
      </c>
      <c r="S1431" s="34">
        <f>IF(C1431="","",YEAR(C1431-WEEKDAY(C1431,2)+4)&amp;"-S"&amp;TEXT(INT((C1431-DATE(YEAR(C1431-WEEKDAY(C1431,2)+4),1,3)+WEEKDAY(DATE(YEAR(C1431-WEEKDAY(C1431,2)+4),1,3),2)+5)/7),"00"))</f>
        <v/>
      </c>
    </row>
    <row r="1432" ht="18" customHeight="1">
      <c r="A1432" s="39" t="n">
        <v>1427</v>
      </c>
      <c r="B1432" s="33">
        <f>IF(C1432="","",IF(L1432="À RENSEIGNER","GIC",L1432)&amp;"-E"&amp;TEXT(A1432,"00000"))</f>
        <v/>
      </c>
      <c r="C1432" s="32" t="n"/>
      <c r="D1432" s="36" t="n"/>
      <c r="E1432" s="37" t="n"/>
      <c r="F1432" s="36" t="n"/>
      <c r="G1432" s="44" t="n"/>
      <c r="H1432" s="43" t="n"/>
      <c r="I1432" s="32" t="n"/>
      <c r="J1432" s="44" t="n"/>
      <c r="K1432" s="36" t="n"/>
      <c r="L1432" s="33">
        <f>IF(C1432="","",Commercial_Id)</f>
        <v/>
      </c>
      <c r="M1432" s="34">
        <f>IF(OR(C1432="",F1432=""),"",IF(F1432&lt;&gt;"Espèces","—",IF(I1432&lt;&gt;"","☑ Oui","☐ Non")))</f>
        <v/>
      </c>
      <c r="N1432" s="39">
        <f>IF(D1432="","",IFERROR(VALUE(MID(D1432,LEN(D1432)-3,3)),""))</f>
        <v/>
      </c>
      <c r="O1432" s="33">
        <f>IF(N1432="","",L1432&amp;"|"&amp;N1432)</f>
        <v/>
      </c>
      <c r="P1432" s="33">
        <f>IF(N1432="","",IF(L1432="À RENSEIGNER","GIC",L1432)&amp;"-"&amp;TEXT(N1432,"000"))</f>
        <v/>
      </c>
      <c r="Q1432" s="33">
        <f>IF(O1432="","",IFERROR(INDEX(Cl_nom,MATCH(O1432,Cl_cle,0)),"(client introuvable)"))</f>
        <v/>
      </c>
      <c r="R1432" s="40">
        <f>IF(O1432="","",IFERROR(INDEX(Cl_reste,MATCH(O1432,Cl_cle,0)),""))</f>
        <v/>
      </c>
      <c r="S1432" s="34">
        <f>IF(C1432="","",YEAR(C1432-WEEKDAY(C1432,2)+4)&amp;"-S"&amp;TEXT(INT((C1432-DATE(YEAR(C1432-WEEKDAY(C1432,2)+4),1,3)+WEEKDAY(DATE(YEAR(C1432-WEEKDAY(C1432,2)+4),1,3),2)+5)/7),"00"))</f>
        <v/>
      </c>
    </row>
    <row r="1433" ht="18" customHeight="1">
      <c r="A1433" s="39" t="n">
        <v>1428</v>
      </c>
      <c r="B1433" s="33">
        <f>IF(C1433="","",IF(L1433="À RENSEIGNER","GIC",L1433)&amp;"-E"&amp;TEXT(A1433,"00000"))</f>
        <v/>
      </c>
      <c r="C1433" s="32" t="n"/>
      <c r="D1433" s="36" t="n"/>
      <c r="E1433" s="37" t="n"/>
      <c r="F1433" s="36" t="n"/>
      <c r="G1433" s="44" t="n"/>
      <c r="H1433" s="43" t="n"/>
      <c r="I1433" s="32" t="n"/>
      <c r="J1433" s="44" t="n"/>
      <c r="K1433" s="36" t="n"/>
      <c r="L1433" s="33">
        <f>IF(C1433="","",Commercial_Id)</f>
        <v/>
      </c>
      <c r="M1433" s="34">
        <f>IF(OR(C1433="",F1433=""),"",IF(F1433&lt;&gt;"Espèces","—",IF(I1433&lt;&gt;"","☑ Oui","☐ Non")))</f>
        <v/>
      </c>
      <c r="N1433" s="39">
        <f>IF(D1433="","",IFERROR(VALUE(MID(D1433,LEN(D1433)-3,3)),""))</f>
        <v/>
      </c>
      <c r="O1433" s="33">
        <f>IF(N1433="","",L1433&amp;"|"&amp;N1433)</f>
        <v/>
      </c>
      <c r="P1433" s="33">
        <f>IF(N1433="","",IF(L1433="À RENSEIGNER","GIC",L1433)&amp;"-"&amp;TEXT(N1433,"000"))</f>
        <v/>
      </c>
      <c r="Q1433" s="33">
        <f>IF(O1433="","",IFERROR(INDEX(Cl_nom,MATCH(O1433,Cl_cle,0)),"(client introuvable)"))</f>
        <v/>
      </c>
      <c r="R1433" s="40">
        <f>IF(O1433="","",IFERROR(INDEX(Cl_reste,MATCH(O1433,Cl_cle,0)),""))</f>
        <v/>
      </c>
      <c r="S1433" s="34">
        <f>IF(C1433="","",YEAR(C1433-WEEKDAY(C1433,2)+4)&amp;"-S"&amp;TEXT(INT((C1433-DATE(YEAR(C1433-WEEKDAY(C1433,2)+4),1,3)+WEEKDAY(DATE(YEAR(C1433-WEEKDAY(C1433,2)+4),1,3),2)+5)/7),"00"))</f>
        <v/>
      </c>
    </row>
    <row r="1434" ht="18" customHeight="1">
      <c r="A1434" s="39" t="n">
        <v>1429</v>
      </c>
      <c r="B1434" s="33">
        <f>IF(C1434="","",IF(L1434="À RENSEIGNER","GIC",L1434)&amp;"-E"&amp;TEXT(A1434,"00000"))</f>
        <v/>
      </c>
      <c r="C1434" s="32" t="n"/>
      <c r="D1434" s="36" t="n"/>
      <c r="E1434" s="37" t="n"/>
      <c r="F1434" s="36" t="n"/>
      <c r="G1434" s="44" t="n"/>
      <c r="H1434" s="43" t="n"/>
      <c r="I1434" s="32" t="n"/>
      <c r="J1434" s="44" t="n"/>
      <c r="K1434" s="36" t="n"/>
      <c r="L1434" s="33">
        <f>IF(C1434="","",Commercial_Id)</f>
        <v/>
      </c>
      <c r="M1434" s="34">
        <f>IF(OR(C1434="",F1434=""),"",IF(F1434&lt;&gt;"Espèces","—",IF(I1434&lt;&gt;"","☑ Oui","☐ Non")))</f>
        <v/>
      </c>
      <c r="N1434" s="39">
        <f>IF(D1434="","",IFERROR(VALUE(MID(D1434,LEN(D1434)-3,3)),""))</f>
        <v/>
      </c>
      <c r="O1434" s="33">
        <f>IF(N1434="","",L1434&amp;"|"&amp;N1434)</f>
        <v/>
      </c>
      <c r="P1434" s="33">
        <f>IF(N1434="","",IF(L1434="À RENSEIGNER","GIC",L1434)&amp;"-"&amp;TEXT(N1434,"000"))</f>
        <v/>
      </c>
      <c r="Q1434" s="33">
        <f>IF(O1434="","",IFERROR(INDEX(Cl_nom,MATCH(O1434,Cl_cle,0)),"(client introuvable)"))</f>
        <v/>
      </c>
      <c r="R1434" s="40">
        <f>IF(O1434="","",IFERROR(INDEX(Cl_reste,MATCH(O1434,Cl_cle,0)),""))</f>
        <v/>
      </c>
      <c r="S1434" s="34">
        <f>IF(C1434="","",YEAR(C1434-WEEKDAY(C1434,2)+4)&amp;"-S"&amp;TEXT(INT((C1434-DATE(YEAR(C1434-WEEKDAY(C1434,2)+4),1,3)+WEEKDAY(DATE(YEAR(C1434-WEEKDAY(C1434,2)+4),1,3),2)+5)/7),"00"))</f>
        <v/>
      </c>
    </row>
    <row r="1435" ht="18" customHeight="1">
      <c r="A1435" s="39" t="n">
        <v>1430</v>
      </c>
      <c r="B1435" s="33">
        <f>IF(C1435="","",IF(L1435="À RENSEIGNER","GIC",L1435)&amp;"-E"&amp;TEXT(A1435,"00000"))</f>
        <v/>
      </c>
      <c r="C1435" s="32" t="n"/>
      <c r="D1435" s="36" t="n"/>
      <c r="E1435" s="37" t="n"/>
      <c r="F1435" s="36" t="n"/>
      <c r="G1435" s="44" t="n"/>
      <c r="H1435" s="43" t="n"/>
      <c r="I1435" s="32" t="n"/>
      <c r="J1435" s="44" t="n"/>
      <c r="K1435" s="36" t="n"/>
      <c r="L1435" s="33">
        <f>IF(C1435="","",Commercial_Id)</f>
        <v/>
      </c>
      <c r="M1435" s="34">
        <f>IF(OR(C1435="",F1435=""),"",IF(F1435&lt;&gt;"Espèces","—",IF(I1435&lt;&gt;"","☑ Oui","☐ Non")))</f>
        <v/>
      </c>
      <c r="N1435" s="39">
        <f>IF(D1435="","",IFERROR(VALUE(MID(D1435,LEN(D1435)-3,3)),""))</f>
        <v/>
      </c>
      <c r="O1435" s="33">
        <f>IF(N1435="","",L1435&amp;"|"&amp;N1435)</f>
        <v/>
      </c>
      <c r="P1435" s="33">
        <f>IF(N1435="","",IF(L1435="À RENSEIGNER","GIC",L1435)&amp;"-"&amp;TEXT(N1435,"000"))</f>
        <v/>
      </c>
      <c r="Q1435" s="33">
        <f>IF(O1435="","",IFERROR(INDEX(Cl_nom,MATCH(O1435,Cl_cle,0)),"(client introuvable)"))</f>
        <v/>
      </c>
      <c r="R1435" s="40">
        <f>IF(O1435="","",IFERROR(INDEX(Cl_reste,MATCH(O1435,Cl_cle,0)),""))</f>
        <v/>
      </c>
      <c r="S1435" s="34">
        <f>IF(C1435="","",YEAR(C1435-WEEKDAY(C1435,2)+4)&amp;"-S"&amp;TEXT(INT((C1435-DATE(YEAR(C1435-WEEKDAY(C1435,2)+4),1,3)+WEEKDAY(DATE(YEAR(C1435-WEEKDAY(C1435,2)+4),1,3),2)+5)/7),"00"))</f>
        <v/>
      </c>
    </row>
    <row r="1436" ht="18" customHeight="1">
      <c r="A1436" s="39" t="n">
        <v>1431</v>
      </c>
      <c r="B1436" s="33">
        <f>IF(C1436="","",IF(L1436="À RENSEIGNER","GIC",L1436)&amp;"-E"&amp;TEXT(A1436,"00000"))</f>
        <v/>
      </c>
      <c r="C1436" s="32" t="n"/>
      <c r="D1436" s="36" t="n"/>
      <c r="E1436" s="37" t="n"/>
      <c r="F1436" s="36" t="n"/>
      <c r="G1436" s="44" t="n"/>
      <c r="H1436" s="43" t="n"/>
      <c r="I1436" s="32" t="n"/>
      <c r="J1436" s="44" t="n"/>
      <c r="K1436" s="36" t="n"/>
      <c r="L1436" s="33">
        <f>IF(C1436="","",Commercial_Id)</f>
        <v/>
      </c>
      <c r="M1436" s="34">
        <f>IF(OR(C1436="",F1436=""),"",IF(F1436&lt;&gt;"Espèces","—",IF(I1436&lt;&gt;"","☑ Oui","☐ Non")))</f>
        <v/>
      </c>
      <c r="N1436" s="39">
        <f>IF(D1436="","",IFERROR(VALUE(MID(D1436,LEN(D1436)-3,3)),""))</f>
        <v/>
      </c>
      <c r="O1436" s="33">
        <f>IF(N1436="","",L1436&amp;"|"&amp;N1436)</f>
        <v/>
      </c>
      <c r="P1436" s="33">
        <f>IF(N1436="","",IF(L1436="À RENSEIGNER","GIC",L1436)&amp;"-"&amp;TEXT(N1436,"000"))</f>
        <v/>
      </c>
      <c r="Q1436" s="33">
        <f>IF(O1436="","",IFERROR(INDEX(Cl_nom,MATCH(O1436,Cl_cle,0)),"(client introuvable)"))</f>
        <v/>
      </c>
      <c r="R1436" s="40">
        <f>IF(O1436="","",IFERROR(INDEX(Cl_reste,MATCH(O1436,Cl_cle,0)),""))</f>
        <v/>
      </c>
      <c r="S1436" s="34">
        <f>IF(C1436="","",YEAR(C1436-WEEKDAY(C1436,2)+4)&amp;"-S"&amp;TEXT(INT((C1436-DATE(YEAR(C1436-WEEKDAY(C1436,2)+4),1,3)+WEEKDAY(DATE(YEAR(C1436-WEEKDAY(C1436,2)+4),1,3),2)+5)/7),"00"))</f>
        <v/>
      </c>
    </row>
    <row r="1437" ht="18" customHeight="1">
      <c r="A1437" s="39" t="n">
        <v>1432</v>
      </c>
      <c r="B1437" s="33">
        <f>IF(C1437="","",IF(L1437="À RENSEIGNER","GIC",L1437)&amp;"-E"&amp;TEXT(A1437,"00000"))</f>
        <v/>
      </c>
      <c r="C1437" s="32" t="n"/>
      <c r="D1437" s="36" t="n"/>
      <c r="E1437" s="37" t="n"/>
      <c r="F1437" s="36" t="n"/>
      <c r="G1437" s="44" t="n"/>
      <c r="H1437" s="43" t="n"/>
      <c r="I1437" s="32" t="n"/>
      <c r="J1437" s="44" t="n"/>
      <c r="K1437" s="36" t="n"/>
      <c r="L1437" s="33">
        <f>IF(C1437="","",Commercial_Id)</f>
        <v/>
      </c>
      <c r="M1437" s="34">
        <f>IF(OR(C1437="",F1437=""),"",IF(F1437&lt;&gt;"Espèces","—",IF(I1437&lt;&gt;"","☑ Oui","☐ Non")))</f>
        <v/>
      </c>
      <c r="N1437" s="39">
        <f>IF(D1437="","",IFERROR(VALUE(MID(D1437,LEN(D1437)-3,3)),""))</f>
        <v/>
      </c>
      <c r="O1437" s="33">
        <f>IF(N1437="","",L1437&amp;"|"&amp;N1437)</f>
        <v/>
      </c>
      <c r="P1437" s="33">
        <f>IF(N1437="","",IF(L1437="À RENSEIGNER","GIC",L1437)&amp;"-"&amp;TEXT(N1437,"000"))</f>
        <v/>
      </c>
      <c r="Q1437" s="33">
        <f>IF(O1437="","",IFERROR(INDEX(Cl_nom,MATCH(O1437,Cl_cle,0)),"(client introuvable)"))</f>
        <v/>
      </c>
      <c r="R1437" s="40">
        <f>IF(O1437="","",IFERROR(INDEX(Cl_reste,MATCH(O1437,Cl_cle,0)),""))</f>
        <v/>
      </c>
      <c r="S1437" s="34">
        <f>IF(C1437="","",YEAR(C1437-WEEKDAY(C1437,2)+4)&amp;"-S"&amp;TEXT(INT((C1437-DATE(YEAR(C1437-WEEKDAY(C1437,2)+4),1,3)+WEEKDAY(DATE(YEAR(C1437-WEEKDAY(C1437,2)+4),1,3),2)+5)/7),"00"))</f>
        <v/>
      </c>
    </row>
    <row r="1438" ht="18" customHeight="1">
      <c r="A1438" s="39" t="n">
        <v>1433</v>
      </c>
      <c r="B1438" s="33">
        <f>IF(C1438="","",IF(L1438="À RENSEIGNER","GIC",L1438)&amp;"-E"&amp;TEXT(A1438,"00000"))</f>
        <v/>
      </c>
      <c r="C1438" s="32" t="n"/>
      <c r="D1438" s="36" t="n"/>
      <c r="E1438" s="37" t="n"/>
      <c r="F1438" s="36" t="n"/>
      <c r="G1438" s="44" t="n"/>
      <c r="H1438" s="43" t="n"/>
      <c r="I1438" s="32" t="n"/>
      <c r="J1438" s="44" t="n"/>
      <c r="K1438" s="36" t="n"/>
      <c r="L1438" s="33">
        <f>IF(C1438="","",Commercial_Id)</f>
        <v/>
      </c>
      <c r="M1438" s="34">
        <f>IF(OR(C1438="",F1438=""),"",IF(F1438&lt;&gt;"Espèces","—",IF(I1438&lt;&gt;"","☑ Oui","☐ Non")))</f>
        <v/>
      </c>
      <c r="N1438" s="39">
        <f>IF(D1438="","",IFERROR(VALUE(MID(D1438,LEN(D1438)-3,3)),""))</f>
        <v/>
      </c>
      <c r="O1438" s="33">
        <f>IF(N1438="","",L1438&amp;"|"&amp;N1438)</f>
        <v/>
      </c>
      <c r="P1438" s="33">
        <f>IF(N1438="","",IF(L1438="À RENSEIGNER","GIC",L1438)&amp;"-"&amp;TEXT(N1438,"000"))</f>
        <v/>
      </c>
      <c r="Q1438" s="33">
        <f>IF(O1438="","",IFERROR(INDEX(Cl_nom,MATCH(O1438,Cl_cle,0)),"(client introuvable)"))</f>
        <v/>
      </c>
      <c r="R1438" s="40">
        <f>IF(O1438="","",IFERROR(INDEX(Cl_reste,MATCH(O1438,Cl_cle,0)),""))</f>
        <v/>
      </c>
      <c r="S1438" s="34">
        <f>IF(C1438="","",YEAR(C1438-WEEKDAY(C1438,2)+4)&amp;"-S"&amp;TEXT(INT((C1438-DATE(YEAR(C1438-WEEKDAY(C1438,2)+4),1,3)+WEEKDAY(DATE(YEAR(C1438-WEEKDAY(C1438,2)+4),1,3),2)+5)/7),"00"))</f>
        <v/>
      </c>
    </row>
    <row r="1439" ht="18" customHeight="1">
      <c r="A1439" s="39" t="n">
        <v>1434</v>
      </c>
      <c r="B1439" s="33">
        <f>IF(C1439="","",IF(L1439="À RENSEIGNER","GIC",L1439)&amp;"-E"&amp;TEXT(A1439,"00000"))</f>
        <v/>
      </c>
      <c r="C1439" s="32" t="n"/>
      <c r="D1439" s="36" t="n"/>
      <c r="E1439" s="37" t="n"/>
      <c r="F1439" s="36" t="n"/>
      <c r="G1439" s="44" t="n"/>
      <c r="H1439" s="43" t="n"/>
      <c r="I1439" s="32" t="n"/>
      <c r="J1439" s="44" t="n"/>
      <c r="K1439" s="36" t="n"/>
      <c r="L1439" s="33">
        <f>IF(C1439="","",Commercial_Id)</f>
        <v/>
      </c>
      <c r="M1439" s="34">
        <f>IF(OR(C1439="",F1439=""),"",IF(F1439&lt;&gt;"Espèces","—",IF(I1439&lt;&gt;"","☑ Oui","☐ Non")))</f>
        <v/>
      </c>
      <c r="N1439" s="39">
        <f>IF(D1439="","",IFERROR(VALUE(MID(D1439,LEN(D1439)-3,3)),""))</f>
        <v/>
      </c>
      <c r="O1439" s="33">
        <f>IF(N1439="","",L1439&amp;"|"&amp;N1439)</f>
        <v/>
      </c>
      <c r="P1439" s="33">
        <f>IF(N1439="","",IF(L1439="À RENSEIGNER","GIC",L1439)&amp;"-"&amp;TEXT(N1439,"000"))</f>
        <v/>
      </c>
      <c r="Q1439" s="33">
        <f>IF(O1439="","",IFERROR(INDEX(Cl_nom,MATCH(O1439,Cl_cle,0)),"(client introuvable)"))</f>
        <v/>
      </c>
      <c r="R1439" s="40">
        <f>IF(O1439="","",IFERROR(INDEX(Cl_reste,MATCH(O1439,Cl_cle,0)),""))</f>
        <v/>
      </c>
      <c r="S1439" s="34">
        <f>IF(C1439="","",YEAR(C1439-WEEKDAY(C1439,2)+4)&amp;"-S"&amp;TEXT(INT((C1439-DATE(YEAR(C1439-WEEKDAY(C1439,2)+4),1,3)+WEEKDAY(DATE(YEAR(C1439-WEEKDAY(C1439,2)+4),1,3),2)+5)/7),"00"))</f>
        <v/>
      </c>
    </row>
    <row r="1440" ht="18" customHeight="1">
      <c r="A1440" s="39" t="n">
        <v>1435</v>
      </c>
      <c r="B1440" s="33">
        <f>IF(C1440="","",IF(L1440="À RENSEIGNER","GIC",L1440)&amp;"-E"&amp;TEXT(A1440,"00000"))</f>
        <v/>
      </c>
      <c r="C1440" s="32" t="n"/>
      <c r="D1440" s="36" t="n"/>
      <c r="E1440" s="37" t="n"/>
      <c r="F1440" s="36" t="n"/>
      <c r="G1440" s="44" t="n"/>
      <c r="H1440" s="43" t="n"/>
      <c r="I1440" s="32" t="n"/>
      <c r="J1440" s="44" t="n"/>
      <c r="K1440" s="36" t="n"/>
      <c r="L1440" s="33">
        <f>IF(C1440="","",Commercial_Id)</f>
        <v/>
      </c>
      <c r="M1440" s="34">
        <f>IF(OR(C1440="",F1440=""),"",IF(F1440&lt;&gt;"Espèces","—",IF(I1440&lt;&gt;"","☑ Oui","☐ Non")))</f>
        <v/>
      </c>
      <c r="N1440" s="39">
        <f>IF(D1440="","",IFERROR(VALUE(MID(D1440,LEN(D1440)-3,3)),""))</f>
        <v/>
      </c>
      <c r="O1440" s="33">
        <f>IF(N1440="","",L1440&amp;"|"&amp;N1440)</f>
        <v/>
      </c>
      <c r="P1440" s="33">
        <f>IF(N1440="","",IF(L1440="À RENSEIGNER","GIC",L1440)&amp;"-"&amp;TEXT(N1440,"000"))</f>
        <v/>
      </c>
      <c r="Q1440" s="33">
        <f>IF(O1440="","",IFERROR(INDEX(Cl_nom,MATCH(O1440,Cl_cle,0)),"(client introuvable)"))</f>
        <v/>
      </c>
      <c r="R1440" s="40">
        <f>IF(O1440="","",IFERROR(INDEX(Cl_reste,MATCH(O1440,Cl_cle,0)),""))</f>
        <v/>
      </c>
      <c r="S1440" s="34">
        <f>IF(C1440="","",YEAR(C1440-WEEKDAY(C1440,2)+4)&amp;"-S"&amp;TEXT(INT((C1440-DATE(YEAR(C1440-WEEKDAY(C1440,2)+4),1,3)+WEEKDAY(DATE(YEAR(C1440-WEEKDAY(C1440,2)+4),1,3),2)+5)/7),"00"))</f>
        <v/>
      </c>
    </row>
    <row r="1441" ht="18" customHeight="1">
      <c r="A1441" s="39" t="n">
        <v>1436</v>
      </c>
      <c r="B1441" s="33">
        <f>IF(C1441="","",IF(L1441="À RENSEIGNER","GIC",L1441)&amp;"-E"&amp;TEXT(A1441,"00000"))</f>
        <v/>
      </c>
      <c r="C1441" s="32" t="n"/>
      <c r="D1441" s="36" t="n"/>
      <c r="E1441" s="37" t="n"/>
      <c r="F1441" s="36" t="n"/>
      <c r="G1441" s="44" t="n"/>
      <c r="H1441" s="43" t="n"/>
      <c r="I1441" s="32" t="n"/>
      <c r="J1441" s="44" t="n"/>
      <c r="K1441" s="36" t="n"/>
      <c r="L1441" s="33">
        <f>IF(C1441="","",Commercial_Id)</f>
        <v/>
      </c>
      <c r="M1441" s="34">
        <f>IF(OR(C1441="",F1441=""),"",IF(F1441&lt;&gt;"Espèces","—",IF(I1441&lt;&gt;"","☑ Oui","☐ Non")))</f>
        <v/>
      </c>
      <c r="N1441" s="39">
        <f>IF(D1441="","",IFERROR(VALUE(MID(D1441,LEN(D1441)-3,3)),""))</f>
        <v/>
      </c>
      <c r="O1441" s="33">
        <f>IF(N1441="","",L1441&amp;"|"&amp;N1441)</f>
        <v/>
      </c>
      <c r="P1441" s="33">
        <f>IF(N1441="","",IF(L1441="À RENSEIGNER","GIC",L1441)&amp;"-"&amp;TEXT(N1441,"000"))</f>
        <v/>
      </c>
      <c r="Q1441" s="33">
        <f>IF(O1441="","",IFERROR(INDEX(Cl_nom,MATCH(O1441,Cl_cle,0)),"(client introuvable)"))</f>
        <v/>
      </c>
      <c r="R1441" s="40">
        <f>IF(O1441="","",IFERROR(INDEX(Cl_reste,MATCH(O1441,Cl_cle,0)),""))</f>
        <v/>
      </c>
      <c r="S1441" s="34">
        <f>IF(C1441="","",YEAR(C1441-WEEKDAY(C1441,2)+4)&amp;"-S"&amp;TEXT(INT((C1441-DATE(YEAR(C1441-WEEKDAY(C1441,2)+4),1,3)+WEEKDAY(DATE(YEAR(C1441-WEEKDAY(C1441,2)+4),1,3),2)+5)/7),"00"))</f>
        <v/>
      </c>
    </row>
    <row r="1442" ht="18" customHeight="1">
      <c r="A1442" s="39" t="n">
        <v>1437</v>
      </c>
      <c r="B1442" s="33">
        <f>IF(C1442="","",IF(L1442="À RENSEIGNER","GIC",L1442)&amp;"-E"&amp;TEXT(A1442,"00000"))</f>
        <v/>
      </c>
      <c r="C1442" s="32" t="n"/>
      <c r="D1442" s="36" t="n"/>
      <c r="E1442" s="37" t="n"/>
      <c r="F1442" s="36" t="n"/>
      <c r="G1442" s="44" t="n"/>
      <c r="H1442" s="43" t="n"/>
      <c r="I1442" s="32" t="n"/>
      <c r="J1442" s="44" t="n"/>
      <c r="K1442" s="36" t="n"/>
      <c r="L1442" s="33">
        <f>IF(C1442="","",Commercial_Id)</f>
        <v/>
      </c>
      <c r="M1442" s="34">
        <f>IF(OR(C1442="",F1442=""),"",IF(F1442&lt;&gt;"Espèces","—",IF(I1442&lt;&gt;"","☑ Oui","☐ Non")))</f>
        <v/>
      </c>
      <c r="N1442" s="39">
        <f>IF(D1442="","",IFERROR(VALUE(MID(D1442,LEN(D1442)-3,3)),""))</f>
        <v/>
      </c>
      <c r="O1442" s="33">
        <f>IF(N1442="","",L1442&amp;"|"&amp;N1442)</f>
        <v/>
      </c>
      <c r="P1442" s="33">
        <f>IF(N1442="","",IF(L1442="À RENSEIGNER","GIC",L1442)&amp;"-"&amp;TEXT(N1442,"000"))</f>
        <v/>
      </c>
      <c r="Q1442" s="33">
        <f>IF(O1442="","",IFERROR(INDEX(Cl_nom,MATCH(O1442,Cl_cle,0)),"(client introuvable)"))</f>
        <v/>
      </c>
      <c r="R1442" s="40">
        <f>IF(O1442="","",IFERROR(INDEX(Cl_reste,MATCH(O1442,Cl_cle,0)),""))</f>
        <v/>
      </c>
      <c r="S1442" s="34">
        <f>IF(C1442="","",YEAR(C1442-WEEKDAY(C1442,2)+4)&amp;"-S"&amp;TEXT(INT((C1442-DATE(YEAR(C1442-WEEKDAY(C1442,2)+4),1,3)+WEEKDAY(DATE(YEAR(C1442-WEEKDAY(C1442,2)+4),1,3),2)+5)/7),"00"))</f>
        <v/>
      </c>
    </row>
    <row r="1443" ht="18" customHeight="1">
      <c r="A1443" s="39" t="n">
        <v>1438</v>
      </c>
      <c r="B1443" s="33">
        <f>IF(C1443="","",IF(L1443="À RENSEIGNER","GIC",L1443)&amp;"-E"&amp;TEXT(A1443,"00000"))</f>
        <v/>
      </c>
      <c r="C1443" s="32" t="n"/>
      <c r="D1443" s="36" t="n"/>
      <c r="E1443" s="37" t="n"/>
      <c r="F1443" s="36" t="n"/>
      <c r="G1443" s="44" t="n"/>
      <c r="H1443" s="43" t="n"/>
      <c r="I1443" s="32" t="n"/>
      <c r="J1443" s="44" t="n"/>
      <c r="K1443" s="36" t="n"/>
      <c r="L1443" s="33">
        <f>IF(C1443="","",Commercial_Id)</f>
        <v/>
      </c>
      <c r="M1443" s="34">
        <f>IF(OR(C1443="",F1443=""),"",IF(F1443&lt;&gt;"Espèces","—",IF(I1443&lt;&gt;"","☑ Oui","☐ Non")))</f>
        <v/>
      </c>
      <c r="N1443" s="39">
        <f>IF(D1443="","",IFERROR(VALUE(MID(D1443,LEN(D1443)-3,3)),""))</f>
        <v/>
      </c>
      <c r="O1443" s="33">
        <f>IF(N1443="","",L1443&amp;"|"&amp;N1443)</f>
        <v/>
      </c>
      <c r="P1443" s="33">
        <f>IF(N1443="","",IF(L1443="À RENSEIGNER","GIC",L1443)&amp;"-"&amp;TEXT(N1443,"000"))</f>
        <v/>
      </c>
      <c r="Q1443" s="33">
        <f>IF(O1443="","",IFERROR(INDEX(Cl_nom,MATCH(O1443,Cl_cle,0)),"(client introuvable)"))</f>
        <v/>
      </c>
      <c r="R1443" s="40">
        <f>IF(O1443="","",IFERROR(INDEX(Cl_reste,MATCH(O1443,Cl_cle,0)),""))</f>
        <v/>
      </c>
      <c r="S1443" s="34">
        <f>IF(C1443="","",YEAR(C1443-WEEKDAY(C1443,2)+4)&amp;"-S"&amp;TEXT(INT((C1443-DATE(YEAR(C1443-WEEKDAY(C1443,2)+4),1,3)+WEEKDAY(DATE(YEAR(C1443-WEEKDAY(C1443,2)+4),1,3),2)+5)/7),"00"))</f>
        <v/>
      </c>
    </row>
    <row r="1444" ht="18" customHeight="1">
      <c r="A1444" s="39" t="n">
        <v>1439</v>
      </c>
      <c r="B1444" s="33">
        <f>IF(C1444="","",IF(L1444="À RENSEIGNER","GIC",L1444)&amp;"-E"&amp;TEXT(A1444,"00000"))</f>
        <v/>
      </c>
      <c r="C1444" s="32" t="n"/>
      <c r="D1444" s="36" t="n"/>
      <c r="E1444" s="37" t="n"/>
      <c r="F1444" s="36" t="n"/>
      <c r="G1444" s="44" t="n"/>
      <c r="H1444" s="43" t="n"/>
      <c r="I1444" s="32" t="n"/>
      <c r="J1444" s="44" t="n"/>
      <c r="K1444" s="36" t="n"/>
      <c r="L1444" s="33">
        <f>IF(C1444="","",Commercial_Id)</f>
        <v/>
      </c>
      <c r="M1444" s="34">
        <f>IF(OR(C1444="",F1444=""),"",IF(F1444&lt;&gt;"Espèces","—",IF(I1444&lt;&gt;"","☑ Oui","☐ Non")))</f>
        <v/>
      </c>
      <c r="N1444" s="39">
        <f>IF(D1444="","",IFERROR(VALUE(MID(D1444,LEN(D1444)-3,3)),""))</f>
        <v/>
      </c>
      <c r="O1444" s="33">
        <f>IF(N1444="","",L1444&amp;"|"&amp;N1444)</f>
        <v/>
      </c>
      <c r="P1444" s="33">
        <f>IF(N1444="","",IF(L1444="À RENSEIGNER","GIC",L1444)&amp;"-"&amp;TEXT(N1444,"000"))</f>
        <v/>
      </c>
      <c r="Q1444" s="33">
        <f>IF(O1444="","",IFERROR(INDEX(Cl_nom,MATCH(O1444,Cl_cle,0)),"(client introuvable)"))</f>
        <v/>
      </c>
      <c r="R1444" s="40">
        <f>IF(O1444="","",IFERROR(INDEX(Cl_reste,MATCH(O1444,Cl_cle,0)),""))</f>
        <v/>
      </c>
      <c r="S1444" s="34">
        <f>IF(C1444="","",YEAR(C1444-WEEKDAY(C1444,2)+4)&amp;"-S"&amp;TEXT(INT((C1444-DATE(YEAR(C1444-WEEKDAY(C1444,2)+4),1,3)+WEEKDAY(DATE(YEAR(C1444-WEEKDAY(C1444,2)+4),1,3),2)+5)/7),"00"))</f>
        <v/>
      </c>
    </row>
    <row r="1445" ht="18" customHeight="1">
      <c r="A1445" s="39" t="n">
        <v>1440</v>
      </c>
      <c r="B1445" s="33">
        <f>IF(C1445="","",IF(L1445="À RENSEIGNER","GIC",L1445)&amp;"-E"&amp;TEXT(A1445,"00000"))</f>
        <v/>
      </c>
      <c r="C1445" s="32" t="n"/>
      <c r="D1445" s="36" t="n"/>
      <c r="E1445" s="37" t="n"/>
      <c r="F1445" s="36" t="n"/>
      <c r="G1445" s="44" t="n"/>
      <c r="H1445" s="43" t="n"/>
      <c r="I1445" s="32" t="n"/>
      <c r="J1445" s="44" t="n"/>
      <c r="K1445" s="36" t="n"/>
      <c r="L1445" s="33">
        <f>IF(C1445="","",Commercial_Id)</f>
        <v/>
      </c>
      <c r="M1445" s="34">
        <f>IF(OR(C1445="",F1445=""),"",IF(F1445&lt;&gt;"Espèces","—",IF(I1445&lt;&gt;"","☑ Oui","☐ Non")))</f>
        <v/>
      </c>
      <c r="N1445" s="39">
        <f>IF(D1445="","",IFERROR(VALUE(MID(D1445,LEN(D1445)-3,3)),""))</f>
        <v/>
      </c>
      <c r="O1445" s="33">
        <f>IF(N1445="","",L1445&amp;"|"&amp;N1445)</f>
        <v/>
      </c>
      <c r="P1445" s="33">
        <f>IF(N1445="","",IF(L1445="À RENSEIGNER","GIC",L1445)&amp;"-"&amp;TEXT(N1445,"000"))</f>
        <v/>
      </c>
      <c r="Q1445" s="33">
        <f>IF(O1445="","",IFERROR(INDEX(Cl_nom,MATCH(O1445,Cl_cle,0)),"(client introuvable)"))</f>
        <v/>
      </c>
      <c r="R1445" s="40">
        <f>IF(O1445="","",IFERROR(INDEX(Cl_reste,MATCH(O1445,Cl_cle,0)),""))</f>
        <v/>
      </c>
      <c r="S1445" s="34">
        <f>IF(C1445="","",YEAR(C1445-WEEKDAY(C1445,2)+4)&amp;"-S"&amp;TEXT(INT((C1445-DATE(YEAR(C1445-WEEKDAY(C1445,2)+4),1,3)+WEEKDAY(DATE(YEAR(C1445-WEEKDAY(C1445,2)+4),1,3),2)+5)/7),"00"))</f>
        <v/>
      </c>
    </row>
    <row r="1446" ht="18" customHeight="1">
      <c r="A1446" s="39" t="n">
        <v>1441</v>
      </c>
      <c r="B1446" s="33">
        <f>IF(C1446="","",IF(L1446="À RENSEIGNER","GIC",L1446)&amp;"-E"&amp;TEXT(A1446,"00000"))</f>
        <v/>
      </c>
      <c r="C1446" s="32" t="n"/>
      <c r="D1446" s="36" t="n"/>
      <c r="E1446" s="37" t="n"/>
      <c r="F1446" s="36" t="n"/>
      <c r="G1446" s="44" t="n"/>
      <c r="H1446" s="43" t="n"/>
      <c r="I1446" s="32" t="n"/>
      <c r="J1446" s="44" t="n"/>
      <c r="K1446" s="36" t="n"/>
      <c r="L1446" s="33">
        <f>IF(C1446="","",Commercial_Id)</f>
        <v/>
      </c>
      <c r="M1446" s="34">
        <f>IF(OR(C1446="",F1446=""),"",IF(F1446&lt;&gt;"Espèces","—",IF(I1446&lt;&gt;"","☑ Oui","☐ Non")))</f>
        <v/>
      </c>
      <c r="N1446" s="39">
        <f>IF(D1446="","",IFERROR(VALUE(MID(D1446,LEN(D1446)-3,3)),""))</f>
        <v/>
      </c>
      <c r="O1446" s="33">
        <f>IF(N1446="","",L1446&amp;"|"&amp;N1446)</f>
        <v/>
      </c>
      <c r="P1446" s="33">
        <f>IF(N1446="","",IF(L1446="À RENSEIGNER","GIC",L1446)&amp;"-"&amp;TEXT(N1446,"000"))</f>
        <v/>
      </c>
      <c r="Q1446" s="33">
        <f>IF(O1446="","",IFERROR(INDEX(Cl_nom,MATCH(O1446,Cl_cle,0)),"(client introuvable)"))</f>
        <v/>
      </c>
      <c r="R1446" s="40">
        <f>IF(O1446="","",IFERROR(INDEX(Cl_reste,MATCH(O1446,Cl_cle,0)),""))</f>
        <v/>
      </c>
      <c r="S1446" s="34">
        <f>IF(C1446="","",YEAR(C1446-WEEKDAY(C1446,2)+4)&amp;"-S"&amp;TEXT(INT((C1446-DATE(YEAR(C1446-WEEKDAY(C1446,2)+4),1,3)+WEEKDAY(DATE(YEAR(C1446-WEEKDAY(C1446,2)+4),1,3),2)+5)/7),"00"))</f>
        <v/>
      </c>
    </row>
    <row r="1447" ht="18" customHeight="1">
      <c r="A1447" s="39" t="n">
        <v>1442</v>
      </c>
      <c r="B1447" s="33">
        <f>IF(C1447="","",IF(L1447="À RENSEIGNER","GIC",L1447)&amp;"-E"&amp;TEXT(A1447,"00000"))</f>
        <v/>
      </c>
      <c r="C1447" s="32" t="n"/>
      <c r="D1447" s="36" t="n"/>
      <c r="E1447" s="37" t="n"/>
      <c r="F1447" s="36" t="n"/>
      <c r="G1447" s="44" t="n"/>
      <c r="H1447" s="43" t="n"/>
      <c r="I1447" s="32" t="n"/>
      <c r="J1447" s="44" t="n"/>
      <c r="K1447" s="36" t="n"/>
      <c r="L1447" s="33">
        <f>IF(C1447="","",Commercial_Id)</f>
        <v/>
      </c>
      <c r="M1447" s="34">
        <f>IF(OR(C1447="",F1447=""),"",IF(F1447&lt;&gt;"Espèces","—",IF(I1447&lt;&gt;"","☑ Oui","☐ Non")))</f>
        <v/>
      </c>
      <c r="N1447" s="39">
        <f>IF(D1447="","",IFERROR(VALUE(MID(D1447,LEN(D1447)-3,3)),""))</f>
        <v/>
      </c>
      <c r="O1447" s="33">
        <f>IF(N1447="","",L1447&amp;"|"&amp;N1447)</f>
        <v/>
      </c>
      <c r="P1447" s="33">
        <f>IF(N1447="","",IF(L1447="À RENSEIGNER","GIC",L1447)&amp;"-"&amp;TEXT(N1447,"000"))</f>
        <v/>
      </c>
      <c r="Q1447" s="33">
        <f>IF(O1447="","",IFERROR(INDEX(Cl_nom,MATCH(O1447,Cl_cle,0)),"(client introuvable)"))</f>
        <v/>
      </c>
      <c r="R1447" s="40">
        <f>IF(O1447="","",IFERROR(INDEX(Cl_reste,MATCH(O1447,Cl_cle,0)),""))</f>
        <v/>
      </c>
      <c r="S1447" s="34">
        <f>IF(C1447="","",YEAR(C1447-WEEKDAY(C1447,2)+4)&amp;"-S"&amp;TEXT(INT((C1447-DATE(YEAR(C1447-WEEKDAY(C1447,2)+4),1,3)+WEEKDAY(DATE(YEAR(C1447-WEEKDAY(C1447,2)+4),1,3),2)+5)/7),"00"))</f>
        <v/>
      </c>
    </row>
    <row r="1448" ht="18" customHeight="1">
      <c r="A1448" s="39" t="n">
        <v>1443</v>
      </c>
      <c r="B1448" s="33">
        <f>IF(C1448="","",IF(L1448="À RENSEIGNER","GIC",L1448)&amp;"-E"&amp;TEXT(A1448,"00000"))</f>
        <v/>
      </c>
      <c r="C1448" s="32" t="n"/>
      <c r="D1448" s="36" t="n"/>
      <c r="E1448" s="37" t="n"/>
      <c r="F1448" s="36" t="n"/>
      <c r="G1448" s="44" t="n"/>
      <c r="H1448" s="43" t="n"/>
      <c r="I1448" s="32" t="n"/>
      <c r="J1448" s="44" t="n"/>
      <c r="K1448" s="36" t="n"/>
      <c r="L1448" s="33">
        <f>IF(C1448="","",Commercial_Id)</f>
        <v/>
      </c>
      <c r="M1448" s="34">
        <f>IF(OR(C1448="",F1448=""),"",IF(F1448&lt;&gt;"Espèces","—",IF(I1448&lt;&gt;"","☑ Oui","☐ Non")))</f>
        <v/>
      </c>
      <c r="N1448" s="39">
        <f>IF(D1448="","",IFERROR(VALUE(MID(D1448,LEN(D1448)-3,3)),""))</f>
        <v/>
      </c>
      <c r="O1448" s="33">
        <f>IF(N1448="","",L1448&amp;"|"&amp;N1448)</f>
        <v/>
      </c>
      <c r="P1448" s="33">
        <f>IF(N1448="","",IF(L1448="À RENSEIGNER","GIC",L1448)&amp;"-"&amp;TEXT(N1448,"000"))</f>
        <v/>
      </c>
      <c r="Q1448" s="33">
        <f>IF(O1448="","",IFERROR(INDEX(Cl_nom,MATCH(O1448,Cl_cle,0)),"(client introuvable)"))</f>
        <v/>
      </c>
      <c r="R1448" s="40">
        <f>IF(O1448="","",IFERROR(INDEX(Cl_reste,MATCH(O1448,Cl_cle,0)),""))</f>
        <v/>
      </c>
      <c r="S1448" s="34">
        <f>IF(C1448="","",YEAR(C1448-WEEKDAY(C1448,2)+4)&amp;"-S"&amp;TEXT(INT((C1448-DATE(YEAR(C1448-WEEKDAY(C1448,2)+4),1,3)+WEEKDAY(DATE(YEAR(C1448-WEEKDAY(C1448,2)+4),1,3),2)+5)/7),"00"))</f>
        <v/>
      </c>
    </row>
    <row r="1449" ht="18" customHeight="1">
      <c r="A1449" s="39" t="n">
        <v>1444</v>
      </c>
      <c r="B1449" s="33">
        <f>IF(C1449="","",IF(L1449="À RENSEIGNER","GIC",L1449)&amp;"-E"&amp;TEXT(A1449,"00000"))</f>
        <v/>
      </c>
      <c r="C1449" s="32" t="n"/>
      <c r="D1449" s="36" t="n"/>
      <c r="E1449" s="37" t="n"/>
      <c r="F1449" s="36" t="n"/>
      <c r="G1449" s="44" t="n"/>
      <c r="H1449" s="43" t="n"/>
      <c r="I1449" s="32" t="n"/>
      <c r="J1449" s="44" t="n"/>
      <c r="K1449" s="36" t="n"/>
      <c r="L1449" s="33">
        <f>IF(C1449="","",Commercial_Id)</f>
        <v/>
      </c>
      <c r="M1449" s="34">
        <f>IF(OR(C1449="",F1449=""),"",IF(F1449&lt;&gt;"Espèces","—",IF(I1449&lt;&gt;"","☑ Oui","☐ Non")))</f>
        <v/>
      </c>
      <c r="N1449" s="39">
        <f>IF(D1449="","",IFERROR(VALUE(MID(D1449,LEN(D1449)-3,3)),""))</f>
        <v/>
      </c>
      <c r="O1449" s="33">
        <f>IF(N1449="","",L1449&amp;"|"&amp;N1449)</f>
        <v/>
      </c>
      <c r="P1449" s="33">
        <f>IF(N1449="","",IF(L1449="À RENSEIGNER","GIC",L1449)&amp;"-"&amp;TEXT(N1449,"000"))</f>
        <v/>
      </c>
      <c r="Q1449" s="33">
        <f>IF(O1449="","",IFERROR(INDEX(Cl_nom,MATCH(O1449,Cl_cle,0)),"(client introuvable)"))</f>
        <v/>
      </c>
      <c r="R1449" s="40">
        <f>IF(O1449="","",IFERROR(INDEX(Cl_reste,MATCH(O1449,Cl_cle,0)),""))</f>
        <v/>
      </c>
      <c r="S1449" s="34">
        <f>IF(C1449="","",YEAR(C1449-WEEKDAY(C1449,2)+4)&amp;"-S"&amp;TEXT(INT((C1449-DATE(YEAR(C1449-WEEKDAY(C1449,2)+4),1,3)+WEEKDAY(DATE(YEAR(C1449-WEEKDAY(C1449,2)+4),1,3),2)+5)/7),"00"))</f>
        <v/>
      </c>
    </row>
    <row r="1450" ht="18" customHeight="1">
      <c r="A1450" s="39" t="n">
        <v>1445</v>
      </c>
      <c r="B1450" s="33">
        <f>IF(C1450="","",IF(L1450="À RENSEIGNER","GIC",L1450)&amp;"-E"&amp;TEXT(A1450,"00000"))</f>
        <v/>
      </c>
      <c r="C1450" s="32" t="n"/>
      <c r="D1450" s="36" t="n"/>
      <c r="E1450" s="37" t="n"/>
      <c r="F1450" s="36" t="n"/>
      <c r="G1450" s="44" t="n"/>
      <c r="H1450" s="43" t="n"/>
      <c r="I1450" s="32" t="n"/>
      <c r="J1450" s="44" t="n"/>
      <c r="K1450" s="36" t="n"/>
      <c r="L1450" s="33">
        <f>IF(C1450="","",Commercial_Id)</f>
        <v/>
      </c>
      <c r="M1450" s="34">
        <f>IF(OR(C1450="",F1450=""),"",IF(F1450&lt;&gt;"Espèces","—",IF(I1450&lt;&gt;"","☑ Oui","☐ Non")))</f>
        <v/>
      </c>
      <c r="N1450" s="39">
        <f>IF(D1450="","",IFERROR(VALUE(MID(D1450,LEN(D1450)-3,3)),""))</f>
        <v/>
      </c>
      <c r="O1450" s="33">
        <f>IF(N1450="","",L1450&amp;"|"&amp;N1450)</f>
        <v/>
      </c>
      <c r="P1450" s="33">
        <f>IF(N1450="","",IF(L1450="À RENSEIGNER","GIC",L1450)&amp;"-"&amp;TEXT(N1450,"000"))</f>
        <v/>
      </c>
      <c r="Q1450" s="33">
        <f>IF(O1450="","",IFERROR(INDEX(Cl_nom,MATCH(O1450,Cl_cle,0)),"(client introuvable)"))</f>
        <v/>
      </c>
      <c r="R1450" s="40">
        <f>IF(O1450="","",IFERROR(INDEX(Cl_reste,MATCH(O1450,Cl_cle,0)),""))</f>
        <v/>
      </c>
      <c r="S1450" s="34">
        <f>IF(C1450="","",YEAR(C1450-WEEKDAY(C1450,2)+4)&amp;"-S"&amp;TEXT(INT((C1450-DATE(YEAR(C1450-WEEKDAY(C1450,2)+4),1,3)+WEEKDAY(DATE(YEAR(C1450-WEEKDAY(C1450,2)+4),1,3),2)+5)/7),"00"))</f>
        <v/>
      </c>
    </row>
    <row r="1451" ht="18" customHeight="1">
      <c r="A1451" s="39" t="n">
        <v>1446</v>
      </c>
      <c r="B1451" s="33">
        <f>IF(C1451="","",IF(L1451="À RENSEIGNER","GIC",L1451)&amp;"-E"&amp;TEXT(A1451,"00000"))</f>
        <v/>
      </c>
      <c r="C1451" s="32" t="n"/>
      <c r="D1451" s="36" t="n"/>
      <c r="E1451" s="37" t="n"/>
      <c r="F1451" s="36" t="n"/>
      <c r="G1451" s="44" t="n"/>
      <c r="H1451" s="43" t="n"/>
      <c r="I1451" s="32" t="n"/>
      <c r="J1451" s="44" t="n"/>
      <c r="K1451" s="36" t="n"/>
      <c r="L1451" s="33">
        <f>IF(C1451="","",Commercial_Id)</f>
        <v/>
      </c>
      <c r="M1451" s="34">
        <f>IF(OR(C1451="",F1451=""),"",IF(F1451&lt;&gt;"Espèces","—",IF(I1451&lt;&gt;"","☑ Oui","☐ Non")))</f>
        <v/>
      </c>
      <c r="N1451" s="39">
        <f>IF(D1451="","",IFERROR(VALUE(MID(D1451,LEN(D1451)-3,3)),""))</f>
        <v/>
      </c>
      <c r="O1451" s="33">
        <f>IF(N1451="","",L1451&amp;"|"&amp;N1451)</f>
        <v/>
      </c>
      <c r="P1451" s="33">
        <f>IF(N1451="","",IF(L1451="À RENSEIGNER","GIC",L1451)&amp;"-"&amp;TEXT(N1451,"000"))</f>
        <v/>
      </c>
      <c r="Q1451" s="33">
        <f>IF(O1451="","",IFERROR(INDEX(Cl_nom,MATCH(O1451,Cl_cle,0)),"(client introuvable)"))</f>
        <v/>
      </c>
      <c r="R1451" s="40">
        <f>IF(O1451="","",IFERROR(INDEX(Cl_reste,MATCH(O1451,Cl_cle,0)),""))</f>
        <v/>
      </c>
      <c r="S1451" s="34">
        <f>IF(C1451="","",YEAR(C1451-WEEKDAY(C1451,2)+4)&amp;"-S"&amp;TEXT(INT((C1451-DATE(YEAR(C1451-WEEKDAY(C1451,2)+4),1,3)+WEEKDAY(DATE(YEAR(C1451-WEEKDAY(C1451,2)+4),1,3),2)+5)/7),"00"))</f>
        <v/>
      </c>
    </row>
    <row r="1452" ht="18" customHeight="1">
      <c r="A1452" s="39" t="n">
        <v>1447</v>
      </c>
      <c r="B1452" s="33">
        <f>IF(C1452="","",IF(L1452="À RENSEIGNER","GIC",L1452)&amp;"-E"&amp;TEXT(A1452,"00000"))</f>
        <v/>
      </c>
      <c r="C1452" s="32" t="n"/>
      <c r="D1452" s="36" t="n"/>
      <c r="E1452" s="37" t="n"/>
      <c r="F1452" s="36" t="n"/>
      <c r="G1452" s="44" t="n"/>
      <c r="H1452" s="43" t="n"/>
      <c r="I1452" s="32" t="n"/>
      <c r="J1452" s="44" t="n"/>
      <c r="K1452" s="36" t="n"/>
      <c r="L1452" s="33">
        <f>IF(C1452="","",Commercial_Id)</f>
        <v/>
      </c>
      <c r="M1452" s="34">
        <f>IF(OR(C1452="",F1452=""),"",IF(F1452&lt;&gt;"Espèces","—",IF(I1452&lt;&gt;"","☑ Oui","☐ Non")))</f>
        <v/>
      </c>
      <c r="N1452" s="39">
        <f>IF(D1452="","",IFERROR(VALUE(MID(D1452,LEN(D1452)-3,3)),""))</f>
        <v/>
      </c>
      <c r="O1452" s="33">
        <f>IF(N1452="","",L1452&amp;"|"&amp;N1452)</f>
        <v/>
      </c>
      <c r="P1452" s="33">
        <f>IF(N1452="","",IF(L1452="À RENSEIGNER","GIC",L1452)&amp;"-"&amp;TEXT(N1452,"000"))</f>
        <v/>
      </c>
      <c r="Q1452" s="33">
        <f>IF(O1452="","",IFERROR(INDEX(Cl_nom,MATCH(O1452,Cl_cle,0)),"(client introuvable)"))</f>
        <v/>
      </c>
      <c r="R1452" s="40">
        <f>IF(O1452="","",IFERROR(INDEX(Cl_reste,MATCH(O1452,Cl_cle,0)),""))</f>
        <v/>
      </c>
      <c r="S1452" s="34">
        <f>IF(C1452="","",YEAR(C1452-WEEKDAY(C1452,2)+4)&amp;"-S"&amp;TEXT(INT((C1452-DATE(YEAR(C1452-WEEKDAY(C1452,2)+4),1,3)+WEEKDAY(DATE(YEAR(C1452-WEEKDAY(C1452,2)+4),1,3),2)+5)/7),"00"))</f>
        <v/>
      </c>
    </row>
    <row r="1453" ht="18" customHeight="1">
      <c r="A1453" s="39" t="n">
        <v>1448</v>
      </c>
      <c r="B1453" s="33">
        <f>IF(C1453="","",IF(L1453="À RENSEIGNER","GIC",L1453)&amp;"-E"&amp;TEXT(A1453,"00000"))</f>
        <v/>
      </c>
      <c r="C1453" s="32" t="n"/>
      <c r="D1453" s="36" t="n"/>
      <c r="E1453" s="37" t="n"/>
      <c r="F1453" s="36" t="n"/>
      <c r="G1453" s="44" t="n"/>
      <c r="H1453" s="43" t="n"/>
      <c r="I1453" s="32" t="n"/>
      <c r="J1453" s="44" t="n"/>
      <c r="K1453" s="36" t="n"/>
      <c r="L1453" s="33">
        <f>IF(C1453="","",Commercial_Id)</f>
        <v/>
      </c>
      <c r="M1453" s="34">
        <f>IF(OR(C1453="",F1453=""),"",IF(F1453&lt;&gt;"Espèces","—",IF(I1453&lt;&gt;"","☑ Oui","☐ Non")))</f>
        <v/>
      </c>
      <c r="N1453" s="39">
        <f>IF(D1453="","",IFERROR(VALUE(MID(D1453,LEN(D1453)-3,3)),""))</f>
        <v/>
      </c>
      <c r="O1453" s="33">
        <f>IF(N1453="","",L1453&amp;"|"&amp;N1453)</f>
        <v/>
      </c>
      <c r="P1453" s="33">
        <f>IF(N1453="","",IF(L1453="À RENSEIGNER","GIC",L1453)&amp;"-"&amp;TEXT(N1453,"000"))</f>
        <v/>
      </c>
      <c r="Q1453" s="33">
        <f>IF(O1453="","",IFERROR(INDEX(Cl_nom,MATCH(O1453,Cl_cle,0)),"(client introuvable)"))</f>
        <v/>
      </c>
      <c r="R1453" s="40">
        <f>IF(O1453="","",IFERROR(INDEX(Cl_reste,MATCH(O1453,Cl_cle,0)),""))</f>
        <v/>
      </c>
      <c r="S1453" s="34">
        <f>IF(C1453="","",YEAR(C1453-WEEKDAY(C1453,2)+4)&amp;"-S"&amp;TEXT(INT((C1453-DATE(YEAR(C1453-WEEKDAY(C1453,2)+4),1,3)+WEEKDAY(DATE(YEAR(C1453-WEEKDAY(C1453,2)+4),1,3),2)+5)/7),"00"))</f>
        <v/>
      </c>
    </row>
    <row r="1454" ht="18" customHeight="1">
      <c r="A1454" s="39" t="n">
        <v>1449</v>
      </c>
      <c r="B1454" s="33">
        <f>IF(C1454="","",IF(L1454="À RENSEIGNER","GIC",L1454)&amp;"-E"&amp;TEXT(A1454,"00000"))</f>
        <v/>
      </c>
      <c r="C1454" s="32" t="n"/>
      <c r="D1454" s="36" t="n"/>
      <c r="E1454" s="37" t="n"/>
      <c r="F1454" s="36" t="n"/>
      <c r="G1454" s="44" t="n"/>
      <c r="H1454" s="43" t="n"/>
      <c r="I1454" s="32" t="n"/>
      <c r="J1454" s="44" t="n"/>
      <c r="K1454" s="36" t="n"/>
      <c r="L1454" s="33">
        <f>IF(C1454="","",Commercial_Id)</f>
        <v/>
      </c>
      <c r="M1454" s="34">
        <f>IF(OR(C1454="",F1454=""),"",IF(F1454&lt;&gt;"Espèces","—",IF(I1454&lt;&gt;"","☑ Oui","☐ Non")))</f>
        <v/>
      </c>
      <c r="N1454" s="39">
        <f>IF(D1454="","",IFERROR(VALUE(MID(D1454,LEN(D1454)-3,3)),""))</f>
        <v/>
      </c>
      <c r="O1454" s="33">
        <f>IF(N1454="","",L1454&amp;"|"&amp;N1454)</f>
        <v/>
      </c>
      <c r="P1454" s="33">
        <f>IF(N1454="","",IF(L1454="À RENSEIGNER","GIC",L1454)&amp;"-"&amp;TEXT(N1454,"000"))</f>
        <v/>
      </c>
      <c r="Q1454" s="33">
        <f>IF(O1454="","",IFERROR(INDEX(Cl_nom,MATCH(O1454,Cl_cle,0)),"(client introuvable)"))</f>
        <v/>
      </c>
      <c r="R1454" s="40">
        <f>IF(O1454="","",IFERROR(INDEX(Cl_reste,MATCH(O1454,Cl_cle,0)),""))</f>
        <v/>
      </c>
      <c r="S1454" s="34">
        <f>IF(C1454="","",YEAR(C1454-WEEKDAY(C1454,2)+4)&amp;"-S"&amp;TEXT(INT((C1454-DATE(YEAR(C1454-WEEKDAY(C1454,2)+4),1,3)+WEEKDAY(DATE(YEAR(C1454-WEEKDAY(C1454,2)+4),1,3),2)+5)/7),"00"))</f>
        <v/>
      </c>
    </row>
    <row r="1455" ht="18" customHeight="1">
      <c r="A1455" s="39" t="n">
        <v>1450</v>
      </c>
      <c r="B1455" s="33">
        <f>IF(C1455="","",IF(L1455="À RENSEIGNER","GIC",L1455)&amp;"-E"&amp;TEXT(A1455,"00000"))</f>
        <v/>
      </c>
      <c r="C1455" s="32" t="n"/>
      <c r="D1455" s="36" t="n"/>
      <c r="E1455" s="37" t="n"/>
      <c r="F1455" s="36" t="n"/>
      <c r="G1455" s="44" t="n"/>
      <c r="H1455" s="43" t="n"/>
      <c r="I1455" s="32" t="n"/>
      <c r="J1455" s="44" t="n"/>
      <c r="K1455" s="36" t="n"/>
      <c r="L1455" s="33">
        <f>IF(C1455="","",Commercial_Id)</f>
        <v/>
      </c>
      <c r="M1455" s="34">
        <f>IF(OR(C1455="",F1455=""),"",IF(F1455&lt;&gt;"Espèces","—",IF(I1455&lt;&gt;"","☑ Oui","☐ Non")))</f>
        <v/>
      </c>
      <c r="N1455" s="39">
        <f>IF(D1455="","",IFERROR(VALUE(MID(D1455,LEN(D1455)-3,3)),""))</f>
        <v/>
      </c>
      <c r="O1455" s="33">
        <f>IF(N1455="","",L1455&amp;"|"&amp;N1455)</f>
        <v/>
      </c>
      <c r="P1455" s="33">
        <f>IF(N1455="","",IF(L1455="À RENSEIGNER","GIC",L1455)&amp;"-"&amp;TEXT(N1455,"000"))</f>
        <v/>
      </c>
      <c r="Q1455" s="33">
        <f>IF(O1455="","",IFERROR(INDEX(Cl_nom,MATCH(O1455,Cl_cle,0)),"(client introuvable)"))</f>
        <v/>
      </c>
      <c r="R1455" s="40">
        <f>IF(O1455="","",IFERROR(INDEX(Cl_reste,MATCH(O1455,Cl_cle,0)),""))</f>
        <v/>
      </c>
      <c r="S1455" s="34">
        <f>IF(C1455="","",YEAR(C1455-WEEKDAY(C1455,2)+4)&amp;"-S"&amp;TEXT(INT((C1455-DATE(YEAR(C1455-WEEKDAY(C1455,2)+4),1,3)+WEEKDAY(DATE(YEAR(C1455-WEEKDAY(C1455,2)+4),1,3),2)+5)/7),"00"))</f>
        <v/>
      </c>
    </row>
    <row r="1456" ht="18" customHeight="1">
      <c r="A1456" s="39" t="n">
        <v>1451</v>
      </c>
      <c r="B1456" s="33">
        <f>IF(C1456="","",IF(L1456="À RENSEIGNER","GIC",L1456)&amp;"-E"&amp;TEXT(A1456,"00000"))</f>
        <v/>
      </c>
      <c r="C1456" s="32" t="n"/>
      <c r="D1456" s="36" t="n"/>
      <c r="E1456" s="37" t="n"/>
      <c r="F1456" s="36" t="n"/>
      <c r="G1456" s="44" t="n"/>
      <c r="H1456" s="43" t="n"/>
      <c r="I1456" s="32" t="n"/>
      <c r="J1456" s="44" t="n"/>
      <c r="K1456" s="36" t="n"/>
      <c r="L1456" s="33">
        <f>IF(C1456="","",Commercial_Id)</f>
        <v/>
      </c>
      <c r="M1456" s="34">
        <f>IF(OR(C1456="",F1456=""),"",IF(F1456&lt;&gt;"Espèces","—",IF(I1456&lt;&gt;"","☑ Oui","☐ Non")))</f>
        <v/>
      </c>
      <c r="N1456" s="39">
        <f>IF(D1456="","",IFERROR(VALUE(MID(D1456,LEN(D1456)-3,3)),""))</f>
        <v/>
      </c>
      <c r="O1456" s="33">
        <f>IF(N1456="","",L1456&amp;"|"&amp;N1456)</f>
        <v/>
      </c>
      <c r="P1456" s="33">
        <f>IF(N1456="","",IF(L1456="À RENSEIGNER","GIC",L1456)&amp;"-"&amp;TEXT(N1456,"000"))</f>
        <v/>
      </c>
      <c r="Q1456" s="33">
        <f>IF(O1456="","",IFERROR(INDEX(Cl_nom,MATCH(O1456,Cl_cle,0)),"(client introuvable)"))</f>
        <v/>
      </c>
      <c r="R1456" s="40">
        <f>IF(O1456="","",IFERROR(INDEX(Cl_reste,MATCH(O1456,Cl_cle,0)),""))</f>
        <v/>
      </c>
      <c r="S1456" s="34">
        <f>IF(C1456="","",YEAR(C1456-WEEKDAY(C1456,2)+4)&amp;"-S"&amp;TEXT(INT((C1456-DATE(YEAR(C1456-WEEKDAY(C1456,2)+4),1,3)+WEEKDAY(DATE(YEAR(C1456-WEEKDAY(C1456,2)+4),1,3),2)+5)/7),"00"))</f>
        <v/>
      </c>
    </row>
    <row r="1457" ht="18" customHeight="1">
      <c r="A1457" s="39" t="n">
        <v>1452</v>
      </c>
      <c r="B1457" s="33">
        <f>IF(C1457="","",IF(L1457="À RENSEIGNER","GIC",L1457)&amp;"-E"&amp;TEXT(A1457,"00000"))</f>
        <v/>
      </c>
      <c r="C1457" s="32" t="n"/>
      <c r="D1457" s="36" t="n"/>
      <c r="E1457" s="37" t="n"/>
      <c r="F1457" s="36" t="n"/>
      <c r="G1457" s="44" t="n"/>
      <c r="H1457" s="43" t="n"/>
      <c r="I1457" s="32" t="n"/>
      <c r="J1457" s="44" t="n"/>
      <c r="K1457" s="36" t="n"/>
      <c r="L1457" s="33">
        <f>IF(C1457="","",Commercial_Id)</f>
        <v/>
      </c>
      <c r="M1457" s="34">
        <f>IF(OR(C1457="",F1457=""),"",IF(F1457&lt;&gt;"Espèces","—",IF(I1457&lt;&gt;"","☑ Oui","☐ Non")))</f>
        <v/>
      </c>
      <c r="N1457" s="39">
        <f>IF(D1457="","",IFERROR(VALUE(MID(D1457,LEN(D1457)-3,3)),""))</f>
        <v/>
      </c>
      <c r="O1457" s="33">
        <f>IF(N1457="","",L1457&amp;"|"&amp;N1457)</f>
        <v/>
      </c>
      <c r="P1457" s="33">
        <f>IF(N1457="","",IF(L1457="À RENSEIGNER","GIC",L1457)&amp;"-"&amp;TEXT(N1457,"000"))</f>
        <v/>
      </c>
      <c r="Q1457" s="33">
        <f>IF(O1457="","",IFERROR(INDEX(Cl_nom,MATCH(O1457,Cl_cle,0)),"(client introuvable)"))</f>
        <v/>
      </c>
      <c r="R1457" s="40">
        <f>IF(O1457="","",IFERROR(INDEX(Cl_reste,MATCH(O1457,Cl_cle,0)),""))</f>
        <v/>
      </c>
      <c r="S1457" s="34">
        <f>IF(C1457="","",YEAR(C1457-WEEKDAY(C1457,2)+4)&amp;"-S"&amp;TEXT(INT((C1457-DATE(YEAR(C1457-WEEKDAY(C1457,2)+4),1,3)+WEEKDAY(DATE(YEAR(C1457-WEEKDAY(C1457,2)+4),1,3),2)+5)/7),"00"))</f>
        <v/>
      </c>
    </row>
    <row r="1458" ht="18" customHeight="1">
      <c r="A1458" s="39" t="n">
        <v>1453</v>
      </c>
      <c r="B1458" s="33">
        <f>IF(C1458="","",IF(L1458="À RENSEIGNER","GIC",L1458)&amp;"-E"&amp;TEXT(A1458,"00000"))</f>
        <v/>
      </c>
      <c r="C1458" s="32" t="n"/>
      <c r="D1458" s="36" t="n"/>
      <c r="E1458" s="37" t="n"/>
      <c r="F1458" s="36" t="n"/>
      <c r="G1458" s="44" t="n"/>
      <c r="H1458" s="43" t="n"/>
      <c r="I1458" s="32" t="n"/>
      <c r="J1458" s="44" t="n"/>
      <c r="K1458" s="36" t="n"/>
      <c r="L1458" s="33">
        <f>IF(C1458="","",Commercial_Id)</f>
        <v/>
      </c>
      <c r="M1458" s="34">
        <f>IF(OR(C1458="",F1458=""),"",IF(F1458&lt;&gt;"Espèces","—",IF(I1458&lt;&gt;"","☑ Oui","☐ Non")))</f>
        <v/>
      </c>
      <c r="N1458" s="39">
        <f>IF(D1458="","",IFERROR(VALUE(MID(D1458,LEN(D1458)-3,3)),""))</f>
        <v/>
      </c>
      <c r="O1458" s="33">
        <f>IF(N1458="","",L1458&amp;"|"&amp;N1458)</f>
        <v/>
      </c>
      <c r="P1458" s="33">
        <f>IF(N1458="","",IF(L1458="À RENSEIGNER","GIC",L1458)&amp;"-"&amp;TEXT(N1458,"000"))</f>
        <v/>
      </c>
      <c r="Q1458" s="33">
        <f>IF(O1458="","",IFERROR(INDEX(Cl_nom,MATCH(O1458,Cl_cle,0)),"(client introuvable)"))</f>
        <v/>
      </c>
      <c r="R1458" s="40">
        <f>IF(O1458="","",IFERROR(INDEX(Cl_reste,MATCH(O1458,Cl_cle,0)),""))</f>
        <v/>
      </c>
      <c r="S1458" s="34">
        <f>IF(C1458="","",YEAR(C1458-WEEKDAY(C1458,2)+4)&amp;"-S"&amp;TEXT(INT((C1458-DATE(YEAR(C1458-WEEKDAY(C1458,2)+4),1,3)+WEEKDAY(DATE(YEAR(C1458-WEEKDAY(C1458,2)+4),1,3),2)+5)/7),"00"))</f>
        <v/>
      </c>
    </row>
    <row r="1459" ht="18" customHeight="1">
      <c r="A1459" s="39" t="n">
        <v>1454</v>
      </c>
      <c r="B1459" s="33">
        <f>IF(C1459="","",IF(L1459="À RENSEIGNER","GIC",L1459)&amp;"-E"&amp;TEXT(A1459,"00000"))</f>
        <v/>
      </c>
      <c r="C1459" s="32" t="n"/>
      <c r="D1459" s="36" t="n"/>
      <c r="E1459" s="37" t="n"/>
      <c r="F1459" s="36" t="n"/>
      <c r="G1459" s="44" t="n"/>
      <c r="H1459" s="43" t="n"/>
      <c r="I1459" s="32" t="n"/>
      <c r="J1459" s="44" t="n"/>
      <c r="K1459" s="36" t="n"/>
      <c r="L1459" s="33">
        <f>IF(C1459="","",Commercial_Id)</f>
        <v/>
      </c>
      <c r="M1459" s="34">
        <f>IF(OR(C1459="",F1459=""),"",IF(F1459&lt;&gt;"Espèces","—",IF(I1459&lt;&gt;"","☑ Oui","☐ Non")))</f>
        <v/>
      </c>
      <c r="N1459" s="39">
        <f>IF(D1459="","",IFERROR(VALUE(MID(D1459,LEN(D1459)-3,3)),""))</f>
        <v/>
      </c>
      <c r="O1459" s="33">
        <f>IF(N1459="","",L1459&amp;"|"&amp;N1459)</f>
        <v/>
      </c>
      <c r="P1459" s="33">
        <f>IF(N1459="","",IF(L1459="À RENSEIGNER","GIC",L1459)&amp;"-"&amp;TEXT(N1459,"000"))</f>
        <v/>
      </c>
      <c r="Q1459" s="33">
        <f>IF(O1459="","",IFERROR(INDEX(Cl_nom,MATCH(O1459,Cl_cle,0)),"(client introuvable)"))</f>
        <v/>
      </c>
      <c r="R1459" s="40">
        <f>IF(O1459="","",IFERROR(INDEX(Cl_reste,MATCH(O1459,Cl_cle,0)),""))</f>
        <v/>
      </c>
      <c r="S1459" s="34">
        <f>IF(C1459="","",YEAR(C1459-WEEKDAY(C1459,2)+4)&amp;"-S"&amp;TEXT(INT((C1459-DATE(YEAR(C1459-WEEKDAY(C1459,2)+4),1,3)+WEEKDAY(DATE(YEAR(C1459-WEEKDAY(C1459,2)+4),1,3),2)+5)/7),"00"))</f>
        <v/>
      </c>
    </row>
    <row r="1460" ht="18" customHeight="1">
      <c r="A1460" s="39" t="n">
        <v>1455</v>
      </c>
      <c r="B1460" s="33">
        <f>IF(C1460="","",IF(L1460="À RENSEIGNER","GIC",L1460)&amp;"-E"&amp;TEXT(A1460,"00000"))</f>
        <v/>
      </c>
      <c r="C1460" s="32" t="n"/>
      <c r="D1460" s="36" t="n"/>
      <c r="E1460" s="37" t="n"/>
      <c r="F1460" s="36" t="n"/>
      <c r="G1460" s="44" t="n"/>
      <c r="H1460" s="43" t="n"/>
      <c r="I1460" s="32" t="n"/>
      <c r="J1460" s="44" t="n"/>
      <c r="K1460" s="36" t="n"/>
      <c r="L1460" s="33">
        <f>IF(C1460="","",Commercial_Id)</f>
        <v/>
      </c>
      <c r="M1460" s="34">
        <f>IF(OR(C1460="",F1460=""),"",IF(F1460&lt;&gt;"Espèces","—",IF(I1460&lt;&gt;"","☑ Oui","☐ Non")))</f>
        <v/>
      </c>
      <c r="N1460" s="39">
        <f>IF(D1460="","",IFERROR(VALUE(MID(D1460,LEN(D1460)-3,3)),""))</f>
        <v/>
      </c>
      <c r="O1460" s="33">
        <f>IF(N1460="","",L1460&amp;"|"&amp;N1460)</f>
        <v/>
      </c>
      <c r="P1460" s="33">
        <f>IF(N1460="","",IF(L1460="À RENSEIGNER","GIC",L1460)&amp;"-"&amp;TEXT(N1460,"000"))</f>
        <v/>
      </c>
      <c r="Q1460" s="33">
        <f>IF(O1460="","",IFERROR(INDEX(Cl_nom,MATCH(O1460,Cl_cle,0)),"(client introuvable)"))</f>
        <v/>
      </c>
      <c r="R1460" s="40">
        <f>IF(O1460="","",IFERROR(INDEX(Cl_reste,MATCH(O1460,Cl_cle,0)),""))</f>
        <v/>
      </c>
      <c r="S1460" s="34">
        <f>IF(C1460="","",YEAR(C1460-WEEKDAY(C1460,2)+4)&amp;"-S"&amp;TEXT(INT((C1460-DATE(YEAR(C1460-WEEKDAY(C1460,2)+4),1,3)+WEEKDAY(DATE(YEAR(C1460-WEEKDAY(C1460,2)+4),1,3),2)+5)/7),"00"))</f>
        <v/>
      </c>
    </row>
    <row r="1461" ht="18" customHeight="1">
      <c r="A1461" s="39" t="n">
        <v>1456</v>
      </c>
      <c r="B1461" s="33">
        <f>IF(C1461="","",IF(L1461="À RENSEIGNER","GIC",L1461)&amp;"-E"&amp;TEXT(A1461,"00000"))</f>
        <v/>
      </c>
      <c r="C1461" s="32" t="n"/>
      <c r="D1461" s="36" t="n"/>
      <c r="E1461" s="37" t="n"/>
      <c r="F1461" s="36" t="n"/>
      <c r="G1461" s="44" t="n"/>
      <c r="H1461" s="43" t="n"/>
      <c r="I1461" s="32" t="n"/>
      <c r="J1461" s="44" t="n"/>
      <c r="K1461" s="36" t="n"/>
      <c r="L1461" s="33">
        <f>IF(C1461="","",Commercial_Id)</f>
        <v/>
      </c>
      <c r="M1461" s="34">
        <f>IF(OR(C1461="",F1461=""),"",IF(F1461&lt;&gt;"Espèces","—",IF(I1461&lt;&gt;"","☑ Oui","☐ Non")))</f>
        <v/>
      </c>
      <c r="N1461" s="39">
        <f>IF(D1461="","",IFERROR(VALUE(MID(D1461,LEN(D1461)-3,3)),""))</f>
        <v/>
      </c>
      <c r="O1461" s="33">
        <f>IF(N1461="","",L1461&amp;"|"&amp;N1461)</f>
        <v/>
      </c>
      <c r="P1461" s="33">
        <f>IF(N1461="","",IF(L1461="À RENSEIGNER","GIC",L1461)&amp;"-"&amp;TEXT(N1461,"000"))</f>
        <v/>
      </c>
      <c r="Q1461" s="33">
        <f>IF(O1461="","",IFERROR(INDEX(Cl_nom,MATCH(O1461,Cl_cle,0)),"(client introuvable)"))</f>
        <v/>
      </c>
      <c r="R1461" s="40">
        <f>IF(O1461="","",IFERROR(INDEX(Cl_reste,MATCH(O1461,Cl_cle,0)),""))</f>
        <v/>
      </c>
      <c r="S1461" s="34">
        <f>IF(C1461="","",YEAR(C1461-WEEKDAY(C1461,2)+4)&amp;"-S"&amp;TEXT(INT((C1461-DATE(YEAR(C1461-WEEKDAY(C1461,2)+4),1,3)+WEEKDAY(DATE(YEAR(C1461-WEEKDAY(C1461,2)+4),1,3),2)+5)/7),"00"))</f>
        <v/>
      </c>
    </row>
    <row r="1462" ht="18" customHeight="1">
      <c r="A1462" s="39" t="n">
        <v>1457</v>
      </c>
      <c r="B1462" s="33">
        <f>IF(C1462="","",IF(L1462="À RENSEIGNER","GIC",L1462)&amp;"-E"&amp;TEXT(A1462,"00000"))</f>
        <v/>
      </c>
      <c r="C1462" s="32" t="n"/>
      <c r="D1462" s="36" t="n"/>
      <c r="E1462" s="37" t="n"/>
      <c r="F1462" s="36" t="n"/>
      <c r="G1462" s="44" t="n"/>
      <c r="H1462" s="43" t="n"/>
      <c r="I1462" s="32" t="n"/>
      <c r="J1462" s="44" t="n"/>
      <c r="K1462" s="36" t="n"/>
      <c r="L1462" s="33">
        <f>IF(C1462="","",Commercial_Id)</f>
        <v/>
      </c>
      <c r="M1462" s="34">
        <f>IF(OR(C1462="",F1462=""),"",IF(F1462&lt;&gt;"Espèces","—",IF(I1462&lt;&gt;"","☑ Oui","☐ Non")))</f>
        <v/>
      </c>
      <c r="N1462" s="39">
        <f>IF(D1462="","",IFERROR(VALUE(MID(D1462,LEN(D1462)-3,3)),""))</f>
        <v/>
      </c>
      <c r="O1462" s="33">
        <f>IF(N1462="","",L1462&amp;"|"&amp;N1462)</f>
        <v/>
      </c>
      <c r="P1462" s="33">
        <f>IF(N1462="","",IF(L1462="À RENSEIGNER","GIC",L1462)&amp;"-"&amp;TEXT(N1462,"000"))</f>
        <v/>
      </c>
      <c r="Q1462" s="33">
        <f>IF(O1462="","",IFERROR(INDEX(Cl_nom,MATCH(O1462,Cl_cle,0)),"(client introuvable)"))</f>
        <v/>
      </c>
      <c r="R1462" s="40">
        <f>IF(O1462="","",IFERROR(INDEX(Cl_reste,MATCH(O1462,Cl_cle,0)),""))</f>
        <v/>
      </c>
      <c r="S1462" s="34">
        <f>IF(C1462="","",YEAR(C1462-WEEKDAY(C1462,2)+4)&amp;"-S"&amp;TEXT(INT((C1462-DATE(YEAR(C1462-WEEKDAY(C1462,2)+4),1,3)+WEEKDAY(DATE(YEAR(C1462-WEEKDAY(C1462,2)+4),1,3),2)+5)/7),"00"))</f>
        <v/>
      </c>
    </row>
    <row r="1463" ht="18" customHeight="1">
      <c r="A1463" s="39" t="n">
        <v>1458</v>
      </c>
      <c r="B1463" s="33">
        <f>IF(C1463="","",IF(L1463="À RENSEIGNER","GIC",L1463)&amp;"-E"&amp;TEXT(A1463,"00000"))</f>
        <v/>
      </c>
      <c r="C1463" s="32" t="n"/>
      <c r="D1463" s="36" t="n"/>
      <c r="E1463" s="37" t="n"/>
      <c r="F1463" s="36" t="n"/>
      <c r="G1463" s="44" t="n"/>
      <c r="H1463" s="43" t="n"/>
      <c r="I1463" s="32" t="n"/>
      <c r="J1463" s="44" t="n"/>
      <c r="K1463" s="36" t="n"/>
      <c r="L1463" s="33">
        <f>IF(C1463="","",Commercial_Id)</f>
        <v/>
      </c>
      <c r="M1463" s="34">
        <f>IF(OR(C1463="",F1463=""),"",IF(F1463&lt;&gt;"Espèces","—",IF(I1463&lt;&gt;"","☑ Oui","☐ Non")))</f>
        <v/>
      </c>
      <c r="N1463" s="39">
        <f>IF(D1463="","",IFERROR(VALUE(MID(D1463,LEN(D1463)-3,3)),""))</f>
        <v/>
      </c>
      <c r="O1463" s="33">
        <f>IF(N1463="","",L1463&amp;"|"&amp;N1463)</f>
        <v/>
      </c>
      <c r="P1463" s="33">
        <f>IF(N1463="","",IF(L1463="À RENSEIGNER","GIC",L1463)&amp;"-"&amp;TEXT(N1463,"000"))</f>
        <v/>
      </c>
      <c r="Q1463" s="33">
        <f>IF(O1463="","",IFERROR(INDEX(Cl_nom,MATCH(O1463,Cl_cle,0)),"(client introuvable)"))</f>
        <v/>
      </c>
      <c r="R1463" s="40">
        <f>IF(O1463="","",IFERROR(INDEX(Cl_reste,MATCH(O1463,Cl_cle,0)),""))</f>
        <v/>
      </c>
      <c r="S1463" s="34">
        <f>IF(C1463="","",YEAR(C1463-WEEKDAY(C1463,2)+4)&amp;"-S"&amp;TEXT(INT((C1463-DATE(YEAR(C1463-WEEKDAY(C1463,2)+4),1,3)+WEEKDAY(DATE(YEAR(C1463-WEEKDAY(C1463,2)+4),1,3),2)+5)/7),"00"))</f>
        <v/>
      </c>
    </row>
    <row r="1464" ht="18" customHeight="1">
      <c r="A1464" s="39" t="n">
        <v>1459</v>
      </c>
      <c r="B1464" s="33">
        <f>IF(C1464="","",IF(L1464="À RENSEIGNER","GIC",L1464)&amp;"-E"&amp;TEXT(A1464,"00000"))</f>
        <v/>
      </c>
      <c r="C1464" s="32" t="n"/>
      <c r="D1464" s="36" t="n"/>
      <c r="E1464" s="37" t="n"/>
      <c r="F1464" s="36" t="n"/>
      <c r="G1464" s="44" t="n"/>
      <c r="H1464" s="43" t="n"/>
      <c r="I1464" s="32" t="n"/>
      <c r="J1464" s="44" t="n"/>
      <c r="K1464" s="36" t="n"/>
      <c r="L1464" s="33">
        <f>IF(C1464="","",Commercial_Id)</f>
        <v/>
      </c>
      <c r="M1464" s="34">
        <f>IF(OR(C1464="",F1464=""),"",IF(F1464&lt;&gt;"Espèces","—",IF(I1464&lt;&gt;"","☑ Oui","☐ Non")))</f>
        <v/>
      </c>
      <c r="N1464" s="39">
        <f>IF(D1464="","",IFERROR(VALUE(MID(D1464,LEN(D1464)-3,3)),""))</f>
        <v/>
      </c>
      <c r="O1464" s="33">
        <f>IF(N1464="","",L1464&amp;"|"&amp;N1464)</f>
        <v/>
      </c>
      <c r="P1464" s="33">
        <f>IF(N1464="","",IF(L1464="À RENSEIGNER","GIC",L1464)&amp;"-"&amp;TEXT(N1464,"000"))</f>
        <v/>
      </c>
      <c r="Q1464" s="33">
        <f>IF(O1464="","",IFERROR(INDEX(Cl_nom,MATCH(O1464,Cl_cle,0)),"(client introuvable)"))</f>
        <v/>
      </c>
      <c r="R1464" s="40">
        <f>IF(O1464="","",IFERROR(INDEX(Cl_reste,MATCH(O1464,Cl_cle,0)),""))</f>
        <v/>
      </c>
      <c r="S1464" s="34">
        <f>IF(C1464="","",YEAR(C1464-WEEKDAY(C1464,2)+4)&amp;"-S"&amp;TEXT(INT((C1464-DATE(YEAR(C1464-WEEKDAY(C1464,2)+4),1,3)+WEEKDAY(DATE(YEAR(C1464-WEEKDAY(C1464,2)+4),1,3),2)+5)/7),"00"))</f>
        <v/>
      </c>
    </row>
    <row r="1465" ht="18" customHeight="1">
      <c r="A1465" s="39" t="n">
        <v>1460</v>
      </c>
      <c r="B1465" s="33">
        <f>IF(C1465="","",IF(L1465="À RENSEIGNER","GIC",L1465)&amp;"-E"&amp;TEXT(A1465,"00000"))</f>
        <v/>
      </c>
      <c r="C1465" s="32" t="n"/>
      <c r="D1465" s="36" t="n"/>
      <c r="E1465" s="37" t="n"/>
      <c r="F1465" s="36" t="n"/>
      <c r="G1465" s="44" t="n"/>
      <c r="H1465" s="43" t="n"/>
      <c r="I1465" s="32" t="n"/>
      <c r="J1465" s="44" t="n"/>
      <c r="K1465" s="36" t="n"/>
      <c r="L1465" s="33">
        <f>IF(C1465="","",Commercial_Id)</f>
        <v/>
      </c>
      <c r="M1465" s="34">
        <f>IF(OR(C1465="",F1465=""),"",IF(F1465&lt;&gt;"Espèces","—",IF(I1465&lt;&gt;"","☑ Oui","☐ Non")))</f>
        <v/>
      </c>
      <c r="N1465" s="39">
        <f>IF(D1465="","",IFERROR(VALUE(MID(D1465,LEN(D1465)-3,3)),""))</f>
        <v/>
      </c>
      <c r="O1465" s="33">
        <f>IF(N1465="","",L1465&amp;"|"&amp;N1465)</f>
        <v/>
      </c>
      <c r="P1465" s="33">
        <f>IF(N1465="","",IF(L1465="À RENSEIGNER","GIC",L1465)&amp;"-"&amp;TEXT(N1465,"000"))</f>
        <v/>
      </c>
      <c r="Q1465" s="33">
        <f>IF(O1465="","",IFERROR(INDEX(Cl_nom,MATCH(O1465,Cl_cle,0)),"(client introuvable)"))</f>
        <v/>
      </c>
      <c r="R1465" s="40">
        <f>IF(O1465="","",IFERROR(INDEX(Cl_reste,MATCH(O1465,Cl_cle,0)),""))</f>
        <v/>
      </c>
      <c r="S1465" s="34">
        <f>IF(C1465="","",YEAR(C1465-WEEKDAY(C1465,2)+4)&amp;"-S"&amp;TEXT(INT((C1465-DATE(YEAR(C1465-WEEKDAY(C1465,2)+4),1,3)+WEEKDAY(DATE(YEAR(C1465-WEEKDAY(C1465,2)+4),1,3),2)+5)/7),"00"))</f>
        <v/>
      </c>
    </row>
    <row r="1466" ht="18" customHeight="1">
      <c r="A1466" s="39" t="n">
        <v>1461</v>
      </c>
      <c r="B1466" s="33">
        <f>IF(C1466="","",IF(L1466="À RENSEIGNER","GIC",L1466)&amp;"-E"&amp;TEXT(A1466,"00000"))</f>
        <v/>
      </c>
      <c r="C1466" s="32" t="n"/>
      <c r="D1466" s="36" t="n"/>
      <c r="E1466" s="37" t="n"/>
      <c r="F1466" s="36" t="n"/>
      <c r="G1466" s="44" t="n"/>
      <c r="H1466" s="43" t="n"/>
      <c r="I1466" s="32" t="n"/>
      <c r="J1466" s="44" t="n"/>
      <c r="K1466" s="36" t="n"/>
      <c r="L1466" s="33">
        <f>IF(C1466="","",Commercial_Id)</f>
        <v/>
      </c>
      <c r="M1466" s="34">
        <f>IF(OR(C1466="",F1466=""),"",IF(F1466&lt;&gt;"Espèces","—",IF(I1466&lt;&gt;"","☑ Oui","☐ Non")))</f>
        <v/>
      </c>
      <c r="N1466" s="39">
        <f>IF(D1466="","",IFERROR(VALUE(MID(D1466,LEN(D1466)-3,3)),""))</f>
        <v/>
      </c>
      <c r="O1466" s="33">
        <f>IF(N1466="","",L1466&amp;"|"&amp;N1466)</f>
        <v/>
      </c>
      <c r="P1466" s="33">
        <f>IF(N1466="","",IF(L1466="À RENSEIGNER","GIC",L1466)&amp;"-"&amp;TEXT(N1466,"000"))</f>
        <v/>
      </c>
      <c r="Q1466" s="33">
        <f>IF(O1466="","",IFERROR(INDEX(Cl_nom,MATCH(O1466,Cl_cle,0)),"(client introuvable)"))</f>
        <v/>
      </c>
      <c r="R1466" s="40">
        <f>IF(O1466="","",IFERROR(INDEX(Cl_reste,MATCH(O1466,Cl_cle,0)),""))</f>
        <v/>
      </c>
      <c r="S1466" s="34">
        <f>IF(C1466="","",YEAR(C1466-WEEKDAY(C1466,2)+4)&amp;"-S"&amp;TEXT(INT((C1466-DATE(YEAR(C1466-WEEKDAY(C1466,2)+4),1,3)+WEEKDAY(DATE(YEAR(C1466-WEEKDAY(C1466,2)+4),1,3),2)+5)/7),"00"))</f>
        <v/>
      </c>
    </row>
    <row r="1467" ht="18" customHeight="1">
      <c r="A1467" s="39" t="n">
        <v>1462</v>
      </c>
      <c r="B1467" s="33">
        <f>IF(C1467="","",IF(L1467="À RENSEIGNER","GIC",L1467)&amp;"-E"&amp;TEXT(A1467,"00000"))</f>
        <v/>
      </c>
      <c r="C1467" s="32" t="n"/>
      <c r="D1467" s="36" t="n"/>
      <c r="E1467" s="37" t="n"/>
      <c r="F1467" s="36" t="n"/>
      <c r="G1467" s="44" t="n"/>
      <c r="H1467" s="43" t="n"/>
      <c r="I1467" s="32" t="n"/>
      <c r="J1467" s="44" t="n"/>
      <c r="K1467" s="36" t="n"/>
      <c r="L1467" s="33">
        <f>IF(C1467="","",Commercial_Id)</f>
        <v/>
      </c>
      <c r="M1467" s="34">
        <f>IF(OR(C1467="",F1467=""),"",IF(F1467&lt;&gt;"Espèces","—",IF(I1467&lt;&gt;"","☑ Oui","☐ Non")))</f>
        <v/>
      </c>
      <c r="N1467" s="39">
        <f>IF(D1467="","",IFERROR(VALUE(MID(D1467,LEN(D1467)-3,3)),""))</f>
        <v/>
      </c>
      <c r="O1467" s="33">
        <f>IF(N1467="","",L1467&amp;"|"&amp;N1467)</f>
        <v/>
      </c>
      <c r="P1467" s="33">
        <f>IF(N1467="","",IF(L1467="À RENSEIGNER","GIC",L1467)&amp;"-"&amp;TEXT(N1467,"000"))</f>
        <v/>
      </c>
      <c r="Q1467" s="33">
        <f>IF(O1467="","",IFERROR(INDEX(Cl_nom,MATCH(O1467,Cl_cle,0)),"(client introuvable)"))</f>
        <v/>
      </c>
      <c r="R1467" s="40">
        <f>IF(O1467="","",IFERROR(INDEX(Cl_reste,MATCH(O1467,Cl_cle,0)),""))</f>
        <v/>
      </c>
      <c r="S1467" s="34">
        <f>IF(C1467="","",YEAR(C1467-WEEKDAY(C1467,2)+4)&amp;"-S"&amp;TEXT(INT((C1467-DATE(YEAR(C1467-WEEKDAY(C1467,2)+4),1,3)+WEEKDAY(DATE(YEAR(C1467-WEEKDAY(C1467,2)+4),1,3),2)+5)/7),"00"))</f>
        <v/>
      </c>
    </row>
    <row r="1468" ht="18" customHeight="1">
      <c r="A1468" s="39" t="n">
        <v>1463</v>
      </c>
      <c r="B1468" s="33">
        <f>IF(C1468="","",IF(L1468="À RENSEIGNER","GIC",L1468)&amp;"-E"&amp;TEXT(A1468,"00000"))</f>
        <v/>
      </c>
      <c r="C1468" s="32" t="n"/>
      <c r="D1468" s="36" t="n"/>
      <c r="E1468" s="37" t="n"/>
      <c r="F1468" s="36" t="n"/>
      <c r="G1468" s="44" t="n"/>
      <c r="H1468" s="43" t="n"/>
      <c r="I1468" s="32" t="n"/>
      <c r="J1468" s="44" t="n"/>
      <c r="K1468" s="36" t="n"/>
      <c r="L1468" s="33">
        <f>IF(C1468="","",Commercial_Id)</f>
        <v/>
      </c>
      <c r="M1468" s="34">
        <f>IF(OR(C1468="",F1468=""),"",IF(F1468&lt;&gt;"Espèces","—",IF(I1468&lt;&gt;"","☑ Oui","☐ Non")))</f>
        <v/>
      </c>
      <c r="N1468" s="39">
        <f>IF(D1468="","",IFERROR(VALUE(MID(D1468,LEN(D1468)-3,3)),""))</f>
        <v/>
      </c>
      <c r="O1468" s="33">
        <f>IF(N1468="","",L1468&amp;"|"&amp;N1468)</f>
        <v/>
      </c>
      <c r="P1468" s="33">
        <f>IF(N1468="","",IF(L1468="À RENSEIGNER","GIC",L1468)&amp;"-"&amp;TEXT(N1468,"000"))</f>
        <v/>
      </c>
      <c r="Q1468" s="33">
        <f>IF(O1468="","",IFERROR(INDEX(Cl_nom,MATCH(O1468,Cl_cle,0)),"(client introuvable)"))</f>
        <v/>
      </c>
      <c r="R1468" s="40">
        <f>IF(O1468="","",IFERROR(INDEX(Cl_reste,MATCH(O1468,Cl_cle,0)),""))</f>
        <v/>
      </c>
      <c r="S1468" s="34">
        <f>IF(C1468="","",YEAR(C1468-WEEKDAY(C1468,2)+4)&amp;"-S"&amp;TEXT(INT((C1468-DATE(YEAR(C1468-WEEKDAY(C1468,2)+4),1,3)+WEEKDAY(DATE(YEAR(C1468-WEEKDAY(C1468,2)+4),1,3),2)+5)/7),"00"))</f>
        <v/>
      </c>
    </row>
    <row r="1469" ht="18" customHeight="1">
      <c r="A1469" s="39" t="n">
        <v>1464</v>
      </c>
      <c r="B1469" s="33">
        <f>IF(C1469="","",IF(L1469="À RENSEIGNER","GIC",L1469)&amp;"-E"&amp;TEXT(A1469,"00000"))</f>
        <v/>
      </c>
      <c r="C1469" s="32" t="n"/>
      <c r="D1469" s="36" t="n"/>
      <c r="E1469" s="37" t="n"/>
      <c r="F1469" s="36" t="n"/>
      <c r="G1469" s="44" t="n"/>
      <c r="H1469" s="43" t="n"/>
      <c r="I1469" s="32" t="n"/>
      <c r="J1469" s="44" t="n"/>
      <c r="K1469" s="36" t="n"/>
      <c r="L1469" s="33">
        <f>IF(C1469="","",Commercial_Id)</f>
        <v/>
      </c>
      <c r="M1469" s="34">
        <f>IF(OR(C1469="",F1469=""),"",IF(F1469&lt;&gt;"Espèces","—",IF(I1469&lt;&gt;"","☑ Oui","☐ Non")))</f>
        <v/>
      </c>
      <c r="N1469" s="39">
        <f>IF(D1469="","",IFERROR(VALUE(MID(D1469,LEN(D1469)-3,3)),""))</f>
        <v/>
      </c>
      <c r="O1469" s="33">
        <f>IF(N1469="","",L1469&amp;"|"&amp;N1469)</f>
        <v/>
      </c>
      <c r="P1469" s="33">
        <f>IF(N1469="","",IF(L1469="À RENSEIGNER","GIC",L1469)&amp;"-"&amp;TEXT(N1469,"000"))</f>
        <v/>
      </c>
      <c r="Q1469" s="33">
        <f>IF(O1469="","",IFERROR(INDEX(Cl_nom,MATCH(O1469,Cl_cle,0)),"(client introuvable)"))</f>
        <v/>
      </c>
      <c r="R1469" s="40">
        <f>IF(O1469="","",IFERROR(INDEX(Cl_reste,MATCH(O1469,Cl_cle,0)),""))</f>
        <v/>
      </c>
      <c r="S1469" s="34">
        <f>IF(C1469="","",YEAR(C1469-WEEKDAY(C1469,2)+4)&amp;"-S"&amp;TEXT(INT((C1469-DATE(YEAR(C1469-WEEKDAY(C1469,2)+4),1,3)+WEEKDAY(DATE(YEAR(C1469-WEEKDAY(C1469,2)+4),1,3),2)+5)/7),"00"))</f>
        <v/>
      </c>
    </row>
    <row r="1470" ht="18" customHeight="1">
      <c r="A1470" s="39" t="n">
        <v>1465</v>
      </c>
      <c r="B1470" s="33">
        <f>IF(C1470="","",IF(L1470="À RENSEIGNER","GIC",L1470)&amp;"-E"&amp;TEXT(A1470,"00000"))</f>
        <v/>
      </c>
      <c r="C1470" s="32" t="n"/>
      <c r="D1470" s="36" t="n"/>
      <c r="E1470" s="37" t="n"/>
      <c r="F1470" s="36" t="n"/>
      <c r="G1470" s="44" t="n"/>
      <c r="H1470" s="43" t="n"/>
      <c r="I1470" s="32" t="n"/>
      <c r="J1470" s="44" t="n"/>
      <c r="K1470" s="36" t="n"/>
      <c r="L1470" s="33">
        <f>IF(C1470="","",Commercial_Id)</f>
        <v/>
      </c>
      <c r="M1470" s="34">
        <f>IF(OR(C1470="",F1470=""),"",IF(F1470&lt;&gt;"Espèces","—",IF(I1470&lt;&gt;"","☑ Oui","☐ Non")))</f>
        <v/>
      </c>
      <c r="N1470" s="39">
        <f>IF(D1470="","",IFERROR(VALUE(MID(D1470,LEN(D1470)-3,3)),""))</f>
        <v/>
      </c>
      <c r="O1470" s="33">
        <f>IF(N1470="","",L1470&amp;"|"&amp;N1470)</f>
        <v/>
      </c>
      <c r="P1470" s="33">
        <f>IF(N1470="","",IF(L1470="À RENSEIGNER","GIC",L1470)&amp;"-"&amp;TEXT(N1470,"000"))</f>
        <v/>
      </c>
      <c r="Q1470" s="33">
        <f>IF(O1470="","",IFERROR(INDEX(Cl_nom,MATCH(O1470,Cl_cle,0)),"(client introuvable)"))</f>
        <v/>
      </c>
      <c r="R1470" s="40">
        <f>IF(O1470="","",IFERROR(INDEX(Cl_reste,MATCH(O1470,Cl_cle,0)),""))</f>
        <v/>
      </c>
      <c r="S1470" s="34">
        <f>IF(C1470="","",YEAR(C1470-WEEKDAY(C1470,2)+4)&amp;"-S"&amp;TEXT(INT((C1470-DATE(YEAR(C1470-WEEKDAY(C1470,2)+4),1,3)+WEEKDAY(DATE(YEAR(C1470-WEEKDAY(C1470,2)+4),1,3),2)+5)/7),"00"))</f>
        <v/>
      </c>
    </row>
    <row r="1471" ht="18" customHeight="1">
      <c r="A1471" s="39" t="n">
        <v>1466</v>
      </c>
      <c r="B1471" s="33">
        <f>IF(C1471="","",IF(L1471="À RENSEIGNER","GIC",L1471)&amp;"-E"&amp;TEXT(A1471,"00000"))</f>
        <v/>
      </c>
      <c r="C1471" s="32" t="n"/>
      <c r="D1471" s="36" t="n"/>
      <c r="E1471" s="37" t="n"/>
      <c r="F1471" s="36" t="n"/>
      <c r="G1471" s="44" t="n"/>
      <c r="H1471" s="43" t="n"/>
      <c r="I1471" s="32" t="n"/>
      <c r="J1471" s="44" t="n"/>
      <c r="K1471" s="36" t="n"/>
      <c r="L1471" s="33">
        <f>IF(C1471="","",Commercial_Id)</f>
        <v/>
      </c>
      <c r="M1471" s="34">
        <f>IF(OR(C1471="",F1471=""),"",IF(F1471&lt;&gt;"Espèces","—",IF(I1471&lt;&gt;"","☑ Oui","☐ Non")))</f>
        <v/>
      </c>
      <c r="N1471" s="39">
        <f>IF(D1471="","",IFERROR(VALUE(MID(D1471,LEN(D1471)-3,3)),""))</f>
        <v/>
      </c>
      <c r="O1471" s="33">
        <f>IF(N1471="","",L1471&amp;"|"&amp;N1471)</f>
        <v/>
      </c>
      <c r="P1471" s="33">
        <f>IF(N1471="","",IF(L1471="À RENSEIGNER","GIC",L1471)&amp;"-"&amp;TEXT(N1471,"000"))</f>
        <v/>
      </c>
      <c r="Q1471" s="33">
        <f>IF(O1471="","",IFERROR(INDEX(Cl_nom,MATCH(O1471,Cl_cle,0)),"(client introuvable)"))</f>
        <v/>
      </c>
      <c r="R1471" s="40">
        <f>IF(O1471="","",IFERROR(INDEX(Cl_reste,MATCH(O1471,Cl_cle,0)),""))</f>
        <v/>
      </c>
      <c r="S1471" s="34">
        <f>IF(C1471="","",YEAR(C1471-WEEKDAY(C1471,2)+4)&amp;"-S"&amp;TEXT(INT((C1471-DATE(YEAR(C1471-WEEKDAY(C1471,2)+4),1,3)+WEEKDAY(DATE(YEAR(C1471-WEEKDAY(C1471,2)+4),1,3),2)+5)/7),"00"))</f>
        <v/>
      </c>
    </row>
    <row r="1472" ht="18" customHeight="1">
      <c r="A1472" s="39" t="n">
        <v>1467</v>
      </c>
      <c r="B1472" s="33">
        <f>IF(C1472="","",IF(L1472="À RENSEIGNER","GIC",L1472)&amp;"-E"&amp;TEXT(A1472,"00000"))</f>
        <v/>
      </c>
      <c r="C1472" s="32" t="n"/>
      <c r="D1472" s="36" t="n"/>
      <c r="E1472" s="37" t="n"/>
      <c r="F1472" s="36" t="n"/>
      <c r="G1472" s="44" t="n"/>
      <c r="H1472" s="43" t="n"/>
      <c r="I1472" s="32" t="n"/>
      <c r="J1472" s="44" t="n"/>
      <c r="K1472" s="36" t="n"/>
      <c r="L1472" s="33">
        <f>IF(C1472="","",Commercial_Id)</f>
        <v/>
      </c>
      <c r="M1472" s="34">
        <f>IF(OR(C1472="",F1472=""),"",IF(F1472&lt;&gt;"Espèces","—",IF(I1472&lt;&gt;"","☑ Oui","☐ Non")))</f>
        <v/>
      </c>
      <c r="N1472" s="39">
        <f>IF(D1472="","",IFERROR(VALUE(MID(D1472,LEN(D1472)-3,3)),""))</f>
        <v/>
      </c>
      <c r="O1472" s="33">
        <f>IF(N1472="","",L1472&amp;"|"&amp;N1472)</f>
        <v/>
      </c>
      <c r="P1472" s="33">
        <f>IF(N1472="","",IF(L1472="À RENSEIGNER","GIC",L1472)&amp;"-"&amp;TEXT(N1472,"000"))</f>
        <v/>
      </c>
      <c r="Q1472" s="33">
        <f>IF(O1472="","",IFERROR(INDEX(Cl_nom,MATCH(O1472,Cl_cle,0)),"(client introuvable)"))</f>
        <v/>
      </c>
      <c r="R1472" s="40">
        <f>IF(O1472="","",IFERROR(INDEX(Cl_reste,MATCH(O1472,Cl_cle,0)),""))</f>
        <v/>
      </c>
      <c r="S1472" s="34">
        <f>IF(C1472="","",YEAR(C1472-WEEKDAY(C1472,2)+4)&amp;"-S"&amp;TEXT(INT((C1472-DATE(YEAR(C1472-WEEKDAY(C1472,2)+4),1,3)+WEEKDAY(DATE(YEAR(C1472-WEEKDAY(C1472,2)+4),1,3),2)+5)/7),"00"))</f>
        <v/>
      </c>
    </row>
    <row r="1473" ht="18" customHeight="1">
      <c r="A1473" s="39" t="n">
        <v>1468</v>
      </c>
      <c r="B1473" s="33">
        <f>IF(C1473="","",IF(L1473="À RENSEIGNER","GIC",L1473)&amp;"-E"&amp;TEXT(A1473,"00000"))</f>
        <v/>
      </c>
      <c r="C1473" s="32" t="n"/>
      <c r="D1473" s="36" t="n"/>
      <c r="E1473" s="37" t="n"/>
      <c r="F1473" s="36" t="n"/>
      <c r="G1473" s="44" t="n"/>
      <c r="H1473" s="43" t="n"/>
      <c r="I1473" s="32" t="n"/>
      <c r="J1473" s="44" t="n"/>
      <c r="K1473" s="36" t="n"/>
      <c r="L1473" s="33">
        <f>IF(C1473="","",Commercial_Id)</f>
        <v/>
      </c>
      <c r="M1473" s="34">
        <f>IF(OR(C1473="",F1473=""),"",IF(F1473&lt;&gt;"Espèces","—",IF(I1473&lt;&gt;"","☑ Oui","☐ Non")))</f>
        <v/>
      </c>
      <c r="N1473" s="39">
        <f>IF(D1473="","",IFERROR(VALUE(MID(D1473,LEN(D1473)-3,3)),""))</f>
        <v/>
      </c>
      <c r="O1473" s="33">
        <f>IF(N1473="","",L1473&amp;"|"&amp;N1473)</f>
        <v/>
      </c>
      <c r="P1473" s="33">
        <f>IF(N1473="","",IF(L1473="À RENSEIGNER","GIC",L1473)&amp;"-"&amp;TEXT(N1473,"000"))</f>
        <v/>
      </c>
      <c r="Q1473" s="33">
        <f>IF(O1473="","",IFERROR(INDEX(Cl_nom,MATCH(O1473,Cl_cle,0)),"(client introuvable)"))</f>
        <v/>
      </c>
      <c r="R1473" s="40">
        <f>IF(O1473="","",IFERROR(INDEX(Cl_reste,MATCH(O1473,Cl_cle,0)),""))</f>
        <v/>
      </c>
      <c r="S1473" s="34">
        <f>IF(C1473="","",YEAR(C1473-WEEKDAY(C1473,2)+4)&amp;"-S"&amp;TEXT(INT((C1473-DATE(YEAR(C1473-WEEKDAY(C1473,2)+4),1,3)+WEEKDAY(DATE(YEAR(C1473-WEEKDAY(C1473,2)+4),1,3),2)+5)/7),"00"))</f>
        <v/>
      </c>
    </row>
    <row r="1474" ht="18" customHeight="1">
      <c r="A1474" s="39" t="n">
        <v>1469</v>
      </c>
      <c r="B1474" s="33">
        <f>IF(C1474="","",IF(L1474="À RENSEIGNER","GIC",L1474)&amp;"-E"&amp;TEXT(A1474,"00000"))</f>
        <v/>
      </c>
      <c r="C1474" s="32" t="n"/>
      <c r="D1474" s="36" t="n"/>
      <c r="E1474" s="37" t="n"/>
      <c r="F1474" s="36" t="n"/>
      <c r="G1474" s="44" t="n"/>
      <c r="H1474" s="43" t="n"/>
      <c r="I1474" s="32" t="n"/>
      <c r="J1474" s="44" t="n"/>
      <c r="K1474" s="36" t="n"/>
      <c r="L1474" s="33">
        <f>IF(C1474="","",Commercial_Id)</f>
        <v/>
      </c>
      <c r="M1474" s="34">
        <f>IF(OR(C1474="",F1474=""),"",IF(F1474&lt;&gt;"Espèces","—",IF(I1474&lt;&gt;"","☑ Oui","☐ Non")))</f>
        <v/>
      </c>
      <c r="N1474" s="39">
        <f>IF(D1474="","",IFERROR(VALUE(MID(D1474,LEN(D1474)-3,3)),""))</f>
        <v/>
      </c>
      <c r="O1474" s="33">
        <f>IF(N1474="","",L1474&amp;"|"&amp;N1474)</f>
        <v/>
      </c>
      <c r="P1474" s="33">
        <f>IF(N1474="","",IF(L1474="À RENSEIGNER","GIC",L1474)&amp;"-"&amp;TEXT(N1474,"000"))</f>
        <v/>
      </c>
      <c r="Q1474" s="33">
        <f>IF(O1474="","",IFERROR(INDEX(Cl_nom,MATCH(O1474,Cl_cle,0)),"(client introuvable)"))</f>
        <v/>
      </c>
      <c r="R1474" s="40">
        <f>IF(O1474="","",IFERROR(INDEX(Cl_reste,MATCH(O1474,Cl_cle,0)),""))</f>
        <v/>
      </c>
      <c r="S1474" s="34">
        <f>IF(C1474="","",YEAR(C1474-WEEKDAY(C1474,2)+4)&amp;"-S"&amp;TEXT(INT((C1474-DATE(YEAR(C1474-WEEKDAY(C1474,2)+4),1,3)+WEEKDAY(DATE(YEAR(C1474-WEEKDAY(C1474,2)+4),1,3),2)+5)/7),"00"))</f>
        <v/>
      </c>
    </row>
    <row r="1475" ht="18" customHeight="1">
      <c r="A1475" s="39" t="n">
        <v>1470</v>
      </c>
      <c r="B1475" s="33">
        <f>IF(C1475="","",IF(L1475="À RENSEIGNER","GIC",L1475)&amp;"-E"&amp;TEXT(A1475,"00000"))</f>
        <v/>
      </c>
      <c r="C1475" s="32" t="n"/>
      <c r="D1475" s="36" t="n"/>
      <c r="E1475" s="37" t="n"/>
      <c r="F1475" s="36" t="n"/>
      <c r="G1475" s="44" t="n"/>
      <c r="H1475" s="43" t="n"/>
      <c r="I1475" s="32" t="n"/>
      <c r="J1475" s="44" t="n"/>
      <c r="K1475" s="36" t="n"/>
      <c r="L1475" s="33">
        <f>IF(C1475="","",Commercial_Id)</f>
        <v/>
      </c>
      <c r="M1475" s="34">
        <f>IF(OR(C1475="",F1475=""),"",IF(F1475&lt;&gt;"Espèces","—",IF(I1475&lt;&gt;"","☑ Oui","☐ Non")))</f>
        <v/>
      </c>
      <c r="N1475" s="39">
        <f>IF(D1475="","",IFERROR(VALUE(MID(D1475,LEN(D1475)-3,3)),""))</f>
        <v/>
      </c>
      <c r="O1475" s="33">
        <f>IF(N1475="","",L1475&amp;"|"&amp;N1475)</f>
        <v/>
      </c>
      <c r="P1475" s="33">
        <f>IF(N1475="","",IF(L1475="À RENSEIGNER","GIC",L1475)&amp;"-"&amp;TEXT(N1475,"000"))</f>
        <v/>
      </c>
      <c r="Q1475" s="33">
        <f>IF(O1475="","",IFERROR(INDEX(Cl_nom,MATCH(O1475,Cl_cle,0)),"(client introuvable)"))</f>
        <v/>
      </c>
      <c r="R1475" s="40">
        <f>IF(O1475="","",IFERROR(INDEX(Cl_reste,MATCH(O1475,Cl_cle,0)),""))</f>
        <v/>
      </c>
      <c r="S1475" s="34">
        <f>IF(C1475="","",YEAR(C1475-WEEKDAY(C1475,2)+4)&amp;"-S"&amp;TEXT(INT((C1475-DATE(YEAR(C1475-WEEKDAY(C1475,2)+4),1,3)+WEEKDAY(DATE(YEAR(C1475-WEEKDAY(C1475,2)+4),1,3),2)+5)/7),"00"))</f>
        <v/>
      </c>
    </row>
    <row r="1476" ht="18" customHeight="1">
      <c r="A1476" s="39" t="n">
        <v>1471</v>
      </c>
      <c r="B1476" s="33">
        <f>IF(C1476="","",IF(L1476="À RENSEIGNER","GIC",L1476)&amp;"-E"&amp;TEXT(A1476,"00000"))</f>
        <v/>
      </c>
      <c r="C1476" s="32" t="n"/>
      <c r="D1476" s="36" t="n"/>
      <c r="E1476" s="37" t="n"/>
      <c r="F1476" s="36" t="n"/>
      <c r="G1476" s="44" t="n"/>
      <c r="H1476" s="43" t="n"/>
      <c r="I1476" s="32" t="n"/>
      <c r="J1476" s="44" t="n"/>
      <c r="K1476" s="36" t="n"/>
      <c r="L1476" s="33">
        <f>IF(C1476="","",Commercial_Id)</f>
        <v/>
      </c>
      <c r="M1476" s="34">
        <f>IF(OR(C1476="",F1476=""),"",IF(F1476&lt;&gt;"Espèces","—",IF(I1476&lt;&gt;"","☑ Oui","☐ Non")))</f>
        <v/>
      </c>
      <c r="N1476" s="39">
        <f>IF(D1476="","",IFERROR(VALUE(MID(D1476,LEN(D1476)-3,3)),""))</f>
        <v/>
      </c>
      <c r="O1476" s="33">
        <f>IF(N1476="","",L1476&amp;"|"&amp;N1476)</f>
        <v/>
      </c>
      <c r="P1476" s="33">
        <f>IF(N1476="","",IF(L1476="À RENSEIGNER","GIC",L1476)&amp;"-"&amp;TEXT(N1476,"000"))</f>
        <v/>
      </c>
      <c r="Q1476" s="33">
        <f>IF(O1476="","",IFERROR(INDEX(Cl_nom,MATCH(O1476,Cl_cle,0)),"(client introuvable)"))</f>
        <v/>
      </c>
      <c r="R1476" s="40">
        <f>IF(O1476="","",IFERROR(INDEX(Cl_reste,MATCH(O1476,Cl_cle,0)),""))</f>
        <v/>
      </c>
      <c r="S1476" s="34">
        <f>IF(C1476="","",YEAR(C1476-WEEKDAY(C1476,2)+4)&amp;"-S"&amp;TEXT(INT((C1476-DATE(YEAR(C1476-WEEKDAY(C1476,2)+4),1,3)+WEEKDAY(DATE(YEAR(C1476-WEEKDAY(C1476,2)+4),1,3),2)+5)/7),"00"))</f>
        <v/>
      </c>
    </row>
    <row r="1477" ht="18" customHeight="1">
      <c r="A1477" s="39" t="n">
        <v>1472</v>
      </c>
      <c r="B1477" s="33">
        <f>IF(C1477="","",IF(L1477="À RENSEIGNER","GIC",L1477)&amp;"-E"&amp;TEXT(A1477,"00000"))</f>
        <v/>
      </c>
      <c r="C1477" s="32" t="n"/>
      <c r="D1477" s="36" t="n"/>
      <c r="E1477" s="37" t="n"/>
      <c r="F1477" s="36" t="n"/>
      <c r="G1477" s="44" t="n"/>
      <c r="H1477" s="43" t="n"/>
      <c r="I1477" s="32" t="n"/>
      <c r="J1477" s="44" t="n"/>
      <c r="K1477" s="36" t="n"/>
      <c r="L1477" s="33">
        <f>IF(C1477="","",Commercial_Id)</f>
        <v/>
      </c>
      <c r="M1477" s="34">
        <f>IF(OR(C1477="",F1477=""),"",IF(F1477&lt;&gt;"Espèces","—",IF(I1477&lt;&gt;"","☑ Oui","☐ Non")))</f>
        <v/>
      </c>
      <c r="N1477" s="39">
        <f>IF(D1477="","",IFERROR(VALUE(MID(D1477,LEN(D1477)-3,3)),""))</f>
        <v/>
      </c>
      <c r="O1477" s="33">
        <f>IF(N1477="","",L1477&amp;"|"&amp;N1477)</f>
        <v/>
      </c>
      <c r="P1477" s="33">
        <f>IF(N1477="","",IF(L1477="À RENSEIGNER","GIC",L1477)&amp;"-"&amp;TEXT(N1477,"000"))</f>
        <v/>
      </c>
      <c r="Q1477" s="33">
        <f>IF(O1477="","",IFERROR(INDEX(Cl_nom,MATCH(O1477,Cl_cle,0)),"(client introuvable)"))</f>
        <v/>
      </c>
      <c r="R1477" s="40">
        <f>IF(O1477="","",IFERROR(INDEX(Cl_reste,MATCH(O1477,Cl_cle,0)),""))</f>
        <v/>
      </c>
      <c r="S1477" s="34">
        <f>IF(C1477="","",YEAR(C1477-WEEKDAY(C1477,2)+4)&amp;"-S"&amp;TEXT(INT((C1477-DATE(YEAR(C1477-WEEKDAY(C1477,2)+4),1,3)+WEEKDAY(DATE(YEAR(C1477-WEEKDAY(C1477,2)+4),1,3),2)+5)/7),"00"))</f>
        <v/>
      </c>
    </row>
    <row r="1478" ht="18" customHeight="1">
      <c r="A1478" s="39" t="n">
        <v>1473</v>
      </c>
      <c r="B1478" s="33">
        <f>IF(C1478="","",IF(L1478="À RENSEIGNER","GIC",L1478)&amp;"-E"&amp;TEXT(A1478,"00000"))</f>
        <v/>
      </c>
      <c r="C1478" s="32" t="n"/>
      <c r="D1478" s="36" t="n"/>
      <c r="E1478" s="37" t="n"/>
      <c r="F1478" s="36" t="n"/>
      <c r="G1478" s="44" t="n"/>
      <c r="H1478" s="43" t="n"/>
      <c r="I1478" s="32" t="n"/>
      <c r="J1478" s="44" t="n"/>
      <c r="K1478" s="36" t="n"/>
      <c r="L1478" s="33">
        <f>IF(C1478="","",Commercial_Id)</f>
        <v/>
      </c>
      <c r="M1478" s="34">
        <f>IF(OR(C1478="",F1478=""),"",IF(F1478&lt;&gt;"Espèces","—",IF(I1478&lt;&gt;"","☑ Oui","☐ Non")))</f>
        <v/>
      </c>
      <c r="N1478" s="39">
        <f>IF(D1478="","",IFERROR(VALUE(MID(D1478,LEN(D1478)-3,3)),""))</f>
        <v/>
      </c>
      <c r="O1478" s="33">
        <f>IF(N1478="","",L1478&amp;"|"&amp;N1478)</f>
        <v/>
      </c>
      <c r="P1478" s="33">
        <f>IF(N1478="","",IF(L1478="À RENSEIGNER","GIC",L1478)&amp;"-"&amp;TEXT(N1478,"000"))</f>
        <v/>
      </c>
      <c r="Q1478" s="33">
        <f>IF(O1478="","",IFERROR(INDEX(Cl_nom,MATCH(O1478,Cl_cle,0)),"(client introuvable)"))</f>
        <v/>
      </c>
      <c r="R1478" s="40">
        <f>IF(O1478="","",IFERROR(INDEX(Cl_reste,MATCH(O1478,Cl_cle,0)),""))</f>
        <v/>
      </c>
      <c r="S1478" s="34">
        <f>IF(C1478="","",YEAR(C1478-WEEKDAY(C1478,2)+4)&amp;"-S"&amp;TEXT(INT((C1478-DATE(YEAR(C1478-WEEKDAY(C1478,2)+4),1,3)+WEEKDAY(DATE(YEAR(C1478-WEEKDAY(C1478,2)+4),1,3),2)+5)/7),"00"))</f>
        <v/>
      </c>
    </row>
    <row r="1479" ht="18" customHeight="1">
      <c r="A1479" s="39" t="n">
        <v>1474</v>
      </c>
      <c r="B1479" s="33">
        <f>IF(C1479="","",IF(L1479="À RENSEIGNER","GIC",L1479)&amp;"-E"&amp;TEXT(A1479,"00000"))</f>
        <v/>
      </c>
      <c r="C1479" s="32" t="n"/>
      <c r="D1479" s="36" t="n"/>
      <c r="E1479" s="37" t="n"/>
      <c r="F1479" s="36" t="n"/>
      <c r="G1479" s="44" t="n"/>
      <c r="H1479" s="43" t="n"/>
      <c r="I1479" s="32" t="n"/>
      <c r="J1479" s="44" t="n"/>
      <c r="K1479" s="36" t="n"/>
      <c r="L1479" s="33">
        <f>IF(C1479="","",Commercial_Id)</f>
        <v/>
      </c>
      <c r="M1479" s="34">
        <f>IF(OR(C1479="",F1479=""),"",IF(F1479&lt;&gt;"Espèces","—",IF(I1479&lt;&gt;"","☑ Oui","☐ Non")))</f>
        <v/>
      </c>
      <c r="N1479" s="39">
        <f>IF(D1479="","",IFERROR(VALUE(MID(D1479,LEN(D1479)-3,3)),""))</f>
        <v/>
      </c>
      <c r="O1479" s="33">
        <f>IF(N1479="","",L1479&amp;"|"&amp;N1479)</f>
        <v/>
      </c>
      <c r="P1479" s="33">
        <f>IF(N1479="","",IF(L1479="À RENSEIGNER","GIC",L1479)&amp;"-"&amp;TEXT(N1479,"000"))</f>
        <v/>
      </c>
      <c r="Q1479" s="33">
        <f>IF(O1479="","",IFERROR(INDEX(Cl_nom,MATCH(O1479,Cl_cle,0)),"(client introuvable)"))</f>
        <v/>
      </c>
      <c r="R1479" s="40">
        <f>IF(O1479="","",IFERROR(INDEX(Cl_reste,MATCH(O1479,Cl_cle,0)),""))</f>
        <v/>
      </c>
      <c r="S1479" s="34">
        <f>IF(C1479="","",YEAR(C1479-WEEKDAY(C1479,2)+4)&amp;"-S"&amp;TEXT(INT((C1479-DATE(YEAR(C1479-WEEKDAY(C1479,2)+4),1,3)+WEEKDAY(DATE(YEAR(C1479-WEEKDAY(C1479,2)+4),1,3),2)+5)/7),"00"))</f>
        <v/>
      </c>
    </row>
    <row r="1480" ht="18" customHeight="1">
      <c r="A1480" s="39" t="n">
        <v>1475</v>
      </c>
      <c r="B1480" s="33">
        <f>IF(C1480="","",IF(L1480="À RENSEIGNER","GIC",L1480)&amp;"-E"&amp;TEXT(A1480,"00000"))</f>
        <v/>
      </c>
      <c r="C1480" s="32" t="n"/>
      <c r="D1480" s="36" t="n"/>
      <c r="E1480" s="37" t="n"/>
      <c r="F1480" s="36" t="n"/>
      <c r="G1480" s="44" t="n"/>
      <c r="H1480" s="43" t="n"/>
      <c r="I1480" s="32" t="n"/>
      <c r="J1480" s="44" t="n"/>
      <c r="K1480" s="36" t="n"/>
      <c r="L1480" s="33">
        <f>IF(C1480="","",Commercial_Id)</f>
        <v/>
      </c>
      <c r="M1480" s="34">
        <f>IF(OR(C1480="",F1480=""),"",IF(F1480&lt;&gt;"Espèces","—",IF(I1480&lt;&gt;"","☑ Oui","☐ Non")))</f>
        <v/>
      </c>
      <c r="N1480" s="39">
        <f>IF(D1480="","",IFERROR(VALUE(MID(D1480,LEN(D1480)-3,3)),""))</f>
        <v/>
      </c>
      <c r="O1480" s="33">
        <f>IF(N1480="","",L1480&amp;"|"&amp;N1480)</f>
        <v/>
      </c>
      <c r="P1480" s="33">
        <f>IF(N1480="","",IF(L1480="À RENSEIGNER","GIC",L1480)&amp;"-"&amp;TEXT(N1480,"000"))</f>
        <v/>
      </c>
      <c r="Q1480" s="33">
        <f>IF(O1480="","",IFERROR(INDEX(Cl_nom,MATCH(O1480,Cl_cle,0)),"(client introuvable)"))</f>
        <v/>
      </c>
      <c r="R1480" s="40">
        <f>IF(O1480="","",IFERROR(INDEX(Cl_reste,MATCH(O1480,Cl_cle,0)),""))</f>
        <v/>
      </c>
      <c r="S1480" s="34">
        <f>IF(C1480="","",YEAR(C1480-WEEKDAY(C1480,2)+4)&amp;"-S"&amp;TEXT(INT((C1480-DATE(YEAR(C1480-WEEKDAY(C1480,2)+4),1,3)+WEEKDAY(DATE(YEAR(C1480-WEEKDAY(C1480,2)+4),1,3),2)+5)/7),"00"))</f>
        <v/>
      </c>
    </row>
    <row r="1481" ht="18" customHeight="1">
      <c r="A1481" s="39" t="n">
        <v>1476</v>
      </c>
      <c r="B1481" s="33">
        <f>IF(C1481="","",IF(L1481="À RENSEIGNER","GIC",L1481)&amp;"-E"&amp;TEXT(A1481,"00000"))</f>
        <v/>
      </c>
      <c r="C1481" s="32" t="n"/>
      <c r="D1481" s="36" t="n"/>
      <c r="E1481" s="37" t="n"/>
      <c r="F1481" s="36" t="n"/>
      <c r="G1481" s="44" t="n"/>
      <c r="H1481" s="43" t="n"/>
      <c r="I1481" s="32" t="n"/>
      <c r="J1481" s="44" t="n"/>
      <c r="K1481" s="36" t="n"/>
      <c r="L1481" s="33">
        <f>IF(C1481="","",Commercial_Id)</f>
        <v/>
      </c>
      <c r="M1481" s="34">
        <f>IF(OR(C1481="",F1481=""),"",IF(F1481&lt;&gt;"Espèces","—",IF(I1481&lt;&gt;"","☑ Oui","☐ Non")))</f>
        <v/>
      </c>
      <c r="N1481" s="39">
        <f>IF(D1481="","",IFERROR(VALUE(MID(D1481,LEN(D1481)-3,3)),""))</f>
        <v/>
      </c>
      <c r="O1481" s="33">
        <f>IF(N1481="","",L1481&amp;"|"&amp;N1481)</f>
        <v/>
      </c>
      <c r="P1481" s="33">
        <f>IF(N1481="","",IF(L1481="À RENSEIGNER","GIC",L1481)&amp;"-"&amp;TEXT(N1481,"000"))</f>
        <v/>
      </c>
      <c r="Q1481" s="33">
        <f>IF(O1481="","",IFERROR(INDEX(Cl_nom,MATCH(O1481,Cl_cle,0)),"(client introuvable)"))</f>
        <v/>
      </c>
      <c r="R1481" s="40">
        <f>IF(O1481="","",IFERROR(INDEX(Cl_reste,MATCH(O1481,Cl_cle,0)),""))</f>
        <v/>
      </c>
      <c r="S1481" s="34">
        <f>IF(C1481="","",YEAR(C1481-WEEKDAY(C1481,2)+4)&amp;"-S"&amp;TEXT(INT((C1481-DATE(YEAR(C1481-WEEKDAY(C1481,2)+4),1,3)+WEEKDAY(DATE(YEAR(C1481-WEEKDAY(C1481,2)+4),1,3),2)+5)/7),"00"))</f>
        <v/>
      </c>
    </row>
    <row r="1482" ht="18" customHeight="1">
      <c r="A1482" s="39" t="n">
        <v>1477</v>
      </c>
      <c r="B1482" s="33">
        <f>IF(C1482="","",IF(L1482="À RENSEIGNER","GIC",L1482)&amp;"-E"&amp;TEXT(A1482,"00000"))</f>
        <v/>
      </c>
      <c r="C1482" s="32" t="n"/>
      <c r="D1482" s="36" t="n"/>
      <c r="E1482" s="37" t="n"/>
      <c r="F1482" s="36" t="n"/>
      <c r="G1482" s="44" t="n"/>
      <c r="H1482" s="43" t="n"/>
      <c r="I1482" s="32" t="n"/>
      <c r="J1482" s="44" t="n"/>
      <c r="K1482" s="36" t="n"/>
      <c r="L1482" s="33">
        <f>IF(C1482="","",Commercial_Id)</f>
        <v/>
      </c>
      <c r="M1482" s="34">
        <f>IF(OR(C1482="",F1482=""),"",IF(F1482&lt;&gt;"Espèces","—",IF(I1482&lt;&gt;"","☑ Oui","☐ Non")))</f>
        <v/>
      </c>
      <c r="N1482" s="39">
        <f>IF(D1482="","",IFERROR(VALUE(MID(D1482,LEN(D1482)-3,3)),""))</f>
        <v/>
      </c>
      <c r="O1482" s="33">
        <f>IF(N1482="","",L1482&amp;"|"&amp;N1482)</f>
        <v/>
      </c>
      <c r="P1482" s="33">
        <f>IF(N1482="","",IF(L1482="À RENSEIGNER","GIC",L1482)&amp;"-"&amp;TEXT(N1482,"000"))</f>
        <v/>
      </c>
      <c r="Q1482" s="33">
        <f>IF(O1482="","",IFERROR(INDEX(Cl_nom,MATCH(O1482,Cl_cle,0)),"(client introuvable)"))</f>
        <v/>
      </c>
      <c r="R1482" s="40">
        <f>IF(O1482="","",IFERROR(INDEX(Cl_reste,MATCH(O1482,Cl_cle,0)),""))</f>
        <v/>
      </c>
      <c r="S1482" s="34">
        <f>IF(C1482="","",YEAR(C1482-WEEKDAY(C1482,2)+4)&amp;"-S"&amp;TEXT(INT((C1482-DATE(YEAR(C1482-WEEKDAY(C1482,2)+4),1,3)+WEEKDAY(DATE(YEAR(C1482-WEEKDAY(C1482,2)+4),1,3),2)+5)/7),"00"))</f>
        <v/>
      </c>
    </row>
    <row r="1483" ht="18" customHeight="1">
      <c r="A1483" s="39" t="n">
        <v>1478</v>
      </c>
      <c r="B1483" s="33">
        <f>IF(C1483="","",IF(L1483="À RENSEIGNER","GIC",L1483)&amp;"-E"&amp;TEXT(A1483,"00000"))</f>
        <v/>
      </c>
      <c r="C1483" s="32" t="n"/>
      <c r="D1483" s="36" t="n"/>
      <c r="E1483" s="37" t="n"/>
      <c r="F1483" s="36" t="n"/>
      <c r="G1483" s="44" t="n"/>
      <c r="H1483" s="43" t="n"/>
      <c r="I1483" s="32" t="n"/>
      <c r="J1483" s="44" t="n"/>
      <c r="K1483" s="36" t="n"/>
      <c r="L1483" s="33">
        <f>IF(C1483="","",Commercial_Id)</f>
        <v/>
      </c>
      <c r="M1483" s="34">
        <f>IF(OR(C1483="",F1483=""),"",IF(F1483&lt;&gt;"Espèces","—",IF(I1483&lt;&gt;"","☑ Oui","☐ Non")))</f>
        <v/>
      </c>
      <c r="N1483" s="39">
        <f>IF(D1483="","",IFERROR(VALUE(MID(D1483,LEN(D1483)-3,3)),""))</f>
        <v/>
      </c>
      <c r="O1483" s="33">
        <f>IF(N1483="","",L1483&amp;"|"&amp;N1483)</f>
        <v/>
      </c>
      <c r="P1483" s="33">
        <f>IF(N1483="","",IF(L1483="À RENSEIGNER","GIC",L1483)&amp;"-"&amp;TEXT(N1483,"000"))</f>
        <v/>
      </c>
      <c r="Q1483" s="33">
        <f>IF(O1483="","",IFERROR(INDEX(Cl_nom,MATCH(O1483,Cl_cle,0)),"(client introuvable)"))</f>
        <v/>
      </c>
      <c r="R1483" s="40">
        <f>IF(O1483="","",IFERROR(INDEX(Cl_reste,MATCH(O1483,Cl_cle,0)),""))</f>
        <v/>
      </c>
      <c r="S1483" s="34">
        <f>IF(C1483="","",YEAR(C1483-WEEKDAY(C1483,2)+4)&amp;"-S"&amp;TEXT(INT((C1483-DATE(YEAR(C1483-WEEKDAY(C1483,2)+4),1,3)+WEEKDAY(DATE(YEAR(C1483-WEEKDAY(C1483,2)+4),1,3),2)+5)/7),"00"))</f>
        <v/>
      </c>
    </row>
    <row r="1484" ht="18" customHeight="1">
      <c r="A1484" s="39" t="n">
        <v>1479</v>
      </c>
      <c r="B1484" s="33">
        <f>IF(C1484="","",IF(L1484="À RENSEIGNER","GIC",L1484)&amp;"-E"&amp;TEXT(A1484,"00000"))</f>
        <v/>
      </c>
      <c r="C1484" s="32" t="n"/>
      <c r="D1484" s="36" t="n"/>
      <c r="E1484" s="37" t="n"/>
      <c r="F1484" s="36" t="n"/>
      <c r="G1484" s="44" t="n"/>
      <c r="H1484" s="43" t="n"/>
      <c r="I1484" s="32" t="n"/>
      <c r="J1484" s="44" t="n"/>
      <c r="K1484" s="36" t="n"/>
      <c r="L1484" s="33">
        <f>IF(C1484="","",Commercial_Id)</f>
        <v/>
      </c>
      <c r="M1484" s="34">
        <f>IF(OR(C1484="",F1484=""),"",IF(F1484&lt;&gt;"Espèces","—",IF(I1484&lt;&gt;"","☑ Oui","☐ Non")))</f>
        <v/>
      </c>
      <c r="N1484" s="39">
        <f>IF(D1484="","",IFERROR(VALUE(MID(D1484,LEN(D1484)-3,3)),""))</f>
        <v/>
      </c>
      <c r="O1484" s="33">
        <f>IF(N1484="","",L1484&amp;"|"&amp;N1484)</f>
        <v/>
      </c>
      <c r="P1484" s="33">
        <f>IF(N1484="","",IF(L1484="À RENSEIGNER","GIC",L1484)&amp;"-"&amp;TEXT(N1484,"000"))</f>
        <v/>
      </c>
      <c r="Q1484" s="33">
        <f>IF(O1484="","",IFERROR(INDEX(Cl_nom,MATCH(O1484,Cl_cle,0)),"(client introuvable)"))</f>
        <v/>
      </c>
      <c r="R1484" s="40">
        <f>IF(O1484="","",IFERROR(INDEX(Cl_reste,MATCH(O1484,Cl_cle,0)),""))</f>
        <v/>
      </c>
      <c r="S1484" s="34">
        <f>IF(C1484="","",YEAR(C1484-WEEKDAY(C1484,2)+4)&amp;"-S"&amp;TEXT(INT((C1484-DATE(YEAR(C1484-WEEKDAY(C1484,2)+4),1,3)+WEEKDAY(DATE(YEAR(C1484-WEEKDAY(C1484,2)+4),1,3),2)+5)/7),"00"))</f>
        <v/>
      </c>
    </row>
    <row r="1485" ht="18" customHeight="1">
      <c r="A1485" s="39" t="n">
        <v>1480</v>
      </c>
      <c r="B1485" s="33">
        <f>IF(C1485="","",IF(L1485="À RENSEIGNER","GIC",L1485)&amp;"-E"&amp;TEXT(A1485,"00000"))</f>
        <v/>
      </c>
      <c r="C1485" s="32" t="n"/>
      <c r="D1485" s="36" t="n"/>
      <c r="E1485" s="37" t="n"/>
      <c r="F1485" s="36" t="n"/>
      <c r="G1485" s="44" t="n"/>
      <c r="H1485" s="43" t="n"/>
      <c r="I1485" s="32" t="n"/>
      <c r="J1485" s="44" t="n"/>
      <c r="K1485" s="36" t="n"/>
      <c r="L1485" s="33">
        <f>IF(C1485="","",Commercial_Id)</f>
        <v/>
      </c>
      <c r="M1485" s="34">
        <f>IF(OR(C1485="",F1485=""),"",IF(F1485&lt;&gt;"Espèces","—",IF(I1485&lt;&gt;"","☑ Oui","☐ Non")))</f>
        <v/>
      </c>
      <c r="N1485" s="39">
        <f>IF(D1485="","",IFERROR(VALUE(MID(D1485,LEN(D1485)-3,3)),""))</f>
        <v/>
      </c>
      <c r="O1485" s="33">
        <f>IF(N1485="","",L1485&amp;"|"&amp;N1485)</f>
        <v/>
      </c>
      <c r="P1485" s="33">
        <f>IF(N1485="","",IF(L1485="À RENSEIGNER","GIC",L1485)&amp;"-"&amp;TEXT(N1485,"000"))</f>
        <v/>
      </c>
      <c r="Q1485" s="33">
        <f>IF(O1485="","",IFERROR(INDEX(Cl_nom,MATCH(O1485,Cl_cle,0)),"(client introuvable)"))</f>
        <v/>
      </c>
      <c r="R1485" s="40">
        <f>IF(O1485="","",IFERROR(INDEX(Cl_reste,MATCH(O1485,Cl_cle,0)),""))</f>
        <v/>
      </c>
      <c r="S1485" s="34">
        <f>IF(C1485="","",YEAR(C1485-WEEKDAY(C1485,2)+4)&amp;"-S"&amp;TEXT(INT((C1485-DATE(YEAR(C1485-WEEKDAY(C1485,2)+4),1,3)+WEEKDAY(DATE(YEAR(C1485-WEEKDAY(C1485,2)+4),1,3),2)+5)/7),"00"))</f>
        <v/>
      </c>
    </row>
    <row r="1486" ht="18" customHeight="1">
      <c r="A1486" s="39" t="n">
        <v>1481</v>
      </c>
      <c r="B1486" s="33">
        <f>IF(C1486="","",IF(L1486="À RENSEIGNER","GIC",L1486)&amp;"-E"&amp;TEXT(A1486,"00000"))</f>
        <v/>
      </c>
      <c r="C1486" s="32" t="n"/>
      <c r="D1486" s="36" t="n"/>
      <c r="E1486" s="37" t="n"/>
      <c r="F1486" s="36" t="n"/>
      <c r="G1486" s="44" t="n"/>
      <c r="H1486" s="43" t="n"/>
      <c r="I1486" s="32" t="n"/>
      <c r="J1486" s="44" t="n"/>
      <c r="K1486" s="36" t="n"/>
      <c r="L1486" s="33">
        <f>IF(C1486="","",Commercial_Id)</f>
        <v/>
      </c>
      <c r="M1486" s="34">
        <f>IF(OR(C1486="",F1486=""),"",IF(F1486&lt;&gt;"Espèces","—",IF(I1486&lt;&gt;"","☑ Oui","☐ Non")))</f>
        <v/>
      </c>
      <c r="N1486" s="39">
        <f>IF(D1486="","",IFERROR(VALUE(MID(D1486,LEN(D1486)-3,3)),""))</f>
        <v/>
      </c>
      <c r="O1486" s="33">
        <f>IF(N1486="","",L1486&amp;"|"&amp;N1486)</f>
        <v/>
      </c>
      <c r="P1486" s="33">
        <f>IF(N1486="","",IF(L1486="À RENSEIGNER","GIC",L1486)&amp;"-"&amp;TEXT(N1486,"000"))</f>
        <v/>
      </c>
      <c r="Q1486" s="33">
        <f>IF(O1486="","",IFERROR(INDEX(Cl_nom,MATCH(O1486,Cl_cle,0)),"(client introuvable)"))</f>
        <v/>
      </c>
      <c r="R1486" s="40">
        <f>IF(O1486="","",IFERROR(INDEX(Cl_reste,MATCH(O1486,Cl_cle,0)),""))</f>
        <v/>
      </c>
      <c r="S1486" s="34">
        <f>IF(C1486="","",YEAR(C1486-WEEKDAY(C1486,2)+4)&amp;"-S"&amp;TEXT(INT((C1486-DATE(YEAR(C1486-WEEKDAY(C1486,2)+4),1,3)+WEEKDAY(DATE(YEAR(C1486-WEEKDAY(C1486,2)+4),1,3),2)+5)/7),"00"))</f>
        <v/>
      </c>
    </row>
    <row r="1487" ht="18" customHeight="1">
      <c r="A1487" s="39" t="n">
        <v>1482</v>
      </c>
      <c r="B1487" s="33">
        <f>IF(C1487="","",IF(L1487="À RENSEIGNER","GIC",L1487)&amp;"-E"&amp;TEXT(A1487,"00000"))</f>
        <v/>
      </c>
      <c r="C1487" s="32" t="n"/>
      <c r="D1487" s="36" t="n"/>
      <c r="E1487" s="37" t="n"/>
      <c r="F1487" s="36" t="n"/>
      <c r="G1487" s="44" t="n"/>
      <c r="H1487" s="43" t="n"/>
      <c r="I1487" s="32" t="n"/>
      <c r="J1487" s="44" t="n"/>
      <c r="K1487" s="36" t="n"/>
      <c r="L1487" s="33">
        <f>IF(C1487="","",Commercial_Id)</f>
        <v/>
      </c>
      <c r="M1487" s="34">
        <f>IF(OR(C1487="",F1487=""),"",IF(F1487&lt;&gt;"Espèces","—",IF(I1487&lt;&gt;"","☑ Oui","☐ Non")))</f>
        <v/>
      </c>
      <c r="N1487" s="39">
        <f>IF(D1487="","",IFERROR(VALUE(MID(D1487,LEN(D1487)-3,3)),""))</f>
        <v/>
      </c>
      <c r="O1487" s="33">
        <f>IF(N1487="","",L1487&amp;"|"&amp;N1487)</f>
        <v/>
      </c>
      <c r="P1487" s="33">
        <f>IF(N1487="","",IF(L1487="À RENSEIGNER","GIC",L1487)&amp;"-"&amp;TEXT(N1487,"000"))</f>
        <v/>
      </c>
      <c r="Q1487" s="33">
        <f>IF(O1487="","",IFERROR(INDEX(Cl_nom,MATCH(O1487,Cl_cle,0)),"(client introuvable)"))</f>
        <v/>
      </c>
      <c r="R1487" s="40">
        <f>IF(O1487="","",IFERROR(INDEX(Cl_reste,MATCH(O1487,Cl_cle,0)),""))</f>
        <v/>
      </c>
      <c r="S1487" s="34">
        <f>IF(C1487="","",YEAR(C1487-WEEKDAY(C1487,2)+4)&amp;"-S"&amp;TEXT(INT((C1487-DATE(YEAR(C1487-WEEKDAY(C1487,2)+4),1,3)+WEEKDAY(DATE(YEAR(C1487-WEEKDAY(C1487,2)+4),1,3),2)+5)/7),"00"))</f>
        <v/>
      </c>
    </row>
    <row r="1488" ht="18" customHeight="1">
      <c r="A1488" s="39" t="n">
        <v>1483</v>
      </c>
      <c r="B1488" s="33">
        <f>IF(C1488="","",IF(L1488="À RENSEIGNER","GIC",L1488)&amp;"-E"&amp;TEXT(A1488,"00000"))</f>
        <v/>
      </c>
      <c r="C1488" s="32" t="n"/>
      <c r="D1488" s="36" t="n"/>
      <c r="E1488" s="37" t="n"/>
      <c r="F1488" s="36" t="n"/>
      <c r="G1488" s="44" t="n"/>
      <c r="H1488" s="43" t="n"/>
      <c r="I1488" s="32" t="n"/>
      <c r="J1488" s="44" t="n"/>
      <c r="K1488" s="36" t="n"/>
      <c r="L1488" s="33">
        <f>IF(C1488="","",Commercial_Id)</f>
        <v/>
      </c>
      <c r="M1488" s="34">
        <f>IF(OR(C1488="",F1488=""),"",IF(F1488&lt;&gt;"Espèces","—",IF(I1488&lt;&gt;"","☑ Oui","☐ Non")))</f>
        <v/>
      </c>
      <c r="N1488" s="39">
        <f>IF(D1488="","",IFERROR(VALUE(MID(D1488,LEN(D1488)-3,3)),""))</f>
        <v/>
      </c>
      <c r="O1488" s="33">
        <f>IF(N1488="","",L1488&amp;"|"&amp;N1488)</f>
        <v/>
      </c>
      <c r="P1488" s="33">
        <f>IF(N1488="","",IF(L1488="À RENSEIGNER","GIC",L1488)&amp;"-"&amp;TEXT(N1488,"000"))</f>
        <v/>
      </c>
      <c r="Q1488" s="33">
        <f>IF(O1488="","",IFERROR(INDEX(Cl_nom,MATCH(O1488,Cl_cle,0)),"(client introuvable)"))</f>
        <v/>
      </c>
      <c r="R1488" s="40">
        <f>IF(O1488="","",IFERROR(INDEX(Cl_reste,MATCH(O1488,Cl_cle,0)),""))</f>
        <v/>
      </c>
      <c r="S1488" s="34">
        <f>IF(C1488="","",YEAR(C1488-WEEKDAY(C1488,2)+4)&amp;"-S"&amp;TEXT(INT((C1488-DATE(YEAR(C1488-WEEKDAY(C1488,2)+4),1,3)+WEEKDAY(DATE(YEAR(C1488-WEEKDAY(C1488,2)+4),1,3),2)+5)/7),"00"))</f>
        <v/>
      </c>
    </row>
    <row r="1489" ht="18" customHeight="1">
      <c r="A1489" s="39" t="n">
        <v>1484</v>
      </c>
      <c r="B1489" s="33">
        <f>IF(C1489="","",IF(L1489="À RENSEIGNER","GIC",L1489)&amp;"-E"&amp;TEXT(A1489,"00000"))</f>
        <v/>
      </c>
      <c r="C1489" s="32" t="n"/>
      <c r="D1489" s="36" t="n"/>
      <c r="E1489" s="37" t="n"/>
      <c r="F1489" s="36" t="n"/>
      <c r="G1489" s="44" t="n"/>
      <c r="H1489" s="43" t="n"/>
      <c r="I1489" s="32" t="n"/>
      <c r="J1489" s="44" t="n"/>
      <c r="K1489" s="36" t="n"/>
      <c r="L1489" s="33">
        <f>IF(C1489="","",Commercial_Id)</f>
        <v/>
      </c>
      <c r="M1489" s="34">
        <f>IF(OR(C1489="",F1489=""),"",IF(F1489&lt;&gt;"Espèces","—",IF(I1489&lt;&gt;"","☑ Oui","☐ Non")))</f>
        <v/>
      </c>
      <c r="N1489" s="39">
        <f>IF(D1489="","",IFERROR(VALUE(MID(D1489,LEN(D1489)-3,3)),""))</f>
        <v/>
      </c>
      <c r="O1489" s="33">
        <f>IF(N1489="","",L1489&amp;"|"&amp;N1489)</f>
        <v/>
      </c>
      <c r="P1489" s="33">
        <f>IF(N1489="","",IF(L1489="À RENSEIGNER","GIC",L1489)&amp;"-"&amp;TEXT(N1489,"000"))</f>
        <v/>
      </c>
      <c r="Q1489" s="33">
        <f>IF(O1489="","",IFERROR(INDEX(Cl_nom,MATCH(O1489,Cl_cle,0)),"(client introuvable)"))</f>
        <v/>
      </c>
      <c r="R1489" s="40">
        <f>IF(O1489="","",IFERROR(INDEX(Cl_reste,MATCH(O1489,Cl_cle,0)),""))</f>
        <v/>
      </c>
      <c r="S1489" s="34">
        <f>IF(C1489="","",YEAR(C1489-WEEKDAY(C1489,2)+4)&amp;"-S"&amp;TEXT(INT((C1489-DATE(YEAR(C1489-WEEKDAY(C1489,2)+4),1,3)+WEEKDAY(DATE(YEAR(C1489-WEEKDAY(C1489,2)+4),1,3),2)+5)/7),"00"))</f>
        <v/>
      </c>
    </row>
    <row r="1490" ht="18" customHeight="1">
      <c r="A1490" s="39" t="n">
        <v>1485</v>
      </c>
      <c r="B1490" s="33">
        <f>IF(C1490="","",IF(L1490="À RENSEIGNER","GIC",L1490)&amp;"-E"&amp;TEXT(A1490,"00000"))</f>
        <v/>
      </c>
      <c r="C1490" s="32" t="n"/>
      <c r="D1490" s="36" t="n"/>
      <c r="E1490" s="37" t="n"/>
      <c r="F1490" s="36" t="n"/>
      <c r="G1490" s="44" t="n"/>
      <c r="H1490" s="43" t="n"/>
      <c r="I1490" s="32" t="n"/>
      <c r="J1490" s="44" t="n"/>
      <c r="K1490" s="36" t="n"/>
      <c r="L1490" s="33">
        <f>IF(C1490="","",Commercial_Id)</f>
        <v/>
      </c>
      <c r="M1490" s="34">
        <f>IF(OR(C1490="",F1490=""),"",IF(F1490&lt;&gt;"Espèces","—",IF(I1490&lt;&gt;"","☑ Oui","☐ Non")))</f>
        <v/>
      </c>
      <c r="N1490" s="39">
        <f>IF(D1490="","",IFERROR(VALUE(MID(D1490,LEN(D1490)-3,3)),""))</f>
        <v/>
      </c>
      <c r="O1490" s="33">
        <f>IF(N1490="","",L1490&amp;"|"&amp;N1490)</f>
        <v/>
      </c>
      <c r="P1490" s="33">
        <f>IF(N1490="","",IF(L1490="À RENSEIGNER","GIC",L1490)&amp;"-"&amp;TEXT(N1490,"000"))</f>
        <v/>
      </c>
      <c r="Q1490" s="33">
        <f>IF(O1490="","",IFERROR(INDEX(Cl_nom,MATCH(O1490,Cl_cle,0)),"(client introuvable)"))</f>
        <v/>
      </c>
      <c r="R1490" s="40">
        <f>IF(O1490="","",IFERROR(INDEX(Cl_reste,MATCH(O1490,Cl_cle,0)),""))</f>
        <v/>
      </c>
      <c r="S1490" s="34">
        <f>IF(C1490="","",YEAR(C1490-WEEKDAY(C1490,2)+4)&amp;"-S"&amp;TEXT(INT((C1490-DATE(YEAR(C1490-WEEKDAY(C1490,2)+4),1,3)+WEEKDAY(DATE(YEAR(C1490-WEEKDAY(C1490,2)+4),1,3),2)+5)/7),"00"))</f>
        <v/>
      </c>
    </row>
    <row r="1491" ht="18" customHeight="1">
      <c r="A1491" s="39" t="n">
        <v>1486</v>
      </c>
      <c r="B1491" s="33">
        <f>IF(C1491="","",IF(L1491="À RENSEIGNER","GIC",L1491)&amp;"-E"&amp;TEXT(A1491,"00000"))</f>
        <v/>
      </c>
      <c r="C1491" s="32" t="n"/>
      <c r="D1491" s="36" t="n"/>
      <c r="E1491" s="37" t="n"/>
      <c r="F1491" s="36" t="n"/>
      <c r="G1491" s="44" t="n"/>
      <c r="H1491" s="43" t="n"/>
      <c r="I1491" s="32" t="n"/>
      <c r="J1491" s="44" t="n"/>
      <c r="K1491" s="36" t="n"/>
      <c r="L1491" s="33">
        <f>IF(C1491="","",Commercial_Id)</f>
        <v/>
      </c>
      <c r="M1491" s="34">
        <f>IF(OR(C1491="",F1491=""),"",IF(F1491&lt;&gt;"Espèces","—",IF(I1491&lt;&gt;"","☑ Oui","☐ Non")))</f>
        <v/>
      </c>
      <c r="N1491" s="39">
        <f>IF(D1491="","",IFERROR(VALUE(MID(D1491,LEN(D1491)-3,3)),""))</f>
        <v/>
      </c>
      <c r="O1491" s="33">
        <f>IF(N1491="","",L1491&amp;"|"&amp;N1491)</f>
        <v/>
      </c>
      <c r="P1491" s="33">
        <f>IF(N1491="","",IF(L1491="À RENSEIGNER","GIC",L1491)&amp;"-"&amp;TEXT(N1491,"000"))</f>
        <v/>
      </c>
      <c r="Q1491" s="33">
        <f>IF(O1491="","",IFERROR(INDEX(Cl_nom,MATCH(O1491,Cl_cle,0)),"(client introuvable)"))</f>
        <v/>
      </c>
      <c r="R1491" s="40">
        <f>IF(O1491="","",IFERROR(INDEX(Cl_reste,MATCH(O1491,Cl_cle,0)),""))</f>
        <v/>
      </c>
      <c r="S1491" s="34">
        <f>IF(C1491="","",YEAR(C1491-WEEKDAY(C1491,2)+4)&amp;"-S"&amp;TEXT(INT((C1491-DATE(YEAR(C1491-WEEKDAY(C1491,2)+4),1,3)+WEEKDAY(DATE(YEAR(C1491-WEEKDAY(C1491,2)+4),1,3),2)+5)/7),"00"))</f>
        <v/>
      </c>
    </row>
    <row r="1492" ht="18" customHeight="1">
      <c r="A1492" s="39" t="n">
        <v>1487</v>
      </c>
      <c r="B1492" s="33">
        <f>IF(C1492="","",IF(L1492="À RENSEIGNER","GIC",L1492)&amp;"-E"&amp;TEXT(A1492,"00000"))</f>
        <v/>
      </c>
      <c r="C1492" s="32" t="n"/>
      <c r="D1492" s="36" t="n"/>
      <c r="E1492" s="37" t="n"/>
      <c r="F1492" s="36" t="n"/>
      <c r="G1492" s="44" t="n"/>
      <c r="H1492" s="43" t="n"/>
      <c r="I1492" s="32" t="n"/>
      <c r="J1492" s="44" t="n"/>
      <c r="K1492" s="36" t="n"/>
      <c r="L1492" s="33">
        <f>IF(C1492="","",Commercial_Id)</f>
        <v/>
      </c>
      <c r="M1492" s="34">
        <f>IF(OR(C1492="",F1492=""),"",IF(F1492&lt;&gt;"Espèces","—",IF(I1492&lt;&gt;"","☑ Oui","☐ Non")))</f>
        <v/>
      </c>
      <c r="N1492" s="39">
        <f>IF(D1492="","",IFERROR(VALUE(MID(D1492,LEN(D1492)-3,3)),""))</f>
        <v/>
      </c>
      <c r="O1492" s="33">
        <f>IF(N1492="","",L1492&amp;"|"&amp;N1492)</f>
        <v/>
      </c>
      <c r="P1492" s="33">
        <f>IF(N1492="","",IF(L1492="À RENSEIGNER","GIC",L1492)&amp;"-"&amp;TEXT(N1492,"000"))</f>
        <v/>
      </c>
      <c r="Q1492" s="33">
        <f>IF(O1492="","",IFERROR(INDEX(Cl_nom,MATCH(O1492,Cl_cle,0)),"(client introuvable)"))</f>
        <v/>
      </c>
      <c r="R1492" s="40">
        <f>IF(O1492="","",IFERROR(INDEX(Cl_reste,MATCH(O1492,Cl_cle,0)),""))</f>
        <v/>
      </c>
      <c r="S1492" s="34">
        <f>IF(C1492="","",YEAR(C1492-WEEKDAY(C1492,2)+4)&amp;"-S"&amp;TEXT(INT((C1492-DATE(YEAR(C1492-WEEKDAY(C1492,2)+4),1,3)+WEEKDAY(DATE(YEAR(C1492-WEEKDAY(C1492,2)+4),1,3),2)+5)/7),"00"))</f>
        <v/>
      </c>
    </row>
    <row r="1493" ht="18" customHeight="1">
      <c r="A1493" s="39" t="n">
        <v>1488</v>
      </c>
      <c r="B1493" s="33">
        <f>IF(C1493="","",IF(L1493="À RENSEIGNER","GIC",L1493)&amp;"-E"&amp;TEXT(A1493,"00000"))</f>
        <v/>
      </c>
      <c r="C1493" s="32" t="n"/>
      <c r="D1493" s="36" t="n"/>
      <c r="E1493" s="37" t="n"/>
      <c r="F1493" s="36" t="n"/>
      <c r="G1493" s="44" t="n"/>
      <c r="H1493" s="43" t="n"/>
      <c r="I1493" s="32" t="n"/>
      <c r="J1493" s="44" t="n"/>
      <c r="K1493" s="36" t="n"/>
      <c r="L1493" s="33">
        <f>IF(C1493="","",Commercial_Id)</f>
        <v/>
      </c>
      <c r="M1493" s="34">
        <f>IF(OR(C1493="",F1493=""),"",IF(F1493&lt;&gt;"Espèces","—",IF(I1493&lt;&gt;"","☑ Oui","☐ Non")))</f>
        <v/>
      </c>
      <c r="N1493" s="39">
        <f>IF(D1493="","",IFERROR(VALUE(MID(D1493,LEN(D1493)-3,3)),""))</f>
        <v/>
      </c>
      <c r="O1493" s="33">
        <f>IF(N1493="","",L1493&amp;"|"&amp;N1493)</f>
        <v/>
      </c>
      <c r="P1493" s="33">
        <f>IF(N1493="","",IF(L1493="À RENSEIGNER","GIC",L1493)&amp;"-"&amp;TEXT(N1493,"000"))</f>
        <v/>
      </c>
      <c r="Q1493" s="33">
        <f>IF(O1493="","",IFERROR(INDEX(Cl_nom,MATCH(O1493,Cl_cle,0)),"(client introuvable)"))</f>
        <v/>
      </c>
      <c r="R1493" s="40">
        <f>IF(O1493="","",IFERROR(INDEX(Cl_reste,MATCH(O1493,Cl_cle,0)),""))</f>
        <v/>
      </c>
      <c r="S1493" s="34">
        <f>IF(C1493="","",YEAR(C1493-WEEKDAY(C1493,2)+4)&amp;"-S"&amp;TEXT(INT((C1493-DATE(YEAR(C1493-WEEKDAY(C1493,2)+4),1,3)+WEEKDAY(DATE(YEAR(C1493-WEEKDAY(C1493,2)+4),1,3),2)+5)/7),"00"))</f>
        <v/>
      </c>
    </row>
    <row r="1494" ht="18" customHeight="1">
      <c r="A1494" s="39" t="n">
        <v>1489</v>
      </c>
      <c r="B1494" s="33">
        <f>IF(C1494="","",IF(L1494="À RENSEIGNER","GIC",L1494)&amp;"-E"&amp;TEXT(A1494,"00000"))</f>
        <v/>
      </c>
      <c r="C1494" s="32" t="n"/>
      <c r="D1494" s="36" t="n"/>
      <c r="E1494" s="37" t="n"/>
      <c r="F1494" s="36" t="n"/>
      <c r="G1494" s="44" t="n"/>
      <c r="H1494" s="43" t="n"/>
      <c r="I1494" s="32" t="n"/>
      <c r="J1494" s="44" t="n"/>
      <c r="K1494" s="36" t="n"/>
      <c r="L1494" s="33">
        <f>IF(C1494="","",Commercial_Id)</f>
        <v/>
      </c>
      <c r="M1494" s="34">
        <f>IF(OR(C1494="",F1494=""),"",IF(F1494&lt;&gt;"Espèces","—",IF(I1494&lt;&gt;"","☑ Oui","☐ Non")))</f>
        <v/>
      </c>
      <c r="N1494" s="39">
        <f>IF(D1494="","",IFERROR(VALUE(MID(D1494,LEN(D1494)-3,3)),""))</f>
        <v/>
      </c>
      <c r="O1494" s="33">
        <f>IF(N1494="","",L1494&amp;"|"&amp;N1494)</f>
        <v/>
      </c>
      <c r="P1494" s="33">
        <f>IF(N1494="","",IF(L1494="À RENSEIGNER","GIC",L1494)&amp;"-"&amp;TEXT(N1494,"000"))</f>
        <v/>
      </c>
      <c r="Q1494" s="33">
        <f>IF(O1494="","",IFERROR(INDEX(Cl_nom,MATCH(O1494,Cl_cle,0)),"(client introuvable)"))</f>
        <v/>
      </c>
      <c r="R1494" s="40">
        <f>IF(O1494="","",IFERROR(INDEX(Cl_reste,MATCH(O1494,Cl_cle,0)),""))</f>
        <v/>
      </c>
      <c r="S1494" s="34">
        <f>IF(C1494="","",YEAR(C1494-WEEKDAY(C1494,2)+4)&amp;"-S"&amp;TEXT(INT((C1494-DATE(YEAR(C1494-WEEKDAY(C1494,2)+4),1,3)+WEEKDAY(DATE(YEAR(C1494-WEEKDAY(C1494,2)+4),1,3),2)+5)/7),"00"))</f>
        <v/>
      </c>
    </row>
    <row r="1495" ht="18" customHeight="1">
      <c r="A1495" s="39" t="n">
        <v>1490</v>
      </c>
      <c r="B1495" s="33">
        <f>IF(C1495="","",IF(L1495="À RENSEIGNER","GIC",L1495)&amp;"-E"&amp;TEXT(A1495,"00000"))</f>
        <v/>
      </c>
      <c r="C1495" s="32" t="n"/>
      <c r="D1495" s="36" t="n"/>
      <c r="E1495" s="37" t="n"/>
      <c r="F1495" s="36" t="n"/>
      <c r="G1495" s="44" t="n"/>
      <c r="H1495" s="43" t="n"/>
      <c r="I1495" s="32" t="n"/>
      <c r="J1495" s="44" t="n"/>
      <c r="K1495" s="36" t="n"/>
      <c r="L1495" s="33">
        <f>IF(C1495="","",Commercial_Id)</f>
        <v/>
      </c>
      <c r="M1495" s="34">
        <f>IF(OR(C1495="",F1495=""),"",IF(F1495&lt;&gt;"Espèces","—",IF(I1495&lt;&gt;"","☑ Oui","☐ Non")))</f>
        <v/>
      </c>
      <c r="N1495" s="39">
        <f>IF(D1495="","",IFERROR(VALUE(MID(D1495,LEN(D1495)-3,3)),""))</f>
        <v/>
      </c>
      <c r="O1495" s="33">
        <f>IF(N1495="","",L1495&amp;"|"&amp;N1495)</f>
        <v/>
      </c>
      <c r="P1495" s="33">
        <f>IF(N1495="","",IF(L1495="À RENSEIGNER","GIC",L1495)&amp;"-"&amp;TEXT(N1495,"000"))</f>
        <v/>
      </c>
      <c r="Q1495" s="33">
        <f>IF(O1495="","",IFERROR(INDEX(Cl_nom,MATCH(O1495,Cl_cle,0)),"(client introuvable)"))</f>
        <v/>
      </c>
      <c r="R1495" s="40">
        <f>IF(O1495="","",IFERROR(INDEX(Cl_reste,MATCH(O1495,Cl_cle,0)),""))</f>
        <v/>
      </c>
      <c r="S1495" s="34">
        <f>IF(C1495="","",YEAR(C1495-WEEKDAY(C1495,2)+4)&amp;"-S"&amp;TEXT(INT((C1495-DATE(YEAR(C1495-WEEKDAY(C1495,2)+4),1,3)+WEEKDAY(DATE(YEAR(C1495-WEEKDAY(C1495,2)+4),1,3),2)+5)/7),"00"))</f>
        <v/>
      </c>
    </row>
    <row r="1496" ht="18" customHeight="1">
      <c r="A1496" s="39" t="n">
        <v>1491</v>
      </c>
      <c r="B1496" s="33">
        <f>IF(C1496="","",IF(L1496="À RENSEIGNER","GIC",L1496)&amp;"-E"&amp;TEXT(A1496,"00000"))</f>
        <v/>
      </c>
      <c r="C1496" s="32" t="n"/>
      <c r="D1496" s="36" t="n"/>
      <c r="E1496" s="37" t="n"/>
      <c r="F1496" s="36" t="n"/>
      <c r="G1496" s="44" t="n"/>
      <c r="H1496" s="43" t="n"/>
      <c r="I1496" s="32" t="n"/>
      <c r="J1496" s="44" t="n"/>
      <c r="K1496" s="36" t="n"/>
      <c r="L1496" s="33">
        <f>IF(C1496="","",Commercial_Id)</f>
        <v/>
      </c>
      <c r="M1496" s="34">
        <f>IF(OR(C1496="",F1496=""),"",IF(F1496&lt;&gt;"Espèces","—",IF(I1496&lt;&gt;"","☑ Oui","☐ Non")))</f>
        <v/>
      </c>
      <c r="N1496" s="39">
        <f>IF(D1496="","",IFERROR(VALUE(MID(D1496,LEN(D1496)-3,3)),""))</f>
        <v/>
      </c>
      <c r="O1496" s="33">
        <f>IF(N1496="","",L1496&amp;"|"&amp;N1496)</f>
        <v/>
      </c>
      <c r="P1496" s="33">
        <f>IF(N1496="","",IF(L1496="À RENSEIGNER","GIC",L1496)&amp;"-"&amp;TEXT(N1496,"000"))</f>
        <v/>
      </c>
      <c r="Q1496" s="33">
        <f>IF(O1496="","",IFERROR(INDEX(Cl_nom,MATCH(O1496,Cl_cle,0)),"(client introuvable)"))</f>
        <v/>
      </c>
      <c r="R1496" s="40">
        <f>IF(O1496="","",IFERROR(INDEX(Cl_reste,MATCH(O1496,Cl_cle,0)),""))</f>
        <v/>
      </c>
      <c r="S1496" s="34">
        <f>IF(C1496="","",YEAR(C1496-WEEKDAY(C1496,2)+4)&amp;"-S"&amp;TEXT(INT((C1496-DATE(YEAR(C1496-WEEKDAY(C1496,2)+4),1,3)+WEEKDAY(DATE(YEAR(C1496-WEEKDAY(C1496,2)+4),1,3),2)+5)/7),"00"))</f>
        <v/>
      </c>
    </row>
    <row r="1497" ht="18" customHeight="1">
      <c r="A1497" s="39" t="n">
        <v>1492</v>
      </c>
      <c r="B1497" s="33">
        <f>IF(C1497="","",IF(L1497="À RENSEIGNER","GIC",L1497)&amp;"-E"&amp;TEXT(A1497,"00000"))</f>
        <v/>
      </c>
      <c r="C1497" s="32" t="n"/>
      <c r="D1497" s="36" t="n"/>
      <c r="E1497" s="37" t="n"/>
      <c r="F1497" s="36" t="n"/>
      <c r="G1497" s="44" t="n"/>
      <c r="H1497" s="43" t="n"/>
      <c r="I1497" s="32" t="n"/>
      <c r="J1497" s="44" t="n"/>
      <c r="K1497" s="36" t="n"/>
      <c r="L1497" s="33">
        <f>IF(C1497="","",Commercial_Id)</f>
        <v/>
      </c>
      <c r="M1497" s="34">
        <f>IF(OR(C1497="",F1497=""),"",IF(F1497&lt;&gt;"Espèces","—",IF(I1497&lt;&gt;"","☑ Oui","☐ Non")))</f>
        <v/>
      </c>
      <c r="N1497" s="39">
        <f>IF(D1497="","",IFERROR(VALUE(MID(D1497,LEN(D1497)-3,3)),""))</f>
        <v/>
      </c>
      <c r="O1497" s="33">
        <f>IF(N1497="","",L1497&amp;"|"&amp;N1497)</f>
        <v/>
      </c>
      <c r="P1497" s="33">
        <f>IF(N1497="","",IF(L1497="À RENSEIGNER","GIC",L1497)&amp;"-"&amp;TEXT(N1497,"000"))</f>
        <v/>
      </c>
      <c r="Q1497" s="33">
        <f>IF(O1497="","",IFERROR(INDEX(Cl_nom,MATCH(O1497,Cl_cle,0)),"(client introuvable)"))</f>
        <v/>
      </c>
      <c r="R1497" s="40">
        <f>IF(O1497="","",IFERROR(INDEX(Cl_reste,MATCH(O1497,Cl_cle,0)),""))</f>
        <v/>
      </c>
      <c r="S1497" s="34">
        <f>IF(C1497="","",YEAR(C1497-WEEKDAY(C1497,2)+4)&amp;"-S"&amp;TEXT(INT((C1497-DATE(YEAR(C1497-WEEKDAY(C1497,2)+4),1,3)+WEEKDAY(DATE(YEAR(C1497-WEEKDAY(C1497,2)+4),1,3),2)+5)/7),"00"))</f>
        <v/>
      </c>
    </row>
    <row r="1498" ht="18" customHeight="1">
      <c r="A1498" s="39" t="n">
        <v>1493</v>
      </c>
      <c r="B1498" s="33">
        <f>IF(C1498="","",IF(L1498="À RENSEIGNER","GIC",L1498)&amp;"-E"&amp;TEXT(A1498,"00000"))</f>
        <v/>
      </c>
      <c r="C1498" s="32" t="n"/>
      <c r="D1498" s="36" t="n"/>
      <c r="E1498" s="37" t="n"/>
      <c r="F1498" s="36" t="n"/>
      <c r="G1498" s="44" t="n"/>
      <c r="H1498" s="43" t="n"/>
      <c r="I1498" s="32" t="n"/>
      <c r="J1498" s="44" t="n"/>
      <c r="K1498" s="36" t="n"/>
      <c r="L1498" s="33">
        <f>IF(C1498="","",Commercial_Id)</f>
        <v/>
      </c>
      <c r="M1498" s="34">
        <f>IF(OR(C1498="",F1498=""),"",IF(F1498&lt;&gt;"Espèces","—",IF(I1498&lt;&gt;"","☑ Oui","☐ Non")))</f>
        <v/>
      </c>
      <c r="N1498" s="39">
        <f>IF(D1498="","",IFERROR(VALUE(MID(D1498,LEN(D1498)-3,3)),""))</f>
        <v/>
      </c>
      <c r="O1498" s="33">
        <f>IF(N1498="","",L1498&amp;"|"&amp;N1498)</f>
        <v/>
      </c>
      <c r="P1498" s="33">
        <f>IF(N1498="","",IF(L1498="À RENSEIGNER","GIC",L1498)&amp;"-"&amp;TEXT(N1498,"000"))</f>
        <v/>
      </c>
      <c r="Q1498" s="33">
        <f>IF(O1498="","",IFERROR(INDEX(Cl_nom,MATCH(O1498,Cl_cle,0)),"(client introuvable)"))</f>
        <v/>
      </c>
      <c r="R1498" s="40">
        <f>IF(O1498="","",IFERROR(INDEX(Cl_reste,MATCH(O1498,Cl_cle,0)),""))</f>
        <v/>
      </c>
      <c r="S1498" s="34">
        <f>IF(C1498="","",YEAR(C1498-WEEKDAY(C1498,2)+4)&amp;"-S"&amp;TEXT(INT((C1498-DATE(YEAR(C1498-WEEKDAY(C1498,2)+4),1,3)+WEEKDAY(DATE(YEAR(C1498-WEEKDAY(C1498,2)+4),1,3),2)+5)/7),"00"))</f>
        <v/>
      </c>
    </row>
    <row r="1499" ht="18" customHeight="1">
      <c r="A1499" s="39" t="n">
        <v>1494</v>
      </c>
      <c r="B1499" s="33">
        <f>IF(C1499="","",IF(L1499="À RENSEIGNER","GIC",L1499)&amp;"-E"&amp;TEXT(A1499,"00000"))</f>
        <v/>
      </c>
      <c r="C1499" s="32" t="n"/>
      <c r="D1499" s="36" t="n"/>
      <c r="E1499" s="37" t="n"/>
      <c r="F1499" s="36" t="n"/>
      <c r="G1499" s="44" t="n"/>
      <c r="H1499" s="43" t="n"/>
      <c r="I1499" s="32" t="n"/>
      <c r="J1499" s="44" t="n"/>
      <c r="K1499" s="36" t="n"/>
      <c r="L1499" s="33">
        <f>IF(C1499="","",Commercial_Id)</f>
        <v/>
      </c>
      <c r="M1499" s="34">
        <f>IF(OR(C1499="",F1499=""),"",IF(F1499&lt;&gt;"Espèces","—",IF(I1499&lt;&gt;"","☑ Oui","☐ Non")))</f>
        <v/>
      </c>
      <c r="N1499" s="39">
        <f>IF(D1499="","",IFERROR(VALUE(MID(D1499,LEN(D1499)-3,3)),""))</f>
        <v/>
      </c>
      <c r="O1499" s="33">
        <f>IF(N1499="","",L1499&amp;"|"&amp;N1499)</f>
        <v/>
      </c>
      <c r="P1499" s="33">
        <f>IF(N1499="","",IF(L1499="À RENSEIGNER","GIC",L1499)&amp;"-"&amp;TEXT(N1499,"000"))</f>
        <v/>
      </c>
      <c r="Q1499" s="33">
        <f>IF(O1499="","",IFERROR(INDEX(Cl_nom,MATCH(O1499,Cl_cle,0)),"(client introuvable)"))</f>
        <v/>
      </c>
      <c r="R1499" s="40">
        <f>IF(O1499="","",IFERROR(INDEX(Cl_reste,MATCH(O1499,Cl_cle,0)),""))</f>
        <v/>
      </c>
      <c r="S1499" s="34">
        <f>IF(C1499="","",YEAR(C1499-WEEKDAY(C1499,2)+4)&amp;"-S"&amp;TEXT(INT((C1499-DATE(YEAR(C1499-WEEKDAY(C1499,2)+4),1,3)+WEEKDAY(DATE(YEAR(C1499-WEEKDAY(C1499,2)+4),1,3),2)+5)/7),"00"))</f>
        <v/>
      </c>
    </row>
    <row r="1500" ht="18" customHeight="1">
      <c r="A1500" s="39" t="n">
        <v>1495</v>
      </c>
      <c r="B1500" s="33">
        <f>IF(C1500="","",IF(L1500="À RENSEIGNER","GIC",L1500)&amp;"-E"&amp;TEXT(A1500,"00000"))</f>
        <v/>
      </c>
      <c r="C1500" s="32" t="n"/>
      <c r="D1500" s="36" t="n"/>
      <c r="E1500" s="37" t="n"/>
      <c r="F1500" s="36" t="n"/>
      <c r="G1500" s="44" t="n"/>
      <c r="H1500" s="43" t="n"/>
      <c r="I1500" s="32" t="n"/>
      <c r="J1500" s="44" t="n"/>
      <c r="K1500" s="36" t="n"/>
      <c r="L1500" s="33">
        <f>IF(C1500="","",Commercial_Id)</f>
        <v/>
      </c>
      <c r="M1500" s="34">
        <f>IF(OR(C1500="",F1500=""),"",IF(F1500&lt;&gt;"Espèces","—",IF(I1500&lt;&gt;"","☑ Oui","☐ Non")))</f>
        <v/>
      </c>
      <c r="N1500" s="39">
        <f>IF(D1500="","",IFERROR(VALUE(MID(D1500,LEN(D1500)-3,3)),""))</f>
        <v/>
      </c>
      <c r="O1500" s="33">
        <f>IF(N1500="","",L1500&amp;"|"&amp;N1500)</f>
        <v/>
      </c>
      <c r="P1500" s="33">
        <f>IF(N1500="","",IF(L1500="À RENSEIGNER","GIC",L1500)&amp;"-"&amp;TEXT(N1500,"000"))</f>
        <v/>
      </c>
      <c r="Q1500" s="33">
        <f>IF(O1500="","",IFERROR(INDEX(Cl_nom,MATCH(O1500,Cl_cle,0)),"(client introuvable)"))</f>
        <v/>
      </c>
      <c r="R1500" s="40">
        <f>IF(O1500="","",IFERROR(INDEX(Cl_reste,MATCH(O1500,Cl_cle,0)),""))</f>
        <v/>
      </c>
      <c r="S1500" s="34">
        <f>IF(C1500="","",YEAR(C1500-WEEKDAY(C1500,2)+4)&amp;"-S"&amp;TEXT(INT((C1500-DATE(YEAR(C1500-WEEKDAY(C1500,2)+4),1,3)+WEEKDAY(DATE(YEAR(C1500-WEEKDAY(C1500,2)+4),1,3),2)+5)/7),"00"))</f>
        <v/>
      </c>
    </row>
    <row r="1501" ht="18" customHeight="1">
      <c r="A1501" s="39" t="n">
        <v>1496</v>
      </c>
      <c r="B1501" s="33">
        <f>IF(C1501="","",IF(L1501="À RENSEIGNER","GIC",L1501)&amp;"-E"&amp;TEXT(A1501,"00000"))</f>
        <v/>
      </c>
      <c r="C1501" s="32" t="n"/>
      <c r="D1501" s="36" t="n"/>
      <c r="E1501" s="37" t="n"/>
      <c r="F1501" s="36" t="n"/>
      <c r="G1501" s="44" t="n"/>
      <c r="H1501" s="43" t="n"/>
      <c r="I1501" s="32" t="n"/>
      <c r="J1501" s="44" t="n"/>
      <c r="K1501" s="36" t="n"/>
      <c r="L1501" s="33">
        <f>IF(C1501="","",Commercial_Id)</f>
        <v/>
      </c>
      <c r="M1501" s="34">
        <f>IF(OR(C1501="",F1501=""),"",IF(F1501&lt;&gt;"Espèces","—",IF(I1501&lt;&gt;"","☑ Oui","☐ Non")))</f>
        <v/>
      </c>
      <c r="N1501" s="39">
        <f>IF(D1501="","",IFERROR(VALUE(MID(D1501,LEN(D1501)-3,3)),""))</f>
        <v/>
      </c>
      <c r="O1501" s="33">
        <f>IF(N1501="","",L1501&amp;"|"&amp;N1501)</f>
        <v/>
      </c>
      <c r="P1501" s="33">
        <f>IF(N1501="","",IF(L1501="À RENSEIGNER","GIC",L1501)&amp;"-"&amp;TEXT(N1501,"000"))</f>
        <v/>
      </c>
      <c r="Q1501" s="33">
        <f>IF(O1501="","",IFERROR(INDEX(Cl_nom,MATCH(O1501,Cl_cle,0)),"(client introuvable)"))</f>
        <v/>
      </c>
      <c r="R1501" s="40">
        <f>IF(O1501="","",IFERROR(INDEX(Cl_reste,MATCH(O1501,Cl_cle,0)),""))</f>
        <v/>
      </c>
      <c r="S1501" s="34">
        <f>IF(C1501="","",YEAR(C1501-WEEKDAY(C1501,2)+4)&amp;"-S"&amp;TEXT(INT((C1501-DATE(YEAR(C1501-WEEKDAY(C1501,2)+4),1,3)+WEEKDAY(DATE(YEAR(C1501-WEEKDAY(C1501,2)+4),1,3),2)+5)/7),"00"))</f>
        <v/>
      </c>
    </row>
    <row r="1502" ht="18" customHeight="1">
      <c r="A1502" s="39" t="n">
        <v>1497</v>
      </c>
      <c r="B1502" s="33">
        <f>IF(C1502="","",IF(L1502="À RENSEIGNER","GIC",L1502)&amp;"-E"&amp;TEXT(A1502,"00000"))</f>
        <v/>
      </c>
      <c r="C1502" s="32" t="n"/>
      <c r="D1502" s="36" t="n"/>
      <c r="E1502" s="37" t="n"/>
      <c r="F1502" s="36" t="n"/>
      <c r="G1502" s="44" t="n"/>
      <c r="H1502" s="43" t="n"/>
      <c r="I1502" s="32" t="n"/>
      <c r="J1502" s="44" t="n"/>
      <c r="K1502" s="36" t="n"/>
      <c r="L1502" s="33">
        <f>IF(C1502="","",Commercial_Id)</f>
        <v/>
      </c>
      <c r="M1502" s="34">
        <f>IF(OR(C1502="",F1502=""),"",IF(F1502&lt;&gt;"Espèces","—",IF(I1502&lt;&gt;"","☑ Oui","☐ Non")))</f>
        <v/>
      </c>
      <c r="N1502" s="39">
        <f>IF(D1502="","",IFERROR(VALUE(MID(D1502,LEN(D1502)-3,3)),""))</f>
        <v/>
      </c>
      <c r="O1502" s="33">
        <f>IF(N1502="","",L1502&amp;"|"&amp;N1502)</f>
        <v/>
      </c>
      <c r="P1502" s="33">
        <f>IF(N1502="","",IF(L1502="À RENSEIGNER","GIC",L1502)&amp;"-"&amp;TEXT(N1502,"000"))</f>
        <v/>
      </c>
      <c r="Q1502" s="33">
        <f>IF(O1502="","",IFERROR(INDEX(Cl_nom,MATCH(O1502,Cl_cle,0)),"(client introuvable)"))</f>
        <v/>
      </c>
      <c r="R1502" s="40">
        <f>IF(O1502="","",IFERROR(INDEX(Cl_reste,MATCH(O1502,Cl_cle,0)),""))</f>
        <v/>
      </c>
      <c r="S1502" s="34">
        <f>IF(C1502="","",YEAR(C1502-WEEKDAY(C1502,2)+4)&amp;"-S"&amp;TEXT(INT((C1502-DATE(YEAR(C1502-WEEKDAY(C1502,2)+4),1,3)+WEEKDAY(DATE(YEAR(C1502-WEEKDAY(C1502,2)+4),1,3),2)+5)/7),"00"))</f>
        <v/>
      </c>
    </row>
    <row r="1503" ht="18" customHeight="1">
      <c r="A1503" s="39" t="n">
        <v>1498</v>
      </c>
      <c r="B1503" s="33">
        <f>IF(C1503="","",IF(L1503="À RENSEIGNER","GIC",L1503)&amp;"-E"&amp;TEXT(A1503,"00000"))</f>
        <v/>
      </c>
      <c r="C1503" s="32" t="n"/>
      <c r="D1503" s="36" t="n"/>
      <c r="E1503" s="37" t="n"/>
      <c r="F1503" s="36" t="n"/>
      <c r="G1503" s="44" t="n"/>
      <c r="H1503" s="43" t="n"/>
      <c r="I1503" s="32" t="n"/>
      <c r="J1503" s="44" t="n"/>
      <c r="K1503" s="36" t="n"/>
      <c r="L1503" s="33">
        <f>IF(C1503="","",Commercial_Id)</f>
        <v/>
      </c>
      <c r="M1503" s="34">
        <f>IF(OR(C1503="",F1503=""),"",IF(F1503&lt;&gt;"Espèces","—",IF(I1503&lt;&gt;"","☑ Oui","☐ Non")))</f>
        <v/>
      </c>
      <c r="N1503" s="39">
        <f>IF(D1503="","",IFERROR(VALUE(MID(D1503,LEN(D1503)-3,3)),""))</f>
        <v/>
      </c>
      <c r="O1503" s="33">
        <f>IF(N1503="","",L1503&amp;"|"&amp;N1503)</f>
        <v/>
      </c>
      <c r="P1503" s="33">
        <f>IF(N1503="","",IF(L1503="À RENSEIGNER","GIC",L1503)&amp;"-"&amp;TEXT(N1503,"000"))</f>
        <v/>
      </c>
      <c r="Q1503" s="33">
        <f>IF(O1503="","",IFERROR(INDEX(Cl_nom,MATCH(O1503,Cl_cle,0)),"(client introuvable)"))</f>
        <v/>
      </c>
      <c r="R1503" s="40">
        <f>IF(O1503="","",IFERROR(INDEX(Cl_reste,MATCH(O1503,Cl_cle,0)),""))</f>
        <v/>
      </c>
      <c r="S1503" s="34">
        <f>IF(C1503="","",YEAR(C1503-WEEKDAY(C1503,2)+4)&amp;"-S"&amp;TEXT(INT((C1503-DATE(YEAR(C1503-WEEKDAY(C1503,2)+4),1,3)+WEEKDAY(DATE(YEAR(C1503-WEEKDAY(C1503,2)+4),1,3),2)+5)/7),"00"))</f>
        <v/>
      </c>
    </row>
    <row r="1504" ht="18" customHeight="1">
      <c r="A1504" s="39" t="n">
        <v>1499</v>
      </c>
      <c r="B1504" s="33">
        <f>IF(C1504="","",IF(L1504="À RENSEIGNER","GIC",L1504)&amp;"-E"&amp;TEXT(A1504,"00000"))</f>
        <v/>
      </c>
      <c r="C1504" s="32" t="n"/>
      <c r="D1504" s="36" t="n"/>
      <c r="E1504" s="37" t="n"/>
      <c r="F1504" s="36" t="n"/>
      <c r="G1504" s="44" t="n"/>
      <c r="H1504" s="43" t="n"/>
      <c r="I1504" s="32" t="n"/>
      <c r="J1504" s="44" t="n"/>
      <c r="K1504" s="36" t="n"/>
      <c r="L1504" s="33">
        <f>IF(C1504="","",Commercial_Id)</f>
        <v/>
      </c>
      <c r="M1504" s="34">
        <f>IF(OR(C1504="",F1504=""),"",IF(F1504&lt;&gt;"Espèces","—",IF(I1504&lt;&gt;"","☑ Oui","☐ Non")))</f>
        <v/>
      </c>
      <c r="N1504" s="39">
        <f>IF(D1504="","",IFERROR(VALUE(MID(D1504,LEN(D1504)-3,3)),""))</f>
        <v/>
      </c>
      <c r="O1504" s="33">
        <f>IF(N1504="","",L1504&amp;"|"&amp;N1504)</f>
        <v/>
      </c>
      <c r="P1504" s="33">
        <f>IF(N1504="","",IF(L1504="À RENSEIGNER","GIC",L1504)&amp;"-"&amp;TEXT(N1504,"000"))</f>
        <v/>
      </c>
      <c r="Q1504" s="33">
        <f>IF(O1504="","",IFERROR(INDEX(Cl_nom,MATCH(O1504,Cl_cle,0)),"(client introuvable)"))</f>
        <v/>
      </c>
      <c r="R1504" s="40">
        <f>IF(O1504="","",IFERROR(INDEX(Cl_reste,MATCH(O1504,Cl_cle,0)),""))</f>
        <v/>
      </c>
      <c r="S1504" s="34">
        <f>IF(C1504="","",YEAR(C1504-WEEKDAY(C1504,2)+4)&amp;"-S"&amp;TEXT(INT((C1504-DATE(YEAR(C1504-WEEKDAY(C1504,2)+4),1,3)+WEEKDAY(DATE(YEAR(C1504-WEEKDAY(C1504,2)+4),1,3),2)+5)/7),"00"))</f>
        <v/>
      </c>
    </row>
    <row r="1505" ht="18" customHeight="1">
      <c r="A1505" s="39" t="n">
        <v>1500</v>
      </c>
      <c r="B1505" s="33">
        <f>IF(C1505="","",IF(L1505="À RENSEIGNER","GIC",L1505)&amp;"-E"&amp;TEXT(A1505,"00000"))</f>
        <v/>
      </c>
      <c r="C1505" s="32" t="n"/>
      <c r="D1505" s="36" t="n"/>
      <c r="E1505" s="37" t="n"/>
      <c r="F1505" s="36" t="n"/>
      <c r="G1505" s="44" t="n"/>
      <c r="H1505" s="43" t="n"/>
      <c r="I1505" s="32" t="n"/>
      <c r="J1505" s="44" t="n"/>
      <c r="K1505" s="36" t="n"/>
      <c r="L1505" s="33">
        <f>IF(C1505="","",Commercial_Id)</f>
        <v/>
      </c>
      <c r="M1505" s="34">
        <f>IF(OR(C1505="",F1505=""),"",IF(F1505&lt;&gt;"Espèces","—",IF(I1505&lt;&gt;"","☑ Oui","☐ Non")))</f>
        <v/>
      </c>
      <c r="N1505" s="39">
        <f>IF(D1505="","",IFERROR(VALUE(MID(D1505,LEN(D1505)-3,3)),""))</f>
        <v/>
      </c>
      <c r="O1505" s="33">
        <f>IF(N1505="","",L1505&amp;"|"&amp;N1505)</f>
        <v/>
      </c>
      <c r="P1505" s="33">
        <f>IF(N1505="","",IF(L1505="À RENSEIGNER","GIC",L1505)&amp;"-"&amp;TEXT(N1505,"000"))</f>
        <v/>
      </c>
      <c r="Q1505" s="33">
        <f>IF(O1505="","",IFERROR(INDEX(Cl_nom,MATCH(O1505,Cl_cle,0)),"(client introuvable)"))</f>
        <v/>
      </c>
      <c r="R1505" s="40">
        <f>IF(O1505="","",IFERROR(INDEX(Cl_reste,MATCH(O1505,Cl_cle,0)),""))</f>
        <v/>
      </c>
      <c r="S1505" s="34">
        <f>IF(C1505="","",YEAR(C1505-WEEKDAY(C1505,2)+4)&amp;"-S"&amp;TEXT(INT((C1505-DATE(YEAR(C1505-WEEKDAY(C1505,2)+4),1,3)+WEEKDAY(DATE(YEAR(C1505-WEEKDAY(C1505,2)+4),1,3),2)+5)/7),"00"))</f>
        <v/>
      </c>
    </row>
  </sheetData>
  <autoFilter ref="A5:S1505"/>
  <mergeCells count="1">
    <mergeCell ref="A3:B3"/>
  </mergeCells>
  <conditionalFormatting sqref="C6:C1505">
    <cfRule type="expression" priority="1" dxfId="0">
      <formula>AND(COUNTA($C6:$K6)&gt;0,C6="")</formula>
    </cfRule>
    <cfRule type="expression" priority="2" dxfId="0">
      <formula>AND(C6&lt;&gt;"",NOT(ISNUMBER(C6)))</formula>
    </cfRule>
  </conditionalFormatting>
  <conditionalFormatting sqref="D6:D1505">
    <cfRule type="expression" priority="3" dxfId="0">
      <formula>AND(COUNTA($C6:$K6)&gt;0,D6="")</formula>
    </cfRule>
  </conditionalFormatting>
  <conditionalFormatting sqref="E6:E1505">
    <cfRule type="expression" priority="4" dxfId="0">
      <formula>AND(COUNTA($C6:$K6)&gt;0,E6="")</formula>
    </cfRule>
  </conditionalFormatting>
  <conditionalFormatting sqref="F6:F1505">
    <cfRule type="expression" priority="5" dxfId="0">
      <formula>AND(COUNTA($C6:$K6)&gt;0,F6="")</formula>
    </cfRule>
  </conditionalFormatting>
  <conditionalFormatting sqref="G6:G1505">
    <cfRule type="expression" priority="6" dxfId="0">
      <formula>AND(F6&lt;&gt;"",F6&lt;&gt;"Espèces",G6="")</formula>
    </cfRule>
  </conditionalFormatting>
  <conditionalFormatting sqref="I6:I1505">
    <cfRule type="expression" priority="7" dxfId="0">
      <formula>AND(I6&lt;&gt;"",NOT(ISNUMBER(I6)))</formula>
    </cfRule>
  </conditionalFormatting>
  <dataValidations count="6">
    <dataValidation sqref="C6:C15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1505" showDropDown="0" showInputMessage="0" showErrorMessage="1" allowBlank="1" errorTitle="Valeur hors liste" error="Cette valeur n'est pas dans la liste. Choisissez-la avec la flèche à droite de la cellule." type="list" errorStyle="stop">
      <formula1>=L_Clients</formula1>
    </dataValidation>
    <dataValidation sqref="E6:E1505" showDropDown="0" showInputMessage="0" showErrorMessage="1" allowBlank="1" errorTitle="Nombre invalide" error="Saisissez un nombre strictement positif." type="decimal" errorStyle="stop" operator="greaterThan">
      <formula1>0</formula1>
    </dataValidation>
    <dataValidation sqref="F6:F1505" showDropDown="0" showInputMessage="0" showErrorMessage="1" allowBlank="1" errorTitle="Valeur hors liste" error="Cette valeur n'est pas dans la liste. Choisissez-la avec la flèche à droite de la cellule." type="list" errorStyle="stop">
      <formula1>=L_Paiement</formula1>
    </dataValidation>
    <dataValidation sqref="H6:H1505" showDropDown="0" showInputMessage="0" showErrorMessage="1" allowBlank="1" errorTitle="Valeur hors liste" error="Cette valeur n'est pas dans la liste. Choisissez-la avec la flèche à droite de la cellule." type="list" errorStyle="stop">
      <formula1>=L_OuiNon</formula1>
    </dataValidation>
    <dataValidation sqref="I6:I15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7.xml><?xml version="1.0" encoding="utf-8"?>
<worksheet xmlns="http://schemas.openxmlformats.org/spreadsheetml/2006/main">
  <sheetPr>
    <tabColor rgb="001F7A8C"/>
    <outlinePr summaryBelow="1" summaryRight="1"/>
    <pageSetUpPr fitToPage="1"/>
  </sheetPr>
  <dimension ref="A1:AN605"/>
  <sheetViews>
    <sheetView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2" customWidth="1" min="3" max="3"/>
    <col width="12" customWidth="1" min="4" max="4"/>
    <col width="26" customWidth="1" min="5" max="5"/>
    <col width="24" customWidth="1" min="6" max="6"/>
    <col width="16" customWidth="1" min="7" max="7"/>
    <col width="16" customWidth="1" min="8" max="8"/>
    <col width="20" customWidth="1" min="9" max="9"/>
    <col width="34" customWidth="1" min="10" max="10"/>
    <col width="11" customWidth="1" min="11" max="11"/>
    <col width="11" customWidth="1" min="12" max="12"/>
    <col width="24" customWidth="1" min="13" max="13"/>
    <col width="15" customWidth="1" min="14" max="14"/>
    <col width="16" customWidth="1" min="15" max="15"/>
    <col width="28" customWidth="1" min="16" max="16"/>
    <col width="14" customWidth="1" min="17" max="17"/>
    <col width="10" customWidth="1" min="18" max="18"/>
    <col width="18" customWidth="1" min="19" max="19"/>
    <col width="13" customWidth="1" min="20" max="20"/>
    <col width="12" customWidth="1" min="21" max="21"/>
    <col width="24" customWidth="1" min="22" max="22"/>
    <col width="36" customWidth="1" min="23" max="23"/>
    <col width="13" customWidth="1" min="24" max="24"/>
    <col width="14" customWidth="1" min="25" max="25"/>
    <col width="9" customWidth="1" min="26" max="26"/>
    <col width="12" customWidth="1" min="27" max="27"/>
    <col width="13" customWidth="1" min="28" max="28"/>
    <col width="28" customWidth="1" min="29" max="29"/>
    <col width="13" customWidth="1" min="30" max="30"/>
    <col width="12" customWidth="1" min="31" max="31"/>
    <col width="14" customWidth="1" min="32" max="32"/>
    <col width="14" customWidth="1" min="33" max="33"/>
    <col width="14" customWidth="1" min="34" max="34"/>
    <col width="20" customWidth="1" min="35" max="35"/>
    <col hidden="1" width="30" customWidth="1" min="36" max="36"/>
    <col hidden="1" width="14" customWidth="1" min="37" max="37"/>
    <col hidden="1" width="14" customWidth="1" min="38" max="38"/>
    <col hidden="1" width="14" customWidth="1" min="39" max="39"/>
    <col hidden="1" width="14" customWidth="1" min="40" max="40"/>
  </cols>
  <sheetData>
    <row r="1" ht="26" customHeight="1">
      <c r="A1" s="15" t="inlineStr">
        <is>
          <t>CLIENTS ET PROSPECTS — mon portefeuille</t>
        </is>
      </c>
    </row>
    <row r="2" ht="18" customHeight="1">
      <c r="A2" s="2" t="inlineStr">
        <is>
          <t>Une ligne par client ou prospect. Le statut devient « Client » tout seul à la première vente. Les colonnes grises se calculent seules.</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Nom de l'établissement ou de la personne</t>
        </is>
      </c>
      <c r="D4" s="30" t="inlineStr">
        <is>
          <t>Prospect → Client à la 1ère vente</t>
        </is>
      </c>
      <c r="E4" s="30" t="inlineStr">
        <is>
          <t>Liste</t>
        </is>
      </c>
      <c r="F4" s="30" t="inlineStr">
        <is>
          <t>Nom du contact</t>
        </is>
      </c>
      <c r="G4" s="30" t="inlineStr">
        <is>
          <t>9 chiffres ou +237…</t>
        </is>
      </c>
      <c r="H4" s="30" t="inlineStr">
        <is>
          <t>Facultatif</t>
        </is>
      </c>
      <c r="I4" s="30" t="inlineStr">
        <is>
          <t>Liste (ou autre quartier)</t>
        </is>
      </c>
      <c r="J4" s="30" t="inlineStr">
        <is>
          <t>Ex. face station, entrée marché…</t>
        </is>
      </c>
      <c r="K4" s="30" t="inlineStr">
        <is>
          <t>Facultatif (Google Maps)</t>
        </is>
      </c>
      <c r="L4" s="30" t="inlineStr">
        <is>
          <t>Facultatif (Google Maps)</t>
        </is>
      </c>
      <c r="M4" s="30" t="inlineStr">
        <is>
          <t>Liste</t>
        </is>
      </c>
      <c r="N4" s="30" t="inlineStr">
        <is>
          <t>Liste (prospects)</t>
        </is>
      </c>
      <c r="O4" s="30" t="inlineStr">
        <is>
          <t>Liste de dates</t>
        </is>
      </c>
      <c r="P4" s="30" t="inlineStr">
        <is>
          <t>Liste</t>
        </is>
      </c>
      <c r="Q4" s="30" t="inlineStr">
        <is>
          <t>Commande prévisionnelle / jour</t>
        </is>
      </c>
      <c r="R4" s="30" t="inlineStr">
        <is>
          <t>Selon le produit</t>
        </is>
      </c>
      <c r="S4" s="30" t="inlineStr">
        <is>
          <t>Liste</t>
        </is>
      </c>
      <c r="T4" s="30" t="inlineStr">
        <is>
          <t>Liste</t>
        </is>
      </c>
      <c r="U4" s="30" t="inlineStr">
        <is>
          <t>Liste</t>
        </is>
      </c>
      <c r="V4" s="30" t="inlineStr">
        <is>
          <t>Si perdu</t>
        </is>
      </c>
      <c r="W4" s="30" t="inlineStr">
        <is>
          <t>Libre</t>
        </is>
      </c>
      <c r="X4" s="30" t="inlineStr">
        <is>
          <t>Rempli seul (Paramètres) ; remplaçable</t>
        </is>
      </c>
      <c r="Y4" s="30" t="inlineStr">
        <is>
          <t>Calculé</t>
        </is>
      </c>
      <c r="Z4" s="30" t="inlineStr">
        <is>
          <t>Calculé</t>
        </is>
      </c>
      <c r="AA4" s="30" t="inlineStr">
        <is>
          <t>Calculé</t>
        </is>
      </c>
      <c r="AB4" s="30" t="inlineStr">
        <is>
          <t>Vient du dernier contact</t>
        </is>
      </c>
      <c r="AC4" s="30" t="inlineStr">
        <is>
          <t>Vient du dernier contact</t>
        </is>
      </c>
      <c r="AD4" s="30" t="inlineStr">
        <is>
          <t>Calculé : devient client</t>
        </is>
      </c>
      <c r="AE4" s="30" t="inlineStr">
        <is>
          <t>Calculé</t>
        </is>
      </c>
      <c r="AF4" s="30" t="inlineStr">
        <is>
          <t>Calculé</t>
        </is>
      </c>
      <c r="AG4" s="30" t="inlineStr">
        <is>
          <t>Calculé</t>
        </is>
      </c>
      <c r="AH4" s="30" t="inlineStr">
        <is>
          <t>CA − encaissé</t>
        </is>
      </c>
      <c r="AI4" s="30" t="inlineStr">
        <is>
          <t>Ce qui demande votre attention</t>
        </is>
      </c>
      <c r="AJ4" s="30" t="inlineStr">
        <is>
          <t>Technique</t>
        </is>
      </c>
      <c r="AK4" s="30" t="inlineStr">
        <is>
          <t>Technique</t>
        </is>
      </c>
      <c r="AL4" s="30" t="inlineStr">
        <is>
          <t>Technique</t>
        </is>
      </c>
      <c r="AM4" s="30" t="inlineStr">
        <is>
          <t>Technique</t>
        </is>
      </c>
      <c r="AN4" s="30" t="inlineStr">
        <is>
          <t>Technique</t>
        </is>
      </c>
    </row>
    <row r="5" ht="44" customHeight="1">
      <c r="A5" s="7" t="inlineStr">
        <is>
          <t>N°</t>
        </is>
      </c>
      <c r="B5" s="7" t="inlineStr">
        <is>
          <t>Code client</t>
        </is>
      </c>
      <c r="C5" s="31" t="inlineStr">
        <is>
          <t>Enseigne / nom du client</t>
        </is>
      </c>
      <c r="D5" s="7" t="inlineStr">
        <is>
          <t>Statut (automatique)</t>
        </is>
      </c>
      <c r="E5" s="31" t="inlineStr">
        <is>
          <t>Type de client</t>
        </is>
      </c>
      <c r="F5" s="31" t="inlineStr">
        <is>
          <t>Interlocuteur (personne à contacter)</t>
        </is>
      </c>
      <c r="G5" s="31" t="inlineStr">
        <is>
          <t>Téléphone principal</t>
        </is>
      </c>
      <c r="H5" s="31" t="inlineStr">
        <is>
          <t>Téléphone 2 / WhatsApp</t>
        </is>
      </c>
      <c r="I5" s="31" t="inlineStr">
        <is>
          <t>Quartier / zone</t>
        </is>
      </c>
      <c r="J5" s="31" t="inlineStr">
        <is>
          <t>Localisation précise / point de repère</t>
        </is>
      </c>
      <c r="K5" s="31" t="inlineStr">
        <is>
          <t>Latitude</t>
        </is>
      </c>
      <c r="L5" s="31" t="inlineStr">
        <is>
          <t>Longitude</t>
        </is>
      </c>
      <c r="M5" s="31" t="inlineStr">
        <is>
          <t>Source du prospect</t>
        </is>
      </c>
      <c r="N5" s="31" t="inlineStr">
        <is>
          <t>Étape du pipeline</t>
        </is>
      </c>
      <c r="O5" s="31" t="inlineStr">
        <is>
          <t>Date de création</t>
        </is>
      </c>
      <c r="P5" s="31" t="inlineStr">
        <is>
          <t>Produit principal d'intérêt</t>
        </is>
      </c>
      <c r="Q5" s="31" t="inlineStr">
        <is>
          <t>Potentiel estimé par jour (quantité)</t>
        </is>
      </c>
      <c r="R5" s="7" t="inlineStr">
        <is>
          <t>Unité</t>
        </is>
      </c>
      <c r="S5" s="31" t="inlineStr">
        <is>
          <t>Mode de paiement habituel</t>
        </is>
      </c>
      <c r="T5" s="31" t="inlineStr">
        <is>
          <t>Paiement différé demandé ?</t>
        </is>
      </c>
      <c r="U5" s="31" t="inlineStr">
        <is>
          <t>Compte perdu ?</t>
        </is>
      </c>
      <c r="V5" s="31" t="inlineStr">
        <is>
          <t>Motif de perte</t>
        </is>
      </c>
      <c r="W5" s="31" t="inlineStr">
        <is>
          <t>Observations</t>
        </is>
      </c>
      <c r="X5" s="7" t="inlineStr">
        <is>
          <t>Commercial</t>
        </is>
      </c>
      <c r="Y5" s="7" t="inlineStr">
        <is>
          <t>Particulier / entreprise</t>
        </is>
      </c>
      <c r="Z5" s="7" t="inlineStr">
        <is>
          <t>Nb de visites</t>
        </is>
      </c>
      <c r="AA5" s="7" t="inlineStr">
        <is>
          <t>Dernier contact</t>
        </is>
      </c>
      <c r="AB5" s="7" t="inlineStr">
        <is>
          <t>Prochaine action (date)</t>
        </is>
      </c>
      <c r="AC5" s="7" t="inlineStr">
        <is>
          <t>Prochaine action (à faire)</t>
        </is>
      </c>
      <c r="AD5" s="7" t="inlineStr">
        <is>
          <t>Date de la 1ère vente</t>
        </is>
      </c>
      <c r="AE5" s="7" t="inlineStr">
        <is>
          <t>Dernier achat</t>
        </is>
      </c>
      <c r="AF5" s="7" t="inlineStr">
        <is>
          <t>CA cumulé (XAF)</t>
        </is>
      </c>
      <c r="AG5" s="7" t="inlineStr">
        <is>
          <t>Encaissé (XAF)</t>
        </is>
      </c>
      <c r="AH5" s="7" t="inlineStr">
        <is>
          <t>Reste à encaisser (XAF)</t>
        </is>
      </c>
      <c r="AI5" s="7" t="inlineStr">
        <is>
          <t>Alerte</t>
        </is>
      </c>
      <c r="AJ5" s="7" t="inlineStr">
        <is>
          <t>Libellé (liste déroulante)</t>
        </is>
      </c>
      <c r="AK5" s="7" t="inlineStr">
        <is>
          <t>Clé client</t>
        </is>
      </c>
      <c r="AL5" s="7" t="inlineStr">
        <is>
          <t>Clé dernier contact</t>
        </is>
      </c>
      <c r="AM5" s="7" t="inlineStr">
        <is>
          <t>Clé prochaine action</t>
        </is>
      </c>
      <c r="AN5" s="7" t="inlineStr">
        <is>
          <t>Clé classement CA</t>
        </is>
      </c>
    </row>
    <row r="6" ht="18" customHeight="1">
      <c r="A6" s="39" t="n">
        <v>1</v>
      </c>
      <c r="B6" s="33">
        <f>IF(C6="","",IF(X6="À RENSEIGNER","GIC",X6)&amp;"-"&amp;TEXT(A6,"000"))</f>
        <v/>
      </c>
      <c r="C6" s="36" t="inlineStr">
        <is>
          <t>PDV PK12 (1)</t>
        </is>
      </c>
      <c r="D6" s="34">
        <f>IF(C6="","",IF(U6="☑ Oui","Perdu",IF(AD6&lt;&gt;"","Client","Prospect")))</f>
        <v/>
      </c>
      <c r="E6" s="36" t="inlineStr">
        <is>
          <t>Autre</t>
        </is>
      </c>
      <c r="F6" s="36" t="n"/>
      <c r="G6" s="44" t="inlineStr">
        <is>
          <t>677122395</t>
        </is>
      </c>
      <c r="H6" s="44" t="n"/>
      <c r="I6" s="36" t="inlineStr">
        <is>
          <t>PK12</t>
        </is>
      </c>
      <c r="J6" s="36" t="inlineStr">
        <is>
          <t>PK12</t>
        </is>
      </c>
      <c r="K6" s="41" t="n"/>
      <c r="L6" s="41" t="n"/>
      <c r="M6" s="36" t="inlineStr">
        <is>
          <t>Prospection terrain</t>
        </is>
      </c>
      <c r="N6" s="36" t="inlineStr">
        <is>
          <t>Nouveau</t>
        </is>
      </c>
      <c r="O6" s="32" t="n">
        <v>46266</v>
      </c>
      <c r="P6" s="36" t="n"/>
      <c r="Q6" s="36" t="n">
        <v>5</v>
      </c>
      <c r="R6" s="34">
        <f>IF(P6="","",IFERROR(VLOOKUP(P6,T_Produits,2,FALSE),""))</f>
        <v/>
      </c>
      <c r="S6" s="36" t="n"/>
      <c r="T6" s="43" t="n"/>
      <c r="U6" s="43" t="n"/>
      <c r="V6" s="36" t="n"/>
      <c r="W6" s="36" t="inlineStr">
        <is>
          <t>Repris de la fiche de septembre 2026 (semaine 1).</t>
        </is>
      </c>
      <c r="X6" s="33">
        <f>IF(C6="","",Commercial_Id)</f>
        <v/>
      </c>
      <c r="Y6" s="33">
        <f>IF(E6="","",IF(E6="Particulier / ménage","Particulier","Entreprise"))</f>
        <v/>
      </c>
      <c r="Z6" s="39">
        <f>IF(C6="","",COUNTIFS(VC_cle,AK6,VC_type,"Visite sur place"))</f>
        <v/>
      </c>
      <c r="AA6" s="46">
        <f>IF(AL6=0,"",IF(INT(AL6)=0,"",INT(AL6)))</f>
        <v/>
      </c>
      <c r="AB6" s="46">
        <f>IF(AL6=0,"",IF(INDEX(VC_actiondate,ROUND(MOD(AL6,1)*100000,0)-5)=0,"",INDEX(VC_actiondate,ROUND(MOD(AL6,1)*100000,0)-5)))</f>
        <v/>
      </c>
      <c r="AC6" s="33">
        <f>IF(AL6=0,"",INDEX(VC_actiontexte,ROUND(MOD(AL6,1)*100000,0)-5)&amp;"")</f>
        <v/>
      </c>
      <c r="AD6" s="46">
        <f>IF(C6="","",IF(COUNTIFS(Cmd_cle,AK6,Cmd_dateca,"&gt;0")=0,"",SMALL(INDEX(Cmd_dateca+(((Cmd_cle&lt;&gt;AK6)+(Cmd_dateca=0))&gt;0)*1000000,0),1)))</f>
        <v/>
      </c>
      <c r="AE6" s="46">
        <f>IF(C6="","",IF(COUNTIFS(Cmd_cle,AK6,Cmd_dateca,"&gt;0")=0,"",MAX(INDEX((Cmd_cle=AK6)*Cmd_dateca,0))))</f>
        <v/>
      </c>
      <c r="AF6" s="40">
        <f>IF(C6="","",SUMIFS(Cmd_montant,Cmd_cle,AK6,Cmd_dateca,"&gt;0"))</f>
        <v/>
      </c>
      <c r="AG6" s="40">
        <f>IF(C6="","",SUMIFS(Enc_montant,Enc_cle,AK6))</f>
        <v/>
      </c>
      <c r="AH6" s="40">
        <f>IF(C6="","",AF6-AG6)</f>
        <v/>
      </c>
      <c r="AI6" s="33">
        <f>IF(C6="","",IF(D6="Perdu","",IF(AND(AB6&lt;&gt;"",N(AB6)&lt;TODAY()),"Action en retard",IF(AND(D6="Client",AE6&lt;&gt;"",TODAY()-N(AE6)&gt;P_JoursInactif),"Client inactif",IF(AND(D6="Prospect",Z6=0,O6&lt;&gt;"",TODAY()-N(O6)&gt;P_JoursNonVisite),"Jamais visité","")))))</f>
        <v/>
      </c>
      <c r="AJ6" s="33">
        <f>IF(C6="","",C6&amp;" ["&amp;TEXT(A6,"000")&amp;"]")</f>
        <v/>
      </c>
      <c r="AK6" s="33">
        <f>IF(C6="","",X6&amp;"|"&amp;A6)</f>
        <v/>
      </c>
      <c r="AL6" s="47">
        <f>IF(C6="",0,IF(COUNTIFS(VC_cle,AK6)=0,0,MAX(INDEX((VC_cle=AK6)*(VC_date+ROW(VC_date)/100000),0))))</f>
        <v/>
      </c>
      <c r="AM6" s="47">
        <f>IF(AND(C6&lt;&gt;"",N(AB6)&gt;0,D6&lt;&gt;"Perdu"),AB6+ROW()/100000,0)</f>
        <v/>
      </c>
      <c r="AN6" s="48">
        <f>IF(N(AF6)&gt;0,ROUND(AF6,0)+ROW()/1000000,0)</f>
        <v/>
      </c>
    </row>
    <row r="7" ht="18" customHeight="1">
      <c r="A7" s="39" t="n">
        <v>2</v>
      </c>
      <c r="B7" s="33">
        <f>IF(C7="","",IF(X7="À RENSEIGNER","GIC",X7)&amp;"-"&amp;TEXT(A7,"000"))</f>
        <v/>
      </c>
      <c r="C7" s="36" t="inlineStr">
        <is>
          <t>PDV Logbessou, face UIG</t>
        </is>
      </c>
      <c r="D7" s="34">
        <f>IF(C7="","",IF(U7="☑ Oui","Perdu",IF(AD7&lt;&gt;"","Client","Prospect")))</f>
        <v/>
      </c>
      <c r="E7" s="36" t="inlineStr">
        <is>
          <t>Autre</t>
        </is>
      </c>
      <c r="F7" s="36" t="n"/>
      <c r="G7" s="44" t="inlineStr">
        <is>
          <t>691366088</t>
        </is>
      </c>
      <c r="H7" s="44" t="n"/>
      <c r="I7" s="36" t="inlineStr">
        <is>
          <t>Logbessou</t>
        </is>
      </c>
      <c r="J7" s="36" t="inlineStr">
        <is>
          <t>Logbessou, face UIG</t>
        </is>
      </c>
      <c r="K7" s="41" t="n"/>
      <c r="L7" s="41" t="n"/>
      <c r="M7" s="36" t="inlineStr">
        <is>
          <t>Prospection terrain</t>
        </is>
      </c>
      <c r="N7" s="36" t="inlineStr">
        <is>
          <t>Nouveau</t>
        </is>
      </c>
      <c r="O7" s="32" t="n">
        <v>46266</v>
      </c>
      <c r="P7" s="36" t="n"/>
      <c r="Q7" s="36" t="n">
        <v>4</v>
      </c>
      <c r="R7" s="34">
        <f>IF(P7="","",IFERROR(VLOOKUP(P7,T_Produits,2,FALSE),""))</f>
        <v/>
      </c>
      <c r="S7" s="36" t="n"/>
      <c r="T7" s="43" t="n"/>
      <c r="U7" s="43" t="n"/>
      <c r="V7" s="36" t="n"/>
      <c r="W7" s="36" t="inlineStr">
        <is>
          <t>Repris de la fiche de septembre 2026 (semaine 1).</t>
        </is>
      </c>
      <c r="X7" s="33">
        <f>IF(C7="","",Commercial_Id)</f>
        <v/>
      </c>
      <c r="Y7" s="33">
        <f>IF(E7="","",IF(E7="Particulier / ménage","Particulier","Entreprise"))</f>
        <v/>
      </c>
      <c r="Z7" s="39">
        <f>IF(C7="","",COUNTIFS(VC_cle,AK7,VC_type,"Visite sur place"))</f>
        <v/>
      </c>
      <c r="AA7" s="46">
        <f>IF(AL7=0,"",IF(INT(AL7)=0,"",INT(AL7)))</f>
        <v/>
      </c>
      <c r="AB7" s="46">
        <f>IF(AL7=0,"",IF(INDEX(VC_actiondate,ROUND(MOD(AL7,1)*100000,0)-5)=0,"",INDEX(VC_actiondate,ROUND(MOD(AL7,1)*100000,0)-5)))</f>
        <v/>
      </c>
      <c r="AC7" s="33">
        <f>IF(AL7=0,"",INDEX(VC_actiontexte,ROUND(MOD(AL7,1)*100000,0)-5)&amp;"")</f>
        <v/>
      </c>
      <c r="AD7" s="46">
        <f>IF(C7="","",IF(COUNTIFS(Cmd_cle,AK7,Cmd_dateca,"&gt;0")=0,"",SMALL(INDEX(Cmd_dateca+(((Cmd_cle&lt;&gt;AK7)+(Cmd_dateca=0))&gt;0)*1000000,0),1)))</f>
        <v/>
      </c>
      <c r="AE7" s="46">
        <f>IF(C7="","",IF(COUNTIFS(Cmd_cle,AK7,Cmd_dateca,"&gt;0")=0,"",MAX(INDEX((Cmd_cle=AK7)*Cmd_dateca,0))))</f>
        <v/>
      </c>
      <c r="AF7" s="40">
        <f>IF(C7="","",SUMIFS(Cmd_montant,Cmd_cle,AK7,Cmd_dateca,"&gt;0"))</f>
        <v/>
      </c>
      <c r="AG7" s="40">
        <f>IF(C7="","",SUMIFS(Enc_montant,Enc_cle,AK7))</f>
        <v/>
      </c>
      <c r="AH7" s="40">
        <f>IF(C7="","",AF7-AG7)</f>
        <v/>
      </c>
      <c r="AI7" s="33">
        <f>IF(C7="","",IF(D7="Perdu","",IF(AND(AB7&lt;&gt;"",N(AB7)&lt;TODAY()),"Action en retard",IF(AND(D7="Client",AE7&lt;&gt;"",TODAY()-N(AE7)&gt;P_JoursInactif),"Client inactif",IF(AND(D7="Prospect",Z7=0,O7&lt;&gt;"",TODAY()-N(O7)&gt;P_JoursNonVisite),"Jamais visité","")))))</f>
        <v/>
      </c>
      <c r="AJ7" s="33">
        <f>IF(C7="","",C7&amp;" ["&amp;TEXT(A7,"000")&amp;"]")</f>
        <v/>
      </c>
      <c r="AK7" s="33">
        <f>IF(C7="","",X7&amp;"|"&amp;A7)</f>
        <v/>
      </c>
      <c r="AL7" s="47">
        <f>IF(C7="",0,IF(COUNTIFS(VC_cle,AK7)=0,0,MAX(INDEX((VC_cle=AK7)*(VC_date+ROW(VC_date)/100000),0))))</f>
        <v/>
      </c>
      <c r="AM7" s="47">
        <f>IF(AND(C7&lt;&gt;"",N(AB7)&gt;0,D7&lt;&gt;"Perdu"),AB7+ROW()/100000,0)</f>
        <v/>
      </c>
      <c r="AN7" s="48">
        <f>IF(N(AF7)&gt;0,ROUND(AF7,0)+ROW()/1000000,0)</f>
        <v/>
      </c>
    </row>
    <row r="8" ht="18" customHeight="1">
      <c r="A8" s="39" t="n">
        <v>3</v>
      </c>
      <c r="B8" s="33">
        <f>IF(C8="","",IF(X8="À RENSEIGNER","GIC",X8)&amp;"-"&amp;TEXT(A8,"000"))</f>
        <v/>
      </c>
      <c r="C8" s="36" t="inlineStr">
        <is>
          <t>Marché Logpom</t>
        </is>
      </c>
      <c r="D8" s="34">
        <f>IF(C8="","",IF(U8="☑ Oui","Perdu",IF(AD8&lt;&gt;"","Client","Prospect")))</f>
        <v/>
      </c>
      <c r="E8" s="36" t="inlineStr">
        <is>
          <t>Revendeur / détaillant de marché</t>
        </is>
      </c>
      <c r="F8" s="36" t="n"/>
      <c r="G8" s="44" t="inlineStr">
        <is>
          <t>691002251</t>
        </is>
      </c>
      <c r="H8" s="44" t="n"/>
      <c r="I8" s="36" t="inlineStr">
        <is>
          <t>Logpom</t>
        </is>
      </c>
      <c r="J8" s="36" t="inlineStr">
        <is>
          <t>Marché Logpom</t>
        </is>
      </c>
      <c r="K8" s="41" t="n"/>
      <c r="L8" s="41" t="n"/>
      <c r="M8" s="36" t="inlineStr">
        <is>
          <t>Prospection terrain</t>
        </is>
      </c>
      <c r="N8" s="36" t="inlineStr">
        <is>
          <t>Nouveau</t>
        </is>
      </c>
      <c r="O8" s="32" t="n">
        <v>46266</v>
      </c>
      <c r="P8" s="36" t="n"/>
      <c r="Q8" s="36" t="n">
        <v>10</v>
      </c>
      <c r="R8" s="34">
        <f>IF(P8="","",IFERROR(VLOOKUP(P8,T_Produits,2,FALSE),""))</f>
        <v/>
      </c>
      <c r="S8" s="36" t="n"/>
      <c r="T8" s="43" t="n"/>
      <c r="U8" s="43" t="n"/>
      <c r="V8" s="36" t="n"/>
      <c r="W8" s="36" t="inlineStr">
        <is>
          <t>Repris de la fiche de septembre 2026 (semaine 1).</t>
        </is>
      </c>
      <c r="X8" s="33">
        <f>IF(C8="","",Commercial_Id)</f>
        <v/>
      </c>
      <c r="Y8" s="33">
        <f>IF(E8="","",IF(E8="Particulier / ménage","Particulier","Entreprise"))</f>
        <v/>
      </c>
      <c r="Z8" s="39">
        <f>IF(C8="","",COUNTIFS(VC_cle,AK8,VC_type,"Visite sur place"))</f>
        <v/>
      </c>
      <c r="AA8" s="46">
        <f>IF(AL8=0,"",IF(INT(AL8)=0,"",INT(AL8)))</f>
        <v/>
      </c>
      <c r="AB8" s="46">
        <f>IF(AL8=0,"",IF(INDEX(VC_actiondate,ROUND(MOD(AL8,1)*100000,0)-5)=0,"",INDEX(VC_actiondate,ROUND(MOD(AL8,1)*100000,0)-5)))</f>
        <v/>
      </c>
      <c r="AC8" s="33">
        <f>IF(AL8=0,"",INDEX(VC_actiontexte,ROUND(MOD(AL8,1)*100000,0)-5)&amp;"")</f>
        <v/>
      </c>
      <c r="AD8" s="46">
        <f>IF(C8="","",IF(COUNTIFS(Cmd_cle,AK8,Cmd_dateca,"&gt;0")=0,"",SMALL(INDEX(Cmd_dateca+(((Cmd_cle&lt;&gt;AK8)+(Cmd_dateca=0))&gt;0)*1000000,0),1)))</f>
        <v/>
      </c>
      <c r="AE8" s="46">
        <f>IF(C8="","",IF(COUNTIFS(Cmd_cle,AK8,Cmd_dateca,"&gt;0")=0,"",MAX(INDEX((Cmd_cle=AK8)*Cmd_dateca,0))))</f>
        <v/>
      </c>
      <c r="AF8" s="40">
        <f>IF(C8="","",SUMIFS(Cmd_montant,Cmd_cle,AK8,Cmd_dateca,"&gt;0"))</f>
        <v/>
      </c>
      <c r="AG8" s="40">
        <f>IF(C8="","",SUMIFS(Enc_montant,Enc_cle,AK8))</f>
        <v/>
      </c>
      <c r="AH8" s="40">
        <f>IF(C8="","",AF8-AG8)</f>
        <v/>
      </c>
      <c r="AI8" s="33">
        <f>IF(C8="","",IF(D8="Perdu","",IF(AND(AB8&lt;&gt;"",N(AB8)&lt;TODAY()),"Action en retard",IF(AND(D8="Client",AE8&lt;&gt;"",TODAY()-N(AE8)&gt;P_JoursInactif),"Client inactif",IF(AND(D8="Prospect",Z8=0,O8&lt;&gt;"",TODAY()-N(O8)&gt;P_JoursNonVisite),"Jamais visité","")))))</f>
        <v/>
      </c>
      <c r="AJ8" s="33">
        <f>IF(C8="","",C8&amp;" ["&amp;TEXT(A8,"000")&amp;"]")</f>
        <v/>
      </c>
      <c r="AK8" s="33">
        <f>IF(C8="","",X8&amp;"|"&amp;A8)</f>
        <v/>
      </c>
      <c r="AL8" s="47">
        <f>IF(C8="",0,IF(COUNTIFS(VC_cle,AK8)=0,0,MAX(INDEX((VC_cle=AK8)*(VC_date+ROW(VC_date)/100000),0))))</f>
        <v/>
      </c>
      <c r="AM8" s="47">
        <f>IF(AND(C8&lt;&gt;"",N(AB8)&gt;0,D8&lt;&gt;"Perdu"),AB8+ROW()/100000,0)</f>
        <v/>
      </c>
      <c r="AN8" s="48">
        <f>IF(N(AF8)&gt;0,ROUND(AF8,0)+ROW()/1000000,0)</f>
        <v/>
      </c>
    </row>
    <row r="9" ht="18" customHeight="1">
      <c r="A9" s="39" t="n">
        <v>4</v>
      </c>
      <c r="B9" s="33">
        <f>IF(C9="","",IF(X9="À RENSEIGNER","GIC",X9)&amp;"-"&amp;TEXT(A9,"000"))</f>
        <v/>
      </c>
      <c r="C9" s="36" t="inlineStr">
        <is>
          <t>PDV Logbessou, église</t>
        </is>
      </c>
      <c r="D9" s="34">
        <f>IF(C9="","",IF(U9="☑ Oui","Perdu",IF(AD9&lt;&gt;"","Client","Prospect")))</f>
        <v/>
      </c>
      <c r="E9" s="36" t="inlineStr">
        <is>
          <t>Autre</t>
        </is>
      </c>
      <c r="F9" s="36" t="n"/>
      <c r="G9" s="44" t="inlineStr">
        <is>
          <t>672338633</t>
        </is>
      </c>
      <c r="H9" s="44" t="n"/>
      <c r="I9" s="36" t="inlineStr">
        <is>
          <t>Logbessou</t>
        </is>
      </c>
      <c r="J9" s="36" t="inlineStr">
        <is>
          <t>Logbessou, église</t>
        </is>
      </c>
      <c r="K9" s="41" t="n"/>
      <c r="L9" s="41" t="n"/>
      <c r="M9" s="36" t="inlineStr">
        <is>
          <t>Prospection terrain</t>
        </is>
      </c>
      <c r="N9" s="36" t="inlineStr">
        <is>
          <t>Nouveau</t>
        </is>
      </c>
      <c r="O9" s="32" t="n">
        <v>46266</v>
      </c>
      <c r="P9" s="36" t="n"/>
      <c r="Q9" s="36" t="n">
        <v>5</v>
      </c>
      <c r="R9" s="34">
        <f>IF(P9="","",IFERROR(VLOOKUP(P9,T_Produits,2,FALSE),""))</f>
        <v/>
      </c>
      <c r="S9" s="36" t="n"/>
      <c r="T9" s="43" t="n"/>
      <c r="U9" s="43" t="n"/>
      <c r="V9" s="36" t="n"/>
      <c r="W9" s="36" t="inlineStr">
        <is>
          <t>Repris de la fiche de septembre 2026 (semaine 1).</t>
        </is>
      </c>
      <c r="X9" s="33">
        <f>IF(C9="","",Commercial_Id)</f>
        <v/>
      </c>
      <c r="Y9" s="33">
        <f>IF(E9="","",IF(E9="Particulier / ménage","Particulier","Entreprise"))</f>
        <v/>
      </c>
      <c r="Z9" s="39">
        <f>IF(C9="","",COUNTIFS(VC_cle,AK9,VC_type,"Visite sur place"))</f>
        <v/>
      </c>
      <c r="AA9" s="46">
        <f>IF(AL9=0,"",IF(INT(AL9)=0,"",INT(AL9)))</f>
        <v/>
      </c>
      <c r="AB9" s="46">
        <f>IF(AL9=0,"",IF(INDEX(VC_actiondate,ROUND(MOD(AL9,1)*100000,0)-5)=0,"",INDEX(VC_actiondate,ROUND(MOD(AL9,1)*100000,0)-5)))</f>
        <v/>
      </c>
      <c r="AC9" s="33">
        <f>IF(AL9=0,"",INDEX(VC_actiontexte,ROUND(MOD(AL9,1)*100000,0)-5)&amp;"")</f>
        <v/>
      </c>
      <c r="AD9" s="46">
        <f>IF(C9="","",IF(COUNTIFS(Cmd_cle,AK9,Cmd_dateca,"&gt;0")=0,"",SMALL(INDEX(Cmd_dateca+(((Cmd_cle&lt;&gt;AK9)+(Cmd_dateca=0))&gt;0)*1000000,0),1)))</f>
        <v/>
      </c>
      <c r="AE9" s="46">
        <f>IF(C9="","",IF(COUNTIFS(Cmd_cle,AK9,Cmd_dateca,"&gt;0")=0,"",MAX(INDEX((Cmd_cle=AK9)*Cmd_dateca,0))))</f>
        <v/>
      </c>
      <c r="AF9" s="40">
        <f>IF(C9="","",SUMIFS(Cmd_montant,Cmd_cle,AK9,Cmd_dateca,"&gt;0"))</f>
        <v/>
      </c>
      <c r="AG9" s="40">
        <f>IF(C9="","",SUMIFS(Enc_montant,Enc_cle,AK9))</f>
        <v/>
      </c>
      <c r="AH9" s="40">
        <f>IF(C9="","",AF9-AG9)</f>
        <v/>
      </c>
      <c r="AI9" s="33">
        <f>IF(C9="","",IF(D9="Perdu","",IF(AND(AB9&lt;&gt;"",N(AB9)&lt;TODAY()),"Action en retard",IF(AND(D9="Client",AE9&lt;&gt;"",TODAY()-N(AE9)&gt;P_JoursInactif),"Client inactif",IF(AND(D9="Prospect",Z9=0,O9&lt;&gt;"",TODAY()-N(O9)&gt;P_JoursNonVisite),"Jamais visité","")))))</f>
        <v/>
      </c>
      <c r="AJ9" s="33">
        <f>IF(C9="","",C9&amp;" ["&amp;TEXT(A9,"000")&amp;"]")</f>
        <v/>
      </c>
      <c r="AK9" s="33">
        <f>IF(C9="","",X9&amp;"|"&amp;A9)</f>
        <v/>
      </c>
      <c r="AL9" s="47">
        <f>IF(C9="",0,IF(COUNTIFS(VC_cle,AK9)=0,0,MAX(INDEX((VC_cle=AK9)*(VC_date+ROW(VC_date)/100000),0))))</f>
        <v/>
      </c>
      <c r="AM9" s="47">
        <f>IF(AND(C9&lt;&gt;"",N(AB9)&gt;0,D9&lt;&gt;"Perdu"),AB9+ROW()/100000,0)</f>
        <v/>
      </c>
      <c r="AN9" s="48">
        <f>IF(N(AF9)&gt;0,ROUND(AF9,0)+ROW()/1000000,0)</f>
        <v/>
      </c>
    </row>
    <row r="10" ht="18" customHeight="1">
      <c r="A10" s="39" t="n">
        <v>5</v>
      </c>
      <c r="B10" s="33">
        <f>IF(C10="","",IF(X10="À RENSEIGNER","GIC",X10)&amp;"-"&amp;TEXT(A10,"000"))</f>
        <v/>
      </c>
      <c r="C10" s="36" t="inlineStr">
        <is>
          <t>PDV PK12 (2)</t>
        </is>
      </c>
      <c r="D10" s="34">
        <f>IF(C10="","",IF(U10="☑ Oui","Perdu",IF(AD10&lt;&gt;"","Client","Prospect")))</f>
        <v/>
      </c>
      <c r="E10" s="36" t="inlineStr">
        <is>
          <t>Autre</t>
        </is>
      </c>
      <c r="F10" s="36" t="n"/>
      <c r="G10" s="44" t="inlineStr">
        <is>
          <t>693434196</t>
        </is>
      </c>
      <c r="H10" s="44" t="n"/>
      <c r="I10" s="36" t="inlineStr">
        <is>
          <t>PK12</t>
        </is>
      </c>
      <c r="J10" s="36" t="inlineStr">
        <is>
          <t>PK12</t>
        </is>
      </c>
      <c r="K10" s="41" t="n"/>
      <c r="L10" s="41" t="n"/>
      <c r="M10" s="36" t="inlineStr">
        <is>
          <t>Prospection terrain</t>
        </is>
      </c>
      <c r="N10" s="36" t="inlineStr">
        <is>
          <t>Nouveau</t>
        </is>
      </c>
      <c r="O10" s="32" t="n">
        <v>46266</v>
      </c>
      <c r="P10" s="36" t="n"/>
      <c r="Q10" s="36" t="n">
        <v>7</v>
      </c>
      <c r="R10" s="34">
        <f>IF(P10="","",IFERROR(VLOOKUP(P10,T_Produits,2,FALSE),""))</f>
        <v/>
      </c>
      <c r="S10" s="36" t="n"/>
      <c r="T10" s="43" t="n"/>
      <c r="U10" s="43" t="n"/>
      <c r="V10" s="36" t="n"/>
      <c r="W10" s="36" t="inlineStr">
        <is>
          <t>Repris de la fiche de septembre 2026 (semaine 1).</t>
        </is>
      </c>
      <c r="X10" s="33">
        <f>IF(C10="","",Commercial_Id)</f>
        <v/>
      </c>
      <c r="Y10" s="33">
        <f>IF(E10="","",IF(E10="Particulier / ménage","Particulier","Entreprise"))</f>
        <v/>
      </c>
      <c r="Z10" s="39">
        <f>IF(C10="","",COUNTIFS(VC_cle,AK10,VC_type,"Visite sur place"))</f>
        <v/>
      </c>
      <c r="AA10" s="46">
        <f>IF(AL10=0,"",IF(INT(AL10)=0,"",INT(AL10)))</f>
        <v/>
      </c>
      <c r="AB10" s="46">
        <f>IF(AL10=0,"",IF(INDEX(VC_actiondate,ROUND(MOD(AL10,1)*100000,0)-5)=0,"",INDEX(VC_actiondate,ROUND(MOD(AL10,1)*100000,0)-5)))</f>
        <v/>
      </c>
      <c r="AC10" s="33">
        <f>IF(AL10=0,"",INDEX(VC_actiontexte,ROUND(MOD(AL10,1)*100000,0)-5)&amp;"")</f>
        <v/>
      </c>
      <c r="AD10" s="46">
        <f>IF(C10="","",IF(COUNTIFS(Cmd_cle,AK10,Cmd_dateca,"&gt;0")=0,"",SMALL(INDEX(Cmd_dateca+(((Cmd_cle&lt;&gt;AK10)+(Cmd_dateca=0))&gt;0)*1000000,0),1)))</f>
        <v/>
      </c>
      <c r="AE10" s="46">
        <f>IF(C10="","",IF(COUNTIFS(Cmd_cle,AK10,Cmd_dateca,"&gt;0")=0,"",MAX(INDEX((Cmd_cle=AK10)*Cmd_dateca,0))))</f>
        <v/>
      </c>
      <c r="AF10" s="40">
        <f>IF(C10="","",SUMIFS(Cmd_montant,Cmd_cle,AK10,Cmd_dateca,"&gt;0"))</f>
        <v/>
      </c>
      <c r="AG10" s="40">
        <f>IF(C10="","",SUMIFS(Enc_montant,Enc_cle,AK10))</f>
        <v/>
      </c>
      <c r="AH10" s="40">
        <f>IF(C10="","",AF10-AG10)</f>
        <v/>
      </c>
      <c r="AI10" s="33">
        <f>IF(C10="","",IF(D10="Perdu","",IF(AND(AB10&lt;&gt;"",N(AB10)&lt;TODAY()),"Action en retard",IF(AND(D10="Client",AE10&lt;&gt;"",TODAY()-N(AE10)&gt;P_JoursInactif),"Client inactif",IF(AND(D10="Prospect",Z10=0,O10&lt;&gt;"",TODAY()-N(O10)&gt;P_JoursNonVisite),"Jamais visité","")))))</f>
        <v/>
      </c>
      <c r="AJ10" s="33">
        <f>IF(C10="","",C10&amp;" ["&amp;TEXT(A10,"000")&amp;"]")</f>
        <v/>
      </c>
      <c r="AK10" s="33">
        <f>IF(C10="","",X10&amp;"|"&amp;A10)</f>
        <v/>
      </c>
      <c r="AL10" s="47">
        <f>IF(C10="",0,IF(COUNTIFS(VC_cle,AK10)=0,0,MAX(INDEX((VC_cle=AK10)*(VC_date+ROW(VC_date)/100000),0))))</f>
        <v/>
      </c>
      <c r="AM10" s="47">
        <f>IF(AND(C10&lt;&gt;"",N(AB10)&gt;0,D10&lt;&gt;"Perdu"),AB10+ROW()/100000,0)</f>
        <v/>
      </c>
      <c r="AN10" s="48">
        <f>IF(N(AF10)&gt;0,ROUND(AF10,0)+ROW()/1000000,0)</f>
        <v/>
      </c>
    </row>
    <row r="11" ht="18" customHeight="1">
      <c r="A11" s="39" t="n">
        <v>6</v>
      </c>
      <c r="B11" s="33">
        <f>IF(C11="","",IF(X11="À RENSEIGNER","GIC",X11)&amp;"-"&amp;TEXT(A11,"000"))</f>
        <v/>
      </c>
      <c r="C11" s="36" t="inlineStr">
        <is>
          <t>Boulangerie La Paix</t>
        </is>
      </c>
      <c r="D11" s="34">
        <f>IF(C11="","",IF(U11="☑ Oui","Perdu",IF(AD11&lt;&gt;"","Client","Prospect")))</f>
        <v/>
      </c>
      <c r="E11" s="36" t="inlineStr">
        <is>
          <t>Boulangerie / pâtisserie</t>
        </is>
      </c>
      <c r="F11" s="36" t="n"/>
      <c r="G11" s="44" t="inlineStr">
        <is>
          <t>677701241</t>
        </is>
      </c>
      <c r="H11" s="44" t="n"/>
      <c r="I11" s="36" t="n"/>
      <c r="J11" s="36" t="inlineStr">
        <is>
          <t>La Paix</t>
        </is>
      </c>
      <c r="K11" s="41" t="n"/>
      <c r="L11" s="41" t="n"/>
      <c r="M11" s="36" t="inlineStr">
        <is>
          <t>Prospection terrain</t>
        </is>
      </c>
      <c r="N11" s="36" t="inlineStr">
        <is>
          <t>Nouveau</t>
        </is>
      </c>
      <c r="O11" s="32" t="n">
        <v>46266</v>
      </c>
      <c r="P11" s="36" t="n"/>
      <c r="Q11" s="36" t="n">
        <v>15</v>
      </c>
      <c r="R11" s="34">
        <f>IF(P11="","",IFERROR(VLOOKUP(P11,T_Produits,2,FALSE),""))</f>
        <v/>
      </c>
      <c r="S11" s="36" t="n"/>
      <c r="T11" s="43" t="n"/>
      <c r="U11" s="43" t="n"/>
      <c r="V11" s="36" t="n"/>
      <c r="W11" s="36" t="inlineStr">
        <is>
          <t>Repris de la fiche de septembre 2026 (semaine 1).</t>
        </is>
      </c>
      <c r="X11" s="33">
        <f>IF(C11="","",Commercial_Id)</f>
        <v/>
      </c>
      <c r="Y11" s="33">
        <f>IF(E11="","",IF(E11="Particulier / ménage","Particulier","Entreprise"))</f>
        <v/>
      </c>
      <c r="Z11" s="39">
        <f>IF(C11="","",COUNTIFS(VC_cle,AK11,VC_type,"Visite sur place"))</f>
        <v/>
      </c>
      <c r="AA11" s="46">
        <f>IF(AL11=0,"",IF(INT(AL11)=0,"",INT(AL11)))</f>
        <v/>
      </c>
      <c r="AB11" s="46">
        <f>IF(AL11=0,"",IF(INDEX(VC_actiondate,ROUND(MOD(AL11,1)*100000,0)-5)=0,"",INDEX(VC_actiondate,ROUND(MOD(AL11,1)*100000,0)-5)))</f>
        <v/>
      </c>
      <c r="AC11" s="33">
        <f>IF(AL11=0,"",INDEX(VC_actiontexte,ROUND(MOD(AL11,1)*100000,0)-5)&amp;"")</f>
        <v/>
      </c>
      <c r="AD11" s="46">
        <f>IF(C11="","",IF(COUNTIFS(Cmd_cle,AK11,Cmd_dateca,"&gt;0")=0,"",SMALL(INDEX(Cmd_dateca+(((Cmd_cle&lt;&gt;AK11)+(Cmd_dateca=0))&gt;0)*1000000,0),1)))</f>
        <v/>
      </c>
      <c r="AE11" s="46">
        <f>IF(C11="","",IF(COUNTIFS(Cmd_cle,AK11,Cmd_dateca,"&gt;0")=0,"",MAX(INDEX((Cmd_cle=AK11)*Cmd_dateca,0))))</f>
        <v/>
      </c>
      <c r="AF11" s="40">
        <f>IF(C11="","",SUMIFS(Cmd_montant,Cmd_cle,AK11,Cmd_dateca,"&gt;0"))</f>
        <v/>
      </c>
      <c r="AG11" s="40">
        <f>IF(C11="","",SUMIFS(Enc_montant,Enc_cle,AK11))</f>
        <v/>
      </c>
      <c r="AH11" s="40">
        <f>IF(C11="","",AF11-AG11)</f>
        <v/>
      </c>
      <c r="AI11" s="33">
        <f>IF(C11="","",IF(D11="Perdu","",IF(AND(AB11&lt;&gt;"",N(AB11)&lt;TODAY()),"Action en retard",IF(AND(D11="Client",AE11&lt;&gt;"",TODAY()-N(AE11)&gt;P_JoursInactif),"Client inactif",IF(AND(D11="Prospect",Z11=0,O11&lt;&gt;"",TODAY()-N(O11)&gt;P_JoursNonVisite),"Jamais visité","")))))</f>
        <v/>
      </c>
      <c r="AJ11" s="33">
        <f>IF(C11="","",C11&amp;" ["&amp;TEXT(A11,"000")&amp;"]")</f>
        <v/>
      </c>
      <c r="AK11" s="33">
        <f>IF(C11="","",X11&amp;"|"&amp;A11)</f>
        <v/>
      </c>
      <c r="AL11" s="47">
        <f>IF(C11="",0,IF(COUNTIFS(VC_cle,AK11)=0,0,MAX(INDEX((VC_cle=AK11)*(VC_date+ROW(VC_date)/100000),0))))</f>
        <v/>
      </c>
      <c r="AM11" s="47">
        <f>IF(AND(C11&lt;&gt;"",N(AB11)&gt;0,D11&lt;&gt;"Perdu"),AB11+ROW()/100000,0)</f>
        <v/>
      </c>
      <c r="AN11" s="48">
        <f>IF(N(AF11)&gt;0,ROUND(AF11,0)+ROW()/1000000,0)</f>
        <v/>
      </c>
    </row>
    <row r="12" ht="18" customHeight="1">
      <c r="A12" s="39" t="n">
        <v>7</v>
      </c>
      <c r="B12" s="33">
        <f>IF(C12="","",IF(X12="À RENSEIGNER","GIC",X12)&amp;"-"&amp;TEXT(A12,"000"))</f>
        <v/>
      </c>
      <c r="C12" s="36" t="inlineStr">
        <is>
          <t>PDV Entrée UIT</t>
        </is>
      </c>
      <c r="D12" s="34">
        <f>IF(C12="","",IF(U12="☑ Oui","Perdu",IF(AD12&lt;&gt;"","Client","Prospect")))</f>
        <v/>
      </c>
      <c r="E12" s="36" t="inlineStr">
        <is>
          <t>Autre</t>
        </is>
      </c>
      <c r="F12" s="36" t="n"/>
      <c r="G12" s="44" t="inlineStr">
        <is>
          <t>687124842</t>
        </is>
      </c>
      <c r="H12" s="44" t="n"/>
      <c r="I12" s="36" t="n"/>
      <c r="J12" s="36" t="inlineStr">
        <is>
          <t>Entrée UIT</t>
        </is>
      </c>
      <c r="K12" s="41" t="n"/>
      <c r="L12" s="41" t="n"/>
      <c r="M12" s="36" t="inlineStr">
        <is>
          <t>Prospection terrain</t>
        </is>
      </c>
      <c r="N12" s="36" t="inlineStr">
        <is>
          <t>Nouveau</t>
        </is>
      </c>
      <c r="O12" s="32" t="n">
        <v>46266</v>
      </c>
      <c r="P12" s="36" t="n"/>
      <c r="Q12" s="36" t="n">
        <v>5</v>
      </c>
      <c r="R12" s="34">
        <f>IF(P12="","",IFERROR(VLOOKUP(P12,T_Produits,2,FALSE),""))</f>
        <v/>
      </c>
      <c r="S12" s="36" t="n"/>
      <c r="T12" s="43" t="n"/>
      <c r="U12" s="43" t="n"/>
      <c r="V12" s="36" t="n"/>
      <c r="W12" s="36" t="inlineStr">
        <is>
          <t>Repris de la fiche de septembre 2026 (semaine 1).</t>
        </is>
      </c>
      <c r="X12" s="33">
        <f>IF(C12="","",Commercial_Id)</f>
        <v/>
      </c>
      <c r="Y12" s="33">
        <f>IF(E12="","",IF(E12="Particulier / ménage","Particulier","Entreprise"))</f>
        <v/>
      </c>
      <c r="Z12" s="39">
        <f>IF(C12="","",COUNTIFS(VC_cle,AK12,VC_type,"Visite sur place"))</f>
        <v/>
      </c>
      <c r="AA12" s="46">
        <f>IF(AL12=0,"",IF(INT(AL12)=0,"",INT(AL12)))</f>
        <v/>
      </c>
      <c r="AB12" s="46">
        <f>IF(AL12=0,"",IF(INDEX(VC_actiondate,ROUND(MOD(AL12,1)*100000,0)-5)=0,"",INDEX(VC_actiondate,ROUND(MOD(AL12,1)*100000,0)-5)))</f>
        <v/>
      </c>
      <c r="AC12" s="33">
        <f>IF(AL12=0,"",INDEX(VC_actiontexte,ROUND(MOD(AL12,1)*100000,0)-5)&amp;"")</f>
        <v/>
      </c>
      <c r="AD12" s="46">
        <f>IF(C12="","",IF(COUNTIFS(Cmd_cle,AK12,Cmd_dateca,"&gt;0")=0,"",SMALL(INDEX(Cmd_dateca+(((Cmd_cle&lt;&gt;AK12)+(Cmd_dateca=0))&gt;0)*1000000,0),1)))</f>
        <v/>
      </c>
      <c r="AE12" s="46">
        <f>IF(C12="","",IF(COUNTIFS(Cmd_cle,AK12,Cmd_dateca,"&gt;0")=0,"",MAX(INDEX((Cmd_cle=AK12)*Cmd_dateca,0))))</f>
        <v/>
      </c>
      <c r="AF12" s="40">
        <f>IF(C12="","",SUMIFS(Cmd_montant,Cmd_cle,AK12,Cmd_dateca,"&gt;0"))</f>
        <v/>
      </c>
      <c r="AG12" s="40">
        <f>IF(C12="","",SUMIFS(Enc_montant,Enc_cle,AK12))</f>
        <v/>
      </c>
      <c r="AH12" s="40">
        <f>IF(C12="","",AF12-AG12)</f>
        <v/>
      </c>
      <c r="AI12" s="33">
        <f>IF(C12="","",IF(D12="Perdu","",IF(AND(AB12&lt;&gt;"",N(AB12)&lt;TODAY()),"Action en retard",IF(AND(D12="Client",AE12&lt;&gt;"",TODAY()-N(AE12)&gt;P_JoursInactif),"Client inactif",IF(AND(D12="Prospect",Z12=0,O12&lt;&gt;"",TODAY()-N(O12)&gt;P_JoursNonVisite),"Jamais visité","")))))</f>
        <v/>
      </c>
      <c r="AJ12" s="33">
        <f>IF(C12="","",C12&amp;" ["&amp;TEXT(A12,"000")&amp;"]")</f>
        <v/>
      </c>
      <c r="AK12" s="33">
        <f>IF(C12="","",X12&amp;"|"&amp;A12)</f>
        <v/>
      </c>
      <c r="AL12" s="47">
        <f>IF(C12="",0,IF(COUNTIFS(VC_cle,AK12)=0,0,MAX(INDEX((VC_cle=AK12)*(VC_date+ROW(VC_date)/100000),0))))</f>
        <v/>
      </c>
      <c r="AM12" s="47">
        <f>IF(AND(C12&lt;&gt;"",N(AB12)&gt;0,D12&lt;&gt;"Perdu"),AB12+ROW()/100000,0)</f>
        <v/>
      </c>
      <c r="AN12" s="48">
        <f>IF(N(AF12)&gt;0,ROUND(AF12,0)+ROW()/1000000,0)</f>
        <v/>
      </c>
    </row>
    <row r="13" ht="18" customHeight="1">
      <c r="A13" s="39" t="n">
        <v>8</v>
      </c>
      <c r="B13" s="33">
        <f>IF(C13="","",IF(X13="À RENSEIGNER","GIC",X13)&amp;"-"&amp;TEXT(A13,"000"))</f>
        <v/>
      </c>
      <c r="C13" s="36" t="inlineStr">
        <is>
          <t>PDV IPH</t>
        </is>
      </c>
      <c r="D13" s="34">
        <f>IF(C13="","",IF(U13="☑ Oui","Perdu",IF(AD13&lt;&gt;"","Client","Prospect")))</f>
        <v/>
      </c>
      <c r="E13" s="36" t="inlineStr">
        <is>
          <t>Autre</t>
        </is>
      </c>
      <c r="F13" s="36" t="n"/>
      <c r="G13" s="44" t="inlineStr">
        <is>
          <t>695612579</t>
        </is>
      </c>
      <c r="H13" s="44" t="n"/>
      <c r="I13" s="36" t="n"/>
      <c r="J13" s="36" t="inlineStr">
        <is>
          <t>IPH</t>
        </is>
      </c>
      <c r="K13" s="41" t="n"/>
      <c r="L13" s="41" t="n"/>
      <c r="M13" s="36" t="inlineStr">
        <is>
          <t>Prospection terrain</t>
        </is>
      </c>
      <c r="N13" s="36" t="inlineStr">
        <is>
          <t>Nouveau</t>
        </is>
      </c>
      <c r="O13" s="32" t="n">
        <v>46272</v>
      </c>
      <c r="P13" s="36" t="n"/>
      <c r="Q13" s="36" t="n">
        <v>5</v>
      </c>
      <c r="R13" s="34">
        <f>IF(P13="","",IFERROR(VLOOKUP(P13,T_Produits,2,FALSE),""))</f>
        <v/>
      </c>
      <c r="S13" s="36" t="n"/>
      <c r="T13" s="43" t="n"/>
      <c r="U13" s="43" t="n"/>
      <c r="V13" s="36" t="n"/>
      <c r="W13" s="36" t="inlineStr">
        <is>
          <t>Repris de la fiche de septembre 2026 (semaine 2).</t>
        </is>
      </c>
      <c r="X13" s="33">
        <f>IF(C13="","",Commercial_Id)</f>
        <v/>
      </c>
      <c r="Y13" s="33">
        <f>IF(E13="","",IF(E13="Particulier / ménage","Particulier","Entreprise"))</f>
        <v/>
      </c>
      <c r="Z13" s="39">
        <f>IF(C13="","",COUNTIFS(VC_cle,AK13,VC_type,"Visite sur place"))</f>
        <v/>
      </c>
      <c r="AA13" s="46">
        <f>IF(AL13=0,"",IF(INT(AL13)=0,"",INT(AL13)))</f>
        <v/>
      </c>
      <c r="AB13" s="46">
        <f>IF(AL13=0,"",IF(INDEX(VC_actiondate,ROUND(MOD(AL13,1)*100000,0)-5)=0,"",INDEX(VC_actiondate,ROUND(MOD(AL13,1)*100000,0)-5)))</f>
        <v/>
      </c>
      <c r="AC13" s="33">
        <f>IF(AL13=0,"",INDEX(VC_actiontexte,ROUND(MOD(AL13,1)*100000,0)-5)&amp;"")</f>
        <v/>
      </c>
      <c r="AD13" s="46">
        <f>IF(C13="","",IF(COUNTIFS(Cmd_cle,AK13,Cmd_dateca,"&gt;0")=0,"",SMALL(INDEX(Cmd_dateca+(((Cmd_cle&lt;&gt;AK13)+(Cmd_dateca=0))&gt;0)*1000000,0),1)))</f>
        <v/>
      </c>
      <c r="AE13" s="46">
        <f>IF(C13="","",IF(COUNTIFS(Cmd_cle,AK13,Cmd_dateca,"&gt;0")=0,"",MAX(INDEX((Cmd_cle=AK13)*Cmd_dateca,0))))</f>
        <v/>
      </c>
      <c r="AF13" s="40">
        <f>IF(C13="","",SUMIFS(Cmd_montant,Cmd_cle,AK13,Cmd_dateca,"&gt;0"))</f>
        <v/>
      </c>
      <c r="AG13" s="40">
        <f>IF(C13="","",SUMIFS(Enc_montant,Enc_cle,AK13))</f>
        <v/>
      </c>
      <c r="AH13" s="40">
        <f>IF(C13="","",AF13-AG13)</f>
        <v/>
      </c>
      <c r="AI13" s="33">
        <f>IF(C13="","",IF(D13="Perdu","",IF(AND(AB13&lt;&gt;"",N(AB13)&lt;TODAY()),"Action en retard",IF(AND(D13="Client",AE13&lt;&gt;"",TODAY()-N(AE13)&gt;P_JoursInactif),"Client inactif",IF(AND(D13="Prospect",Z13=0,O13&lt;&gt;"",TODAY()-N(O13)&gt;P_JoursNonVisite),"Jamais visité","")))))</f>
        <v/>
      </c>
      <c r="AJ13" s="33">
        <f>IF(C13="","",C13&amp;" ["&amp;TEXT(A13,"000")&amp;"]")</f>
        <v/>
      </c>
      <c r="AK13" s="33">
        <f>IF(C13="","",X13&amp;"|"&amp;A13)</f>
        <v/>
      </c>
      <c r="AL13" s="47">
        <f>IF(C13="",0,IF(COUNTIFS(VC_cle,AK13)=0,0,MAX(INDEX((VC_cle=AK13)*(VC_date+ROW(VC_date)/100000),0))))</f>
        <v/>
      </c>
      <c r="AM13" s="47">
        <f>IF(AND(C13&lt;&gt;"",N(AB13)&gt;0,D13&lt;&gt;"Perdu"),AB13+ROW()/100000,0)</f>
        <v/>
      </c>
      <c r="AN13" s="48">
        <f>IF(N(AF13)&gt;0,ROUND(AF13,0)+ROW()/1000000,0)</f>
        <v/>
      </c>
    </row>
    <row r="14" ht="18" customHeight="1">
      <c r="A14" s="39" t="n">
        <v>9</v>
      </c>
      <c r="B14" s="33">
        <f>IF(C14="","",IF(X14="À RENSEIGNER","GIC",X14)&amp;"-"&amp;TEXT(A14,"000"))</f>
        <v/>
      </c>
      <c r="C14" s="36" t="inlineStr">
        <is>
          <t>PDV Scierie Ndogbong</t>
        </is>
      </c>
      <c r="D14" s="34">
        <f>IF(C14="","",IF(U14="☑ Oui","Perdu",IF(AD14&lt;&gt;"","Client","Prospect")))</f>
        <v/>
      </c>
      <c r="E14" s="36" t="inlineStr">
        <is>
          <t>Autre</t>
        </is>
      </c>
      <c r="F14" s="36" t="n"/>
      <c r="G14" s="44" t="inlineStr">
        <is>
          <t>683428778</t>
        </is>
      </c>
      <c r="H14" s="44" t="n"/>
      <c r="I14" s="36" t="n"/>
      <c r="J14" s="36" t="inlineStr">
        <is>
          <t>Scierie Ndogbong</t>
        </is>
      </c>
      <c r="K14" s="41" t="n"/>
      <c r="L14" s="41" t="n"/>
      <c r="M14" s="36" t="inlineStr">
        <is>
          <t>Prospection terrain</t>
        </is>
      </c>
      <c r="N14" s="36" t="inlineStr">
        <is>
          <t>Nouveau</t>
        </is>
      </c>
      <c r="O14" s="32" t="n">
        <v>46272</v>
      </c>
      <c r="P14" s="36" t="n"/>
      <c r="Q14" s="36" t="n">
        <v>5</v>
      </c>
      <c r="R14" s="34">
        <f>IF(P14="","",IFERROR(VLOOKUP(P14,T_Produits,2,FALSE),""))</f>
        <v/>
      </c>
      <c r="S14" s="36" t="n"/>
      <c r="T14" s="43" t="n"/>
      <c r="U14" s="43" t="n"/>
      <c r="V14" s="36" t="n"/>
      <c r="W14" s="36" t="inlineStr">
        <is>
          <t>Repris de la fiche de septembre 2026 (semaine 2).</t>
        </is>
      </c>
      <c r="X14" s="33">
        <f>IF(C14="","",Commercial_Id)</f>
        <v/>
      </c>
      <c r="Y14" s="33">
        <f>IF(E14="","",IF(E14="Particulier / ménage","Particulier","Entreprise"))</f>
        <v/>
      </c>
      <c r="Z14" s="39">
        <f>IF(C14="","",COUNTIFS(VC_cle,AK14,VC_type,"Visite sur place"))</f>
        <v/>
      </c>
      <c r="AA14" s="46">
        <f>IF(AL14=0,"",IF(INT(AL14)=0,"",INT(AL14)))</f>
        <v/>
      </c>
      <c r="AB14" s="46">
        <f>IF(AL14=0,"",IF(INDEX(VC_actiondate,ROUND(MOD(AL14,1)*100000,0)-5)=0,"",INDEX(VC_actiondate,ROUND(MOD(AL14,1)*100000,0)-5)))</f>
        <v/>
      </c>
      <c r="AC14" s="33">
        <f>IF(AL14=0,"",INDEX(VC_actiontexte,ROUND(MOD(AL14,1)*100000,0)-5)&amp;"")</f>
        <v/>
      </c>
      <c r="AD14" s="46">
        <f>IF(C14="","",IF(COUNTIFS(Cmd_cle,AK14,Cmd_dateca,"&gt;0")=0,"",SMALL(INDEX(Cmd_dateca+(((Cmd_cle&lt;&gt;AK14)+(Cmd_dateca=0))&gt;0)*1000000,0),1)))</f>
        <v/>
      </c>
      <c r="AE14" s="46">
        <f>IF(C14="","",IF(COUNTIFS(Cmd_cle,AK14,Cmd_dateca,"&gt;0")=0,"",MAX(INDEX((Cmd_cle=AK14)*Cmd_dateca,0))))</f>
        <v/>
      </c>
      <c r="AF14" s="40">
        <f>IF(C14="","",SUMIFS(Cmd_montant,Cmd_cle,AK14,Cmd_dateca,"&gt;0"))</f>
        <v/>
      </c>
      <c r="AG14" s="40">
        <f>IF(C14="","",SUMIFS(Enc_montant,Enc_cle,AK14))</f>
        <v/>
      </c>
      <c r="AH14" s="40">
        <f>IF(C14="","",AF14-AG14)</f>
        <v/>
      </c>
      <c r="AI14" s="33">
        <f>IF(C14="","",IF(D14="Perdu","",IF(AND(AB14&lt;&gt;"",N(AB14)&lt;TODAY()),"Action en retard",IF(AND(D14="Client",AE14&lt;&gt;"",TODAY()-N(AE14)&gt;P_JoursInactif),"Client inactif",IF(AND(D14="Prospect",Z14=0,O14&lt;&gt;"",TODAY()-N(O14)&gt;P_JoursNonVisite),"Jamais visité","")))))</f>
        <v/>
      </c>
      <c r="AJ14" s="33">
        <f>IF(C14="","",C14&amp;" ["&amp;TEXT(A14,"000")&amp;"]")</f>
        <v/>
      </c>
      <c r="AK14" s="33">
        <f>IF(C14="","",X14&amp;"|"&amp;A14)</f>
        <v/>
      </c>
      <c r="AL14" s="47">
        <f>IF(C14="",0,IF(COUNTIFS(VC_cle,AK14)=0,0,MAX(INDEX((VC_cle=AK14)*(VC_date+ROW(VC_date)/100000),0))))</f>
        <v/>
      </c>
      <c r="AM14" s="47">
        <f>IF(AND(C14&lt;&gt;"",N(AB14)&gt;0,D14&lt;&gt;"Perdu"),AB14+ROW()/100000,0)</f>
        <v/>
      </c>
      <c r="AN14" s="48">
        <f>IF(N(AF14)&gt;0,ROUND(AF14,0)+ROW()/1000000,0)</f>
        <v/>
      </c>
    </row>
    <row r="15" ht="18" customHeight="1">
      <c r="A15" s="39" t="n">
        <v>10</v>
      </c>
      <c r="B15" s="33">
        <f>IF(C15="","",IF(X15="À RENSEIGNER","GIC",X15)&amp;"-"&amp;TEXT(A15,"000"))</f>
        <v/>
      </c>
      <c r="C15" s="36" t="inlineStr">
        <is>
          <t>Hôtel Dovil</t>
        </is>
      </c>
      <c r="D15" s="34">
        <f>IF(C15="","",IF(U15="☑ Oui","Perdu",IF(AD15&lt;&gt;"","Client","Prospect")))</f>
        <v/>
      </c>
      <c r="E15" s="36" t="inlineStr">
        <is>
          <t>Hôtel</t>
        </is>
      </c>
      <c r="F15" s="36" t="n"/>
      <c r="G15" s="44" t="inlineStr">
        <is>
          <t>656773514</t>
        </is>
      </c>
      <c r="H15" s="44" t="n"/>
      <c r="I15" s="36" t="n"/>
      <c r="J15" s="36" t="inlineStr">
        <is>
          <t>Dovil</t>
        </is>
      </c>
      <c r="K15" s="41" t="n"/>
      <c r="L15" s="41" t="n"/>
      <c r="M15" s="36" t="inlineStr">
        <is>
          <t>Prospection terrain</t>
        </is>
      </c>
      <c r="N15" s="36" t="inlineStr">
        <is>
          <t>Nouveau</t>
        </is>
      </c>
      <c r="O15" s="32" t="n">
        <v>46272</v>
      </c>
      <c r="P15" s="36" t="n"/>
      <c r="Q15" s="36" t="n">
        <v>10</v>
      </c>
      <c r="R15" s="34">
        <f>IF(P15="","",IFERROR(VLOOKUP(P15,T_Produits,2,FALSE),""))</f>
        <v/>
      </c>
      <c r="S15" s="36" t="n"/>
      <c r="T15" s="43" t="n"/>
      <c r="U15" s="43" t="n"/>
      <c r="V15" s="36" t="n"/>
      <c r="W15" s="36" t="inlineStr">
        <is>
          <t>Repris de la fiche de septembre 2026 (semaine 2).</t>
        </is>
      </c>
      <c r="X15" s="33">
        <f>IF(C15="","",Commercial_Id)</f>
        <v/>
      </c>
      <c r="Y15" s="33">
        <f>IF(E15="","",IF(E15="Particulier / ménage","Particulier","Entreprise"))</f>
        <v/>
      </c>
      <c r="Z15" s="39">
        <f>IF(C15="","",COUNTIFS(VC_cle,AK15,VC_type,"Visite sur place"))</f>
        <v/>
      </c>
      <c r="AA15" s="46">
        <f>IF(AL15=0,"",IF(INT(AL15)=0,"",INT(AL15)))</f>
        <v/>
      </c>
      <c r="AB15" s="46">
        <f>IF(AL15=0,"",IF(INDEX(VC_actiondate,ROUND(MOD(AL15,1)*100000,0)-5)=0,"",INDEX(VC_actiondate,ROUND(MOD(AL15,1)*100000,0)-5)))</f>
        <v/>
      </c>
      <c r="AC15" s="33">
        <f>IF(AL15=0,"",INDEX(VC_actiontexte,ROUND(MOD(AL15,1)*100000,0)-5)&amp;"")</f>
        <v/>
      </c>
      <c r="AD15" s="46">
        <f>IF(C15="","",IF(COUNTIFS(Cmd_cle,AK15,Cmd_dateca,"&gt;0")=0,"",SMALL(INDEX(Cmd_dateca+(((Cmd_cle&lt;&gt;AK15)+(Cmd_dateca=0))&gt;0)*1000000,0),1)))</f>
        <v/>
      </c>
      <c r="AE15" s="46">
        <f>IF(C15="","",IF(COUNTIFS(Cmd_cle,AK15,Cmd_dateca,"&gt;0")=0,"",MAX(INDEX((Cmd_cle=AK15)*Cmd_dateca,0))))</f>
        <v/>
      </c>
      <c r="AF15" s="40">
        <f>IF(C15="","",SUMIFS(Cmd_montant,Cmd_cle,AK15,Cmd_dateca,"&gt;0"))</f>
        <v/>
      </c>
      <c r="AG15" s="40">
        <f>IF(C15="","",SUMIFS(Enc_montant,Enc_cle,AK15))</f>
        <v/>
      </c>
      <c r="AH15" s="40">
        <f>IF(C15="","",AF15-AG15)</f>
        <v/>
      </c>
      <c r="AI15" s="33">
        <f>IF(C15="","",IF(D15="Perdu","",IF(AND(AB15&lt;&gt;"",N(AB15)&lt;TODAY()),"Action en retard",IF(AND(D15="Client",AE15&lt;&gt;"",TODAY()-N(AE15)&gt;P_JoursInactif),"Client inactif",IF(AND(D15="Prospect",Z15=0,O15&lt;&gt;"",TODAY()-N(O15)&gt;P_JoursNonVisite),"Jamais visité","")))))</f>
        <v/>
      </c>
      <c r="AJ15" s="33">
        <f>IF(C15="","",C15&amp;" ["&amp;TEXT(A15,"000")&amp;"]")</f>
        <v/>
      </c>
      <c r="AK15" s="33">
        <f>IF(C15="","",X15&amp;"|"&amp;A15)</f>
        <v/>
      </c>
      <c r="AL15" s="47">
        <f>IF(C15="",0,IF(COUNTIFS(VC_cle,AK15)=0,0,MAX(INDEX((VC_cle=AK15)*(VC_date+ROW(VC_date)/100000),0))))</f>
        <v/>
      </c>
      <c r="AM15" s="47">
        <f>IF(AND(C15&lt;&gt;"",N(AB15)&gt;0,D15&lt;&gt;"Perdu"),AB15+ROW()/100000,0)</f>
        <v/>
      </c>
      <c r="AN15" s="48">
        <f>IF(N(AF15)&gt;0,ROUND(AF15,0)+ROW()/1000000,0)</f>
        <v/>
      </c>
    </row>
    <row r="16" ht="18" customHeight="1">
      <c r="A16" s="39" t="n">
        <v>11</v>
      </c>
      <c r="B16" s="33">
        <f>IF(C16="","",IF(X16="À RENSEIGNER","GIC",X16)&amp;"-"&amp;TEXT(A16,"000"))</f>
        <v/>
      </c>
      <c r="C16" s="36" t="inlineStr">
        <is>
          <t>PDV Face 10e</t>
        </is>
      </c>
      <c r="D16" s="34">
        <f>IF(C16="","",IF(U16="☑ Oui","Perdu",IF(AD16&lt;&gt;"","Client","Prospect")))</f>
        <v/>
      </c>
      <c r="E16" s="36" t="inlineStr">
        <is>
          <t>Autre</t>
        </is>
      </c>
      <c r="F16" s="36" t="n"/>
      <c r="G16" s="44" t="inlineStr">
        <is>
          <t>693936160</t>
        </is>
      </c>
      <c r="H16" s="44" t="n"/>
      <c r="I16" s="36" t="n"/>
      <c r="J16" s="36" t="inlineStr">
        <is>
          <t>Face 10e</t>
        </is>
      </c>
      <c r="K16" s="41" t="n"/>
      <c r="L16" s="41" t="n"/>
      <c r="M16" s="36" t="inlineStr">
        <is>
          <t>Prospection terrain</t>
        </is>
      </c>
      <c r="N16" s="36" t="inlineStr">
        <is>
          <t>Nouveau</t>
        </is>
      </c>
      <c r="O16" s="32" t="n">
        <v>46272</v>
      </c>
      <c r="P16" s="36" t="n"/>
      <c r="Q16" s="36" t="n">
        <v>5</v>
      </c>
      <c r="R16" s="34">
        <f>IF(P16="","",IFERROR(VLOOKUP(P16,T_Produits,2,FALSE),""))</f>
        <v/>
      </c>
      <c r="S16" s="36" t="n"/>
      <c r="T16" s="43" t="n"/>
      <c r="U16" s="43" t="n"/>
      <c r="V16" s="36" t="n"/>
      <c r="W16" s="36" t="inlineStr">
        <is>
          <t>Repris de la fiche de septembre 2026 (semaine 2).</t>
        </is>
      </c>
      <c r="X16" s="33">
        <f>IF(C16="","",Commercial_Id)</f>
        <v/>
      </c>
      <c r="Y16" s="33">
        <f>IF(E16="","",IF(E16="Particulier / ménage","Particulier","Entreprise"))</f>
        <v/>
      </c>
      <c r="Z16" s="39">
        <f>IF(C16="","",COUNTIFS(VC_cle,AK16,VC_type,"Visite sur place"))</f>
        <v/>
      </c>
      <c r="AA16" s="46">
        <f>IF(AL16=0,"",IF(INT(AL16)=0,"",INT(AL16)))</f>
        <v/>
      </c>
      <c r="AB16" s="46">
        <f>IF(AL16=0,"",IF(INDEX(VC_actiondate,ROUND(MOD(AL16,1)*100000,0)-5)=0,"",INDEX(VC_actiondate,ROUND(MOD(AL16,1)*100000,0)-5)))</f>
        <v/>
      </c>
      <c r="AC16" s="33">
        <f>IF(AL16=0,"",INDEX(VC_actiontexte,ROUND(MOD(AL16,1)*100000,0)-5)&amp;"")</f>
        <v/>
      </c>
      <c r="AD16" s="46">
        <f>IF(C16="","",IF(COUNTIFS(Cmd_cle,AK16,Cmd_dateca,"&gt;0")=0,"",SMALL(INDEX(Cmd_dateca+(((Cmd_cle&lt;&gt;AK16)+(Cmd_dateca=0))&gt;0)*1000000,0),1)))</f>
        <v/>
      </c>
      <c r="AE16" s="46">
        <f>IF(C16="","",IF(COUNTIFS(Cmd_cle,AK16,Cmd_dateca,"&gt;0")=0,"",MAX(INDEX((Cmd_cle=AK16)*Cmd_dateca,0))))</f>
        <v/>
      </c>
      <c r="AF16" s="40">
        <f>IF(C16="","",SUMIFS(Cmd_montant,Cmd_cle,AK16,Cmd_dateca,"&gt;0"))</f>
        <v/>
      </c>
      <c r="AG16" s="40">
        <f>IF(C16="","",SUMIFS(Enc_montant,Enc_cle,AK16))</f>
        <v/>
      </c>
      <c r="AH16" s="40">
        <f>IF(C16="","",AF16-AG16)</f>
        <v/>
      </c>
      <c r="AI16" s="33">
        <f>IF(C16="","",IF(D16="Perdu","",IF(AND(AB16&lt;&gt;"",N(AB16)&lt;TODAY()),"Action en retard",IF(AND(D16="Client",AE16&lt;&gt;"",TODAY()-N(AE16)&gt;P_JoursInactif),"Client inactif",IF(AND(D16="Prospect",Z16=0,O16&lt;&gt;"",TODAY()-N(O16)&gt;P_JoursNonVisite),"Jamais visité","")))))</f>
        <v/>
      </c>
      <c r="AJ16" s="33">
        <f>IF(C16="","",C16&amp;" ["&amp;TEXT(A16,"000")&amp;"]")</f>
        <v/>
      </c>
      <c r="AK16" s="33">
        <f>IF(C16="","",X16&amp;"|"&amp;A16)</f>
        <v/>
      </c>
      <c r="AL16" s="47">
        <f>IF(C16="",0,IF(COUNTIFS(VC_cle,AK16)=0,0,MAX(INDEX((VC_cle=AK16)*(VC_date+ROW(VC_date)/100000),0))))</f>
        <v/>
      </c>
      <c r="AM16" s="47">
        <f>IF(AND(C16&lt;&gt;"",N(AB16)&gt;0,D16&lt;&gt;"Perdu"),AB16+ROW()/100000,0)</f>
        <v/>
      </c>
      <c r="AN16" s="48">
        <f>IF(N(AF16)&gt;0,ROUND(AF16,0)+ROW()/1000000,0)</f>
        <v/>
      </c>
    </row>
    <row r="17" ht="18" customHeight="1">
      <c r="A17" s="39" t="n">
        <v>12</v>
      </c>
      <c r="B17" s="33">
        <f>IF(C17="","",IF(X17="À RENSEIGNER","GIC",X17)&amp;"-"&amp;TEXT(A17,"000"))</f>
        <v/>
      </c>
      <c r="C17" s="36" t="inlineStr">
        <is>
          <t>Hôtel Dovil, entrée</t>
        </is>
      </c>
      <c r="D17" s="34">
        <f>IF(C17="","",IF(U17="☑ Oui","Perdu",IF(AD17&lt;&gt;"","Client","Prospect")))</f>
        <v/>
      </c>
      <c r="E17" s="36" t="inlineStr">
        <is>
          <t>Hôtel</t>
        </is>
      </c>
      <c r="F17" s="36" t="n"/>
      <c r="G17" s="44" t="inlineStr">
        <is>
          <t>694739633</t>
        </is>
      </c>
      <c r="H17" s="44" t="n"/>
      <c r="I17" s="36" t="n"/>
      <c r="J17" s="36" t="inlineStr">
        <is>
          <t>Entrée hôtel Dovil</t>
        </is>
      </c>
      <c r="K17" s="41" t="n"/>
      <c r="L17" s="41" t="n"/>
      <c r="M17" s="36" t="inlineStr">
        <is>
          <t>Prospection terrain</t>
        </is>
      </c>
      <c r="N17" s="36" t="inlineStr">
        <is>
          <t>Nouveau</t>
        </is>
      </c>
      <c r="O17" s="32" t="n">
        <v>46272</v>
      </c>
      <c r="P17" s="36" t="n"/>
      <c r="Q17" s="36" t="n">
        <v>3</v>
      </c>
      <c r="R17" s="34">
        <f>IF(P17="","",IFERROR(VLOOKUP(P17,T_Produits,2,FALSE),""))</f>
        <v/>
      </c>
      <c r="S17" s="36" t="n"/>
      <c r="T17" s="43" t="n"/>
      <c r="U17" s="43" t="n"/>
      <c r="V17" s="36" t="n"/>
      <c r="W17" s="36" t="inlineStr">
        <is>
          <t>Repris de la fiche de septembre 2026 (semaine 2).</t>
        </is>
      </c>
      <c r="X17" s="33">
        <f>IF(C17="","",Commercial_Id)</f>
        <v/>
      </c>
      <c r="Y17" s="33">
        <f>IF(E17="","",IF(E17="Particulier / ménage","Particulier","Entreprise"))</f>
        <v/>
      </c>
      <c r="Z17" s="39">
        <f>IF(C17="","",COUNTIFS(VC_cle,AK17,VC_type,"Visite sur place"))</f>
        <v/>
      </c>
      <c r="AA17" s="46">
        <f>IF(AL17=0,"",IF(INT(AL17)=0,"",INT(AL17)))</f>
        <v/>
      </c>
      <c r="AB17" s="46">
        <f>IF(AL17=0,"",IF(INDEX(VC_actiondate,ROUND(MOD(AL17,1)*100000,0)-5)=0,"",INDEX(VC_actiondate,ROUND(MOD(AL17,1)*100000,0)-5)))</f>
        <v/>
      </c>
      <c r="AC17" s="33">
        <f>IF(AL17=0,"",INDEX(VC_actiontexte,ROUND(MOD(AL17,1)*100000,0)-5)&amp;"")</f>
        <v/>
      </c>
      <c r="AD17" s="46">
        <f>IF(C17="","",IF(COUNTIFS(Cmd_cle,AK17,Cmd_dateca,"&gt;0")=0,"",SMALL(INDEX(Cmd_dateca+(((Cmd_cle&lt;&gt;AK17)+(Cmd_dateca=0))&gt;0)*1000000,0),1)))</f>
        <v/>
      </c>
      <c r="AE17" s="46">
        <f>IF(C17="","",IF(COUNTIFS(Cmd_cle,AK17,Cmd_dateca,"&gt;0")=0,"",MAX(INDEX((Cmd_cle=AK17)*Cmd_dateca,0))))</f>
        <v/>
      </c>
      <c r="AF17" s="40">
        <f>IF(C17="","",SUMIFS(Cmd_montant,Cmd_cle,AK17,Cmd_dateca,"&gt;0"))</f>
        <v/>
      </c>
      <c r="AG17" s="40">
        <f>IF(C17="","",SUMIFS(Enc_montant,Enc_cle,AK17))</f>
        <v/>
      </c>
      <c r="AH17" s="40">
        <f>IF(C17="","",AF17-AG17)</f>
        <v/>
      </c>
      <c r="AI17" s="33">
        <f>IF(C17="","",IF(D17="Perdu","",IF(AND(AB17&lt;&gt;"",N(AB17)&lt;TODAY()),"Action en retard",IF(AND(D17="Client",AE17&lt;&gt;"",TODAY()-N(AE17)&gt;P_JoursInactif),"Client inactif",IF(AND(D17="Prospect",Z17=0,O17&lt;&gt;"",TODAY()-N(O17)&gt;P_JoursNonVisite),"Jamais visité","")))))</f>
        <v/>
      </c>
      <c r="AJ17" s="33">
        <f>IF(C17="","",C17&amp;" ["&amp;TEXT(A17,"000")&amp;"]")</f>
        <v/>
      </c>
      <c r="AK17" s="33">
        <f>IF(C17="","",X17&amp;"|"&amp;A17)</f>
        <v/>
      </c>
      <c r="AL17" s="47">
        <f>IF(C17="",0,IF(COUNTIFS(VC_cle,AK17)=0,0,MAX(INDEX((VC_cle=AK17)*(VC_date+ROW(VC_date)/100000),0))))</f>
        <v/>
      </c>
      <c r="AM17" s="47">
        <f>IF(AND(C17&lt;&gt;"",N(AB17)&gt;0,D17&lt;&gt;"Perdu"),AB17+ROW()/100000,0)</f>
        <v/>
      </c>
      <c r="AN17" s="48">
        <f>IF(N(AF17)&gt;0,ROUND(AF17,0)+ROW()/1000000,0)</f>
        <v/>
      </c>
    </row>
    <row r="18" ht="18" customHeight="1">
      <c r="A18" s="39" t="n">
        <v>13</v>
      </c>
      <c r="B18" s="33">
        <f>IF(C18="","",IF(X18="À RENSEIGNER","GIC",X18)&amp;"-"&amp;TEXT(A18,"000"))</f>
        <v/>
      </c>
      <c r="C18" s="36" t="inlineStr">
        <is>
          <t>PDV Camlait</t>
        </is>
      </c>
      <c r="D18" s="34">
        <f>IF(C18="","",IF(U18="☑ Oui","Perdu",IF(AD18&lt;&gt;"","Client","Prospect")))</f>
        <v/>
      </c>
      <c r="E18" s="36" t="inlineStr">
        <is>
          <t>Autre</t>
        </is>
      </c>
      <c r="F18" s="36" t="n"/>
      <c r="G18" s="44" t="inlineStr">
        <is>
          <t>655112340</t>
        </is>
      </c>
      <c r="H18" s="44" t="n"/>
      <c r="I18" s="36" t="n"/>
      <c r="J18" s="36" t="inlineStr">
        <is>
          <t>Camlait</t>
        </is>
      </c>
      <c r="K18" s="41" t="n"/>
      <c r="L18" s="41" t="n"/>
      <c r="M18" s="36" t="inlineStr">
        <is>
          <t>Prospection terrain</t>
        </is>
      </c>
      <c r="N18" s="36" t="inlineStr">
        <is>
          <t>Nouveau</t>
        </is>
      </c>
      <c r="O18" s="32" t="n">
        <v>46272</v>
      </c>
      <c r="P18" s="36" t="n"/>
      <c r="Q18" s="36" t="n">
        <v>2</v>
      </c>
      <c r="R18" s="34">
        <f>IF(P18="","",IFERROR(VLOOKUP(P18,T_Produits,2,FALSE),""))</f>
        <v/>
      </c>
      <c r="S18" s="36" t="n"/>
      <c r="T18" s="43" t="n"/>
      <c r="U18" s="43" t="n"/>
      <c r="V18" s="36" t="n"/>
      <c r="W18" s="36" t="inlineStr">
        <is>
          <t>Repris de la fiche de septembre 2026 (semaine 2).</t>
        </is>
      </c>
      <c r="X18" s="33">
        <f>IF(C18="","",Commercial_Id)</f>
        <v/>
      </c>
      <c r="Y18" s="33">
        <f>IF(E18="","",IF(E18="Particulier / ménage","Particulier","Entreprise"))</f>
        <v/>
      </c>
      <c r="Z18" s="39">
        <f>IF(C18="","",COUNTIFS(VC_cle,AK18,VC_type,"Visite sur place"))</f>
        <v/>
      </c>
      <c r="AA18" s="46">
        <f>IF(AL18=0,"",IF(INT(AL18)=0,"",INT(AL18)))</f>
        <v/>
      </c>
      <c r="AB18" s="46">
        <f>IF(AL18=0,"",IF(INDEX(VC_actiondate,ROUND(MOD(AL18,1)*100000,0)-5)=0,"",INDEX(VC_actiondate,ROUND(MOD(AL18,1)*100000,0)-5)))</f>
        <v/>
      </c>
      <c r="AC18" s="33">
        <f>IF(AL18=0,"",INDEX(VC_actiontexte,ROUND(MOD(AL18,1)*100000,0)-5)&amp;"")</f>
        <v/>
      </c>
      <c r="AD18" s="46">
        <f>IF(C18="","",IF(COUNTIFS(Cmd_cle,AK18,Cmd_dateca,"&gt;0")=0,"",SMALL(INDEX(Cmd_dateca+(((Cmd_cle&lt;&gt;AK18)+(Cmd_dateca=0))&gt;0)*1000000,0),1)))</f>
        <v/>
      </c>
      <c r="AE18" s="46">
        <f>IF(C18="","",IF(COUNTIFS(Cmd_cle,AK18,Cmd_dateca,"&gt;0")=0,"",MAX(INDEX((Cmd_cle=AK18)*Cmd_dateca,0))))</f>
        <v/>
      </c>
      <c r="AF18" s="40">
        <f>IF(C18="","",SUMIFS(Cmd_montant,Cmd_cle,AK18,Cmd_dateca,"&gt;0"))</f>
        <v/>
      </c>
      <c r="AG18" s="40">
        <f>IF(C18="","",SUMIFS(Enc_montant,Enc_cle,AK18))</f>
        <v/>
      </c>
      <c r="AH18" s="40">
        <f>IF(C18="","",AF18-AG18)</f>
        <v/>
      </c>
      <c r="AI18" s="33">
        <f>IF(C18="","",IF(D18="Perdu","",IF(AND(AB18&lt;&gt;"",N(AB18)&lt;TODAY()),"Action en retard",IF(AND(D18="Client",AE18&lt;&gt;"",TODAY()-N(AE18)&gt;P_JoursInactif),"Client inactif",IF(AND(D18="Prospect",Z18=0,O18&lt;&gt;"",TODAY()-N(O18)&gt;P_JoursNonVisite),"Jamais visité","")))))</f>
        <v/>
      </c>
      <c r="AJ18" s="33">
        <f>IF(C18="","",C18&amp;" ["&amp;TEXT(A18,"000")&amp;"]")</f>
        <v/>
      </c>
      <c r="AK18" s="33">
        <f>IF(C18="","",X18&amp;"|"&amp;A18)</f>
        <v/>
      </c>
      <c r="AL18" s="47">
        <f>IF(C18="",0,IF(COUNTIFS(VC_cle,AK18)=0,0,MAX(INDEX((VC_cle=AK18)*(VC_date+ROW(VC_date)/100000),0))))</f>
        <v/>
      </c>
      <c r="AM18" s="47">
        <f>IF(AND(C18&lt;&gt;"",N(AB18)&gt;0,D18&lt;&gt;"Perdu"),AB18+ROW()/100000,0)</f>
        <v/>
      </c>
      <c r="AN18" s="48">
        <f>IF(N(AF18)&gt;0,ROUND(AF18,0)+ROW()/1000000,0)</f>
        <v/>
      </c>
    </row>
    <row r="19" ht="18" customHeight="1">
      <c r="A19" s="39" t="n">
        <v>14</v>
      </c>
      <c r="B19" s="33">
        <f>IF(C19="","",IF(X19="À RENSEIGNER","GIC",X19)&amp;"-"&amp;TEXT(A19,"000"))</f>
        <v/>
      </c>
      <c r="C19" s="36" t="inlineStr">
        <is>
          <t>Hôtel Dovil II</t>
        </is>
      </c>
      <c r="D19" s="34">
        <f>IF(C19="","",IF(U19="☑ Oui","Perdu",IF(AD19&lt;&gt;"","Client","Prospect")))</f>
        <v/>
      </c>
      <c r="E19" s="36" t="inlineStr">
        <is>
          <t>Hôtel</t>
        </is>
      </c>
      <c r="F19" s="36" t="n"/>
      <c r="G19" s="44" t="inlineStr">
        <is>
          <t>691875968</t>
        </is>
      </c>
      <c r="H19" s="44" t="n"/>
      <c r="I19" s="36" t="n"/>
      <c r="J19" s="36" t="inlineStr">
        <is>
          <t>Dovil II</t>
        </is>
      </c>
      <c r="K19" s="41" t="n"/>
      <c r="L19" s="41" t="n"/>
      <c r="M19" s="36" t="inlineStr">
        <is>
          <t>Prospection terrain</t>
        </is>
      </c>
      <c r="N19" s="36" t="inlineStr">
        <is>
          <t>Nouveau</t>
        </is>
      </c>
      <c r="O19" s="32" t="n">
        <v>46272</v>
      </c>
      <c r="P19" s="36" t="n"/>
      <c r="Q19" s="36" t="n">
        <v>9</v>
      </c>
      <c r="R19" s="34">
        <f>IF(P19="","",IFERROR(VLOOKUP(P19,T_Produits,2,FALSE),""))</f>
        <v/>
      </c>
      <c r="S19" s="36" t="n"/>
      <c r="T19" s="43" t="n"/>
      <c r="U19" s="43" t="n"/>
      <c r="V19" s="36" t="n"/>
      <c r="W19" s="36" t="inlineStr">
        <is>
          <t>Repris de la fiche de septembre 2026 (semaine 2).</t>
        </is>
      </c>
      <c r="X19" s="33">
        <f>IF(C19="","",Commercial_Id)</f>
        <v/>
      </c>
      <c r="Y19" s="33">
        <f>IF(E19="","",IF(E19="Particulier / ménage","Particulier","Entreprise"))</f>
        <v/>
      </c>
      <c r="Z19" s="39">
        <f>IF(C19="","",COUNTIFS(VC_cle,AK19,VC_type,"Visite sur place"))</f>
        <v/>
      </c>
      <c r="AA19" s="46">
        <f>IF(AL19=0,"",IF(INT(AL19)=0,"",INT(AL19)))</f>
        <v/>
      </c>
      <c r="AB19" s="46">
        <f>IF(AL19=0,"",IF(INDEX(VC_actiondate,ROUND(MOD(AL19,1)*100000,0)-5)=0,"",INDEX(VC_actiondate,ROUND(MOD(AL19,1)*100000,0)-5)))</f>
        <v/>
      </c>
      <c r="AC19" s="33">
        <f>IF(AL19=0,"",INDEX(VC_actiontexte,ROUND(MOD(AL19,1)*100000,0)-5)&amp;"")</f>
        <v/>
      </c>
      <c r="AD19" s="46">
        <f>IF(C19="","",IF(COUNTIFS(Cmd_cle,AK19,Cmd_dateca,"&gt;0")=0,"",SMALL(INDEX(Cmd_dateca+(((Cmd_cle&lt;&gt;AK19)+(Cmd_dateca=0))&gt;0)*1000000,0),1)))</f>
        <v/>
      </c>
      <c r="AE19" s="46">
        <f>IF(C19="","",IF(COUNTIFS(Cmd_cle,AK19,Cmd_dateca,"&gt;0")=0,"",MAX(INDEX((Cmd_cle=AK19)*Cmd_dateca,0))))</f>
        <v/>
      </c>
      <c r="AF19" s="40">
        <f>IF(C19="","",SUMIFS(Cmd_montant,Cmd_cle,AK19,Cmd_dateca,"&gt;0"))</f>
        <v/>
      </c>
      <c r="AG19" s="40">
        <f>IF(C19="","",SUMIFS(Enc_montant,Enc_cle,AK19))</f>
        <v/>
      </c>
      <c r="AH19" s="40">
        <f>IF(C19="","",AF19-AG19)</f>
        <v/>
      </c>
      <c r="AI19" s="33">
        <f>IF(C19="","",IF(D19="Perdu","",IF(AND(AB19&lt;&gt;"",N(AB19)&lt;TODAY()),"Action en retard",IF(AND(D19="Client",AE19&lt;&gt;"",TODAY()-N(AE19)&gt;P_JoursInactif),"Client inactif",IF(AND(D19="Prospect",Z19=0,O19&lt;&gt;"",TODAY()-N(O19)&gt;P_JoursNonVisite),"Jamais visité","")))))</f>
        <v/>
      </c>
      <c r="AJ19" s="33">
        <f>IF(C19="","",C19&amp;" ["&amp;TEXT(A19,"000")&amp;"]")</f>
        <v/>
      </c>
      <c r="AK19" s="33">
        <f>IF(C19="","",X19&amp;"|"&amp;A19)</f>
        <v/>
      </c>
      <c r="AL19" s="47">
        <f>IF(C19="",0,IF(COUNTIFS(VC_cle,AK19)=0,0,MAX(INDEX((VC_cle=AK19)*(VC_date+ROW(VC_date)/100000),0))))</f>
        <v/>
      </c>
      <c r="AM19" s="47">
        <f>IF(AND(C19&lt;&gt;"",N(AB19)&gt;0,D19&lt;&gt;"Perdu"),AB19+ROW()/100000,0)</f>
        <v/>
      </c>
      <c r="AN19" s="48">
        <f>IF(N(AF19)&gt;0,ROUND(AF19,0)+ROW()/1000000,0)</f>
        <v/>
      </c>
    </row>
    <row r="20" ht="18" customHeight="1">
      <c r="A20" s="39" t="n">
        <v>15</v>
      </c>
      <c r="B20" s="33">
        <f>IF(C20="","",IF(X20="À RENSEIGNER","GIC",X20)&amp;"-"&amp;TEXT(A20,"000"))</f>
        <v/>
      </c>
      <c r="C20" s="36" t="inlineStr">
        <is>
          <t>Resto Beedi, entrée Maalam (1)</t>
        </is>
      </c>
      <c r="D20" s="34">
        <f>IF(C20="","",IF(U20="☑ Oui","Perdu",IF(AD20&lt;&gt;"","Client","Prospect")))</f>
        <v/>
      </c>
      <c r="E20" s="36" t="inlineStr">
        <is>
          <t>Restaurant</t>
        </is>
      </c>
      <c r="F20" s="36" t="n"/>
      <c r="G20" s="44" t="inlineStr">
        <is>
          <t>678912047</t>
        </is>
      </c>
      <c r="H20" s="44" t="n"/>
      <c r="I20" s="36" t="inlineStr">
        <is>
          <t>Beedi</t>
        </is>
      </c>
      <c r="J20" s="36" t="inlineStr">
        <is>
          <t>Beedi, entrée Maalam</t>
        </is>
      </c>
      <c r="K20" s="41" t="n"/>
      <c r="L20" s="41" t="n"/>
      <c r="M20" s="36" t="inlineStr">
        <is>
          <t>Prospection terrain</t>
        </is>
      </c>
      <c r="N20" s="36" t="inlineStr">
        <is>
          <t>Nouveau</t>
        </is>
      </c>
      <c r="O20" s="32" t="n">
        <v>46286</v>
      </c>
      <c r="P20" s="36" t="n"/>
      <c r="Q20" s="36" t="n">
        <v>2</v>
      </c>
      <c r="R20" s="34">
        <f>IF(P20="","",IFERROR(VLOOKUP(P20,T_Produits,2,FALSE),""))</f>
        <v/>
      </c>
      <c r="S20" s="36" t="n"/>
      <c r="T20" s="43" t="n"/>
      <c r="U20" s="43" t="n"/>
      <c r="V20" s="36" t="n"/>
      <c r="W20" s="36" t="inlineStr">
        <is>
          <t>Repris de la fiche de septembre 2026 (semaine 4).</t>
        </is>
      </c>
      <c r="X20" s="33">
        <f>IF(C20="","",Commercial_Id)</f>
        <v/>
      </c>
      <c r="Y20" s="33">
        <f>IF(E20="","",IF(E20="Particulier / ménage","Particulier","Entreprise"))</f>
        <v/>
      </c>
      <c r="Z20" s="39">
        <f>IF(C20="","",COUNTIFS(VC_cle,AK20,VC_type,"Visite sur place"))</f>
        <v/>
      </c>
      <c r="AA20" s="46">
        <f>IF(AL20=0,"",IF(INT(AL20)=0,"",INT(AL20)))</f>
        <v/>
      </c>
      <c r="AB20" s="46">
        <f>IF(AL20=0,"",IF(INDEX(VC_actiondate,ROUND(MOD(AL20,1)*100000,0)-5)=0,"",INDEX(VC_actiondate,ROUND(MOD(AL20,1)*100000,0)-5)))</f>
        <v/>
      </c>
      <c r="AC20" s="33">
        <f>IF(AL20=0,"",INDEX(VC_actiontexte,ROUND(MOD(AL20,1)*100000,0)-5)&amp;"")</f>
        <v/>
      </c>
      <c r="AD20" s="46">
        <f>IF(C20="","",IF(COUNTIFS(Cmd_cle,AK20,Cmd_dateca,"&gt;0")=0,"",SMALL(INDEX(Cmd_dateca+(((Cmd_cle&lt;&gt;AK20)+(Cmd_dateca=0))&gt;0)*1000000,0),1)))</f>
        <v/>
      </c>
      <c r="AE20" s="46">
        <f>IF(C20="","",IF(COUNTIFS(Cmd_cle,AK20,Cmd_dateca,"&gt;0")=0,"",MAX(INDEX((Cmd_cle=AK20)*Cmd_dateca,0))))</f>
        <v/>
      </c>
      <c r="AF20" s="40">
        <f>IF(C20="","",SUMIFS(Cmd_montant,Cmd_cle,AK20,Cmd_dateca,"&gt;0"))</f>
        <v/>
      </c>
      <c r="AG20" s="40">
        <f>IF(C20="","",SUMIFS(Enc_montant,Enc_cle,AK20))</f>
        <v/>
      </c>
      <c r="AH20" s="40">
        <f>IF(C20="","",AF20-AG20)</f>
        <v/>
      </c>
      <c r="AI20" s="33">
        <f>IF(C20="","",IF(D20="Perdu","",IF(AND(AB20&lt;&gt;"",N(AB20)&lt;TODAY()),"Action en retard",IF(AND(D20="Client",AE20&lt;&gt;"",TODAY()-N(AE20)&gt;P_JoursInactif),"Client inactif",IF(AND(D20="Prospect",Z20=0,O20&lt;&gt;"",TODAY()-N(O20)&gt;P_JoursNonVisite),"Jamais visité","")))))</f>
        <v/>
      </c>
      <c r="AJ20" s="33">
        <f>IF(C20="","",C20&amp;" ["&amp;TEXT(A20,"000")&amp;"]")</f>
        <v/>
      </c>
      <c r="AK20" s="33">
        <f>IF(C20="","",X20&amp;"|"&amp;A20)</f>
        <v/>
      </c>
      <c r="AL20" s="47">
        <f>IF(C20="",0,IF(COUNTIFS(VC_cle,AK20)=0,0,MAX(INDEX((VC_cle=AK20)*(VC_date+ROW(VC_date)/100000),0))))</f>
        <v/>
      </c>
      <c r="AM20" s="47">
        <f>IF(AND(C20&lt;&gt;"",N(AB20)&gt;0,D20&lt;&gt;"Perdu"),AB20+ROW()/100000,0)</f>
        <v/>
      </c>
      <c r="AN20" s="48">
        <f>IF(N(AF20)&gt;0,ROUND(AF20,0)+ROW()/1000000,0)</f>
        <v/>
      </c>
    </row>
    <row r="21" ht="18" customHeight="1">
      <c r="A21" s="39" t="n">
        <v>16</v>
      </c>
      <c r="B21" s="33">
        <f>IF(C21="","",IF(X21="À RENSEIGNER","GIC",X21)&amp;"-"&amp;TEXT(A21,"000"))</f>
        <v/>
      </c>
      <c r="C21" s="36" t="inlineStr">
        <is>
          <t>Resto Toiture Verte</t>
        </is>
      </c>
      <c r="D21" s="34">
        <f>IF(C21="","",IF(U21="☑ Oui","Perdu",IF(AD21&lt;&gt;"","Client","Prospect")))</f>
        <v/>
      </c>
      <c r="E21" s="36" t="inlineStr">
        <is>
          <t>Restaurant</t>
        </is>
      </c>
      <c r="F21" s="36" t="n"/>
      <c r="G21" s="44" t="inlineStr">
        <is>
          <t>675851976</t>
        </is>
      </c>
      <c r="H21" s="44" t="n"/>
      <c r="I21" s="36" t="n"/>
      <c r="J21" s="36" t="inlineStr">
        <is>
          <t>Toiture Verte</t>
        </is>
      </c>
      <c r="K21" s="41" t="n"/>
      <c r="L21" s="41" t="n"/>
      <c r="M21" s="36" t="inlineStr">
        <is>
          <t>Prospection terrain</t>
        </is>
      </c>
      <c r="N21" s="36" t="inlineStr">
        <is>
          <t>Nouveau</t>
        </is>
      </c>
      <c r="O21" s="32" t="n">
        <v>46286</v>
      </c>
      <c r="P21" s="36" t="n"/>
      <c r="Q21" s="36" t="n">
        <v>2</v>
      </c>
      <c r="R21" s="34">
        <f>IF(P21="","",IFERROR(VLOOKUP(P21,T_Produits,2,FALSE),""))</f>
        <v/>
      </c>
      <c r="S21" s="36" t="n"/>
      <c r="T21" s="43" t="n"/>
      <c r="U21" s="43" t="n"/>
      <c r="V21" s="36" t="n"/>
      <c r="W21" s="36" t="inlineStr">
        <is>
          <t>Repris de la fiche de septembre 2026 (semaine 4).</t>
        </is>
      </c>
      <c r="X21" s="33">
        <f>IF(C21="","",Commercial_Id)</f>
        <v/>
      </c>
      <c r="Y21" s="33">
        <f>IF(E21="","",IF(E21="Particulier / ménage","Particulier","Entreprise"))</f>
        <v/>
      </c>
      <c r="Z21" s="39">
        <f>IF(C21="","",COUNTIFS(VC_cle,AK21,VC_type,"Visite sur place"))</f>
        <v/>
      </c>
      <c r="AA21" s="46">
        <f>IF(AL21=0,"",IF(INT(AL21)=0,"",INT(AL21)))</f>
        <v/>
      </c>
      <c r="AB21" s="46">
        <f>IF(AL21=0,"",IF(INDEX(VC_actiondate,ROUND(MOD(AL21,1)*100000,0)-5)=0,"",INDEX(VC_actiondate,ROUND(MOD(AL21,1)*100000,0)-5)))</f>
        <v/>
      </c>
      <c r="AC21" s="33">
        <f>IF(AL21=0,"",INDEX(VC_actiontexte,ROUND(MOD(AL21,1)*100000,0)-5)&amp;"")</f>
        <v/>
      </c>
      <c r="AD21" s="46">
        <f>IF(C21="","",IF(COUNTIFS(Cmd_cle,AK21,Cmd_dateca,"&gt;0")=0,"",SMALL(INDEX(Cmd_dateca+(((Cmd_cle&lt;&gt;AK21)+(Cmd_dateca=0))&gt;0)*1000000,0),1)))</f>
        <v/>
      </c>
      <c r="AE21" s="46">
        <f>IF(C21="","",IF(COUNTIFS(Cmd_cle,AK21,Cmd_dateca,"&gt;0")=0,"",MAX(INDEX((Cmd_cle=AK21)*Cmd_dateca,0))))</f>
        <v/>
      </c>
      <c r="AF21" s="40">
        <f>IF(C21="","",SUMIFS(Cmd_montant,Cmd_cle,AK21,Cmd_dateca,"&gt;0"))</f>
        <v/>
      </c>
      <c r="AG21" s="40">
        <f>IF(C21="","",SUMIFS(Enc_montant,Enc_cle,AK21))</f>
        <v/>
      </c>
      <c r="AH21" s="40">
        <f>IF(C21="","",AF21-AG21)</f>
        <v/>
      </c>
      <c r="AI21" s="33">
        <f>IF(C21="","",IF(D21="Perdu","",IF(AND(AB21&lt;&gt;"",N(AB21)&lt;TODAY()),"Action en retard",IF(AND(D21="Client",AE21&lt;&gt;"",TODAY()-N(AE21)&gt;P_JoursInactif),"Client inactif",IF(AND(D21="Prospect",Z21=0,O21&lt;&gt;"",TODAY()-N(O21)&gt;P_JoursNonVisite),"Jamais visité","")))))</f>
        <v/>
      </c>
      <c r="AJ21" s="33">
        <f>IF(C21="","",C21&amp;" ["&amp;TEXT(A21,"000")&amp;"]")</f>
        <v/>
      </c>
      <c r="AK21" s="33">
        <f>IF(C21="","",X21&amp;"|"&amp;A21)</f>
        <v/>
      </c>
      <c r="AL21" s="47">
        <f>IF(C21="",0,IF(COUNTIFS(VC_cle,AK21)=0,0,MAX(INDEX((VC_cle=AK21)*(VC_date+ROW(VC_date)/100000),0))))</f>
        <v/>
      </c>
      <c r="AM21" s="47">
        <f>IF(AND(C21&lt;&gt;"",N(AB21)&gt;0,D21&lt;&gt;"Perdu"),AB21+ROW()/100000,0)</f>
        <v/>
      </c>
      <c r="AN21" s="48">
        <f>IF(N(AF21)&gt;0,ROUND(AF21,0)+ROW()/1000000,0)</f>
        <v/>
      </c>
    </row>
    <row r="22" ht="18" customHeight="1">
      <c r="A22" s="39" t="n">
        <v>17</v>
      </c>
      <c r="B22" s="33">
        <f>IF(C22="","",IF(X22="À RENSEIGNER","GIC",X22)&amp;"-"&amp;TEXT(A22,"000"))</f>
        <v/>
      </c>
      <c r="C22" s="36" t="inlineStr">
        <is>
          <t>Resto Beedi, entrée Maalam (2)</t>
        </is>
      </c>
      <c r="D22" s="34">
        <f>IF(C22="","",IF(U22="☑ Oui","Perdu",IF(AD22&lt;&gt;"","Client","Prospect")))</f>
        <v/>
      </c>
      <c r="E22" s="36" t="inlineStr">
        <is>
          <t>Restaurant</t>
        </is>
      </c>
      <c r="F22" s="36" t="n"/>
      <c r="G22" s="44" t="inlineStr">
        <is>
          <t>671616184</t>
        </is>
      </c>
      <c r="H22" s="44" t="n"/>
      <c r="I22" s="36" t="inlineStr">
        <is>
          <t>Beedi</t>
        </is>
      </c>
      <c r="J22" s="36" t="inlineStr">
        <is>
          <t>Beedi, entrée Maalam</t>
        </is>
      </c>
      <c r="K22" s="41" t="n"/>
      <c r="L22" s="41" t="n"/>
      <c r="M22" s="36" t="inlineStr">
        <is>
          <t>Prospection terrain</t>
        </is>
      </c>
      <c r="N22" s="36" t="inlineStr">
        <is>
          <t>Nouveau</t>
        </is>
      </c>
      <c r="O22" s="32" t="n">
        <v>46286</v>
      </c>
      <c r="P22" s="36" t="n"/>
      <c r="Q22" s="36" t="n">
        <v>2</v>
      </c>
      <c r="R22" s="34">
        <f>IF(P22="","",IFERROR(VLOOKUP(P22,T_Produits,2,FALSE),""))</f>
        <v/>
      </c>
      <c r="S22" s="36" t="n"/>
      <c r="T22" s="43" t="n"/>
      <c r="U22" s="43" t="n"/>
      <c r="V22" s="36" t="n"/>
      <c r="W22" s="36" t="inlineStr">
        <is>
          <t>Repris de la fiche de septembre 2026 (semaine 4).</t>
        </is>
      </c>
      <c r="X22" s="33">
        <f>IF(C22="","",Commercial_Id)</f>
        <v/>
      </c>
      <c r="Y22" s="33">
        <f>IF(E22="","",IF(E22="Particulier / ménage","Particulier","Entreprise"))</f>
        <v/>
      </c>
      <c r="Z22" s="39">
        <f>IF(C22="","",COUNTIFS(VC_cle,AK22,VC_type,"Visite sur place"))</f>
        <v/>
      </c>
      <c r="AA22" s="46">
        <f>IF(AL22=0,"",IF(INT(AL22)=0,"",INT(AL22)))</f>
        <v/>
      </c>
      <c r="AB22" s="46">
        <f>IF(AL22=0,"",IF(INDEX(VC_actiondate,ROUND(MOD(AL22,1)*100000,0)-5)=0,"",INDEX(VC_actiondate,ROUND(MOD(AL22,1)*100000,0)-5)))</f>
        <v/>
      </c>
      <c r="AC22" s="33">
        <f>IF(AL22=0,"",INDEX(VC_actiontexte,ROUND(MOD(AL22,1)*100000,0)-5)&amp;"")</f>
        <v/>
      </c>
      <c r="AD22" s="46">
        <f>IF(C22="","",IF(COUNTIFS(Cmd_cle,AK22,Cmd_dateca,"&gt;0")=0,"",SMALL(INDEX(Cmd_dateca+(((Cmd_cle&lt;&gt;AK22)+(Cmd_dateca=0))&gt;0)*1000000,0),1)))</f>
        <v/>
      </c>
      <c r="AE22" s="46">
        <f>IF(C22="","",IF(COUNTIFS(Cmd_cle,AK22,Cmd_dateca,"&gt;0")=0,"",MAX(INDEX((Cmd_cle=AK22)*Cmd_dateca,0))))</f>
        <v/>
      </c>
      <c r="AF22" s="40">
        <f>IF(C22="","",SUMIFS(Cmd_montant,Cmd_cle,AK22,Cmd_dateca,"&gt;0"))</f>
        <v/>
      </c>
      <c r="AG22" s="40">
        <f>IF(C22="","",SUMIFS(Enc_montant,Enc_cle,AK22))</f>
        <v/>
      </c>
      <c r="AH22" s="40">
        <f>IF(C22="","",AF22-AG22)</f>
        <v/>
      </c>
      <c r="AI22" s="33">
        <f>IF(C22="","",IF(D22="Perdu","",IF(AND(AB22&lt;&gt;"",N(AB22)&lt;TODAY()),"Action en retard",IF(AND(D22="Client",AE22&lt;&gt;"",TODAY()-N(AE22)&gt;P_JoursInactif),"Client inactif",IF(AND(D22="Prospect",Z22=0,O22&lt;&gt;"",TODAY()-N(O22)&gt;P_JoursNonVisite),"Jamais visité","")))))</f>
        <v/>
      </c>
      <c r="AJ22" s="33">
        <f>IF(C22="","",C22&amp;" ["&amp;TEXT(A22,"000")&amp;"]")</f>
        <v/>
      </c>
      <c r="AK22" s="33">
        <f>IF(C22="","",X22&amp;"|"&amp;A22)</f>
        <v/>
      </c>
      <c r="AL22" s="47">
        <f>IF(C22="",0,IF(COUNTIFS(VC_cle,AK22)=0,0,MAX(INDEX((VC_cle=AK22)*(VC_date+ROW(VC_date)/100000),0))))</f>
        <v/>
      </c>
      <c r="AM22" s="47">
        <f>IF(AND(C22&lt;&gt;"",N(AB22)&gt;0,D22&lt;&gt;"Perdu"),AB22+ROW()/100000,0)</f>
        <v/>
      </c>
      <c r="AN22" s="48">
        <f>IF(N(AF22)&gt;0,ROUND(AF22,0)+ROW()/1000000,0)</f>
        <v/>
      </c>
    </row>
    <row r="23" ht="18" customHeight="1">
      <c r="A23" s="39" t="n">
        <v>18</v>
      </c>
      <c r="B23" s="33">
        <f>IF(C23="","",IF(X23="À RENSEIGNER","GIC",X23)&amp;"-"&amp;TEXT(A23,"000"))</f>
        <v/>
      </c>
      <c r="C23" s="36" t="inlineStr">
        <is>
          <t>Particulier Mosquée, Cité des Palmiers</t>
        </is>
      </c>
      <c r="D23" s="34">
        <f>IF(C23="","",IF(U23="☑ Oui","Perdu",IF(AD23&lt;&gt;"","Client","Prospect")))</f>
        <v/>
      </c>
      <c r="E23" s="36" t="inlineStr">
        <is>
          <t>Particulier / ménage</t>
        </is>
      </c>
      <c r="F23" s="36" t="n"/>
      <c r="G23" s="44" t="inlineStr">
        <is>
          <t>699727306</t>
        </is>
      </c>
      <c r="H23" s="44" t="n"/>
      <c r="I23" s="36" t="inlineStr">
        <is>
          <t>Cité des Palmiers</t>
        </is>
      </c>
      <c r="J23" s="36" t="inlineStr">
        <is>
          <t>Mosquée, Cité des Palmiers</t>
        </is>
      </c>
      <c r="K23" s="41" t="n"/>
      <c r="L23" s="41" t="n"/>
      <c r="M23" s="36" t="inlineStr">
        <is>
          <t>Prospection terrain</t>
        </is>
      </c>
      <c r="N23" s="36" t="inlineStr">
        <is>
          <t>Nouveau</t>
        </is>
      </c>
      <c r="O23" s="32" t="n">
        <v>46286</v>
      </c>
      <c r="P23" s="36" t="n"/>
      <c r="Q23" s="36" t="n">
        <v>4</v>
      </c>
      <c r="R23" s="34">
        <f>IF(P23="","",IFERROR(VLOOKUP(P23,T_Produits,2,FALSE),""))</f>
        <v/>
      </c>
      <c r="S23" s="36" t="n"/>
      <c r="T23" s="43" t="n"/>
      <c r="U23" s="43" t="n"/>
      <c r="V23" s="36" t="n"/>
      <c r="W23" s="36" t="inlineStr">
        <is>
          <t>Repris de la fiche de septembre 2026 (semaine 4).</t>
        </is>
      </c>
      <c r="X23" s="33">
        <f>IF(C23="","",Commercial_Id)</f>
        <v/>
      </c>
      <c r="Y23" s="33">
        <f>IF(E23="","",IF(E23="Particulier / ménage","Particulier","Entreprise"))</f>
        <v/>
      </c>
      <c r="Z23" s="39">
        <f>IF(C23="","",COUNTIFS(VC_cle,AK23,VC_type,"Visite sur place"))</f>
        <v/>
      </c>
      <c r="AA23" s="46">
        <f>IF(AL23=0,"",IF(INT(AL23)=0,"",INT(AL23)))</f>
        <v/>
      </c>
      <c r="AB23" s="46">
        <f>IF(AL23=0,"",IF(INDEX(VC_actiondate,ROUND(MOD(AL23,1)*100000,0)-5)=0,"",INDEX(VC_actiondate,ROUND(MOD(AL23,1)*100000,0)-5)))</f>
        <v/>
      </c>
      <c r="AC23" s="33">
        <f>IF(AL23=0,"",INDEX(VC_actiontexte,ROUND(MOD(AL23,1)*100000,0)-5)&amp;"")</f>
        <v/>
      </c>
      <c r="AD23" s="46">
        <f>IF(C23="","",IF(COUNTIFS(Cmd_cle,AK23,Cmd_dateca,"&gt;0")=0,"",SMALL(INDEX(Cmd_dateca+(((Cmd_cle&lt;&gt;AK23)+(Cmd_dateca=0))&gt;0)*1000000,0),1)))</f>
        <v/>
      </c>
      <c r="AE23" s="46">
        <f>IF(C23="","",IF(COUNTIFS(Cmd_cle,AK23,Cmd_dateca,"&gt;0")=0,"",MAX(INDEX((Cmd_cle=AK23)*Cmd_dateca,0))))</f>
        <v/>
      </c>
      <c r="AF23" s="40">
        <f>IF(C23="","",SUMIFS(Cmd_montant,Cmd_cle,AK23,Cmd_dateca,"&gt;0"))</f>
        <v/>
      </c>
      <c r="AG23" s="40">
        <f>IF(C23="","",SUMIFS(Enc_montant,Enc_cle,AK23))</f>
        <v/>
      </c>
      <c r="AH23" s="40">
        <f>IF(C23="","",AF23-AG23)</f>
        <v/>
      </c>
      <c r="AI23" s="33">
        <f>IF(C23="","",IF(D23="Perdu","",IF(AND(AB23&lt;&gt;"",N(AB23)&lt;TODAY()),"Action en retard",IF(AND(D23="Client",AE23&lt;&gt;"",TODAY()-N(AE23)&gt;P_JoursInactif),"Client inactif",IF(AND(D23="Prospect",Z23=0,O23&lt;&gt;"",TODAY()-N(O23)&gt;P_JoursNonVisite),"Jamais visité","")))))</f>
        <v/>
      </c>
      <c r="AJ23" s="33">
        <f>IF(C23="","",C23&amp;" ["&amp;TEXT(A23,"000")&amp;"]")</f>
        <v/>
      </c>
      <c r="AK23" s="33">
        <f>IF(C23="","",X23&amp;"|"&amp;A23)</f>
        <v/>
      </c>
      <c r="AL23" s="47">
        <f>IF(C23="",0,IF(COUNTIFS(VC_cle,AK23)=0,0,MAX(INDEX((VC_cle=AK23)*(VC_date+ROW(VC_date)/100000),0))))</f>
        <v/>
      </c>
      <c r="AM23" s="47">
        <f>IF(AND(C23&lt;&gt;"",N(AB23)&gt;0,D23&lt;&gt;"Perdu"),AB23+ROW()/100000,0)</f>
        <v/>
      </c>
      <c r="AN23" s="48">
        <f>IF(N(AF23)&gt;0,ROUND(AF23,0)+ROW()/1000000,0)</f>
        <v/>
      </c>
    </row>
    <row r="24" ht="18" customHeight="1">
      <c r="A24" s="39" t="n">
        <v>19</v>
      </c>
      <c r="B24" s="33">
        <f>IF(C24="","",IF(X24="À RENSEIGNER","GIC",X24)&amp;"-"&amp;TEXT(A24,"000"))</f>
        <v/>
      </c>
      <c r="C24" s="36" t="inlineStr">
        <is>
          <t>Particulier PK10</t>
        </is>
      </c>
      <c r="D24" s="34">
        <f>IF(C24="","",IF(U24="☑ Oui","Perdu",IF(AD24&lt;&gt;"","Client","Prospect")))</f>
        <v/>
      </c>
      <c r="E24" s="36" t="inlineStr">
        <is>
          <t>Particulier / ménage</t>
        </is>
      </c>
      <c r="F24" s="36" t="n"/>
      <c r="G24" s="44" t="inlineStr">
        <is>
          <t>650623291</t>
        </is>
      </c>
      <c r="H24" s="44" t="n"/>
      <c r="I24" s="36" t="inlineStr">
        <is>
          <t>PK10</t>
        </is>
      </c>
      <c r="J24" s="36" t="inlineStr">
        <is>
          <t>PK10</t>
        </is>
      </c>
      <c r="K24" s="41" t="n"/>
      <c r="L24" s="41" t="n"/>
      <c r="M24" s="36" t="inlineStr">
        <is>
          <t>Prospection terrain</t>
        </is>
      </c>
      <c r="N24" s="36" t="inlineStr">
        <is>
          <t>Nouveau</t>
        </is>
      </c>
      <c r="O24" s="32" t="n">
        <v>46286</v>
      </c>
      <c r="P24" s="36" t="n"/>
      <c r="Q24" s="36" t="n">
        <v>7</v>
      </c>
      <c r="R24" s="34">
        <f>IF(P24="","",IFERROR(VLOOKUP(P24,T_Produits,2,FALSE),""))</f>
        <v/>
      </c>
      <c r="S24" s="36" t="n"/>
      <c r="T24" s="43" t="n"/>
      <c r="U24" s="43" t="n"/>
      <c r="V24" s="36" t="n"/>
      <c r="W24" s="36" t="inlineStr">
        <is>
          <t>Repris de la fiche de septembre 2026 (semaine 4).</t>
        </is>
      </c>
      <c r="X24" s="33">
        <f>IF(C24="","",Commercial_Id)</f>
        <v/>
      </c>
      <c r="Y24" s="33">
        <f>IF(E24="","",IF(E24="Particulier / ménage","Particulier","Entreprise"))</f>
        <v/>
      </c>
      <c r="Z24" s="39">
        <f>IF(C24="","",COUNTIFS(VC_cle,AK24,VC_type,"Visite sur place"))</f>
        <v/>
      </c>
      <c r="AA24" s="46">
        <f>IF(AL24=0,"",IF(INT(AL24)=0,"",INT(AL24)))</f>
        <v/>
      </c>
      <c r="AB24" s="46">
        <f>IF(AL24=0,"",IF(INDEX(VC_actiondate,ROUND(MOD(AL24,1)*100000,0)-5)=0,"",INDEX(VC_actiondate,ROUND(MOD(AL24,1)*100000,0)-5)))</f>
        <v/>
      </c>
      <c r="AC24" s="33">
        <f>IF(AL24=0,"",INDEX(VC_actiontexte,ROUND(MOD(AL24,1)*100000,0)-5)&amp;"")</f>
        <v/>
      </c>
      <c r="AD24" s="46">
        <f>IF(C24="","",IF(COUNTIFS(Cmd_cle,AK24,Cmd_dateca,"&gt;0")=0,"",SMALL(INDEX(Cmd_dateca+(((Cmd_cle&lt;&gt;AK24)+(Cmd_dateca=0))&gt;0)*1000000,0),1)))</f>
        <v/>
      </c>
      <c r="AE24" s="46">
        <f>IF(C24="","",IF(COUNTIFS(Cmd_cle,AK24,Cmd_dateca,"&gt;0")=0,"",MAX(INDEX((Cmd_cle=AK24)*Cmd_dateca,0))))</f>
        <v/>
      </c>
      <c r="AF24" s="40">
        <f>IF(C24="","",SUMIFS(Cmd_montant,Cmd_cle,AK24,Cmd_dateca,"&gt;0"))</f>
        <v/>
      </c>
      <c r="AG24" s="40">
        <f>IF(C24="","",SUMIFS(Enc_montant,Enc_cle,AK24))</f>
        <v/>
      </c>
      <c r="AH24" s="40">
        <f>IF(C24="","",AF24-AG24)</f>
        <v/>
      </c>
      <c r="AI24" s="33">
        <f>IF(C24="","",IF(D24="Perdu","",IF(AND(AB24&lt;&gt;"",N(AB24)&lt;TODAY()),"Action en retard",IF(AND(D24="Client",AE24&lt;&gt;"",TODAY()-N(AE24)&gt;P_JoursInactif),"Client inactif",IF(AND(D24="Prospect",Z24=0,O24&lt;&gt;"",TODAY()-N(O24)&gt;P_JoursNonVisite),"Jamais visité","")))))</f>
        <v/>
      </c>
      <c r="AJ24" s="33">
        <f>IF(C24="","",C24&amp;" ["&amp;TEXT(A24,"000")&amp;"]")</f>
        <v/>
      </c>
      <c r="AK24" s="33">
        <f>IF(C24="","",X24&amp;"|"&amp;A24)</f>
        <v/>
      </c>
      <c r="AL24" s="47">
        <f>IF(C24="",0,IF(COUNTIFS(VC_cle,AK24)=0,0,MAX(INDEX((VC_cle=AK24)*(VC_date+ROW(VC_date)/100000),0))))</f>
        <v/>
      </c>
      <c r="AM24" s="47">
        <f>IF(AND(C24&lt;&gt;"",N(AB24)&gt;0,D24&lt;&gt;"Perdu"),AB24+ROW()/100000,0)</f>
        <v/>
      </c>
      <c r="AN24" s="48">
        <f>IF(N(AF24)&gt;0,ROUND(AF24,0)+ROW()/1000000,0)</f>
        <v/>
      </c>
    </row>
    <row r="25" ht="18" customHeight="1">
      <c r="A25" s="39" t="n">
        <v>20</v>
      </c>
      <c r="B25" s="33">
        <f>IF(C25="","",IF(X25="À RENSEIGNER","GIC",X25)&amp;"-"&amp;TEXT(A25,"000"))</f>
        <v/>
      </c>
      <c r="C25" s="36" t="inlineStr">
        <is>
          <t>Resto Hôpital Général, Beedi</t>
        </is>
      </c>
      <c r="D25" s="34">
        <f>IF(C25="","",IF(U25="☑ Oui","Perdu",IF(AD25&lt;&gt;"","Client","Prospect")))</f>
        <v/>
      </c>
      <c r="E25" s="36" t="inlineStr">
        <is>
          <t>Restaurant</t>
        </is>
      </c>
      <c r="F25" s="36" t="n"/>
      <c r="G25" s="44" t="inlineStr">
        <is>
          <t>698752163</t>
        </is>
      </c>
      <c r="H25" s="44" t="n"/>
      <c r="I25" s="36" t="inlineStr">
        <is>
          <t>Beedi</t>
        </is>
      </c>
      <c r="J25" s="36" t="inlineStr">
        <is>
          <t>Hôpital Général, Beedi</t>
        </is>
      </c>
      <c r="K25" s="41" t="n"/>
      <c r="L25" s="41" t="n"/>
      <c r="M25" s="36" t="inlineStr">
        <is>
          <t>Prospection terrain</t>
        </is>
      </c>
      <c r="N25" s="36" t="inlineStr">
        <is>
          <t>Nouveau</t>
        </is>
      </c>
      <c r="O25" s="32" t="n">
        <v>46286</v>
      </c>
      <c r="P25" s="36" t="n"/>
      <c r="Q25" s="36" t="n">
        <v>3</v>
      </c>
      <c r="R25" s="34">
        <f>IF(P25="","",IFERROR(VLOOKUP(P25,T_Produits,2,FALSE),""))</f>
        <v/>
      </c>
      <c r="S25" s="36" t="n"/>
      <c r="T25" s="43" t="n"/>
      <c r="U25" s="43" t="n"/>
      <c r="V25" s="36" t="n"/>
      <c r="W25" s="36" t="inlineStr">
        <is>
          <t>Repris de la fiche de septembre 2026 (semaine 4).</t>
        </is>
      </c>
      <c r="X25" s="33">
        <f>IF(C25="","",Commercial_Id)</f>
        <v/>
      </c>
      <c r="Y25" s="33">
        <f>IF(E25="","",IF(E25="Particulier / ménage","Particulier","Entreprise"))</f>
        <v/>
      </c>
      <c r="Z25" s="39">
        <f>IF(C25="","",COUNTIFS(VC_cle,AK25,VC_type,"Visite sur place"))</f>
        <v/>
      </c>
      <c r="AA25" s="46">
        <f>IF(AL25=0,"",IF(INT(AL25)=0,"",INT(AL25)))</f>
        <v/>
      </c>
      <c r="AB25" s="46">
        <f>IF(AL25=0,"",IF(INDEX(VC_actiondate,ROUND(MOD(AL25,1)*100000,0)-5)=0,"",INDEX(VC_actiondate,ROUND(MOD(AL25,1)*100000,0)-5)))</f>
        <v/>
      </c>
      <c r="AC25" s="33">
        <f>IF(AL25=0,"",INDEX(VC_actiontexte,ROUND(MOD(AL25,1)*100000,0)-5)&amp;"")</f>
        <v/>
      </c>
      <c r="AD25" s="46">
        <f>IF(C25="","",IF(COUNTIFS(Cmd_cle,AK25,Cmd_dateca,"&gt;0")=0,"",SMALL(INDEX(Cmd_dateca+(((Cmd_cle&lt;&gt;AK25)+(Cmd_dateca=0))&gt;0)*1000000,0),1)))</f>
        <v/>
      </c>
      <c r="AE25" s="46">
        <f>IF(C25="","",IF(COUNTIFS(Cmd_cle,AK25,Cmd_dateca,"&gt;0")=0,"",MAX(INDEX((Cmd_cle=AK25)*Cmd_dateca,0))))</f>
        <v/>
      </c>
      <c r="AF25" s="40">
        <f>IF(C25="","",SUMIFS(Cmd_montant,Cmd_cle,AK25,Cmd_dateca,"&gt;0"))</f>
        <v/>
      </c>
      <c r="AG25" s="40">
        <f>IF(C25="","",SUMIFS(Enc_montant,Enc_cle,AK25))</f>
        <v/>
      </c>
      <c r="AH25" s="40">
        <f>IF(C25="","",AF25-AG25)</f>
        <v/>
      </c>
      <c r="AI25" s="33">
        <f>IF(C25="","",IF(D25="Perdu","",IF(AND(AB25&lt;&gt;"",N(AB25)&lt;TODAY()),"Action en retard",IF(AND(D25="Client",AE25&lt;&gt;"",TODAY()-N(AE25)&gt;P_JoursInactif),"Client inactif",IF(AND(D25="Prospect",Z25=0,O25&lt;&gt;"",TODAY()-N(O25)&gt;P_JoursNonVisite),"Jamais visité","")))))</f>
        <v/>
      </c>
      <c r="AJ25" s="33">
        <f>IF(C25="","",C25&amp;" ["&amp;TEXT(A25,"000")&amp;"]")</f>
        <v/>
      </c>
      <c r="AK25" s="33">
        <f>IF(C25="","",X25&amp;"|"&amp;A25)</f>
        <v/>
      </c>
      <c r="AL25" s="47">
        <f>IF(C25="",0,IF(COUNTIFS(VC_cle,AK25)=0,0,MAX(INDEX((VC_cle=AK25)*(VC_date+ROW(VC_date)/100000),0))))</f>
        <v/>
      </c>
      <c r="AM25" s="47">
        <f>IF(AND(C25&lt;&gt;"",N(AB25)&gt;0,D25&lt;&gt;"Perdu"),AB25+ROW()/100000,0)</f>
        <v/>
      </c>
      <c r="AN25" s="48">
        <f>IF(N(AF25)&gt;0,ROUND(AF25,0)+ROW()/1000000,0)</f>
        <v/>
      </c>
    </row>
    <row r="26" ht="18" customHeight="1">
      <c r="A26" s="39" t="n">
        <v>21</v>
      </c>
      <c r="B26" s="33">
        <f>IF(C26="","",IF(X26="À RENSEIGNER","GIC",X26)&amp;"-"&amp;TEXT(A26,"000"))</f>
        <v/>
      </c>
      <c r="C26" s="36" t="inlineStr">
        <is>
          <t>Resto Beedi Total</t>
        </is>
      </c>
      <c r="D26" s="34">
        <f>IF(C26="","",IF(U26="☑ Oui","Perdu",IF(AD26&lt;&gt;"","Client","Prospect")))</f>
        <v/>
      </c>
      <c r="E26" s="36" t="inlineStr">
        <is>
          <t>Restaurant</t>
        </is>
      </c>
      <c r="F26" s="36" t="n"/>
      <c r="G26" s="44" t="inlineStr">
        <is>
          <t>677887433</t>
        </is>
      </c>
      <c r="H26" s="44" t="n"/>
      <c r="I26" s="36" t="inlineStr">
        <is>
          <t>Beedi</t>
        </is>
      </c>
      <c r="J26" s="36" t="inlineStr">
        <is>
          <t>Beedi Total</t>
        </is>
      </c>
      <c r="K26" s="41" t="n"/>
      <c r="L26" s="41" t="n"/>
      <c r="M26" s="36" t="inlineStr">
        <is>
          <t>Prospection terrain</t>
        </is>
      </c>
      <c r="N26" s="36" t="inlineStr">
        <is>
          <t>Nouveau</t>
        </is>
      </c>
      <c r="O26" s="32" t="n">
        <v>46286</v>
      </c>
      <c r="P26" s="36" t="n"/>
      <c r="Q26" s="36" t="n">
        <v>3</v>
      </c>
      <c r="R26" s="34">
        <f>IF(P26="","",IFERROR(VLOOKUP(P26,T_Produits,2,FALSE),""))</f>
        <v/>
      </c>
      <c r="S26" s="36" t="n"/>
      <c r="T26" s="43" t="n"/>
      <c r="U26" s="43" t="n"/>
      <c r="V26" s="36" t="n"/>
      <c r="W26" s="36" t="inlineStr">
        <is>
          <t>Repris de la fiche de septembre 2026 (semaine 4).</t>
        </is>
      </c>
      <c r="X26" s="33">
        <f>IF(C26="","",Commercial_Id)</f>
        <v/>
      </c>
      <c r="Y26" s="33">
        <f>IF(E26="","",IF(E26="Particulier / ménage","Particulier","Entreprise"))</f>
        <v/>
      </c>
      <c r="Z26" s="39">
        <f>IF(C26="","",COUNTIFS(VC_cle,AK26,VC_type,"Visite sur place"))</f>
        <v/>
      </c>
      <c r="AA26" s="46">
        <f>IF(AL26=0,"",IF(INT(AL26)=0,"",INT(AL26)))</f>
        <v/>
      </c>
      <c r="AB26" s="46">
        <f>IF(AL26=0,"",IF(INDEX(VC_actiondate,ROUND(MOD(AL26,1)*100000,0)-5)=0,"",INDEX(VC_actiondate,ROUND(MOD(AL26,1)*100000,0)-5)))</f>
        <v/>
      </c>
      <c r="AC26" s="33">
        <f>IF(AL26=0,"",INDEX(VC_actiontexte,ROUND(MOD(AL26,1)*100000,0)-5)&amp;"")</f>
        <v/>
      </c>
      <c r="AD26" s="46">
        <f>IF(C26="","",IF(COUNTIFS(Cmd_cle,AK26,Cmd_dateca,"&gt;0")=0,"",SMALL(INDEX(Cmd_dateca+(((Cmd_cle&lt;&gt;AK26)+(Cmd_dateca=0))&gt;0)*1000000,0),1)))</f>
        <v/>
      </c>
      <c r="AE26" s="46">
        <f>IF(C26="","",IF(COUNTIFS(Cmd_cle,AK26,Cmd_dateca,"&gt;0")=0,"",MAX(INDEX((Cmd_cle=AK26)*Cmd_dateca,0))))</f>
        <v/>
      </c>
      <c r="AF26" s="40">
        <f>IF(C26="","",SUMIFS(Cmd_montant,Cmd_cle,AK26,Cmd_dateca,"&gt;0"))</f>
        <v/>
      </c>
      <c r="AG26" s="40">
        <f>IF(C26="","",SUMIFS(Enc_montant,Enc_cle,AK26))</f>
        <v/>
      </c>
      <c r="AH26" s="40">
        <f>IF(C26="","",AF26-AG26)</f>
        <v/>
      </c>
      <c r="AI26" s="33">
        <f>IF(C26="","",IF(D26="Perdu","",IF(AND(AB26&lt;&gt;"",N(AB26)&lt;TODAY()),"Action en retard",IF(AND(D26="Client",AE26&lt;&gt;"",TODAY()-N(AE26)&gt;P_JoursInactif),"Client inactif",IF(AND(D26="Prospect",Z26=0,O26&lt;&gt;"",TODAY()-N(O26)&gt;P_JoursNonVisite),"Jamais visité","")))))</f>
        <v/>
      </c>
      <c r="AJ26" s="33">
        <f>IF(C26="","",C26&amp;" ["&amp;TEXT(A26,"000")&amp;"]")</f>
        <v/>
      </c>
      <c r="AK26" s="33">
        <f>IF(C26="","",X26&amp;"|"&amp;A26)</f>
        <v/>
      </c>
      <c r="AL26" s="47">
        <f>IF(C26="",0,IF(COUNTIFS(VC_cle,AK26)=0,0,MAX(INDEX((VC_cle=AK26)*(VC_date+ROW(VC_date)/100000),0))))</f>
        <v/>
      </c>
      <c r="AM26" s="47">
        <f>IF(AND(C26&lt;&gt;"",N(AB26)&gt;0,D26&lt;&gt;"Perdu"),AB26+ROW()/100000,0)</f>
        <v/>
      </c>
      <c r="AN26" s="48">
        <f>IF(N(AF26)&gt;0,ROUND(AF26,0)+ROW()/1000000,0)</f>
        <v/>
      </c>
    </row>
    <row r="27" ht="18" customHeight="1">
      <c r="A27" s="39" t="n">
        <v>22</v>
      </c>
      <c r="B27" s="33">
        <f>IF(C27="","",IF(X27="À RENSEIGNER","GIC",X27)&amp;"-"&amp;TEXT(A27,"000"))</f>
        <v/>
      </c>
      <c r="C27" s="36" t="inlineStr">
        <is>
          <t>Revendeur Cité des Palmiers</t>
        </is>
      </c>
      <c r="D27" s="34">
        <f>IF(C27="","",IF(U27="☑ Oui","Perdu",IF(AD27&lt;&gt;"","Client","Prospect")))</f>
        <v/>
      </c>
      <c r="E27" s="36" t="inlineStr">
        <is>
          <t>Revendeur / détaillant de marché</t>
        </is>
      </c>
      <c r="F27" s="36" t="n"/>
      <c r="G27" s="44" t="inlineStr">
        <is>
          <t>652534958</t>
        </is>
      </c>
      <c r="H27" s="44" t="n"/>
      <c r="I27" s="36" t="inlineStr">
        <is>
          <t>Cité des Palmiers</t>
        </is>
      </c>
      <c r="J27" s="36" t="inlineStr">
        <is>
          <t>Cité des Palmiers</t>
        </is>
      </c>
      <c r="K27" s="41" t="n"/>
      <c r="L27" s="41" t="n"/>
      <c r="M27" s="36" t="inlineStr">
        <is>
          <t>Prospection terrain</t>
        </is>
      </c>
      <c r="N27" s="36" t="inlineStr">
        <is>
          <t>Nouveau</t>
        </is>
      </c>
      <c r="O27" s="32" t="n">
        <v>46286</v>
      </c>
      <c r="P27" s="36" t="n"/>
      <c r="Q27" s="36" t="n">
        <v>5</v>
      </c>
      <c r="R27" s="34">
        <f>IF(P27="","",IFERROR(VLOOKUP(P27,T_Produits,2,FALSE),""))</f>
        <v/>
      </c>
      <c r="S27" s="36" t="n"/>
      <c r="T27" s="43" t="n"/>
      <c r="U27" s="43" t="n"/>
      <c r="V27" s="36" t="n"/>
      <c r="W27" s="36" t="inlineStr">
        <is>
          <t>Repris de la fiche de septembre 2026 (semaine 4).</t>
        </is>
      </c>
      <c r="X27" s="33">
        <f>IF(C27="","",Commercial_Id)</f>
        <v/>
      </c>
      <c r="Y27" s="33">
        <f>IF(E27="","",IF(E27="Particulier / ménage","Particulier","Entreprise"))</f>
        <v/>
      </c>
      <c r="Z27" s="39">
        <f>IF(C27="","",COUNTIFS(VC_cle,AK27,VC_type,"Visite sur place"))</f>
        <v/>
      </c>
      <c r="AA27" s="46">
        <f>IF(AL27=0,"",IF(INT(AL27)=0,"",INT(AL27)))</f>
        <v/>
      </c>
      <c r="AB27" s="46">
        <f>IF(AL27=0,"",IF(INDEX(VC_actiondate,ROUND(MOD(AL27,1)*100000,0)-5)=0,"",INDEX(VC_actiondate,ROUND(MOD(AL27,1)*100000,0)-5)))</f>
        <v/>
      </c>
      <c r="AC27" s="33">
        <f>IF(AL27=0,"",INDEX(VC_actiontexte,ROUND(MOD(AL27,1)*100000,0)-5)&amp;"")</f>
        <v/>
      </c>
      <c r="AD27" s="46">
        <f>IF(C27="","",IF(COUNTIFS(Cmd_cle,AK27,Cmd_dateca,"&gt;0")=0,"",SMALL(INDEX(Cmd_dateca+(((Cmd_cle&lt;&gt;AK27)+(Cmd_dateca=0))&gt;0)*1000000,0),1)))</f>
        <v/>
      </c>
      <c r="AE27" s="46">
        <f>IF(C27="","",IF(COUNTIFS(Cmd_cle,AK27,Cmd_dateca,"&gt;0")=0,"",MAX(INDEX((Cmd_cle=AK27)*Cmd_dateca,0))))</f>
        <v/>
      </c>
      <c r="AF27" s="40">
        <f>IF(C27="","",SUMIFS(Cmd_montant,Cmd_cle,AK27,Cmd_dateca,"&gt;0"))</f>
        <v/>
      </c>
      <c r="AG27" s="40">
        <f>IF(C27="","",SUMIFS(Enc_montant,Enc_cle,AK27))</f>
        <v/>
      </c>
      <c r="AH27" s="40">
        <f>IF(C27="","",AF27-AG27)</f>
        <v/>
      </c>
      <c r="AI27" s="33">
        <f>IF(C27="","",IF(D27="Perdu","",IF(AND(AB27&lt;&gt;"",N(AB27)&lt;TODAY()),"Action en retard",IF(AND(D27="Client",AE27&lt;&gt;"",TODAY()-N(AE27)&gt;P_JoursInactif),"Client inactif",IF(AND(D27="Prospect",Z27=0,O27&lt;&gt;"",TODAY()-N(O27)&gt;P_JoursNonVisite),"Jamais visité","")))))</f>
        <v/>
      </c>
      <c r="AJ27" s="33">
        <f>IF(C27="","",C27&amp;" ["&amp;TEXT(A27,"000")&amp;"]")</f>
        <v/>
      </c>
      <c r="AK27" s="33">
        <f>IF(C27="","",X27&amp;"|"&amp;A27)</f>
        <v/>
      </c>
      <c r="AL27" s="47">
        <f>IF(C27="",0,IF(COUNTIFS(VC_cle,AK27)=0,0,MAX(INDEX((VC_cle=AK27)*(VC_date+ROW(VC_date)/100000),0))))</f>
        <v/>
      </c>
      <c r="AM27" s="47">
        <f>IF(AND(C27&lt;&gt;"",N(AB27)&gt;0,D27&lt;&gt;"Perdu"),AB27+ROW()/100000,0)</f>
        <v/>
      </c>
      <c r="AN27" s="48">
        <f>IF(N(AF27)&gt;0,ROUND(AF27,0)+ROW()/1000000,0)</f>
        <v/>
      </c>
    </row>
    <row r="28" ht="18" customHeight="1">
      <c r="A28" s="39" t="n">
        <v>23</v>
      </c>
      <c r="B28" s="33">
        <f>IF(C28="","",IF(X28="À RENSEIGNER","GIC",X28)&amp;"-"&amp;TEXT(A28,"000"))</f>
        <v/>
      </c>
      <c r="C28" s="36" t="inlineStr">
        <is>
          <t>Revendeur PK13</t>
        </is>
      </c>
      <c r="D28" s="34">
        <f>IF(C28="","",IF(U28="☑ Oui","Perdu",IF(AD28&lt;&gt;"","Client","Prospect")))</f>
        <v/>
      </c>
      <c r="E28" s="36" t="inlineStr">
        <is>
          <t>Revendeur / détaillant de marché</t>
        </is>
      </c>
      <c r="F28" s="36" t="n"/>
      <c r="G28" s="44" t="inlineStr">
        <is>
          <t>679655008</t>
        </is>
      </c>
      <c r="H28" s="44" t="n"/>
      <c r="I28" s="36" t="inlineStr">
        <is>
          <t>PK13</t>
        </is>
      </c>
      <c r="J28" s="36" t="inlineStr">
        <is>
          <t>PK13</t>
        </is>
      </c>
      <c r="K28" s="41" t="n"/>
      <c r="L28" s="41" t="n"/>
      <c r="M28" s="36" t="inlineStr">
        <is>
          <t>Prospection terrain</t>
        </is>
      </c>
      <c r="N28" s="36" t="inlineStr">
        <is>
          <t>Nouveau</t>
        </is>
      </c>
      <c r="O28" s="32" t="n">
        <v>46286</v>
      </c>
      <c r="P28" s="36" t="n"/>
      <c r="Q28" s="36" t="n">
        <v>4</v>
      </c>
      <c r="R28" s="34">
        <f>IF(P28="","",IFERROR(VLOOKUP(P28,T_Produits,2,FALSE),""))</f>
        <v/>
      </c>
      <c r="S28" s="36" t="n"/>
      <c r="T28" s="43" t="n"/>
      <c r="U28" s="43" t="n"/>
      <c r="V28" s="36" t="n"/>
      <c r="W28" s="36" t="inlineStr">
        <is>
          <t>Repris de la fiche de septembre 2026 (semaine 4).</t>
        </is>
      </c>
      <c r="X28" s="33">
        <f>IF(C28="","",Commercial_Id)</f>
        <v/>
      </c>
      <c r="Y28" s="33">
        <f>IF(E28="","",IF(E28="Particulier / ménage","Particulier","Entreprise"))</f>
        <v/>
      </c>
      <c r="Z28" s="39">
        <f>IF(C28="","",COUNTIFS(VC_cle,AK28,VC_type,"Visite sur place"))</f>
        <v/>
      </c>
      <c r="AA28" s="46">
        <f>IF(AL28=0,"",IF(INT(AL28)=0,"",INT(AL28)))</f>
        <v/>
      </c>
      <c r="AB28" s="46">
        <f>IF(AL28=0,"",IF(INDEX(VC_actiondate,ROUND(MOD(AL28,1)*100000,0)-5)=0,"",INDEX(VC_actiondate,ROUND(MOD(AL28,1)*100000,0)-5)))</f>
        <v/>
      </c>
      <c r="AC28" s="33">
        <f>IF(AL28=0,"",INDEX(VC_actiontexte,ROUND(MOD(AL28,1)*100000,0)-5)&amp;"")</f>
        <v/>
      </c>
      <c r="AD28" s="46">
        <f>IF(C28="","",IF(COUNTIFS(Cmd_cle,AK28,Cmd_dateca,"&gt;0")=0,"",SMALL(INDEX(Cmd_dateca+(((Cmd_cle&lt;&gt;AK28)+(Cmd_dateca=0))&gt;0)*1000000,0),1)))</f>
        <v/>
      </c>
      <c r="AE28" s="46">
        <f>IF(C28="","",IF(COUNTIFS(Cmd_cle,AK28,Cmd_dateca,"&gt;0")=0,"",MAX(INDEX((Cmd_cle=AK28)*Cmd_dateca,0))))</f>
        <v/>
      </c>
      <c r="AF28" s="40">
        <f>IF(C28="","",SUMIFS(Cmd_montant,Cmd_cle,AK28,Cmd_dateca,"&gt;0"))</f>
        <v/>
      </c>
      <c r="AG28" s="40">
        <f>IF(C28="","",SUMIFS(Enc_montant,Enc_cle,AK28))</f>
        <v/>
      </c>
      <c r="AH28" s="40">
        <f>IF(C28="","",AF28-AG28)</f>
        <v/>
      </c>
      <c r="AI28" s="33">
        <f>IF(C28="","",IF(D28="Perdu","",IF(AND(AB28&lt;&gt;"",N(AB28)&lt;TODAY()),"Action en retard",IF(AND(D28="Client",AE28&lt;&gt;"",TODAY()-N(AE28)&gt;P_JoursInactif),"Client inactif",IF(AND(D28="Prospect",Z28=0,O28&lt;&gt;"",TODAY()-N(O28)&gt;P_JoursNonVisite),"Jamais visité","")))))</f>
        <v/>
      </c>
      <c r="AJ28" s="33">
        <f>IF(C28="","",C28&amp;" ["&amp;TEXT(A28,"000")&amp;"]")</f>
        <v/>
      </c>
      <c r="AK28" s="33">
        <f>IF(C28="","",X28&amp;"|"&amp;A28)</f>
        <v/>
      </c>
      <c r="AL28" s="47">
        <f>IF(C28="",0,IF(COUNTIFS(VC_cle,AK28)=0,0,MAX(INDEX((VC_cle=AK28)*(VC_date+ROW(VC_date)/100000),0))))</f>
        <v/>
      </c>
      <c r="AM28" s="47">
        <f>IF(AND(C28&lt;&gt;"",N(AB28)&gt;0,D28&lt;&gt;"Perdu"),AB28+ROW()/100000,0)</f>
        <v/>
      </c>
      <c r="AN28" s="48">
        <f>IF(N(AF28)&gt;0,ROUND(AF28,0)+ROW()/1000000,0)</f>
        <v/>
      </c>
    </row>
    <row r="29" ht="18" customHeight="1">
      <c r="A29" s="39" t="n">
        <v>24</v>
      </c>
      <c r="B29" s="33">
        <f>IF(C29="","",IF(X29="À RENSEIGNER","GIC",X29)&amp;"-"&amp;TEXT(A29,"000"))</f>
        <v/>
      </c>
      <c r="C29" s="36" t="inlineStr">
        <is>
          <t>Particulier PK9</t>
        </is>
      </c>
      <c r="D29" s="34">
        <f>IF(C29="","",IF(U29="☑ Oui","Perdu",IF(AD29&lt;&gt;"","Client","Prospect")))</f>
        <v/>
      </c>
      <c r="E29" s="36" t="inlineStr">
        <is>
          <t>Particulier / ménage</t>
        </is>
      </c>
      <c r="F29" s="36" t="n"/>
      <c r="G29" s="44" t="inlineStr">
        <is>
          <t>691747845</t>
        </is>
      </c>
      <c r="H29" s="44" t="n"/>
      <c r="I29" s="36" t="inlineStr">
        <is>
          <t>PK9</t>
        </is>
      </c>
      <c r="J29" s="36" t="inlineStr">
        <is>
          <t>PK9</t>
        </is>
      </c>
      <c r="K29" s="41" t="n"/>
      <c r="L29" s="41" t="n"/>
      <c r="M29" s="36" t="inlineStr">
        <is>
          <t>Prospection terrain</t>
        </is>
      </c>
      <c r="N29" s="36" t="inlineStr">
        <is>
          <t>Nouveau</t>
        </is>
      </c>
      <c r="O29" s="32" t="n">
        <v>46286</v>
      </c>
      <c r="P29" s="36" t="n"/>
      <c r="Q29" s="36" t="n">
        <v>3</v>
      </c>
      <c r="R29" s="34">
        <f>IF(P29="","",IFERROR(VLOOKUP(P29,T_Produits,2,FALSE),""))</f>
        <v/>
      </c>
      <c r="S29" s="36" t="n"/>
      <c r="T29" s="43" t="n"/>
      <c r="U29" s="43" t="n"/>
      <c r="V29" s="36" t="n"/>
      <c r="W29" s="36" t="inlineStr">
        <is>
          <t>Repris de la fiche de septembre 2026 (semaine 4).</t>
        </is>
      </c>
      <c r="X29" s="33">
        <f>IF(C29="","",Commercial_Id)</f>
        <v/>
      </c>
      <c r="Y29" s="33">
        <f>IF(E29="","",IF(E29="Particulier / ménage","Particulier","Entreprise"))</f>
        <v/>
      </c>
      <c r="Z29" s="39">
        <f>IF(C29="","",COUNTIFS(VC_cle,AK29,VC_type,"Visite sur place"))</f>
        <v/>
      </c>
      <c r="AA29" s="46">
        <f>IF(AL29=0,"",IF(INT(AL29)=0,"",INT(AL29)))</f>
        <v/>
      </c>
      <c r="AB29" s="46">
        <f>IF(AL29=0,"",IF(INDEX(VC_actiondate,ROUND(MOD(AL29,1)*100000,0)-5)=0,"",INDEX(VC_actiondate,ROUND(MOD(AL29,1)*100000,0)-5)))</f>
        <v/>
      </c>
      <c r="AC29" s="33">
        <f>IF(AL29=0,"",INDEX(VC_actiontexte,ROUND(MOD(AL29,1)*100000,0)-5)&amp;"")</f>
        <v/>
      </c>
      <c r="AD29" s="46">
        <f>IF(C29="","",IF(COUNTIFS(Cmd_cle,AK29,Cmd_dateca,"&gt;0")=0,"",SMALL(INDEX(Cmd_dateca+(((Cmd_cle&lt;&gt;AK29)+(Cmd_dateca=0))&gt;0)*1000000,0),1)))</f>
        <v/>
      </c>
      <c r="AE29" s="46">
        <f>IF(C29="","",IF(COUNTIFS(Cmd_cle,AK29,Cmd_dateca,"&gt;0")=0,"",MAX(INDEX((Cmd_cle=AK29)*Cmd_dateca,0))))</f>
        <v/>
      </c>
      <c r="AF29" s="40">
        <f>IF(C29="","",SUMIFS(Cmd_montant,Cmd_cle,AK29,Cmd_dateca,"&gt;0"))</f>
        <v/>
      </c>
      <c r="AG29" s="40">
        <f>IF(C29="","",SUMIFS(Enc_montant,Enc_cle,AK29))</f>
        <v/>
      </c>
      <c r="AH29" s="40">
        <f>IF(C29="","",AF29-AG29)</f>
        <v/>
      </c>
      <c r="AI29" s="33">
        <f>IF(C29="","",IF(D29="Perdu","",IF(AND(AB29&lt;&gt;"",N(AB29)&lt;TODAY()),"Action en retard",IF(AND(D29="Client",AE29&lt;&gt;"",TODAY()-N(AE29)&gt;P_JoursInactif),"Client inactif",IF(AND(D29="Prospect",Z29=0,O29&lt;&gt;"",TODAY()-N(O29)&gt;P_JoursNonVisite),"Jamais visité","")))))</f>
        <v/>
      </c>
      <c r="AJ29" s="33">
        <f>IF(C29="","",C29&amp;" ["&amp;TEXT(A29,"000")&amp;"]")</f>
        <v/>
      </c>
      <c r="AK29" s="33">
        <f>IF(C29="","",X29&amp;"|"&amp;A29)</f>
        <v/>
      </c>
      <c r="AL29" s="47">
        <f>IF(C29="",0,IF(COUNTIFS(VC_cle,AK29)=0,0,MAX(INDEX((VC_cle=AK29)*(VC_date+ROW(VC_date)/100000),0))))</f>
        <v/>
      </c>
      <c r="AM29" s="47">
        <f>IF(AND(C29&lt;&gt;"",N(AB29)&gt;0,D29&lt;&gt;"Perdu"),AB29+ROW()/100000,0)</f>
        <v/>
      </c>
      <c r="AN29" s="48">
        <f>IF(N(AF29)&gt;0,ROUND(AF29,0)+ROW()/1000000,0)</f>
        <v/>
      </c>
    </row>
    <row r="30" ht="18" customHeight="1">
      <c r="A30" s="39" t="n">
        <v>25</v>
      </c>
      <c r="B30" s="33">
        <f>IF(C30="","",IF(X30="À RENSEIGNER","GIC",X30)&amp;"-"&amp;TEXT(A30,"000"))</f>
        <v/>
      </c>
      <c r="C30" s="36" t="inlineStr">
        <is>
          <t>Revendeur Beedi, entrée Charli</t>
        </is>
      </c>
      <c r="D30" s="34">
        <f>IF(C30="","",IF(U30="☑ Oui","Perdu",IF(AD30&lt;&gt;"","Client","Prospect")))</f>
        <v/>
      </c>
      <c r="E30" s="36" t="inlineStr">
        <is>
          <t>Revendeur / détaillant de marché</t>
        </is>
      </c>
      <c r="F30" s="36" t="n"/>
      <c r="G30" s="44" t="inlineStr">
        <is>
          <t>698124237</t>
        </is>
      </c>
      <c r="H30" s="44" t="n"/>
      <c r="I30" s="36" t="inlineStr">
        <is>
          <t>Beedi</t>
        </is>
      </c>
      <c r="J30" s="36" t="inlineStr">
        <is>
          <t>Beedi, entrée Charli</t>
        </is>
      </c>
      <c r="K30" s="41" t="n"/>
      <c r="L30" s="41" t="n"/>
      <c r="M30" s="36" t="inlineStr">
        <is>
          <t>Prospection terrain</t>
        </is>
      </c>
      <c r="N30" s="36" t="inlineStr">
        <is>
          <t>Nouveau</t>
        </is>
      </c>
      <c r="O30" s="32" t="n">
        <v>46286</v>
      </c>
      <c r="P30" s="36" t="n"/>
      <c r="Q30" s="36" t="n">
        <v>5</v>
      </c>
      <c r="R30" s="34">
        <f>IF(P30="","",IFERROR(VLOOKUP(P30,T_Produits,2,FALSE),""))</f>
        <v/>
      </c>
      <c r="S30" s="36" t="n"/>
      <c r="T30" s="43" t="n"/>
      <c r="U30" s="43" t="n"/>
      <c r="V30" s="36" t="n"/>
      <c r="W30" s="36" t="inlineStr">
        <is>
          <t>Repris de la fiche de septembre 2026 (semaine 4).</t>
        </is>
      </c>
      <c r="X30" s="33">
        <f>IF(C30="","",Commercial_Id)</f>
        <v/>
      </c>
      <c r="Y30" s="33">
        <f>IF(E30="","",IF(E30="Particulier / ménage","Particulier","Entreprise"))</f>
        <v/>
      </c>
      <c r="Z30" s="39">
        <f>IF(C30="","",COUNTIFS(VC_cle,AK30,VC_type,"Visite sur place"))</f>
        <v/>
      </c>
      <c r="AA30" s="46">
        <f>IF(AL30=0,"",IF(INT(AL30)=0,"",INT(AL30)))</f>
        <v/>
      </c>
      <c r="AB30" s="46">
        <f>IF(AL30=0,"",IF(INDEX(VC_actiondate,ROUND(MOD(AL30,1)*100000,0)-5)=0,"",INDEX(VC_actiondate,ROUND(MOD(AL30,1)*100000,0)-5)))</f>
        <v/>
      </c>
      <c r="AC30" s="33">
        <f>IF(AL30=0,"",INDEX(VC_actiontexte,ROUND(MOD(AL30,1)*100000,0)-5)&amp;"")</f>
        <v/>
      </c>
      <c r="AD30" s="46">
        <f>IF(C30="","",IF(COUNTIFS(Cmd_cle,AK30,Cmd_dateca,"&gt;0")=0,"",SMALL(INDEX(Cmd_dateca+(((Cmd_cle&lt;&gt;AK30)+(Cmd_dateca=0))&gt;0)*1000000,0),1)))</f>
        <v/>
      </c>
      <c r="AE30" s="46">
        <f>IF(C30="","",IF(COUNTIFS(Cmd_cle,AK30,Cmd_dateca,"&gt;0")=0,"",MAX(INDEX((Cmd_cle=AK30)*Cmd_dateca,0))))</f>
        <v/>
      </c>
      <c r="AF30" s="40">
        <f>IF(C30="","",SUMIFS(Cmd_montant,Cmd_cle,AK30,Cmd_dateca,"&gt;0"))</f>
        <v/>
      </c>
      <c r="AG30" s="40">
        <f>IF(C30="","",SUMIFS(Enc_montant,Enc_cle,AK30))</f>
        <v/>
      </c>
      <c r="AH30" s="40">
        <f>IF(C30="","",AF30-AG30)</f>
        <v/>
      </c>
      <c r="AI30" s="33">
        <f>IF(C30="","",IF(D30="Perdu","",IF(AND(AB30&lt;&gt;"",N(AB30)&lt;TODAY()),"Action en retard",IF(AND(D30="Client",AE30&lt;&gt;"",TODAY()-N(AE30)&gt;P_JoursInactif),"Client inactif",IF(AND(D30="Prospect",Z30=0,O30&lt;&gt;"",TODAY()-N(O30)&gt;P_JoursNonVisite),"Jamais visité","")))))</f>
        <v/>
      </c>
      <c r="AJ30" s="33">
        <f>IF(C30="","",C30&amp;" ["&amp;TEXT(A30,"000")&amp;"]")</f>
        <v/>
      </c>
      <c r="AK30" s="33">
        <f>IF(C30="","",X30&amp;"|"&amp;A30)</f>
        <v/>
      </c>
      <c r="AL30" s="47">
        <f>IF(C30="",0,IF(COUNTIFS(VC_cle,AK30)=0,0,MAX(INDEX((VC_cle=AK30)*(VC_date+ROW(VC_date)/100000),0))))</f>
        <v/>
      </c>
      <c r="AM30" s="47">
        <f>IF(AND(C30&lt;&gt;"",N(AB30)&gt;0,D30&lt;&gt;"Perdu"),AB30+ROW()/100000,0)</f>
        <v/>
      </c>
      <c r="AN30" s="48">
        <f>IF(N(AF30)&gt;0,ROUND(AF30,0)+ROW()/1000000,0)</f>
        <v/>
      </c>
    </row>
    <row r="31" ht="18" customHeight="1">
      <c r="A31" s="39" t="n">
        <v>26</v>
      </c>
      <c r="B31" s="33">
        <f>IF(C31="","",IF(X31="À RENSEIGNER","GIC",X31)&amp;"-"&amp;TEXT(A31,"000"))</f>
        <v/>
      </c>
      <c r="C31" s="36" t="inlineStr">
        <is>
          <t>Revendeur Carrefour Conquête</t>
        </is>
      </c>
      <c r="D31" s="34">
        <f>IF(C31="","",IF(U31="☑ Oui","Perdu",IF(AD31&lt;&gt;"","Client","Prospect")))</f>
        <v/>
      </c>
      <c r="E31" s="36" t="inlineStr">
        <is>
          <t>Revendeur / détaillant de marché</t>
        </is>
      </c>
      <c r="F31" s="36" t="n"/>
      <c r="G31" s="44" t="inlineStr">
        <is>
          <t>659369295</t>
        </is>
      </c>
      <c r="H31" s="44" t="n"/>
      <c r="I31" s="36" t="n"/>
      <c r="J31" s="36" t="inlineStr">
        <is>
          <t>Carrefour Conquête</t>
        </is>
      </c>
      <c r="K31" s="41" t="n"/>
      <c r="L31" s="41" t="n"/>
      <c r="M31" s="36" t="inlineStr">
        <is>
          <t>Prospection terrain</t>
        </is>
      </c>
      <c r="N31" s="36" t="inlineStr">
        <is>
          <t>Nouveau</t>
        </is>
      </c>
      <c r="O31" s="32" t="n">
        <v>46286</v>
      </c>
      <c r="P31" s="36" t="n"/>
      <c r="Q31" s="36" t="n">
        <v>5</v>
      </c>
      <c r="R31" s="34">
        <f>IF(P31="","",IFERROR(VLOOKUP(P31,T_Produits,2,FALSE),""))</f>
        <v/>
      </c>
      <c r="S31" s="36" t="n"/>
      <c r="T31" s="43" t="n"/>
      <c r="U31" s="43" t="n"/>
      <c r="V31" s="36" t="n"/>
      <c r="W31" s="36" t="inlineStr">
        <is>
          <t>Repris de la fiche de septembre 2026 (semaine 4).</t>
        </is>
      </c>
      <c r="X31" s="33">
        <f>IF(C31="","",Commercial_Id)</f>
        <v/>
      </c>
      <c r="Y31" s="33">
        <f>IF(E31="","",IF(E31="Particulier / ménage","Particulier","Entreprise"))</f>
        <v/>
      </c>
      <c r="Z31" s="39">
        <f>IF(C31="","",COUNTIFS(VC_cle,AK31,VC_type,"Visite sur place"))</f>
        <v/>
      </c>
      <c r="AA31" s="46">
        <f>IF(AL31=0,"",IF(INT(AL31)=0,"",INT(AL31)))</f>
        <v/>
      </c>
      <c r="AB31" s="46">
        <f>IF(AL31=0,"",IF(INDEX(VC_actiondate,ROUND(MOD(AL31,1)*100000,0)-5)=0,"",INDEX(VC_actiondate,ROUND(MOD(AL31,1)*100000,0)-5)))</f>
        <v/>
      </c>
      <c r="AC31" s="33">
        <f>IF(AL31=0,"",INDEX(VC_actiontexte,ROUND(MOD(AL31,1)*100000,0)-5)&amp;"")</f>
        <v/>
      </c>
      <c r="AD31" s="46">
        <f>IF(C31="","",IF(COUNTIFS(Cmd_cle,AK31,Cmd_dateca,"&gt;0")=0,"",SMALL(INDEX(Cmd_dateca+(((Cmd_cle&lt;&gt;AK31)+(Cmd_dateca=0))&gt;0)*1000000,0),1)))</f>
        <v/>
      </c>
      <c r="AE31" s="46">
        <f>IF(C31="","",IF(COUNTIFS(Cmd_cle,AK31,Cmd_dateca,"&gt;0")=0,"",MAX(INDEX((Cmd_cle=AK31)*Cmd_dateca,0))))</f>
        <v/>
      </c>
      <c r="AF31" s="40">
        <f>IF(C31="","",SUMIFS(Cmd_montant,Cmd_cle,AK31,Cmd_dateca,"&gt;0"))</f>
        <v/>
      </c>
      <c r="AG31" s="40">
        <f>IF(C31="","",SUMIFS(Enc_montant,Enc_cle,AK31))</f>
        <v/>
      </c>
      <c r="AH31" s="40">
        <f>IF(C31="","",AF31-AG31)</f>
        <v/>
      </c>
      <c r="AI31" s="33">
        <f>IF(C31="","",IF(D31="Perdu","",IF(AND(AB31&lt;&gt;"",N(AB31)&lt;TODAY()),"Action en retard",IF(AND(D31="Client",AE31&lt;&gt;"",TODAY()-N(AE31)&gt;P_JoursInactif),"Client inactif",IF(AND(D31="Prospect",Z31=0,O31&lt;&gt;"",TODAY()-N(O31)&gt;P_JoursNonVisite),"Jamais visité","")))))</f>
        <v/>
      </c>
      <c r="AJ31" s="33">
        <f>IF(C31="","",C31&amp;" ["&amp;TEXT(A31,"000")&amp;"]")</f>
        <v/>
      </c>
      <c r="AK31" s="33">
        <f>IF(C31="","",X31&amp;"|"&amp;A31)</f>
        <v/>
      </c>
      <c r="AL31" s="47">
        <f>IF(C31="",0,IF(COUNTIFS(VC_cle,AK31)=0,0,MAX(INDEX((VC_cle=AK31)*(VC_date+ROW(VC_date)/100000),0))))</f>
        <v/>
      </c>
      <c r="AM31" s="47">
        <f>IF(AND(C31&lt;&gt;"",N(AB31)&gt;0,D31&lt;&gt;"Perdu"),AB31+ROW()/100000,0)</f>
        <v/>
      </c>
      <c r="AN31" s="48">
        <f>IF(N(AF31)&gt;0,ROUND(AF31,0)+ROW()/1000000,0)</f>
        <v/>
      </c>
    </row>
    <row r="32" ht="18" customHeight="1">
      <c r="A32" s="39" t="n">
        <v>27</v>
      </c>
      <c r="B32" s="33">
        <f>IF(C32="","",IF(X32="À RENSEIGNER","GIC",X32)&amp;"-"&amp;TEXT(A32,"000"))</f>
        <v/>
      </c>
      <c r="C32" s="36" t="n"/>
      <c r="D32" s="34">
        <f>IF(C32="","",IF(U32="☑ Oui","Perdu",IF(AD32&lt;&gt;"","Client","Prospect")))</f>
        <v/>
      </c>
      <c r="E32" s="36" t="n"/>
      <c r="F32" s="36" t="n"/>
      <c r="G32" s="44" t="n"/>
      <c r="H32" s="44" t="n"/>
      <c r="I32" s="36" t="n"/>
      <c r="J32" s="36" t="n"/>
      <c r="K32" s="41" t="n"/>
      <c r="L32" s="41" t="n"/>
      <c r="M32" s="36" t="n"/>
      <c r="N32" s="36" t="n"/>
      <c r="O32" s="32" t="n"/>
      <c r="P32" s="36" t="n"/>
      <c r="Q32" s="36" t="n"/>
      <c r="R32" s="34">
        <f>IF(P32="","",IFERROR(VLOOKUP(P32,T_Produits,2,FALSE),""))</f>
        <v/>
      </c>
      <c r="S32" s="36" t="n"/>
      <c r="T32" s="43" t="n"/>
      <c r="U32" s="43" t="n"/>
      <c r="V32" s="36" t="n"/>
      <c r="W32" s="36" t="n"/>
      <c r="X32" s="33">
        <f>IF(C32="","",Commercial_Id)</f>
        <v/>
      </c>
      <c r="Y32" s="33">
        <f>IF(E32="","",IF(E32="Particulier / ménage","Particulier","Entreprise"))</f>
        <v/>
      </c>
      <c r="Z32" s="39">
        <f>IF(C32="","",COUNTIFS(VC_cle,AK32,VC_type,"Visite sur place"))</f>
        <v/>
      </c>
      <c r="AA32" s="46">
        <f>IF(AL32=0,"",IF(INT(AL32)=0,"",INT(AL32)))</f>
        <v/>
      </c>
      <c r="AB32" s="46">
        <f>IF(AL32=0,"",IF(INDEX(VC_actiondate,ROUND(MOD(AL32,1)*100000,0)-5)=0,"",INDEX(VC_actiondate,ROUND(MOD(AL32,1)*100000,0)-5)))</f>
        <v/>
      </c>
      <c r="AC32" s="33">
        <f>IF(AL32=0,"",INDEX(VC_actiontexte,ROUND(MOD(AL32,1)*100000,0)-5)&amp;"")</f>
        <v/>
      </c>
      <c r="AD32" s="46">
        <f>IF(C32="","",IF(COUNTIFS(Cmd_cle,AK32,Cmd_dateca,"&gt;0")=0,"",SMALL(INDEX(Cmd_dateca+(((Cmd_cle&lt;&gt;AK32)+(Cmd_dateca=0))&gt;0)*1000000,0),1)))</f>
        <v/>
      </c>
      <c r="AE32" s="46">
        <f>IF(C32="","",IF(COUNTIFS(Cmd_cle,AK32,Cmd_dateca,"&gt;0")=0,"",MAX(INDEX((Cmd_cle=AK32)*Cmd_dateca,0))))</f>
        <v/>
      </c>
      <c r="AF32" s="40">
        <f>IF(C32="","",SUMIFS(Cmd_montant,Cmd_cle,AK32,Cmd_dateca,"&gt;0"))</f>
        <v/>
      </c>
      <c r="AG32" s="40">
        <f>IF(C32="","",SUMIFS(Enc_montant,Enc_cle,AK32))</f>
        <v/>
      </c>
      <c r="AH32" s="40">
        <f>IF(C32="","",AF32-AG32)</f>
        <v/>
      </c>
      <c r="AI32" s="33">
        <f>IF(C32="","",IF(D32="Perdu","",IF(AND(AB32&lt;&gt;"",N(AB32)&lt;TODAY()),"Action en retard",IF(AND(D32="Client",AE32&lt;&gt;"",TODAY()-N(AE32)&gt;P_JoursInactif),"Client inactif",IF(AND(D32="Prospect",Z32=0,O32&lt;&gt;"",TODAY()-N(O32)&gt;P_JoursNonVisite),"Jamais visité","")))))</f>
        <v/>
      </c>
      <c r="AJ32" s="33">
        <f>IF(C32="","",C32&amp;" ["&amp;TEXT(A32,"000")&amp;"]")</f>
        <v/>
      </c>
      <c r="AK32" s="33">
        <f>IF(C32="","",X32&amp;"|"&amp;A32)</f>
        <v/>
      </c>
      <c r="AL32" s="47">
        <f>IF(C32="",0,IF(COUNTIFS(VC_cle,AK32)=0,0,MAX(INDEX((VC_cle=AK32)*(VC_date+ROW(VC_date)/100000),0))))</f>
        <v/>
      </c>
      <c r="AM32" s="47">
        <f>IF(AND(C32&lt;&gt;"",N(AB32)&gt;0,D32&lt;&gt;"Perdu"),AB32+ROW()/100000,0)</f>
        <v/>
      </c>
      <c r="AN32" s="48">
        <f>IF(N(AF32)&gt;0,ROUND(AF32,0)+ROW()/1000000,0)</f>
        <v/>
      </c>
    </row>
    <row r="33" ht="18" customHeight="1">
      <c r="A33" s="39" t="n">
        <v>28</v>
      </c>
      <c r="B33" s="33">
        <f>IF(C33="","",IF(X33="À RENSEIGNER","GIC",X33)&amp;"-"&amp;TEXT(A33,"000"))</f>
        <v/>
      </c>
      <c r="C33" s="36" t="n"/>
      <c r="D33" s="34">
        <f>IF(C33="","",IF(U33="☑ Oui","Perdu",IF(AD33&lt;&gt;"","Client","Prospect")))</f>
        <v/>
      </c>
      <c r="E33" s="36" t="n"/>
      <c r="F33" s="36" t="n"/>
      <c r="G33" s="44" t="n"/>
      <c r="H33" s="44" t="n"/>
      <c r="I33" s="36" t="n"/>
      <c r="J33" s="36" t="n"/>
      <c r="K33" s="41" t="n"/>
      <c r="L33" s="41" t="n"/>
      <c r="M33" s="36" t="n"/>
      <c r="N33" s="36" t="n"/>
      <c r="O33" s="32" t="n"/>
      <c r="P33" s="36" t="n"/>
      <c r="Q33" s="36" t="n"/>
      <c r="R33" s="34">
        <f>IF(P33="","",IFERROR(VLOOKUP(P33,T_Produits,2,FALSE),""))</f>
        <v/>
      </c>
      <c r="S33" s="36" t="n"/>
      <c r="T33" s="43" t="n"/>
      <c r="U33" s="43" t="n"/>
      <c r="V33" s="36" t="n"/>
      <c r="W33" s="36" t="n"/>
      <c r="X33" s="33">
        <f>IF(C33="","",Commercial_Id)</f>
        <v/>
      </c>
      <c r="Y33" s="33">
        <f>IF(E33="","",IF(E33="Particulier / ménage","Particulier","Entreprise"))</f>
        <v/>
      </c>
      <c r="Z33" s="39">
        <f>IF(C33="","",COUNTIFS(VC_cle,AK33,VC_type,"Visite sur place"))</f>
        <v/>
      </c>
      <c r="AA33" s="46">
        <f>IF(AL33=0,"",IF(INT(AL33)=0,"",INT(AL33)))</f>
        <v/>
      </c>
      <c r="AB33" s="46">
        <f>IF(AL33=0,"",IF(INDEX(VC_actiondate,ROUND(MOD(AL33,1)*100000,0)-5)=0,"",INDEX(VC_actiondate,ROUND(MOD(AL33,1)*100000,0)-5)))</f>
        <v/>
      </c>
      <c r="AC33" s="33">
        <f>IF(AL33=0,"",INDEX(VC_actiontexte,ROUND(MOD(AL33,1)*100000,0)-5)&amp;"")</f>
        <v/>
      </c>
      <c r="AD33" s="46">
        <f>IF(C33="","",IF(COUNTIFS(Cmd_cle,AK33,Cmd_dateca,"&gt;0")=0,"",SMALL(INDEX(Cmd_dateca+(((Cmd_cle&lt;&gt;AK33)+(Cmd_dateca=0))&gt;0)*1000000,0),1)))</f>
        <v/>
      </c>
      <c r="AE33" s="46">
        <f>IF(C33="","",IF(COUNTIFS(Cmd_cle,AK33,Cmd_dateca,"&gt;0")=0,"",MAX(INDEX((Cmd_cle=AK33)*Cmd_dateca,0))))</f>
        <v/>
      </c>
      <c r="AF33" s="40">
        <f>IF(C33="","",SUMIFS(Cmd_montant,Cmd_cle,AK33,Cmd_dateca,"&gt;0"))</f>
        <v/>
      </c>
      <c r="AG33" s="40">
        <f>IF(C33="","",SUMIFS(Enc_montant,Enc_cle,AK33))</f>
        <v/>
      </c>
      <c r="AH33" s="40">
        <f>IF(C33="","",AF33-AG33)</f>
        <v/>
      </c>
      <c r="AI33" s="33">
        <f>IF(C33="","",IF(D33="Perdu","",IF(AND(AB33&lt;&gt;"",N(AB33)&lt;TODAY()),"Action en retard",IF(AND(D33="Client",AE33&lt;&gt;"",TODAY()-N(AE33)&gt;P_JoursInactif),"Client inactif",IF(AND(D33="Prospect",Z33=0,O33&lt;&gt;"",TODAY()-N(O33)&gt;P_JoursNonVisite),"Jamais visité","")))))</f>
        <v/>
      </c>
      <c r="AJ33" s="33">
        <f>IF(C33="","",C33&amp;" ["&amp;TEXT(A33,"000")&amp;"]")</f>
        <v/>
      </c>
      <c r="AK33" s="33">
        <f>IF(C33="","",X33&amp;"|"&amp;A33)</f>
        <v/>
      </c>
      <c r="AL33" s="47">
        <f>IF(C33="",0,IF(COUNTIFS(VC_cle,AK33)=0,0,MAX(INDEX((VC_cle=AK33)*(VC_date+ROW(VC_date)/100000),0))))</f>
        <v/>
      </c>
      <c r="AM33" s="47">
        <f>IF(AND(C33&lt;&gt;"",N(AB33)&gt;0,D33&lt;&gt;"Perdu"),AB33+ROW()/100000,0)</f>
        <v/>
      </c>
      <c r="AN33" s="48">
        <f>IF(N(AF33)&gt;0,ROUND(AF33,0)+ROW()/1000000,0)</f>
        <v/>
      </c>
    </row>
    <row r="34" ht="18" customHeight="1">
      <c r="A34" s="39" t="n">
        <v>29</v>
      </c>
      <c r="B34" s="33">
        <f>IF(C34="","",IF(X34="À RENSEIGNER","GIC",X34)&amp;"-"&amp;TEXT(A34,"000"))</f>
        <v/>
      </c>
      <c r="C34" s="36" t="n"/>
      <c r="D34" s="34">
        <f>IF(C34="","",IF(U34="☑ Oui","Perdu",IF(AD34&lt;&gt;"","Client","Prospect")))</f>
        <v/>
      </c>
      <c r="E34" s="36" t="n"/>
      <c r="F34" s="36" t="n"/>
      <c r="G34" s="44" t="n"/>
      <c r="H34" s="44" t="n"/>
      <c r="I34" s="36" t="n"/>
      <c r="J34" s="36" t="n"/>
      <c r="K34" s="41" t="n"/>
      <c r="L34" s="41" t="n"/>
      <c r="M34" s="36" t="n"/>
      <c r="N34" s="36" t="n"/>
      <c r="O34" s="32" t="n"/>
      <c r="P34" s="36" t="n"/>
      <c r="Q34" s="36" t="n"/>
      <c r="R34" s="34">
        <f>IF(P34="","",IFERROR(VLOOKUP(P34,T_Produits,2,FALSE),""))</f>
        <v/>
      </c>
      <c r="S34" s="36" t="n"/>
      <c r="T34" s="43" t="n"/>
      <c r="U34" s="43" t="n"/>
      <c r="V34" s="36" t="n"/>
      <c r="W34" s="36" t="n"/>
      <c r="X34" s="33">
        <f>IF(C34="","",Commercial_Id)</f>
        <v/>
      </c>
      <c r="Y34" s="33">
        <f>IF(E34="","",IF(E34="Particulier / ménage","Particulier","Entreprise"))</f>
        <v/>
      </c>
      <c r="Z34" s="39">
        <f>IF(C34="","",COUNTIFS(VC_cle,AK34,VC_type,"Visite sur place"))</f>
        <v/>
      </c>
      <c r="AA34" s="46">
        <f>IF(AL34=0,"",IF(INT(AL34)=0,"",INT(AL34)))</f>
        <v/>
      </c>
      <c r="AB34" s="46">
        <f>IF(AL34=0,"",IF(INDEX(VC_actiondate,ROUND(MOD(AL34,1)*100000,0)-5)=0,"",INDEX(VC_actiondate,ROUND(MOD(AL34,1)*100000,0)-5)))</f>
        <v/>
      </c>
      <c r="AC34" s="33">
        <f>IF(AL34=0,"",INDEX(VC_actiontexte,ROUND(MOD(AL34,1)*100000,0)-5)&amp;"")</f>
        <v/>
      </c>
      <c r="AD34" s="46">
        <f>IF(C34="","",IF(COUNTIFS(Cmd_cle,AK34,Cmd_dateca,"&gt;0")=0,"",SMALL(INDEX(Cmd_dateca+(((Cmd_cle&lt;&gt;AK34)+(Cmd_dateca=0))&gt;0)*1000000,0),1)))</f>
        <v/>
      </c>
      <c r="AE34" s="46">
        <f>IF(C34="","",IF(COUNTIFS(Cmd_cle,AK34,Cmd_dateca,"&gt;0")=0,"",MAX(INDEX((Cmd_cle=AK34)*Cmd_dateca,0))))</f>
        <v/>
      </c>
      <c r="AF34" s="40">
        <f>IF(C34="","",SUMIFS(Cmd_montant,Cmd_cle,AK34,Cmd_dateca,"&gt;0"))</f>
        <v/>
      </c>
      <c r="AG34" s="40">
        <f>IF(C34="","",SUMIFS(Enc_montant,Enc_cle,AK34))</f>
        <v/>
      </c>
      <c r="AH34" s="40">
        <f>IF(C34="","",AF34-AG34)</f>
        <v/>
      </c>
      <c r="AI34" s="33">
        <f>IF(C34="","",IF(D34="Perdu","",IF(AND(AB34&lt;&gt;"",N(AB34)&lt;TODAY()),"Action en retard",IF(AND(D34="Client",AE34&lt;&gt;"",TODAY()-N(AE34)&gt;P_JoursInactif),"Client inactif",IF(AND(D34="Prospect",Z34=0,O34&lt;&gt;"",TODAY()-N(O34)&gt;P_JoursNonVisite),"Jamais visité","")))))</f>
        <v/>
      </c>
      <c r="AJ34" s="33">
        <f>IF(C34="","",C34&amp;" ["&amp;TEXT(A34,"000")&amp;"]")</f>
        <v/>
      </c>
      <c r="AK34" s="33">
        <f>IF(C34="","",X34&amp;"|"&amp;A34)</f>
        <v/>
      </c>
      <c r="AL34" s="47">
        <f>IF(C34="",0,IF(COUNTIFS(VC_cle,AK34)=0,0,MAX(INDEX((VC_cle=AK34)*(VC_date+ROW(VC_date)/100000),0))))</f>
        <v/>
      </c>
      <c r="AM34" s="47">
        <f>IF(AND(C34&lt;&gt;"",N(AB34)&gt;0,D34&lt;&gt;"Perdu"),AB34+ROW()/100000,0)</f>
        <v/>
      </c>
      <c r="AN34" s="48">
        <f>IF(N(AF34)&gt;0,ROUND(AF34,0)+ROW()/1000000,0)</f>
        <v/>
      </c>
    </row>
    <row r="35" ht="18" customHeight="1">
      <c r="A35" s="39" t="n">
        <v>30</v>
      </c>
      <c r="B35" s="33">
        <f>IF(C35="","",IF(X35="À RENSEIGNER","GIC",X35)&amp;"-"&amp;TEXT(A35,"000"))</f>
        <v/>
      </c>
      <c r="C35" s="36" t="n"/>
      <c r="D35" s="34">
        <f>IF(C35="","",IF(U35="☑ Oui","Perdu",IF(AD35&lt;&gt;"","Client","Prospect")))</f>
        <v/>
      </c>
      <c r="E35" s="36" t="n"/>
      <c r="F35" s="36" t="n"/>
      <c r="G35" s="44" t="n"/>
      <c r="H35" s="44" t="n"/>
      <c r="I35" s="36" t="n"/>
      <c r="J35" s="36" t="n"/>
      <c r="K35" s="41" t="n"/>
      <c r="L35" s="41" t="n"/>
      <c r="M35" s="36" t="n"/>
      <c r="N35" s="36" t="n"/>
      <c r="O35" s="32" t="n"/>
      <c r="P35" s="36" t="n"/>
      <c r="Q35" s="36" t="n"/>
      <c r="R35" s="34">
        <f>IF(P35="","",IFERROR(VLOOKUP(P35,T_Produits,2,FALSE),""))</f>
        <v/>
      </c>
      <c r="S35" s="36" t="n"/>
      <c r="T35" s="43" t="n"/>
      <c r="U35" s="43" t="n"/>
      <c r="V35" s="36" t="n"/>
      <c r="W35" s="36" t="n"/>
      <c r="X35" s="33">
        <f>IF(C35="","",Commercial_Id)</f>
        <v/>
      </c>
      <c r="Y35" s="33">
        <f>IF(E35="","",IF(E35="Particulier / ménage","Particulier","Entreprise"))</f>
        <v/>
      </c>
      <c r="Z35" s="39">
        <f>IF(C35="","",COUNTIFS(VC_cle,AK35,VC_type,"Visite sur place"))</f>
        <v/>
      </c>
      <c r="AA35" s="46">
        <f>IF(AL35=0,"",IF(INT(AL35)=0,"",INT(AL35)))</f>
        <v/>
      </c>
      <c r="AB35" s="46">
        <f>IF(AL35=0,"",IF(INDEX(VC_actiondate,ROUND(MOD(AL35,1)*100000,0)-5)=0,"",INDEX(VC_actiondate,ROUND(MOD(AL35,1)*100000,0)-5)))</f>
        <v/>
      </c>
      <c r="AC35" s="33">
        <f>IF(AL35=0,"",INDEX(VC_actiontexte,ROUND(MOD(AL35,1)*100000,0)-5)&amp;"")</f>
        <v/>
      </c>
      <c r="AD35" s="46">
        <f>IF(C35="","",IF(COUNTIFS(Cmd_cle,AK35,Cmd_dateca,"&gt;0")=0,"",SMALL(INDEX(Cmd_dateca+(((Cmd_cle&lt;&gt;AK35)+(Cmd_dateca=0))&gt;0)*1000000,0),1)))</f>
        <v/>
      </c>
      <c r="AE35" s="46">
        <f>IF(C35="","",IF(COUNTIFS(Cmd_cle,AK35,Cmd_dateca,"&gt;0")=0,"",MAX(INDEX((Cmd_cle=AK35)*Cmd_dateca,0))))</f>
        <v/>
      </c>
      <c r="AF35" s="40">
        <f>IF(C35="","",SUMIFS(Cmd_montant,Cmd_cle,AK35,Cmd_dateca,"&gt;0"))</f>
        <v/>
      </c>
      <c r="AG35" s="40">
        <f>IF(C35="","",SUMIFS(Enc_montant,Enc_cle,AK35))</f>
        <v/>
      </c>
      <c r="AH35" s="40">
        <f>IF(C35="","",AF35-AG35)</f>
        <v/>
      </c>
      <c r="AI35" s="33">
        <f>IF(C35="","",IF(D35="Perdu","",IF(AND(AB35&lt;&gt;"",N(AB35)&lt;TODAY()),"Action en retard",IF(AND(D35="Client",AE35&lt;&gt;"",TODAY()-N(AE35)&gt;P_JoursInactif),"Client inactif",IF(AND(D35="Prospect",Z35=0,O35&lt;&gt;"",TODAY()-N(O35)&gt;P_JoursNonVisite),"Jamais visité","")))))</f>
        <v/>
      </c>
      <c r="AJ35" s="33">
        <f>IF(C35="","",C35&amp;" ["&amp;TEXT(A35,"000")&amp;"]")</f>
        <v/>
      </c>
      <c r="AK35" s="33">
        <f>IF(C35="","",X35&amp;"|"&amp;A35)</f>
        <v/>
      </c>
      <c r="AL35" s="47">
        <f>IF(C35="",0,IF(COUNTIFS(VC_cle,AK35)=0,0,MAX(INDEX((VC_cle=AK35)*(VC_date+ROW(VC_date)/100000),0))))</f>
        <v/>
      </c>
      <c r="AM35" s="47">
        <f>IF(AND(C35&lt;&gt;"",N(AB35)&gt;0,D35&lt;&gt;"Perdu"),AB35+ROW()/100000,0)</f>
        <v/>
      </c>
      <c r="AN35" s="48">
        <f>IF(N(AF35)&gt;0,ROUND(AF35,0)+ROW()/1000000,0)</f>
        <v/>
      </c>
    </row>
    <row r="36" ht="18" customHeight="1">
      <c r="A36" s="39" t="n">
        <v>31</v>
      </c>
      <c r="B36" s="33">
        <f>IF(C36="","",IF(X36="À RENSEIGNER","GIC",X36)&amp;"-"&amp;TEXT(A36,"000"))</f>
        <v/>
      </c>
      <c r="C36" s="36" t="n"/>
      <c r="D36" s="34">
        <f>IF(C36="","",IF(U36="☑ Oui","Perdu",IF(AD36&lt;&gt;"","Client","Prospect")))</f>
        <v/>
      </c>
      <c r="E36" s="36" t="n"/>
      <c r="F36" s="36" t="n"/>
      <c r="G36" s="44" t="n"/>
      <c r="H36" s="44" t="n"/>
      <c r="I36" s="36" t="n"/>
      <c r="J36" s="36" t="n"/>
      <c r="K36" s="41" t="n"/>
      <c r="L36" s="41" t="n"/>
      <c r="M36" s="36" t="n"/>
      <c r="N36" s="36" t="n"/>
      <c r="O36" s="32" t="n"/>
      <c r="P36" s="36" t="n"/>
      <c r="Q36" s="36" t="n"/>
      <c r="R36" s="34">
        <f>IF(P36="","",IFERROR(VLOOKUP(P36,T_Produits,2,FALSE),""))</f>
        <v/>
      </c>
      <c r="S36" s="36" t="n"/>
      <c r="T36" s="43" t="n"/>
      <c r="U36" s="43" t="n"/>
      <c r="V36" s="36" t="n"/>
      <c r="W36" s="36" t="n"/>
      <c r="X36" s="33">
        <f>IF(C36="","",Commercial_Id)</f>
        <v/>
      </c>
      <c r="Y36" s="33">
        <f>IF(E36="","",IF(E36="Particulier / ménage","Particulier","Entreprise"))</f>
        <v/>
      </c>
      <c r="Z36" s="39">
        <f>IF(C36="","",COUNTIFS(VC_cle,AK36,VC_type,"Visite sur place"))</f>
        <v/>
      </c>
      <c r="AA36" s="46">
        <f>IF(AL36=0,"",IF(INT(AL36)=0,"",INT(AL36)))</f>
        <v/>
      </c>
      <c r="AB36" s="46">
        <f>IF(AL36=0,"",IF(INDEX(VC_actiondate,ROUND(MOD(AL36,1)*100000,0)-5)=0,"",INDEX(VC_actiondate,ROUND(MOD(AL36,1)*100000,0)-5)))</f>
        <v/>
      </c>
      <c r="AC36" s="33">
        <f>IF(AL36=0,"",INDEX(VC_actiontexte,ROUND(MOD(AL36,1)*100000,0)-5)&amp;"")</f>
        <v/>
      </c>
      <c r="AD36" s="46">
        <f>IF(C36="","",IF(COUNTIFS(Cmd_cle,AK36,Cmd_dateca,"&gt;0")=0,"",SMALL(INDEX(Cmd_dateca+(((Cmd_cle&lt;&gt;AK36)+(Cmd_dateca=0))&gt;0)*1000000,0),1)))</f>
        <v/>
      </c>
      <c r="AE36" s="46">
        <f>IF(C36="","",IF(COUNTIFS(Cmd_cle,AK36,Cmd_dateca,"&gt;0")=0,"",MAX(INDEX((Cmd_cle=AK36)*Cmd_dateca,0))))</f>
        <v/>
      </c>
      <c r="AF36" s="40">
        <f>IF(C36="","",SUMIFS(Cmd_montant,Cmd_cle,AK36,Cmd_dateca,"&gt;0"))</f>
        <v/>
      </c>
      <c r="AG36" s="40">
        <f>IF(C36="","",SUMIFS(Enc_montant,Enc_cle,AK36))</f>
        <v/>
      </c>
      <c r="AH36" s="40">
        <f>IF(C36="","",AF36-AG36)</f>
        <v/>
      </c>
      <c r="AI36" s="33">
        <f>IF(C36="","",IF(D36="Perdu","",IF(AND(AB36&lt;&gt;"",N(AB36)&lt;TODAY()),"Action en retard",IF(AND(D36="Client",AE36&lt;&gt;"",TODAY()-N(AE36)&gt;P_JoursInactif),"Client inactif",IF(AND(D36="Prospect",Z36=0,O36&lt;&gt;"",TODAY()-N(O36)&gt;P_JoursNonVisite),"Jamais visité","")))))</f>
        <v/>
      </c>
      <c r="AJ36" s="33">
        <f>IF(C36="","",C36&amp;" ["&amp;TEXT(A36,"000")&amp;"]")</f>
        <v/>
      </c>
      <c r="AK36" s="33">
        <f>IF(C36="","",X36&amp;"|"&amp;A36)</f>
        <v/>
      </c>
      <c r="AL36" s="47">
        <f>IF(C36="",0,IF(COUNTIFS(VC_cle,AK36)=0,0,MAX(INDEX((VC_cle=AK36)*(VC_date+ROW(VC_date)/100000),0))))</f>
        <v/>
      </c>
      <c r="AM36" s="47">
        <f>IF(AND(C36&lt;&gt;"",N(AB36)&gt;0,D36&lt;&gt;"Perdu"),AB36+ROW()/100000,0)</f>
        <v/>
      </c>
      <c r="AN36" s="48">
        <f>IF(N(AF36)&gt;0,ROUND(AF36,0)+ROW()/1000000,0)</f>
        <v/>
      </c>
    </row>
    <row r="37" ht="18" customHeight="1">
      <c r="A37" s="39" t="n">
        <v>32</v>
      </c>
      <c r="B37" s="33">
        <f>IF(C37="","",IF(X37="À RENSEIGNER","GIC",X37)&amp;"-"&amp;TEXT(A37,"000"))</f>
        <v/>
      </c>
      <c r="C37" s="36" t="n"/>
      <c r="D37" s="34">
        <f>IF(C37="","",IF(U37="☑ Oui","Perdu",IF(AD37&lt;&gt;"","Client","Prospect")))</f>
        <v/>
      </c>
      <c r="E37" s="36" t="n"/>
      <c r="F37" s="36" t="n"/>
      <c r="G37" s="44" t="n"/>
      <c r="H37" s="44" t="n"/>
      <c r="I37" s="36" t="n"/>
      <c r="J37" s="36" t="n"/>
      <c r="K37" s="41" t="n"/>
      <c r="L37" s="41" t="n"/>
      <c r="M37" s="36" t="n"/>
      <c r="N37" s="36" t="n"/>
      <c r="O37" s="32" t="n"/>
      <c r="P37" s="36" t="n"/>
      <c r="Q37" s="36" t="n"/>
      <c r="R37" s="34">
        <f>IF(P37="","",IFERROR(VLOOKUP(P37,T_Produits,2,FALSE),""))</f>
        <v/>
      </c>
      <c r="S37" s="36" t="n"/>
      <c r="T37" s="43" t="n"/>
      <c r="U37" s="43" t="n"/>
      <c r="V37" s="36" t="n"/>
      <c r="W37" s="36" t="n"/>
      <c r="X37" s="33">
        <f>IF(C37="","",Commercial_Id)</f>
        <v/>
      </c>
      <c r="Y37" s="33">
        <f>IF(E37="","",IF(E37="Particulier / ménage","Particulier","Entreprise"))</f>
        <v/>
      </c>
      <c r="Z37" s="39">
        <f>IF(C37="","",COUNTIFS(VC_cle,AK37,VC_type,"Visite sur place"))</f>
        <v/>
      </c>
      <c r="AA37" s="46">
        <f>IF(AL37=0,"",IF(INT(AL37)=0,"",INT(AL37)))</f>
        <v/>
      </c>
      <c r="AB37" s="46">
        <f>IF(AL37=0,"",IF(INDEX(VC_actiondate,ROUND(MOD(AL37,1)*100000,0)-5)=0,"",INDEX(VC_actiondate,ROUND(MOD(AL37,1)*100000,0)-5)))</f>
        <v/>
      </c>
      <c r="AC37" s="33">
        <f>IF(AL37=0,"",INDEX(VC_actiontexte,ROUND(MOD(AL37,1)*100000,0)-5)&amp;"")</f>
        <v/>
      </c>
      <c r="AD37" s="46">
        <f>IF(C37="","",IF(COUNTIFS(Cmd_cle,AK37,Cmd_dateca,"&gt;0")=0,"",SMALL(INDEX(Cmd_dateca+(((Cmd_cle&lt;&gt;AK37)+(Cmd_dateca=0))&gt;0)*1000000,0),1)))</f>
        <v/>
      </c>
      <c r="AE37" s="46">
        <f>IF(C37="","",IF(COUNTIFS(Cmd_cle,AK37,Cmd_dateca,"&gt;0")=0,"",MAX(INDEX((Cmd_cle=AK37)*Cmd_dateca,0))))</f>
        <v/>
      </c>
      <c r="AF37" s="40">
        <f>IF(C37="","",SUMIFS(Cmd_montant,Cmd_cle,AK37,Cmd_dateca,"&gt;0"))</f>
        <v/>
      </c>
      <c r="AG37" s="40">
        <f>IF(C37="","",SUMIFS(Enc_montant,Enc_cle,AK37))</f>
        <v/>
      </c>
      <c r="AH37" s="40">
        <f>IF(C37="","",AF37-AG37)</f>
        <v/>
      </c>
      <c r="AI37" s="33">
        <f>IF(C37="","",IF(D37="Perdu","",IF(AND(AB37&lt;&gt;"",N(AB37)&lt;TODAY()),"Action en retard",IF(AND(D37="Client",AE37&lt;&gt;"",TODAY()-N(AE37)&gt;P_JoursInactif),"Client inactif",IF(AND(D37="Prospect",Z37=0,O37&lt;&gt;"",TODAY()-N(O37)&gt;P_JoursNonVisite),"Jamais visité","")))))</f>
        <v/>
      </c>
      <c r="AJ37" s="33">
        <f>IF(C37="","",C37&amp;" ["&amp;TEXT(A37,"000")&amp;"]")</f>
        <v/>
      </c>
      <c r="AK37" s="33">
        <f>IF(C37="","",X37&amp;"|"&amp;A37)</f>
        <v/>
      </c>
      <c r="AL37" s="47">
        <f>IF(C37="",0,IF(COUNTIFS(VC_cle,AK37)=0,0,MAX(INDEX((VC_cle=AK37)*(VC_date+ROW(VC_date)/100000),0))))</f>
        <v/>
      </c>
      <c r="AM37" s="47">
        <f>IF(AND(C37&lt;&gt;"",N(AB37)&gt;0,D37&lt;&gt;"Perdu"),AB37+ROW()/100000,0)</f>
        <v/>
      </c>
      <c r="AN37" s="48">
        <f>IF(N(AF37)&gt;0,ROUND(AF37,0)+ROW()/1000000,0)</f>
        <v/>
      </c>
    </row>
    <row r="38" ht="18" customHeight="1">
      <c r="A38" s="39" t="n">
        <v>33</v>
      </c>
      <c r="B38" s="33">
        <f>IF(C38="","",IF(X38="À RENSEIGNER","GIC",X38)&amp;"-"&amp;TEXT(A38,"000"))</f>
        <v/>
      </c>
      <c r="C38" s="36" t="n"/>
      <c r="D38" s="34">
        <f>IF(C38="","",IF(U38="☑ Oui","Perdu",IF(AD38&lt;&gt;"","Client","Prospect")))</f>
        <v/>
      </c>
      <c r="E38" s="36" t="n"/>
      <c r="F38" s="36" t="n"/>
      <c r="G38" s="44" t="n"/>
      <c r="H38" s="44" t="n"/>
      <c r="I38" s="36" t="n"/>
      <c r="J38" s="36" t="n"/>
      <c r="K38" s="41" t="n"/>
      <c r="L38" s="41" t="n"/>
      <c r="M38" s="36" t="n"/>
      <c r="N38" s="36" t="n"/>
      <c r="O38" s="32" t="n"/>
      <c r="P38" s="36" t="n"/>
      <c r="Q38" s="36" t="n"/>
      <c r="R38" s="34">
        <f>IF(P38="","",IFERROR(VLOOKUP(P38,T_Produits,2,FALSE),""))</f>
        <v/>
      </c>
      <c r="S38" s="36" t="n"/>
      <c r="T38" s="43" t="n"/>
      <c r="U38" s="43" t="n"/>
      <c r="V38" s="36" t="n"/>
      <c r="W38" s="36" t="n"/>
      <c r="X38" s="33">
        <f>IF(C38="","",Commercial_Id)</f>
        <v/>
      </c>
      <c r="Y38" s="33">
        <f>IF(E38="","",IF(E38="Particulier / ménage","Particulier","Entreprise"))</f>
        <v/>
      </c>
      <c r="Z38" s="39">
        <f>IF(C38="","",COUNTIFS(VC_cle,AK38,VC_type,"Visite sur place"))</f>
        <v/>
      </c>
      <c r="AA38" s="46">
        <f>IF(AL38=0,"",IF(INT(AL38)=0,"",INT(AL38)))</f>
        <v/>
      </c>
      <c r="AB38" s="46">
        <f>IF(AL38=0,"",IF(INDEX(VC_actiondate,ROUND(MOD(AL38,1)*100000,0)-5)=0,"",INDEX(VC_actiondate,ROUND(MOD(AL38,1)*100000,0)-5)))</f>
        <v/>
      </c>
      <c r="AC38" s="33">
        <f>IF(AL38=0,"",INDEX(VC_actiontexte,ROUND(MOD(AL38,1)*100000,0)-5)&amp;"")</f>
        <v/>
      </c>
      <c r="AD38" s="46">
        <f>IF(C38="","",IF(COUNTIFS(Cmd_cle,AK38,Cmd_dateca,"&gt;0")=0,"",SMALL(INDEX(Cmd_dateca+(((Cmd_cle&lt;&gt;AK38)+(Cmd_dateca=0))&gt;0)*1000000,0),1)))</f>
        <v/>
      </c>
      <c r="AE38" s="46">
        <f>IF(C38="","",IF(COUNTIFS(Cmd_cle,AK38,Cmd_dateca,"&gt;0")=0,"",MAX(INDEX((Cmd_cle=AK38)*Cmd_dateca,0))))</f>
        <v/>
      </c>
      <c r="AF38" s="40">
        <f>IF(C38="","",SUMIFS(Cmd_montant,Cmd_cle,AK38,Cmd_dateca,"&gt;0"))</f>
        <v/>
      </c>
      <c r="AG38" s="40">
        <f>IF(C38="","",SUMIFS(Enc_montant,Enc_cle,AK38))</f>
        <v/>
      </c>
      <c r="AH38" s="40">
        <f>IF(C38="","",AF38-AG38)</f>
        <v/>
      </c>
      <c r="AI38" s="33">
        <f>IF(C38="","",IF(D38="Perdu","",IF(AND(AB38&lt;&gt;"",N(AB38)&lt;TODAY()),"Action en retard",IF(AND(D38="Client",AE38&lt;&gt;"",TODAY()-N(AE38)&gt;P_JoursInactif),"Client inactif",IF(AND(D38="Prospect",Z38=0,O38&lt;&gt;"",TODAY()-N(O38)&gt;P_JoursNonVisite),"Jamais visité","")))))</f>
        <v/>
      </c>
      <c r="AJ38" s="33">
        <f>IF(C38="","",C38&amp;" ["&amp;TEXT(A38,"000")&amp;"]")</f>
        <v/>
      </c>
      <c r="AK38" s="33">
        <f>IF(C38="","",X38&amp;"|"&amp;A38)</f>
        <v/>
      </c>
      <c r="AL38" s="47">
        <f>IF(C38="",0,IF(COUNTIFS(VC_cle,AK38)=0,0,MAX(INDEX((VC_cle=AK38)*(VC_date+ROW(VC_date)/100000),0))))</f>
        <v/>
      </c>
      <c r="AM38" s="47">
        <f>IF(AND(C38&lt;&gt;"",N(AB38)&gt;0,D38&lt;&gt;"Perdu"),AB38+ROW()/100000,0)</f>
        <v/>
      </c>
      <c r="AN38" s="48">
        <f>IF(N(AF38)&gt;0,ROUND(AF38,0)+ROW()/1000000,0)</f>
        <v/>
      </c>
    </row>
    <row r="39" ht="18" customHeight="1">
      <c r="A39" s="39" t="n">
        <v>34</v>
      </c>
      <c r="B39" s="33">
        <f>IF(C39="","",IF(X39="À RENSEIGNER","GIC",X39)&amp;"-"&amp;TEXT(A39,"000"))</f>
        <v/>
      </c>
      <c r="C39" s="36" t="n"/>
      <c r="D39" s="34">
        <f>IF(C39="","",IF(U39="☑ Oui","Perdu",IF(AD39&lt;&gt;"","Client","Prospect")))</f>
        <v/>
      </c>
      <c r="E39" s="36" t="n"/>
      <c r="F39" s="36" t="n"/>
      <c r="G39" s="44" t="n"/>
      <c r="H39" s="44" t="n"/>
      <c r="I39" s="36" t="n"/>
      <c r="J39" s="36" t="n"/>
      <c r="K39" s="41" t="n"/>
      <c r="L39" s="41" t="n"/>
      <c r="M39" s="36" t="n"/>
      <c r="N39" s="36" t="n"/>
      <c r="O39" s="32" t="n"/>
      <c r="P39" s="36" t="n"/>
      <c r="Q39" s="36" t="n"/>
      <c r="R39" s="34">
        <f>IF(P39="","",IFERROR(VLOOKUP(P39,T_Produits,2,FALSE),""))</f>
        <v/>
      </c>
      <c r="S39" s="36" t="n"/>
      <c r="T39" s="43" t="n"/>
      <c r="U39" s="43" t="n"/>
      <c r="V39" s="36" t="n"/>
      <c r="W39" s="36" t="n"/>
      <c r="X39" s="33">
        <f>IF(C39="","",Commercial_Id)</f>
        <v/>
      </c>
      <c r="Y39" s="33">
        <f>IF(E39="","",IF(E39="Particulier / ménage","Particulier","Entreprise"))</f>
        <v/>
      </c>
      <c r="Z39" s="39">
        <f>IF(C39="","",COUNTIFS(VC_cle,AK39,VC_type,"Visite sur place"))</f>
        <v/>
      </c>
      <c r="AA39" s="46">
        <f>IF(AL39=0,"",IF(INT(AL39)=0,"",INT(AL39)))</f>
        <v/>
      </c>
      <c r="AB39" s="46">
        <f>IF(AL39=0,"",IF(INDEX(VC_actiondate,ROUND(MOD(AL39,1)*100000,0)-5)=0,"",INDEX(VC_actiondate,ROUND(MOD(AL39,1)*100000,0)-5)))</f>
        <v/>
      </c>
      <c r="AC39" s="33">
        <f>IF(AL39=0,"",INDEX(VC_actiontexte,ROUND(MOD(AL39,1)*100000,0)-5)&amp;"")</f>
        <v/>
      </c>
      <c r="AD39" s="46">
        <f>IF(C39="","",IF(COUNTIFS(Cmd_cle,AK39,Cmd_dateca,"&gt;0")=0,"",SMALL(INDEX(Cmd_dateca+(((Cmd_cle&lt;&gt;AK39)+(Cmd_dateca=0))&gt;0)*1000000,0),1)))</f>
        <v/>
      </c>
      <c r="AE39" s="46">
        <f>IF(C39="","",IF(COUNTIFS(Cmd_cle,AK39,Cmd_dateca,"&gt;0")=0,"",MAX(INDEX((Cmd_cle=AK39)*Cmd_dateca,0))))</f>
        <v/>
      </c>
      <c r="AF39" s="40">
        <f>IF(C39="","",SUMIFS(Cmd_montant,Cmd_cle,AK39,Cmd_dateca,"&gt;0"))</f>
        <v/>
      </c>
      <c r="AG39" s="40">
        <f>IF(C39="","",SUMIFS(Enc_montant,Enc_cle,AK39))</f>
        <v/>
      </c>
      <c r="AH39" s="40">
        <f>IF(C39="","",AF39-AG39)</f>
        <v/>
      </c>
      <c r="AI39" s="33">
        <f>IF(C39="","",IF(D39="Perdu","",IF(AND(AB39&lt;&gt;"",N(AB39)&lt;TODAY()),"Action en retard",IF(AND(D39="Client",AE39&lt;&gt;"",TODAY()-N(AE39)&gt;P_JoursInactif),"Client inactif",IF(AND(D39="Prospect",Z39=0,O39&lt;&gt;"",TODAY()-N(O39)&gt;P_JoursNonVisite),"Jamais visité","")))))</f>
        <v/>
      </c>
      <c r="AJ39" s="33">
        <f>IF(C39="","",C39&amp;" ["&amp;TEXT(A39,"000")&amp;"]")</f>
        <v/>
      </c>
      <c r="AK39" s="33">
        <f>IF(C39="","",X39&amp;"|"&amp;A39)</f>
        <v/>
      </c>
      <c r="AL39" s="47">
        <f>IF(C39="",0,IF(COUNTIFS(VC_cle,AK39)=0,0,MAX(INDEX((VC_cle=AK39)*(VC_date+ROW(VC_date)/100000),0))))</f>
        <v/>
      </c>
      <c r="AM39" s="47">
        <f>IF(AND(C39&lt;&gt;"",N(AB39)&gt;0,D39&lt;&gt;"Perdu"),AB39+ROW()/100000,0)</f>
        <v/>
      </c>
      <c r="AN39" s="48">
        <f>IF(N(AF39)&gt;0,ROUND(AF39,0)+ROW()/1000000,0)</f>
        <v/>
      </c>
    </row>
    <row r="40" ht="18" customHeight="1">
      <c r="A40" s="39" t="n">
        <v>35</v>
      </c>
      <c r="B40" s="33">
        <f>IF(C40="","",IF(X40="À RENSEIGNER","GIC",X40)&amp;"-"&amp;TEXT(A40,"000"))</f>
        <v/>
      </c>
      <c r="C40" s="36" t="n"/>
      <c r="D40" s="34">
        <f>IF(C40="","",IF(U40="☑ Oui","Perdu",IF(AD40&lt;&gt;"","Client","Prospect")))</f>
        <v/>
      </c>
      <c r="E40" s="36" t="n"/>
      <c r="F40" s="36" t="n"/>
      <c r="G40" s="44" t="n"/>
      <c r="H40" s="44" t="n"/>
      <c r="I40" s="36" t="n"/>
      <c r="J40" s="36" t="n"/>
      <c r="K40" s="41" t="n"/>
      <c r="L40" s="41" t="n"/>
      <c r="M40" s="36" t="n"/>
      <c r="N40" s="36" t="n"/>
      <c r="O40" s="32" t="n"/>
      <c r="P40" s="36" t="n"/>
      <c r="Q40" s="36" t="n"/>
      <c r="R40" s="34">
        <f>IF(P40="","",IFERROR(VLOOKUP(P40,T_Produits,2,FALSE),""))</f>
        <v/>
      </c>
      <c r="S40" s="36" t="n"/>
      <c r="T40" s="43" t="n"/>
      <c r="U40" s="43" t="n"/>
      <c r="V40" s="36" t="n"/>
      <c r="W40" s="36" t="n"/>
      <c r="X40" s="33">
        <f>IF(C40="","",Commercial_Id)</f>
        <v/>
      </c>
      <c r="Y40" s="33">
        <f>IF(E40="","",IF(E40="Particulier / ménage","Particulier","Entreprise"))</f>
        <v/>
      </c>
      <c r="Z40" s="39">
        <f>IF(C40="","",COUNTIFS(VC_cle,AK40,VC_type,"Visite sur place"))</f>
        <v/>
      </c>
      <c r="AA40" s="46">
        <f>IF(AL40=0,"",IF(INT(AL40)=0,"",INT(AL40)))</f>
        <v/>
      </c>
      <c r="AB40" s="46">
        <f>IF(AL40=0,"",IF(INDEX(VC_actiondate,ROUND(MOD(AL40,1)*100000,0)-5)=0,"",INDEX(VC_actiondate,ROUND(MOD(AL40,1)*100000,0)-5)))</f>
        <v/>
      </c>
      <c r="AC40" s="33">
        <f>IF(AL40=0,"",INDEX(VC_actiontexte,ROUND(MOD(AL40,1)*100000,0)-5)&amp;"")</f>
        <v/>
      </c>
      <c r="AD40" s="46">
        <f>IF(C40="","",IF(COUNTIFS(Cmd_cle,AK40,Cmd_dateca,"&gt;0")=0,"",SMALL(INDEX(Cmd_dateca+(((Cmd_cle&lt;&gt;AK40)+(Cmd_dateca=0))&gt;0)*1000000,0),1)))</f>
        <v/>
      </c>
      <c r="AE40" s="46">
        <f>IF(C40="","",IF(COUNTIFS(Cmd_cle,AK40,Cmd_dateca,"&gt;0")=0,"",MAX(INDEX((Cmd_cle=AK40)*Cmd_dateca,0))))</f>
        <v/>
      </c>
      <c r="AF40" s="40">
        <f>IF(C40="","",SUMIFS(Cmd_montant,Cmd_cle,AK40,Cmd_dateca,"&gt;0"))</f>
        <v/>
      </c>
      <c r="AG40" s="40">
        <f>IF(C40="","",SUMIFS(Enc_montant,Enc_cle,AK40))</f>
        <v/>
      </c>
      <c r="AH40" s="40">
        <f>IF(C40="","",AF40-AG40)</f>
        <v/>
      </c>
      <c r="AI40" s="33">
        <f>IF(C40="","",IF(D40="Perdu","",IF(AND(AB40&lt;&gt;"",N(AB40)&lt;TODAY()),"Action en retard",IF(AND(D40="Client",AE40&lt;&gt;"",TODAY()-N(AE40)&gt;P_JoursInactif),"Client inactif",IF(AND(D40="Prospect",Z40=0,O40&lt;&gt;"",TODAY()-N(O40)&gt;P_JoursNonVisite),"Jamais visité","")))))</f>
        <v/>
      </c>
      <c r="AJ40" s="33">
        <f>IF(C40="","",C40&amp;" ["&amp;TEXT(A40,"000")&amp;"]")</f>
        <v/>
      </c>
      <c r="AK40" s="33">
        <f>IF(C40="","",X40&amp;"|"&amp;A40)</f>
        <v/>
      </c>
      <c r="AL40" s="47">
        <f>IF(C40="",0,IF(COUNTIFS(VC_cle,AK40)=0,0,MAX(INDEX((VC_cle=AK40)*(VC_date+ROW(VC_date)/100000),0))))</f>
        <v/>
      </c>
      <c r="AM40" s="47">
        <f>IF(AND(C40&lt;&gt;"",N(AB40)&gt;0,D40&lt;&gt;"Perdu"),AB40+ROW()/100000,0)</f>
        <v/>
      </c>
      <c r="AN40" s="48">
        <f>IF(N(AF40)&gt;0,ROUND(AF40,0)+ROW()/1000000,0)</f>
        <v/>
      </c>
    </row>
    <row r="41" ht="18" customHeight="1">
      <c r="A41" s="39" t="n">
        <v>36</v>
      </c>
      <c r="B41" s="33">
        <f>IF(C41="","",IF(X41="À RENSEIGNER","GIC",X41)&amp;"-"&amp;TEXT(A41,"000"))</f>
        <v/>
      </c>
      <c r="C41" s="36" t="n"/>
      <c r="D41" s="34">
        <f>IF(C41="","",IF(U41="☑ Oui","Perdu",IF(AD41&lt;&gt;"","Client","Prospect")))</f>
        <v/>
      </c>
      <c r="E41" s="36" t="n"/>
      <c r="F41" s="36" t="n"/>
      <c r="G41" s="44" t="n"/>
      <c r="H41" s="44" t="n"/>
      <c r="I41" s="36" t="n"/>
      <c r="J41" s="36" t="n"/>
      <c r="K41" s="41" t="n"/>
      <c r="L41" s="41" t="n"/>
      <c r="M41" s="36" t="n"/>
      <c r="N41" s="36" t="n"/>
      <c r="O41" s="32" t="n"/>
      <c r="P41" s="36" t="n"/>
      <c r="Q41" s="36" t="n"/>
      <c r="R41" s="34">
        <f>IF(P41="","",IFERROR(VLOOKUP(P41,T_Produits,2,FALSE),""))</f>
        <v/>
      </c>
      <c r="S41" s="36" t="n"/>
      <c r="T41" s="43" t="n"/>
      <c r="U41" s="43" t="n"/>
      <c r="V41" s="36" t="n"/>
      <c r="W41" s="36" t="n"/>
      <c r="X41" s="33">
        <f>IF(C41="","",Commercial_Id)</f>
        <v/>
      </c>
      <c r="Y41" s="33">
        <f>IF(E41="","",IF(E41="Particulier / ménage","Particulier","Entreprise"))</f>
        <v/>
      </c>
      <c r="Z41" s="39">
        <f>IF(C41="","",COUNTIFS(VC_cle,AK41,VC_type,"Visite sur place"))</f>
        <v/>
      </c>
      <c r="AA41" s="46">
        <f>IF(AL41=0,"",IF(INT(AL41)=0,"",INT(AL41)))</f>
        <v/>
      </c>
      <c r="AB41" s="46">
        <f>IF(AL41=0,"",IF(INDEX(VC_actiondate,ROUND(MOD(AL41,1)*100000,0)-5)=0,"",INDEX(VC_actiondate,ROUND(MOD(AL41,1)*100000,0)-5)))</f>
        <v/>
      </c>
      <c r="AC41" s="33">
        <f>IF(AL41=0,"",INDEX(VC_actiontexte,ROUND(MOD(AL41,1)*100000,0)-5)&amp;"")</f>
        <v/>
      </c>
      <c r="AD41" s="46">
        <f>IF(C41="","",IF(COUNTIFS(Cmd_cle,AK41,Cmd_dateca,"&gt;0")=0,"",SMALL(INDEX(Cmd_dateca+(((Cmd_cle&lt;&gt;AK41)+(Cmd_dateca=0))&gt;0)*1000000,0),1)))</f>
        <v/>
      </c>
      <c r="AE41" s="46">
        <f>IF(C41="","",IF(COUNTIFS(Cmd_cle,AK41,Cmd_dateca,"&gt;0")=0,"",MAX(INDEX((Cmd_cle=AK41)*Cmd_dateca,0))))</f>
        <v/>
      </c>
      <c r="AF41" s="40">
        <f>IF(C41="","",SUMIFS(Cmd_montant,Cmd_cle,AK41,Cmd_dateca,"&gt;0"))</f>
        <v/>
      </c>
      <c r="AG41" s="40">
        <f>IF(C41="","",SUMIFS(Enc_montant,Enc_cle,AK41))</f>
        <v/>
      </c>
      <c r="AH41" s="40">
        <f>IF(C41="","",AF41-AG41)</f>
        <v/>
      </c>
      <c r="AI41" s="33">
        <f>IF(C41="","",IF(D41="Perdu","",IF(AND(AB41&lt;&gt;"",N(AB41)&lt;TODAY()),"Action en retard",IF(AND(D41="Client",AE41&lt;&gt;"",TODAY()-N(AE41)&gt;P_JoursInactif),"Client inactif",IF(AND(D41="Prospect",Z41=0,O41&lt;&gt;"",TODAY()-N(O41)&gt;P_JoursNonVisite),"Jamais visité","")))))</f>
        <v/>
      </c>
      <c r="AJ41" s="33">
        <f>IF(C41="","",C41&amp;" ["&amp;TEXT(A41,"000")&amp;"]")</f>
        <v/>
      </c>
      <c r="AK41" s="33">
        <f>IF(C41="","",X41&amp;"|"&amp;A41)</f>
        <v/>
      </c>
      <c r="AL41" s="47">
        <f>IF(C41="",0,IF(COUNTIFS(VC_cle,AK41)=0,0,MAX(INDEX((VC_cle=AK41)*(VC_date+ROW(VC_date)/100000),0))))</f>
        <v/>
      </c>
      <c r="AM41" s="47">
        <f>IF(AND(C41&lt;&gt;"",N(AB41)&gt;0,D41&lt;&gt;"Perdu"),AB41+ROW()/100000,0)</f>
        <v/>
      </c>
      <c r="AN41" s="48">
        <f>IF(N(AF41)&gt;0,ROUND(AF41,0)+ROW()/1000000,0)</f>
        <v/>
      </c>
    </row>
    <row r="42" ht="18" customHeight="1">
      <c r="A42" s="39" t="n">
        <v>37</v>
      </c>
      <c r="B42" s="33">
        <f>IF(C42="","",IF(X42="À RENSEIGNER","GIC",X42)&amp;"-"&amp;TEXT(A42,"000"))</f>
        <v/>
      </c>
      <c r="C42" s="36" t="n"/>
      <c r="D42" s="34">
        <f>IF(C42="","",IF(U42="☑ Oui","Perdu",IF(AD42&lt;&gt;"","Client","Prospect")))</f>
        <v/>
      </c>
      <c r="E42" s="36" t="n"/>
      <c r="F42" s="36" t="n"/>
      <c r="G42" s="44" t="n"/>
      <c r="H42" s="44" t="n"/>
      <c r="I42" s="36" t="n"/>
      <c r="J42" s="36" t="n"/>
      <c r="K42" s="41" t="n"/>
      <c r="L42" s="41" t="n"/>
      <c r="M42" s="36" t="n"/>
      <c r="N42" s="36" t="n"/>
      <c r="O42" s="32" t="n"/>
      <c r="P42" s="36" t="n"/>
      <c r="Q42" s="36" t="n"/>
      <c r="R42" s="34">
        <f>IF(P42="","",IFERROR(VLOOKUP(P42,T_Produits,2,FALSE),""))</f>
        <v/>
      </c>
      <c r="S42" s="36" t="n"/>
      <c r="T42" s="43" t="n"/>
      <c r="U42" s="43" t="n"/>
      <c r="V42" s="36" t="n"/>
      <c r="W42" s="36" t="n"/>
      <c r="X42" s="33">
        <f>IF(C42="","",Commercial_Id)</f>
        <v/>
      </c>
      <c r="Y42" s="33">
        <f>IF(E42="","",IF(E42="Particulier / ménage","Particulier","Entreprise"))</f>
        <v/>
      </c>
      <c r="Z42" s="39">
        <f>IF(C42="","",COUNTIFS(VC_cle,AK42,VC_type,"Visite sur place"))</f>
        <v/>
      </c>
      <c r="AA42" s="46">
        <f>IF(AL42=0,"",IF(INT(AL42)=0,"",INT(AL42)))</f>
        <v/>
      </c>
      <c r="AB42" s="46">
        <f>IF(AL42=0,"",IF(INDEX(VC_actiondate,ROUND(MOD(AL42,1)*100000,0)-5)=0,"",INDEX(VC_actiondate,ROUND(MOD(AL42,1)*100000,0)-5)))</f>
        <v/>
      </c>
      <c r="AC42" s="33">
        <f>IF(AL42=0,"",INDEX(VC_actiontexte,ROUND(MOD(AL42,1)*100000,0)-5)&amp;"")</f>
        <v/>
      </c>
      <c r="AD42" s="46">
        <f>IF(C42="","",IF(COUNTIFS(Cmd_cle,AK42,Cmd_dateca,"&gt;0")=0,"",SMALL(INDEX(Cmd_dateca+(((Cmd_cle&lt;&gt;AK42)+(Cmd_dateca=0))&gt;0)*1000000,0),1)))</f>
        <v/>
      </c>
      <c r="AE42" s="46">
        <f>IF(C42="","",IF(COUNTIFS(Cmd_cle,AK42,Cmd_dateca,"&gt;0")=0,"",MAX(INDEX((Cmd_cle=AK42)*Cmd_dateca,0))))</f>
        <v/>
      </c>
      <c r="AF42" s="40">
        <f>IF(C42="","",SUMIFS(Cmd_montant,Cmd_cle,AK42,Cmd_dateca,"&gt;0"))</f>
        <v/>
      </c>
      <c r="AG42" s="40">
        <f>IF(C42="","",SUMIFS(Enc_montant,Enc_cle,AK42))</f>
        <v/>
      </c>
      <c r="AH42" s="40">
        <f>IF(C42="","",AF42-AG42)</f>
        <v/>
      </c>
      <c r="AI42" s="33">
        <f>IF(C42="","",IF(D42="Perdu","",IF(AND(AB42&lt;&gt;"",N(AB42)&lt;TODAY()),"Action en retard",IF(AND(D42="Client",AE42&lt;&gt;"",TODAY()-N(AE42)&gt;P_JoursInactif),"Client inactif",IF(AND(D42="Prospect",Z42=0,O42&lt;&gt;"",TODAY()-N(O42)&gt;P_JoursNonVisite),"Jamais visité","")))))</f>
        <v/>
      </c>
      <c r="AJ42" s="33">
        <f>IF(C42="","",C42&amp;" ["&amp;TEXT(A42,"000")&amp;"]")</f>
        <v/>
      </c>
      <c r="AK42" s="33">
        <f>IF(C42="","",X42&amp;"|"&amp;A42)</f>
        <v/>
      </c>
      <c r="AL42" s="47">
        <f>IF(C42="",0,IF(COUNTIFS(VC_cle,AK42)=0,0,MAX(INDEX((VC_cle=AK42)*(VC_date+ROW(VC_date)/100000),0))))</f>
        <v/>
      </c>
      <c r="AM42" s="47">
        <f>IF(AND(C42&lt;&gt;"",N(AB42)&gt;0,D42&lt;&gt;"Perdu"),AB42+ROW()/100000,0)</f>
        <v/>
      </c>
      <c r="AN42" s="48">
        <f>IF(N(AF42)&gt;0,ROUND(AF42,0)+ROW()/1000000,0)</f>
        <v/>
      </c>
    </row>
    <row r="43" ht="18" customHeight="1">
      <c r="A43" s="39" t="n">
        <v>38</v>
      </c>
      <c r="B43" s="33">
        <f>IF(C43="","",IF(X43="À RENSEIGNER","GIC",X43)&amp;"-"&amp;TEXT(A43,"000"))</f>
        <v/>
      </c>
      <c r="C43" s="36" t="n"/>
      <c r="D43" s="34">
        <f>IF(C43="","",IF(U43="☑ Oui","Perdu",IF(AD43&lt;&gt;"","Client","Prospect")))</f>
        <v/>
      </c>
      <c r="E43" s="36" t="n"/>
      <c r="F43" s="36" t="n"/>
      <c r="G43" s="44" t="n"/>
      <c r="H43" s="44" t="n"/>
      <c r="I43" s="36" t="n"/>
      <c r="J43" s="36" t="n"/>
      <c r="K43" s="41" t="n"/>
      <c r="L43" s="41" t="n"/>
      <c r="M43" s="36" t="n"/>
      <c r="N43" s="36" t="n"/>
      <c r="O43" s="32" t="n"/>
      <c r="P43" s="36" t="n"/>
      <c r="Q43" s="36" t="n"/>
      <c r="R43" s="34">
        <f>IF(P43="","",IFERROR(VLOOKUP(P43,T_Produits,2,FALSE),""))</f>
        <v/>
      </c>
      <c r="S43" s="36" t="n"/>
      <c r="T43" s="43" t="n"/>
      <c r="U43" s="43" t="n"/>
      <c r="V43" s="36" t="n"/>
      <c r="W43" s="36" t="n"/>
      <c r="X43" s="33">
        <f>IF(C43="","",Commercial_Id)</f>
        <v/>
      </c>
      <c r="Y43" s="33">
        <f>IF(E43="","",IF(E43="Particulier / ménage","Particulier","Entreprise"))</f>
        <v/>
      </c>
      <c r="Z43" s="39">
        <f>IF(C43="","",COUNTIFS(VC_cle,AK43,VC_type,"Visite sur place"))</f>
        <v/>
      </c>
      <c r="AA43" s="46">
        <f>IF(AL43=0,"",IF(INT(AL43)=0,"",INT(AL43)))</f>
        <v/>
      </c>
      <c r="AB43" s="46">
        <f>IF(AL43=0,"",IF(INDEX(VC_actiondate,ROUND(MOD(AL43,1)*100000,0)-5)=0,"",INDEX(VC_actiondate,ROUND(MOD(AL43,1)*100000,0)-5)))</f>
        <v/>
      </c>
      <c r="AC43" s="33">
        <f>IF(AL43=0,"",INDEX(VC_actiontexte,ROUND(MOD(AL43,1)*100000,0)-5)&amp;"")</f>
        <v/>
      </c>
      <c r="AD43" s="46">
        <f>IF(C43="","",IF(COUNTIFS(Cmd_cle,AK43,Cmd_dateca,"&gt;0")=0,"",SMALL(INDEX(Cmd_dateca+(((Cmd_cle&lt;&gt;AK43)+(Cmd_dateca=0))&gt;0)*1000000,0),1)))</f>
        <v/>
      </c>
      <c r="AE43" s="46">
        <f>IF(C43="","",IF(COUNTIFS(Cmd_cle,AK43,Cmd_dateca,"&gt;0")=0,"",MAX(INDEX((Cmd_cle=AK43)*Cmd_dateca,0))))</f>
        <v/>
      </c>
      <c r="AF43" s="40">
        <f>IF(C43="","",SUMIFS(Cmd_montant,Cmd_cle,AK43,Cmd_dateca,"&gt;0"))</f>
        <v/>
      </c>
      <c r="AG43" s="40">
        <f>IF(C43="","",SUMIFS(Enc_montant,Enc_cle,AK43))</f>
        <v/>
      </c>
      <c r="AH43" s="40">
        <f>IF(C43="","",AF43-AG43)</f>
        <v/>
      </c>
      <c r="AI43" s="33">
        <f>IF(C43="","",IF(D43="Perdu","",IF(AND(AB43&lt;&gt;"",N(AB43)&lt;TODAY()),"Action en retard",IF(AND(D43="Client",AE43&lt;&gt;"",TODAY()-N(AE43)&gt;P_JoursInactif),"Client inactif",IF(AND(D43="Prospect",Z43=0,O43&lt;&gt;"",TODAY()-N(O43)&gt;P_JoursNonVisite),"Jamais visité","")))))</f>
        <v/>
      </c>
      <c r="AJ43" s="33">
        <f>IF(C43="","",C43&amp;" ["&amp;TEXT(A43,"000")&amp;"]")</f>
        <v/>
      </c>
      <c r="AK43" s="33">
        <f>IF(C43="","",X43&amp;"|"&amp;A43)</f>
        <v/>
      </c>
      <c r="AL43" s="47">
        <f>IF(C43="",0,IF(COUNTIFS(VC_cle,AK43)=0,0,MAX(INDEX((VC_cle=AK43)*(VC_date+ROW(VC_date)/100000),0))))</f>
        <v/>
      </c>
      <c r="AM43" s="47">
        <f>IF(AND(C43&lt;&gt;"",N(AB43)&gt;0,D43&lt;&gt;"Perdu"),AB43+ROW()/100000,0)</f>
        <v/>
      </c>
      <c r="AN43" s="48">
        <f>IF(N(AF43)&gt;0,ROUND(AF43,0)+ROW()/1000000,0)</f>
        <v/>
      </c>
    </row>
    <row r="44" ht="18" customHeight="1">
      <c r="A44" s="39" t="n">
        <v>39</v>
      </c>
      <c r="B44" s="33">
        <f>IF(C44="","",IF(X44="À RENSEIGNER","GIC",X44)&amp;"-"&amp;TEXT(A44,"000"))</f>
        <v/>
      </c>
      <c r="C44" s="36" t="n"/>
      <c r="D44" s="34">
        <f>IF(C44="","",IF(U44="☑ Oui","Perdu",IF(AD44&lt;&gt;"","Client","Prospect")))</f>
        <v/>
      </c>
      <c r="E44" s="36" t="n"/>
      <c r="F44" s="36" t="n"/>
      <c r="G44" s="44" t="n"/>
      <c r="H44" s="44" t="n"/>
      <c r="I44" s="36" t="n"/>
      <c r="J44" s="36" t="n"/>
      <c r="K44" s="41" t="n"/>
      <c r="L44" s="41" t="n"/>
      <c r="M44" s="36" t="n"/>
      <c r="N44" s="36" t="n"/>
      <c r="O44" s="32" t="n"/>
      <c r="P44" s="36" t="n"/>
      <c r="Q44" s="36" t="n"/>
      <c r="R44" s="34">
        <f>IF(P44="","",IFERROR(VLOOKUP(P44,T_Produits,2,FALSE),""))</f>
        <v/>
      </c>
      <c r="S44" s="36" t="n"/>
      <c r="T44" s="43" t="n"/>
      <c r="U44" s="43" t="n"/>
      <c r="V44" s="36" t="n"/>
      <c r="W44" s="36" t="n"/>
      <c r="X44" s="33">
        <f>IF(C44="","",Commercial_Id)</f>
        <v/>
      </c>
      <c r="Y44" s="33">
        <f>IF(E44="","",IF(E44="Particulier / ménage","Particulier","Entreprise"))</f>
        <v/>
      </c>
      <c r="Z44" s="39">
        <f>IF(C44="","",COUNTIFS(VC_cle,AK44,VC_type,"Visite sur place"))</f>
        <v/>
      </c>
      <c r="AA44" s="46">
        <f>IF(AL44=0,"",IF(INT(AL44)=0,"",INT(AL44)))</f>
        <v/>
      </c>
      <c r="AB44" s="46">
        <f>IF(AL44=0,"",IF(INDEX(VC_actiondate,ROUND(MOD(AL44,1)*100000,0)-5)=0,"",INDEX(VC_actiondate,ROUND(MOD(AL44,1)*100000,0)-5)))</f>
        <v/>
      </c>
      <c r="AC44" s="33">
        <f>IF(AL44=0,"",INDEX(VC_actiontexte,ROUND(MOD(AL44,1)*100000,0)-5)&amp;"")</f>
        <v/>
      </c>
      <c r="AD44" s="46">
        <f>IF(C44="","",IF(COUNTIFS(Cmd_cle,AK44,Cmd_dateca,"&gt;0")=0,"",SMALL(INDEX(Cmd_dateca+(((Cmd_cle&lt;&gt;AK44)+(Cmd_dateca=0))&gt;0)*1000000,0),1)))</f>
        <v/>
      </c>
      <c r="AE44" s="46">
        <f>IF(C44="","",IF(COUNTIFS(Cmd_cle,AK44,Cmd_dateca,"&gt;0")=0,"",MAX(INDEX((Cmd_cle=AK44)*Cmd_dateca,0))))</f>
        <v/>
      </c>
      <c r="AF44" s="40">
        <f>IF(C44="","",SUMIFS(Cmd_montant,Cmd_cle,AK44,Cmd_dateca,"&gt;0"))</f>
        <v/>
      </c>
      <c r="AG44" s="40">
        <f>IF(C44="","",SUMIFS(Enc_montant,Enc_cle,AK44))</f>
        <v/>
      </c>
      <c r="AH44" s="40">
        <f>IF(C44="","",AF44-AG44)</f>
        <v/>
      </c>
      <c r="AI44" s="33">
        <f>IF(C44="","",IF(D44="Perdu","",IF(AND(AB44&lt;&gt;"",N(AB44)&lt;TODAY()),"Action en retard",IF(AND(D44="Client",AE44&lt;&gt;"",TODAY()-N(AE44)&gt;P_JoursInactif),"Client inactif",IF(AND(D44="Prospect",Z44=0,O44&lt;&gt;"",TODAY()-N(O44)&gt;P_JoursNonVisite),"Jamais visité","")))))</f>
        <v/>
      </c>
      <c r="AJ44" s="33">
        <f>IF(C44="","",C44&amp;" ["&amp;TEXT(A44,"000")&amp;"]")</f>
        <v/>
      </c>
      <c r="AK44" s="33">
        <f>IF(C44="","",X44&amp;"|"&amp;A44)</f>
        <v/>
      </c>
      <c r="AL44" s="47">
        <f>IF(C44="",0,IF(COUNTIFS(VC_cle,AK44)=0,0,MAX(INDEX((VC_cle=AK44)*(VC_date+ROW(VC_date)/100000),0))))</f>
        <v/>
      </c>
      <c r="AM44" s="47">
        <f>IF(AND(C44&lt;&gt;"",N(AB44)&gt;0,D44&lt;&gt;"Perdu"),AB44+ROW()/100000,0)</f>
        <v/>
      </c>
      <c r="AN44" s="48">
        <f>IF(N(AF44)&gt;0,ROUND(AF44,0)+ROW()/1000000,0)</f>
        <v/>
      </c>
    </row>
    <row r="45" ht="18" customHeight="1">
      <c r="A45" s="39" t="n">
        <v>40</v>
      </c>
      <c r="B45" s="33">
        <f>IF(C45="","",IF(X45="À RENSEIGNER","GIC",X45)&amp;"-"&amp;TEXT(A45,"000"))</f>
        <v/>
      </c>
      <c r="C45" s="36" t="n"/>
      <c r="D45" s="34">
        <f>IF(C45="","",IF(U45="☑ Oui","Perdu",IF(AD45&lt;&gt;"","Client","Prospect")))</f>
        <v/>
      </c>
      <c r="E45" s="36" t="n"/>
      <c r="F45" s="36" t="n"/>
      <c r="G45" s="44" t="n"/>
      <c r="H45" s="44" t="n"/>
      <c r="I45" s="36" t="n"/>
      <c r="J45" s="36" t="n"/>
      <c r="K45" s="41" t="n"/>
      <c r="L45" s="41" t="n"/>
      <c r="M45" s="36" t="n"/>
      <c r="N45" s="36" t="n"/>
      <c r="O45" s="32" t="n"/>
      <c r="P45" s="36" t="n"/>
      <c r="Q45" s="36" t="n"/>
      <c r="R45" s="34">
        <f>IF(P45="","",IFERROR(VLOOKUP(P45,T_Produits,2,FALSE),""))</f>
        <v/>
      </c>
      <c r="S45" s="36" t="n"/>
      <c r="T45" s="43" t="n"/>
      <c r="U45" s="43" t="n"/>
      <c r="V45" s="36" t="n"/>
      <c r="W45" s="36" t="n"/>
      <c r="X45" s="33">
        <f>IF(C45="","",Commercial_Id)</f>
        <v/>
      </c>
      <c r="Y45" s="33">
        <f>IF(E45="","",IF(E45="Particulier / ménage","Particulier","Entreprise"))</f>
        <v/>
      </c>
      <c r="Z45" s="39">
        <f>IF(C45="","",COUNTIFS(VC_cle,AK45,VC_type,"Visite sur place"))</f>
        <v/>
      </c>
      <c r="AA45" s="46">
        <f>IF(AL45=0,"",IF(INT(AL45)=0,"",INT(AL45)))</f>
        <v/>
      </c>
      <c r="AB45" s="46">
        <f>IF(AL45=0,"",IF(INDEX(VC_actiondate,ROUND(MOD(AL45,1)*100000,0)-5)=0,"",INDEX(VC_actiondate,ROUND(MOD(AL45,1)*100000,0)-5)))</f>
        <v/>
      </c>
      <c r="AC45" s="33">
        <f>IF(AL45=0,"",INDEX(VC_actiontexte,ROUND(MOD(AL45,1)*100000,0)-5)&amp;"")</f>
        <v/>
      </c>
      <c r="AD45" s="46">
        <f>IF(C45="","",IF(COUNTIFS(Cmd_cle,AK45,Cmd_dateca,"&gt;0")=0,"",SMALL(INDEX(Cmd_dateca+(((Cmd_cle&lt;&gt;AK45)+(Cmd_dateca=0))&gt;0)*1000000,0),1)))</f>
        <v/>
      </c>
      <c r="AE45" s="46">
        <f>IF(C45="","",IF(COUNTIFS(Cmd_cle,AK45,Cmd_dateca,"&gt;0")=0,"",MAX(INDEX((Cmd_cle=AK45)*Cmd_dateca,0))))</f>
        <v/>
      </c>
      <c r="AF45" s="40">
        <f>IF(C45="","",SUMIFS(Cmd_montant,Cmd_cle,AK45,Cmd_dateca,"&gt;0"))</f>
        <v/>
      </c>
      <c r="AG45" s="40">
        <f>IF(C45="","",SUMIFS(Enc_montant,Enc_cle,AK45))</f>
        <v/>
      </c>
      <c r="AH45" s="40">
        <f>IF(C45="","",AF45-AG45)</f>
        <v/>
      </c>
      <c r="AI45" s="33">
        <f>IF(C45="","",IF(D45="Perdu","",IF(AND(AB45&lt;&gt;"",N(AB45)&lt;TODAY()),"Action en retard",IF(AND(D45="Client",AE45&lt;&gt;"",TODAY()-N(AE45)&gt;P_JoursInactif),"Client inactif",IF(AND(D45="Prospect",Z45=0,O45&lt;&gt;"",TODAY()-N(O45)&gt;P_JoursNonVisite),"Jamais visité","")))))</f>
        <v/>
      </c>
      <c r="AJ45" s="33">
        <f>IF(C45="","",C45&amp;" ["&amp;TEXT(A45,"000")&amp;"]")</f>
        <v/>
      </c>
      <c r="AK45" s="33">
        <f>IF(C45="","",X45&amp;"|"&amp;A45)</f>
        <v/>
      </c>
      <c r="AL45" s="47">
        <f>IF(C45="",0,IF(COUNTIFS(VC_cle,AK45)=0,0,MAX(INDEX((VC_cle=AK45)*(VC_date+ROW(VC_date)/100000),0))))</f>
        <v/>
      </c>
      <c r="AM45" s="47">
        <f>IF(AND(C45&lt;&gt;"",N(AB45)&gt;0,D45&lt;&gt;"Perdu"),AB45+ROW()/100000,0)</f>
        <v/>
      </c>
      <c r="AN45" s="48">
        <f>IF(N(AF45)&gt;0,ROUND(AF45,0)+ROW()/1000000,0)</f>
        <v/>
      </c>
    </row>
    <row r="46" ht="18" customHeight="1">
      <c r="A46" s="39" t="n">
        <v>41</v>
      </c>
      <c r="B46" s="33">
        <f>IF(C46="","",IF(X46="À RENSEIGNER","GIC",X46)&amp;"-"&amp;TEXT(A46,"000"))</f>
        <v/>
      </c>
      <c r="C46" s="36" t="n"/>
      <c r="D46" s="34">
        <f>IF(C46="","",IF(U46="☑ Oui","Perdu",IF(AD46&lt;&gt;"","Client","Prospect")))</f>
        <v/>
      </c>
      <c r="E46" s="36" t="n"/>
      <c r="F46" s="36" t="n"/>
      <c r="G46" s="44" t="n"/>
      <c r="H46" s="44" t="n"/>
      <c r="I46" s="36" t="n"/>
      <c r="J46" s="36" t="n"/>
      <c r="K46" s="41" t="n"/>
      <c r="L46" s="41" t="n"/>
      <c r="M46" s="36" t="n"/>
      <c r="N46" s="36" t="n"/>
      <c r="O46" s="32" t="n"/>
      <c r="P46" s="36" t="n"/>
      <c r="Q46" s="36" t="n"/>
      <c r="R46" s="34">
        <f>IF(P46="","",IFERROR(VLOOKUP(P46,T_Produits,2,FALSE),""))</f>
        <v/>
      </c>
      <c r="S46" s="36" t="n"/>
      <c r="T46" s="43" t="n"/>
      <c r="U46" s="43" t="n"/>
      <c r="V46" s="36" t="n"/>
      <c r="W46" s="36" t="n"/>
      <c r="X46" s="33">
        <f>IF(C46="","",Commercial_Id)</f>
        <v/>
      </c>
      <c r="Y46" s="33">
        <f>IF(E46="","",IF(E46="Particulier / ménage","Particulier","Entreprise"))</f>
        <v/>
      </c>
      <c r="Z46" s="39">
        <f>IF(C46="","",COUNTIFS(VC_cle,AK46,VC_type,"Visite sur place"))</f>
        <v/>
      </c>
      <c r="AA46" s="46">
        <f>IF(AL46=0,"",IF(INT(AL46)=0,"",INT(AL46)))</f>
        <v/>
      </c>
      <c r="AB46" s="46">
        <f>IF(AL46=0,"",IF(INDEX(VC_actiondate,ROUND(MOD(AL46,1)*100000,0)-5)=0,"",INDEX(VC_actiondate,ROUND(MOD(AL46,1)*100000,0)-5)))</f>
        <v/>
      </c>
      <c r="AC46" s="33">
        <f>IF(AL46=0,"",INDEX(VC_actiontexte,ROUND(MOD(AL46,1)*100000,0)-5)&amp;"")</f>
        <v/>
      </c>
      <c r="AD46" s="46">
        <f>IF(C46="","",IF(COUNTIFS(Cmd_cle,AK46,Cmd_dateca,"&gt;0")=0,"",SMALL(INDEX(Cmd_dateca+(((Cmd_cle&lt;&gt;AK46)+(Cmd_dateca=0))&gt;0)*1000000,0),1)))</f>
        <v/>
      </c>
      <c r="AE46" s="46">
        <f>IF(C46="","",IF(COUNTIFS(Cmd_cle,AK46,Cmd_dateca,"&gt;0")=0,"",MAX(INDEX((Cmd_cle=AK46)*Cmd_dateca,0))))</f>
        <v/>
      </c>
      <c r="AF46" s="40">
        <f>IF(C46="","",SUMIFS(Cmd_montant,Cmd_cle,AK46,Cmd_dateca,"&gt;0"))</f>
        <v/>
      </c>
      <c r="AG46" s="40">
        <f>IF(C46="","",SUMIFS(Enc_montant,Enc_cle,AK46))</f>
        <v/>
      </c>
      <c r="AH46" s="40">
        <f>IF(C46="","",AF46-AG46)</f>
        <v/>
      </c>
      <c r="AI46" s="33">
        <f>IF(C46="","",IF(D46="Perdu","",IF(AND(AB46&lt;&gt;"",N(AB46)&lt;TODAY()),"Action en retard",IF(AND(D46="Client",AE46&lt;&gt;"",TODAY()-N(AE46)&gt;P_JoursInactif),"Client inactif",IF(AND(D46="Prospect",Z46=0,O46&lt;&gt;"",TODAY()-N(O46)&gt;P_JoursNonVisite),"Jamais visité","")))))</f>
        <v/>
      </c>
      <c r="AJ46" s="33">
        <f>IF(C46="","",C46&amp;" ["&amp;TEXT(A46,"000")&amp;"]")</f>
        <v/>
      </c>
      <c r="AK46" s="33">
        <f>IF(C46="","",X46&amp;"|"&amp;A46)</f>
        <v/>
      </c>
      <c r="AL46" s="47">
        <f>IF(C46="",0,IF(COUNTIFS(VC_cle,AK46)=0,0,MAX(INDEX((VC_cle=AK46)*(VC_date+ROW(VC_date)/100000),0))))</f>
        <v/>
      </c>
      <c r="AM46" s="47">
        <f>IF(AND(C46&lt;&gt;"",N(AB46)&gt;0,D46&lt;&gt;"Perdu"),AB46+ROW()/100000,0)</f>
        <v/>
      </c>
      <c r="AN46" s="48">
        <f>IF(N(AF46)&gt;0,ROUND(AF46,0)+ROW()/1000000,0)</f>
        <v/>
      </c>
    </row>
    <row r="47" ht="18" customHeight="1">
      <c r="A47" s="39" t="n">
        <v>42</v>
      </c>
      <c r="B47" s="33">
        <f>IF(C47="","",IF(X47="À RENSEIGNER","GIC",X47)&amp;"-"&amp;TEXT(A47,"000"))</f>
        <v/>
      </c>
      <c r="C47" s="36" t="n"/>
      <c r="D47" s="34">
        <f>IF(C47="","",IF(U47="☑ Oui","Perdu",IF(AD47&lt;&gt;"","Client","Prospect")))</f>
        <v/>
      </c>
      <c r="E47" s="36" t="n"/>
      <c r="F47" s="36" t="n"/>
      <c r="G47" s="44" t="n"/>
      <c r="H47" s="44" t="n"/>
      <c r="I47" s="36" t="n"/>
      <c r="J47" s="36" t="n"/>
      <c r="K47" s="41" t="n"/>
      <c r="L47" s="41" t="n"/>
      <c r="M47" s="36" t="n"/>
      <c r="N47" s="36" t="n"/>
      <c r="O47" s="32" t="n"/>
      <c r="P47" s="36" t="n"/>
      <c r="Q47" s="36" t="n"/>
      <c r="R47" s="34">
        <f>IF(P47="","",IFERROR(VLOOKUP(P47,T_Produits,2,FALSE),""))</f>
        <v/>
      </c>
      <c r="S47" s="36" t="n"/>
      <c r="T47" s="43" t="n"/>
      <c r="U47" s="43" t="n"/>
      <c r="V47" s="36" t="n"/>
      <c r="W47" s="36" t="n"/>
      <c r="X47" s="33">
        <f>IF(C47="","",Commercial_Id)</f>
        <v/>
      </c>
      <c r="Y47" s="33">
        <f>IF(E47="","",IF(E47="Particulier / ménage","Particulier","Entreprise"))</f>
        <v/>
      </c>
      <c r="Z47" s="39">
        <f>IF(C47="","",COUNTIFS(VC_cle,AK47,VC_type,"Visite sur place"))</f>
        <v/>
      </c>
      <c r="AA47" s="46">
        <f>IF(AL47=0,"",IF(INT(AL47)=0,"",INT(AL47)))</f>
        <v/>
      </c>
      <c r="AB47" s="46">
        <f>IF(AL47=0,"",IF(INDEX(VC_actiondate,ROUND(MOD(AL47,1)*100000,0)-5)=0,"",INDEX(VC_actiondate,ROUND(MOD(AL47,1)*100000,0)-5)))</f>
        <v/>
      </c>
      <c r="AC47" s="33">
        <f>IF(AL47=0,"",INDEX(VC_actiontexte,ROUND(MOD(AL47,1)*100000,0)-5)&amp;"")</f>
        <v/>
      </c>
      <c r="AD47" s="46">
        <f>IF(C47="","",IF(COUNTIFS(Cmd_cle,AK47,Cmd_dateca,"&gt;0")=0,"",SMALL(INDEX(Cmd_dateca+(((Cmd_cle&lt;&gt;AK47)+(Cmd_dateca=0))&gt;0)*1000000,0),1)))</f>
        <v/>
      </c>
      <c r="AE47" s="46">
        <f>IF(C47="","",IF(COUNTIFS(Cmd_cle,AK47,Cmd_dateca,"&gt;0")=0,"",MAX(INDEX((Cmd_cle=AK47)*Cmd_dateca,0))))</f>
        <v/>
      </c>
      <c r="AF47" s="40">
        <f>IF(C47="","",SUMIFS(Cmd_montant,Cmd_cle,AK47,Cmd_dateca,"&gt;0"))</f>
        <v/>
      </c>
      <c r="AG47" s="40">
        <f>IF(C47="","",SUMIFS(Enc_montant,Enc_cle,AK47))</f>
        <v/>
      </c>
      <c r="AH47" s="40">
        <f>IF(C47="","",AF47-AG47)</f>
        <v/>
      </c>
      <c r="AI47" s="33">
        <f>IF(C47="","",IF(D47="Perdu","",IF(AND(AB47&lt;&gt;"",N(AB47)&lt;TODAY()),"Action en retard",IF(AND(D47="Client",AE47&lt;&gt;"",TODAY()-N(AE47)&gt;P_JoursInactif),"Client inactif",IF(AND(D47="Prospect",Z47=0,O47&lt;&gt;"",TODAY()-N(O47)&gt;P_JoursNonVisite),"Jamais visité","")))))</f>
        <v/>
      </c>
      <c r="AJ47" s="33">
        <f>IF(C47="","",C47&amp;" ["&amp;TEXT(A47,"000")&amp;"]")</f>
        <v/>
      </c>
      <c r="AK47" s="33">
        <f>IF(C47="","",X47&amp;"|"&amp;A47)</f>
        <v/>
      </c>
      <c r="AL47" s="47">
        <f>IF(C47="",0,IF(COUNTIFS(VC_cle,AK47)=0,0,MAX(INDEX((VC_cle=AK47)*(VC_date+ROW(VC_date)/100000),0))))</f>
        <v/>
      </c>
      <c r="AM47" s="47">
        <f>IF(AND(C47&lt;&gt;"",N(AB47)&gt;0,D47&lt;&gt;"Perdu"),AB47+ROW()/100000,0)</f>
        <v/>
      </c>
      <c r="AN47" s="48">
        <f>IF(N(AF47)&gt;0,ROUND(AF47,0)+ROW()/1000000,0)</f>
        <v/>
      </c>
    </row>
    <row r="48" ht="18" customHeight="1">
      <c r="A48" s="39" t="n">
        <v>43</v>
      </c>
      <c r="B48" s="33">
        <f>IF(C48="","",IF(X48="À RENSEIGNER","GIC",X48)&amp;"-"&amp;TEXT(A48,"000"))</f>
        <v/>
      </c>
      <c r="C48" s="36" t="n"/>
      <c r="D48" s="34">
        <f>IF(C48="","",IF(U48="☑ Oui","Perdu",IF(AD48&lt;&gt;"","Client","Prospect")))</f>
        <v/>
      </c>
      <c r="E48" s="36" t="n"/>
      <c r="F48" s="36" t="n"/>
      <c r="G48" s="44" t="n"/>
      <c r="H48" s="44" t="n"/>
      <c r="I48" s="36" t="n"/>
      <c r="J48" s="36" t="n"/>
      <c r="K48" s="41" t="n"/>
      <c r="L48" s="41" t="n"/>
      <c r="M48" s="36" t="n"/>
      <c r="N48" s="36" t="n"/>
      <c r="O48" s="32" t="n"/>
      <c r="P48" s="36" t="n"/>
      <c r="Q48" s="36" t="n"/>
      <c r="R48" s="34">
        <f>IF(P48="","",IFERROR(VLOOKUP(P48,T_Produits,2,FALSE),""))</f>
        <v/>
      </c>
      <c r="S48" s="36" t="n"/>
      <c r="T48" s="43" t="n"/>
      <c r="U48" s="43" t="n"/>
      <c r="V48" s="36" t="n"/>
      <c r="W48" s="36" t="n"/>
      <c r="X48" s="33">
        <f>IF(C48="","",Commercial_Id)</f>
        <v/>
      </c>
      <c r="Y48" s="33">
        <f>IF(E48="","",IF(E48="Particulier / ménage","Particulier","Entreprise"))</f>
        <v/>
      </c>
      <c r="Z48" s="39">
        <f>IF(C48="","",COUNTIFS(VC_cle,AK48,VC_type,"Visite sur place"))</f>
        <v/>
      </c>
      <c r="AA48" s="46">
        <f>IF(AL48=0,"",IF(INT(AL48)=0,"",INT(AL48)))</f>
        <v/>
      </c>
      <c r="AB48" s="46">
        <f>IF(AL48=0,"",IF(INDEX(VC_actiondate,ROUND(MOD(AL48,1)*100000,0)-5)=0,"",INDEX(VC_actiondate,ROUND(MOD(AL48,1)*100000,0)-5)))</f>
        <v/>
      </c>
      <c r="AC48" s="33">
        <f>IF(AL48=0,"",INDEX(VC_actiontexte,ROUND(MOD(AL48,1)*100000,0)-5)&amp;"")</f>
        <v/>
      </c>
      <c r="AD48" s="46">
        <f>IF(C48="","",IF(COUNTIFS(Cmd_cle,AK48,Cmd_dateca,"&gt;0")=0,"",SMALL(INDEX(Cmd_dateca+(((Cmd_cle&lt;&gt;AK48)+(Cmd_dateca=0))&gt;0)*1000000,0),1)))</f>
        <v/>
      </c>
      <c r="AE48" s="46">
        <f>IF(C48="","",IF(COUNTIFS(Cmd_cle,AK48,Cmd_dateca,"&gt;0")=0,"",MAX(INDEX((Cmd_cle=AK48)*Cmd_dateca,0))))</f>
        <v/>
      </c>
      <c r="AF48" s="40">
        <f>IF(C48="","",SUMIFS(Cmd_montant,Cmd_cle,AK48,Cmd_dateca,"&gt;0"))</f>
        <v/>
      </c>
      <c r="AG48" s="40">
        <f>IF(C48="","",SUMIFS(Enc_montant,Enc_cle,AK48))</f>
        <v/>
      </c>
      <c r="AH48" s="40">
        <f>IF(C48="","",AF48-AG48)</f>
        <v/>
      </c>
      <c r="AI48" s="33">
        <f>IF(C48="","",IF(D48="Perdu","",IF(AND(AB48&lt;&gt;"",N(AB48)&lt;TODAY()),"Action en retard",IF(AND(D48="Client",AE48&lt;&gt;"",TODAY()-N(AE48)&gt;P_JoursInactif),"Client inactif",IF(AND(D48="Prospect",Z48=0,O48&lt;&gt;"",TODAY()-N(O48)&gt;P_JoursNonVisite),"Jamais visité","")))))</f>
        <v/>
      </c>
      <c r="AJ48" s="33">
        <f>IF(C48="","",C48&amp;" ["&amp;TEXT(A48,"000")&amp;"]")</f>
        <v/>
      </c>
      <c r="AK48" s="33">
        <f>IF(C48="","",X48&amp;"|"&amp;A48)</f>
        <v/>
      </c>
      <c r="AL48" s="47">
        <f>IF(C48="",0,IF(COUNTIFS(VC_cle,AK48)=0,0,MAX(INDEX((VC_cle=AK48)*(VC_date+ROW(VC_date)/100000),0))))</f>
        <v/>
      </c>
      <c r="AM48" s="47">
        <f>IF(AND(C48&lt;&gt;"",N(AB48)&gt;0,D48&lt;&gt;"Perdu"),AB48+ROW()/100000,0)</f>
        <v/>
      </c>
      <c r="AN48" s="48">
        <f>IF(N(AF48)&gt;0,ROUND(AF48,0)+ROW()/1000000,0)</f>
        <v/>
      </c>
    </row>
    <row r="49" ht="18" customHeight="1">
      <c r="A49" s="39" t="n">
        <v>44</v>
      </c>
      <c r="B49" s="33">
        <f>IF(C49="","",IF(X49="À RENSEIGNER","GIC",X49)&amp;"-"&amp;TEXT(A49,"000"))</f>
        <v/>
      </c>
      <c r="C49" s="36" t="n"/>
      <c r="D49" s="34">
        <f>IF(C49="","",IF(U49="☑ Oui","Perdu",IF(AD49&lt;&gt;"","Client","Prospect")))</f>
        <v/>
      </c>
      <c r="E49" s="36" t="n"/>
      <c r="F49" s="36" t="n"/>
      <c r="G49" s="44" t="n"/>
      <c r="H49" s="44" t="n"/>
      <c r="I49" s="36" t="n"/>
      <c r="J49" s="36" t="n"/>
      <c r="K49" s="41" t="n"/>
      <c r="L49" s="41" t="n"/>
      <c r="M49" s="36" t="n"/>
      <c r="N49" s="36" t="n"/>
      <c r="O49" s="32" t="n"/>
      <c r="P49" s="36" t="n"/>
      <c r="Q49" s="36" t="n"/>
      <c r="R49" s="34">
        <f>IF(P49="","",IFERROR(VLOOKUP(P49,T_Produits,2,FALSE),""))</f>
        <v/>
      </c>
      <c r="S49" s="36" t="n"/>
      <c r="T49" s="43" t="n"/>
      <c r="U49" s="43" t="n"/>
      <c r="V49" s="36" t="n"/>
      <c r="W49" s="36" t="n"/>
      <c r="X49" s="33">
        <f>IF(C49="","",Commercial_Id)</f>
        <v/>
      </c>
      <c r="Y49" s="33">
        <f>IF(E49="","",IF(E49="Particulier / ménage","Particulier","Entreprise"))</f>
        <v/>
      </c>
      <c r="Z49" s="39">
        <f>IF(C49="","",COUNTIFS(VC_cle,AK49,VC_type,"Visite sur place"))</f>
        <v/>
      </c>
      <c r="AA49" s="46">
        <f>IF(AL49=0,"",IF(INT(AL49)=0,"",INT(AL49)))</f>
        <v/>
      </c>
      <c r="AB49" s="46">
        <f>IF(AL49=0,"",IF(INDEX(VC_actiondate,ROUND(MOD(AL49,1)*100000,0)-5)=0,"",INDEX(VC_actiondate,ROUND(MOD(AL49,1)*100000,0)-5)))</f>
        <v/>
      </c>
      <c r="AC49" s="33">
        <f>IF(AL49=0,"",INDEX(VC_actiontexte,ROUND(MOD(AL49,1)*100000,0)-5)&amp;"")</f>
        <v/>
      </c>
      <c r="AD49" s="46">
        <f>IF(C49="","",IF(COUNTIFS(Cmd_cle,AK49,Cmd_dateca,"&gt;0")=0,"",SMALL(INDEX(Cmd_dateca+(((Cmd_cle&lt;&gt;AK49)+(Cmd_dateca=0))&gt;0)*1000000,0),1)))</f>
        <v/>
      </c>
      <c r="AE49" s="46">
        <f>IF(C49="","",IF(COUNTIFS(Cmd_cle,AK49,Cmd_dateca,"&gt;0")=0,"",MAX(INDEX((Cmd_cle=AK49)*Cmd_dateca,0))))</f>
        <v/>
      </c>
      <c r="AF49" s="40">
        <f>IF(C49="","",SUMIFS(Cmd_montant,Cmd_cle,AK49,Cmd_dateca,"&gt;0"))</f>
        <v/>
      </c>
      <c r="AG49" s="40">
        <f>IF(C49="","",SUMIFS(Enc_montant,Enc_cle,AK49))</f>
        <v/>
      </c>
      <c r="AH49" s="40">
        <f>IF(C49="","",AF49-AG49)</f>
        <v/>
      </c>
      <c r="AI49" s="33">
        <f>IF(C49="","",IF(D49="Perdu","",IF(AND(AB49&lt;&gt;"",N(AB49)&lt;TODAY()),"Action en retard",IF(AND(D49="Client",AE49&lt;&gt;"",TODAY()-N(AE49)&gt;P_JoursInactif),"Client inactif",IF(AND(D49="Prospect",Z49=0,O49&lt;&gt;"",TODAY()-N(O49)&gt;P_JoursNonVisite),"Jamais visité","")))))</f>
        <v/>
      </c>
      <c r="AJ49" s="33">
        <f>IF(C49="","",C49&amp;" ["&amp;TEXT(A49,"000")&amp;"]")</f>
        <v/>
      </c>
      <c r="AK49" s="33">
        <f>IF(C49="","",X49&amp;"|"&amp;A49)</f>
        <v/>
      </c>
      <c r="AL49" s="47">
        <f>IF(C49="",0,IF(COUNTIFS(VC_cle,AK49)=0,0,MAX(INDEX((VC_cle=AK49)*(VC_date+ROW(VC_date)/100000),0))))</f>
        <v/>
      </c>
      <c r="AM49" s="47">
        <f>IF(AND(C49&lt;&gt;"",N(AB49)&gt;0,D49&lt;&gt;"Perdu"),AB49+ROW()/100000,0)</f>
        <v/>
      </c>
      <c r="AN49" s="48">
        <f>IF(N(AF49)&gt;0,ROUND(AF49,0)+ROW()/1000000,0)</f>
        <v/>
      </c>
    </row>
    <row r="50" ht="18" customHeight="1">
      <c r="A50" s="39" t="n">
        <v>45</v>
      </c>
      <c r="B50" s="33">
        <f>IF(C50="","",IF(X50="À RENSEIGNER","GIC",X50)&amp;"-"&amp;TEXT(A50,"000"))</f>
        <v/>
      </c>
      <c r="C50" s="36" t="n"/>
      <c r="D50" s="34">
        <f>IF(C50="","",IF(U50="☑ Oui","Perdu",IF(AD50&lt;&gt;"","Client","Prospect")))</f>
        <v/>
      </c>
      <c r="E50" s="36" t="n"/>
      <c r="F50" s="36" t="n"/>
      <c r="G50" s="44" t="n"/>
      <c r="H50" s="44" t="n"/>
      <c r="I50" s="36" t="n"/>
      <c r="J50" s="36" t="n"/>
      <c r="K50" s="41" t="n"/>
      <c r="L50" s="41" t="n"/>
      <c r="M50" s="36" t="n"/>
      <c r="N50" s="36" t="n"/>
      <c r="O50" s="32" t="n"/>
      <c r="P50" s="36" t="n"/>
      <c r="Q50" s="36" t="n"/>
      <c r="R50" s="34">
        <f>IF(P50="","",IFERROR(VLOOKUP(P50,T_Produits,2,FALSE),""))</f>
        <v/>
      </c>
      <c r="S50" s="36" t="n"/>
      <c r="T50" s="43" t="n"/>
      <c r="U50" s="43" t="n"/>
      <c r="V50" s="36" t="n"/>
      <c r="W50" s="36" t="n"/>
      <c r="X50" s="33">
        <f>IF(C50="","",Commercial_Id)</f>
        <v/>
      </c>
      <c r="Y50" s="33">
        <f>IF(E50="","",IF(E50="Particulier / ménage","Particulier","Entreprise"))</f>
        <v/>
      </c>
      <c r="Z50" s="39">
        <f>IF(C50="","",COUNTIFS(VC_cle,AK50,VC_type,"Visite sur place"))</f>
        <v/>
      </c>
      <c r="AA50" s="46">
        <f>IF(AL50=0,"",IF(INT(AL50)=0,"",INT(AL50)))</f>
        <v/>
      </c>
      <c r="AB50" s="46">
        <f>IF(AL50=0,"",IF(INDEX(VC_actiondate,ROUND(MOD(AL50,1)*100000,0)-5)=0,"",INDEX(VC_actiondate,ROUND(MOD(AL50,1)*100000,0)-5)))</f>
        <v/>
      </c>
      <c r="AC50" s="33">
        <f>IF(AL50=0,"",INDEX(VC_actiontexte,ROUND(MOD(AL50,1)*100000,0)-5)&amp;"")</f>
        <v/>
      </c>
      <c r="AD50" s="46">
        <f>IF(C50="","",IF(COUNTIFS(Cmd_cle,AK50,Cmd_dateca,"&gt;0")=0,"",SMALL(INDEX(Cmd_dateca+(((Cmd_cle&lt;&gt;AK50)+(Cmd_dateca=0))&gt;0)*1000000,0),1)))</f>
        <v/>
      </c>
      <c r="AE50" s="46">
        <f>IF(C50="","",IF(COUNTIFS(Cmd_cle,AK50,Cmd_dateca,"&gt;0")=0,"",MAX(INDEX((Cmd_cle=AK50)*Cmd_dateca,0))))</f>
        <v/>
      </c>
      <c r="AF50" s="40">
        <f>IF(C50="","",SUMIFS(Cmd_montant,Cmd_cle,AK50,Cmd_dateca,"&gt;0"))</f>
        <v/>
      </c>
      <c r="AG50" s="40">
        <f>IF(C50="","",SUMIFS(Enc_montant,Enc_cle,AK50))</f>
        <v/>
      </c>
      <c r="AH50" s="40">
        <f>IF(C50="","",AF50-AG50)</f>
        <v/>
      </c>
      <c r="AI50" s="33">
        <f>IF(C50="","",IF(D50="Perdu","",IF(AND(AB50&lt;&gt;"",N(AB50)&lt;TODAY()),"Action en retard",IF(AND(D50="Client",AE50&lt;&gt;"",TODAY()-N(AE50)&gt;P_JoursInactif),"Client inactif",IF(AND(D50="Prospect",Z50=0,O50&lt;&gt;"",TODAY()-N(O50)&gt;P_JoursNonVisite),"Jamais visité","")))))</f>
        <v/>
      </c>
      <c r="AJ50" s="33">
        <f>IF(C50="","",C50&amp;" ["&amp;TEXT(A50,"000")&amp;"]")</f>
        <v/>
      </c>
      <c r="AK50" s="33">
        <f>IF(C50="","",X50&amp;"|"&amp;A50)</f>
        <v/>
      </c>
      <c r="AL50" s="47">
        <f>IF(C50="",0,IF(COUNTIFS(VC_cle,AK50)=0,0,MAX(INDEX((VC_cle=AK50)*(VC_date+ROW(VC_date)/100000),0))))</f>
        <v/>
      </c>
      <c r="AM50" s="47">
        <f>IF(AND(C50&lt;&gt;"",N(AB50)&gt;0,D50&lt;&gt;"Perdu"),AB50+ROW()/100000,0)</f>
        <v/>
      </c>
      <c r="AN50" s="48">
        <f>IF(N(AF50)&gt;0,ROUND(AF50,0)+ROW()/1000000,0)</f>
        <v/>
      </c>
    </row>
    <row r="51" ht="18" customHeight="1">
      <c r="A51" s="39" t="n">
        <v>46</v>
      </c>
      <c r="B51" s="33">
        <f>IF(C51="","",IF(X51="À RENSEIGNER","GIC",X51)&amp;"-"&amp;TEXT(A51,"000"))</f>
        <v/>
      </c>
      <c r="C51" s="36" t="n"/>
      <c r="D51" s="34">
        <f>IF(C51="","",IF(U51="☑ Oui","Perdu",IF(AD51&lt;&gt;"","Client","Prospect")))</f>
        <v/>
      </c>
      <c r="E51" s="36" t="n"/>
      <c r="F51" s="36" t="n"/>
      <c r="G51" s="44" t="n"/>
      <c r="H51" s="44" t="n"/>
      <c r="I51" s="36" t="n"/>
      <c r="J51" s="36" t="n"/>
      <c r="K51" s="41" t="n"/>
      <c r="L51" s="41" t="n"/>
      <c r="M51" s="36" t="n"/>
      <c r="N51" s="36" t="n"/>
      <c r="O51" s="32" t="n"/>
      <c r="P51" s="36" t="n"/>
      <c r="Q51" s="36" t="n"/>
      <c r="R51" s="34">
        <f>IF(P51="","",IFERROR(VLOOKUP(P51,T_Produits,2,FALSE),""))</f>
        <v/>
      </c>
      <c r="S51" s="36" t="n"/>
      <c r="T51" s="43" t="n"/>
      <c r="U51" s="43" t="n"/>
      <c r="V51" s="36" t="n"/>
      <c r="W51" s="36" t="n"/>
      <c r="X51" s="33">
        <f>IF(C51="","",Commercial_Id)</f>
        <v/>
      </c>
      <c r="Y51" s="33">
        <f>IF(E51="","",IF(E51="Particulier / ménage","Particulier","Entreprise"))</f>
        <v/>
      </c>
      <c r="Z51" s="39">
        <f>IF(C51="","",COUNTIFS(VC_cle,AK51,VC_type,"Visite sur place"))</f>
        <v/>
      </c>
      <c r="AA51" s="46">
        <f>IF(AL51=0,"",IF(INT(AL51)=0,"",INT(AL51)))</f>
        <v/>
      </c>
      <c r="AB51" s="46">
        <f>IF(AL51=0,"",IF(INDEX(VC_actiondate,ROUND(MOD(AL51,1)*100000,0)-5)=0,"",INDEX(VC_actiondate,ROUND(MOD(AL51,1)*100000,0)-5)))</f>
        <v/>
      </c>
      <c r="AC51" s="33">
        <f>IF(AL51=0,"",INDEX(VC_actiontexte,ROUND(MOD(AL51,1)*100000,0)-5)&amp;"")</f>
        <v/>
      </c>
      <c r="AD51" s="46">
        <f>IF(C51="","",IF(COUNTIFS(Cmd_cle,AK51,Cmd_dateca,"&gt;0")=0,"",SMALL(INDEX(Cmd_dateca+(((Cmd_cle&lt;&gt;AK51)+(Cmd_dateca=0))&gt;0)*1000000,0),1)))</f>
        <v/>
      </c>
      <c r="AE51" s="46">
        <f>IF(C51="","",IF(COUNTIFS(Cmd_cle,AK51,Cmd_dateca,"&gt;0")=0,"",MAX(INDEX((Cmd_cle=AK51)*Cmd_dateca,0))))</f>
        <v/>
      </c>
      <c r="AF51" s="40">
        <f>IF(C51="","",SUMIFS(Cmd_montant,Cmd_cle,AK51,Cmd_dateca,"&gt;0"))</f>
        <v/>
      </c>
      <c r="AG51" s="40">
        <f>IF(C51="","",SUMIFS(Enc_montant,Enc_cle,AK51))</f>
        <v/>
      </c>
      <c r="AH51" s="40">
        <f>IF(C51="","",AF51-AG51)</f>
        <v/>
      </c>
      <c r="AI51" s="33">
        <f>IF(C51="","",IF(D51="Perdu","",IF(AND(AB51&lt;&gt;"",N(AB51)&lt;TODAY()),"Action en retard",IF(AND(D51="Client",AE51&lt;&gt;"",TODAY()-N(AE51)&gt;P_JoursInactif),"Client inactif",IF(AND(D51="Prospect",Z51=0,O51&lt;&gt;"",TODAY()-N(O51)&gt;P_JoursNonVisite),"Jamais visité","")))))</f>
        <v/>
      </c>
      <c r="AJ51" s="33">
        <f>IF(C51="","",C51&amp;" ["&amp;TEXT(A51,"000")&amp;"]")</f>
        <v/>
      </c>
      <c r="AK51" s="33">
        <f>IF(C51="","",X51&amp;"|"&amp;A51)</f>
        <v/>
      </c>
      <c r="AL51" s="47">
        <f>IF(C51="",0,IF(COUNTIFS(VC_cle,AK51)=0,0,MAX(INDEX((VC_cle=AK51)*(VC_date+ROW(VC_date)/100000),0))))</f>
        <v/>
      </c>
      <c r="AM51" s="47">
        <f>IF(AND(C51&lt;&gt;"",N(AB51)&gt;0,D51&lt;&gt;"Perdu"),AB51+ROW()/100000,0)</f>
        <v/>
      </c>
      <c r="AN51" s="48">
        <f>IF(N(AF51)&gt;0,ROUND(AF51,0)+ROW()/1000000,0)</f>
        <v/>
      </c>
    </row>
    <row r="52" ht="18" customHeight="1">
      <c r="A52" s="39" t="n">
        <v>47</v>
      </c>
      <c r="B52" s="33">
        <f>IF(C52="","",IF(X52="À RENSEIGNER","GIC",X52)&amp;"-"&amp;TEXT(A52,"000"))</f>
        <v/>
      </c>
      <c r="C52" s="36" t="n"/>
      <c r="D52" s="34">
        <f>IF(C52="","",IF(U52="☑ Oui","Perdu",IF(AD52&lt;&gt;"","Client","Prospect")))</f>
        <v/>
      </c>
      <c r="E52" s="36" t="n"/>
      <c r="F52" s="36" t="n"/>
      <c r="G52" s="44" t="n"/>
      <c r="H52" s="44" t="n"/>
      <c r="I52" s="36" t="n"/>
      <c r="J52" s="36" t="n"/>
      <c r="K52" s="41" t="n"/>
      <c r="L52" s="41" t="n"/>
      <c r="M52" s="36" t="n"/>
      <c r="N52" s="36" t="n"/>
      <c r="O52" s="32" t="n"/>
      <c r="P52" s="36" t="n"/>
      <c r="Q52" s="36" t="n"/>
      <c r="R52" s="34">
        <f>IF(P52="","",IFERROR(VLOOKUP(P52,T_Produits,2,FALSE),""))</f>
        <v/>
      </c>
      <c r="S52" s="36" t="n"/>
      <c r="T52" s="43" t="n"/>
      <c r="U52" s="43" t="n"/>
      <c r="V52" s="36" t="n"/>
      <c r="W52" s="36" t="n"/>
      <c r="X52" s="33">
        <f>IF(C52="","",Commercial_Id)</f>
        <v/>
      </c>
      <c r="Y52" s="33">
        <f>IF(E52="","",IF(E52="Particulier / ménage","Particulier","Entreprise"))</f>
        <v/>
      </c>
      <c r="Z52" s="39">
        <f>IF(C52="","",COUNTIFS(VC_cle,AK52,VC_type,"Visite sur place"))</f>
        <v/>
      </c>
      <c r="AA52" s="46">
        <f>IF(AL52=0,"",IF(INT(AL52)=0,"",INT(AL52)))</f>
        <v/>
      </c>
      <c r="AB52" s="46">
        <f>IF(AL52=0,"",IF(INDEX(VC_actiondate,ROUND(MOD(AL52,1)*100000,0)-5)=0,"",INDEX(VC_actiondate,ROUND(MOD(AL52,1)*100000,0)-5)))</f>
        <v/>
      </c>
      <c r="AC52" s="33">
        <f>IF(AL52=0,"",INDEX(VC_actiontexte,ROUND(MOD(AL52,1)*100000,0)-5)&amp;"")</f>
        <v/>
      </c>
      <c r="AD52" s="46">
        <f>IF(C52="","",IF(COUNTIFS(Cmd_cle,AK52,Cmd_dateca,"&gt;0")=0,"",SMALL(INDEX(Cmd_dateca+(((Cmd_cle&lt;&gt;AK52)+(Cmd_dateca=0))&gt;0)*1000000,0),1)))</f>
        <v/>
      </c>
      <c r="AE52" s="46">
        <f>IF(C52="","",IF(COUNTIFS(Cmd_cle,AK52,Cmd_dateca,"&gt;0")=0,"",MAX(INDEX((Cmd_cle=AK52)*Cmd_dateca,0))))</f>
        <v/>
      </c>
      <c r="AF52" s="40">
        <f>IF(C52="","",SUMIFS(Cmd_montant,Cmd_cle,AK52,Cmd_dateca,"&gt;0"))</f>
        <v/>
      </c>
      <c r="AG52" s="40">
        <f>IF(C52="","",SUMIFS(Enc_montant,Enc_cle,AK52))</f>
        <v/>
      </c>
      <c r="AH52" s="40">
        <f>IF(C52="","",AF52-AG52)</f>
        <v/>
      </c>
      <c r="AI52" s="33">
        <f>IF(C52="","",IF(D52="Perdu","",IF(AND(AB52&lt;&gt;"",N(AB52)&lt;TODAY()),"Action en retard",IF(AND(D52="Client",AE52&lt;&gt;"",TODAY()-N(AE52)&gt;P_JoursInactif),"Client inactif",IF(AND(D52="Prospect",Z52=0,O52&lt;&gt;"",TODAY()-N(O52)&gt;P_JoursNonVisite),"Jamais visité","")))))</f>
        <v/>
      </c>
      <c r="AJ52" s="33">
        <f>IF(C52="","",C52&amp;" ["&amp;TEXT(A52,"000")&amp;"]")</f>
        <v/>
      </c>
      <c r="AK52" s="33">
        <f>IF(C52="","",X52&amp;"|"&amp;A52)</f>
        <v/>
      </c>
      <c r="AL52" s="47">
        <f>IF(C52="",0,IF(COUNTIFS(VC_cle,AK52)=0,0,MAX(INDEX((VC_cle=AK52)*(VC_date+ROW(VC_date)/100000),0))))</f>
        <v/>
      </c>
      <c r="AM52" s="47">
        <f>IF(AND(C52&lt;&gt;"",N(AB52)&gt;0,D52&lt;&gt;"Perdu"),AB52+ROW()/100000,0)</f>
        <v/>
      </c>
      <c r="AN52" s="48">
        <f>IF(N(AF52)&gt;0,ROUND(AF52,0)+ROW()/1000000,0)</f>
        <v/>
      </c>
    </row>
    <row r="53" ht="18" customHeight="1">
      <c r="A53" s="39" t="n">
        <v>48</v>
      </c>
      <c r="B53" s="33">
        <f>IF(C53="","",IF(X53="À RENSEIGNER","GIC",X53)&amp;"-"&amp;TEXT(A53,"000"))</f>
        <v/>
      </c>
      <c r="C53" s="36" t="n"/>
      <c r="D53" s="34">
        <f>IF(C53="","",IF(U53="☑ Oui","Perdu",IF(AD53&lt;&gt;"","Client","Prospect")))</f>
        <v/>
      </c>
      <c r="E53" s="36" t="n"/>
      <c r="F53" s="36" t="n"/>
      <c r="G53" s="44" t="n"/>
      <c r="H53" s="44" t="n"/>
      <c r="I53" s="36" t="n"/>
      <c r="J53" s="36" t="n"/>
      <c r="K53" s="41" t="n"/>
      <c r="L53" s="41" t="n"/>
      <c r="M53" s="36" t="n"/>
      <c r="N53" s="36" t="n"/>
      <c r="O53" s="32" t="n"/>
      <c r="P53" s="36" t="n"/>
      <c r="Q53" s="36" t="n"/>
      <c r="R53" s="34">
        <f>IF(P53="","",IFERROR(VLOOKUP(P53,T_Produits,2,FALSE),""))</f>
        <v/>
      </c>
      <c r="S53" s="36" t="n"/>
      <c r="T53" s="43" t="n"/>
      <c r="U53" s="43" t="n"/>
      <c r="V53" s="36" t="n"/>
      <c r="W53" s="36" t="n"/>
      <c r="X53" s="33">
        <f>IF(C53="","",Commercial_Id)</f>
        <v/>
      </c>
      <c r="Y53" s="33">
        <f>IF(E53="","",IF(E53="Particulier / ménage","Particulier","Entreprise"))</f>
        <v/>
      </c>
      <c r="Z53" s="39">
        <f>IF(C53="","",COUNTIFS(VC_cle,AK53,VC_type,"Visite sur place"))</f>
        <v/>
      </c>
      <c r="AA53" s="46">
        <f>IF(AL53=0,"",IF(INT(AL53)=0,"",INT(AL53)))</f>
        <v/>
      </c>
      <c r="AB53" s="46">
        <f>IF(AL53=0,"",IF(INDEX(VC_actiondate,ROUND(MOD(AL53,1)*100000,0)-5)=0,"",INDEX(VC_actiondate,ROUND(MOD(AL53,1)*100000,0)-5)))</f>
        <v/>
      </c>
      <c r="AC53" s="33">
        <f>IF(AL53=0,"",INDEX(VC_actiontexte,ROUND(MOD(AL53,1)*100000,0)-5)&amp;"")</f>
        <v/>
      </c>
      <c r="AD53" s="46">
        <f>IF(C53="","",IF(COUNTIFS(Cmd_cle,AK53,Cmd_dateca,"&gt;0")=0,"",SMALL(INDEX(Cmd_dateca+(((Cmd_cle&lt;&gt;AK53)+(Cmd_dateca=0))&gt;0)*1000000,0),1)))</f>
        <v/>
      </c>
      <c r="AE53" s="46">
        <f>IF(C53="","",IF(COUNTIFS(Cmd_cle,AK53,Cmd_dateca,"&gt;0")=0,"",MAX(INDEX((Cmd_cle=AK53)*Cmd_dateca,0))))</f>
        <v/>
      </c>
      <c r="AF53" s="40">
        <f>IF(C53="","",SUMIFS(Cmd_montant,Cmd_cle,AK53,Cmd_dateca,"&gt;0"))</f>
        <v/>
      </c>
      <c r="AG53" s="40">
        <f>IF(C53="","",SUMIFS(Enc_montant,Enc_cle,AK53))</f>
        <v/>
      </c>
      <c r="AH53" s="40">
        <f>IF(C53="","",AF53-AG53)</f>
        <v/>
      </c>
      <c r="AI53" s="33">
        <f>IF(C53="","",IF(D53="Perdu","",IF(AND(AB53&lt;&gt;"",N(AB53)&lt;TODAY()),"Action en retard",IF(AND(D53="Client",AE53&lt;&gt;"",TODAY()-N(AE53)&gt;P_JoursInactif),"Client inactif",IF(AND(D53="Prospect",Z53=0,O53&lt;&gt;"",TODAY()-N(O53)&gt;P_JoursNonVisite),"Jamais visité","")))))</f>
        <v/>
      </c>
      <c r="AJ53" s="33">
        <f>IF(C53="","",C53&amp;" ["&amp;TEXT(A53,"000")&amp;"]")</f>
        <v/>
      </c>
      <c r="AK53" s="33">
        <f>IF(C53="","",X53&amp;"|"&amp;A53)</f>
        <v/>
      </c>
      <c r="AL53" s="47">
        <f>IF(C53="",0,IF(COUNTIFS(VC_cle,AK53)=0,0,MAX(INDEX((VC_cle=AK53)*(VC_date+ROW(VC_date)/100000),0))))</f>
        <v/>
      </c>
      <c r="AM53" s="47">
        <f>IF(AND(C53&lt;&gt;"",N(AB53)&gt;0,D53&lt;&gt;"Perdu"),AB53+ROW()/100000,0)</f>
        <v/>
      </c>
      <c r="AN53" s="48">
        <f>IF(N(AF53)&gt;0,ROUND(AF53,0)+ROW()/1000000,0)</f>
        <v/>
      </c>
    </row>
    <row r="54" ht="18" customHeight="1">
      <c r="A54" s="39" t="n">
        <v>49</v>
      </c>
      <c r="B54" s="33">
        <f>IF(C54="","",IF(X54="À RENSEIGNER","GIC",X54)&amp;"-"&amp;TEXT(A54,"000"))</f>
        <v/>
      </c>
      <c r="C54" s="36" t="n"/>
      <c r="D54" s="34">
        <f>IF(C54="","",IF(U54="☑ Oui","Perdu",IF(AD54&lt;&gt;"","Client","Prospect")))</f>
        <v/>
      </c>
      <c r="E54" s="36" t="n"/>
      <c r="F54" s="36" t="n"/>
      <c r="G54" s="44" t="n"/>
      <c r="H54" s="44" t="n"/>
      <c r="I54" s="36" t="n"/>
      <c r="J54" s="36" t="n"/>
      <c r="K54" s="41" t="n"/>
      <c r="L54" s="41" t="n"/>
      <c r="M54" s="36" t="n"/>
      <c r="N54" s="36" t="n"/>
      <c r="O54" s="32" t="n"/>
      <c r="P54" s="36" t="n"/>
      <c r="Q54" s="36" t="n"/>
      <c r="R54" s="34">
        <f>IF(P54="","",IFERROR(VLOOKUP(P54,T_Produits,2,FALSE),""))</f>
        <v/>
      </c>
      <c r="S54" s="36" t="n"/>
      <c r="T54" s="43" t="n"/>
      <c r="U54" s="43" t="n"/>
      <c r="V54" s="36" t="n"/>
      <c r="W54" s="36" t="n"/>
      <c r="X54" s="33">
        <f>IF(C54="","",Commercial_Id)</f>
        <v/>
      </c>
      <c r="Y54" s="33">
        <f>IF(E54="","",IF(E54="Particulier / ménage","Particulier","Entreprise"))</f>
        <v/>
      </c>
      <c r="Z54" s="39">
        <f>IF(C54="","",COUNTIFS(VC_cle,AK54,VC_type,"Visite sur place"))</f>
        <v/>
      </c>
      <c r="AA54" s="46">
        <f>IF(AL54=0,"",IF(INT(AL54)=0,"",INT(AL54)))</f>
        <v/>
      </c>
      <c r="AB54" s="46">
        <f>IF(AL54=0,"",IF(INDEX(VC_actiondate,ROUND(MOD(AL54,1)*100000,0)-5)=0,"",INDEX(VC_actiondate,ROUND(MOD(AL54,1)*100000,0)-5)))</f>
        <v/>
      </c>
      <c r="AC54" s="33">
        <f>IF(AL54=0,"",INDEX(VC_actiontexte,ROUND(MOD(AL54,1)*100000,0)-5)&amp;"")</f>
        <v/>
      </c>
      <c r="AD54" s="46">
        <f>IF(C54="","",IF(COUNTIFS(Cmd_cle,AK54,Cmd_dateca,"&gt;0")=0,"",SMALL(INDEX(Cmd_dateca+(((Cmd_cle&lt;&gt;AK54)+(Cmd_dateca=0))&gt;0)*1000000,0),1)))</f>
        <v/>
      </c>
      <c r="AE54" s="46">
        <f>IF(C54="","",IF(COUNTIFS(Cmd_cle,AK54,Cmd_dateca,"&gt;0")=0,"",MAX(INDEX((Cmd_cle=AK54)*Cmd_dateca,0))))</f>
        <v/>
      </c>
      <c r="AF54" s="40">
        <f>IF(C54="","",SUMIFS(Cmd_montant,Cmd_cle,AK54,Cmd_dateca,"&gt;0"))</f>
        <v/>
      </c>
      <c r="AG54" s="40">
        <f>IF(C54="","",SUMIFS(Enc_montant,Enc_cle,AK54))</f>
        <v/>
      </c>
      <c r="AH54" s="40">
        <f>IF(C54="","",AF54-AG54)</f>
        <v/>
      </c>
      <c r="AI54" s="33">
        <f>IF(C54="","",IF(D54="Perdu","",IF(AND(AB54&lt;&gt;"",N(AB54)&lt;TODAY()),"Action en retard",IF(AND(D54="Client",AE54&lt;&gt;"",TODAY()-N(AE54)&gt;P_JoursInactif),"Client inactif",IF(AND(D54="Prospect",Z54=0,O54&lt;&gt;"",TODAY()-N(O54)&gt;P_JoursNonVisite),"Jamais visité","")))))</f>
        <v/>
      </c>
      <c r="AJ54" s="33">
        <f>IF(C54="","",C54&amp;" ["&amp;TEXT(A54,"000")&amp;"]")</f>
        <v/>
      </c>
      <c r="AK54" s="33">
        <f>IF(C54="","",X54&amp;"|"&amp;A54)</f>
        <v/>
      </c>
      <c r="AL54" s="47">
        <f>IF(C54="",0,IF(COUNTIFS(VC_cle,AK54)=0,0,MAX(INDEX((VC_cle=AK54)*(VC_date+ROW(VC_date)/100000),0))))</f>
        <v/>
      </c>
      <c r="AM54" s="47">
        <f>IF(AND(C54&lt;&gt;"",N(AB54)&gt;0,D54&lt;&gt;"Perdu"),AB54+ROW()/100000,0)</f>
        <v/>
      </c>
      <c r="AN54" s="48">
        <f>IF(N(AF54)&gt;0,ROUND(AF54,0)+ROW()/1000000,0)</f>
        <v/>
      </c>
    </row>
    <row r="55" ht="18" customHeight="1">
      <c r="A55" s="39" t="n">
        <v>50</v>
      </c>
      <c r="B55" s="33">
        <f>IF(C55="","",IF(X55="À RENSEIGNER","GIC",X55)&amp;"-"&amp;TEXT(A55,"000"))</f>
        <v/>
      </c>
      <c r="C55" s="36" t="n"/>
      <c r="D55" s="34">
        <f>IF(C55="","",IF(U55="☑ Oui","Perdu",IF(AD55&lt;&gt;"","Client","Prospect")))</f>
        <v/>
      </c>
      <c r="E55" s="36" t="n"/>
      <c r="F55" s="36" t="n"/>
      <c r="G55" s="44" t="n"/>
      <c r="H55" s="44" t="n"/>
      <c r="I55" s="36" t="n"/>
      <c r="J55" s="36" t="n"/>
      <c r="K55" s="41" t="n"/>
      <c r="L55" s="41" t="n"/>
      <c r="M55" s="36" t="n"/>
      <c r="N55" s="36" t="n"/>
      <c r="O55" s="32" t="n"/>
      <c r="P55" s="36" t="n"/>
      <c r="Q55" s="36" t="n"/>
      <c r="R55" s="34">
        <f>IF(P55="","",IFERROR(VLOOKUP(P55,T_Produits,2,FALSE),""))</f>
        <v/>
      </c>
      <c r="S55" s="36" t="n"/>
      <c r="T55" s="43" t="n"/>
      <c r="U55" s="43" t="n"/>
      <c r="V55" s="36" t="n"/>
      <c r="W55" s="36" t="n"/>
      <c r="X55" s="33">
        <f>IF(C55="","",Commercial_Id)</f>
        <v/>
      </c>
      <c r="Y55" s="33">
        <f>IF(E55="","",IF(E55="Particulier / ménage","Particulier","Entreprise"))</f>
        <v/>
      </c>
      <c r="Z55" s="39">
        <f>IF(C55="","",COUNTIFS(VC_cle,AK55,VC_type,"Visite sur place"))</f>
        <v/>
      </c>
      <c r="AA55" s="46">
        <f>IF(AL55=0,"",IF(INT(AL55)=0,"",INT(AL55)))</f>
        <v/>
      </c>
      <c r="AB55" s="46">
        <f>IF(AL55=0,"",IF(INDEX(VC_actiondate,ROUND(MOD(AL55,1)*100000,0)-5)=0,"",INDEX(VC_actiondate,ROUND(MOD(AL55,1)*100000,0)-5)))</f>
        <v/>
      </c>
      <c r="AC55" s="33">
        <f>IF(AL55=0,"",INDEX(VC_actiontexte,ROUND(MOD(AL55,1)*100000,0)-5)&amp;"")</f>
        <v/>
      </c>
      <c r="AD55" s="46">
        <f>IF(C55="","",IF(COUNTIFS(Cmd_cle,AK55,Cmd_dateca,"&gt;0")=0,"",SMALL(INDEX(Cmd_dateca+(((Cmd_cle&lt;&gt;AK55)+(Cmd_dateca=0))&gt;0)*1000000,0),1)))</f>
        <v/>
      </c>
      <c r="AE55" s="46">
        <f>IF(C55="","",IF(COUNTIFS(Cmd_cle,AK55,Cmd_dateca,"&gt;0")=0,"",MAX(INDEX((Cmd_cle=AK55)*Cmd_dateca,0))))</f>
        <v/>
      </c>
      <c r="AF55" s="40">
        <f>IF(C55="","",SUMIFS(Cmd_montant,Cmd_cle,AK55,Cmd_dateca,"&gt;0"))</f>
        <v/>
      </c>
      <c r="AG55" s="40">
        <f>IF(C55="","",SUMIFS(Enc_montant,Enc_cle,AK55))</f>
        <v/>
      </c>
      <c r="AH55" s="40">
        <f>IF(C55="","",AF55-AG55)</f>
        <v/>
      </c>
      <c r="AI55" s="33">
        <f>IF(C55="","",IF(D55="Perdu","",IF(AND(AB55&lt;&gt;"",N(AB55)&lt;TODAY()),"Action en retard",IF(AND(D55="Client",AE55&lt;&gt;"",TODAY()-N(AE55)&gt;P_JoursInactif),"Client inactif",IF(AND(D55="Prospect",Z55=0,O55&lt;&gt;"",TODAY()-N(O55)&gt;P_JoursNonVisite),"Jamais visité","")))))</f>
        <v/>
      </c>
      <c r="AJ55" s="33">
        <f>IF(C55="","",C55&amp;" ["&amp;TEXT(A55,"000")&amp;"]")</f>
        <v/>
      </c>
      <c r="AK55" s="33">
        <f>IF(C55="","",X55&amp;"|"&amp;A55)</f>
        <v/>
      </c>
      <c r="AL55" s="47">
        <f>IF(C55="",0,IF(COUNTIFS(VC_cle,AK55)=0,0,MAX(INDEX((VC_cle=AK55)*(VC_date+ROW(VC_date)/100000),0))))</f>
        <v/>
      </c>
      <c r="AM55" s="47">
        <f>IF(AND(C55&lt;&gt;"",N(AB55)&gt;0,D55&lt;&gt;"Perdu"),AB55+ROW()/100000,0)</f>
        <v/>
      </c>
      <c r="AN55" s="48">
        <f>IF(N(AF55)&gt;0,ROUND(AF55,0)+ROW()/1000000,0)</f>
        <v/>
      </c>
    </row>
    <row r="56" ht="18" customHeight="1">
      <c r="A56" s="39" t="n">
        <v>51</v>
      </c>
      <c r="B56" s="33">
        <f>IF(C56="","",IF(X56="À RENSEIGNER","GIC",X56)&amp;"-"&amp;TEXT(A56,"000"))</f>
        <v/>
      </c>
      <c r="C56" s="36" t="n"/>
      <c r="D56" s="34">
        <f>IF(C56="","",IF(U56="☑ Oui","Perdu",IF(AD56&lt;&gt;"","Client","Prospect")))</f>
        <v/>
      </c>
      <c r="E56" s="36" t="n"/>
      <c r="F56" s="36" t="n"/>
      <c r="G56" s="44" t="n"/>
      <c r="H56" s="44" t="n"/>
      <c r="I56" s="36" t="n"/>
      <c r="J56" s="36" t="n"/>
      <c r="K56" s="41" t="n"/>
      <c r="L56" s="41" t="n"/>
      <c r="M56" s="36" t="n"/>
      <c r="N56" s="36" t="n"/>
      <c r="O56" s="32" t="n"/>
      <c r="P56" s="36" t="n"/>
      <c r="Q56" s="36" t="n"/>
      <c r="R56" s="34">
        <f>IF(P56="","",IFERROR(VLOOKUP(P56,T_Produits,2,FALSE),""))</f>
        <v/>
      </c>
      <c r="S56" s="36" t="n"/>
      <c r="T56" s="43" t="n"/>
      <c r="U56" s="43" t="n"/>
      <c r="V56" s="36" t="n"/>
      <c r="W56" s="36" t="n"/>
      <c r="X56" s="33">
        <f>IF(C56="","",Commercial_Id)</f>
        <v/>
      </c>
      <c r="Y56" s="33">
        <f>IF(E56="","",IF(E56="Particulier / ménage","Particulier","Entreprise"))</f>
        <v/>
      </c>
      <c r="Z56" s="39">
        <f>IF(C56="","",COUNTIFS(VC_cle,AK56,VC_type,"Visite sur place"))</f>
        <v/>
      </c>
      <c r="AA56" s="46">
        <f>IF(AL56=0,"",IF(INT(AL56)=0,"",INT(AL56)))</f>
        <v/>
      </c>
      <c r="AB56" s="46">
        <f>IF(AL56=0,"",IF(INDEX(VC_actiondate,ROUND(MOD(AL56,1)*100000,0)-5)=0,"",INDEX(VC_actiondate,ROUND(MOD(AL56,1)*100000,0)-5)))</f>
        <v/>
      </c>
      <c r="AC56" s="33">
        <f>IF(AL56=0,"",INDEX(VC_actiontexte,ROUND(MOD(AL56,1)*100000,0)-5)&amp;"")</f>
        <v/>
      </c>
      <c r="AD56" s="46">
        <f>IF(C56="","",IF(COUNTIFS(Cmd_cle,AK56,Cmd_dateca,"&gt;0")=0,"",SMALL(INDEX(Cmd_dateca+(((Cmd_cle&lt;&gt;AK56)+(Cmd_dateca=0))&gt;0)*1000000,0),1)))</f>
        <v/>
      </c>
      <c r="AE56" s="46">
        <f>IF(C56="","",IF(COUNTIFS(Cmd_cle,AK56,Cmd_dateca,"&gt;0")=0,"",MAX(INDEX((Cmd_cle=AK56)*Cmd_dateca,0))))</f>
        <v/>
      </c>
      <c r="AF56" s="40">
        <f>IF(C56="","",SUMIFS(Cmd_montant,Cmd_cle,AK56,Cmd_dateca,"&gt;0"))</f>
        <v/>
      </c>
      <c r="AG56" s="40">
        <f>IF(C56="","",SUMIFS(Enc_montant,Enc_cle,AK56))</f>
        <v/>
      </c>
      <c r="AH56" s="40">
        <f>IF(C56="","",AF56-AG56)</f>
        <v/>
      </c>
      <c r="AI56" s="33">
        <f>IF(C56="","",IF(D56="Perdu","",IF(AND(AB56&lt;&gt;"",N(AB56)&lt;TODAY()),"Action en retard",IF(AND(D56="Client",AE56&lt;&gt;"",TODAY()-N(AE56)&gt;P_JoursInactif),"Client inactif",IF(AND(D56="Prospect",Z56=0,O56&lt;&gt;"",TODAY()-N(O56)&gt;P_JoursNonVisite),"Jamais visité","")))))</f>
        <v/>
      </c>
      <c r="AJ56" s="33">
        <f>IF(C56="","",C56&amp;" ["&amp;TEXT(A56,"000")&amp;"]")</f>
        <v/>
      </c>
      <c r="AK56" s="33">
        <f>IF(C56="","",X56&amp;"|"&amp;A56)</f>
        <v/>
      </c>
      <c r="AL56" s="47">
        <f>IF(C56="",0,IF(COUNTIFS(VC_cle,AK56)=0,0,MAX(INDEX((VC_cle=AK56)*(VC_date+ROW(VC_date)/100000),0))))</f>
        <v/>
      </c>
      <c r="AM56" s="47">
        <f>IF(AND(C56&lt;&gt;"",N(AB56)&gt;0,D56&lt;&gt;"Perdu"),AB56+ROW()/100000,0)</f>
        <v/>
      </c>
      <c r="AN56" s="48">
        <f>IF(N(AF56)&gt;0,ROUND(AF56,0)+ROW()/1000000,0)</f>
        <v/>
      </c>
    </row>
    <row r="57" ht="18" customHeight="1">
      <c r="A57" s="39" t="n">
        <v>52</v>
      </c>
      <c r="B57" s="33">
        <f>IF(C57="","",IF(X57="À RENSEIGNER","GIC",X57)&amp;"-"&amp;TEXT(A57,"000"))</f>
        <v/>
      </c>
      <c r="C57" s="36" t="n"/>
      <c r="D57" s="34">
        <f>IF(C57="","",IF(U57="☑ Oui","Perdu",IF(AD57&lt;&gt;"","Client","Prospect")))</f>
        <v/>
      </c>
      <c r="E57" s="36" t="n"/>
      <c r="F57" s="36" t="n"/>
      <c r="G57" s="44" t="n"/>
      <c r="H57" s="44" t="n"/>
      <c r="I57" s="36" t="n"/>
      <c r="J57" s="36" t="n"/>
      <c r="K57" s="41" t="n"/>
      <c r="L57" s="41" t="n"/>
      <c r="M57" s="36" t="n"/>
      <c r="N57" s="36" t="n"/>
      <c r="O57" s="32" t="n"/>
      <c r="P57" s="36" t="n"/>
      <c r="Q57" s="36" t="n"/>
      <c r="R57" s="34">
        <f>IF(P57="","",IFERROR(VLOOKUP(P57,T_Produits,2,FALSE),""))</f>
        <v/>
      </c>
      <c r="S57" s="36" t="n"/>
      <c r="T57" s="43" t="n"/>
      <c r="U57" s="43" t="n"/>
      <c r="V57" s="36" t="n"/>
      <c r="W57" s="36" t="n"/>
      <c r="X57" s="33">
        <f>IF(C57="","",Commercial_Id)</f>
        <v/>
      </c>
      <c r="Y57" s="33">
        <f>IF(E57="","",IF(E57="Particulier / ménage","Particulier","Entreprise"))</f>
        <v/>
      </c>
      <c r="Z57" s="39">
        <f>IF(C57="","",COUNTIFS(VC_cle,AK57,VC_type,"Visite sur place"))</f>
        <v/>
      </c>
      <c r="AA57" s="46">
        <f>IF(AL57=0,"",IF(INT(AL57)=0,"",INT(AL57)))</f>
        <v/>
      </c>
      <c r="AB57" s="46">
        <f>IF(AL57=0,"",IF(INDEX(VC_actiondate,ROUND(MOD(AL57,1)*100000,0)-5)=0,"",INDEX(VC_actiondate,ROUND(MOD(AL57,1)*100000,0)-5)))</f>
        <v/>
      </c>
      <c r="AC57" s="33">
        <f>IF(AL57=0,"",INDEX(VC_actiontexte,ROUND(MOD(AL57,1)*100000,0)-5)&amp;"")</f>
        <v/>
      </c>
      <c r="AD57" s="46">
        <f>IF(C57="","",IF(COUNTIFS(Cmd_cle,AK57,Cmd_dateca,"&gt;0")=0,"",SMALL(INDEX(Cmd_dateca+(((Cmd_cle&lt;&gt;AK57)+(Cmd_dateca=0))&gt;0)*1000000,0),1)))</f>
        <v/>
      </c>
      <c r="AE57" s="46">
        <f>IF(C57="","",IF(COUNTIFS(Cmd_cle,AK57,Cmd_dateca,"&gt;0")=0,"",MAX(INDEX((Cmd_cle=AK57)*Cmd_dateca,0))))</f>
        <v/>
      </c>
      <c r="AF57" s="40">
        <f>IF(C57="","",SUMIFS(Cmd_montant,Cmd_cle,AK57,Cmd_dateca,"&gt;0"))</f>
        <v/>
      </c>
      <c r="AG57" s="40">
        <f>IF(C57="","",SUMIFS(Enc_montant,Enc_cle,AK57))</f>
        <v/>
      </c>
      <c r="AH57" s="40">
        <f>IF(C57="","",AF57-AG57)</f>
        <v/>
      </c>
      <c r="AI57" s="33">
        <f>IF(C57="","",IF(D57="Perdu","",IF(AND(AB57&lt;&gt;"",N(AB57)&lt;TODAY()),"Action en retard",IF(AND(D57="Client",AE57&lt;&gt;"",TODAY()-N(AE57)&gt;P_JoursInactif),"Client inactif",IF(AND(D57="Prospect",Z57=0,O57&lt;&gt;"",TODAY()-N(O57)&gt;P_JoursNonVisite),"Jamais visité","")))))</f>
        <v/>
      </c>
      <c r="AJ57" s="33">
        <f>IF(C57="","",C57&amp;" ["&amp;TEXT(A57,"000")&amp;"]")</f>
        <v/>
      </c>
      <c r="AK57" s="33">
        <f>IF(C57="","",X57&amp;"|"&amp;A57)</f>
        <v/>
      </c>
      <c r="AL57" s="47">
        <f>IF(C57="",0,IF(COUNTIFS(VC_cle,AK57)=0,0,MAX(INDEX((VC_cle=AK57)*(VC_date+ROW(VC_date)/100000),0))))</f>
        <v/>
      </c>
      <c r="AM57" s="47">
        <f>IF(AND(C57&lt;&gt;"",N(AB57)&gt;0,D57&lt;&gt;"Perdu"),AB57+ROW()/100000,0)</f>
        <v/>
      </c>
      <c r="AN57" s="48">
        <f>IF(N(AF57)&gt;0,ROUND(AF57,0)+ROW()/1000000,0)</f>
        <v/>
      </c>
    </row>
    <row r="58" ht="18" customHeight="1">
      <c r="A58" s="39" t="n">
        <v>53</v>
      </c>
      <c r="B58" s="33">
        <f>IF(C58="","",IF(X58="À RENSEIGNER","GIC",X58)&amp;"-"&amp;TEXT(A58,"000"))</f>
        <v/>
      </c>
      <c r="C58" s="36" t="n"/>
      <c r="D58" s="34">
        <f>IF(C58="","",IF(U58="☑ Oui","Perdu",IF(AD58&lt;&gt;"","Client","Prospect")))</f>
        <v/>
      </c>
      <c r="E58" s="36" t="n"/>
      <c r="F58" s="36" t="n"/>
      <c r="G58" s="44" t="n"/>
      <c r="H58" s="44" t="n"/>
      <c r="I58" s="36" t="n"/>
      <c r="J58" s="36" t="n"/>
      <c r="K58" s="41" t="n"/>
      <c r="L58" s="41" t="n"/>
      <c r="M58" s="36" t="n"/>
      <c r="N58" s="36" t="n"/>
      <c r="O58" s="32" t="n"/>
      <c r="P58" s="36" t="n"/>
      <c r="Q58" s="36" t="n"/>
      <c r="R58" s="34">
        <f>IF(P58="","",IFERROR(VLOOKUP(P58,T_Produits,2,FALSE),""))</f>
        <v/>
      </c>
      <c r="S58" s="36" t="n"/>
      <c r="T58" s="43" t="n"/>
      <c r="U58" s="43" t="n"/>
      <c r="V58" s="36" t="n"/>
      <c r="W58" s="36" t="n"/>
      <c r="X58" s="33">
        <f>IF(C58="","",Commercial_Id)</f>
        <v/>
      </c>
      <c r="Y58" s="33">
        <f>IF(E58="","",IF(E58="Particulier / ménage","Particulier","Entreprise"))</f>
        <v/>
      </c>
      <c r="Z58" s="39">
        <f>IF(C58="","",COUNTIFS(VC_cle,AK58,VC_type,"Visite sur place"))</f>
        <v/>
      </c>
      <c r="AA58" s="46">
        <f>IF(AL58=0,"",IF(INT(AL58)=0,"",INT(AL58)))</f>
        <v/>
      </c>
      <c r="AB58" s="46">
        <f>IF(AL58=0,"",IF(INDEX(VC_actiondate,ROUND(MOD(AL58,1)*100000,0)-5)=0,"",INDEX(VC_actiondate,ROUND(MOD(AL58,1)*100000,0)-5)))</f>
        <v/>
      </c>
      <c r="AC58" s="33">
        <f>IF(AL58=0,"",INDEX(VC_actiontexte,ROUND(MOD(AL58,1)*100000,0)-5)&amp;"")</f>
        <v/>
      </c>
      <c r="AD58" s="46">
        <f>IF(C58="","",IF(COUNTIFS(Cmd_cle,AK58,Cmd_dateca,"&gt;0")=0,"",SMALL(INDEX(Cmd_dateca+(((Cmd_cle&lt;&gt;AK58)+(Cmd_dateca=0))&gt;0)*1000000,0),1)))</f>
        <v/>
      </c>
      <c r="AE58" s="46">
        <f>IF(C58="","",IF(COUNTIFS(Cmd_cle,AK58,Cmd_dateca,"&gt;0")=0,"",MAX(INDEX((Cmd_cle=AK58)*Cmd_dateca,0))))</f>
        <v/>
      </c>
      <c r="AF58" s="40">
        <f>IF(C58="","",SUMIFS(Cmd_montant,Cmd_cle,AK58,Cmd_dateca,"&gt;0"))</f>
        <v/>
      </c>
      <c r="AG58" s="40">
        <f>IF(C58="","",SUMIFS(Enc_montant,Enc_cle,AK58))</f>
        <v/>
      </c>
      <c r="AH58" s="40">
        <f>IF(C58="","",AF58-AG58)</f>
        <v/>
      </c>
      <c r="AI58" s="33">
        <f>IF(C58="","",IF(D58="Perdu","",IF(AND(AB58&lt;&gt;"",N(AB58)&lt;TODAY()),"Action en retard",IF(AND(D58="Client",AE58&lt;&gt;"",TODAY()-N(AE58)&gt;P_JoursInactif),"Client inactif",IF(AND(D58="Prospect",Z58=0,O58&lt;&gt;"",TODAY()-N(O58)&gt;P_JoursNonVisite),"Jamais visité","")))))</f>
        <v/>
      </c>
      <c r="AJ58" s="33">
        <f>IF(C58="","",C58&amp;" ["&amp;TEXT(A58,"000")&amp;"]")</f>
        <v/>
      </c>
      <c r="AK58" s="33">
        <f>IF(C58="","",X58&amp;"|"&amp;A58)</f>
        <v/>
      </c>
      <c r="AL58" s="47">
        <f>IF(C58="",0,IF(COUNTIFS(VC_cle,AK58)=0,0,MAX(INDEX((VC_cle=AK58)*(VC_date+ROW(VC_date)/100000),0))))</f>
        <v/>
      </c>
      <c r="AM58" s="47">
        <f>IF(AND(C58&lt;&gt;"",N(AB58)&gt;0,D58&lt;&gt;"Perdu"),AB58+ROW()/100000,0)</f>
        <v/>
      </c>
      <c r="AN58" s="48">
        <f>IF(N(AF58)&gt;0,ROUND(AF58,0)+ROW()/1000000,0)</f>
        <v/>
      </c>
    </row>
    <row r="59" ht="18" customHeight="1">
      <c r="A59" s="39" t="n">
        <v>54</v>
      </c>
      <c r="B59" s="33">
        <f>IF(C59="","",IF(X59="À RENSEIGNER","GIC",X59)&amp;"-"&amp;TEXT(A59,"000"))</f>
        <v/>
      </c>
      <c r="C59" s="36" t="n"/>
      <c r="D59" s="34">
        <f>IF(C59="","",IF(U59="☑ Oui","Perdu",IF(AD59&lt;&gt;"","Client","Prospect")))</f>
        <v/>
      </c>
      <c r="E59" s="36" t="n"/>
      <c r="F59" s="36" t="n"/>
      <c r="G59" s="44" t="n"/>
      <c r="H59" s="44" t="n"/>
      <c r="I59" s="36" t="n"/>
      <c r="J59" s="36" t="n"/>
      <c r="K59" s="41" t="n"/>
      <c r="L59" s="41" t="n"/>
      <c r="M59" s="36" t="n"/>
      <c r="N59" s="36" t="n"/>
      <c r="O59" s="32" t="n"/>
      <c r="P59" s="36" t="n"/>
      <c r="Q59" s="36" t="n"/>
      <c r="R59" s="34">
        <f>IF(P59="","",IFERROR(VLOOKUP(P59,T_Produits,2,FALSE),""))</f>
        <v/>
      </c>
      <c r="S59" s="36" t="n"/>
      <c r="T59" s="43" t="n"/>
      <c r="U59" s="43" t="n"/>
      <c r="V59" s="36" t="n"/>
      <c r="W59" s="36" t="n"/>
      <c r="X59" s="33">
        <f>IF(C59="","",Commercial_Id)</f>
        <v/>
      </c>
      <c r="Y59" s="33">
        <f>IF(E59="","",IF(E59="Particulier / ménage","Particulier","Entreprise"))</f>
        <v/>
      </c>
      <c r="Z59" s="39">
        <f>IF(C59="","",COUNTIFS(VC_cle,AK59,VC_type,"Visite sur place"))</f>
        <v/>
      </c>
      <c r="AA59" s="46">
        <f>IF(AL59=0,"",IF(INT(AL59)=0,"",INT(AL59)))</f>
        <v/>
      </c>
      <c r="AB59" s="46">
        <f>IF(AL59=0,"",IF(INDEX(VC_actiondate,ROUND(MOD(AL59,1)*100000,0)-5)=0,"",INDEX(VC_actiondate,ROUND(MOD(AL59,1)*100000,0)-5)))</f>
        <v/>
      </c>
      <c r="AC59" s="33">
        <f>IF(AL59=0,"",INDEX(VC_actiontexte,ROUND(MOD(AL59,1)*100000,0)-5)&amp;"")</f>
        <v/>
      </c>
      <c r="AD59" s="46">
        <f>IF(C59="","",IF(COUNTIFS(Cmd_cle,AK59,Cmd_dateca,"&gt;0")=0,"",SMALL(INDEX(Cmd_dateca+(((Cmd_cle&lt;&gt;AK59)+(Cmd_dateca=0))&gt;0)*1000000,0),1)))</f>
        <v/>
      </c>
      <c r="AE59" s="46">
        <f>IF(C59="","",IF(COUNTIFS(Cmd_cle,AK59,Cmd_dateca,"&gt;0")=0,"",MAX(INDEX((Cmd_cle=AK59)*Cmd_dateca,0))))</f>
        <v/>
      </c>
      <c r="AF59" s="40">
        <f>IF(C59="","",SUMIFS(Cmd_montant,Cmd_cle,AK59,Cmd_dateca,"&gt;0"))</f>
        <v/>
      </c>
      <c r="AG59" s="40">
        <f>IF(C59="","",SUMIFS(Enc_montant,Enc_cle,AK59))</f>
        <v/>
      </c>
      <c r="AH59" s="40">
        <f>IF(C59="","",AF59-AG59)</f>
        <v/>
      </c>
      <c r="AI59" s="33">
        <f>IF(C59="","",IF(D59="Perdu","",IF(AND(AB59&lt;&gt;"",N(AB59)&lt;TODAY()),"Action en retard",IF(AND(D59="Client",AE59&lt;&gt;"",TODAY()-N(AE59)&gt;P_JoursInactif),"Client inactif",IF(AND(D59="Prospect",Z59=0,O59&lt;&gt;"",TODAY()-N(O59)&gt;P_JoursNonVisite),"Jamais visité","")))))</f>
        <v/>
      </c>
      <c r="AJ59" s="33">
        <f>IF(C59="","",C59&amp;" ["&amp;TEXT(A59,"000")&amp;"]")</f>
        <v/>
      </c>
      <c r="AK59" s="33">
        <f>IF(C59="","",X59&amp;"|"&amp;A59)</f>
        <v/>
      </c>
      <c r="AL59" s="47">
        <f>IF(C59="",0,IF(COUNTIFS(VC_cle,AK59)=0,0,MAX(INDEX((VC_cle=AK59)*(VC_date+ROW(VC_date)/100000),0))))</f>
        <v/>
      </c>
      <c r="AM59" s="47">
        <f>IF(AND(C59&lt;&gt;"",N(AB59)&gt;0,D59&lt;&gt;"Perdu"),AB59+ROW()/100000,0)</f>
        <v/>
      </c>
      <c r="AN59" s="48">
        <f>IF(N(AF59)&gt;0,ROUND(AF59,0)+ROW()/1000000,0)</f>
        <v/>
      </c>
    </row>
    <row r="60" ht="18" customHeight="1">
      <c r="A60" s="39" t="n">
        <v>55</v>
      </c>
      <c r="B60" s="33">
        <f>IF(C60="","",IF(X60="À RENSEIGNER","GIC",X60)&amp;"-"&amp;TEXT(A60,"000"))</f>
        <v/>
      </c>
      <c r="C60" s="36" t="n"/>
      <c r="D60" s="34">
        <f>IF(C60="","",IF(U60="☑ Oui","Perdu",IF(AD60&lt;&gt;"","Client","Prospect")))</f>
        <v/>
      </c>
      <c r="E60" s="36" t="n"/>
      <c r="F60" s="36" t="n"/>
      <c r="G60" s="44" t="n"/>
      <c r="H60" s="44" t="n"/>
      <c r="I60" s="36" t="n"/>
      <c r="J60" s="36" t="n"/>
      <c r="K60" s="41" t="n"/>
      <c r="L60" s="41" t="n"/>
      <c r="M60" s="36" t="n"/>
      <c r="N60" s="36" t="n"/>
      <c r="O60" s="32" t="n"/>
      <c r="P60" s="36" t="n"/>
      <c r="Q60" s="36" t="n"/>
      <c r="R60" s="34">
        <f>IF(P60="","",IFERROR(VLOOKUP(P60,T_Produits,2,FALSE),""))</f>
        <v/>
      </c>
      <c r="S60" s="36" t="n"/>
      <c r="T60" s="43" t="n"/>
      <c r="U60" s="43" t="n"/>
      <c r="V60" s="36" t="n"/>
      <c r="W60" s="36" t="n"/>
      <c r="X60" s="33">
        <f>IF(C60="","",Commercial_Id)</f>
        <v/>
      </c>
      <c r="Y60" s="33">
        <f>IF(E60="","",IF(E60="Particulier / ménage","Particulier","Entreprise"))</f>
        <v/>
      </c>
      <c r="Z60" s="39">
        <f>IF(C60="","",COUNTIFS(VC_cle,AK60,VC_type,"Visite sur place"))</f>
        <v/>
      </c>
      <c r="AA60" s="46">
        <f>IF(AL60=0,"",IF(INT(AL60)=0,"",INT(AL60)))</f>
        <v/>
      </c>
      <c r="AB60" s="46">
        <f>IF(AL60=0,"",IF(INDEX(VC_actiondate,ROUND(MOD(AL60,1)*100000,0)-5)=0,"",INDEX(VC_actiondate,ROUND(MOD(AL60,1)*100000,0)-5)))</f>
        <v/>
      </c>
      <c r="AC60" s="33">
        <f>IF(AL60=0,"",INDEX(VC_actiontexte,ROUND(MOD(AL60,1)*100000,0)-5)&amp;"")</f>
        <v/>
      </c>
      <c r="AD60" s="46">
        <f>IF(C60="","",IF(COUNTIFS(Cmd_cle,AK60,Cmd_dateca,"&gt;0")=0,"",SMALL(INDEX(Cmd_dateca+(((Cmd_cle&lt;&gt;AK60)+(Cmd_dateca=0))&gt;0)*1000000,0),1)))</f>
        <v/>
      </c>
      <c r="AE60" s="46">
        <f>IF(C60="","",IF(COUNTIFS(Cmd_cle,AK60,Cmd_dateca,"&gt;0")=0,"",MAX(INDEX((Cmd_cle=AK60)*Cmd_dateca,0))))</f>
        <v/>
      </c>
      <c r="AF60" s="40">
        <f>IF(C60="","",SUMIFS(Cmd_montant,Cmd_cle,AK60,Cmd_dateca,"&gt;0"))</f>
        <v/>
      </c>
      <c r="AG60" s="40">
        <f>IF(C60="","",SUMIFS(Enc_montant,Enc_cle,AK60))</f>
        <v/>
      </c>
      <c r="AH60" s="40">
        <f>IF(C60="","",AF60-AG60)</f>
        <v/>
      </c>
      <c r="AI60" s="33">
        <f>IF(C60="","",IF(D60="Perdu","",IF(AND(AB60&lt;&gt;"",N(AB60)&lt;TODAY()),"Action en retard",IF(AND(D60="Client",AE60&lt;&gt;"",TODAY()-N(AE60)&gt;P_JoursInactif),"Client inactif",IF(AND(D60="Prospect",Z60=0,O60&lt;&gt;"",TODAY()-N(O60)&gt;P_JoursNonVisite),"Jamais visité","")))))</f>
        <v/>
      </c>
      <c r="AJ60" s="33">
        <f>IF(C60="","",C60&amp;" ["&amp;TEXT(A60,"000")&amp;"]")</f>
        <v/>
      </c>
      <c r="AK60" s="33">
        <f>IF(C60="","",X60&amp;"|"&amp;A60)</f>
        <v/>
      </c>
      <c r="AL60" s="47">
        <f>IF(C60="",0,IF(COUNTIFS(VC_cle,AK60)=0,0,MAX(INDEX((VC_cle=AK60)*(VC_date+ROW(VC_date)/100000),0))))</f>
        <v/>
      </c>
      <c r="AM60" s="47">
        <f>IF(AND(C60&lt;&gt;"",N(AB60)&gt;0,D60&lt;&gt;"Perdu"),AB60+ROW()/100000,0)</f>
        <v/>
      </c>
      <c r="AN60" s="48">
        <f>IF(N(AF60)&gt;0,ROUND(AF60,0)+ROW()/1000000,0)</f>
        <v/>
      </c>
    </row>
    <row r="61" ht="18" customHeight="1">
      <c r="A61" s="39" t="n">
        <v>56</v>
      </c>
      <c r="B61" s="33">
        <f>IF(C61="","",IF(X61="À RENSEIGNER","GIC",X61)&amp;"-"&amp;TEXT(A61,"000"))</f>
        <v/>
      </c>
      <c r="C61" s="36" t="n"/>
      <c r="D61" s="34">
        <f>IF(C61="","",IF(U61="☑ Oui","Perdu",IF(AD61&lt;&gt;"","Client","Prospect")))</f>
        <v/>
      </c>
      <c r="E61" s="36" t="n"/>
      <c r="F61" s="36" t="n"/>
      <c r="G61" s="44" t="n"/>
      <c r="H61" s="44" t="n"/>
      <c r="I61" s="36" t="n"/>
      <c r="J61" s="36" t="n"/>
      <c r="K61" s="41" t="n"/>
      <c r="L61" s="41" t="n"/>
      <c r="M61" s="36" t="n"/>
      <c r="N61" s="36" t="n"/>
      <c r="O61" s="32" t="n"/>
      <c r="P61" s="36" t="n"/>
      <c r="Q61" s="36" t="n"/>
      <c r="R61" s="34">
        <f>IF(P61="","",IFERROR(VLOOKUP(P61,T_Produits,2,FALSE),""))</f>
        <v/>
      </c>
      <c r="S61" s="36" t="n"/>
      <c r="T61" s="43" t="n"/>
      <c r="U61" s="43" t="n"/>
      <c r="V61" s="36" t="n"/>
      <c r="W61" s="36" t="n"/>
      <c r="X61" s="33">
        <f>IF(C61="","",Commercial_Id)</f>
        <v/>
      </c>
      <c r="Y61" s="33">
        <f>IF(E61="","",IF(E61="Particulier / ménage","Particulier","Entreprise"))</f>
        <v/>
      </c>
      <c r="Z61" s="39">
        <f>IF(C61="","",COUNTIFS(VC_cle,AK61,VC_type,"Visite sur place"))</f>
        <v/>
      </c>
      <c r="AA61" s="46">
        <f>IF(AL61=0,"",IF(INT(AL61)=0,"",INT(AL61)))</f>
        <v/>
      </c>
      <c r="AB61" s="46">
        <f>IF(AL61=0,"",IF(INDEX(VC_actiondate,ROUND(MOD(AL61,1)*100000,0)-5)=0,"",INDEX(VC_actiondate,ROUND(MOD(AL61,1)*100000,0)-5)))</f>
        <v/>
      </c>
      <c r="AC61" s="33">
        <f>IF(AL61=0,"",INDEX(VC_actiontexte,ROUND(MOD(AL61,1)*100000,0)-5)&amp;"")</f>
        <v/>
      </c>
      <c r="AD61" s="46">
        <f>IF(C61="","",IF(COUNTIFS(Cmd_cle,AK61,Cmd_dateca,"&gt;0")=0,"",SMALL(INDEX(Cmd_dateca+(((Cmd_cle&lt;&gt;AK61)+(Cmd_dateca=0))&gt;0)*1000000,0),1)))</f>
        <v/>
      </c>
      <c r="AE61" s="46">
        <f>IF(C61="","",IF(COUNTIFS(Cmd_cle,AK61,Cmd_dateca,"&gt;0")=0,"",MAX(INDEX((Cmd_cle=AK61)*Cmd_dateca,0))))</f>
        <v/>
      </c>
      <c r="AF61" s="40">
        <f>IF(C61="","",SUMIFS(Cmd_montant,Cmd_cle,AK61,Cmd_dateca,"&gt;0"))</f>
        <v/>
      </c>
      <c r="AG61" s="40">
        <f>IF(C61="","",SUMIFS(Enc_montant,Enc_cle,AK61))</f>
        <v/>
      </c>
      <c r="AH61" s="40">
        <f>IF(C61="","",AF61-AG61)</f>
        <v/>
      </c>
      <c r="AI61" s="33">
        <f>IF(C61="","",IF(D61="Perdu","",IF(AND(AB61&lt;&gt;"",N(AB61)&lt;TODAY()),"Action en retard",IF(AND(D61="Client",AE61&lt;&gt;"",TODAY()-N(AE61)&gt;P_JoursInactif),"Client inactif",IF(AND(D61="Prospect",Z61=0,O61&lt;&gt;"",TODAY()-N(O61)&gt;P_JoursNonVisite),"Jamais visité","")))))</f>
        <v/>
      </c>
      <c r="AJ61" s="33">
        <f>IF(C61="","",C61&amp;" ["&amp;TEXT(A61,"000")&amp;"]")</f>
        <v/>
      </c>
      <c r="AK61" s="33">
        <f>IF(C61="","",X61&amp;"|"&amp;A61)</f>
        <v/>
      </c>
      <c r="AL61" s="47">
        <f>IF(C61="",0,IF(COUNTIFS(VC_cle,AK61)=0,0,MAX(INDEX((VC_cle=AK61)*(VC_date+ROW(VC_date)/100000),0))))</f>
        <v/>
      </c>
      <c r="AM61" s="47">
        <f>IF(AND(C61&lt;&gt;"",N(AB61)&gt;0,D61&lt;&gt;"Perdu"),AB61+ROW()/100000,0)</f>
        <v/>
      </c>
      <c r="AN61" s="48">
        <f>IF(N(AF61)&gt;0,ROUND(AF61,0)+ROW()/1000000,0)</f>
        <v/>
      </c>
    </row>
    <row r="62" ht="18" customHeight="1">
      <c r="A62" s="39" t="n">
        <v>57</v>
      </c>
      <c r="B62" s="33">
        <f>IF(C62="","",IF(X62="À RENSEIGNER","GIC",X62)&amp;"-"&amp;TEXT(A62,"000"))</f>
        <v/>
      </c>
      <c r="C62" s="36" t="n"/>
      <c r="D62" s="34">
        <f>IF(C62="","",IF(U62="☑ Oui","Perdu",IF(AD62&lt;&gt;"","Client","Prospect")))</f>
        <v/>
      </c>
      <c r="E62" s="36" t="n"/>
      <c r="F62" s="36" t="n"/>
      <c r="G62" s="44" t="n"/>
      <c r="H62" s="44" t="n"/>
      <c r="I62" s="36" t="n"/>
      <c r="J62" s="36" t="n"/>
      <c r="K62" s="41" t="n"/>
      <c r="L62" s="41" t="n"/>
      <c r="M62" s="36" t="n"/>
      <c r="N62" s="36" t="n"/>
      <c r="O62" s="32" t="n"/>
      <c r="P62" s="36" t="n"/>
      <c r="Q62" s="36" t="n"/>
      <c r="R62" s="34">
        <f>IF(P62="","",IFERROR(VLOOKUP(P62,T_Produits,2,FALSE),""))</f>
        <v/>
      </c>
      <c r="S62" s="36" t="n"/>
      <c r="T62" s="43" t="n"/>
      <c r="U62" s="43" t="n"/>
      <c r="V62" s="36" t="n"/>
      <c r="W62" s="36" t="n"/>
      <c r="X62" s="33">
        <f>IF(C62="","",Commercial_Id)</f>
        <v/>
      </c>
      <c r="Y62" s="33">
        <f>IF(E62="","",IF(E62="Particulier / ménage","Particulier","Entreprise"))</f>
        <v/>
      </c>
      <c r="Z62" s="39">
        <f>IF(C62="","",COUNTIFS(VC_cle,AK62,VC_type,"Visite sur place"))</f>
        <v/>
      </c>
      <c r="AA62" s="46">
        <f>IF(AL62=0,"",IF(INT(AL62)=0,"",INT(AL62)))</f>
        <v/>
      </c>
      <c r="AB62" s="46">
        <f>IF(AL62=0,"",IF(INDEX(VC_actiondate,ROUND(MOD(AL62,1)*100000,0)-5)=0,"",INDEX(VC_actiondate,ROUND(MOD(AL62,1)*100000,0)-5)))</f>
        <v/>
      </c>
      <c r="AC62" s="33">
        <f>IF(AL62=0,"",INDEX(VC_actiontexte,ROUND(MOD(AL62,1)*100000,0)-5)&amp;"")</f>
        <v/>
      </c>
      <c r="AD62" s="46">
        <f>IF(C62="","",IF(COUNTIFS(Cmd_cle,AK62,Cmd_dateca,"&gt;0")=0,"",SMALL(INDEX(Cmd_dateca+(((Cmd_cle&lt;&gt;AK62)+(Cmd_dateca=0))&gt;0)*1000000,0),1)))</f>
        <v/>
      </c>
      <c r="AE62" s="46">
        <f>IF(C62="","",IF(COUNTIFS(Cmd_cle,AK62,Cmd_dateca,"&gt;0")=0,"",MAX(INDEX((Cmd_cle=AK62)*Cmd_dateca,0))))</f>
        <v/>
      </c>
      <c r="AF62" s="40">
        <f>IF(C62="","",SUMIFS(Cmd_montant,Cmd_cle,AK62,Cmd_dateca,"&gt;0"))</f>
        <v/>
      </c>
      <c r="AG62" s="40">
        <f>IF(C62="","",SUMIFS(Enc_montant,Enc_cle,AK62))</f>
        <v/>
      </c>
      <c r="AH62" s="40">
        <f>IF(C62="","",AF62-AG62)</f>
        <v/>
      </c>
      <c r="AI62" s="33">
        <f>IF(C62="","",IF(D62="Perdu","",IF(AND(AB62&lt;&gt;"",N(AB62)&lt;TODAY()),"Action en retard",IF(AND(D62="Client",AE62&lt;&gt;"",TODAY()-N(AE62)&gt;P_JoursInactif),"Client inactif",IF(AND(D62="Prospect",Z62=0,O62&lt;&gt;"",TODAY()-N(O62)&gt;P_JoursNonVisite),"Jamais visité","")))))</f>
        <v/>
      </c>
      <c r="AJ62" s="33">
        <f>IF(C62="","",C62&amp;" ["&amp;TEXT(A62,"000")&amp;"]")</f>
        <v/>
      </c>
      <c r="AK62" s="33">
        <f>IF(C62="","",X62&amp;"|"&amp;A62)</f>
        <v/>
      </c>
      <c r="AL62" s="47">
        <f>IF(C62="",0,IF(COUNTIFS(VC_cle,AK62)=0,0,MAX(INDEX((VC_cle=AK62)*(VC_date+ROW(VC_date)/100000),0))))</f>
        <v/>
      </c>
      <c r="AM62" s="47">
        <f>IF(AND(C62&lt;&gt;"",N(AB62)&gt;0,D62&lt;&gt;"Perdu"),AB62+ROW()/100000,0)</f>
        <v/>
      </c>
      <c r="AN62" s="48">
        <f>IF(N(AF62)&gt;0,ROUND(AF62,0)+ROW()/1000000,0)</f>
        <v/>
      </c>
    </row>
    <row r="63" ht="18" customHeight="1">
      <c r="A63" s="39" t="n">
        <v>58</v>
      </c>
      <c r="B63" s="33">
        <f>IF(C63="","",IF(X63="À RENSEIGNER","GIC",X63)&amp;"-"&amp;TEXT(A63,"000"))</f>
        <v/>
      </c>
      <c r="C63" s="36" t="n"/>
      <c r="D63" s="34">
        <f>IF(C63="","",IF(U63="☑ Oui","Perdu",IF(AD63&lt;&gt;"","Client","Prospect")))</f>
        <v/>
      </c>
      <c r="E63" s="36" t="n"/>
      <c r="F63" s="36" t="n"/>
      <c r="G63" s="44" t="n"/>
      <c r="H63" s="44" t="n"/>
      <c r="I63" s="36" t="n"/>
      <c r="J63" s="36" t="n"/>
      <c r="K63" s="41" t="n"/>
      <c r="L63" s="41" t="n"/>
      <c r="M63" s="36" t="n"/>
      <c r="N63" s="36" t="n"/>
      <c r="O63" s="32" t="n"/>
      <c r="P63" s="36" t="n"/>
      <c r="Q63" s="36" t="n"/>
      <c r="R63" s="34">
        <f>IF(P63="","",IFERROR(VLOOKUP(P63,T_Produits,2,FALSE),""))</f>
        <v/>
      </c>
      <c r="S63" s="36" t="n"/>
      <c r="T63" s="43" t="n"/>
      <c r="U63" s="43" t="n"/>
      <c r="V63" s="36" t="n"/>
      <c r="W63" s="36" t="n"/>
      <c r="X63" s="33">
        <f>IF(C63="","",Commercial_Id)</f>
        <v/>
      </c>
      <c r="Y63" s="33">
        <f>IF(E63="","",IF(E63="Particulier / ménage","Particulier","Entreprise"))</f>
        <v/>
      </c>
      <c r="Z63" s="39">
        <f>IF(C63="","",COUNTIFS(VC_cle,AK63,VC_type,"Visite sur place"))</f>
        <v/>
      </c>
      <c r="AA63" s="46">
        <f>IF(AL63=0,"",IF(INT(AL63)=0,"",INT(AL63)))</f>
        <v/>
      </c>
      <c r="AB63" s="46">
        <f>IF(AL63=0,"",IF(INDEX(VC_actiondate,ROUND(MOD(AL63,1)*100000,0)-5)=0,"",INDEX(VC_actiondate,ROUND(MOD(AL63,1)*100000,0)-5)))</f>
        <v/>
      </c>
      <c r="AC63" s="33">
        <f>IF(AL63=0,"",INDEX(VC_actiontexte,ROUND(MOD(AL63,1)*100000,0)-5)&amp;"")</f>
        <v/>
      </c>
      <c r="AD63" s="46">
        <f>IF(C63="","",IF(COUNTIFS(Cmd_cle,AK63,Cmd_dateca,"&gt;0")=0,"",SMALL(INDEX(Cmd_dateca+(((Cmd_cle&lt;&gt;AK63)+(Cmd_dateca=0))&gt;0)*1000000,0),1)))</f>
        <v/>
      </c>
      <c r="AE63" s="46">
        <f>IF(C63="","",IF(COUNTIFS(Cmd_cle,AK63,Cmd_dateca,"&gt;0")=0,"",MAX(INDEX((Cmd_cle=AK63)*Cmd_dateca,0))))</f>
        <v/>
      </c>
      <c r="AF63" s="40">
        <f>IF(C63="","",SUMIFS(Cmd_montant,Cmd_cle,AK63,Cmd_dateca,"&gt;0"))</f>
        <v/>
      </c>
      <c r="AG63" s="40">
        <f>IF(C63="","",SUMIFS(Enc_montant,Enc_cle,AK63))</f>
        <v/>
      </c>
      <c r="AH63" s="40">
        <f>IF(C63="","",AF63-AG63)</f>
        <v/>
      </c>
      <c r="AI63" s="33">
        <f>IF(C63="","",IF(D63="Perdu","",IF(AND(AB63&lt;&gt;"",N(AB63)&lt;TODAY()),"Action en retard",IF(AND(D63="Client",AE63&lt;&gt;"",TODAY()-N(AE63)&gt;P_JoursInactif),"Client inactif",IF(AND(D63="Prospect",Z63=0,O63&lt;&gt;"",TODAY()-N(O63)&gt;P_JoursNonVisite),"Jamais visité","")))))</f>
        <v/>
      </c>
      <c r="AJ63" s="33">
        <f>IF(C63="","",C63&amp;" ["&amp;TEXT(A63,"000")&amp;"]")</f>
        <v/>
      </c>
      <c r="AK63" s="33">
        <f>IF(C63="","",X63&amp;"|"&amp;A63)</f>
        <v/>
      </c>
      <c r="AL63" s="47">
        <f>IF(C63="",0,IF(COUNTIFS(VC_cle,AK63)=0,0,MAX(INDEX((VC_cle=AK63)*(VC_date+ROW(VC_date)/100000),0))))</f>
        <v/>
      </c>
      <c r="AM63" s="47">
        <f>IF(AND(C63&lt;&gt;"",N(AB63)&gt;0,D63&lt;&gt;"Perdu"),AB63+ROW()/100000,0)</f>
        <v/>
      </c>
      <c r="AN63" s="48">
        <f>IF(N(AF63)&gt;0,ROUND(AF63,0)+ROW()/1000000,0)</f>
        <v/>
      </c>
    </row>
    <row r="64" ht="18" customHeight="1">
      <c r="A64" s="39" t="n">
        <v>59</v>
      </c>
      <c r="B64" s="33">
        <f>IF(C64="","",IF(X64="À RENSEIGNER","GIC",X64)&amp;"-"&amp;TEXT(A64,"000"))</f>
        <v/>
      </c>
      <c r="C64" s="36" t="n"/>
      <c r="D64" s="34">
        <f>IF(C64="","",IF(U64="☑ Oui","Perdu",IF(AD64&lt;&gt;"","Client","Prospect")))</f>
        <v/>
      </c>
      <c r="E64" s="36" t="n"/>
      <c r="F64" s="36" t="n"/>
      <c r="G64" s="44" t="n"/>
      <c r="H64" s="44" t="n"/>
      <c r="I64" s="36" t="n"/>
      <c r="J64" s="36" t="n"/>
      <c r="K64" s="41" t="n"/>
      <c r="L64" s="41" t="n"/>
      <c r="M64" s="36" t="n"/>
      <c r="N64" s="36" t="n"/>
      <c r="O64" s="32" t="n"/>
      <c r="P64" s="36" t="n"/>
      <c r="Q64" s="36" t="n"/>
      <c r="R64" s="34">
        <f>IF(P64="","",IFERROR(VLOOKUP(P64,T_Produits,2,FALSE),""))</f>
        <v/>
      </c>
      <c r="S64" s="36" t="n"/>
      <c r="T64" s="43" t="n"/>
      <c r="U64" s="43" t="n"/>
      <c r="V64" s="36" t="n"/>
      <c r="W64" s="36" t="n"/>
      <c r="X64" s="33">
        <f>IF(C64="","",Commercial_Id)</f>
        <v/>
      </c>
      <c r="Y64" s="33">
        <f>IF(E64="","",IF(E64="Particulier / ménage","Particulier","Entreprise"))</f>
        <v/>
      </c>
      <c r="Z64" s="39">
        <f>IF(C64="","",COUNTIFS(VC_cle,AK64,VC_type,"Visite sur place"))</f>
        <v/>
      </c>
      <c r="AA64" s="46">
        <f>IF(AL64=0,"",IF(INT(AL64)=0,"",INT(AL64)))</f>
        <v/>
      </c>
      <c r="AB64" s="46">
        <f>IF(AL64=0,"",IF(INDEX(VC_actiondate,ROUND(MOD(AL64,1)*100000,0)-5)=0,"",INDEX(VC_actiondate,ROUND(MOD(AL64,1)*100000,0)-5)))</f>
        <v/>
      </c>
      <c r="AC64" s="33">
        <f>IF(AL64=0,"",INDEX(VC_actiontexte,ROUND(MOD(AL64,1)*100000,0)-5)&amp;"")</f>
        <v/>
      </c>
      <c r="AD64" s="46">
        <f>IF(C64="","",IF(COUNTIFS(Cmd_cle,AK64,Cmd_dateca,"&gt;0")=0,"",SMALL(INDEX(Cmd_dateca+(((Cmd_cle&lt;&gt;AK64)+(Cmd_dateca=0))&gt;0)*1000000,0),1)))</f>
        <v/>
      </c>
      <c r="AE64" s="46">
        <f>IF(C64="","",IF(COUNTIFS(Cmd_cle,AK64,Cmd_dateca,"&gt;0")=0,"",MAX(INDEX((Cmd_cle=AK64)*Cmd_dateca,0))))</f>
        <v/>
      </c>
      <c r="AF64" s="40">
        <f>IF(C64="","",SUMIFS(Cmd_montant,Cmd_cle,AK64,Cmd_dateca,"&gt;0"))</f>
        <v/>
      </c>
      <c r="AG64" s="40">
        <f>IF(C64="","",SUMIFS(Enc_montant,Enc_cle,AK64))</f>
        <v/>
      </c>
      <c r="AH64" s="40">
        <f>IF(C64="","",AF64-AG64)</f>
        <v/>
      </c>
      <c r="AI64" s="33">
        <f>IF(C64="","",IF(D64="Perdu","",IF(AND(AB64&lt;&gt;"",N(AB64)&lt;TODAY()),"Action en retard",IF(AND(D64="Client",AE64&lt;&gt;"",TODAY()-N(AE64)&gt;P_JoursInactif),"Client inactif",IF(AND(D64="Prospect",Z64=0,O64&lt;&gt;"",TODAY()-N(O64)&gt;P_JoursNonVisite),"Jamais visité","")))))</f>
        <v/>
      </c>
      <c r="AJ64" s="33">
        <f>IF(C64="","",C64&amp;" ["&amp;TEXT(A64,"000")&amp;"]")</f>
        <v/>
      </c>
      <c r="AK64" s="33">
        <f>IF(C64="","",X64&amp;"|"&amp;A64)</f>
        <v/>
      </c>
      <c r="AL64" s="47">
        <f>IF(C64="",0,IF(COUNTIFS(VC_cle,AK64)=0,0,MAX(INDEX((VC_cle=AK64)*(VC_date+ROW(VC_date)/100000),0))))</f>
        <v/>
      </c>
      <c r="AM64" s="47">
        <f>IF(AND(C64&lt;&gt;"",N(AB64)&gt;0,D64&lt;&gt;"Perdu"),AB64+ROW()/100000,0)</f>
        <v/>
      </c>
      <c r="AN64" s="48">
        <f>IF(N(AF64)&gt;0,ROUND(AF64,0)+ROW()/1000000,0)</f>
        <v/>
      </c>
    </row>
    <row r="65" ht="18" customHeight="1">
      <c r="A65" s="39" t="n">
        <v>60</v>
      </c>
      <c r="B65" s="33">
        <f>IF(C65="","",IF(X65="À RENSEIGNER","GIC",X65)&amp;"-"&amp;TEXT(A65,"000"))</f>
        <v/>
      </c>
      <c r="C65" s="36" t="n"/>
      <c r="D65" s="34">
        <f>IF(C65="","",IF(U65="☑ Oui","Perdu",IF(AD65&lt;&gt;"","Client","Prospect")))</f>
        <v/>
      </c>
      <c r="E65" s="36" t="n"/>
      <c r="F65" s="36" t="n"/>
      <c r="G65" s="44" t="n"/>
      <c r="H65" s="44" t="n"/>
      <c r="I65" s="36" t="n"/>
      <c r="J65" s="36" t="n"/>
      <c r="K65" s="41" t="n"/>
      <c r="L65" s="41" t="n"/>
      <c r="M65" s="36" t="n"/>
      <c r="N65" s="36" t="n"/>
      <c r="O65" s="32" t="n"/>
      <c r="P65" s="36" t="n"/>
      <c r="Q65" s="36" t="n"/>
      <c r="R65" s="34">
        <f>IF(P65="","",IFERROR(VLOOKUP(P65,T_Produits,2,FALSE),""))</f>
        <v/>
      </c>
      <c r="S65" s="36" t="n"/>
      <c r="T65" s="43" t="n"/>
      <c r="U65" s="43" t="n"/>
      <c r="V65" s="36" t="n"/>
      <c r="W65" s="36" t="n"/>
      <c r="X65" s="33">
        <f>IF(C65="","",Commercial_Id)</f>
        <v/>
      </c>
      <c r="Y65" s="33">
        <f>IF(E65="","",IF(E65="Particulier / ménage","Particulier","Entreprise"))</f>
        <v/>
      </c>
      <c r="Z65" s="39">
        <f>IF(C65="","",COUNTIFS(VC_cle,AK65,VC_type,"Visite sur place"))</f>
        <v/>
      </c>
      <c r="AA65" s="46">
        <f>IF(AL65=0,"",IF(INT(AL65)=0,"",INT(AL65)))</f>
        <v/>
      </c>
      <c r="AB65" s="46">
        <f>IF(AL65=0,"",IF(INDEX(VC_actiondate,ROUND(MOD(AL65,1)*100000,0)-5)=0,"",INDEX(VC_actiondate,ROUND(MOD(AL65,1)*100000,0)-5)))</f>
        <v/>
      </c>
      <c r="AC65" s="33">
        <f>IF(AL65=0,"",INDEX(VC_actiontexte,ROUND(MOD(AL65,1)*100000,0)-5)&amp;"")</f>
        <v/>
      </c>
      <c r="AD65" s="46">
        <f>IF(C65="","",IF(COUNTIFS(Cmd_cle,AK65,Cmd_dateca,"&gt;0")=0,"",SMALL(INDEX(Cmd_dateca+(((Cmd_cle&lt;&gt;AK65)+(Cmd_dateca=0))&gt;0)*1000000,0),1)))</f>
        <v/>
      </c>
      <c r="AE65" s="46">
        <f>IF(C65="","",IF(COUNTIFS(Cmd_cle,AK65,Cmd_dateca,"&gt;0")=0,"",MAX(INDEX((Cmd_cle=AK65)*Cmd_dateca,0))))</f>
        <v/>
      </c>
      <c r="AF65" s="40">
        <f>IF(C65="","",SUMIFS(Cmd_montant,Cmd_cle,AK65,Cmd_dateca,"&gt;0"))</f>
        <v/>
      </c>
      <c r="AG65" s="40">
        <f>IF(C65="","",SUMIFS(Enc_montant,Enc_cle,AK65))</f>
        <v/>
      </c>
      <c r="AH65" s="40">
        <f>IF(C65="","",AF65-AG65)</f>
        <v/>
      </c>
      <c r="AI65" s="33">
        <f>IF(C65="","",IF(D65="Perdu","",IF(AND(AB65&lt;&gt;"",N(AB65)&lt;TODAY()),"Action en retard",IF(AND(D65="Client",AE65&lt;&gt;"",TODAY()-N(AE65)&gt;P_JoursInactif),"Client inactif",IF(AND(D65="Prospect",Z65=0,O65&lt;&gt;"",TODAY()-N(O65)&gt;P_JoursNonVisite),"Jamais visité","")))))</f>
        <v/>
      </c>
      <c r="AJ65" s="33">
        <f>IF(C65="","",C65&amp;" ["&amp;TEXT(A65,"000")&amp;"]")</f>
        <v/>
      </c>
      <c r="AK65" s="33">
        <f>IF(C65="","",X65&amp;"|"&amp;A65)</f>
        <v/>
      </c>
      <c r="AL65" s="47">
        <f>IF(C65="",0,IF(COUNTIFS(VC_cle,AK65)=0,0,MAX(INDEX((VC_cle=AK65)*(VC_date+ROW(VC_date)/100000),0))))</f>
        <v/>
      </c>
      <c r="AM65" s="47">
        <f>IF(AND(C65&lt;&gt;"",N(AB65)&gt;0,D65&lt;&gt;"Perdu"),AB65+ROW()/100000,0)</f>
        <v/>
      </c>
      <c r="AN65" s="48">
        <f>IF(N(AF65)&gt;0,ROUND(AF65,0)+ROW()/1000000,0)</f>
        <v/>
      </c>
    </row>
    <row r="66" ht="18" customHeight="1">
      <c r="A66" s="39" t="n">
        <v>61</v>
      </c>
      <c r="B66" s="33">
        <f>IF(C66="","",IF(X66="À RENSEIGNER","GIC",X66)&amp;"-"&amp;TEXT(A66,"000"))</f>
        <v/>
      </c>
      <c r="C66" s="36" t="n"/>
      <c r="D66" s="34">
        <f>IF(C66="","",IF(U66="☑ Oui","Perdu",IF(AD66&lt;&gt;"","Client","Prospect")))</f>
        <v/>
      </c>
      <c r="E66" s="36" t="n"/>
      <c r="F66" s="36" t="n"/>
      <c r="G66" s="44" t="n"/>
      <c r="H66" s="44" t="n"/>
      <c r="I66" s="36" t="n"/>
      <c r="J66" s="36" t="n"/>
      <c r="K66" s="41" t="n"/>
      <c r="L66" s="41" t="n"/>
      <c r="M66" s="36" t="n"/>
      <c r="N66" s="36" t="n"/>
      <c r="O66" s="32" t="n"/>
      <c r="P66" s="36" t="n"/>
      <c r="Q66" s="36" t="n"/>
      <c r="R66" s="34">
        <f>IF(P66="","",IFERROR(VLOOKUP(P66,T_Produits,2,FALSE),""))</f>
        <v/>
      </c>
      <c r="S66" s="36" t="n"/>
      <c r="T66" s="43" t="n"/>
      <c r="U66" s="43" t="n"/>
      <c r="V66" s="36" t="n"/>
      <c r="W66" s="36" t="n"/>
      <c r="X66" s="33">
        <f>IF(C66="","",Commercial_Id)</f>
        <v/>
      </c>
      <c r="Y66" s="33">
        <f>IF(E66="","",IF(E66="Particulier / ménage","Particulier","Entreprise"))</f>
        <v/>
      </c>
      <c r="Z66" s="39">
        <f>IF(C66="","",COUNTIFS(VC_cle,AK66,VC_type,"Visite sur place"))</f>
        <v/>
      </c>
      <c r="AA66" s="46">
        <f>IF(AL66=0,"",IF(INT(AL66)=0,"",INT(AL66)))</f>
        <v/>
      </c>
      <c r="AB66" s="46">
        <f>IF(AL66=0,"",IF(INDEX(VC_actiondate,ROUND(MOD(AL66,1)*100000,0)-5)=0,"",INDEX(VC_actiondate,ROUND(MOD(AL66,1)*100000,0)-5)))</f>
        <v/>
      </c>
      <c r="AC66" s="33">
        <f>IF(AL66=0,"",INDEX(VC_actiontexte,ROUND(MOD(AL66,1)*100000,0)-5)&amp;"")</f>
        <v/>
      </c>
      <c r="AD66" s="46">
        <f>IF(C66="","",IF(COUNTIFS(Cmd_cle,AK66,Cmd_dateca,"&gt;0")=0,"",SMALL(INDEX(Cmd_dateca+(((Cmd_cle&lt;&gt;AK66)+(Cmd_dateca=0))&gt;0)*1000000,0),1)))</f>
        <v/>
      </c>
      <c r="AE66" s="46">
        <f>IF(C66="","",IF(COUNTIFS(Cmd_cle,AK66,Cmd_dateca,"&gt;0")=0,"",MAX(INDEX((Cmd_cle=AK66)*Cmd_dateca,0))))</f>
        <v/>
      </c>
      <c r="AF66" s="40">
        <f>IF(C66="","",SUMIFS(Cmd_montant,Cmd_cle,AK66,Cmd_dateca,"&gt;0"))</f>
        <v/>
      </c>
      <c r="AG66" s="40">
        <f>IF(C66="","",SUMIFS(Enc_montant,Enc_cle,AK66))</f>
        <v/>
      </c>
      <c r="AH66" s="40">
        <f>IF(C66="","",AF66-AG66)</f>
        <v/>
      </c>
      <c r="AI66" s="33">
        <f>IF(C66="","",IF(D66="Perdu","",IF(AND(AB66&lt;&gt;"",N(AB66)&lt;TODAY()),"Action en retard",IF(AND(D66="Client",AE66&lt;&gt;"",TODAY()-N(AE66)&gt;P_JoursInactif),"Client inactif",IF(AND(D66="Prospect",Z66=0,O66&lt;&gt;"",TODAY()-N(O66)&gt;P_JoursNonVisite),"Jamais visité","")))))</f>
        <v/>
      </c>
      <c r="AJ66" s="33">
        <f>IF(C66="","",C66&amp;" ["&amp;TEXT(A66,"000")&amp;"]")</f>
        <v/>
      </c>
      <c r="AK66" s="33">
        <f>IF(C66="","",X66&amp;"|"&amp;A66)</f>
        <v/>
      </c>
      <c r="AL66" s="47">
        <f>IF(C66="",0,IF(COUNTIFS(VC_cle,AK66)=0,0,MAX(INDEX((VC_cle=AK66)*(VC_date+ROW(VC_date)/100000),0))))</f>
        <v/>
      </c>
      <c r="AM66" s="47">
        <f>IF(AND(C66&lt;&gt;"",N(AB66)&gt;0,D66&lt;&gt;"Perdu"),AB66+ROW()/100000,0)</f>
        <v/>
      </c>
      <c r="AN66" s="48">
        <f>IF(N(AF66)&gt;0,ROUND(AF66,0)+ROW()/1000000,0)</f>
        <v/>
      </c>
    </row>
    <row r="67" ht="18" customHeight="1">
      <c r="A67" s="39" t="n">
        <v>62</v>
      </c>
      <c r="B67" s="33">
        <f>IF(C67="","",IF(X67="À RENSEIGNER","GIC",X67)&amp;"-"&amp;TEXT(A67,"000"))</f>
        <v/>
      </c>
      <c r="C67" s="36" t="n"/>
      <c r="D67" s="34">
        <f>IF(C67="","",IF(U67="☑ Oui","Perdu",IF(AD67&lt;&gt;"","Client","Prospect")))</f>
        <v/>
      </c>
      <c r="E67" s="36" t="n"/>
      <c r="F67" s="36" t="n"/>
      <c r="G67" s="44" t="n"/>
      <c r="H67" s="44" t="n"/>
      <c r="I67" s="36" t="n"/>
      <c r="J67" s="36" t="n"/>
      <c r="K67" s="41" t="n"/>
      <c r="L67" s="41" t="n"/>
      <c r="M67" s="36" t="n"/>
      <c r="N67" s="36" t="n"/>
      <c r="O67" s="32" t="n"/>
      <c r="P67" s="36" t="n"/>
      <c r="Q67" s="36" t="n"/>
      <c r="R67" s="34">
        <f>IF(P67="","",IFERROR(VLOOKUP(P67,T_Produits,2,FALSE),""))</f>
        <v/>
      </c>
      <c r="S67" s="36" t="n"/>
      <c r="T67" s="43" t="n"/>
      <c r="U67" s="43" t="n"/>
      <c r="V67" s="36" t="n"/>
      <c r="W67" s="36" t="n"/>
      <c r="X67" s="33">
        <f>IF(C67="","",Commercial_Id)</f>
        <v/>
      </c>
      <c r="Y67" s="33">
        <f>IF(E67="","",IF(E67="Particulier / ménage","Particulier","Entreprise"))</f>
        <v/>
      </c>
      <c r="Z67" s="39">
        <f>IF(C67="","",COUNTIFS(VC_cle,AK67,VC_type,"Visite sur place"))</f>
        <v/>
      </c>
      <c r="AA67" s="46">
        <f>IF(AL67=0,"",IF(INT(AL67)=0,"",INT(AL67)))</f>
        <v/>
      </c>
      <c r="AB67" s="46">
        <f>IF(AL67=0,"",IF(INDEX(VC_actiondate,ROUND(MOD(AL67,1)*100000,0)-5)=0,"",INDEX(VC_actiondate,ROUND(MOD(AL67,1)*100000,0)-5)))</f>
        <v/>
      </c>
      <c r="AC67" s="33">
        <f>IF(AL67=0,"",INDEX(VC_actiontexte,ROUND(MOD(AL67,1)*100000,0)-5)&amp;"")</f>
        <v/>
      </c>
      <c r="AD67" s="46">
        <f>IF(C67="","",IF(COUNTIFS(Cmd_cle,AK67,Cmd_dateca,"&gt;0")=0,"",SMALL(INDEX(Cmd_dateca+(((Cmd_cle&lt;&gt;AK67)+(Cmd_dateca=0))&gt;0)*1000000,0),1)))</f>
        <v/>
      </c>
      <c r="AE67" s="46">
        <f>IF(C67="","",IF(COUNTIFS(Cmd_cle,AK67,Cmd_dateca,"&gt;0")=0,"",MAX(INDEX((Cmd_cle=AK67)*Cmd_dateca,0))))</f>
        <v/>
      </c>
      <c r="AF67" s="40">
        <f>IF(C67="","",SUMIFS(Cmd_montant,Cmd_cle,AK67,Cmd_dateca,"&gt;0"))</f>
        <v/>
      </c>
      <c r="AG67" s="40">
        <f>IF(C67="","",SUMIFS(Enc_montant,Enc_cle,AK67))</f>
        <v/>
      </c>
      <c r="AH67" s="40">
        <f>IF(C67="","",AF67-AG67)</f>
        <v/>
      </c>
      <c r="AI67" s="33">
        <f>IF(C67="","",IF(D67="Perdu","",IF(AND(AB67&lt;&gt;"",N(AB67)&lt;TODAY()),"Action en retard",IF(AND(D67="Client",AE67&lt;&gt;"",TODAY()-N(AE67)&gt;P_JoursInactif),"Client inactif",IF(AND(D67="Prospect",Z67=0,O67&lt;&gt;"",TODAY()-N(O67)&gt;P_JoursNonVisite),"Jamais visité","")))))</f>
        <v/>
      </c>
      <c r="AJ67" s="33">
        <f>IF(C67="","",C67&amp;" ["&amp;TEXT(A67,"000")&amp;"]")</f>
        <v/>
      </c>
      <c r="AK67" s="33">
        <f>IF(C67="","",X67&amp;"|"&amp;A67)</f>
        <v/>
      </c>
      <c r="AL67" s="47">
        <f>IF(C67="",0,IF(COUNTIFS(VC_cle,AK67)=0,0,MAX(INDEX((VC_cle=AK67)*(VC_date+ROW(VC_date)/100000),0))))</f>
        <v/>
      </c>
      <c r="AM67" s="47">
        <f>IF(AND(C67&lt;&gt;"",N(AB67)&gt;0,D67&lt;&gt;"Perdu"),AB67+ROW()/100000,0)</f>
        <v/>
      </c>
      <c r="AN67" s="48">
        <f>IF(N(AF67)&gt;0,ROUND(AF67,0)+ROW()/1000000,0)</f>
        <v/>
      </c>
    </row>
    <row r="68" ht="18" customHeight="1">
      <c r="A68" s="39" t="n">
        <v>63</v>
      </c>
      <c r="B68" s="33">
        <f>IF(C68="","",IF(X68="À RENSEIGNER","GIC",X68)&amp;"-"&amp;TEXT(A68,"000"))</f>
        <v/>
      </c>
      <c r="C68" s="36" t="n"/>
      <c r="D68" s="34">
        <f>IF(C68="","",IF(U68="☑ Oui","Perdu",IF(AD68&lt;&gt;"","Client","Prospect")))</f>
        <v/>
      </c>
      <c r="E68" s="36" t="n"/>
      <c r="F68" s="36" t="n"/>
      <c r="G68" s="44" t="n"/>
      <c r="H68" s="44" t="n"/>
      <c r="I68" s="36" t="n"/>
      <c r="J68" s="36" t="n"/>
      <c r="K68" s="41" t="n"/>
      <c r="L68" s="41" t="n"/>
      <c r="M68" s="36" t="n"/>
      <c r="N68" s="36" t="n"/>
      <c r="O68" s="32" t="n"/>
      <c r="P68" s="36" t="n"/>
      <c r="Q68" s="36" t="n"/>
      <c r="R68" s="34">
        <f>IF(P68="","",IFERROR(VLOOKUP(P68,T_Produits,2,FALSE),""))</f>
        <v/>
      </c>
      <c r="S68" s="36" t="n"/>
      <c r="T68" s="43" t="n"/>
      <c r="U68" s="43" t="n"/>
      <c r="V68" s="36" t="n"/>
      <c r="W68" s="36" t="n"/>
      <c r="X68" s="33">
        <f>IF(C68="","",Commercial_Id)</f>
        <v/>
      </c>
      <c r="Y68" s="33">
        <f>IF(E68="","",IF(E68="Particulier / ménage","Particulier","Entreprise"))</f>
        <v/>
      </c>
      <c r="Z68" s="39">
        <f>IF(C68="","",COUNTIFS(VC_cle,AK68,VC_type,"Visite sur place"))</f>
        <v/>
      </c>
      <c r="AA68" s="46">
        <f>IF(AL68=0,"",IF(INT(AL68)=0,"",INT(AL68)))</f>
        <v/>
      </c>
      <c r="AB68" s="46">
        <f>IF(AL68=0,"",IF(INDEX(VC_actiondate,ROUND(MOD(AL68,1)*100000,0)-5)=0,"",INDEX(VC_actiondate,ROUND(MOD(AL68,1)*100000,0)-5)))</f>
        <v/>
      </c>
      <c r="AC68" s="33">
        <f>IF(AL68=0,"",INDEX(VC_actiontexte,ROUND(MOD(AL68,1)*100000,0)-5)&amp;"")</f>
        <v/>
      </c>
      <c r="AD68" s="46">
        <f>IF(C68="","",IF(COUNTIFS(Cmd_cle,AK68,Cmd_dateca,"&gt;0")=0,"",SMALL(INDEX(Cmd_dateca+(((Cmd_cle&lt;&gt;AK68)+(Cmd_dateca=0))&gt;0)*1000000,0),1)))</f>
        <v/>
      </c>
      <c r="AE68" s="46">
        <f>IF(C68="","",IF(COUNTIFS(Cmd_cle,AK68,Cmd_dateca,"&gt;0")=0,"",MAX(INDEX((Cmd_cle=AK68)*Cmd_dateca,0))))</f>
        <v/>
      </c>
      <c r="AF68" s="40">
        <f>IF(C68="","",SUMIFS(Cmd_montant,Cmd_cle,AK68,Cmd_dateca,"&gt;0"))</f>
        <v/>
      </c>
      <c r="AG68" s="40">
        <f>IF(C68="","",SUMIFS(Enc_montant,Enc_cle,AK68))</f>
        <v/>
      </c>
      <c r="AH68" s="40">
        <f>IF(C68="","",AF68-AG68)</f>
        <v/>
      </c>
      <c r="AI68" s="33">
        <f>IF(C68="","",IF(D68="Perdu","",IF(AND(AB68&lt;&gt;"",N(AB68)&lt;TODAY()),"Action en retard",IF(AND(D68="Client",AE68&lt;&gt;"",TODAY()-N(AE68)&gt;P_JoursInactif),"Client inactif",IF(AND(D68="Prospect",Z68=0,O68&lt;&gt;"",TODAY()-N(O68)&gt;P_JoursNonVisite),"Jamais visité","")))))</f>
        <v/>
      </c>
      <c r="AJ68" s="33">
        <f>IF(C68="","",C68&amp;" ["&amp;TEXT(A68,"000")&amp;"]")</f>
        <v/>
      </c>
      <c r="AK68" s="33">
        <f>IF(C68="","",X68&amp;"|"&amp;A68)</f>
        <v/>
      </c>
      <c r="AL68" s="47">
        <f>IF(C68="",0,IF(COUNTIFS(VC_cle,AK68)=0,0,MAX(INDEX((VC_cle=AK68)*(VC_date+ROW(VC_date)/100000),0))))</f>
        <v/>
      </c>
      <c r="AM68" s="47">
        <f>IF(AND(C68&lt;&gt;"",N(AB68)&gt;0,D68&lt;&gt;"Perdu"),AB68+ROW()/100000,0)</f>
        <v/>
      </c>
      <c r="AN68" s="48">
        <f>IF(N(AF68)&gt;0,ROUND(AF68,0)+ROW()/1000000,0)</f>
        <v/>
      </c>
    </row>
    <row r="69" ht="18" customHeight="1">
      <c r="A69" s="39" t="n">
        <v>64</v>
      </c>
      <c r="B69" s="33">
        <f>IF(C69="","",IF(X69="À RENSEIGNER","GIC",X69)&amp;"-"&amp;TEXT(A69,"000"))</f>
        <v/>
      </c>
      <c r="C69" s="36" t="n"/>
      <c r="D69" s="34">
        <f>IF(C69="","",IF(U69="☑ Oui","Perdu",IF(AD69&lt;&gt;"","Client","Prospect")))</f>
        <v/>
      </c>
      <c r="E69" s="36" t="n"/>
      <c r="F69" s="36" t="n"/>
      <c r="G69" s="44" t="n"/>
      <c r="H69" s="44" t="n"/>
      <c r="I69" s="36" t="n"/>
      <c r="J69" s="36" t="n"/>
      <c r="K69" s="41" t="n"/>
      <c r="L69" s="41" t="n"/>
      <c r="M69" s="36" t="n"/>
      <c r="N69" s="36" t="n"/>
      <c r="O69" s="32" t="n"/>
      <c r="P69" s="36" t="n"/>
      <c r="Q69" s="36" t="n"/>
      <c r="R69" s="34">
        <f>IF(P69="","",IFERROR(VLOOKUP(P69,T_Produits,2,FALSE),""))</f>
        <v/>
      </c>
      <c r="S69" s="36" t="n"/>
      <c r="T69" s="43" t="n"/>
      <c r="U69" s="43" t="n"/>
      <c r="V69" s="36" t="n"/>
      <c r="W69" s="36" t="n"/>
      <c r="X69" s="33">
        <f>IF(C69="","",Commercial_Id)</f>
        <v/>
      </c>
      <c r="Y69" s="33">
        <f>IF(E69="","",IF(E69="Particulier / ménage","Particulier","Entreprise"))</f>
        <v/>
      </c>
      <c r="Z69" s="39">
        <f>IF(C69="","",COUNTIFS(VC_cle,AK69,VC_type,"Visite sur place"))</f>
        <v/>
      </c>
      <c r="AA69" s="46">
        <f>IF(AL69=0,"",IF(INT(AL69)=0,"",INT(AL69)))</f>
        <v/>
      </c>
      <c r="AB69" s="46">
        <f>IF(AL69=0,"",IF(INDEX(VC_actiondate,ROUND(MOD(AL69,1)*100000,0)-5)=0,"",INDEX(VC_actiondate,ROUND(MOD(AL69,1)*100000,0)-5)))</f>
        <v/>
      </c>
      <c r="AC69" s="33">
        <f>IF(AL69=0,"",INDEX(VC_actiontexte,ROUND(MOD(AL69,1)*100000,0)-5)&amp;"")</f>
        <v/>
      </c>
      <c r="AD69" s="46">
        <f>IF(C69="","",IF(COUNTIFS(Cmd_cle,AK69,Cmd_dateca,"&gt;0")=0,"",SMALL(INDEX(Cmd_dateca+(((Cmd_cle&lt;&gt;AK69)+(Cmd_dateca=0))&gt;0)*1000000,0),1)))</f>
        <v/>
      </c>
      <c r="AE69" s="46">
        <f>IF(C69="","",IF(COUNTIFS(Cmd_cle,AK69,Cmd_dateca,"&gt;0")=0,"",MAX(INDEX((Cmd_cle=AK69)*Cmd_dateca,0))))</f>
        <v/>
      </c>
      <c r="AF69" s="40">
        <f>IF(C69="","",SUMIFS(Cmd_montant,Cmd_cle,AK69,Cmd_dateca,"&gt;0"))</f>
        <v/>
      </c>
      <c r="AG69" s="40">
        <f>IF(C69="","",SUMIFS(Enc_montant,Enc_cle,AK69))</f>
        <v/>
      </c>
      <c r="AH69" s="40">
        <f>IF(C69="","",AF69-AG69)</f>
        <v/>
      </c>
      <c r="AI69" s="33">
        <f>IF(C69="","",IF(D69="Perdu","",IF(AND(AB69&lt;&gt;"",N(AB69)&lt;TODAY()),"Action en retard",IF(AND(D69="Client",AE69&lt;&gt;"",TODAY()-N(AE69)&gt;P_JoursInactif),"Client inactif",IF(AND(D69="Prospect",Z69=0,O69&lt;&gt;"",TODAY()-N(O69)&gt;P_JoursNonVisite),"Jamais visité","")))))</f>
        <v/>
      </c>
      <c r="AJ69" s="33">
        <f>IF(C69="","",C69&amp;" ["&amp;TEXT(A69,"000")&amp;"]")</f>
        <v/>
      </c>
      <c r="AK69" s="33">
        <f>IF(C69="","",X69&amp;"|"&amp;A69)</f>
        <v/>
      </c>
      <c r="AL69" s="47">
        <f>IF(C69="",0,IF(COUNTIFS(VC_cle,AK69)=0,0,MAX(INDEX((VC_cle=AK69)*(VC_date+ROW(VC_date)/100000),0))))</f>
        <v/>
      </c>
      <c r="AM69" s="47">
        <f>IF(AND(C69&lt;&gt;"",N(AB69)&gt;0,D69&lt;&gt;"Perdu"),AB69+ROW()/100000,0)</f>
        <v/>
      </c>
      <c r="AN69" s="48">
        <f>IF(N(AF69)&gt;0,ROUND(AF69,0)+ROW()/1000000,0)</f>
        <v/>
      </c>
    </row>
    <row r="70" ht="18" customHeight="1">
      <c r="A70" s="39" t="n">
        <v>65</v>
      </c>
      <c r="B70" s="33">
        <f>IF(C70="","",IF(X70="À RENSEIGNER","GIC",X70)&amp;"-"&amp;TEXT(A70,"000"))</f>
        <v/>
      </c>
      <c r="C70" s="36" t="n"/>
      <c r="D70" s="34">
        <f>IF(C70="","",IF(U70="☑ Oui","Perdu",IF(AD70&lt;&gt;"","Client","Prospect")))</f>
        <v/>
      </c>
      <c r="E70" s="36" t="n"/>
      <c r="F70" s="36" t="n"/>
      <c r="G70" s="44" t="n"/>
      <c r="H70" s="44" t="n"/>
      <c r="I70" s="36" t="n"/>
      <c r="J70" s="36" t="n"/>
      <c r="K70" s="41" t="n"/>
      <c r="L70" s="41" t="n"/>
      <c r="M70" s="36" t="n"/>
      <c r="N70" s="36" t="n"/>
      <c r="O70" s="32" t="n"/>
      <c r="P70" s="36" t="n"/>
      <c r="Q70" s="36" t="n"/>
      <c r="R70" s="34">
        <f>IF(P70="","",IFERROR(VLOOKUP(P70,T_Produits,2,FALSE),""))</f>
        <v/>
      </c>
      <c r="S70" s="36" t="n"/>
      <c r="T70" s="43" t="n"/>
      <c r="U70" s="43" t="n"/>
      <c r="V70" s="36" t="n"/>
      <c r="W70" s="36" t="n"/>
      <c r="X70" s="33">
        <f>IF(C70="","",Commercial_Id)</f>
        <v/>
      </c>
      <c r="Y70" s="33">
        <f>IF(E70="","",IF(E70="Particulier / ménage","Particulier","Entreprise"))</f>
        <v/>
      </c>
      <c r="Z70" s="39">
        <f>IF(C70="","",COUNTIFS(VC_cle,AK70,VC_type,"Visite sur place"))</f>
        <v/>
      </c>
      <c r="AA70" s="46">
        <f>IF(AL70=0,"",IF(INT(AL70)=0,"",INT(AL70)))</f>
        <v/>
      </c>
      <c r="AB70" s="46">
        <f>IF(AL70=0,"",IF(INDEX(VC_actiondate,ROUND(MOD(AL70,1)*100000,0)-5)=0,"",INDEX(VC_actiondate,ROUND(MOD(AL70,1)*100000,0)-5)))</f>
        <v/>
      </c>
      <c r="AC70" s="33">
        <f>IF(AL70=0,"",INDEX(VC_actiontexte,ROUND(MOD(AL70,1)*100000,0)-5)&amp;"")</f>
        <v/>
      </c>
      <c r="AD70" s="46">
        <f>IF(C70="","",IF(COUNTIFS(Cmd_cle,AK70,Cmd_dateca,"&gt;0")=0,"",SMALL(INDEX(Cmd_dateca+(((Cmd_cle&lt;&gt;AK70)+(Cmd_dateca=0))&gt;0)*1000000,0),1)))</f>
        <v/>
      </c>
      <c r="AE70" s="46">
        <f>IF(C70="","",IF(COUNTIFS(Cmd_cle,AK70,Cmd_dateca,"&gt;0")=0,"",MAX(INDEX((Cmd_cle=AK70)*Cmd_dateca,0))))</f>
        <v/>
      </c>
      <c r="AF70" s="40">
        <f>IF(C70="","",SUMIFS(Cmd_montant,Cmd_cle,AK70,Cmd_dateca,"&gt;0"))</f>
        <v/>
      </c>
      <c r="AG70" s="40">
        <f>IF(C70="","",SUMIFS(Enc_montant,Enc_cle,AK70))</f>
        <v/>
      </c>
      <c r="AH70" s="40">
        <f>IF(C70="","",AF70-AG70)</f>
        <v/>
      </c>
      <c r="AI70" s="33">
        <f>IF(C70="","",IF(D70="Perdu","",IF(AND(AB70&lt;&gt;"",N(AB70)&lt;TODAY()),"Action en retard",IF(AND(D70="Client",AE70&lt;&gt;"",TODAY()-N(AE70)&gt;P_JoursInactif),"Client inactif",IF(AND(D70="Prospect",Z70=0,O70&lt;&gt;"",TODAY()-N(O70)&gt;P_JoursNonVisite),"Jamais visité","")))))</f>
        <v/>
      </c>
      <c r="AJ70" s="33">
        <f>IF(C70="","",C70&amp;" ["&amp;TEXT(A70,"000")&amp;"]")</f>
        <v/>
      </c>
      <c r="AK70" s="33">
        <f>IF(C70="","",X70&amp;"|"&amp;A70)</f>
        <v/>
      </c>
      <c r="AL70" s="47">
        <f>IF(C70="",0,IF(COUNTIFS(VC_cle,AK70)=0,0,MAX(INDEX((VC_cle=AK70)*(VC_date+ROW(VC_date)/100000),0))))</f>
        <v/>
      </c>
      <c r="AM70" s="47">
        <f>IF(AND(C70&lt;&gt;"",N(AB70)&gt;0,D70&lt;&gt;"Perdu"),AB70+ROW()/100000,0)</f>
        <v/>
      </c>
      <c r="AN70" s="48">
        <f>IF(N(AF70)&gt;0,ROUND(AF70,0)+ROW()/1000000,0)</f>
        <v/>
      </c>
    </row>
    <row r="71" ht="18" customHeight="1">
      <c r="A71" s="39" t="n">
        <v>66</v>
      </c>
      <c r="B71" s="33">
        <f>IF(C71="","",IF(X71="À RENSEIGNER","GIC",X71)&amp;"-"&amp;TEXT(A71,"000"))</f>
        <v/>
      </c>
      <c r="C71" s="36" t="n"/>
      <c r="D71" s="34">
        <f>IF(C71="","",IF(U71="☑ Oui","Perdu",IF(AD71&lt;&gt;"","Client","Prospect")))</f>
        <v/>
      </c>
      <c r="E71" s="36" t="n"/>
      <c r="F71" s="36" t="n"/>
      <c r="G71" s="44" t="n"/>
      <c r="H71" s="44" t="n"/>
      <c r="I71" s="36" t="n"/>
      <c r="J71" s="36" t="n"/>
      <c r="K71" s="41" t="n"/>
      <c r="L71" s="41" t="n"/>
      <c r="M71" s="36" t="n"/>
      <c r="N71" s="36" t="n"/>
      <c r="O71" s="32" t="n"/>
      <c r="P71" s="36" t="n"/>
      <c r="Q71" s="36" t="n"/>
      <c r="R71" s="34">
        <f>IF(P71="","",IFERROR(VLOOKUP(P71,T_Produits,2,FALSE),""))</f>
        <v/>
      </c>
      <c r="S71" s="36" t="n"/>
      <c r="T71" s="43" t="n"/>
      <c r="U71" s="43" t="n"/>
      <c r="V71" s="36" t="n"/>
      <c r="W71" s="36" t="n"/>
      <c r="X71" s="33">
        <f>IF(C71="","",Commercial_Id)</f>
        <v/>
      </c>
      <c r="Y71" s="33">
        <f>IF(E71="","",IF(E71="Particulier / ménage","Particulier","Entreprise"))</f>
        <v/>
      </c>
      <c r="Z71" s="39">
        <f>IF(C71="","",COUNTIFS(VC_cle,AK71,VC_type,"Visite sur place"))</f>
        <v/>
      </c>
      <c r="AA71" s="46">
        <f>IF(AL71=0,"",IF(INT(AL71)=0,"",INT(AL71)))</f>
        <v/>
      </c>
      <c r="AB71" s="46">
        <f>IF(AL71=0,"",IF(INDEX(VC_actiondate,ROUND(MOD(AL71,1)*100000,0)-5)=0,"",INDEX(VC_actiondate,ROUND(MOD(AL71,1)*100000,0)-5)))</f>
        <v/>
      </c>
      <c r="AC71" s="33">
        <f>IF(AL71=0,"",INDEX(VC_actiontexte,ROUND(MOD(AL71,1)*100000,0)-5)&amp;"")</f>
        <v/>
      </c>
      <c r="AD71" s="46">
        <f>IF(C71="","",IF(COUNTIFS(Cmd_cle,AK71,Cmd_dateca,"&gt;0")=0,"",SMALL(INDEX(Cmd_dateca+(((Cmd_cle&lt;&gt;AK71)+(Cmd_dateca=0))&gt;0)*1000000,0),1)))</f>
        <v/>
      </c>
      <c r="AE71" s="46">
        <f>IF(C71="","",IF(COUNTIFS(Cmd_cle,AK71,Cmd_dateca,"&gt;0")=0,"",MAX(INDEX((Cmd_cle=AK71)*Cmd_dateca,0))))</f>
        <v/>
      </c>
      <c r="AF71" s="40">
        <f>IF(C71="","",SUMIFS(Cmd_montant,Cmd_cle,AK71,Cmd_dateca,"&gt;0"))</f>
        <v/>
      </c>
      <c r="AG71" s="40">
        <f>IF(C71="","",SUMIFS(Enc_montant,Enc_cle,AK71))</f>
        <v/>
      </c>
      <c r="AH71" s="40">
        <f>IF(C71="","",AF71-AG71)</f>
        <v/>
      </c>
      <c r="AI71" s="33">
        <f>IF(C71="","",IF(D71="Perdu","",IF(AND(AB71&lt;&gt;"",N(AB71)&lt;TODAY()),"Action en retard",IF(AND(D71="Client",AE71&lt;&gt;"",TODAY()-N(AE71)&gt;P_JoursInactif),"Client inactif",IF(AND(D71="Prospect",Z71=0,O71&lt;&gt;"",TODAY()-N(O71)&gt;P_JoursNonVisite),"Jamais visité","")))))</f>
        <v/>
      </c>
      <c r="AJ71" s="33">
        <f>IF(C71="","",C71&amp;" ["&amp;TEXT(A71,"000")&amp;"]")</f>
        <v/>
      </c>
      <c r="AK71" s="33">
        <f>IF(C71="","",X71&amp;"|"&amp;A71)</f>
        <v/>
      </c>
      <c r="AL71" s="47">
        <f>IF(C71="",0,IF(COUNTIFS(VC_cle,AK71)=0,0,MAX(INDEX((VC_cle=AK71)*(VC_date+ROW(VC_date)/100000),0))))</f>
        <v/>
      </c>
      <c r="AM71" s="47">
        <f>IF(AND(C71&lt;&gt;"",N(AB71)&gt;0,D71&lt;&gt;"Perdu"),AB71+ROW()/100000,0)</f>
        <v/>
      </c>
      <c r="AN71" s="48">
        <f>IF(N(AF71)&gt;0,ROUND(AF71,0)+ROW()/1000000,0)</f>
        <v/>
      </c>
    </row>
    <row r="72" ht="18" customHeight="1">
      <c r="A72" s="39" t="n">
        <v>67</v>
      </c>
      <c r="B72" s="33">
        <f>IF(C72="","",IF(X72="À RENSEIGNER","GIC",X72)&amp;"-"&amp;TEXT(A72,"000"))</f>
        <v/>
      </c>
      <c r="C72" s="36" t="n"/>
      <c r="D72" s="34">
        <f>IF(C72="","",IF(U72="☑ Oui","Perdu",IF(AD72&lt;&gt;"","Client","Prospect")))</f>
        <v/>
      </c>
      <c r="E72" s="36" t="n"/>
      <c r="F72" s="36" t="n"/>
      <c r="G72" s="44" t="n"/>
      <c r="H72" s="44" t="n"/>
      <c r="I72" s="36" t="n"/>
      <c r="J72" s="36" t="n"/>
      <c r="K72" s="41" t="n"/>
      <c r="L72" s="41" t="n"/>
      <c r="M72" s="36" t="n"/>
      <c r="N72" s="36" t="n"/>
      <c r="O72" s="32" t="n"/>
      <c r="P72" s="36" t="n"/>
      <c r="Q72" s="36" t="n"/>
      <c r="R72" s="34">
        <f>IF(P72="","",IFERROR(VLOOKUP(P72,T_Produits,2,FALSE),""))</f>
        <v/>
      </c>
      <c r="S72" s="36" t="n"/>
      <c r="T72" s="43" t="n"/>
      <c r="U72" s="43" t="n"/>
      <c r="V72" s="36" t="n"/>
      <c r="W72" s="36" t="n"/>
      <c r="X72" s="33">
        <f>IF(C72="","",Commercial_Id)</f>
        <v/>
      </c>
      <c r="Y72" s="33">
        <f>IF(E72="","",IF(E72="Particulier / ménage","Particulier","Entreprise"))</f>
        <v/>
      </c>
      <c r="Z72" s="39">
        <f>IF(C72="","",COUNTIFS(VC_cle,AK72,VC_type,"Visite sur place"))</f>
        <v/>
      </c>
      <c r="AA72" s="46">
        <f>IF(AL72=0,"",IF(INT(AL72)=0,"",INT(AL72)))</f>
        <v/>
      </c>
      <c r="AB72" s="46">
        <f>IF(AL72=0,"",IF(INDEX(VC_actiondate,ROUND(MOD(AL72,1)*100000,0)-5)=0,"",INDEX(VC_actiondate,ROUND(MOD(AL72,1)*100000,0)-5)))</f>
        <v/>
      </c>
      <c r="AC72" s="33">
        <f>IF(AL72=0,"",INDEX(VC_actiontexte,ROUND(MOD(AL72,1)*100000,0)-5)&amp;"")</f>
        <v/>
      </c>
      <c r="AD72" s="46">
        <f>IF(C72="","",IF(COUNTIFS(Cmd_cle,AK72,Cmd_dateca,"&gt;0")=0,"",SMALL(INDEX(Cmd_dateca+(((Cmd_cle&lt;&gt;AK72)+(Cmd_dateca=0))&gt;0)*1000000,0),1)))</f>
        <v/>
      </c>
      <c r="AE72" s="46">
        <f>IF(C72="","",IF(COUNTIFS(Cmd_cle,AK72,Cmd_dateca,"&gt;0")=0,"",MAX(INDEX((Cmd_cle=AK72)*Cmd_dateca,0))))</f>
        <v/>
      </c>
      <c r="AF72" s="40">
        <f>IF(C72="","",SUMIFS(Cmd_montant,Cmd_cle,AK72,Cmd_dateca,"&gt;0"))</f>
        <v/>
      </c>
      <c r="AG72" s="40">
        <f>IF(C72="","",SUMIFS(Enc_montant,Enc_cle,AK72))</f>
        <v/>
      </c>
      <c r="AH72" s="40">
        <f>IF(C72="","",AF72-AG72)</f>
        <v/>
      </c>
      <c r="AI72" s="33">
        <f>IF(C72="","",IF(D72="Perdu","",IF(AND(AB72&lt;&gt;"",N(AB72)&lt;TODAY()),"Action en retard",IF(AND(D72="Client",AE72&lt;&gt;"",TODAY()-N(AE72)&gt;P_JoursInactif),"Client inactif",IF(AND(D72="Prospect",Z72=0,O72&lt;&gt;"",TODAY()-N(O72)&gt;P_JoursNonVisite),"Jamais visité","")))))</f>
        <v/>
      </c>
      <c r="AJ72" s="33">
        <f>IF(C72="","",C72&amp;" ["&amp;TEXT(A72,"000")&amp;"]")</f>
        <v/>
      </c>
      <c r="AK72" s="33">
        <f>IF(C72="","",X72&amp;"|"&amp;A72)</f>
        <v/>
      </c>
      <c r="AL72" s="47">
        <f>IF(C72="",0,IF(COUNTIFS(VC_cle,AK72)=0,0,MAX(INDEX((VC_cle=AK72)*(VC_date+ROW(VC_date)/100000),0))))</f>
        <v/>
      </c>
      <c r="AM72" s="47">
        <f>IF(AND(C72&lt;&gt;"",N(AB72)&gt;0,D72&lt;&gt;"Perdu"),AB72+ROW()/100000,0)</f>
        <v/>
      </c>
      <c r="AN72" s="48">
        <f>IF(N(AF72)&gt;0,ROUND(AF72,0)+ROW()/1000000,0)</f>
        <v/>
      </c>
    </row>
    <row r="73" ht="18" customHeight="1">
      <c r="A73" s="39" t="n">
        <v>68</v>
      </c>
      <c r="B73" s="33">
        <f>IF(C73="","",IF(X73="À RENSEIGNER","GIC",X73)&amp;"-"&amp;TEXT(A73,"000"))</f>
        <v/>
      </c>
      <c r="C73" s="36" t="n"/>
      <c r="D73" s="34">
        <f>IF(C73="","",IF(U73="☑ Oui","Perdu",IF(AD73&lt;&gt;"","Client","Prospect")))</f>
        <v/>
      </c>
      <c r="E73" s="36" t="n"/>
      <c r="F73" s="36" t="n"/>
      <c r="G73" s="44" t="n"/>
      <c r="H73" s="44" t="n"/>
      <c r="I73" s="36" t="n"/>
      <c r="J73" s="36" t="n"/>
      <c r="K73" s="41" t="n"/>
      <c r="L73" s="41" t="n"/>
      <c r="M73" s="36" t="n"/>
      <c r="N73" s="36" t="n"/>
      <c r="O73" s="32" t="n"/>
      <c r="P73" s="36" t="n"/>
      <c r="Q73" s="36" t="n"/>
      <c r="R73" s="34">
        <f>IF(P73="","",IFERROR(VLOOKUP(P73,T_Produits,2,FALSE),""))</f>
        <v/>
      </c>
      <c r="S73" s="36" t="n"/>
      <c r="T73" s="43" t="n"/>
      <c r="U73" s="43" t="n"/>
      <c r="V73" s="36" t="n"/>
      <c r="W73" s="36" t="n"/>
      <c r="X73" s="33">
        <f>IF(C73="","",Commercial_Id)</f>
        <v/>
      </c>
      <c r="Y73" s="33">
        <f>IF(E73="","",IF(E73="Particulier / ménage","Particulier","Entreprise"))</f>
        <v/>
      </c>
      <c r="Z73" s="39">
        <f>IF(C73="","",COUNTIFS(VC_cle,AK73,VC_type,"Visite sur place"))</f>
        <v/>
      </c>
      <c r="AA73" s="46">
        <f>IF(AL73=0,"",IF(INT(AL73)=0,"",INT(AL73)))</f>
        <v/>
      </c>
      <c r="AB73" s="46">
        <f>IF(AL73=0,"",IF(INDEX(VC_actiondate,ROUND(MOD(AL73,1)*100000,0)-5)=0,"",INDEX(VC_actiondate,ROUND(MOD(AL73,1)*100000,0)-5)))</f>
        <v/>
      </c>
      <c r="AC73" s="33">
        <f>IF(AL73=0,"",INDEX(VC_actiontexte,ROUND(MOD(AL73,1)*100000,0)-5)&amp;"")</f>
        <v/>
      </c>
      <c r="AD73" s="46">
        <f>IF(C73="","",IF(COUNTIFS(Cmd_cle,AK73,Cmd_dateca,"&gt;0")=0,"",SMALL(INDEX(Cmd_dateca+(((Cmd_cle&lt;&gt;AK73)+(Cmd_dateca=0))&gt;0)*1000000,0),1)))</f>
        <v/>
      </c>
      <c r="AE73" s="46">
        <f>IF(C73="","",IF(COUNTIFS(Cmd_cle,AK73,Cmd_dateca,"&gt;0")=0,"",MAX(INDEX((Cmd_cle=AK73)*Cmd_dateca,0))))</f>
        <v/>
      </c>
      <c r="AF73" s="40">
        <f>IF(C73="","",SUMIFS(Cmd_montant,Cmd_cle,AK73,Cmd_dateca,"&gt;0"))</f>
        <v/>
      </c>
      <c r="AG73" s="40">
        <f>IF(C73="","",SUMIFS(Enc_montant,Enc_cle,AK73))</f>
        <v/>
      </c>
      <c r="AH73" s="40">
        <f>IF(C73="","",AF73-AG73)</f>
        <v/>
      </c>
      <c r="AI73" s="33">
        <f>IF(C73="","",IF(D73="Perdu","",IF(AND(AB73&lt;&gt;"",N(AB73)&lt;TODAY()),"Action en retard",IF(AND(D73="Client",AE73&lt;&gt;"",TODAY()-N(AE73)&gt;P_JoursInactif),"Client inactif",IF(AND(D73="Prospect",Z73=0,O73&lt;&gt;"",TODAY()-N(O73)&gt;P_JoursNonVisite),"Jamais visité","")))))</f>
        <v/>
      </c>
      <c r="AJ73" s="33">
        <f>IF(C73="","",C73&amp;" ["&amp;TEXT(A73,"000")&amp;"]")</f>
        <v/>
      </c>
      <c r="AK73" s="33">
        <f>IF(C73="","",X73&amp;"|"&amp;A73)</f>
        <v/>
      </c>
      <c r="AL73" s="47">
        <f>IF(C73="",0,IF(COUNTIFS(VC_cle,AK73)=0,0,MAX(INDEX((VC_cle=AK73)*(VC_date+ROW(VC_date)/100000),0))))</f>
        <v/>
      </c>
      <c r="AM73" s="47">
        <f>IF(AND(C73&lt;&gt;"",N(AB73)&gt;0,D73&lt;&gt;"Perdu"),AB73+ROW()/100000,0)</f>
        <v/>
      </c>
      <c r="AN73" s="48">
        <f>IF(N(AF73)&gt;0,ROUND(AF73,0)+ROW()/1000000,0)</f>
        <v/>
      </c>
    </row>
    <row r="74" ht="18" customHeight="1">
      <c r="A74" s="39" t="n">
        <v>69</v>
      </c>
      <c r="B74" s="33">
        <f>IF(C74="","",IF(X74="À RENSEIGNER","GIC",X74)&amp;"-"&amp;TEXT(A74,"000"))</f>
        <v/>
      </c>
      <c r="C74" s="36" t="n"/>
      <c r="D74" s="34">
        <f>IF(C74="","",IF(U74="☑ Oui","Perdu",IF(AD74&lt;&gt;"","Client","Prospect")))</f>
        <v/>
      </c>
      <c r="E74" s="36" t="n"/>
      <c r="F74" s="36" t="n"/>
      <c r="G74" s="44" t="n"/>
      <c r="H74" s="44" t="n"/>
      <c r="I74" s="36" t="n"/>
      <c r="J74" s="36" t="n"/>
      <c r="K74" s="41" t="n"/>
      <c r="L74" s="41" t="n"/>
      <c r="M74" s="36" t="n"/>
      <c r="N74" s="36" t="n"/>
      <c r="O74" s="32" t="n"/>
      <c r="P74" s="36" t="n"/>
      <c r="Q74" s="36" t="n"/>
      <c r="R74" s="34">
        <f>IF(P74="","",IFERROR(VLOOKUP(P74,T_Produits,2,FALSE),""))</f>
        <v/>
      </c>
      <c r="S74" s="36" t="n"/>
      <c r="T74" s="43" t="n"/>
      <c r="U74" s="43" t="n"/>
      <c r="V74" s="36" t="n"/>
      <c r="W74" s="36" t="n"/>
      <c r="X74" s="33">
        <f>IF(C74="","",Commercial_Id)</f>
        <v/>
      </c>
      <c r="Y74" s="33">
        <f>IF(E74="","",IF(E74="Particulier / ménage","Particulier","Entreprise"))</f>
        <v/>
      </c>
      <c r="Z74" s="39">
        <f>IF(C74="","",COUNTIFS(VC_cle,AK74,VC_type,"Visite sur place"))</f>
        <v/>
      </c>
      <c r="AA74" s="46">
        <f>IF(AL74=0,"",IF(INT(AL74)=0,"",INT(AL74)))</f>
        <v/>
      </c>
      <c r="AB74" s="46">
        <f>IF(AL74=0,"",IF(INDEX(VC_actiondate,ROUND(MOD(AL74,1)*100000,0)-5)=0,"",INDEX(VC_actiondate,ROUND(MOD(AL74,1)*100000,0)-5)))</f>
        <v/>
      </c>
      <c r="AC74" s="33">
        <f>IF(AL74=0,"",INDEX(VC_actiontexte,ROUND(MOD(AL74,1)*100000,0)-5)&amp;"")</f>
        <v/>
      </c>
      <c r="AD74" s="46">
        <f>IF(C74="","",IF(COUNTIFS(Cmd_cle,AK74,Cmd_dateca,"&gt;0")=0,"",SMALL(INDEX(Cmd_dateca+(((Cmd_cle&lt;&gt;AK74)+(Cmd_dateca=0))&gt;0)*1000000,0),1)))</f>
        <v/>
      </c>
      <c r="AE74" s="46">
        <f>IF(C74="","",IF(COUNTIFS(Cmd_cle,AK74,Cmd_dateca,"&gt;0")=0,"",MAX(INDEX((Cmd_cle=AK74)*Cmd_dateca,0))))</f>
        <v/>
      </c>
      <c r="AF74" s="40">
        <f>IF(C74="","",SUMIFS(Cmd_montant,Cmd_cle,AK74,Cmd_dateca,"&gt;0"))</f>
        <v/>
      </c>
      <c r="AG74" s="40">
        <f>IF(C74="","",SUMIFS(Enc_montant,Enc_cle,AK74))</f>
        <v/>
      </c>
      <c r="AH74" s="40">
        <f>IF(C74="","",AF74-AG74)</f>
        <v/>
      </c>
      <c r="AI74" s="33">
        <f>IF(C74="","",IF(D74="Perdu","",IF(AND(AB74&lt;&gt;"",N(AB74)&lt;TODAY()),"Action en retard",IF(AND(D74="Client",AE74&lt;&gt;"",TODAY()-N(AE74)&gt;P_JoursInactif),"Client inactif",IF(AND(D74="Prospect",Z74=0,O74&lt;&gt;"",TODAY()-N(O74)&gt;P_JoursNonVisite),"Jamais visité","")))))</f>
        <v/>
      </c>
      <c r="AJ74" s="33">
        <f>IF(C74="","",C74&amp;" ["&amp;TEXT(A74,"000")&amp;"]")</f>
        <v/>
      </c>
      <c r="AK74" s="33">
        <f>IF(C74="","",X74&amp;"|"&amp;A74)</f>
        <v/>
      </c>
      <c r="AL74" s="47">
        <f>IF(C74="",0,IF(COUNTIFS(VC_cle,AK74)=0,0,MAX(INDEX((VC_cle=AK74)*(VC_date+ROW(VC_date)/100000),0))))</f>
        <v/>
      </c>
      <c r="AM74" s="47">
        <f>IF(AND(C74&lt;&gt;"",N(AB74)&gt;0,D74&lt;&gt;"Perdu"),AB74+ROW()/100000,0)</f>
        <v/>
      </c>
      <c r="AN74" s="48">
        <f>IF(N(AF74)&gt;0,ROUND(AF74,0)+ROW()/1000000,0)</f>
        <v/>
      </c>
    </row>
    <row r="75" ht="18" customHeight="1">
      <c r="A75" s="39" t="n">
        <v>70</v>
      </c>
      <c r="B75" s="33">
        <f>IF(C75="","",IF(X75="À RENSEIGNER","GIC",X75)&amp;"-"&amp;TEXT(A75,"000"))</f>
        <v/>
      </c>
      <c r="C75" s="36" t="n"/>
      <c r="D75" s="34">
        <f>IF(C75="","",IF(U75="☑ Oui","Perdu",IF(AD75&lt;&gt;"","Client","Prospect")))</f>
        <v/>
      </c>
      <c r="E75" s="36" t="n"/>
      <c r="F75" s="36" t="n"/>
      <c r="G75" s="44" t="n"/>
      <c r="H75" s="44" t="n"/>
      <c r="I75" s="36" t="n"/>
      <c r="J75" s="36" t="n"/>
      <c r="K75" s="41" t="n"/>
      <c r="L75" s="41" t="n"/>
      <c r="M75" s="36" t="n"/>
      <c r="N75" s="36" t="n"/>
      <c r="O75" s="32" t="n"/>
      <c r="P75" s="36" t="n"/>
      <c r="Q75" s="36" t="n"/>
      <c r="R75" s="34">
        <f>IF(P75="","",IFERROR(VLOOKUP(P75,T_Produits,2,FALSE),""))</f>
        <v/>
      </c>
      <c r="S75" s="36" t="n"/>
      <c r="T75" s="43" t="n"/>
      <c r="U75" s="43" t="n"/>
      <c r="V75" s="36" t="n"/>
      <c r="W75" s="36" t="n"/>
      <c r="X75" s="33">
        <f>IF(C75="","",Commercial_Id)</f>
        <v/>
      </c>
      <c r="Y75" s="33">
        <f>IF(E75="","",IF(E75="Particulier / ménage","Particulier","Entreprise"))</f>
        <v/>
      </c>
      <c r="Z75" s="39">
        <f>IF(C75="","",COUNTIFS(VC_cle,AK75,VC_type,"Visite sur place"))</f>
        <v/>
      </c>
      <c r="AA75" s="46">
        <f>IF(AL75=0,"",IF(INT(AL75)=0,"",INT(AL75)))</f>
        <v/>
      </c>
      <c r="AB75" s="46">
        <f>IF(AL75=0,"",IF(INDEX(VC_actiondate,ROUND(MOD(AL75,1)*100000,0)-5)=0,"",INDEX(VC_actiondate,ROUND(MOD(AL75,1)*100000,0)-5)))</f>
        <v/>
      </c>
      <c r="AC75" s="33">
        <f>IF(AL75=0,"",INDEX(VC_actiontexte,ROUND(MOD(AL75,1)*100000,0)-5)&amp;"")</f>
        <v/>
      </c>
      <c r="AD75" s="46">
        <f>IF(C75="","",IF(COUNTIFS(Cmd_cle,AK75,Cmd_dateca,"&gt;0")=0,"",SMALL(INDEX(Cmd_dateca+(((Cmd_cle&lt;&gt;AK75)+(Cmd_dateca=0))&gt;0)*1000000,0),1)))</f>
        <v/>
      </c>
      <c r="AE75" s="46">
        <f>IF(C75="","",IF(COUNTIFS(Cmd_cle,AK75,Cmd_dateca,"&gt;0")=0,"",MAX(INDEX((Cmd_cle=AK75)*Cmd_dateca,0))))</f>
        <v/>
      </c>
      <c r="AF75" s="40">
        <f>IF(C75="","",SUMIFS(Cmd_montant,Cmd_cle,AK75,Cmd_dateca,"&gt;0"))</f>
        <v/>
      </c>
      <c r="AG75" s="40">
        <f>IF(C75="","",SUMIFS(Enc_montant,Enc_cle,AK75))</f>
        <v/>
      </c>
      <c r="AH75" s="40">
        <f>IF(C75="","",AF75-AG75)</f>
        <v/>
      </c>
      <c r="AI75" s="33">
        <f>IF(C75="","",IF(D75="Perdu","",IF(AND(AB75&lt;&gt;"",N(AB75)&lt;TODAY()),"Action en retard",IF(AND(D75="Client",AE75&lt;&gt;"",TODAY()-N(AE75)&gt;P_JoursInactif),"Client inactif",IF(AND(D75="Prospect",Z75=0,O75&lt;&gt;"",TODAY()-N(O75)&gt;P_JoursNonVisite),"Jamais visité","")))))</f>
        <v/>
      </c>
      <c r="AJ75" s="33">
        <f>IF(C75="","",C75&amp;" ["&amp;TEXT(A75,"000")&amp;"]")</f>
        <v/>
      </c>
      <c r="AK75" s="33">
        <f>IF(C75="","",X75&amp;"|"&amp;A75)</f>
        <v/>
      </c>
      <c r="AL75" s="47">
        <f>IF(C75="",0,IF(COUNTIFS(VC_cle,AK75)=0,0,MAX(INDEX((VC_cle=AK75)*(VC_date+ROW(VC_date)/100000),0))))</f>
        <v/>
      </c>
      <c r="AM75" s="47">
        <f>IF(AND(C75&lt;&gt;"",N(AB75)&gt;0,D75&lt;&gt;"Perdu"),AB75+ROW()/100000,0)</f>
        <v/>
      </c>
      <c r="AN75" s="48">
        <f>IF(N(AF75)&gt;0,ROUND(AF75,0)+ROW()/1000000,0)</f>
        <v/>
      </c>
    </row>
    <row r="76" ht="18" customHeight="1">
      <c r="A76" s="39" t="n">
        <v>71</v>
      </c>
      <c r="B76" s="33">
        <f>IF(C76="","",IF(X76="À RENSEIGNER","GIC",X76)&amp;"-"&amp;TEXT(A76,"000"))</f>
        <v/>
      </c>
      <c r="C76" s="36" t="n"/>
      <c r="D76" s="34">
        <f>IF(C76="","",IF(U76="☑ Oui","Perdu",IF(AD76&lt;&gt;"","Client","Prospect")))</f>
        <v/>
      </c>
      <c r="E76" s="36" t="n"/>
      <c r="F76" s="36" t="n"/>
      <c r="G76" s="44" t="n"/>
      <c r="H76" s="44" t="n"/>
      <c r="I76" s="36" t="n"/>
      <c r="J76" s="36" t="n"/>
      <c r="K76" s="41" t="n"/>
      <c r="L76" s="41" t="n"/>
      <c r="M76" s="36" t="n"/>
      <c r="N76" s="36" t="n"/>
      <c r="O76" s="32" t="n"/>
      <c r="P76" s="36" t="n"/>
      <c r="Q76" s="36" t="n"/>
      <c r="R76" s="34">
        <f>IF(P76="","",IFERROR(VLOOKUP(P76,T_Produits,2,FALSE),""))</f>
        <v/>
      </c>
      <c r="S76" s="36" t="n"/>
      <c r="T76" s="43" t="n"/>
      <c r="U76" s="43" t="n"/>
      <c r="V76" s="36" t="n"/>
      <c r="W76" s="36" t="n"/>
      <c r="X76" s="33">
        <f>IF(C76="","",Commercial_Id)</f>
        <v/>
      </c>
      <c r="Y76" s="33">
        <f>IF(E76="","",IF(E76="Particulier / ménage","Particulier","Entreprise"))</f>
        <v/>
      </c>
      <c r="Z76" s="39">
        <f>IF(C76="","",COUNTIFS(VC_cle,AK76,VC_type,"Visite sur place"))</f>
        <v/>
      </c>
      <c r="AA76" s="46">
        <f>IF(AL76=0,"",IF(INT(AL76)=0,"",INT(AL76)))</f>
        <v/>
      </c>
      <c r="AB76" s="46">
        <f>IF(AL76=0,"",IF(INDEX(VC_actiondate,ROUND(MOD(AL76,1)*100000,0)-5)=0,"",INDEX(VC_actiondate,ROUND(MOD(AL76,1)*100000,0)-5)))</f>
        <v/>
      </c>
      <c r="AC76" s="33">
        <f>IF(AL76=0,"",INDEX(VC_actiontexte,ROUND(MOD(AL76,1)*100000,0)-5)&amp;"")</f>
        <v/>
      </c>
      <c r="AD76" s="46">
        <f>IF(C76="","",IF(COUNTIFS(Cmd_cle,AK76,Cmd_dateca,"&gt;0")=0,"",SMALL(INDEX(Cmd_dateca+(((Cmd_cle&lt;&gt;AK76)+(Cmd_dateca=0))&gt;0)*1000000,0),1)))</f>
        <v/>
      </c>
      <c r="AE76" s="46">
        <f>IF(C76="","",IF(COUNTIFS(Cmd_cle,AK76,Cmd_dateca,"&gt;0")=0,"",MAX(INDEX((Cmd_cle=AK76)*Cmd_dateca,0))))</f>
        <v/>
      </c>
      <c r="AF76" s="40">
        <f>IF(C76="","",SUMIFS(Cmd_montant,Cmd_cle,AK76,Cmd_dateca,"&gt;0"))</f>
        <v/>
      </c>
      <c r="AG76" s="40">
        <f>IF(C76="","",SUMIFS(Enc_montant,Enc_cle,AK76))</f>
        <v/>
      </c>
      <c r="AH76" s="40">
        <f>IF(C76="","",AF76-AG76)</f>
        <v/>
      </c>
      <c r="AI76" s="33">
        <f>IF(C76="","",IF(D76="Perdu","",IF(AND(AB76&lt;&gt;"",N(AB76)&lt;TODAY()),"Action en retard",IF(AND(D76="Client",AE76&lt;&gt;"",TODAY()-N(AE76)&gt;P_JoursInactif),"Client inactif",IF(AND(D76="Prospect",Z76=0,O76&lt;&gt;"",TODAY()-N(O76)&gt;P_JoursNonVisite),"Jamais visité","")))))</f>
        <v/>
      </c>
      <c r="AJ76" s="33">
        <f>IF(C76="","",C76&amp;" ["&amp;TEXT(A76,"000")&amp;"]")</f>
        <v/>
      </c>
      <c r="AK76" s="33">
        <f>IF(C76="","",X76&amp;"|"&amp;A76)</f>
        <v/>
      </c>
      <c r="AL76" s="47">
        <f>IF(C76="",0,IF(COUNTIFS(VC_cle,AK76)=0,0,MAX(INDEX((VC_cle=AK76)*(VC_date+ROW(VC_date)/100000),0))))</f>
        <v/>
      </c>
      <c r="AM76" s="47">
        <f>IF(AND(C76&lt;&gt;"",N(AB76)&gt;0,D76&lt;&gt;"Perdu"),AB76+ROW()/100000,0)</f>
        <v/>
      </c>
      <c r="AN76" s="48">
        <f>IF(N(AF76)&gt;0,ROUND(AF76,0)+ROW()/1000000,0)</f>
        <v/>
      </c>
    </row>
    <row r="77" ht="18" customHeight="1">
      <c r="A77" s="39" t="n">
        <v>72</v>
      </c>
      <c r="B77" s="33">
        <f>IF(C77="","",IF(X77="À RENSEIGNER","GIC",X77)&amp;"-"&amp;TEXT(A77,"000"))</f>
        <v/>
      </c>
      <c r="C77" s="36" t="n"/>
      <c r="D77" s="34">
        <f>IF(C77="","",IF(U77="☑ Oui","Perdu",IF(AD77&lt;&gt;"","Client","Prospect")))</f>
        <v/>
      </c>
      <c r="E77" s="36" t="n"/>
      <c r="F77" s="36" t="n"/>
      <c r="G77" s="44" t="n"/>
      <c r="H77" s="44" t="n"/>
      <c r="I77" s="36" t="n"/>
      <c r="J77" s="36" t="n"/>
      <c r="K77" s="41" t="n"/>
      <c r="L77" s="41" t="n"/>
      <c r="M77" s="36" t="n"/>
      <c r="N77" s="36" t="n"/>
      <c r="O77" s="32" t="n"/>
      <c r="P77" s="36" t="n"/>
      <c r="Q77" s="36" t="n"/>
      <c r="R77" s="34">
        <f>IF(P77="","",IFERROR(VLOOKUP(P77,T_Produits,2,FALSE),""))</f>
        <v/>
      </c>
      <c r="S77" s="36" t="n"/>
      <c r="T77" s="43" t="n"/>
      <c r="U77" s="43" t="n"/>
      <c r="V77" s="36" t="n"/>
      <c r="W77" s="36" t="n"/>
      <c r="X77" s="33">
        <f>IF(C77="","",Commercial_Id)</f>
        <v/>
      </c>
      <c r="Y77" s="33">
        <f>IF(E77="","",IF(E77="Particulier / ménage","Particulier","Entreprise"))</f>
        <v/>
      </c>
      <c r="Z77" s="39">
        <f>IF(C77="","",COUNTIFS(VC_cle,AK77,VC_type,"Visite sur place"))</f>
        <v/>
      </c>
      <c r="AA77" s="46">
        <f>IF(AL77=0,"",IF(INT(AL77)=0,"",INT(AL77)))</f>
        <v/>
      </c>
      <c r="AB77" s="46">
        <f>IF(AL77=0,"",IF(INDEX(VC_actiondate,ROUND(MOD(AL77,1)*100000,0)-5)=0,"",INDEX(VC_actiondate,ROUND(MOD(AL77,1)*100000,0)-5)))</f>
        <v/>
      </c>
      <c r="AC77" s="33">
        <f>IF(AL77=0,"",INDEX(VC_actiontexte,ROUND(MOD(AL77,1)*100000,0)-5)&amp;"")</f>
        <v/>
      </c>
      <c r="AD77" s="46">
        <f>IF(C77="","",IF(COUNTIFS(Cmd_cle,AK77,Cmd_dateca,"&gt;0")=0,"",SMALL(INDEX(Cmd_dateca+(((Cmd_cle&lt;&gt;AK77)+(Cmd_dateca=0))&gt;0)*1000000,0),1)))</f>
        <v/>
      </c>
      <c r="AE77" s="46">
        <f>IF(C77="","",IF(COUNTIFS(Cmd_cle,AK77,Cmd_dateca,"&gt;0")=0,"",MAX(INDEX((Cmd_cle=AK77)*Cmd_dateca,0))))</f>
        <v/>
      </c>
      <c r="AF77" s="40">
        <f>IF(C77="","",SUMIFS(Cmd_montant,Cmd_cle,AK77,Cmd_dateca,"&gt;0"))</f>
        <v/>
      </c>
      <c r="AG77" s="40">
        <f>IF(C77="","",SUMIFS(Enc_montant,Enc_cle,AK77))</f>
        <v/>
      </c>
      <c r="AH77" s="40">
        <f>IF(C77="","",AF77-AG77)</f>
        <v/>
      </c>
      <c r="AI77" s="33">
        <f>IF(C77="","",IF(D77="Perdu","",IF(AND(AB77&lt;&gt;"",N(AB77)&lt;TODAY()),"Action en retard",IF(AND(D77="Client",AE77&lt;&gt;"",TODAY()-N(AE77)&gt;P_JoursInactif),"Client inactif",IF(AND(D77="Prospect",Z77=0,O77&lt;&gt;"",TODAY()-N(O77)&gt;P_JoursNonVisite),"Jamais visité","")))))</f>
        <v/>
      </c>
      <c r="AJ77" s="33">
        <f>IF(C77="","",C77&amp;" ["&amp;TEXT(A77,"000")&amp;"]")</f>
        <v/>
      </c>
      <c r="AK77" s="33">
        <f>IF(C77="","",X77&amp;"|"&amp;A77)</f>
        <v/>
      </c>
      <c r="AL77" s="47">
        <f>IF(C77="",0,IF(COUNTIFS(VC_cle,AK77)=0,0,MAX(INDEX((VC_cle=AK77)*(VC_date+ROW(VC_date)/100000),0))))</f>
        <v/>
      </c>
      <c r="AM77" s="47">
        <f>IF(AND(C77&lt;&gt;"",N(AB77)&gt;0,D77&lt;&gt;"Perdu"),AB77+ROW()/100000,0)</f>
        <v/>
      </c>
      <c r="AN77" s="48">
        <f>IF(N(AF77)&gt;0,ROUND(AF77,0)+ROW()/1000000,0)</f>
        <v/>
      </c>
    </row>
    <row r="78" ht="18" customHeight="1">
      <c r="A78" s="39" t="n">
        <v>73</v>
      </c>
      <c r="B78" s="33">
        <f>IF(C78="","",IF(X78="À RENSEIGNER","GIC",X78)&amp;"-"&amp;TEXT(A78,"000"))</f>
        <v/>
      </c>
      <c r="C78" s="36" t="n"/>
      <c r="D78" s="34">
        <f>IF(C78="","",IF(U78="☑ Oui","Perdu",IF(AD78&lt;&gt;"","Client","Prospect")))</f>
        <v/>
      </c>
      <c r="E78" s="36" t="n"/>
      <c r="F78" s="36" t="n"/>
      <c r="G78" s="44" t="n"/>
      <c r="H78" s="44" t="n"/>
      <c r="I78" s="36" t="n"/>
      <c r="J78" s="36" t="n"/>
      <c r="K78" s="41" t="n"/>
      <c r="L78" s="41" t="n"/>
      <c r="M78" s="36" t="n"/>
      <c r="N78" s="36" t="n"/>
      <c r="O78" s="32" t="n"/>
      <c r="P78" s="36" t="n"/>
      <c r="Q78" s="36" t="n"/>
      <c r="R78" s="34">
        <f>IF(P78="","",IFERROR(VLOOKUP(P78,T_Produits,2,FALSE),""))</f>
        <v/>
      </c>
      <c r="S78" s="36" t="n"/>
      <c r="T78" s="43" t="n"/>
      <c r="U78" s="43" t="n"/>
      <c r="V78" s="36" t="n"/>
      <c r="W78" s="36" t="n"/>
      <c r="X78" s="33">
        <f>IF(C78="","",Commercial_Id)</f>
        <v/>
      </c>
      <c r="Y78" s="33">
        <f>IF(E78="","",IF(E78="Particulier / ménage","Particulier","Entreprise"))</f>
        <v/>
      </c>
      <c r="Z78" s="39">
        <f>IF(C78="","",COUNTIFS(VC_cle,AK78,VC_type,"Visite sur place"))</f>
        <v/>
      </c>
      <c r="AA78" s="46">
        <f>IF(AL78=0,"",IF(INT(AL78)=0,"",INT(AL78)))</f>
        <v/>
      </c>
      <c r="AB78" s="46">
        <f>IF(AL78=0,"",IF(INDEX(VC_actiondate,ROUND(MOD(AL78,1)*100000,0)-5)=0,"",INDEX(VC_actiondate,ROUND(MOD(AL78,1)*100000,0)-5)))</f>
        <v/>
      </c>
      <c r="AC78" s="33">
        <f>IF(AL78=0,"",INDEX(VC_actiontexte,ROUND(MOD(AL78,1)*100000,0)-5)&amp;"")</f>
        <v/>
      </c>
      <c r="AD78" s="46">
        <f>IF(C78="","",IF(COUNTIFS(Cmd_cle,AK78,Cmd_dateca,"&gt;0")=0,"",SMALL(INDEX(Cmd_dateca+(((Cmd_cle&lt;&gt;AK78)+(Cmd_dateca=0))&gt;0)*1000000,0),1)))</f>
        <v/>
      </c>
      <c r="AE78" s="46">
        <f>IF(C78="","",IF(COUNTIFS(Cmd_cle,AK78,Cmd_dateca,"&gt;0")=0,"",MAX(INDEX((Cmd_cle=AK78)*Cmd_dateca,0))))</f>
        <v/>
      </c>
      <c r="AF78" s="40">
        <f>IF(C78="","",SUMIFS(Cmd_montant,Cmd_cle,AK78,Cmd_dateca,"&gt;0"))</f>
        <v/>
      </c>
      <c r="AG78" s="40">
        <f>IF(C78="","",SUMIFS(Enc_montant,Enc_cle,AK78))</f>
        <v/>
      </c>
      <c r="AH78" s="40">
        <f>IF(C78="","",AF78-AG78)</f>
        <v/>
      </c>
      <c r="AI78" s="33">
        <f>IF(C78="","",IF(D78="Perdu","",IF(AND(AB78&lt;&gt;"",N(AB78)&lt;TODAY()),"Action en retard",IF(AND(D78="Client",AE78&lt;&gt;"",TODAY()-N(AE78)&gt;P_JoursInactif),"Client inactif",IF(AND(D78="Prospect",Z78=0,O78&lt;&gt;"",TODAY()-N(O78)&gt;P_JoursNonVisite),"Jamais visité","")))))</f>
        <v/>
      </c>
      <c r="AJ78" s="33">
        <f>IF(C78="","",C78&amp;" ["&amp;TEXT(A78,"000")&amp;"]")</f>
        <v/>
      </c>
      <c r="AK78" s="33">
        <f>IF(C78="","",X78&amp;"|"&amp;A78)</f>
        <v/>
      </c>
      <c r="AL78" s="47">
        <f>IF(C78="",0,IF(COUNTIFS(VC_cle,AK78)=0,0,MAX(INDEX((VC_cle=AK78)*(VC_date+ROW(VC_date)/100000),0))))</f>
        <v/>
      </c>
      <c r="AM78" s="47">
        <f>IF(AND(C78&lt;&gt;"",N(AB78)&gt;0,D78&lt;&gt;"Perdu"),AB78+ROW()/100000,0)</f>
        <v/>
      </c>
      <c r="AN78" s="48">
        <f>IF(N(AF78)&gt;0,ROUND(AF78,0)+ROW()/1000000,0)</f>
        <v/>
      </c>
    </row>
    <row r="79" ht="18" customHeight="1">
      <c r="A79" s="39" t="n">
        <v>74</v>
      </c>
      <c r="B79" s="33">
        <f>IF(C79="","",IF(X79="À RENSEIGNER","GIC",X79)&amp;"-"&amp;TEXT(A79,"000"))</f>
        <v/>
      </c>
      <c r="C79" s="36" t="n"/>
      <c r="D79" s="34">
        <f>IF(C79="","",IF(U79="☑ Oui","Perdu",IF(AD79&lt;&gt;"","Client","Prospect")))</f>
        <v/>
      </c>
      <c r="E79" s="36" t="n"/>
      <c r="F79" s="36" t="n"/>
      <c r="G79" s="44" t="n"/>
      <c r="H79" s="44" t="n"/>
      <c r="I79" s="36" t="n"/>
      <c r="J79" s="36" t="n"/>
      <c r="K79" s="41" t="n"/>
      <c r="L79" s="41" t="n"/>
      <c r="M79" s="36" t="n"/>
      <c r="N79" s="36" t="n"/>
      <c r="O79" s="32" t="n"/>
      <c r="P79" s="36" t="n"/>
      <c r="Q79" s="36" t="n"/>
      <c r="R79" s="34">
        <f>IF(P79="","",IFERROR(VLOOKUP(P79,T_Produits,2,FALSE),""))</f>
        <v/>
      </c>
      <c r="S79" s="36" t="n"/>
      <c r="T79" s="43" t="n"/>
      <c r="U79" s="43" t="n"/>
      <c r="V79" s="36" t="n"/>
      <c r="W79" s="36" t="n"/>
      <c r="X79" s="33">
        <f>IF(C79="","",Commercial_Id)</f>
        <v/>
      </c>
      <c r="Y79" s="33">
        <f>IF(E79="","",IF(E79="Particulier / ménage","Particulier","Entreprise"))</f>
        <v/>
      </c>
      <c r="Z79" s="39">
        <f>IF(C79="","",COUNTIFS(VC_cle,AK79,VC_type,"Visite sur place"))</f>
        <v/>
      </c>
      <c r="AA79" s="46">
        <f>IF(AL79=0,"",IF(INT(AL79)=0,"",INT(AL79)))</f>
        <v/>
      </c>
      <c r="AB79" s="46">
        <f>IF(AL79=0,"",IF(INDEX(VC_actiondate,ROUND(MOD(AL79,1)*100000,0)-5)=0,"",INDEX(VC_actiondate,ROUND(MOD(AL79,1)*100000,0)-5)))</f>
        <v/>
      </c>
      <c r="AC79" s="33">
        <f>IF(AL79=0,"",INDEX(VC_actiontexte,ROUND(MOD(AL79,1)*100000,0)-5)&amp;"")</f>
        <v/>
      </c>
      <c r="AD79" s="46">
        <f>IF(C79="","",IF(COUNTIFS(Cmd_cle,AK79,Cmd_dateca,"&gt;0")=0,"",SMALL(INDEX(Cmd_dateca+(((Cmd_cle&lt;&gt;AK79)+(Cmd_dateca=0))&gt;0)*1000000,0),1)))</f>
        <v/>
      </c>
      <c r="AE79" s="46">
        <f>IF(C79="","",IF(COUNTIFS(Cmd_cle,AK79,Cmd_dateca,"&gt;0")=0,"",MAX(INDEX((Cmd_cle=AK79)*Cmd_dateca,0))))</f>
        <v/>
      </c>
      <c r="AF79" s="40">
        <f>IF(C79="","",SUMIFS(Cmd_montant,Cmd_cle,AK79,Cmd_dateca,"&gt;0"))</f>
        <v/>
      </c>
      <c r="AG79" s="40">
        <f>IF(C79="","",SUMIFS(Enc_montant,Enc_cle,AK79))</f>
        <v/>
      </c>
      <c r="AH79" s="40">
        <f>IF(C79="","",AF79-AG79)</f>
        <v/>
      </c>
      <c r="AI79" s="33">
        <f>IF(C79="","",IF(D79="Perdu","",IF(AND(AB79&lt;&gt;"",N(AB79)&lt;TODAY()),"Action en retard",IF(AND(D79="Client",AE79&lt;&gt;"",TODAY()-N(AE79)&gt;P_JoursInactif),"Client inactif",IF(AND(D79="Prospect",Z79=0,O79&lt;&gt;"",TODAY()-N(O79)&gt;P_JoursNonVisite),"Jamais visité","")))))</f>
        <v/>
      </c>
      <c r="AJ79" s="33">
        <f>IF(C79="","",C79&amp;" ["&amp;TEXT(A79,"000")&amp;"]")</f>
        <v/>
      </c>
      <c r="AK79" s="33">
        <f>IF(C79="","",X79&amp;"|"&amp;A79)</f>
        <v/>
      </c>
      <c r="AL79" s="47">
        <f>IF(C79="",0,IF(COUNTIFS(VC_cle,AK79)=0,0,MAX(INDEX((VC_cle=AK79)*(VC_date+ROW(VC_date)/100000),0))))</f>
        <v/>
      </c>
      <c r="AM79" s="47">
        <f>IF(AND(C79&lt;&gt;"",N(AB79)&gt;0,D79&lt;&gt;"Perdu"),AB79+ROW()/100000,0)</f>
        <v/>
      </c>
      <c r="AN79" s="48">
        <f>IF(N(AF79)&gt;0,ROUND(AF79,0)+ROW()/1000000,0)</f>
        <v/>
      </c>
    </row>
    <row r="80" ht="18" customHeight="1">
      <c r="A80" s="39" t="n">
        <v>75</v>
      </c>
      <c r="B80" s="33">
        <f>IF(C80="","",IF(X80="À RENSEIGNER","GIC",X80)&amp;"-"&amp;TEXT(A80,"000"))</f>
        <v/>
      </c>
      <c r="C80" s="36" t="n"/>
      <c r="D80" s="34">
        <f>IF(C80="","",IF(U80="☑ Oui","Perdu",IF(AD80&lt;&gt;"","Client","Prospect")))</f>
        <v/>
      </c>
      <c r="E80" s="36" t="n"/>
      <c r="F80" s="36" t="n"/>
      <c r="G80" s="44" t="n"/>
      <c r="H80" s="44" t="n"/>
      <c r="I80" s="36" t="n"/>
      <c r="J80" s="36" t="n"/>
      <c r="K80" s="41" t="n"/>
      <c r="L80" s="41" t="n"/>
      <c r="M80" s="36" t="n"/>
      <c r="N80" s="36" t="n"/>
      <c r="O80" s="32" t="n"/>
      <c r="P80" s="36" t="n"/>
      <c r="Q80" s="36" t="n"/>
      <c r="R80" s="34">
        <f>IF(P80="","",IFERROR(VLOOKUP(P80,T_Produits,2,FALSE),""))</f>
        <v/>
      </c>
      <c r="S80" s="36" t="n"/>
      <c r="T80" s="43" t="n"/>
      <c r="U80" s="43" t="n"/>
      <c r="V80" s="36" t="n"/>
      <c r="W80" s="36" t="n"/>
      <c r="X80" s="33">
        <f>IF(C80="","",Commercial_Id)</f>
        <v/>
      </c>
      <c r="Y80" s="33">
        <f>IF(E80="","",IF(E80="Particulier / ménage","Particulier","Entreprise"))</f>
        <v/>
      </c>
      <c r="Z80" s="39">
        <f>IF(C80="","",COUNTIFS(VC_cle,AK80,VC_type,"Visite sur place"))</f>
        <v/>
      </c>
      <c r="AA80" s="46">
        <f>IF(AL80=0,"",IF(INT(AL80)=0,"",INT(AL80)))</f>
        <v/>
      </c>
      <c r="AB80" s="46">
        <f>IF(AL80=0,"",IF(INDEX(VC_actiondate,ROUND(MOD(AL80,1)*100000,0)-5)=0,"",INDEX(VC_actiondate,ROUND(MOD(AL80,1)*100000,0)-5)))</f>
        <v/>
      </c>
      <c r="AC80" s="33">
        <f>IF(AL80=0,"",INDEX(VC_actiontexte,ROUND(MOD(AL80,1)*100000,0)-5)&amp;"")</f>
        <v/>
      </c>
      <c r="AD80" s="46">
        <f>IF(C80="","",IF(COUNTIFS(Cmd_cle,AK80,Cmd_dateca,"&gt;0")=0,"",SMALL(INDEX(Cmd_dateca+(((Cmd_cle&lt;&gt;AK80)+(Cmd_dateca=0))&gt;0)*1000000,0),1)))</f>
        <v/>
      </c>
      <c r="AE80" s="46">
        <f>IF(C80="","",IF(COUNTIFS(Cmd_cle,AK80,Cmd_dateca,"&gt;0")=0,"",MAX(INDEX((Cmd_cle=AK80)*Cmd_dateca,0))))</f>
        <v/>
      </c>
      <c r="AF80" s="40">
        <f>IF(C80="","",SUMIFS(Cmd_montant,Cmd_cle,AK80,Cmd_dateca,"&gt;0"))</f>
        <v/>
      </c>
      <c r="AG80" s="40">
        <f>IF(C80="","",SUMIFS(Enc_montant,Enc_cle,AK80))</f>
        <v/>
      </c>
      <c r="AH80" s="40">
        <f>IF(C80="","",AF80-AG80)</f>
        <v/>
      </c>
      <c r="AI80" s="33">
        <f>IF(C80="","",IF(D80="Perdu","",IF(AND(AB80&lt;&gt;"",N(AB80)&lt;TODAY()),"Action en retard",IF(AND(D80="Client",AE80&lt;&gt;"",TODAY()-N(AE80)&gt;P_JoursInactif),"Client inactif",IF(AND(D80="Prospect",Z80=0,O80&lt;&gt;"",TODAY()-N(O80)&gt;P_JoursNonVisite),"Jamais visité","")))))</f>
        <v/>
      </c>
      <c r="AJ80" s="33">
        <f>IF(C80="","",C80&amp;" ["&amp;TEXT(A80,"000")&amp;"]")</f>
        <v/>
      </c>
      <c r="AK80" s="33">
        <f>IF(C80="","",X80&amp;"|"&amp;A80)</f>
        <v/>
      </c>
      <c r="AL80" s="47">
        <f>IF(C80="",0,IF(COUNTIFS(VC_cle,AK80)=0,0,MAX(INDEX((VC_cle=AK80)*(VC_date+ROW(VC_date)/100000),0))))</f>
        <v/>
      </c>
      <c r="AM80" s="47">
        <f>IF(AND(C80&lt;&gt;"",N(AB80)&gt;0,D80&lt;&gt;"Perdu"),AB80+ROW()/100000,0)</f>
        <v/>
      </c>
      <c r="AN80" s="48">
        <f>IF(N(AF80)&gt;0,ROUND(AF80,0)+ROW()/1000000,0)</f>
        <v/>
      </c>
    </row>
    <row r="81" ht="18" customHeight="1">
      <c r="A81" s="39" t="n">
        <v>76</v>
      </c>
      <c r="B81" s="33">
        <f>IF(C81="","",IF(X81="À RENSEIGNER","GIC",X81)&amp;"-"&amp;TEXT(A81,"000"))</f>
        <v/>
      </c>
      <c r="C81" s="36" t="n"/>
      <c r="D81" s="34">
        <f>IF(C81="","",IF(U81="☑ Oui","Perdu",IF(AD81&lt;&gt;"","Client","Prospect")))</f>
        <v/>
      </c>
      <c r="E81" s="36" t="n"/>
      <c r="F81" s="36" t="n"/>
      <c r="G81" s="44" t="n"/>
      <c r="H81" s="44" t="n"/>
      <c r="I81" s="36" t="n"/>
      <c r="J81" s="36" t="n"/>
      <c r="K81" s="41" t="n"/>
      <c r="L81" s="41" t="n"/>
      <c r="M81" s="36" t="n"/>
      <c r="N81" s="36" t="n"/>
      <c r="O81" s="32" t="n"/>
      <c r="P81" s="36" t="n"/>
      <c r="Q81" s="36" t="n"/>
      <c r="R81" s="34">
        <f>IF(P81="","",IFERROR(VLOOKUP(P81,T_Produits,2,FALSE),""))</f>
        <v/>
      </c>
      <c r="S81" s="36" t="n"/>
      <c r="T81" s="43" t="n"/>
      <c r="U81" s="43" t="n"/>
      <c r="V81" s="36" t="n"/>
      <c r="W81" s="36" t="n"/>
      <c r="X81" s="33">
        <f>IF(C81="","",Commercial_Id)</f>
        <v/>
      </c>
      <c r="Y81" s="33">
        <f>IF(E81="","",IF(E81="Particulier / ménage","Particulier","Entreprise"))</f>
        <v/>
      </c>
      <c r="Z81" s="39">
        <f>IF(C81="","",COUNTIFS(VC_cle,AK81,VC_type,"Visite sur place"))</f>
        <v/>
      </c>
      <c r="AA81" s="46">
        <f>IF(AL81=0,"",IF(INT(AL81)=0,"",INT(AL81)))</f>
        <v/>
      </c>
      <c r="AB81" s="46">
        <f>IF(AL81=0,"",IF(INDEX(VC_actiondate,ROUND(MOD(AL81,1)*100000,0)-5)=0,"",INDEX(VC_actiondate,ROUND(MOD(AL81,1)*100000,0)-5)))</f>
        <v/>
      </c>
      <c r="AC81" s="33">
        <f>IF(AL81=0,"",INDEX(VC_actiontexte,ROUND(MOD(AL81,1)*100000,0)-5)&amp;"")</f>
        <v/>
      </c>
      <c r="AD81" s="46">
        <f>IF(C81="","",IF(COUNTIFS(Cmd_cle,AK81,Cmd_dateca,"&gt;0")=0,"",SMALL(INDEX(Cmd_dateca+(((Cmd_cle&lt;&gt;AK81)+(Cmd_dateca=0))&gt;0)*1000000,0),1)))</f>
        <v/>
      </c>
      <c r="AE81" s="46">
        <f>IF(C81="","",IF(COUNTIFS(Cmd_cle,AK81,Cmd_dateca,"&gt;0")=0,"",MAX(INDEX((Cmd_cle=AK81)*Cmd_dateca,0))))</f>
        <v/>
      </c>
      <c r="AF81" s="40">
        <f>IF(C81="","",SUMIFS(Cmd_montant,Cmd_cle,AK81,Cmd_dateca,"&gt;0"))</f>
        <v/>
      </c>
      <c r="AG81" s="40">
        <f>IF(C81="","",SUMIFS(Enc_montant,Enc_cle,AK81))</f>
        <v/>
      </c>
      <c r="AH81" s="40">
        <f>IF(C81="","",AF81-AG81)</f>
        <v/>
      </c>
      <c r="AI81" s="33">
        <f>IF(C81="","",IF(D81="Perdu","",IF(AND(AB81&lt;&gt;"",N(AB81)&lt;TODAY()),"Action en retard",IF(AND(D81="Client",AE81&lt;&gt;"",TODAY()-N(AE81)&gt;P_JoursInactif),"Client inactif",IF(AND(D81="Prospect",Z81=0,O81&lt;&gt;"",TODAY()-N(O81)&gt;P_JoursNonVisite),"Jamais visité","")))))</f>
        <v/>
      </c>
      <c r="AJ81" s="33">
        <f>IF(C81="","",C81&amp;" ["&amp;TEXT(A81,"000")&amp;"]")</f>
        <v/>
      </c>
      <c r="AK81" s="33">
        <f>IF(C81="","",X81&amp;"|"&amp;A81)</f>
        <v/>
      </c>
      <c r="AL81" s="47">
        <f>IF(C81="",0,IF(COUNTIFS(VC_cle,AK81)=0,0,MAX(INDEX((VC_cle=AK81)*(VC_date+ROW(VC_date)/100000),0))))</f>
        <v/>
      </c>
      <c r="AM81" s="47">
        <f>IF(AND(C81&lt;&gt;"",N(AB81)&gt;0,D81&lt;&gt;"Perdu"),AB81+ROW()/100000,0)</f>
        <v/>
      </c>
      <c r="AN81" s="48">
        <f>IF(N(AF81)&gt;0,ROUND(AF81,0)+ROW()/1000000,0)</f>
        <v/>
      </c>
    </row>
    <row r="82" ht="18" customHeight="1">
      <c r="A82" s="39" t="n">
        <v>77</v>
      </c>
      <c r="B82" s="33">
        <f>IF(C82="","",IF(X82="À RENSEIGNER","GIC",X82)&amp;"-"&amp;TEXT(A82,"000"))</f>
        <v/>
      </c>
      <c r="C82" s="36" t="n"/>
      <c r="D82" s="34">
        <f>IF(C82="","",IF(U82="☑ Oui","Perdu",IF(AD82&lt;&gt;"","Client","Prospect")))</f>
        <v/>
      </c>
      <c r="E82" s="36" t="n"/>
      <c r="F82" s="36" t="n"/>
      <c r="G82" s="44" t="n"/>
      <c r="H82" s="44" t="n"/>
      <c r="I82" s="36" t="n"/>
      <c r="J82" s="36" t="n"/>
      <c r="K82" s="41" t="n"/>
      <c r="L82" s="41" t="n"/>
      <c r="M82" s="36" t="n"/>
      <c r="N82" s="36" t="n"/>
      <c r="O82" s="32" t="n"/>
      <c r="P82" s="36" t="n"/>
      <c r="Q82" s="36" t="n"/>
      <c r="R82" s="34">
        <f>IF(P82="","",IFERROR(VLOOKUP(P82,T_Produits,2,FALSE),""))</f>
        <v/>
      </c>
      <c r="S82" s="36" t="n"/>
      <c r="T82" s="43" t="n"/>
      <c r="U82" s="43" t="n"/>
      <c r="V82" s="36" t="n"/>
      <c r="W82" s="36" t="n"/>
      <c r="X82" s="33">
        <f>IF(C82="","",Commercial_Id)</f>
        <v/>
      </c>
      <c r="Y82" s="33">
        <f>IF(E82="","",IF(E82="Particulier / ménage","Particulier","Entreprise"))</f>
        <v/>
      </c>
      <c r="Z82" s="39">
        <f>IF(C82="","",COUNTIFS(VC_cle,AK82,VC_type,"Visite sur place"))</f>
        <v/>
      </c>
      <c r="AA82" s="46">
        <f>IF(AL82=0,"",IF(INT(AL82)=0,"",INT(AL82)))</f>
        <v/>
      </c>
      <c r="AB82" s="46">
        <f>IF(AL82=0,"",IF(INDEX(VC_actiondate,ROUND(MOD(AL82,1)*100000,0)-5)=0,"",INDEX(VC_actiondate,ROUND(MOD(AL82,1)*100000,0)-5)))</f>
        <v/>
      </c>
      <c r="AC82" s="33">
        <f>IF(AL82=0,"",INDEX(VC_actiontexte,ROUND(MOD(AL82,1)*100000,0)-5)&amp;"")</f>
        <v/>
      </c>
      <c r="AD82" s="46">
        <f>IF(C82="","",IF(COUNTIFS(Cmd_cle,AK82,Cmd_dateca,"&gt;0")=0,"",SMALL(INDEX(Cmd_dateca+(((Cmd_cle&lt;&gt;AK82)+(Cmd_dateca=0))&gt;0)*1000000,0),1)))</f>
        <v/>
      </c>
      <c r="AE82" s="46">
        <f>IF(C82="","",IF(COUNTIFS(Cmd_cle,AK82,Cmd_dateca,"&gt;0")=0,"",MAX(INDEX((Cmd_cle=AK82)*Cmd_dateca,0))))</f>
        <v/>
      </c>
      <c r="AF82" s="40">
        <f>IF(C82="","",SUMIFS(Cmd_montant,Cmd_cle,AK82,Cmd_dateca,"&gt;0"))</f>
        <v/>
      </c>
      <c r="AG82" s="40">
        <f>IF(C82="","",SUMIFS(Enc_montant,Enc_cle,AK82))</f>
        <v/>
      </c>
      <c r="AH82" s="40">
        <f>IF(C82="","",AF82-AG82)</f>
        <v/>
      </c>
      <c r="AI82" s="33">
        <f>IF(C82="","",IF(D82="Perdu","",IF(AND(AB82&lt;&gt;"",N(AB82)&lt;TODAY()),"Action en retard",IF(AND(D82="Client",AE82&lt;&gt;"",TODAY()-N(AE82)&gt;P_JoursInactif),"Client inactif",IF(AND(D82="Prospect",Z82=0,O82&lt;&gt;"",TODAY()-N(O82)&gt;P_JoursNonVisite),"Jamais visité","")))))</f>
        <v/>
      </c>
      <c r="AJ82" s="33">
        <f>IF(C82="","",C82&amp;" ["&amp;TEXT(A82,"000")&amp;"]")</f>
        <v/>
      </c>
      <c r="AK82" s="33">
        <f>IF(C82="","",X82&amp;"|"&amp;A82)</f>
        <v/>
      </c>
      <c r="AL82" s="47">
        <f>IF(C82="",0,IF(COUNTIFS(VC_cle,AK82)=0,0,MAX(INDEX((VC_cle=AK82)*(VC_date+ROW(VC_date)/100000),0))))</f>
        <v/>
      </c>
      <c r="AM82" s="47">
        <f>IF(AND(C82&lt;&gt;"",N(AB82)&gt;0,D82&lt;&gt;"Perdu"),AB82+ROW()/100000,0)</f>
        <v/>
      </c>
      <c r="AN82" s="48">
        <f>IF(N(AF82)&gt;0,ROUND(AF82,0)+ROW()/1000000,0)</f>
        <v/>
      </c>
    </row>
    <row r="83" ht="18" customHeight="1">
      <c r="A83" s="39" t="n">
        <v>78</v>
      </c>
      <c r="B83" s="33">
        <f>IF(C83="","",IF(X83="À RENSEIGNER","GIC",X83)&amp;"-"&amp;TEXT(A83,"000"))</f>
        <v/>
      </c>
      <c r="C83" s="36" t="n"/>
      <c r="D83" s="34">
        <f>IF(C83="","",IF(U83="☑ Oui","Perdu",IF(AD83&lt;&gt;"","Client","Prospect")))</f>
        <v/>
      </c>
      <c r="E83" s="36" t="n"/>
      <c r="F83" s="36" t="n"/>
      <c r="G83" s="44" t="n"/>
      <c r="H83" s="44" t="n"/>
      <c r="I83" s="36" t="n"/>
      <c r="J83" s="36" t="n"/>
      <c r="K83" s="41" t="n"/>
      <c r="L83" s="41" t="n"/>
      <c r="M83" s="36" t="n"/>
      <c r="N83" s="36" t="n"/>
      <c r="O83" s="32" t="n"/>
      <c r="P83" s="36" t="n"/>
      <c r="Q83" s="36" t="n"/>
      <c r="R83" s="34">
        <f>IF(P83="","",IFERROR(VLOOKUP(P83,T_Produits,2,FALSE),""))</f>
        <v/>
      </c>
      <c r="S83" s="36" t="n"/>
      <c r="T83" s="43" t="n"/>
      <c r="U83" s="43" t="n"/>
      <c r="V83" s="36" t="n"/>
      <c r="W83" s="36" t="n"/>
      <c r="X83" s="33">
        <f>IF(C83="","",Commercial_Id)</f>
        <v/>
      </c>
      <c r="Y83" s="33">
        <f>IF(E83="","",IF(E83="Particulier / ménage","Particulier","Entreprise"))</f>
        <v/>
      </c>
      <c r="Z83" s="39">
        <f>IF(C83="","",COUNTIFS(VC_cle,AK83,VC_type,"Visite sur place"))</f>
        <v/>
      </c>
      <c r="AA83" s="46">
        <f>IF(AL83=0,"",IF(INT(AL83)=0,"",INT(AL83)))</f>
        <v/>
      </c>
      <c r="AB83" s="46">
        <f>IF(AL83=0,"",IF(INDEX(VC_actiondate,ROUND(MOD(AL83,1)*100000,0)-5)=0,"",INDEX(VC_actiondate,ROUND(MOD(AL83,1)*100000,0)-5)))</f>
        <v/>
      </c>
      <c r="AC83" s="33">
        <f>IF(AL83=0,"",INDEX(VC_actiontexte,ROUND(MOD(AL83,1)*100000,0)-5)&amp;"")</f>
        <v/>
      </c>
      <c r="AD83" s="46">
        <f>IF(C83="","",IF(COUNTIFS(Cmd_cle,AK83,Cmd_dateca,"&gt;0")=0,"",SMALL(INDEX(Cmd_dateca+(((Cmd_cle&lt;&gt;AK83)+(Cmd_dateca=0))&gt;0)*1000000,0),1)))</f>
        <v/>
      </c>
      <c r="AE83" s="46">
        <f>IF(C83="","",IF(COUNTIFS(Cmd_cle,AK83,Cmd_dateca,"&gt;0")=0,"",MAX(INDEX((Cmd_cle=AK83)*Cmd_dateca,0))))</f>
        <v/>
      </c>
      <c r="AF83" s="40">
        <f>IF(C83="","",SUMIFS(Cmd_montant,Cmd_cle,AK83,Cmd_dateca,"&gt;0"))</f>
        <v/>
      </c>
      <c r="AG83" s="40">
        <f>IF(C83="","",SUMIFS(Enc_montant,Enc_cle,AK83))</f>
        <v/>
      </c>
      <c r="AH83" s="40">
        <f>IF(C83="","",AF83-AG83)</f>
        <v/>
      </c>
      <c r="AI83" s="33">
        <f>IF(C83="","",IF(D83="Perdu","",IF(AND(AB83&lt;&gt;"",N(AB83)&lt;TODAY()),"Action en retard",IF(AND(D83="Client",AE83&lt;&gt;"",TODAY()-N(AE83)&gt;P_JoursInactif),"Client inactif",IF(AND(D83="Prospect",Z83=0,O83&lt;&gt;"",TODAY()-N(O83)&gt;P_JoursNonVisite),"Jamais visité","")))))</f>
        <v/>
      </c>
      <c r="AJ83" s="33">
        <f>IF(C83="","",C83&amp;" ["&amp;TEXT(A83,"000")&amp;"]")</f>
        <v/>
      </c>
      <c r="AK83" s="33">
        <f>IF(C83="","",X83&amp;"|"&amp;A83)</f>
        <v/>
      </c>
      <c r="AL83" s="47">
        <f>IF(C83="",0,IF(COUNTIFS(VC_cle,AK83)=0,0,MAX(INDEX((VC_cle=AK83)*(VC_date+ROW(VC_date)/100000),0))))</f>
        <v/>
      </c>
      <c r="AM83" s="47">
        <f>IF(AND(C83&lt;&gt;"",N(AB83)&gt;0,D83&lt;&gt;"Perdu"),AB83+ROW()/100000,0)</f>
        <v/>
      </c>
      <c r="AN83" s="48">
        <f>IF(N(AF83)&gt;0,ROUND(AF83,0)+ROW()/1000000,0)</f>
        <v/>
      </c>
    </row>
    <row r="84" ht="18" customHeight="1">
      <c r="A84" s="39" t="n">
        <v>79</v>
      </c>
      <c r="B84" s="33">
        <f>IF(C84="","",IF(X84="À RENSEIGNER","GIC",X84)&amp;"-"&amp;TEXT(A84,"000"))</f>
        <v/>
      </c>
      <c r="C84" s="36" t="n"/>
      <c r="D84" s="34">
        <f>IF(C84="","",IF(U84="☑ Oui","Perdu",IF(AD84&lt;&gt;"","Client","Prospect")))</f>
        <v/>
      </c>
      <c r="E84" s="36" t="n"/>
      <c r="F84" s="36" t="n"/>
      <c r="G84" s="44" t="n"/>
      <c r="H84" s="44" t="n"/>
      <c r="I84" s="36" t="n"/>
      <c r="J84" s="36" t="n"/>
      <c r="K84" s="41" t="n"/>
      <c r="L84" s="41" t="n"/>
      <c r="M84" s="36" t="n"/>
      <c r="N84" s="36" t="n"/>
      <c r="O84" s="32" t="n"/>
      <c r="P84" s="36" t="n"/>
      <c r="Q84" s="36" t="n"/>
      <c r="R84" s="34">
        <f>IF(P84="","",IFERROR(VLOOKUP(P84,T_Produits,2,FALSE),""))</f>
        <v/>
      </c>
      <c r="S84" s="36" t="n"/>
      <c r="T84" s="43" t="n"/>
      <c r="U84" s="43" t="n"/>
      <c r="V84" s="36" t="n"/>
      <c r="W84" s="36" t="n"/>
      <c r="X84" s="33">
        <f>IF(C84="","",Commercial_Id)</f>
        <v/>
      </c>
      <c r="Y84" s="33">
        <f>IF(E84="","",IF(E84="Particulier / ménage","Particulier","Entreprise"))</f>
        <v/>
      </c>
      <c r="Z84" s="39">
        <f>IF(C84="","",COUNTIFS(VC_cle,AK84,VC_type,"Visite sur place"))</f>
        <v/>
      </c>
      <c r="AA84" s="46">
        <f>IF(AL84=0,"",IF(INT(AL84)=0,"",INT(AL84)))</f>
        <v/>
      </c>
      <c r="AB84" s="46">
        <f>IF(AL84=0,"",IF(INDEX(VC_actiondate,ROUND(MOD(AL84,1)*100000,0)-5)=0,"",INDEX(VC_actiondate,ROUND(MOD(AL84,1)*100000,0)-5)))</f>
        <v/>
      </c>
      <c r="AC84" s="33">
        <f>IF(AL84=0,"",INDEX(VC_actiontexte,ROUND(MOD(AL84,1)*100000,0)-5)&amp;"")</f>
        <v/>
      </c>
      <c r="AD84" s="46">
        <f>IF(C84="","",IF(COUNTIFS(Cmd_cle,AK84,Cmd_dateca,"&gt;0")=0,"",SMALL(INDEX(Cmd_dateca+(((Cmd_cle&lt;&gt;AK84)+(Cmd_dateca=0))&gt;0)*1000000,0),1)))</f>
        <v/>
      </c>
      <c r="AE84" s="46">
        <f>IF(C84="","",IF(COUNTIFS(Cmd_cle,AK84,Cmd_dateca,"&gt;0")=0,"",MAX(INDEX((Cmd_cle=AK84)*Cmd_dateca,0))))</f>
        <v/>
      </c>
      <c r="AF84" s="40">
        <f>IF(C84="","",SUMIFS(Cmd_montant,Cmd_cle,AK84,Cmd_dateca,"&gt;0"))</f>
        <v/>
      </c>
      <c r="AG84" s="40">
        <f>IF(C84="","",SUMIFS(Enc_montant,Enc_cle,AK84))</f>
        <v/>
      </c>
      <c r="AH84" s="40">
        <f>IF(C84="","",AF84-AG84)</f>
        <v/>
      </c>
      <c r="AI84" s="33">
        <f>IF(C84="","",IF(D84="Perdu","",IF(AND(AB84&lt;&gt;"",N(AB84)&lt;TODAY()),"Action en retard",IF(AND(D84="Client",AE84&lt;&gt;"",TODAY()-N(AE84)&gt;P_JoursInactif),"Client inactif",IF(AND(D84="Prospect",Z84=0,O84&lt;&gt;"",TODAY()-N(O84)&gt;P_JoursNonVisite),"Jamais visité","")))))</f>
        <v/>
      </c>
      <c r="AJ84" s="33">
        <f>IF(C84="","",C84&amp;" ["&amp;TEXT(A84,"000")&amp;"]")</f>
        <v/>
      </c>
      <c r="AK84" s="33">
        <f>IF(C84="","",X84&amp;"|"&amp;A84)</f>
        <v/>
      </c>
      <c r="AL84" s="47">
        <f>IF(C84="",0,IF(COUNTIFS(VC_cle,AK84)=0,0,MAX(INDEX((VC_cle=AK84)*(VC_date+ROW(VC_date)/100000),0))))</f>
        <v/>
      </c>
      <c r="AM84" s="47">
        <f>IF(AND(C84&lt;&gt;"",N(AB84)&gt;0,D84&lt;&gt;"Perdu"),AB84+ROW()/100000,0)</f>
        <v/>
      </c>
      <c r="AN84" s="48">
        <f>IF(N(AF84)&gt;0,ROUND(AF84,0)+ROW()/1000000,0)</f>
        <v/>
      </c>
    </row>
    <row r="85" ht="18" customHeight="1">
      <c r="A85" s="39" t="n">
        <v>80</v>
      </c>
      <c r="B85" s="33">
        <f>IF(C85="","",IF(X85="À RENSEIGNER","GIC",X85)&amp;"-"&amp;TEXT(A85,"000"))</f>
        <v/>
      </c>
      <c r="C85" s="36" t="n"/>
      <c r="D85" s="34">
        <f>IF(C85="","",IF(U85="☑ Oui","Perdu",IF(AD85&lt;&gt;"","Client","Prospect")))</f>
        <v/>
      </c>
      <c r="E85" s="36" t="n"/>
      <c r="F85" s="36" t="n"/>
      <c r="G85" s="44" t="n"/>
      <c r="H85" s="44" t="n"/>
      <c r="I85" s="36" t="n"/>
      <c r="J85" s="36" t="n"/>
      <c r="K85" s="41" t="n"/>
      <c r="L85" s="41" t="n"/>
      <c r="M85" s="36" t="n"/>
      <c r="N85" s="36" t="n"/>
      <c r="O85" s="32" t="n"/>
      <c r="P85" s="36" t="n"/>
      <c r="Q85" s="36" t="n"/>
      <c r="R85" s="34">
        <f>IF(P85="","",IFERROR(VLOOKUP(P85,T_Produits,2,FALSE),""))</f>
        <v/>
      </c>
      <c r="S85" s="36" t="n"/>
      <c r="T85" s="43" t="n"/>
      <c r="U85" s="43" t="n"/>
      <c r="V85" s="36" t="n"/>
      <c r="W85" s="36" t="n"/>
      <c r="X85" s="33">
        <f>IF(C85="","",Commercial_Id)</f>
        <v/>
      </c>
      <c r="Y85" s="33">
        <f>IF(E85="","",IF(E85="Particulier / ménage","Particulier","Entreprise"))</f>
        <v/>
      </c>
      <c r="Z85" s="39">
        <f>IF(C85="","",COUNTIFS(VC_cle,AK85,VC_type,"Visite sur place"))</f>
        <v/>
      </c>
      <c r="AA85" s="46">
        <f>IF(AL85=0,"",IF(INT(AL85)=0,"",INT(AL85)))</f>
        <v/>
      </c>
      <c r="AB85" s="46">
        <f>IF(AL85=0,"",IF(INDEX(VC_actiondate,ROUND(MOD(AL85,1)*100000,0)-5)=0,"",INDEX(VC_actiondate,ROUND(MOD(AL85,1)*100000,0)-5)))</f>
        <v/>
      </c>
      <c r="AC85" s="33">
        <f>IF(AL85=0,"",INDEX(VC_actiontexte,ROUND(MOD(AL85,1)*100000,0)-5)&amp;"")</f>
        <v/>
      </c>
      <c r="AD85" s="46">
        <f>IF(C85="","",IF(COUNTIFS(Cmd_cle,AK85,Cmd_dateca,"&gt;0")=0,"",SMALL(INDEX(Cmd_dateca+(((Cmd_cle&lt;&gt;AK85)+(Cmd_dateca=0))&gt;0)*1000000,0),1)))</f>
        <v/>
      </c>
      <c r="AE85" s="46">
        <f>IF(C85="","",IF(COUNTIFS(Cmd_cle,AK85,Cmd_dateca,"&gt;0")=0,"",MAX(INDEX((Cmd_cle=AK85)*Cmd_dateca,0))))</f>
        <v/>
      </c>
      <c r="AF85" s="40">
        <f>IF(C85="","",SUMIFS(Cmd_montant,Cmd_cle,AK85,Cmd_dateca,"&gt;0"))</f>
        <v/>
      </c>
      <c r="AG85" s="40">
        <f>IF(C85="","",SUMIFS(Enc_montant,Enc_cle,AK85))</f>
        <v/>
      </c>
      <c r="AH85" s="40">
        <f>IF(C85="","",AF85-AG85)</f>
        <v/>
      </c>
      <c r="AI85" s="33">
        <f>IF(C85="","",IF(D85="Perdu","",IF(AND(AB85&lt;&gt;"",N(AB85)&lt;TODAY()),"Action en retard",IF(AND(D85="Client",AE85&lt;&gt;"",TODAY()-N(AE85)&gt;P_JoursInactif),"Client inactif",IF(AND(D85="Prospect",Z85=0,O85&lt;&gt;"",TODAY()-N(O85)&gt;P_JoursNonVisite),"Jamais visité","")))))</f>
        <v/>
      </c>
      <c r="AJ85" s="33">
        <f>IF(C85="","",C85&amp;" ["&amp;TEXT(A85,"000")&amp;"]")</f>
        <v/>
      </c>
      <c r="AK85" s="33">
        <f>IF(C85="","",X85&amp;"|"&amp;A85)</f>
        <v/>
      </c>
      <c r="AL85" s="47">
        <f>IF(C85="",0,IF(COUNTIFS(VC_cle,AK85)=0,0,MAX(INDEX((VC_cle=AK85)*(VC_date+ROW(VC_date)/100000),0))))</f>
        <v/>
      </c>
      <c r="AM85" s="47">
        <f>IF(AND(C85&lt;&gt;"",N(AB85)&gt;0,D85&lt;&gt;"Perdu"),AB85+ROW()/100000,0)</f>
        <v/>
      </c>
      <c r="AN85" s="48">
        <f>IF(N(AF85)&gt;0,ROUND(AF85,0)+ROW()/1000000,0)</f>
        <v/>
      </c>
    </row>
    <row r="86" ht="18" customHeight="1">
      <c r="A86" s="39" t="n">
        <v>81</v>
      </c>
      <c r="B86" s="33">
        <f>IF(C86="","",IF(X86="À RENSEIGNER","GIC",X86)&amp;"-"&amp;TEXT(A86,"000"))</f>
        <v/>
      </c>
      <c r="C86" s="36" t="n"/>
      <c r="D86" s="34">
        <f>IF(C86="","",IF(U86="☑ Oui","Perdu",IF(AD86&lt;&gt;"","Client","Prospect")))</f>
        <v/>
      </c>
      <c r="E86" s="36" t="n"/>
      <c r="F86" s="36" t="n"/>
      <c r="G86" s="44" t="n"/>
      <c r="H86" s="44" t="n"/>
      <c r="I86" s="36" t="n"/>
      <c r="J86" s="36" t="n"/>
      <c r="K86" s="41" t="n"/>
      <c r="L86" s="41" t="n"/>
      <c r="M86" s="36" t="n"/>
      <c r="N86" s="36" t="n"/>
      <c r="O86" s="32" t="n"/>
      <c r="P86" s="36" t="n"/>
      <c r="Q86" s="36" t="n"/>
      <c r="R86" s="34">
        <f>IF(P86="","",IFERROR(VLOOKUP(P86,T_Produits,2,FALSE),""))</f>
        <v/>
      </c>
      <c r="S86" s="36" t="n"/>
      <c r="T86" s="43" t="n"/>
      <c r="U86" s="43" t="n"/>
      <c r="V86" s="36" t="n"/>
      <c r="W86" s="36" t="n"/>
      <c r="X86" s="33">
        <f>IF(C86="","",Commercial_Id)</f>
        <v/>
      </c>
      <c r="Y86" s="33">
        <f>IF(E86="","",IF(E86="Particulier / ménage","Particulier","Entreprise"))</f>
        <v/>
      </c>
      <c r="Z86" s="39">
        <f>IF(C86="","",COUNTIFS(VC_cle,AK86,VC_type,"Visite sur place"))</f>
        <v/>
      </c>
      <c r="AA86" s="46">
        <f>IF(AL86=0,"",IF(INT(AL86)=0,"",INT(AL86)))</f>
        <v/>
      </c>
      <c r="AB86" s="46">
        <f>IF(AL86=0,"",IF(INDEX(VC_actiondate,ROUND(MOD(AL86,1)*100000,0)-5)=0,"",INDEX(VC_actiondate,ROUND(MOD(AL86,1)*100000,0)-5)))</f>
        <v/>
      </c>
      <c r="AC86" s="33">
        <f>IF(AL86=0,"",INDEX(VC_actiontexte,ROUND(MOD(AL86,1)*100000,0)-5)&amp;"")</f>
        <v/>
      </c>
      <c r="AD86" s="46">
        <f>IF(C86="","",IF(COUNTIFS(Cmd_cle,AK86,Cmd_dateca,"&gt;0")=0,"",SMALL(INDEX(Cmd_dateca+(((Cmd_cle&lt;&gt;AK86)+(Cmd_dateca=0))&gt;0)*1000000,0),1)))</f>
        <v/>
      </c>
      <c r="AE86" s="46">
        <f>IF(C86="","",IF(COUNTIFS(Cmd_cle,AK86,Cmd_dateca,"&gt;0")=0,"",MAX(INDEX((Cmd_cle=AK86)*Cmd_dateca,0))))</f>
        <v/>
      </c>
      <c r="AF86" s="40">
        <f>IF(C86="","",SUMIFS(Cmd_montant,Cmd_cle,AK86,Cmd_dateca,"&gt;0"))</f>
        <v/>
      </c>
      <c r="AG86" s="40">
        <f>IF(C86="","",SUMIFS(Enc_montant,Enc_cle,AK86))</f>
        <v/>
      </c>
      <c r="AH86" s="40">
        <f>IF(C86="","",AF86-AG86)</f>
        <v/>
      </c>
      <c r="AI86" s="33">
        <f>IF(C86="","",IF(D86="Perdu","",IF(AND(AB86&lt;&gt;"",N(AB86)&lt;TODAY()),"Action en retard",IF(AND(D86="Client",AE86&lt;&gt;"",TODAY()-N(AE86)&gt;P_JoursInactif),"Client inactif",IF(AND(D86="Prospect",Z86=0,O86&lt;&gt;"",TODAY()-N(O86)&gt;P_JoursNonVisite),"Jamais visité","")))))</f>
        <v/>
      </c>
      <c r="AJ86" s="33">
        <f>IF(C86="","",C86&amp;" ["&amp;TEXT(A86,"000")&amp;"]")</f>
        <v/>
      </c>
      <c r="AK86" s="33">
        <f>IF(C86="","",X86&amp;"|"&amp;A86)</f>
        <v/>
      </c>
      <c r="AL86" s="47">
        <f>IF(C86="",0,IF(COUNTIFS(VC_cle,AK86)=0,0,MAX(INDEX((VC_cle=AK86)*(VC_date+ROW(VC_date)/100000),0))))</f>
        <v/>
      </c>
      <c r="AM86" s="47">
        <f>IF(AND(C86&lt;&gt;"",N(AB86)&gt;0,D86&lt;&gt;"Perdu"),AB86+ROW()/100000,0)</f>
        <v/>
      </c>
      <c r="AN86" s="48">
        <f>IF(N(AF86)&gt;0,ROUND(AF86,0)+ROW()/1000000,0)</f>
        <v/>
      </c>
    </row>
    <row r="87" ht="18" customHeight="1">
      <c r="A87" s="39" t="n">
        <v>82</v>
      </c>
      <c r="B87" s="33">
        <f>IF(C87="","",IF(X87="À RENSEIGNER","GIC",X87)&amp;"-"&amp;TEXT(A87,"000"))</f>
        <v/>
      </c>
      <c r="C87" s="36" t="n"/>
      <c r="D87" s="34">
        <f>IF(C87="","",IF(U87="☑ Oui","Perdu",IF(AD87&lt;&gt;"","Client","Prospect")))</f>
        <v/>
      </c>
      <c r="E87" s="36" t="n"/>
      <c r="F87" s="36" t="n"/>
      <c r="G87" s="44" t="n"/>
      <c r="H87" s="44" t="n"/>
      <c r="I87" s="36" t="n"/>
      <c r="J87" s="36" t="n"/>
      <c r="K87" s="41" t="n"/>
      <c r="L87" s="41" t="n"/>
      <c r="M87" s="36" t="n"/>
      <c r="N87" s="36" t="n"/>
      <c r="O87" s="32" t="n"/>
      <c r="P87" s="36" t="n"/>
      <c r="Q87" s="36" t="n"/>
      <c r="R87" s="34">
        <f>IF(P87="","",IFERROR(VLOOKUP(P87,T_Produits,2,FALSE),""))</f>
        <v/>
      </c>
      <c r="S87" s="36" t="n"/>
      <c r="T87" s="43" t="n"/>
      <c r="U87" s="43" t="n"/>
      <c r="V87" s="36" t="n"/>
      <c r="W87" s="36" t="n"/>
      <c r="X87" s="33">
        <f>IF(C87="","",Commercial_Id)</f>
        <v/>
      </c>
      <c r="Y87" s="33">
        <f>IF(E87="","",IF(E87="Particulier / ménage","Particulier","Entreprise"))</f>
        <v/>
      </c>
      <c r="Z87" s="39">
        <f>IF(C87="","",COUNTIFS(VC_cle,AK87,VC_type,"Visite sur place"))</f>
        <v/>
      </c>
      <c r="AA87" s="46">
        <f>IF(AL87=0,"",IF(INT(AL87)=0,"",INT(AL87)))</f>
        <v/>
      </c>
      <c r="AB87" s="46">
        <f>IF(AL87=0,"",IF(INDEX(VC_actiondate,ROUND(MOD(AL87,1)*100000,0)-5)=0,"",INDEX(VC_actiondate,ROUND(MOD(AL87,1)*100000,0)-5)))</f>
        <v/>
      </c>
      <c r="AC87" s="33">
        <f>IF(AL87=0,"",INDEX(VC_actiontexte,ROUND(MOD(AL87,1)*100000,0)-5)&amp;"")</f>
        <v/>
      </c>
      <c r="AD87" s="46">
        <f>IF(C87="","",IF(COUNTIFS(Cmd_cle,AK87,Cmd_dateca,"&gt;0")=0,"",SMALL(INDEX(Cmd_dateca+(((Cmd_cle&lt;&gt;AK87)+(Cmd_dateca=0))&gt;0)*1000000,0),1)))</f>
        <v/>
      </c>
      <c r="AE87" s="46">
        <f>IF(C87="","",IF(COUNTIFS(Cmd_cle,AK87,Cmd_dateca,"&gt;0")=0,"",MAX(INDEX((Cmd_cle=AK87)*Cmd_dateca,0))))</f>
        <v/>
      </c>
      <c r="AF87" s="40">
        <f>IF(C87="","",SUMIFS(Cmd_montant,Cmd_cle,AK87,Cmd_dateca,"&gt;0"))</f>
        <v/>
      </c>
      <c r="AG87" s="40">
        <f>IF(C87="","",SUMIFS(Enc_montant,Enc_cle,AK87))</f>
        <v/>
      </c>
      <c r="AH87" s="40">
        <f>IF(C87="","",AF87-AG87)</f>
        <v/>
      </c>
      <c r="AI87" s="33">
        <f>IF(C87="","",IF(D87="Perdu","",IF(AND(AB87&lt;&gt;"",N(AB87)&lt;TODAY()),"Action en retard",IF(AND(D87="Client",AE87&lt;&gt;"",TODAY()-N(AE87)&gt;P_JoursInactif),"Client inactif",IF(AND(D87="Prospect",Z87=0,O87&lt;&gt;"",TODAY()-N(O87)&gt;P_JoursNonVisite),"Jamais visité","")))))</f>
        <v/>
      </c>
      <c r="AJ87" s="33">
        <f>IF(C87="","",C87&amp;" ["&amp;TEXT(A87,"000")&amp;"]")</f>
        <v/>
      </c>
      <c r="AK87" s="33">
        <f>IF(C87="","",X87&amp;"|"&amp;A87)</f>
        <v/>
      </c>
      <c r="AL87" s="47">
        <f>IF(C87="",0,IF(COUNTIFS(VC_cle,AK87)=0,0,MAX(INDEX((VC_cle=AK87)*(VC_date+ROW(VC_date)/100000),0))))</f>
        <v/>
      </c>
      <c r="AM87" s="47">
        <f>IF(AND(C87&lt;&gt;"",N(AB87)&gt;0,D87&lt;&gt;"Perdu"),AB87+ROW()/100000,0)</f>
        <v/>
      </c>
      <c r="AN87" s="48">
        <f>IF(N(AF87)&gt;0,ROUND(AF87,0)+ROW()/1000000,0)</f>
        <v/>
      </c>
    </row>
    <row r="88" ht="18" customHeight="1">
      <c r="A88" s="39" t="n">
        <v>83</v>
      </c>
      <c r="B88" s="33">
        <f>IF(C88="","",IF(X88="À RENSEIGNER","GIC",X88)&amp;"-"&amp;TEXT(A88,"000"))</f>
        <v/>
      </c>
      <c r="C88" s="36" t="n"/>
      <c r="D88" s="34">
        <f>IF(C88="","",IF(U88="☑ Oui","Perdu",IF(AD88&lt;&gt;"","Client","Prospect")))</f>
        <v/>
      </c>
      <c r="E88" s="36" t="n"/>
      <c r="F88" s="36" t="n"/>
      <c r="G88" s="44" t="n"/>
      <c r="H88" s="44" t="n"/>
      <c r="I88" s="36" t="n"/>
      <c r="J88" s="36" t="n"/>
      <c r="K88" s="41" t="n"/>
      <c r="L88" s="41" t="n"/>
      <c r="M88" s="36" t="n"/>
      <c r="N88" s="36" t="n"/>
      <c r="O88" s="32" t="n"/>
      <c r="P88" s="36" t="n"/>
      <c r="Q88" s="36" t="n"/>
      <c r="R88" s="34">
        <f>IF(P88="","",IFERROR(VLOOKUP(P88,T_Produits,2,FALSE),""))</f>
        <v/>
      </c>
      <c r="S88" s="36" t="n"/>
      <c r="T88" s="43" t="n"/>
      <c r="U88" s="43" t="n"/>
      <c r="V88" s="36" t="n"/>
      <c r="W88" s="36" t="n"/>
      <c r="X88" s="33">
        <f>IF(C88="","",Commercial_Id)</f>
        <v/>
      </c>
      <c r="Y88" s="33">
        <f>IF(E88="","",IF(E88="Particulier / ménage","Particulier","Entreprise"))</f>
        <v/>
      </c>
      <c r="Z88" s="39">
        <f>IF(C88="","",COUNTIFS(VC_cle,AK88,VC_type,"Visite sur place"))</f>
        <v/>
      </c>
      <c r="AA88" s="46">
        <f>IF(AL88=0,"",IF(INT(AL88)=0,"",INT(AL88)))</f>
        <v/>
      </c>
      <c r="AB88" s="46">
        <f>IF(AL88=0,"",IF(INDEX(VC_actiondate,ROUND(MOD(AL88,1)*100000,0)-5)=0,"",INDEX(VC_actiondate,ROUND(MOD(AL88,1)*100000,0)-5)))</f>
        <v/>
      </c>
      <c r="AC88" s="33">
        <f>IF(AL88=0,"",INDEX(VC_actiontexte,ROUND(MOD(AL88,1)*100000,0)-5)&amp;"")</f>
        <v/>
      </c>
      <c r="AD88" s="46">
        <f>IF(C88="","",IF(COUNTIFS(Cmd_cle,AK88,Cmd_dateca,"&gt;0")=0,"",SMALL(INDEX(Cmd_dateca+(((Cmd_cle&lt;&gt;AK88)+(Cmd_dateca=0))&gt;0)*1000000,0),1)))</f>
        <v/>
      </c>
      <c r="AE88" s="46">
        <f>IF(C88="","",IF(COUNTIFS(Cmd_cle,AK88,Cmd_dateca,"&gt;0")=0,"",MAX(INDEX((Cmd_cle=AK88)*Cmd_dateca,0))))</f>
        <v/>
      </c>
      <c r="AF88" s="40">
        <f>IF(C88="","",SUMIFS(Cmd_montant,Cmd_cle,AK88,Cmd_dateca,"&gt;0"))</f>
        <v/>
      </c>
      <c r="AG88" s="40">
        <f>IF(C88="","",SUMIFS(Enc_montant,Enc_cle,AK88))</f>
        <v/>
      </c>
      <c r="AH88" s="40">
        <f>IF(C88="","",AF88-AG88)</f>
        <v/>
      </c>
      <c r="AI88" s="33">
        <f>IF(C88="","",IF(D88="Perdu","",IF(AND(AB88&lt;&gt;"",N(AB88)&lt;TODAY()),"Action en retard",IF(AND(D88="Client",AE88&lt;&gt;"",TODAY()-N(AE88)&gt;P_JoursInactif),"Client inactif",IF(AND(D88="Prospect",Z88=0,O88&lt;&gt;"",TODAY()-N(O88)&gt;P_JoursNonVisite),"Jamais visité","")))))</f>
        <v/>
      </c>
      <c r="AJ88" s="33">
        <f>IF(C88="","",C88&amp;" ["&amp;TEXT(A88,"000")&amp;"]")</f>
        <v/>
      </c>
      <c r="AK88" s="33">
        <f>IF(C88="","",X88&amp;"|"&amp;A88)</f>
        <v/>
      </c>
      <c r="AL88" s="47">
        <f>IF(C88="",0,IF(COUNTIFS(VC_cle,AK88)=0,0,MAX(INDEX((VC_cle=AK88)*(VC_date+ROW(VC_date)/100000),0))))</f>
        <v/>
      </c>
      <c r="AM88" s="47">
        <f>IF(AND(C88&lt;&gt;"",N(AB88)&gt;0,D88&lt;&gt;"Perdu"),AB88+ROW()/100000,0)</f>
        <v/>
      </c>
      <c r="AN88" s="48">
        <f>IF(N(AF88)&gt;0,ROUND(AF88,0)+ROW()/1000000,0)</f>
        <v/>
      </c>
    </row>
    <row r="89" ht="18" customHeight="1">
      <c r="A89" s="39" t="n">
        <v>84</v>
      </c>
      <c r="B89" s="33">
        <f>IF(C89="","",IF(X89="À RENSEIGNER","GIC",X89)&amp;"-"&amp;TEXT(A89,"000"))</f>
        <v/>
      </c>
      <c r="C89" s="36" t="n"/>
      <c r="D89" s="34">
        <f>IF(C89="","",IF(U89="☑ Oui","Perdu",IF(AD89&lt;&gt;"","Client","Prospect")))</f>
        <v/>
      </c>
      <c r="E89" s="36" t="n"/>
      <c r="F89" s="36" t="n"/>
      <c r="G89" s="44" t="n"/>
      <c r="H89" s="44" t="n"/>
      <c r="I89" s="36" t="n"/>
      <c r="J89" s="36" t="n"/>
      <c r="K89" s="41" t="n"/>
      <c r="L89" s="41" t="n"/>
      <c r="M89" s="36" t="n"/>
      <c r="N89" s="36" t="n"/>
      <c r="O89" s="32" t="n"/>
      <c r="P89" s="36" t="n"/>
      <c r="Q89" s="36" t="n"/>
      <c r="R89" s="34">
        <f>IF(P89="","",IFERROR(VLOOKUP(P89,T_Produits,2,FALSE),""))</f>
        <v/>
      </c>
      <c r="S89" s="36" t="n"/>
      <c r="T89" s="43" t="n"/>
      <c r="U89" s="43" t="n"/>
      <c r="V89" s="36" t="n"/>
      <c r="W89" s="36" t="n"/>
      <c r="X89" s="33">
        <f>IF(C89="","",Commercial_Id)</f>
        <v/>
      </c>
      <c r="Y89" s="33">
        <f>IF(E89="","",IF(E89="Particulier / ménage","Particulier","Entreprise"))</f>
        <v/>
      </c>
      <c r="Z89" s="39">
        <f>IF(C89="","",COUNTIFS(VC_cle,AK89,VC_type,"Visite sur place"))</f>
        <v/>
      </c>
      <c r="AA89" s="46">
        <f>IF(AL89=0,"",IF(INT(AL89)=0,"",INT(AL89)))</f>
        <v/>
      </c>
      <c r="AB89" s="46">
        <f>IF(AL89=0,"",IF(INDEX(VC_actiondate,ROUND(MOD(AL89,1)*100000,0)-5)=0,"",INDEX(VC_actiondate,ROUND(MOD(AL89,1)*100000,0)-5)))</f>
        <v/>
      </c>
      <c r="AC89" s="33">
        <f>IF(AL89=0,"",INDEX(VC_actiontexte,ROUND(MOD(AL89,1)*100000,0)-5)&amp;"")</f>
        <v/>
      </c>
      <c r="AD89" s="46">
        <f>IF(C89="","",IF(COUNTIFS(Cmd_cle,AK89,Cmd_dateca,"&gt;0")=0,"",SMALL(INDEX(Cmd_dateca+(((Cmd_cle&lt;&gt;AK89)+(Cmd_dateca=0))&gt;0)*1000000,0),1)))</f>
        <v/>
      </c>
      <c r="AE89" s="46">
        <f>IF(C89="","",IF(COUNTIFS(Cmd_cle,AK89,Cmd_dateca,"&gt;0")=0,"",MAX(INDEX((Cmd_cle=AK89)*Cmd_dateca,0))))</f>
        <v/>
      </c>
      <c r="AF89" s="40">
        <f>IF(C89="","",SUMIFS(Cmd_montant,Cmd_cle,AK89,Cmd_dateca,"&gt;0"))</f>
        <v/>
      </c>
      <c r="AG89" s="40">
        <f>IF(C89="","",SUMIFS(Enc_montant,Enc_cle,AK89))</f>
        <v/>
      </c>
      <c r="AH89" s="40">
        <f>IF(C89="","",AF89-AG89)</f>
        <v/>
      </c>
      <c r="AI89" s="33">
        <f>IF(C89="","",IF(D89="Perdu","",IF(AND(AB89&lt;&gt;"",N(AB89)&lt;TODAY()),"Action en retard",IF(AND(D89="Client",AE89&lt;&gt;"",TODAY()-N(AE89)&gt;P_JoursInactif),"Client inactif",IF(AND(D89="Prospect",Z89=0,O89&lt;&gt;"",TODAY()-N(O89)&gt;P_JoursNonVisite),"Jamais visité","")))))</f>
        <v/>
      </c>
      <c r="AJ89" s="33">
        <f>IF(C89="","",C89&amp;" ["&amp;TEXT(A89,"000")&amp;"]")</f>
        <v/>
      </c>
      <c r="AK89" s="33">
        <f>IF(C89="","",X89&amp;"|"&amp;A89)</f>
        <v/>
      </c>
      <c r="AL89" s="47">
        <f>IF(C89="",0,IF(COUNTIFS(VC_cle,AK89)=0,0,MAX(INDEX((VC_cle=AK89)*(VC_date+ROW(VC_date)/100000),0))))</f>
        <v/>
      </c>
      <c r="AM89" s="47">
        <f>IF(AND(C89&lt;&gt;"",N(AB89)&gt;0,D89&lt;&gt;"Perdu"),AB89+ROW()/100000,0)</f>
        <v/>
      </c>
      <c r="AN89" s="48">
        <f>IF(N(AF89)&gt;0,ROUND(AF89,0)+ROW()/1000000,0)</f>
        <v/>
      </c>
    </row>
    <row r="90" ht="18" customHeight="1">
      <c r="A90" s="39" t="n">
        <v>85</v>
      </c>
      <c r="B90" s="33">
        <f>IF(C90="","",IF(X90="À RENSEIGNER","GIC",X90)&amp;"-"&amp;TEXT(A90,"000"))</f>
        <v/>
      </c>
      <c r="C90" s="36" t="n"/>
      <c r="D90" s="34">
        <f>IF(C90="","",IF(U90="☑ Oui","Perdu",IF(AD90&lt;&gt;"","Client","Prospect")))</f>
        <v/>
      </c>
      <c r="E90" s="36" t="n"/>
      <c r="F90" s="36" t="n"/>
      <c r="G90" s="44" t="n"/>
      <c r="H90" s="44" t="n"/>
      <c r="I90" s="36" t="n"/>
      <c r="J90" s="36" t="n"/>
      <c r="K90" s="41" t="n"/>
      <c r="L90" s="41" t="n"/>
      <c r="M90" s="36" t="n"/>
      <c r="N90" s="36" t="n"/>
      <c r="O90" s="32" t="n"/>
      <c r="P90" s="36" t="n"/>
      <c r="Q90" s="36" t="n"/>
      <c r="R90" s="34">
        <f>IF(P90="","",IFERROR(VLOOKUP(P90,T_Produits,2,FALSE),""))</f>
        <v/>
      </c>
      <c r="S90" s="36" t="n"/>
      <c r="T90" s="43" t="n"/>
      <c r="U90" s="43" t="n"/>
      <c r="V90" s="36" t="n"/>
      <c r="W90" s="36" t="n"/>
      <c r="X90" s="33">
        <f>IF(C90="","",Commercial_Id)</f>
        <v/>
      </c>
      <c r="Y90" s="33">
        <f>IF(E90="","",IF(E90="Particulier / ménage","Particulier","Entreprise"))</f>
        <v/>
      </c>
      <c r="Z90" s="39">
        <f>IF(C90="","",COUNTIFS(VC_cle,AK90,VC_type,"Visite sur place"))</f>
        <v/>
      </c>
      <c r="AA90" s="46">
        <f>IF(AL90=0,"",IF(INT(AL90)=0,"",INT(AL90)))</f>
        <v/>
      </c>
      <c r="AB90" s="46">
        <f>IF(AL90=0,"",IF(INDEX(VC_actiondate,ROUND(MOD(AL90,1)*100000,0)-5)=0,"",INDEX(VC_actiondate,ROUND(MOD(AL90,1)*100000,0)-5)))</f>
        <v/>
      </c>
      <c r="AC90" s="33">
        <f>IF(AL90=0,"",INDEX(VC_actiontexte,ROUND(MOD(AL90,1)*100000,0)-5)&amp;"")</f>
        <v/>
      </c>
      <c r="AD90" s="46">
        <f>IF(C90="","",IF(COUNTIFS(Cmd_cle,AK90,Cmd_dateca,"&gt;0")=0,"",SMALL(INDEX(Cmd_dateca+(((Cmd_cle&lt;&gt;AK90)+(Cmd_dateca=0))&gt;0)*1000000,0),1)))</f>
        <v/>
      </c>
      <c r="AE90" s="46">
        <f>IF(C90="","",IF(COUNTIFS(Cmd_cle,AK90,Cmd_dateca,"&gt;0")=0,"",MAX(INDEX((Cmd_cle=AK90)*Cmd_dateca,0))))</f>
        <v/>
      </c>
      <c r="AF90" s="40">
        <f>IF(C90="","",SUMIFS(Cmd_montant,Cmd_cle,AK90,Cmd_dateca,"&gt;0"))</f>
        <v/>
      </c>
      <c r="AG90" s="40">
        <f>IF(C90="","",SUMIFS(Enc_montant,Enc_cle,AK90))</f>
        <v/>
      </c>
      <c r="AH90" s="40">
        <f>IF(C90="","",AF90-AG90)</f>
        <v/>
      </c>
      <c r="AI90" s="33">
        <f>IF(C90="","",IF(D90="Perdu","",IF(AND(AB90&lt;&gt;"",N(AB90)&lt;TODAY()),"Action en retard",IF(AND(D90="Client",AE90&lt;&gt;"",TODAY()-N(AE90)&gt;P_JoursInactif),"Client inactif",IF(AND(D90="Prospect",Z90=0,O90&lt;&gt;"",TODAY()-N(O90)&gt;P_JoursNonVisite),"Jamais visité","")))))</f>
        <v/>
      </c>
      <c r="AJ90" s="33">
        <f>IF(C90="","",C90&amp;" ["&amp;TEXT(A90,"000")&amp;"]")</f>
        <v/>
      </c>
      <c r="AK90" s="33">
        <f>IF(C90="","",X90&amp;"|"&amp;A90)</f>
        <v/>
      </c>
      <c r="AL90" s="47">
        <f>IF(C90="",0,IF(COUNTIFS(VC_cle,AK90)=0,0,MAX(INDEX((VC_cle=AK90)*(VC_date+ROW(VC_date)/100000),0))))</f>
        <v/>
      </c>
      <c r="AM90" s="47">
        <f>IF(AND(C90&lt;&gt;"",N(AB90)&gt;0,D90&lt;&gt;"Perdu"),AB90+ROW()/100000,0)</f>
        <v/>
      </c>
      <c r="AN90" s="48">
        <f>IF(N(AF90)&gt;0,ROUND(AF90,0)+ROW()/1000000,0)</f>
        <v/>
      </c>
    </row>
    <row r="91" ht="18" customHeight="1">
      <c r="A91" s="39" t="n">
        <v>86</v>
      </c>
      <c r="B91" s="33">
        <f>IF(C91="","",IF(X91="À RENSEIGNER","GIC",X91)&amp;"-"&amp;TEXT(A91,"000"))</f>
        <v/>
      </c>
      <c r="C91" s="36" t="n"/>
      <c r="D91" s="34">
        <f>IF(C91="","",IF(U91="☑ Oui","Perdu",IF(AD91&lt;&gt;"","Client","Prospect")))</f>
        <v/>
      </c>
      <c r="E91" s="36" t="n"/>
      <c r="F91" s="36" t="n"/>
      <c r="G91" s="44" t="n"/>
      <c r="H91" s="44" t="n"/>
      <c r="I91" s="36" t="n"/>
      <c r="J91" s="36" t="n"/>
      <c r="K91" s="41" t="n"/>
      <c r="L91" s="41" t="n"/>
      <c r="M91" s="36" t="n"/>
      <c r="N91" s="36" t="n"/>
      <c r="O91" s="32" t="n"/>
      <c r="P91" s="36" t="n"/>
      <c r="Q91" s="36" t="n"/>
      <c r="R91" s="34">
        <f>IF(P91="","",IFERROR(VLOOKUP(P91,T_Produits,2,FALSE),""))</f>
        <v/>
      </c>
      <c r="S91" s="36" t="n"/>
      <c r="T91" s="43" t="n"/>
      <c r="U91" s="43" t="n"/>
      <c r="V91" s="36" t="n"/>
      <c r="W91" s="36" t="n"/>
      <c r="X91" s="33">
        <f>IF(C91="","",Commercial_Id)</f>
        <v/>
      </c>
      <c r="Y91" s="33">
        <f>IF(E91="","",IF(E91="Particulier / ménage","Particulier","Entreprise"))</f>
        <v/>
      </c>
      <c r="Z91" s="39">
        <f>IF(C91="","",COUNTIFS(VC_cle,AK91,VC_type,"Visite sur place"))</f>
        <v/>
      </c>
      <c r="AA91" s="46">
        <f>IF(AL91=0,"",IF(INT(AL91)=0,"",INT(AL91)))</f>
        <v/>
      </c>
      <c r="AB91" s="46">
        <f>IF(AL91=0,"",IF(INDEX(VC_actiondate,ROUND(MOD(AL91,1)*100000,0)-5)=0,"",INDEX(VC_actiondate,ROUND(MOD(AL91,1)*100000,0)-5)))</f>
        <v/>
      </c>
      <c r="AC91" s="33">
        <f>IF(AL91=0,"",INDEX(VC_actiontexte,ROUND(MOD(AL91,1)*100000,0)-5)&amp;"")</f>
        <v/>
      </c>
      <c r="AD91" s="46">
        <f>IF(C91="","",IF(COUNTIFS(Cmd_cle,AK91,Cmd_dateca,"&gt;0")=0,"",SMALL(INDEX(Cmd_dateca+(((Cmd_cle&lt;&gt;AK91)+(Cmd_dateca=0))&gt;0)*1000000,0),1)))</f>
        <v/>
      </c>
      <c r="AE91" s="46">
        <f>IF(C91="","",IF(COUNTIFS(Cmd_cle,AK91,Cmd_dateca,"&gt;0")=0,"",MAX(INDEX((Cmd_cle=AK91)*Cmd_dateca,0))))</f>
        <v/>
      </c>
      <c r="AF91" s="40">
        <f>IF(C91="","",SUMIFS(Cmd_montant,Cmd_cle,AK91,Cmd_dateca,"&gt;0"))</f>
        <v/>
      </c>
      <c r="AG91" s="40">
        <f>IF(C91="","",SUMIFS(Enc_montant,Enc_cle,AK91))</f>
        <v/>
      </c>
      <c r="AH91" s="40">
        <f>IF(C91="","",AF91-AG91)</f>
        <v/>
      </c>
      <c r="AI91" s="33">
        <f>IF(C91="","",IF(D91="Perdu","",IF(AND(AB91&lt;&gt;"",N(AB91)&lt;TODAY()),"Action en retard",IF(AND(D91="Client",AE91&lt;&gt;"",TODAY()-N(AE91)&gt;P_JoursInactif),"Client inactif",IF(AND(D91="Prospect",Z91=0,O91&lt;&gt;"",TODAY()-N(O91)&gt;P_JoursNonVisite),"Jamais visité","")))))</f>
        <v/>
      </c>
      <c r="AJ91" s="33">
        <f>IF(C91="","",C91&amp;" ["&amp;TEXT(A91,"000")&amp;"]")</f>
        <v/>
      </c>
      <c r="AK91" s="33">
        <f>IF(C91="","",X91&amp;"|"&amp;A91)</f>
        <v/>
      </c>
      <c r="AL91" s="47">
        <f>IF(C91="",0,IF(COUNTIFS(VC_cle,AK91)=0,0,MAX(INDEX((VC_cle=AK91)*(VC_date+ROW(VC_date)/100000),0))))</f>
        <v/>
      </c>
      <c r="AM91" s="47">
        <f>IF(AND(C91&lt;&gt;"",N(AB91)&gt;0,D91&lt;&gt;"Perdu"),AB91+ROW()/100000,0)</f>
        <v/>
      </c>
      <c r="AN91" s="48">
        <f>IF(N(AF91)&gt;0,ROUND(AF91,0)+ROW()/1000000,0)</f>
        <v/>
      </c>
    </row>
    <row r="92" ht="18" customHeight="1">
      <c r="A92" s="39" t="n">
        <v>87</v>
      </c>
      <c r="B92" s="33">
        <f>IF(C92="","",IF(X92="À RENSEIGNER","GIC",X92)&amp;"-"&amp;TEXT(A92,"000"))</f>
        <v/>
      </c>
      <c r="C92" s="36" t="n"/>
      <c r="D92" s="34">
        <f>IF(C92="","",IF(U92="☑ Oui","Perdu",IF(AD92&lt;&gt;"","Client","Prospect")))</f>
        <v/>
      </c>
      <c r="E92" s="36" t="n"/>
      <c r="F92" s="36" t="n"/>
      <c r="G92" s="44" t="n"/>
      <c r="H92" s="44" t="n"/>
      <c r="I92" s="36" t="n"/>
      <c r="J92" s="36" t="n"/>
      <c r="K92" s="41" t="n"/>
      <c r="L92" s="41" t="n"/>
      <c r="M92" s="36" t="n"/>
      <c r="N92" s="36" t="n"/>
      <c r="O92" s="32" t="n"/>
      <c r="P92" s="36" t="n"/>
      <c r="Q92" s="36" t="n"/>
      <c r="R92" s="34">
        <f>IF(P92="","",IFERROR(VLOOKUP(P92,T_Produits,2,FALSE),""))</f>
        <v/>
      </c>
      <c r="S92" s="36" t="n"/>
      <c r="T92" s="43" t="n"/>
      <c r="U92" s="43" t="n"/>
      <c r="V92" s="36" t="n"/>
      <c r="W92" s="36" t="n"/>
      <c r="X92" s="33">
        <f>IF(C92="","",Commercial_Id)</f>
        <v/>
      </c>
      <c r="Y92" s="33">
        <f>IF(E92="","",IF(E92="Particulier / ménage","Particulier","Entreprise"))</f>
        <v/>
      </c>
      <c r="Z92" s="39">
        <f>IF(C92="","",COUNTIFS(VC_cle,AK92,VC_type,"Visite sur place"))</f>
        <v/>
      </c>
      <c r="AA92" s="46">
        <f>IF(AL92=0,"",IF(INT(AL92)=0,"",INT(AL92)))</f>
        <v/>
      </c>
      <c r="AB92" s="46">
        <f>IF(AL92=0,"",IF(INDEX(VC_actiondate,ROUND(MOD(AL92,1)*100000,0)-5)=0,"",INDEX(VC_actiondate,ROUND(MOD(AL92,1)*100000,0)-5)))</f>
        <v/>
      </c>
      <c r="AC92" s="33">
        <f>IF(AL92=0,"",INDEX(VC_actiontexte,ROUND(MOD(AL92,1)*100000,0)-5)&amp;"")</f>
        <v/>
      </c>
      <c r="AD92" s="46">
        <f>IF(C92="","",IF(COUNTIFS(Cmd_cle,AK92,Cmd_dateca,"&gt;0")=0,"",SMALL(INDEX(Cmd_dateca+(((Cmd_cle&lt;&gt;AK92)+(Cmd_dateca=0))&gt;0)*1000000,0),1)))</f>
        <v/>
      </c>
      <c r="AE92" s="46">
        <f>IF(C92="","",IF(COUNTIFS(Cmd_cle,AK92,Cmd_dateca,"&gt;0")=0,"",MAX(INDEX((Cmd_cle=AK92)*Cmd_dateca,0))))</f>
        <v/>
      </c>
      <c r="AF92" s="40">
        <f>IF(C92="","",SUMIFS(Cmd_montant,Cmd_cle,AK92,Cmd_dateca,"&gt;0"))</f>
        <v/>
      </c>
      <c r="AG92" s="40">
        <f>IF(C92="","",SUMIFS(Enc_montant,Enc_cle,AK92))</f>
        <v/>
      </c>
      <c r="AH92" s="40">
        <f>IF(C92="","",AF92-AG92)</f>
        <v/>
      </c>
      <c r="AI92" s="33">
        <f>IF(C92="","",IF(D92="Perdu","",IF(AND(AB92&lt;&gt;"",N(AB92)&lt;TODAY()),"Action en retard",IF(AND(D92="Client",AE92&lt;&gt;"",TODAY()-N(AE92)&gt;P_JoursInactif),"Client inactif",IF(AND(D92="Prospect",Z92=0,O92&lt;&gt;"",TODAY()-N(O92)&gt;P_JoursNonVisite),"Jamais visité","")))))</f>
        <v/>
      </c>
      <c r="AJ92" s="33">
        <f>IF(C92="","",C92&amp;" ["&amp;TEXT(A92,"000")&amp;"]")</f>
        <v/>
      </c>
      <c r="AK92" s="33">
        <f>IF(C92="","",X92&amp;"|"&amp;A92)</f>
        <v/>
      </c>
      <c r="AL92" s="47">
        <f>IF(C92="",0,IF(COUNTIFS(VC_cle,AK92)=0,0,MAX(INDEX((VC_cle=AK92)*(VC_date+ROW(VC_date)/100000),0))))</f>
        <v/>
      </c>
      <c r="AM92" s="47">
        <f>IF(AND(C92&lt;&gt;"",N(AB92)&gt;0,D92&lt;&gt;"Perdu"),AB92+ROW()/100000,0)</f>
        <v/>
      </c>
      <c r="AN92" s="48">
        <f>IF(N(AF92)&gt;0,ROUND(AF92,0)+ROW()/1000000,0)</f>
        <v/>
      </c>
    </row>
    <row r="93" ht="18" customHeight="1">
      <c r="A93" s="39" t="n">
        <v>88</v>
      </c>
      <c r="B93" s="33">
        <f>IF(C93="","",IF(X93="À RENSEIGNER","GIC",X93)&amp;"-"&amp;TEXT(A93,"000"))</f>
        <v/>
      </c>
      <c r="C93" s="36" t="n"/>
      <c r="D93" s="34">
        <f>IF(C93="","",IF(U93="☑ Oui","Perdu",IF(AD93&lt;&gt;"","Client","Prospect")))</f>
        <v/>
      </c>
      <c r="E93" s="36" t="n"/>
      <c r="F93" s="36" t="n"/>
      <c r="G93" s="44" t="n"/>
      <c r="H93" s="44" t="n"/>
      <c r="I93" s="36" t="n"/>
      <c r="J93" s="36" t="n"/>
      <c r="K93" s="41" t="n"/>
      <c r="L93" s="41" t="n"/>
      <c r="M93" s="36" t="n"/>
      <c r="N93" s="36" t="n"/>
      <c r="O93" s="32" t="n"/>
      <c r="P93" s="36" t="n"/>
      <c r="Q93" s="36" t="n"/>
      <c r="R93" s="34">
        <f>IF(P93="","",IFERROR(VLOOKUP(P93,T_Produits,2,FALSE),""))</f>
        <v/>
      </c>
      <c r="S93" s="36" t="n"/>
      <c r="T93" s="43" t="n"/>
      <c r="U93" s="43" t="n"/>
      <c r="V93" s="36" t="n"/>
      <c r="W93" s="36" t="n"/>
      <c r="X93" s="33">
        <f>IF(C93="","",Commercial_Id)</f>
        <v/>
      </c>
      <c r="Y93" s="33">
        <f>IF(E93="","",IF(E93="Particulier / ménage","Particulier","Entreprise"))</f>
        <v/>
      </c>
      <c r="Z93" s="39">
        <f>IF(C93="","",COUNTIFS(VC_cle,AK93,VC_type,"Visite sur place"))</f>
        <v/>
      </c>
      <c r="AA93" s="46">
        <f>IF(AL93=0,"",IF(INT(AL93)=0,"",INT(AL93)))</f>
        <v/>
      </c>
      <c r="AB93" s="46">
        <f>IF(AL93=0,"",IF(INDEX(VC_actiondate,ROUND(MOD(AL93,1)*100000,0)-5)=0,"",INDEX(VC_actiondate,ROUND(MOD(AL93,1)*100000,0)-5)))</f>
        <v/>
      </c>
      <c r="AC93" s="33">
        <f>IF(AL93=0,"",INDEX(VC_actiontexte,ROUND(MOD(AL93,1)*100000,0)-5)&amp;"")</f>
        <v/>
      </c>
      <c r="AD93" s="46">
        <f>IF(C93="","",IF(COUNTIFS(Cmd_cle,AK93,Cmd_dateca,"&gt;0")=0,"",SMALL(INDEX(Cmd_dateca+(((Cmd_cle&lt;&gt;AK93)+(Cmd_dateca=0))&gt;0)*1000000,0),1)))</f>
        <v/>
      </c>
      <c r="AE93" s="46">
        <f>IF(C93="","",IF(COUNTIFS(Cmd_cle,AK93,Cmd_dateca,"&gt;0")=0,"",MAX(INDEX((Cmd_cle=AK93)*Cmd_dateca,0))))</f>
        <v/>
      </c>
      <c r="AF93" s="40">
        <f>IF(C93="","",SUMIFS(Cmd_montant,Cmd_cle,AK93,Cmd_dateca,"&gt;0"))</f>
        <v/>
      </c>
      <c r="AG93" s="40">
        <f>IF(C93="","",SUMIFS(Enc_montant,Enc_cle,AK93))</f>
        <v/>
      </c>
      <c r="AH93" s="40">
        <f>IF(C93="","",AF93-AG93)</f>
        <v/>
      </c>
      <c r="AI93" s="33">
        <f>IF(C93="","",IF(D93="Perdu","",IF(AND(AB93&lt;&gt;"",N(AB93)&lt;TODAY()),"Action en retard",IF(AND(D93="Client",AE93&lt;&gt;"",TODAY()-N(AE93)&gt;P_JoursInactif),"Client inactif",IF(AND(D93="Prospect",Z93=0,O93&lt;&gt;"",TODAY()-N(O93)&gt;P_JoursNonVisite),"Jamais visité","")))))</f>
        <v/>
      </c>
      <c r="AJ93" s="33">
        <f>IF(C93="","",C93&amp;" ["&amp;TEXT(A93,"000")&amp;"]")</f>
        <v/>
      </c>
      <c r="AK93" s="33">
        <f>IF(C93="","",X93&amp;"|"&amp;A93)</f>
        <v/>
      </c>
      <c r="AL93" s="47">
        <f>IF(C93="",0,IF(COUNTIFS(VC_cle,AK93)=0,0,MAX(INDEX((VC_cle=AK93)*(VC_date+ROW(VC_date)/100000),0))))</f>
        <v/>
      </c>
      <c r="AM93" s="47">
        <f>IF(AND(C93&lt;&gt;"",N(AB93)&gt;0,D93&lt;&gt;"Perdu"),AB93+ROW()/100000,0)</f>
        <v/>
      </c>
      <c r="AN93" s="48">
        <f>IF(N(AF93)&gt;0,ROUND(AF93,0)+ROW()/1000000,0)</f>
        <v/>
      </c>
    </row>
    <row r="94" ht="18" customHeight="1">
      <c r="A94" s="39" t="n">
        <v>89</v>
      </c>
      <c r="B94" s="33">
        <f>IF(C94="","",IF(X94="À RENSEIGNER","GIC",X94)&amp;"-"&amp;TEXT(A94,"000"))</f>
        <v/>
      </c>
      <c r="C94" s="36" t="n"/>
      <c r="D94" s="34">
        <f>IF(C94="","",IF(U94="☑ Oui","Perdu",IF(AD94&lt;&gt;"","Client","Prospect")))</f>
        <v/>
      </c>
      <c r="E94" s="36" t="n"/>
      <c r="F94" s="36" t="n"/>
      <c r="G94" s="44" t="n"/>
      <c r="H94" s="44" t="n"/>
      <c r="I94" s="36" t="n"/>
      <c r="J94" s="36" t="n"/>
      <c r="K94" s="41" t="n"/>
      <c r="L94" s="41" t="n"/>
      <c r="M94" s="36" t="n"/>
      <c r="N94" s="36" t="n"/>
      <c r="O94" s="32" t="n"/>
      <c r="P94" s="36" t="n"/>
      <c r="Q94" s="36" t="n"/>
      <c r="R94" s="34">
        <f>IF(P94="","",IFERROR(VLOOKUP(P94,T_Produits,2,FALSE),""))</f>
        <v/>
      </c>
      <c r="S94" s="36" t="n"/>
      <c r="T94" s="43" t="n"/>
      <c r="U94" s="43" t="n"/>
      <c r="V94" s="36" t="n"/>
      <c r="W94" s="36" t="n"/>
      <c r="X94" s="33">
        <f>IF(C94="","",Commercial_Id)</f>
        <v/>
      </c>
      <c r="Y94" s="33">
        <f>IF(E94="","",IF(E94="Particulier / ménage","Particulier","Entreprise"))</f>
        <v/>
      </c>
      <c r="Z94" s="39">
        <f>IF(C94="","",COUNTIFS(VC_cle,AK94,VC_type,"Visite sur place"))</f>
        <v/>
      </c>
      <c r="AA94" s="46">
        <f>IF(AL94=0,"",IF(INT(AL94)=0,"",INT(AL94)))</f>
        <v/>
      </c>
      <c r="AB94" s="46">
        <f>IF(AL94=0,"",IF(INDEX(VC_actiondate,ROUND(MOD(AL94,1)*100000,0)-5)=0,"",INDEX(VC_actiondate,ROUND(MOD(AL94,1)*100000,0)-5)))</f>
        <v/>
      </c>
      <c r="AC94" s="33">
        <f>IF(AL94=0,"",INDEX(VC_actiontexte,ROUND(MOD(AL94,1)*100000,0)-5)&amp;"")</f>
        <v/>
      </c>
      <c r="AD94" s="46">
        <f>IF(C94="","",IF(COUNTIFS(Cmd_cle,AK94,Cmd_dateca,"&gt;0")=0,"",SMALL(INDEX(Cmd_dateca+(((Cmd_cle&lt;&gt;AK94)+(Cmd_dateca=0))&gt;0)*1000000,0),1)))</f>
        <v/>
      </c>
      <c r="AE94" s="46">
        <f>IF(C94="","",IF(COUNTIFS(Cmd_cle,AK94,Cmd_dateca,"&gt;0")=0,"",MAX(INDEX((Cmd_cle=AK94)*Cmd_dateca,0))))</f>
        <v/>
      </c>
      <c r="AF94" s="40">
        <f>IF(C94="","",SUMIFS(Cmd_montant,Cmd_cle,AK94,Cmd_dateca,"&gt;0"))</f>
        <v/>
      </c>
      <c r="AG94" s="40">
        <f>IF(C94="","",SUMIFS(Enc_montant,Enc_cle,AK94))</f>
        <v/>
      </c>
      <c r="AH94" s="40">
        <f>IF(C94="","",AF94-AG94)</f>
        <v/>
      </c>
      <c r="AI94" s="33">
        <f>IF(C94="","",IF(D94="Perdu","",IF(AND(AB94&lt;&gt;"",N(AB94)&lt;TODAY()),"Action en retard",IF(AND(D94="Client",AE94&lt;&gt;"",TODAY()-N(AE94)&gt;P_JoursInactif),"Client inactif",IF(AND(D94="Prospect",Z94=0,O94&lt;&gt;"",TODAY()-N(O94)&gt;P_JoursNonVisite),"Jamais visité","")))))</f>
        <v/>
      </c>
      <c r="AJ94" s="33">
        <f>IF(C94="","",C94&amp;" ["&amp;TEXT(A94,"000")&amp;"]")</f>
        <v/>
      </c>
      <c r="AK94" s="33">
        <f>IF(C94="","",X94&amp;"|"&amp;A94)</f>
        <v/>
      </c>
      <c r="AL94" s="47">
        <f>IF(C94="",0,IF(COUNTIFS(VC_cle,AK94)=0,0,MAX(INDEX((VC_cle=AK94)*(VC_date+ROW(VC_date)/100000),0))))</f>
        <v/>
      </c>
      <c r="AM94" s="47">
        <f>IF(AND(C94&lt;&gt;"",N(AB94)&gt;0,D94&lt;&gt;"Perdu"),AB94+ROW()/100000,0)</f>
        <v/>
      </c>
      <c r="AN94" s="48">
        <f>IF(N(AF94)&gt;0,ROUND(AF94,0)+ROW()/1000000,0)</f>
        <v/>
      </c>
    </row>
    <row r="95" ht="18" customHeight="1">
      <c r="A95" s="39" t="n">
        <v>90</v>
      </c>
      <c r="B95" s="33">
        <f>IF(C95="","",IF(X95="À RENSEIGNER","GIC",X95)&amp;"-"&amp;TEXT(A95,"000"))</f>
        <v/>
      </c>
      <c r="C95" s="36" t="n"/>
      <c r="D95" s="34">
        <f>IF(C95="","",IF(U95="☑ Oui","Perdu",IF(AD95&lt;&gt;"","Client","Prospect")))</f>
        <v/>
      </c>
      <c r="E95" s="36" t="n"/>
      <c r="F95" s="36" t="n"/>
      <c r="G95" s="44" t="n"/>
      <c r="H95" s="44" t="n"/>
      <c r="I95" s="36" t="n"/>
      <c r="J95" s="36" t="n"/>
      <c r="K95" s="41" t="n"/>
      <c r="L95" s="41" t="n"/>
      <c r="M95" s="36" t="n"/>
      <c r="N95" s="36" t="n"/>
      <c r="O95" s="32" t="n"/>
      <c r="P95" s="36" t="n"/>
      <c r="Q95" s="36" t="n"/>
      <c r="R95" s="34">
        <f>IF(P95="","",IFERROR(VLOOKUP(P95,T_Produits,2,FALSE),""))</f>
        <v/>
      </c>
      <c r="S95" s="36" t="n"/>
      <c r="T95" s="43" t="n"/>
      <c r="U95" s="43" t="n"/>
      <c r="V95" s="36" t="n"/>
      <c r="W95" s="36" t="n"/>
      <c r="X95" s="33">
        <f>IF(C95="","",Commercial_Id)</f>
        <v/>
      </c>
      <c r="Y95" s="33">
        <f>IF(E95="","",IF(E95="Particulier / ménage","Particulier","Entreprise"))</f>
        <v/>
      </c>
      <c r="Z95" s="39">
        <f>IF(C95="","",COUNTIFS(VC_cle,AK95,VC_type,"Visite sur place"))</f>
        <v/>
      </c>
      <c r="AA95" s="46">
        <f>IF(AL95=0,"",IF(INT(AL95)=0,"",INT(AL95)))</f>
        <v/>
      </c>
      <c r="AB95" s="46">
        <f>IF(AL95=0,"",IF(INDEX(VC_actiondate,ROUND(MOD(AL95,1)*100000,0)-5)=0,"",INDEX(VC_actiondate,ROUND(MOD(AL95,1)*100000,0)-5)))</f>
        <v/>
      </c>
      <c r="AC95" s="33">
        <f>IF(AL95=0,"",INDEX(VC_actiontexte,ROUND(MOD(AL95,1)*100000,0)-5)&amp;"")</f>
        <v/>
      </c>
      <c r="AD95" s="46">
        <f>IF(C95="","",IF(COUNTIFS(Cmd_cle,AK95,Cmd_dateca,"&gt;0")=0,"",SMALL(INDEX(Cmd_dateca+(((Cmd_cle&lt;&gt;AK95)+(Cmd_dateca=0))&gt;0)*1000000,0),1)))</f>
        <v/>
      </c>
      <c r="AE95" s="46">
        <f>IF(C95="","",IF(COUNTIFS(Cmd_cle,AK95,Cmd_dateca,"&gt;0")=0,"",MAX(INDEX((Cmd_cle=AK95)*Cmd_dateca,0))))</f>
        <v/>
      </c>
      <c r="AF95" s="40">
        <f>IF(C95="","",SUMIFS(Cmd_montant,Cmd_cle,AK95,Cmd_dateca,"&gt;0"))</f>
        <v/>
      </c>
      <c r="AG95" s="40">
        <f>IF(C95="","",SUMIFS(Enc_montant,Enc_cle,AK95))</f>
        <v/>
      </c>
      <c r="AH95" s="40">
        <f>IF(C95="","",AF95-AG95)</f>
        <v/>
      </c>
      <c r="AI95" s="33">
        <f>IF(C95="","",IF(D95="Perdu","",IF(AND(AB95&lt;&gt;"",N(AB95)&lt;TODAY()),"Action en retard",IF(AND(D95="Client",AE95&lt;&gt;"",TODAY()-N(AE95)&gt;P_JoursInactif),"Client inactif",IF(AND(D95="Prospect",Z95=0,O95&lt;&gt;"",TODAY()-N(O95)&gt;P_JoursNonVisite),"Jamais visité","")))))</f>
        <v/>
      </c>
      <c r="AJ95" s="33">
        <f>IF(C95="","",C95&amp;" ["&amp;TEXT(A95,"000")&amp;"]")</f>
        <v/>
      </c>
      <c r="AK95" s="33">
        <f>IF(C95="","",X95&amp;"|"&amp;A95)</f>
        <v/>
      </c>
      <c r="AL95" s="47">
        <f>IF(C95="",0,IF(COUNTIFS(VC_cle,AK95)=0,0,MAX(INDEX((VC_cle=AK95)*(VC_date+ROW(VC_date)/100000),0))))</f>
        <v/>
      </c>
      <c r="AM95" s="47">
        <f>IF(AND(C95&lt;&gt;"",N(AB95)&gt;0,D95&lt;&gt;"Perdu"),AB95+ROW()/100000,0)</f>
        <v/>
      </c>
      <c r="AN95" s="48">
        <f>IF(N(AF95)&gt;0,ROUND(AF95,0)+ROW()/1000000,0)</f>
        <v/>
      </c>
    </row>
    <row r="96" ht="18" customHeight="1">
      <c r="A96" s="39" t="n">
        <v>91</v>
      </c>
      <c r="B96" s="33">
        <f>IF(C96="","",IF(X96="À RENSEIGNER","GIC",X96)&amp;"-"&amp;TEXT(A96,"000"))</f>
        <v/>
      </c>
      <c r="C96" s="36" t="n"/>
      <c r="D96" s="34">
        <f>IF(C96="","",IF(U96="☑ Oui","Perdu",IF(AD96&lt;&gt;"","Client","Prospect")))</f>
        <v/>
      </c>
      <c r="E96" s="36" t="n"/>
      <c r="F96" s="36" t="n"/>
      <c r="G96" s="44" t="n"/>
      <c r="H96" s="44" t="n"/>
      <c r="I96" s="36" t="n"/>
      <c r="J96" s="36" t="n"/>
      <c r="K96" s="41" t="n"/>
      <c r="L96" s="41" t="n"/>
      <c r="M96" s="36" t="n"/>
      <c r="N96" s="36" t="n"/>
      <c r="O96" s="32" t="n"/>
      <c r="P96" s="36" t="n"/>
      <c r="Q96" s="36" t="n"/>
      <c r="R96" s="34">
        <f>IF(P96="","",IFERROR(VLOOKUP(P96,T_Produits,2,FALSE),""))</f>
        <v/>
      </c>
      <c r="S96" s="36" t="n"/>
      <c r="T96" s="43" t="n"/>
      <c r="U96" s="43" t="n"/>
      <c r="V96" s="36" t="n"/>
      <c r="W96" s="36" t="n"/>
      <c r="X96" s="33">
        <f>IF(C96="","",Commercial_Id)</f>
        <v/>
      </c>
      <c r="Y96" s="33">
        <f>IF(E96="","",IF(E96="Particulier / ménage","Particulier","Entreprise"))</f>
        <v/>
      </c>
      <c r="Z96" s="39">
        <f>IF(C96="","",COUNTIFS(VC_cle,AK96,VC_type,"Visite sur place"))</f>
        <v/>
      </c>
      <c r="AA96" s="46">
        <f>IF(AL96=0,"",IF(INT(AL96)=0,"",INT(AL96)))</f>
        <v/>
      </c>
      <c r="AB96" s="46">
        <f>IF(AL96=0,"",IF(INDEX(VC_actiondate,ROUND(MOD(AL96,1)*100000,0)-5)=0,"",INDEX(VC_actiondate,ROUND(MOD(AL96,1)*100000,0)-5)))</f>
        <v/>
      </c>
      <c r="AC96" s="33">
        <f>IF(AL96=0,"",INDEX(VC_actiontexte,ROUND(MOD(AL96,1)*100000,0)-5)&amp;"")</f>
        <v/>
      </c>
      <c r="AD96" s="46">
        <f>IF(C96="","",IF(COUNTIFS(Cmd_cle,AK96,Cmd_dateca,"&gt;0")=0,"",SMALL(INDEX(Cmd_dateca+(((Cmd_cle&lt;&gt;AK96)+(Cmd_dateca=0))&gt;0)*1000000,0),1)))</f>
        <v/>
      </c>
      <c r="AE96" s="46">
        <f>IF(C96="","",IF(COUNTIFS(Cmd_cle,AK96,Cmd_dateca,"&gt;0")=0,"",MAX(INDEX((Cmd_cle=AK96)*Cmd_dateca,0))))</f>
        <v/>
      </c>
      <c r="AF96" s="40">
        <f>IF(C96="","",SUMIFS(Cmd_montant,Cmd_cle,AK96,Cmd_dateca,"&gt;0"))</f>
        <v/>
      </c>
      <c r="AG96" s="40">
        <f>IF(C96="","",SUMIFS(Enc_montant,Enc_cle,AK96))</f>
        <v/>
      </c>
      <c r="AH96" s="40">
        <f>IF(C96="","",AF96-AG96)</f>
        <v/>
      </c>
      <c r="AI96" s="33">
        <f>IF(C96="","",IF(D96="Perdu","",IF(AND(AB96&lt;&gt;"",N(AB96)&lt;TODAY()),"Action en retard",IF(AND(D96="Client",AE96&lt;&gt;"",TODAY()-N(AE96)&gt;P_JoursInactif),"Client inactif",IF(AND(D96="Prospect",Z96=0,O96&lt;&gt;"",TODAY()-N(O96)&gt;P_JoursNonVisite),"Jamais visité","")))))</f>
        <v/>
      </c>
      <c r="AJ96" s="33">
        <f>IF(C96="","",C96&amp;" ["&amp;TEXT(A96,"000")&amp;"]")</f>
        <v/>
      </c>
      <c r="AK96" s="33">
        <f>IF(C96="","",X96&amp;"|"&amp;A96)</f>
        <v/>
      </c>
      <c r="AL96" s="47">
        <f>IF(C96="",0,IF(COUNTIFS(VC_cle,AK96)=0,0,MAX(INDEX((VC_cle=AK96)*(VC_date+ROW(VC_date)/100000),0))))</f>
        <v/>
      </c>
      <c r="AM96" s="47">
        <f>IF(AND(C96&lt;&gt;"",N(AB96)&gt;0,D96&lt;&gt;"Perdu"),AB96+ROW()/100000,0)</f>
        <v/>
      </c>
      <c r="AN96" s="48">
        <f>IF(N(AF96)&gt;0,ROUND(AF96,0)+ROW()/1000000,0)</f>
        <v/>
      </c>
    </row>
    <row r="97" ht="18" customHeight="1">
      <c r="A97" s="39" t="n">
        <v>92</v>
      </c>
      <c r="B97" s="33">
        <f>IF(C97="","",IF(X97="À RENSEIGNER","GIC",X97)&amp;"-"&amp;TEXT(A97,"000"))</f>
        <v/>
      </c>
      <c r="C97" s="36" t="n"/>
      <c r="D97" s="34">
        <f>IF(C97="","",IF(U97="☑ Oui","Perdu",IF(AD97&lt;&gt;"","Client","Prospect")))</f>
        <v/>
      </c>
      <c r="E97" s="36" t="n"/>
      <c r="F97" s="36" t="n"/>
      <c r="G97" s="44" t="n"/>
      <c r="H97" s="44" t="n"/>
      <c r="I97" s="36" t="n"/>
      <c r="J97" s="36" t="n"/>
      <c r="K97" s="41" t="n"/>
      <c r="L97" s="41" t="n"/>
      <c r="M97" s="36" t="n"/>
      <c r="N97" s="36" t="n"/>
      <c r="O97" s="32" t="n"/>
      <c r="P97" s="36" t="n"/>
      <c r="Q97" s="36" t="n"/>
      <c r="R97" s="34">
        <f>IF(P97="","",IFERROR(VLOOKUP(P97,T_Produits,2,FALSE),""))</f>
        <v/>
      </c>
      <c r="S97" s="36" t="n"/>
      <c r="T97" s="43" t="n"/>
      <c r="U97" s="43" t="n"/>
      <c r="V97" s="36" t="n"/>
      <c r="W97" s="36" t="n"/>
      <c r="X97" s="33">
        <f>IF(C97="","",Commercial_Id)</f>
        <v/>
      </c>
      <c r="Y97" s="33">
        <f>IF(E97="","",IF(E97="Particulier / ménage","Particulier","Entreprise"))</f>
        <v/>
      </c>
      <c r="Z97" s="39">
        <f>IF(C97="","",COUNTIFS(VC_cle,AK97,VC_type,"Visite sur place"))</f>
        <v/>
      </c>
      <c r="AA97" s="46">
        <f>IF(AL97=0,"",IF(INT(AL97)=0,"",INT(AL97)))</f>
        <v/>
      </c>
      <c r="AB97" s="46">
        <f>IF(AL97=0,"",IF(INDEX(VC_actiondate,ROUND(MOD(AL97,1)*100000,0)-5)=0,"",INDEX(VC_actiondate,ROUND(MOD(AL97,1)*100000,0)-5)))</f>
        <v/>
      </c>
      <c r="AC97" s="33">
        <f>IF(AL97=0,"",INDEX(VC_actiontexte,ROUND(MOD(AL97,1)*100000,0)-5)&amp;"")</f>
        <v/>
      </c>
      <c r="AD97" s="46">
        <f>IF(C97="","",IF(COUNTIFS(Cmd_cle,AK97,Cmd_dateca,"&gt;0")=0,"",SMALL(INDEX(Cmd_dateca+(((Cmd_cle&lt;&gt;AK97)+(Cmd_dateca=0))&gt;0)*1000000,0),1)))</f>
        <v/>
      </c>
      <c r="AE97" s="46">
        <f>IF(C97="","",IF(COUNTIFS(Cmd_cle,AK97,Cmd_dateca,"&gt;0")=0,"",MAX(INDEX((Cmd_cle=AK97)*Cmd_dateca,0))))</f>
        <v/>
      </c>
      <c r="AF97" s="40">
        <f>IF(C97="","",SUMIFS(Cmd_montant,Cmd_cle,AK97,Cmd_dateca,"&gt;0"))</f>
        <v/>
      </c>
      <c r="AG97" s="40">
        <f>IF(C97="","",SUMIFS(Enc_montant,Enc_cle,AK97))</f>
        <v/>
      </c>
      <c r="AH97" s="40">
        <f>IF(C97="","",AF97-AG97)</f>
        <v/>
      </c>
      <c r="AI97" s="33">
        <f>IF(C97="","",IF(D97="Perdu","",IF(AND(AB97&lt;&gt;"",N(AB97)&lt;TODAY()),"Action en retard",IF(AND(D97="Client",AE97&lt;&gt;"",TODAY()-N(AE97)&gt;P_JoursInactif),"Client inactif",IF(AND(D97="Prospect",Z97=0,O97&lt;&gt;"",TODAY()-N(O97)&gt;P_JoursNonVisite),"Jamais visité","")))))</f>
        <v/>
      </c>
      <c r="AJ97" s="33">
        <f>IF(C97="","",C97&amp;" ["&amp;TEXT(A97,"000")&amp;"]")</f>
        <v/>
      </c>
      <c r="AK97" s="33">
        <f>IF(C97="","",X97&amp;"|"&amp;A97)</f>
        <v/>
      </c>
      <c r="AL97" s="47">
        <f>IF(C97="",0,IF(COUNTIFS(VC_cle,AK97)=0,0,MAX(INDEX((VC_cle=AK97)*(VC_date+ROW(VC_date)/100000),0))))</f>
        <v/>
      </c>
      <c r="AM97" s="47">
        <f>IF(AND(C97&lt;&gt;"",N(AB97)&gt;0,D97&lt;&gt;"Perdu"),AB97+ROW()/100000,0)</f>
        <v/>
      </c>
      <c r="AN97" s="48">
        <f>IF(N(AF97)&gt;0,ROUND(AF97,0)+ROW()/1000000,0)</f>
        <v/>
      </c>
    </row>
    <row r="98" ht="18" customHeight="1">
      <c r="A98" s="39" t="n">
        <v>93</v>
      </c>
      <c r="B98" s="33">
        <f>IF(C98="","",IF(X98="À RENSEIGNER","GIC",X98)&amp;"-"&amp;TEXT(A98,"000"))</f>
        <v/>
      </c>
      <c r="C98" s="36" t="n"/>
      <c r="D98" s="34">
        <f>IF(C98="","",IF(U98="☑ Oui","Perdu",IF(AD98&lt;&gt;"","Client","Prospect")))</f>
        <v/>
      </c>
      <c r="E98" s="36" t="n"/>
      <c r="F98" s="36" t="n"/>
      <c r="G98" s="44" t="n"/>
      <c r="H98" s="44" t="n"/>
      <c r="I98" s="36" t="n"/>
      <c r="J98" s="36" t="n"/>
      <c r="K98" s="41" t="n"/>
      <c r="L98" s="41" t="n"/>
      <c r="M98" s="36" t="n"/>
      <c r="N98" s="36" t="n"/>
      <c r="O98" s="32" t="n"/>
      <c r="P98" s="36" t="n"/>
      <c r="Q98" s="36" t="n"/>
      <c r="R98" s="34">
        <f>IF(P98="","",IFERROR(VLOOKUP(P98,T_Produits,2,FALSE),""))</f>
        <v/>
      </c>
      <c r="S98" s="36" t="n"/>
      <c r="T98" s="43" t="n"/>
      <c r="U98" s="43" t="n"/>
      <c r="V98" s="36" t="n"/>
      <c r="W98" s="36" t="n"/>
      <c r="X98" s="33">
        <f>IF(C98="","",Commercial_Id)</f>
        <v/>
      </c>
      <c r="Y98" s="33">
        <f>IF(E98="","",IF(E98="Particulier / ménage","Particulier","Entreprise"))</f>
        <v/>
      </c>
      <c r="Z98" s="39">
        <f>IF(C98="","",COUNTIFS(VC_cle,AK98,VC_type,"Visite sur place"))</f>
        <v/>
      </c>
      <c r="AA98" s="46">
        <f>IF(AL98=0,"",IF(INT(AL98)=0,"",INT(AL98)))</f>
        <v/>
      </c>
      <c r="AB98" s="46">
        <f>IF(AL98=0,"",IF(INDEX(VC_actiondate,ROUND(MOD(AL98,1)*100000,0)-5)=0,"",INDEX(VC_actiondate,ROUND(MOD(AL98,1)*100000,0)-5)))</f>
        <v/>
      </c>
      <c r="AC98" s="33">
        <f>IF(AL98=0,"",INDEX(VC_actiontexte,ROUND(MOD(AL98,1)*100000,0)-5)&amp;"")</f>
        <v/>
      </c>
      <c r="AD98" s="46">
        <f>IF(C98="","",IF(COUNTIFS(Cmd_cle,AK98,Cmd_dateca,"&gt;0")=0,"",SMALL(INDEX(Cmd_dateca+(((Cmd_cle&lt;&gt;AK98)+(Cmd_dateca=0))&gt;0)*1000000,0),1)))</f>
        <v/>
      </c>
      <c r="AE98" s="46">
        <f>IF(C98="","",IF(COUNTIFS(Cmd_cle,AK98,Cmd_dateca,"&gt;0")=0,"",MAX(INDEX((Cmd_cle=AK98)*Cmd_dateca,0))))</f>
        <v/>
      </c>
      <c r="AF98" s="40">
        <f>IF(C98="","",SUMIFS(Cmd_montant,Cmd_cle,AK98,Cmd_dateca,"&gt;0"))</f>
        <v/>
      </c>
      <c r="AG98" s="40">
        <f>IF(C98="","",SUMIFS(Enc_montant,Enc_cle,AK98))</f>
        <v/>
      </c>
      <c r="AH98" s="40">
        <f>IF(C98="","",AF98-AG98)</f>
        <v/>
      </c>
      <c r="AI98" s="33">
        <f>IF(C98="","",IF(D98="Perdu","",IF(AND(AB98&lt;&gt;"",N(AB98)&lt;TODAY()),"Action en retard",IF(AND(D98="Client",AE98&lt;&gt;"",TODAY()-N(AE98)&gt;P_JoursInactif),"Client inactif",IF(AND(D98="Prospect",Z98=0,O98&lt;&gt;"",TODAY()-N(O98)&gt;P_JoursNonVisite),"Jamais visité","")))))</f>
        <v/>
      </c>
      <c r="AJ98" s="33">
        <f>IF(C98="","",C98&amp;" ["&amp;TEXT(A98,"000")&amp;"]")</f>
        <v/>
      </c>
      <c r="AK98" s="33">
        <f>IF(C98="","",X98&amp;"|"&amp;A98)</f>
        <v/>
      </c>
      <c r="AL98" s="47">
        <f>IF(C98="",0,IF(COUNTIFS(VC_cle,AK98)=0,0,MAX(INDEX((VC_cle=AK98)*(VC_date+ROW(VC_date)/100000),0))))</f>
        <v/>
      </c>
      <c r="AM98" s="47">
        <f>IF(AND(C98&lt;&gt;"",N(AB98)&gt;0,D98&lt;&gt;"Perdu"),AB98+ROW()/100000,0)</f>
        <v/>
      </c>
      <c r="AN98" s="48">
        <f>IF(N(AF98)&gt;0,ROUND(AF98,0)+ROW()/1000000,0)</f>
        <v/>
      </c>
    </row>
    <row r="99" ht="18" customHeight="1">
      <c r="A99" s="39" t="n">
        <v>94</v>
      </c>
      <c r="B99" s="33">
        <f>IF(C99="","",IF(X99="À RENSEIGNER","GIC",X99)&amp;"-"&amp;TEXT(A99,"000"))</f>
        <v/>
      </c>
      <c r="C99" s="36" t="n"/>
      <c r="D99" s="34">
        <f>IF(C99="","",IF(U99="☑ Oui","Perdu",IF(AD99&lt;&gt;"","Client","Prospect")))</f>
        <v/>
      </c>
      <c r="E99" s="36" t="n"/>
      <c r="F99" s="36" t="n"/>
      <c r="G99" s="44" t="n"/>
      <c r="H99" s="44" t="n"/>
      <c r="I99" s="36" t="n"/>
      <c r="J99" s="36" t="n"/>
      <c r="K99" s="41" t="n"/>
      <c r="L99" s="41" t="n"/>
      <c r="M99" s="36" t="n"/>
      <c r="N99" s="36" t="n"/>
      <c r="O99" s="32" t="n"/>
      <c r="P99" s="36" t="n"/>
      <c r="Q99" s="36" t="n"/>
      <c r="R99" s="34">
        <f>IF(P99="","",IFERROR(VLOOKUP(P99,T_Produits,2,FALSE),""))</f>
        <v/>
      </c>
      <c r="S99" s="36" t="n"/>
      <c r="T99" s="43" t="n"/>
      <c r="U99" s="43" t="n"/>
      <c r="V99" s="36" t="n"/>
      <c r="W99" s="36" t="n"/>
      <c r="X99" s="33">
        <f>IF(C99="","",Commercial_Id)</f>
        <v/>
      </c>
      <c r="Y99" s="33">
        <f>IF(E99="","",IF(E99="Particulier / ménage","Particulier","Entreprise"))</f>
        <v/>
      </c>
      <c r="Z99" s="39">
        <f>IF(C99="","",COUNTIFS(VC_cle,AK99,VC_type,"Visite sur place"))</f>
        <v/>
      </c>
      <c r="AA99" s="46">
        <f>IF(AL99=0,"",IF(INT(AL99)=0,"",INT(AL99)))</f>
        <v/>
      </c>
      <c r="AB99" s="46">
        <f>IF(AL99=0,"",IF(INDEX(VC_actiondate,ROUND(MOD(AL99,1)*100000,0)-5)=0,"",INDEX(VC_actiondate,ROUND(MOD(AL99,1)*100000,0)-5)))</f>
        <v/>
      </c>
      <c r="AC99" s="33">
        <f>IF(AL99=0,"",INDEX(VC_actiontexte,ROUND(MOD(AL99,1)*100000,0)-5)&amp;"")</f>
        <v/>
      </c>
      <c r="AD99" s="46">
        <f>IF(C99="","",IF(COUNTIFS(Cmd_cle,AK99,Cmd_dateca,"&gt;0")=0,"",SMALL(INDEX(Cmd_dateca+(((Cmd_cle&lt;&gt;AK99)+(Cmd_dateca=0))&gt;0)*1000000,0),1)))</f>
        <v/>
      </c>
      <c r="AE99" s="46">
        <f>IF(C99="","",IF(COUNTIFS(Cmd_cle,AK99,Cmd_dateca,"&gt;0")=0,"",MAX(INDEX((Cmd_cle=AK99)*Cmd_dateca,0))))</f>
        <v/>
      </c>
      <c r="AF99" s="40">
        <f>IF(C99="","",SUMIFS(Cmd_montant,Cmd_cle,AK99,Cmd_dateca,"&gt;0"))</f>
        <v/>
      </c>
      <c r="AG99" s="40">
        <f>IF(C99="","",SUMIFS(Enc_montant,Enc_cle,AK99))</f>
        <v/>
      </c>
      <c r="AH99" s="40">
        <f>IF(C99="","",AF99-AG99)</f>
        <v/>
      </c>
      <c r="AI99" s="33">
        <f>IF(C99="","",IF(D99="Perdu","",IF(AND(AB99&lt;&gt;"",N(AB99)&lt;TODAY()),"Action en retard",IF(AND(D99="Client",AE99&lt;&gt;"",TODAY()-N(AE99)&gt;P_JoursInactif),"Client inactif",IF(AND(D99="Prospect",Z99=0,O99&lt;&gt;"",TODAY()-N(O99)&gt;P_JoursNonVisite),"Jamais visité","")))))</f>
        <v/>
      </c>
      <c r="AJ99" s="33">
        <f>IF(C99="","",C99&amp;" ["&amp;TEXT(A99,"000")&amp;"]")</f>
        <v/>
      </c>
      <c r="AK99" s="33">
        <f>IF(C99="","",X99&amp;"|"&amp;A99)</f>
        <v/>
      </c>
      <c r="AL99" s="47">
        <f>IF(C99="",0,IF(COUNTIFS(VC_cle,AK99)=0,0,MAX(INDEX((VC_cle=AK99)*(VC_date+ROW(VC_date)/100000),0))))</f>
        <v/>
      </c>
      <c r="AM99" s="47">
        <f>IF(AND(C99&lt;&gt;"",N(AB99)&gt;0,D99&lt;&gt;"Perdu"),AB99+ROW()/100000,0)</f>
        <v/>
      </c>
      <c r="AN99" s="48">
        <f>IF(N(AF99)&gt;0,ROUND(AF99,0)+ROW()/1000000,0)</f>
        <v/>
      </c>
    </row>
    <row r="100" ht="18" customHeight="1">
      <c r="A100" s="39" t="n">
        <v>95</v>
      </c>
      <c r="B100" s="33">
        <f>IF(C100="","",IF(X100="À RENSEIGNER","GIC",X100)&amp;"-"&amp;TEXT(A100,"000"))</f>
        <v/>
      </c>
      <c r="C100" s="36" t="n"/>
      <c r="D100" s="34">
        <f>IF(C100="","",IF(U100="☑ Oui","Perdu",IF(AD100&lt;&gt;"","Client","Prospect")))</f>
        <v/>
      </c>
      <c r="E100" s="36" t="n"/>
      <c r="F100" s="36" t="n"/>
      <c r="G100" s="44" t="n"/>
      <c r="H100" s="44" t="n"/>
      <c r="I100" s="36" t="n"/>
      <c r="J100" s="36" t="n"/>
      <c r="K100" s="41" t="n"/>
      <c r="L100" s="41" t="n"/>
      <c r="M100" s="36" t="n"/>
      <c r="N100" s="36" t="n"/>
      <c r="O100" s="32" t="n"/>
      <c r="P100" s="36" t="n"/>
      <c r="Q100" s="36" t="n"/>
      <c r="R100" s="34">
        <f>IF(P100="","",IFERROR(VLOOKUP(P100,T_Produits,2,FALSE),""))</f>
        <v/>
      </c>
      <c r="S100" s="36" t="n"/>
      <c r="T100" s="43" t="n"/>
      <c r="U100" s="43" t="n"/>
      <c r="V100" s="36" t="n"/>
      <c r="W100" s="36" t="n"/>
      <c r="X100" s="33">
        <f>IF(C100="","",Commercial_Id)</f>
        <v/>
      </c>
      <c r="Y100" s="33">
        <f>IF(E100="","",IF(E100="Particulier / ménage","Particulier","Entreprise"))</f>
        <v/>
      </c>
      <c r="Z100" s="39">
        <f>IF(C100="","",COUNTIFS(VC_cle,AK100,VC_type,"Visite sur place"))</f>
        <v/>
      </c>
      <c r="AA100" s="46">
        <f>IF(AL100=0,"",IF(INT(AL100)=0,"",INT(AL100)))</f>
        <v/>
      </c>
      <c r="AB100" s="46">
        <f>IF(AL100=0,"",IF(INDEX(VC_actiondate,ROUND(MOD(AL100,1)*100000,0)-5)=0,"",INDEX(VC_actiondate,ROUND(MOD(AL100,1)*100000,0)-5)))</f>
        <v/>
      </c>
      <c r="AC100" s="33">
        <f>IF(AL100=0,"",INDEX(VC_actiontexte,ROUND(MOD(AL100,1)*100000,0)-5)&amp;"")</f>
        <v/>
      </c>
      <c r="AD100" s="46">
        <f>IF(C100="","",IF(COUNTIFS(Cmd_cle,AK100,Cmd_dateca,"&gt;0")=0,"",SMALL(INDEX(Cmd_dateca+(((Cmd_cle&lt;&gt;AK100)+(Cmd_dateca=0))&gt;0)*1000000,0),1)))</f>
        <v/>
      </c>
      <c r="AE100" s="46">
        <f>IF(C100="","",IF(COUNTIFS(Cmd_cle,AK100,Cmd_dateca,"&gt;0")=0,"",MAX(INDEX((Cmd_cle=AK100)*Cmd_dateca,0))))</f>
        <v/>
      </c>
      <c r="AF100" s="40">
        <f>IF(C100="","",SUMIFS(Cmd_montant,Cmd_cle,AK100,Cmd_dateca,"&gt;0"))</f>
        <v/>
      </c>
      <c r="AG100" s="40">
        <f>IF(C100="","",SUMIFS(Enc_montant,Enc_cle,AK100))</f>
        <v/>
      </c>
      <c r="AH100" s="40">
        <f>IF(C100="","",AF100-AG100)</f>
        <v/>
      </c>
      <c r="AI100" s="33">
        <f>IF(C100="","",IF(D100="Perdu","",IF(AND(AB100&lt;&gt;"",N(AB100)&lt;TODAY()),"Action en retard",IF(AND(D100="Client",AE100&lt;&gt;"",TODAY()-N(AE100)&gt;P_JoursInactif),"Client inactif",IF(AND(D100="Prospect",Z100=0,O100&lt;&gt;"",TODAY()-N(O100)&gt;P_JoursNonVisite),"Jamais visité","")))))</f>
        <v/>
      </c>
      <c r="AJ100" s="33">
        <f>IF(C100="","",C100&amp;" ["&amp;TEXT(A100,"000")&amp;"]")</f>
        <v/>
      </c>
      <c r="AK100" s="33">
        <f>IF(C100="","",X100&amp;"|"&amp;A100)</f>
        <v/>
      </c>
      <c r="AL100" s="47">
        <f>IF(C100="",0,IF(COUNTIFS(VC_cle,AK100)=0,0,MAX(INDEX((VC_cle=AK100)*(VC_date+ROW(VC_date)/100000),0))))</f>
        <v/>
      </c>
      <c r="AM100" s="47">
        <f>IF(AND(C100&lt;&gt;"",N(AB100)&gt;0,D100&lt;&gt;"Perdu"),AB100+ROW()/100000,0)</f>
        <v/>
      </c>
      <c r="AN100" s="48">
        <f>IF(N(AF100)&gt;0,ROUND(AF100,0)+ROW()/1000000,0)</f>
        <v/>
      </c>
    </row>
    <row r="101" ht="18" customHeight="1">
      <c r="A101" s="39" t="n">
        <v>96</v>
      </c>
      <c r="B101" s="33">
        <f>IF(C101="","",IF(X101="À RENSEIGNER","GIC",X101)&amp;"-"&amp;TEXT(A101,"000"))</f>
        <v/>
      </c>
      <c r="C101" s="36" t="n"/>
      <c r="D101" s="34">
        <f>IF(C101="","",IF(U101="☑ Oui","Perdu",IF(AD101&lt;&gt;"","Client","Prospect")))</f>
        <v/>
      </c>
      <c r="E101" s="36" t="n"/>
      <c r="F101" s="36" t="n"/>
      <c r="G101" s="44" t="n"/>
      <c r="H101" s="44" t="n"/>
      <c r="I101" s="36" t="n"/>
      <c r="J101" s="36" t="n"/>
      <c r="K101" s="41" t="n"/>
      <c r="L101" s="41" t="n"/>
      <c r="M101" s="36" t="n"/>
      <c r="N101" s="36" t="n"/>
      <c r="O101" s="32" t="n"/>
      <c r="P101" s="36" t="n"/>
      <c r="Q101" s="36" t="n"/>
      <c r="R101" s="34">
        <f>IF(P101="","",IFERROR(VLOOKUP(P101,T_Produits,2,FALSE),""))</f>
        <v/>
      </c>
      <c r="S101" s="36" t="n"/>
      <c r="T101" s="43" t="n"/>
      <c r="U101" s="43" t="n"/>
      <c r="V101" s="36" t="n"/>
      <c r="W101" s="36" t="n"/>
      <c r="X101" s="33">
        <f>IF(C101="","",Commercial_Id)</f>
        <v/>
      </c>
      <c r="Y101" s="33">
        <f>IF(E101="","",IF(E101="Particulier / ménage","Particulier","Entreprise"))</f>
        <v/>
      </c>
      <c r="Z101" s="39">
        <f>IF(C101="","",COUNTIFS(VC_cle,AK101,VC_type,"Visite sur place"))</f>
        <v/>
      </c>
      <c r="AA101" s="46">
        <f>IF(AL101=0,"",IF(INT(AL101)=0,"",INT(AL101)))</f>
        <v/>
      </c>
      <c r="AB101" s="46">
        <f>IF(AL101=0,"",IF(INDEX(VC_actiondate,ROUND(MOD(AL101,1)*100000,0)-5)=0,"",INDEX(VC_actiondate,ROUND(MOD(AL101,1)*100000,0)-5)))</f>
        <v/>
      </c>
      <c r="AC101" s="33">
        <f>IF(AL101=0,"",INDEX(VC_actiontexte,ROUND(MOD(AL101,1)*100000,0)-5)&amp;"")</f>
        <v/>
      </c>
      <c r="AD101" s="46">
        <f>IF(C101="","",IF(COUNTIFS(Cmd_cle,AK101,Cmd_dateca,"&gt;0")=0,"",SMALL(INDEX(Cmd_dateca+(((Cmd_cle&lt;&gt;AK101)+(Cmd_dateca=0))&gt;0)*1000000,0),1)))</f>
        <v/>
      </c>
      <c r="AE101" s="46">
        <f>IF(C101="","",IF(COUNTIFS(Cmd_cle,AK101,Cmd_dateca,"&gt;0")=0,"",MAX(INDEX((Cmd_cle=AK101)*Cmd_dateca,0))))</f>
        <v/>
      </c>
      <c r="AF101" s="40">
        <f>IF(C101="","",SUMIFS(Cmd_montant,Cmd_cle,AK101,Cmd_dateca,"&gt;0"))</f>
        <v/>
      </c>
      <c r="AG101" s="40">
        <f>IF(C101="","",SUMIFS(Enc_montant,Enc_cle,AK101))</f>
        <v/>
      </c>
      <c r="AH101" s="40">
        <f>IF(C101="","",AF101-AG101)</f>
        <v/>
      </c>
      <c r="AI101" s="33">
        <f>IF(C101="","",IF(D101="Perdu","",IF(AND(AB101&lt;&gt;"",N(AB101)&lt;TODAY()),"Action en retard",IF(AND(D101="Client",AE101&lt;&gt;"",TODAY()-N(AE101)&gt;P_JoursInactif),"Client inactif",IF(AND(D101="Prospect",Z101=0,O101&lt;&gt;"",TODAY()-N(O101)&gt;P_JoursNonVisite),"Jamais visité","")))))</f>
        <v/>
      </c>
      <c r="AJ101" s="33">
        <f>IF(C101="","",C101&amp;" ["&amp;TEXT(A101,"000")&amp;"]")</f>
        <v/>
      </c>
      <c r="AK101" s="33">
        <f>IF(C101="","",X101&amp;"|"&amp;A101)</f>
        <v/>
      </c>
      <c r="AL101" s="47">
        <f>IF(C101="",0,IF(COUNTIFS(VC_cle,AK101)=0,0,MAX(INDEX((VC_cle=AK101)*(VC_date+ROW(VC_date)/100000),0))))</f>
        <v/>
      </c>
      <c r="AM101" s="47">
        <f>IF(AND(C101&lt;&gt;"",N(AB101)&gt;0,D101&lt;&gt;"Perdu"),AB101+ROW()/100000,0)</f>
        <v/>
      </c>
      <c r="AN101" s="48">
        <f>IF(N(AF101)&gt;0,ROUND(AF101,0)+ROW()/1000000,0)</f>
        <v/>
      </c>
    </row>
    <row r="102" ht="18" customHeight="1">
      <c r="A102" s="39" t="n">
        <v>97</v>
      </c>
      <c r="B102" s="33">
        <f>IF(C102="","",IF(X102="À RENSEIGNER","GIC",X102)&amp;"-"&amp;TEXT(A102,"000"))</f>
        <v/>
      </c>
      <c r="C102" s="36" t="n"/>
      <c r="D102" s="34">
        <f>IF(C102="","",IF(U102="☑ Oui","Perdu",IF(AD102&lt;&gt;"","Client","Prospect")))</f>
        <v/>
      </c>
      <c r="E102" s="36" t="n"/>
      <c r="F102" s="36" t="n"/>
      <c r="G102" s="44" t="n"/>
      <c r="H102" s="44" t="n"/>
      <c r="I102" s="36" t="n"/>
      <c r="J102" s="36" t="n"/>
      <c r="K102" s="41" t="n"/>
      <c r="L102" s="41" t="n"/>
      <c r="M102" s="36" t="n"/>
      <c r="N102" s="36" t="n"/>
      <c r="O102" s="32" t="n"/>
      <c r="P102" s="36" t="n"/>
      <c r="Q102" s="36" t="n"/>
      <c r="R102" s="34">
        <f>IF(P102="","",IFERROR(VLOOKUP(P102,T_Produits,2,FALSE),""))</f>
        <v/>
      </c>
      <c r="S102" s="36" t="n"/>
      <c r="T102" s="43" t="n"/>
      <c r="U102" s="43" t="n"/>
      <c r="V102" s="36" t="n"/>
      <c r="W102" s="36" t="n"/>
      <c r="X102" s="33">
        <f>IF(C102="","",Commercial_Id)</f>
        <v/>
      </c>
      <c r="Y102" s="33">
        <f>IF(E102="","",IF(E102="Particulier / ménage","Particulier","Entreprise"))</f>
        <v/>
      </c>
      <c r="Z102" s="39">
        <f>IF(C102="","",COUNTIFS(VC_cle,AK102,VC_type,"Visite sur place"))</f>
        <v/>
      </c>
      <c r="AA102" s="46">
        <f>IF(AL102=0,"",IF(INT(AL102)=0,"",INT(AL102)))</f>
        <v/>
      </c>
      <c r="AB102" s="46">
        <f>IF(AL102=0,"",IF(INDEX(VC_actiondate,ROUND(MOD(AL102,1)*100000,0)-5)=0,"",INDEX(VC_actiondate,ROUND(MOD(AL102,1)*100000,0)-5)))</f>
        <v/>
      </c>
      <c r="AC102" s="33">
        <f>IF(AL102=0,"",INDEX(VC_actiontexte,ROUND(MOD(AL102,1)*100000,0)-5)&amp;"")</f>
        <v/>
      </c>
      <c r="AD102" s="46">
        <f>IF(C102="","",IF(COUNTIFS(Cmd_cle,AK102,Cmd_dateca,"&gt;0")=0,"",SMALL(INDEX(Cmd_dateca+(((Cmd_cle&lt;&gt;AK102)+(Cmd_dateca=0))&gt;0)*1000000,0),1)))</f>
        <v/>
      </c>
      <c r="AE102" s="46">
        <f>IF(C102="","",IF(COUNTIFS(Cmd_cle,AK102,Cmd_dateca,"&gt;0")=0,"",MAX(INDEX((Cmd_cle=AK102)*Cmd_dateca,0))))</f>
        <v/>
      </c>
      <c r="AF102" s="40">
        <f>IF(C102="","",SUMIFS(Cmd_montant,Cmd_cle,AK102,Cmd_dateca,"&gt;0"))</f>
        <v/>
      </c>
      <c r="AG102" s="40">
        <f>IF(C102="","",SUMIFS(Enc_montant,Enc_cle,AK102))</f>
        <v/>
      </c>
      <c r="AH102" s="40">
        <f>IF(C102="","",AF102-AG102)</f>
        <v/>
      </c>
      <c r="AI102" s="33">
        <f>IF(C102="","",IF(D102="Perdu","",IF(AND(AB102&lt;&gt;"",N(AB102)&lt;TODAY()),"Action en retard",IF(AND(D102="Client",AE102&lt;&gt;"",TODAY()-N(AE102)&gt;P_JoursInactif),"Client inactif",IF(AND(D102="Prospect",Z102=0,O102&lt;&gt;"",TODAY()-N(O102)&gt;P_JoursNonVisite),"Jamais visité","")))))</f>
        <v/>
      </c>
      <c r="AJ102" s="33">
        <f>IF(C102="","",C102&amp;" ["&amp;TEXT(A102,"000")&amp;"]")</f>
        <v/>
      </c>
      <c r="AK102" s="33">
        <f>IF(C102="","",X102&amp;"|"&amp;A102)</f>
        <v/>
      </c>
      <c r="AL102" s="47">
        <f>IF(C102="",0,IF(COUNTIFS(VC_cle,AK102)=0,0,MAX(INDEX((VC_cle=AK102)*(VC_date+ROW(VC_date)/100000),0))))</f>
        <v/>
      </c>
      <c r="AM102" s="47">
        <f>IF(AND(C102&lt;&gt;"",N(AB102)&gt;0,D102&lt;&gt;"Perdu"),AB102+ROW()/100000,0)</f>
        <v/>
      </c>
      <c r="AN102" s="48">
        <f>IF(N(AF102)&gt;0,ROUND(AF102,0)+ROW()/1000000,0)</f>
        <v/>
      </c>
    </row>
    <row r="103" ht="18" customHeight="1">
      <c r="A103" s="39" t="n">
        <v>98</v>
      </c>
      <c r="B103" s="33">
        <f>IF(C103="","",IF(X103="À RENSEIGNER","GIC",X103)&amp;"-"&amp;TEXT(A103,"000"))</f>
        <v/>
      </c>
      <c r="C103" s="36" t="n"/>
      <c r="D103" s="34">
        <f>IF(C103="","",IF(U103="☑ Oui","Perdu",IF(AD103&lt;&gt;"","Client","Prospect")))</f>
        <v/>
      </c>
      <c r="E103" s="36" t="n"/>
      <c r="F103" s="36" t="n"/>
      <c r="G103" s="44" t="n"/>
      <c r="H103" s="44" t="n"/>
      <c r="I103" s="36" t="n"/>
      <c r="J103" s="36" t="n"/>
      <c r="K103" s="41" t="n"/>
      <c r="L103" s="41" t="n"/>
      <c r="M103" s="36" t="n"/>
      <c r="N103" s="36" t="n"/>
      <c r="O103" s="32" t="n"/>
      <c r="P103" s="36" t="n"/>
      <c r="Q103" s="36" t="n"/>
      <c r="R103" s="34">
        <f>IF(P103="","",IFERROR(VLOOKUP(P103,T_Produits,2,FALSE),""))</f>
        <v/>
      </c>
      <c r="S103" s="36" t="n"/>
      <c r="T103" s="43" t="n"/>
      <c r="U103" s="43" t="n"/>
      <c r="V103" s="36" t="n"/>
      <c r="W103" s="36" t="n"/>
      <c r="X103" s="33">
        <f>IF(C103="","",Commercial_Id)</f>
        <v/>
      </c>
      <c r="Y103" s="33">
        <f>IF(E103="","",IF(E103="Particulier / ménage","Particulier","Entreprise"))</f>
        <v/>
      </c>
      <c r="Z103" s="39">
        <f>IF(C103="","",COUNTIFS(VC_cle,AK103,VC_type,"Visite sur place"))</f>
        <v/>
      </c>
      <c r="AA103" s="46">
        <f>IF(AL103=0,"",IF(INT(AL103)=0,"",INT(AL103)))</f>
        <v/>
      </c>
      <c r="AB103" s="46">
        <f>IF(AL103=0,"",IF(INDEX(VC_actiondate,ROUND(MOD(AL103,1)*100000,0)-5)=0,"",INDEX(VC_actiondate,ROUND(MOD(AL103,1)*100000,0)-5)))</f>
        <v/>
      </c>
      <c r="AC103" s="33">
        <f>IF(AL103=0,"",INDEX(VC_actiontexte,ROUND(MOD(AL103,1)*100000,0)-5)&amp;"")</f>
        <v/>
      </c>
      <c r="AD103" s="46">
        <f>IF(C103="","",IF(COUNTIFS(Cmd_cle,AK103,Cmd_dateca,"&gt;0")=0,"",SMALL(INDEX(Cmd_dateca+(((Cmd_cle&lt;&gt;AK103)+(Cmd_dateca=0))&gt;0)*1000000,0),1)))</f>
        <v/>
      </c>
      <c r="AE103" s="46">
        <f>IF(C103="","",IF(COUNTIFS(Cmd_cle,AK103,Cmd_dateca,"&gt;0")=0,"",MAX(INDEX((Cmd_cle=AK103)*Cmd_dateca,0))))</f>
        <v/>
      </c>
      <c r="AF103" s="40">
        <f>IF(C103="","",SUMIFS(Cmd_montant,Cmd_cle,AK103,Cmd_dateca,"&gt;0"))</f>
        <v/>
      </c>
      <c r="AG103" s="40">
        <f>IF(C103="","",SUMIFS(Enc_montant,Enc_cle,AK103))</f>
        <v/>
      </c>
      <c r="AH103" s="40">
        <f>IF(C103="","",AF103-AG103)</f>
        <v/>
      </c>
      <c r="AI103" s="33">
        <f>IF(C103="","",IF(D103="Perdu","",IF(AND(AB103&lt;&gt;"",N(AB103)&lt;TODAY()),"Action en retard",IF(AND(D103="Client",AE103&lt;&gt;"",TODAY()-N(AE103)&gt;P_JoursInactif),"Client inactif",IF(AND(D103="Prospect",Z103=0,O103&lt;&gt;"",TODAY()-N(O103)&gt;P_JoursNonVisite),"Jamais visité","")))))</f>
        <v/>
      </c>
      <c r="AJ103" s="33">
        <f>IF(C103="","",C103&amp;" ["&amp;TEXT(A103,"000")&amp;"]")</f>
        <v/>
      </c>
      <c r="AK103" s="33">
        <f>IF(C103="","",X103&amp;"|"&amp;A103)</f>
        <v/>
      </c>
      <c r="AL103" s="47">
        <f>IF(C103="",0,IF(COUNTIFS(VC_cle,AK103)=0,0,MAX(INDEX((VC_cle=AK103)*(VC_date+ROW(VC_date)/100000),0))))</f>
        <v/>
      </c>
      <c r="AM103" s="47">
        <f>IF(AND(C103&lt;&gt;"",N(AB103)&gt;0,D103&lt;&gt;"Perdu"),AB103+ROW()/100000,0)</f>
        <v/>
      </c>
      <c r="AN103" s="48">
        <f>IF(N(AF103)&gt;0,ROUND(AF103,0)+ROW()/1000000,0)</f>
        <v/>
      </c>
    </row>
    <row r="104" ht="18" customHeight="1">
      <c r="A104" s="39" t="n">
        <v>99</v>
      </c>
      <c r="B104" s="33">
        <f>IF(C104="","",IF(X104="À RENSEIGNER","GIC",X104)&amp;"-"&amp;TEXT(A104,"000"))</f>
        <v/>
      </c>
      <c r="C104" s="36" t="n"/>
      <c r="D104" s="34">
        <f>IF(C104="","",IF(U104="☑ Oui","Perdu",IF(AD104&lt;&gt;"","Client","Prospect")))</f>
        <v/>
      </c>
      <c r="E104" s="36" t="n"/>
      <c r="F104" s="36" t="n"/>
      <c r="G104" s="44" t="n"/>
      <c r="H104" s="44" t="n"/>
      <c r="I104" s="36" t="n"/>
      <c r="J104" s="36" t="n"/>
      <c r="K104" s="41" t="n"/>
      <c r="L104" s="41" t="n"/>
      <c r="M104" s="36" t="n"/>
      <c r="N104" s="36" t="n"/>
      <c r="O104" s="32" t="n"/>
      <c r="P104" s="36" t="n"/>
      <c r="Q104" s="36" t="n"/>
      <c r="R104" s="34">
        <f>IF(P104="","",IFERROR(VLOOKUP(P104,T_Produits,2,FALSE),""))</f>
        <v/>
      </c>
      <c r="S104" s="36" t="n"/>
      <c r="T104" s="43" t="n"/>
      <c r="U104" s="43" t="n"/>
      <c r="V104" s="36" t="n"/>
      <c r="W104" s="36" t="n"/>
      <c r="X104" s="33">
        <f>IF(C104="","",Commercial_Id)</f>
        <v/>
      </c>
      <c r="Y104" s="33">
        <f>IF(E104="","",IF(E104="Particulier / ménage","Particulier","Entreprise"))</f>
        <v/>
      </c>
      <c r="Z104" s="39">
        <f>IF(C104="","",COUNTIFS(VC_cle,AK104,VC_type,"Visite sur place"))</f>
        <v/>
      </c>
      <c r="AA104" s="46">
        <f>IF(AL104=0,"",IF(INT(AL104)=0,"",INT(AL104)))</f>
        <v/>
      </c>
      <c r="AB104" s="46">
        <f>IF(AL104=0,"",IF(INDEX(VC_actiondate,ROUND(MOD(AL104,1)*100000,0)-5)=0,"",INDEX(VC_actiondate,ROUND(MOD(AL104,1)*100000,0)-5)))</f>
        <v/>
      </c>
      <c r="AC104" s="33">
        <f>IF(AL104=0,"",INDEX(VC_actiontexte,ROUND(MOD(AL104,1)*100000,0)-5)&amp;"")</f>
        <v/>
      </c>
      <c r="AD104" s="46">
        <f>IF(C104="","",IF(COUNTIFS(Cmd_cle,AK104,Cmd_dateca,"&gt;0")=0,"",SMALL(INDEX(Cmd_dateca+(((Cmd_cle&lt;&gt;AK104)+(Cmd_dateca=0))&gt;0)*1000000,0),1)))</f>
        <v/>
      </c>
      <c r="AE104" s="46">
        <f>IF(C104="","",IF(COUNTIFS(Cmd_cle,AK104,Cmd_dateca,"&gt;0")=0,"",MAX(INDEX((Cmd_cle=AK104)*Cmd_dateca,0))))</f>
        <v/>
      </c>
      <c r="AF104" s="40">
        <f>IF(C104="","",SUMIFS(Cmd_montant,Cmd_cle,AK104,Cmd_dateca,"&gt;0"))</f>
        <v/>
      </c>
      <c r="AG104" s="40">
        <f>IF(C104="","",SUMIFS(Enc_montant,Enc_cle,AK104))</f>
        <v/>
      </c>
      <c r="AH104" s="40">
        <f>IF(C104="","",AF104-AG104)</f>
        <v/>
      </c>
      <c r="AI104" s="33">
        <f>IF(C104="","",IF(D104="Perdu","",IF(AND(AB104&lt;&gt;"",N(AB104)&lt;TODAY()),"Action en retard",IF(AND(D104="Client",AE104&lt;&gt;"",TODAY()-N(AE104)&gt;P_JoursInactif),"Client inactif",IF(AND(D104="Prospect",Z104=0,O104&lt;&gt;"",TODAY()-N(O104)&gt;P_JoursNonVisite),"Jamais visité","")))))</f>
        <v/>
      </c>
      <c r="AJ104" s="33">
        <f>IF(C104="","",C104&amp;" ["&amp;TEXT(A104,"000")&amp;"]")</f>
        <v/>
      </c>
      <c r="AK104" s="33">
        <f>IF(C104="","",X104&amp;"|"&amp;A104)</f>
        <v/>
      </c>
      <c r="AL104" s="47">
        <f>IF(C104="",0,IF(COUNTIFS(VC_cle,AK104)=0,0,MAX(INDEX((VC_cle=AK104)*(VC_date+ROW(VC_date)/100000),0))))</f>
        <v/>
      </c>
      <c r="AM104" s="47">
        <f>IF(AND(C104&lt;&gt;"",N(AB104)&gt;0,D104&lt;&gt;"Perdu"),AB104+ROW()/100000,0)</f>
        <v/>
      </c>
      <c r="AN104" s="48">
        <f>IF(N(AF104)&gt;0,ROUND(AF104,0)+ROW()/1000000,0)</f>
        <v/>
      </c>
    </row>
    <row r="105" ht="18" customHeight="1">
      <c r="A105" s="39" t="n">
        <v>100</v>
      </c>
      <c r="B105" s="33">
        <f>IF(C105="","",IF(X105="À RENSEIGNER","GIC",X105)&amp;"-"&amp;TEXT(A105,"000"))</f>
        <v/>
      </c>
      <c r="C105" s="36" t="n"/>
      <c r="D105" s="34">
        <f>IF(C105="","",IF(U105="☑ Oui","Perdu",IF(AD105&lt;&gt;"","Client","Prospect")))</f>
        <v/>
      </c>
      <c r="E105" s="36" t="n"/>
      <c r="F105" s="36" t="n"/>
      <c r="G105" s="44" t="n"/>
      <c r="H105" s="44" t="n"/>
      <c r="I105" s="36" t="n"/>
      <c r="J105" s="36" t="n"/>
      <c r="K105" s="41" t="n"/>
      <c r="L105" s="41" t="n"/>
      <c r="M105" s="36" t="n"/>
      <c r="N105" s="36" t="n"/>
      <c r="O105" s="32" t="n"/>
      <c r="P105" s="36" t="n"/>
      <c r="Q105" s="36" t="n"/>
      <c r="R105" s="34">
        <f>IF(P105="","",IFERROR(VLOOKUP(P105,T_Produits,2,FALSE),""))</f>
        <v/>
      </c>
      <c r="S105" s="36" t="n"/>
      <c r="T105" s="43" t="n"/>
      <c r="U105" s="43" t="n"/>
      <c r="V105" s="36" t="n"/>
      <c r="W105" s="36" t="n"/>
      <c r="X105" s="33">
        <f>IF(C105="","",Commercial_Id)</f>
        <v/>
      </c>
      <c r="Y105" s="33">
        <f>IF(E105="","",IF(E105="Particulier / ménage","Particulier","Entreprise"))</f>
        <v/>
      </c>
      <c r="Z105" s="39">
        <f>IF(C105="","",COUNTIFS(VC_cle,AK105,VC_type,"Visite sur place"))</f>
        <v/>
      </c>
      <c r="AA105" s="46">
        <f>IF(AL105=0,"",IF(INT(AL105)=0,"",INT(AL105)))</f>
        <v/>
      </c>
      <c r="AB105" s="46">
        <f>IF(AL105=0,"",IF(INDEX(VC_actiondate,ROUND(MOD(AL105,1)*100000,0)-5)=0,"",INDEX(VC_actiondate,ROUND(MOD(AL105,1)*100000,0)-5)))</f>
        <v/>
      </c>
      <c r="AC105" s="33">
        <f>IF(AL105=0,"",INDEX(VC_actiontexte,ROUND(MOD(AL105,1)*100000,0)-5)&amp;"")</f>
        <v/>
      </c>
      <c r="AD105" s="46">
        <f>IF(C105="","",IF(COUNTIFS(Cmd_cle,AK105,Cmd_dateca,"&gt;0")=0,"",SMALL(INDEX(Cmd_dateca+(((Cmd_cle&lt;&gt;AK105)+(Cmd_dateca=0))&gt;0)*1000000,0),1)))</f>
        <v/>
      </c>
      <c r="AE105" s="46">
        <f>IF(C105="","",IF(COUNTIFS(Cmd_cle,AK105,Cmd_dateca,"&gt;0")=0,"",MAX(INDEX((Cmd_cle=AK105)*Cmd_dateca,0))))</f>
        <v/>
      </c>
      <c r="AF105" s="40">
        <f>IF(C105="","",SUMIFS(Cmd_montant,Cmd_cle,AK105,Cmd_dateca,"&gt;0"))</f>
        <v/>
      </c>
      <c r="AG105" s="40">
        <f>IF(C105="","",SUMIFS(Enc_montant,Enc_cle,AK105))</f>
        <v/>
      </c>
      <c r="AH105" s="40">
        <f>IF(C105="","",AF105-AG105)</f>
        <v/>
      </c>
      <c r="AI105" s="33">
        <f>IF(C105="","",IF(D105="Perdu","",IF(AND(AB105&lt;&gt;"",N(AB105)&lt;TODAY()),"Action en retard",IF(AND(D105="Client",AE105&lt;&gt;"",TODAY()-N(AE105)&gt;P_JoursInactif),"Client inactif",IF(AND(D105="Prospect",Z105=0,O105&lt;&gt;"",TODAY()-N(O105)&gt;P_JoursNonVisite),"Jamais visité","")))))</f>
        <v/>
      </c>
      <c r="AJ105" s="33">
        <f>IF(C105="","",C105&amp;" ["&amp;TEXT(A105,"000")&amp;"]")</f>
        <v/>
      </c>
      <c r="AK105" s="33">
        <f>IF(C105="","",X105&amp;"|"&amp;A105)</f>
        <v/>
      </c>
      <c r="AL105" s="47">
        <f>IF(C105="",0,IF(COUNTIFS(VC_cle,AK105)=0,0,MAX(INDEX((VC_cle=AK105)*(VC_date+ROW(VC_date)/100000),0))))</f>
        <v/>
      </c>
      <c r="AM105" s="47">
        <f>IF(AND(C105&lt;&gt;"",N(AB105)&gt;0,D105&lt;&gt;"Perdu"),AB105+ROW()/100000,0)</f>
        <v/>
      </c>
      <c r="AN105" s="48">
        <f>IF(N(AF105)&gt;0,ROUND(AF105,0)+ROW()/1000000,0)</f>
        <v/>
      </c>
    </row>
    <row r="106" ht="18" customHeight="1">
      <c r="A106" s="39" t="n">
        <v>101</v>
      </c>
      <c r="B106" s="33">
        <f>IF(C106="","",IF(X106="À RENSEIGNER","GIC",X106)&amp;"-"&amp;TEXT(A106,"000"))</f>
        <v/>
      </c>
      <c r="C106" s="36" t="n"/>
      <c r="D106" s="34">
        <f>IF(C106="","",IF(U106="☑ Oui","Perdu",IF(AD106&lt;&gt;"","Client","Prospect")))</f>
        <v/>
      </c>
      <c r="E106" s="36" t="n"/>
      <c r="F106" s="36" t="n"/>
      <c r="G106" s="44" t="n"/>
      <c r="H106" s="44" t="n"/>
      <c r="I106" s="36" t="n"/>
      <c r="J106" s="36" t="n"/>
      <c r="K106" s="41" t="n"/>
      <c r="L106" s="41" t="n"/>
      <c r="M106" s="36" t="n"/>
      <c r="N106" s="36" t="n"/>
      <c r="O106" s="32" t="n"/>
      <c r="P106" s="36" t="n"/>
      <c r="Q106" s="36" t="n"/>
      <c r="R106" s="34">
        <f>IF(P106="","",IFERROR(VLOOKUP(P106,T_Produits,2,FALSE),""))</f>
        <v/>
      </c>
      <c r="S106" s="36" t="n"/>
      <c r="T106" s="43" t="n"/>
      <c r="U106" s="43" t="n"/>
      <c r="V106" s="36" t="n"/>
      <c r="W106" s="36" t="n"/>
      <c r="X106" s="33">
        <f>IF(C106="","",Commercial_Id)</f>
        <v/>
      </c>
      <c r="Y106" s="33">
        <f>IF(E106="","",IF(E106="Particulier / ménage","Particulier","Entreprise"))</f>
        <v/>
      </c>
      <c r="Z106" s="39">
        <f>IF(C106="","",COUNTIFS(VC_cle,AK106,VC_type,"Visite sur place"))</f>
        <v/>
      </c>
      <c r="AA106" s="46">
        <f>IF(AL106=0,"",IF(INT(AL106)=0,"",INT(AL106)))</f>
        <v/>
      </c>
      <c r="AB106" s="46">
        <f>IF(AL106=0,"",IF(INDEX(VC_actiondate,ROUND(MOD(AL106,1)*100000,0)-5)=0,"",INDEX(VC_actiondate,ROUND(MOD(AL106,1)*100000,0)-5)))</f>
        <v/>
      </c>
      <c r="AC106" s="33">
        <f>IF(AL106=0,"",INDEX(VC_actiontexte,ROUND(MOD(AL106,1)*100000,0)-5)&amp;"")</f>
        <v/>
      </c>
      <c r="AD106" s="46">
        <f>IF(C106="","",IF(COUNTIFS(Cmd_cle,AK106,Cmd_dateca,"&gt;0")=0,"",SMALL(INDEX(Cmd_dateca+(((Cmd_cle&lt;&gt;AK106)+(Cmd_dateca=0))&gt;0)*1000000,0),1)))</f>
        <v/>
      </c>
      <c r="AE106" s="46">
        <f>IF(C106="","",IF(COUNTIFS(Cmd_cle,AK106,Cmd_dateca,"&gt;0")=0,"",MAX(INDEX((Cmd_cle=AK106)*Cmd_dateca,0))))</f>
        <v/>
      </c>
      <c r="AF106" s="40">
        <f>IF(C106="","",SUMIFS(Cmd_montant,Cmd_cle,AK106,Cmd_dateca,"&gt;0"))</f>
        <v/>
      </c>
      <c r="AG106" s="40">
        <f>IF(C106="","",SUMIFS(Enc_montant,Enc_cle,AK106))</f>
        <v/>
      </c>
      <c r="AH106" s="40">
        <f>IF(C106="","",AF106-AG106)</f>
        <v/>
      </c>
      <c r="AI106" s="33">
        <f>IF(C106="","",IF(D106="Perdu","",IF(AND(AB106&lt;&gt;"",N(AB106)&lt;TODAY()),"Action en retard",IF(AND(D106="Client",AE106&lt;&gt;"",TODAY()-N(AE106)&gt;P_JoursInactif),"Client inactif",IF(AND(D106="Prospect",Z106=0,O106&lt;&gt;"",TODAY()-N(O106)&gt;P_JoursNonVisite),"Jamais visité","")))))</f>
        <v/>
      </c>
      <c r="AJ106" s="33">
        <f>IF(C106="","",C106&amp;" ["&amp;TEXT(A106,"000")&amp;"]")</f>
        <v/>
      </c>
      <c r="AK106" s="33">
        <f>IF(C106="","",X106&amp;"|"&amp;A106)</f>
        <v/>
      </c>
      <c r="AL106" s="47">
        <f>IF(C106="",0,IF(COUNTIFS(VC_cle,AK106)=0,0,MAX(INDEX((VC_cle=AK106)*(VC_date+ROW(VC_date)/100000),0))))</f>
        <v/>
      </c>
      <c r="AM106" s="47">
        <f>IF(AND(C106&lt;&gt;"",N(AB106)&gt;0,D106&lt;&gt;"Perdu"),AB106+ROW()/100000,0)</f>
        <v/>
      </c>
      <c r="AN106" s="48">
        <f>IF(N(AF106)&gt;0,ROUND(AF106,0)+ROW()/1000000,0)</f>
        <v/>
      </c>
    </row>
    <row r="107" ht="18" customHeight="1">
      <c r="A107" s="39" t="n">
        <v>102</v>
      </c>
      <c r="B107" s="33">
        <f>IF(C107="","",IF(X107="À RENSEIGNER","GIC",X107)&amp;"-"&amp;TEXT(A107,"000"))</f>
        <v/>
      </c>
      <c r="C107" s="36" t="n"/>
      <c r="D107" s="34">
        <f>IF(C107="","",IF(U107="☑ Oui","Perdu",IF(AD107&lt;&gt;"","Client","Prospect")))</f>
        <v/>
      </c>
      <c r="E107" s="36" t="n"/>
      <c r="F107" s="36" t="n"/>
      <c r="G107" s="44" t="n"/>
      <c r="H107" s="44" t="n"/>
      <c r="I107" s="36" t="n"/>
      <c r="J107" s="36" t="n"/>
      <c r="K107" s="41" t="n"/>
      <c r="L107" s="41" t="n"/>
      <c r="M107" s="36" t="n"/>
      <c r="N107" s="36" t="n"/>
      <c r="O107" s="32" t="n"/>
      <c r="P107" s="36" t="n"/>
      <c r="Q107" s="36" t="n"/>
      <c r="R107" s="34">
        <f>IF(P107="","",IFERROR(VLOOKUP(P107,T_Produits,2,FALSE),""))</f>
        <v/>
      </c>
      <c r="S107" s="36" t="n"/>
      <c r="T107" s="43" t="n"/>
      <c r="U107" s="43" t="n"/>
      <c r="V107" s="36" t="n"/>
      <c r="W107" s="36" t="n"/>
      <c r="X107" s="33">
        <f>IF(C107="","",Commercial_Id)</f>
        <v/>
      </c>
      <c r="Y107" s="33">
        <f>IF(E107="","",IF(E107="Particulier / ménage","Particulier","Entreprise"))</f>
        <v/>
      </c>
      <c r="Z107" s="39">
        <f>IF(C107="","",COUNTIFS(VC_cle,AK107,VC_type,"Visite sur place"))</f>
        <v/>
      </c>
      <c r="AA107" s="46">
        <f>IF(AL107=0,"",IF(INT(AL107)=0,"",INT(AL107)))</f>
        <v/>
      </c>
      <c r="AB107" s="46">
        <f>IF(AL107=0,"",IF(INDEX(VC_actiondate,ROUND(MOD(AL107,1)*100000,0)-5)=0,"",INDEX(VC_actiondate,ROUND(MOD(AL107,1)*100000,0)-5)))</f>
        <v/>
      </c>
      <c r="AC107" s="33">
        <f>IF(AL107=0,"",INDEX(VC_actiontexte,ROUND(MOD(AL107,1)*100000,0)-5)&amp;"")</f>
        <v/>
      </c>
      <c r="AD107" s="46">
        <f>IF(C107="","",IF(COUNTIFS(Cmd_cle,AK107,Cmd_dateca,"&gt;0")=0,"",SMALL(INDEX(Cmd_dateca+(((Cmd_cle&lt;&gt;AK107)+(Cmd_dateca=0))&gt;0)*1000000,0),1)))</f>
        <v/>
      </c>
      <c r="AE107" s="46">
        <f>IF(C107="","",IF(COUNTIFS(Cmd_cle,AK107,Cmd_dateca,"&gt;0")=0,"",MAX(INDEX((Cmd_cle=AK107)*Cmd_dateca,0))))</f>
        <v/>
      </c>
      <c r="AF107" s="40">
        <f>IF(C107="","",SUMIFS(Cmd_montant,Cmd_cle,AK107,Cmd_dateca,"&gt;0"))</f>
        <v/>
      </c>
      <c r="AG107" s="40">
        <f>IF(C107="","",SUMIFS(Enc_montant,Enc_cle,AK107))</f>
        <v/>
      </c>
      <c r="AH107" s="40">
        <f>IF(C107="","",AF107-AG107)</f>
        <v/>
      </c>
      <c r="AI107" s="33">
        <f>IF(C107="","",IF(D107="Perdu","",IF(AND(AB107&lt;&gt;"",N(AB107)&lt;TODAY()),"Action en retard",IF(AND(D107="Client",AE107&lt;&gt;"",TODAY()-N(AE107)&gt;P_JoursInactif),"Client inactif",IF(AND(D107="Prospect",Z107=0,O107&lt;&gt;"",TODAY()-N(O107)&gt;P_JoursNonVisite),"Jamais visité","")))))</f>
        <v/>
      </c>
      <c r="AJ107" s="33">
        <f>IF(C107="","",C107&amp;" ["&amp;TEXT(A107,"000")&amp;"]")</f>
        <v/>
      </c>
      <c r="AK107" s="33">
        <f>IF(C107="","",X107&amp;"|"&amp;A107)</f>
        <v/>
      </c>
      <c r="AL107" s="47">
        <f>IF(C107="",0,IF(COUNTIFS(VC_cle,AK107)=0,0,MAX(INDEX((VC_cle=AK107)*(VC_date+ROW(VC_date)/100000),0))))</f>
        <v/>
      </c>
      <c r="AM107" s="47">
        <f>IF(AND(C107&lt;&gt;"",N(AB107)&gt;0,D107&lt;&gt;"Perdu"),AB107+ROW()/100000,0)</f>
        <v/>
      </c>
      <c r="AN107" s="48">
        <f>IF(N(AF107)&gt;0,ROUND(AF107,0)+ROW()/1000000,0)</f>
        <v/>
      </c>
    </row>
    <row r="108" ht="18" customHeight="1">
      <c r="A108" s="39" t="n">
        <v>103</v>
      </c>
      <c r="B108" s="33">
        <f>IF(C108="","",IF(X108="À RENSEIGNER","GIC",X108)&amp;"-"&amp;TEXT(A108,"000"))</f>
        <v/>
      </c>
      <c r="C108" s="36" t="n"/>
      <c r="D108" s="34">
        <f>IF(C108="","",IF(U108="☑ Oui","Perdu",IF(AD108&lt;&gt;"","Client","Prospect")))</f>
        <v/>
      </c>
      <c r="E108" s="36" t="n"/>
      <c r="F108" s="36" t="n"/>
      <c r="G108" s="44" t="n"/>
      <c r="H108" s="44" t="n"/>
      <c r="I108" s="36" t="n"/>
      <c r="J108" s="36" t="n"/>
      <c r="K108" s="41" t="n"/>
      <c r="L108" s="41" t="n"/>
      <c r="M108" s="36" t="n"/>
      <c r="N108" s="36" t="n"/>
      <c r="O108" s="32" t="n"/>
      <c r="P108" s="36" t="n"/>
      <c r="Q108" s="36" t="n"/>
      <c r="R108" s="34">
        <f>IF(P108="","",IFERROR(VLOOKUP(P108,T_Produits,2,FALSE),""))</f>
        <v/>
      </c>
      <c r="S108" s="36" t="n"/>
      <c r="T108" s="43" t="n"/>
      <c r="U108" s="43" t="n"/>
      <c r="V108" s="36" t="n"/>
      <c r="W108" s="36" t="n"/>
      <c r="X108" s="33">
        <f>IF(C108="","",Commercial_Id)</f>
        <v/>
      </c>
      <c r="Y108" s="33">
        <f>IF(E108="","",IF(E108="Particulier / ménage","Particulier","Entreprise"))</f>
        <v/>
      </c>
      <c r="Z108" s="39">
        <f>IF(C108="","",COUNTIFS(VC_cle,AK108,VC_type,"Visite sur place"))</f>
        <v/>
      </c>
      <c r="AA108" s="46">
        <f>IF(AL108=0,"",IF(INT(AL108)=0,"",INT(AL108)))</f>
        <v/>
      </c>
      <c r="AB108" s="46">
        <f>IF(AL108=0,"",IF(INDEX(VC_actiondate,ROUND(MOD(AL108,1)*100000,0)-5)=0,"",INDEX(VC_actiondate,ROUND(MOD(AL108,1)*100000,0)-5)))</f>
        <v/>
      </c>
      <c r="AC108" s="33">
        <f>IF(AL108=0,"",INDEX(VC_actiontexte,ROUND(MOD(AL108,1)*100000,0)-5)&amp;"")</f>
        <v/>
      </c>
      <c r="AD108" s="46">
        <f>IF(C108="","",IF(COUNTIFS(Cmd_cle,AK108,Cmd_dateca,"&gt;0")=0,"",SMALL(INDEX(Cmd_dateca+(((Cmd_cle&lt;&gt;AK108)+(Cmd_dateca=0))&gt;0)*1000000,0),1)))</f>
        <v/>
      </c>
      <c r="AE108" s="46">
        <f>IF(C108="","",IF(COUNTIFS(Cmd_cle,AK108,Cmd_dateca,"&gt;0")=0,"",MAX(INDEX((Cmd_cle=AK108)*Cmd_dateca,0))))</f>
        <v/>
      </c>
      <c r="AF108" s="40">
        <f>IF(C108="","",SUMIFS(Cmd_montant,Cmd_cle,AK108,Cmd_dateca,"&gt;0"))</f>
        <v/>
      </c>
      <c r="AG108" s="40">
        <f>IF(C108="","",SUMIFS(Enc_montant,Enc_cle,AK108))</f>
        <v/>
      </c>
      <c r="AH108" s="40">
        <f>IF(C108="","",AF108-AG108)</f>
        <v/>
      </c>
      <c r="AI108" s="33">
        <f>IF(C108="","",IF(D108="Perdu","",IF(AND(AB108&lt;&gt;"",N(AB108)&lt;TODAY()),"Action en retard",IF(AND(D108="Client",AE108&lt;&gt;"",TODAY()-N(AE108)&gt;P_JoursInactif),"Client inactif",IF(AND(D108="Prospect",Z108=0,O108&lt;&gt;"",TODAY()-N(O108)&gt;P_JoursNonVisite),"Jamais visité","")))))</f>
        <v/>
      </c>
      <c r="AJ108" s="33">
        <f>IF(C108="","",C108&amp;" ["&amp;TEXT(A108,"000")&amp;"]")</f>
        <v/>
      </c>
      <c r="AK108" s="33">
        <f>IF(C108="","",X108&amp;"|"&amp;A108)</f>
        <v/>
      </c>
      <c r="AL108" s="47">
        <f>IF(C108="",0,IF(COUNTIFS(VC_cle,AK108)=0,0,MAX(INDEX((VC_cle=AK108)*(VC_date+ROW(VC_date)/100000),0))))</f>
        <v/>
      </c>
      <c r="AM108" s="47">
        <f>IF(AND(C108&lt;&gt;"",N(AB108)&gt;0,D108&lt;&gt;"Perdu"),AB108+ROW()/100000,0)</f>
        <v/>
      </c>
      <c r="AN108" s="48">
        <f>IF(N(AF108)&gt;0,ROUND(AF108,0)+ROW()/1000000,0)</f>
        <v/>
      </c>
    </row>
    <row r="109" ht="18" customHeight="1">
      <c r="A109" s="39" t="n">
        <v>104</v>
      </c>
      <c r="B109" s="33">
        <f>IF(C109="","",IF(X109="À RENSEIGNER","GIC",X109)&amp;"-"&amp;TEXT(A109,"000"))</f>
        <v/>
      </c>
      <c r="C109" s="36" t="n"/>
      <c r="D109" s="34">
        <f>IF(C109="","",IF(U109="☑ Oui","Perdu",IF(AD109&lt;&gt;"","Client","Prospect")))</f>
        <v/>
      </c>
      <c r="E109" s="36" t="n"/>
      <c r="F109" s="36" t="n"/>
      <c r="G109" s="44" t="n"/>
      <c r="H109" s="44" t="n"/>
      <c r="I109" s="36" t="n"/>
      <c r="J109" s="36" t="n"/>
      <c r="K109" s="41" t="n"/>
      <c r="L109" s="41" t="n"/>
      <c r="M109" s="36" t="n"/>
      <c r="N109" s="36" t="n"/>
      <c r="O109" s="32" t="n"/>
      <c r="P109" s="36" t="n"/>
      <c r="Q109" s="36" t="n"/>
      <c r="R109" s="34">
        <f>IF(P109="","",IFERROR(VLOOKUP(P109,T_Produits,2,FALSE),""))</f>
        <v/>
      </c>
      <c r="S109" s="36" t="n"/>
      <c r="T109" s="43" t="n"/>
      <c r="U109" s="43" t="n"/>
      <c r="V109" s="36" t="n"/>
      <c r="W109" s="36" t="n"/>
      <c r="X109" s="33">
        <f>IF(C109="","",Commercial_Id)</f>
        <v/>
      </c>
      <c r="Y109" s="33">
        <f>IF(E109="","",IF(E109="Particulier / ménage","Particulier","Entreprise"))</f>
        <v/>
      </c>
      <c r="Z109" s="39">
        <f>IF(C109="","",COUNTIFS(VC_cle,AK109,VC_type,"Visite sur place"))</f>
        <v/>
      </c>
      <c r="AA109" s="46">
        <f>IF(AL109=0,"",IF(INT(AL109)=0,"",INT(AL109)))</f>
        <v/>
      </c>
      <c r="AB109" s="46">
        <f>IF(AL109=0,"",IF(INDEX(VC_actiondate,ROUND(MOD(AL109,1)*100000,0)-5)=0,"",INDEX(VC_actiondate,ROUND(MOD(AL109,1)*100000,0)-5)))</f>
        <v/>
      </c>
      <c r="AC109" s="33">
        <f>IF(AL109=0,"",INDEX(VC_actiontexte,ROUND(MOD(AL109,1)*100000,0)-5)&amp;"")</f>
        <v/>
      </c>
      <c r="AD109" s="46">
        <f>IF(C109="","",IF(COUNTIFS(Cmd_cle,AK109,Cmd_dateca,"&gt;0")=0,"",SMALL(INDEX(Cmd_dateca+(((Cmd_cle&lt;&gt;AK109)+(Cmd_dateca=0))&gt;0)*1000000,0),1)))</f>
        <v/>
      </c>
      <c r="AE109" s="46">
        <f>IF(C109="","",IF(COUNTIFS(Cmd_cle,AK109,Cmd_dateca,"&gt;0")=0,"",MAX(INDEX((Cmd_cle=AK109)*Cmd_dateca,0))))</f>
        <v/>
      </c>
      <c r="AF109" s="40">
        <f>IF(C109="","",SUMIFS(Cmd_montant,Cmd_cle,AK109,Cmd_dateca,"&gt;0"))</f>
        <v/>
      </c>
      <c r="AG109" s="40">
        <f>IF(C109="","",SUMIFS(Enc_montant,Enc_cle,AK109))</f>
        <v/>
      </c>
      <c r="AH109" s="40">
        <f>IF(C109="","",AF109-AG109)</f>
        <v/>
      </c>
      <c r="AI109" s="33">
        <f>IF(C109="","",IF(D109="Perdu","",IF(AND(AB109&lt;&gt;"",N(AB109)&lt;TODAY()),"Action en retard",IF(AND(D109="Client",AE109&lt;&gt;"",TODAY()-N(AE109)&gt;P_JoursInactif),"Client inactif",IF(AND(D109="Prospect",Z109=0,O109&lt;&gt;"",TODAY()-N(O109)&gt;P_JoursNonVisite),"Jamais visité","")))))</f>
        <v/>
      </c>
      <c r="AJ109" s="33">
        <f>IF(C109="","",C109&amp;" ["&amp;TEXT(A109,"000")&amp;"]")</f>
        <v/>
      </c>
      <c r="AK109" s="33">
        <f>IF(C109="","",X109&amp;"|"&amp;A109)</f>
        <v/>
      </c>
      <c r="AL109" s="47">
        <f>IF(C109="",0,IF(COUNTIFS(VC_cle,AK109)=0,0,MAX(INDEX((VC_cle=AK109)*(VC_date+ROW(VC_date)/100000),0))))</f>
        <v/>
      </c>
      <c r="AM109" s="47">
        <f>IF(AND(C109&lt;&gt;"",N(AB109)&gt;0,D109&lt;&gt;"Perdu"),AB109+ROW()/100000,0)</f>
        <v/>
      </c>
      <c r="AN109" s="48">
        <f>IF(N(AF109)&gt;0,ROUND(AF109,0)+ROW()/1000000,0)</f>
        <v/>
      </c>
    </row>
    <row r="110" ht="18" customHeight="1">
      <c r="A110" s="39" t="n">
        <v>105</v>
      </c>
      <c r="B110" s="33">
        <f>IF(C110="","",IF(X110="À RENSEIGNER","GIC",X110)&amp;"-"&amp;TEXT(A110,"000"))</f>
        <v/>
      </c>
      <c r="C110" s="36" t="n"/>
      <c r="D110" s="34">
        <f>IF(C110="","",IF(U110="☑ Oui","Perdu",IF(AD110&lt;&gt;"","Client","Prospect")))</f>
        <v/>
      </c>
      <c r="E110" s="36" t="n"/>
      <c r="F110" s="36" t="n"/>
      <c r="G110" s="44" t="n"/>
      <c r="H110" s="44" t="n"/>
      <c r="I110" s="36" t="n"/>
      <c r="J110" s="36" t="n"/>
      <c r="K110" s="41" t="n"/>
      <c r="L110" s="41" t="n"/>
      <c r="M110" s="36" t="n"/>
      <c r="N110" s="36" t="n"/>
      <c r="O110" s="32" t="n"/>
      <c r="P110" s="36" t="n"/>
      <c r="Q110" s="36" t="n"/>
      <c r="R110" s="34">
        <f>IF(P110="","",IFERROR(VLOOKUP(P110,T_Produits,2,FALSE),""))</f>
        <v/>
      </c>
      <c r="S110" s="36" t="n"/>
      <c r="T110" s="43" t="n"/>
      <c r="U110" s="43" t="n"/>
      <c r="V110" s="36" t="n"/>
      <c r="W110" s="36" t="n"/>
      <c r="X110" s="33">
        <f>IF(C110="","",Commercial_Id)</f>
        <v/>
      </c>
      <c r="Y110" s="33">
        <f>IF(E110="","",IF(E110="Particulier / ménage","Particulier","Entreprise"))</f>
        <v/>
      </c>
      <c r="Z110" s="39">
        <f>IF(C110="","",COUNTIFS(VC_cle,AK110,VC_type,"Visite sur place"))</f>
        <v/>
      </c>
      <c r="AA110" s="46">
        <f>IF(AL110=0,"",IF(INT(AL110)=0,"",INT(AL110)))</f>
        <v/>
      </c>
      <c r="AB110" s="46">
        <f>IF(AL110=0,"",IF(INDEX(VC_actiondate,ROUND(MOD(AL110,1)*100000,0)-5)=0,"",INDEX(VC_actiondate,ROUND(MOD(AL110,1)*100000,0)-5)))</f>
        <v/>
      </c>
      <c r="AC110" s="33">
        <f>IF(AL110=0,"",INDEX(VC_actiontexte,ROUND(MOD(AL110,1)*100000,0)-5)&amp;"")</f>
        <v/>
      </c>
      <c r="AD110" s="46">
        <f>IF(C110="","",IF(COUNTIFS(Cmd_cle,AK110,Cmd_dateca,"&gt;0")=0,"",SMALL(INDEX(Cmd_dateca+(((Cmd_cle&lt;&gt;AK110)+(Cmd_dateca=0))&gt;0)*1000000,0),1)))</f>
        <v/>
      </c>
      <c r="AE110" s="46">
        <f>IF(C110="","",IF(COUNTIFS(Cmd_cle,AK110,Cmd_dateca,"&gt;0")=0,"",MAX(INDEX((Cmd_cle=AK110)*Cmd_dateca,0))))</f>
        <v/>
      </c>
      <c r="AF110" s="40">
        <f>IF(C110="","",SUMIFS(Cmd_montant,Cmd_cle,AK110,Cmd_dateca,"&gt;0"))</f>
        <v/>
      </c>
      <c r="AG110" s="40">
        <f>IF(C110="","",SUMIFS(Enc_montant,Enc_cle,AK110))</f>
        <v/>
      </c>
      <c r="AH110" s="40">
        <f>IF(C110="","",AF110-AG110)</f>
        <v/>
      </c>
      <c r="AI110" s="33">
        <f>IF(C110="","",IF(D110="Perdu","",IF(AND(AB110&lt;&gt;"",N(AB110)&lt;TODAY()),"Action en retard",IF(AND(D110="Client",AE110&lt;&gt;"",TODAY()-N(AE110)&gt;P_JoursInactif),"Client inactif",IF(AND(D110="Prospect",Z110=0,O110&lt;&gt;"",TODAY()-N(O110)&gt;P_JoursNonVisite),"Jamais visité","")))))</f>
        <v/>
      </c>
      <c r="AJ110" s="33">
        <f>IF(C110="","",C110&amp;" ["&amp;TEXT(A110,"000")&amp;"]")</f>
        <v/>
      </c>
      <c r="AK110" s="33">
        <f>IF(C110="","",X110&amp;"|"&amp;A110)</f>
        <v/>
      </c>
      <c r="AL110" s="47">
        <f>IF(C110="",0,IF(COUNTIFS(VC_cle,AK110)=0,0,MAX(INDEX((VC_cle=AK110)*(VC_date+ROW(VC_date)/100000),0))))</f>
        <v/>
      </c>
      <c r="AM110" s="47">
        <f>IF(AND(C110&lt;&gt;"",N(AB110)&gt;0,D110&lt;&gt;"Perdu"),AB110+ROW()/100000,0)</f>
        <v/>
      </c>
      <c r="AN110" s="48">
        <f>IF(N(AF110)&gt;0,ROUND(AF110,0)+ROW()/1000000,0)</f>
        <v/>
      </c>
    </row>
    <row r="111" ht="18" customHeight="1">
      <c r="A111" s="39" t="n">
        <v>106</v>
      </c>
      <c r="B111" s="33">
        <f>IF(C111="","",IF(X111="À RENSEIGNER","GIC",X111)&amp;"-"&amp;TEXT(A111,"000"))</f>
        <v/>
      </c>
      <c r="C111" s="36" t="n"/>
      <c r="D111" s="34">
        <f>IF(C111="","",IF(U111="☑ Oui","Perdu",IF(AD111&lt;&gt;"","Client","Prospect")))</f>
        <v/>
      </c>
      <c r="E111" s="36" t="n"/>
      <c r="F111" s="36" t="n"/>
      <c r="G111" s="44" t="n"/>
      <c r="H111" s="44" t="n"/>
      <c r="I111" s="36" t="n"/>
      <c r="J111" s="36" t="n"/>
      <c r="K111" s="41" t="n"/>
      <c r="L111" s="41" t="n"/>
      <c r="M111" s="36" t="n"/>
      <c r="N111" s="36" t="n"/>
      <c r="O111" s="32" t="n"/>
      <c r="P111" s="36" t="n"/>
      <c r="Q111" s="36" t="n"/>
      <c r="R111" s="34">
        <f>IF(P111="","",IFERROR(VLOOKUP(P111,T_Produits,2,FALSE),""))</f>
        <v/>
      </c>
      <c r="S111" s="36" t="n"/>
      <c r="T111" s="43" t="n"/>
      <c r="U111" s="43" t="n"/>
      <c r="V111" s="36" t="n"/>
      <c r="W111" s="36" t="n"/>
      <c r="X111" s="33">
        <f>IF(C111="","",Commercial_Id)</f>
        <v/>
      </c>
      <c r="Y111" s="33">
        <f>IF(E111="","",IF(E111="Particulier / ménage","Particulier","Entreprise"))</f>
        <v/>
      </c>
      <c r="Z111" s="39">
        <f>IF(C111="","",COUNTIFS(VC_cle,AK111,VC_type,"Visite sur place"))</f>
        <v/>
      </c>
      <c r="AA111" s="46">
        <f>IF(AL111=0,"",IF(INT(AL111)=0,"",INT(AL111)))</f>
        <v/>
      </c>
      <c r="AB111" s="46">
        <f>IF(AL111=0,"",IF(INDEX(VC_actiondate,ROUND(MOD(AL111,1)*100000,0)-5)=0,"",INDEX(VC_actiondate,ROUND(MOD(AL111,1)*100000,0)-5)))</f>
        <v/>
      </c>
      <c r="AC111" s="33">
        <f>IF(AL111=0,"",INDEX(VC_actiontexte,ROUND(MOD(AL111,1)*100000,0)-5)&amp;"")</f>
        <v/>
      </c>
      <c r="AD111" s="46">
        <f>IF(C111="","",IF(COUNTIFS(Cmd_cle,AK111,Cmd_dateca,"&gt;0")=0,"",SMALL(INDEX(Cmd_dateca+(((Cmd_cle&lt;&gt;AK111)+(Cmd_dateca=0))&gt;0)*1000000,0),1)))</f>
        <v/>
      </c>
      <c r="AE111" s="46">
        <f>IF(C111="","",IF(COUNTIFS(Cmd_cle,AK111,Cmd_dateca,"&gt;0")=0,"",MAX(INDEX((Cmd_cle=AK111)*Cmd_dateca,0))))</f>
        <v/>
      </c>
      <c r="AF111" s="40">
        <f>IF(C111="","",SUMIFS(Cmd_montant,Cmd_cle,AK111,Cmd_dateca,"&gt;0"))</f>
        <v/>
      </c>
      <c r="AG111" s="40">
        <f>IF(C111="","",SUMIFS(Enc_montant,Enc_cle,AK111))</f>
        <v/>
      </c>
      <c r="AH111" s="40">
        <f>IF(C111="","",AF111-AG111)</f>
        <v/>
      </c>
      <c r="AI111" s="33">
        <f>IF(C111="","",IF(D111="Perdu","",IF(AND(AB111&lt;&gt;"",N(AB111)&lt;TODAY()),"Action en retard",IF(AND(D111="Client",AE111&lt;&gt;"",TODAY()-N(AE111)&gt;P_JoursInactif),"Client inactif",IF(AND(D111="Prospect",Z111=0,O111&lt;&gt;"",TODAY()-N(O111)&gt;P_JoursNonVisite),"Jamais visité","")))))</f>
        <v/>
      </c>
      <c r="AJ111" s="33">
        <f>IF(C111="","",C111&amp;" ["&amp;TEXT(A111,"000")&amp;"]")</f>
        <v/>
      </c>
      <c r="AK111" s="33">
        <f>IF(C111="","",X111&amp;"|"&amp;A111)</f>
        <v/>
      </c>
      <c r="AL111" s="47">
        <f>IF(C111="",0,IF(COUNTIFS(VC_cle,AK111)=0,0,MAX(INDEX((VC_cle=AK111)*(VC_date+ROW(VC_date)/100000),0))))</f>
        <v/>
      </c>
      <c r="AM111" s="47">
        <f>IF(AND(C111&lt;&gt;"",N(AB111)&gt;0,D111&lt;&gt;"Perdu"),AB111+ROW()/100000,0)</f>
        <v/>
      </c>
      <c r="AN111" s="48">
        <f>IF(N(AF111)&gt;0,ROUND(AF111,0)+ROW()/1000000,0)</f>
        <v/>
      </c>
    </row>
    <row r="112" ht="18" customHeight="1">
      <c r="A112" s="39" t="n">
        <v>107</v>
      </c>
      <c r="B112" s="33">
        <f>IF(C112="","",IF(X112="À RENSEIGNER","GIC",X112)&amp;"-"&amp;TEXT(A112,"000"))</f>
        <v/>
      </c>
      <c r="C112" s="36" t="n"/>
      <c r="D112" s="34">
        <f>IF(C112="","",IF(U112="☑ Oui","Perdu",IF(AD112&lt;&gt;"","Client","Prospect")))</f>
        <v/>
      </c>
      <c r="E112" s="36" t="n"/>
      <c r="F112" s="36" t="n"/>
      <c r="G112" s="44" t="n"/>
      <c r="H112" s="44" t="n"/>
      <c r="I112" s="36" t="n"/>
      <c r="J112" s="36" t="n"/>
      <c r="K112" s="41" t="n"/>
      <c r="L112" s="41" t="n"/>
      <c r="M112" s="36" t="n"/>
      <c r="N112" s="36" t="n"/>
      <c r="O112" s="32" t="n"/>
      <c r="P112" s="36" t="n"/>
      <c r="Q112" s="36" t="n"/>
      <c r="R112" s="34">
        <f>IF(P112="","",IFERROR(VLOOKUP(P112,T_Produits,2,FALSE),""))</f>
        <v/>
      </c>
      <c r="S112" s="36" t="n"/>
      <c r="T112" s="43" t="n"/>
      <c r="U112" s="43" t="n"/>
      <c r="V112" s="36" t="n"/>
      <c r="W112" s="36" t="n"/>
      <c r="X112" s="33">
        <f>IF(C112="","",Commercial_Id)</f>
        <v/>
      </c>
      <c r="Y112" s="33">
        <f>IF(E112="","",IF(E112="Particulier / ménage","Particulier","Entreprise"))</f>
        <v/>
      </c>
      <c r="Z112" s="39">
        <f>IF(C112="","",COUNTIFS(VC_cle,AK112,VC_type,"Visite sur place"))</f>
        <v/>
      </c>
      <c r="AA112" s="46">
        <f>IF(AL112=0,"",IF(INT(AL112)=0,"",INT(AL112)))</f>
        <v/>
      </c>
      <c r="AB112" s="46">
        <f>IF(AL112=0,"",IF(INDEX(VC_actiondate,ROUND(MOD(AL112,1)*100000,0)-5)=0,"",INDEX(VC_actiondate,ROUND(MOD(AL112,1)*100000,0)-5)))</f>
        <v/>
      </c>
      <c r="AC112" s="33">
        <f>IF(AL112=0,"",INDEX(VC_actiontexte,ROUND(MOD(AL112,1)*100000,0)-5)&amp;"")</f>
        <v/>
      </c>
      <c r="AD112" s="46">
        <f>IF(C112="","",IF(COUNTIFS(Cmd_cle,AK112,Cmd_dateca,"&gt;0")=0,"",SMALL(INDEX(Cmd_dateca+(((Cmd_cle&lt;&gt;AK112)+(Cmd_dateca=0))&gt;0)*1000000,0),1)))</f>
        <v/>
      </c>
      <c r="AE112" s="46">
        <f>IF(C112="","",IF(COUNTIFS(Cmd_cle,AK112,Cmd_dateca,"&gt;0")=0,"",MAX(INDEX((Cmd_cle=AK112)*Cmd_dateca,0))))</f>
        <v/>
      </c>
      <c r="AF112" s="40">
        <f>IF(C112="","",SUMIFS(Cmd_montant,Cmd_cle,AK112,Cmd_dateca,"&gt;0"))</f>
        <v/>
      </c>
      <c r="AG112" s="40">
        <f>IF(C112="","",SUMIFS(Enc_montant,Enc_cle,AK112))</f>
        <v/>
      </c>
      <c r="AH112" s="40">
        <f>IF(C112="","",AF112-AG112)</f>
        <v/>
      </c>
      <c r="AI112" s="33">
        <f>IF(C112="","",IF(D112="Perdu","",IF(AND(AB112&lt;&gt;"",N(AB112)&lt;TODAY()),"Action en retard",IF(AND(D112="Client",AE112&lt;&gt;"",TODAY()-N(AE112)&gt;P_JoursInactif),"Client inactif",IF(AND(D112="Prospect",Z112=0,O112&lt;&gt;"",TODAY()-N(O112)&gt;P_JoursNonVisite),"Jamais visité","")))))</f>
        <v/>
      </c>
      <c r="AJ112" s="33">
        <f>IF(C112="","",C112&amp;" ["&amp;TEXT(A112,"000")&amp;"]")</f>
        <v/>
      </c>
      <c r="AK112" s="33">
        <f>IF(C112="","",X112&amp;"|"&amp;A112)</f>
        <v/>
      </c>
      <c r="AL112" s="47">
        <f>IF(C112="",0,IF(COUNTIFS(VC_cle,AK112)=0,0,MAX(INDEX((VC_cle=AK112)*(VC_date+ROW(VC_date)/100000),0))))</f>
        <v/>
      </c>
      <c r="AM112" s="47">
        <f>IF(AND(C112&lt;&gt;"",N(AB112)&gt;0,D112&lt;&gt;"Perdu"),AB112+ROW()/100000,0)</f>
        <v/>
      </c>
      <c r="AN112" s="48">
        <f>IF(N(AF112)&gt;0,ROUND(AF112,0)+ROW()/1000000,0)</f>
        <v/>
      </c>
    </row>
    <row r="113" ht="18" customHeight="1">
      <c r="A113" s="39" t="n">
        <v>108</v>
      </c>
      <c r="B113" s="33">
        <f>IF(C113="","",IF(X113="À RENSEIGNER","GIC",X113)&amp;"-"&amp;TEXT(A113,"000"))</f>
        <v/>
      </c>
      <c r="C113" s="36" t="n"/>
      <c r="D113" s="34">
        <f>IF(C113="","",IF(U113="☑ Oui","Perdu",IF(AD113&lt;&gt;"","Client","Prospect")))</f>
        <v/>
      </c>
      <c r="E113" s="36" t="n"/>
      <c r="F113" s="36" t="n"/>
      <c r="G113" s="44" t="n"/>
      <c r="H113" s="44" t="n"/>
      <c r="I113" s="36" t="n"/>
      <c r="J113" s="36" t="n"/>
      <c r="K113" s="41" t="n"/>
      <c r="L113" s="41" t="n"/>
      <c r="M113" s="36" t="n"/>
      <c r="N113" s="36" t="n"/>
      <c r="O113" s="32" t="n"/>
      <c r="P113" s="36" t="n"/>
      <c r="Q113" s="36" t="n"/>
      <c r="R113" s="34">
        <f>IF(P113="","",IFERROR(VLOOKUP(P113,T_Produits,2,FALSE),""))</f>
        <v/>
      </c>
      <c r="S113" s="36" t="n"/>
      <c r="T113" s="43" t="n"/>
      <c r="U113" s="43" t="n"/>
      <c r="V113" s="36" t="n"/>
      <c r="W113" s="36" t="n"/>
      <c r="X113" s="33">
        <f>IF(C113="","",Commercial_Id)</f>
        <v/>
      </c>
      <c r="Y113" s="33">
        <f>IF(E113="","",IF(E113="Particulier / ménage","Particulier","Entreprise"))</f>
        <v/>
      </c>
      <c r="Z113" s="39">
        <f>IF(C113="","",COUNTIFS(VC_cle,AK113,VC_type,"Visite sur place"))</f>
        <v/>
      </c>
      <c r="AA113" s="46">
        <f>IF(AL113=0,"",IF(INT(AL113)=0,"",INT(AL113)))</f>
        <v/>
      </c>
      <c r="AB113" s="46">
        <f>IF(AL113=0,"",IF(INDEX(VC_actiondate,ROUND(MOD(AL113,1)*100000,0)-5)=0,"",INDEX(VC_actiondate,ROUND(MOD(AL113,1)*100000,0)-5)))</f>
        <v/>
      </c>
      <c r="AC113" s="33">
        <f>IF(AL113=0,"",INDEX(VC_actiontexte,ROUND(MOD(AL113,1)*100000,0)-5)&amp;"")</f>
        <v/>
      </c>
      <c r="AD113" s="46">
        <f>IF(C113="","",IF(COUNTIFS(Cmd_cle,AK113,Cmd_dateca,"&gt;0")=0,"",SMALL(INDEX(Cmd_dateca+(((Cmd_cle&lt;&gt;AK113)+(Cmd_dateca=0))&gt;0)*1000000,0),1)))</f>
        <v/>
      </c>
      <c r="AE113" s="46">
        <f>IF(C113="","",IF(COUNTIFS(Cmd_cle,AK113,Cmd_dateca,"&gt;0")=0,"",MAX(INDEX((Cmd_cle=AK113)*Cmd_dateca,0))))</f>
        <v/>
      </c>
      <c r="AF113" s="40">
        <f>IF(C113="","",SUMIFS(Cmd_montant,Cmd_cle,AK113,Cmd_dateca,"&gt;0"))</f>
        <v/>
      </c>
      <c r="AG113" s="40">
        <f>IF(C113="","",SUMIFS(Enc_montant,Enc_cle,AK113))</f>
        <v/>
      </c>
      <c r="AH113" s="40">
        <f>IF(C113="","",AF113-AG113)</f>
        <v/>
      </c>
      <c r="AI113" s="33">
        <f>IF(C113="","",IF(D113="Perdu","",IF(AND(AB113&lt;&gt;"",N(AB113)&lt;TODAY()),"Action en retard",IF(AND(D113="Client",AE113&lt;&gt;"",TODAY()-N(AE113)&gt;P_JoursInactif),"Client inactif",IF(AND(D113="Prospect",Z113=0,O113&lt;&gt;"",TODAY()-N(O113)&gt;P_JoursNonVisite),"Jamais visité","")))))</f>
        <v/>
      </c>
      <c r="AJ113" s="33">
        <f>IF(C113="","",C113&amp;" ["&amp;TEXT(A113,"000")&amp;"]")</f>
        <v/>
      </c>
      <c r="AK113" s="33">
        <f>IF(C113="","",X113&amp;"|"&amp;A113)</f>
        <v/>
      </c>
      <c r="AL113" s="47">
        <f>IF(C113="",0,IF(COUNTIFS(VC_cle,AK113)=0,0,MAX(INDEX((VC_cle=AK113)*(VC_date+ROW(VC_date)/100000),0))))</f>
        <v/>
      </c>
      <c r="AM113" s="47">
        <f>IF(AND(C113&lt;&gt;"",N(AB113)&gt;0,D113&lt;&gt;"Perdu"),AB113+ROW()/100000,0)</f>
        <v/>
      </c>
      <c r="AN113" s="48">
        <f>IF(N(AF113)&gt;0,ROUND(AF113,0)+ROW()/1000000,0)</f>
        <v/>
      </c>
    </row>
    <row r="114" ht="18" customHeight="1">
      <c r="A114" s="39" t="n">
        <v>109</v>
      </c>
      <c r="B114" s="33">
        <f>IF(C114="","",IF(X114="À RENSEIGNER","GIC",X114)&amp;"-"&amp;TEXT(A114,"000"))</f>
        <v/>
      </c>
      <c r="C114" s="36" t="n"/>
      <c r="D114" s="34">
        <f>IF(C114="","",IF(U114="☑ Oui","Perdu",IF(AD114&lt;&gt;"","Client","Prospect")))</f>
        <v/>
      </c>
      <c r="E114" s="36" t="n"/>
      <c r="F114" s="36" t="n"/>
      <c r="G114" s="44" t="n"/>
      <c r="H114" s="44" t="n"/>
      <c r="I114" s="36" t="n"/>
      <c r="J114" s="36" t="n"/>
      <c r="K114" s="41" t="n"/>
      <c r="L114" s="41" t="n"/>
      <c r="M114" s="36" t="n"/>
      <c r="N114" s="36" t="n"/>
      <c r="O114" s="32" t="n"/>
      <c r="P114" s="36" t="n"/>
      <c r="Q114" s="36" t="n"/>
      <c r="R114" s="34">
        <f>IF(P114="","",IFERROR(VLOOKUP(P114,T_Produits,2,FALSE),""))</f>
        <v/>
      </c>
      <c r="S114" s="36" t="n"/>
      <c r="T114" s="43" t="n"/>
      <c r="U114" s="43" t="n"/>
      <c r="V114" s="36" t="n"/>
      <c r="W114" s="36" t="n"/>
      <c r="X114" s="33">
        <f>IF(C114="","",Commercial_Id)</f>
        <v/>
      </c>
      <c r="Y114" s="33">
        <f>IF(E114="","",IF(E114="Particulier / ménage","Particulier","Entreprise"))</f>
        <v/>
      </c>
      <c r="Z114" s="39">
        <f>IF(C114="","",COUNTIFS(VC_cle,AK114,VC_type,"Visite sur place"))</f>
        <v/>
      </c>
      <c r="AA114" s="46">
        <f>IF(AL114=0,"",IF(INT(AL114)=0,"",INT(AL114)))</f>
        <v/>
      </c>
      <c r="AB114" s="46">
        <f>IF(AL114=0,"",IF(INDEX(VC_actiondate,ROUND(MOD(AL114,1)*100000,0)-5)=0,"",INDEX(VC_actiondate,ROUND(MOD(AL114,1)*100000,0)-5)))</f>
        <v/>
      </c>
      <c r="AC114" s="33">
        <f>IF(AL114=0,"",INDEX(VC_actiontexte,ROUND(MOD(AL114,1)*100000,0)-5)&amp;"")</f>
        <v/>
      </c>
      <c r="AD114" s="46">
        <f>IF(C114="","",IF(COUNTIFS(Cmd_cle,AK114,Cmd_dateca,"&gt;0")=0,"",SMALL(INDEX(Cmd_dateca+(((Cmd_cle&lt;&gt;AK114)+(Cmd_dateca=0))&gt;0)*1000000,0),1)))</f>
        <v/>
      </c>
      <c r="AE114" s="46">
        <f>IF(C114="","",IF(COUNTIFS(Cmd_cle,AK114,Cmd_dateca,"&gt;0")=0,"",MAX(INDEX((Cmd_cle=AK114)*Cmd_dateca,0))))</f>
        <v/>
      </c>
      <c r="AF114" s="40">
        <f>IF(C114="","",SUMIFS(Cmd_montant,Cmd_cle,AK114,Cmd_dateca,"&gt;0"))</f>
        <v/>
      </c>
      <c r="AG114" s="40">
        <f>IF(C114="","",SUMIFS(Enc_montant,Enc_cle,AK114))</f>
        <v/>
      </c>
      <c r="AH114" s="40">
        <f>IF(C114="","",AF114-AG114)</f>
        <v/>
      </c>
      <c r="AI114" s="33">
        <f>IF(C114="","",IF(D114="Perdu","",IF(AND(AB114&lt;&gt;"",N(AB114)&lt;TODAY()),"Action en retard",IF(AND(D114="Client",AE114&lt;&gt;"",TODAY()-N(AE114)&gt;P_JoursInactif),"Client inactif",IF(AND(D114="Prospect",Z114=0,O114&lt;&gt;"",TODAY()-N(O114)&gt;P_JoursNonVisite),"Jamais visité","")))))</f>
        <v/>
      </c>
      <c r="AJ114" s="33">
        <f>IF(C114="","",C114&amp;" ["&amp;TEXT(A114,"000")&amp;"]")</f>
        <v/>
      </c>
      <c r="AK114" s="33">
        <f>IF(C114="","",X114&amp;"|"&amp;A114)</f>
        <v/>
      </c>
      <c r="AL114" s="47">
        <f>IF(C114="",0,IF(COUNTIFS(VC_cle,AK114)=0,0,MAX(INDEX((VC_cle=AK114)*(VC_date+ROW(VC_date)/100000),0))))</f>
        <v/>
      </c>
      <c r="AM114" s="47">
        <f>IF(AND(C114&lt;&gt;"",N(AB114)&gt;0,D114&lt;&gt;"Perdu"),AB114+ROW()/100000,0)</f>
        <v/>
      </c>
      <c r="AN114" s="48">
        <f>IF(N(AF114)&gt;0,ROUND(AF114,0)+ROW()/1000000,0)</f>
        <v/>
      </c>
    </row>
    <row r="115" ht="18" customHeight="1">
      <c r="A115" s="39" t="n">
        <v>110</v>
      </c>
      <c r="B115" s="33">
        <f>IF(C115="","",IF(X115="À RENSEIGNER","GIC",X115)&amp;"-"&amp;TEXT(A115,"000"))</f>
        <v/>
      </c>
      <c r="C115" s="36" t="n"/>
      <c r="D115" s="34">
        <f>IF(C115="","",IF(U115="☑ Oui","Perdu",IF(AD115&lt;&gt;"","Client","Prospect")))</f>
        <v/>
      </c>
      <c r="E115" s="36" t="n"/>
      <c r="F115" s="36" t="n"/>
      <c r="G115" s="44" t="n"/>
      <c r="H115" s="44" t="n"/>
      <c r="I115" s="36" t="n"/>
      <c r="J115" s="36" t="n"/>
      <c r="K115" s="41" t="n"/>
      <c r="L115" s="41" t="n"/>
      <c r="M115" s="36" t="n"/>
      <c r="N115" s="36" t="n"/>
      <c r="O115" s="32" t="n"/>
      <c r="P115" s="36" t="n"/>
      <c r="Q115" s="36" t="n"/>
      <c r="R115" s="34">
        <f>IF(P115="","",IFERROR(VLOOKUP(P115,T_Produits,2,FALSE),""))</f>
        <v/>
      </c>
      <c r="S115" s="36" t="n"/>
      <c r="T115" s="43" t="n"/>
      <c r="U115" s="43" t="n"/>
      <c r="V115" s="36" t="n"/>
      <c r="W115" s="36" t="n"/>
      <c r="X115" s="33">
        <f>IF(C115="","",Commercial_Id)</f>
        <v/>
      </c>
      <c r="Y115" s="33">
        <f>IF(E115="","",IF(E115="Particulier / ménage","Particulier","Entreprise"))</f>
        <v/>
      </c>
      <c r="Z115" s="39">
        <f>IF(C115="","",COUNTIFS(VC_cle,AK115,VC_type,"Visite sur place"))</f>
        <v/>
      </c>
      <c r="AA115" s="46">
        <f>IF(AL115=0,"",IF(INT(AL115)=0,"",INT(AL115)))</f>
        <v/>
      </c>
      <c r="AB115" s="46">
        <f>IF(AL115=0,"",IF(INDEX(VC_actiondate,ROUND(MOD(AL115,1)*100000,0)-5)=0,"",INDEX(VC_actiondate,ROUND(MOD(AL115,1)*100000,0)-5)))</f>
        <v/>
      </c>
      <c r="AC115" s="33">
        <f>IF(AL115=0,"",INDEX(VC_actiontexte,ROUND(MOD(AL115,1)*100000,0)-5)&amp;"")</f>
        <v/>
      </c>
      <c r="AD115" s="46">
        <f>IF(C115="","",IF(COUNTIFS(Cmd_cle,AK115,Cmd_dateca,"&gt;0")=0,"",SMALL(INDEX(Cmd_dateca+(((Cmd_cle&lt;&gt;AK115)+(Cmd_dateca=0))&gt;0)*1000000,0),1)))</f>
        <v/>
      </c>
      <c r="AE115" s="46">
        <f>IF(C115="","",IF(COUNTIFS(Cmd_cle,AK115,Cmd_dateca,"&gt;0")=0,"",MAX(INDEX((Cmd_cle=AK115)*Cmd_dateca,0))))</f>
        <v/>
      </c>
      <c r="AF115" s="40">
        <f>IF(C115="","",SUMIFS(Cmd_montant,Cmd_cle,AK115,Cmd_dateca,"&gt;0"))</f>
        <v/>
      </c>
      <c r="AG115" s="40">
        <f>IF(C115="","",SUMIFS(Enc_montant,Enc_cle,AK115))</f>
        <v/>
      </c>
      <c r="AH115" s="40">
        <f>IF(C115="","",AF115-AG115)</f>
        <v/>
      </c>
      <c r="AI115" s="33">
        <f>IF(C115="","",IF(D115="Perdu","",IF(AND(AB115&lt;&gt;"",N(AB115)&lt;TODAY()),"Action en retard",IF(AND(D115="Client",AE115&lt;&gt;"",TODAY()-N(AE115)&gt;P_JoursInactif),"Client inactif",IF(AND(D115="Prospect",Z115=0,O115&lt;&gt;"",TODAY()-N(O115)&gt;P_JoursNonVisite),"Jamais visité","")))))</f>
        <v/>
      </c>
      <c r="AJ115" s="33">
        <f>IF(C115="","",C115&amp;" ["&amp;TEXT(A115,"000")&amp;"]")</f>
        <v/>
      </c>
      <c r="AK115" s="33">
        <f>IF(C115="","",X115&amp;"|"&amp;A115)</f>
        <v/>
      </c>
      <c r="AL115" s="47">
        <f>IF(C115="",0,IF(COUNTIFS(VC_cle,AK115)=0,0,MAX(INDEX((VC_cle=AK115)*(VC_date+ROW(VC_date)/100000),0))))</f>
        <v/>
      </c>
      <c r="AM115" s="47">
        <f>IF(AND(C115&lt;&gt;"",N(AB115)&gt;0,D115&lt;&gt;"Perdu"),AB115+ROW()/100000,0)</f>
        <v/>
      </c>
      <c r="AN115" s="48">
        <f>IF(N(AF115)&gt;0,ROUND(AF115,0)+ROW()/1000000,0)</f>
        <v/>
      </c>
    </row>
    <row r="116" ht="18" customHeight="1">
      <c r="A116" s="39" t="n">
        <v>111</v>
      </c>
      <c r="B116" s="33">
        <f>IF(C116="","",IF(X116="À RENSEIGNER","GIC",X116)&amp;"-"&amp;TEXT(A116,"000"))</f>
        <v/>
      </c>
      <c r="C116" s="36" t="n"/>
      <c r="D116" s="34">
        <f>IF(C116="","",IF(U116="☑ Oui","Perdu",IF(AD116&lt;&gt;"","Client","Prospect")))</f>
        <v/>
      </c>
      <c r="E116" s="36" t="n"/>
      <c r="F116" s="36" t="n"/>
      <c r="G116" s="44" t="n"/>
      <c r="H116" s="44" t="n"/>
      <c r="I116" s="36" t="n"/>
      <c r="J116" s="36" t="n"/>
      <c r="K116" s="41" t="n"/>
      <c r="L116" s="41" t="n"/>
      <c r="M116" s="36" t="n"/>
      <c r="N116" s="36" t="n"/>
      <c r="O116" s="32" t="n"/>
      <c r="P116" s="36" t="n"/>
      <c r="Q116" s="36" t="n"/>
      <c r="R116" s="34">
        <f>IF(P116="","",IFERROR(VLOOKUP(P116,T_Produits,2,FALSE),""))</f>
        <v/>
      </c>
      <c r="S116" s="36" t="n"/>
      <c r="T116" s="43" t="n"/>
      <c r="U116" s="43" t="n"/>
      <c r="V116" s="36" t="n"/>
      <c r="W116" s="36" t="n"/>
      <c r="X116" s="33">
        <f>IF(C116="","",Commercial_Id)</f>
        <v/>
      </c>
      <c r="Y116" s="33">
        <f>IF(E116="","",IF(E116="Particulier / ménage","Particulier","Entreprise"))</f>
        <v/>
      </c>
      <c r="Z116" s="39">
        <f>IF(C116="","",COUNTIFS(VC_cle,AK116,VC_type,"Visite sur place"))</f>
        <v/>
      </c>
      <c r="AA116" s="46">
        <f>IF(AL116=0,"",IF(INT(AL116)=0,"",INT(AL116)))</f>
        <v/>
      </c>
      <c r="AB116" s="46">
        <f>IF(AL116=0,"",IF(INDEX(VC_actiondate,ROUND(MOD(AL116,1)*100000,0)-5)=0,"",INDEX(VC_actiondate,ROUND(MOD(AL116,1)*100000,0)-5)))</f>
        <v/>
      </c>
      <c r="AC116" s="33">
        <f>IF(AL116=0,"",INDEX(VC_actiontexte,ROUND(MOD(AL116,1)*100000,0)-5)&amp;"")</f>
        <v/>
      </c>
      <c r="AD116" s="46">
        <f>IF(C116="","",IF(COUNTIFS(Cmd_cle,AK116,Cmd_dateca,"&gt;0")=0,"",SMALL(INDEX(Cmd_dateca+(((Cmd_cle&lt;&gt;AK116)+(Cmd_dateca=0))&gt;0)*1000000,0),1)))</f>
        <v/>
      </c>
      <c r="AE116" s="46">
        <f>IF(C116="","",IF(COUNTIFS(Cmd_cle,AK116,Cmd_dateca,"&gt;0")=0,"",MAX(INDEX((Cmd_cle=AK116)*Cmd_dateca,0))))</f>
        <v/>
      </c>
      <c r="AF116" s="40">
        <f>IF(C116="","",SUMIFS(Cmd_montant,Cmd_cle,AK116,Cmd_dateca,"&gt;0"))</f>
        <v/>
      </c>
      <c r="AG116" s="40">
        <f>IF(C116="","",SUMIFS(Enc_montant,Enc_cle,AK116))</f>
        <v/>
      </c>
      <c r="AH116" s="40">
        <f>IF(C116="","",AF116-AG116)</f>
        <v/>
      </c>
      <c r="AI116" s="33">
        <f>IF(C116="","",IF(D116="Perdu","",IF(AND(AB116&lt;&gt;"",N(AB116)&lt;TODAY()),"Action en retard",IF(AND(D116="Client",AE116&lt;&gt;"",TODAY()-N(AE116)&gt;P_JoursInactif),"Client inactif",IF(AND(D116="Prospect",Z116=0,O116&lt;&gt;"",TODAY()-N(O116)&gt;P_JoursNonVisite),"Jamais visité","")))))</f>
        <v/>
      </c>
      <c r="AJ116" s="33">
        <f>IF(C116="","",C116&amp;" ["&amp;TEXT(A116,"000")&amp;"]")</f>
        <v/>
      </c>
      <c r="AK116" s="33">
        <f>IF(C116="","",X116&amp;"|"&amp;A116)</f>
        <v/>
      </c>
      <c r="AL116" s="47">
        <f>IF(C116="",0,IF(COUNTIFS(VC_cle,AK116)=0,0,MAX(INDEX((VC_cle=AK116)*(VC_date+ROW(VC_date)/100000),0))))</f>
        <v/>
      </c>
      <c r="AM116" s="47">
        <f>IF(AND(C116&lt;&gt;"",N(AB116)&gt;0,D116&lt;&gt;"Perdu"),AB116+ROW()/100000,0)</f>
        <v/>
      </c>
      <c r="AN116" s="48">
        <f>IF(N(AF116)&gt;0,ROUND(AF116,0)+ROW()/1000000,0)</f>
        <v/>
      </c>
    </row>
    <row r="117" ht="18" customHeight="1">
      <c r="A117" s="39" t="n">
        <v>112</v>
      </c>
      <c r="B117" s="33">
        <f>IF(C117="","",IF(X117="À RENSEIGNER","GIC",X117)&amp;"-"&amp;TEXT(A117,"000"))</f>
        <v/>
      </c>
      <c r="C117" s="36" t="n"/>
      <c r="D117" s="34">
        <f>IF(C117="","",IF(U117="☑ Oui","Perdu",IF(AD117&lt;&gt;"","Client","Prospect")))</f>
        <v/>
      </c>
      <c r="E117" s="36" t="n"/>
      <c r="F117" s="36" t="n"/>
      <c r="G117" s="44" t="n"/>
      <c r="H117" s="44" t="n"/>
      <c r="I117" s="36" t="n"/>
      <c r="J117" s="36" t="n"/>
      <c r="K117" s="41" t="n"/>
      <c r="L117" s="41" t="n"/>
      <c r="M117" s="36" t="n"/>
      <c r="N117" s="36" t="n"/>
      <c r="O117" s="32" t="n"/>
      <c r="P117" s="36" t="n"/>
      <c r="Q117" s="36" t="n"/>
      <c r="R117" s="34">
        <f>IF(P117="","",IFERROR(VLOOKUP(P117,T_Produits,2,FALSE),""))</f>
        <v/>
      </c>
      <c r="S117" s="36" t="n"/>
      <c r="T117" s="43" t="n"/>
      <c r="U117" s="43" t="n"/>
      <c r="V117" s="36" t="n"/>
      <c r="W117" s="36" t="n"/>
      <c r="X117" s="33">
        <f>IF(C117="","",Commercial_Id)</f>
        <v/>
      </c>
      <c r="Y117" s="33">
        <f>IF(E117="","",IF(E117="Particulier / ménage","Particulier","Entreprise"))</f>
        <v/>
      </c>
      <c r="Z117" s="39">
        <f>IF(C117="","",COUNTIFS(VC_cle,AK117,VC_type,"Visite sur place"))</f>
        <v/>
      </c>
      <c r="AA117" s="46">
        <f>IF(AL117=0,"",IF(INT(AL117)=0,"",INT(AL117)))</f>
        <v/>
      </c>
      <c r="AB117" s="46">
        <f>IF(AL117=0,"",IF(INDEX(VC_actiondate,ROUND(MOD(AL117,1)*100000,0)-5)=0,"",INDEX(VC_actiondate,ROUND(MOD(AL117,1)*100000,0)-5)))</f>
        <v/>
      </c>
      <c r="AC117" s="33">
        <f>IF(AL117=0,"",INDEX(VC_actiontexte,ROUND(MOD(AL117,1)*100000,0)-5)&amp;"")</f>
        <v/>
      </c>
      <c r="AD117" s="46">
        <f>IF(C117="","",IF(COUNTIFS(Cmd_cle,AK117,Cmd_dateca,"&gt;0")=0,"",SMALL(INDEX(Cmd_dateca+(((Cmd_cle&lt;&gt;AK117)+(Cmd_dateca=0))&gt;0)*1000000,0),1)))</f>
        <v/>
      </c>
      <c r="AE117" s="46">
        <f>IF(C117="","",IF(COUNTIFS(Cmd_cle,AK117,Cmd_dateca,"&gt;0")=0,"",MAX(INDEX((Cmd_cle=AK117)*Cmd_dateca,0))))</f>
        <v/>
      </c>
      <c r="AF117" s="40">
        <f>IF(C117="","",SUMIFS(Cmd_montant,Cmd_cle,AK117,Cmd_dateca,"&gt;0"))</f>
        <v/>
      </c>
      <c r="AG117" s="40">
        <f>IF(C117="","",SUMIFS(Enc_montant,Enc_cle,AK117))</f>
        <v/>
      </c>
      <c r="AH117" s="40">
        <f>IF(C117="","",AF117-AG117)</f>
        <v/>
      </c>
      <c r="AI117" s="33">
        <f>IF(C117="","",IF(D117="Perdu","",IF(AND(AB117&lt;&gt;"",N(AB117)&lt;TODAY()),"Action en retard",IF(AND(D117="Client",AE117&lt;&gt;"",TODAY()-N(AE117)&gt;P_JoursInactif),"Client inactif",IF(AND(D117="Prospect",Z117=0,O117&lt;&gt;"",TODAY()-N(O117)&gt;P_JoursNonVisite),"Jamais visité","")))))</f>
        <v/>
      </c>
      <c r="AJ117" s="33">
        <f>IF(C117="","",C117&amp;" ["&amp;TEXT(A117,"000")&amp;"]")</f>
        <v/>
      </c>
      <c r="AK117" s="33">
        <f>IF(C117="","",X117&amp;"|"&amp;A117)</f>
        <v/>
      </c>
      <c r="AL117" s="47">
        <f>IF(C117="",0,IF(COUNTIFS(VC_cle,AK117)=0,0,MAX(INDEX((VC_cle=AK117)*(VC_date+ROW(VC_date)/100000),0))))</f>
        <v/>
      </c>
      <c r="AM117" s="47">
        <f>IF(AND(C117&lt;&gt;"",N(AB117)&gt;0,D117&lt;&gt;"Perdu"),AB117+ROW()/100000,0)</f>
        <v/>
      </c>
      <c r="AN117" s="48">
        <f>IF(N(AF117)&gt;0,ROUND(AF117,0)+ROW()/1000000,0)</f>
        <v/>
      </c>
    </row>
    <row r="118" ht="18" customHeight="1">
      <c r="A118" s="39" t="n">
        <v>113</v>
      </c>
      <c r="B118" s="33">
        <f>IF(C118="","",IF(X118="À RENSEIGNER","GIC",X118)&amp;"-"&amp;TEXT(A118,"000"))</f>
        <v/>
      </c>
      <c r="C118" s="36" t="n"/>
      <c r="D118" s="34">
        <f>IF(C118="","",IF(U118="☑ Oui","Perdu",IF(AD118&lt;&gt;"","Client","Prospect")))</f>
        <v/>
      </c>
      <c r="E118" s="36" t="n"/>
      <c r="F118" s="36" t="n"/>
      <c r="G118" s="44" t="n"/>
      <c r="H118" s="44" t="n"/>
      <c r="I118" s="36" t="n"/>
      <c r="J118" s="36" t="n"/>
      <c r="K118" s="41" t="n"/>
      <c r="L118" s="41" t="n"/>
      <c r="M118" s="36" t="n"/>
      <c r="N118" s="36" t="n"/>
      <c r="O118" s="32" t="n"/>
      <c r="P118" s="36" t="n"/>
      <c r="Q118" s="36" t="n"/>
      <c r="R118" s="34">
        <f>IF(P118="","",IFERROR(VLOOKUP(P118,T_Produits,2,FALSE),""))</f>
        <v/>
      </c>
      <c r="S118" s="36" t="n"/>
      <c r="T118" s="43" t="n"/>
      <c r="U118" s="43" t="n"/>
      <c r="V118" s="36" t="n"/>
      <c r="W118" s="36" t="n"/>
      <c r="X118" s="33">
        <f>IF(C118="","",Commercial_Id)</f>
        <v/>
      </c>
      <c r="Y118" s="33">
        <f>IF(E118="","",IF(E118="Particulier / ménage","Particulier","Entreprise"))</f>
        <v/>
      </c>
      <c r="Z118" s="39">
        <f>IF(C118="","",COUNTIFS(VC_cle,AK118,VC_type,"Visite sur place"))</f>
        <v/>
      </c>
      <c r="AA118" s="46">
        <f>IF(AL118=0,"",IF(INT(AL118)=0,"",INT(AL118)))</f>
        <v/>
      </c>
      <c r="AB118" s="46">
        <f>IF(AL118=0,"",IF(INDEX(VC_actiondate,ROUND(MOD(AL118,1)*100000,0)-5)=0,"",INDEX(VC_actiondate,ROUND(MOD(AL118,1)*100000,0)-5)))</f>
        <v/>
      </c>
      <c r="AC118" s="33">
        <f>IF(AL118=0,"",INDEX(VC_actiontexte,ROUND(MOD(AL118,1)*100000,0)-5)&amp;"")</f>
        <v/>
      </c>
      <c r="AD118" s="46">
        <f>IF(C118="","",IF(COUNTIFS(Cmd_cle,AK118,Cmd_dateca,"&gt;0")=0,"",SMALL(INDEX(Cmd_dateca+(((Cmd_cle&lt;&gt;AK118)+(Cmd_dateca=0))&gt;0)*1000000,0),1)))</f>
        <v/>
      </c>
      <c r="AE118" s="46">
        <f>IF(C118="","",IF(COUNTIFS(Cmd_cle,AK118,Cmd_dateca,"&gt;0")=0,"",MAX(INDEX((Cmd_cle=AK118)*Cmd_dateca,0))))</f>
        <v/>
      </c>
      <c r="AF118" s="40">
        <f>IF(C118="","",SUMIFS(Cmd_montant,Cmd_cle,AK118,Cmd_dateca,"&gt;0"))</f>
        <v/>
      </c>
      <c r="AG118" s="40">
        <f>IF(C118="","",SUMIFS(Enc_montant,Enc_cle,AK118))</f>
        <v/>
      </c>
      <c r="AH118" s="40">
        <f>IF(C118="","",AF118-AG118)</f>
        <v/>
      </c>
      <c r="AI118" s="33">
        <f>IF(C118="","",IF(D118="Perdu","",IF(AND(AB118&lt;&gt;"",N(AB118)&lt;TODAY()),"Action en retard",IF(AND(D118="Client",AE118&lt;&gt;"",TODAY()-N(AE118)&gt;P_JoursInactif),"Client inactif",IF(AND(D118="Prospect",Z118=0,O118&lt;&gt;"",TODAY()-N(O118)&gt;P_JoursNonVisite),"Jamais visité","")))))</f>
        <v/>
      </c>
      <c r="AJ118" s="33">
        <f>IF(C118="","",C118&amp;" ["&amp;TEXT(A118,"000")&amp;"]")</f>
        <v/>
      </c>
      <c r="AK118" s="33">
        <f>IF(C118="","",X118&amp;"|"&amp;A118)</f>
        <v/>
      </c>
      <c r="AL118" s="47">
        <f>IF(C118="",0,IF(COUNTIFS(VC_cle,AK118)=0,0,MAX(INDEX((VC_cle=AK118)*(VC_date+ROW(VC_date)/100000),0))))</f>
        <v/>
      </c>
      <c r="AM118" s="47">
        <f>IF(AND(C118&lt;&gt;"",N(AB118)&gt;0,D118&lt;&gt;"Perdu"),AB118+ROW()/100000,0)</f>
        <v/>
      </c>
      <c r="AN118" s="48">
        <f>IF(N(AF118)&gt;0,ROUND(AF118,0)+ROW()/1000000,0)</f>
        <v/>
      </c>
    </row>
    <row r="119" ht="18" customHeight="1">
      <c r="A119" s="39" t="n">
        <v>114</v>
      </c>
      <c r="B119" s="33">
        <f>IF(C119="","",IF(X119="À RENSEIGNER","GIC",X119)&amp;"-"&amp;TEXT(A119,"000"))</f>
        <v/>
      </c>
      <c r="C119" s="36" t="n"/>
      <c r="D119" s="34">
        <f>IF(C119="","",IF(U119="☑ Oui","Perdu",IF(AD119&lt;&gt;"","Client","Prospect")))</f>
        <v/>
      </c>
      <c r="E119" s="36" t="n"/>
      <c r="F119" s="36" t="n"/>
      <c r="G119" s="44" t="n"/>
      <c r="H119" s="44" t="n"/>
      <c r="I119" s="36" t="n"/>
      <c r="J119" s="36" t="n"/>
      <c r="K119" s="41" t="n"/>
      <c r="L119" s="41" t="n"/>
      <c r="M119" s="36" t="n"/>
      <c r="N119" s="36" t="n"/>
      <c r="O119" s="32" t="n"/>
      <c r="P119" s="36" t="n"/>
      <c r="Q119" s="36" t="n"/>
      <c r="R119" s="34">
        <f>IF(P119="","",IFERROR(VLOOKUP(P119,T_Produits,2,FALSE),""))</f>
        <v/>
      </c>
      <c r="S119" s="36" t="n"/>
      <c r="T119" s="43" t="n"/>
      <c r="U119" s="43" t="n"/>
      <c r="V119" s="36" t="n"/>
      <c r="W119" s="36" t="n"/>
      <c r="X119" s="33">
        <f>IF(C119="","",Commercial_Id)</f>
        <v/>
      </c>
      <c r="Y119" s="33">
        <f>IF(E119="","",IF(E119="Particulier / ménage","Particulier","Entreprise"))</f>
        <v/>
      </c>
      <c r="Z119" s="39">
        <f>IF(C119="","",COUNTIFS(VC_cle,AK119,VC_type,"Visite sur place"))</f>
        <v/>
      </c>
      <c r="AA119" s="46">
        <f>IF(AL119=0,"",IF(INT(AL119)=0,"",INT(AL119)))</f>
        <v/>
      </c>
      <c r="AB119" s="46">
        <f>IF(AL119=0,"",IF(INDEX(VC_actiondate,ROUND(MOD(AL119,1)*100000,0)-5)=0,"",INDEX(VC_actiondate,ROUND(MOD(AL119,1)*100000,0)-5)))</f>
        <v/>
      </c>
      <c r="AC119" s="33">
        <f>IF(AL119=0,"",INDEX(VC_actiontexte,ROUND(MOD(AL119,1)*100000,0)-5)&amp;"")</f>
        <v/>
      </c>
      <c r="AD119" s="46">
        <f>IF(C119="","",IF(COUNTIFS(Cmd_cle,AK119,Cmd_dateca,"&gt;0")=0,"",SMALL(INDEX(Cmd_dateca+(((Cmd_cle&lt;&gt;AK119)+(Cmd_dateca=0))&gt;0)*1000000,0),1)))</f>
        <v/>
      </c>
      <c r="AE119" s="46">
        <f>IF(C119="","",IF(COUNTIFS(Cmd_cle,AK119,Cmd_dateca,"&gt;0")=0,"",MAX(INDEX((Cmd_cle=AK119)*Cmd_dateca,0))))</f>
        <v/>
      </c>
      <c r="AF119" s="40">
        <f>IF(C119="","",SUMIFS(Cmd_montant,Cmd_cle,AK119,Cmd_dateca,"&gt;0"))</f>
        <v/>
      </c>
      <c r="AG119" s="40">
        <f>IF(C119="","",SUMIFS(Enc_montant,Enc_cle,AK119))</f>
        <v/>
      </c>
      <c r="AH119" s="40">
        <f>IF(C119="","",AF119-AG119)</f>
        <v/>
      </c>
      <c r="AI119" s="33">
        <f>IF(C119="","",IF(D119="Perdu","",IF(AND(AB119&lt;&gt;"",N(AB119)&lt;TODAY()),"Action en retard",IF(AND(D119="Client",AE119&lt;&gt;"",TODAY()-N(AE119)&gt;P_JoursInactif),"Client inactif",IF(AND(D119="Prospect",Z119=0,O119&lt;&gt;"",TODAY()-N(O119)&gt;P_JoursNonVisite),"Jamais visité","")))))</f>
        <v/>
      </c>
      <c r="AJ119" s="33">
        <f>IF(C119="","",C119&amp;" ["&amp;TEXT(A119,"000")&amp;"]")</f>
        <v/>
      </c>
      <c r="AK119" s="33">
        <f>IF(C119="","",X119&amp;"|"&amp;A119)</f>
        <v/>
      </c>
      <c r="AL119" s="47">
        <f>IF(C119="",0,IF(COUNTIFS(VC_cle,AK119)=0,0,MAX(INDEX((VC_cle=AK119)*(VC_date+ROW(VC_date)/100000),0))))</f>
        <v/>
      </c>
      <c r="AM119" s="47">
        <f>IF(AND(C119&lt;&gt;"",N(AB119)&gt;0,D119&lt;&gt;"Perdu"),AB119+ROW()/100000,0)</f>
        <v/>
      </c>
      <c r="AN119" s="48">
        <f>IF(N(AF119)&gt;0,ROUND(AF119,0)+ROW()/1000000,0)</f>
        <v/>
      </c>
    </row>
    <row r="120" ht="18" customHeight="1">
      <c r="A120" s="39" t="n">
        <v>115</v>
      </c>
      <c r="B120" s="33">
        <f>IF(C120="","",IF(X120="À RENSEIGNER","GIC",X120)&amp;"-"&amp;TEXT(A120,"000"))</f>
        <v/>
      </c>
      <c r="C120" s="36" t="n"/>
      <c r="D120" s="34">
        <f>IF(C120="","",IF(U120="☑ Oui","Perdu",IF(AD120&lt;&gt;"","Client","Prospect")))</f>
        <v/>
      </c>
      <c r="E120" s="36" t="n"/>
      <c r="F120" s="36" t="n"/>
      <c r="G120" s="44" t="n"/>
      <c r="H120" s="44" t="n"/>
      <c r="I120" s="36" t="n"/>
      <c r="J120" s="36" t="n"/>
      <c r="K120" s="41" t="n"/>
      <c r="L120" s="41" t="n"/>
      <c r="M120" s="36" t="n"/>
      <c r="N120" s="36" t="n"/>
      <c r="O120" s="32" t="n"/>
      <c r="P120" s="36" t="n"/>
      <c r="Q120" s="36" t="n"/>
      <c r="R120" s="34">
        <f>IF(P120="","",IFERROR(VLOOKUP(P120,T_Produits,2,FALSE),""))</f>
        <v/>
      </c>
      <c r="S120" s="36" t="n"/>
      <c r="T120" s="43" t="n"/>
      <c r="U120" s="43" t="n"/>
      <c r="V120" s="36" t="n"/>
      <c r="W120" s="36" t="n"/>
      <c r="X120" s="33">
        <f>IF(C120="","",Commercial_Id)</f>
        <v/>
      </c>
      <c r="Y120" s="33">
        <f>IF(E120="","",IF(E120="Particulier / ménage","Particulier","Entreprise"))</f>
        <v/>
      </c>
      <c r="Z120" s="39">
        <f>IF(C120="","",COUNTIFS(VC_cle,AK120,VC_type,"Visite sur place"))</f>
        <v/>
      </c>
      <c r="AA120" s="46">
        <f>IF(AL120=0,"",IF(INT(AL120)=0,"",INT(AL120)))</f>
        <v/>
      </c>
      <c r="AB120" s="46">
        <f>IF(AL120=0,"",IF(INDEX(VC_actiondate,ROUND(MOD(AL120,1)*100000,0)-5)=0,"",INDEX(VC_actiondate,ROUND(MOD(AL120,1)*100000,0)-5)))</f>
        <v/>
      </c>
      <c r="AC120" s="33">
        <f>IF(AL120=0,"",INDEX(VC_actiontexte,ROUND(MOD(AL120,1)*100000,0)-5)&amp;"")</f>
        <v/>
      </c>
      <c r="AD120" s="46">
        <f>IF(C120="","",IF(COUNTIFS(Cmd_cle,AK120,Cmd_dateca,"&gt;0")=0,"",SMALL(INDEX(Cmd_dateca+(((Cmd_cle&lt;&gt;AK120)+(Cmd_dateca=0))&gt;0)*1000000,0),1)))</f>
        <v/>
      </c>
      <c r="AE120" s="46">
        <f>IF(C120="","",IF(COUNTIFS(Cmd_cle,AK120,Cmd_dateca,"&gt;0")=0,"",MAX(INDEX((Cmd_cle=AK120)*Cmd_dateca,0))))</f>
        <v/>
      </c>
      <c r="AF120" s="40">
        <f>IF(C120="","",SUMIFS(Cmd_montant,Cmd_cle,AK120,Cmd_dateca,"&gt;0"))</f>
        <v/>
      </c>
      <c r="AG120" s="40">
        <f>IF(C120="","",SUMIFS(Enc_montant,Enc_cle,AK120))</f>
        <v/>
      </c>
      <c r="AH120" s="40">
        <f>IF(C120="","",AF120-AG120)</f>
        <v/>
      </c>
      <c r="AI120" s="33">
        <f>IF(C120="","",IF(D120="Perdu","",IF(AND(AB120&lt;&gt;"",N(AB120)&lt;TODAY()),"Action en retard",IF(AND(D120="Client",AE120&lt;&gt;"",TODAY()-N(AE120)&gt;P_JoursInactif),"Client inactif",IF(AND(D120="Prospect",Z120=0,O120&lt;&gt;"",TODAY()-N(O120)&gt;P_JoursNonVisite),"Jamais visité","")))))</f>
        <v/>
      </c>
      <c r="AJ120" s="33">
        <f>IF(C120="","",C120&amp;" ["&amp;TEXT(A120,"000")&amp;"]")</f>
        <v/>
      </c>
      <c r="AK120" s="33">
        <f>IF(C120="","",X120&amp;"|"&amp;A120)</f>
        <v/>
      </c>
      <c r="AL120" s="47">
        <f>IF(C120="",0,IF(COUNTIFS(VC_cle,AK120)=0,0,MAX(INDEX((VC_cle=AK120)*(VC_date+ROW(VC_date)/100000),0))))</f>
        <v/>
      </c>
      <c r="AM120" s="47">
        <f>IF(AND(C120&lt;&gt;"",N(AB120)&gt;0,D120&lt;&gt;"Perdu"),AB120+ROW()/100000,0)</f>
        <v/>
      </c>
      <c r="AN120" s="48">
        <f>IF(N(AF120)&gt;0,ROUND(AF120,0)+ROW()/1000000,0)</f>
        <v/>
      </c>
    </row>
    <row r="121" ht="18" customHeight="1">
      <c r="A121" s="39" t="n">
        <v>116</v>
      </c>
      <c r="B121" s="33">
        <f>IF(C121="","",IF(X121="À RENSEIGNER","GIC",X121)&amp;"-"&amp;TEXT(A121,"000"))</f>
        <v/>
      </c>
      <c r="C121" s="36" t="n"/>
      <c r="D121" s="34">
        <f>IF(C121="","",IF(U121="☑ Oui","Perdu",IF(AD121&lt;&gt;"","Client","Prospect")))</f>
        <v/>
      </c>
      <c r="E121" s="36" t="n"/>
      <c r="F121" s="36" t="n"/>
      <c r="G121" s="44" t="n"/>
      <c r="H121" s="44" t="n"/>
      <c r="I121" s="36" t="n"/>
      <c r="J121" s="36" t="n"/>
      <c r="K121" s="41" t="n"/>
      <c r="L121" s="41" t="n"/>
      <c r="M121" s="36" t="n"/>
      <c r="N121" s="36" t="n"/>
      <c r="O121" s="32" t="n"/>
      <c r="P121" s="36" t="n"/>
      <c r="Q121" s="36" t="n"/>
      <c r="R121" s="34">
        <f>IF(P121="","",IFERROR(VLOOKUP(P121,T_Produits,2,FALSE),""))</f>
        <v/>
      </c>
      <c r="S121" s="36" t="n"/>
      <c r="T121" s="43" t="n"/>
      <c r="U121" s="43" t="n"/>
      <c r="V121" s="36" t="n"/>
      <c r="W121" s="36" t="n"/>
      <c r="X121" s="33">
        <f>IF(C121="","",Commercial_Id)</f>
        <v/>
      </c>
      <c r="Y121" s="33">
        <f>IF(E121="","",IF(E121="Particulier / ménage","Particulier","Entreprise"))</f>
        <v/>
      </c>
      <c r="Z121" s="39">
        <f>IF(C121="","",COUNTIFS(VC_cle,AK121,VC_type,"Visite sur place"))</f>
        <v/>
      </c>
      <c r="AA121" s="46">
        <f>IF(AL121=0,"",IF(INT(AL121)=0,"",INT(AL121)))</f>
        <v/>
      </c>
      <c r="AB121" s="46">
        <f>IF(AL121=0,"",IF(INDEX(VC_actiondate,ROUND(MOD(AL121,1)*100000,0)-5)=0,"",INDEX(VC_actiondate,ROUND(MOD(AL121,1)*100000,0)-5)))</f>
        <v/>
      </c>
      <c r="AC121" s="33">
        <f>IF(AL121=0,"",INDEX(VC_actiontexte,ROUND(MOD(AL121,1)*100000,0)-5)&amp;"")</f>
        <v/>
      </c>
      <c r="AD121" s="46">
        <f>IF(C121="","",IF(COUNTIFS(Cmd_cle,AK121,Cmd_dateca,"&gt;0")=0,"",SMALL(INDEX(Cmd_dateca+(((Cmd_cle&lt;&gt;AK121)+(Cmd_dateca=0))&gt;0)*1000000,0),1)))</f>
        <v/>
      </c>
      <c r="AE121" s="46">
        <f>IF(C121="","",IF(COUNTIFS(Cmd_cle,AK121,Cmd_dateca,"&gt;0")=0,"",MAX(INDEX((Cmd_cle=AK121)*Cmd_dateca,0))))</f>
        <v/>
      </c>
      <c r="AF121" s="40">
        <f>IF(C121="","",SUMIFS(Cmd_montant,Cmd_cle,AK121,Cmd_dateca,"&gt;0"))</f>
        <v/>
      </c>
      <c r="AG121" s="40">
        <f>IF(C121="","",SUMIFS(Enc_montant,Enc_cle,AK121))</f>
        <v/>
      </c>
      <c r="AH121" s="40">
        <f>IF(C121="","",AF121-AG121)</f>
        <v/>
      </c>
      <c r="AI121" s="33">
        <f>IF(C121="","",IF(D121="Perdu","",IF(AND(AB121&lt;&gt;"",N(AB121)&lt;TODAY()),"Action en retard",IF(AND(D121="Client",AE121&lt;&gt;"",TODAY()-N(AE121)&gt;P_JoursInactif),"Client inactif",IF(AND(D121="Prospect",Z121=0,O121&lt;&gt;"",TODAY()-N(O121)&gt;P_JoursNonVisite),"Jamais visité","")))))</f>
        <v/>
      </c>
      <c r="AJ121" s="33">
        <f>IF(C121="","",C121&amp;" ["&amp;TEXT(A121,"000")&amp;"]")</f>
        <v/>
      </c>
      <c r="AK121" s="33">
        <f>IF(C121="","",X121&amp;"|"&amp;A121)</f>
        <v/>
      </c>
      <c r="AL121" s="47">
        <f>IF(C121="",0,IF(COUNTIFS(VC_cle,AK121)=0,0,MAX(INDEX((VC_cle=AK121)*(VC_date+ROW(VC_date)/100000),0))))</f>
        <v/>
      </c>
      <c r="AM121" s="47">
        <f>IF(AND(C121&lt;&gt;"",N(AB121)&gt;0,D121&lt;&gt;"Perdu"),AB121+ROW()/100000,0)</f>
        <v/>
      </c>
      <c r="AN121" s="48">
        <f>IF(N(AF121)&gt;0,ROUND(AF121,0)+ROW()/1000000,0)</f>
        <v/>
      </c>
    </row>
    <row r="122" ht="18" customHeight="1">
      <c r="A122" s="39" t="n">
        <v>117</v>
      </c>
      <c r="B122" s="33">
        <f>IF(C122="","",IF(X122="À RENSEIGNER","GIC",X122)&amp;"-"&amp;TEXT(A122,"000"))</f>
        <v/>
      </c>
      <c r="C122" s="36" t="n"/>
      <c r="D122" s="34">
        <f>IF(C122="","",IF(U122="☑ Oui","Perdu",IF(AD122&lt;&gt;"","Client","Prospect")))</f>
        <v/>
      </c>
      <c r="E122" s="36" t="n"/>
      <c r="F122" s="36" t="n"/>
      <c r="G122" s="44" t="n"/>
      <c r="H122" s="44" t="n"/>
      <c r="I122" s="36" t="n"/>
      <c r="J122" s="36" t="n"/>
      <c r="K122" s="41" t="n"/>
      <c r="L122" s="41" t="n"/>
      <c r="M122" s="36" t="n"/>
      <c r="N122" s="36" t="n"/>
      <c r="O122" s="32" t="n"/>
      <c r="P122" s="36" t="n"/>
      <c r="Q122" s="36" t="n"/>
      <c r="R122" s="34">
        <f>IF(P122="","",IFERROR(VLOOKUP(P122,T_Produits,2,FALSE),""))</f>
        <v/>
      </c>
      <c r="S122" s="36" t="n"/>
      <c r="T122" s="43" t="n"/>
      <c r="U122" s="43" t="n"/>
      <c r="V122" s="36" t="n"/>
      <c r="W122" s="36" t="n"/>
      <c r="X122" s="33">
        <f>IF(C122="","",Commercial_Id)</f>
        <v/>
      </c>
      <c r="Y122" s="33">
        <f>IF(E122="","",IF(E122="Particulier / ménage","Particulier","Entreprise"))</f>
        <v/>
      </c>
      <c r="Z122" s="39">
        <f>IF(C122="","",COUNTIFS(VC_cle,AK122,VC_type,"Visite sur place"))</f>
        <v/>
      </c>
      <c r="AA122" s="46">
        <f>IF(AL122=0,"",IF(INT(AL122)=0,"",INT(AL122)))</f>
        <v/>
      </c>
      <c r="AB122" s="46">
        <f>IF(AL122=0,"",IF(INDEX(VC_actiondate,ROUND(MOD(AL122,1)*100000,0)-5)=0,"",INDEX(VC_actiondate,ROUND(MOD(AL122,1)*100000,0)-5)))</f>
        <v/>
      </c>
      <c r="AC122" s="33">
        <f>IF(AL122=0,"",INDEX(VC_actiontexte,ROUND(MOD(AL122,1)*100000,0)-5)&amp;"")</f>
        <v/>
      </c>
      <c r="AD122" s="46">
        <f>IF(C122="","",IF(COUNTIFS(Cmd_cle,AK122,Cmd_dateca,"&gt;0")=0,"",SMALL(INDEX(Cmd_dateca+(((Cmd_cle&lt;&gt;AK122)+(Cmd_dateca=0))&gt;0)*1000000,0),1)))</f>
        <v/>
      </c>
      <c r="AE122" s="46">
        <f>IF(C122="","",IF(COUNTIFS(Cmd_cle,AK122,Cmd_dateca,"&gt;0")=0,"",MAX(INDEX((Cmd_cle=AK122)*Cmd_dateca,0))))</f>
        <v/>
      </c>
      <c r="AF122" s="40">
        <f>IF(C122="","",SUMIFS(Cmd_montant,Cmd_cle,AK122,Cmd_dateca,"&gt;0"))</f>
        <v/>
      </c>
      <c r="AG122" s="40">
        <f>IF(C122="","",SUMIFS(Enc_montant,Enc_cle,AK122))</f>
        <v/>
      </c>
      <c r="AH122" s="40">
        <f>IF(C122="","",AF122-AG122)</f>
        <v/>
      </c>
      <c r="AI122" s="33">
        <f>IF(C122="","",IF(D122="Perdu","",IF(AND(AB122&lt;&gt;"",N(AB122)&lt;TODAY()),"Action en retard",IF(AND(D122="Client",AE122&lt;&gt;"",TODAY()-N(AE122)&gt;P_JoursInactif),"Client inactif",IF(AND(D122="Prospect",Z122=0,O122&lt;&gt;"",TODAY()-N(O122)&gt;P_JoursNonVisite),"Jamais visité","")))))</f>
        <v/>
      </c>
      <c r="AJ122" s="33">
        <f>IF(C122="","",C122&amp;" ["&amp;TEXT(A122,"000")&amp;"]")</f>
        <v/>
      </c>
      <c r="AK122" s="33">
        <f>IF(C122="","",X122&amp;"|"&amp;A122)</f>
        <v/>
      </c>
      <c r="AL122" s="47">
        <f>IF(C122="",0,IF(COUNTIFS(VC_cle,AK122)=0,0,MAX(INDEX((VC_cle=AK122)*(VC_date+ROW(VC_date)/100000),0))))</f>
        <v/>
      </c>
      <c r="AM122" s="47">
        <f>IF(AND(C122&lt;&gt;"",N(AB122)&gt;0,D122&lt;&gt;"Perdu"),AB122+ROW()/100000,0)</f>
        <v/>
      </c>
      <c r="AN122" s="48">
        <f>IF(N(AF122)&gt;0,ROUND(AF122,0)+ROW()/1000000,0)</f>
        <v/>
      </c>
    </row>
    <row r="123" ht="18" customHeight="1">
      <c r="A123" s="39" t="n">
        <v>118</v>
      </c>
      <c r="B123" s="33">
        <f>IF(C123="","",IF(X123="À RENSEIGNER","GIC",X123)&amp;"-"&amp;TEXT(A123,"000"))</f>
        <v/>
      </c>
      <c r="C123" s="36" t="n"/>
      <c r="D123" s="34">
        <f>IF(C123="","",IF(U123="☑ Oui","Perdu",IF(AD123&lt;&gt;"","Client","Prospect")))</f>
        <v/>
      </c>
      <c r="E123" s="36" t="n"/>
      <c r="F123" s="36" t="n"/>
      <c r="G123" s="44" t="n"/>
      <c r="H123" s="44" t="n"/>
      <c r="I123" s="36" t="n"/>
      <c r="J123" s="36" t="n"/>
      <c r="K123" s="41" t="n"/>
      <c r="L123" s="41" t="n"/>
      <c r="M123" s="36" t="n"/>
      <c r="N123" s="36" t="n"/>
      <c r="O123" s="32" t="n"/>
      <c r="P123" s="36" t="n"/>
      <c r="Q123" s="36" t="n"/>
      <c r="R123" s="34">
        <f>IF(P123="","",IFERROR(VLOOKUP(P123,T_Produits,2,FALSE),""))</f>
        <v/>
      </c>
      <c r="S123" s="36" t="n"/>
      <c r="T123" s="43" t="n"/>
      <c r="U123" s="43" t="n"/>
      <c r="V123" s="36" t="n"/>
      <c r="W123" s="36" t="n"/>
      <c r="X123" s="33">
        <f>IF(C123="","",Commercial_Id)</f>
        <v/>
      </c>
      <c r="Y123" s="33">
        <f>IF(E123="","",IF(E123="Particulier / ménage","Particulier","Entreprise"))</f>
        <v/>
      </c>
      <c r="Z123" s="39">
        <f>IF(C123="","",COUNTIFS(VC_cle,AK123,VC_type,"Visite sur place"))</f>
        <v/>
      </c>
      <c r="AA123" s="46">
        <f>IF(AL123=0,"",IF(INT(AL123)=0,"",INT(AL123)))</f>
        <v/>
      </c>
      <c r="AB123" s="46">
        <f>IF(AL123=0,"",IF(INDEX(VC_actiondate,ROUND(MOD(AL123,1)*100000,0)-5)=0,"",INDEX(VC_actiondate,ROUND(MOD(AL123,1)*100000,0)-5)))</f>
        <v/>
      </c>
      <c r="AC123" s="33">
        <f>IF(AL123=0,"",INDEX(VC_actiontexte,ROUND(MOD(AL123,1)*100000,0)-5)&amp;"")</f>
        <v/>
      </c>
      <c r="AD123" s="46">
        <f>IF(C123="","",IF(COUNTIFS(Cmd_cle,AK123,Cmd_dateca,"&gt;0")=0,"",SMALL(INDEX(Cmd_dateca+(((Cmd_cle&lt;&gt;AK123)+(Cmd_dateca=0))&gt;0)*1000000,0),1)))</f>
        <v/>
      </c>
      <c r="AE123" s="46">
        <f>IF(C123="","",IF(COUNTIFS(Cmd_cle,AK123,Cmd_dateca,"&gt;0")=0,"",MAX(INDEX((Cmd_cle=AK123)*Cmd_dateca,0))))</f>
        <v/>
      </c>
      <c r="AF123" s="40">
        <f>IF(C123="","",SUMIFS(Cmd_montant,Cmd_cle,AK123,Cmd_dateca,"&gt;0"))</f>
        <v/>
      </c>
      <c r="AG123" s="40">
        <f>IF(C123="","",SUMIFS(Enc_montant,Enc_cle,AK123))</f>
        <v/>
      </c>
      <c r="AH123" s="40">
        <f>IF(C123="","",AF123-AG123)</f>
        <v/>
      </c>
      <c r="AI123" s="33">
        <f>IF(C123="","",IF(D123="Perdu","",IF(AND(AB123&lt;&gt;"",N(AB123)&lt;TODAY()),"Action en retard",IF(AND(D123="Client",AE123&lt;&gt;"",TODAY()-N(AE123)&gt;P_JoursInactif),"Client inactif",IF(AND(D123="Prospect",Z123=0,O123&lt;&gt;"",TODAY()-N(O123)&gt;P_JoursNonVisite),"Jamais visité","")))))</f>
        <v/>
      </c>
      <c r="AJ123" s="33">
        <f>IF(C123="","",C123&amp;" ["&amp;TEXT(A123,"000")&amp;"]")</f>
        <v/>
      </c>
      <c r="AK123" s="33">
        <f>IF(C123="","",X123&amp;"|"&amp;A123)</f>
        <v/>
      </c>
      <c r="AL123" s="47">
        <f>IF(C123="",0,IF(COUNTIFS(VC_cle,AK123)=0,0,MAX(INDEX((VC_cle=AK123)*(VC_date+ROW(VC_date)/100000),0))))</f>
        <v/>
      </c>
      <c r="AM123" s="47">
        <f>IF(AND(C123&lt;&gt;"",N(AB123)&gt;0,D123&lt;&gt;"Perdu"),AB123+ROW()/100000,0)</f>
        <v/>
      </c>
      <c r="AN123" s="48">
        <f>IF(N(AF123)&gt;0,ROUND(AF123,0)+ROW()/1000000,0)</f>
        <v/>
      </c>
    </row>
    <row r="124" ht="18" customHeight="1">
      <c r="A124" s="39" t="n">
        <v>119</v>
      </c>
      <c r="B124" s="33">
        <f>IF(C124="","",IF(X124="À RENSEIGNER","GIC",X124)&amp;"-"&amp;TEXT(A124,"000"))</f>
        <v/>
      </c>
      <c r="C124" s="36" t="n"/>
      <c r="D124" s="34">
        <f>IF(C124="","",IF(U124="☑ Oui","Perdu",IF(AD124&lt;&gt;"","Client","Prospect")))</f>
        <v/>
      </c>
      <c r="E124" s="36" t="n"/>
      <c r="F124" s="36" t="n"/>
      <c r="G124" s="44" t="n"/>
      <c r="H124" s="44" t="n"/>
      <c r="I124" s="36" t="n"/>
      <c r="J124" s="36" t="n"/>
      <c r="K124" s="41" t="n"/>
      <c r="L124" s="41" t="n"/>
      <c r="M124" s="36" t="n"/>
      <c r="N124" s="36" t="n"/>
      <c r="O124" s="32" t="n"/>
      <c r="P124" s="36" t="n"/>
      <c r="Q124" s="36" t="n"/>
      <c r="R124" s="34">
        <f>IF(P124="","",IFERROR(VLOOKUP(P124,T_Produits,2,FALSE),""))</f>
        <v/>
      </c>
      <c r="S124" s="36" t="n"/>
      <c r="T124" s="43" t="n"/>
      <c r="U124" s="43" t="n"/>
      <c r="V124" s="36" t="n"/>
      <c r="W124" s="36" t="n"/>
      <c r="X124" s="33">
        <f>IF(C124="","",Commercial_Id)</f>
        <v/>
      </c>
      <c r="Y124" s="33">
        <f>IF(E124="","",IF(E124="Particulier / ménage","Particulier","Entreprise"))</f>
        <v/>
      </c>
      <c r="Z124" s="39">
        <f>IF(C124="","",COUNTIFS(VC_cle,AK124,VC_type,"Visite sur place"))</f>
        <v/>
      </c>
      <c r="AA124" s="46">
        <f>IF(AL124=0,"",IF(INT(AL124)=0,"",INT(AL124)))</f>
        <v/>
      </c>
      <c r="AB124" s="46">
        <f>IF(AL124=0,"",IF(INDEX(VC_actiondate,ROUND(MOD(AL124,1)*100000,0)-5)=0,"",INDEX(VC_actiondate,ROUND(MOD(AL124,1)*100000,0)-5)))</f>
        <v/>
      </c>
      <c r="AC124" s="33">
        <f>IF(AL124=0,"",INDEX(VC_actiontexte,ROUND(MOD(AL124,1)*100000,0)-5)&amp;"")</f>
        <v/>
      </c>
      <c r="AD124" s="46">
        <f>IF(C124="","",IF(COUNTIFS(Cmd_cle,AK124,Cmd_dateca,"&gt;0")=0,"",SMALL(INDEX(Cmd_dateca+(((Cmd_cle&lt;&gt;AK124)+(Cmd_dateca=0))&gt;0)*1000000,0),1)))</f>
        <v/>
      </c>
      <c r="AE124" s="46">
        <f>IF(C124="","",IF(COUNTIFS(Cmd_cle,AK124,Cmd_dateca,"&gt;0")=0,"",MAX(INDEX((Cmd_cle=AK124)*Cmd_dateca,0))))</f>
        <v/>
      </c>
      <c r="AF124" s="40">
        <f>IF(C124="","",SUMIFS(Cmd_montant,Cmd_cle,AK124,Cmd_dateca,"&gt;0"))</f>
        <v/>
      </c>
      <c r="AG124" s="40">
        <f>IF(C124="","",SUMIFS(Enc_montant,Enc_cle,AK124))</f>
        <v/>
      </c>
      <c r="AH124" s="40">
        <f>IF(C124="","",AF124-AG124)</f>
        <v/>
      </c>
      <c r="AI124" s="33">
        <f>IF(C124="","",IF(D124="Perdu","",IF(AND(AB124&lt;&gt;"",N(AB124)&lt;TODAY()),"Action en retard",IF(AND(D124="Client",AE124&lt;&gt;"",TODAY()-N(AE124)&gt;P_JoursInactif),"Client inactif",IF(AND(D124="Prospect",Z124=0,O124&lt;&gt;"",TODAY()-N(O124)&gt;P_JoursNonVisite),"Jamais visité","")))))</f>
        <v/>
      </c>
      <c r="AJ124" s="33">
        <f>IF(C124="","",C124&amp;" ["&amp;TEXT(A124,"000")&amp;"]")</f>
        <v/>
      </c>
      <c r="AK124" s="33">
        <f>IF(C124="","",X124&amp;"|"&amp;A124)</f>
        <v/>
      </c>
      <c r="AL124" s="47">
        <f>IF(C124="",0,IF(COUNTIFS(VC_cle,AK124)=0,0,MAX(INDEX((VC_cle=AK124)*(VC_date+ROW(VC_date)/100000),0))))</f>
        <v/>
      </c>
      <c r="AM124" s="47">
        <f>IF(AND(C124&lt;&gt;"",N(AB124)&gt;0,D124&lt;&gt;"Perdu"),AB124+ROW()/100000,0)</f>
        <v/>
      </c>
      <c r="AN124" s="48">
        <f>IF(N(AF124)&gt;0,ROUND(AF124,0)+ROW()/1000000,0)</f>
        <v/>
      </c>
    </row>
    <row r="125" ht="18" customHeight="1">
      <c r="A125" s="39" t="n">
        <v>120</v>
      </c>
      <c r="B125" s="33">
        <f>IF(C125="","",IF(X125="À RENSEIGNER","GIC",X125)&amp;"-"&amp;TEXT(A125,"000"))</f>
        <v/>
      </c>
      <c r="C125" s="36" t="n"/>
      <c r="D125" s="34">
        <f>IF(C125="","",IF(U125="☑ Oui","Perdu",IF(AD125&lt;&gt;"","Client","Prospect")))</f>
        <v/>
      </c>
      <c r="E125" s="36" t="n"/>
      <c r="F125" s="36" t="n"/>
      <c r="G125" s="44" t="n"/>
      <c r="H125" s="44" t="n"/>
      <c r="I125" s="36" t="n"/>
      <c r="J125" s="36" t="n"/>
      <c r="K125" s="41" t="n"/>
      <c r="L125" s="41" t="n"/>
      <c r="M125" s="36" t="n"/>
      <c r="N125" s="36" t="n"/>
      <c r="O125" s="32" t="n"/>
      <c r="P125" s="36" t="n"/>
      <c r="Q125" s="36" t="n"/>
      <c r="R125" s="34">
        <f>IF(P125="","",IFERROR(VLOOKUP(P125,T_Produits,2,FALSE),""))</f>
        <v/>
      </c>
      <c r="S125" s="36" t="n"/>
      <c r="T125" s="43" t="n"/>
      <c r="U125" s="43" t="n"/>
      <c r="V125" s="36" t="n"/>
      <c r="W125" s="36" t="n"/>
      <c r="X125" s="33">
        <f>IF(C125="","",Commercial_Id)</f>
        <v/>
      </c>
      <c r="Y125" s="33">
        <f>IF(E125="","",IF(E125="Particulier / ménage","Particulier","Entreprise"))</f>
        <v/>
      </c>
      <c r="Z125" s="39">
        <f>IF(C125="","",COUNTIFS(VC_cle,AK125,VC_type,"Visite sur place"))</f>
        <v/>
      </c>
      <c r="AA125" s="46">
        <f>IF(AL125=0,"",IF(INT(AL125)=0,"",INT(AL125)))</f>
        <v/>
      </c>
      <c r="AB125" s="46">
        <f>IF(AL125=0,"",IF(INDEX(VC_actiondate,ROUND(MOD(AL125,1)*100000,0)-5)=0,"",INDEX(VC_actiondate,ROUND(MOD(AL125,1)*100000,0)-5)))</f>
        <v/>
      </c>
      <c r="AC125" s="33">
        <f>IF(AL125=0,"",INDEX(VC_actiontexte,ROUND(MOD(AL125,1)*100000,0)-5)&amp;"")</f>
        <v/>
      </c>
      <c r="AD125" s="46">
        <f>IF(C125="","",IF(COUNTIFS(Cmd_cle,AK125,Cmd_dateca,"&gt;0")=0,"",SMALL(INDEX(Cmd_dateca+(((Cmd_cle&lt;&gt;AK125)+(Cmd_dateca=0))&gt;0)*1000000,0),1)))</f>
        <v/>
      </c>
      <c r="AE125" s="46">
        <f>IF(C125="","",IF(COUNTIFS(Cmd_cle,AK125,Cmd_dateca,"&gt;0")=0,"",MAX(INDEX((Cmd_cle=AK125)*Cmd_dateca,0))))</f>
        <v/>
      </c>
      <c r="AF125" s="40">
        <f>IF(C125="","",SUMIFS(Cmd_montant,Cmd_cle,AK125,Cmd_dateca,"&gt;0"))</f>
        <v/>
      </c>
      <c r="AG125" s="40">
        <f>IF(C125="","",SUMIFS(Enc_montant,Enc_cle,AK125))</f>
        <v/>
      </c>
      <c r="AH125" s="40">
        <f>IF(C125="","",AF125-AG125)</f>
        <v/>
      </c>
      <c r="AI125" s="33">
        <f>IF(C125="","",IF(D125="Perdu","",IF(AND(AB125&lt;&gt;"",N(AB125)&lt;TODAY()),"Action en retard",IF(AND(D125="Client",AE125&lt;&gt;"",TODAY()-N(AE125)&gt;P_JoursInactif),"Client inactif",IF(AND(D125="Prospect",Z125=0,O125&lt;&gt;"",TODAY()-N(O125)&gt;P_JoursNonVisite),"Jamais visité","")))))</f>
        <v/>
      </c>
      <c r="AJ125" s="33">
        <f>IF(C125="","",C125&amp;" ["&amp;TEXT(A125,"000")&amp;"]")</f>
        <v/>
      </c>
      <c r="AK125" s="33">
        <f>IF(C125="","",X125&amp;"|"&amp;A125)</f>
        <v/>
      </c>
      <c r="AL125" s="47">
        <f>IF(C125="",0,IF(COUNTIFS(VC_cle,AK125)=0,0,MAX(INDEX((VC_cle=AK125)*(VC_date+ROW(VC_date)/100000),0))))</f>
        <v/>
      </c>
      <c r="AM125" s="47">
        <f>IF(AND(C125&lt;&gt;"",N(AB125)&gt;0,D125&lt;&gt;"Perdu"),AB125+ROW()/100000,0)</f>
        <v/>
      </c>
      <c r="AN125" s="48">
        <f>IF(N(AF125)&gt;0,ROUND(AF125,0)+ROW()/1000000,0)</f>
        <v/>
      </c>
    </row>
    <row r="126" ht="18" customHeight="1">
      <c r="A126" s="39" t="n">
        <v>121</v>
      </c>
      <c r="B126" s="33">
        <f>IF(C126="","",IF(X126="À RENSEIGNER","GIC",X126)&amp;"-"&amp;TEXT(A126,"000"))</f>
        <v/>
      </c>
      <c r="C126" s="36" t="n"/>
      <c r="D126" s="34">
        <f>IF(C126="","",IF(U126="☑ Oui","Perdu",IF(AD126&lt;&gt;"","Client","Prospect")))</f>
        <v/>
      </c>
      <c r="E126" s="36" t="n"/>
      <c r="F126" s="36" t="n"/>
      <c r="G126" s="44" t="n"/>
      <c r="H126" s="44" t="n"/>
      <c r="I126" s="36" t="n"/>
      <c r="J126" s="36" t="n"/>
      <c r="K126" s="41" t="n"/>
      <c r="L126" s="41" t="n"/>
      <c r="M126" s="36" t="n"/>
      <c r="N126" s="36" t="n"/>
      <c r="O126" s="32" t="n"/>
      <c r="P126" s="36" t="n"/>
      <c r="Q126" s="36" t="n"/>
      <c r="R126" s="34">
        <f>IF(P126="","",IFERROR(VLOOKUP(P126,T_Produits,2,FALSE),""))</f>
        <v/>
      </c>
      <c r="S126" s="36" t="n"/>
      <c r="T126" s="43" t="n"/>
      <c r="U126" s="43" t="n"/>
      <c r="V126" s="36" t="n"/>
      <c r="W126" s="36" t="n"/>
      <c r="X126" s="33">
        <f>IF(C126="","",Commercial_Id)</f>
        <v/>
      </c>
      <c r="Y126" s="33">
        <f>IF(E126="","",IF(E126="Particulier / ménage","Particulier","Entreprise"))</f>
        <v/>
      </c>
      <c r="Z126" s="39">
        <f>IF(C126="","",COUNTIFS(VC_cle,AK126,VC_type,"Visite sur place"))</f>
        <v/>
      </c>
      <c r="AA126" s="46">
        <f>IF(AL126=0,"",IF(INT(AL126)=0,"",INT(AL126)))</f>
        <v/>
      </c>
      <c r="AB126" s="46">
        <f>IF(AL126=0,"",IF(INDEX(VC_actiondate,ROUND(MOD(AL126,1)*100000,0)-5)=0,"",INDEX(VC_actiondate,ROUND(MOD(AL126,1)*100000,0)-5)))</f>
        <v/>
      </c>
      <c r="AC126" s="33">
        <f>IF(AL126=0,"",INDEX(VC_actiontexte,ROUND(MOD(AL126,1)*100000,0)-5)&amp;"")</f>
        <v/>
      </c>
      <c r="AD126" s="46">
        <f>IF(C126="","",IF(COUNTIFS(Cmd_cle,AK126,Cmd_dateca,"&gt;0")=0,"",SMALL(INDEX(Cmd_dateca+(((Cmd_cle&lt;&gt;AK126)+(Cmd_dateca=0))&gt;0)*1000000,0),1)))</f>
        <v/>
      </c>
      <c r="AE126" s="46">
        <f>IF(C126="","",IF(COUNTIFS(Cmd_cle,AK126,Cmd_dateca,"&gt;0")=0,"",MAX(INDEX((Cmd_cle=AK126)*Cmd_dateca,0))))</f>
        <v/>
      </c>
      <c r="AF126" s="40">
        <f>IF(C126="","",SUMIFS(Cmd_montant,Cmd_cle,AK126,Cmd_dateca,"&gt;0"))</f>
        <v/>
      </c>
      <c r="AG126" s="40">
        <f>IF(C126="","",SUMIFS(Enc_montant,Enc_cle,AK126))</f>
        <v/>
      </c>
      <c r="AH126" s="40">
        <f>IF(C126="","",AF126-AG126)</f>
        <v/>
      </c>
      <c r="AI126" s="33">
        <f>IF(C126="","",IF(D126="Perdu","",IF(AND(AB126&lt;&gt;"",N(AB126)&lt;TODAY()),"Action en retard",IF(AND(D126="Client",AE126&lt;&gt;"",TODAY()-N(AE126)&gt;P_JoursInactif),"Client inactif",IF(AND(D126="Prospect",Z126=0,O126&lt;&gt;"",TODAY()-N(O126)&gt;P_JoursNonVisite),"Jamais visité","")))))</f>
        <v/>
      </c>
      <c r="AJ126" s="33">
        <f>IF(C126="","",C126&amp;" ["&amp;TEXT(A126,"000")&amp;"]")</f>
        <v/>
      </c>
      <c r="AK126" s="33">
        <f>IF(C126="","",X126&amp;"|"&amp;A126)</f>
        <v/>
      </c>
      <c r="AL126" s="47">
        <f>IF(C126="",0,IF(COUNTIFS(VC_cle,AK126)=0,0,MAX(INDEX((VC_cle=AK126)*(VC_date+ROW(VC_date)/100000),0))))</f>
        <v/>
      </c>
      <c r="AM126" s="47">
        <f>IF(AND(C126&lt;&gt;"",N(AB126)&gt;0,D126&lt;&gt;"Perdu"),AB126+ROW()/100000,0)</f>
        <v/>
      </c>
      <c r="AN126" s="48">
        <f>IF(N(AF126)&gt;0,ROUND(AF126,0)+ROW()/1000000,0)</f>
        <v/>
      </c>
    </row>
    <row r="127" ht="18" customHeight="1">
      <c r="A127" s="39" t="n">
        <v>122</v>
      </c>
      <c r="B127" s="33">
        <f>IF(C127="","",IF(X127="À RENSEIGNER","GIC",X127)&amp;"-"&amp;TEXT(A127,"000"))</f>
        <v/>
      </c>
      <c r="C127" s="36" t="n"/>
      <c r="D127" s="34">
        <f>IF(C127="","",IF(U127="☑ Oui","Perdu",IF(AD127&lt;&gt;"","Client","Prospect")))</f>
        <v/>
      </c>
      <c r="E127" s="36" t="n"/>
      <c r="F127" s="36" t="n"/>
      <c r="G127" s="44" t="n"/>
      <c r="H127" s="44" t="n"/>
      <c r="I127" s="36" t="n"/>
      <c r="J127" s="36" t="n"/>
      <c r="K127" s="41" t="n"/>
      <c r="L127" s="41" t="n"/>
      <c r="M127" s="36" t="n"/>
      <c r="N127" s="36" t="n"/>
      <c r="O127" s="32" t="n"/>
      <c r="P127" s="36" t="n"/>
      <c r="Q127" s="36" t="n"/>
      <c r="R127" s="34">
        <f>IF(P127="","",IFERROR(VLOOKUP(P127,T_Produits,2,FALSE),""))</f>
        <v/>
      </c>
      <c r="S127" s="36" t="n"/>
      <c r="T127" s="43" t="n"/>
      <c r="U127" s="43" t="n"/>
      <c r="V127" s="36" t="n"/>
      <c r="W127" s="36" t="n"/>
      <c r="X127" s="33">
        <f>IF(C127="","",Commercial_Id)</f>
        <v/>
      </c>
      <c r="Y127" s="33">
        <f>IF(E127="","",IF(E127="Particulier / ménage","Particulier","Entreprise"))</f>
        <v/>
      </c>
      <c r="Z127" s="39">
        <f>IF(C127="","",COUNTIFS(VC_cle,AK127,VC_type,"Visite sur place"))</f>
        <v/>
      </c>
      <c r="AA127" s="46">
        <f>IF(AL127=0,"",IF(INT(AL127)=0,"",INT(AL127)))</f>
        <v/>
      </c>
      <c r="AB127" s="46">
        <f>IF(AL127=0,"",IF(INDEX(VC_actiondate,ROUND(MOD(AL127,1)*100000,0)-5)=0,"",INDEX(VC_actiondate,ROUND(MOD(AL127,1)*100000,0)-5)))</f>
        <v/>
      </c>
      <c r="AC127" s="33">
        <f>IF(AL127=0,"",INDEX(VC_actiontexte,ROUND(MOD(AL127,1)*100000,0)-5)&amp;"")</f>
        <v/>
      </c>
      <c r="AD127" s="46">
        <f>IF(C127="","",IF(COUNTIFS(Cmd_cle,AK127,Cmd_dateca,"&gt;0")=0,"",SMALL(INDEX(Cmd_dateca+(((Cmd_cle&lt;&gt;AK127)+(Cmd_dateca=0))&gt;0)*1000000,0),1)))</f>
        <v/>
      </c>
      <c r="AE127" s="46">
        <f>IF(C127="","",IF(COUNTIFS(Cmd_cle,AK127,Cmd_dateca,"&gt;0")=0,"",MAX(INDEX((Cmd_cle=AK127)*Cmd_dateca,0))))</f>
        <v/>
      </c>
      <c r="AF127" s="40">
        <f>IF(C127="","",SUMIFS(Cmd_montant,Cmd_cle,AK127,Cmd_dateca,"&gt;0"))</f>
        <v/>
      </c>
      <c r="AG127" s="40">
        <f>IF(C127="","",SUMIFS(Enc_montant,Enc_cle,AK127))</f>
        <v/>
      </c>
      <c r="AH127" s="40">
        <f>IF(C127="","",AF127-AG127)</f>
        <v/>
      </c>
      <c r="AI127" s="33">
        <f>IF(C127="","",IF(D127="Perdu","",IF(AND(AB127&lt;&gt;"",N(AB127)&lt;TODAY()),"Action en retard",IF(AND(D127="Client",AE127&lt;&gt;"",TODAY()-N(AE127)&gt;P_JoursInactif),"Client inactif",IF(AND(D127="Prospect",Z127=0,O127&lt;&gt;"",TODAY()-N(O127)&gt;P_JoursNonVisite),"Jamais visité","")))))</f>
        <v/>
      </c>
      <c r="AJ127" s="33">
        <f>IF(C127="","",C127&amp;" ["&amp;TEXT(A127,"000")&amp;"]")</f>
        <v/>
      </c>
      <c r="AK127" s="33">
        <f>IF(C127="","",X127&amp;"|"&amp;A127)</f>
        <v/>
      </c>
      <c r="AL127" s="47">
        <f>IF(C127="",0,IF(COUNTIFS(VC_cle,AK127)=0,0,MAX(INDEX((VC_cle=AK127)*(VC_date+ROW(VC_date)/100000),0))))</f>
        <v/>
      </c>
      <c r="AM127" s="47">
        <f>IF(AND(C127&lt;&gt;"",N(AB127)&gt;0,D127&lt;&gt;"Perdu"),AB127+ROW()/100000,0)</f>
        <v/>
      </c>
      <c r="AN127" s="48">
        <f>IF(N(AF127)&gt;0,ROUND(AF127,0)+ROW()/1000000,0)</f>
        <v/>
      </c>
    </row>
    <row r="128" ht="18" customHeight="1">
      <c r="A128" s="39" t="n">
        <v>123</v>
      </c>
      <c r="B128" s="33">
        <f>IF(C128="","",IF(X128="À RENSEIGNER","GIC",X128)&amp;"-"&amp;TEXT(A128,"000"))</f>
        <v/>
      </c>
      <c r="C128" s="36" t="n"/>
      <c r="D128" s="34">
        <f>IF(C128="","",IF(U128="☑ Oui","Perdu",IF(AD128&lt;&gt;"","Client","Prospect")))</f>
        <v/>
      </c>
      <c r="E128" s="36" t="n"/>
      <c r="F128" s="36" t="n"/>
      <c r="G128" s="44" t="n"/>
      <c r="H128" s="44" t="n"/>
      <c r="I128" s="36" t="n"/>
      <c r="J128" s="36" t="n"/>
      <c r="K128" s="41" t="n"/>
      <c r="L128" s="41" t="n"/>
      <c r="M128" s="36" t="n"/>
      <c r="N128" s="36" t="n"/>
      <c r="O128" s="32" t="n"/>
      <c r="P128" s="36" t="n"/>
      <c r="Q128" s="36" t="n"/>
      <c r="R128" s="34">
        <f>IF(P128="","",IFERROR(VLOOKUP(P128,T_Produits,2,FALSE),""))</f>
        <v/>
      </c>
      <c r="S128" s="36" t="n"/>
      <c r="T128" s="43" t="n"/>
      <c r="U128" s="43" t="n"/>
      <c r="V128" s="36" t="n"/>
      <c r="W128" s="36" t="n"/>
      <c r="X128" s="33">
        <f>IF(C128="","",Commercial_Id)</f>
        <v/>
      </c>
      <c r="Y128" s="33">
        <f>IF(E128="","",IF(E128="Particulier / ménage","Particulier","Entreprise"))</f>
        <v/>
      </c>
      <c r="Z128" s="39">
        <f>IF(C128="","",COUNTIFS(VC_cle,AK128,VC_type,"Visite sur place"))</f>
        <v/>
      </c>
      <c r="AA128" s="46">
        <f>IF(AL128=0,"",IF(INT(AL128)=0,"",INT(AL128)))</f>
        <v/>
      </c>
      <c r="AB128" s="46">
        <f>IF(AL128=0,"",IF(INDEX(VC_actiondate,ROUND(MOD(AL128,1)*100000,0)-5)=0,"",INDEX(VC_actiondate,ROUND(MOD(AL128,1)*100000,0)-5)))</f>
        <v/>
      </c>
      <c r="AC128" s="33">
        <f>IF(AL128=0,"",INDEX(VC_actiontexte,ROUND(MOD(AL128,1)*100000,0)-5)&amp;"")</f>
        <v/>
      </c>
      <c r="AD128" s="46">
        <f>IF(C128="","",IF(COUNTIFS(Cmd_cle,AK128,Cmd_dateca,"&gt;0")=0,"",SMALL(INDEX(Cmd_dateca+(((Cmd_cle&lt;&gt;AK128)+(Cmd_dateca=0))&gt;0)*1000000,0),1)))</f>
        <v/>
      </c>
      <c r="AE128" s="46">
        <f>IF(C128="","",IF(COUNTIFS(Cmd_cle,AK128,Cmd_dateca,"&gt;0")=0,"",MAX(INDEX((Cmd_cle=AK128)*Cmd_dateca,0))))</f>
        <v/>
      </c>
      <c r="AF128" s="40">
        <f>IF(C128="","",SUMIFS(Cmd_montant,Cmd_cle,AK128,Cmd_dateca,"&gt;0"))</f>
        <v/>
      </c>
      <c r="AG128" s="40">
        <f>IF(C128="","",SUMIFS(Enc_montant,Enc_cle,AK128))</f>
        <v/>
      </c>
      <c r="AH128" s="40">
        <f>IF(C128="","",AF128-AG128)</f>
        <v/>
      </c>
      <c r="AI128" s="33">
        <f>IF(C128="","",IF(D128="Perdu","",IF(AND(AB128&lt;&gt;"",N(AB128)&lt;TODAY()),"Action en retard",IF(AND(D128="Client",AE128&lt;&gt;"",TODAY()-N(AE128)&gt;P_JoursInactif),"Client inactif",IF(AND(D128="Prospect",Z128=0,O128&lt;&gt;"",TODAY()-N(O128)&gt;P_JoursNonVisite),"Jamais visité","")))))</f>
        <v/>
      </c>
      <c r="AJ128" s="33">
        <f>IF(C128="","",C128&amp;" ["&amp;TEXT(A128,"000")&amp;"]")</f>
        <v/>
      </c>
      <c r="AK128" s="33">
        <f>IF(C128="","",X128&amp;"|"&amp;A128)</f>
        <v/>
      </c>
      <c r="AL128" s="47">
        <f>IF(C128="",0,IF(COUNTIFS(VC_cle,AK128)=0,0,MAX(INDEX((VC_cle=AK128)*(VC_date+ROW(VC_date)/100000),0))))</f>
        <v/>
      </c>
      <c r="AM128" s="47">
        <f>IF(AND(C128&lt;&gt;"",N(AB128)&gt;0,D128&lt;&gt;"Perdu"),AB128+ROW()/100000,0)</f>
        <v/>
      </c>
      <c r="AN128" s="48">
        <f>IF(N(AF128)&gt;0,ROUND(AF128,0)+ROW()/1000000,0)</f>
        <v/>
      </c>
    </row>
    <row r="129" ht="18" customHeight="1">
      <c r="A129" s="39" t="n">
        <v>124</v>
      </c>
      <c r="B129" s="33">
        <f>IF(C129="","",IF(X129="À RENSEIGNER","GIC",X129)&amp;"-"&amp;TEXT(A129,"000"))</f>
        <v/>
      </c>
      <c r="C129" s="36" t="n"/>
      <c r="D129" s="34">
        <f>IF(C129="","",IF(U129="☑ Oui","Perdu",IF(AD129&lt;&gt;"","Client","Prospect")))</f>
        <v/>
      </c>
      <c r="E129" s="36" t="n"/>
      <c r="F129" s="36" t="n"/>
      <c r="G129" s="44" t="n"/>
      <c r="H129" s="44" t="n"/>
      <c r="I129" s="36" t="n"/>
      <c r="J129" s="36" t="n"/>
      <c r="K129" s="41" t="n"/>
      <c r="L129" s="41" t="n"/>
      <c r="M129" s="36" t="n"/>
      <c r="N129" s="36" t="n"/>
      <c r="O129" s="32" t="n"/>
      <c r="P129" s="36" t="n"/>
      <c r="Q129" s="36" t="n"/>
      <c r="R129" s="34">
        <f>IF(P129="","",IFERROR(VLOOKUP(P129,T_Produits,2,FALSE),""))</f>
        <v/>
      </c>
      <c r="S129" s="36" t="n"/>
      <c r="T129" s="43" t="n"/>
      <c r="U129" s="43" t="n"/>
      <c r="V129" s="36" t="n"/>
      <c r="W129" s="36" t="n"/>
      <c r="X129" s="33">
        <f>IF(C129="","",Commercial_Id)</f>
        <v/>
      </c>
      <c r="Y129" s="33">
        <f>IF(E129="","",IF(E129="Particulier / ménage","Particulier","Entreprise"))</f>
        <v/>
      </c>
      <c r="Z129" s="39">
        <f>IF(C129="","",COUNTIFS(VC_cle,AK129,VC_type,"Visite sur place"))</f>
        <v/>
      </c>
      <c r="AA129" s="46">
        <f>IF(AL129=0,"",IF(INT(AL129)=0,"",INT(AL129)))</f>
        <v/>
      </c>
      <c r="AB129" s="46">
        <f>IF(AL129=0,"",IF(INDEX(VC_actiondate,ROUND(MOD(AL129,1)*100000,0)-5)=0,"",INDEX(VC_actiondate,ROUND(MOD(AL129,1)*100000,0)-5)))</f>
        <v/>
      </c>
      <c r="AC129" s="33">
        <f>IF(AL129=0,"",INDEX(VC_actiontexte,ROUND(MOD(AL129,1)*100000,0)-5)&amp;"")</f>
        <v/>
      </c>
      <c r="AD129" s="46">
        <f>IF(C129="","",IF(COUNTIFS(Cmd_cle,AK129,Cmd_dateca,"&gt;0")=0,"",SMALL(INDEX(Cmd_dateca+(((Cmd_cle&lt;&gt;AK129)+(Cmd_dateca=0))&gt;0)*1000000,0),1)))</f>
        <v/>
      </c>
      <c r="AE129" s="46">
        <f>IF(C129="","",IF(COUNTIFS(Cmd_cle,AK129,Cmd_dateca,"&gt;0")=0,"",MAX(INDEX((Cmd_cle=AK129)*Cmd_dateca,0))))</f>
        <v/>
      </c>
      <c r="AF129" s="40">
        <f>IF(C129="","",SUMIFS(Cmd_montant,Cmd_cle,AK129,Cmd_dateca,"&gt;0"))</f>
        <v/>
      </c>
      <c r="AG129" s="40">
        <f>IF(C129="","",SUMIFS(Enc_montant,Enc_cle,AK129))</f>
        <v/>
      </c>
      <c r="AH129" s="40">
        <f>IF(C129="","",AF129-AG129)</f>
        <v/>
      </c>
      <c r="AI129" s="33">
        <f>IF(C129="","",IF(D129="Perdu","",IF(AND(AB129&lt;&gt;"",N(AB129)&lt;TODAY()),"Action en retard",IF(AND(D129="Client",AE129&lt;&gt;"",TODAY()-N(AE129)&gt;P_JoursInactif),"Client inactif",IF(AND(D129="Prospect",Z129=0,O129&lt;&gt;"",TODAY()-N(O129)&gt;P_JoursNonVisite),"Jamais visité","")))))</f>
        <v/>
      </c>
      <c r="AJ129" s="33">
        <f>IF(C129="","",C129&amp;" ["&amp;TEXT(A129,"000")&amp;"]")</f>
        <v/>
      </c>
      <c r="AK129" s="33">
        <f>IF(C129="","",X129&amp;"|"&amp;A129)</f>
        <v/>
      </c>
      <c r="AL129" s="47">
        <f>IF(C129="",0,IF(COUNTIFS(VC_cle,AK129)=0,0,MAX(INDEX((VC_cle=AK129)*(VC_date+ROW(VC_date)/100000),0))))</f>
        <v/>
      </c>
      <c r="AM129" s="47">
        <f>IF(AND(C129&lt;&gt;"",N(AB129)&gt;0,D129&lt;&gt;"Perdu"),AB129+ROW()/100000,0)</f>
        <v/>
      </c>
      <c r="AN129" s="48">
        <f>IF(N(AF129)&gt;0,ROUND(AF129,0)+ROW()/1000000,0)</f>
        <v/>
      </c>
    </row>
    <row r="130" ht="18" customHeight="1">
      <c r="A130" s="39" t="n">
        <v>125</v>
      </c>
      <c r="B130" s="33">
        <f>IF(C130="","",IF(X130="À RENSEIGNER","GIC",X130)&amp;"-"&amp;TEXT(A130,"000"))</f>
        <v/>
      </c>
      <c r="C130" s="36" t="n"/>
      <c r="D130" s="34">
        <f>IF(C130="","",IF(U130="☑ Oui","Perdu",IF(AD130&lt;&gt;"","Client","Prospect")))</f>
        <v/>
      </c>
      <c r="E130" s="36" t="n"/>
      <c r="F130" s="36" t="n"/>
      <c r="G130" s="44" t="n"/>
      <c r="H130" s="44" t="n"/>
      <c r="I130" s="36" t="n"/>
      <c r="J130" s="36" t="n"/>
      <c r="K130" s="41" t="n"/>
      <c r="L130" s="41" t="n"/>
      <c r="M130" s="36" t="n"/>
      <c r="N130" s="36" t="n"/>
      <c r="O130" s="32" t="n"/>
      <c r="P130" s="36" t="n"/>
      <c r="Q130" s="36" t="n"/>
      <c r="R130" s="34">
        <f>IF(P130="","",IFERROR(VLOOKUP(P130,T_Produits,2,FALSE),""))</f>
        <v/>
      </c>
      <c r="S130" s="36" t="n"/>
      <c r="T130" s="43" t="n"/>
      <c r="U130" s="43" t="n"/>
      <c r="V130" s="36" t="n"/>
      <c r="W130" s="36" t="n"/>
      <c r="X130" s="33">
        <f>IF(C130="","",Commercial_Id)</f>
        <v/>
      </c>
      <c r="Y130" s="33">
        <f>IF(E130="","",IF(E130="Particulier / ménage","Particulier","Entreprise"))</f>
        <v/>
      </c>
      <c r="Z130" s="39">
        <f>IF(C130="","",COUNTIFS(VC_cle,AK130,VC_type,"Visite sur place"))</f>
        <v/>
      </c>
      <c r="AA130" s="46">
        <f>IF(AL130=0,"",IF(INT(AL130)=0,"",INT(AL130)))</f>
        <v/>
      </c>
      <c r="AB130" s="46">
        <f>IF(AL130=0,"",IF(INDEX(VC_actiondate,ROUND(MOD(AL130,1)*100000,0)-5)=0,"",INDEX(VC_actiondate,ROUND(MOD(AL130,1)*100000,0)-5)))</f>
        <v/>
      </c>
      <c r="AC130" s="33">
        <f>IF(AL130=0,"",INDEX(VC_actiontexte,ROUND(MOD(AL130,1)*100000,0)-5)&amp;"")</f>
        <v/>
      </c>
      <c r="AD130" s="46">
        <f>IF(C130="","",IF(COUNTIFS(Cmd_cle,AK130,Cmd_dateca,"&gt;0")=0,"",SMALL(INDEX(Cmd_dateca+(((Cmd_cle&lt;&gt;AK130)+(Cmd_dateca=0))&gt;0)*1000000,0),1)))</f>
        <v/>
      </c>
      <c r="AE130" s="46">
        <f>IF(C130="","",IF(COUNTIFS(Cmd_cle,AK130,Cmd_dateca,"&gt;0")=0,"",MAX(INDEX((Cmd_cle=AK130)*Cmd_dateca,0))))</f>
        <v/>
      </c>
      <c r="AF130" s="40">
        <f>IF(C130="","",SUMIFS(Cmd_montant,Cmd_cle,AK130,Cmd_dateca,"&gt;0"))</f>
        <v/>
      </c>
      <c r="AG130" s="40">
        <f>IF(C130="","",SUMIFS(Enc_montant,Enc_cle,AK130))</f>
        <v/>
      </c>
      <c r="AH130" s="40">
        <f>IF(C130="","",AF130-AG130)</f>
        <v/>
      </c>
      <c r="AI130" s="33">
        <f>IF(C130="","",IF(D130="Perdu","",IF(AND(AB130&lt;&gt;"",N(AB130)&lt;TODAY()),"Action en retard",IF(AND(D130="Client",AE130&lt;&gt;"",TODAY()-N(AE130)&gt;P_JoursInactif),"Client inactif",IF(AND(D130="Prospect",Z130=0,O130&lt;&gt;"",TODAY()-N(O130)&gt;P_JoursNonVisite),"Jamais visité","")))))</f>
        <v/>
      </c>
      <c r="AJ130" s="33">
        <f>IF(C130="","",C130&amp;" ["&amp;TEXT(A130,"000")&amp;"]")</f>
        <v/>
      </c>
      <c r="AK130" s="33">
        <f>IF(C130="","",X130&amp;"|"&amp;A130)</f>
        <v/>
      </c>
      <c r="AL130" s="47">
        <f>IF(C130="",0,IF(COUNTIFS(VC_cle,AK130)=0,0,MAX(INDEX((VC_cle=AK130)*(VC_date+ROW(VC_date)/100000),0))))</f>
        <v/>
      </c>
      <c r="AM130" s="47">
        <f>IF(AND(C130&lt;&gt;"",N(AB130)&gt;0,D130&lt;&gt;"Perdu"),AB130+ROW()/100000,0)</f>
        <v/>
      </c>
      <c r="AN130" s="48">
        <f>IF(N(AF130)&gt;0,ROUND(AF130,0)+ROW()/1000000,0)</f>
        <v/>
      </c>
    </row>
    <row r="131" ht="18" customHeight="1">
      <c r="A131" s="39" t="n">
        <v>126</v>
      </c>
      <c r="B131" s="33">
        <f>IF(C131="","",IF(X131="À RENSEIGNER","GIC",X131)&amp;"-"&amp;TEXT(A131,"000"))</f>
        <v/>
      </c>
      <c r="C131" s="36" t="n"/>
      <c r="D131" s="34">
        <f>IF(C131="","",IF(U131="☑ Oui","Perdu",IF(AD131&lt;&gt;"","Client","Prospect")))</f>
        <v/>
      </c>
      <c r="E131" s="36" t="n"/>
      <c r="F131" s="36" t="n"/>
      <c r="G131" s="44" t="n"/>
      <c r="H131" s="44" t="n"/>
      <c r="I131" s="36" t="n"/>
      <c r="J131" s="36" t="n"/>
      <c r="K131" s="41" t="n"/>
      <c r="L131" s="41" t="n"/>
      <c r="M131" s="36" t="n"/>
      <c r="N131" s="36" t="n"/>
      <c r="O131" s="32" t="n"/>
      <c r="P131" s="36" t="n"/>
      <c r="Q131" s="36" t="n"/>
      <c r="R131" s="34">
        <f>IF(P131="","",IFERROR(VLOOKUP(P131,T_Produits,2,FALSE),""))</f>
        <v/>
      </c>
      <c r="S131" s="36" t="n"/>
      <c r="T131" s="43" t="n"/>
      <c r="U131" s="43" t="n"/>
      <c r="V131" s="36" t="n"/>
      <c r="W131" s="36" t="n"/>
      <c r="X131" s="33">
        <f>IF(C131="","",Commercial_Id)</f>
        <v/>
      </c>
      <c r="Y131" s="33">
        <f>IF(E131="","",IF(E131="Particulier / ménage","Particulier","Entreprise"))</f>
        <v/>
      </c>
      <c r="Z131" s="39">
        <f>IF(C131="","",COUNTIFS(VC_cle,AK131,VC_type,"Visite sur place"))</f>
        <v/>
      </c>
      <c r="AA131" s="46">
        <f>IF(AL131=0,"",IF(INT(AL131)=0,"",INT(AL131)))</f>
        <v/>
      </c>
      <c r="AB131" s="46">
        <f>IF(AL131=0,"",IF(INDEX(VC_actiondate,ROUND(MOD(AL131,1)*100000,0)-5)=0,"",INDEX(VC_actiondate,ROUND(MOD(AL131,1)*100000,0)-5)))</f>
        <v/>
      </c>
      <c r="AC131" s="33">
        <f>IF(AL131=0,"",INDEX(VC_actiontexte,ROUND(MOD(AL131,1)*100000,0)-5)&amp;"")</f>
        <v/>
      </c>
      <c r="AD131" s="46">
        <f>IF(C131="","",IF(COUNTIFS(Cmd_cle,AK131,Cmd_dateca,"&gt;0")=0,"",SMALL(INDEX(Cmd_dateca+(((Cmd_cle&lt;&gt;AK131)+(Cmd_dateca=0))&gt;0)*1000000,0),1)))</f>
        <v/>
      </c>
      <c r="AE131" s="46">
        <f>IF(C131="","",IF(COUNTIFS(Cmd_cle,AK131,Cmd_dateca,"&gt;0")=0,"",MAX(INDEX((Cmd_cle=AK131)*Cmd_dateca,0))))</f>
        <v/>
      </c>
      <c r="AF131" s="40">
        <f>IF(C131="","",SUMIFS(Cmd_montant,Cmd_cle,AK131,Cmd_dateca,"&gt;0"))</f>
        <v/>
      </c>
      <c r="AG131" s="40">
        <f>IF(C131="","",SUMIFS(Enc_montant,Enc_cle,AK131))</f>
        <v/>
      </c>
      <c r="AH131" s="40">
        <f>IF(C131="","",AF131-AG131)</f>
        <v/>
      </c>
      <c r="AI131" s="33">
        <f>IF(C131="","",IF(D131="Perdu","",IF(AND(AB131&lt;&gt;"",N(AB131)&lt;TODAY()),"Action en retard",IF(AND(D131="Client",AE131&lt;&gt;"",TODAY()-N(AE131)&gt;P_JoursInactif),"Client inactif",IF(AND(D131="Prospect",Z131=0,O131&lt;&gt;"",TODAY()-N(O131)&gt;P_JoursNonVisite),"Jamais visité","")))))</f>
        <v/>
      </c>
      <c r="AJ131" s="33">
        <f>IF(C131="","",C131&amp;" ["&amp;TEXT(A131,"000")&amp;"]")</f>
        <v/>
      </c>
      <c r="AK131" s="33">
        <f>IF(C131="","",X131&amp;"|"&amp;A131)</f>
        <v/>
      </c>
      <c r="AL131" s="47">
        <f>IF(C131="",0,IF(COUNTIFS(VC_cle,AK131)=0,0,MAX(INDEX((VC_cle=AK131)*(VC_date+ROW(VC_date)/100000),0))))</f>
        <v/>
      </c>
      <c r="AM131" s="47">
        <f>IF(AND(C131&lt;&gt;"",N(AB131)&gt;0,D131&lt;&gt;"Perdu"),AB131+ROW()/100000,0)</f>
        <v/>
      </c>
      <c r="AN131" s="48">
        <f>IF(N(AF131)&gt;0,ROUND(AF131,0)+ROW()/1000000,0)</f>
        <v/>
      </c>
    </row>
    <row r="132" ht="18" customHeight="1">
      <c r="A132" s="39" t="n">
        <v>127</v>
      </c>
      <c r="B132" s="33">
        <f>IF(C132="","",IF(X132="À RENSEIGNER","GIC",X132)&amp;"-"&amp;TEXT(A132,"000"))</f>
        <v/>
      </c>
      <c r="C132" s="36" t="n"/>
      <c r="D132" s="34">
        <f>IF(C132="","",IF(U132="☑ Oui","Perdu",IF(AD132&lt;&gt;"","Client","Prospect")))</f>
        <v/>
      </c>
      <c r="E132" s="36" t="n"/>
      <c r="F132" s="36" t="n"/>
      <c r="G132" s="44" t="n"/>
      <c r="H132" s="44" t="n"/>
      <c r="I132" s="36" t="n"/>
      <c r="J132" s="36" t="n"/>
      <c r="K132" s="41" t="n"/>
      <c r="L132" s="41" t="n"/>
      <c r="M132" s="36" t="n"/>
      <c r="N132" s="36" t="n"/>
      <c r="O132" s="32" t="n"/>
      <c r="P132" s="36" t="n"/>
      <c r="Q132" s="36" t="n"/>
      <c r="R132" s="34">
        <f>IF(P132="","",IFERROR(VLOOKUP(P132,T_Produits,2,FALSE),""))</f>
        <v/>
      </c>
      <c r="S132" s="36" t="n"/>
      <c r="T132" s="43" t="n"/>
      <c r="U132" s="43" t="n"/>
      <c r="V132" s="36" t="n"/>
      <c r="W132" s="36" t="n"/>
      <c r="X132" s="33">
        <f>IF(C132="","",Commercial_Id)</f>
        <v/>
      </c>
      <c r="Y132" s="33">
        <f>IF(E132="","",IF(E132="Particulier / ménage","Particulier","Entreprise"))</f>
        <v/>
      </c>
      <c r="Z132" s="39">
        <f>IF(C132="","",COUNTIFS(VC_cle,AK132,VC_type,"Visite sur place"))</f>
        <v/>
      </c>
      <c r="AA132" s="46">
        <f>IF(AL132=0,"",IF(INT(AL132)=0,"",INT(AL132)))</f>
        <v/>
      </c>
      <c r="AB132" s="46">
        <f>IF(AL132=0,"",IF(INDEX(VC_actiondate,ROUND(MOD(AL132,1)*100000,0)-5)=0,"",INDEX(VC_actiondate,ROUND(MOD(AL132,1)*100000,0)-5)))</f>
        <v/>
      </c>
      <c r="AC132" s="33">
        <f>IF(AL132=0,"",INDEX(VC_actiontexte,ROUND(MOD(AL132,1)*100000,0)-5)&amp;"")</f>
        <v/>
      </c>
      <c r="AD132" s="46">
        <f>IF(C132="","",IF(COUNTIFS(Cmd_cle,AK132,Cmd_dateca,"&gt;0")=0,"",SMALL(INDEX(Cmd_dateca+(((Cmd_cle&lt;&gt;AK132)+(Cmd_dateca=0))&gt;0)*1000000,0),1)))</f>
        <v/>
      </c>
      <c r="AE132" s="46">
        <f>IF(C132="","",IF(COUNTIFS(Cmd_cle,AK132,Cmd_dateca,"&gt;0")=0,"",MAX(INDEX((Cmd_cle=AK132)*Cmd_dateca,0))))</f>
        <v/>
      </c>
      <c r="AF132" s="40">
        <f>IF(C132="","",SUMIFS(Cmd_montant,Cmd_cle,AK132,Cmd_dateca,"&gt;0"))</f>
        <v/>
      </c>
      <c r="AG132" s="40">
        <f>IF(C132="","",SUMIFS(Enc_montant,Enc_cle,AK132))</f>
        <v/>
      </c>
      <c r="AH132" s="40">
        <f>IF(C132="","",AF132-AG132)</f>
        <v/>
      </c>
      <c r="AI132" s="33">
        <f>IF(C132="","",IF(D132="Perdu","",IF(AND(AB132&lt;&gt;"",N(AB132)&lt;TODAY()),"Action en retard",IF(AND(D132="Client",AE132&lt;&gt;"",TODAY()-N(AE132)&gt;P_JoursInactif),"Client inactif",IF(AND(D132="Prospect",Z132=0,O132&lt;&gt;"",TODAY()-N(O132)&gt;P_JoursNonVisite),"Jamais visité","")))))</f>
        <v/>
      </c>
      <c r="AJ132" s="33">
        <f>IF(C132="","",C132&amp;" ["&amp;TEXT(A132,"000")&amp;"]")</f>
        <v/>
      </c>
      <c r="AK132" s="33">
        <f>IF(C132="","",X132&amp;"|"&amp;A132)</f>
        <v/>
      </c>
      <c r="AL132" s="47">
        <f>IF(C132="",0,IF(COUNTIFS(VC_cle,AK132)=0,0,MAX(INDEX((VC_cle=AK132)*(VC_date+ROW(VC_date)/100000),0))))</f>
        <v/>
      </c>
      <c r="AM132" s="47">
        <f>IF(AND(C132&lt;&gt;"",N(AB132)&gt;0,D132&lt;&gt;"Perdu"),AB132+ROW()/100000,0)</f>
        <v/>
      </c>
      <c r="AN132" s="48">
        <f>IF(N(AF132)&gt;0,ROUND(AF132,0)+ROW()/1000000,0)</f>
        <v/>
      </c>
    </row>
    <row r="133" ht="18" customHeight="1">
      <c r="A133" s="39" t="n">
        <v>128</v>
      </c>
      <c r="B133" s="33">
        <f>IF(C133="","",IF(X133="À RENSEIGNER","GIC",X133)&amp;"-"&amp;TEXT(A133,"000"))</f>
        <v/>
      </c>
      <c r="C133" s="36" t="n"/>
      <c r="D133" s="34">
        <f>IF(C133="","",IF(U133="☑ Oui","Perdu",IF(AD133&lt;&gt;"","Client","Prospect")))</f>
        <v/>
      </c>
      <c r="E133" s="36" t="n"/>
      <c r="F133" s="36" t="n"/>
      <c r="G133" s="44" t="n"/>
      <c r="H133" s="44" t="n"/>
      <c r="I133" s="36" t="n"/>
      <c r="J133" s="36" t="n"/>
      <c r="K133" s="41" t="n"/>
      <c r="L133" s="41" t="n"/>
      <c r="M133" s="36" t="n"/>
      <c r="N133" s="36" t="n"/>
      <c r="O133" s="32" t="n"/>
      <c r="P133" s="36" t="n"/>
      <c r="Q133" s="36" t="n"/>
      <c r="R133" s="34">
        <f>IF(P133="","",IFERROR(VLOOKUP(P133,T_Produits,2,FALSE),""))</f>
        <v/>
      </c>
      <c r="S133" s="36" t="n"/>
      <c r="T133" s="43" t="n"/>
      <c r="U133" s="43" t="n"/>
      <c r="V133" s="36" t="n"/>
      <c r="W133" s="36" t="n"/>
      <c r="X133" s="33">
        <f>IF(C133="","",Commercial_Id)</f>
        <v/>
      </c>
      <c r="Y133" s="33">
        <f>IF(E133="","",IF(E133="Particulier / ménage","Particulier","Entreprise"))</f>
        <v/>
      </c>
      <c r="Z133" s="39">
        <f>IF(C133="","",COUNTIFS(VC_cle,AK133,VC_type,"Visite sur place"))</f>
        <v/>
      </c>
      <c r="AA133" s="46">
        <f>IF(AL133=0,"",IF(INT(AL133)=0,"",INT(AL133)))</f>
        <v/>
      </c>
      <c r="AB133" s="46">
        <f>IF(AL133=0,"",IF(INDEX(VC_actiondate,ROUND(MOD(AL133,1)*100000,0)-5)=0,"",INDEX(VC_actiondate,ROUND(MOD(AL133,1)*100000,0)-5)))</f>
        <v/>
      </c>
      <c r="AC133" s="33">
        <f>IF(AL133=0,"",INDEX(VC_actiontexte,ROUND(MOD(AL133,1)*100000,0)-5)&amp;"")</f>
        <v/>
      </c>
      <c r="AD133" s="46">
        <f>IF(C133="","",IF(COUNTIFS(Cmd_cle,AK133,Cmd_dateca,"&gt;0")=0,"",SMALL(INDEX(Cmd_dateca+(((Cmd_cle&lt;&gt;AK133)+(Cmd_dateca=0))&gt;0)*1000000,0),1)))</f>
        <v/>
      </c>
      <c r="AE133" s="46">
        <f>IF(C133="","",IF(COUNTIFS(Cmd_cle,AK133,Cmd_dateca,"&gt;0")=0,"",MAX(INDEX((Cmd_cle=AK133)*Cmd_dateca,0))))</f>
        <v/>
      </c>
      <c r="AF133" s="40">
        <f>IF(C133="","",SUMIFS(Cmd_montant,Cmd_cle,AK133,Cmd_dateca,"&gt;0"))</f>
        <v/>
      </c>
      <c r="AG133" s="40">
        <f>IF(C133="","",SUMIFS(Enc_montant,Enc_cle,AK133))</f>
        <v/>
      </c>
      <c r="AH133" s="40">
        <f>IF(C133="","",AF133-AG133)</f>
        <v/>
      </c>
      <c r="AI133" s="33">
        <f>IF(C133="","",IF(D133="Perdu","",IF(AND(AB133&lt;&gt;"",N(AB133)&lt;TODAY()),"Action en retard",IF(AND(D133="Client",AE133&lt;&gt;"",TODAY()-N(AE133)&gt;P_JoursInactif),"Client inactif",IF(AND(D133="Prospect",Z133=0,O133&lt;&gt;"",TODAY()-N(O133)&gt;P_JoursNonVisite),"Jamais visité","")))))</f>
        <v/>
      </c>
      <c r="AJ133" s="33">
        <f>IF(C133="","",C133&amp;" ["&amp;TEXT(A133,"000")&amp;"]")</f>
        <v/>
      </c>
      <c r="AK133" s="33">
        <f>IF(C133="","",X133&amp;"|"&amp;A133)</f>
        <v/>
      </c>
      <c r="AL133" s="47">
        <f>IF(C133="",0,IF(COUNTIFS(VC_cle,AK133)=0,0,MAX(INDEX((VC_cle=AK133)*(VC_date+ROW(VC_date)/100000),0))))</f>
        <v/>
      </c>
      <c r="AM133" s="47">
        <f>IF(AND(C133&lt;&gt;"",N(AB133)&gt;0,D133&lt;&gt;"Perdu"),AB133+ROW()/100000,0)</f>
        <v/>
      </c>
      <c r="AN133" s="48">
        <f>IF(N(AF133)&gt;0,ROUND(AF133,0)+ROW()/1000000,0)</f>
        <v/>
      </c>
    </row>
    <row r="134" ht="18" customHeight="1">
      <c r="A134" s="39" t="n">
        <v>129</v>
      </c>
      <c r="B134" s="33">
        <f>IF(C134="","",IF(X134="À RENSEIGNER","GIC",X134)&amp;"-"&amp;TEXT(A134,"000"))</f>
        <v/>
      </c>
      <c r="C134" s="36" t="n"/>
      <c r="D134" s="34">
        <f>IF(C134="","",IF(U134="☑ Oui","Perdu",IF(AD134&lt;&gt;"","Client","Prospect")))</f>
        <v/>
      </c>
      <c r="E134" s="36" t="n"/>
      <c r="F134" s="36" t="n"/>
      <c r="G134" s="44" t="n"/>
      <c r="H134" s="44" t="n"/>
      <c r="I134" s="36" t="n"/>
      <c r="J134" s="36" t="n"/>
      <c r="K134" s="41" t="n"/>
      <c r="L134" s="41" t="n"/>
      <c r="M134" s="36" t="n"/>
      <c r="N134" s="36" t="n"/>
      <c r="O134" s="32" t="n"/>
      <c r="P134" s="36" t="n"/>
      <c r="Q134" s="36" t="n"/>
      <c r="R134" s="34">
        <f>IF(P134="","",IFERROR(VLOOKUP(P134,T_Produits,2,FALSE),""))</f>
        <v/>
      </c>
      <c r="S134" s="36" t="n"/>
      <c r="T134" s="43" t="n"/>
      <c r="U134" s="43" t="n"/>
      <c r="V134" s="36" t="n"/>
      <c r="W134" s="36" t="n"/>
      <c r="X134" s="33">
        <f>IF(C134="","",Commercial_Id)</f>
        <v/>
      </c>
      <c r="Y134" s="33">
        <f>IF(E134="","",IF(E134="Particulier / ménage","Particulier","Entreprise"))</f>
        <v/>
      </c>
      <c r="Z134" s="39">
        <f>IF(C134="","",COUNTIFS(VC_cle,AK134,VC_type,"Visite sur place"))</f>
        <v/>
      </c>
      <c r="AA134" s="46">
        <f>IF(AL134=0,"",IF(INT(AL134)=0,"",INT(AL134)))</f>
        <v/>
      </c>
      <c r="AB134" s="46">
        <f>IF(AL134=0,"",IF(INDEX(VC_actiondate,ROUND(MOD(AL134,1)*100000,0)-5)=0,"",INDEX(VC_actiondate,ROUND(MOD(AL134,1)*100000,0)-5)))</f>
        <v/>
      </c>
      <c r="AC134" s="33">
        <f>IF(AL134=0,"",INDEX(VC_actiontexte,ROUND(MOD(AL134,1)*100000,0)-5)&amp;"")</f>
        <v/>
      </c>
      <c r="AD134" s="46">
        <f>IF(C134="","",IF(COUNTIFS(Cmd_cle,AK134,Cmd_dateca,"&gt;0")=0,"",SMALL(INDEX(Cmd_dateca+(((Cmd_cle&lt;&gt;AK134)+(Cmd_dateca=0))&gt;0)*1000000,0),1)))</f>
        <v/>
      </c>
      <c r="AE134" s="46">
        <f>IF(C134="","",IF(COUNTIFS(Cmd_cle,AK134,Cmd_dateca,"&gt;0")=0,"",MAX(INDEX((Cmd_cle=AK134)*Cmd_dateca,0))))</f>
        <v/>
      </c>
      <c r="AF134" s="40">
        <f>IF(C134="","",SUMIFS(Cmd_montant,Cmd_cle,AK134,Cmd_dateca,"&gt;0"))</f>
        <v/>
      </c>
      <c r="AG134" s="40">
        <f>IF(C134="","",SUMIFS(Enc_montant,Enc_cle,AK134))</f>
        <v/>
      </c>
      <c r="AH134" s="40">
        <f>IF(C134="","",AF134-AG134)</f>
        <v/>
      </c>
      <c r="AI134" s="33">
        <f>IF(C134="","",IF(D134="Perdu","",IF(AND(AB134&lt;&gt;"",N(AB134)&lt;TODAY()),"Action en retard",IF(AND(D134="Client",AE134&lt;&gt;"",TODAY()-N(AE134)&gt;P_JoursInactif),"Client inactif",IF(AND(D134="Prospect",Z134=0,O134&lt;&gt;"",TODAY()-N(O134)&gt;P_JoursNonVisite),"Jamais visité","")))))</f>
        <v/>
      </c>
      <c r="AJ134" s="33">
        <f>IF(C134="","",C134&amp;" ["&amp;TEXT(A134,"000")&amp;"]")</f>
        <v/>
      </c>
      <c r="AK134" s="33">
        <f>IF(C134="","",X134&amp;"|"&amp;A134)</f>
        <v/>
      </c>
      <c r="AL134" s="47">
        <f>IF(C134="",0,IF(COUNTIFS(VC_cle,AK134)=0,0,MAX(INDEX((VC_cle=AK134)*(VC_date+ROW(VC_date)/100000),0))))</f>
        <v/>
      </c>
      <c r="AM134" s="47">
        <f>IF(AND(C134&lt;&gt;"",N(AB134)&gt;0,D134&lt;&gt;"Perdu"),AB134+ROW()/100000,0)</f>
        <v/>
      </c>
      <c r="AN134" s="48">
        <f>IF(N(AF134)&gt;0,ROUND(AF134,0)+ROW()/1000000,0)</f>
        <v/>
      </c>
    </row>
    <row r="135" ht="18" customHeight="1">
      <c r="A135" s="39" t="n">
        <v>130</v>
      </c>
      <c r="B135" s="33">
        <f>IF(C135="","",IF(X135="À RENSEIGNER","GIC",X135)&amp;"-"&amp;TEXT(A135,"000"))</f>
        <v/>
      </c>
      <c r="C135" s="36" t="n"/>
      <c r="D135" s="34">
        <f>IF(C135="","",IF(U135="☑ Oui","Perdu",IF(AD135&lt;&gt;"","Client","Prospect")))</f>
        <v/>
      </c>
      <c r="E135" s="36" t="n"/>
      <c r="F135" s="36" t="n"/>
      <c r="G135" s="44" t="n"/>
      <c r="H135" s="44" t="n"/>
      <c r="I135" s="36" t="n"/>
      <c r="J135" s="36" t="n"/>
      <c r="K135" s="41" t="n"/>
      <c r="L135" s="41" t="n"/>
      <c r="M135" s="36" t="n"/>
      <c r="N135" s="36" t="n"/>
      <c r="O135" s="32" t="n"/>
      <c r="P135" s="36" t="n"/>
      <c r="Q135" s="36" t="n"/>
      <c r="R135" s="34">
        <f>IF(P135="","",IFERROR(VLOOKUP(P135,T_Produits,2,FALSE),""))</f>
        <v/>
      </c>
      <c r="S135" s="36" t="n"/>
      <c r="T135" s="43" t="n"/>
      <c r="U135" s="43" t="n"/>
      <c r="V135" s="36" t="n"/>
      <c r="W135" s="36" t="n"/>
      <c r="X135" s="33">
        <f>IF(C135="","",Commercial_Id)</f>
        <v/>
      </c>
      <c r="Y135" s="33">
        <f>IF(E135="","",IF(E135="Particulier / ménage","Particulier","Entreprise"))</f>
        <v/>
      </c>
      <c r="Z135" s="39">
        <f>IF(C135="","",COUNTIFS(VC_cle,AK135,VC_type,"Visite sur place"))</f>
        <v/>
      </c>
      <c r="AA135" s="46">
        <f>IF(AL135=0,"",IF(INT(AL135)=0,"",INT(AL135)))</f>
        <v/>
      </c>
      <c r="AB135" s="46">
        <f>IF(AL135=0,"",IF(INDEX(VC_actiondate,ROUND(MOD(AL135,1)*100000,0)-5)=0,"",INDEX(VC_actiondate,ROUND(MOD(AL135,1)*100000,0)-5)))</f>
        <v/>
      </c>
      <c r="AC135" s="33">
        <f>IF(AL135=0,"",INDEX(VC_actiontexte,ROUND(MOD(AL135,1)*100000,0)-5)&amp;"")</f>
        <v/>
      </c>
      <c r="AD135" s="46">
        <f>IF(C135="","",IF(COUNTIFS(Cmd_cle,AK135,Cmd_dateca,"&gt;0")=0,"",SMALL(INDEX(Cmd_dateca+(((Cmd_cle&lt;&gt;AK135)+(Cmd_dateca=0))&gt;0)*1000000,0),1)))</f>
        <v/>
      </c>
      <c r="AE135" s="46">
        <f>IF(C135="","",IF(COUNTIFS(Cmd_cle,AK135,Cmd_dateca,"&gt;0")=0,"",MAX(INDEX((Cmd_cle=AK135)*Cmd_dateca,0))))</f>
        <v/>
      </c>
      <c r="AF135" s="40">
        <f>IF(C135="","",SUMIFS(Cmd_montant,Cmd_cle,AK135,Cmd_dateca,"&gt;0"))</f>
        <v/>
      </c>
      <c r="AG135" s="40">
        <f>IF(C135="","",SUMIFS(Enc_montant,Enc_cle,AK135))</f>
        <v/>
      </c>
      <c r="AH135" s="40">
        <f>IF(C135="","",AF135-AG135)</f>
        <v/>
      </c>
      <c r="AI135" s="33">
        <f>IF(C135="","",IF(D135="Perdu","",IF(AND(AB135&lt;&gt;"",N(AB135)&lt;TODAY()),"Action en retard",IF(AND(D135="Client",AE135&lt;&gt;"",TODAY()-N(AE135)&gt;P_JoursInactif),"Client inactif",IF(AND(D135="Prospect",Z135=0,O135&lt;&gt;"",TODAY()-N(O135)&gt;P_JoursNonVisite),"Jamais visité","")))))</f>
        <v/>
      </c>
      <c r="AJ135" s="33">
        <f>IF(C135="","",C135&amp;" ["&amp;TEXT(A135,"000")&amp;"]")</f>
        <v/>
      </c>
      <c r="AK135" s="33">
        <f>IF(C135="","",X135&amp;"|"&amp;A135)</f>
        <v/>
      </c>
      <c r="AL135" s="47">
        <f>IF(C135="",0,IF(COUNTIFS(VC_cle,AK135)=0,0,MAX(INDEX((VC_cle=AK135)*(VC_date+ROW(VC_date)/100000),0))))</f>
        <v/>
      </c>
      <c r="AM135" s="47">
        <f>IF(AND(C135&lt;&gt;"",N(AB135)&gt;0,D135&lt;&gt;"Perdu"),AB135+ROW()/100000,0)</f>
        <v/>
      </c>
      <c r="AN135" s="48">
        <f>IF(N(AF135)&gt;0,ROUND(AF135,0)+ROW()/1000000,0)</f>
        <v/>
      </c>
    </row>
    <row r="136" ht="18" customHeight="1">
      <c r="A136" s="39" t="n">
        <v>131</v>
      </c>
      <c r="B136" s="33">
        <f>IF(C136="","",IF(X136="À RENSEIGNER","GIC",X136)&amp;"-"&amp;TEXT(A136,"000"))</f>
        <v/>
      </c>
      <c r="C136" s="36" t="n"/>
      <c r="D136" s="34">
        <f>IF(C136="","",IF(U136="☑ Oui","Perdu",IF(AD136&lt;&gt;"","Client","Prospect")))</f>
        <v/>
      </c>
      <c r="E136" s="36" t="n"/>
      <c r="F136" s="36" t="n"/>
      <c r="G136" s="44" t="n"/>
      <c r="H136" s="44" t="n"/>
      <c r="I136" s="36" t="n"/>
      <c r="J136" s="36" t="n"/>
      <c r="K136" s="41" t="n"/>
      <c r="L136" s="41" t="n"/>
      <c r="M136" s="36" t="n"/>
      <c r="N136" s="36" t="n"/>
      <c r="O136" s="32" t="n"/>
      <c r="P136" s="36" t="n"/>
      <c r="Q136" s="36" t="n"/>
      <c r="R136" s="34">
        <f>IF(P136="","",IFERROR(VLOOKUP(P136,T_Produits,2,FALSE),""))</f>
        <v/>
      </c>
      <c r="S136" s="36" t="n"/>
      <c r="T136" s="43" t="n"/>
      <c r="U136" s="43" t="n"/>
      <c r="V136" s="36" t="n"/>
      <c r="W136" s="36" t="n"/>
      <c r="X136" s="33">
        <f>IF(C136="","",Commercial_Id)</f>
        <v/>
      </c>
      <c r="Y136" s="33">
        <f>IF(E136="","",IF(E136="Particulier / ménage","Particulier","Entreprise"))</f>
        <v/>
      </c>
      <c r="Z136" s="39">
        <f>IF(C136="","",COUNTIFS(VC_cle,AK136,VC_type,"Visite sur place"))</f>
        <v/>
      </c>
      <c r="AA136" s="46">
        <f>IF(AL136=0,"",IF(INT(AL136)=0,"",INT(AL136)))</f>
        <v/>
      </c>
      <c r="AB136" s="46">
        <f>IF(AL136=0,"",IF(INDEX(VC_actiondate,ROUND(MOD(AL136,1)*100000,0)-5)=0,"",INDEX(VC_actiondate,ROUND(MOD(AL136,1)*100000,0)-5)))</f>
        <v/>
      </c>
      <c r="AC136" s="33">
        <f>IF(AL136=0,"",INDEX(VC_actiontexte,ROUND(MOD(AL136,1)*100000,0)-5)&amp;"")</f>
        <v/>
      </c>
      <c r="AD136" s="46">
        <f>IF(C136="","",IF(COUNTIFS(Cmd_cle,AK136,Cmd_dateca,"&gt;0")=0,"",SMALL(INDEX(Cmd_dateca+(((Cmd_cle&lt;&gt;AK136)+(Cmd_dateca=0))&gt;0)*1000000,0),1)))</f>
        <v/>
      </c>
      <c r="AE136" s="46">
        <f>IF(C136="","",IF(COUNTIFS(Cmd_cle,AK136,Cmd_dateca,"&gt;0")=0,"",MAX(INDEX((Cmd_cle=AK136)*Cmd_dateca,0))))</f>
        <v/>
      </c>
      <c r="AF136" s="40">
        <f>IF(C136="","",SUMIFS(Cmd_montant,Cmd_cle,AK136,Cmd_dateca,"&gt;0"))</f>
        <v/>
      </c>
      <c r="AG136" s="40">
        <f>IF(C136="","",SUMIFS(Enc_montant,Enc_cle,AK136))</f>
        <v/>
      </c>
      <c r="AH136" s="40">
        <f>IF(C136="","",AF136-AG136)</f>
        <v/>
      </c>
      <c r="AI136" s="33">
        <f>IF(C136="","",IF(D136="Perdu","",IF(AND(AB136&lt;&gt;"",N(AB136)&lt;TODAY()),"Action en retard",IF(AND(D136="Client",AE136&lt;&gt;"",TODAY()-N(AE136)&gt;P_JoursInactif),"Client inactif",IF(AND(D136="Prospect",Z136=0,O136&lt;&gt;"",TODAY()-N(O136)&gt;P_JoursNonVisite),"Jamais visité","")))))</f>
        <v/>
      </c>
      <c r="AJ136" s="33">
        <f>IF(C136="","",C136&amp;" ["&amp;TEXT(A136,"000")&amp;"]")</f>
        <v/>
      </c>
      <c r="AK136" s="33">
        <f>IF(C136="","",X136&amp;"|"&amp;A136)</f>
        <v/>
      </c>
      <c r="AL136" s="47">
        <f>IF(C136="",0,IF(COUNTIFS(VC_cle,AK136)=0,0,MAX(INDEX((VC_cle=AK136)*(VC_date+ROW(VC_date)/100000),0))))</f>
        <v/>
      </c>
      <c r="AM136" s="47">
        <f>IF(AND(C136&lt;&gt;"",N(AB136)&gt;0,D136&lt;&gt;"Perdu"),AB136+ROW()/100000,0)</f>
        <v/>
      </c>
      <c r="AN136" s="48">
        <f>IF(N(AF136)&gt;0,ROUND(AF136,0)+ROW()/1000000,0)</f>
        <v/>
      </c>
    </row>
    <row r="137" ht="18" customHeight="1">
      <c r="A137" s="39" t="n">
        <v>132</v>
      </c>
      <c r="B137" s="33">
        <f>IF(C137="","",IF(X137="À RENSEIGNER","GIC",X137)&amp;"-"&amp;TEXT(A137,"000"))</f>
        <v/>
      </c>
      <c r="C137" s="36" t="n"/>
      <c r="D137" s="34">
        <f>IF(C137="","",IF(U137="☑ Oui","Perdu",IF(AD137&lt;&gt;"","Client","Prospect")))</f>
        <v/>
      </c>
      <c r="E137" s="36" t="n"/>
      <c r="F137" s="36" t="n"/>
      <c r="G137" s="44" t="n"/>
      <c r="H137" s="44" t="n"/>
      <c r="I137" s="36" t="n"/>
      <c r="J137" s="36" t="n"/>
      <c r="K137" s="41" t="n"/>
      <c r="L137" s="41" t="n"/>
      <c r="M137" s="36" t="n"/>
      <c r="N137" s="36" t="n"/>
      <c r="O137" s="32" t="n"/>
      <c r="P137" s="36" t="n"/>
      <c r="Q137" s="36" t="n"/>
      <c r="R137" s="34">
        <f>IF(P137="","",IFERROR(VLOOKUP(P137,T_Produits,2,FALSE),""))</f>
        <v/>
      </c>
      <c r="S137" s="36" t="n"/>
      <c r="T137" s="43" t="n"/>
      <c r="U137" s="43" t="n"/>
      <c r="V137" s="36" t="n"/>
      <c r="W137" s="36" t="n"/>
      <c r="X137" s="33">
        <f>IF(C137="","",Commercial_Id)</f>
        <v/>
      </c>
      <c r="Y137" s="33">
        <f>IF(E137="","",IF(E137="Particulier / ménage","Particulier","Entreprise"))</f>
        <v/>
      </c>
      <c r="Z137" s="39">
        <f>IF(C137="","",COUNTIFS(VC_cle,AK137,VC_type,"Visite sur place"))</f>
        <v/>
      </c>
      <c r="AA137" s="46">
        <f>IF(AL137=0,"",IF(INT(AL137)=0,"",INT(AL137)))</f>
        <v/>
      </c>
      <c r="AB137" s="46">
        <f>IF(AL137=0,"",IF(INDEX(VC_actiondate,ROUND(MOD(AL137,1)*100000,0)-5)=0,"",INDEX(VC_actiondate,ROUND(MOD(AL137,1)*100000,0)-5)))</f>
        <v/>
      </c>
      <c r="AC137" s="33">
        <f>IF(AL137=0,"",INDEX(VC_actiontexte,ROUND(MOD(AL137,1)*100000,0)-5)&amp;"")</f>
        <v/>
      </c>
      <c r="AD137" s="46">
        <f>IF(C137="","",IF(COUNTIFS(Cmd_cle,AK137,Cmd_dateca,"&gt;0")=0,"",SMALL(INDEX(Cmd_dateca+(((Cmd_cle&lt;&gt;AK137)+(Cmd_dateca=0))&gt;0)*1000000,0),1)))</f>
        <v/>
      </c>
      <c r="AE137" s="46">
        <f>IF(C137="","",IF(COUNTIFS(Cmd_cle,AK137,Cmd_dateca,"&gt;0")=0,"",MAX(INDEX((Cmd_cle=AK137)*Cmd_dateca,0))))</f>
        <v/>
      </c>
      <c r="AF137" s="40">
        <f>IF(C137="","",SUMIFS(Cmd_montant,Cmd_cle,AK137,Cmd_dateca,"&gt;0"))</f>
        <v/>
      </c>
      <c r="AG137" s="40">
        <f>IF(C137="","",SUMIFS(Enc_montant,Enc_cle,AK137))</f>
        <v/>
      </c>
      <c r="AH137" s="40">
        <f>IF(C137="","",AF137-AG137)</f>
        <v/>
      </c>
      <c r="AI137" s="33">
        <f>IF(C137="","",IF(D137="Perdu","",IF(AND(AB137&lt;&gt;"",N(AB137)&lt;TODAY()),"Action en retard",IF(AND(D137="Client",AE137&lt;&gt;"",TODAY()-N(AE137)&gt;P_JoursInactif),"Client inactif",IF(AND(D137="Prospect",Z137=0,O137&lt;&gt;"",TODAY()-N(O137)&gt;P_JoursNonVisite),"Jamais visité","")))))</f>
        <v/>
      </c>
      <c r="AJ137" s="33">
        <f>IF(C137="","",C137&amp;" ["&amp;TEXT(A137,"000")&amp;"]")</f>
        <v/>
      </c>
      <c r="AK137" s="33">
        <f>IF(C137="","",X137&amp;"|"&amp;A137)</f>
        <v/>
      </c>
      <c r="AL137" s="47">
        <f>IF(C137="",0,IF(COUNTIFS(VC_cle,AK137)=0,0,MAX(INDEX((VC_cle=AK137)*(VC_date+ROW(VC_date)/100000),0))))</f>
        <v/>
      </c>
      <c r="AM137" s="47">
        <f>IF(AND(C137&lt;&gt;"",N(AB137)&gt;0,D137&lt;&gt;"Perdu"),AB137+ROW()/100000,0)</f>
        <v/>
      </c>
      <c r="AN137" s="48">
        <f>IF(N(AF137)&gt;0,ROUND(AF137,0)+ROW()/1000000,0)</f>
        <v/>
      </c>
    </row>
    <row r="138" ht="18" customHeight="1">
      <c r="A138" s="39" t="n">
        <v>133</v>
      </c>
      <c r="B138" s="33">
        <f>IF(C138="","",IF(X138="À RENSEIGNER","GIC",X138)&amp;"-"&amp;TEXT(A138,"000"))</f>
        <v/>
      </c>
      <c r="C138" s="36" t="n"/>
      <c r="D138" s="34">
        <f>IF(C138="","",IF(U138="☑ Oui","Perdu",IF(AD138&lt;&gt;"","Client","Prospect")))</f>
        <v/>
      </c>
      <c r="E138" s="36" t="n"/>
      <c r="F138" s="36" t="n"/>
      <c r="G138" s="44" t="n"/>
      <c r="H138" s="44" t="n"/>
      <c r="I138" s="36" t="n"/>
      <c r="J138" s="36" t="n"/>
      <c r="K138" s="41" t="n"/>
      <c r="L138" s="41" t="n"/>
      <c r="M138" s="36" t="n"/>
      <c r="N138" s="36" t="n"/>
      <c r="O138" s="32" t="n"/>
      <c r="P138" s="36" t="n"/>
      <c r="Q138" s="36" t="n"/>
      <c r="R138" s="34">
        <f>IF(P138="","",IFERROR(VLOOKUP(P138,T_Produits,2,FALSE),""))</f>
        <v/>
      </c>
      <c r="S138" s="36" t="n"/>
      <c r="T138" s="43" t="n"/>
      <c r="U138" s="43" t="n"/>
      <c r="V138" s="36" t="n"/>
      <c r="W138" s="36" t="n"/>
      <c r="X138" s="33">
        <f>IF(C138="","",Commercial_Id)</f>
        <v/>
      </c>
      <c r="Y138" s="33">
        <f>IF(E138="","",IF(E138="Particulier / ménage","Particulier","Entreprise"))</f>
        <v/>
      </c>
      <c r="Z138" s="39">
        <f>IF(C138="","",COUNTIFS(VC_cle,AK138,VC_type,"Visite sur place"))</f>
        <v/>
      </c>
      <c r="AA138" s="46">
        <f>IF(AL138=0,"",IF(INT(AL138)=0,"",INT(AL138)))</f>
        <v/>
      </c>
      <c r="AB138" s="46">
        <f>IF(AL138=0,"",IF(INDEX(VC_actiondate,ROUND(MOD(AL138,1)*100000,0)-5)=0,"",INDEX(VC_actiondate,ROUND(MOD(AL138,1)*100000,0)-5)))</f>
        <v/>
      </c>
      <c r="AC138" s="33">
        <f>IF(AL138=0,"",INDEX(VC_actiontexte,ROUND(MOD(AL138,1)*100000,0)-5)&amp;"")</f>
        <v/>
      </c>
      <c r="AD138" s="46">
        <f>IF(C138="","",IF(COUNTIFS(Cmd_cle,AK138,Cmd_dateca,"&gt;0")=0,"",SMALL(INDEX(Cmd_dateca+(((Cmd_cle&lt;&gt;AK138)+(Cmd_dateca=0))&gt;0)*1000000,0),1)))</f>
        <v/>
      </c>
      <c r="AE138" s="46">
        <f>IF(C138="","",IF(COUNTIFS(Cmd_cle,AK138,Cmd_dateca,"&gt;0")=0,"",MAX(INDEX((Cmd_cle=AK138)*Cmd_dateca,0))))</f>
        <v/>
      </c>
      <c r="AF138" s="40">
        <f>IF(C138="","",SUMIFS(Cmd_montant,Cmd_cle,AK138,Cmd_dateca,"&gt;0"))</f>
        <v/>
      </c>
      <c r="AG138" s="40">
        <f>IF(C138="","",SUMIFS(Enc_montant,Enc_cle,AK138))</f>
        <v/>
      </c>
      <c r="AH138" s="40">
        <f>IF(C138="","",AF138-AG138)</f>
        <v/>
      </c>
      <c r="AI138" s="33">
        <f>IF(C138="","",IF(D138="Perdu","",IF(AND(AB138&lt;&gt;"",N(AB138)&lt;TODAY()),"Action en retard",IF(AND(D138="Client",AE138&lt;&gt;"",TODAY()-N(AE138)&gt;P_JoursInactif),"Client inactif",IF(AND(D138="Prospect",Z138=0,O138&lt;&gt;"",TODAY()-N(O138)&gt;P_JoursNonVisite),"Jamais visité","")))))</f>
        <v/>
      </c>
      <c r="AJ138" s="33">
        <f>IF(C138="","",C138&amp;" ["&amp;TEXT(A138,"000")&amp;"]")</f>
        <v/>
      </c>
      <c r="AK138" s="33">
        <f>IF(C138="","",X138&amp;"|"&amp;A138)</f>
        <v/>
      </c>
      <c r="AL138" s="47">
        <f>IF(C138="",0,IF(COUNTIFS(VC_cle,AK138)=0,0,MAX(INDEX((VC_cle=AK138)*(VC_date+ROW(VC_date)/100000),0))))</f>
        <v/>
      </c>
      <c r="AM138" s="47">
        <f>IF(AND(C138&lt;&gt;"",N(AB138)&gt;0,D138&lt;&gt;"Perdu"),AB138+ROW()/100000,0)</f>
        <v/>
      </c>
      <c r="AN138" s="48">
        <f>IF(N(AF138)&gt;0,ROUND(AF138,0)+ROW()/1000000,0)</f>
        <v/>
      </c>
    </row>
    <row r="139" ht="18" customHeight="1">
      <c r="A139" s="39" t="n">
        <v>134</v>
      </c>
      <c r="B139" s="33">
        <f>IF(C139="","",IF(X139="À RENSEIGNER","GIC",X139)&amp;"-"&amp;TEXT(A139,"000"))</f>
        <v/>
      </c>
      <c r="C139" s="36" t="n"/>
      <c r="D139" s="34">
        <f>IF(C139="","",IF(U139="☑ Oui","Perdu",IF(AD139&lt;&gt;"","Client","Prospect")))</f>
        <v/>
      </c>
      <c r="E139" s="36" t="n"/>
      <c r="F139" s="36" t="n"/>
      <c r="G139" s="44" t="n"/>
      <c r="H139" s="44" t="n"/>
      <c r="I139" s="36" t="n"/>
      <c r="J139" s="36" t="n"/>
      <c r="K139" s="41" t="n"/>
      <c r="L139" s="41" t="n"/>
      <c r="M139" s="36" t="n"/>
      <c r="N139" s="36" t="n"/>
      <c r="O139" s="32" t="n"/>
      <c r="P139" s="36" t="n"/>
      <c r="Q139" s="36" t="n"/>
      <c r="R139" s="34">
        <f>IF(P139="","",IFERROR(VLOOKUP(P139,T_Produits,2,FALSE),""))</f>
        <v/>
      </c>
      <c r="S139" s="36" t="n"/>
      <c r="T139" s="43" t="n"/>
      <c r="U139" s="43" t="n"/>
      <c r="V139" s="36" t="n"/>
      <c r="W139" s="36" t="n"/>
      <c r="X139" s="33">
        <f>IF(C139="","",Commercial_Id)</f>
        <v/>
      </c>
      <c r="Y139" s="33">
        <f>IF(E139="","",IF(E139="Particulier / ménage","Particulier","Entreprise"))</f>
        <v/>
      </c>
      <c r="Z139" s="39">
        <f>IF(C139="","",COUNTIFS(VC_cle,AK139,VC_type,"Visite sur place"))</f>
        <v/>
      </c>
      <c r="AA139" s="46">
        <f>IF(AL139=0,"",IF(INT(AL139)=0,"",INT(AL139)))</f>
        <v/>
      </c>
      <c r="AB139" s="46">
        <f>IF(AL139=0,"",IF(INDEX(VC_actiondate,ROUND(MOD(AL139,1)*100000,0)-5)=0,"",INDEX(VC_actiondate,ROUND(MOD(AL139,1)*100000,0)-5)))</f>
        <v/>
      </c>
      <c r="AC139" s="33">
        <f>IF(AL139=0,"",INDEX(VC_actiontexte,ROUND(MOD(AL139,1)*100000,0)-5)&amp;"")</f>
        <v/>
      </c>
      <c r="AD139" s="46">
        <f>IF(C139="","",IF(COUNTIFS(Cmd_cle,AK139,Cmd_dateca,"&gt;0")=0,"",SMALL(INDEX(Cmd_dateca+(((Cmd_cle&lt;&gt;AK139)+(Cmd_dateca=0))&gt;0)*1000000,0),1)))</f>
        <v/>
      </c>
      <c r="AE139" s="46">
        <f>IF(C139="","",IF(COUNTIFS(Cmd_cle,AK139,Cmd_dateca,"&gt;0")=0,"",MAX(INDEX((Cmd_cle=AK139)*Cmd_dateca,0))))</f>
        <v/>
      </c>
      <c r="AF139" s="40">
        <f>IF(C139="","",SUMIFS(Cmd_montant,Cmd_cle,AK139,Cmd_dateca,"&gt;0"))</f>
        <v/>
      </c>
      <c r="AG139" s="40">
        <f>IF(C139="","",SUMIFS(Enc_montant,Enc_cle,AK139))</f>
        <v/>
      </c>
      <c r="AH139" s="40">
        <f>IF(C139="","",AF139-AG139)</f>
        <v/>
      </c>
      <c r="AI139" s="33">
        <f>IF(C139="","",IF(D139="Perdu","",IF(AND(AB139&lt;&gt;"",N(AB139)&lt;TODAY()),"Action en retard",IF(AND(D139="Client",AE139&lt;&gt;"",TODAY()-N(AE139)&gt;P_JoursInactif),"Client inactif",IF(AND(D139="Prospect",Z139=0,O139&lt;&gt;"",TODAY()-N(O139)&gt;P_JoursNonVisite),"Jamais visité","")))))</f>
        <v/>
      </c>
      <c r="AJ139" s="33">
        <f>IF(C139="","",C139&amp;" ["&amp;TEXT(A139,"000")&amp;"]")</f>
        <v/>
      </c>
      <c r="AK139" s="33">
        <f>IF(C139="","",X139&amp;"|"&amp;A139)</f>
        <v/>
      </c>
      <c r="AL139" s="47">
        <f>IF(C139="",0,IF(COUNTIFS(VC_cle,AK139)=0,0,MAX(INDEX((VC_cle=AK139)*(VC_date+ROW(VC_date)/100000),0))))</f>
        <v/>
      </c>
      <c r="AM139" s="47">
        <f>IF(AND(C139&lt;&gt;"",N(AB139)&gt;0,D139&lt;&gt;"Perdu"),AB139+ROW()/100000,0)</f>
        <v/>
      </c>
      <c r="AN139" s="48">
        <f>IF(N(AF139)&gt;0,ROUND(AF139,0)+ROW()/1000000,0)</f>
        <v/>
      </c>
    </row>
    <row r="140" ht="18" customHeight="1">
      <c r="A140" s="39" t="n">
        <v>135</v>
      </c>
      <c r="B140" s="33">
        <f>IF(C140="","",IF(X140="À RENSEIGNER","GIC",X140)&amp;"-"&amp;TEXT(A140,"000"))</f>
        <v/>
      </c>
      <c r="C140" s="36" t="n"/>
      <c r="D140" s="34">
        <f>IF(C140="","",IF(U140="☑ Oui","Perdu",IF(AD140&lt;&gt;"","Client","Prospect")))</f>
        <v/>
      </c>
      <c r="E140" s="36" t="n"/>
      <c r="F140" s="36" t="n"/>
      <c r="G140" s="44" t="n"/>
      <c r="H140" s="44" t="n"/>
      <c r="I140" s="36" t="n"/>
      <c r="J140" s="36" t="n"/>
      <c r="K140" s="41" t="n"/>
      <c r="L140" s="41" t="n"/>
      <c r="M140" s="36" t="n"/>
      <c r="N140" s="36" t="n"/>
      <c r="O140" s="32" t="n"/>
      <c r="P140" s="36" t="n"/>
      <c r="Q140" s="36" t="n"/>
      <c r="R140" s="34">
        <f>IF(P140="","",IFERROR(VLOOKUP(P140,T_Produits,2,FALSE),""))</f>
        <v/>
      </c>
      <c r="S140" s="36" t="n"/>
      <c r="T140" s="43" t="n"/>
      <c r="U140" s="43" t="n"/>
      <c r="V140" s="36" t="n"/>
      <c r="W140" s="36" t="n"/>
      <c r="X140" s="33">
        <f>IF(C140="","",Commercial_Id)</f>
        <v/>
      </c>
      <c r="Y140" s="33">
        <f>IF(E140="","",IF(E140="Particulier / ménage","Particulier","Entreprise"))</f>
        <v/>
      </c>
      <c r="Z140" s="39">
        <f>IF(C140="","",COUNTIFS(VC_cle,AK140,VC_type,"Visite sur place"))</f>
        <v/>
      </c>
      <c r="AA140" s="46">
        <f>IF(AL140=0,"",IF(INT(AL140)=0,"",INT(AL140)))</f>
        <v/>
      </c>
      <c r="AB140" s="46">
        <f>IF(AL140=0,"",IF(INDEX(VC_actiondate,ROUND(MOD(AL140,1)*100000,0)-5)=0,"",INDEX(VC_actiondate,ROUND(MOD(AL140,1)*100000,0)-5)))</f>
        <v/>
      </c>
      <c r="AC140" s="33">
        <f>IF(AL140=0,"",INDEX(VC_actiontexte,ROUND(MOD(AL140,1)*100000,0)-5)&amp;"")</f>
        <v/>
      </c>
      <c r="AD140" s="46">
        <f>IF(C140="","",IF(COUNTIFS(Cmd_cle,AK140,Cmd_dateca,"&gt;0")=0,"",SMALL(INDEX(Cmd_dateca+(((Cmd_cle&lt;&gt;AK140)+(Cmd_dateca=0))&gt;0)*1000000,0),1)))</f>
        <v/>
      </c>
      <c r="AE140" s="46">
        <f>IF(C140="","",IF(COUNTIFS(Cmd_cle,AK140,Cmd_dateca,"&gt;0")=0,"",MAX(INDEX((Cmd_cle=AK140)*Cmd_dateca,0))))</f>
        <v/>
      </c>
      <c r="AF140" s="40">
        <f>IF(C140="","",SUMIFS(Cmd_montant,Cmd_cle,AK140,Cmd_dateca,"&gt;0"))</f>
        <v/>
      </c>
      <c r="AG140" s="40">
        <f>IF(C140="","",SUMIFS(Enc_montant,Enc_cle,AK140))</f>
        <v/>
      </c>
      <c r="AH140" s="40">
        <f>IF(C140="","",AF140-AG140)</f>
        <v/>
      </c>
      <c r="AI140" s="33">
        <f>IF(C140="","",IF(D140="Perdu","",IF(AND(AB140&lt;&gt;"",N(AB140)&lt;TODAY()),"Action en retard",IF(AND(D140="Client",AE140&lt;&gt;"",TODAY()-N(AE140)&gt;P_JoursInactif),"Client inactif",IF(AND(D140="Prospect",Z140=0,O140&lt;&gt;"",TODAY()-N(O140)&gt;P_JoursNonVisite),"Jamais visité","")))))</f>
        <v/>
      </c>
      <c r="AJ140" s="33">
        <f>IF(C140="","",C140&amp;" ["&amp;TEXT(A140,"000")&amp;"]")</f>
        <v/>
      </c>
      <c r="AK140" s="33">
        <f>IF(C140="","",X140&amp;"|"&amp;A140)</f>
        <v/>
      </c>
      <c r="AL140" s="47">
        <f>IF(C140="",0,IF(COUNTIFS(VC_cle,AK140)=0,0,MAX(INDEX((VC_cle=AK140)*(VC_date+ROW(VC_date)/100000),0))))</f>
        <v/>
      </c>
      <c r="AM140" s="47">
        <f>IF(AND(C140&lt;&gt;"",N(AB140)&gt;0,D140&lt;&gt;"Perdu"),AB140+ROW()/100000,0)</f>
        <v/>
      </c>
      <c r="AN140" s="48">
        <f>IF(N(AF140)&gt;0,ROUND(AF140,0)+ROW()/1000000,0)</f>
        <v/>
      </c>
    </row>
    <row r="141" ht="18" customHeight="1">
      <c r="A141" s="39" t="n">
        <v>136</v>
      </c>
      <c r="B141" s="33">
        <f>IF(C141="","",IF(X141="À RENSEIGNER","GIC",X141)&amp;"-"&amp;TEXT(A141,"000"))</f>
        <v/>
      </c>
      <c r="C141" s="36" t="n"/>
      <c r="D141" s="34">
        <f>IF(C141="","",IF(U141="☑ Oui","Perdu",IF(AD141&lt;&gt;"","Client","Prospect")))</f>
        <v/>
      </c>
      <c r="E141" s="36" t="n"/>
      <c r="F141" s="36" t="n"/>
      <c r="G141" s="44" t="n"/>
      <c r="H141" s="44" t="n"/>
      <c r="I141" s="36" t="n"/>
      <c r="J141" s="36" t="n"/>
      <c r="K141" s="41" t="n"/>
      <c r="L141" s="41" t="n"/>
      <c r="M141" s="36" t="n"/>
      <c r="N141" s="36" t="n"/>
      <c r="O141" s="32" t="n"/>
      <c r="P141" s="36" t="n"/>
      <c r="Q141" s="36" t="n"/>
      <c r="R141" s="34">
        <f>IF(P141="","",IFERROR(VLOOKUP(P141,T_Produits,2,FALSE),""))</f>
        <v/>
      </c>
      <c r="S141" s="36" t="n"/>
      <c r="T141" s="43" t="n"/>
      <c r="U141" s="43" t="n"/>
      <c r="V141" s="36" t="n"/>
      <c r="W141" s="36" t="n"/>
      <c r="X141" s="33">
        <f>IF(C141="","",Commercial_Id)</f>
        <v/>
      </c>
      <c r="Y141" s="33">
        <f>IF(E141="","",IF(E141="Particulier / ménage","Particulier","Entreprise"))</f>
        <v/>
      </c>
      <c r="Z141" s="39">
        <f>IF(C141="","",COUNTIFS(VC_cle,AK141,VC_type,"Visite sur place"))</f>
        <v/>
      </c>
      <c r="AA141" s="46">
        <f>IF(AL141=0,"",IF(INT(AL141)=0,"",INT(AL141)))</f>
        <v/>
      </c>
      <c r="AB141" s="46">
        <f>IF(AL141=0,"",IF(INDEX(VC_actiondate,ROUND(MOD(AL141,1)*100000,0)-5)=0,"",INDEX(VC_actiondate,ROUND(MOD(AL141,1)*100000,0)-5)))</f>
        <v/>
      </c>
      <c r="AC141" s="33">
        <f>IF(AL141=0,"",INDEX(VC_actiontexte,ROUND(MOD(AL141,1)*100000,0)-5)&amp;"")</f>
        <v/>
      </c>
      <c r="AD141" s="46">
        <f>IF(C141="","",IF(COUNTIFS(Cmd_cle,AK141,Cmd_dateca,"&gt;0")=0,"",SMALL(INDEX(Cmd_dateca+(((Cmd_cle&lt;&gt;AK141)+(Cmd_dateca=0))&gt;0)*1000000,0),1)))</f>
        <v/>
      </c>
      <c r="AE141" s="46">
        <f>IF(C141="","",IF(COUNTIFS(Cmd_cle,AK141,Cmd_dateca,"&gt;0")=0,"",MAX(INDEX((Cmd_cle=AK141)*Cmd_dateca,0))))</f>
        <v/>
      </c>
      <c r="AF141" s="40">
        <f>IF(C141="","",SUMIFS(Cmd_montant,Cmd_cle,AK141,Cmd_dateca,"&gt;0"))</f>
        <v/>
      </c>
      <c r="AG141" s="40">
        <f>IF(C141="","",SUMIFS(Enc_montant,Enc_cle,AK141))</f>
        <v/>
      </c>
      <c r="AH141" s="40">
        <f>IF(C141="","",AF141-AG141)</f>
        <v/>
      </c>
      <c r="AI141" s="33">
        <f>IF(C141="","",IF(D141="Perdu","",IF(AND(AB141&lt;&gt;"",N(AB141)&lt;TODAY()),"Action en retard",IF(AND(D141="Client",AE141&lt;&gt;"",TODAY()-N(AE141)&gt;P_JoursInactif),"Client inactif",IF(AND(D141="Prospect",Z141=0,O141&lt;&gt;"",TODAY()-N(O141)&gt;P_JoursNonVisite),"Jamais visité","")))))</f>
        <v/>
      </c>
      <c r="AJ141" s="33">
        <f>IF(C141="","",C141&amp;" ["&amp;TEXT(A141,"000")&amp;"]")</f>
        <v/>
      </c>
      <c r="AK141" s="33">
        <f>IF(C141="","",X141&amp;"|"&amp;A141)</f>
        <v/>
      </c>
      <c r="AL141" s="47">
        <f>IF(C141="",0,IF(COUNTIFS(VC_cle,AK141)=0,0,MAX(INDEX((VC_cle=AK141)*(VC_date+ROW(VC_date)/100000),0))))</f>
        <v/>
      </c>
      <c r="AM141" s="47">
        <f>IF(AND(C141&lt;&gt;"",N(AB141)&gt;0,D141&lt;&gt;"Perdu"),AB141+ROW()/100000,0)</f>
        <v/>
      </c>
      <c r="AN141" s="48">
        <f>IF(N(AF141)&gt;0,ROUND(AF141,0)+ROW()/1000000,0)</f>
        <v/>
      </c>
    </row>
    <row r="142" ht="18" customHeight="1">
      <c r="A142" s="39" t="n">
        <v>137</v>
      </c>
      <c r="B142" s="33">
        <f>IF(C142="","",IF(X142="À RENSEIGNER","GIC",X142)&amp;"-"&amp;TEXT(A142,"000"))</f>
        <v/>
      </c>
      <c r="C142" s="36" t="n"/>
      <c r="D142" s="34">
        <f>IF(C142="","",IF(U142="☑ Oui","Perdu",IF(AD142&lt;&gt;"","Client","Prospect")))</f>
        <v/>
      </c>
      <c r="E142" s="36" t="n"/>
      <c r="F142" s="36" t="n"/>
      <c r="G142" s="44" t="n"/>
      <c r="H142" s="44" t="n"/>
      <c r="I142" s="36" t="n"/>
      <c r="J142" s="36" t="n"/>
      <c r="K142" s="41" t="n"/>
      <c r="L142" s="41" t="n"/>
      <c r="M142" s="36" t="n"/>
      <c r="N142" s="36" t="n"/>
      <c r="O142" s="32" t="n"/>
      <c r="P142" s="36" t="n"/>
      <c r="Q142" s="36" t="n"/>
      <c r="R142" s="34">
        <f>IF(P142="","",IFERROR(VLOOKUP(P142,T_Produits,2,FALSE),""))</f>
        <v/>
      </c>
      <c r="S142" s="36" t="n"/>
      <c r="T142" s="43" t="n"/>
      <c r="U142" s="43" t="n"/>
      <c r="V142" s="36" t="n"/>
      <c r="W142" s="36" t="n"/>
      <c r="X142" s="33">
        <f>IF(C142="","",Commercial_Id)</f>
        <v/>
      </c>
      <c r="Y142" s="33">
        <f>IF(E142="","",IF(E142="Particulier / ménage","Particulier","Entreprise"))</f>
        <v/>
      </c>
      <c r="Z142" s="39">
        <f>IF(C142="","",COUNTIFS(VC_cle,AK142,VC_type,"Visite sur place"))</f>
        <v/>
      </c>
      <c r="AA142" s="46">
        <f>IF(AL142=0,"",IF(INT(AL142)=0,"",INT(AL142)))</f>
        <v/>
      </c>
      <c r="AB142" s="46">
        <f>IF(AL142=0,"",IF(INDEX(VC_actiondate,ROUND(MOD(AL142,1)*100000,0)-5)=0,"",INDEX(VC_actiondate,ROUND(MOD(AL142,1)*100000,0)-5)))</f>
        <v/>
      </c>
      <c r="AC142" s="33">
        <f>IF(AL142=0,"",INDEX(VC_actiontexte,ROUND(MOD(AL142,1)*100000,0)-5)&amp;"")</f>
        <v/>
      </c>
      <c r="AD142" s="46">
        <f>IF(C142="","",IF(COUNTIFS(Cmd_cle,AK142,Cmd_dateca,"&gt;0")=0,"",SMALL(INDEX(Cmd_dateca+(((Cmd_cle&lt;&gt;AK142)+(Cmd_dateca=0))&gt;0)*1000000,0),1)))</f>
        <v/>
      </c>
      <c r="AE142" s="46">
        <f>IF(C142="","",IF(COUNTIFS(Cmd_cle,AK142,Cmd_dateca,"&gt;0")=0,"",MAX(INDEX((Cmd_cle=AK142)*Cmd_dateca,0))))</f>
        <v/>
      </c>
      <c r="AF142" s="40">
        <f>IF(C142="","",SUMIFS(Cmd_montant,Cmd_cle,AK142,Cmd_dateca,"&gt;0"))</f>
        <v/>
      </c>
      <c r="AG142" s="40">
        <f>IF(C142="","",SUMIFS(Enc_montant,Enc_cle,AK142))</f>
        <v/>
      </c>
      <c r="AH142" s="40">
        <f>IF(C142="","",AF142-AG142)</f>
        <v/>
      </c>
      <c r="AI142" s="33">
        <f>IF(C142="","",IF(D142="Perdu","",IF(AND(AB142&lt;&gt;"",N(AB142)&lt;TODAY()),"Action en retard",IF(AND(D142="Client",AE142&lt;&gt;"",TODAY()-N(AE142)&gt;P_JoursInactif),"Client inactif",IF(AND(D142="Prospect",Z142=0,O142&lt;&gt;"",TODAY()-N(O142)&gt;P_JoursNonVisite),"Jamais visité","")))))</f>
        <v/>
      </c>
      <c r="AJ142" s="33">
        <f>IF(C142="","",C142&amp;" ["&amp;TEXT(A142,"000")&amp;"]")</f>
        <v/>
      </c>
      <c r="AK142" s="33">
        <f>IF(C142="","",X142&amp;"|"&amp;A142)</f>
        <v/>
      </c>
      <c r="AL142" s="47">
        <f>IF(C142="",0,IF(COUNTIFS(VC_cle,AK142)=0,0,MAX(INDEX((VC_cle=AK142)*(VC_date+ROW(VC_date)/100000),0))))</f>
        <v/>
      </c>
      <c r="AM142" s="47">
        <f>IF(AND(C142&lt;&gt;"",N(AB142)&gt;0,D142&lt;&gt;"Perdu"),AB142+ROW()/100000,0)</f>
        <v/>
      </c>
      <c r="AN142" s="48">
        <f>IF(N(AF142)&gt;0,ROUND(AF142,0)+ROW()/1000000,0)</f>
        <v/>
      </c>
    </row>
    <row r="143" ht="18" customHeight="1">
      <c r="A143" s="39" t="n">
        <v>138</v>
      </c>
      <c r="B143" s="33">
        <f>IF(C143="","",IF(X143="À RENSEIGNER","GIC",X143)&amp;"-"&amp;TEXT(A143,"000"))</f>
        <v/>
      </c>
      <c r="C143" s="36" t="n"/>
      <c r="D143" s="34">
        <f>IF(C143="","",IF(U143="☑ Oui","Perdu",IF(AD143&lt;&gt;"","Client","Prospect")))</f>
        <v/>
      </c>
      <c r="E143" s="36" t="n"/>
      <c r="F143" s="36" t="n"/>
      <c r="G143" s="44" t="n"/>
      <c r="H143" s="44" t="n"/>
      <c r="I143" s="36" t="n"/>
      <c r="J143" s="36" t="n"/>
      <c r="K143" s="41" t="n"/>
      <c r="L143" s="41" t="n"/>
      <c r="M143" s="36" t="n"/>
      <c r="N143" s="36" t="n"/>
      <c r="O143" s="32" t="n"/>
      <c r="P143" s="36" t="n"/>
      <c r="Q143" s="36" t="n"/>
      <c r="R143" s="34">
        <f>IF(P143="","",IFERROR(VLOOKUP(P143,T_Produits,2,FALSE),""))</f>
        <v/>
      </c>
      <c r="S143" s="36" t="n"/>
      <c r="T143" s="43" t="n"/>
      <c r="U143" s="43" t="n"/>
      <c r="V143" s="36" t="n"/>
      <c r="W143" s="36" t="n"/>
      <c r="X143" s="33">
        <f>IF(C143="","",Commercial_Id)</f>
        <v/>
      </c>
      <c r="Y143" s="33">
        <f>IF(E143="","",IF(E143="Particulier / ménage","Particulier","Entreprise"))</f>
        <v/>
      </c>
      <c r="Z143" s="39">
        <f>IF(C143="","",COUNTIFS(VC_cle,AK143,VC_type,"Visite sur place"))</f>
        <v/>
      </c>
      <c r="AA143" s="46">
        <f>IF(AL143=0,"",IF(INT(AL143)=0,"",INT(AL143)))</f>
        <v/>
      </c>
      <c r="AB143" s="46">
        <f>IF(AL143=0,"",IF(INDEX(VC_actiondate,ROUND(MOD(AL143,1)*100000,0)-5)=0,"",INDEX(VC_actiondate,ROUND(MOD(AL143,1)*100000,0)-5)))</f>
        <v/>
      </c>
      <c r="AC143" s="33">
        <f>IF(AL143=0,"",INDEX(VC_actiontexte,ROUND(MOD(AL143,1)*100000,0)-5)&amp;"")</f>
        <v/>
      </c>
      <c r="AD143" s="46">
        <f>IF(C143="","",IF(COUNTIFS(Cmd_cle,AK143,Cmd_dateca,"&gt;0")=0,"",SMALL(INDEX(Cmd_dateca+(((Cmd_cle&lt;&gt;AK143)+(Cmd_dateca=0))&gt;0)*1000000,0),1)))</f>
        <v/>
      </c>
      <c r="AE143" s="46">
        <f>IF(C143="","",IF(COUNTIFS(Cmd_cle,AK143,Cmd_dateca,"&gt;0")=0,"",MAX(INDEX((Cmd_cle=AK143)*Cmd_dateca,0))))</f>
        <v/>
      </c>
      <c r="AF143" s="40">
        <f>IF(C143="","",SUMIFS(Cmd_montant,Cmd_cle,AK143,Cmd_dateca,"&gt;0"))</f>
        <v/>
      </c>
      <c r="AG143" s="40">
        <f>IF(C143="","",SUMIFS(Enc_montant,Enc_cle,AK143))</f>
        <v/>
      </c>
      <c r="AH143" s="40">
        <f>IF(C143="","",AF143-AG143)</f>
        <v/>
      </c>
      <c r="AI143" s="33">
        <f>IF(C143="","",IF(D143="Perdu","",IF(AND(AB143&lt;&gt;"",N(AB143)&lt;TODAY()),"Action en retard",IF(AND(D143="Client",AE143&lt;&gt;"",TODAY()-N(AE143)&gt;P_JoursInactif),"Client inactif",IF(AND(D143="Prospect",Z143=0,O143&lt;&gt;"",TODAY()-N(O143)&gt;P_JoursNonVisite),"Jamais visité","")))))</f>
        <v/>
      </c>
      <c r="AJ143" s="33">
        <f>IF(C143="","",C143&amp;" ["&amp;TEXT(A143,"000")&amp;"]")</f>
        <v/>
      </c>
      <c r="AK143" s="33">
        <f>IF(C143="","",X143&amp;"|"&amp;A143)</f>
        <v/>
      </c>
      <c r="AL143" s="47">
        <f>IF(C143="",0,IF(COUNTIFS(VC_cle,AK143)=0,0,MAX(INDEX((VC_cle=AK143)*(VC_date+ROW(VC_date)/100000),0))))</f>
        <v/>
      </c>
      <c r="AM143" s="47">
        <f>IF(AND(C143&lt;&gt;"",N(AB143)&gt;0,D143&lt;&gt;"Perdu"),AB143+ROW()/100000,0)</f>
        <v/>
      </c>
      <c r="AN143" s="48">
        <f>IF(N(AF143)&gt;0,ROUND(AF143,0)+ROW()/1000000,0)</f>
        <v/>
      </c>
    </row>
    <row r="144" ht="18" customHeight="1">
      <c r="A144" s="39" t="n">
        <v>139</v>
      </c>
      <c r="B144" s="33">
        <f>IF(C144="","",IF(X144="À RENSEIGNER","GIC",X144)&amp;"-"&amp;TEXT(A144,"000"))</f>
        <v/>
      </c>
      <c r="C144" s="36" t="n"/>
      <c r="D144" s="34">
        <f>IF(C144="","",IF(U144="☑ Oui","Perdu",IF(AD144&lt;&gt;"","Client","Prospect")))</f>
        <v/>
      </c>
      <c r="E144" s="36" t="n"/>
      <c r="F144" s="36" t="n"/>
      <c r="G144" s="44" t="n"/>
      <c r="H144" s="44" t="n"/>
      <c r="I144" s="36" t="n"/>
      <c r="J144" s="36" t="n"/>
      <c r="K144" s="41" t="n"/>
      <c r="L144" s="41" t="n"/>
      <c r="M144" s="36" t="n"/>
      <c r="N144" s="36" t="n"/>
      <c r="O144" s="32" t="n"/>
      <c r="P144" s="36" t="n"/>
      <c r="Q144" s="36" t="n"/>
      <c r="R144" s="34">
        <f>IF(P144="","",IFERROR(VLOOKUP(P144,T_Produits,2,FALSE),""))</f>
        <v/>
      </c>
      <c r="S144" s="36" t="n"/>
      <c r="T144" s="43" t="n"/>
      <c r="U144" s="43" t="n"/>
      <c r="V144" s="36" t="n"/>
      <c r="W144" s="36" t="n"/>
      <c r="X144" s="33">
        <f>IF(C144="","",Commercial_Id)</f>
        <v/>
      </c>
      <c r="Y144" s="33">
        <f>IF(E144="","",IF(E144="Particulier / ménage","Particulier","Entreprise"))</f>
        <v/>
      </c>
      <c r="Z144" s="39">
        <f>IF(C144="","",COUNTIFS(VC_cle,AK144,VC_type,"Visite sur place"))</f>
        <v/>
      </c>
      <c r="AA144" s="46">
        <f>IF(AL144=0,"",IF(INT(AL144)=0,"",INT(AL144)))</f>
        <v/>
      </c>
      <c r="AB144" s="46">
        <f>IF(AL144=0,"",IF(INDEX(VC_actiondate,ROUND(MOD(AL144,1)*100000,0)-5)=0,"",INDEX(VC_actiondate,ROUND(MOD(AL144,1)*100000,0)-5)))</f>
        <v/>
      </c>
      <c r="AC144" s="33">
        <f>IF(AL144=0,"",INDEX(VC_actiontexte,ROUND(MOD(AL144,1)*100000,0)-5)&amp;"")</f>
        <v/>
      </c>
      <c r="AD144" s="46">
        <f>IF(C144="","",IF(COUNTIFS(Cmd_cle,AK144,Cmd_dateca,"&gt;0")=0,"",SMALL(INDEX(Cmd_dateca+(((Cmd_cle&lt;&gt;AK144)+(Cmd_dateca=0))&gt;0)*1000000,0),1)))</f>
        <v/>
      </c>
      <c r="AE144" s="46">
        <f>IF(C144="","",IF(COUNTIFS(Cmd_cle,AK144,Cmd_dateca,"&gt;0")=0,"",MAX(INDEX((Cmd_cle=AK144)*Cmd_dateca,0))))</f>
        <v/>
      </c>
      <c r="AF144" s="40">
        <f>IF(C144="","",SUMIFS(Cmd_montant,Cmd_cle,AK144,Cmd_dateca,"&gt;0"))</f>
        <v/>
      </c>
      <c r="AG144" s="40">
        <f>IF(C144="","",SUMIFS(Enc_montant,Enc_cle,AK144))</f>
        <v/>
      </c>
      <c r="AH144" s="40">
        <f>IF(C144="","",AF144-AG144)</f>
        <v/>
      </c>
      <c r="AI144" s="33">
        <f>IF(C144="","",IF(D144="Perdu","",IF(AND(AB144&lt;&gt;"",N(AB144)&lt;TODAY()),"Action en retard",IF(AND(D144="Client",AE144&lt;&gt;"",TODAY()-N(AE144)&gt;P_JoursInactif),"Client inactif",IF(AND(D144="Prospect",Z144=0,O144&lt;&gt;"",TODAY()-N(O144)&gt;P_JoursNonVisite),"Jamais visité","")))))</f>
        <v/>
      </c>
      <c r="AJ144" s="33">
        <f>IF(C144="","",C144&amp;" ["&amp;TEXT(A144,"000")&amp;"]")</f>
        <v/>
      </c>
      <c r="AK144" s="33">
        <f>IF(C144="","",X144&amp;"|"&amp;A144)</f>
        <v/>
      </c>
      <c r="AL144" s="47">
        <f>IF(C144="",0,IF(COUNTIFS(VC_cle,AK144)=0,0,MAX(INDEX((VC_cle=AK144)*(VC_date+ROW(VC_date)/100000),0))))</f>
        <v/>
      </c>
      <c r="AM144" s="47">
        <f>IF(AND(C144&lt;&gt;"",N(AB144)&gt;0,D144&lt;&gt;"Perdu"),AB144+ROW()/100000,0)</f>
        <v/>
      </c>
      <c r="AN144" s="48">
        <f>IF(N(AF144)&gt;0,ROUND(AF144,0)+ROW()/1000000,0)</f>
        <v/>
      </c>
    </row>
    <row r="145" ht="18" customHeight="1">
      <c r="A145" s="39" t="n">
        <v>140</v>
      </c>
      <c r="B145" s="33">
        <f>IF(C145="","",IF(X145="À RENSEIGNER","GIC",X145)&amp;"-"&amp;TEXT(A145,"000"))</f>
        <v/>
      </c>
      <c r="C145" s="36" t="n"/>
      <c r="D145" s="34">
        <f>IF(C145="","",IF(U145="☑ Oui","Perdu",IF(AD145&lt;&gt;"","Client","Prospect")))</f>
        <v/>
      </c>
      <c r="E145" s="36" t="n"/>
      <c r="F145" s="36" t="n"/>
      <c r="G145" s="44" t="n"/>
      <c r="H145" s="44" t="n"/>
      <c r="I145" s="36" t="n"/>
      <c r="J145" s="36" t="n"/>
      <c r="K145" s="41" t="n"/>
      <c r="L145" s="41" t="n"/>
      <c r="M145" s="36" t="n"/>
      <c r="N145" s="36" t="n"/>
      <c r="O145" s="32" t="n"/>
      <c r="P145" s="36" t="n"/>
      <c r="Q145" s="36" t="n"/>
      <c r="R145" s="34">
        <f>IF(P145="","",IFERROR(VLOOKUP(P145,T_Produits,2,FALSE),""))</f>
        <v/>
      </c>
      <c r="S145" s="36" t="n"/>
      <c r="T145" s="43" t="n"/>
      <c r="U145" s="43" t="n"/>
      <c r="V145" s="36" t="n"/>
      <c r="W145" s="36" t="n"/>
      <c r="X145" s="33">
        <f>IF(C145="","",Commercial_Id)</f>
        <v/>
      </c>
      <c r="Y145" s="33">
        <f>IF(E145="","",IF(E145="Particulier / ménage","Particulier","Entreprise"))</f>
        <v/>
      </c>
      <c r="Z145" s="39">
        <f>IF(C145="","",COUNTIFS(VC_cle,AK145,VC_type,"Visite sur place"))</f>
        <v/>
      </c>
      <c r="AA145" s="46">
        <f>IF(AL145=0,"",IF(INT(AL145)=0,"",INT(AL145)))</f>
        <v/>
      </c>
      <c r="AB145" s="46">
        <f>IF(AL145=0,"",IF(INDEX(VC_actiondate,ROUND(MOD(AL145,1)*100000,0)-5)=0,"",INDEX(VC_actiondate,ROUND(MOD(AL145,1)*100000,0)-5)))</f>
        <v/>
      </c>
      <c r="AC145" s="33">
        <f>IF(AL145=0,"",INDEX(VC_actiontexte,ROUND(MOD(AL145,1)*100000,0)-5)&amp;"")</f>
        <v/>
      </c>
      <c r="AD145" s="46">
        <f>IF(C145="","",IF(COUNTIFS(Cmd_cle,AK145,Cmd_dateca,"&gt;0")=0,"",SMALL(INDEX(Cmd_dateca+(((Cmd_cle&lt;&gt;AK145)+(Cmd_dateca=0))&gt;0)*1000000,0),1)))</f>
        <v/>
      </c>
      <c r="AE145" s="46">
        <f>IF(C145="","",IF(COUNTIFS(Cmd_cle,AK145,Cmd_dateca,"&gt;0")=0,"",MAX(INDEX((Cmd_cle=AK145)*Cmd_dateca,0))))</f>
        <v/>
      </c>
      <c r="AF145" s="40">
        <f>IF(C145="","",SUMIFS(Cmd_montant,Cmd_cle,AK145,Cmd_dateca,"&gt;0"))</f>
        <v/>
      </c>
      <c r="AG145" s="40">
        <f>IF(C145="","",SUMIFS(Enc_montant,Enc_cle,AK145))</f>
        <v/>
      </c>
      <c r="AH145" s="40">
        <f>IF(C145="","",AF145-AG145)</f>
        <v/>
      </c>
      <c r="AI145" s="33">
        <f>IF(C145="","",IF(D145="Perdu","",IF(AND(AB145&lt;&gt;"",N(AB145)&lt;TODAY()),"Action en retard",IF(AND(D145="Client",AE145&lt;&gt;"",TODAY()-N(AE145)&gt;P_JoursInactif),"Client inactif",IF(AND(D145="Prospect",Z145=0,O145&lt;&gt;"",TODAY()-N(O145)&gt;P_JoursNonVisite),"Jamais visité","")))))</f>
        <v/>
      </c>
      <c r="AJ145" s="33">
        <f>IF(C145="","",C145&amp;" ["&amp;TEXT(A145,"000")&amp;"]")</f>
        <v/>
      </c>
      <c r="AK145" s="33">
        <f>IF(C145="","",X145&amp;"|"&amp;A145)</f>
        <v/>
      </c>
      <c r="AL145" s="47">
        <f>IF(C145="",0,IF(COUNTIFS(VC_cle,AK145)=0,0,MAX(INDEX((VC_cle=AK145)*(VC_date+ROW(VC_date)/100000),0))))</f>
        <v/>
      </c>
      <c r="AM145" s="47">
        <f>IF(AND(C145&lt;&gt;"",N(AB145)&gt;0,D145&lt;&gt;"Perdu"),AB145+ROW()/100000,0)</f>
        <v/>
      </c>
      <c r="AN145" s="48">
        <f>IF(N(AF145)&gt;0,ROUND(AF145,0)+ROW()/1000000,0)</f>
        <v/>
      </c>
    </row>
    <row r="146" ht="18" customHeight="1">
      <c r="A146" s="39" t="n">
        <v>141</v>
      </c>
      <c r="B146" s="33">
        <f>IF(C146="","",IF(X146="À RENSEIGNER","GIC",X146)&amp;"-"&amp;TEXT(A146,"000"))</f>
        <v/>
      </c>
      <c r="C146" s="36" t="n"/>
      <c r="D146" s="34">
        <f>IF(C146="","",IF(U146="☑ Oui","Perdu",IF(AD146&lt;&gt;"","Client","Prospect")))</f>
        <v/>
      </c>
      <c r="E146" s="36" t="n"/>
      <c r="F146" s="36" t="n"/>
      <c r="G146" s="44" t="n"/>
      <c r="H146" s="44" t="n"/>
      <c r="I146" s="36" t="n"/>
      <c r="J146" s="36" t="n"/>
      <c r="K146" s="41" t="n"/>
      <c r="L146" s="41" t="n"/>
      <c r="M146" s="36" t="n"/>
      <c r="N146" s="36" t="n"/>
      <c r="O146" s="32" t="n"/>
      <c r="P146" s="36" t="n"/>
      <c r="Q146" s="36" t="n"/>
      <c r="R146" s="34">
        <f>IF(P146="","",IFERROR(VLOOKUP(P146,T_Produits,2,FALSE),""))</f>
        <v/>
      </c>
      <c r="S146" s="36" t="n"/>
      <c r="T146" s="43" t="n"/>
      <c r="U146" s="43" t="n"/>
      <c r="V146" s="36" t="n"/>
      <c r="W146" s="36" t="n"/>
      <c r="X146" s="33">
        <f>IF(C146="","",Commercial_Id)</f>
        <v/>
      </c>
      <c r="Y146" s="33">
        <f>IF(E146="","",IF(E146="Particulier / ménage","Particulier","Entreprise"))</f>
        <v/>
      </c>
      <c r="Z146" s="39">
        <f>IF(C146="","",COUNTIFS(VC_cle,AK146,VC_type,"Visite sur place"))</f>
        <v/>
      </c>
      <c r="AA146" s="46">
        <f>IF(AL146=0,"",IF(INT(AL146)=0,"",INT(AL146)))</f>
        <v/>
      </c>
      <c r="AB146" s="46">
        <f>IF(AL146=0,"",IF(INDEX(VC_actiondate,ROUND(MOD(AL146,1)*100000,0)-5)=0,"",INDEX(VC_actiondate,ROUND(MOD(AL146,1)*100000,0)-5)))</f>
        <v/>
      </c>
      <c r="AC146" s="33">
        <f>IF(AL146=0,"",INDEX(VC_actiontexte,ROUND(MOD(AL146,1)*100000,0)-5)&amp;"")</f>
        <v/>
      </c>
      <c r="AD146" s="46">
        <f>IF(C146="","",IF(COUNTIFS(Cmd_cle,AK146,Cmd_dateca,"&gt;0")=0,"",SMALL(INDEX(Cmd_dateca+(((Cmd_cle&lt;&gt;AK146)+(Cmd_dateca=0))&gt;0)*1000000,0),1)))</f>
        <v/>
      </c>
      <c r="AE146" s="46">
        <f>IF(C146="","",IF(COUNTIFS(Cmd_cle,AK146,Cmd_dateca,"&gt;0")=0,"",MAX(INDEX((Cmd_cle=AK146)*Cmd_dateca,0))))</f>
        <v/>
      </c>
      <c r="AF146" s="40">
        <f>IF(C146="","",SUMIFS(Cmd_montant,Cmd_cle,AK146,Cmd_dateca,"&gt;0"))</f>
        <v/>
      </c>
      <c r="AG146" s="40">
        <f>IF(C146="","",SUMIFS(Enc_montant,Enc_cle,AK146))</f>
        <v/>
      </c>
      <c r="AH146" s="40">
        <f>IF(C146="","",AF146-AG146)</f>
        <v/>
      </c>
      <c r="AI146" s="33">
        <f>IF(C146="","",IF(D146="Perdu","",IF(AND(AB146&lt;&gt;"",N(AB146)&lt;TODAY()),"Action en retard",IF(AND(D146="Client",AE146&lt;&gt;"",TODAY()-N(AE146)&gt;P_JoursInactif),"Client inactif",IF(AND(D146="Prospect",Z146=0,O146&lt;&gt;"",TODAY()-N(O146)&gt;P_JoursNonVisite),"Jamais visité","")))))</f>
        <v/>
      </c>
      <c r="AJ146" s="33">
        <f>IF(C146="","",C146&amp;" ["&amp;TEXT(A146,"000")&amp;"]")</f>
        <v/>
      </c>
      <c r="AK146" s="33">
        <f>IF(C146="","",X146&amp;"|"&amp;A146)</f>
        <v/>
      </c>
      <c r="AL146" s="47">
        <f>IF(C146="",0,IF(COUNTIFS(VC_cle,AK146)=0,0,MAX(INDEX((VC_cle=AK146)*(VC_date+ROW(VC_date)/100000),0))))</f>
        <v/>
      </c>
      <c r="AM146" s="47">
        <f>IF(AND(C146&lt;&gt;"",N(AB146)&gt;0,D146&lt;&gt;"Perdu"),AB146+ROW()/100000,0)</f>
        <v/>
      </c>
      <c r="AN146" s="48">
        <f>IF(N(AF146)&gt;0,ROUND(AF146,0)+ROW()/1000000,0)</f>
        <v/>
      </c>
    </row>
    <row r="147" ht="18" customHeight="1">
      <c r="A147" s="39" t="n">
        <v>142</v>
      </c>
      <c r="B147" s="33">
        <f>IF(C147="","",IF(X147="À RENSEIGNER","GIC",X147)&amp;"-"&amp;TEXT(A147,"000"))</f>
        <v/>
      </c>
      <c r="C147" s="36" t="n"/>
      <c r="D147" s="34">
        <f>IF(C147="","",IF(U147="☑ Oui","Perdu",IF(AD147&lt;&gt;"","Client","Prospect")))</f>
        <v/>
      </c>
      <c r="E147" s="36" t="n"/>
      <c r="F147" s="36" t="n"/>
      <c r="G147" s="44" t="n"/>
      <c r="H147" s="44" t="n"/>
      <c r="I147" s="36" t="n"/>
      <c r="J147" s="36" t="n"/>
      <c r="K147" s="41" t="n"/>
      <c r="L147" s="41" t="n"/>
      <c r="M147" s="36" t="n"/>
      <c r="N147" s="36" t="n"/>
      <c r="O147" s="32" t="n"/>
      <c r="P147" s="36" t="n"/>
      <c r="Q147" s="36" t="n"/>
      <c r="R147" s="34">
        <f>IF(P147="","",IFERROR(VLOOKUP(P147,T_Produits,2,FALSE),""))</f>
        <v/>
      </c>
      <c r="S147" s="36" t="n"/>
      <c r="T147" s="43" t="n"/>
      <c r="U147" s="43" t="n"/>
      <c r="V147" s="36" t="n"/>
      <c r="W147" s="36" t="n"/>
      <c r="X147" s="33">
        <f>IF(C147="","",Commercial_Id)</f>
        <v/>
      </c>
      <c r="Y147" s="33">
        <f>IF(E147="","",IF(E147="Particulier / ménage","Particulier","Entreprise"))</f>
        <v/>
      </c>
      <c r="Z147" s="39">
        <f>IF(C147="","",COUNTIFS(VC_cle,AK147,VC_type,"Visite sur place"))</f>
        <v/>
      </c>
      <c r="AA147" s="46">
        <f>IF(AL147=0,"",IF(INT(AL147)=0,"",INT(AL147)))</f>
        <v/>
      </c>
      <c r="AB147" s="46">
        <f>IF(AL147=0,"",IF(INDEX(VC_actiondate,ROUND(MOD(AL147,1)*100000,0)-5)=0,"",INDEX(VC_actiondate,ROUND(MOD(AL147,1)*100000,0)-5)))</f>
        <v/>
      </c>
      <c r="AC147" s="33">
        <f>IF(AL147=0,"",INDEX(VC_actiontexte,ROUND(MOD(AL147,1)*100000,0)-5)&amp;"")</f>
        <v/>
      </c>
      <c r="AD147" s="46">
        <f>IF(C147="","",IF(COUNTIFS(Cmd_cle,AK147,Cmd_dateca,"&gt;0")=0,"",SMALL(INDEX(Cmd_dateca+(((Cmd_cle&lt;&gt;AK147)+(Cmd_dateca=0))&gt;0)*1000000,0),1)))</f>
        <v/>
      </c>
      <c r="AE147" s="46">
        <f>IF(C147="","",IF(COUNTIFS(Cmd_cle,AK147,Cmd_dateca,"&gt;0")=0,"",MAX(INDEX((Cmd_cle=AK147)*Cmd_dateca,0))))</f>
        <v/>
      </c>
      <c r="AF147" s="40">
        <f>IF(C147="","",SUMIFS(Cmd_montant,Cmd_cle,AK147,Cmd_dateca,"&gt;0"))</f>
        <v/>
      </c>
      <c r="AG147" s="40">
        <f>IF(C147="","",SUMIFS(Enc_montant,Enc_cle,AK147))</f>
        <v/>
      </c>
      <c r="AH147" s="40">
        <f>IF(C147="","",AF147-AG147)</f>
        <v/>
      </c>
      <c r="AI147" s="33">
        <f>IF(C147="","",IF(D147="Perdu","",IF(AND(AB147&lt;&gt;"",N(AB147)&lt;TODAY()),"Action en retard",IF(AND(D147="Client",AE147&lt;&gt;"",TODAY()-N(AE147)&gt;P_JoursInactif),"Client inactif",IF(AND(D147="Prospect",Z147=0,O147&lt;&gt;"",TODAY()-N(O147)&gt;P_JoursNonVisite),"Jamais visité","")))))</f>
        <v/>
      </c>
      <c r="AJ147" s="33">
        <f>IF(C147="","",C147&amp;" ["&amp;TEXT(A147,"000")&amp;"]")</f>
        <v/>
      </c>
      <c r="AK147" s="33">
        <f>IF(C147="","",X147&amp;"|"&amp;A147)</f>
        <v/>
      </c>
      <c r="AL147" s="47">
        <f>IF(C147="",0,IF(COUNTIFS(VC_cle,AK147)=0,0,MAX(INDEX((VC_cle=AK147)*(VC_date+ROW(VC_date)/100000),0))))</f>
        <v/>
      </c>
      <c r="AM147" s="47">
        <f>IF(AND(C147&lt;&gt;"",N(AB147)&gt;0,D147&lt;&gt;"Perdu"),AB147+ROW()/100000,0)</f>
        <v/>
      </c>
      <c r="AN147" s="48">
        <f>IF(N(AF147)&gt;0,ROUND(AF147,0)+ROW()/1000000,0)</f>
        <v/>
      </c>
    </row>
    <row r="148" ht="18" customHeight="1">
      <c r="A148" s="39" t="n">
        <v>143</v>
      </c>
      <c r="B148" s="33">
        <f>IF(C148="","",IF(X148="À RENSEIGNER","GIC",X148)&amp;"-"&amp;TEXT(A148,"000"))</f>
        <v/>
      </c>
      <c r="C148" s="36" t="n"/>
      <c r="D148" s="34">
        <f>IF(C148="","",IF(U148="☑ Oui","Perdu",IF(AD148&lt;&gt;"","Client","Prospect")))</f>
        <v/>
      </c>
      <c r="E148" s="36" t="n"/>
      <c r="F148" s="36" t="n"/>
      <c r="G148" s="44" t="n"/>
      <c r="H148" s="44" t="n"/>
      <c r="I148" s="36" t="n"/>
      <c r="J148" s="36" t="n"/>
      <c r="K148" s="41" t="n"/>
      <c r="L148" s="41" t="n"/>
      <c r="M148" s="36" t="n"/>
      <c r="N148" s="36" t="n"/>
      <c r="O148" s="32" t="n"/>
      <c r="P148" s="36" t="n"/>
      <c r="Q148" s="36" t="n"/>
      <c r="R148" s="34">
        <f>IF(P148="","",IFERROR(VLOOKUP(P148,T_Produits,2,FALSE),""))</f>
        <v/>
      </c>
      <c r="S148" s="36" t="n"/>
      <c r="T148" s="43" t="n"/>
      <c r="U148" s="43" t="n"/>
      <c r="V148" s="36" t="n"/>
      <c r="W148" s="36" t="n"/>
      <c r="X148" s="33">
        <f>IF(C148="","",Commercial_Id)</f>
        <v/>
      </c>
      <c r="Y148" s="33">
        <f>IF(E148="","",IF(E148="Particulier / ménage","Particulier","Entreprise"))</f>
        <v/>
      </c>
      <c r="Z148" s="39">
        <f>IF(C148="","",COUNTIFS(VC_cle,AK148,VC_type,"Visite sur place"))</f>
        <v/>
      </c>
      <c r="AA148" s="46">
        <f>IF(AL148=0,"",IF(INT(AL148)=0,"",INT(AL148)))</f>
        <v/>
      </c>
      <c r="AB148" s="46">
        <f>IF(AL148=0,"",IF(INDEX(VC_actiondate,ROUND(MOD(AL148,1)*100000,0)-5)=0,"",INDEX(VC_actiondate,ROUND(MOD(AL148,1)*100000,0)-5)))</f>
        <v/>
      </c>
      <c r="AC148" s="33">
        <f>IF(AL148=0,"",INDEX(VC_actiontexte,ROUND(MOD(AL148,1)*100000,0)-5)&amp;"")</f>
        <v/>
      </c>
      <c r="AD148" s="46">
        <f>IF(C148="","",IF(COUNTIFS(Cmd_cle,AK148,Cmd_dateca,"&gt;0")=0,"",SMALL(INDEX(Cmd_dateca+(((Cmd_cle&lt;&gt;AK148)+(Cmd_dateca=0))&gt;0)*1000000,0),1)))</f>
        <v/>
      </c>
      <c r="AE148" s="46">
        <f>IF(C148="","",IF(COUNTIFS(Cmd_cle,AK148,Cmd_dateca,"&gt;0")=0,"",MAX(INDEX((Cmd_cle=AK148)*Cmd_dateca,0))))</f>
        <v/>
      </c>
      <c r="AF148" s="40">
        <f>IF(C148="","",SUMIFS(Cmd_montant,Cmd_cle,AK148,Cmd_dateca,"&gt;0"))</f>
        <v/>
      </c>
      <c r="AG148" s="40">
        <f>IF(C148="","",SUMIFS(Enc_montant,Enc_cle,AK148))</f>
        <v/>
      </c>
      <c r="AH148" s="40">
        <f>IF(C148="","",AF148-AG148)</f>
        <v/>
      </c>
      <c r="AI148" s="33">
        <f>IF(C148="","",IF(D148="Perdu","",IF(AND(AB148&lt;&gt;"",N(AB148)&lt;TODAY()),"Action en retard",IF(AND(D148="Client",AE148&lt;&gt;"",TODAY()-N(AE148)&gt;P_JoursInactif),"Client inactif",IF(AND(D148="Prospect",Z148=0,O148&lt;&gt;"",TODAY()-N(O148)&gt;P_JoursNonVisite),"Jamais visité","")))))</f>
        <v/>
      </c>
      <c r="AJ148" s="33">
        <f>IF(C148="","",C148&amp;" ["&amp;TEXT(A148,"000")&amp;"]")</f>
        <v/>
      </c>
      <c r="AK148" s="33">
        <f>IF(C148="","",X148&amp;"|"&amp;A148)</f>
        <v/>
      </c>
      <c r="AL148" s="47">
        <f>IF(C148="",0,IF(COUNTIFS(VC_cle,AK148)=0,0,MAX(INDEX((VC_cle=AK148)*(VC_date+ROW(VC_date)/100000),0))))</f>
        <v/>
      </c>
      <c r="AM148" s="47">
        <f>IF(AND(C148&lt;&gt;"",N(AB148)&gt;0,D148&lt;&gt;"Perdu"),AB148+ROW()/100000,0)</f>
        <v/>
      </c>
      <c r="AN148" s="48">
        <f>IF(N(AF148)&gt;0,ROUND(AF148,0)+ROW()/1000000,0)</f>
        <v/>
      </c>
    </row>
    <row r="149" ht="18" customHeight="1">
      <c r="A149" s="39" t="n">
        <v>144</v>
      </c>
      <c r="B149" s="33">
        <f>IF(C149="","",IF(X149="À RENSEIGNER","GIC",X149)&amp;"-"&amp;TEXT(A149,"000"))</f>
        <v/>
      </c>
      <c r="C149" s="36" t="n"/>
      <c r="D149" s="34">
        <f>IF(C149="","",IF(U149="☑ Oui","Perdu",IF(AD149&lt;&gt;"","Client","Prospect")))</f>
        <v/>
      </c>
      <c r="E149" s="36" t="n"/>
      <c r="F149" s="36" t="n"/>
      <c r="G149" s="44" t="n"/>
      <c r="H149" s="44" t="n"/>
      <c r="I149" s="36" t="n"/>
      <c r="J149" s="36" t="n"/>
      <c r="K149" s="41" t="n"/>
      <c r="L149" s="41" t="n"/>
      <c r="M149" s="36" t="n"/>
      <c r="N149" s="36" t="n"/>
      <c r="O149" s="32" t="n"/>
      <c r="P149" s="36" t="n"/>
      <c r="Q149" s="36" t="n"/>
      <c r="R149" s="34">
        <f>IF(P149="","",IFERROR(VLOOKUP(P149,T_Produits,2,FALSE),""))</f>
        <v/>
      </c>
      <c r="S149" s="36" t="n"/>
      <c r="T149" s="43" t="n"/>
      <c r="U149" s="43" t="n"/>
      <c r="V149" s="36" t="n"/>
      <c r="W149" s="36" t="n"/>
      <c r="X149" s="33">
        <f>IF(C149="","",Commercial_Id)</f>
        <v/>
      </c>
      <c r="Y149" s="33">
        <f>IF(E149="","",IF(E149="Particulier / ménage","Particulier","Entreprise"))</f>
        <v/>
      </c>
      <c r="Z149" s="39">
        <f>IF(C149="","",COUNTIFS(VC_cle,AK149,VC_type,"Visite sur place"))</f>
        <v/>
      </c>
      <c r="AA149" s="46">
        <f>IF(AL149=0,"",IF(INT(AL149)=0,"",INT(AL149)))</f>
        <v/>
      </c>
      <c r="AB149" s="46">
        <f>IF(AL149=0,"",IF(INDEX(VC_actiondate,ROUND(MOD(AL149,1)*100000,0)-5)=0,"",INDEX(VC_actiondate,ROUND(MOD(AL149,1)*100000,0)-5)))</f>
        <v/>
      </c>
      <c r="AC149" s="33">
        <f>IF(AL149=0,"",INDEX(VC_actiontexte,ROUND(MOD(AL149,1)*100000,0)-5)&amp;"")</f>
        <v/>
      </c>
      <c r="AD149" s="46">
        <f>IF(C149="","",IF(COUNTIFS(Cmd_cle,AK149,Cmd_dateca,"&gt;0")=0,"",SMALL(INDEX(Cmd_dateca+(((Cmd_cle&lt;&gt;AK149)+(Cmd_dateca=0))&gt;0)*1000000,0),1)))</f>
        <v/>
      </c>
      <c r="AE149" s="46">
        <f>IF(C149="","",IF(COUNTIFS(Cmd_cle,AK149,Cmd_dateca,"&gt;0")=0,"",MAX(INDEX((Cmd_cle=AK149)*Cmd_dateca,0))))</f>
        <v/>
      </c>
      <c r="AF149" s="40">
        <f>IF(C149="","",SUMIFS(Cmd_montant,Cmd_cle,AK149,Cmd_dateca,"&gt;0"))</f>
        <v/>
      </c>
      <c r="AG149" s="40">
        <f>IF(C149="","",SUMIFS(Enc_montant,Enc_cle,AK149))</f>
        <v/>
      </c>
      <c r="AH149" s="40">
        <f>IF(C149="","",AF149-AG149)</f>
        <v/>
      </c>
      <c r="AI149" s="33">
        <f>IF(C149="","",IF(D149="Perdu","",IF(AND(AB149&lt;&gt;"",N(AB149)&lt;TODAY()),"Action en retard",IF(AND(D149="Client",AE149&lt;&gt;"",TODAY()-N(AE149)&gt;P_JoursInactif),"Client inactif",IF(AND(D149="Prospect",Z149=0,O149&lt;&gt;"",TODAY()-N(O149)&gt;P_JoursNonVisite),"Jamais visité","")))))</f>
        <v/>
      </c>
      <c r="AJ149" s="33">
        <f>IF(C149="","",C149&amp;" ["&amp;TEXT(A149,"000")&amp;"]")</f>
        <v/>
      </c>
      <c r="AK149" s="33">
        <f>IF(C149="","",X149&amp;"|"&amp;A149)</f>
        <v/>
      </c>
      <c r="AL149" s="47">
        <f>IF(C149="",0,IF(COUNTIFS(VC_cle,AK149)=0,0,MAX(INDEX((VC_cle=AK149)*(VC_date+ROW(VC_date)/100000),0))))</f>
        <v/>
      </c>
      <c r="AM149" s="47">
        <f>IF(AND(C149&lt;&gt;"",N(AB149)&gt;0,D149&lt;&gt;"Perdu"),AB149+ROW()/100000,0)</f>
        <v/>
      </c>
      <c r="AN149" s="48">
        <f>IF(N(AF149)&gt;0,ROUND(AF149,0)+ROW()/1000000,0)</f>
        <v/>
      </c>
    </row>
    <row r="150" ht="18" customHeight="1">
      <c r="A150" s="39" t="n">
        <v>145</v>
      </c>
      <c r="B150" s="33">
        <f>IF(C150="","",IF(X150="À RENSEIGNER","GIC",X150)&amp;"-"&amp;TEXT(A150,"000"))</f>
        <v/>
      </c>
      <c r="C150" s="36" t="n"/>
      <c r="D150" s="34">
        <f>IF(C150="","",IF(U150="☑ Oui","Perdu",IF(AD150&lt;&gt;"","Client","Prospect")))</f>
        <v/>
      </c>
      <c r="E150" s="36" t="n"/>
      <c r="F150" s="36" t="n"/>
      <c r="G150" s="44" t="n"/>
      <c r="H150" s="44" t="n"/>
      <c r="I150" s="36" t="n"/>
      <c r="J150" s="36" t="n"/>
      <c r="K150" s="41" t="n"/>
      <c r="L150" s="41" t="n"/>
      <c r="M150" s="36" t="n"/>
      <c r="N150" s="36" t="n"/>
      <c r="O150" s="32" t="n"/>
      <c r="P150" s="36" t="n"/>
      <c r="Q150" s="36" t="n"/>
      <c r="R150" s="34">
        <f>IF(P150="","",IFERROR(VLOOKUP(P150,T_Produits,2,FALSE),""))</f>
        <v/>
      </c>
      <c r="S150" s="36" t="n"/>
      <c r="T150" s="43" t="n"/>
      <c r="U150" s="43" t="n"/>
      <c r="V150" s="36" t="n"/>
      <c r="W150" s="36" t="n"/>
      <c r="X150" s="33">
        <f>IF(C150="","",Commercial_Id)</f>
        <v/>
      </c>
      <c r="Y150" s="33">
        <f>IF(E150="","",IF(E150="Particulier / ménage","Particulier","Entreprise"))</f>
        <v/>
      </c>
      <c r="Z150" s="39">
        <f>IF(C150="","",COUNTIFS(VC_cle,AK150,VC_type,"Visite sur place"))</f>
        <v/>
      </c>
      <c r="AA150" s="46">
        <f>IF(AL150=0,"",IF(INT(AL150)=0,"",INT(AL150)))</f>
        <v/>
      </c>
      <c r="AB150" s="46">
        <f>IF(AL150=0,"",IF(INDEX(VC_actiondate,ROUND(MOD(AL150,1)*100000,0)-5)=0,"",INDEX(VC_actiondate,ROUND(MOD(AL150,1)*100000,0)-5)))</f>
        <v/>
      </c>
      <c r="AC150" s="33">
        <f>IF(AL150=0,"",INDEX(VC_actiontexte,ROUND(MOD(AL150,1)*100000,0)-5)&amp;"")</f>
        <v/>
      </c>
      <c r="AD150" s="46">
        <f>IF(C150="","",IF(COUNTIFS(Cmd_cle,AK150,Cmd_dateca,"&gt;0")=0,"",SMALL(INDEX(Cmd_dateca+(((Cmd_cle&lt;&gt;AK150)+(Cmd_dateca=0))&gt;0)*1000000,0),1)))</f>
        <v/>
      </c>
      <c r="AE150" s="46">
        <f>IF(C150="","",IF(COUNTIFS(Cmd_cle,AK150,Cmd_dateca,"&gt;0")=0,"",MAX(INDEX((Cmd_cle=AK150)*Cmd_dateca,0))))</f>
        <v/>
      </c>
      <c r="AF150" s="40">
        <f>IF(C150="","",SUMIFS(Cmd_montant,Cmd_cle,AK150,Cmd_dateca,"&gt;0"))</f>
        <v/>
      </c>
      <c r="AG150" s="40">
        <f>IF(C150="","",SUMIFS(Enc_montant,Enc_cle,AK150))</f>
        <v/>
      </c>
      <c r="AH150" s="40">
        <f>IF(C150="","",AF150-AG150)</f>
        <v/>
      </c>
      <c r="AI150" s="33">
        <f>IF(C150="","",IF(D150="Perdu","",IF(AND(AB150&lt;&gt;"",N(AB150)&lt;TODAY()),"Action en retard",IF(AND(D150="Client",AE150&lt;&gt;"",TODAY()-N(AE150)&gt;P_JoursInactif),"Client inactif",IF(AND(D150="Prospect",Z150=0,O150&lt;&gt;"",TODAY()-N(O150)&gt;P_JoursNonVisite),"Jamais visité","")))))</f>
        <v/>
      </c>
      <c r="AJ150" s="33">
        <f>IF(C150="","",C150&amp;" ["&amp;TEXT(A150,"000")&amp;"]")</f>
        <v/>
      </c>
      <c r="AK150" s="33">
        <f>IF(C150="","",X150&amp;"|"&amp;A150)</f>
        <v/>
      </c>
      <c r="AL150" s="47">
        <f>IF(C150="",0,IF(COUNTIFS(VC_cle,AK150)=0,0,MAX(INDEX((VC_cle=AK150)*(VC_date+ROW(VC_date)/100000),0))))</f>
        <v/>
      </c>
      <c r="AM150" s="47">
        <f>IF(AND(C150&lt;&gt;"",N(AB150)&gt;0,D150&lt;&gt;"Perdu"),AB150+ROW()/100000,0)</f>
        <v/>
      </c>
      <c r="AN150" s="48">
        <f>IF(N(AF150)&gt;0,ROUND(AF150,0)+ROW()/1000000,0)</f>
        <v/>
      </c>
    </row>
    <row r="151" ht="18" customHeight="1">
      <c r="A151" s="39" t="n">
        <v>146</v>
      </c>
      <c r="B151" s="33">
        <f>IF(C151="","",IF(X151="À RENSEIGNER","GIC",X151)&amp;"-"&amp;TEXT(A151,"000"))</f>
        <v/>
      </c>
      <c r="C151" s="36" t="n"/>
      <c r="D151" s="34">
        <f>IF(C151="","",IF(U151="☑ Oui","Perdu",IF(AD151&lt;&gt;"","Client","Prospect")))</f>
        <v/>
      </c>
      <c r="E151" s="36" t="n"/>
      <c r="F151" s="36" t="n"/>
      <c r="G151" s="44" t="n"/>
      <c r="H151" s="44" t="n"/>
      <c r="I151" s="36" t="n"/>
      <c r="J151" s="36" t="n"/>
      <c r="K151" s="41" t="n"/>
      <c r="L151" s="41" t="n"/>
      <c r="M151" s="36" t="n"/>
      <c r="N151" s="36" t="n"/>
      <c r="O151" s="32" t="n"/>
      <c r="P151" s="36" t="n"/>
      <c r="Q151" s="36" t="n"/>
      <c r="R151" s="34">
        <f>IF(P151="","",IFERROR(VLOOKUP(P151,T_Produits,2,FALSE),""))</f>
        <v/>
      </c>
      <c r="S151" s="36" t="n"/>
      <c r="T151" s="43" t="n"/>
      <c r="U151" s="43" t="n"/>
      <c r="V151" s="36" t="n"/>
      <c r="W151" s="36" t="n"/>
      <c r="X151" s="33">
        <f>IF(C151="","",Commercial_Id)</f>
        <v/>
      </c>
      <c r="Y151" s="33">
        <f>IF(E151="","",IF(E151="Particulier / ménage","Particulier","Entreprise"))</f>
        <v/>
      </c>
      <c r="Z151" s="39">
        <f>IF(C151="","",COUNTIFS(VC_cle,AK151,VC_type,"Visite sur place"))</f>
        <v/>
      </c>
      <c r="AA151" s="46">
        <f>IF(AL151=0,"",IF(INT(AL151)=0,"",INT(AL151)))</f>
        <v/>
      </c>
      <c r="AB151" s="46">
        <f>IF(AL151=0,"",IF(INDEX(VC_actiondate,ROUND(MOD(AL151,1)*100000,0)-5)=0,"",INDEX(VC_actiondate,ROUND(MOD(AL151,1)*100000,0)-5)))</f>
        <v/>
      </c>
      <c r="AC151" s="33">
        <f>IF(AL151=0,"",INDEX(VC_actiontexte,ROUND(MOD(AL151,1)*100000,0)-5)&amp;"")</f>
        <v/>
      </c>
      <c r="AD151" s="46">
        <f>IF(C151="","",IF(COUNTIFS(Cmd_cle,AK151,Cmd_dateca,"&gt;0")=0,"",SMALL(INDEX(Cmd_dateca+(((Cmd_cle&lt;&gt;AK151)+(Cmd_dateca=0))&gt;0)*1000000,0),1)))</f>
        <v/>
      </c>
      <c r="AE151" s="46">
        <f>IF(C151="","",IF(COUNTIFS(Cmd_cle,AK151,Cmd_dateca,"&gt;0")=0,"",MAX(INDEX((Cmd_cle=AK151)*Cmd_dateca,0))))</f>
        <v/>
      </c>
      <c r="AF151" s="40">
        <f>IF(C151="","",SUMIFS(Cmd_montant,Cmd_cle,AK151,Cmd_dateca,"&gt;0"))</f>
        <v/>
      </c>
      <c r="AG151" s="40">
        <f>IF(C151="","",SUMIFS(Enc_montant,Enc_cle,AK151))</f>
        <v/>
      </c>
      <c r="AH151" s="40">
        <f>IF(C151="","",AF151-AG151)</f>
        <v/>
      </c>
      <c r="AI151" s="33">
        <f>IF(C151="","",IF(D151="Perdu","",IF(AND(AB151&lt;&gt;"",N(AB151)&lt;TODAY()),"Action en retard",IF(AND(D151="Client",AE151&lt;&gt;"",TODAY()-N(AE151)&gt;P_JoursInactif),"Client inactif",IF(AND(D151="Prospect",Z151=0,O151&lt;&gt;"",TODAY()-N(O151)&gt;P_JoursNonVisite),"Jamais visité","")))))</f>
        <v/>
      </c>
      <c r="AJ151" s="33">
        <f>IF(C151="","",C151&amp;" ["&amp;TEXT(A151,"000")&amp;"]")</f>
        <v/>
      </c>
      <c r="AK151" s="33">
        <f>IF(C151="","",X151&amp;"|"&amp;A151)</f>
        <v/>
      </c>
      <c r="AL151" s="47">
        <f>IF(C151="",0,IF(COUNTIFS(VC_cle,AK151)=0,0,MAX(INDEX((VC_cle=AK151)*(VC_date+ROW(VC_date)/100000),0))))</f>
        <v/>
      </c>
      <c r="AM151" s="47">
        <f>IF(AND(C151&lt;&gt;"",N(AB151)&gt;0,D151&lt;&gt;"Perdu"),AB151+ROW()/100000,0)</f>
        <v/>
      </c>
      <c r="AN151" s="48">
        <f>IF(N(AF151)&gt;0,ROUND(AF151,0)+ROW()/1000000,0)</f>
        <v/>
      </c>
    </row>
    <row r="152" ht="18" customHeight="1">
      <c r="A152" s="39" t="n">
        <v>147</v>
      </c>
      <c r="B152" s="33">
        <f>IF(C152="","",IF(X152="À RENSEIGNER","GIC",X152)&amp;"-"&amp;TEXT(A152,"000"))</f>
        <v/>
      </c>
      <c r="C152" s="36" t="n"/>
      <c r="D152" s="34">
        <f>IF(C152="","",IF(U152="☑ Oui","Perdu",IF(AD152&lt;&gt;"","Client","Prospect")))</f>
        <v/>
      </c>
      <c r="E152" s="36" t="n"/>
      <c r="F152" s="36" t="n"/>
      <c r="G152" s="44" t="n"/>
      <c r="H152" s="44" t="n"/>
      <c r="I152" s="36" t="n"/>
      <c r="J152" s="36" t="n"/>
      <c r="K152" s="41" t="n"/>
      <c r="L152" s="41" t="n"/>
      <c r="M152" s="36" t="n"/>
      <c r="N152" s="36" t="n"/>
      <c r="O152" s="32" t="n"/>
      <c r="P152" s="36" t="n"/>
      <c r="Q152" s="36" t="n"/>
      <c r="R152" s="34">
        <f>IF(P152="","",IFERROR(VLOOKUP(P152,T_Produits,2,FALSE),""))</f>
        <v/>
      </c>
      <c r="S152" s="36" t="n"/>
      <c r="T152" s="43" t="n"/>
      <c r="U152" s="43" t="n"/>
      <c r="V152" s="36" t="n"/>
      <c r="W152" s="36" t="n"/>
      <c r="X152" s="33">
        <f>IF(C152="","",Commercial_Id)</f>
        <v/>
      </c>
      <c r="Y152" s="33">
        <f>IF(E152="","",IF(E152="Particulier / ménage","Particulier","Entreprise"))</f>
        <v/>
      </c>
      <c r="Z152" s="39">
        <f>IF(C152="","",COUNTIFS(VC_cle,AK152,VC_type,"Visite sur place"))</f>
        <v/>
      </c>
      <c r="AA152" s="46">
        <f>IF(AL152=0,"",IF(INT(AL152)=0,"",INT(AL152)))</f>
        <v/>
      </c>
      <c r="AB152" s="46">
        <f>IF(AL152=0,"",IF(INDEX(VC_actiondate,ROUND(MOD(AL152,1)*100000,0)-5)=0,"",INDEX(VC_actiondate,ROUND(MOD(AL152,1)*100000,0)-5)))</f>
        <v/>
      </c>
      <c r="AC152" s="33">
        <f>IF(AL152=0,"",INDEX(VC_actiontexte,ROUND(MOD(AL152,1)*100000,0)-5)&amp;"")</f>
        <v/>
      </c>
      <c r="AD152" s="46">
        <f>IF(C152="","",IF(COUNTIFS(Cmd_cle,AK152,Cmd_dateca,"&gt;0")=0,"",SMALL(INDEX(Cmd_dateca+(((Cmd_cle&lt;&gt;AK152)+(Cmd_dateca=0))&gt;0)*1000000,0),1)))</f>
        <v/>
      </c>
      <c r="AE152" s="46">
        <f>IF(C152="","",IF(COUNTIFS(Cmd_cle,AK152,Cmd_dateca,"&gt;0")=0,"",MAX(INDEX((Cmd_cle=AK152)*Cmd_dateca,0))))</f>
        <v/>
      </c>
      <c r="AF152" s="40">
        <f>IF(C152="","",SUMIFS(Cmd_montant,Cmd_cle,AK152,Cmd_dateca,"&gt;0"))</f>
        <v/>
      </c>
      <c r="AG152" s="40">
        <f>IF(C152="","",SUMIFS(Enc_montant,Enc_cle,AK152))</f>
        <v/>
      </c>
      <c r="AH152" s="40">
        <f>IF(C152="","",AF152-AG152)</f>
        <v/>
      </c>
      <c r="AI152" s="33">
        <f>IF(C152="","",IF(D152="Perdu","",IF(AND(AB152&lt;&gt;"",N(AB152)&lt;TODAY()),"Action en retard",IF(AND(D152="Client",AE152&lt;&gt;"",TODAY()-N(AE152)&gt;P_JoursInactif),"Client inactif",IF(AND(D152="Prospect",Z152=0,O152&lt;&gt;"",TODAY()-N(O152)&gt;P_JoursNonVisite),"Jamais visité","")))))</f>
        <v/>
      </c>
      <c r="AJ152" s="33">
        <f>IF(C152="","",C152&amp;" ["&amp;TEXT(A152,"000")&amp;"]")</f>
        <v/>
      </c>
      <c r="AK152" s="33">
        <f>IF(C152="","",X152&amp;"|"&amp;A152)</f>
        <v/>
      </c>
      <c r="AL152" s="47">
        <f>IF(C152="",0,IF(COUNTIFS(VC_cle,AK152)=0,0,MAX(INDEX((VC_cle=AK152)*(VC_date+ROW(VC_date)/100000),0))))</f>
        <v/>
      </c>
      <c r="AM152" s="47">
        <f>IF(AND(C152&lt;&gt;"",N(AB152)&gt;0,D152&lt;&gt;"Perdu"),AB152+ROW()/100000,0)</f>
        <v/>
      </c>
      <c r="AN152" s="48">
        <f>IF(N(AF152)&gt;0,ROUND(AF152,0)+ROW()/1000000,0)</f>
        <v/>
      </c>
    </row>
    <row r="153" ht="18" customHeight="1">
      <c r="A153" s="39" t="n">
        <v>148</v>
      </c>
      <c r="B153" s="33">
        <f>IF(C153="","",IF(X153="À RENSEIGNER","GIC",X153)&amp;"-"&amp;TEXT(A153,"000"))</f>
        <v/>
      </c>
      <c r="C153" s="36" t="n"/>
      <c r="D153" s="34">
        <f>IF(C153="","",IF(U153="☑ Oui","Perdu",IF(AD153&lt;&gt;"","Client","Prospect")))</f>
        <v/>
      </c>
      <c r="E153" s="36" t="n"/>
      <c r="F153" s="36" t="n"/>
      <c r="G153" s="44" t="n"/>
      <c r="H153" s="44" t="n"/>
      <c r="I153" s="36" t="n"/>
      <c r="J153" s="36" t="n"/>
      <c r="K153" s="41" t="n"/>
      <c r="L153" s="41" t="n"/>
      <c r="M153" s="36" t="n"/>
      <c r="N153" s="36" t="n"/>
      <c r="O153" s="32" t="n"/>
      <c r="P153" s="36" t="n"/>
      <c r="Q153" s="36" t="n"/>
      <c r="R153" s="34">
        <f>IF(P153="","",IFERROR(VLOOKUP(P153,T_Produits,2,FALSE),""))</f>
        <v/>
      </c>
      <c r="S153" s="36" t="n"/>
      <c r="T153" s="43" t="n"/>
      <c r="U153" s="43" t="n"/>
      <c r="V153" s="36" t="n"/>
      <c r="W153" s="36" t="n"/>
      <c r="X153" s="33">
        <f>IF(C153="","",Commercial_Id)</f>
        <v/>
      </c>
      <c r="Y153" s="33">
        <f>IF(E153="","",IF(E153="Particulier / ménage","Particulier","Entreprise"))</f>
        <v/>
      </c>
      <c r="Z153" s="39">
        <f>IF(C153="","",COUNTIFS(VC_cle,AK153,VC_type,"Visite sur place"))</f>
        <v/>
      </c>
      <c r="AA153" s="46">
        <f>IF(AL153=0,"",IF(INT(AL153)=0,"",INT(AL153)))</f>
        <v/>
      </c>
      <c r="AB153" s="46">
        <f>IF(AL153=0,"",IF(INDEX(VC_actiondate,ROUND(MOD(AL153,1)*100000,0)-5)=0,"",INDEX(VC_actiondate,ROUND(MOD(AL153,1)*100000,0)-5)))</f>
        <v/>
      </c>
      <c r="AC153" s="33">
        <f>IF(AL153=0,"",INDEX(VC_actiontexte,ROUND(MOD(AL153,1)*100000,0)-5)&amp;"")</f>
        <v/>
      </c>
      <c r="AD153" s="46">
        <f>IF(C153="","",IF(COUNTIFS(Cmd_cle,AK153,Cmd_dateca,"&gt;0")=0,"",SMALL(INDEX(Cmd_dateca+(((Cmd_cle&lt;&gt;AK153)+(Cmd_dateca=0))&gt;0)*1000000,0),1)))</f>
        <v/>
      </c>
      <c r="AE153" s="46">
        <f>IF(C153="","",IF(COUNTIFS(Cmd_cle,AK153,Cmd_dateca,"&gt;0")=0,"",MAX(INDEX((Cmd_cle=AK153)*Cmd_dateca,0))))</f>
        <v/>
      </c>
      <c r="AF153" s="40">
        <f>IF(C153="","",SUMIFS(Cmd_montant,Cmd_cle,AK153,Cmd_dateca,"&gt;0"))</f>
        <v/>
      </c>
      <c r="AG153" s="40">
        <f>IF(C153="","",SUMIFS(Enc_montant,Enc_cle,AK153))</f>
        <v/>
      </c>
      <c r="AH153" s="40">
        <f>IF(C153="","",AF153-AG153)</f>
        <v/>
      </c>
      <c r="AI153" s="33">
        <f>IF(C153="","",IF(D153="Perdu","",IF(AND(AB153&lt;&gt;"",N(AB153)&lt;TODAY()),"Action en retard",IF(AND(D153="Client",AE153&lt;&gt;"",TODAY()-N(AE153)&gt;P_JoursInactif),"Client inactif",IF(AND(D153="Prospect",Z153=0,O153&lt;&gt;"",TODAY()-N(O153)&gt;P_JoursNonVisite),"Jamais visité","")))))</f>
        <v/>
      </c>
      <c r="AJ153" s="33">
        <f>IF(C153="","",C153&amp;" ["&amp;TEXT(A153,"000")&amp;"]")</f>
        <v/>
      </c>
      <c r="AK153" s="33">
        <f>IF(C153="","",X153&amp;"|"&amp;A153)</f>
        <v/>
      </c>
      <c r="AL153" s="47">
        <f>IF(C153="",0,IF(COUNTIFS(VC_cle,AK153)=0,0,MAX(INDEX((VC_cle=AK153)*(VC_date+ROW(VC_date)/100000),0))))</f>
        <v/>
      </c>
      <c r="AM153" s="47">
        <f>IF(AND(C153&lt;&gt;"",N(AB153)&gt;0,D153&lt;&gt;"Perdu"),AB153+ROW()/100000,0)</f>
        <v/>
      </c>
      <c r="AN153" s="48">
        <f>IF(N(AF153)&gt;0,ROUND(AF153,0)+ROW()/1000000,0)</f>
        <v/>
      </c>
    </row>
    <row r="154" ht="18" customHeight="1">
      <c r="A154" s="39" t="n">
        <v>149</v>
      </c>
      <c r="B154" s="33">
        <f>IF(C154="","",IF(X154="À RENSEIGNER","GIC",X154)&amp;"-"&amp;TEXT(A154,"000"))</f>
        <v/>
      </c>
      <c r="C154" s="36" t="n"/>
      <c r="D154" s="34">
        <f>IF(C154="","",IF(U154="☑ Oui","Perdu",IF(AD154&lt;&gt;"","Client","Prospect")))</f>
        <v/>
      </c>
      <c r="E154" s="36" t="n"/>
      <c r="F154" s="36" t="n"/>
      <c r="G154" s="44" t="n"/>
      <c r="H154" s="44" t="n"/>
      <c r="I154" s="36" t="n"/>
      <c r="J154" s="36" t="n"/>
      <c r="K154" s="41" t="n"/>
      <c r="L154" s="41" t="n"/>
      <c r="M154" s="36" t="n"/>
      <c r="N154" s="36" t="n"/>
      <c r="O154" s="32" t="n"/>
      <c r="P154" s="36" t="n"/>
      <c r="Q154" s="36" t="n"/>
      <c r="R154" s="34">
        <f>IF(P154="","",IFERROR(VLOOKUP(P154,T_Produits,2,FALSE),""))</f>
        <v/>
      </c>
      <c r="S154" s="36" t="n"/>
      <c r="T154" s="43" t="n"/>
      <c r="U154" s="43" t="n"/>
      <c r="V154" s="36" t="n"/>
      <c r="W154" s="36" t="n"/>
      <c r="X154" s="33">
        <f>IF(C154="","",Commercial_Id)</f>
        <v/>
      </c>
      <c r="Y154" s="33">
        <f>IF(E154="","",IF(E154="Particulier / ménage","Particulier","Entreprise"))</f>
        <v/>
      </c>
      <c r="Z154" s="39">
        <f>IF(C154="","",COUNTIFS(VC_cle,AK154,VC_type,"Visite sur place"))</f>
        <v/>
      </c>
      <c r="AA154" s="46">
        <f>IF(AL154=0,"",IF(INT(AL154)=0,"",INT(AL154)))</f>
        <v/>
      </c>
      <c r="AB154" s="46">
        <f>IF(AL154=0,"",IF(INDEX(VC_actiondate,ROUND(MOD(AL154,1)*100000,0)-5)=0,"",INDEX(VC_actiondate,ROUND(MOD(AL154,1)*100000,0)-5)))</f>
        <v/>
      </c>
      <c r="AC154" s="33">
        <f>IF(AL154=0,"",INDEX(VC_actiontexte,ROUND(MOD(AL154,1)*100000,0)-5)&amp;"")</f>
        <v/>
      </c>
      <c r="AD154" s="46">
        <f>IF(C154="","",IF(COUNTIFS(Cmd_cle,AK154,Cmd_dateca,"&gt;0")=0,"",SMALL(INDEX(Cmd_dateca+(((Cmd_cle&lt;&gt;AK154)+(Cmd_dateca=0))&gt;0)*1000000,0),1)))</f>
        <v/>
      </c>
      <c r="AE154" s="46">
        <f>IF(C154="","",IF(COUNTIFS(Cmd_cle,AK154,Cmd_dateca,"&gt;0")=0,"",MAX(INDEX((Cmd_cle=AK154)*Cmd_dateca,0))))</f>
        <v/>
      </c>
      <c r="AF154" s="40">
        <f>IF(C154="","",SUMIFS(Cmd_montant,Cmd_cle,AK154,Cmd_dateca,"&gt;0"))</f>
        <v/>
      </c>
      <c r="AG154" s="40">
        <f>IF(C154="","",SUMIFS(Enc_montant,Enc_cle,AK154))</f>
        <v/>
      </c>
      <c r="AH154" s="40">
        <f>IF(C154="","",AF154-AG154)</f>
        <v/>
      </c>
      <c r="AI154" s="33">
        <f>IF(C154="","",IF(D154="Perdu","",IF(AND(AB154&lt;&gt;"",N(AB154)&lt;TODAY()),"Action en retard",IF(AND(D154="Client",AE154&lt;&gt;"",TODAY()-N(AE154)&gt;P_JoursInactif),"Client inactif",IF(AND(D154="Prospect",Z154=0,O154&lt;&gt;"",TODAY()-N(O154)&gt;P_JoursNonVisite),"Jamais visité","")))))</f>
        <v/>
      </c>
      <c r="AJ154" s="33">
        <f>IF(C154="","",C154&amp;" ["&amp;TEXT(A154,"000")&amp;"]")</f>
        <v/>
      </c>
      <c r="AK154" s="33">
        <f>IF(C154="","",X154&amp;"|"&amp;A154)</f>
        <v/>
      </c>
      <c r="AL154" s="47">
        <f>IF(C154="",0,IF(COUNTIFS(VC_cle,AK154)=0,0,MAX(INDEX((VC_cle=AK154)*(VC_date+ROW(VC_date)/100000),0))))</f>
        <v/>
      </c>
      <c r="AM154" s="47">
        <f>IF(AND(C154&lt;&gt;"",N(AB154)&gt;0,D154&lt;&gt;"Perdu"),AB154+ROW()/100000,0)</f>
        <v/>
      </c>
      <c r="AN154" s="48">
        <f>IF(N(AF154)&gt;0,ROUND(AF154,0)+ROW()/1000000,0)</f>
        <v/>
      </c>
    </row>
    <row r="155" ht="18" customHeight="1">
      <c r="A155" s="39" t="n">
        <v>150</v>
      </c>
      <c r="B155" s="33">
        <f>IF(C155="","",IF(X155="À RENSEIGNER","GIC",X155)&amp;"-"&amp;TEXT(A155,"000"))</f>
        <v/>
      </c>
      <c r="C155" s="36" t="n"/>
      <c r="D155" s="34">
        <f>IF(C155="","",IF(U155="☑ Oui","Perdu",IF(AD155&lt;&gt;"","Client","Prospect")))</f>
        <v/>
      </c>
      <c r="E155" s="36" t="n"/>
      <c r="F155" s="36" t="n"/>
      <c r="G155" s="44" t="n"/>
      <c r="H155" s="44" t="n"/>
      <c r="I155" s="36" t="n"/>
      <c r="J155" s="36" t="n"/>
      <c r="K155" s="41" t="n"/>
      <c r="L155" s="41" t="n"/>
      <c r="M155" s="36" t="n"/>
      <c r="N155" s="36" t="n"/>
      <c r="O155" s="32" t="n"/>
      <c r="P155" s="36" t="n"/>
      <c r="Q155" s="36" t="n"/>
      <c r="R155" s="34">
        <f>IF(P155="","",IFERROR(VLOOKUP(P155,T_Produits,2,FALSE),""))</f>
        <v/>
      </c>
      <c r="S155" s="36" t="n"/>
      <c r="T155" s="43" t="n"/>
      <c r="U155" s="43" t="n"/>
      <c r="V155" s="36" t="n"/>
      <c r="W155" s="36" t="n"/>
      <c r="X155" s="33">
        <f>IF(C155="","",Commercial_Id)</f>
        <v/>
      </c>
      <c r="Y155" s="33">
        <f>IF(E155="","",IF(E155="Particulier / ménage","Particulier","Entreprise"))</f>
        <v/>
      </c>
      <c r="Z155" s="39">
        <f>IF(C155="","",COUNTIFS(VC_cle,AK155,VC_type,"Visite sur place"))</f>
        <v/>
      </c>
      <c r="AA155" s="46">
        <f>IF(AL155=0,"",IF(INT(AL155)=0,"",INT(AL155)))</f>
        <v/>
      </c>
      <c r="AB155" s="46">
        <f>IF(AL155=0,"",IF(INDEX(VC_actiondate,ROUND(MOD(AL155,1)*100000,0)-5)=0,"",INDEX(VC_actiondate,ROUND(MOD(AL155,1)*100000,0)-5)))</f>
        <v/>
      </c>
      <c r="AC155" s="33">
        <f>IF(AL155=0,"",INDEX(VC_actiontexte,ROUND(MOD(AL155,1)*100000,0)-5)&amp;"")</f>
        <v/>
      </c>
      <c r="AD155" s="46">
        <f>IF(C155="","",IF(COUNTIFS(Cmd_cle,AK155,Cmd_dateca,"&gt;0")=0,"",SMALL(INDEX(Cmd_dateca+(((Cmd_cle&lt;&gt;AK155)+(Cmd_dateca=0))&gt;0)*1000000,0),1)))</f>
        <v/>
      </c>
      <c r="AE155" s="46">
        <f>IF(C155="","",IF(COUNTIFS(Cmd_cle,AK155,Cmd_dateca,"&gt;0")=0,"",MAX(INDEX((Cmd_cle=AK155)*Cmd_dateca,0))))</f>
        <v/>
      </c>
      <c r="AF155" s="40">
        <f>IF(C155="","",SUMIFS(Cmd_montant,Cmd_cle,AK155,Cmd_dateca,"&gt;0"))</f>
        <v/>
      </c>
      <c r="AG155" s="40">
        <f>IF(C155="","",SUMIFS(Enc_montant,Enc_cle,AK155))</f>
        <v/>
      </c>
      <c r="AH155" s="40">
        <f>IF(C155="","",AF155-AG155)</f>
        <v/>
      </c>
      <c r="AI155" s="33">
        <f>IF(C155="","",IF(D155="Perdu","",IF(AND(AB155&lt;&gt;"",N(AB155)&lt;TODAY()),"Action en retard",IF(AND(D155="Client",AE155&lt;&gt;"",TODAY()-N(AE155)&gt;P_JoursInactif),"Client inactif",IF(AND(D155="Prospect",Z155=0,O155&lt;&gt;"",TODAY()-N(O155)&gt;P_JoursNonVisite),"Jamais visité","")))))</f>
        <v/>
      </c>
      <c r="AJ155" s="33">
        <f>IF(C155="","",C155&amp;" ["&amp;TEXT(A155,"000")&amp;"]")</f>
        <v/>
      </c>
      <c r="AK155" s="33">
        <f>IF(C155="","",X155&amp;"|"&amp;A155)</f>
        <v/>
      </c>
      <c r="AL155" s="47">
        <f>IF(C155="",0,IF(COUNTIFS(VC_cle,AK155)=0,0,MAX(INDEX((VC_cle=AK155)*(VC_date+ROW(VC_date)/100000),0))))</f>
        <v/>
      </c>
      <c r="AM155" s="47">
        <f>IF(AND(C155&lt;&gt;"",N(AB155)&gt;0,D155&lt;&gt;"Perdu"),AB155+ROW()/100000,0)</f>
        <v/>
      </c>
      <c r="AN155" s="48">
        <f>IF(N(AF155)&gt;0,ROUND(AF155,0)+ROW()/1000000,0)</f>
        <v/>
      </c>
    </row>
    <row r="156" ht="18" customHeight="1">
      <c r="A156" s="39" t="n">
        <v>151</v>
      </c>
      <c r="B156" s="33">
        <f>IF(C156="","",IF(X156="À RENSEIGNER","GIC",X156)&amp;"-"&amp;TEXT(A156,"000"))</f>
        <v/>
      </c>
      <c r="C156" s="36" t="n"/>
      <c r="D156" s="34">
        <f>IF(C156="","",IF(U156="☑ Oui","Perdu",IF(AD156&lt;&gt;"","Client","Prospect")))</f>
        <v/>
      </c>
      <c r="E156" s="36" t="n"/>
      <c r="F156" s="36" t="n"/>
      <c r="G156" s="44" t="n"/>
      <c r="H156" s="44" t="n"/>
      <c r="I156" s="36" t="n"/>
      <c r="J156" s="36" t="n"/>
      <c r="K156" s="41" t="n"/>
      <c r="L156" s="41" t="n"/>
      <c r="M156" s="36" t="n"/>
      <c r="N156" s="36" t="n"/>
      <c r="O156" s="32" t="n"/>
      <c r="P156" s="36" t="n"/>
      <c r="Q156" s="36" t="n"/>
      <c r="R156" s="34">
        <f>IF(P156="","",IFERROR(VLOOKUP(P156,T_Produits,2,FALSE),""))</f>
        <v/>
      </c>
      <c r="S156" s="36" t="n"/>
      <c r="T156" s="43" t="n"/>
      <c r="U156" s="43" t="n"/>
      <c r="V156" s="36" t="n"/>
      <c r="W156" s="36" t="n"/>
      <c r="X156" s="33">
        <f>IF(C156="","",Commercial_Id)</f>
        <v/>
      </c>
      <c r="Y156" s="33">
        <f>IF(E156="","",IF(E156="Particulier / ménage","Particulier","Entreprise"))</f>
        <v/>
      </c>
      <c r="Z156" s="39">
        <f>IF(C156="","",COUNTIFS(VC_cle,AK156,VC_type,"Visite sur place"))</f>
        <v/>
      </c>
      <c r="AA156" s="46">
        <f>IF(AL156=0,"",IF(INT(AL156)=0,"",INT(AL156)))</f>
        <v/>
      </c>
      <c r="AB156" s="46">
        <f>IF(AL156=0,"",IF(INDEX(VC_actiondate,ROUND(MOD(AL156,1)*100000,0)-5)=0,"",INDEX(VC_actiondate,ROUND(MOD(AL156,1)*100000,0)-5)))</f>
        <v/>
      </c>
      <c r="AC156" s="33">
        <f>IF(AL156=0,"",INDEX(VC_actiontexte,ROUND(MOD(AL156,1)*100000,0)-5)&amp;"")</f>
        <v/>
      </c>
      <c r="AD156" s="46">
        <f>IF(C156="","",IF(COUNTIFS(Cmd_cle,AK156,Cmd_dateca,"&gt;0")=0,"",SMALL(INDEX(Cmd_dateca+(((Cmd_cle&lt;&gt;AK156)+(Cmd_dateca=0))&gt;0)*1000000,0),1)))</f>
        <v/>
      </c>
      <c r="AE156" s="46">
        <f>IF(C156="","",IF(COUNTIFS(Cmd_cle,AK156,Cmd_dateca,"&gt;0")=0,"",MAX(INDEX((Cmd_cle=AK156)*Cmd_dateca,0))))</f>
        <v/>
      </c>
      <c r="AF156" s="40">
        <f>IF(C156="","",SUMIFS(Cmd_montant,Cmd_cle,AK156,Cmd_dateca,"&gt;0"))</f>
        <v/>
      </c>
      <c r="AG156" s="40">
        <f>IF(C156="","",SUMIFS(Enc_montant,Enc_cle,AK156))</f>
        <v/>
      </c>
      <c r="AH156" s="40">
        <f>IF(C156="","",AF156-AG156)</f>
        <v/>
      </c>
      <c r="AI156" s="33">
        <f>IF(C156="","",IF(D156="Perdu","",IF(AND(AB156&lt;&gt;"",N(AB156)&lt;TODAY()),"Action en retard",IF(AND(D156="Client",AE156&lt;&gt;"",TODAY()-N(AE156)&gt;P_JoursInactif),"Client inactif",IF(AND(D156="Prospect",Z156=0,O156&lt;&gt;"",TODAY()-N(O156)&gt;P_JoursNonVisite),"Jamais visité","")))))</f>
        <v/>
      </c>
      <c r="AJ156" s="33">
        <f>IF(C156="","",C156&amp;" ["&amp;TEXT(A156,"000")&amp;"]")</f>
        <v/>
      </c>
      <c r="AK156" s="33">
        <f>IF(C156="","",X156&amp;"|"&amp;A156)</f>
        <v/>
      </c>
      <c r="AL156" s="47">
        <f>IF(C156="",0,IF(COUNTIFS(VC_cle,AK156)=0,0,MAX(INDEX((VC_cle=AK156)*(VC_date+ROW(VC_date)/100000),0))))</f>
        <v/>
      </c>
      <c r="AM156" s="47">
        <f>IF(AND(C156&lt;&gt;"",N(AB156)&gt;0,D156&lt;&gt;"Perdu"),AB156+ROW()/100000,0)</f>
        <v/>
      </c>
      <c r="AN156" s="48">
        <f>IF(N(AF156)&gt;0,ROUND(AF156,0)+ROW()/1000000,0)</f>
        <v/>
      </c>
    </row>
    <row r="157" ht="18" customHeight="1">
      <c r="A157" s="39" t="n">
        <v>152</v>
      </c>
      <c r="B157" s="33">
        <f>IF(C157="","",IF(X157="À RENSEIGNER","GIC",X157)&amp;"-"&amp;TEXT(A157,"000"))</f>
        <v/>
      </c>
      <c r="C157" s="36" t="n"/>
      <c r="D157" s="34">
        <f>IF(C157="","",IF(U157="☑ Oui","Perdu",IF(AD157&lt;&gt;"","Client","Prospect")))</f>
        <v/>
      </c>
      <c r="E157" s="36" t="n"/>
      <c r="F157" s="36" t="n"/>
      <c r="G157" s="44" t="n"/>
      <c r="H157" s="44" t="n"/>
      <c r="I157" s="36" t="n"/>
      <c r="J157" s="36" t="n"/>
      <c r="K157" s="41" t="n"/>
      <c r="L157" s="41" t="n"/>
      <c r="M157" s="36" t="n"/>
      <c r="N157" s="36" t="n"/>
      <c r="O157" s="32" t="n"/>
      <c r="P157" s="36" t="n"/>
      <c r="Q157" s="36" t="n"/>
      <c r="R157" s="34">
        <f>IF(P157="","",IFERROR(VLOOKUP(P157,T_Produits,2,FALSE),""))</f>
        <v/>
      </c>
      <c r="S157" s="36" t="n"/>
      <c r="T157" s="43" t="n"/>
      <c r="U157" s="43" t="n"/>
      <c r="V157" s="36" t="n"/>
      <c r="W157" s="36" t="n"/>
      <c r="X157" s="33">
        <f>IF(C157="","",Commercial_Id)</f>
        <v/>
      </c>
      <c r="Y157" s="33">
        <f>IF(E157="","",IF(E157="Particulier / ménage","Particulier","Entreprise"))</f>
        <v/>
      </c>
      <c r="Z157" s="39">
        <f>IF(C157="","",COUNTIFS(VC_cle,AK157,VC_type,"Visite sur place"))</f>
        <v/>
      </c>
      <c r="AA157" s="46">
        <f>IF(AL157=0,"",IF(INT(AL157)=0,"",INT(AL157)))</f>
        <v/>
      </c>
      <c r="AB157" s="46">
        <f>IF(AL157=0,"",IF(INDEX(VC_actiondate,ROUND(MOD(AL157,1)*100000,0)-5)=0,"",INDEX(VC_actiondate,ROUND(MOD(AL157,1)*100000,0)-5)))</f>
        <v/>
      </c>
      <c r="AC157" s="33">
        <f>IF(AL157=0,"",INDEX(VC_actiontexte,ROUND(MOD(AL157,1)*100000,0)-5)&amp;"")</f>
        <v/>
      </c>
      <c r="AD157" s="46">
        <f>IF(C157="","",IF(COUNTIFS(Cmd_cle,AK157,Cmd_dateca,"&gt;0")=0,"",SMALL(INDEX(Cmd_dateca+(((Cmd_cle&lt;&gt;AK157)+(Cmd_dateca=0))&gt;0)*1000000,0),1)))</f>
        <v/>
      </c>
      <c r="AE157" s="46">
        <f>IF(C157="","",IF(COUNTIFS(Cmd_cle,AK157,Cmd_dateca,"&gt;0")=0,"",MAX(INDEX((Cmd_cle=AK157)*Cmd_dateca,0))))</f>
        <v/>
      </c>
      <c r="AF157" s="40">
        <f>IF(C157="","",SUMIFS(Cmd_montant,Cmd_cle,AK157,Cmd_dateca,"&gt;0"))</f>
        <v/>
      </c>
      <c r="AG157" s="40">
        <f>IF(C157="","",SUMIFS(Enc_montant,Enc_cle,AK157))</f>
        <v/>
      </c>
      <c r="AH157" s="40">
        <f>IF(C157="","",AF157-AG157)</f>
        <v/>
      </c>
      <c r="AI157" s="33">
        <f>IF(C157="","",IF(D157="Perdu","",IF(AND(AB157&lt;&gt;"",N(AB157)&lt;TODAY()),"Action en retard",IF(AND(D157="Client",AE157&lt;&gt;"",TODAY()-N(AE157)&gt;P_JoursInactif),"Client inactif",IF(AND(D157="Prospect",Z157=0,O157&lt;&gt;"",TODAY()-N(O157)&gt;P_JoursNonVisite),"Jamais visité","")))))</f>
        <v/>
      </c>
      <c r="AJ157" s="33">
        <f>IF(C157="","",C157&amp;" ["&amp;TEXT(A157,"000")&amp;"]")</f>
        <v/>
      </c>
      <c r="AK157" s="33">
        <f>IF(C157="","",X157&amp;"|"&amp;A157)</f>
        <v/>
      </c>
      <c r="AL157" s="47">
        <f>IF(C157="",0,IF(COUNTIFS(VC_cle,AK157)=0,0,MAX(INDEX((VC_cle=AK157)*(VC_date+ROW(VC_date)/100000),0))))</f>
        <v/>
      </c>
      <c r="AM157" s="47">
        <f>IF(AND(C157&lt;&gt;"",N(AB157)&gt;0,D157&lt;&gt;"Perdu"),AB157+ROW()/100000,0)</f>
        <v/>
      </c>
      <c r="AN157" s="48">
        <f>IF(N(AF157)&gt;0,ROUND(AF157,0)+ROW()/1000000,0)</f>
        <v/>
      </c>
    </row>
    <row r="158" ht="18" customHeight="1">
      <c r="A158" s="39" t="n">
        <v>153</v>
      </c>
      <c r="B158" s="33">
        <f>IF(C158="","",IF(X158="À RENSEIGNER","GIC",X158)&amp;"-"&amp;TEXT(A158,"000"))</f>
        <v/>
      </c>
      <c r="C158" s="36" t="n"/>
      <c r="D158" s="34">
        <f>IF(C158="","",IF(U158="☑ Oui","Perdu",IF(AD158&lt;&gt;"","Client","Prospect")))</f>
        <v/>
      </c>
      <c r="E158" s="36" t="n"/>
      <c r="F158" s="36" t="n"/>
      <c r="G158" s="44" t="n"/>
      <c r="H158" s="44" t="n"/>
      <c r="I158" s="36" t="n"/>
      <c r="J158" s="36" t="n"/>
      <c r="K158" s="41" t="n"/>
      <c r="L158" s="41" t="n"/>
      <c r="M158" s="36" t="n"/>
      <c r="N158" s="36" t="n"/>
      <c r="O158" s="32" t="n"/>
      <c r="P158" s="36" t="n"/>
      <c r="Q158" s="36" t="n"/>
      <c r="R158" s="34">
        <f>IF(P158="","",IFERROR(VLOOKUP(P158,T_Produits,2,FALSE),""))</f>
        <v/>
      </c>
      <c r="S158" s="36" t="n"/>
      <c r="T158" s="43" t="n"/>
      <c r="U158" s="43" t="n"/>
      <c r="V158" s="36" t="n"/>
      <c r="W158" s="36" t="n"/>
      <c r="X158" s="33">
        <f>IF(C158="","",Commercial_Id)</f>
        <v/>
      </c>
      <c r="Y158" s="33">
        <f>IF(E158="","",IF(E158="Particulier / ménage","Particulier","Entreprise"))</f>
        <v/>
      </c>
      <c r="Z158" s="39">
        <f>IF(C158="","",COUNTIFS(VC_cle,AK158,VC_type,"Visite sur place"))</f>
        <v/>
      </c>
      <c r="AA158" s="46">
        <f>IF(AL158=0,"",IF(INT(AL158)=0,"",INT(AL158)))</f>
        <v/>
      </c>
      <c r="AB158" s="46">
        <f>IF(AL158=0,"",IF(INDEX(VC_actiondate,ROUND(MOD(AL158,1)*100000,0)-5)=0,"",INDEX(VC_actiondate,ROUND(MOD(AL158,1)*100000,0)-5)))</f>
        <v/>
      </c>
      <c r="AC158" s="33">
        <f>IF(AL158=0,"",INDEX(VC_actiontexte,ROUND(MOD(AL158,1)*100000,0)-5)&amp;"")</f>
        <v/>
      </c>
      <c r="AD158" s="46">
        <f>IF(C158="","",IF(COUNTIFS(Cmd_cle,AK158,Cmd_dateca,"&gt;0")=0,"",SMALL(INDEX(Cmd_dateca+(((Cmd_cle&lt;&gt;AK158)+(Cmd_dateca=0))&gt;0)*1000000,0),1)))</f>
        <v/>
      </c>
      <c r="AE158" s="46">
        <f>IF(C158="","",IF(COUNTIFS(Cmd_cle,AK158,Cmd_dateca,"&gt;0")=0,"",MAX(INDEX((Cmd_cle=AK158)*Cmd_dateca,0))))</f>
        <v/>
      </c>
      <c r="AF158" s="40">
        <f>IF(C158="","",SUMIFS(Cmd_montant,Cmd_cle,AK158,Cmd_dateca,"&gt;0"))</f>
        <v/>
      </c>
      <c r="AG158" s="40">
        <f>IF(C158="","",SUMIFS(Enc_montant,Enc_cle,AK158))</f>
        <v/>
      </c>
      <c r="AH158" s="40">
        <f>IF(C158="","",AF158-AG158)</f>
        <v/>
      </c>
      <c r="AI158" s="33">
        <f>IF(C158="","",IF(D158="Perdu","",IF(AND(AB158&lt;&gt;"",N(AB158)&lt;TODAY()),"Action en retard",IF(AND(D158="Client",AE158&lt;&gt;"",TODAY()-N(AE158)&gt;P_JoursInactif),"Client inactif",IF(AND(D158="Prospect",Z158=0,O158&lt;&gt;"",TODAY()-N(O158)&gt;P_JoursNonVisite),"Jamais visité","")))))</f>
        <v/>
      </c>
      <c r="AJ158" s="33">
        <f>IF(C158="","",C158&amp;" ["&amp;TEXT(A158,"000")&amp;"]")</f>
        <v/>
      </c>
      <c r="AK158" s="33">
        <f>IF(C158="","",X158&amp;"|"&amp;A158)</f>
        <v/>
      </c>
      <c r="AL158" s="47">
        <f>IF(C158="",0,IF(COUNTIFS(VC_cle,AK158)=0,0,MAX(INDEX((VC_cle=AK158)*(VC_date+ROW(VC_date)/100000),0))))</f>
        <v/>
      </c>
      <c r="AM158" s="47">
        <f>IF(AND(C158&lt;&gt;"",N(AB158)&gt;0,D158&lt;&gt;"Perdu"),AB158+ROW()/100000,0)</f>
        <v/>
      </c>
      <c r="AN158" s="48">
        <f>IF(N(AF158)&gt;0,ROUND(AF158,0)+ROW()/1000000,0)</f>
        <v/>
      </c>
    </row>
    <row r="159" ht="18" customHeight="1">
      <c r="A159" s="39" t="n">
        <v>154</v>
      </c>
      <c r="B159" s="33">
        <f>IF(C159="","",IF(X159="À RENSEIGNER","GIC",X159)&amp;"-"&amp;TEXT(A159,"000"))</f>
        <v/>
      </c>
      <c r="C159" s="36" t="n"/>
      <c r="D159" s="34">
        <f>IF(C159="","",IF(U159="☑ Oui","Perdu",IF(AD159&lt;&gt;"","Client","Prospect")))</f>
        <v/>
      </c>
      <c r="E159" s="36" t="n"/>
      <c r="F159" s="36" t="n"/>
      <c r="G159" s="44" t="n"/>
      <c r="H159" s="44" t="n"/>
      <c r="I159" s="36" t="n"/>
      <c r="J159" s="36" t="n"/>
      <c r="K159" s="41" t="n"/>
      <c r="L159" s="41" t="n"/>
      <c r="M159" s="36" t="n"/>
      <c r="N159" s="36" t="n"/>
      <c r="O159" s="32" t="n"/>
      <c r="P159" s="36" t="n"/>
      <c r="Q159" s="36" t="n"/>
      <c r="R159" s="34">
        <f>IF(P159="","",IFERROR(VLOOKUP(P159,T_Produits,2,FALSE),""))</f>
        <v/>
      </c>
      <c r="S159" s="36" t="n"/>
      <c r="T159" s="43" t="n"/>
      <c r="U159" s="43" t="n"/>
      <c r="V159" s="36" t="n"/>
      <c r="W159" s="36" t="n"/>
      <c r="X159" s="33">
        <f>IF(C159="","",Commercial_Id)</f>
        <v/>
      </c>
      <c r="Y159" s="33">
        <f>IF(E159="","",IF(E159="Particulier / ménage","Particulier","Entreprise"))</f>
        <v/>
      </c>
      <c r="Z159" s="39">
        <f>IF(C159="","",COUNTIFS(VC_cle,AK159,VC_type,"Visite sur place"))</f>
        <v/>
      </c>
      <c r="AA159" s="46">
        <f>IF(AL159=0,"",IF(INT(AL159)=0,"",INT(AL159)))</f>
        <v/>
      </c>
      <c r="AB159" s="46">
        <f>IF(AL159=0,"",IF(INDEX(VC_actiondate,ROUND(MOD(AL159,1)*100000,0)-5)=0,"",INDEX(VC_actiondate,ROUND(MOD(AL159,1)*100000,0)-5)))</f>
        <v/>
      </c>
      <c r="AC159" s="33">
        <f>IF(AL159=0,"",INDEX(VC_actiontexte,ROUND(MOD(AL159,1)*100000,0)-5)&amp;"")</f>
        <v/>
      </c>
      <c r="AD159" s="46">
        <f>IF(C159="","",IF(COUNTIFS(Cmd_cle,AK159,Cmd_dateca,"&gt;0")=0,"",SMALL(INDEX(Cmd_dateca+(((Cmd_cle&lt;&gt;AK159)+(Cmd_dateca=0))&gt;0)*1000000,0),1)))</f>
        <v/>
      </c>
      <c r="AE159" s="46">
        <f>IF(C159="","",IF(COUNTIFS(Cmd_cle,AK159,Cmd_dateca,"&gt;0")=0,"",MAX(INDEX((Cmd_cle=AK159)*Cmd_dateca,0))))</f>
        <v/>
      </c>
      <c r="AF159" s="40">
        <f>IF(C159="","",SUMIFS(Cmd_montant,Cmd_cle,AK159,Cmd_dateca,"&gt;0"))</f>
        <v/>
      </c>
      <c r="AG159" s="40">
        <f>IF(C159="","",SUMIFS(Enc_montant,Enc_cle,AK159))</f>
        <v/>
      </c>
      <c r="AH159" s="40">
        <f>IF(C159="","",AF159-AG159)</f>
        <v/>
      </c>
      <c r="AI159" s="33">
        <f>IF(C159="","",IF(D159="Perdu","",IF(AND(AB159&lt;&gt;"",N(AB159)&lt;TODAY()),"Action en retard",IF(AND(D159="Client",AE159&lt;&gt;"",TODAY()-N(AE159)&gt;P_JoursInactif),"Client inactif",IF(AND(D159="Prospect",Z159=0,O159&lt;&gt;"",TODAY()-N(O159)&gt;P_JoursNonVisite),"Jamais visité","")))))</f>
        <v/>
      </c>
      <c r="AJ159" s="33">
        <f>IF(C159="","",C159&amp;" ["&amp;TEXT(A159,"000")&amp;"]")</f>
        <v/>
      </c>
      <c r="AK159" s="33">
        <f>IF(C159="","",X159&amp;"|"&amp;A159)</f>
        <v/>
      </c>
      <c r="AL159" s="47">
        <f>IF(C159="",0,IF(COUNTIFS(VC_cle,AK159)=0,0,MAX(INDEX((VC_cle=AK159)*(VC_date+ROW(VC_date)/100000),0))))</f>
        <v/>
      </c>
      <c r="AM159" s="47">
        <f>IF(AND(C159&lt;&gt;"",N(AB159)&gt;0,D159&lt;&gt;"Perdu"),AB159+ROW()/100000,0)</f>
        <v/>
      </c>
      <c r="AN159" s="48">
        <f>IF(N(AF159)&gt;0,ROUND(AF159,0)+ROW()/1000000,0)</f>
        <v/>
      </c>
    </row>
    <row r="160" ht="18" customHeight="1">
      <c r="A160" s="39" t="n">
        <v>155</v>
      </c>
      <c r="B160" s="33">
        <f>IF(C160="","",IF(X160="À RENSEIGNER","GIC",X160)&amp;"-"&amp;TEXT(A160,"000"))</f>
        <v/>
      </c>
      <c r="C160" s="36" t="n"/>
      <c r="D160" s="34">
        <f>IF(C160="","",IF(U160="☑ Oui","Perdu",IF(AD160&lt;&gt;"","Client","Prospect")))</f>
        <v/>
      </c>
      <c r="E160" s="36" t="n"/>
      <c r="F160" s="36" t="n"/>
      <c r="G160" s="44" t="n"/>
      <c r="H160" s="44" t="n"/>
      <c r="I160" s="36" t="n"/>
      <c r="J160" s="36" t="n"/>
      <c r="K160" s="41" t="n"/>
      <c r="L160" s="41" t="n"/>
      <c r="M160" s="36" t="n"/>
      <c r="N160" s="36" t="n"/>
      <c r="O160" s="32" t="n"/>
      <c r="P160" s="36" t="n"/>
      <c r="Q160" s="36" t="n"/>
      <c r="R160" s="34">
        <f>IF(P160="","",IFERROR(VLOOKUP(P160,T_Produits,2,FALSE),""))</f>
        <v/>
      </c>
      <c r="S160" s="36" t="n"/>
      <c r="T160" s="43" t="n"/>
      <c r="U160" s="43" t="n"/>
      <c r="V160" s="36" t="n"/>
      <c r="W160" s="36" t="n"/>
      <c r="X160" s="33">
        <f>IF(C160="","",Commercial_Id)</f>
        <v/>
      </c>
      <c r="Y160" s="33">
        <f>IF(E160="","",IF(E160="Particulier / ménage","Particulier","Entreprise"))</f>
        <v/>
      </c>
      <c r="Z160" s="39">
        <f>IF(C160="","",COUNTIFS(VC_cle,AK160,VC_type,"Visite sur place"))</f>
        <v/>
      </c>
      <c r="AA160" s="46">
        <f>IF(AL160=0,"",IF(INT(AL160)=0,"",INT(AL160)))</f>
        <v/>
      </c>
      <c r="AB160" s="46">
        <f>IF(AL160=0,"",IF(INDEX(VC_actiondate,ROUND(MOD(AL160,1)*100000,0)-5)=0,"",INDEX(VC_actiondate,ROUND(MOD(AL160,1)*100000,0)-5)))</f>
        <v/>
      </c>
      <c r="AC160" s="33">
        <f>IF(AL160=0,"",INDEX(VC_actiontexte,ROUND(MOD(AL160,1)*100000,0)-5)&amp;"")</f>
        <v/>
      </c>
      <c r="AD160" s="46">
        <f>IF(C160="","",IF(COUNTIFS(Cmd_cle,AK160,Cmd_dateca,"&gt;0")=0,"",SMALL(INDEX(Cmd_dateca+(((Cmd_cle&lt;&gt;AK160)+(Cmd_dateca=0))&gt;0)*1000000,0),1)))</f>
        <v/>
      </c>
      <c r="AE160" s="46">
        <f>IF(C160="","",IF(COUNTIFS(Cmd_cle,AK160,Cmd_dateca,"&gt;0")=0,"",MAX(INDEX((Cmd_cle=AK160)*Cmd_dateca,0))))</f>
        <v/>
      </c>
      <c r="AF160" s="40">
        <f>IF(C160="","",SUMIFS(Cmd_montant,Cmd_cle,AK160,Cmd_dateca,"&gt;0"))</f>
        <v/>
      </c>
      <c r="AG160" s="40">
        <f>IF(C160="","",SUMIFS(Enc_montant,Enc_cle,AK160))</f>
        <v/>
      </c>
      <c r="AH160" s="40">
        <f>IF(C160="","",AF160-AG160)</f>
        <v/>
      </c>
      <c r="AI160" s="33">
        <f>IF(C160="","",IF(D160="Perdu","",IF(AND(AB160&lt;&gt;"",N(AB160)&lt;TODAY()),"Action en retard",IF(AND(D160="Client",AE160&lt;&gt;"",TODAY()-N(AE160)&gt;P_JoursInactif),"Client inactif",IF(AND(D160="Prospect",Z160=0,O160&lt;&gt;"",TODAY()-N(O160)&gt;P_JoursNonVisite),"Jamais visité","")))))</f>
        <v/>
      </c>
      <c r="AJ160" s="33">
        <f>IF(C160="","",C160&amp;" ["&amp;TEXT(A160,"000")&amp;"]")</f>
        <v/>
      </c>
      <c r="AK160" s="33">
        <f>IF(C160="","",X160&amp;"|"&amp;A160)</f>
        <v/>
      </c>
      <c r="AL160" s="47">
        <f>IF(C160="",0,IF(COUNTIFS(VC_cle,AK160)=0,0,MAX(INDEX((VC_cle=AK160)*(VC_date+ROW(VC_date)/100000),0))))</f>
        <v/>
      </c>
      <c r="AM160" s="47">
        <f>IF(AND(C160&lt;&gt;"",N(AB160)&gt;0,D160&lt;&gt;"Perdu"),AB160+ROW()/100000,0)</f>
        <v/>
      </c>
      <c r="AN160" s="48">
        <f>IF(N(AF160)&gt;0,ROUND(AF160,0)+ROW()/1000000,0)</f>
        <v/>
      </c>
    </row>
    <row r="161" ht="18" customHeight="1">
      <c r="A161" s="39" t="n">
        <v>156</v>
      </c>
      <c r="B161" s="33">
        <f>IF(C161="","",IF(X161="À RENSEIGNER","GIC",X161)&amp;"-"&amp;TEXT(A161,"000"))</f>
        <v/>
      </c>
      <c r="C161" s="36" t="n"/>
      <c r="D161" s="34">
        <f>IF(C161="","",IF(U161="☑ Oui","Perdu",IF(AD161&lt;&gt;"","Client","Prospect")))</f>
        <v/>
      </c>
      <c r="E161" s="36" t="n"/>
      <c r="F161" s="36" t="n"/>
      <c r="G161" s="44" t="n"/>
      <c r="H161" s="44" t="n"/>
      <c r="I161" s="36" t="n"/>
      <c r="J161" s="36" t="n"/>
      <c r="K161" s="41" t="n"/>
      <c r="L161" s="41" t="n"/>
      <c r="M161" s="36" t="n"/>
      <c r="N161" s="36" t="n"/>
      <c r="O161" s="32" t="n"/>
      <c r="P161" s="36" t="n"/>
      <c r="Q161" s="36" t="n"/>
      <c r="R161" s="34">
        <f>IF(P161="","",IFERROR(VLOOKUP(P161,T_Produits,2,FALSE),""))</f>
        <v/>
      </c>
      <c r="S161" s="36" t="n"/>
      <c r="T161" s="43" t="n"/>
      <c r="U161" s="43" t="n"/>
      <c r="V161" s="36" t="n"/>
      <c r="W161" s="36" t="n"/>
      <c r="X161" s="33">
        <f>IF(C161="","",Commercial_Id)</f>
        <v/>
      </c>
      <c r="Y161" s="33">
        <f>IF(E161="","",IF(E161="Particulier / ménage","Particulier","Entreprise"))</f>
        <v/>
      </c>
      <c r="Z161" s="39">
        <f>IF(C161="","",COUNTIFS(VC_cle,AK161,VC_type,"Visite sur place"))</f>
        <v/>
      </c>
      <c r="AA161" s="46">
        <f>IF(AL161=0,"",IF(INT(AL161)=0,"",INT(AL161)))</f>
        <v/>
      </c>
      <c r="AB161" s="46">
        <f>IF(AL161=0,"",IF(INDEX(VC_actiondate,ROUND(MOD(AL161,1)*100000,0)-5)=0,"",INDEX(VC_actiondate,ROUND(MOD(AL161,1)*100000,0)-5)))</f>
        <v/>
      </c>
      <c r="AC161" s="33">
        <f>IF(AL161=0,"",INDEX(VC_actiontexte,ROUND(MOD(AL161,1)*100000,0)-5)&amp;"")</f>
        <v/>
      </c>
      <c r="AD161" s="46">
        <f>IF(C161="","",IF(COUNTIFS(Cmd_cle,AK161,Cmd_dateca,"&gt;0")=0,"",SMALL(INDEX(Cmd_dateca+(((Cmd_cle&lt;&gt;AK161)+(Cmd_dateca=0))&gt;0)*1000000,0),1)))</f>
        <v/>
      </c>
      <c r="AE161" s="46">
        <f>IF(C161="","",IF(COUNTIFS(Cmd_cle,AK161,Cmd_dateca,"&gt;0")=0,"",MAX(INDEX((Cmd_cle=AK161)*Cmd_dateca,0))))</f>
        <v/>
      </c>
      <c r="AF161" s="40">
        <f>IF(C161="","",SUMIFS(Cmd_montant,Cmd_cle,AK161,Cmd_dateca,"&gt;0"))</f>
        <v/>
      </c>
      <c r="AG161" s="40">
        <f>IF(C161="","",SUMIFS(Enc_montant,Enc_cle,AK161))</f>
        <v/>
      </c>
      <c r="AH161" s="40">
        <f>IF(C161="","",AF161-AG161)</f>
        <v/>
      </c>
      <c r="AI161" s="33">
        <f>IF(C161="","",IF(D161="Perdu","",IF(AND(AB161&lt;&gt;"",N(AB161)&lt;TODAY()),"Action en retard",IF(AND(D161="Client",AE161&lt;&gt;"",TODAY()-N(AE161)&gt;P_JoursInactif),"Client inactif",IF(AND(D161="Prospect",Z161=0,O161&lt;&gt;"",TODAY()-N(O161)&gt;P_JoursNonVisite),"Jamais visité","")))))</f>
        <v/>
      </c>
      <c r="AJ161" s="33">
        <f>IF(C161="","",C161&amp;" ["&amp;TEXT(A161,"000")&amp;"]")</f>
        <v/>
      </c>
      <c r="AK161" s="33">
        <f>IF(C161="","",X161&amp;"|"&amp;A161)</f>
        <v/>
      </c>
      <c r="AL161" s="47">
        <f>IF(C161="",0,IF(COUNTIFS(VC_cle,AK161)=0,0,MAX(INDEX((VC_cle=AK161)*(VC_date+ROW(VC_date)/100000),0))))</f>
        <v/>
      </c>
      <c r="AM161" s="47">
        <f>IF(AND(C161&lt;&gt;"",N(AB161)&gt;0,D161&lt;&gt;"Perdu"),AB161+ROW()/100000,0)</f>
        <v/>
      </c>
      <c r="AN161" s="48">
        <f>IF(N(AF161)&gt;0,ROUND(AF161,0)+ROW()/1000000,0)</f>
        <v/>
      </c>
    </row>
    <row r="162" ht="18" customHeight="1">
      <c r="A162" s="39" t="n">
        <v>157</v>
      </c>
      <c r="B162" s="33">
        <f>IF(C162="","",IF(X162="À RENSEIGNER","GIC",X162)&amp;"-"&amp;TEXT(A162,"000"))</f>
        <v/>
      </c>
      <c r="C162" s="36" t="n"/>
      <c r="D162" s="34">
        <f>IF(C162="","",IF(U162="☑ Oui","Perdu",IF(AD162&lt;&gt;"","Client","Prospect")))</f>
        <v/>
      </c>
      <c r="E162" s="36" t="n"/>
      <c r="F162" s="36" t="n"/>
      <c r="G162" s="44" t="n"/>
      <c r="H162" s="44" t="n"/>
      <c r="I162" s="36" t="n"/>
      <c r="J162" s="36" t="n"/>
      <c r="K162" s="41" t="n"/>
      <c r="L162" s="41" t="n"/>
      <c r="M162" s="36" t="n"/>
      <c r="N162" s="36" t="n"/>
      <c r="O162" s="32" t="n"/>
      <c r="P162" s="36" t="n"/>
      <c r="Q162" s="36" t="n"/>
      <c r="R162" s="34">
        <f>IF(P162="","",IFERROR(VLOOKUP(P162,T_Produits,2,FALSE),""))</f>
        <v/>
      </c>
      <c r="S162" s="36" t="n"/>
      <c r="T162" s="43" t="n"/>
      <c r="U162" s="43" t="n"/>
      <c r="V162" s="36" t="n"/>
      <c r="W162" s="36" t="n"/>
      <c r="X162" s="33">
        <f>IF(C162="","",Commercial_Id)</f>
        <v/>
      </c>
      <c r="Y162" s="33">
        <f>IF(E162="","",IF(E162="Particulier / ménage","Particulier","Entreprise"))</f>
        <v/>
      </c>
      <c r="Z162" s="39">
        <f>IF(C162="","",COUNTIFS(VC_cle,AK162,VC_type,"Visite sur place"))</f>
        <v/>
      </c>
      <c r="AA162" s="46">
        <f>IF(AL162=0,"",IF(INT(AL162)=0,"",INT(AL162)))</f>
        <v/>
      </c>
      <c r="AB162" s="46">
        <f>IF(AL162=0,"",IF(INDEX(VC_actiondate,ROUND(MOD(AL162,1)*100000,0)-5)=0,"",INDEX(VC_actiondate,ROUND(MOD(AL162,1)*100000,0)-5)))</f>
        <v/>
      </c>
      <c r="AC162" s="33">
        <f>IF(AL162=0,"",INDEX(VC_actiontexte,ROUND(MOD(AL162,1)*100000,0)-5)&amp;"")</f>
        <v/>
      </c>
      <c r="AD162" s="46">
        <f>IF(C162="","",IF(COUNTIFS(Cmd_cle,AK162,Cmd_dateca,"&gt;0")=0,"",SMALL(INDEX(Cmd_dateca+(((Cmd_cle&lt;&gt;AK162)+(Cmd_dateca=0))&gt;0)*1000000,0),1)))</f>
        <v/>
      </c>
      <c r="AE162" s="46">
        <f>IF(C162="","",IF(COUNTIFS(Cmd_cle,AK162,Cmd_dateca,"&gt;0")=0,"",MAX(INDEX((Cmd_cle=AK162)*Cmd_dateca,0))))</f>
        <v/>
      </c>
      <c r="AF162" s="40">
        <f>IF(C162="","",SUMIFS(Cmd_montant,Cmd_cle,AK162,Cmd_dateca,"&gt;0"))</f>
        <v/>
      </c>
      <c r="AG162" s="40">
        <f>IF(C162="","",SUMIFS(Enc_montant,Enc_cle,AK162))</f>
        <v/>
      </c>
      <c r="AH162" s="40">
        <f>IF(C162="","",AF162-AG162)</f>
        <v/>
      </c>
      <c r="AI162" s="33">
        <f>IF(C162="","",IF(D162="Perdu","",IF(AND(AB162&lt;&gt;"",N(AB162)&lt;TODAY()),"Action en retard",IF(AND(D162="Client",AE162&lt;&gt;"",TODAY()-N(AE162)&gt;P_JoursInactif),"Client inactif",IF(AND(D162="Prospect",Z162=0,O162&lt;&gt;"",TODAY()-N(O162)&gt;P_JoursNonVisite),"Jamais visité","")))))</f>
        <v/>
      </c>
      <c r="AJ162" s="33">
        <f>IF(C162="","",C162&amp;" ["&amp;TEXT(A162,"000")&amp;"]")</f>
        <v/>
      </c>
      <c r="AK162" s="33">
        <f>IF(C162="","",X162&amp;"|"&amp;A162)</f>
        <v/>
      </c>
      <c r="AL162" s="47">
        <f>IF(C162="",0,IF(COUNTIFS(VC_cle,AK162)=0,0,MAX(INDEX((VC_cle=AK162)*(VC_date+ROW(VC_date)/100000),0))))</f>
        <v/>
      </c>
      <c r="AM162" s="47">
        <f>IF(AND(C162&lt;&gt;"",N(AB162)&gt;0,D162&lt;&gt;"Perdu"),AB162+ROW()/100000,0)</f>
        <v/>
      </c>
      <c r="AN162" s="48">
        <f>IF(N(AF162)&gt;0,ROUND(AF162,0)+ROW()/1000000,0)</f>
        <v/>
      </c>
    </row>
    <row r="163" ht="18" customHeight="1">
      <c r="A163" s="39" t="n">
        <v>158</v>
      </c>
      <c r="B163" s="33">
        <f>IF(C163="","",IF(X163="À RENSEIGNER","GIC",X163)&amp;"-"&amp;TEXT(A163,"000"))</f>
        <v/>
      </c>
      <c r="C163" s="36" t="n"/>
      <c r="D163" s="34">
        <f>IF(C163="","",IF(U163="☑ Oui","Perdu",IF(AD163&lt;&gt;"","Client","Prospect")))</f>
        <v/>
      </c>
      <c r="E163" s="36" t="n"/>
      <c r="F163" s="36" t="n"/>
      <c r="G163" s="44" t="n"/>
      <c r="H163" s="44" t="n"/>
      <c r="I163" s="36" t="n"/>
      <c r="J163" s="36" t="n"/>
      <c r="K163" s="41" t="n"/>
      <c r="L163" s="41" t="n"/>
      <c r="M163" s="36" t="n"/>
      <c r="N163" s="36" t="n"/>
      <c r="O163" s="32" t="n"/>
      <c r="P163" s="36" t="n"/>
      <c r="Q163" s="36" t="n"/>
      <c r="R163" s="34">
        <f>IF(P163="","",IFERROR(VLOOKUP(P163,T_Produits,2,FALSE),""))</f>
        <v/>
      </c>
      <c r="S163" s="36" t="n"/>
      <c r="T163" s="43" t="n"/>
      <c r="U163" s="43" t="n"/>
      <c r="V163" s="36" t="n"/>
      <c r="W163" s="36" t="n"/>
      <c r="X163" s="33">
        <f>IF(C163="","",Commercial_Id)</f>
        <v/>
      </c>
      <c r="Y163" s="33">
        <f>IF(E163="","",IF(E163="Particulier / ménage","Particulier","Entreprise"))</f>
        <v/>
      </c>
      <c r="Z163" s="39">
        <f>IF(C163="","",COUNTIFS(VC_cle,AK163,VC_type,"Visite sur place"))</f>
        <v/>
      </c>
      <c r="AA163" s="46">
        <f>IF(AL163=0,"",IF(INT(AL163)=0,"",INT(AL163)))</f>
        <v/>
      </c>
      <c r="AB163" s="46">
        <f>IF(AL163=0,"",IF(INDEX(VC_actiondate,ROUND(MOD(AL163,1)*100000,0)-5)=0,"",INDEX(VC_actiondate,ROUND(MOD(AL163,1)*100000,0)-5)))</f>
        <v/>
      </c>
      <c r="AC163" s="33">
        <f>IF(AL163=0,"",INDEX(VC_actiontexte,ROUND(MOD(AL163,1)*100000,0)-5)&amp;"")</f>
        <v/>
      </c>
      <c r="AD163" s="46">
        <f>IF(C163="","",IF(COUNTIFS(Cmd_cle,AK163,Cmd_dateca,"&gt;0")=0,"",SMALL(INDEX(Cmd_dateca+(((Cmd_cle&lt;&gt;AK163)+(Cmd_dateca=0))&gt;0)*1000000,0),1)))</f>
        <v/>
      </c>
      <c r="AE163" s="46">
        <f>IF(C163="","",IF(COUNTIFS(Cmd_cle,AK163,Cmd_dateca,"&gt;0")=0,"",MAX(INDEX((Cmd_cle=AK163)*Cmd_dateca,0))))</f>
        <v/>
      </c>
      <c r="AF163" s="40">
        <f>IF(C163="","",SUMIFS(Cmd_montant,Cmd_cle,AK163,Cmd_dateca,"&gt;0"))</f>
        <v/>
      </c>
      <c r="AG163" s="40">
        <f>IF(C163="","",SUMIFS(Enc_montant,Enc_cle,AK163))</f>
        <v/>
      </c>
      <c r="AH163" s="40">
        <f>IF(C163="","",AF163-AG163)</f>
        <v/>
      </c>
      <c r="AI163" s="33">
        <f>IF(C163="","",IF(D163="Perdu","",IF(AND(AB163&lt;&gt;"",N(AB163)&lt;TODAY()),"Action en retard",IF(AND(D163="Client",AE163&lt;&gt;"",TODAY()-N(AE163)&gt;P_JoursInactif),"Client inactif",IF(AND(D163="Prospect",Z163=0,O163&lt;&gt;"",TODAY()-N(O163)&gt;P_JoursNonVisite),"Jamais visité","")))))</f>
        <v/>
      </c>
      <c r="AJ163" s="33">
        <f>IF(C163="","",C163&amp;" ["&amp;TEXT(A163,"000")&amp;"]")</f>
        <v/>
      </c>
      <c r="AK163" s="33">
        <f>IF(C163="","",X163&amp;"|"&amp;A163)</f>
        <v/>
      </c>
      <c r="AL163" s="47">
        <f>IF(C163="",0,IF(COUNTIFS(VC_cle,AK163)=0,0,MAX(INDEX((VC_cle=AK163)*(VC_date+ROW(VC_date)/100000),0))))</f>
        <v/>
      </c>
      <c r="AM163" s="47">
        <f>IF(AND(C163&lt;&gt;"",N(AB163)&gt;0,D163&lt;&gt;"Perdu"),AB163+ROW()/100000,0)</f>
        <v/>
      </c>
      <c r="AN163" s="48">
        <f>IF(N(AF163)&gt;0,ROUND(AF163,0)+ROW()/1000000,0)</f>
        <v/>
      </c>
    </row>
    <row r="164" ht="18" customHeight="1">
      <c r="A164" s="39" t="n">
        <v>159</v>
      </c>
      <c r="B164" s="33">
        <f>IF(C164="","",IF(X164="À RENSEIGNER","GIC",X164)&amp;"-"&amp;TEXT(A164,"000"))</f>
        <v/>
      </c>
      <c r="C164" s="36" t="n"/>
      <c r="D164" s="34">
        <f>IF(C164="","",IF(U164="☑ Oui","Perdu",IF(AD164&lt;&gt;"","Client","Prospect")))</f>
        <v/>
      </c>
      <c r="E164" s="36" t="n"/>
      <c r="F164" s="36" t="n"/>
      <c r="G164" s="44" t="n"/>
      <c r="H164" s="44" t="n"/>
      <c r="I164" s="36" t="n"/>
      <c r="J164" s="36" t="n"/>
      <c r="K164" s="41" t="n"/>
      <c r="L164" s="41" t="n"/>
      <c r="M164" s="36" t="n"/>
      <c r="N164" s="36" t="n"/>
      <c r="O164" s="32" t="n"/>
      <c r="P164" s="36" t="n"/>
      <c r="Q164" s="36" t="n"/>
      <c r="R164" s="34">
        <f>IF(P164="","",IFERROR(VLOOKUP(P164,T_Produits,2,FALSE),""))</f>
        <v/>
      </c>
      <c r="S164" s="36" t="n"/>
      <c r="T164" s="43" t="n"/>
      <c r="U164" s="43" t="n"/>
      <c r="V164" s="36" t="n"/>
      <c r="W164" s="36" t="n"/>
      <c r="X164" s="33">
        <f>IF(C164="","",Commercial_Id)</f>
        <v/>
      </c>
      <c r="Y164" s="33">
        <f>IF(E164="","",IF(E164="Particulier / ménage","Particulier","Entreprise"))</f>
        <v/>
      </c>
      <c r="Z164" s="39">
        <f>IF(C164="","",COUNTIFS(VC_cle,AK164,VC_type,"Visite sur place"))</f>
        <v/>
      </c>
      <c r="AA164" s="46">
        <f>IF(AL164=0,"",IF(INT(AL164)=0,"",INT(AL164)))</f>
        <v/>
      </c>
      <c r="AB164" s="46">
        <f>IF(AL164=0,"",IF(INDEX(VC_actiondate,ROUND(MOD(AL164,1)*100000,0)-5)=0,"",INDEX(VC_actiondate,ROUND(MOD(AL164,1)*100000,0)-5)))</f>
        <v/>
      </c>
      <c r="AC164" s="33">
        <f>IF(AL164=0,"",INDEX(VC_actiontexte,ROUND(MOD(AL164,1)*100000,0)-5)&amp;"")</f>
        <v/>
      </c>
      <c r="AD164" s="46">
        <f>IF(C164="","",IF(COUNTIFS(Cmd_cle,AK164,Cmd_dateca,"&gt;0")=0,"",SMALL(INDEX(Cmd_dateca+(((Cmd_cle&lt;&gt;AK164)+(Cmd_dateca=0))&gt;0)*1000000,0),1)))</f>
        <v/>
      </c>
      <c r="AE164" s="46">
        <f>IF(C164="","",IF(COUNTIFS(Cmd_cle,AK164,Cmd_dateca,"&gt;0")=0,"",MAX(INDEX((Cmd_cle=AK164)*Cmd_dateca,0))))</f>
        <v/>
      </c>
      <c r="AF164" s="40">
        <f>IF(C164="","",SUMIFS(Cmd_montant,Cmd_cle,AK164,Cmd_dateca,"&gt;0"))</f>
        <v/>
      </c>
      <c r="AG164" s="40">
        <f>IF(C164="","",SUMIFS(Enc_montant,Enc_cle,AK164))</f>
        <v/>
      </c>
      <c r="AH164" s="40">
        <f>IF(C164="","",AF164-AG164)</f>
        <v/>
      </c>
      <c r="AI164" s="33">
        <f>IF(C164="","",IF(D164="Perdu","",IF(AND(AB164&lt;&gt;"",N(AB164)&lt;TODAY()),"Action en retard",IF(AND(D164="Client",AE164&lt;&gt;"",TODAY()-N(AE164)&gt;P_JoursInactif),"Client inactif",IF(AND(D164="Prospect",Z164=0,O164&lt;&gt;"",TODAY()-N(O164)&gt;P_JoursNonVisite),"Jamais visité","")))))</f>
        <v/>
      </c>
      <c r="AJ164" s="33">
        <f>IF(C164="","",C164&amp;" ["&amp;TEXT(A164,"000")&amp;"]")</f>
        <v/>
      </c>
      <c r="AK164" s="33">
        <f>IF(C164="","",X164&amp;"|"&amp;A164)</f>
        <v/>
      </c>
      <c r="AL164" s="47">
        <f>IF(C164="",0,IF(COUNTIFS(VC_cle,AK164)=0,0,MAX(INDEX((VC_cle=AK164)*(VC_date+ROW(VC_date)/100000),0))))</f>
        <v/>
      </c>
      <c r="AM164" s="47">
        <f>IF(AND(C164&lt;&gt;"",N(AB164)&gt;0,D164&lt;&gt;"Perdu"),AB164+ROW()/100000,0)</f>
        <v/>
      </c>
      <c r="AN164" s="48">
        <f>IF(N(AF164)&gt;0,ROUND(AF164,0)+ROW()/1000000,0)</f>
        <v/>
      </c>
    </row>
    <row r="165" ht="18" customHeight="1">
      <c r="A165" s="39" t="n">
        <v>160</v>
      </c>
      <c r="B165" s="33">
        <f>IF(C165="","",IF(X165="À RENSEIGNER","GIC",X165)&amp;"-"&amp;TEXT(A165,"000"))</f>
        <v/>
      </c>
      <c r="C165" s="36" t="n"/>
      <c r="D165" s="34">
        <f>IF(C165="","",IF(U165="☑ Oui","Perdu",IF(AD165&lt;&gt;"","Client","Prospect")))</f>
        <v/>
      </c>
      <c r="E165" s="36" t="n"/>
      <c r="F165" s="36" t="n"/>
      <c r="G165" s="44" t="n"/>
      <c r="H165" s="44" t="n"/>
      <c r="I165" s="36" t="n"/>
      <c r="J165" s="36" t="n"/>
      <c r="K165" s="41" t="n"/>
      <c r="L165" s="41" t="n"/>
      <c r="M165" s="36" t="n"/>
      <c r="N165" s="36" t="n"/>
      <c r="O165" s="32" t="n"/>
      <c r="P165" s="36" t="n"/>
      <c r="Q165" s="36" t="n"/>
      <c r="R165" s="34">
        <f>IF(P165="","",IFERROR(VLOOKUP(P165,T_Produits,2,FALSE),""))</f>
        <v/>
      </c>
      <c r="S165" s="36" t="n"/>
      <c r="T165" s="43" t="n"/>
      <c r="U165" s="43" t="n"/>
      <c r="V165" s="36" t="n"/>
      <c r="W165" s="36" t="n"/>
      <c r="X165" s="33">
        <f>IF(C165="","",Commercial_Id)</f>
        <v/>
      </c>
      <c r="Y165" s="33">
        <f>IF(E165="","",IF(E165="Particulier / ménage","Particulier","Entreprise"))</f>
        <v/>
      </c>
      <c r="Z165" s="39">
        <f>IF(C165="","",COUNTIFS(VC_cle,AK165,VC_type,"Visite sur place"))</f>
        <v/>
      </c>
      <c r="AA165" s="46">
        <f>IF(AL165=0,"",IF(INT(AL165)=0,"",INT(AL165)))</f>
        <v/>
      </c>
      <c r="AB165" s="46">
        <f>IF(AL165=0,"",IF(INDEX(VC_actiondate,ROUND(MOD(AL165,1)*100000,0)-5)=0,"",INDEX(VC_actiondate,ROUND(MOD(AL165,1)*100000,0)-5)))</f>
        <v/>
      </c>
      <c r="AC165" s="33">
        <f>IF(AL165=0,"",INDEX(VC_actiontexte,ROUND(MOD(AL165,1)*100000,0)-5)&amp;"")</f>
        <v/>
      </c>
      <c r="AD165" s="46">
        <f>IF(C165="","",IF(COUNTIFS(Cmd_cle,AK165,Cmd_dateca,"&gt;0")=0,"",SMALL(INDEX(Cmd_dateca+(((Cmd_cle&lt;&gt;AK165)+(Cmd_dateca=0))&gt;0)*1000000,0),1)))</f>
        <v/>
      </c>
      <c r="AE165" s="46">
        <f>IF(C165="","",IF(COUNTIFS(Cmd_cle,AK165,Cmd_dateca,"&gt;0")=0,"",MAX(INDEX((Cmd_cle=AK165)*Cmd_dateca,0))))</f>
        <v/>
      </c>
      <c r="AF165" s="40">
        <f>IF(C165="","",SUMIFS(Cmd_montant,Cmd_cle,AK165,Cmd_dateca,"&gt;0"))</f>
        <v/>
      </c>
      <c r="AG165" s="40">
        <f>IF(C165="","",SUMIFS(Enc_montant,Enc_cle,AK165))</f>
        <v/>
      </c>
      <c r="AH165" s="40">
        <f>IF(C165="","",AF165-AG165)</f>
        <v/>
      </c>
      <c r="AI165" s="33">
        <f>IF(C165="","",IF(D165="Perdu","",IF(AND(AB165&lt;&gt;"",N(AB165)&lt;TODAY()),"Action en retard",IF(AND(D165="Client",AE165&lt;&gt;"",TODAY()-N(AE165)&gt;P_JoursInactif),"Client inactif",IF(AND(D165="Prospect",Z165=0,O165&lt;&gt;"",TODAY()-N(O165)&gt;P_JoursNonVisite),"Jamais visité","")))))</f>
        <v/>
      </c>
      <c r="AJ165" s="33">
        <f>IF(C165="","",C165&amp;" ["&amp;TEXT(A165,"000")&amp;"]")</f>
        <v/>
      </c>
      <c r="AK165" s="33">
        <f>IF(C165="","",X165&amp;"|"&amp;A165)</f>
        <v/>
      </c>
      <c r="AL165" s="47">
        <f>IF(C165="",0,IF(COUNTIFS(VC_cle,AK165)=0,0,MAX(INDEX((VC_cle=AK165)*(VC_date+ROW(VC_date)/100000),0))))</f>
        <v/>
      </c>
      <c r="AM165" s="47">
        <f>IF(AND(C165&lt;&gt;"",N(AB165)&gt;0,D165&lt;&gt;"Perdu"),AB165+ROW()/100000,0)</f>
        <v/>
      </c>
      <c r="AN165" s="48">
        <f>IF(N(AF165)&gt;0,ROUND(AF165,0)+ROW()/1000000,0)</f>
        <v/>
      </c>
    </row>
    <row r="166" ht="18" customHeight="1">
      <c r="A166" s="39" t="n">
        <v>161</v>
      </c>
      <c r="B166" s="33">
        <f>IF(C166="","",IF(X166="À RENSEIGNER","GIC",X166)&amp;"-"&amp;TEXT(A166,"000"))</f>
        <v/>
      </c>
      <c r="C166" s="36" t="n"/>
      <c r="D166" s="34">
        <f>IF(C166="","",IF(U166="☑ Oui","Perdu",IF(AD166&lt;&gt;"","Client","Prospect")))</f>
        <v/>
      </c>
      <c r="E166" s="36" t="n"/>
      <c r="F166" s="36" t="n"/>
      <c r="G166" s="44" t="n"/>
      <c r="H166" s="44" t="n"/>
      <c r="I166" s="36" t="n"/>
      <c r="J166" s="36" t="n"/>
      <c r="K166" s="41" t="n"/>
      <c r="L166" s="41" t="n"/>
      <c r="M166" s="36" t="n"/>
      <c r="N166" s="36" t="n"/>
      <c r="O166" s="32" t="n"/>
      <c r="P166" s="36" t="n"/>
      <c r="Q166" s="36" t="n"/>
      <c r="R166" s="34">
        <f>IF(P166="","",IFERROR(VLOOKUP(P166,T_Produits,2,FALSE),""))</f>
        <v/>
      </c>
      <c r="S166" s="36" t="n"/>
      <c r="T166" s="43" t="n"/>
      <c r="U166" s="43" t="n"/>
      <c r="V166" s="36" t="n"/>
      <c r="W166" s="36" t="n"/>
      <c r="X166" s="33">
        <f>IF(C166="","",Commercial_Id)</f>
        <v/>
      </c>
      <c r="Y166" s="33">
        <f>IF(E166="","",IF(E166="Particulier / ménage","Particulier","Entreprise"))</f>
        <v/>
      </c>
      <c r="Z166" s="39">
        <f>IF(C166="","",COUNTIFS(VC_cle,AK166,VC_type,"Visite sur place"))</f>
        <v/>
      </c>
      <c r="AA166" s="46">
        <f>IF(AL166=0,"",IF(INT(AL166)=0,"",INT(AL166)))</f>
        <v/>
      </c>
      <c r="AB166" s="46">
        <f>IF(AL166=0,"",IF(INDEX(VC_actiondate,ROUND(MOD(AL166,1)*100000,0)-5)=0,"",INDEX(VC_actiondate,ROUND(MOD(AL166,1)*100000,0)-5)))</f>
        <v/>
      </c>
      <c r="AC166" s="33">
        <f>IF(AL166=0,"",INDEX(VC_actiontexte,ROUND(MOD(AL166,1)*100000,0)-5)&amp;"")</f>
        <v/>
      </c>
      <c r="AD166" s="46">
        <f>IF(C166="","",IF(COUNTIFS(Cmd_cle,AK166,Cmd_dateca,"&gt;0")=0,"",SMALL(INDEX(Cmd_dateca+(((Cmd_cle&lt;&gt;AK166)+(Cmd_dateca=0))&gt;0)*1000000,0),1)))</f>
        <v/>
      </c>
      <c r="AE166" s="46">
        <f>IF(C166="","",IF(COUNTIFS(Cmd_cle,AK166,Cmd_dateca,"&gt;0")=0,"",MAX(INDEX((Cmd_cle=AK166)*Cmd_dateca,0))))</f>
        <v/>
      </c>
      <c r="AF166" s="40">
        <f>IF(C166="","",SUMIFS(Cmd_montant,Cmd_cle,AK166,Cmd_dateca,"&gt;0"))</f>
        <v/>
      </c>
      <c r="AG166" s="40">
        <f>IF(C166="","",SUMIFS(Enc_montant,Enc_cle,AK166))</f>
        <v/>
      </c>
      <c r="AH166" s="40">
        <f>IF(C166="","",AF166-AG166)</f>
        <v/>
      </c>
      <c r="AI166" s="33">
        <f>IF(C166="","",IF(D166="Perdu","",IF(AND(AB166&lt;&gt;"",N(AB166)&lt;TODAY()),"Action en retard",IF(AND(D166="Client",AE166&lt;&gt;"",TODAY()-N(AE166)&gt;P_JoursInactif),"Client inactif",IF(AND(D166="Prospect",Z166=0,O166&lt;&gt;"",TODAY()-N(O166)&gt;P_JoursNonVisite),"Jamais visité","")))))</f>
        <v/>
      </c>
      <c r="AJ166" s="33">
        <f>IF(C166="","",C166&amp;" ["&amp;TEXT(A166,"000")&amp;"]")</f>
        <v/>
      </c>
      <c r="AK166" s="33">
        <f>IF(C166="","",X166&amp;"|"&amp;A166)</f>
        <v/>
      </c>
      <c r="AL166" s="47">
        <f>IF(C166="",0,IF(COUNTIFS(VC_cle,AK166)=0,0,MAX(INDEX((VC_cle=AK166)*(VC_date+ROW(VC_date)/100000),0))))</f>
        <v/>
      </c>
      <c r="AM166" s="47">
        <f>IF(AND(C166&lt;&gt;"",N(AB166)&gt;0,D166&lt;&gt;"Perdu"),AB166+ROW()/100000,0)</f>
        <v/>
      </c>
      <c r="AN166" s="48">
        <f>IF(N(AF166)&gt;0,ROUND(AF166,0)+ROW()/1000000,0)</f>
        <v/>
      </c>
    </row>
    <row r="167" ht="18" customHeight="1">
      <c r="A167" s="39" t="n">
        <v>162</v>
      </c>
      <c r="B167" s="33">
        <f>IF(C167="","",IF(X167="À RENSEIGNER","GIC",X167)&amp;"-"&amp;TEXT(A167,"000"))</f>
        <v/>
      </c>
      <c r="C167" s="36" t="n"/>
      <c r="D167" s="34">
        <f>IF(C167="","",IF(U167="☑ Oui","Perdu",IF(AD167&lt;&gt;"","Client","Prospect")))</f>
        <v/>
      </c>
      <c r="E167" s="36" t="n"/>
      <c r="F167" s="36" t="n"/>
      <c r="G167" s="44" t="n"/>
      <c r="H167" s="44" t="n"/>
      <c r="I167" s="36" t="n"/>
      <c r="J167" s="36" t="n"/>
      <c r="K167" s="41" t="n"/>
      <c r="L167" s="41" t="n"/>
      <c r="M167" s="36" t="n"/>
      <c r="N167" s="36" t="n"/>
      <c r="O167" s="32" t="n"/>
      <c r="P167" s="36" t="n"/>
      <c r="Q167" s="36" t="n"/>
      <c r="R167" s="34">
        <f>IF(P167="","",IFERROR(VLOOKUP(P167,T_Produits,2,FALSE),""))</f>
        <v/>
      </c>
      <c r="S167" s="36" t="n"/>
      <c r="T167" s="43" t="n"/>
      <c r="U167" s="43" t="n"/>
      <c r="V167" s="36" t="n"/>
      <c r="W167" s="36" t="n"/>
      <c r="X167" s="33">
        <f>IF(C167="","",Commercial_Id)</f>
        <v/>
      </c>
      <c r="Y167" s="33">
        <f>IF(E167="","",IF(E167="Particulier / ménage","Particulier","Entreprise"))</f>
        <v/>
      </c>
      <c r="Z167" s="39">
        <f>IF(C167="","",COUNTIFS(VC_cle,AK167,VC_type,"Visite sur place"))</f>
        <v/>
      </c>
      <c r="AA167" s="46">
        <f>IF(AL167=0,"",IF(INT(AL167)=0,"",INT(AL167)))</f>
        <v/>
      </c>
      <c r="AB167" s="46">
        <f>IF(AL167=0,"",IF(INDEX(VC_actiondate,ROUND(MOD(AL167,1)*100000,0)-5)=0,"",INDEX(VC_actiondate,ROUND(MOD(AL167,1)*100000,0)-5)))</f>
        <v/>
      </c>
      <c r="AC167" s="33">
        <f>IF(AL167=0,"",INDEX(VC_actiontexte,ROUND(MOD(AL167,1)*100000,0)-5)&amp;"")</f>
        <v/>
      </c>
      <c r="AD167" s="46">
        <f>IF(C167="","",IF(COUNTIFS(Cmd_cle,AK167,Cmd_dateca,"&gt;0")=0,"",SMALL(INDEX(Cmd_dateca+(((Cmd_cle&lt;&gt;AK167)+(Cmd_dateca=0))&gt;0)*1000000,0),1)))</f>
        <v/>
      </c>
      <c r="AE167" s="46">
        <f>IF(C167="","",IF(COUNTIFS(Cmd_cle,AK167,Cmd_dateca,"&gt;0")=0,"",MAX(INDEX((Cmd_cle=AK167)*Cmd_dateca,0))))</f>
        <v/>
      </c>
      <c r="AF167" s="40">
        <f>IF(C167="","",SUMIFS(Cmd_montant,Cmd_cle,AK167,Cmd_dateca,"&gt;0"))</f>
        <v/>
      </c>
      <c r="AG167" s="40">
        <f>IF(C167="","",SUMIFS(Enc_montant,Enc_cle,AK167))</f>
        <v/>
      </c>
      <c r="AH167" s="40">
        <f>IF(C167="","",AF167-AG167)</f>
        <v/>
      </c>
      <c r="AI167" s="33">
        <f>IF(C167="","",IF(D167="Perdu","",IF(AND(AB167&lt;&gt;"",N(AB167)&lt;TODAY()),"Action en retard",IF(AND(D167="Client",AE167&lt;&gt;"",TODAY()-N(AE167)&gt;P_JoursInactif),"Client inactif",IF(AND(D167="Prospect",Z167=0,O167&lt;&gt;"",TODAY()-N(O167)&gt;P_JoursNonVisite),"Jamais visité","")))))</f>
        <v/>
      </c>
      <c r="AJ167" s="33">
        <f>IF(C167="","",C167&amp;" ["&amp;TEXT(A167,"000")&amp;"]")</f>
        <v/>
      </c>
      <c r="AK167" s="33">
        <f>IF(C167="","",X167&amp;"|"&amp;A167)</f>
        <v/>
      </c>
      <c r="AL167" s="47">
        <f>IF(C167="",0,IF(COUNTIFS(VC_cle,AK167)=0,0,MAX(INDEX((VC_cle=AK167)*(VC_date+ROW(VC_date)/100000),0))))</f>
        <v/>
      </c>
      <c r="AM167" s="47">
        <f>IF(AND(C167&lt;&gt;"",N(AB167)&gt;0,D167&lt;&gt;"Perdu"),AB167+ROW()/100000,0)</f>
        <v/>
      </c>
      <c r="AN167" s="48">
        <f>IF(N(AF167)&gt;0,ROUND(AF167,0)+ROW()/1000000,0)</f>
        <v/>
      </c>
    </row>
    <row r="168" ht="18" customHeight="1">
      <c r="A168" s="39" t="n">
        <v>163</v>
      </c>
      <c r="B168" s="33">
        <f>IF(C168="","",IF(X168="À RENSEIGNER","GIC",X168)&amp;"-"&amp;TEXT(A168,"000"))</f>
        <v/>
      </c>
      <c r="C168" s="36" t="n"/>
      <c r="D168" s="34">
        <f>IF(C168="","",IF(U168="☑ Oui","Perdu",IF(AD168&lt;&gt;"","Client","Prospect")))</f>
        <v/>
      </c>
      <c r="E168" s="36" t="n"/>
      <c r="F168" s="36" t="n"/>
      <c r="G168" s="44" t="n"/>
      <c r="H168" s="44" t="n"/>
      <c r="I168" s="36" t="n"/>
      <c r="J168" s="36" t="n"/>
      <c r="K168" s="41" t="n"/>
      <c r="L168" s="41" t="n"/>
      <c r="M168" s="36" t="n"/>
      <c r="N168" s="36" t="n"/>
      <c r="O168" s="32" t="n"/>
      <c r="P168" s="36" t="n"/>
      <c r="Q168" s="36" t="n"/>
      <c r="R168" s="34">
        <f>IF(P168="","",IFERROR(VLOOKUP(P168,T_Produits,2,FALSE),""))</f>
        <v/>
      </c>
      <c r="S168" s="36" t="n"/>
      <c r="T168" s="43" t="n"/>
      <c r="U168" s="43" t="n"/>
      <c r="V168" s="36" t="n"/>
      <c r="W168" s="36" t="n"/>
      <c r="X168" s="33">
        <f>IF(C168="","",Commercial_Id)</f>
        <v/>
      </c>
      <c r="Y168" s="33">
        <f>IF(E168="","",IF(E168="Particulier / ménage","Particulier","Entreprise"))</f>
        <v/>
      </c>
      <c r="Z168" s="39">
        <f>IF(C168="","",COUNTIFS(VC_cle,AK168,VC_type,"Visite sur place"))</f>
        <v/>
      </c>
      <c r="AA168" s="46">
        <f>IF(AL168=0,"",IF(INT(AL168)=0,"",INT(AL168)))</f>
        <v/>
      </c>
      <c r="AB168" s="46">
        <f>IF(AL168=0,"",IF(INDEX(VC_actiondate,ROUND(MOD(AL168,1)*100000,0)-5)=0,"",INDEX(VC_actiondate,ROUND(MOD(AL168,1)*100000,0)-5)))</f>
        <v/>
      </c>
      <c r="AC168" s="33">
        <f>IF(AL168=0,"",INDEX(VC_actiontexte,ROUND(MOD(AL168,1)*100000,0)-5)&amp;"")</f>
        <v/>
      </c>
      <c r="AD168" s="46">
        <f>IF(C168="","",IF(COUNTIFS(Cmd_cle,AK168,Cmd_dateca,"&gt;0")=0,"",SMALL(INDEX(Cmd_dateca+(((Cmd_cle&lt;&gt;AK168)+(Cmd_dateca=0))&gt;0)*1000000,0),1)))</f>
        <v/>
      </c>
      <c r="AE168" s="46">
        <f>IF(C168="","",IF(COUNTIFS(Cmd_cle,AK168,Cmd_dateca,"&gt;0")=0,"",MAX(INDEX((Cmd_cle=AK168)*Cmd_dateca,0))))</f>
        <v/>
      </c>
      <c r="AF168" s="40">
        <f>IF(C168="","",SUMIFS(Cmd_montant,Cmd_cle,AK168,Cmd_dateca,"&gt;0"))</f>
        <v/>
      </c>
      <c r="AG168" s="40">
        <f>IF(C168="","",SUMIFS(Enc_montant,Enc_cle,AK168))</f>
        <v/>
      </c>
      <c r="AH168" s="40">
        <f>IF(C168="","",AF168-AG168)</f>
        <v/>
      </c>
      <c r="AI168" s="33">
        <f>IF(C168="","",IF(D168="Perdu","",IF(AND(AB168&lt;&gt;"",N(AB168)&lt;TODAY()),"Action en retard",IF(AND(D168="Client",AE168&lt;&gt;"",TODAY()-N(AE168)&gt;P_JoursInactif),"Client inactif",IF(AND(D168="Prospect",Z168=0,O168&lt;&gt;"",TODAY()-N(O168)&gt;P_JoursNonVisite),"Jamais visité","")))))</f>
        <v/>
      </c>
      <c r="AJ168" s="33">
        <f>IF(C168="","",C168&amp;" ["&amp;TEXT(A168,"000")&amp;"]")</f>
        <v/>
      </c>
      <c r="AK168" s="33">
        <f>IF(C168="","",X168&amp;"|"&amp;A168)</f>
        <v/>
      </c>
      <c r="AL168" s="47">
        <f>IF(C168="",0,IF(COUNTIFS(VC_cle,AK168)=0,0,MAX(INDEX((VC_cle=AK168)*(VC_date+ROW(VC_date)/100000),0))))</f>
        <v/>
      </c>
      <c r="AM168" s="47">
        <f>IF(AND(C168&lt;&gt;"",N(AB168)&gt;0,D168&lt;&gt;"Perdu"),AB168+ROW()/100000,0)</f>
        <v/>
      </c>
      <c r="AN168" s="48">
        <f>IF(N(AF168)&gt;0,ROUND(AF168,0)+ROW()/1000000,0)</f>
        <v/>
      </c>
    </row>
    <row r="169" ht="18" customHeight="1">
      <c r="A169" s="39" t="n">
        <v>164</v>
      </c>
      <c r="B169" s="33">
        <f>IF(C169="","",IF(X169="À RENSEIGNER","GIC",X169)&amp;"-"&amp;TEXT(A169,"000"))</f>
        <v/>
      </c>
      <c r="C169" s="36" t="n"/>
      <c r="D169" s="34">
        <f>IF(C169="","",IF(U169="☑ Oui","Perdu",IF(AD169&lt;&gt;"","Client","Prospect")))</f>
        <v/>
      </c>
      <c r="E169" s="36" t="n"/>
      <c r="F169" s="36" t="n"/>
      <c r="G169" s="44" t="n"/>
      <c r="H169" s="44" t="n"/>
      <c r="I169" s="36" t="n"/>
      <c r="J169" s="36" t="n"/>
      <c r="K169" s="41" t="n"/>
      <c r="L169" s="41" t="n"/>
      <c r="M169" s="36" t="n"/>
      <c r="N169" s="36" t="n"/>
      <c r="O169" s="32" t="n"/>
      <c r="P169" s="36" t="n"/>
      <c r="Q169" s="36" t="n"/>
      <c r="R169" s="34">
        <f>IF(P169="","",IFERROR(VLOOKUP(P169,T_Produits,2,FALSE),""))</f>
        <v/>
      </c>
      <c r="S169" s="36" t="n"/>
      <c r="T169" s="43" t="n"/>
      <c r="U169" s="43" t="n"/>
      <c r="V169" s="36" t="n"/>
      <c r="W169" s="36" t="n"/>
      <c r="X169" s="33">
        <f>IF(C169="","",Commercial_Id)</f>
        <v/>
      </c>
      <c r="Y169" s="33">
        <f>IF(E169="","",IF(E169="Particulier / ménage","Particulier","Entreprise"))</f>
        <v/>
      </c>
      <c r="Z169" s="39">
        <f>IF(C169="","",COUNTIFS(VC_cle,AK169,VC_type,"Visite sur place"))</f>
        <v/>
      </c>
      <c r="AA169" s="46">
        <f>IF(AL169=0,"",IF(INT(AL169)=0,"",INT(AL169)))</f>
        <v/>
      </c>
      <c r="AB169" s="46">
        <f>IF(AL169=0,"",IF(INDEX(VC_actiondate,ROUND(MOD(AL169,1)*100000,0)-5)=0,"",INDEX(VC_actiondate,ROUND(MOD(AL169,1)*100000,0)-5)))</f>
        <v/>
      </c>
      <c r="AC169" s="33">
        <f>IF(AL169=0,"",INDEX(VC_actiontexte,ROUND(MOD(AL169,1)*100000,0)-5)&amp;"")</f>
        <v/>
      </c>
      <c r="AD169" s="46">
        <f>IF(C169="","",IF(COUNTIFS(Cmd_cle,AK169,Cmd_dateca,"&gt;0")=0,"",SMALL(INDEX(Cmd_dateca+(((Cmd_cle&lt;&gt;AK169)+(Cmd_dateca=0))&gt;0)*1000000,0),1)))</f>
        <v/>
      </c>
      <c r="AE169" s="46">
        <f>IF(C169="","",IF(COUNTIFS(Cmd_cle,AK169,Cmd_dateca,"&gt;0")=0,"",MAX(INDEX((Cmd_cle=AK169)*Cmd_dateca,0))))</f>
        <v/>
      </c>
      <c r="AF169" s="40">
        <f>IF(C169="","",SUMIFS(Cmd_montant,Cmd_cle,AK169,Cmd_dateca,"&gt;0"))</f>
        <v/>
      </c>
      <c r="AG169" s="40">
        <f>IF(C169="","",SUMIFS(Enc_montant,Enc_cle,AK169))</f>
        <v/>
      </c>
      <c r="AH169" s="40">
        <f>IF(C169="","",AF169-AG169)</f>
        <v/>
      </c>
      <c r="AI169" s="33">
        <f>IF(C169="","",IF(D169="Perdu","",IF(AND(AB169&lt;&gt;"",N(AB169)&lt;TODAY()),"Action en retard",IF(AND(D169="Client",AE169&lt;&gt;"",TODAY()-N(AE169)&gt;P_JoursInactif),"Client inactif",IF(AND(D169="Prospect",Z169=0,O169&lt;&gt;"",TODAY()-N(O169)&gt;P_JoursNonVisite),"Jamais visité","")))))</f>
        <v/>
      </c>
      <c r="AJ169" s="33">
        <f>IF(C169="","",C169&amp;" ["&amp;TEXT(A169,"000")&amp;"]")</f>
        <v/>
      </c>
      <c r="AK169" s="33">
        <f>IF(C169="","",X169&amp;"|"&amp;A169)</f>
        <v/>
      </c>
      <c r="AL169" s="47">
        <f>IF(C169="",0,IF(COUNTIFS(VC_cle,AK169)=0,0,MAX(INDEX((VC_cle=AK169)*(VC_date+ROW(VC_date)/100000),0))))</f>
        <v/>
      </c>
      <c r="AM169" s="47">
        <f>IF(AND(C169&lt;&gt;"",N(AB169)&gt;0,D169&lt;&gt;"Perdu"),AB169+ROW()/100000,0)</f>
        <v/>
      </c>
      <c r="AN169" s="48">
        <f>IF(N(AF169)&gt;0,ROUND(AF169,0)+ROW()/1000000,0)</f>
        <v/>
      </c>
    </row>
    <row r="170" ht="18" customHeight="1">
      <c r="A170" s="39" t="n">
        <v>165</v>
      </c>
      <c r="B170" s="33">
        <f>IF(C170="","",IF(X170="À RENSEIGNER","GIC",X170)&amp;"-"&amp;TEXT(A170,"000"))</f>
        <v/>
      </c>
      <c r="C170" s="36" t="n"/>
      <c r="D170" s="34">
        <f>IF(C170="","",IF(U170="☑ Oui","Perdu",IF(AD170&lt;&gt;"","Client","Prospect")))</f>
        <v/>
      </c>
      <c r="E170" s="36" t="n"/>
      <c r="F170" s="36" t="n"/>
      <c r="G170" s="44" t="n"/>
      <c r="H170" s="44" t="n"/>
      <c r="I170" s="36" t="n"/>
      <c r="J170" s="36" t="n"/>
      <c r="K170" s="41" t="n"/>
      <c r="L170" s="41" t="n"/>
      <c r="M170" s="36" t="n"/>
      <c r="N170" s="36" t="n"/>
      <c r="O170" s="32" t="n"/>
      <c r="P170" s="36" t="n"/>
      <c r="Q170" s="36" t="n"/>
      <c r="R170" s="34">
        <f>IF(P170="","",IFERROR(VLOOKUP(P170,T_Produits,2,FALSE),""))</f>
        <v/>
      </c>
      <c r="S170" s="36" t="n"/>
      <c r="T170" s="43" t="n"/>
      <c r="U170" s="43" t="n"/>
      <c r="V170" s="36" t="n"/>
      <c r="W170" s="36" t="n"/>
      <c r="X170" s="33">
        <f>IF(C170="","",Commercial_Id)</f>
        <v/>
      </c>
      <c r="Y170" s="33">
        <f>IF(E170="","",IF(E170="Particulier / ménage","Particulier","Entreprise"))</f>
        <v/>
      </c>
      <c r="Z170" s="39">
        <f>IF(C170="","",COUNTIFS(VC_cle,AK170,VC_type,"Visite sur place"))</f>
        <v/>
      </c>
      <c r="AA170" s="46">
        <f>IF(AL170=0,"",IF(INT(AL170)=0,"",INT(AL170)))</f>
        <v/>
      </c>
      <c r="AB170" s="46">
        <f>IF(AL170=0,"",IF(INDEX(VC_actiondate,ROUND(MOD(AL170,1)*100000,0)-5)=0,"",INDEX(VC_actiondate,ROUND(MOD(AL170,1)*100000,0)-5)))</f>
        <v/>
      </c>
      <c r="AC170" s="33">
        <f>IF(AL170=0,"",INDEX(VC_actiontexte,ROUND(MOD(AL170,1)*100000,0)-5)&amp;"")</f>
        <v/>
      </c>
      <c r="AD170" s="46">
        <f>IF(C170="","",IF(COUNTIFS(Cmd_cle,AK170,Cmd_dateca,"&gt;0")=0,"",SMALL(INDEX(Cmd_dateca+(((Cmd_cle&lt;&gt;AK170)+(Cmd_dateca=0))&gt;0)*1000000,0),1)))</f>
        <v/>
      </c>
      <c r="AE170" s="46">
        <f>IF(C170="","",IF(COUNTIFS(Cmd_cle,AK170,Cmd_dateca,"&gt;0")=0,"",MAX(INDEX((Cmd_cle=AK170)*Cmd_dateca,0))))</f>
        <v/>
      </c>
      <c r="AF170" s="40">
        <f>IF(C170="","",SUMIFS(Cmd_montant,Cmd_cle,AK170,Cmd_dateca,"&gt;0"))</f>
        <v/>
      </c>
      <c r="AG170" s="40">
        <f>IF(C170="","",SUMIFS(Enc_montant,Enc_cle,AK170))</f>
        <v/>
      </c>
      <c r="AH170" s="40">
        <f>IF(C170="","",AF170-AG170)</f>
        <v/>
      </c>
      <c r="AI170" s="33">
        <f>IF(C170="","",IF(D170="Perdu","",IF(AND(AB170&lt;&gt;"",N(AB170)&lt;TODAY()),"Action en retard",IF(AND(D170="Client",AE170&lt;&gt;"",TODAY()-N(AE170)&gt;P_JoursInactif),"Client inactif",IF(AND(D170="Prospect",Z170=0,O170&lt;&gt;"",TODAY()-N(O170)&gt;P_JoursNonVisite),"Jamais visité","")))))</f>
        <v/>
      </c>
      <c r="AJ170" s="33">
        <f>IF(C170="","",C170&amp;" ["&amp;TEXT(A170,"000")&amp;"]")</f>
        <v/>
      </c>
      <c r="AK170" s="33">
        <f>IF(C170="","",X170&amp;"|"&amp;A170)</f>
        <v/>
      </c>
      <c r="AL170" s="47">
        <f>IF(C170="",0,IF(COUNTIFS(VC_cle,AK170)=0,0,MAX(INDEX((VC_cle=AK170)*(VC_date+ROW(VC_date)/100000),0))))</f>
        <v/>
      </c>
      <c r="AM170" s="47">
        <f>IF(AND(C170&lt;&gt;"",N(AB170)&gt;0,D170&lt;&gt;"Perdu"),AB170+ROW()/100000,0)</f>
        <v/>
      </c>
      <c r="AN170" s="48">
        <f>IF(N(AF170)&gt;0,ROUND(AF170,0)+ROW()/1000000,0)</f>
        <v/>
      </c>
    </row>
    <row r="171" ht="18" customHeight="1">
      <c r="A171" s="39" t="n">
        <v>166</v>
      </c>
      <c r="B171" s="33">
        <f>IF(C171="","",IF(X171="À RENSEIGNER","GIC",X171)&amp;"-"&amp;TEXT(A171,"000"))</f>
        <v/>
      </c>
      <c r="C171" s="36" t="n"/>
      <c r="D171" s="34">
        <f>IF(C171="","",IF(U171="☑ Oui","Perdu",IF(AD171&lt;&gt;"","Client","Prospect")))</f>
        <v/>
      </c>
      <c r="E171" s="36" t="n"/>
      <c r="F171" s="36" t="n"/>
      <c r="G171" s="44" t="n"/>
      <c r="H171" s="44" t="n"/>
      <c r="I171" s="36" t="n"/>
      <c r="J171" s="36" t="n"/>
      <c r="K171" s="41" t="n"/>
      <c r="L171" s="41" t="n"/>
      <c r="M171" s="36" t="n"/>
      <c r="N171" s="36" t="n"/>
      <c r="O171" s="32" t="n"/>
      <c r="P171" s="36" t="n"/>
      <c r="Q171" s="36" t="n"/>
      <c r="R171" s="34">
        <f>IF(P171="","",IFERROR(VLOOKUP(P171,T_Produits,2,FALSE),""))</f>
        <v/>
      </c>
      <c r="S171" s="36" t="n"/>
      <c r="T171" s="43" t="n"/>
      <c r="U171" s="43" t="n"/>
      <c r="V171" s="36" t="n"/>
      <c r="W171" s="36" t="n"/>
      <c r="X171" s="33">
        <f>IF(C171="","",Commercial_Id)</f>
        <v/>
      </c>
      <c r="Y171" s="33">
        <f>IF(E171="","",IF(E171="Particulier / ménage","Particulier","Entreprise"))</f>
        <v/>
      </c>
      <c r="Z171" s="39">
        <f>IF(C171="","",COUNTIFS(VC_cle,AK171,VC_type,"Visite sur place"))</f>
        <v/>
      </c>
      <c r="AA171" s="46">
        <f>IF(AL171=0,"",IF(INT(AL171)=0,"",INT(AL171)))</f>
        <v/>
      </c>
      <c r="AB171" s="46">
        <f>IF(AL171=0,"",IF(INDEX(VC_actiondate,ROUND(MOD(AL171,1)*100000,0)-5)=0,"",INDEX(VC_actiondate,ROUND(MOD(AL171,1)*100000,0)-5)))</f>
        <v/>
      </c>
      <c r="AC171" s="33">
        <f>IF(AL171=0,"",INDEX(VC_actiontexte,ROUND(MOD(AL171,1)*100000,0)-5)&amp;"")</f>
        <v/>
      </c>
      <c r="AD171" s="46">
        <f>IF(C171="","",IF(COUNTIFS(Cmd_cle,AK171,Cmd_dateca,"&gt;0")=0,"",SMALL(INDEX(Cmd_dateca+(((Cmd_cle&lt;&gt;AK171)+(Cmd_dateca=0))&gt;0)*1000000,0),1)))</f>
        <v/>
      </c>
      <c r="AE171" s="46">
        <f>IF(C171="","",IF(COUNTIFS(Cmd_cle,AK171,Cmd_dateca,"&gt;0")=0,"",MAX(INDEX((Cmd_cle=AK171)*Cmd_dateca,0))))</f>
        <v/>
      </c>
      <c r="AF171" s="40">
        <f>IF(C171="","",SUMIFS(Cmd_montant,Cmd_cle,AK171,Cmd_dateca,"&gt;0"))</f>
        <v/>
      </c>
      <c r="AG171" s="40">
        <f>IF(C171="","",SUMIFS(Enc_montant,Enc_cle,AK171))</f>
        <v/>
      </c>
      <c r="AH171" s="40">
        <f>IF(C171="","",AF171-AG171)</f>
        <v/>
      </c>
      <c r="AI171" s="33">
        <f>IF(C171="","",IF(D171="Perdu","",IF(AND(AB171&lt;&gt;"",N(AB171)&lt;TODAY()),"Action en retard",IF(AND(D171="Client",AE171&lt;&gt;"",TODAY()-N(AE171)&gt;P_JoursInactif),"Client inactif",IF(AND(D171="Prospect",Z171=0,O171&lt;&gt;"",TODAY()-N(O171)&gt;P_JoursNonVisite),"Jamais visité","")))))</f>
        <v/>
      </c>
      <c r="AJ171" s="33">
        <f>IF(C171="","",C171&amp;" ["&amp;TEXT(A171,"000")&amp;"]")</f>
        <v/>
      </c>
      <c r="AK171" s="33">
        <f>IF(C171="","",X171&amp;"|"&amp;A171)</f>
        <v/>
      </c>
      <c r="AL171" s="47">
        <f>IF(C171="",0,IF(COUNTIFS(VC_cle,AK171)=0,0,MAX(INDEX((VC_cle=AK171)*(VC_date+ROW(VC_date)/100000),0))))</f>
        <v/>
      </c>
      <c r="AM171" s="47">
        <f>IF(AND(C171&lt;&gt;"",N(AB171)&gt;0,D171&lt;&gt;"Perdu"),AB171+ROW()/100000,0)</f>
        <v/>
      </c>
      <c r="AN171" s="48">
        <f>IF(N(AF171)&gt;0,ROUND(AF171,0)+ROW()/1000000,0)</f>
        <v/>
      </c>
    </row>
    <row r="172" ht="18" customHeight="1">
      <c r="A172" s="39" t="n">
        <v>167</v>
      </c>
      <c r="B172" s="33">
        <f>IF(C172="","",IF(X172="À RENSEIGNER","GIC",X172)&amp;"-"&amp;TEXT(A172,"000"))</f>
        <v/>
      </c>
      <c r="C172" s="36" t="n"/>
      <c r="D172" s="34">
        <f>IF(C172="","",IF(U172="☑ Oui","Perdu",IF(AD172&lt;&gt;"","Client","Prospect")))</f>
        <v/>
      </c>
      <c r="E172" s="36" t="n"/>
      <c r="F172" s="36" t="n"/>
      <c r="G172" s="44" t="n"/>
      <c r="H172" s="44" t="n"/>
      <c r="I172" s="36" t="n"/>
      <c r="J172" s="36" t="n"/>
      <c r="K172" s="41" t="n"/>
      <c r="L172" s="41" t="n"/>
      <c r="M172" s="36" t="n"/>
      <c r="N172" s="36" t="n"/>
      <c r="O172" s="32" t="n"/>
      <c r="P172" s="36" t="n"/>
      <c r="Q172" s="36" t="n"/>
      <c r="R172" s="34">
        <f>IF(P172="","",IFERROR(VLOOKUP(P172,T_Produits,2,FALSE),""))</f>
        <v/>
      </c>
      <c r="S172" s="36" t="n"/>
      <c r="T172" s="43" t="n"/>
      <c r="U172" s="43" t="n"/>
      <c r="V172" s="36" t="n"/>
      <c r="W172" s="36" t="n"/>
      <c r="X172" s="33">
        <f>IF(C172="","",Commercial_Id)</f>
        <v/>
      </c>
      <c r="Y172" s="33">
        <f>IF(E172="","",IF(E172="Particulier / ménage","Particulier","Entreprise"))</f>
        <v/>
      </c>
      <c r="Z172" s="39">
        <f>IF(C172="","",COUNTIFS(VC_cle,AK172,VC_type,"Visite sur place"))</f>
        <v/>
      </c>
      <c r="AA172" s="46">
        <f>IF(AL172=0,"",IF(INT(AL172)=0,"",INT(AL172)))</f>
        <v/>
      </c>
      <c r="AB172" s="46">
        <f>IF(AL172=0,"",IF(INDEX(VC_actiondate,ROUND(MOD(AL172,1)*100000,0)-5)=0,"",INDEX(VC_actiondate,ROUND(MOD(AL172,1)*100000,0)-5)))</f>
        <v/>
      </c>
      <c r="AC172" s="33">
        <f>IF(AL172=0,"",INDEX(VC_actiontexte,ROUND(MOD(AL172,1)*100000,0)-5)&amp;"")</f>
        <v/>
      </c>
      <c r="AD172" s="46">
        <f>IF(C172="","",IF(COUNTIFS(Cmd_cle,AK172,Cmd_dateca,"&gt;0")=0,"",SMALL(INDEX(Cmd_dateca+(((Cmd_cle&lt;&gt;AK172)+(Cmd_dateca=0))&gt;0)*1000000,0),1)))</f>
        <v/>
      </c>
      <c r="AE172" s="46">
        <f>IF(C172="","",IF(COUNTIFS(Cmd_cle,AK172,Cmd_dateca,"&gt;0")=0,"",MAX(INDEX((Cmd_cle=AK172)*Cmd_dateca,0))))</f>
        <v/>
      </c>
      <c r="AF172" s="40">
        <f>IF(C172="","",SUMIFS(Cmd_montant,Cmd_cle,AK172,Cmd_dateca,"&gt;0"))</f>
        <v/>
      </c>
      <c r="AG172" s="40">
        <f>IF(C172="","",SUMIFS(Enc_montant,Enc_cle,AK172))</f>
        <v/>
      </c>
      <c r="AH172" s="40">
        <f>IF(C172="","",AF172-AG172)</f>
        <v/>
      </c>
      <c r="AI172" s="33">
        <f>IF(C172="","",IF(D172="Perdu","",IF(AND(AB172&lt;&gt;"",N(AB172)&lt;TODAY()),"Action en retard",IF(AND(D172="Client",AE172&lt;&gt;"",TODAY()-N(AE172)&gt;P_JoursInactif),"Client inactif",IF(AND(D172="Prospect",Z172=0,O172&lt;&gt;"",TODAY()-N(O172)&gt;P_JoursNonVisite),"Jamais visité","")))))</f>
        <v/>
      </c>
      <c r="AJ172" s="33">
        <f>IF(C172="","",C172&amp;" ["&amp;TEXT(A172,"000")&amp;"]")</f>
        <v/>
      </c>
      <c r="AK172" s="33">
        <f>IF(C172="","",X172&amp;"|"&amp;A172)</f>
        <v/>
      </c>
      <c r="AL172" s="47">
        <f>IF(C172="",0,IF(COUNTIFS(VC_cle,AK172)=0,0,MAX(INDEX((VC_cle=AK172)*(VC_date+ROW(VC_date)/100000),0))))</f>
        <v/>
      </c>
      <c r="AM172" s="47">
        <f>IF(AND(C172&lt;&gt;"",N(AB172)&gt;0,D172&lt;&gt;"Perdu"),AB172+ROW()/100000,0)</f>
        <v/>
      </c>
      <c r="AN172" s="48">
        <f>IF(N(AF172)&gt;0,ROUND(AF172,0)+ROW()/1000000,0)</f>
        <v/>
      </c>
    </row>
    <row r="173" ht="18" customHeight="1">
      <c r="A173" s="39" t="n">
        <v>168</v>
      </c>
      <c r="B173" s="33">
        <f>IF(C173="","",IF(X173="À RENSEIGNER","GIC",X173)&amp;"-"&amp;TEXT(A173,"000"))</f>
        <v/>
      </c>
      <c r="C173" s="36" t="n"/>
      <c r="D173" s="34">
        <f>IF(C173="","",IF(U173="☑ Oui","Perdu",IF(AD173&lt;&gt;"","Client","Prospect")))</f>
        <v/>
      </c>
      <c r="E173" s="36" t="n"/>
      <c r="F173" s="36" t="n"/>
      <c r="G173" s="44" t="n"/>
      <c r="H173" s="44" t="n"/>
      <c r="I173" s="36" t="n"/>
      <c r="J173" s="36" t="n"/>
      <c r="K173" s="41" t="n"/>
      <c r="L173" s="41" t="n"/>
      <c r="M173" s="36" t="n"/>
      <c r="N173" s="36" t="n"/>
      <c r="O173" s="32" t="n"/>
      <c r="P173" s="36" t="n"/>
      <c r="Q173" s="36" t="n"/>
      <c r="R173" s="34">
        <f>IF(P173="","",IFERROR(VLOOKUP(P173,T_Produits,2,FALSE),""))</f>
        <v/>
      </c>
      <c r="S173" s="36" t="n"/>
      <c r="T173" s="43" t="n"/>
      <c r="U173" s="43" t="n"/>
      <c r="V173" s="36" t="n"/>
      <c r="W173" s="36" t="n"/>
      <c r="X173" s="33">
        <f>IF(C173="","",Commercial_Id)</f>
        <v/>
      </c>
      <c r="Y173" s="33">
        <f>IF(E173="","",IF(E173="Particulier / ménage","Particulier","Entreprise"))</f>
        <v/>
      </c>
      <c r="Z173" s="39">
        <f>IF(C173="","",COUNTIFS(VC_cle,AK173,VC_type,"Visite sur place"))</f>
        <v/>
      </c>
      <c r="AA173" s="46">
        <f>IF(AL173=0,"",IF(INT(AL173)=0,"",INT(AL173)))</f>
        <v/>
      </c>
      <c r="AB173" s="46">
        <f>IF(AL173=0,"",IF(INDEX(VC_actiondate,ROUND(MOD(AL173,1)*100000,0)-5)=0,"",INDEX(VC_actiondate,ROUND(MOD(AL173,1)*100000,0)-5)))</f>
        <v/>
      </c>
      <c r="AC173" s="33">
        <f>IF(AL173=0,"",INDEX(VC_actiontexte,ROUND(MOD(AL173,1)*100000,0)-5)&amp;"")</f>
        <v/>
      </c>
      <c r="AD173" s="46">
        <f>IF(C173="","",IF(COUNTIFS(Cmd_cle,AK173,Cmd_dateca,"&gt;0")=0,"",SMALL(INDEX(Cmd_dateca+(((Cmd_cle&lt;&gt;AK173)+(Cmd_dateca=0))&gt;0)*1000000,0),1)))</f>
        <v/>
      </c>
      <c r="AE173" s="46">
        <f>IF(C173="","",IF(COUNTIFS(Cmd_cle,AK173,Cmd_dateca,"&gt;0")=0,"",MAX(INDEX((Cmd_cle=AK173)*Cmd_dateca,0))))</f>
        <v/>
      </c>
      <c r="AF173" s="40">
        <f>IF(C173="","",SUMIFS(Cmd_montant,Cmd_cle,AK173,Cmd_dateca,"&gt;0"))</f>
        <v/>
      </c>
      <c r="AG173" s="40">
        <f>IF(C173="","",SUMIFS(Enc_montant,Enc_cle,AK173))</f>
        <v/>
      </c>
      <c r="AH173" s="40">
        <f>IF(C173="","",AF173-AG173)</f>
        <v/>
      </c>
      <c r="AI173" s="33">
        <f>IF(C173="","",IF(D173="Perdu","",IF(AND(AB173&lt;&gt;"",N(AB173)&lt;TODAY()),"Action en retard",IF(AND(D173="Client",AE173&lt;&gt;"",TODAY()-N(AE173)&gt;P_JoursInactif),"Client inactif",IF(AND(D173="Prospect",Z173=0,O173&lt;&gt;"",TODAY()-N(O173)&gt;P_JoursNonVisite),"Jamais visité","")))))</f>
        <v/>
      </c>
      <c r="AJ173" s="33">
        <f>IF(C173="","",C173&amp;" ["&amp;TEXT(A173,"000")&amp;"]")</f>
        <v/>
      </c>
      <c r="AK173" s="33">
        <f>IF(C173="","",X173&amp;"|"&amp;A173)</f>
        <v/>
      </c>
      <c r="AL173" s="47">
        <f>IF(C173="",0,IF(COUNTIFS(VC_cle,AK173)=0,0,MAX(INDEX((VC_cle=AK173)*(VC_date+ROW(VC_date)/100000),0))))</f>
        <v/>
      </c>
      <c r="AM173" s="47">
        <f>IF(AND(C173&lt;&gt;"",N(AB173)&gt;0,D173&lt;&gt;"Perdu"),AB173+ROW()/100000,0)</f>
        <v/>
      </c>
      <c r="AN173" s="48">
        <f>IF(N(AF173)&gt;0,ROUND(AF173,0)+ROW()/1000000,0)</f>
        <v/>
      </c>
    </row>
    <row r="174" ht="18" customHeight="1">
      <c r="A174" s="39" t="n">
        <v>169</v>
      </c>
      <c r="B174" s="33">
        <f>IF(C174="","",IF(X174="À RENSEIGNER","GIC",X174)&amp;"-"&amp;TEXT(A174,"000"))</f>
        <v/>
      </c>
      <c r="C174" s="36" t="n"/>
      <c r="D174" s="34">
        <f>IF(C174="","",IF(U174="☑ Oui","Perdu",IF(AD174&lt;&gt;"","Client","Prospect")))</f>
        <v/>
      </c>
      <c r="E174" s="36" t="n"/>
      <c r="F174" s="36" t="n"/>
      <c r="G174" s="44" t="n"/>
      <c r="H174" s="44" t="n"/>
      <c r="I174" s="36" t="n"/>
      <c r="J174" s="36" t="n"/>
      <c r="K174" s="41" t="n"/>
      <c r="L174" s="41" t="n"/>
      <c r="M174" s="36" t="n"/>
      <c r="N174" s="36" t="n"/>
      <c r="O174" s="32" t="n"/>
      <c r="P174" s="36" t="n"/>
      <c r="Q174" s="36" t="n"/>
      <c r="R174" s="34">
        <f>IF(P174="","",IFERROR(VLOOKUP(P174,T_Produits,2,FALSE),""))</f>
        <v/>
      </c>
      <c r="S174" s="36" t="n"/>
      <c r="T174" s="43" t="n"/>
      <c r="U174" s="43" t="n"/>
      <c r="V174" s="36" t="n"/>
      <c r="W174" s="36" t="n"/>
      <c r="X174" s="33">
        <f>IF(C174="","",Commercial_Id)</f>
        <v/>
      </c>
      <c r="Y174" s="33">
        <f>IF(E174="","",IF(E174="Particulier / ménage","Particulier","Entreprise"))</f>
        <v/>
      </c>
      <c r="Z174" s="39">
        <f>IF(C174="","",COUNTIFS(VC_cle,AK174,VC_type,"Visite sur place"))</f>
        <v/>
      </c>
      <c r="AA174" s="46">
        <f>IF(AL174=0,"",IF(INT(AL174)=0,"",INT(AL174)))</f>
        <v/>
      </c>
      <c r="AB174" s="46">
        <f>IF(AL174=0,"",IF(INDEX(VC_actiondate,ROUND(MOD(AL174,1)*100000,0)-5)=0,"",INDEX(VC_actiondate,ROUND(MOD(AL174,1)*100000,0)-5)))</f>
        <v/>
      </c>
      <c r="AC174" s="33">
        <f>IF(AL174=0,"",INDEX(VC_actiontexte,ROUND(MOD(AL174,1)*100000,0)-5)&amp;"")</f>
        <v/>
      </c>
      <c r="AD174" s="46">
        <f>IF(C174="","",IF(COUNTIFS(Cmd_cle,AK174,Cmd_dateca,"&gt;0")=0,"",SMALL(INDEX(Cmd_dateca+(((Cmd_cle&lt;&gt;AK174)+(Cmd_dateca=0))&gt;0)*1000000,0),1)))</f>
        <v/>
      </c>
      <c r="AE174" s="46">
        <f>IF(C174="","",IF(COUNTIFS(Cmd_cle,AK174,Cmd_dateca,"&gt;0")=0,"",MAX(INDEX((Cmd_cle=AK174)*Cmd_dateca,0))))</f>
        <v/>
      </c>
      <c r="AF174" s="40">
        <f>IF(C174="","",SUMIFS(Cmd_montant,Cmd_cle,AK174,Cmd_dateca,"&gt;0"))</f>
        <v/>
      </c>
      <c r="AG174" s="40">
        <f>IF(C174="","",SUMIFS(Enc_montant,Enc_cle,AK174))</f>
        <v/>
      </c>
      <c r="AH174" s="40">
        <f>IF(C174="","",AF174-AG174)</f>
        <v/>
      </c>
      <c r="AI174" s="33">
        <f>IF(C174="","",IF(D174="Perdu","",IF(AND(AB174&lt;&gt;"",N(AB174)&lt;TODAY()),"Action en retard",IF(AND(D174="Client",AE174&lt;&gt;"",TODAY()-N(AE174)&gt;P_JoursInactif),"Client inactif",IF(AND(D174="Prospect",Z174=0,O174&lt;&gt;"",TODAY()-N(O174)&gt;P_JoursNonVisite),"Jamais visité","")))))</f>
        <v/>
      </c>
      <c r="AJ174" s="33">
        <f>IF(C174="","",C174&amp;" ["&amp;TEXT(A174,"000")&amp;"]")</f>
        <v/>
      </c>
      <c r="AK174" s="33">
        <f>IF(C174="","",X174&amp;"|"&amp;A174)</f>
        <v/>
      </c>
      <c r="AL174" s="47">
        <f>IF(C174="",0,IF(COUNTIFS(VC_cle,AK174)=0,0,MAX(INDEX((VC_cle=AK174)*(VC_date+ROW(VC_date)/100000),0))))</f>
        <v/>
      </c>
      <c r="AM174" s="47">
        <f>IF(AND(C174&lt;&gt;"",N(AB174)&gt;0,D174&lt;&gt;"Perdu"),AB174+ROW()/100000,0)</f>
        <v/>
      </c>
      <c r="AN174" s="48">
        <f>IF(N(AF174)&gt;0,ROUND(AF174,0)+ROW()/1000000,0)</f>
        <v/>
      </c>
    </row>
    <row r="175" ht="18" customHeight="1">
      <c r="A175" s="39" t="n">
        <v>170</v>
      </c>
      <c r="B175" s="33">
        <f>IF(C175="","",IF(X175="À RENSEIGNER","GIC",X175)&amp;"-"&amp;TEXT(A175,"000"))</f>
        <v/>
      </c>
      <c r="C175" s="36" t="n"/>
      <c r="D175" s="34">
        <f>IF(C175="","",IF(U175="☑ Oui","Perdu",IF(AD175&lt;&gt;"","Client","Prospect")))</f>
        <v/>
      </c>
      <c r="E175" s="36" t="n"/>
      <c r="F175" s="36" t="n"/>
      <c r="G175" s="44" t="n"/>
      <c r="H175" s="44" t="n"/>
      <c r="I175" s="36" t="n"/>
      <c r="J175" s="36" t="n"/>
      <c r="K175" s="41" t="n"/>
      <c r="L175" s="41" t="n"/>
      <c r="M175" s="36" t="n"/>
      <c r="N175" s="36" t="n"/>
      <c r="O175" s="32" t="n"/>
      <c r="P175" s="36" t="n"/>
      <c r="Q175" s="36" t="n"/>
      <c r="R175" s="34">
        <f>IF(P175="","",IFERROR(VLOOKUP(P175,T_Produits,2,FALSE),""))</f>
        <v/>
      </c>
      <c r="S175" s="36" t="n"/>
      <c r="T175" s="43" t="n"/>
      <c r="U175" s="43" t="n"/>
      <c r="V175" s="36" t="n"/>
      <c r="W175" s="36" t="n"/>
      <c r="X175" s="33">
        <f>IF(C175="","",Commercial_Id)</f>
        <v/>
      </c>
      <c r="Y175" s="33">
        <f>IF(E175="","",IF(E175="Particulier / ménage","Particulier","Entreprise"))</f>
        <v/>
      </c>
      <c r="Z175" s="39">
        <f>IF(C175="","",COUNTIFS(VC_cle,AK175,VC_type,"Visite sur place"))</f>
        <v/>
      </c>
      <c r="AA175" s="46">
        <f>IF(AL175=0,"",IF(INT(AL175)=0,"",INT(AL175)))</f>
        <v/>
      </c>
      <c r="AB175" s="46">
        <f>IF(AL175=0,"",IF(INDEX(VC_actiondate,ROUND(MOD(AL175,1)*100000,0)-5)=0,"",INDEX(VC_actiondate,ROUND(MOD(AL175,1)*100000,0)-5)))</f>
        <v/>
      </c>
      <c r="AC175" s="33">
        <f>IF(AL175=0,"",INDEX(VC_actiontexte,ROUND(MOD(AL175,1)*100000,0)-5)&amp;"")</f>
        <v/>
      </c>
      <c r="AD175" s="46">
        <f>IF(C175="","",IF(COUNTIFS(Cmd_cle,AK175,Cmd_dateca,"&gt;0")=0,"",SMALL(INDEX(Cmd_dateca+(((Cmd_cle&lt;&gt;AK175)+(Cmd_dateca=0))&gt;0)*1000000,0),1)))</f>
        <v/>
      </c>
      <c r="AE175" s="46">
        <f>IF(C175="","",IF(COUNTIFS(Cmd_cle,AK175,Cmd_dateca,"&gt;0")=0,"",MAX(INDEX((Cmd_cle=AK175)*Cmd_dateca,0))))</f>
        <v/>
      </c>
      <c r="AF175" s="40">
        <f>IF(C175="","",SUMIFS(Cmd_montant,Cmd_cle,AK175,Cmd_dateca,"&gt;0"))</f>
        <v/>
      </c>
      <c r="AG175" s="40">
        <f>IF(C175="","",SUMIFS(Enc_montant,Enc_cle,AK175))</f>
        <v/>
      </c>
      <c r="AH175" s="40">
        <f>IF(C175="","",AF175-AG175)</f>
        <v/>
      </c>
      <c r="AI175" s="33">
        <f>IF(C175="","",IF(D175="Perdu","",IF(AND(AB175&lt;&gt;"",N(AB175)&lt;TODAY()),"Action en retard",IF(AND(D175="Client",AE175&lt;&gt;"",TODAY()-N(AE175)&gt;P_JoursInactif),"Client inactif",IF(AND(D175="Prospect",Z175=0,O175&lt;&gt;"",TODAY()-N(O175)&gt;P_JoursNonVisite),"Jamais visité","")))))</f>
        <v/>
      </c>
      <c r="AJ175" s="33">
        <f>IF(C175="","",C175&amp;" ["&amp;TEXT(A175,"000")&amp;"]")</f>
        <v/>
      </c>
      <c r="AK175" s="33">
        <f>IF(C175="","",X175&amp;"|"&amp;A175)</f>
        <v/>
      </c>
      <c r="AL175" s="47">
        <f>IF(C175="",0,IF(COUNTIFS(VC_cle,AK175)=0,0,MAX(INDEX((VC_cle=AK175)*(VC_date+ROW(VC_date)/100000),0))))</f>
        <v/>
      </c>
      <c r="AM175" s="47">
        <f>IF(AND(C175&lt;&gt;"",N(AB175)&gt;0,D175&lt;&gt;"Perdu"),AB175+ROW()/100000,0)</f>
        <v/>
      </c>
      <c r="AN175" s="48">
        <f>IF(N(AF175)&gt;0,ROUND(AF175,0)+ROW()/1000000,0)</f>
        <v/>
      </c>
    </row>
    <row r="176" ht="18" customHeight="1">
      <c r="A176" s="39" t="n">
        <v>171</v>
      </c>
      <c r="B176" s="33">
        <f>IF(C176="","",IF(X176="À RENSEIGNER","GIC",X176)&amp;"-"&amp;TEXT(A176,"000"))</f>
        <v/>
      </c>
      <c r="C176" s="36" t="n"/>
      <c r="D176" s="34">
        <f>IF(C176="","",IF(U176="☑ Oui","Perdu",IF(AD176&lt;&gt;"","Client","Prospect")))</f>
        <v/>
      </c>
      <c r="E176" s="36" t="n"/>
      <c r="F176" s="36" t="n"/>
      <c r="G176" s="44" t="n"/>
      <c r="H176" s="44" t="n"/>
      <c r="I176" s="36" t="n"/>
      <c r="J176" s="36" t="n"/>
      <c r="K176" s="41" t="n"/>
      <c r="L176" s="41" t="n"/>
      <c r="M176" s="36" t="n"/>
      <c r="N176" s="36" t="n"/>
      <c r="O176" s="32" t="n"/>
      <c r="P176" s="36" t="n"/>
      <c r="Q176" s="36" t="n"/>
      <c r="R176" s="34">
        <f>IF(P176="","",IFERROR(VLOOKUP(P176,T_Produits,2,FALSE),""))</f>
        <v/>
      </c>
      <c r="S176" s="36" t="n"/>
      <c r="T176" s="43" t="n"/>
      <c r="U176" s="43" t="n"/>
      <c r="V176" s="36" t="n"/>
      <c r="W176" s="36" t="n"/>
      <c r="X176" s="33">
        <f>IF(C176="","",Commercial_Id)</f>
        <v/>
      </c>
      <c r="Y176" s="33">
        <f>IF(E176="","",IF(E176="Particulier / ménage","Particulier","Entreprise"))</f>
        <v/>
      </c>
      <c r="Z176" s="39">
        <f>IF(C176="","",COUNTIFS(VC_cle,AK176,VC_type,"Visite sur place"))</f>
        <v/>
      </c>
      <c r="AA176" s="46">
        <f>IF(AL176=0,"",IF(INT(AL176)=0,"",INT(AL176)))</f>
        <v/>
      </c>
      <c r="AB176" s="46">
        <f>IF(AL176=0,"",IF(INDEX(VC_actiondate,ROUND(MOD(AL176,1)*100000,0)-5)=0,"",INDEX(VC_actiondate,ROUND(MOD(AL176,1)*100000,0)-5)))</f>
        <v/>
      </c>
      <c r="AC176" s="33">
        <f>IF(AL176=0,"",INDEX(VC_actiontexte,ROUND(MOD(AL176,1)*100000,0)-5)&amp;"")</f>
        <v/>
      </c>
      <c r="AD176" s="46">
        <f>IF(C176="","",IF(COUNTIFS(Cmd_cle,AK176,Cmd_dateca,"&gt;0")=0,"",SMALL(INDEX(Cmd_dateca+(((Cmd_cle&lt;&gt;AK176)+(Cmd_dateca=0))&gt;0)*1000000,0),1)))</f>
        <v/>
      </c>
      <c r="AE176" s="46">
        <f>IF(C176="","",IF(COUNTIFS(Cmd_cle,AK176,Cmd_dateca,"&gt;0")=0,"",MAX(INDEX((Cmd_cle=AK176)*Cmd_dateca,0))))</f>
        <v/>
      </c>
      <c r="AF176" s="40">
        <f>IF(C176="","",SUMIFS(Cmd_montant,Cmd_cle,AK176,Cmd_dateca,"&gt;0"))</f>
        <v/>
      </c>
      <c r="AG176" s="40">
        <f>IF(C176="","",SUMIFS(Enc_montant,Enc_cle,AK176))</f>
        <v/>
      </c>
      <c r="AH176" s="40">
        <f>IF(C176="","",AF176-AG176)</f>
        <v/>
      </c>
      <c r="AI176" s="33">
        <f>IF(C176="","",IF(D176="Perdu","",IF(AND(AB176&lt;&gt;"",N(AB176)&lt;TODAY()),"Action en retard",IF(AND(D176="Client",AE176&lt;&gt;"",TODAY()-N(AE176)&gt;P_JoursInactif),"Client inactif",IF(AND(D176="Prospect",Z176=0,O176&lt;&gt;"",TODAY()-N(O176)&gt;P_JoursNonVisite),"Jamais visité","")))))</f>
        <v/>
      </c>
      <c r="AJ176" s="33">
        <f>IF(C176="","",C176&amp;" ["&amp;TEXT(A176,"000")&amp;"]")</f>
        <v/>
      </c>
      <c r="AK176" s="33">
        <f>IF(C176="","",X176&amp;"|"&amp;A176)</f>
        <v/>
      </c>
      <c r="AL176" s="47">
        <f>IF(C176="",0,IF(COUNTIFS(VC_cle,AK176)=0,0,MAX(INDEX((VC_cle=AK176)*(VC_date+ROW(VC_date)/100000),0))))</f>
        <v/>
      </c>
      <c r="AM176" s="47">
        <f>IF(AND(C176&lt;&gt;"",N(AB176)&gt;0,D176&lt;&gt;"Perdu"),AB176+ROW()/100000,0)</f>
        <v/>
      </c>
      <c r="AN176" s="48">
        <f>IF(N(AF176)&gt;0,ROUND(AF176,0)+ROW()/1000000,0)</f>
        <v/>
      </c>
    </row>
    <row r="177" ht="18" customHeight="1">
      <c r="A177" s="39" t="n">
        <v>172</v>
      </c>
      <c r="B177" s="33">
        <f>IF(C177="","",IF(X177="À RENSEIGNER","GIC",X177)&amp;"-"&amp;TEXT(A177,"000"))</f>
        <v/>
      </c>
      <c r="C177" s="36" t="n"/>
      <c r="D177" s="34">
        <f>IF(C177="","",IF(U177="☑ Oui","Perdu",IF(AD177&lt;&gt;"","Client","Prospect")))</f>
        <v/>
      </c>
      <c r="E177" s="36" t="n"/>
      <c r="F177" s="36" t="n"/>
      <c r="G177" s="44" t="n"/>
      <c r="H177" s="44" t="n"/>
      <c r="I177" s="36" t="n"/>
      <c r="J177" s="36" t="n"/>
      <c r="K177" s="41" t="n"/>
      <c r="L177" s="41" t="n"/>
      <c r="M177" s="36" t="n"/>
      <c r="N177" s="36" t="n"/>
      <c r="O177" s="32" t="n"/>
      <c r="P177" s="36" t="n"/>
      <c r="Q177" s="36" t="n"/>
      <c r="R177" s="34">
        <f>IF(P177="","",IFERROR(VLOOKUP(P177,T_Produits,2,FALSE),""))</f>
        <v/>
      </c>
      <c r="S177" s="36" t="n"/>
      <c r="T177" s="43" t="n"/>
      <c r="U177" s="43" t="n"/>
      <c r="V177" s="36" t="n"/>
      <c r="W177" s="36" t="n"/>
      <c r="X177" s="33">
        <f>IF(C177="","",Commercial_Id)</f>
        <v/>
      </c>
      <c r="Y177" s="33">
        <f>IF(E177="","",IF(E177="Particulier / ménage","Particulier","Entreprise"))</f>
        <v/>
      </c>
      <c r="Z177" s="39">
        <f>IF(C177="","",COUNTIFS(VC_cle,AK177,VC_type,"Visite sur place"))</f>
        <v/>
      </c>
      <c r="AA177" s="46">
        <f>IF(AL177=0,"",IF(INT(AL177)=0,"",INT(AL177)))</f>
        <v/>
      </c>
      <c r="AB177" s="46">
        <f>IF(AL177=0,"",IF(INDEX(VC_actiondate,ROUND(MOD(AL177,1)*100000,0)-5)=0,"",INDEX(VC_actiondate,ROUND(MOD(AL177,1)*100000,0)-5)))</f>
        <v/>
      </c>
      <c r="AC177" s="33">
        <f>IF(AL177=0,"",INDEX(VC_actiontexte,ROUND(MOD(AL177,1)*100000,0)-5)&amp;"")</f>
        <v/>
      </c>
      <c r="AD177" s="46">
        <f>IF(C177="","",IF(COUNTIFS(Cmd_cle,AK177,Cmd_dateca,"&gt;0")=0,"",SMALL(INDEX(Cmd_dateca+(((Cmd_cle&lt;&gt;AK177)+(Cmd_dateca=0))&gt;0)*1000000,0),1)))</f>
        <v/>
      </c>
      <c r="AE177" s="46">
        <f>IF(C177="","",IF(COUNTIFS(Cmd_cle,AK177,Cmd_dateca,"&gt;0")=0,"",MAX(INDEX((Cmd_cle=AK177)*Cmd_dateca,0))))</f>
        <v/>
      </c>
      <c r="AF177" s="40">
        <f>IF(C177="","",SUMIFS(Cmd_montant,Cmd_cle,AK177,Cmd_dateca,"&gt;0"))</f>
        <v/>
      </c>
      <c r="AG177" s="40">
        <f>IF(C177="","",SUMIFS(Enc_montant,Enc_cle,AK177))</f>
        <v/>
      </c>
      <c r="AH177" s="40">
        <f>IF(C177="","",AF177-AG177)</f>
        <v/>
      </c>
      <c r="AI177" s="33">
        <f>IF(C177="","",IF(D177="Perdu","",IF(AND(AB177&lt;&gt;"",N(AB177)&lt;TODAY()),"Action en retard",IF(AND(D177="Client",AE177&lt;&gt;"",TODAY()-N(AE177)&gt;P_JoursInactif),"Client inactif",IF(AND(D177="Prospect",Z177=0,O177&lt;&gt;"",TODAY()-N(O177)&gt;P_JoursNonVisite),"Jamais visité","")))))</f>
        <v/>
      </c>
      <c r="AJ177" s="33">
        <f>IF(C177="","",C177&amp;" ["&amp;TEXT(A177,"000")&amp;"]")</f>
        <v/>
      </c>
      <c r="AK177" s="33">
        <f>IF(C177="","",X177&amp;"|"&amp;A177)</f>
        <v/>
      </c>
      <c r="AL177" s="47">
        <f>IF(C177="",0,IF(COUNTIFS(VC_cle,AK177)=0,0,MAX(INDEX((VC_cle=AK177)*(VC_date+ROW(VC_date)/100000),0))))</f>
        <v/>
      </c>
      <c r="AM177" s="47">
        <f>IF(AND(C177&lt;&gt;"",N(AB177)&gt;0,D177&lt;&gt;"Perdu"),AB177+ROW()/100000,0)</f>
        <v/>
      </c>
      <c r="AN177" s="48">
        <f>IF(N(AF177)&gt;0,ROUND(AF177,0)+ROW()/1000000,0)</f>
        <v/>
      </c>
    </row>
    <row r="178" ht="18" customHeight="1">
      <c r="A178" s="39" t="n">
        <v>173</v>
      </c>
      <c r="B178" s="33">
        <f>IF(C178="","",IF(X178="À RENSEIGNER","GIC",X178)&amp;"-"&amp;TEXT(A178,"000"))</f>
        <v/>
      </c>
      <c r="C178" s="36" t="n"/>
      <c r="D178" s="34">
        <f>IF(C178="","",IF(U178="☑ Oui","Perdu",IF(AD178&lt;&gt;"","Client","Prospect")))</f>
        <v/>
      </c>
      <c r="E178" s="36" t="n"/>
      <c r="F178" s="36" t="n"/>
      <c r="G178" s="44" t="n"/>
      <c r="H178" s="44" t="n"/>
      <c r="I178" s="36" t="n"/>
      <c r="J178" s="36" t="n"/>
      <c r="K178" s="41" t="n"/>
      <c r="L178" s="41" t="n"/>
      <c r="M178" s="36" t="n"/>
      <c r="N178" s="36" t="n"/>
      <c r="O178" s="32" t="n"/>
      <c r="P178" s="36" t="n"/>
      <c r="Q178" s="36" t="n"/>
      <c r="R178" s="34">
        <f>IF(P178="","",IFERROR(VLOOKUP(P178,T_Produits,2,FALSE),""))</f>
        <v/>
      </c>
      <c r="S178" s="36" t="n"/>
      <c r="T178" s="43" t="n"/>
      <c r="U178" s="43" t="n"/>
      <c r="V178" s="36" t="n"/>
      <c r="W178" s="36" t="n"/>
      <c r="X178" s="33">
        <f>IF(C178="","",Commercial_Id)</f>
        <v/>
      </c>
      <c r="Y178" s="33">
        <f>IF(E178="","",IF(E178="Particulier / ménage","Particulier","Entreprise"))</f>
        <v/>
      </c>
      <c r="Z178" s="39">
        <f>IF(C178="","",COUNTIFS(VC_cle,AK178,VC_type,"Visite sur place"))</f>
        <v/>
      </c>
      <c r="AA178" s="46">
        <f>IF(AL178=0,"",IF(INT(AL178)=0,"",INT(AL178)))</f>
        <v/>
      </c>
      <c r="AB178" s="46">
        <f>IF(AL178=0,"",IF(INDEX(VC_actiondate,ROUND(MOD(AL178,1)*100000,0)-5)=0,"",INDEX(VC_actiondate,ROUND(MOD(AL178,1)*100000,0)-5)))</f>
        <v/>
      </c>
      <c r="AC178" s="33">
        <f>IF(AL178=0,"",INDEX(VC_actiontexte,ROUND(MOD(AL178,1)*100000,0)-5)&amp;"")</f>
        <v/>
      </c>
      <c r="AD178" s="46">
        <f>IF(C178="","",IF(COUNTIFS(Cmd_cle,AK178,Cmd_dateca,"&gt;0")=0,"",SMALL(INDEX(Cmd_dateca+(((Cmd_cle&lt;&gt;AK178)+(Cmd_dateca=0))&gt;0)*1000000,0),1)))</f>
        <v/>
      </c>
      <c r="AE178" s="46">
        <f>IF(C178="","",IF(COUNTIFS(Cmd_cle,AK178,Cmd_dateca,"&gt;0")=0,"",MAX(INDEX((Cmd_cle=AK178)*Cmd_dateca,0))))</f>
        <v/>
      </c>
      <c r="AF178" s="40">
        <f>IF(C178="","",SUMIFS(Cmd_montant,Cmd_cle,AK178,Cmd_dateca,"&gt;0"))</f>
        <v/>
      </c>
      <c r="AG178" s="40">
        <f>IF(C178="","",SUMIFS(Enc_montant,Enc_cle,AK178))</f>
        <v/>
      </c>
      <c r="AH178" s="40">
        <f>IF(C178="","",AF178-AG178)</f>
        <v/>
      </c>
      <c r="AI178" s="33">
        <f>IF(C178="","",IF(D178="Perdu","",IF(AND(AB178&lt;&gt;"",N(AB178)&lt;TODAY()),"Action en retard",IF(AND(D178="Client",AE178&lt;&gt;"",TODAY()-N(AE178)&gt;P_JoursInactif),"Client inactif",IF(AND(D178="Prospect",Z178=0,O178&lt;&gt;"",TODAY()-N(O178)&gt;P_JoursNonVisite),"Jamais visité","")))))</f>
        <v/>
      </c>
      <c r="AJ178" s="33">
        <f>IF(C178="","",C178&amp;" ["&amp;TEXT(A178,"000")&amp;"]")</f>
        <v/>
      </c>
      <c r="AK178" s="33">
        <f>IF(C178="","",X178&amp;"|"&amp;A178)</f>
        <v/>
      </c>
      <c r="AL178" s="47">
        <f>IF(C178="",0,IF(COUNTIFS(VC_cle,AK178)=0,0,MAX(INDEX((VC_cle=AK178)*(VC_date+ROW(VC_date)/100000),0))))</f>
        <v/>
      </c>
      <c r="AM178" s="47">
        <f>IF(AND(C178&lt;&gt;"",N(AB178)&gt;0,D178&lt;&gt;"Perdu"),AB178+ROW()/100000,0)</f>
        <v/>
      </c>
      <c r="AN178" s="48">
        <f>IF(N(AF178)&gt;0,ROUND(AF178,0)+ROW()/1000000,0)</f>
        <v/>
      </c>
    </row>
    <row r="179" ht="18" customHeight="1">
      <c r="A179" s="39" t="n">
        <v>174</v>
      </c>
      <c r="B179" s="33">
        <f>IF(C179="","",IF(X179="À RENSEIGNER","GIC",X179)&amp;"-"&amp;TEXT(A179,"000"))</f>
        <v/>
      </c>
      <c r="C179" s="36" t="n"/>
      <c r="D179" s="34">
        <f>IF(C179="","",IF(U179="☑ Oui","Perdu",IF(AD179&lt;&gt;"","Client","Prospect")))</f>
        <v/>
      </c>
      <c r="E179" s="36" t="n"/>
      <c r="F179" s="36" t="n"/>
      <c r="G179" s="44" t="n"/>
      <c r="H179" s="44" t="n"/>
      <c r="I179" s="36" t="n"/>
      <c r="J179" s="36" t="n"/>
      <c r="K179" s="41" t="n"/>
      <c r="L179" s="41" t="n"/>
      <c r="M179" s="36" t="n"/>
      <c r="N179" s="36" t="n"/>
      <c r="O179" s="32" t="n"/>
      <c r="P179" s="36" t="n"/>
      <c r="Q179" s="36" t="n"/>
      <c r="R179" s="34">
        <f>IF(P179="","",IFERROR(VLOOKUP(P179,T_Produits,2,FALSE),""))</f>
        <v/>
      </c>
      <c r="S179" s="36" t="n"/>
      <c r="T179" s="43" t="n"/>
      <c r="U179" s="43" t="n"/>
      <c r="V179" s="36" t="n"/>
      <c r="W179" s="36" t="n"/>
      <c r="X179" s="33">
        <f>IF(C179="","",Commercial_Id)</f>
        <v/>
      </c>
      <c r="Y179" s="33">
        <f>IF(E179="","",IF(E179="Particulier / ménage","Particulier","Entreprise"))</f>
        <v/>
      </c>
      <c r="Z179" s="39">
        <f>IF(C179="","",COUNTIFS(VC_cle,AK179,VC_type,"Visite sur place"))</f>
        <v/>
      </c>
      <c r="AA179" s="46">
        <f>IF(AL179=0,"",IF(INT(AL179)=0,"",INT(AL179)))</f>
        <v/>
      </c>
      <c r="AB179" s="46">
        <f>IF(AL179=0,"",IF(INDEX(VC_actiondate,ROUND(MOD(AL179,1)*100000,0)-5)=0,"",INDEX(VC_actiondate,ROUND(MOD(AL179,1)*100000,0)-5)))</f>
        <v/>
      </c>
      <c r="AC179" s="33">
        <f>IF(AL179=0,"",INDEX(VC_actiontexte,ROUND(MOD(AL179,1)*100000,0)-5)&amp;"")</f>
        <v/>
      </c>
      <c r="AD179" s="46">
        <f>IF(C179="","",IF(COUNTIFS(Cmd_cle,AK179,Cmd_dateca,"&gt;0")=0,"",SMALL(INDEX(Cmd_dateca+(((Cmd_cle&lt;&gt;AK179)+(Cmd_dateca=0))&gt;0)*1000000,0),1)))</f>
        <v/>
      </c>
      <c r="AE179" s="46">
        <f>IF(C179="","",IF(COUNTIFS(Cmd_cle,AK179,Cmd_dateca,"&gt;0")=0,"",MAX(INDEX((Cmd_cle=AK179)*Cmd_dateca,0))))</f>
        <v/>
      </c>
      <c r="AF179" s="40">
        <f>IF(C179="","",SUMIFS(Cmd_montant,Cmd_cle,AK179,Cmd_dateca,"&gt;0"))</f>
        <v/>
      </c>
      <c r="AG179" s="40">
        <f>IF(C179="","",SUMIFS(Enc_montant,Enc_cle,AK179))</f>
        <v/>
      </c>
      <c r="AH179" s="40">
        <f>IF(C179="","",AF179-AG179)</f>
        <v/>
      </c>
      <c r="AI179" s="33">
        <f>IF(C179="","",IF(D179="Perdu","",IF(AND(AB179&lt;&gt;"",N(AB179)&lt;TODAY()),"Action en retard",IF(AND(D179="Client",AE179&lt;&gt;"",TODAY()-N(AE179)&gt;P_JoursInactif),"Client inactif",IF(AND(D179="Prospect",Z179=0,O179&lt;&gt;"",TODAY()-N(O179)&gt;P_JoursNonVisite),"Jamais visité","")))))</f>
        <v/>
      </c>
      <c r="AJ179" s="33">
        <f>IF(C179="","",C179&amp;" ["&amp;TEXT(A179,"000")&amp;"]")</f>
        <v/>
      </c>
      <c r="AK179" s="33">
        <f>IF(C179="","",X179&amp;"|"&amp;A179)</f>
        <v/>
      </c>
      <c r="AL179" s="47">
        <f>IF(C179="",0,IF(COUNTIFS(VC_cle,AK179)=0,0,MAX(INDEX((VC_cle=AK179)*(VC_date+ROW(VC_date)/100000),0))))</f>
        <v/>
      </c>
      <c r="AM179" s="47">
        <f>IF(AND(C179&lt;&gt;"",N(AB179)&gt;0,D179&lt;&gt;"Perdu"),AB179+ROW()/100000,0)</f>
        <v/>
      </c>
      <c r="AN179" s="48">
        <f>IF(N(AF179)&gt;0,ROUND(AF179,0)+ROW()/1000000,0)</f>
        <v/>
      </c>
    </row>
    <row r="180" ht="18" customHeight="1">
      <c r="A180" s="39" t="n">
        <v>175</v>
      </c>
      <c r="B180" s="33">
        <f>IF(C180="","",IF(X180="À RENSEIGNER","GIC",X180)&amp;"-"&amp;TEXT(A180,"000"))</f>
        <v/>
      </c>
      <c r="C180" s="36" t="n"/>
      <c r="D180" s="34">
        <f>IF(C180="","",IF(U180="☑ Oui","Perdu",IF(AD180&lt;&gt;"","Client","Prospect")))</f>
        <v/>
      </c>
      <c r="E180" s="36" t="n"/>
      <c r="F180" s="36" t="n"/>
      <c r="G180" s="44" t="n"/>
      <c r="H180" s="44" t="n"/>
      <c r="I180" s="36" t="n"/>
      <c r="J180" s="36" t="n"/>
      <c r="K180" s="41" t="n"/>
      <c r="L180" s="41" t="n"/>
      <c r="M180" s="36" t="n"/>
      <c r="N180" s="36" t="n"/>
      <c r="O180" s="32" t="n"/>
      <c r="P180" s="36" t="n"/>
      <c r="Q180" s="36" t="n"/>
      <c r="R180" s="34">
        <f>IF(P180="","",IFERROR(VLOOKUP(P180,T_Produits,2,FALSE),""))</f>
        <v/>
      </c>
      <c r="S180" s="36" t="n"/>
      <c r="T180" s="43" t="n"/>
      <c r="U180" s="43" t="n"/>
      <c r="V180" s="36" t="n"/>
      <c r="W180" s="36" t="n"/>
      <c r="X180" s="33">
        <f>IF(C180="","",Commercial_Id)</f>
        <v/>
      </c>
      <c r="Y180" s="33">
        <f>IF(E180="","",IF(E180="Particulier / ménage","Particulier","Entreprise"))</f>
        <v/>
      </c>
      <c r="Z180" s="39">
        <f>IF(C180="","",COUNTIFS(VC_cle,AK180,VC_type,"Visite sur place"))</f>
        <v/>
      </c>
      <c r="AA180" s="46">
        <f>IF(AL180=0,"",IF(INT(AL180)=0,"",INT(AL180)))</f>
        <v/>
      </c>
      <c r="AB180" s="46">
        <f>IF(AL180=0,"",IF(INDEX(VC_actiondate,ROUND(MOD(AL180,1)*100000,0)-5)=0,"",INDEX(VC_actiondate,ROUND(MOD(AL180,1)*100000,0)-5)))</f>
        <v/>
      </c>
      <c r="AC180" s="33">
        <f>IF(AL180=0,"",INDEX(VC_actiontexte,ROUND(MOD(AL180,1)*100000,0)-5)&amp;"")</f>
        <v/>
      </c>
      <c r="AD180" s="46">
        <f>IF(C180="","",IF(COUNTIFS(Cmd_cle,AK180,Cmd_dateca,"&gt;0")=0,"",SMALL(INDEX(Cmd_dateca+(((Cmd_cle&lt;&gt;AK180)+(Cmd_dateca=0))&gt;0)*1000000,0),1)))</f>
        <v/>
      </c>
      <c r="AE180" s="46">
        <f>IF(C180="","",IF(COUNTIFS(Cmd_cle,AK180,Cmd_dateca,"&gt;0")=0,"",MAX(INDEX((Cmd_cle=AK180)*Cmd_dateca,0))))</f>
        <v/>
      </c>
      <c r="AF180" s="40">
        <f>IF(C180="","",SUMIFS(Cmd_montant,Cmd_cle,AK180,Cmd_dateca,"&gt;0"))</f>
        <v/>
      </c>
      <c r="AG180" s="40">
        <f>IF(C180="","",SUMIFS(Enc_montant,Enc_cle,AK180))</f>
        <v/>
      </c>
      <c r="AH180" s="40">
        <f>IF(C180="","",AF180-AG180)</f>
        <v/>
      </c>
      <c r="AI180" s="33">
        <f>IF(C180="","",IF(D180="Perdu","",IF(AND(AB180&lt;&gt;"",N(AB180)&lt;TODAY()),"Action en retard",IF(AND(D180="Client",AE180&lt;&gt;"",TODAY()-N(AE180)&gt;P_JoursInactif),"Client inactif",IF(AND(D180="Prospect",Z180=0,O180&lt;&gt;"",TODAY()-N(O180)&gt;P_JoursNonVisite),"Jamais visité","")))))</f>
        <v/>
      </c>
      <c r="AJ180" s="33">
        <f>IF(C180="","",C180&amp;" ["&amp;TEXT(A180,"000")&amp;"]")</f>
        <v/>
      </c>
      <c r="AK180" s="33">
        <f>IF(C180="","",X180&amp;"|"&amp;A180)</f>
        <v/>
      </c>
      <c r="AL180" s="47">
        <f>IF(C180="",0,IF(COUNTIFS(VC_cle,AK180)=0,0,MAX(INDEX((VC_cle=AK180)*(VC_date+ROW(VC_date)/100000),0))))</f>
        <v/>
      </c>
      <c r="AM180" s="47">
        <f>IF(AND(C180&lt;&gt;"",N(AB180)&gt;0,D180&lt;&gt;"Perdu"),AB180+ROW()/100000,0)</f>
        <v/>
      </c>
      <c r="AN180" s="48">
        <f>IF(N(AF180)&gt;0,ROUND(AF180,0)+ROW()/1000000,0)</f>
        <v/>
      </c>
    </row>
    <row r="181" ht="18" customHeight="1">
      <c r="A181" s="39" t="n">
        <v>176</v>
      </c>
      <c r="B181" s="33">
        <f>IF(C181="","",IF(X181="À RENSEIGNER","GIC",X181)&amp;"-"&amp;TEXT(A181,"000"))</f>
        <v/>
      </c>
      <c r="C181" s="36" t="n"/>
      <c r="D181" s="34">
        <f>IF(C181="","",IF(U181="☑ Oui","Perdu",IF(AD181&lt;&gt;"","Client","Prospect")))</f>
        <v/>
      </c>
      <c r="E181" s="36" t="n"/>
      <c r="F181" s="36" t="n"/>
      <c r="G181" s="44" t="n"/>
      <c r="H181" s="44" t="n"/>
      <c r="I181" s="36" t="n"/>
      <c r="J181" s="36" t="n"/>
      <c r="K181" s="41" t="n"/>
      <c r="L181" s="41" t="n"/>
      <c r="M181" s="36" t="n"/>
      <c r="N181" s="36" t="n"/>
      <c r="O181" s="32" t="n"/>
      <c r="P181" s="36" t="n"/>
      <c r="Q181" s="36" t="n"/>
      <c r="R181" s="34">
        <f>IF(P181="","",IFERROR(VLOOKUP(P181,T_Produits,2,FALSE),""))</f>
        <v/>
      </c>
      <c r="S181" s="36" t="n"/>
      <c r="T181" s="43" t="n"/>
      <c r="U181" s="43" t="n"/>
      <c r="V181" s="36" t="n"/>
      <c r="W181" s="36" t="n"/>
      <c r="X181" s="33">
        <f>IF(C181="","",Commercial_Id)</f>
        <v/>
      </c>
      <c r="Y181" s="33">
        <f>IF(E181="","",IF(E181="Particulier / ménage","Particulier","Entreprise"))</f>
        <v/>
      </c>
      <c r="Z181" s="39">
        <f>IF(C181="","",COUNTIFS(VC_cle,AK181,VC_type,"Visite sur place"))</f>
        <v/>
      </c>
      <c r="AA181" s="46">
        <f>IF(AL181=0,"",IF(INT(AL181)=0,"",INT(AL181)))</f>
        <v/>
      </c>
      <c r="AB181" s="46">
        <f>IF(AL181=0,"",IF(INDEX(VC_actiondate,ROUND(MOD(AL181,1)*100000,0)-5)=0,"",INDEX(VC_actiondate,ROUND(MOD(AL181,1)*100000,0)-5)))</f>
        <v/>
      </c>
      <c r="AC181" s="33">
        <f>IF(AL181=0,"",INDEX(VC_actiontexte,ROUND(MOD(AL181,1)*100000,0)-5)&amp;"")</f>
        <v/>
      </c>
      <c r="AD181" s="46">
        <f>IF(C181="","",IF(COUNTIFS(Cmd_cle,AK181,Cmd_dateca,"&gt;0")=0,"",SMALL(INDEX(Cmd_dateca+(((Cmd_cle&lt;&gt;AK181)+(Cmd_dateca=0))&gt;0)*1000000,0),1)))</f>
        <v/>
      </c>
      <c r="AE181" s="46">
        <f>IF(C181="","",IF(COUNTIFS(Cmd_cle,AK181,Cmd_dateca,"&gt;0")=0,"",MAX(INDEX((Cmd_cle=AK181)*Cmd_dateca,0))))</f>
        <v/>
      </c>
      <c r="AF181" s="40">
        <f>IF(C181="","",SUMIFS(Cmd_montant,Cmd_cle,AK181,Cmd_dateca,"&gt;0"))</f>
        <v/>
      </c>
      <c r="AG181" s="40">
        <f>IF(C181="","",SUMIFS(Enc_montant,Enc_cle,AK181))</f>
        <v/>
      </c>
      <c r="AH181" s="40">
        <f>IF(C181="","",AF181-AG181)</f>
        <v/>
      </c>
      <c r="AI181" s="33">
        <f>IF(C181="","",IF(D181="Perdu","",IF(AND(AB181&lt;&gt;"",N(AB181)&lt;TODAY()),"Action en retard",IF(AND(D181="Client",AE181&lt;&gt;"",TODAY()-N(AE181)&gt;P_JoursInactif),"Client inactif",IF(AND(D181="Prospect",Z181=0,O181&lt;&gt;"",TODAY()-N(O181)&gt;P_JoursNonVisite),"Jamais visité","")))))</f>
        <v/>
      </c>
      <c r="AJ181" s="33">
        <f>IF(C181="","",C181&amp;" ["&amp;TEXT(A181,"000")&amp;"]")</f>
        <v/>
      </c>
      <c r="AK181" s="33">
        <f>IF(C181="","",X181&amp;"|"&amp;A181)</f>
        <v/>
      </c>
      <c r="AL181" s="47">
        <f>IF(C181="",0,IF(COUNTIFS(VC_cle,AK181)=0,0,MAX(INDEX((VC_cle=AK181)*(VC_date+ROW(VC_date)/100000),0))))</f>
        <v/>
      </c>
      <c r="AM181" s="47">
        <f>IF(AND(C181&lt;&gt;"",N(AB181)&gt;0,D181&lt;&gt;"Perdu"),AB181+ROW()/100000,0)</f>
        <v/>
      </c>
      <c r="AN181" s="48">
        <f>IF(N(AF181)&gt;0,ROUND(AF181,0)+ROW()/1000000,0)</f>
        <v/>
      </c>
    </row>
    <row r="182" ht="18" customHeight="1">
      <c r="A182" s="39" t="n">
        <v>177</v>
      </c>
      <c r="B182" s="33">
        <f>IF(C182="","",IF(X182="À RENSEIGNER","GIC",X182)&amp;"-"&amp;TEXT(A182,"000"))</f>
        <v/>
      </c>
      <c r="C182" s="36" t="n"/>
      <c r="D182" s="34">
        <f>IF(C182="","",IF(U182="☑ Oui","Perdu",IF(AD182&lt;&gt;"","Client","Prospect")))</f>
        <v/>
      </c>
      <c r="E182" s="36" t="n"/>
      <c r="F182" s="36" t="n"/>
      <c r="G182" s="44" t="n"/>
      <c r="H182" s="44" t="n"/>
      <c r="I182" s="36" t="n"/>
      <c r="J182" s="36" t="n"/>
      <c r="K182" s="41" t="n"/>
      <c r="L182" s="41" t="n"/>
      <c r="M182" s="36" t="n"/>
      <c r="N182" s="36" t="n"/>
      <c r="O182" s="32" t="n"/>
      <c r="P182" s="36" t="n"/>
      <c r="Q182" s="36" t="n"/>
      <c r="R182" s="34">
        <f>IF(P182="","",IFERROR(VLOOKUP(P182,T_Produits,2,FALSE),""))</f>
        <v/>
      </c>
      <c r="S182" s="36" t="n"/>
      <c r="T182" s="43" t="n"/>
      <c r="U182" s="43" t="n"/>
      <c r="V182" s="36" t="n"/>
      <c r="W182" s="36" t="n"/>
      <c r="X182" s="33">
        <f>IF(C182="","",Commercial_Id)</f>
        <v/>
      </c>
      <c r="Y182" s="33">
        <f>IF(E182="","",IF(E182="Particulier / ménage","Particulier","Entreprise"))</f>
        <v/>
      </c>
      <c r="Z182" s="39">
        <f>IF(C182="","",COUNTIFS(VC_cle,AK182,VC_type,"Visite sur place"))</f>
        <v/>
      </c>
      <c r="AA182" s="46">
        <f>IF(AL182=0,"",IF(INT(AL182)=0,"",INT(AL182)))</f>
        <v/>
      </c>
      <c r="AB182" s="46">
        <f>IF(AL182=0,"",IF(INDEX(VC_actiondate,ROUND(MOD(AL182,1)*100000,0)-5)=0,"",INDEX(VC_actiondate,ROUND(MOD(AL182,1)*100000,0)-5)))</f>
        <v/>
      </c>
      <c r="AC182" s="33">
        <f>IF(AL182=0,"",INDEX(VC_actiontexte,ROUND(MOD(AL182,1)*100000,0)-5)&amp;"")</f>
        <v/>
      </c>
      <c r="AD182" s="46">
        <f>IF(C182="","",IF(COUNTIFS(Cmd_cle,AK182,Cmd_dateca,"&gt;0")=0,"",SMALL(INDEX(Cmd_dateca+(((Cmd_cle&lt;&gt;AK182)+(Cmd_dateca=0))&gt;0)*1000000,0),1)))</f>
        <v/>
      </c>
      <c r="AE182" s="46">
        <f>IF(C182="","",IF(COUNTIFS(Cmd_cle,AK182,Cmd_dateca,"&gt;0")=0,"",MAX(INDEX((Cmd_cle=AK182)*Cmd_dateca,0))))</f>
        <v/>
      </c>
      <c r="AF182" s="40">
        <f>IF(C182="","",SUMIFS(Cmd_montant,Cmd_cle,AK182,Cmd_dateca,"&gt;0"))</f>
        <v/>
      </c>
      <c r="AG182" s="40">
        <f>IF(C182="","",SUMIFS(Enc_montant,Enc_cle,AK182))</f>
        <v/>
      </c>
      <c r="AH182" s="40">
        <f>IF(C182="","",AF182-AG182)</f>
        <v/>
      </c>
      <c r="AI182" s="33">
        <f>IF(C182="","",IF(D182="Perdu","",IF(AND(AB182&lt;&gt;"",N(AB182)&lt;TODAY()),"Action en retard",IF(AND(D182="Client",AE182&lt;&gt;"",TODAY()-N(AE182)&gt;P_JoursInactif),"Client inactif",IF(AND(D182="Prospect",Z182=0,O182&lt;&gt;"",TODAY()-N(O182)&gt;P_JoursNonVisite),"Jamais visité","")))))</f>
        <v/>
      </c>
      <c r="AJ182" s="33">
        <f>IF(C182="","",C182&amp;" ["&amp;TEXT(A182,"000")&amp;"]")</f>
        <v/>
      </c>
      <c r="AK182" s="33">
        <f>IF(C182="","",X182&amp;"|"&amp;A182)</f>
        <v/>
      </c>
      <c r="AL182" s="47">
        <f>IF(C182="",0,IF(COUNTIFS(VC_cle,AK182)=0,0,MAX(INDEX((VC_cle=AK182)*(VC_date+ROW(VC_date)/100000),0))))</f>
        <v/>
      </c>
      <c r="AM182" s="47">
        <f>IF(AND(C182&lt;&gt;"",N(AB182)&gt;0,D182&lt;&gt;"Perdu"),AB182+ROW()/100000,0)</f>
        <v/>
      </c>
      <c r="AN182" s="48">
        <f>IF(N(AF182)&gt;0,ROUND(AF182,0)+ROW()/1000000,0)</f>
        <v/>
      </c>
    </row>
    <row r="183" ht="18" customHeight="1">
      <c r="A183" s="39" t="n">
        <v>178</v>
      </c>
      <c r="B183" s="33">
        <f>IF(C183="","",IF(X183="À RENSEIGNER","GIC",X183)&amp;"-"&amp;TEXT(A183,"000"))</f>
        <v/>
      </c>
      <c r="C183" s="36" t="n"/>
      <c r="D183" s="34">
        <f>IF(C183="","",IF(U183="☑ Oui","Perdu",IF(AD183&lt;&gt;"","Client","Prospect")))</f>
        <v/>
      </c>
      <c r="E183" s="36" t="n"/>
      <c r="F183" s="36" t="n"/>
      <c r="G183" s="44" t="n"/>
      <c r="H183" s="44" t="n"/>
      <c r="I183" s="36" t="n"/>
      <c r="J183" s="36" t="n"/>
      <c r="K183" s="41" t="n"/>
      <c r="L183" s="41" t="n"/>
      <c r="M183" s="36" t="n"/>
      <c r="N183" s="36" t="n"/>
      <c r="O183" s="32" t="n"/>
      <c r="P183" s="36" t="n"/>
      <c r="Q183" s="36" t="n"/>
      <c r="R183" s="34">
        <f>IF(P183="","",IFERROR(VLOOKUP(P183,T_Produits,2,FALSE),""))</f>
        <v/>
      </c>
      <c r="S183" s="36" t="n"/>
      <c r="T183" s="43" t="n"/>
      <c r="U183" s="43" t="n"/>
      <c r="V183" s="36" t="n"/>
      <c r="W183" s="36" t="n"/>
      <c r="X183" s="33">
        <f>IF(C183="","",Commercial_Id)</f>
        <v/>
      </c>
      <c r="Y183" s="33">
        <f>IF(E183="","",IF(E183="Particulier / ménage","Particulier","Entreprise"))</f>
        <v/>
      </c>
      <c r="Z183" s="39">
        <f>IF(C183="","",COUNTIFS(VC_cle,AK183,VC_type,"Visite sur place"))</f>
        <v/>
      </c>
      <c r="AA183" s="46">
        <f>IF(AL183=0,"",IF(INT(AL183)=0,"",INT(AL183)))</f>
        <v/>
      </c>
      <c r="AB183" s="46">
        <f>IF(AL183=0,"",IF(INDEX(VC_actiondate,ROUND(MOD(AL183,1)*100000,0)-5)=0,"",INDEX(VC_actiondate,ROUND(MOD(AL183,1)*100000,0)-5)))</f>
        <v/>
      </c>
      <c r="AC183" s="33">
        <f>IF(AL183=0,"",INDEX(VC_actiontexte,ROUND(MOD(AL183,1)*100000,0)-5)&amp;"")</f>
        <v/>
      </c>
      <c r="AD183" s="46">
        <f>IF(C183="","",IF(COUNTIFS(Cmd_cle,AK183,Cmd_dateca,"&gt;0")=0,"",SMALL(INDEX(Cmd_dateca+(((Cmd_cle&lt;&gt;AK183)+(Cmd_dateca=0))&gt;0)*1000000,0),1)))</f>
        <v/>
      </c>
      <c r="AE183" s="46">
        <f>IF(C183="","",IF(COUNTIFS(Cmd_cle,AK183,Cmd_dateca,"&gt;0")=0,"",MAX(INDEX((Cmd_cle=AK183)*Cmd_dateca,0))))</f>
        <v/>
      </c>
      <c r="AF183" s="40">
        <f>IF(C183="","",SUMIFS(Cmd_montant,Cmd_cle,AK183,Cmd_dateca,"&gt;0"))</f>
        <v/>
      </c>
      <c r="AG183" s="40">
        <f>IF(C183="","",SUMIFS(Enc_montant,Enc_cle,AK183))</f>
        <v/>
      </c>
      <c r="AH183" s="40">
        <f>IF(C183="","",AF183-AG183)</f>
        <v/>
      </c>
      <c r="AI183" s="33">
        <f>IF(C183="","",IF(D183="Perdu","",IF(AND(AB183&lt;&gt;"",N(AB183)&lt;TODAY()),"Action en retard",IF(AND(D183="Client",AE183&lt;&gt;"",TODAY()-N(AE183)&gt;P_JoursInactif),"Client inactif",IF(AND(D183="Prospect",Z183=0,O183&lt;&gt;"",TODAY()-N(O183)&gt;P_JoursNonVisite),"Jamais visité","")))))</f>
        <v/>
      </c>
      <c r="AJ183" s="33">
        <f>IF(C183="","",C183&amp;" ["&amp;TEXT(A183,"000")&amp;"]")</f>
        <v/>
      </c>
      <c r="AK183" s="33">
        <f>IF(C183="","",X183&amp;"|"&amp;A183)</f>
        <v/>
      </c>
      <c r="AL183" s="47">
        <f>IF(C183="",0,IF(COUNTIFS(VC_cle,AK183)=0,0,MAX(INDEX((VC_cle=AK183)*(VC_date+ROW(VC_date)/100000),0))))</f>
        <v/>
      </c>
      <c r="AM183" s="47">
        <f>IF(AND(C183&lt;&gt;"",N(AB183)&gt;0,D183&lt;&gt;"Perdu"),AB183+ROW()/100000,0)</f>
        <v/>
      </c>
      <c r="AN183" s="48">
        <f>IF(N(AF183)&gt;0,ROUND(AF183,0)+ROW()/1000000,0)</f>
        <v/>
      </c>
    </row>
    <row r="184" ht="18" customHeight="1">
      <c r="A184" s="39" t="n">
        <v>179</v>
      </c>
      <c r="B184" s="33">
        <f>IF(C184="","",IF(X184="À RENSEIGNER","GIC",X184)&amp;"-"&amp;TEXT(A184,"000"))</f>
        <v/>
      </c>
      <c r="C184" s="36" t="n"/>
      <c r="D184" s="34">
        <f>IF(C184="","",IF(U184="☑ Oui","Perdu",IF(AD184&lt;&gt;"","Client","Prospect")))</f>
        <v/>
      </c>
      <c r="E184" s="36" t="n"/>
      <c r="F184" s="36" t="n"/>
      <c r="G184" s="44" t="n"/>
      <c r="H184" s="44" t="n"/>
      <c r="I184" s="36" t="n"/>
      <c r="J184" s="36" t="n"/>
      <c r="K184" s="41" t="n"/>
      <c r="L184" s="41" t="n"/>
      <c r="M184" s="36" t="n"/>
      <c r="N184" s="36" t="n"/>
      <c r="O184" s="32" t="n"/>
      <c r="P184" s="36" t="n"/>
      <c r="Q184" s="36" t="n"/>
      <c r="R184" s="34">
        <f>IF(P184="","",IFERROR(VLOOKUP(P184,T_Produits,2,FALSE),""))</f>
        <v/>
      </c>
      <c r="S184" s="36" t="n"/>
      <c r="T184" s="43" t="n"/>
      <c r="U184" s="43" t="n"/>
      <c r="V184" s="36" t="n"/>
      <c r="W184" s="36" t="n"/>
      <c r="X184" s="33">
        <f>IF(C184="","",Commercial_Id)</f>
        <v/>
      </c>
      <c r="Y184" s="33">
        <f>IF(E184="","",IF(E184="Particulier / ménage","Particulier","Entreprise"))</f>
        <v/>
      </c>
      <c r="Z184" s="39">
        <f>IF(C184="","",COUNTIFS(VC_cle,AK184,VC_type,"Visite sur place"))</f>
        <v/>
      </c>
      <c r="AA184" s="46">
        <f>IF(AL184=0,"",IF(INT(AL184)=0,"",INT(AL184)))</f>
        <v/>
      </c>
      <c r="AB184" s="46">
        <f>IF(AL184=0,"",IF(INDEX(VC_actiondate,ROUND(MOD(AL184,1)*100000,0)-5)=0,"",INDEX(VC_actiondate,ROUND(MOD(AL184,1)*100000,0)-5)))</f>
        <v/>
      </c>
      <c r="AC184" s="33">
        <f>IF(AL184=0,"",INDEX(VC_actiontexte,ROUND(MOD(AL184,1)*100000,0)-5)&amp;"")</f>
        <v/>
      </c>
      <c r="AD184" s="46">
        <f>IF(C184="","",IF(COUNTIFS(Cmd_cle,AK184,Cmd_dateca,"&gt;0")=0,"",SMALL(INDEX(Cmd_dateca+(((Cmd_cle&lt;&gt;AK184)+(Cmd_dateca=0))&gt;0)*1000000,0),1)))</f>
        <v/>
      </c>
      <c r="AE184" s="46">
        <f>IF(C184="","",IF(COUNTIFS(Cmd_cle,AK184,Cmd_dateca,"&gt;0")=0,"",MAX(INDEX((Cmd_cle=AK184)*Cmd_dateca,0))))</f>
        <v/>
      </c>
      <c r="AF184" s="40">
        <f>IF(C184="","",SUMIFS(Cmd_montant,Cmd_cle,AK184,Cmd_dateca,"&gt;0"))</f>
        <v/>
      </c>
      <c r="AG184" s="40">
        <f>IF(C184="","",SUMIFS(Enc_montant,Enc_cle,AK184))</f>
        <v/>
      </c>
      <c r="AH184" s="40">
        <f>IF(C184="","",AF184-AG184)</f>
        <v/>
      </c>
      <c r="AI184" s="33">
        <f>IF(C184="","",IF(D184="Perdu","",IF(AND(AB184&lt;&gt;"",N(AB184)&lt;TODAY()),"Action en retard",IF(AND(D184="Client",AE184&lt;&gt;"",TODAY()-N(AE184)&gt;P_JoursInactif),"Client inactif",IF(AND(D184="Prospect",Z184=0,O184&lt;&gt;"",TODAY()-N(O184)&gt;P_JoursNonVisite),"Jamais visité","")))))</f>
        <v/>
      </c>
      <c r="AJ184" s="33">
        <f>IF(C184="","",C184&amp;" ["&amp;TEXT(A184,"000")&amp;"]")</f>
        <v/>
      </c>
      <c r="AK184" s="33">
        <f>IF(C184="","",X184&amp;"|"&amp;A184)</f>
        <v/>
      </c>
      <c r="AL184" s="47">
        <f>IF(C184="",0,IF(COUNTIFS(VC_cle,AK184)=0,0,MAX(INDEX((VC_cle=AK184)*(VC_date+ROW(VC_date)/100000),0))))</f>
        <v/>
      </c>
      <c r="AM184" s="47">
        <f>IF(AND(C184&lt;&gt;"",N(AB184)&gt;0,D184&lt;&gt;"Perdu"),AB184+ROW()/100000,0)</f>
        <v/>
      </c>
      <c r="AN184" s="48">
        <f>IF(N(AF184)&gt;0,ROUND(AF184,0)+ROW()/1000000,0)</f>
        <v/>
      </c>
    </row>
    <row r="185" ht="18" customHeight="1">
      <c r="A185" s="39" t="n">
        <v>180</v>
      </c>
      <c r="B185" s="33">
        <f>IF(C185="","",IF(X185="À RENSEIGNER","GIC",X185)&amp;"-"&amp;TEXT(A185,"000"))</f>
        <v/>
      </c>
      <c r="C185" s="36" t="n"/>
      <c r="D185" s="34">
        <f>IF(C185="","",IF(U185="☑ Oui","Perdu",IF(AD185&lt;&gt;"","Client","Prospect")))</f>
        <v/>
      </c>
      <c r="E185" s="36" t="n"/>
      <c r="F185" s="36" t="n"/>
      <c r="G185" s="44" t="n"/>
      <c r="H185" s="44" t="n"/>
      <c r="I185" s="36" t="n"/>
      <c r="J185" s="36" t="n"/>
      <c r="K185" s="41" t="n"/>
      <c r="L185" s="41" t="n"/>
      <c r="M185" s="36" t="n"/>
      <c r="N185" s="36" t="n"/>
      <c r="O185" s="32" t="n"/>
      <c r="P185" s="36" t="n"/>
      <c r="Q185" s="36" t="n"/>
      <c r="R185" s="34">
        <f>IF(P185="","",IFERROR(VLOOKUP(P185,T_Produits,2,FALSE),""))</f>
        <v/>
      </c>
      <c r="S185" s="36" t="n"/>
      <c r="T185" s="43" t="n"/>
      <c r="U185" s="43" t="n"/>
      <c r="V185" s="36" t="n"/>
      <c r="W185" s="36" t="n"/>
      <c r="X185" s="33">
        <f>IF(C185="","",Commercial_Id)</f>
        <v/>
      </c>
      <c r="Y185" s="33">
        <f>IF(E185="","",IF(E185="Particulier / ménage","Particulier","Entreprise"))</f>
        <v/>
      </c>
      <c r="Z185" s="39">
        <f>IF(C185="","",COUNTIFS(VC_cle,AK185,VC_type,"Visite sur place"))</f>
        <v/>
      </c>
      <c r="AA185" s="46">
        <f>IF(AL185=0,"",IF(INT(AL185)=0,"",INT(AL185)))</f>
        <v/>
      </c>
      <c r="AB185" s="46">
        <f>IF(AL185=0,"",IF(INDEX(VC_actiondate,ROUND(MOD(AL185,1)*100000,0)-5)=0,"",INDEX(VC_actiondate,ROUND(MOD(AL185,1)*100000,0)-5)))</f>
        <v/>
      </c>
      <c r="AC185" s="33">
        <f>IF(AL185=0,"",INDEX(VC_actiontexte,ROUND(MOD(AL185,1)*100000,0)-5)&amp;"")</f>
        <v/>
      </c>
      <c r="AD185" s="46">
        <f>IF(C185="","",IF(COUNTIFS(Cmd_cle,AK185,Cmd_dateca,"&gt;0")=0,"",SMALL(INDEX(Cmd_dateca+(((Cmd_cle&lt;&gt;AK185)+(Cmd_dateca=0))&gt;0)*1000000,0),1)))</f>
        <v/>
      </c>
      <c r="AE185" s="46">
        <f>IF(C185="","",IF(COUNTIFS(Cmd_cle,AK185,Cmd_dateca,"&gt;0")=0,"",MAX(INDEX((Cmd_cle=AK185)*Cmd_dateca,0))))</f>
        <v/>
      </c>
      <c r="AF185" s="40">
        <f>IF(C185="","",SUMIFS(Cmd_montant,Cmd_cle,AK185,Cmd_dateca,"&gt;0"))</f>
        <v/>
      </c>
      <c r="AG185" s="40">
        <f>IF(C185="","",SUMIFS(Enc_montant,Enc_cle,AK185))</f>
        <v/>
      </c>
      <c r="AH185" s="40">
        <f>IF(C185="","",AF185-AG185)</f>
        <v/>
      </c>
      <c r="AI185" s="33">
        <f>IF(C185="","",IF(D185="Perdu","",IF(AND(AB185&lt;&gt;"",N(AB185)&lt;TODAY()),"Action en retard",IF(AND(D185="Client",AE185&lt;&gt;"",TODAY()-N(AE185)&gt;P_JoursInactif),"Client inactif",IF(AND(D185="Prospect",Z185=0,O185&lt;&gt;"",TODAY()-N(O185)&gt;P_JoursNonVisite),"Jamais visité","")))))</f>
        <v/>
      </c>
      <c r="AJ185" s="33">
        <f>IF(C185="","",C185&amp;" ["&amp;TEXT(A185,"000")&amp;"]")</f>
        <v/>
      </c>
      <c r="AK185" s="33">
        <f>IF(C185="","",X185&amp;"|"&amp;A185)</f>
        <v/>
      </c>
      <c r="AL185" s="47">
        <f>IF(C185="",0,IF(COUNTIFS(VC_cle,AK185)=0,0,MAX(INDEX((VC_cle=AK185)*(VC_date+ROW(VC_date)/100000),0))))</f>
        <v/>
      </c>
      <c r="AM185" s="47">
        <f>IF(AND(C185&lt;&gt;"",N(AB185)&gt;0,D185&lt;&gt;"Perdu"),AB185+ROW()/100000,0)</f>
        <v/>
      </c>
      <c r="AN185" s="48">
        <f>IF(N(AF185)&gt;0,ROUND(AF185,0)+ROW()/1000000,0)</f>
        <v/>
      </c>
    </row>
    <row r="186" ht="18" customHeight="1">
      <c r="A186" s="39" t="n">
        <v>181</v>
      </c>
      <c r="B186" s="33">
        <f>IF(C186="","",IF(X186="À RENSEIGNER","GIC",X186)&amp;"-"&amp;TEXT(A186,"000"))</f>
        <v/>
      </c>
      <c r="C186" s="36" t="n"/>
      <c r="D186" s="34">
        <f>IF(C186="","",IF(U186="☑ Oui","Perdu",IF(AD186&lt;&gt;"","Client","Prospect")))</f>
        <v/>
      </c>
      <c r="E186" s="36" t="n"/>
      <c r="F186" s="36" t="n"/>
      <c r="G186" s="44" t="n"/>
      <c r="H186" s="44" t="n"/>
      <c r="I186" s="36" t="n"/>
      <c r="J186" s="36" t="n"/>
      <c r="K186" s="41" t="n"/>
      <c r="L186" s="41" t="n"/>
      <c r="M186" s="36" t="n"/>
      <c r="N186" s="36" t="n"/>
      <c r="O186" s="32" t="n"/>
      <c r="P186" s="36" t="n"/>
      <c r="Q186" s="36" t="n"/>
      <c r="R186" s="34">
        <f>IF(P186="","",IFERROR(VLOOKUP(P186,T_Produits,2,FALSE),""))</f>
        <v/>
      </c>
      <c r="S186" s="36" t="n"/>
      <c r="T186" s="43" t="n"/>
      <c r="U186" s="43" t="n"/>
      <c r="V186" s="36" t="n"/>
      <c r="W186" s="36" t="n"/>
      <c r="X186" s="33">
        <f>IF(C186="","",Commercial_Id)</f>
        <v/>
      </c>
      <c r="Y186" s="33">
        <f>IF(E186="","",IF(E186="Particulier / ménage","Particulier","Entreprise"))</f>
        <v/>
      </c>
      <c r="Z186" s="39">
        <f>IF(C186="","",COUNTIFS(VC_cle,AK186,VC_type,"Visite sur place"))</f>
        <v/>
      </c>
      <c r="AA186" s="46">
        <f>IF(AL186=0,"",IF(INT(AL186)=0,"",INT(AL186)))</f>
        <v/>
      </c>
      <c r="AB186" s="46">
        <f>IF(AL186=0,"",IF(INDEX(VC_actiondate,ROUND(MOD(AL186,1)*100000,0)-5)=0,"",INDEX(VC_actiondate,ROUND(MOD(AL186,1)*100000,0)-5)))</f>
        <v/>
      </c>
      <c r="AC186" s="33">
        <f>IF(AL186=0,"",INDEX(VC_actiontexte,ROUND(MOD(AL186,1)*100000,0)-5)&amp;"")</f>
        <v/>
      </c>
      <c r="AD186" s="46">
        <f>IF(C186="","",IF(COUNTIFS(Cmd_cle,AK186,Cmd_dateca,"&gt;0")=0,"",SMALL(INDEX(Cmd_dateca+(((Cmd_cle&lt;&gt;AK186)+(Cmd_dateca=0))&gt;0)*1000000,0),1)))</f>
        <v/>
      </c>
      <c r="AE186" s="46">
        <f>IF(C186="","",IF(COUNTIFS(Cmd_cle,AK186,Cmd_dateca,"&gt;0")=0,"",MAX(INDEX((Cmd_cle=AK186)*Cmd_dateca,0))))</f>
        <v/>
      </c>
      <c r="AF186" s="40">
        <f>IF(C186="","",SUMIFS(Cmd_montant,Cmd_cle,AK186,Cmd_dateca,"&gt;0"))</f>
        <v/>
      </c>
      <c r="AG186" s="40">
        <f>IF(C186="","",SUMIFS(Enc_montant,Enc_cle,AK186))</f>
        <v/>
      </c>
      <c r="AH186" s="40">
        <f>IF(C186="","",AF186-AG186)</f>
        <v/>
      </c>
      <c r="AI186" s="33">
        <f>IF(C186="","",IF(D186="Perdu","",IF(AND(AB186&lt;&gt;"",N(AB186)&lt;TODAY()),"Action en retard",IF(AND(D186="Client",AE186&lt;&gt;"",TODAY()-N(AE186)&gt;P_JoursInactif),"Client inactif",IF(AND(D186="Prospect",Z186=0,O186&lt;&gt;"",TODAY()-N(O186)&gt;P_JoursNonVisite),"Jamais visité","")))))</f>
        <v/>
      </c>
      <c r="AJ186" s="33">
        <f>IF(C186="","",C186&amp;" ["&amp;TEXT(A186,"000")&amp;"]")</f>
        <v/>
      </c>
      <c r="AK186" s="33">
        <f>IF(C186="","",X186&amp;"|"&amp;A186)</f>
        <v/>
      </c>
      <c r="AL186" s="47">
        <f>IF(C186="",0,IF(COUNTIFS(VC_cle,AK186)=0,0,MAX(INDEX((VC_cle=AK186)*(VC_date+ROW(VC_date)/100000),0))))</f>
        <v/>
      </c>
      <c r="AM186" s="47">
        <f>IF(AND(C186&lt;&gt;"",N(AB186)&gt;0,D186&lt;&gt;"Perdu"),AB186+ROW()/100000,0)</f>
        <v/>
      </c>
      <c r="AN186" s="48">
        <f>IF(N(AF186)&gt;0,ROUND(AF186,0)+ROW()/1000000,0)</f>
        <v/>
      </c>
    </row>
    <row r="187" ht="18" customHeight="1">
      <c r="A187" s="39" t="n">
        <v>182</v>
      </c>
      <c r="B187" s="33">
        <f>IF(C187="","",IF(X187="À RENSEIGNER","GIC",X187)&amp;"-"&amp;TEXT(A187,"000"))</f>
        <v/>
      </c>
      <c r="C187" s="36" t="n"/>
      <c r="D187" s="34">
        <f>IF(C187="","",IF(U187="☑ Oui","Perdu",IF(AD187&lt;&gt;"","Client","Prospect")))</f>
        <v/>
      </c>
      <c r="E187" s="36" t="n"/>
      <c r="F187" s="36" t="n"/>
      <c r="G187" s="44" t="n"/>
      <c r="H187" s="44" t="n"/>
      <c r="I187" s="36" t="n"/>
      <c r="J187" s="36" t="n"/>
      <c r="K187" s="41" t="n"/>
      <c r="L187" s="41" t="n"/>
      <c r="M187" s="36" t="n"/>
      <c r="N187" s="36" t="n"/>
      <c r="O187" s="32" t="n"/>
      <c r="P187" s="36" t="n"/>
      <c r="Q187" s="36" t="n"/>
      <c r="R187" s="34">
        <f>IF(P187="","",IFERROR(VLOOKUP(P187,T_Produits,2,FALSE),""))</f>
        <v/>
      </c>
      <c r="S187" s="36" t="n"/>
      <c r="T187" s="43" t="n"/>
      <c r="U187" s="43" t="n"/>
      <c r="V187" s="36" t="n"/>
      <c r="W187" s="36" t="n"/>
      <c r="X187" s="33">
        <f>IF(C187="","",Commercial_Id)</f>
        <v/>
      </c>
      <c r="Y187" s="33">
        <f>IF(E187="","",IF(E187="Particulier / ménage","Particulier","Entreprise"))</f>
        <v/>
      </c>
      <c r="Z187" s="39">
        <f>IF(C187="","",COUNTIFS(VC_cle,AK187,VC_type,"Visite sur place"))</f>
        <v/>
      </c>
      <c r="AA187" s="46">
        <f>IF(AL187=0,"",IF(INT(AL187)=0,"",INT(AL187)))</f>
        <v/>
      </c>
      <c r="AB187" s="46">
        <f>IF(AL187=0,"",IF(INDEX(VC_actiondate,ROUND(MOD(AL187,1)*100000,0)-5)=0,"",INDEX(VC_actiondate,ROUND(MOD(AL187,1)*100000,0)-5)))</f>
        <v/>
      </c>
      <c r="AC187" s="33">
        <f>IF(AL187=0,"",INDEX(VC_actiontexte,ROUND(MOD(AL187,1)*100000,0)-5)&amp;"")</f>
        <v/>
      </c>
      <c r="AD187" s="46">
        <f>IF(C187="","",IF(COUNTIFS(Cmd_cle,AK187,Cmd_dateca,"&gt;0")=0,"",SMALL(INDEX(Cmd_dateca+(((Cmd_cle&lt;&gt;AK187)+(Cmd_dateca=0))&gt;0)*1000000,0),1)))</f>
        <v/>
      </c>
      <c r="AE187" s="46">
        <f>IF(C187="","",IF(COUNTIFS(Cmd_cle,AK187,Cmd_dateca,"&gt;0")=0,"",MAX(INDEX((Cmd_cle=AK187)*Cmd_dateca,0))))</f>
        <v/>
      </c>
      <c r="AF187" s="40">
        <f>IF(C187="","",SUMIFS(Cmd_montant,Cmd_cle,AK187,Cmd_dateca,"&gt;0"))</f>
        <v/>
      </c>
      <c r="AG187" s="40">
        <f>IF(C187="","",SUMIFS(Enc_montant,Enc_cle,AK187))</f>
        <v/>
      </c>
      <c r="AH187" s="40">
        <f>IF(C187="","",AF187-AG187)</f>
        <v/>
      </c>
      <c r="AI187" s="33">
        <f>IF(C187="","",IF(D187="Perdu","",IF(AND(AB187&lt;&gt;"",N(AB187)&lt;TODAY()),"Action en retard",IF(AND(D187="Client",AE187&lt;&gt;"",TODAY()-N(AE187)&gt;P_JoursInactif),"Client inactif",IF(AND(D187="Prospect",Z187=0,O187&lt;&gt;"",TODAY()-N(O187)&gt;P_JoursNonVisite),"Jamais visité","")))))</f>
        <v/>
      </c>
      <c r="AJ187" s="33">
        <f>IF(C187="","",C187&amp;" ["&amp;TEXT(A187,"000")&amp;"]")</f>
        <v/>
      </c>
      <c r="AK187" s="33">
        <f>IF(C187="","",X187&amp;"|"&amp;A187)</f>
        <v/>
      </c>
      <c r="AL187" s="47">
        <f>IF(C187="",0,IF(COUNTIFS(VC_cle,AK187)=0,0,MAX(INDEX((VC_cle=AK187)*(VC_date+ROW(VC_date)/100000),0))))</f>
        <v/>
      </c>
      <c r="AM187" s="47">
        <f>IF(AND(C187&lt;&gt;"",N(AB187)&gt;0,D187&lt;&gt;"Perdu"),AB187+ROW()/100000,0)</f>
        <v/>
      </c>
      <c r="AN187" s="48">
        <f>IF(N(AF187)&gt;0,ROUND(AF187,0)+ROW()/1000000,0)</f>
        <v/>
      </c>
    </row>
    <row r="188" ht="18" customHeight="1">
      <c r="A188" s="39" t="n">
        <v>183</v>
      </c>
      <c r="B188" s="33">
        <f>IF(C188="","",IF(X188="À RENSEIGNER","GIC",X188)&amp;"-"&amp;TEXT(A188,"000"))</f>
        <v/>
      </c>
      <c r="C188" s="36" t="n"/>
      <c r="D188" s="34">
        <f>IF(C188="","",IF(U188="☑ Oui","Perdu",IF(AD188&lt;&gt;"","Client","Prospect")))</f>
        <v/>
      </c>
      <c r="E188" s="36" t="n"/>
      <c r="F188" s="36" t="n"/>
      <c r="G188" s="44" t="n"/>
      <c r="H188" s="44" t="n"/>
      <c r="I188" s="36" t="n"/>
      <c r="J188" s="36" t="n"/>
      <c r="K188" s="41" t="n"/>
      <c r="L188" s="41" t="n"/>
      <c r="M188" s="36" t="n"/>
      <c r="N188" s="36" t="n"/>
      <c r="O188" s="32" t="n"/>
      <c r="P188" s="36" t="n"/>
      <c r="Q188" s="36" t="n"/>
      <c r="R188" s="34">
        <f>IF(P188="","",IFERROR(VLOOKUP(P188,T_Produits,2,FALSE),""))</f>
        <v/>
      </c>
      <c r="S188" s="36" t="n"/>
      <c r="T188" s="43" t="n"/>
      <c r="U188" s="43" t="n"/>
      <c r="V188" s="36" t="n"/>
      <c r="W188" s="36" t="n"/>
      <c r="X188" s="33">
        <f>IF(C188="","",Commercial_Id)</f>
        <v/>
      </c>
      <c r="Y188" s="33">
        <f>IF(E188="","",IF(E188="Particulier / ménage","Particulier","Entreprise"))</f>
        <v/>
      </c>
      <c r="Z188" s="39">
        <f>IF(C188="","",COUNTIFS(VC_cle,AK188,VC_type,"Visite sur place"))</f>
        <v/>
      </c>
      <c r="AA188" s="46">
        <f>IF(AL188=0,"",IF(INT(AL188)=0,"",INT(AL188)))</f>
        <v/>
      </c>
      <c r="AB188" s="46">
        <f>IF(AL188=0,"",IF(INDEX(VC_actiondate,ROUND(MOD(AL188,1)*100000,0)-5)=0,"",INDEX(VC_actiondate,ROUND(MOD(AL188,1)*100000,0)-5)))</f>
        <v/>
      </c>
      <c r="AC188" s="33">
        <f>IF(AL188=0,"",INDEX(VC_actiontexte,ROUND(MOD(AL188,1)*100000,0)-5)&amp;"")</f>
        <v/>
      </c>
      <c r="AD188" s="46">
        <f>IF(C188="","",IF(COUNTIFS(Cmd_cle,AK188,Cmd_dateca,"&gt;0")=0,"",SMALL(INDEX(Cmd_dateca+(((Cmd_cle&lt;&gt;AK188)+(Cmd_dateca=0))&gt;0)*1000000,0),1)))</f>
        <v/>
      </c>
      <c r="AE188" s="46">
        <f>IF(C188="","",IF(COUNTIFS(Cmd_cle,AK188,Cmd_dateca,"&gt;0")=0,"",MAX(INDEX((Cmd_cle=AK188)*Cmd_dateca,0))))</f>
        <v/>
      </c>
      <c r="AF188" s="40">
        <f>IF(C188="","",SUMIFS(Cmd_montant,Cmd_cle,AK188,Cmd_dateca,"&gt;0"))</f>
        <v/>
      </c>
      <c r="AG188" s="40">
        <f>IF(C188="","",SUMIFS(Enc_montant,Enc_cle,AK188))</f>
        <v/>
      </c>
      <c r="AH188" s="40">
        <f>IF(C188="","",AF188-AG188)</f>
        <v/>
      </c>
      <c r="AI188" s="33">
        <f>IF(C188="","",IF(D188="Perdu","",IF(AND(AB188&lt;&gt;"",N(AB188)&lt;TODAY()),"Action en retard",IF(AND(D188="Client",AE188&lt;&gt;"",TODAY()-N(AE188)&gt;P_JoursInactif),"Client inactif",IF(AND(D188="Prospect",Z188=0,O188&lt;&gt;"",TODAY()-N(O188)&gt;P_JoursNonVisite),"Jamais visité","")))))</f>
        <v/>
      </c>
      <c r="AJ188" s="33">
        <f>IF(C188="","",C188&amp;" ["&amp;TEXT(A188,"000")&amp;"]")</f>
        <v/>
      </c>
      <c r="AK188" s="33">
        <f>IF(C188="","",X188&amp;"|"&amp;A188)</f>
        <v/>
      </c>
      <c r="AL188" s="47">
        <f>IF(C188="",0,IF(COUNTIFS(VC_cle,AK188)=0,0,MAX(INDEX((VC_cle=AK188)*(VC_date+ROW(VC_date)/100000),0))))</f>
        <v/>
      </c>
      <c r="AM188" s="47">
        <f>IF(AND(C188&lt;&gt;"",N(AB188)&gt;0,D188&lt;&gt;"Perdu"),AB188+ROW()/100000,0)</f>
        <v/>
      </c>
      <c r="AN188" s="48">
        <f>IF(N(AF188)&gt;0,ROUND(AF188,0)+ROW()/1000000,0)</f>
        <v/>
      </c>
    </row>
    <row r="189" ht="18" customHeight="1">
      <c r="A189" s="39" t="n">
        <v>184</v>
      </c>
      <c r="B189" s="33">
        <f>IF(C189="","",IF(X189="À RENSEIGNER","GIC",X189)&amp;"-"&amp;TEXT(A189,"000"))</f>
        <v/>
      </c>
      <c r="C189" s="36" t="n"/>
      <c r="D189" s="34">
        <f>IF(C189="","",IF(U189="☑ Oui","Perdu",IF(AD189&lt;&gt;"","Client","Prospect")))</f>
        <v/>
      </c>
      <c r="E189" s="36" t="n"/>
      <c r="F189" s="36" t="n"/>
      <c r="G189" s="44" t="n"/>
      <c r="H189" s="44" t="n"/>
      <c r="I189" s="36" t="n"/>
      <c r="J189" s="36" t="n"/>
      <c r="K189" s="41" t="n"/>
      <c r="L189" s="41" t="n"/>
      <c r="M189" s="36" t="n"/>
      <c r="N189" s="36" t="n"/>
      <c r="O189" s="32" t="n"/>
      <c r="P189" s="36" t="n"/>
      <c r="Q189" s="36" t="n"/>
      <c r="R189" s="34">
        <f>IF(P189="","",IFERROR(VLOOKUP(P189,T_Produits,2,FALSE),""))</f>
        <v/>
      </c>
      <c r="S189" s="36" t="n"/>
      <c r="T189" s="43" t="n"/>
      <c r="U189" s="43" t="n"/>
      <c r="V189" s="36" t="n"/>
      <c r="W189" s="36" t="n"/>
      <c r="X189" s="33">
        <f>IF(C189="","",Commercial_Id)</f>
        <v/>
      </c>
      <c r="Y189" s="33">
        <f>IF(E189="","",IF(E189="Particulier / ménage","Particulier","Entreprise"))</f>
        <v/>
      </c>
      <c r="Z189" s="39">
        <f>IF(C189="","",COUNTIFS(VC_cle,AK189,VC_type,"Visite sur place"))</f>
        <v/>
      </c>
      <c r="AA189" s="46">
        <f>IF(AL189=0,"",IF(INT(AL189)=0,"",INT(AL189)))</f>
        <v/>
      </c>
      <c r="AB189" s="46">
        <f>IF(AL189=0,"",IF(INDEX(VC_actiondate,ROUND(MOD(AL189,1)*100000,0)-5)=0,"",INDEX(VC_actiondate,ROUND(MOD(AL189,1)*100000,0)-5)))</f>
        <v/>
      </c>
      <c r="AC189" s="33">
        <f>IF(AL189=0,"",INDEX(VC_actiontexte,ROUND(MOD(AL189,1)*100000,0)-5)&amp;"")</f>
        <v/>
      </c>
      <c r="AD189" s="46">
        <f>IF(C189="","",IF(COUNTIFS(Cmd_cle,AK189,Cmd_dateca,"&gt;0")=0,"",SMALL(INDEX(Cmd_dateca+(((Cmd_cle&lt;&gt;AK189)+(Cmd_dateca=0))&gt;0)*1000000,0),1)))</f>
        <v/>
      </c>
      <c r="AE189" s="46">
        <f>IF(C189="","",IF(COUNTIFS(Cmd_cle,AK189,Cmd_dateca,"&gt;0")=0,"",MAX(INDEX((Cmd_cle=AK189)*Cmd_dateca,0))))</f>
        <v/>
      </c>
      <c r="AF189" s="40">
        <f>IF(C189="","",SUMIFS(Cmd_montant,Cmd_cle,AK189,Cmd_dateca,"&gt;0"))</f>
        <v/>
      </c>
      <c r="AG189" s="40">
        <f>IF(C189="","",SUMIFS(Enc_montant,Enc_cle,AK189))</f>
        <v/>
      </c>
      <c r="AH189" s="40">
        <f>IF(C189="","",AF189-AG189)</f>
        <v/>
      </c>
      <c r="AI189" s="33">
        <f>IF(C189="","",IF(D189="Perdu","",IF(AND(AB189&lt;&gt;"",N(AB189)&lt;TODAY()),"Action en retard",IF(AND(D189="Client",AE189&lt;&gt;"",TODAY()-N(AE189)&gt;P_JoursInactif),"Client inactif",IF(AND(D189="Prospect",Z189=0,O189&lt;&gt;"",TODAY()-N(O189)&gt;P_JoursNonVisite),"Jamais visité","")))))</f>
        <v/>
      </c>
      <c r="AJ189" s="33">
        <f>IF(C189="","",C189&amp;" ["&amp;TEXT(A189,"000")&amp;"]")</f>
        <v/>
      </c>
      <c r="AK189" s="33">
        <f>IF(C189="","",X189&amp;"|"&amp;A189)</f>
        <v/>
      </c>
      <c r="AL189" s="47">
        <f>IF(C189="",0,IF(COUNTIFS(VC_cle,AK189)=0,0,MAX(INDEX((VC_cle=AK189)*(VC_date+ROW(VC_date)/100000),0))))</f>
        <v/>
      </c>
      <c r="AM189" s="47">
        <f>IF(AND(C189&lt;&gt;"",N(AB189)&gt;0,D189&lt;&gt;"Perdu"),AB189+ROW()/100000,0)</f>
        <v/>
      </c>
      <c r="AN189" s="48">
        <f>IF(N(AF189)&gt;0,ROUND(AF189,0)+ROW()/1000000,0)</f>
        <v/>
      </c>
    </row>
    <row r="190" ht="18" customHeight="1">
      <c r="A190" s="39" t="n">
        <v>185</v>
      </c>
      <c r="B190" s="33">
        <f>IF(C190="","",IF(X190="À RENSEIGNER","GIC",X190)&amp;"-"&amp;TEXT(A190,"000"))</f>
        <v/>
      </c>
      <c r="C190" s="36" t="n"/>
      <c r="D190" s="34">
        <f>IF(C190="","",IF(U190="☑ Oui","Perdu",IF(AD190&lt;&gt;"","Client","Prospect")))</f>
        <v/>
      </c>
      <c r="E190" s="36" t="n"/>
      <c r="F190" s="36" t="n"/>
      <c r="G190" s="44" t="n"/>
      <c r="H190" s="44" t="n"/>
      <c r="I190" s="36" t="n"/>
      <c r="J190" s="36" t="n"/>
      <c r="K190" s="41" t="n"/>
      <c r="L190" s="41" t="n"/>
      <c r="M190" s="36" t="n"/>
      <c r="N190" s="36" t="n"/>
      <c r="O190" s="32" t="n"/>
      <c r="P190" s="36" t="n"/>
      <c r="Q190" s="36" t="n"/>
      <c r="R190" s="34">
        <f>IF(P190="","",IFERROR(VLOOKUP(P190,T_Produits,2,FALSE),""))</f>
        <v/>
      </c>
      <c r="S190" s="36" t="n"/>
      <c r="T190" s="43" t="n"/>
      <c r="U190" s="43" t="n"/>
      <c r="V190" s="36" t="n"/>
      <c r="W190" s="36" t="n"/>
      <c r="X190" s="33">
        <f>IF(C190="","",Commercial_Id)</f>
        <v/>
      </c>
      <c r="Y190" s="33">
        <f>IF(E190="","",IF(E190="Particulier / ménage","Particulier","Entreprise"))</f>
        <v/>
      </c>
      <c r="Z190" s="39">
        <f>IF(C190="","",COUNTIFS(VC_cle,AK190,VC_type,"Visite sur place"))</f>
        <v/>
      </c>
      <c r="AA190" s="46">
        <f>IF(AL190=0,"",IF(INT(AL190)=0,"",INT(AL190)))</f>
        <v/>
      </c>
      <c r="AB190" s="46">
        <f>IF(AL190=0,"",IF(INDEX(VC_actiondate,ROUND(MOD(AL190,1)*100000,0)-5)=0,"",INDEX(VC_actiondate,ROUND(MOD(AL190,1)*100000,0)-5)))</f>
        <v/>
      </c>
      <c r="AC190" s="33">
        <f>IF(AL190=0,"",INDEX(VC_actiontexte,ROUND(MOD(AL190,1)*100000,0)-5)&amp;"")</f>
        <v/>
      </c>
      <c r="AD190" s="46">
        <f>IF(C190="","",IF(COUNTIFS(Cmd_cle,AK190,Cmd_dateca,"&gt;0")=0,"",SMALL(INDEX(Cmd_dateca+(((Cmd_cle&lt;&gt;AK190)+(Cmd_dateca=0))&gt;0)*1000000,0),1)))</f>
        <v/>
      </c>
      <c r="AE190" s="46">
        <f>IF(C190="","",IF(COUNTIFS(Cmd_cle,AK190,Cmd_dateca,"&gt;0")=0,"",MAX(INDEX((Cmd_cle=AK190)*Cmd_dateca,0))))</f>
        <v/>
      </c>
      <c r="AF190" s="40">
        <f>IF(C190="","",SUMIFS(Cmd_montant,Cmd_cle,AK190,Cmd_dateca,"&gt;0"))</f>
        <v/>
      </c>
      <c r="AG190" s="40">
        <f>IF(C190="","",SUMIFS(Enc_montant,Enc_cle,AK190))</f>
        <v/>
      </c>
      <c r="AH190" s="40">
        <f>IF(C190="","",AF190-AG190)</f>
        <v/>
      </c>
      <c r="AI190" s="33">
        <f>IF(C190="","",IF(D190="Perdu","",IF(AND(AB190&lt;&gt;"",N(AB190)&lt;TODAY()),"Action en retard",IF(AND(D190="Client",AE190&lt;&gt;"",TODAY()-N(AE190)&gt;P_JoursInactif),"Client inactif",IF(AND(D190="Prospect",Z190=0,O190&lt;&gt;"",TODAY()-N(O190)&gt;P_JoursNonVisite),"Jamais visité","")))))</f>
        <v/>
      </c>
      <c r="AJ190" s="33">
        <f>IF(C190="","",C190&amp;" ["&amp;TEXT(A190,"000")&amp;"]")</f>
        <v/>
      </c>
      <c r="AK190" s="33">
        <f>IF(C190="","",X190&amp;"|"&amp;A190)</f>
        <v/>
      </c>
      <c r="AL190" s="47">
        <f>IF(C190="",0,IF(COUNTIFS(VC_cle,AK190)=0,0,MAX(INDEX((VC_cle=AK190)*(VC_date+ROW(VC_date)/100000),0))))</f>
        <v/>
      </c>
      <c r="AM190" s="47">
        <f>IF(AND(C190&lt;&gt;"",N(AB190)&gt;0,D190&lt;&gt;"Perdu"),AB190+ROW()/100000,0)</f>
        <v/>
      </c>
      <c r="AN190" s="48">
        <f>IF(N(AF190)&gt;0,ROUND(AF190,0)+ROW()/1000000,0)</f>
        <v/>
      </c>
    </row>
    <row r="191" ht="18" customHeight="1">
      <c r="A191" s="39" t="n">
        <v>186</v>
      </c>
      <c r="B191" s="33">
        <f>IF(C191="","",IF(X191="À RENSEIGNER","GIC",X191)&amp;"-"&amp;TEXT(A191,"000"))</f>
        <v/>
      </c>
      <c r="C191" s="36" t="n"/>
      <c r="D191" s="34">
        <f>IF(C191="","",IF(U191="☑ Oui","Perdu",IF(AD191&lt;&gt;"","Client","Prospect")))</f>
        <v/>
      </c>
      <c r="E191" s="36" t="n"/>
      <c r="F191" s="36" t="n"/>
      <c r="G191" s="44" t="n"/>
      <c r="H191" s="44" t="n"/>
      <c r="I191" s="36" t="n"/>
      <c r="J191" s="36" t="n"/>
      <c r="K191" s="41" t="n"/>
      <c r="L191" s="41" t="n"/>
      <c r="M191" s="36" t="n"/>
      <c r="N191" s="36" t="n"/>
      <c r="O191" s="32" t="n"/>
      <c r="P191" s="36" t="n"/>
      <c r="Q191" s="36" t="n"/>
      <c r="R191" s="34">
        <f>IF(P191="","",IFERROR(VLOOKUP(P191,T_Produits,2,FALSE),""))</f>
        <v/>
      </c>
      <c r="S191" s="36" t="n"/>
      <c r="T191" s="43" t="n"/>
      <c r="U191" s="43" t="n"/>
      <c r="V191" s="36" t="n"/>
      <c r="W191" s="36" t="n"/>
      <c r="X191" s="33">
        <f>IF(C191="","",Commercial_Id)</f>
        <v/>
      </c>
      <c r="Y191" s="33">
        <f>IF(E191="","",IF(E191="Particulier / ménage","Particulier","Entreprise"))</f>
        <v/>
      </c>
      <c r="Z191" s="39">
        <f>IF(C191="","",COUNTIFS(VC_cle,AK191,VC_type,"Visite sur place"))</f>
        <v/>
      </c>
      <c r="AA191" s="46">
        <f>IF(AL191=0,"",IF(INT(AL191)=0,"",INT(AL191)))</f>
        <v/>
      </c>
      <c r="AB191" s="46">
        <f>IF(AL191=0,"",IF(INDEX(VC_actiondate,ROUND(MOD(AL191,1)*100000,0)-5)=0,"",INDEX(VC_actiondate,ROUND(MOD(AL191,1)*100000,0)-5)))</f>
        <v/>
      </c>
      <c r="AC191" s="33">
        <f>IF(AL191=0,"",INDEX(VC_actiontexte,ROUND(MOD(AL191,1)*100000,0)-5)&amp;"")</f>
        <v/>
      </c>
      <c r="AD191" s="46">
        <f>IF(C191="","",IF(COUNTIFS(Cmd_cle,AK191,Cmd_dateca,"&gt;0")=0,"",SMALL(INDEX(Cmd_dateca+(((Cmd_cle&lt;&gt;AK191)+(Cmd_dateca=0))&gt;0)*1000000,0),1)))</f>
        <v/>
      </c>
      <c r="AE191" s="46">
        <f>IF(C191="","",IF(COUNTIFS(Cmd_cle,AK191,Cmd_dateca,"&gt;0")=0,"",MAX(INDEX((Cmd_cle=AK191)*Cmd_dateca,0))))</f>
        <v/>
      </c>
      <c r="AF191" s="40">
        <f>IF(C191="","",SUMIFS(Cmd_montant,Cmd_cle,AK191,Cmd_dateca,"&gt;0"))</f>
        <v/>
      </c>
      <c r="AG191" s="40">
        <f>IF(C191="","",SUMIFS(Enc_montant,Enc_cle,AK191))</f>
        <v/>
      </c>
      <c r="AH191" s="40">
        <f>IF(C191="","",AF191-AG191)</f>
        <v/>
      </c>
      <c r="AI191" s="33">
        <f>IF(C191="","",IF(D191="Perdu","",IF(AND(AB191&lt;&gt;"",N(AB191)&lt;TODAY()),"Action en retard",IF(AND(D191="Client",AE191&lt;&gt;"",TODAY()-N(AE191)&gt;P_JoursInactif),"Client inactif",IF(AND(D191="Prospect",Z191=0,O191&lt;&gt;"",TODAY()-N(O191)&gt;P_JoursNonVisite),"Jamais visité","")))))</f>
        <v/>
      </c>
      <c r="AJ191" s="33">
        <f>IF(C191="","",C191&amp;" ["&amp;TEXT(A191,"000")&amp;"]")</f>
        <v/>
      </c>
      <c r="AK191" s="33">
        <f>IF(C191="","",X191&amp;"|"&amp;A191)</f>
        <v/>
      </c>
      <c r="AL191" s="47">
        <f>IF(C191="",0,IF(COUNTIFS(VC_cle,AK191)=0,0,MAX(INDEX((VC_cle=AK191)*(VC_date+ROW(VC_date)/100000),0))))</f>
        <v/>
      </c>
      <c r="AM191" s="47">
        <f>IF(AND(C191&lt;&gt;"",N(AB191)&gt;0,D191&lt;&gt;"Perdu"),AB191+ROW()/100000,0)</f>
        <v/>
      </c>
      <c r="AN191" s="48">
        <f>IF(N(AF191)&gt;0,ROUND(AF191,0)+ROW()/1000000,0)</f>
        <v/>
      </c>
    </row>
    <row r="192" ht="18" customHeight="1">
      <c r="A192" s="39" t="n">
        <v>187</v>
      </c>
      <c r="B192" s="33">
        <f>IF(C192="","",IF(X192="À RENSEIGNER","GIC",X192)&amp;"-"&amp;TEXT(A192,"000"))</f>
        <v/>
      </c>
      <c r="C192" s="36" t="n"/>
      <c r="D192" s="34">
        <f>IF(C192="","",IF(U192="☑ Oui","Perdu",IF(AD192&lt;&gt;"","Client","Prospect")))</f>
        <v/>
      </c>
      <c r="E192" s="36" t="n"/>
      <c r="F192" s="36" t="n"/>
      <c r="G192" s="44" t="n"/>
      <c r="H192" s="44" t="n"/>
      <c r="I192" s="36" t="n"/>
      <c r="J192" s="36" t="n"/>
      <c r="K192" s="41" t="n"/>
      <c r="L192" s="41" t="n"/>
      <c r="M192" s="36" t="n"/>
      <c r="N192" s="36" t="n"/>
      <c r="O192" s="32" t="n"/>
      <c r="P192" s="36" t="n"/>
      <c r="Q192" s="36" t="n"/>
      <c r="R192" s="34">
        <f>IF(P192="","",IFERROR(VLOOKUP(P192,T_Produits,2,FALSE),""))</f>
        <v/>
      </c>
      <c r="S192" s="36" t="n"/>
      <c r="T192" s="43" t="n"/>
      <c r="U192" s="43" t="n"/>
      <c r="V192" s="36" t="n"/>
      <c r="W192" s="36" t="n"/>
      <c r="X192" s="33">
        <f>IF(C192="","",Commercial_Id)</f>
        <v/>
      </c>
      <c r="Y192" s="33">
        <f>IF(E192="","",IF(E192="Particulier / ménage","Particulier","Entreprise"))</f>
        <v/>
      </c>
      <c r="Z192" s="39">
        <f>IF(C192="","",COUNTIFS(VC_cle,AK192,VC_type,"Visite sur place"))</f>
        <v/>
      </c>
      <c r="AA192" s="46">
        <f>IF(AL192=0,"",IF(INT(AL192)=0,"",INT(AL192)))</f>
        <v/>
      </c>
      <c r="AB192" s="46">
        <f>IF(AL192=0,"",IF(INDEX(VC_actiondate,ROUND(MOD(AL192,1)*100000,0)-5)=0,"",INDEX(VC_actiondate,ROUND(MOD(AL192,1)*100000,0)-5)))</f>
        <v/>
      </c>
      <c r="AC192" s="33">
        <f>IF(AL192=0,"",INDEX(VC_actiontexte,ROUND(MOD(AL192,1)*100000,0)-5)&amp;"")</f>
        <v/>
      </c>
      <c r="AD192" s="46">
        <f>IF(C192="","",IF(COUNTIFS(Cmd_cle,AK192,Cmd_dateca,"&gt;0")=0,"",SMALL(INDEX(Cmd_dateca+(((Cmd_cle&lt;&gt;AK192)+(Cmd_dateca=0))&gt;0)*1000000,0),1)))</f>
        <v/>
      </c>
      <c r="AE192" s="46">
        <f>IF(C192="","",IF(COUNTIFS(Cmd_cle,AK192,Cmd_dateca,"&gt;0")=0,"",MAX(INDEX((Cmd_cle=AK192)*Cmd_dateca,0))))</f>
        <v/>
      </c>
      <c r="AF192" s="40">
        <f>IF(C192="","",SUMIFS(Cmd_montant,Cmd_cle,AK192,Cmd_dateca,"&gt;0"))</f>
        <v/>
      </c>
      <c r="AG192" s="40">
        <f>IF(C192="","",SUMIFS(Enc_montant,Enc_cle,AK192))</f>
        <v/>
      </c>
      <c r="AH192" s="40">
        <f>IF(C192="","",AF192-AG192)</f>
        <v/>
      </c>
      <c r="AI192" s="33">
        <f>IF(C192="","",IF(D192="Perdu","",IF(AND(AB192&lt;&gt;"",N(AB192)&lt;TODAY()),"Action en retard",IF(AND(D192="Client",AE192&lt;&gt;"",TODAY()-N(AE192)&gt;P_JoursInactif),"Client inactif",IF(AND(D192="Prospect",Z192=0,O192&lt;&gt;"",TODAY()-N(O192)&gt;P_JoursNonVisite),"Jamais visité","")))))</f>
        <v/>
      </c>
      <c r="AJ192" s="33">
        <f>IF(C192="","",C192&amp;" ["&amp;TEXT(A192,"000")&amp;"]")</f>
        <v/>
      </c>
      <c r="AK192" s="33">
        <f>IF(C192="","",X192&amp;"|"&amp;A192)</f>
        <v/>
      </c>
      <c r="AL192" s="47">
        <f>IF(C192="",0,IF(COUNTIFS(VC_cle,AK192)=0,0,MAX(INDEX((VC_cle=AK192)*(VC_date+ROW(VC_date)/100000),0))))</f>
        <v/>
      </c>
      <c r="AM192" s="47">
        <f>IF(AND(C192&lt;&gt;"",N(AB192)&gt;0,D192&lt;&gt;"Perdu"),AB192+ROW()/100000,0)</f>
        <v/>
      </c>
      <c r="AN192" s="48">
        <f>IF(N(AF192)&gt;0,ROUND(AF192,0)+ROW()/1000000,0)</f>
        <v/>
      </c>
    </row>
    <row r="193" ht="18" customHeight="1">
      <c r="A193" s="39" t="n">
        <v>188</v>
      </c>
      <c r="B193" s="33">
        <f>IF(C193="","",IF(X193="À RENSEIGNER","GIC",X193)&amp;"-"&amp;TEXT(A193,"000"))</f>
        <v/>
      </c>
      <c r="C193" s="36" t="n"/>
      <c r="D193" s="34">
        <f>IF(C193="","",IF(U193="☑ Oui","Perdu",IF(AD193&lt;&gt;"","Client","Prospect")))</f>
        <v/>
      </c>
      <c r="E193" s="36" t="n"/>
      <c r="F193" s="36" t="n"/>
      <c r="G193" s="44" t="n"/>
      <c r="H193" s="44" t="n"/>
      <c r="I193" s="36" t="n"/>
      <c r="J193" s="36" t="n"/>
      <c r="K193" s="41" t="n"/>
      <c r="L193" s="41" t="n"/>
      <c r="M193" s="36" t="n"/>
      <c r="N193" s="36" t="n"/>
      <c r="O193" s="32" t="n"/>
      <c r="P193" s="36" t="n"/>
      <c r="Q193" s="36" t="n"/>
      <c r="R193" s="34">
        <f>IF(P193="","",IFERROR(VLOOKUP(P193,T_Produits,2,FALSE),""))</f>
        <v/>
      </c>
      <c r="S193" s="36" t="n"/>
      <c r="T193" s="43" t="n"/>
      <c r="U193" s="43" t="n"/>
      <c r="V193" s="36" t="n"/>
      <c r="W193" s="36" t="n"/>
      <c r="X193" s="33">
        <f>IF(C193="","",Commercial_Id)</f>
        <v/>
      </c>
      <c r="Y193" s="33">
        <f>IF(E193="","",IF(E193="Particulier / ménage","Particulier","Entreprise"))</f>
        <v/>
      </c>
      <c r="Z193" s="39">
        <f>IF(C193="","",COUNTIFS(VC_cle,AK193,VC_type,"Visite sur place"))</f>
        <v/>
      </c>
      <c r="AA193" s="46">
        <f>IF(AL193=0,"",IF(INT(AL193)=0,"",INT(AL193)))</f>
        <v/>
      </c>
      <c r="AB193" s="46">
        <f>IF(AL193=0,"",IF(INDEX(VC_actiondate,ROUND(MOD(AL193,1)*100000,0)-5)=0,"",INDEX(VC_actiondate,ROUND(MOD(AL193,1)*100000,0)-5)))</f>
        <v/>
      </c>
      <c r="AC193" s="33">
        <f>IF(AL193=0,"",INDEX(VC_actiontexte,ROUND(MOD(AL193,1)*100000,0)-5)&amp;"")</f>
        <v/>
      </c>
      <c r="AD193" s="46">
        <f>IF(C193="","",IF(COUNTIFS(Cmd_cle,AK193,Cmd_dateca,"&gt;0")=0,"",SMALL(INDEX(Cmd_dateca+(((Cmd_cle&lt;&gt;AK193)+(Cmd_dateca=0))&gt;0)*1000000,0),1)))</f>
        <v/>
      </c>
      <c r="AE193" s="46">
        <f>IF(C193="","",IF(COUNTIFS(Cmd_cle,AK193,Cmd_dateca,"&gt;0")=0,"",MAX(INDEX((Cmd_cle=AK193)*Cmd_dateca,0))))</f>
        <v/>
      </c>
      <c r="AF193" s="40">
        <f>IF(C193="","",SUMIFS(Cmd_montant,Cmd_cle,AK193,Cmd_dateca,"&gt;0"))</f>
        <v/>
      </c>
      <c r="AG193" s="40">
        <f>IF(C193="","",SUMIFS(Enc_montant,Enc_cle,AK193))</f>
        <v/>
      </c>
      <c r="AH193" s="40">
        <f>IF(C193="","",AF193-AG193)</f>
        <v/>
      </c>
      <c r="AI193" s="33">
        <f>IF(C193="","",IF(D193="Perdu","",IF(AND(AB193&lt;&gt;"",N(AB193)&lt;TODAY()),"Action en retard",IF(AND(D193="Client",AE193&lt;&gt;"",TODAY()-N(AE193)&gt;P_JoursInactif),"Client inactif",IF(AND(D193="Prospect",Z193=0,O193&lt;&gt;"",TODAY()-N(O193)&gt;P_JoursNonVisite),"Jamais visité","")))))</f>
        <v/>
      </c>
      <c r="AJ193" s="33">
        <f>IF(C193="","",C193&amp;" ["&amp;TEXT(A193,"000")&amp;"]")</f>
        <v/>
      </c>
      <c r="AK193" s="33">
        <f>IF(C193="","",X193&amp;"|"&amp;A193)</f>
        <v/>
      </c>
      <c r="AL193" s="47">
        <f>IF(C193="",0,IF(COUNTIFS(VC_cle,AK193)=0,0,MAX(INDEX((VC_cle=AK193)*(VC_date+ROW(VC_date)/100000),0))))</f>
        <v/>
      </c>
      <c r="AM193" s="47">
        <f>IF(AND(C193&lt;&gt;"",N(AB193)&gt;0,D193&lt;&gt;"Perdu"),AB193+ROW()/100000,0)</f>
        <v/>
      </c>
      <c r="AN193" s="48">
        <f>IF(N(AF193)&gt;0,ROUND(AF193,0)+ROW()/1000000,0)</f>
        <v/>
      </c>
    </row>
    <row r="194" ht="18" customHeight="1">
      <c r="A194" s="39" t="n">
        <v>189</v>
      </c>
      <c r="B194" s="33">
        <f>IF(C194="","",IF(X194="À RENSEIGNER","GIC",X194)&amp;"-"&amp;TEXT(A194,"000"))</f>
        <v/>
      </c>
      <c r="C194" s="36" t="n"/>
      <c r="D194" s="34">
        <f>IF(C194="","",IF(U194="☑ Oui","Perdu",IF(AD194&lt;&gt;"","Client","Prospect")))</f>
        <v/>
      </c>
      <c r="E194" s="36" t="n"/>
      <c r="F194" s="36" t="n"/>
      <c r="G194" s="44" t="n"/>
      <c r="H194" s="44" t="n"/>
      <c r="I194" s="36" t="n"/>
      <c r="J194" s="36" t="n"/>
      <c r="K194" s="41" t="n"/>
      <c r="L194" s="41" t="n"/>
      <c r="M194" s="36" t="n"/>
      <c r="N194" s="36" t="n"/>
      <c r="O194" s="32" t="n"/>
      <c r="P194" s="36" t="n"/>
      <c r="Q194" s="36" t="n"/>
      <c r="R194" s="34">
        <f>IF(P194="","",IFERROR(VLOOKUP(P194,T_Produits,2,FALSE),""))</f>
        <v/>
      </c>
      <c r="S194" s="36" t="n"/>
      <c r="T194" s="43" t="n"/>
      <c r="U194" s="43" t="n"/>
      <c r="V194" s="36" t="n"/>
      <c r="W194" s="36" t="n"/>
      <c r="X194" s="33">
        <f>IF(C194="","",Commercial_Id)</f>
        <v/>
      </c>
      <c r="Y194" s="33">
        <f>IF(E194="","",IF(E194="Particulier / ménage","Particulier","Entreprise"))</f>
        <v/>
      </c>
      <c r="Z194" s="39">
        <f>IF(C194="","",COUNTIFS(VC_cle,AK194,VC_type,"Visite sur place"))</f>
        <v/>
      </c>
      <c r="AA194" s="46">
        <f>IF(AL194=0,"",IF(INT(AL194)=0,"",INT(AL194)))</f>
        <v/>
      </c>
      <c r="AB194" s="46">
        <f>IF(AL194=0,"",IF(INDEX(VC_actiondate,ROUND(MOD(AL194,1)*100000,0)-5)=0,"",INDEX(VC_actiondate,ROUND(MOD(AL194,1)*100000,0)-5)))</f>
        <v/>
      </c>
      <c r="AC194" s="33">
        <f>IF(AL194=0,"",INDEX(VC_actiontexte,ROUND(MOD(AL194,1)*100000,0)-5)&amp;"")</f>
        <v/>
      </c>
      <c r="AD194" s="46">
        <f>IF(C194="","",IF(COUNTIFS(Cmd_cle,AK194,Cmd_dateca,"&gt;0")=0,"",SMALL(INDEX(Cmd_dateca+(((Cmd_cle&lt;&gt;AK194)+(Cmd_dateca=0))&gt;0)*1000000,0),1)))</f>
        <v/>
      </c>
      <c r="AE194" s="46">
        <f>IF(C194="","",IF(COUNTIFS(Cmd_cle,AK194,Cmd_dateca,"&gt;0")=0,"",MAX(INDEX((Cmd_cle=AK194)*Cmd_dateca,0))))</f>
        <v/>
      </c>
      <c r="AF194" s="40">
        <f>IF(C194="","",SUMIFS(Cmd_montant,Cmd_cle,AK194,Cmd_dateca,"&gt;0"))</f>
        <v/>
      </c>
      <c r="AG194" s="40">
        <f>IF(C194="","",SUMIFS(Enc_montant,Enc_cle,AK194))</f>
        <v/>
      </c>
      <c r="AH194" s="40">
        <f>IF(C194="","",AF194-AG194)</f>
        <v/>
      </c>
      <c r="AI194" s="33">
        <f>IF(C194="","",IF(D194="Perdu","",IF(AND(AB194&lt;&gt;"",N(AB194)&lt;TODAY()),"Action en retard",IF(AND(D194="Client",AE194&lt;&gt;"",TODAY()-N(AE194)&gt;P_JoursInactif),"Client inactif",IF(AND(D194="Prospect",Z194=0,O194&lt;&gt;"",TODAY()-N(O194)&gt;P_JoursNonVisite),"Jamais visité","")))))</f>
        <v/>
      </c>
      <c r="AJ194" s="33">
        <f>IF(C194="","",C194&amp;" ["&amp;TEXT(A194,"000")&amp;"]")</f>
        <v/>
      </c>
      <c r="AK194" s="33">
        <f>IF(C194="","",X194&amp;"|"&amp;A194)</f>
        <v/>
      </c>
      <c r="AL194" s="47">
        <f>IF(C194="",0,IF(COUNTIFS(VC_cle,AK194)=0,0,MAX(INDEX((VC_cle=AK194)*(VC_date+ROW(VC_date)/100000),0))))</f>
        <v/>
      </c>
      <c r="AM194" s="47">
        <f>IF(AND(C194&lt;&gt;"",N(AB194)&gt;0,D194&lt;&gt;"Perdu"),AB194+ROW()/100000,0)</f>
        <v/>
      </c>
      <c r="AN194" s="48">
        <f>IF(N(AF194)&gt;0,ROUND(AF194,0)+ROW()/1000000,0)</f>
        <v/>
      </c>
    </row>
    <row r="195" ht="18" customHeight="1">
      <c r="A195" s="39" t="n">
        <v>190</v>
      </c>
      <c r="B195" s="33">
        <f>IF(C195="","",IF(X195="À RENSEIGNER","GIC",X195)&amp;"-"&amp;TEXT(A195,"000"))</f>
        <v/>
      </c>
      <c r="C195" s="36" t="n"/>
      <c r="D195" s="34">
        <f>IF(C195="","",IF(U195="☑ Oui","Perdu",IF(AD195&lt;&gt;"","Client","Prospect")))</f>
        <v/>
      </c>
      <c r="E195" s="36" t="n"/>
      <c r="F195" s="36" t="n"/>
      <c r="G195" s="44" t="n"/>
      <c r="H195" s="44" t="n"/>
      <c r="I195" s="36" t="n"/>
      <c r="J195" s="36" t="n"/>
      <c r="K195" s="41" t="n"/>
      <c r="L195" s="41" t="n"/>
      <c r="M195" s="36" t="n"/>
      <c r="N195" s="36" t="n"/>
      <c r="O195" s="32" t="n"/>
      <c r="P195" s="36" t="n"/>
      <c r="Q195" s="36" t="n"/>
      <c r="R195" s="34">
        <f>IF(P195="","",IFERROR(VLOOKUP(P195,T_Produits,2,FALSE),""))</f>
        <v/>
      </c>
      <c r="S195" s="36" t="n"/>
      <c r="T195" s="43" t="n"/>
      <c r="U195" s="43" t="n"/>
      <c r="V195" s="36" t="n"/>
      <c r="W195" s="36" t="n"/>
      <c r="X195" s="33">
        <f>IF(C195="","",Commercial_Id)</f>
        <v/>
      </c>
      <c r="Y195" s="33">
        <f>IF(E195="","",IF(E195="Particulier / ménage","Particulier","Entreprise"))</f>
        <v/>
      </c>
      <c r="Z195" s="39">
        <f>IF(C195="","",COUNTIFS(VC_cle,AK195,VC_type,"Visite sur place"))</f>
        <v/>
      </c>
      <c r="AA195" s="46">
        <f>IF(AL195=0,"",IF(INT(AL195)=0,"",INT(AL195)))</f>
        <v/>
      </c>
      <c r="AB195" s="46">
        <f>IF(AL195=0,"",IF(INDEX(VC_actiondate,ROUND(MOD(AL195,1)*100000,0)-5)=0,"",INDEX(VC_actiondate,ROUND(MOD(AL195,1)*100000,0)-5)))</f>
        <v/>
      </c>
      <c r="AC195" s="33">
        <f>IF(AL195=0,"",INDEX(VC_actiontexte,ROUND(MOD(AL195,1)*100000,0)-5)&amp;"")</f>
        <v/>
      </c>
      <c r="AD195" s="46">
        <f>IF(C195="","",IF(COUNTIFS(Cmd_cle,AK195,Cmd_dateca,"&gt;0")=0,"",SMALL(INDEX(Cmd_dateca+(((Cmd_cle&lt;&gt;AK195)+(Cmd_dateca=0))&gt;0)*1000000,0),1)))</f>
        <v/>
      </c>
      <c r="AE195" s="46">
        <f>IF(C195="","",IF(COUNTIFS(Cmd_cle,AK195,Cmd_dateca,"&gt;0")=0,"",MAX(INDEX((Cmd_cle=AK195)*Cmd_dateca,0))))</f>
        <v/>
      </c>
      <c r="AF195" s="40">
        <f>IF(C195="","",SUMIFS(Cmd_montant,Cmd_cle,AK195,Cmd_dateca,"&gt;0"))</f>
        <v/>
      </c>
      <c r="AG195" s="40">
        <f>IF(C195="","",SUMIFS(Enc_montant,Enc_cle,AK195))</f>
        <v/>
      </c>
      <c r="AH195" s="40">
        <f>IF(C195="","",AF195-AG195)</f>
        <v/>
      </c>
      <c r="AI195" s="33">
        <f>IF(C195="","",IF(D195="Perdu","",IF(AND(AB195&lt;&gt;"",N(AB195)&lt;TODAY()),"Action en retard",IF(AND(D195="Client",AE195&lt;&gt;"",TODAY()-N(AE195)&gt;P_JoursInactif),"Client inactif",IF(AND(D195="Prospect",Z195=0,O195&lt;&gt;"",TODAY()-N(O195)&gt;P_JoursNonVisite),"Jamais visité","")))))</f>
        <v/>
      </c>
      <c r="AJ195" s="33">
        <f>IF(C195="","",C195&amp;" ["&amp;TEXT(A195,"000")&amp;"]")</f>
        <v/>
      </c>
      <c r="AK195" s="33">
        <f>IF(C195="","",X195&amp;"|"&amp;A195)</f>
        <v/>
      </c>
      <c r="AL195" s="47">
        <f>IF(C195="",0,IF(COUNTIFS(VC_cle,AK195)=0,0,MAX(INDEX((VC_cle=AK195)*(VC_date+ROW(VC_date)/100000),0))))</f>
        <v/>
      </c>
      <c r="AM195" s="47">
        <f>IF(AND(C195&lt;&gt;"",N(AB195)&gt;0,D195&lt;&gt;"Perdu"),AB195+ROW()/100000,0)</f>
        <v/>
      </c>
      <c r="AN195" s="48">
        <f>IF(N(AF195)&gt;0,ROUND(AF195,0)+ROW()/1000000,0)</f>
        <v/>
      </c>
    </row>
    <row r="196" ht="18" customHeight="1">
      <c r="A196" s="39" t="n">
        <v>191</v>
      </c>
      <c r="B196" s="33">
        <f>IF(C196="","",IF(X196="À RENSEIGNER","GIC",X196)&amp;"-"&amp;TEXT(A196,"000"))</f>
        <v/>
      </c>
      <c r="C196" s="36" t="n"/>
      <c r="D196" s="34">
        <f>IF(C196="","",IF(U196="☑ Oui","Perdu",IF(AD196&lt;&gt;"","Client","Prospect")))</f>
        <v/>
      </c>
      <c r="E196" s="36" t="n"/>
      <c r="F196" s="36" t="n"/>
      <c r="G196" s="44" t="n"/>
      <c r="H196" s="44" t="n"/>
      <c r="I196" s="36" t="n"/>
      <c r="J196" s="36" t="n"/>
      <c r="K196" s="41" t="n"/>
      <c r="L196" s="41" t="n"/>
      <c r="M196" s="36" t="n"/>
      <c r="N196" s="36" t="n"/>
      <c r="O196" s="32" t="n"/>
      <c r="P196" s="36" t="n"/>
      <c r="Q196" s="36" t="n"/>
      <c r="R196" s="34">
        <f>IF(P196="","",IFERROR(VLOOKUP(P196,T_Produits,2,FALSE),""))</f>
        <v/>
      </c>
      <c r="S196" s="36" t="n"/>
      <c r="T196" s="43" t="n"/>
      <c r="U196" s="43" t="n"/>
      <c r="V196" s="36" t="n"/>
      <c r="W196" s="36" t="n"/>
      <c r="X196" s="33">
        <f>IF(C196="","",Commercial_Id)</f>
        <v/>
      </c>
      <c r="Y196" s="33">
        <f>IF(E196="","",IF(E196="Particulier / ménage","Particulier","Entreprise"))</f>
        <v/>
      </c>
      <c r="Z196" s="39">
        <f>IF(C196="","",COUNTIFS(VC_cle,AK196,VC_type,"Visite sur place"))</f>
        <v/>
      </c>
      <c r="AA196" s="46">
        <f>IF(AL196=0,"",IF(INT(AL196)=0,"",INT(AL196)))</f>
        <v/>
      </c>
      <c r="AB196" s="46">
        <f>IF(AL196=0,"",IF(INDEX(VC_actiondate,ROUND(MOD(AL196,1)*100000,0)-5)=0,"",INDEX(VC_actiondate,ROUND(MOD(AL196,1)*100000,0)-5)))</f>
        <v/>
      </c>
      <c r="AC196" s="33">
        <f>IF(AL196=0,"",INDEX(VC_actiontexte,ROUND(MOD(AL196,1)*100000,0)-5)&amp;"")</f>
        <v/>
      </c>
      <c r="AD196" s="46">
        <f>IF(C196="","",IF(COUNTIFS(Cmd_cle,AK196,Cmd_dateca,"&gt;0")=0,"",SMALL(INDEX(Cmd_dateca+(((Cmd_cle&lt;&gt;AK196)+(Cmd_dateca=0))&gt;0)*1000000,0),1)))</f>
        <v/>
      </c>
      <c r="AE196" s="46">
        <f>IF(C196="","",IF(COUNTIFS(Cmd_cle,AK196,Cmd_dateca,"&gt;0")=0,"",MAX(INDEX((Cmd_cle=AK196)*Cmd_dateca,0))))</f>
        <v/>
      </c>
      <c r="AF196" s="40">
        <f>IF(C196="","",SUMIFS(Cmd_montant,Cmd_cle,AK196,Cmd_dateca,"&gt;0"))</f>
        <v/>
      </c>
      <c r="AG196" s="40">
        <f>IF(C196="","",SUMIFS(Enc_montant,Enc_cle,AK196))</f>
        <v/>
      </c>
      <c r="AH196" s="40">
        <f>IF(C196="","",AF196-AG196)</f>
        <v/>
      </c>
      <c r="AI196" s="33">
        <f>IF(C196="","",IF(D196="Perdu","",IF(AND(AB196&lt;&gt;"",N(AB196)&lt;TODAY()),"Action en retard",IF(AND(D196="Client",AE196&lt;&gt;"",TODAY()-N(AE196)&gt;P_JoursInactif),"Client inactif",IF(AND(D196="Prospect",Z196=0,O196&lt;&gt;"",TODAY()-N(O196)&gt;P_JoursNonVisite),"Jamais visité","")))))</f>
        <v/>
      </c>
      <c r="AJ196" s="33">
        <f>IF(C196="","",C196&amp;" ["&amp;TEXT(A196,"000")&amp;"]")</f>
        <v/>
      </c>
      <c r="AK196" s="33">
        <f>IF(C196="","",X196&amp;"|"&amp;A196)</f>
        <v/>
      </c>
      <c r="AL196" s="47">
        <f>IF(C196="",0,IF(COUNTIFS(VC_cle,AK196)=0,0,MAX(INDEX((VC_cle=AK196)*(VC_date+ROW(VC_date)/100000),0))))</f>
        <v/>
      </c>
      <c r="AM196" s="47">
        <f>IF(AND(C196&lt;&gt;"",N(AB196)&gt;0,D196&lt;&gt;"Perdu"),AB196+ROW()/100000,0)</f>
        <v/>
      </c>
      <c r="AN196" s="48">
        <f>IF(N(AF196)&gt;0,ROUND(AF196,0)+ROW()/1000000,0)</f>
        <v/>
      </c>
    </row>
    <row r="197" ht="18" customHeight="1">
      <c r="A197" s="39" t="n">
        <v>192</v>
      </c>
      <c r="B197" s="33">
        <f>IF(C197="","",IF(X197="À RENSEIGNER","GIC",X197)&amp;"-"&amp;TEXT(A197,"000"))</f>
        <v/>
      </c>
      <c r="C197" s="36" t="n"/>
      <c r="D197" s="34">
        <f>IF(C197="","",IF(U197="☑ Oui","Perdu",IF(AD197&lt;&gt;"","Client","Prospect")))</f>
        <v/>
      </c>
      <c r="E197" s="36" t="n"/>
      <c r="F197" s="36" t="n"/>
      <c r="G197" s="44" t="n"/>
      <c r="H197" s="44" t="n"/>
      <c r="I197" s="36" t="n"/>
      <c r="J197" s="36" t="n"/>
      <c r="K197" s="41" t="n"/>
      <c r="L197" s="41" t="n"/>
      <c r="M197" s="36" t="n"/>
      <c r="N197" s="36" t="n"/>
      <c r="O197" s="32" t="n"/>
      <c r="P197" s="36" t="n"/>
      <c r="Q197" s="36" t="n"/>
      <c r="R197" s="34">
        <f>IF(P197="","",IFERROR(VLOOKUP(P197,T_Produits,2,FALSE),""))</f>
        <v/>
      </c>
      <c r="S197" s="36" t="n"/>
      <c r="T197" s="43" t="n"/>
      <c r="U197" s="43" t="n"/>
      <c r="V197" s="36" t="n"/>
      <c r="W197" s="36" t="n"/>
      <c r="X197" s="33">
        <f>IF(C197="","",Commercial_Id)</f>
        <v/>
      </c>
      <c r="Y197" s="33">
        <f>IF(E197="","",IF(E197="Particulier / ménage","Particulier","Entreprise"))</f>
        <v/>
      </c>
      <c r="Z197" s="39">
        <f>IF(C197="","",COUNTIFS(VC_cle,AK197,VC_type,"Visite sur place"))</f>
        <v/>
      </c>
      <c r="AA197" s="46">
        <f>IF(AL197=0,"",IF(INT(AL197)=0,"",INT(AL197)))</f>
        <v/>
      </c>
      <c r="AB197" s="46">
        <f>IF(AL197=0,"",IF(INDEX(VC_actiondate,ROUND(MOD(AL197,1)*100000,0)-5)=0,"",INDEX(VC_actiondate,ROUND(MOD(AL197,1)*100000,0)-5)))</f>
        <v/>
      </c>
      <c r="AC197" s="33">
        <f>IF(AL197=0,"",INDEX(VC_actiontexte,ROUND(MOD(AL197,1)*100000,0)-5)&amp;"")</f>
        <v/>
      </c>
      <c r="AD197" s="46">
        <f>IF(C197="","",IF(COUNTIFS(Cmd_cle,AK197,Cmd_dateca,"&gt;0")=0,"",SMALL(INDEX(Cmd_dateca+(((Cmd_cle&lt;&gt;AK197)+(Cmd_dateca=0))&gt;0)*1000000,0),1)))</f>
        <v/>
      </c>
      <c r="AE197" s="46">
        <f>IF(C197="","",IF(COUNTIFS(Cmd_cle,AK197,Cmd_dateca,"&gt;0")=0,"",MAX(INDEX((Cmd_cle=AK197)*Cmd_dateca,0))))</f>
        <v/>
      </c>
      <c r="AF197" s="40">
        <f>IF(C197="","",SUMIFS(Cmd_montant,Cmd_cle,AK197,Cmd_dateca,"&gt;0"))</f>
        <v/>
      </c>
      <c r="AG197" s="40">
        <f>IF(C197="","",SUMIFS(Enc_montant,Enc_cle,AK197))</f>
        <v/>
      </c>
      <c r="AH197" s="40">
        <f>IF(C197="","",AF197-AG197)</f>
        <v/>
      </c>
      <c r="AI197" s="33">
        <f>IF(C197="","",IF(D197="Perdu","",IF(AND(AB197&lt;&gt;"",N(AB197)&lt;TODAY()),"Action en retard",IF(AND(D197="Client",AE197&lt;&gt;"",TODAY()-N(AE197)&gt;P_JoursInactif),"Client inactif",IF(AND(D197="Prospect",Z197=0,O197&lt;&gt;"",TODAY()-N(O197)&gt;P_JoursNonVisite),"Jamais visité","")))))</f>
        <v/>
      </c>
      <c r="AJ197" s="33">
        <f>IF(C197="","",C197&amp;" ["&amp;TEXT(A197,"000")&amp;"]")</f>
        <v/>
      </c>
      <c r="AK197" s="33">
        <f>IF(C197="","",X197&amp;"|"&amp;A197)</f>
        <v/>
      </c>
      <c r="AL197" s="47">
        <f>IF(C197="",0,IF(COUNTIFS(VC_cle,AK197)=0,0,MAX(INDEX((VC_cle=AK197)*(VC_date+ROW(VC_date)/100000),0))))</f>
        <v/>
      </c>
      <c r="AM197" s="47">
        <f>IF(AND(C197&lt;&gt;"",N(AB197)&gt;0,D197&lt;&gt;"Perdu"),AB197+ROW()/100000,0)</f>
        <v/>
      </c>
      <c r="AN197" s="48">
        <f>IF(N(AF197)&gt;0,ROUND(AF197,0)+ROW()/1000000,0)</f>
        <v/>
      </c>
    </row>
    <row r="198" ht="18" customHeight="1">
      <c r="A198" s="39" t="n">
        <v>193</v>
      </c>
      <c r="B198" s="33">
        <f>IF(C198="","",IF(X198="À RENSEIGNER","GIC",X198)&amp;"-"&amp;TEXT(A198,"000"))</f>
        <v/>
      </c>
      <c r="C198" s="36" t="n"/>
      <c r="D198" s="34">
        <f>IF(C198="","",IF(U198="☑ Oui","Perdu",IF(AD198&lt;&gt;"","Client","Prospect")))</f>
        <v/>
      </c>
      <c r="E198" s="36" t="n"/>
      <c r="F198" s="36" t="n"/>
      <c r="G198" s="44" t="n"/>
      <c r="H198" s="44" t="n"/>
      <c r="I198" s="36" t="n"/>
      <c r="J198" s="36" t="n"/>
      <c r="K198" s="41" t="n"/>
      <c r="L198" s="41" t="n"/>
      <c r="M198" s="36" t="n"/>
      <c r="N198" s="36" t="n"/>
      <c r="O198" s="32" t="n"/>
      <c r="P198" s="36" t="n"/>
      <c r="Q198" s="36" t="n"/>
      <c r="R198" s="34">
        <f>IF(P198="","",IFERROR(VLOOKUP(P198,T_Produits,2,FALSE),""))</f>
        <v/>
      </c>
      <c r="S198" s="36" t="n"/>
      <c r="T198" s="43" t="n"/>
      <c r="U198" s="43" t="n"/>
      <c r="V198" s="36" t="n"/>
      <c r="W198" s="36" t="n"/>
      <c r="X198" s="33">
        <f>IF(C198="","",Commercial_Id)</f>
        <v/>
      </c>
      <c r="Y198" s="33">
        <f>IF(E198="","",IF(E198="Particulier / ménage","Particulier","Entreprise"))</f>
        <v/>
      </c>
      <c r="Z198" s="39">
        <f>IF(C198="","",COUNTIFS(VC_cle,AK198,VC_type,"Visite sur place"))</f>
        <v/>
      </c>
      <c r="AA198" s="46">
        <f>IF(AL198=0,"",IF(INT(AL198)=0,"",INT(AL198)))</f>
        <v/>
      </c>
      <c r="AB198" s="46">
        <f>IF(AL198=0,"",IF(INDEX(VC_actiondate,ROUND(MOD(AL198,1)*100000,0)-5)=0,"",INDEX(VC_actiondate,ROUND(MOD(AL198,1)*100000,0)-5)))</f>
        <v/>
      </c>
      <c r="AC198" s="33">
        <f>IF(AL198=0,"",INDEX(VC_actiontexte,ROUND(MOD(AL198,1)*100000,0)-5)&amp;"")</f>
        <v/>
      </c>
      <c r="AD198" s="46">
        <f>IF(C198="","",IF(COUNTIFS(Cmd_cle,AK198,Cmd_dateca,"&gt;0")=0,"",SMALL(INDEX(Cmd_dateca+(((Cmd_cle&lt;&gt;AK198)+(Cmd_dateca=0))&gt;0)*1000000,0),1)))</f>
        <v/>
      </c>
      <c r="AE198" s="46">
        <f>IF(C198="","",IF(COUNTIFS(Cmd_cle,AK198,Cmd_dateca,"&gt;0")=0,"",MAX(INDEX((Cmd_cle=AK198)*Cmd_dateca,0))))</f>
        <v/>
      </c>
      <c r="AF198" s="40">
        <f>IF(C198="","",SUMIFS(Cmd_montant,Cmd_cle,AK198,Cmd_dateca,"&gt;0"))</f>
        <v/>
      </c>
      <c r="AG198" s="40">
        <f>IF(C198="","",SUMIFS(Enc_montant,Enc_cle,AK198))</f>
        <v/>
      </c>
      <c r="AH198" s="40">
        <f>IF(C198="","",AF198-AG198)</f>
        <v/>
      </c>
      <c r="AI198" s="33">
        <f>IF(C198="","",IF(D198="Perdu","",IF(AND(AB198&lt;&gt;"",N(AB198)&lt;TODAY()),"Action en retard",IF(AND(D198="Client",AE198&lt;&gt;"",TODAY()-N(AE198)&gt;P_JoursInactif),"Client inactif",IF(AND(D198="Prospect",Z198=0,O198&lt;&gt;"",TODAY()-N(O198)&gt;P_JoursNonVisite),"Jamais visité","")))))</f>
        <v/>
      </c>
      <c r="AJ198" s="33">
        <f>IF(C198="","",C198&amp;" ["&amp;TEXT(A198,"000")&amp;"]")</f>
        <v/>
      </c>
      <c r="AK198" s="33">
        <f>IF(C198="","",X198&amp;"|"&amp;A198)</f>
        <v/>
      </c>
      <c r="AL198" s="47">
        <f>IF(C198="",0,IF(COUNTIFS(VC_cle,AK198)=0,0,MAX(INDEX((VC_cle=AK198)*(VC_date+ROW(VC_date)/100000),0))))</f>
        <v/>
      </c>
      <c r="AM198" s="47">
        <f>IF(AND(C198&lt;&gt;"",N(AB198)&gt;0,D198&lt;&gt;"Perdu"),AB198+ROW()/100000,0)</f>
        <v/>
      </c>
      <c r="AN198" s="48">
        <f>IF(N(AF198)&gt;0,ROUND(AF198,0)+ROW()/1000000,0)</f>
        <v/>
      </c>
    </row>
    <row r="199" ht="18" customHeight="1">
      <c r="A199" s="39" t="n">
        <v>194</v>
      </c>
      <c r="B199" s="33">
        <f>IF(C199="","",IF(X199="À RENSEIGNER","GIC",X199)&amp;"-"&amp;TEXT(A199,"000"))</f>
        <v/>
      </c>
      <c r="C199" s="36" t="n"/>
      <c r="D199" s="34">
        <f>IF(C199="","",IF(U199="☑ Oui","Perdu",IF(AD199&lt;&gt;"","Client","Prospect")))</f>
        <v/>
      </c>
      <c r="E199" s="36" t="n"/>
      <c r="F199" s="36" t="n"/>
      <c r="G199" s="44" t="n"/>
      <c r="H199" s="44" t="n"/>
      <c r="I199" s="36" t="n"/>
      <c r="J199" s="36" t="n"/>
      <c r="K199" s="41" t="n"/>
      <c r="L199" s="41" t="n"/>
      <c r="M199" s="36" t="n"/>
      <c r="N199" s="36" t="n"/>
      <c r="O199" s="32" t="n"/>
      <c r="P199" s="36" t="n"/>
      <c r="Q199" s="36" t="n"/>
      <c r="R199" s="34">
        <f>IF(P199="","",IFERROR(VLOOKUP(P199,T_Produits,2,FALSE),""))</f>
        <v/>
      </c>
      <c r="S199" s="36" t="n"/>
      <c r="T199" s="43" t="n"/>
      <c r="U199" s="43" t="n"/>
      <c r="V199" s="36" t="n"/>
      <c r="W199" s="36" t="n"/>
      <c r="X199" s="33">
        <f>IF(C199="","",Commercial_Id)</f>
        <v/>
      </c>
      <c r="Y199" s="33">
        <f>IF(E199="","",IF(E199="Particulier / ménage","Particulier","Entreprise"))</f>
        <v/>
      </c>
      <c r="Z199" s="39">
        <f>IF(C199="","",COUNTIFS(VC_cle,AK199,VC_type,"Visite sur place"))</f>
        <v/>
      </c>
      <c r="AA199" s="46">
        <f>IF(AL199=0,"",IF(INT(AL199)=0,"",INT(AL199)))</f>
        <v/>
      </c>
      <c r="AB199" s="46">
        <f>IF(AL199=0,"",IF(INDEX(VC_actiondate,ROUND(MOD(AL199,1)*100000,0)-5)=0,"",INDEX(VC_actiondate,ROUND(MOD(AL199,1)*100000,0)-5)))</f>
        <v/>
      </c>
      <c r="AC199" s="33">
        <f>IF(AL199=0,"",INDEX(VC_actiontexte,ROUND(MOD(AL199,1)*100000,0)-5)&amp;"")</f>
        <v/>
      </c>
      <c r="AD199" s="46">
        <f>IF(C199="","",IF(COUNTIFS(Cmd_cle,AK199,Cmd_dateca,"&gt;0")=0,"",SMALL(INDEX(Cmd_dateca+(((Cmd_cle&lt;&gt;AK199)+(Cmd_dateca=0))&gt;0)*1000000,0),1)))</f>
        <v/>
      </c>
      <c r="AE199" s="46">
        <f>IF(C199="","",IF(COUNTIFS(Cmd_cle,AK199,Cmd_dateca,"&gt;0")=0,"",MAX(INDEX((Cmd_cle=AK199)*Cmd_dateca,0))))</f>
        <v/>
      </c>
      <c r="AF199" s="40">
        <f>IF(C199="","",SUMIFS(Cmd_montant,Cmd_cle,AK199,Cmd_dateca,"&gt;0"))</f>
        <v/>
      </c>
      <c r="AG199" s="40">
        <f>IF(C199="","",SUMIFS(Enc_montant,Enc_cle,AK199))</f>
        <v/>
      </c>
      <c r="AH199" s="40">
        <f>IF(C199="","",AF199-AG199)</f>
        <v/>
      </c>
      <c r="AI199" s="33">
        <f>IF(C199="","",IF(D199="Perdu","",IF(AND(AB199&lt;&gt;"",N(AB199)&lt;TODAY()),"Action en retard",IF(AND(D199="Client",AE199&lt;&gt;"",TODAY()-N(AE199)&gt;P_JoursInactif),"Client inactif",IF(AND(D199="Prospect",Z199=0,O199&lt;&gt;"",TODAY()-N(O199)&gt;P_JoursNonVisite),"Jamais visité","")))))</f>
        <v/>
      </c>
      <c r="AJ199" s="33">
        <f>IF(C199="","",C199&amp;" ["&amp;TEXT(A199,"000")&amp;"]")</f>
        <v/>
      </c>
      <c r="AK199" s="33">
        <f>IF(C199="","",X199&amp;"|"&amp;A199)</f>
        <v/>
      </c>
      <c r="AL199" s="47">
        <f>IF(C199="",0,IF(COUNTIFS(VC_cle,AK199)=0,0,MAX(INDEX((VC_cle=AK199)*(VC_date+ROW(VC_date)/100000),0))))</f>
        <v/>
      </c>
      <c r="AM199" s="47">
        <f>IF(AND(C199&lt;&gt;"",N(AB199)&gt;0,D199&lt;&gt;"Perdu"),AB199+ROW()/100000,0)</f>
        <v/>
      </c>
      <c r="AN199" s="48">
        <f>IF(N(AF199)&gt;0,ROUND(AF199,0)+ROW()/1000000,0)</f>
        <v/>
      </c>
    </row>
    <row r="200" ht="18" customHeight="1">
      <c r="A200" s="39" t="n">
        <v>195</v>
      </c>
      <c r="B200" s="33">
        <f>IF(C200="","",IF(X200="À RENSEIGNER","GIC",X200)&amp;"-"&amp;TEXT(A200,"000"))</f>
        <v/>
      </c>
      <c r="C200" s="36" t="n"/>
      <c r="D200" s="34">
        <f>IF(C200="","",IF(U200="☑ Oui","Perdu",IF(AD200&lt;&gt;"","Client","Prospect")))</f>
        <v/>
      </c>
      <c r="E200" s="36" t="n"/>
      <c r="F200" s="36" t="n"/>
      <c r="G200" s="44" t="n"/>
      <c r="H200" s="44" t="n"/>
      <c r="I200" s="36" t="n"/>
      <c r="J200" s="36" t="n"/>
      <c r="K200" s="41" t="n"/>
      <c r="L200" s="41" t="n"/>
      <c r="M200" s="36" t="n"/>
      <c r="N200" s="36" t="n"/>
      <c r="O200" s="32" t="n"/>
      <c r="P200" s="36" t="n"/>
      <c r="Q200" s="36" t="n"/>
      <c r="R200" s="34">
        <f>IF(P200="","",IFERROR(VLOOKUP(P200,T_Produits,2,FALSE),""))</f>
        <v/>
      </c>
      <c r="S200" s="36" t="n"/>
      <c r="T200" s="43" t="n"/>
      <c r="U200" s="43" t="n"/>
      <c r="V200" s="36" t="n"/>
      <c r="W200" s="36" t="n"/>
      <c r="X200" s="33">
        <f>IF(C200="","",Commercial_Id)</f>
        <v/>
      </c>
      <c r="Y200" s="33">
        <f>IF(E200="","",IF(E200="Particulier / ménage","Particulier","Entreprise"))</f>
        <v/>
      </c>
      <c r="Z200" s="39">
        <f>IF(C200="","",COUNTIFS(VC_cle,AK200,VC_type,"Visite sur place"))</f>
        <v/>
      </c>
      <c r="AA200" s="46">
        <f>IF(AL200=0,"",IF(INT(AL200)=0,"",INT(AL200)))</f>
        <v/>
      </c>
      <c r="AB200" s="46">
        <f>IF(AL200=0,"",IF(INDEX(VC_actiondate,ROUND(MOD(AL200,1)*100000,0)-5)=0,"",INDEX(VC_actiondate,ROUND(MOD(AL200,1)*100000,0)-5)))</f>
        <v/>
      </c>
      <c r="AC200" s="33">
        <f>IF(AL200=0,"",INDEX(VC_actiontexte,ROUND(MOD(AL200,1)*100000,0)-5)&amp;"")</f>
        <v/>
      </c>
      <c r="AD200" s="46">
        <f>IF(C200="","",IF(COUNTIFS(Cmd_cle,AK200,Cmd_dateca,"&gt;0")=0,"",SMALL(INDEX(Cmd_dateca+(((Cmd_cle&lt;&gt;AK200)+(Cmd_dateca=0))&gt;0)*1000000,0),1)))</f>
        <v/>
      </c>
      <c r="AE200" s="46">
        <f>IF(C200="","",IF(COUNTIFS(Cmd_cle,AK200,Cmd_dateca,"&gt;0")=0,"",MAX(INDEX((Cmd_cle=AK200)*Cmd_dateca,0))))</f>
        <v/>
      </c>
      <c r="AF200" s="40">
        <f>IF(C200="","",SUMIFS(Cmd_montant,Cmd_cle,AK200,Cmd_dateca,"&gt;0"))</f>
        <v/>
      </c>
      <c r="AG200" s="40">
        <f>IF(C200="","",SUMIFS(Enc_montant,Enc_cle,AK200))</f>
        <v/>
      </c>
      <c r="AH200" s="40">
        <f>IF(C200="","",AF200-AG200)</f>
        <v/>
      </c>
      <c r="AI200" s="33">
        <f>IF(C200="","",IF(D200="Perdu","",IF(AND(AB200&lt;&gt;"",N(AB200)&lt;TODAY()),"Action en retard",IF(AND(D200="Client",AE200&lt;&gt;"",TODAY()-N(AE200)&gt;P_JoursInactif),"Client inactif",IF(AND(D200="Prospect",Z200=0,O200&lt;&gt;"",TODAY()-N(O200)&gt;P_JoursNonVisite),"Jamais visité","")))))</f>
        <v/>
      </c>
      <c r="AJ200" s="33">
        <f>IF(C200="","",C200&amp;" ["&amp;TEXT(A200,"000")&amp;"]")</f>
        <v/>
      </c>
      <c r="AK200" s="33">
        <f>IF(C200="","",X200&amp;"|"&amp;A200)</f>
        <v/>
      </c>
      <c r="AL200" s="47">
        <f>IF(C200="",0,IF(COUNTIFS(VC_cle,AK200)=0,0,MAX(INDEX((VC_cle=AK200)*(VC_date+ROW(VC_date)/100000),0))))</f>
        <v/>
      </c>
      <c r="AM200" s="47">
        <f>IF(AND(C200&lt;&gt;"",N(AB200)&gt;0,D200&lt;&gt;"Perdu"),AB200+ROW()/100000,0)</f>
        <v/>
      </c>
      <c r="AN200" s="48">
        <f>IF(N(AF200)&gt;0,ROUND(AF200,0)+ROW()/1000000,0)</f>
        <v/>
      </c>
    </row>
    <row r="201" ht="18" customHeight="1">
      <c r="A201" s="39" t="n">
        <v>196</v>
      </c>
      <c r="B201" s="33">
        <f>IF(C201="","",IF(X201="À RENSEIGNER","GIC",X201)&amp;"-"&amp;TEXT(A201,"000"))</f>
        <v/>
      </c>
      <c r="C201" s="36" t="n"/>
      <c r="D201" s="34">
        <f>IF(C201="","",IF(U201="☑ Oui","Perdu",IF(AD201&lt;&gt;"","Client","Prospect")))</f>
        <v/>
      </c>
      <c r="E201" s="36" t="n"/>
      <c r="F201" s="36" t="n"/>
      <c r="G201" s="44" t="n"/>
      <c r="H201" s="44" t="n"/>
      <c r="I201" s="36" t="n"/>
      <c r="J201" s="36" t="n"/>
      <c r="K201" s="41" t="n"/>
      <c r="L201" s="41" t="n"/>
      <c r="M201" s="36" t="n"/>
      <c r="N201" s="36" t="n"/>
      <c r="O201" s="32" t="n"/>
      <c r="P201" s="36" t="n"/>
      <c r="Q201" s="36" t="n"/>
      <c r="R201" s="34">
        <f>IF(P201="","",IFERROR(VLOOKUP(P201,T_Produits,2,FALSE),""))</f>
        <v/>
      </c>
      <c r="S201" s="36" t="n"/>
      <c r="T201" s="43" t="n"/>
      <c r="U201" s="43" t="n"/>
      <c r="V201" s="36" t="n"/>
      <c r="W201" s="36" t="n"/>
      <c r="X201" s="33">
        <f>IF(C201="","",Commercial_Id)</f>
        <v/>
      </c>
      <c r="Y201" s="33">
        <f>IF(E201="","",IF(E201="Particulier / ménage","Particulier","Entreprise"))</f>
        <v/>
      </c>
      <c r="Z201" s="39">
        <f>IF(C201="","",COUNTIFS(VC_cle,AK201,VC_type,"Visite sur place"))</f>
        <v/>
      </c>
      <c r="AA201" s="46">
        <f>IF(AL201=0,"",IF(INT(AL201)=0,"",INT(AL201)))</f>
        <v/>
      </c>
      <c r="AB201" s="46">
        <f>IF(AL201=0,"",IF(INDEX(VC_actiondate,ROUND(MOD(AL201,1)*100000,0)-5)=0,"",INDEX(VC_actiondate,ROUND(MOD(AL201,1)*100000,0)-5)))</f>
        <v/>
      </c>
      <c r="AC201" s="33">
        <f>IF(AL201=0,"",INDEX(VC_actiontexte,ROUND(MOD(AL201,1)*100000,0)-5)&amp;"")</f>
        <v/>
      </c>
      <c r="AD201" s="46">
        <f>IF(C201="","",IF(COUNTIFS(Cmd_cle,AK201,Cmd_dateca,"&gt;0")=0,"",SMALL(INDEX(Cmd_dateca+(((Cmd_cle&lt;&gt;AK201)+(Cmd_dateca=0))&gt;0)*1000000,0),1)))</f>
        <v/>
      </c>
      <c r="AE201" s="46">
        <f>IF(C201="","",IF(COUNTIFS(Cmd_cle,AK201,Cmd_dateca,"&gt;0")=0,"",MAX(INDEX((Cmd_cle=AK201)*Cmd_dateca,0))))</f>
        <v/>
      </c>
      <c r="AF201" s="40">
        <f>IF(C201="","",SUMIFS(Cmd_montant,Cmd_cle,AK201,Cmd_dateca,"&gt;0"))</f>
        <v/>
      </c>
      <c r="AG201" s="40">
        <f>IF(C201="","",SUMIFS(Enc_montant,Enc_cle,AK201))</f>
        <v/>
      </c>
      <c r="AH201" s="40">
        <f>IF(C201="","",AF201-AG201)</f>
        <v/>
      </c>
      <c r="AI201" s="33">
        <f>IF(C201="","",IF(D201="Perdu","",IF(AND(AB201&lt;&gt;"",N(AB201)&lt;TODAY()),"Action en retard",IF(AND(D201="Client",AE201&lt;&gt;"",TODAY()-N(AE201)&gt;P_JoursInactif),"Client inactif",IF(AND(D201="Prospect",Z201=0,O201&lt;&gt;"",TODAY()-N(O201)&gt;P_JoursNonVisite),"Jamais visité","")))))</f>
        <v/>
      </c>
      <c r="AJ201" s="33">
        <f>IF(C201="","",C201&amp;" ["&amp;TEXT(A201,"000")&amp;"]")</f>
        <v/>
      </c>
      <c r="AK201" s="33">
        <f>IF(C201="","",X201&amp;"|"&amp;A201)</f>
        <v/>
      </c>
      <c r="AL201" s="47">
        <f>IF(C201="",0,IF(COUNTIFS(VC_cle,AK201)=0,0,MAX(INDEX((VC_cle=AK201)*(VC_date+ROW(VC_date)/100000),0))))</f>
        <v/>
      </c>
      <c r="AM201" s="47">
        <f>IF(AND(C201&lt;&gt;"",N(AB201)&gt;0,D201&lt;&gt;"Perdu"),AB201+ROW()/100000,0)</f>
        <v/>
      </c>
      <c r="AN201" s="48">
        <f>IF(N(AF201)&gt;0,ROUND(AF201,0)+ROW()/1000000,0)</f>
        <v/>
      </c>
    </row>
    <row r="202" ht="18" customHeight="1">
      <c r="A202" s="39" t="n">
        <v>197</v>
      </c>
      <c r="B202" s="33">
        <f>IF(C202="","",IF(X202="À RENSEIGNER","GIC",X202)&amp;"-"&amp;TEXT(A202,"000"))</f>
        <v/>
      </c>
      <c r="C202" s="36" t="n"/>
      <c r="D202" s="34">
        <f>IF(C202="","",IF(U202="☑ Oui","Perdu",IF(AD202&lt;&gt;"","Client","Prospect")))</f>
        <v/>
      </c>
      <c r="E202" s="36" t="n"/>
      <c r="F202" s="36" t="n"/>
      <c r="G202" s="44" t="n"/>
      <c r="H202" s="44" t="n"/>
      <c r="I202" s="36" t="n"/>
      <c r="J202" s="36" t="n"/>
      <c r="K202" s="41" t="n"/>
      <c r="L202" s="41" t="n"/>
      <c r="M202" s="36" t="n"/>
      <c r="N202" s="36" t="n"/>
      <c r="O202" s="32" t="n"/>
      <c r="P202" s="36" t="n"/>
      <c r="Q202" s="36" t="n"/>
      <c r="R202" s="34">
        <f>IF(P202="","",IFERROR(VLOOKUP(P202,T_Produits,2,FALSE),""))</f>
        <v/>
      </c>
      <c r="S202" s="36" t="n"/>
      <c r="T202" s="43" t="n"/>
      <c r="U202" s="43" t="n"/>
      <c r="V202" s="36" t="n"/>
      <c r="W202" s="36" t="n"/>
      <c r="X202" s="33">
        <f>IF(C202="","",Commercial_Id)</f>
        <v/>
      </c>
      <c r="Y202" s="33">
        <f>IF(E202="","",IF(E202="Particulier / ménage","Particulier","Entreprise"))</f>
        <v/>
      </c>
      <c r="Z202" s="39">
        <f>IF(C202="","",COUNTIFS(VC_cle,AK202,VC_type,"Visite sur place"))</f>
        <v/>
      </c>
      <c r="AA202" s="46">
        <f>IF(AL202=0,"",IF(INT(AL202)=0,"",INT(AL202)))</f>
        <v/>
      </c>
      <c r="AB202" s="46">
        <f>IF(AL202=0,"",IF(INDEX(VC_actiondate,ROUND(MOD(AL202,1)*100000,0)-5)=0,"",INDEX(VC_actiondate,ROUND(MOD(AL202,1)*100000,0)-5)))</f>
        <v/>
      </c>
      <c r="AC202" s="33">
        <f>IF(AL202=0,"",INDEX(VC_actiontexte,ROUND(MOD(AL202,1)*100000,0)-5)&amp;"")</f>
        <v/>
      </c>
      <c r="AD202" s="46">
        <f>IF(C202="","",IF(COUNTIFS(Cmd_cle,AK202,Cmd_dateca,"&gt;0")=0,"",SMALL(INDEX(Cmd_dateca+(((Cmd_cle&lt;&gt;AK202)+(Cmd_dateca=0))&gt;0)*1000000,0),1)))</f>
        <v/>
      </c>
      <c r="AE202" s="46">
        <f>IF(C202="","",IF(COUNTIFS(Cmd_cle,AK202,Cmd_dateca,"&gt;0")=0,"",MAX(INDEX((Cmd_cle=AK202)*Cmd_dateca,0))))</f>
        <v/>
      </c>
      <c r="AF202" s="40">
        <f>IF(C202="","",SUMIFS(Cmd_montant,Cmd_cle,AK202,Cmd_dateca,"&gt;0"))</f>
        <v/>
      </c>
      <c r="AG202" s="40">
        <f>IF(C202="","",SUMIFS(Enc_montant,Enc_cle,AK202))</f>
        <v/>
      </c>
      <c r="AH202" s="40">
        <f>IF(C202="","",AF202-AG202)</f>
        <v/>
      </c>
      <c r="AI202" s="33">
        <f>IF(C202="","",IF(D202="Perdu","",IF(AND(AB202&lt;&gt;"",N(AB202)&lt;TODAY()),"Action en retard",IF(AND(D202="Client",AE202&lt;&gt;"",TODAY()-N(AE202)&gt;P_JoursInactif),"Client inactif",IF(AND(D202="Prospect",Z202=0,O202&lt;&gt;"",TODAY()-N(O202)&gt;P_JoursNonVisite),"Jamais visité","")))))</f>
        <v/>
      </c>
      <c r="AJ202" s="33">
        <f>IF(C202="","",C202&amp;" ["&amp;TEXT(A202,"000")&amp;"]")</f>
        <v/>
      </c>
      <c r="AK202" s="33">
        <f>IF(C202="","",X202&amp;"|"&amp;A202)</f>
        <v/>
      </c>
      <c r="AL202" s="47">
        <f>IF(C202="",0,IF(COUNTIFS(VC_cle,AK202)=0,0,MAX(INDEX((VC_cle=AK202)*(VC_date+ROW(VC_date)/100000),0))))</f>
        <v/>
      </c>
      <c r="AM202" s="47">
        <f>IF(AND(C202&lt;&gt;"",N(AB202)&gt;0,D202&lt;&gt;"Perdu"),AB202+ROW()/100000,0)</f>
        <v/>
      </c>
      <c r="AN202" s="48">
        <f>IF(N(AF202)&gt;0,ROUND(AF202,0)+ROW()/1000000,0)</f>
        <v/>
      </c>
    </row>
    <row r="203" ht="18" customHeight="1">
      <c r="A203" s="39" t="n">
        <v>198</v>
      </c>
      <c r="B203" s="33">
        <f>IF(C203="","",IF(X203="À RENSEIGNER","GIC",X203)&amp;"-"&amp;TEXT(A203,"000"))</f>
        <v/>
      </c>
      <c r="C203" s="36" t="n"/>
      <c r="D203" s="34">
        <f>IF(C203="","",IF(U203="☑ Oui","Perdu",IF(AD203&lt;&gt;"","Client","Prospect")))</f>
        <v/>
      </c>
      <c r="E203" s="36" t="n"/>
      <c r="F203" s="36" t="n"/>
      <c r="G203" s="44" t="n"/>
      <c r="H203" s="44" t="n"/>
      <c r="I203" s="36" t="n"/>
      <c r="J203" s="36" t="n"/>
      <c r="K203" s="41" t="n"/>
      <c r="L203" s="41" t="n"/>
      <c r="M203" s="36" t="n"/>
      <c r="N203" s="36" t="n"/>
      <c r="O203" s="32" t="n"/>
      <c r="P203" s="36" t="n"/>
      <c r="Q203" s="36" t="n"/>
      <c r="R203" s="34">
        <f>IF(P203="","",IFERROR(VLOOKUP(P203,T_Produits,2,FALSE),""))</f>
        <v/>
      </c>
      <c r="S203" s="36" t="n"/>
      <c r="T203" s="43" t="n"/>
      <c r="U203" s="43" t="n"/>
      <c r="V203" s="36" t="n"/>
      <c r="W203" s="36" t="n"/>
      <c r="X203" s="33">
        <f>IF(C203="","",Commercial_Id)</f>
        <v/>
      </c>
      <c r="Y203" s="33">
        <f>IF(E203="","",IF(E203="Particulier / ménage","Particulier","Entreprise"))</f>
        <v/>
      </c>
      <c r="Z203" s="39">
        <f>IF(C203="","",COUNTIFS(VC_cle,AK203,VC_type,"Visite sur place"))</f>
        <v/>
      </c>
      <c r="AA203" s="46">
        <f>IF(AL203=0,"",IF(INT(AL203)=0,"",INT(AL203)))</f>
        <v/>
      </c>
      <c r="AB203" s="46">
        <f>IF(AL203=0,"",IF(INDEX(VC_actiondate,ROUND(MOD(AL203,1)*100000,0)-5)=0,"",INDEX(VC_actiondate,ROUND(MOD(AL203,1)*100000,0)-5)))</f>
        <v/>
      </c>
      <c r="AC203" s="33">
        <f>IF(AL203=0,"",INDEX(VC_actiontexte,ROUND(MOD(AL203,1)*100000,0)-5)&amp;"")</f>
        <v/>
      </c>
      <c r="AD203" s="46">
        <f>IF(C203="","",IF(COUNTIFS(Cmd_cle,AK203,Cmd_dateca,"&gt;0")=0,"",SMALL(INDEX(Cmd_dateca+(((Cmd_cle&lt;&gt;AK203)+(Cmd_dateca=0))&gt;0)*1000000,0),1)))</f>
        <v/>
      </c>
      <c r="AE203" s="46">
        <f>IF(C203="","",IF(COUNTIFS(Cmd_cle,AK203,Cmd_dateca,"&gt;0")=0,"",MAX(INDEX((Cmd_cle=AK203)*Cmd_dateca,0))))</f>
        <v/>
      </c>
      <c r="AF203" s="40">
        <f>IF(C203="","",SUMIFS(Cmd_montant,Cmd_cle,AK203,Cmd_dateca,"&gt;0"))</f>
        <v/>
      </c>
      <c r="AG203" s="40">
        <f>IF(C203="","",SUMIFS(Enc_montant,Enc_cle,AK203))</f>
        <v/>
      </c>
      <c r="AH203" s="40">
        <f>IF(C203="","",AF203-AG203)</f>
        <v/>
      </c>
      <c r="AI203" s="33">
        <f>IF(C203="","",IF(D203="Perdu","",IF(AND(AB203&lt;&gt;"",N(AB203)&lt;TODAY()),"Action en retard",IF(AND(D203="Client",AE203&lt;&gt;"",TODAY()-N(AE203)&gt;P_JoursInactif),"Client inactif",IF(AND(D203="Prospect",Z203=0,O203&lt;&gt;"",TODAY()-N(O203)&gt;P_JoursNonVisite),"Jamais visité","")))))</f>
        <v/>
      </c>
      <c r="AJ203" s="33">
        <f>IF(C203="","",C203&amp;" ["&amp;TEXT(A203,"000")&amp;"]")</f>
        <v/>
      </c>
      <c r="AK203" s="33">
        <f>IF(C203="","",X203&amp;"|"&amp;A203)</f>
        <v/>
      </c>
      <c r="AL203" s="47">
        <f>IF(C203="",0,IF(COUNTIFS(VC_cle,AK203)=0,0,MAX(INDEX((VC_cle=AK203)*(VC_date+ROW(VC_date)/100000),0))))</f>
        <v/>
      </c>
      <c r="AM203" s="47">
        <f>IF(AND(C203&lt;&gt;"",N(AB203)&gt;0,D203&lt;&gt;"Perdu"),AB203+ROW()/100000,0)</f>
        <v/>
      </c>
      <c r="AN203" s="48">
        <f>IF(N(AF203)&gt;0,ROUND(AF203,0)+ROW()/1000000,0)</f>
        <v/>
      </c>
    </row>
    <row r="204" ht="18" customHeight="1">
      <c r="A204" s="39" t="n">
        <v>199</v>
      </c>
      <c r="B204" s="33">
        <f>IF(C204="","",IF(X204="À RENSEIGNER","GIC",X204)&amp;"-"&amp;TEXT(A204,"000"))</f>
        <v/>
      </c>
      <c r="C204" s="36" t="n"/>
      <c r="D204" s="34">
        <f>IF(C204="","",IF(U204="☑ Oui","Perdu",IF(AD204&lt;&gt;"","Client","Prospect")))</f>
        <v/>
      </c>
      <c r="E204" s="36" t="n"/>
      <c r="F204" s="36" t="n"/>
      <c r="G204" s="44" t="n"/>
      <c r="H204" s="44" t="n"/>
      <c r="I204" s="36" t="n"/>
      <c r="J204" s="36" t="n"/>
      <c r="K204" s="41" t="n"/>
      <c r="L204" s="41" t="n"/>
      <c r="M204" s="36" t="n"/>
      <c r="N204" s="36" t="n"/>
      <c r="O204" s="32" t="n"/>
      <c r="P204" s="36" t="n"/>
      <c r="Q204" s="36" t="n"/>
      <c r="R204" s="34">
        <f>IF(P204="","",IFERROR(VLOOKUP(P204,T_Produits,2,FALSE),""))</f>
        <v/>
      </c>
      <c r="S204" s="36" t="n"/>
      <c r="T204" s="43" t="n"/>
      <c r="U204" s="43" t="n"/>
      <c r="V204" s="36" t="n"/>
      <c r="W204" s="36" t="n"/>
      <c r="X204" s="33">
        <f>IF(C204="","",Commercial_Id)</f>
        <v/>
      </c>
      <c r="Y204" s="33">
        <f>IF(E204="","",IF(E204="Particulier / ménage","Particulier","Entreprise"))</f>
        <v/>
      </c>
      <c r="Z204" s="39">
        <f>IF(C204="","",COUNTIFS(VC_cle,AK204,VC_type,"Visite sur place"))</f>
        <v/>
      </c>
      <c r="AA204" s="46">
        <f>IF(AL204=0,"",IF(INT(AL204)=0,"",INT(AL204)))</f>
        <v/>
      </c>
      <c r="AB204" s="46">
        <f>IF(AL204=0,"",IF(INDEX(VC_actiondate,ROUND(MOD(AL204,1)*100000,0)-5)=0,"",INDEX(VC_actiondate,ROUND(MOD(AL204,1)*100000,0)-5)))</f>
        <v/>
      </c>
      <c r="AC204" s="33">
        <f>IF(AL204=0,"",INDEX(VC_actiontexte,ROUND(MOD(AL204,1)*100000,0)-5)&amp;"")</f>
        <v/>
      </c>
      <c r="AD204" s="46">
        <f>IF(C204="","",IF(COUNTIFS(Cmd_cle,AK204,Cmd_dateca,"&gt;0")=0,"",SMALL(INDEX(Cmd_dateca+(((Cmd_cle&lt;&gt;AK204)+(Cmd_dateca=0))&gt;0)*1000000,0),1)))</f>
        <v/>
      </c>
      <c r="AE204" s="46">
        <f>IF(C204="","",IF(COUNTIFS(Cmd_cle,AK204,Cmd_dateca,"&gt;0")=0,"",MAX(INDEX((Cmd_cle=AK204)*Cmd_dateca,0))))</f>
        <v/>
      </c>
      <c r="AF204" s="40">
        <f>IF(C204="","",SUMIFS(Cmd_montant,Cmd_cle,AK204,Cmd_dateca,"&gt;0"))</f>
        <v/>
      </c>
      <c r="AG204" s="40">
        <f>IF(C204="","",SUMIFS(Enc_montant,Enc_cle,AK204))</f>
        <v/>
      </c>
      <c r="AH204" s="40">
        <f>IF(C204="","",AF204-AG204)</f>
        <v/>
      </c>
      <c r="AI204" s="33">
        <f>IF(C204="","",IF(D204="Perdu","",IF(AND(AB204&lt;&gt;"",N(AB204)&lt;TODAY()),"Action en retard",IF(AND(D204="Client",AE204&lt;&gt;"",TODAY()-N(AE204)&gt;P_JoursInactif),"Client inactif",IF(AND(D204="Prospect",Z204=0,O204&lt;&gt;"",TODAY()-N(O204)&gt;P_JoursNonVisite),"Jamais visité","")))))</f>
        <v/>
      </c>
      <c r="AJ204" s="33">
        <f>IF(C204="","",C204&amp;" ["&amp;TEXT(A204,"000")&amp;"]")</f>
        <v/>
      </c>
      <c r="AK204" s="33">
        <f>IF(C204="","",X204&amp;"|"&amp;A204)</f>
        <v/>
      </c>
      <c r="AL204" s="47">
        <f>IF(C204="",0,IF(COUNTIFS(VC_cle,AK204)=0,0,MAX(INDEX((VC_cle=AK204)*(VC_date+ROW(VC_date)/100000),0))))</f>
        <v/>
      </c>
      <c r="AM204" s="47">
        <f>IF(AND(C204&lt;&gt;"",N(AB204)&gt;0,D204&lt;&gt;"Perdu"),AB204+ROW()/100000,0)</f>
        <v/>
      </c>
      <c r="AN204" s="48">
        <f>IF(N(AF204)&gt;0,ROUND(AF204,0)+ROW()/1000000,0)</f>
        <v/>
      </c>
    </row>
    <row r="205" ht="18" customHeight="1">
      <c r="A205" s="39" t="n">
        <v>200</v>
      </c>
      <c r="B205" s="33">
        <f>IF(C205="","",IF(X205="À RENSEIGNER","GIC",X205)&amp;"-"&amp;TEXT(A205,"000"))</f>
        <v/>
      </c>
      <c r="C205" s="36" t="n"/>
      <c r="D205" s="34">
        <f>IF(C205="","",IF(U205="☑ Oui","Perdu",IF(AD205&lt;&gt;"","Client","Prospect")))</f>
        <v/>
      </c>
      <c r="E205" s="36" t="n"/>
      <c r="F205" s="36" t="n"/>
      <c r="G205" s="44" t="n"/>
      <c r="H205" s="44" t="n"/>
      <c r="I205" s="36" t="n"/>
      <c r="J205" s="36" t="n"/>
      <c r="K205" s="41" t="n"/>
      <c r="L205" s="41" t="n"/>
      <c r="M205" s="36" t="n"/>
      <c r="N205" s="36" t="n"/>
      <c r="O205" s="32" t="n"/>
      <c r="P205" s="36" t="n"/>
      <c r="Q205" s="36" t="n"/>
      <c r="R205" s="34">
        <f>IF(P205="","",IFERROR(VLOOKUP(P205,T_Produits,2,FALSE),""))</f>
        <v/>
      </c>
      <c r="S205" s="36" t="n"/>
      <c r="T205" s="43" t="n"/>
      <c r="U205" s="43" t="n"/>
      <c r="V205" s="36" t="n"/>
      <c r="W205" s="36" t="n"/>
      <c r="X205" s="33">
        <f>IF(C205="","",Commercial_Id)</f>
        <v/>
      </c>
      <c r="Y205" s="33">
        <f>IF(E205="","",IF(E205="Particulier / ménage","Particulier","Entreprise"))</f>
        <v/>
      </c>
      <c r="Z205" s="39">
        <f>IF(C205="","",COUNTIFS(VC_cle,AK205,VC_type,"Visite sur place"))</f>
        <v/>
      </c>
      <c r="AA205" s="46">
        <f>IF(AL205=0,"",IF(INT(AL205)=0,"",INT(AL205)))</f>
        <v/>
      </c>
      <c r="AB205" s="46">
        <f>IF(AL205=0,"",IF(INDEX(VC_actiondate,ROUND(MOD(AL205,1)*100000,0)-5)=0,"",INDEX(VC_actiondate,ROUND(MOD(AL205,1)*100000,0)-5)))</f>
        <v/>
      </c>
      <c r="AC205" s="33">
        <f>IF(AL205=0,"",INDEX(VC_actiontexte,ROUND(MOD(AL205,1)*100000,0)-5)&amp;"")</f>
        <v/>
      </c>
      <c r="AD205" s="46">
        <f>IF(C205="","",IF(COUNTIFS(Cmd_cle,AK205,Cmd_dateca,"&gt;0")=0,"",SMALL(INDEX(Cmd_dateca+(((Cmd_cle&lt;&gt;AK205)+(Cmd_dateca=0))&gt;0)*1000000,0),1)))</f>
        <v/>
      </c>
      <c r="AE205" s="46">
        <f>IF(C205="","",IF(COUNTIFS(Cmd_cle,AK205,Cmd_dateca,"&gt;0")=0,"",MAX(INDEX((Cmd_cle=AK205)*Cmd_dateca,0))))</f>
        <v/>
      </c>
      <c r="AF205" s="40">
        <f>IF(C205="","",SUMIFS(Cmd_montant,Cmd_cle,AK205,Cmd_dateca,"&gt;0"))</f>
        <v/>
      </c>
      <c r="AG205" s="40">
        <f>IF(C205="","",SUMIFS(Enc_montant,Enc_cle,AK205))</f>
        <v/>
      </c>
      <c r="AH205" s="40">
        <f>IF(C205="","",AF205-AG205)</f>
        <v/>
      </c>
      <c r="AI205" s="33">
        <f>IF(C205="","",IF(D205="Perdu","",IF(AND(AB205&lt;&gt;"",N(AB205)&lt;TODAY()),"Action en retard",IF(AND(D205="Client",AE205&lt;&gt;"",TODAY()-N(AE205)&gt;P_JoursInactif),"Client inactif",IF(AND(D205="Prospect",Z205=0,O205&lt;&gt;"",TODAY()-N(O205)&gt;P_JoursNonVisite),"Jamais visité","")))))</f>
        <v/>
      </c>
      <c r="AJ205" s="33">
        <f>IF(C205="","",C205&amp;" ["&amp;TEXT(A205,"000")&amp;"]")</f>
        <v/>
      </c>
      <c r="AK205" s="33">
        <f>IF(C205="","",X205&amp;"|"&amp;A205)</f>
        <v/>
      </c>
      <c r="AL205" s="47">
        <f>IF(C205="",0,IF(COUNTIFS(VC_cle,AK205)=0,0,MAX(INDEX((VC_cle=AK205)*(VC_date+ROW(VC_date)/100000),0))))</f>
        <v/>
      </c>
      <c r="AM205" s="47">
        <f>IF(AND(C205&lt;&gt;"",N(AB205)&gt;0,D205&lt;&gt;"Perdu"),AB205+ROW()/100000,0)</f>
        <v/>
      </c>
      <c r="AN205" s="48">
        <f>IF(N(AF205)&gt;0,ROUND(AF205,0)+ROW()/1000000,0)</f>
        <v/>
      </c>
    </row>
    <row r="206" ht="18" customHeight="1">
      <c r="A206" s="39" t="n">
        <v>201</v>
      </c>
      <c r="B206" s="33">
        <f>IF(C206="","",IF(X206="À RENSEIGNER","GIC",X206)&amp;"-"&amp;TEXT(A206,"000"))</f>
        <v/>
      </c>
      <c r="C206" s="36" t="n"/>
      <c r="D206" s="34">
        <f>IF(C206="","",IF(U206="☑ Oui","Perdu",IF(AD206&lt;&gt;"","Client","Prospect")))</f>
        <v/>
      </c>
      <c r="E206" s="36" t="n"/>
      <c r="F206" s="36" t="n"/>
      <c r="G206" s="44" t="n"/>
      <c r="H206" s="44" t="n"/>
      <c r="I206" s="36" t="n"/>
      <c r="J206" s="36" t="n"/>
      <c r="K206" s="41" t="n"/>
      <c r="L206" s="41" t="n"/>
      <c r="M206" s="36" t="n"/>
      <c r="N206" s="36" t="n"/>
      <c r="O206" s="32" t="n"/>
      <c r="P206" s="36" t="n"/>
      <c r="Q206" s="36" t="n"/>
      <c r="R206" s="34">
        <f>IF(P206="","",IFERROR(VLOOKUP(P206,T_Produits,2,FALSE),""))</f>
        <v/>
      </c>
      <c r="S206" s="36" t="n"/>
      <c r="T206" s="43" t="n"/>
      <c r="U206" s="43" t="n"/>
      <c r="V206" s="36" t="n"/>
      <c r="W206" s="36" t="n"/>
      <c r="X206" s="33">
        <f>IF(C206="","",Commercial_Id)</f>
        <v/>
      </c>
      <c r="Y206" s="33">
        <f>IF(E206="","",IF(E206="Particulier / ménage","Particulier","Entreprise"))</f>
        <v/>
      </c>
      <c r="Z206" s="39">
        <f>IF(C206="","",COUNTIFS(VC_cle,AK206,VC_type,"Visite sur place"))</f>
        <v/>
      </c>
      <c r="AA206" s="46">
        <f>IF(AL206=0,"",IF(INT(AL206)=0,"",INT(AL206)))</f>
        <v/>
      </c>
      <c r="AB206" s="46">
        <f>IF(AL206=0,"",IF(INDEX(VC_actiondate,ROUND(MOD(AL206,1)*100000,0)-5)=0,"",INDEX(VC_actiondate,ROUND(MOD(AL206,1)*100000,0)-5)))</f>
        <v/>
      </c>
      <c r="AC206" s="33">
        <f>IF(AL206=0,"",INDEX(VC_actiontexte,ROUND(MOD(AL206,1)*100000,0)-5)&amp;"")</f>
        <v/>
      </c>
      <c r="AD206" s="46">
        <f>IF(C206="","",IF(COUNTIFS(Cmd_cle,AK206,Cmd_dateca,"&gt;0")=0,"",SMALL(INDEX(Cmd_dateca+(((Cmd_cle&lt;&gt;AK206)+(Cmd_dateca=0))&gt;0)*1000000,0),1)))</f>
        <v/>
      </c>
      <c r="AE206" s="46">
        <f>IF(C206="","",IF(COUNTIFS(Cmd_cle,AK206,Cmd_dateca,"&gt;0")=0,"",MAX(INDEX((Cmd_cle=AK206)*Cmd_dateca,0))))</f>
        <v/>
      </c>
      <c r="AF206" s="40">
        <f>IF(C206="","",SUMIFS(Cmd_montant,Cmd_cle,AK206,Cmd_dateca,"&gt;0"))</f>
        <v/>
      </c>
      <c r="AG206" s="40">
        <f>IF(C206="","",SUMIFS(Enc_montant,Enc_cle,AK206))</f>
        <v/>
      </c>
      <c r="AH206" s="40">
        <f>IF(C206="","",AF206-AG206)</f>
        <v/>
      </c>
      <c r="AI206" s="33">
        <f>IF(C206="","",IF(D206="Perdu","",IF(AND(AB206&lt;&gt;"",N(AB206)&lt;TODAY()),"Action en retard",IF(AND(D206="Client",AE206&lt;&gt;"",TODAY()-N(AE206)&gt;P_JoursInactif),"Client inactif",IF(AND(D206="Prospect",Z206=0,O206&lt;&gt;"",TODAY()-N(O206)&gt;P_JoursNonVisite),"Jamais visité","")))))</f>
        <v/>
      </c>
      <c r="AJ206" s="33">
        <f>IF(C206="","",C206&amp;" ["&amp;TEXT(A206,"000")&amp;"]")</f>
        <v/>
      </c>
      <c r="AK206" s="33">
        <f>IF(C206="","",X206&amp;"|"&amp;A206)</f>
        <v/>
      </c>
      <c r="AL206" s="47">
        <f>IF(C206="",0,IF(COUNTIFS(VC_cle,AK206)=0,0,MAX(INDEX((VC_cle=AK206)*(VC_date+ROW(VC_date)/100000),0))))</f>
        <v/>
      </c>
      <c r="AM206" s="47">
        <f>IF(AND(C206&lt;&gt;"",N(AB206)&gt;0,D206&lt;&gt;"Perdu"),AB206+ROW()/100000,0)</f>
        <v/>
      </c>
      <c r="AN206" s="48">
        <f>IF(N(AF206)&gt;0,ROUND(AF206,0)+ROW()/1000000,0)</f>
        <v/>
      </c>
    </row>
    <row r="207" ht="18" customHeight="1">
      <c r="A207" s="39" t="n">
        <v>202</v>
      </c>
      <c r="B207" s="33">
        <f>IF(C207="","",IF(X207="À RENSEIGNER","GIC",X207)&amp;"-"&amp;TEXT(A207,"000"))</f>
        <v/>
      </c>
      <c r="C207" s="36" t="n"/>
      <c r="D207" s="34">
        <f>IF(C207="","",IF(U207="☑ Oui","Perdu",IF(AD207&lt;&gt;"","Client","Prospect")))</f>
        <v/>
      </c>
      <c r="E207" s="36" t="n"/>
      <c r="F207" s="36" t="n"/>
      <c r="G207" s="44" t="n"/>
      <c r="H207" s="44" t="n"/>
      <c r="I207" s="36" t="n"/>
      <c r="J207" s="36" t="n"/>
      <c r="K207" s="41" t="n"/>
      <c r="L207" s="41" t="n"/>
      <c r="M207" s="36" t="n"/>
      <c r="N207" s="36" t="n"/>
      <c r="O207" s="32" t="n"/>
      <c r="P207" s="36" t="n"/>
      <c r="Q207" s="36" t="n"/>
      <c r="R207" s="34">
        <f>IF(P207="","",IFERROR(VLOOKUP(P207,T_Produits,2,FALSE),""))</f>
        <v/>
      </c>
      <c r="S207" s="36" t="n"/>
      <c r="T207" s="43" t="n"/>
      <c r="U207" s="43" t="n"/>
      <c r="V207" s="36" t="n"/>
      <c r="W207" s="36" t="n"/>
      <c r="X207" s="33">
        <f>IF(C207="","",Commercial_Id)</f>
        <v/>
      </c>
      <c r="Y207" s="33">
        <f>IF(E207="","",IF(E207="Particulier / ménage","Particulier","Entreprise"))</f>
        <v/>
      </c>
      <c r="Z207" s="39">
        <f>IF(C207="","",COUNTIFS(VC_cle,AK207,VC_type,"Visite sur place"))</f>
        <v/>
      </c>
      <c r="AA207" s="46">
        <f>IF(AL207=0,"",IF(INT(AL207)=0,"",INT(AL207)))</f>
        <v/>
      </c>
      <c r="AB207" s="46">
        <f>IF(AL207=0,"",IF(INDEX(VC_actiondate,ROUND(MOD(AL207,1)*100000,0)-5)=0,"",INDEX(VC_actiondate,ROUND(MOD(AL207,1)*100000,0)-5)))</f>
        <v/>
      </c>
      <c r="AC207" s="33">
        <f>IF(AL207=0,"",INDEX(VC_actiontexte,ROUND(MOD(AL207,1)*100000,0)-5)&amp;"")</f>
        <v/>
      </c>
      <c r="AD207" s="46">
        <f>IF(C207="","",IF(COUNTIFS(Cmd_cle,AK207,Cmd_dateca,"&gt;0")=0,"",SMALL(INDEX(Cmd_dateca+(((Cmd_cle&lt;&gt;AK207)+(Cmd_dateca=0))&gt;0)*1000000,0),1)))</f>
        <v/>
      </c>
      <c r="AE207" s="46">
        <f>IF(C207="","",IF(COUNTIFS(Cmd_cle,AK207,Cmd_dateca,"&gt;0")=0,"",MAX(INDEX((Cmd_cle=AK207)*Cmd_dateca,0))))</f>
        <v/>
      </c>
      <c r="AF207" s="40">
        <f>IF(C207="","",SUMIFS(Cmd_montant,Cmd_cle,AK207,Cmd_dateca,"&gt;0"))</f>
        <v/>
      </c>
      <c r="AG207" s="40">
        <f>IF(C207="","",SUMIFS(Enc_montant,Enc_cle,AK207))</f>
        <v/>
      </c>
      <c r="AH207" s="40">
        <f>IF(C207="","",AF207-AG207)</f>
        <v/>
      </c>
      <c r="AI207" s="33">
        <f>IF(C207="","",IF(D207="Perdu","",IF(AND(AB207&lt;&gt;"",N(AB207)&lt;TODAY()),"Action en retard",IF(AND(D207="Client",AE207&lt;&gt;"",TODAY()-N(AE207)&gt;P_JoursInactif),"Client inactif",IF(AND(D207="Prospect",Z207=0,O207&lt;&gt;"",TODAY()-N(O207)&gt;P_JoursNonVisite),"Jamais visité","")))))</f>
        <v/>
      </c>
      <c r="AJ207" s="33">
        <f>IF(C207="","",C207&amp;" ["&amp;TEXT(A207,"000")&amp;"]")</f>
        <v/>
      </c>
      <c r="AK207" s="33">
        <f>IF(C207="","",X207&amp;"|"&amp;A207)</f>
        <v/>
      </c>
      <c r="AL207" s="47">
        <f>IF(C207="",0,IF(COUNTIFS(VC_cle,AK207)=0,0,MAX(INDEX((VC_cle=AK207)*(VC_date+ROW(VC_date)/100000),0))))</f>
        <v/>
      </c>
      <c r="AM207" s="47">
        <f>IF(AND(C207&lt;&gt;"",N(AB207)&gt;0,D207&lt;&gt;"Perdu"),AB207+ROW()/100000,0)</f>
        <v/>
      </c>
      <c r="AN207" s="48">
        <f>IF(N(AF207)&gt;0,ROUND(AF207,0)+ROW()/1000000,0)</f>
        <v/>
      </c>
    </row>
    <row r="208" ht="18" customHeight="1">
      <c r="A208" s="39" t="n">
        <v>203</v>
      </c>
      <c r="B208" s="33">
        <f>IF(C208="","",IF(X208="À RENSEIGNER","GIC",X208)&amp;"-"&amp;TEXT(A208,"000"))</f>
        <v/>
      </c>
      <c r="C208" s="36" t="n"/>
      <c r="D208" s="34">
        <f>IF(C208="","",IF(U208="☑ Oui","Perdu",IF(AD208&lt;&gt;"","Client","Prospect")))</f>
        <v/>
      </c>
      <c r="E208" s="36" t="n"/>
      <c r="F208" s="36" t="n"/>
      <c r="G208" s="44" t="n"/>
      <c r="H208" s="44" t="n"/>
      <c r="I208" s="36" t="n"/>
      <c r="J208" s="36" t="n"/>
      <c r="K208" s="41" t="n"/>
      <c r="L208" s="41" t="n"/>
      <c r="M208" s="36" t="n"/>
      <c r="N208" s="36" t="n"/>
      <c r="O208" s="32" t="n"/>
      <c r="P208" s="36" t="n"/>
      <c r="Q208" s="36" t="n"/>
      <c r="R208" s="34">
        <f>IF(P208="","",IFERROR(VLOOKUP(P208,T_Produits,2,FALSE),""))</f>
        <v/>
      </c>
      <c r="S208" s="36" t="n"/>
      <c r="T208" s="43" t="n"/>
      <c r="U208" s="43" t="n"/>
      <c r="V208" s="36" t="n"/>
      <c r="W208" s="36" t="n"/>
      <c r="X208" s="33">
        <f>IF(C208="","",Commercial_Id)</f>
        <v/>
      </c>
      <c r="Y208" s="33">
        <f>IF(E208="","",IF(E208="Particulier / ménage","Particulier","Entreprise"))</f>
        <v/>
      </c>
      <c r="Z208" s="39">
        <f>IF(C208="","",COUNTIFS(VC_cle,AK208,VC_type,"Visite sur place"))</f>
        <v/>
      </c>
      <c r="AA208" s="46">
        <f>IF(AL208=0,"",IF(INT(AL208)=0,"",INT(AL208)))</f>
        <v/>
      </c>
      <c r="AB208" s="46">
        <f>IF(AL208=0,"",IF(INDEX(VC_actiondate,ROUND(MOD(AL208,1)*100000,0)-5)=0,"",INDEX(VC_actiondate,ROUND(MOD(AL208,1)*100000,0)-5)))</f>
        <v/>
      </c>
      <c r="AC208" s="33">
        <f>IF(AL208=0,"",INDEX(VC_actiontexte,ROUND(MOD(AL208,1)*100000,0)-5)&amp;"")</f>
        <v/>
      </c>
      <c r="AD208" s="46">
        <f>IF(C208="","",IF(COUNTIFS(Cmd_cle,AK208,Cmd_dateca,"&gt;0")=0,"",SMALL(INDEX(Cmd_dateca+(((Cmd_cle&lt;&gt;AK208)+(Cmd_dateca=0))&gt;0)*1000000,0),1)))</f>
        <v/>
      </c>
      <c r="AE208" s="46">
        <f>IF(C208="","",IF(COUNTIFS(Cmd_cle,AK208,Cmd_dateca,"&gt;0")=0,"",MAX(INDEX((Cmd_cle=AK208)*Cmd_dateca,0))))</f>
        <v/>
      </c>
      <c r="AF208" s="40">
        <f>IF(C208="","",SUMIFS(Cmd_montant,Cmd_cle,AK208,Cmd_dateca,"&gt;0"))</f>
        <v/>
      </c>
      <c r="AG208" s="40">
        <f>IF(C208="","",SUMIFS(Enc_montant,Enc_cle,AK208))</f>
        <v/>
      </c>
      <c r="AH208" s="40">
        <f>IF(C208="","",AF208-AG208)</f>
        <v/>
      </c>
      <c r="AI208" s="33">
        <f>IF(C208="","",IF(D208="Perdu","",IF(AND(AB208&lt;&gt;"",N(AB208)&lt;TODAY()),"Action en retard",IF(AND(D208="Client",AE208&lt;&gt;"",TODAY()-N(AE208)&gt;P_JoursInactif),"Client inactif",IF(AND(D208="Prospect",Z208=0,O208&lt;&gt;"",TODAY()-N(O208)&gt;P_JoursNonVisite),"Jamais visité","")))))</f>
        <v/>
      </c>
      <c r="AJ208" s="33">
        <f>IF(C208="","",C208&amp;" ["&amp;TEXT(A208,"000")&amp;"]")</f>
        <v/>
      </c>
      <c r="AK208" s="33">
        <f>IF(C208="","",X208&amp;"|"&amp;A208)</f>
        <v/>
      </c>
      <c r="AL208" s="47">
        <f>IF(C208="",0,IF(COUNTIFS(VC_cle,AK208)=0,0,MAX(INDEX((VC_cle=AK208)*(VC_date+ROW(VC_date)/100000),0))))</f>
        <v/>
      </c>
      <c r="AM208" s="47">
        <f>IF(AND(C208&lt;&gt;"",N(AB208)&gt;0,D208&lt;&gt;"Perdu"),AB208+ROW()/100000,0)</f>
        <v/>
      </c>
      <c r="AN208" s="48">
        <f>IF(N(AF208)&gt;0,ROUND(AF208,0)+ROW()/1000000,0)</f>
        <v/>
      </c>
    </row>
    <row r="209" ht="18" customHeight="1">
      <c r="A209" s="39" t="n">
        <v>204</v>
      </c>
      <c r="B209" s="33">
        <f>IF(C209="","",IF(X209="À RENSEIGNER","GIC",X209)&amp;"-"&amp;TEXT(A209,"000"))</f>
        <v/>
      </c>
      <c r="C209" s="36" t="n"/>
      <c r="D209" s="34">
        <f>IF(C209="","",IF(U209="☑ Oui","Perdu",IF(AD209&lt;&gt;"","Client","Prospect")))</f>
        <v/>
      </c>
      <c r="E209" s="36" t="n"/>
      <c r="F209" s="36" t="n"/>
      <c r="G209" s="44" t="n"/>
      <c r="H209" s="44" t="n"/>
      <c r="I209" s="36" t="n"/>
      <c r="J209" s="36" t="n"/>
      <c r="K209" s="41" t="n"/>
      <c r="L209" s="41" t="n"/>
      <c r="M209" s="36" t="n"/>
      <c r="N209" s="36" t="n"/>
      <c r="O209" s="32" t="n"/>
      <c r="P209" s="36" t="n"/>
      <c r="Q209" s="36" t="n"/>
      <c r="R209" s="34">
        <f>IF(P209="","",IFERROR(VLOOKUP(P209,T_Produits,2,FALSE),""))</f>
        <v/>
      </c>
      <c r="S209" s="36" t="n"/>
      <c r="T209" s="43" t="n"/>
      <c r="U209" s="43" t="n"/>
      <c r="V209" s="36" t="n"/>
      <c r="W209" s="36" t="n"/>
      <c r="X209" s="33">
        <f>IF(C209="","",Commercial_Id)</f>
        <v/>
      </c>
      <c r="Y209" s="33">
        <f>IF(E209="","",IF(E209="Particulier / ménage","Particulier","Entreprise"))</f>
        <v/>
      </c>
      <c r="Z209" s="39">
        <f>IF(C209="","",COUNTIFS(VC_cle,AK209,VC_type,"Visite sur place"))</f>
        <v/>
      </c>
      <c r="AA209" s="46">
        <f>IF(AL209=0,"",IF(INT(AL209)=0,"",INT(AL209)))</f>
        <v/>
      </c>
      <c r="AB209" s="46">
        <f>IF(AL209=0,"",IF(INDEX(VC_actiondate,ROUND(MOD(AL209,1)*100000,0)-5)=0,"",INDEX(VC_actiondate,ROUND(MOD(AL209,1)*100000,0)-5)))</f>
        <v/>
      </c>
      <c r="AC209" s="33">
        <f>IF(AL209=0,"",INDEX(VC_actiontexte,ROUND(MOD(AL209,1)*100000,0)-5)&amp;"")</f>
        <v/>
      </c>
      <c r="AD209" s="46">
        <f>IF(C209="","",IF(COUNTIFS(Cmd_cle,AK209,Cmd_dateca,"&gt;0")=0,"",SMALL(INDEX(Cmd_dateca+(((Cmd_cle&lt;&gt;AK209)+(Cmd_dateca=0))&gt;0)*1000000,0),1)))</f>
        <v/>
      </c>
      <c r="AE209" s="46">
        <f>IF(C209="","",IF(COUNTIFS(Cmd_cle,AK209,Cmd_dateca,"&gt;0")=0,"",MAX(INDEX((Cmd_cle=AK209)*Cmd_dateca,0))))</f>
        <v/>
      </c>
      <c r="AF209" s="40">
        <f>IF(C209="","",SUMIFS(Cmd_montant,Cmd_cle,AK209,Cmd_dateca,"&gt;0"))</f>
        <v/>
      </c>
      <c r="AG209" s="40">
        <f>IF(C209="","",SUMIFS(Enc_montant,Enc_cle,AK209))</f>
        <v/>
      </c>
      <c r="AH209" s="40">
        <f>IF(C209="","",AF209-AG209)</f>
        <v/>
      </c>
      <c r="AI209" s="33">
        <f>IF(C209="","",IF(D209="Perdu","",IF(AND(AB209&lt;&gt;"",N(AB209)&lt;TODAY()),"Action en retard",IF(AND(D209="Client",AE209&lt;&gt;"",TODAY()-N(AE209)&gt;P_JoursInactif),"Client inactif",IF(AND(D209="Prospect",Z209=0,O209&lt;&gt;"",TODAY()-N(O209)&gt;P_JoursNonVisite),"Jamais visité","")))))</f>
        <v/>
      </c>
      <c r="AJ209" s="33">
        <f>IF(C209="","",C209&amp;" ["&amp;TEXT(A209,"000")&amp;"]")</f>
        <v/>
      </c>
      <c r="AK209" s="33">
        <f>IF(C209="","",X209&amp;"|"&amp;A209)</f>
        <v/>
      </c>
      <c r="AL209" s="47">
        <f>IF(C209="",0,IF(COUNTIFS(VC_cle,AK209)=0,0,MAX(INDEX((VC_cle=AK209)*(VC_date+ROW(VC_date)/100000),0))))</f>
        <v/>
      </c>
      <c r="AM209" s="47">
        <f>IF(AND(C209&lt;&gt;"",N(AB209)&gt;0,D209&lt;&gt;"Perdu"),AB209+ROW()/100000,0)</f>
        <v/>
      </c>
      <c r="AN209" s="48">
        <f>IF(N(AF209)&gt;0,ROUND(AF209,0)+ROW()/1000000,0)</f>
        <v/>
      </c>
    </row>
    <row r="210" ht="18" customHeight="1">
      <c r="A210" s="39" t="n">
        <v>205</v>
      </c>
      <c r="B210" s="33">
        <f>IF(C210="","",IF(X210="À RENSEIGNER","GIC",X210)&amp;"-"&amp;TEXT(A210,"000"))</f>
        <v/>
      </c>
      <c r="C210" s="36" t="n"/>
      <c r="D210" s="34">
        <f>IF(C210="","",IF(U210="☑ Oui","Perdu",IF(AD210&lt;&gt;"","Client","Prospect")))</f>
        <v/>
      </c>
      <c r="E210" s="36" t="n"/>
      <c r="F210" s="36" t="n"/>
      <c r="G210" s="44" t="n"/>
      <c r="H210" s="44" t="n"/>
      <c r="I210" s="36" t="n"/>
      <c r="J210" s="36" t="n"/>
      <c r="K210" s="41" t="n"/>
      <c r="L210" s="41" t="n"/>
      <c r="M210" s="36" t="n"/>
      <c r="N210" s="36" t="n"/>
      <c r="O210" s="32" t="n"/>
      <c r="P210" s="36" t="n"/>
      <c r="Q210" s="36" t="n"/>
      <c r="R210" s="34">
        <f>IF(P210="","",IFERROR(VLOOKUP(P210,T_Produits,2,FALSE),""))</f>
        <v/>
      </c>
      <c r="S210" s="36" t="n"/>
      <c r="T210" s="43" t="n"/>
      <c r="U210" s="43" t="n"/>
      <c r="V210" s="36" t="n"/>
      <c r="W210" s="36" t="n"/>
      <c r="X210" s="33">
        <f>IF(C210="","",Commercial_Id)</f>
        <v/>
      </c>
      <c r="Y210" s="33">
        <f>IF(E210="","",IF(E210="Particulier / ménage","Particulier","Entreprise"))</f>
        <v/>
      </c>
      <c r="Z210" s="39">
        <f>IF(C210="","",COUNTIFS(VC_cle,AK210,VC_type,"Visite sur place"))</f>
        <v/>
      </c>
      <c r="AA210" s="46">
        <f>IF(AL210=0,"",IF(INT(AL210)=0,"",INT(AL210)))</f>
        <v/>
      </c>
      <c r="AB210" s="46">
        <f>IF(AL210=0,"",IF(INDEX(VC_actiondate,ROUND(MOD(AL210,1)*100000,0)-5)=0,"",INDEX(VC_actiondate,ROUND(MOD(AL210,1)*100000,0)-5)))</f>
        <v/>
      </c>
      <c r="AC210" s="33">
        <f>IF(AL210=0,"",INDEX(VC_actiontexte,ROUND(MOD(AL210,1)*100000,0)-5)&amp;"")</f>
        <v/>
      </c>
      <c r="AD210" s="46">
        <f>IF(C210="","",IF(COUNTIFS(Cmd_cle,AK210,Cmd_dateca,"&gt;0")=0,"",SMALL(INDEX(Cmd_dateca+(((Cmd_cle&lt;&gt;AK210)+(Cmd_dateca=0))&gt;0)*1000000,0),1)))</f>
        <v/>
      </c>
      <c r="AE210" s="46">
        <f>IF(C210="","",IF(COUNTIFS(Cmd_cle,AK210,Cmd_dateca,"&gt;0")=0,"",MAX(INDEX((Cmd_cle=AK210)*Cmd_dateca,0))))</f>
        <v/>
      </c>
      <c r="AF210" s="40">
        <f>IF(C210="","",SUMIFS(Cmd_montant,Cmd_cle,AK210,Cmd_dateca,"&gt;0"))</f>
        <v/>
      </c>
      <c r="AG210" s="40">
        <f>IF(C210="","",SUMIFS(Enc_montant,Enc_cle,AK210))</f>
        <v/>
      </c>
      <c r="AH210" s="40">
        <f>IF(C210="","",AF210-AG210)</f>
        <v/>
      </c>
      <c r="AI210" s="33">
        <f>IF(C210="","",IF(D210="Perdu","",IF(AND(AB210&lt;&gt;"",N(AB210)&lt;TODAY()),"Action en retard",IF(AND(D210="Client",AE210&lt;&gt;"",TODAY()-N(AE210)&gt;P_JoursInactif),"Client inactif",IF(AND(D210="Prospect",Z210=0,O210&lt;&gt;"",TODAY()-N(O210)&gt;P_JoursNonVisite),"Jamais visité","")))))</f>
        <v/>
      </c>
      <c r="AJ210" s="33">
        <f>IF(C210="","",C210&amp;" ["&amp;TEXT(A210,"000")&amp;"]")</f>
        <v/>
      </c>
      <c r="AK210" s="33">
        <f>IF(C210="","",X210&amp;"|"&amp;A210)</f>
        <v/>
      </c>
      <c r="AL210" s="47">
        <f>IF(C210="",0,IF(COUNTIFS(VC_cle,AK210)=0,0,MAX(INDEX((VC_cle=AK210)*(VC_date+ROW(VC_date)/100000),0))))</f>
        <v/>
      </c>
      <c r="AM210" s="47">
        <f>IF(AND(C210&lt;&gt;"",N(AB210)&gt;0,D210&lt;&gt;"Perdu"),AB210+ROW()/100000,0)</f>
        <v/>
      </c>
      <c r="AN210" s="48">
        <f>IF(N(AF210)&gt;0,ROUND(AF210,0)+ROW()/1000000,0)</f>
        <v/>
      </c>
    </row>
    <row r="211" ht="18" customHeight="1">
      <c r="A211" s="39" t="n">
        <v>206</v>
      </c>
      <c r="B211" s="33">
        <f>IF(C211="","",IF(X211="À RENSEIGNER","GIC",X211)&amp;"-"&amp;TEXT(A211,"000"))</f>
        <v/>
      </c>
      <c r="C211" s="36" t="n"/>
      <c r="D211" s="34">
        <f>IF(C211="","",IF(U211="☑ Oui","Perdu",IF(AD211&lt;&gt;"","Client","Prospect")))</f>
        <v/>
      </c>
      <c r="E211" s="36" t="n"/>
      <c r="F211" s="36" t="n"/>
      <c r="G211" s="44" t="n"/>
      <c r="H211" s="44" t="n"/>
      <c r="I211" s="36" t="n"/>
      <c r="J211" s="36" t="n"/>
      <c r="K211" s="41" t="n"/>
      <c r="L211" s="41" t="n"/>
      <c r="M211" s="36" t="n"/>
      <c r="N211" s="36" t="n"/>
      <c r="O211" s="32" t="n"/>
      <c r="P211" s="36" t="n"/>
      <c r="Q211" s="36" t="n"/>
      <c r="R211" s="34">
        <f>IF(P211="","",IFERROR(VLOOKUP(P211,T_Produits,2,FALSE),""))</f>
        <v/>
      </c>
      <c r="S211" s="36" t="n"/>
      <c r="T211" s="43" t="n"/>
      <c r="U211" s="43" t="n"/>
      <c r="V211" s="36" t="n"/>
      <c r="W211" s="36" t="n"/>
      <c r="X211" s="33">
        <f>IF(C211="","",Commercial_Id)</f>
        <v/>
      </c>
      <c r="Y211" s="33">
        <f>IF(E211="","",IF(E211="Particulier / ménage","Particulier","Entreprise"))</f>
        <v/>
      </c>
      <c r="Z211" s="39">
        <f>IF(C211="","",COUNTIFS(VC_cle,AK211,VC_type,"Visite sur place"))</f>
        <v/>
      </c>
      <c r="AA211" s="46">
        <f>IF(AL211=0,"",IF(INT(AL211)=0,"",INT(AL211)))</f>
        <v/>
      </c>
      <c r="AB211" s="46">
        <f>IF(AL211=0,"",IF(INDEX(VC_actiondate,ROUND(MOD(AL211,1)*100000,0)-5)=0,"",INDEX(VC_actiondate,ROUND(MOD(AL211,1)*100000,0)-5)))</f>
        <v/>
      </c>
      <c r="AC211" s="33">
        <f>IF(AL211=0,"",INDEX(VC_actiontexte,ROUND(MOD(AL211,1)*100000,0)-5)&amp;"")</f>
        <v/>
      </c>
      <c r="AD211" s="46">
        <f>IF(C211="","",IF(COUNTIFS(Cmd_cle,AK211,Cmd_dateca,"&gt;0")=0,"",SMALL(INDEX(Cmd_dateca+(((Cmd_cle&lt;&gt;AK211)+(Cmd_dateca=0))&gt;0)*1000000,0),1)))</f>
        <v/>
      </c>
      <c r="AE211" s="46">
        <f>IF(C211="","",IF(COUNTIFS(Cmd_cle,AK211,Cmd_dateca,"&gt;0")=0,"",MAX(INDEX((Cmd_cle=AK211)*Cmd_dateca,0))))</f>
        <v/>
      </c>
      <c r="AF211" s="40">
        <f>IF(C211="","",SUMIFS(Cmd_montant,Cmd_cle,AK211,Cmd_dateca,"&gt;0"))</f>
        <v/>
      </c>
      <c r="AG211" s="40">
        <f>IF(C211="","",SUMIFS(Enc_montant,Enc_cle,AK211))</f>
        <v/>
      </c>
      <c r="AH211" s="40">
        <f>IF(C211="","",AF211-AG211)</f>
        <v/>
      </c>
      <c r="AI211" s="33">
        <f>IF(C211="","",IF(D211="Perdu","",IF(AND(AB211&lt;&gt;"",N(AB211)&lt;TODAY()),"Action en retard",IF(AND(D211="Client",AE211&lt;&gt;"",TODAY()-N(AE211)&gt;P_JoursInactif),"Client inactif",IF(AND(D211="Prospect",Z211=0,O211&lt;&gt;"",TODAY()-N(O211)&gt;P_JoursNonVisite),"Jamais visité","")))))</f>
        <v/>
      </c>
      <c r="AJ211" s="33">
        <f>IF(C211="","",C211&amp;" ["&amp;TEXT(A211,"000")&amp;"]")</f>
        <v/>
      </c>
      <c r="AK211" s="33">
        <f>IF(C211="","",X211&amp;"|"&amp;A211)</f>
        <v/>
      </c>
      <c r="AL211" s="47">
        <f>IF(C211="",0,IF(COUNTIFS(VC_cle,AK211)=0,0,MAX(INDEX((VC_cle=AK211)*(VC_date+ROW(VC_date)/100000),0))))</f>
        <v/>
      </c>
      <c r="AM211" s="47">
        <f>IF(AND(C211&lt;&gt;"",N(AB211)&gt;0,D211&lt;&gt;"Perdu"),AB211+ROW()/100000,0)</f>
        <v/>
      </c>
      <c r="AN211" s="48">
        <f>IF(N(AF211)&gt;0,ROUND(AF211,0)+ROW()/1000000,0)</f>
        <v/>
      </c>
    </row>
    <row r="212" ht="18" customHeight="1">
      <c r="A212" s="39" t="n">
        <v>207</v>
      </c>
      <c r="B212" s="33">
        <f>IF(C212="","",IF(X212="À RENSEIGNER","GIC",X212)&amp;"-"&amp;TEXT(A212,"000"))</f>
        <v/>
      </c>
      <c r="C212" s="36" t="n"/>
      <c r="D212" s="34">
        <f>IF(C212="","",IF(U212="☑ Oui","Perdu",IF(AD212&lt;&gt;"","Client","Prospect")))</f>
        <v/>
      </c>
      <c r="E212" s="36" t="n"/>
      <c r="F212" s="36" t="n"/>
      <c r="G212" s="44" t="n"/>
      <c r="H212" s="44" t="n"/>
      <c r="I212" s="36" t="n"/>
      <c r="J212" s="36" t="n"/>
      <c r="K212" s="41" t="n"/>
      <c r="L212" s="41" t="n"/>
      <c r="M212" s="36" t="n"/>
      <c r="N212" s="36" t="n"/>
      <c r="O212" s="32" t="n"/>
      <c r="P212" s="36" t="n"/>
      <c r="Q212" s="36" t="n"/>
      <c r="R212" s="34">
        <f>IF(P212="","",IFERROR(VLOOKUP(P212,T_Produits,2,FALSE),""))</f>
        <v/>
      </c>
      <c r="S212" s="36" t="n"/>
      <c r="T212" s="43" t="n"/>
      <c r="U212" s="43" t="n"/>
      <c r="V212" s="36" t="n"/>
      <c r="W212" s="36" t="n"/>
      <c r="X212" s="33">
        <f>IF(C212="","",Commercial_Id)</f>
        <v/>
      </c>
      <c r="Y212" s="33">
        <f>IF(E212="","",IF(E212="Particulier / ménage","Particulier","Entreprise"))</f>
        <v/>
      </c>
      <c r="Z212" s="39">
        <f>IF(C212="","",COUNTIFS(VC_cle,AK212,VC_type,"Visite sur place"))</f>
        <v/>
      </c>
      <c r="AA212" s="46">
        <f>IF(AL212=0,"",IF(INT(AL212)=0,"",INT(AL212)))</f>
        <v/>
      </c>
      <c r="AB212" s="46">
        <f>IF(AL212=0,"",IF(INDEX(VC_actiondate,ROUND(MOD(AL212,1)*100000,0)-5)=0,"",INDEX(VC_actiondate,ROUND(MOD(AL212,1)*100000,0)-5)))</f>
        <v/>
      </c>
      <c r="AC212" s="33">
        <f>IF(AL212=0,"",INDEX(VC_actiontexte,ROUND(MOD(AL212,1)*100000,0)-5)&amp;"")</f>
        <v/>
      </c>
      <c r="AD212" s="46">
        <f>IF(C212="","",IF(COUNTIFS(Cmd_cle,AK212,Cmd_dateca,"&gt;0")=0,"",SMALL(INDEX(Cmd_dateca+(((Cmd_cle&lt;&gt;AK212)+(Cmd_dateca=0))&gt;0)*1000000,0),1)))</f>
        <v/>
      </c>
      <c r="AE212" s="46">
        <f>IF(C212="","",IF(COUNTIFS(Cmd_cle,AK212,Cmd_dateca,"&gt;0")=0,"",MAX(INDEX((Cmd_cle=AK212)*Cmd_dateca,0))))</f>
        <v/>
      </c>
      <c r="AF212" s="40">
        <f>IF(C212="","",SUMIFS(Cmd_montant,Cmd_cle,AK212,Cmd_dateca,"&gt;0"))</f>
        <v/>
      </c>
      <c r="AG212" s="40">
        <f>IF(C212="","",SUMIFS(Enc_montant,Enc_cle,AK212))</f>
        <v/>
      </c>
      <c r="AH212" s="40">
        <f>IF(C212="","",AF212-AG212)</f>
        <v/>
      </c>
      <c r="AI212" s="33">
        <f>IF(C212="","",IF(D212="Perdu","",IF(AND(AB212&lt;&gt;"",N(AB212)&lt;TODAY()),"Action en retard",IF(AND(D212="Client",AE212&lt;&gt;"",TODAY()-N(AE212)&gt;P_JoursInactif),"Client inactif",IF(AND(D212="Prospect",Z212=0,O212&lt;&gt;"",TODAY()-N(O212)&gt;P_JoursNonVisite),"Jamais visité","")))))</f>
        <v/>
      </c>
      <c r="AJ212" s="33">
        <f>IF(C212="","",C212&amp;" ["&amp;TEXT(A212,"000")&amp;"]")</f>
        <v/>
      </c>
      <c r="AK212" s="33">
        <f>IF(C212="","",X212&amp;"|"&amp;A212)</f>
        <v/>
      </c>
      <c r="AL212" s="47">
        <f>IF(C212="",0,IF(COUNTIFS(VC_cle,AK212)=0,0,MAX(INDEX((VC_cle=AK212)*(VC_date+ROW(VC_date)/100000),0))))</f>
        <v/>
      </c>
      <c r="AM212" s="47">
        <f>IF(AND(C212&lt;&gt;"",N(AB212)&gt;0,D212&lt;&gt;"Perdu"),AB212+ROW()/100000,0)</f>
        <v/>
      </c>
      <c r="AN212" s="48">
        <f>IF(N(AF212)&gt;0,ROUND(AF212,0)+ROW()/1000000,0)</f>
        <v/>
      </c>
    </row>
    <row r="213" ht="18" customHeight="1">
      <c r="A213" s="39" t="n">
        <v>208</v>
      </c>
      <c r="B213" s="33">
        <f>IF(C213="","",IF(X213="À RENSEIGNER","GIC",X213)&amp;"-"&amp;TEXT(A213,"000"))</f>
        <v/>
      </c>
      <c r="C213" s="36" t="n"/>
      <c r="D213" s="34">
        <f>IF(C213="","",IF(U213="☑ Oui","Perdu",IF(AD213&lt;&gt;"","Client","Prospect")))</f>
        <v/>
      </c>
      <c r="E213" s="36" t="n"/>
      <c r="F213" s="36" t="n"/>
      <c r="G213" s="44" t="n"/>
      <c r="H213" s="44" t="n"/>
      <c r="I213" s="36" t="n"/>
      <c r="J213" s="36" t="n"/>
      <c r="K213" s="41" t="n"/>
      <c r="L213" s="41" t="n"/>
      <c r="M213" s="36" t="n"/>
      <c r="N213" s="36" t="n"/>
      <c r="O213" s="32" t="n"/>
      <c r="P213" s="36" t="n"/>
      <c r="Q213" s="36" t="n"/>
      <c r="R213" s="34">
        <f>IF(P213="","",IFERROR(VLOOKUP(P213,T_Produits,2,FALSE),""))</f>
        <v/>
      </c>
      <c r="S213" s="36" t="n"/>
      <c r="T213" s="43" t="n"/>
      <c r="U213" s="43" t="n"/>
      <c r="V213" s="36" t="n"/>
      <c r="W213" s="36" t="n"/>
      <c r="X213" s="33">
        <f>IF(C213="","",Commercial_Id)</f>
        <v/>
      </c>
      <c r="Y213" s="33">
        <f>IF(E213="","",IF(E213="Particulier / ménage","Particulier","Entreprise"))</f>
        <v/>
      </c>
      <c r="Z213" s="39">
        <f>IF(C213="","",COUNTIFS(VC_cle,AK213,VC_type,"Visite sur place"))</f>
        <v/>
      </c>
      <c r="AA213" s="46">
        <f>IF(AL213=0,"",IF(INT(AL213)=0,"",INT(AL213)))</f>
        <v/>
      </c>
      <c r="AB213" s="46">
        <f>IF(AL213=0,"",IF(INDEX(VC_actiondate,ROUND(MOD(AL213,1)*100000,0)-5)=0,"",INDEX(VC_actiondate,ROUND(MOD(AL213,1)*100000,0)-5)))</f>
        <v/>
      </c>
      <c r="AC213" s="33">
        <f>IF(AL213=0,"",INDEX(VC_actiontexte,ROUND(MOD(AL213,1)*100000,0)-5)&amp;"")</f>
        <v/>
      </c>
      <c r="AD213" s="46">
        <f>IF(C213="","",IF(COUNTIFS(Cmd_cle,AK213,Cmd_dateca,"&gt;0")=0,"",SMALL(INDEX(Cmd_dateca+(((Cmd_cle&lt;&gt;AK213)+(Cmd_dateca=0))&gt;0)*1000000,0),1)))</f>
        <v/>
      </c>
      <c r="AE213" s="46">
        <f>IF(C213="","",IF(COUNTIFS(Cmd_cle,AK213,Cmd_dateca,"&gt;0")=0,"",MAX(INDEX((Cmd_cle=AK213)*Cmd_dateca,0))))</f>
        <v/>
      </c>
      <c r="AF213" s="40">
        <f>IF(C213="","",SUMIFS(Cmd_montant,Cmd_cle,AK213,Cmd_dateca,"&gt;0"))</f>
        <v/>
      </c>
      <c r="AG213" s="40">
        <f>IF(C213="","",SUMIFS(Enc_montant,Enc_cle,AK213))</f>
        <v/>
      </c>
      <c r="AH213" s="40">
        <f>IF(C213="","",AF213-AG213)</f>
        <v/>
      </c>
      <c r="AI213" s="33">
        <f>IF(C213="","",IF(D213="Perdu","",IF(AND(AB213&lt;&gt;"",N(AB213)&lt;TODAY()),"Action en retard",IF(AND(D213="Client",AE213&lt;&gt;"",TODAY()-N(AE213)&gt;P_JoursInactif),"Client inactif",IF(AND(D213="Prospect",Z213=0,O213&lt;&gt;"",TODAY()-N(O213)&gt;P_JoursNonVisite),"Jamais visité","")))))</f>
        <v/>
      </c>
      <c r="AJ213" s="33">
        <f>IF(C213="","",C213&amp;" ["&amp;TEXT(A213,"000")&amp;"]")</f>
        <v/>
      </c>
      <c r="AK213" s="33">
        <f>IF(C213="","",X213&amp;"|"&amp;A213)</f>
        <v/>
      </c>
      <c r="AL213" s="47">
        <f>IF(C213="",0,IF(COUNTIFS(VC_cle,AK213)=0,0,MAX(INDEX((VC_cle=AK213)*(VC_date+ROW(VC_date)/100000),0))))</f>
        <v/>
      </c>
      <c r="AM213" s="47">
        <f>IF(AND(C213&lt;&gt;"",N(AB213)&gt;0,D213&lt;&gt;"Perdu"),AB213+ROW()/100000,0)</f>
        <v/>
      </c>
      <c r="AN213" s="48">
        <f>IF(N(AF213)&gt;0,ROUND(AF213,0)+ROW()/1000000,0)</f>
        <v/>
      </c>
    </row>
    <row r="214" ht="18" customHeight="1">
      <c r="A214" s="39" t="n">
        <v>209</v>
      </c>
      <c r="B214" s="33">
        <f>IF(C214="","",IF(X214="À RENSEIGNER","GIC",X214)&amp;"-"&amp;TEXT(A214,"000"))</f>
        <v/>
      </c>
      <c r="C214" s="36" t="n"/>
      <c r="D214" s="34">
        <f>IF(C214="","",IF(U214="☑ Oui","Perdu",IF(AD214&lt;&gt;"","Client","Prospect")))</f>
        <v/>
      </c>
      <c r="E214" s="36" t="n"/>
      <c r="F214" s="36" t="n"/>
      <c r="G214" s="44" t="n"/>
      <c r="H214" s="44" t="n"/>
      <c r="I214" s="36" t="n"/>
      <c r="J214" s="36" t="n"/>
      <c r="K214" s="41" t="n"/>
      <c r="L214" s="41" t="n"/>
      <c r="M214" s="36" t="n"/>
      <c r="N214" s="36" t="n"/>
      <c r="O214" s="32" t="n"/>
      <c r="P214" s="36" t="n"/>
      <c r="Q214" s="36" t="n"/>
      <c r="R214" s="34">
        <f>IF(P214="","",IFERROR(VLOOKUP(P214,T_Produits,2,FALSE),""))</f>
        <v/>
      </c>
      <c r="S214" s="36" t="n"/>
      <c r="T214" s="43" t="n"/>
      <c r="U214" s="43" t="n"/>
      <c r="V214" s="36" t="n"/>
      <c r="W214" s="36" t="n"/>
      <c r="X214" s="33">
        <f>IF(C214="","",Commercial_Id)</f>
        <v/>
      </c>
      <c r="Y214" s="33">
        <f>IF(E214="","",IF(E214="Particulier / ménage","Particulier","Entreprise"))</f>
        <v/>
      </c>
      <c r="Z214" s="39">
        <f>IF(C214="","",COUNTIFS(VC_cle,AK214,VC_type,"Visite sur place"))</f>
        <v/>
      </c>
      <c r="AA214" s="46">
        <f>IF(AL214=0,"",IF(INT(AL214)=0,"",INT(AL214)))</f>
        <v/>
      </c>
      <c r="AB214" s="46">
        <f>IF(AL214=0,"",IF(INDEX(VC_actiondate,ROUND(MOD(AL214,1)*100000,0)-5)=0,"",INDEX(VC_actiondate,ROUND(MOD(AL214,1)*100000,0)-5)))</f>
        <v/>
      </c>
      <c r="AC214" s="33">
        <f>IF(AL214=0,"",INDEX(VC_actiontexte,ROUND(MOD(AL214,1)*100000,0)-5)&amp;"")</f>
        <v/>
      </c>
      <c r="AD214" s="46">
        <f>IF(C214="","",IF(COUNTIFS(Cmd_cle,AK214,Cmd_dateca,"&gt;0")=0,"",SMALL(INDEX(Cmd_dateca+(((Cmd_cle&lt;&gt;AK214)+(Cmd_dateca=0))&gt;0)*1000000,0),1)))</f>
        <v/>
      </c>
      <c r="AE214" s="46">
        <f>IF(C214="","",IF(COUNTIFS(Cmd_cle,AK214,Cmd_dateca,"&gt;0")=0,"",MAX(INDEX((Cmd_cle=AK214)*Cmd_dateca,0))))</f>
        <v/>
      </c>
      <c r="AF214" s="40">
        <f>IF(C214="","",SUMIFS(Cmd_montant,Cmd_cle,AK214,Cmd_dateca,"&gt;0"))</f>
        <v/>
      </c>
      <c r="AG214" s="40">
        <f>IF(C214="","",SUMIFS(Enc_montant,Enc_cle,AK214))</f>
        <v/>
      </c>
      <c r="AH214" s="40">
        <f>IF(C214="","",AF214-AG214)</f>
        <v/>
      </c>
      <c r="AI214" s="33">
        <f>IF(C214="","",IF(D214="Perdu","",IF(AND(AB214&lt;&gt;"",N(AB214)&lt;TODAY()),"Action en retard",IF(AND(D214="Client",AE214&lt;&gt;"",TODAY()-N(AE214)&gt;P_JoursInactif),"Client inactif",IF(AND(D214="Prospect",Z214=0,O214&lt;&gt;"",TODAY()-N(O214)&gt;P_JoursNonVisite),"Jamais visité","")))))</f>
        <v/>
      </c>
      <c r="AJ214" s="33">
        <f>IF(C214="","",C214&amp;" ["&amp;TEXT(A214,"000")&amp;"]")</f>
        <v/>
      </c>
      <c r="AK214" s="33">
        <f>IF(C214="","",X214&amp;"|"&amp;A214)</f>
        <v/>
      </c>
      <c r="AL214" s="47">
        <f>IF(C214="",0,IF(COUNTIFS(VC_cle,AK214)=0,0,MAX(INDEX((VC_cle=AK214)*(VC_date+ROW(VC_date)/100000),0))))</f>
        <v/>
      </c>
      <c r="AM214" s="47">
        <f>IF(AND(C214&lt;&gt;"",N(AB214)&gt;0,D214&lt;&gt;"Perdu"),AB214+ROW()/100000,0)</f>
        <v/>
      </c>
      <c r="AN214" s="48">
        <f>IF(N(AF214)&gt;0,ROUND(AF214,0)+ROW()/1000000,0)</f>
        <v/>
      </c>
    </row>
    <row r="215" ht="18" customHeight="1">
      <c r="A215" s="39" t="n">
        <v>210</v>
      </c>
      <c r="B215" s="33">
        <f>IF(C215="","",IF(X215="À RENSEIGNER","GIC",X215)&amp;"-"&amp;TEXT(A215,"000"))</f>
        <v/>
      </c>
      <c r="C215" s="36" t="n"/>
      <c r="D215" s="34">
        <f>IF(C215="","",IF(U215="☑ Oui","Perdu",IF(AD215&lt;&gt;"","Client","Prospect")))</f>
        <v/>
      </c>
      <c r="E215" s="36" t="n"/>
      <c r="F215" s="36" t="n"/>
      <c r="G215" s="44" t="n"/>
      <c r="H215" s="44" t="n"/>
      <c r="I215" s="36" t="n"/>
      <c r="J215" s="36" t="n"/>
      <c r="K215" s="41" t="n"/>
      <c r="L215" s="41" t="n"/>
      <c r="M215" s="36" t="n"/>
      <c r="N215" s="36" t="n"/>
      <c r="O215" s="32" t="n"/>
      <c r="P215" s="36" t="n"/>
      <c r="Q215" s="36" t="n"/>
      <c r="R215" s="34">
        <f>IF(P215="","",IFERROR(VLOOKUP(P215,T_Produits,2,FALSE),""))</f>
        <v/>
      </c>
      <c r="S215" s="36" t="n"/>
      <c r="T215" s="43" t="n"/>
      <c r="U215" s="43" t="n"/>
      <c r="V215" s="36" t="n"/>
      <c r="W215" s="36" t="n"/>
      <c r="X215" s="33">
        <f>IF(C215="","",Commercial_Id)</f>
        <v/>
      </c>
      <c r="Y215" s="33">
        <f>IF(E215="","",IF(E215="Particulier / ménage","Particulier","Entreprise"))</f>
        <v/>
      </c>
      <c r="Z215" s="39">
        <f>IF(C215="","",COUNTIFS(VC_cle,AK215,VC_type,"Visite sur place"))</f>
        <v/>
      </c>
      <c r="AA215" s="46">
        <f>IF(AL215=0,"",IF(INT(AL215)=0,"",INT(AL215)))</f>
        <v/>
      </c>
      <c r="AB215" s="46">
        <f>IF(AL215=0,"",IF(INDEX(VC_actiondate,ROUND(MOD(AL215,1)*100000,0)-5)=0,"",INDEX(VC_actiondate,ROUND(MOD(AL215,1)*100000,0)-5)))</f>
        <v/>
      </c>
      <c r="AC215" s="33">
        <f>IF(AL215=0,"",INDEX(VC_actiontexte,ROUND(MOD(AL215,1)*100000,0)-5)&amp;"")</f>
        <v/>
      </c>
      <c r="AD215" s="46">
        <f>IF(C215="","",IF(COUNTIFS(Cmd_cle,AK215,Cmd_dateca,"&gt;0")=0,"",SMALL(INDEX(Cmd_dateca+(((Cmd_cle&lt;&gt;AK215)+(Cmd_dateca=0))&gt;0)*1000000,0),1)))</f>
        <v/>
      </c>
      <c r="AE215" s="46">
        <f>IF(C215="","",IF(COUNTIFS(Cmd_cle,AK215,Cmd_dateca,"&gt;0")=0,"",MAX(INDEX((Cmd_cle=AK215)*Cmd_dateca,0))))</f>
        <v/>
      </c>
      <c r="AF215" s="40">
        <f>IF(C215="","",SUMIFS(Cmd_montant,Cmd_cle,AK215,Cmd_dateca,"&gt;0"))</f>
        <v/>
      </c>
      <c r="AG215" s="40">
        <f>IF(C215="","",SUMIFS(Enc_montant,Enc_cle,AK215))</f>
        <v/>
      </c>
      <c r="AH215" s="40">
        <f>IF(C215="","",AF215-AG215)</f>
        <v/>
      </c>
      <c r="AI215" s="33">
        <f>IF(C215="","",IF(D215="Perdu","",IF(AND(AB215&lt;&gt;"",N(AB215)&lt;TODAY()),"Action en retard",IF(AND(D215="Client",AE215&lt;&gt;"",TODAY()-N(AE215)&gt;P_JoursInactif),"Client inactif",IF(AND(D215="Prospect",Z215=0,O215&lt;&gt;"",TODAY()-N(O215)&gt;P_JoursNonVisite),"Jamais visité","")))))</f>
        <v/>
      </c>
      <c r="AJ215" s="33">
        <f>IF(C215="","",C215&amp;" ["&amp;TEXT(A215,"000")&amp;"]")</f>
        <v/>
      </c>
      <c r="AK215" s="33">
        <f>IF(C215="","",X215&amp;"|"&amp;A215)</f>
        <v/>
      </c>
      <c r="AL215" s="47">
        <f>IF(C215="",0,IF(COUNTIFS(VC_cle,AK215)=0,0,MAX(INDEX((VC_cle=AK215)*(VC_date+ROW(VC_date)/100000),0))))</f>
        <v/>
      </c>
      <c r="AM215" s="47">
        <f>IF(AND(C215&lt;&gt;"",N(AB215)&gt;0,D215&lt;&gt;"Perdu"),AB215+ROW()/100000,0)</f>
        <v/>
      </c>
      <c r="AN215" s="48">
        <f>IF(N(AF215)&gt;0,ROUND(AF215,0)+ROW()/1000000,0)</f>
        <v/>
      </c>
    </row>
    <row r="216" ht="18" customHeight="1">
      <c r="A216" s="39" t="n">
        <v>211</v>
      </c>
      <c r="B216" s="33">
        <f>IF(C216="","",IF(X216="À RENSEIGNER","GIC",X216)&amp;"-"&amp;TEXT(A216,"000"))</f>
        <v/>
      </c>
      <c r="C216" s="36" t="n"/>
      <c r="D216" s="34">
        <f>IF(C216="","",IF(U216="☑ Oui","Perdu",IF(AD216&lt;&gt;"","Client","Prospect")))</f>
        <v/>
      </c>
      <c r="E216" s="36" t="n"/>
      <c r="F216" s="36" t="n"/>
      <c r="G216" s="44" t="n"/>
      <c r="H216" s="44" t="n"/>
      <c r="I216" s="36" t="n"/>
      <c r="J216" s="36" t="n"/>
      <c r="K216" s="41" t="n"/>
      <c r="L216" s="41" t="n"/>
      <c r="M216" s="36" t="n"/>
      <c r="N216" s="36" t="n"/>
      <c r="O216" s="32" t="n"/>
      <c r="P216" s="36" t="n"/>
      <c r="Q216" s="36" t="n"/>
      <c r="R216" s="34">
        <f>IF(P216="","",IFERROR(VLOOKUP(P216,T_Produits,2,FALSE),""))</f>
        <v/>
      </c>
      <c r="S216" s="36" t="n"/>
      <c r="T216" s="43" t="n"/>
      <c r="U216" s="43" t="n"/>
      <c r="V216" s="36" t="n"/>
      <c r="W216" s="36" t="n"/>
      <c r="X216" s="33">
        <f>IF(C216="","",Commercial_Id)</f>
        <v/>
      </c>
      <c r="Y216" s="33">
        <f>IF(E216="","",IF(E216="Particulier / ménage","Particulier","Entreprise"))</f>
        <v/>
      </c>
      <c r="Z216" s="39">
        <f>IF(C216="","",COUNTIFS(VC_cle,AK216,VC_type,"Visite sur place"))</f>
        <v/>
      </c>
      <c r="AA216" s="46">
        <f>IF(AL216=0,"",IF(INT(AL216)=0,"",INT(AL216)))</f>
        <v/>
      </c>
      <c r="AB216" s="46">
        <f>IF(AL216=0,"",IF(INDEX(VC_actiondate,ROUND(MOD(AL216,1)*100000,0)-5)=0,"",INDEX(VC_actiondate,ROUND(MOD(AL216,1)*100000,0)-5)))</f>
        <v/>
      </c>
      <c r="AC216" s="33">
        <f>IF(AL216=0,"",INDEX(VC_actiontexte,ROUND(MOD(AL216,1)*100000,0)-5)&amp;"")</f>
        <v/>
      </c>
      <c r="AD216" s="46">
        <f>IF(C216="","",IF(COUNTIFS(Cmd_cle,AK216,Cmd_dateca,"&gt;0")=0,"",SMALL(INDEX(Cmd_dateca+(((Cmd_cle&lt;&gt;AK216)+(Cmd_dateca=0))&gt;0)*1000000,0),1)))</f>
        <v/>
      </c>
      <c r="AE216" s="46">
        <f>IF(C216="","",IF(COUNTIFS(Cmd_cle,AK216,Cmd_dateca,"&gt;0")=0,"",MAX(INDEX((Cmd_cle=AK216)*Cmd_dateca,0))))</f>
        <v/>
      </c>
      <c r="AF216" s="40">
        <f>IF(C216="","",SUMIFS(Cmd_montant,Cmd_cle,AK216,Cmd_dateca,"&gt;0"))</f>
        <v/>
      </c>
      <c r="AG216" s="40">
        <f>IF(C216="","",SUMIFS(Enc_montant,Enc_cle,AK216))</f>
        <v/>
      </c>
      <c r="AH216" s="40">
        <f>IF(C216="","",AF216-AG216)</f>
        <v/>
      </c>
      <c r="AI216" s="33">
        <f>IF(C216="","",IF(D216="Perdu","",IF(AND(AB216&lt;&gt;"",N(AB216)&lt;TODAY()),"Action en retard",IF(AND(D216="Client",AE216&lt;&gt;"",TODAY()-N(AE216)&gt;P_JoursInactif),"Client inactif",IF(AND(D216="Prospect",Z216=0,O216&lt;&gt;"",TODAY()-N(O216)&gt;P_JoursNonVisite),"Jamais visité","")))))</f>
        <v/>
      </c>
      <c r="AJ216" s="33">
        <f>IF(C216="","",C216&amp;" ["&amp;TEXT(A216,"000")&amp;"]")</f>
        <v/>
      </c>
      <c r="AK216" s="33">
        <f>IF(C216="","",X216&amp;"|"&amp;A216)</f>
        <v/>
      </c>
      <c r="AL216" s="47">
        <f>IF(C216="",0,IF(COUNTIFS(VC_cle,AK216)=0,0,MAX(INDEX((VC_cle=AK216)*(VC_date+ROW(VC_date)/100000),0))))</f>
        <v/>
      </c>
      <c r="AM216" s="47">
        <f>IF(AND(C216&lt;&gt;"",N(AB216)&gt;0,D216&lt;&gt;"Perdu"),AB216+ROW()/100000,0)</f>
        <v/>
      </c>
      <c r="AN216" s="48">
        <f>IF(N(AF216)&gt;0,ROUND(AF216,0)+ROW()/1000000,0)</f>
        <v/>
      </c>
    </row>
    <row r="217" ht="18" customHeight="1">
      <c r="A217" s="39" t="n">
        <v>212</v>
      </c>
      <c r="B217" s="33">
        <f>IF(C217="","",IF(X217="À RENSEIGNER","GIC",X217)&amp;"-"&amp;TEXT(A217,"000"))</f>
        <v/>
      </c>
      <c r="C217" s="36" t="n"/>
      <c r="D217" s="34">
        <f>IF(C217="","",IF(U217="☑ Oui","Perdu",IF(AD217&lt;&gt;"","Client","Prospect")))</f>
        <v/>
      </c>
      <c r="E217" s="36" t="n"/>
      <c r="F217" s="36" t="n"/>
      <c r="G217" s="44" t="n"/>
      <c r="H217" s="44" t="n"/>
      <c r="I217" s="36" t="n"/>
      <c r="J217" s="36" t="n"/>
      <c r="K217" s="41" t="n"/>
      <c r="L217" s="41" t="n"/>
      <c r="M217" s="36" t="n"/>
      <c r="N217" s="36" t="n"/>
      <c r="O217" s="32" t="n"/>
      <c r="P217" s="36" t="n"/>
      <c r="Q217" s="36" t="n"/>
      <c r="R217" s="34">
        <f>IF(P217="","",IFERROR(VLOOKUP(P217,T_Produits,2,FALSE),""))</f>
        <v/>
      </c>
      <c r="S217" s="36" t="n"/>
      <c r="T217" s="43" t="n"/>
      <c r="U217" s="43" t="n"/>
      <c r="V217" s="36" t="n"/>
      <c r="W217" s="36" t="n"/>
      <c r="X217" s="33">
        <f>IF(C217="","",Commercial_Id)</f>
        <v/>
      </c>
      <c r="Y217" s="33">
        <f>IF(E217="","",IF(E217="Particulier / ménage","Particulier","Entreprise"))</f>
        <v/>
      </c>
      <c r="Z217" s="39">
        <f>IF(C217="","",COUNTIFS(VC_cle,AK217,VC_type,"Visite sur place"))</f>
        <v/>
      </c>
      <c r="AA217" s="46">
        <f>IF(AL217=0,"",IF(INT(AL217)=0,"",INT(AL217)))</f>
        <v/>
      </c>
      <c r="AB217" s="46">
        <f>IF(AL217=0,"",IF(INDEX(VC_actiondate,ROUND(MOD(AL217,1)*100000,0)-5)=0,"",INDEX(VC_actiondate,ROUND(MOD(AL217,1)*100000,0)-5)))</f>
        <v/>
      </c>
      <c r="AC217" s="33">
        <f>IF(AL217=0,"",INDEX(VC_actiontexte,ROUND(MOD(AL217,1)*100000,0)-5)&amp;"")</f>
        <v/>
      </c>
      <c r="AD217" s="46">
        <f>IF(C217="","",IF(COUNTIFS(Cmd_cle,AK217,Cmd_dateca,"&gt;0")=0,"",SMALL(INDEX(Cmd_dateca+(((Cmd_cle&lt;&gt;AK217)+(Cmd_dateca=0))&gt;0)*1000000,0),1)))</f>
        <v/>
      </c>
      <c r="AE217" s="46">
        <f>IF(C217="","",IF(COUNTIFS(Cmd_cle,AK217,Cmd_dateca,"&gt;0")=0,"",MAX(INDEX((Cmd_cle=AK217)*Cmd_dateca,0))))</f>
        <v/>
      </c>
      <c r="AF217" s="40">
        <f>IF(C217="","",SUMIFS(Cmd_montant,Cmd_cle,AK217,Cmd_dateca,"&gt;0"))</f>
        <v/>
      </c>
      <c r="AG217" s="40">
        <f>IF(C217="","",SUMIFS(Enc_montant,Enc_cle,AK217))</f>
        <v/>
      </c>
      <c r="AH217" s="40">
        <f>IF(C217="","",AF217-AG217)</f>
        <v/>
      </c>
      <c r="AI217" s="33">
        <f>IF(C217="","",IF(D217="Perdu","",IF(AND(AB217&lt;&gt;"",N(AB217)&lt;TODAY()),"Action en retard",IF(AND(D217="Client",AE217&lt;&gt;"",TODAY()-N(AE217)&gt;P_JoursInactif),"Client inactif",IF(AND(D217="Prospect",Z217=0,O217&lt;&gt;"",TODAY()-N(O217)&gt;P_JoursNonVisite),"Jamais visité","")))))</f>
        <v/>
      </c>
      <c r="AJ217" s="33">
        <f>IF(C217="","",C217&amp;" ["&amp;TEXT(A217,"000")&amp;"]")</f>
        <v/>
      </c>
      <c r="AK217" s="33">
        <f>IF(C217="","",X217&amp;"|"&amp;A217)</f>
        <v/>
      </c>
      <c r="AL217" s="47">
        <f>IF(C217="",0,IF(COUNTIFS(VC_cle,AK217)=0,0,MAX(INDEX((VC_cle=AK217)*(VC_date+ROW(VC_date)/100000),0))))</f>
        <v/>
      </c>
      <c r="AM217" s="47">
        <f>IF(AND(C217&lt;&gt;"",N(AB217)&gt;0,D217&lt;&gt;"Perdu"),AB217+ROW()/100000,0)</f>
        <v/>
      </c>
      <c r="AN217" s="48">
        <f>IF(N(AF217)&gt;0,ROUND(AF217,0)+ROW()/1000000,0)</f>
        <v/>
      </c>
    </row>
    <row r="218" ht="18" customHeight="1">
      <c r="A218" s="39" t="n">
        <v>213</v>
      </c>
      <c r="B218" s="33">
        <f>IF(C218="","",IF(X218="À RENSEIGNER","GIC",X218)&amp;"-"&amp;TEXT(A218,"000"))</f>
        <v/>
      </c>
      <c r="C218" s="36" t="n"/>
      <c r="D218" s="34">
        <f>IF(C218="","",IF(U218="☑ Oui","Perdu",IF(AD218&lt;&gt;"","Client","Prospect")))</f>
        <v/>
      </c>
      <c r="E218" s="36" t="n"/>
      <c r="F218" s="36" t="n"/>
      <c r="G218" s="44" t="n"/>
      <c r="H218" s="44" t="n"/>
      <c r="I218" s="36" t="n"/>
      <c r="J218" s="36" t="n"/>
      <c r="K218" s="41" t="n"/>
      <c r="L218" s="41" t="n"/>
      <c r="M218" s="36" t="n"/>
      <c r="N218" s="36" t="n"/>
      <c r="O218" s="32" t="n"/>
      <c r="P218" s="36" t="n"/>
      <c r="Q218" s="36" t="n"/>
      <c r="R218" s="34">
        <f>IF(P218="","",IFERROR(VLOOKUP(P218,T_Produits,2,FALSE),""))</f>
        <v/>
      </c>
      <c r="S218" s="36" t="n"/>
      <c r="T218" s="43" t="n"/>
      <c r="U218" s="43" t="n"/>
      <c r="V218" s="36" t="n"/>
      <c r="W218" s="36" t="n"/>
      <c r="X218" s="33">
        <f>IF(C218="","",Commercial_Id)</f>
        <v/>
      </c>
      <c r="Y218" s="33">
        <f>IF(E218="","",IF(E218="Particulier / ménage","Particulier","Entreprise"))</f>
        <v/>
      </c>
      <c r="Z218" s="39">
        <f>IF(C218="","",COUNTIFS(VC_cle,AK218,VC_type,"Visite sur place"))</f>
        <v/>
      </c>
      <c r="AA218" s="46">
        <f>IF(AL218=0,"",IF(INT(AL218)=0,"",INT(AL218)))</f>
        <v/>
      </c>
      <c r="AB218" s="46">
        <f>IF(AL218=0,"",IF(INDEX(VC_actiondate,ROUND(MOD(AL218,1)*100000,0)-5)=0,"",INDEX(VC_actiondate,ROUND(MOD(AL218,1)*100000,0)-5)))</f>
        <v/>
      </c>
      <c r="AC218" s="33">
        <f>IF(AL218=0,"",INDEX(VC_actiontexte,ROUND(MOD(AL218,1)*100000,0)-5)&amp;"")</f>
        <v/>
      </c>
      <c r="AD218" s="46">
        <f>IF(C218="","",IF(COUNTIFS(Cmd_cle,AK218,Cmd_dateca,"&gt;0")=0,"",SMALL(INDEX(Cmd_dateca+(((Cmd_cle&lt;&gt;AK218)+(Cmd_dateca=0))&gt;0)*1000000,0),1)))</f>
        <v/>
      </c>
      <c r="AE218" s="46">
        <f>IF(C218="","",IF(COUNTIFS(Cmd_cle,AK218,Cmd_dateca,"&gt;0")=0,"",MAX(INDEX((Cmd_cle=AK218)*Cmd_dateca,0))))</f>
        <v/>
      </c>
      <c r="AF218" s="40">
        <f>IF(C218="","",SUMIFS(Cmd_montant,Cmd_cle,AK218,Cmd_dateca,"&gt;0"))</f>
        <v/>
      </c>
      <c r="AG218" s="40">
        <f>IF(C218="","",SUMIFS(Enc_montant,Enc_cle,AK218))</f>
        <v/>
      </c>
      <c r="AH218" s="40">
        <f>IF(C218="","",AF218-AG218)</f>
        <v/>
      </c>
      <c r="AI218" s="33">
        <f>IF(C218="","",IF(D218="Perdu","",IF(AND(AB218&lt;&gt;"",N(AB218)&lt;TODAY()),"Action en retard",IF(AND(D218="Client",AE218&lt;&gt;"",TODAY()-N(AE218)&gt;P_JoursInactif),"Client inactif",IF(AND(D218="Prospect",Z218=0,O218&lt;&gt;"",TODAY()-N(O218)&gt;P_JoursNonVisite),"Jamais visité","")))))</f>
        <v/>
      </c>
      <c r="AJ218" s="33">
        <f>IF(C218="","",C218&amp;" ["&amp;TEXT(A218,"000")&amp;"]")</f>
        <v/>
      </c>
      <c r="AK218" s="33">
        <f>IF(C218="","",X218&amp;"|"&amp;A218)</f>
        <v/>
      </c>
      <c r="AL218" s="47">
        <f>IF(C218="",0,IF(COUNTIFS(VC_cle,AK218)=0,0,MAX(INDEX((VC_cle=AK218)*(VC_date+ROW(VC_date)/100000),0))))</f>
        <v/>
      </c>
      <c r="AM218" s="47">
        <f>IF(AND(C218&lt;&gt;"",N(AB218)&gt;0,D218&lt;&gt;"Perdu"),AB218+ROW()/100000,0)</f>
        <v/>
      </c>
      <c r="AN218" s="48">
        <f>IF(N(AF218)&gt;0,ROUND(AF218,0)+ROW()/1000000,0)</f>
        <v/>
      </c>
    </row>
    <row r="219" ht="18" customHeight="1">
      <c r="A219" s="39" t="n">
        <v>214</v>
      </c>
      <c r="B219" s="33">
        <f>IF(C219="","",IF(X219="À RENSEIGNER","GIC",X219)&amp;"-"&amp;TEXT(A219,"000"))</f>
        <v/>
      </c>
      <c r="C219" s="36" t="n"/>
      <c r="D219" s="34">
        <f>IF(C219="","",IF(U219="☑ Oui","Perdu",IF(AD219&lt;&gt;"","Client","Prospect")))</f>
        <v/>
      </c>
      <c r="E219" s="36" t="n"/>
      <c r="F219" s="36" t="n"/>
      <c r="G219" s="44" t="n"/>
      <c r="H219" s="44" t="n"/>
      <c r="I219" s="36" t="n"/>
      <c r="J219" s="36" t="n"/>
      <c r="K219" s="41" t="n"/>
      <c r="L219" s="41" t="n"/>
      <c r="M219" s="36" t="n"/>
      <c r="N219" s="36" t="n"/>
      <c r="O219" s="32" t="n"/>
      <c r="P219" s="36" t="n"/>
      <c r="Q219" s="36" t="n"/>
      <c r="R219" s="34">
        <f>IF(P219="","",IFERROR(VLOOKUP(P219,T_Produits,2,FALSE),""))</f>
        <v/>
      </c>
      <c r="S219" s="36" t="n"/>
      <c r="T219" s="43" t="n"/>
      <c r="U219" s="43" t="n"/>
      <c r="V219" s="36" t="n"/>
      <c r="W219" s="36" t="n"/>
      <c r="X219" s="33">
        <f>IF(C219="","",Commercial_Id)</f>
        <v/>
      </c>
      <c r="Y219" s="33">
        <f>IF(E219="","",IF(E219="Particulier / ménage","Particulier","Entreprise"))</f>
        <v/>
      </c>
      <c r="Z219" s="39">
        <f>IF(C219="","",COUNTIFS(VC_cle,AK219,VC_type,"Visite sur place"))</f>
        <v/>
      </c>
      <c r="AA219" s="46">
        <f>IF(AL219=0,"",IF(INT(AL219)=0,"",INT(AL219)))</f>
        <v/>
      </c>
      <c r="AB219" s="46">
        <f>IF(AL219=0,"",IF(INDEX(VC_actiondate,ROUND(MOD(AL219,1)*100000,0)-5)=0,"",INDEX(VC_actiondate,ROUND(MOD(AL219,1)*100000,0)-5)))</f>
        <v/>
      </c>
      <c r="AC219" s="33">
        <f>IF(AL219=0,"",INDEX(VC_actiontexte,ROUND(MOD(AL219,1)*100000,0)-5)&amp;"")</f>
        <v/>
      </c>
      <c r="AD219" s="46">
        <f>IF(C219="","",IF(COUNTIFS(Cmd_cle,AK219,Cmd_dateca,"&gt;0")=0,"",SMALL(INDEX(Cmd_dateca+(((Cmd_cle&lt;&gt;AK219)+(Cmd_dateca=0))&gt;0)*1000000,0),1)))</f>
        <v/>
      </c>
      <c r="AE219" s="46">
        <f>IF(C219="","",IF(COUNTIFS(Cmd_cle,AK219,Cmd_dateca,"&gt;0")=0,"",MAX(INDEX((Cmd_cle=AK219)*Cmd_dateca,0))))</f>
        <v/>
      </c>
      <c r="AF219" s="40">
        <f>IF(C219="","",SUMIFS(Cmd_montant,Cmd_cle,AK219,Cmd_dateca,"&gt;0"))</f>
        <v/>
      </c>
      <c r="AG219" s="40">
        <f>IF(C219="","",SUMIFS(Enc_montant,Enc_cle,AK219))</f>
        <v/>
      </c>
      <c r="AH219" s="40">
        <f>IF(C219="","",AF219-AG219)</f>
        <v/>
      </c>
      <c r="AI219" s="33">
        <f>IF(C219="","",IF(D219="Perdu","",IF(AND(AB219&lt;&gt;"",N(AB219)&lt;TODAY()),"Action en retard",IF(AND(D219="Client",AE219&lt;&gt;"",TODAY()-N(AE219)&gt;P_JoursInactif),"Client inactif",IF(AND(D219="Prospect",Z219=0,O219&lt;&gt;"",TODAY()-N(O219)&gt;P_JoursNonVisite),"Jamais visité","")))))</f>
        <v/>
      </c>
      <c r="AJ219" s="33">
        <f>IF(C219="","",C219&amp;" ["&amp;TEXT(A219,"000")&amp;"]")</f>
        <v/>
      </c>
      <c r="AK219" s="33">
        <f>IF(C219="","",X219&amp;"|"&amp;A219)</f>
        <v/>
      </c>
      <c r="AL219" s="47">
        <f>IF(C219="",0,IF(COUNTIFS(VC_cle,AK219)=0,0,MAX(INDEX((VC_cle=AK219)*(VC_date+ROW(VC_date)/100000),0))))</f>
        <v/>
      </c>
      <c r="AM219" s="47">
        <f>IF(AND(C219&lt;&gt;"",N(AB219)&gt;0,D219&lt;&gt;"Perdu"),AB219+ROW()/100000,0)</f>
        <v/>
      </c>
      <c r="AN219" s="48">
        <f>IF(N(AF219)&gt;0,ROUND(AF219,0)+ROW()/1000000,0)</f>
        <v/>
      </c>
    </row>
    <row r="220" ht="18" customHeight="1">
      <c r="A220" s="39" t="n">
        <v>215</v>
      </c>
      <c r="B220" s="33">
        <f>IF(C220="","",IF(X220="À RENSEIGNER","GIC",X220)&amp;"-"&amp;TEXT(A220,"000"))</f>
        <v/>
      </c>
      <c r="C220" s="36" t="n"/>
      <c r="D220" s="34">
        <f>IF(C220="","",IF(U220="☑ Oui","Perdu",IF(AD220&lt;&gt;"","Client","Prospect")))</f>
        <v/>
      </c>
      <c r="E220" s="36" t="n"/>
      <c r="F220" s="36" t="n"/>
      <c r="G220" s="44" t="n"/>
      <c r="H220" s="44" t="n"/>
      <c r="I220" s="36" t="n"/>
      <c r="J220" s="36" t="n"/>
      <c r="K220" s="41" t="n"/>
      <c r="L220" s="41" t="n"/>
      <c r="M220" s="36" t="n"/>
      <c r="N220" s="36" t="n"/>
      <c r="O220" s="32" t="n"/>
      <c r="P220" s="36" t="n"/>
      <c r="Q220" s="36" t="n"/>
      <c r="R220" s="34">
        <f>IF(P220="","",IFERROR(VLOOKUP(P220,T_Produits,2,FALSE),""))</f>
        <v/>
      </c>
      <c r="S220" s="36" t="n"/>
      <c r="T220" s="43" t="n"/>
      <c r="U220" s="43" t="n"/>
      <c r="V220" s="36" t="n"/>
      <c r="W220" s="36" t="n"/>
      <c r="X220" s="33">
        <f>IF(C220="","",Commercial_Id)</f>
        <v/>
      </c>
      <c r="Y220" s="33">
        <f>IF(E220="","",IF(E220="Particulier / ménage","Particulier","Entreprise"))</f>
        <v/>
      </c>
      <c r="Z220" s="39">
        <f>IF(C220="","",COUNTIFS(VC_cle,AK220,VC_type,"Visite sur place"))</f>
        <v/>
      </c>
      <c r="AA220" s="46">
        <f>IF(AL220=0,"",IF(INT(AL220)=0,"",INT(AL220)))</f>
        <v/>
      </c>
      <c r="AB220" s="46">
        <f>IF(AL220=0,"",IF(INDEX(VC_actiondate,ROUND(MOD(AL220,1)*100000,0)-5)=0,"",INDEX(VC_actiondate,ROUND(MOD(AL220,1)*100000,0)-5)))</f>
        <v/>
      </c>
      <c r="AC220" s="33">
        <f>IF(AL220=0,"",INDEX(VC_actiontexte,ROUND(MOD(AL220,1)*100000,0)-5)&amp;"")</f>
        <v/>
      </c>
      <c r="AD220" s="46">
        <f>IF(C220="","",IF(COUNTIFS(Cmd_cle,AK220,Cmd_dateca,"&gt;0")=0,"",SMALL(INDEX(Cmd_dateca+(((Cmd_cle&lt;&gt;AK220)+(Cmd_dateca=0))&gt;0)*1000000,0),1)))</f>
        <v/>
      </c>
      <c r="AE220" s="46">
        <f>IF(C220="","",IF(COUNTIFS(Cmd_cle,AK220,Cmd_dateca,"&gt;0")=0,"",MAX(INDEX((Cmd_cle=AK220)*Cmd_dateca,0))))</f>
        <v/>
      </c>
      <c r="AF220" s="40">
        <f>IF(C220="","",SUMIFS(Cmd_montant,Cmd_cle,AK220,Cmd_dateca,"&gt;0"))</f>
        <v/>
      </c>
      <c r="AG220" s="40">
        <f>IF(C220="","",SUMIFS(Enc_montant,Enc_cle,AK220))</f>
        <v/>
      </c>
      <c r="AH220" s="40">
        <f>IF(C220="","",AF220-AG220)</f>
        <v/>
      </c>
      <c r="AI220" s="33">
        <f>IF(C220="","",IF(D220="Perdu","",IF(AND(AB220&lt;&gt;"",N(AB220)&lt;TODAY()),"Action en retard",IF(AND(D220="Client",AE220&lt;&gt;"",TODAY()-N(AE220)&gt;P_JoursInactif),"Client inactif",IF(AND(D220="Prospect",Z220=0,O220&lt;&gt;"",TODAY()-N(O220)&gt;P_JoursNonVisite),"Jamais visité","")))))</f>
        <v/>
      </c>
      <c r="AJ220" s="33">
        <f>IF(C220="","",C220&amp;" ["&amp;TEXT(A220,"000")&amp;"]")</f>
        <v/>
      </c>
      <c r="AK220" s="33">
        <f>IF(C220="","",X220&amp;"|"&amp;A220)</f>
        <v/>
      </c>
      <c r="AL220" s="47">
        <f>IF(C220="",0,IF(COUNTIFS(VC_cle,AK220)=0,0,MAX(INDEX((VC_cle=AK220)*(VC_date+ROW(VC_date)/100000),0))))</f>
        <v/>
      </c>
      <c r="AM220" s="47">
        <f>IF(AND(C220&lt;&gt;"",N(AB220)&gt;0,D220&lt;&gt;"Perdu"),AB220+ROW()/100000,0)</f>
        <v/>
      </c>
      <c r="AN220" s="48">
        <f>IF(N(AF220)&gt;0,ROUND(AF220,0)+ROW()/1000000,0)</f>
        <v/>
      </c>
    </row>
    <row r="221" ht="18" customHeight="1">
      <c r="A221" s="39" t="n">
        <v>216</v>
      </c>
      <c r="B221" s="33">
        <f>IF(C221="","",IF(X221="À RENSEIGNER","GIC",X221)&amp;"-"&amp;TEXT(A221,"000"))</f>
        <v/>
      </c>
      <c r="C221" s="36" t="n"/>
      <c r="D221" s="34">
        <f>IF(C221="","",IF(U221="☑ Oui","Perdu",IF(AD221&lt;&gt;"","Client","Prospect")))</f>
        <v/>
      </c>
      <c r="E221" s="36" t="n"/>
      <c r="F221" s="36" t="n"/>
      <c r="G221" s="44" t="n"/>
      <c r="H221" s="44" t="n"/>
      <c r="I221" s="36" t="n"/>
      <c r="J221" s="36" t="n"/>
      <c r="K221" s="41" t="n"/>
      <c r="L221" s="41" t="n"/>
      <c r="M221" s="36" t="n"/>
      <c r="N221" s="36" t="n"/>
      <c r="O221" s="32" t="n"/>
      <c r="P221" s="36" t="n"/>
      <c r="Q221" s="36" t="n"/>
      <c r="R221" s="34">
        <f>IF(P221="","",IFERROR(VLOOKUP(P221,T_Produits,2,FALSE),""))</f>
        <v/>
      </c>
      <c r="S221" s="36" t="n"/>
      <c r="T221" s="43" t="n"/>
      <c r="U221" s="43" t="n"/>
      <c r="V221" s="36" t="n"/>
      <c r="W221" s="36" t="n"/>
      <c r="X221" s="33">
        <f>IF(C221="","",Commercial_Id)</f>
        <v/>
      </c>
      <c r="Y221" s="33">
        <f>IF(E221="","",IF(E221="Particulier / ménage","Particulier","Entreprise"))</f>
        <v/>
      </c>
      <c r="Z221" s="39">
        <f>IF(C221="","",COUNTIFS(VC_cle,AK221,VC_type,"Visite sur place"))</f>
        <v/>
      </c>
      <c r="AA221" s="46">
        <f>IF(AL221=0,"",IF(INT(AL221)=0,"",INT(AL221)))</f>
        <v/>
      </c>
      <c r="AB221" s="46">
        <f>IF(AL221=0,"",IF(INDEX(VC_actiondate,ROUND(MOD(AL221,1)*100000,0)-5)=0,"",INDEX(VC_actiondate,ROUND(MOD(AL221,1)*100000,0)-5)))</f>
        <v/>
      </c>
      <c r="AC221" s="33">
        <f>IF(AL221=0,"",INDEX(VC_actiontexte,ROUND(MOD(AL221,1)*100000,0)-5)&amp;"")</f>
        <v/>
      </c>
      <c r="AD221" s="46">
        <f>IF(C221="","",IF(COUNTIFS(Cmd_cle,AK221,Cmd_dateca,"&gt;0")=0,"",SMALL(INDEX(Cmd_dateca+(((Cmd_cle&lt;&gt;AK221)+(Cmd_dateca=0))&gt;0)*1000000,0),1)))</f>
        <v/>
      </c>
      <c r="AE221" s="46">
        <f>IF(C221="","",IF(COUNTIFS(Cmd_cle,AK221,Cmd_dateca,"&gt;0")=0,"",MAX(INDEX((Cmd_cle=AK221)*Cmd_dateca,0))))</f>
        <v/>
      </c>
      <c r="AF221" s="40">
        <f>IF(C221="","",SUMIFS(Cmd_montant,Cmd_cle,AK221,Cmd_dateca,"&gt;0"))</f>
        <v/>
      </c>
      <c r="AG221" s="40">
        <f>IF(C221="","",SUMIFS(Enc_montant,Enc_cle,AK221))</f>
        <v/>
      </c>
      <c r="AH221" s="40">
        <f>IF(C221="","",AF221-AG221)</f>
        <v/>
      </c>
      <c r="AI221" s="33">
        <f>IF(C221="","",IF(D221="Perdu","",IF(AND(AB221&lt;&gt;"",N(AB221)&lt;TODAY()),"Action en retard",IF(AND(D221="Client",AE221&lt;&gt;"",TODAY()-N(AE221)&gt;P_JoursInactif),"Client inactif",IF(AND(D221="Prospect",Z221=0,O221&lt;&gt;"",TODAY()-N(O221)&gt;P_JoursNonVisite),"Jamais visité","")))))</f>
        <v/>
      </c>
      <c r="AJ221" s="33">
        <f>IF(C221="","",C221&amp;" ["&amp;TEXT(A221,"000")&amp;"]")</f>
        <v/>
      </c>
      <c r="AK221" s="33">
        <f>IF(C221="","",X221&amp;"|"&amp;A221)</f>
        <v/>
      </c>
      <c r="AL221" s="47">
        <f>IF(C221="",0,IF(COUNTIFS(VC_cle,AK221)=0,0,MAX(INDEX((VC_cle=AK221)*(VC_date+ROW(VC_date)/100000),0))))</f>
        <v/>
      </c>
      <c r="AM221" s="47">
        <f>IF(AND(C221&lt;&gt;"",N(AB221)&gt;0,D221&lt;&gt;"Perdu"),AB221+ROW()/100000,0)</f>
        <v/>
      </c>
      <c r="AN221" s="48">
        <f>IF(N(AF221)&gt;0,ROUND(AF221,0)+ROW()/1000000,0)</f>
        <v/>
      </c>
    </row>
    <row r="222" ht="18" customHeight="1">
      <c r="A222" s="39" t="n">
        <v>217</v>
      </c>
      <c r="B222" s="33">
        <f>IF(C222="","",IF(X222="À RENSEIGNER","GIC",X222)&amp;"-"&amp;TEXT(A222,"000"))</f>
        <v/>
      </c>
      <c r="C222" s="36" t="n"/>
      <c r="D222" s="34">
        <f>IF(C222="","",IF(U222="☑ Oui","Perdu",IF(AD222&lt;&gt;"","Client","Prospect")))</f>
        <v/>
      </c>
      <c r="E222" s="36" t="n"/>
      <c r="F222" s="36" t="n"/>
      <c r="G222" s="44" t="n"/>
      <c r="H222" s="44" t="n"/>
      <c r="I222" s="36" t="n"/>
      <c r="J222" s="36" t="n"/>
      <c r="K222" s="41" t="n"/>
      <c r="L222" s="41" t="n"/>
      <c r="M222" s="36" t="n"/>
      <c r="N222" s="36" t="n"/>
      <c r="O222" s="32" t="n"/>
      <c r="P222" s="36" t="n"/>
      <c r="Q222" s="36" t="n"/>
      <c r="R222" s="34">
        <f>IF(P222="","",IFERROR(VLOOKUP(P222,T_Produits,2,FALSE),""))</f>
        <v/>
      </c>
      <c r="S222" s="36" t="n"/>
      <c r="T222" s="43" t="n"/>
      <c r="U222" s="43" t="n"/>
      <c r="V222" s="36" t="n"/>
      <c r="W222" s="36" t="n"/>
      <c r="X222" s="33">
        <f>IF(C222="","",Commercial_Id)</f>
        <v/>
      </c>
      <c r="Y222" s="33">
        <f>IF(E222="","",IF(E222="Particulier / ménage","Particulier","Entreprise"))</f>
        <v/>
      </c>
      <c r="Z222" s="39">
        <f>IF(C222="","",COUNTIFS(VC_cle,AK222,VC_type,"Visite sur place"))</f>
        <v/>
      </c>
      <c r="AA222" s="46">
        <f>IF(AL222=0,"",IF(INT(AL222)=0,"",INT(AL222)))</f>
        <v/>
      </c>
      <c r="AB222" s="46">
        <f>IF(AL222=0,"",IF(INDEX(VC_actiondate,ROUND(MOD(AL222,1)*100000,0)-5)=0,"",INDEX(VC_actiondate,ROUND(MOD(AL222,1)*100000,0)-5)))</f>
        <v/>
      </c>
      <c r="AC222" s="33">
        <f>IF(AL222=0,"",INDEX(VC_actiontexte,ROUND(MOD(AL222,1)*100000,0)-5)&amp;"")</f>
        <v/>
      </c>
      <c r="AD222" s="46">
        <f>IF(C222="","",IF(COUNTIFS(Cmd_cle,AK222,Cmd_dateca,"&gt;0")=0,"",SMALL(INDEX(Cmd_dateca+(((Cmd_cle&lt;&gt;AK222)+(Cmd_dateca=0))&gt;0)*1000000,0),1)))</f>
        <v/>
      </c>
      <c r="AE222" s="46">
        <f>IF(C222="","",IF(COUNTIFS(Cmd_cle,AK222,Cmd_dateca,"&gt;0")=0,"",MAX(INDEX((Cmd_cle=AK222)*Cmd_dateca,0))))</f>
        <v/>
      </c>
      <c r="AF222" s="40">
        <f>IF(C222="","",SUMIFS(Cmd_montant,Cmd_cle,AK222,Cmd_dateca,"&gt;0"))</f>
        <v/>
      </c>
      <c r="AG222" s="40">
        <f>IF(C222="","",SUMIFS(Enc_montant,Enc_cle,AK222))</f>
        <v/>
      </c>
      <c r="AH222" s="40">
        <f>IF(C222="","",AF222-AG222)</f>
        <v/>
      </c>
      <c r="AI222" s="33">
        <f>IF(C222="","",IF(D222="Perdu","",IF(AND(AB222&lt;&gt;"",N(AB222)&lt;TODAY()),"Action en retard",IF(AND(D222="Client",AE222&lt;&gt;"",TODAY()-N(AE222)&gt;P_JoursInactif),"Client inactif",IF(AND(D222="Prospect",Z222=0,O222&lt;&gt;"",TODAY()-N(O222)&gt;P_JoursNonVisite),"Jamais visité","")))))</f>
        <v/>
      </c>
      <c r="AJ222" s="33">
        <f>IF(C222="","",C222&amp;" ["&amp;TEXT(A222,"000")&amp;"]")</f>
        <v/>
      </c>
      <c r="AK222" s="33">
        <f>IF(C222="","",X222&amp;"|"&amp;A222)</f>
        <v/>
      </c>
      <c r="AL222" s="47">
        <f>IF(C222="",0,IF(COUNTIFS(VC_cle,AK222)=0,0,MAX(INDEX((VC_cle=AK222)*(VC_date+ROW(VC_date)/100000),0))))</f>
        <v/>
      </c>
      <c r="AM222" s="47">
        <f>IF(AND(C222&lt;&gt;"",N(AB222)&gt;0,D222&lt;&gt;"Perdu"),AB222+ROW()/100000,0)</f>
        <v/>
      </c>
      <c r="AN222" s="48">
        <f>IF(N(AF222)&gt;0,ROUND(AF222,0)+ROW()/1000000,0)</f>
        <v/>
      </c>
    </row>
    <row r="223" ht="18" customHeight="1">
      <c r="A223" s="39" t="n">
        <v>218</v>
      </c>
      <c r="B223" s="33">
        <f>IF(C223="","",IF(X223="À RENSEIGNER","GIC",X223)&amp;"-"&amp;TEXT(A223,"000"))</f>
        <v/>
      </c>
      <c r="C223" s="36" t="n"/>
      <c r="D223" s="34">
        <f>IF(C223="","",IF(U223="☑ Oui","Perdu",IF(AD223&lt;&gt;"","Client","Prospect")))</f>
        <v/>
      </c>
      <c r="E223" s="36" t="n"/>
      <c r="F223" s="36" t="n"/>
      <c r="G223" s="44" t="n"/>
      <c r="H223" s="44" t="n"/>
      <c r="I223" s="36" t="n"/>
      <c r="J223" s="36" t="n"/>
      <c r="K223" s="41" t="n"/>
      <c r="L223" s="41" t="n"/>
      <c r="M223" s="36" t="n"/>
      <c r="N223" s="36" t="n"/>
      <c r="O223" s="32" t="n"/>
      <c r="P223" s="36" t="n"/>
      <c r="Q223" s="36" t="n"/>
      <c r="R223" s="34">
        <f>IF(P223="","",IFERROR(VLOOKUP(P223,T_Produits,2,FALSE),""))</f>
        <v/>
      </c>
      <c r="S223" s="36" t="n"/>
      <c r="T223" s="43" t="n"/>
      <c r="U223" s="43" t="n"/>
      <c r="V223" s="36" t="n"/>
      <c r="W223" s="36" t="n"/>
      <c r="X223" s="33">
        <f>IF(C223="","",Commercial_Id)</f>
        <v/>
      </c>
      <c r="Y223" s="33">
        <f>IF(E223="","",IF(E223="Particulier / ménage","Particulier","Entreprise"))</f>
        <v/>
      </c>
      <c r="Z223" s="39">
        <f>IF(C223="","",COUNTIFS(VC_cle,AK223,VC_type,"Visite sur place"))</f>
        <v/>
      </c>
      <c r="AA223" s="46">
        <f>IF(AL223=0,"",IF(INT(AL223)=0,"",INT(AL223)))</f>
        <v/>
      </c>
      <c r="AB223" s="46">
        <f>IF(AL223=0,"",IF(INDEX(VC_actiondate,ROUND(MOD(AL223,1)*100000,0)-5)=0,"",INDEX(VC_actiondate,ROUND(MOD(AL223,1)*100000,0)-5)))</f>
        <v/>
      </c>
      <c r="AC223" s="33">
        <f>IF(AL223=0,"",INDEX(VC_actiontexte,ROUND(MOD(AL223,1)*100000,0)-5)&amp;"")</f>
        <v/>
      </c>
      <c r="AD223" s="46">
        <f>IF(C223="","",IF(COUNTIFS(Cmd_cle,AK223,Cmd_dateca,"&gt;0")=0,"",SMALL(INDEX(Cmd_dateca+(((Cmd_cle&lt;&gt;AK223)+(Cmd_dateca=0))&gt;0)*1000000,0),1)))</f>
        <v/>
      </c>
      <c r="AE223" s="46">
        <f>IF(C223="","",IF(COUNTIFS(Cmd_cle,AK223,Cmd_dateca,"&gt;0")=0,"",MAX(INDEX((Cmd_cle=AK223)*Cmd_dateca,0))))</f>
        <v/>
      </c>
      <c r="AF223" s="40">
        <f>IF(C223="","",SUMIFS(Cmd_montant,Cmd_cle,AK223,Cmd_dateca,"&gt;0"))</f>
        <v/>
      </c>
      <c r="AG223" s="40">
        <f>IF(C223="","",SUMIFS(Enc_montant,Enc_cle,AK223))</f>
        <v/>
      </c>
      <c r="AH223" s="40">
        <f>IF(C223="","",AF223-AG223)</f>
        <v/>
      </c>
      <c r="AI223" s="33">
        <f>IF(C223="","",IF(D223="Perdu","",IF(AND(AB223&lt;&gt;"",N(AB223)&lt;TODAY()),"Action en retard",IF(AND(D223="Client",AE223&lt;&gt;"",TODAY()-N(AE223)&gt;P_JoursInactif),"Client inactif",IF(AND(D223="Prospect",Z223=0,O223&lt;&gt;"",TODAY()-N(O223)&gt;P_JoursNonVisite),"Jamais visité","")))))</f>
        <v/>
      </c>
      <c r="AJ223" s="33">
        <f>IF(C223="","",C223&amp;" ["&amp;TEXT(A223,"000")&amp;"]")</f>
        <v/>
      </c>
      <c r="AK223" s="33">
        <f>IF(C223="","",X223&amp;"|"&amp;A223)</f>
        <v/>
      </c>
      <c r="AL223" s="47">
        <f>IF(C223="",0,IF(COUNTIFS(VC_cle,AK223)=0,0,MAX(INDEX((VC_cle=AK223)*(VC_date+ROW(VC_date)/100000),0))))</f>
        <v/>
      </c>
      <c r="AM223" s="47">
        <f>IF(AND(C223&lt;&gt;"",N(AB223)&gt;0,D223&lt;&gt;"Perdu"),AB223+ROW()/100000,0)</f>
        <v/>
      </c>
      <c r="AN223" s="48">
        <f>IF(N(AF223)&gt;0,ROUND(AF223,0)+ROW()/1000000,0)</f>
        <v/>
      </c>
    </row>
    <row r="224" ht="18" customHeight="1">
      <c r="A224" s="39" t="n">
        <v>219</v>
      </c>
      <c r="B224" s="33">
        <f>IF(C224="","",IF(X224="À RENSEIGNER","GIC",X224)&amp;"-"&amp;TEXT(A224,"000"))</f>
        <v/>
      </c>
      <c r="C224" s="36" t="n"/>
      <c r="D224" s="34">
        <f>IF(C224="","",IF(U224="☑ Oui","Perdu",IF(AD224&lt;&gt;"","Client","Prospect")))</f>
        <v/>
      </c>
      <c r="E224" s="36" t="n"/>
      <c r="F224" s="36" t="n"/>
      <c r="G224" s="44" t="n"/>
      <c r="H224" s="44" t="n"/>
      <c r="I224" s="36" t="n"/>
      <c r="J224" s="36" t="n"/>
      <c r="K224" s="41" t="n"/>
      <c r="L224" s="41" t="n"/>
      <c r="M224" s="36" t="n"/>
      <c r="N224" s="36" t="n"/>
      <c r="O224" s="32" t="n"/>
      <c r="P224" s="36" t="n"/>
      <c r="Q224" s="36" t="n"/>
      <c r="R224" s="34">
        <f>IF(P224="","",IFERROR(VLOOKUP(P224,T_Produits,2,FALSE),""))</f>
        <v/>
      </c>
      <c r="S224" s="36" t="n"/>
      <c r="T224" s="43" t="n"/>
      <c r="U224" s="43" t="n"/>
      <c r="V224" s="36" t="n"/>
      <c r="W224" s="36" t="n"/>
      <c r="X224" s="33">
        <f>IF(C224="","",Commercial_Id)</f>
        <v/>
      </c>
      <c r="Y224" s="33">
        <f>IF(E224="","",IF(E224="Particulier / ménage","Particulier","Entreprise"))</f>
        <v/>
      </c>
      <c r="Z224" s="39">
        <f>IF(C224="","",COUNTIFS(VC_cle,AK224,VC_type,"Visite sur place"))</f>
        <v/>
      </c>
      <c r="AA224" s="46">
        <f>IF(AL224=0,"",IF(INT(AL224)=0,"",INT(AL224)))</f>
        <v/>
      </c>
      <c r="AB224" s="46">
        <f>IF(AL224=0,"",IF(INDEX(VC_actiondate,ROUND(MOD(AL224,1)*100000,0)-5)=0,"",INDEX(VC_actiondate,ROUND(MOD(AL224,1)*100000,0)-5)))</f>
        <v/>
      </c>
      <c r="AC224" s="33">
        <f>IF(AL224=0,"",INDEX(VC_actiontexte,ROUND(MOD(AL224,1)*100000,0)-5)&amp;"")</f>
        <v/>
      </c>
      <c r="AD224" s="46">
        <f>IF(C224="","",IF(COUNTIFS(Cmd_cle,AK224,Cmd_dateca,"&gt;0")=0,"",SMALL(INDEX(Cmd_dateca+(((Cmd_cle&lt;&gt;AK224)+(Cmd_dateca=0))&gt;0)*1000000,0),1)))</f>
        <v/>
      </c>
      <c r="AE224" s="46">
        <f>IF(C224="","",IF(COUNTIFS(Cmd_cle,AK224,Cmd_dateca,"&gt;0")=0,"",MAX(INDEX((Cmd_cle=AK224)*Cmd_dateca,0))))</f>
        <v/>
      </c>
      <c r="AF224" s="40">
        <f>IF(C224="","",SUMIFS(Cmd_montant,Cmd_cle,AK224,Cmd_dateca,"&gt;0"))</f>
        <v/>
      </c>
      <c r="AG224" s="40">
        <f>IF(C224="","",SUMIFS(Enc_montant,Enc_cle,AK224))</f>
        <v/>
      </c>
      <c r="AH224" s="40">
        <f>IF(C224="","",AF224-AG224)</f>
        <v/>
      </c>
      <c r="AI224" s="33">
        <f>IF(C224="","",IF(D224="Perdu","",IF(AND(AB224&lt;&gt;"",N(AB224)&lt;TODAY()),"Action en retard",IF(AND(D224="Client",AE224&lt;&gt;"",TODAY()-N(AE224)&gt;P_JoursInactif),"Client inactif",IF(AND(D224="Prospect",Z224=0,O224&lt;&gt;"",TODAY()-N(O224)&gt;P_JoursNonVisite),"Jamais visité","")))))</f>
        <v/>
      </c>
      <c r="AJ224" s="33">
        <f>IF(C224="","",C224&amp;" ["&amp;TEXT(A224,"000")&amp;"]")</f>
        <v/>
      </c>
      <c r="AK224" s="33">
        <f>IF(C224="","",X224&amp;"|"&amp;A224)</f>
        <v/>
      </c>
      <c r="AL224" s="47">
        <f>IF(C224="",0,IF(COUNTIFS(VC_cle,AK224)=0,0,MAX(INDEX((VC_cle=AK224)*(VC_date+ROW(VC_date)/100000),0))))</f>
        <v/>
      </c>
      <c r="AM224" s="47">
        <f>IF(AND(C224&lt;&gt;"",N(AB224)&gt;0,D224&lt;&gt;"Perdu"),AB224+ROW()/100000,0)</f>
        <v/>
      </c>
      <c r="AN224" s="48">
        <f>IF(N(AF224)&gt;0,ROUND(AF224,0)+ROW()/1000000,0)</f>
        <v/>
      </c>
    </row>
    <row r="225" ht="18" customHeight="1">
      <c r="A225" s="39" t="n">
        <v>220</v>
      </c>
      <c r="B225" s="33">
        <f>IF(C225="","",IF(X225="À RENSEIGNER","GIC",X225)&amp;"-"&amp;TEXT(A225,"000"))</f>
        <v/>
      </c>
      <c r="C225" s="36" t="n"/>
      <c r="D225" s="34">
        <f>IF(C225="","",IF(U225="☑ Oui","Perdu",IF(AD225&lt;&gt;"","Client","Prospect")))</f>
        <v/>
      </c>
      <c r="E225" s="36" t="n"/>
      <c r="F225" s="36" t="n"/>
      <c r="G225" s="44" t="n"/>
      <c r="H225" s="44" t="n"/>
      <c r="I225" s="36" t="n"/>
      <c r="J225" s="36" t="n"/>
      <c r="K225" s="41" t="n"/>
      <c r="L225" s="41" t="n"/>
      <c r="M225" s="36" t="n"/>
      <c r="N225" s="36" t="n"/>
      <c r="O225" s="32" t="n"/>
      <c r="P225" s="36" t="n"/>
      <c r="Q225" s="36" t="n"/>
      <c r="R225" s="34">
        <f>IF(P225="","",IFERROR(VLOOKUP(P225,T_Produits,2,FALSE),""))</f>
        <v/>
      </c>
      <c r="S225" s="36" t="n"/>
      <c r="T225" s="43" t="n"/>
      <c r="U225" s="43" t="n"/>
      <c r="V225" s="36" t="n"/>
      <c r="W225" s="36" t="n"/>
      <c r="X225" s="33">
        <f>IF(C225="","",Commercial_Id)</f>
        <v/>
      </c>
      <c r="Y225" s="33">
        <f>IF(E225="","",IF(E225="Particulier / ménage","Particulier","Entreprise"))</f>
        <v/>
      </c>
      <c r="Z225" s="39">
        <f>IF(C225="","",COUNTIFS(VC_cle,AK225,VC_type,"Visite sur place"))</f>
        <v/>
      </c>
      <c r="AA225" s="46">
        <f>IF(AL225=0,"",IF(INT(AL225)=0,"",INT(AL225)))</f>
        <v/>
      </c>
      <c r="AB225" s="46">
        <f>IF(AL225=0,"",IF(INDEX(VC_actiondate,ROUND(MOD(AL225,1)*100000,0)-5)=0,"",INDEX(VC_actiondate,ROUND(MOD(AL225,1)*100000,0)-5)))</f>
        <v/>
      </c>
      <c r="AC225" s="33">
        <f>IF(AL225=0,"",INDEX(VC_actiontexte,ROUND(MOD(AL225,1)*100000,0)-5)&amp;"")</f>
        <v/>
      </c>
      <c r="AD225" s="46">
        <f>IF(C225="","",IF(COUNTIFS(Cmd_cle,AK225,Cmd_dateca,"&gt;0")=0,"",SMALL(INDEX(Cmd_dateca+(((Cmd_cle&lt;&gt;AK225)+(Cmd_dateca=0))&gt;0)*1000000,0),1)))</f>
        <v/>
      </c>
      <c r="AE225" s="46">
        <f>IF(C225="","",IF(COUNTIFS(Cmd_cle,AK225,Cmd_dateca,"&gt;0")=0,"",MAX(INDEX((Cmd_cle=AK225)*Cmd_dateca,0))))</f>
        <v/>
      </c>
      <c r="AF225" s="40">
        <f>IF(C225="","",SUMIFS(Cmd_montant,Cmd_cle,AK225,Cmd_dateca,"&gt;0"))</f>
        <v/>
      </c>
      <c r="AG225" s="40">
        <f>IF(C225="","",SUMIFS(Enc_montant,Enc_cle,AK225))</f>
        <v/>
      </c>
      <c r="AH225" s="40">
        <f>IF(C225="","",AF225-AG225)</f>
        <v/>
      </c>
      <c r="AI225" s="33">
        <f>IF(C225="","",IF(D225="Perdu","",IF(AND(AB225&lt;&gt;"",N(AB225)&lt;TODAY()),"Action en retard",IF(AND(D225="Client",AE225&lt;&gt;"",TODAY()-N(AE225)&gt;P_JoursInactif),"Client inactif",IF(AND(D225="Prospect",Z225=0,O225&lt;&gt;"",TODAY()-N(O225)&gt;P_JoursNonVisite),"Jamais visité","")))))</f>
        <v/>
      </c>
      <c r="AJ225" s="33">
        <f>IF(C225="","",C225&amp;" ["&amp;TEXT(A225,"000")&amp;"]")</f>
        <v/>
      </c>
      <c r="AK225" s="33">
        <f>IF(C225="","",X225&amp;"|"&amp;A225)</f>
        <v/>
      </c>
      <c r="AL225" s="47">
        <f>IF(C225="",0,IF(COUNTIFS(VC_cle,AK225)=0,0,MAX(INDEX((VC_cle=AK225)*(VC_date+ROW(VC_date)/100000),0))))</f>
        <v/>
      </c>
      <c r="AM225" s="47">
        <f>IF(AND(C225&lt;&gt;"",N(AB225)&gt;0,D225&lt;&gt;"Perdu"),AB225+ROW()/100000,0)</f>
        <v/>
      </c>
      <c r="AN225" s="48">
        <f>IF(N(AF225)&gt;0,ROUND(AF225,0)+ROW()/1000000,0)</f>
        <v/>
      </c>
    </row>
    <row r="226" ht="18" customHeight="1">
      <c r="A226" s="39" t="n">
        <v>221</v>
      </c>
      <c r="B226" s="33">
        <f>IF(C226="","",IF(X226="À RENSEIGNER","GIC",X226)&amp;"-"&amp;TEXT(A226,"000"))</f>
        <v/>
      </c>
      <c r="C226" s="36" t="n"/>
      <c r="D226" s="34">
        <f>IF(C226="","",IF(U226="☑ Oui","Perdu",IF(AD226&lt;&gt;"","Client","Prospect")))</f>
        <v/>
      </c>
      <c r="E226" s="36" t="n"/>
      <c r="F226" s="36" t="n"/>
      <c r="G226" s="44" t="n"/>
      <c r="H226" s="44" t="n"/>
      <c r="I226" s="36" t="n"/>
      <c r="J226" s="36" t="n"/>
      <c r="K226" s="41" t="n"/>
      <c r="L226" s="41" t="n"/>
      <c r="M226" s="36" t="n"/>
      <c r="N226" s="36" t="n"/>
      <c r="O226" s="32" t="n"/>
      <c r="P226" s="36" t="n"/>
      <c r="Q226" s="36" t="n"/>
      <c r="R226" s="34">
        <f>IF(P226="","",IFERROR(VLOOKUP(P226,T_Produits,2,FALSE),""))</f>
        <v/>
      </c>
      <c r="S226" s="36" t="n"/>
      <c r="T226" s="43" t="n"/>
      <c r="U226" s="43" t="n"/>
      <c r="V226" s="36" t="n"/>
      <c r="W226" s="36" t="n"/>
      <c r="X226" s="33">
        <f>IF(C226="","",Commercial_Id)</f>
        <v/>
      </c>
      <c r="Y226" s="33">
        <f>IF(E226="","",IF(E226="Particulier / ménage","Particulier","Entreprise"))</f>
        <v/>
      </c>
      <c r="Z226" s="39">
        <f>IF(C226="","",COUNTIFS(VC_cle,AK226,VC_type,"Visite sur place"))</f>
        <v/>
      </c>
      <c r="AA226" s="46">
        <f>IF(AL226=0,"",IF(INT(AL226)=0,"",INT(AL226)))</f>
        <v/>
      </c>
      <c r="AB226" s="46">
        <f>IF(AL226=0,"",IF(INDEX(VC_actiondate,ROUND(MOD(AL226,1)*100000,0)-5)=0,"",INDEX(VC_actiondate,ROUND(MOD(AL226,1)*100000,0)-5)))</f>
        <v/>
      </c>
      <c r="AC226" s="33">
        <f>IF(AL226=0,"",INDEX(VC_actiontexte,ROUND(MOD(AL226,1)*100000,0)-5)&amp;"")</f>
        <v/>
      </c>
      <c r="AD226" s="46">
        <f>IF(C226="","",IF(COUNTIFS(Cmd_cle,AK226,Cmd_dateca,"&gt;0")=0,"",SMALL(INDEX(Cmd_dateca+(((Cmd_cle&lt;&gt;AK226)+(Cmd_dateca=0))&gt;0)*1000000,0),1)))</f>
        <v/>
      </c>
      <c r="AE226" s="46">
        <f>IF(C226="","",IF(COUNTIFS(Cmd_cle,AK226,Cmd_dateca,"&gt;0")=0,"",MAX(INDEX((Cmd_cle=AK226)*Cmd_dateca,0))))</f>
        <v/>
      </c>
      <c r="AF226" s="40">
        <f>IF(C226="","",SUMIFS(Cmd_montant,Cmd_cle,AK226,Cmd_dateca,"&gt;0"))</f>
        <v/>
      </c>
      <c r="AG226" s="40">
        <f>IF(C226="","",SUMIFS(Enc_montant,Enc_cle,AK226))</f>
        <v/>
      </c>
      <c r="AH226" s="40">
        <f>IF(C226="","",AF226-AG226)</f>
        <v/>
      </c>
      <c r="AI226" s="33">
        <f>IF(C226="","",IF(D226="Perdu","",IF(AND(AB226&lt;&gt;"",N(AB226)&lt;TODAY()),"Action en retard",IF(AND(D226="Client",AE226&lt;&gt;"",TODAY()-N(AE226)&gt;P_JoursInactif),"Client inactif",IF(AND(D226="Prospect",Z226=0,O226&lt;&gt;"",TODAY()-N(O226)&gt;P_JoursNonVisite),"Jamais visité","")))))</f>
        <v/>
      </c>
      <c r="AJ226" s="33">
        <f>IF(C226="","",C226&amp;" ["&amp;TEXT(A226,"000")&amp;"]")</f>
        <v/>
      </c>
      <c r="AK226" s="33">
        <f>IF(C226="","",X226&amp;"|"&amp;A226)</f>
        <v/>
      </c>
      <c r="AL226" s="47">
        <f>IF(C226="",0,IF(COUNTIFS(VC_cle,AK226)=0,0,MAX(INDEX((VC_cle=AK226)*(VC_date+ROW(VC_date)/100000),0))))</f>
        <v/>
      </c>
      <c r="AM226" s="47">
        <f>IF(AND(C226&lt;&gt;"",N(AB226)&gt;0,D226&lt;&gt;"Perdu"),AB226+ROW()/100000,0)</f>
        <v/>
      </c>
      <c r="AN226" s="48">
        <f>IF(N(AF226)&gt;0,ROUND(AF226,0)+ROW()/1000000,0)</f>
        <v/>
      </c>
    </row>
    <row r="227" ht="18" customHeight="1">
      <c r="A227" s="39" t="n">
        <v>222</v>
      </c>
      <c r="B227" s="33">
        <f>IF(C227="","",IF(X227="À RENSEIGNER","GIC",X227)&amp;"-"&amp;TEXT(A227,"000"))</f>
        <v/>
      </c>
      <c r="C227" s="36" t="n"/>
      <c r="D227" s="34">
        <f>IF(C227="","",IF(U227="☑ Oui","Perdu",IF(AD227&lt;&gt;"","Client","Prospect")))</f>
        <v/>
      </c>
      <c r="E227" s="36" t="n"/>
      <c r="F227" s="36" t="n"/>
      <c r="G227" s="44" t="n"/>
      <c r="H227" s="44" t="n"/>
      <c r="I227" s="36" t="n"/>
      <c r="J227" s="36" t="n"/>
      <c r="K227" s="41" t="n"/>
      <c r="L227" s="41" t="n"/>
      <c r="M227" s="36" t="n"/>
      <c r="N227" s="36" t="n"/>
      <c r="O227" s="32" t="n"/>
      <c r="P227" s="36" t="n"/>
      <c r="Q227" s="36" t="n"/>
      <c r="R227" s="34">
        <f>IF(P227="","",IFERROR(VLOOKUP(P227,T_Produits,2,FALSE),""))</f>
        <v/>
      </c>
      <c r="S227" s="36" t="n"/>
      <c r="T227" s="43" t="n"/>
      <c r="U227" s="43" t="n"/>
      <c r="V227" s="36" t="n"/>
      <c r="W227" s="36" t="n"/>
      <c r="X227" s="33">
        <f>IF(C227="","",Commercial_Id)</f>
        <v/>
      </c>
      <c r="Y227" s="33">
        <f>IF(E227="","",IF(E227="Particulier / ménage","Particulier","Entreprise"))</f>
        <v/>
      </c>
      <c r="Z227" s="39">
        <f>IF(C227="","",COUNTIFS(VC_cle,AK227,VC_type,"Visite sur place"))</f>
        <v/>
      </c>
      <c r="AA227" s="46">
        <f>IF(AL227=0,"",IF(INT(AL227)=0,"",INT(AL227)))</f>
        <v/>
      </c>
      <c r="AB227" s="46">
        <f>IF(AL227=0,"",IF(INDEX(VC_actiondate,ROUND(MOD(AL227,1)*100000,0)-5)=0,"",INDEX(VC_actiondate,ROUND(MOD(AL227,1)*100000,0)-5)))</f>
        <v/>
      </c>
      <c r="AC227" s="33">
        <f>IF(AL227=0,"",INDEX(VC_actiontexte,ROUND(MOD(AL227,1)*100000,0)-5)&amp;"")</f>
        <v/>
      </c>
      <c r="AD227" s="46">
        <f>IF(C227="","",IF(COUNTIFS(Cmd_cle,AK227,Cmd_dateca,"&gt;0")=0,"",SMALL(INDEX(Cmd_dateca+(((Cmd_cle&lt;&gt;AK227)+(Cmd_dateca=0))&gt;0)*1000000,0),1)))</f>
        <v/>
      </c>
      <c r="AE227" s="46">
        <f>IF(C227="","",IF(COUNTIFS(Cmd_cle,AK227,Cmd_dateca,"&gt;0")=0,"",MAX(INDEX((Cmd_cle=AK227)*Cmd_dateca,0))))</f>
        <v/>
      </c>
      <c r="AF227" s="40">
        <f>IF(C227="","",SUMIFS(Cmd_montant,Cmd_cle,AK227,Cmd_dateca,"&gt;0"))</f>
        <v/>
      </c>
      <c r="AG227" s="40">
        <f>IF(C227="","",SUMIFS(Enc_montant,Enc_cle,AK227))</f>
        <v/>
      </c>
      <c r="AH227" s="40">
        <f>IF(C227="","",AF227-AG227)</f>
        <v/>
      </c>
      <c r="AI227" s="33">
        <f>IF(C227="","",IF(D227="Perdu","",IF(AND(AB227&lt;&gt;"",N(AB227)&lt;TODAY()),"Action en retard",IF(AND(D227="Client",AE227&lt;&gt;"",TODAY()-N(AE227)&gt;P_JoursInactif),"Client inactif",IF(AND(D227="Prospect",Z227=0,O227&lt;&gt;"",TODAY()-N(O227)&gt;P_JoursNonVisite),"Jamais visité","")))))</f>
        <v/>
      </c>
      <c r="AJ227" s="33">
        <f>IF(C227="","",C227&amp;" ["&amp;TEXT(A227,"000")&amp;"]")</f>
        <v/>
      </c>
      <c r="AK227" s="33">
        <f>IF(C227="","",X227&amp;"|"&amp;A227)</f>
        <v/>
      </c>
      <c r="AL227" s="47">
        <f>IF(C227="",0,IF(COUNTIFS(VC_cle,AK227)=0,0,MAX(INDEX((VC_cle=AK227)*(VC_date+ROW(VC_date)/100000),0))))</f>
        <v/>
      </c>
      <c r="AM227" s="47">
        <f>IF(AND(C227&lt;&gt;"",N(AB227)&gt;0,D227&lt;&gt;"Perdu"),AB227+ROW()/100000,0)</f>
        <v/>
      </c>
      <c r="AN227" s="48">
        <f>IF(N(AF227)&gt;0,ROUND(AF227,0)+ROW()/1000000,0)</f>
        <v/>
      </c>
    </row>
    <row r="228" ht="18" customHeight="1">
      <c r="A228" s="39" t="n">
        <v>223</v>
      </c>
      <c r="B228" s="33">
        <f>IF(C228="","",IF(X228="À RENSEIGNER","GIC",X228)&amp;"-"&amp;TEXT(A228,"000"))</f>
        <v/>
      </c>
      <c r="C228" s="36" t="n"/>
      <c r="D228" s="34">
        <f>IF(C228="","",IF(U228="☑ Oui","Perdu",IF(AD228&lt;&gt;"","Client","Prospect")))</f>
        <v/>
      </c>
      <c r="E228" s="36" t="n"/>
      <c r="F228" s="36" t="n"/>
      <c r="G228" s="44" t="n"/>
      <c r="H228" s="44" t="n"/>
      <c r="I228" s="36" t="n"/>
      <c r="J228" s="36" t="n"/>
      <c r="K228" s="41" t="n"/>
      <c r="L228" s="41" t="n"/>
      <c r="M228" s="36" t="n"/>
      <c r="N228" s="36" t="n"/>
      <c r="O228" s="32" t="n"/>
      <c r="P228" s="36" t="n"/>
      <c r="Q228" s="36" t="n"/>
      <c r="R228" s="34">
        <f>IF(P228="","",IFERROR(VLOOKUP(P228,T_Produits,2,FALSE),""))</f>
        <v/>
      </c>
      <c r="S228" s="36" t="n"/>
      <c r="T228" s="43" t="n"/>
      <c r="U228" s="43" t="n"/>
      <c r="V228" s="36" t="n"/>
      <c r="W228" s="36" t="n"/>
      <c r="X228" s="33">
        <f>IF(C228="","",Commercial_Id)</f>
        <v/>
      </c>
      <c r="Y228" s="33">
        <f>IF(E228="","",IF(E228="Particulier / ménage","Particulier","Entreprise"))</f>
        <v/>
      </c>
      <c r="Z228" s="39">
        <f>IF(C228="","",COUNTIFS(VC_cle,AK228,VC_type,"Visite sur place"))</f>
        <v/>
      </c>
      <c r="AA228" s="46">
        <f>IF(AL228=0,"",IF(INT(AL228)=0,"",INT(AL228)))</f>
        <v/>
      </c>
      <c r="AB228" s="46">
        <f>IF(AL228=0,"",IF(INDEX(VC_actiondate,ROUND(MOD(AL228,1)*100000,0)-5)=0,"",INDEX(VC_actiondate,ROUND(MOD(AL228,1)*100000,0)-5)))</f>
        <v/>
      </c>
      <c r="AC228" s="33">
        <f>IF(AL228=0,"",INDEX(VC_actiontexte,ROUND(MOD(AL228,1)*100000,0)-5)&amp;"")</f>
        <v/>
      </c>
      <c r="AD228" s="46">
        <f>IF(C228="","",IF(COUNTIFS(Cmd_cle,AK228,Cmd_dateca,"&gt;0")=0,"",SMALL(INDEX(Cmd_dateca+(((Cmd_cle&lt;&gt;AK228)+(Cmd_dateca=0))&gt;0)*1000000,0),1)))</f>
        <v/>
      </c>
      <c r="AE228" s="46">
        <f>IF(C228="","",IF(COUNTIFS(Cmd_cle,AK228,Cmd_dateca,"&gt;0")=0,"",MAX(INDEX((Cmd_cle=AK228)*Cmd_dateca,0))))</f>
        <v/>
      </c>
      <c r="AF228" s="40">
        <f>IF(C228="","",SUMIFS(Cmd_montant,Cmd_cle,AK228,Cmd_dateca,"&gt;0"))</f>
        <v/>
      </c>
      <c r="AG228" s="40">
        <f>IF(C228="","",SUMIFS(Enc_montant,Enc_cle,AK228))</f>
        <v/>
      </c>
      <c r="AH228" s="40">
        <f>IF(C228="","",AF228-AG228)</f>
        <v/>
      </c>
      <c r="AI228" s="33">
        <f>IF(C228="","",IF(D228="Perdu","",IF(AND(AB228&lt;&gt;"",N(AB228)&lt;TODAY()),"Action en retard",IF(AND(D228="Client",AE228&lt;&gt;"",TODAY()-N(AE228)&gt;P_JoursInactif),"Client inactif",IF(AND(D228="Prospect",Z228=0,O228&lt;&gt;"",TODAY()-N(O228)&gt;P_JoursNonVisite),"Jamais visité","")))))</f>
        <v/>
      </c>
      <c r="AJ228" s="33">
        <f>IF(C228="","",C228&amp;" ["&amp;TEXT(A228,"000")&amp;"]")</f>
        <v/>
      </c>
      <c r="AK228" s="33">
        <f>IF(C228="","",X228&amp;"|"&amp;A228)</f>
        <v/>
      </c>
      <c r="AL228" s="47">
        <f>IF(C228="",0,IF(COUNTIFS(VC_cle,AK228)=0,0,MAX(INDEX((VC_cle=AK228)*(VC_date+ROW(VC_date)/100000),0))))</f>
        <v/>
      </c>
      <c r="AM228" s="47">
        <f>IF(AND(C228&lt;&gt;"",N(AB228)&gt;0,D228&lt;&gt;"Perdu"),AB228+ROW()/100000,0)</f>
        <v/>
      </c>
      <c r="AN228" s="48">
        <f>IF(N(AF228)&gt;0,ROUND(AF228,0)+ROW()/1000000,0)</f>
        <v/>
      </c>
    </row>
    <row r="229" ht="18" customHeight="1">
      <c r="A229" s="39" t="n">
        <v>224</v>
      </c>
      <c r="B229" s="33">
        <f>IF(C229="","",IF(X229="À RENSEIGNER","GIC",X229)&amp;"-"&amp;TEXT(A229,"000"))</f>
        <v/>
      </c>
      <c r="C229" s="36" t="n"/>
      <c r="D229" s="34">
        <f>IF(C229="","",IF(U229="☑ Oui","Perdu",IF(AD229&lt;&gt;"","Client","Prospect")))</f>
        <v/>
      </c>
      <c r="E229" s="36" t="n"/>
      <c r="F229" s="36" t="n"/>
      <c r="G229" s="44" t="n"/>
      <c r="H229" s="44" t="n"/>
      <c r="I229" s="36" t="n"/>
      <c r="J229" s="36" t="n"/>
      <c r="K229" s="41" t="n"/>
      <c r="L229" s="41" t="n"/>
      <c r="M229" s="36" t="n"/>
      <c r="N229" s="36" t="n"/>
      <c r="O229" s="32" t="n"/>
      <c r="P229" s="36" t="n"/>
      <c r="Q229" s="36" t="n"/>
      <c r="R229" s="34">
        <f>IF(P229="","",IFERROR(VLOOKUP(P229,T_Produits,2,FALSE),""))</f>
        <v/>
      </c>
      <c r="S229" s="36" t="n"/>
      <c r="T229" s="43" t="n"/>
      <c r="U229" s="43" t="n"/>
      <c r="V229" s="36" t="n"/>
      <c r="W229" s="36" t="n"/>
      <c r="X229" s="33">
        <f>IF(C229="","",Commercial_Id)</f>
        <v/>
      </c>
      <c r="Y229" s="33">
        <f>IF(E229="","",IF(E229="Particulier / ménage","Particulier","Entreprise"))</f>
        <v/>
      </c>
      <c r="Z229" s="39">
        <f>IF(C229="","",COUNTIFS(VC_cle,AK229,VC_type,"Visite sur place"))</f>
        <v/>
      </c>
      <c r="AA229" s="46">
        <f>IF(AL229=0,"",IF(INT(AL229)=0,"",INT(AL229)))</f>
        <v/>
      </c>
      <c r="AB229" s="46">
        <f>IF(AL229=0,"",IF(INDEX(VC_actiondate,ROUND(MOD(AL229,1)*100000,0)-5)=0,"",INDEX(VC_actiondate,ROUND(MOD(AL229,1)*100000,0)-5)))</f>
        <v/>
      </c>
      <c r="AC229" s="33">
        <f>IF(AL229=0,"",INDEX(VC_actiontexte,ROUND(MOD(AL229,1)*100000,0)-5)&amp;"")</f>
        <v/>
      </c>
      <c r="AD229" s="46">
        <f>IF(C229="","",IF(COUNTIFS(Cmd_cle,AK229,Cmd_dateca,"&gt;0")=0,"",SMALL(INDEX(Cmd_dateca+(((Cmd_cle&lt;&gt;AK229)+(Cmd_dateca=0))&gt;0)*1000000,0),1)))</f>
        <v/>
      </c>
      <c r="AE229" s="46">
        <f>IF(C229="","",IF(COUNTIFS(Cmd_cle,AK229,Cmd_dateca,"&gt;0")=0,"",MAX(INDEX((Cmd_cle=AK229)*Cmd_dateca,0))))</f>
        <v/>
      </c>
      <c r="AF229" s="40">
        <f>IF(C229="","",SUMIFS(Cmd_montant,Cmd_cle,AK229,Cmd_dateca,"&gt;0"))</f>
        <v/>
      </c>
      <c r="AG229" s="40">
        <f>IF(C229="","",SUMIFS(Enc_montant,Enc_cle,AK229))</f>
        <v/>
      </c>
      <c r="AH229" s="40">
        <f>IF(C229="","",AF229-AG229)</f>
        <v/>
      </c>
      <c r="AI229" s="33">
        <f>IF(C229="","",IF(D229="Perdu","",IF(AND(AB229&lt;&gt;"",N(AB229)&lt;TODAY()),"Action en retard",IF(AND(D229="Client",AE229&lt;&gt;"",TODAY()-N(AE229)&gt;P_JoursInactif),"Client inactif",IF(AND(D229="Prospect",Z229=0,O229&lt;&gt;"",TODAY()-N(O229)&gt;P_JoursNonVisite),"Jamais visité","")))))</f>
        <v/>
      </c>
      <c r="AJ229" s="33">
        <f>IF(C229="","",C229&amp;" ["&amp;TEXT(A229,"000")&amp;"]")</f>
        <v/>
      </c>
      <c r="AK229" s="33">
        <f>IF(C229="","",X229&amp;"|"&amp;A229)</f>
        <v/>
      </c>
      <c r="AL229" s="47">
        <f>IF(C229="",0,IF(COUNTIFS(VC_cle,AK229)=0,0,MAX(INDEX((VC_cle=AK229)*(VC_date+ROW(VC_date)/100000),0))))</f>
        <v/>
      </c>
      <c r="AM229" s="47">
        <f>IF(AND(C229&lt;&gt;"",N(AB229)&gt;0,D229&lt;&gt;"Perdu"),AB229+ROW()/100000,0)</f>
        <v/>
      </c>
      <c r="AN229" s="48">
        <f>IF(N(AF229)&gt;0,ROUND(AF229,0)+ROW()/1000000,0)</f>
        <v/>
      </c>
    </row>
    <row r="230" ht="18" customHeight="1">
      <c r="A230" s="39" t="n">
        <v>225</v>
      </c>
      <c r="B230" s="33">
        <f>IF(C230="","",IF(X230="À RENSEIGNER","GIC",X230)&amp;"-"&amp;TEXT(A230,"000"))</f>
        <v/>
      </c>
      <c r="C230" s="36" t="n"/>
      <c r="D230" s="34">
        <f>IF(C230="","",IF(U230="☑ Oui","Perdu",IF(AD230&lt;&gt;"","Client","Prospect")))</f>
        <v/>
      </c>
      <c r="E230" s="36" t="n"/>
      <c r="F230" s="36" t="n"/>
      <c r="G230" s="44" t="n"/>
      <c r="H230" s="44" t="n"/>
      <c r="I230" s="36" t="n"/>
      <c r="J230" s="36" t="n"/>
      <c r="K230" s="41" t="n"/>
      <c r="L230" s="41" t="n"/>
      <c r="M230" s="36" t="n"/>
      <c r="N230" s="36" t="n"/>
      <c r="O230" s="32" t="n"/>
      <c r="P230" s="36" t="n"/>
      <c r="Q230" s="36" t="n"/>
      <c r="R230" s="34">
        <f>IF(P230="","",IFERROR(VLOOKUP(P230,T_Produits,2,FALSE),""))</f>
        <v/>
      </c>
      <c r="S230" s="36" t="n"/>
      <c r="T230" s="43" t="n"/>
      <c r="U230" s="43" t="n"/>
      <c r="V230" s="36" t="n"/>
      <c r="W230" s="36" t="n"/>
      <c r="X230" s="33">
        <f>IF(C230="","",Commercial_Id)</f>
        <v/>
      </c>
      <c r="Y230" s="33">
        <f>IF(E230="","",IF(E230="Particulier / ménage","Particulier","Entreprise"))</f>
        <v/>
      </c>
      <c r="Z230" s="39">
        <f>IF(C230="","",COUNTIFS(VC_cle,AK230,VC_type,"Visite sur place"))</f>
        <v/>
      </c>
      <c r="AA230" s="46">
        <f>IF(AL230=0,"",IF(INT(AL230)=0,"",INT(AL230)))</f>
        <v/>
      </c>
      <c r="AB230" s="46">
        <f>IF(AL230=0,"",IF(INDEX(VC_actiondate,ROUND(MOD(AL230,1)*100000,0)-5)=0,"",INDEX(VC_actiondate,ROUND(MOD(AL230,1)*100000,0)-5)))</f>
        <v/>
      </c>
      <c r="AC230" s="33">
        <f>IF(AL230=0,"",INDEX(VC_actiontexte,ROUND(MOD(AL230,1)*100000,0)-5)&amp;"")</f>
        <v/>
      </c>
      <c r="AD230" s="46">
        <f>IF(C230="","",IF(COUNTIFS(Cmd_cle,AK230,Cmd_dateca,"&gt;0")=0,"",SMALL(INDEX(Cmd_dateca+(((Cmd_cle&lt;&gt;AK230)+(Cmd_dateca=0))&gt;0)*1000000,0),1)))</f>
        <v/>
      </c>
      <c r="AE230" s="46">
        <f>IF(C230="","",IF(COUNTIFS(Cmd_cle,AK230,Cmd_dateca,"&gt;0")=0,"",MAX(INDEX((Cmd_cle=AK230)*Cmd_dateca,0))))</f>
        <v/>
      </c>
      <c r="AF230" s="40">
        <f>IF(C230="","",SUMIFS(Cmd_montant,Cmd_cle,AK230,Cmd_dateca,"&gt;0"))</f>
        <v/>
      </c>
      <c r="AG230" s="40">
        <f>IF(C230="","",SUMIFS(Enc_montant,Enc_cle,AK230))</f>
        <v/>
      </c>
      <c r="AH230" s="40">
        <f>IF(C230="","",AF230-AG230)</f>
        <v/>
      </c>
      <c r="AI230" s="33">
        <f>IF(C230="","",IF(D230="Perdu","",IF(AND(AB230&lt;&gt;"",N(AB230)&lt;TODAY()),"Action en retard",IF(AND(D230="Client",AE230&lt;&gt;"",TODAY()-N(AE230)&gt;P_JoursInactif),"Client inactif",IF(AND(D230="Prospect",Z230=0,O230&lt;&gt;"",TODAY()-N(O230)&gt;P_JoursNonVisite),"Jamais visité","")))))</f>
        <v/>
      </c>
      <c r="AJ230" s="33">
        <f>IF(C230="","",C230&amp;" ["&amp;TEXT(A230,"000")&amp;"]")</f>
        <v/>
      </c>
      <c r="AK230" s="33">
        <f>IF(C230="","",X230&amp;"|"&amp;A230)</f>
        <v/>
      </c>
      <c r="AL230" s="47">
        <f>IF(C230="",0,IF(COUNTIFS(VC_cle,AK230)=0,0,MAX(INDEX((VC_cle=AK230)*(VC_date+ROW(VC_date)/100000),0))))</f>
        <v/>
      </c>
      <c r="AM230" s="47">
        <f>IF(AND(C230&lt;&gt;"",N(AB230)&gt;0,D230&lt;&gt;"Perdu"),AB230+ROW()/100000,0)</f>
        <v/>
      </c>
      <c r="AN230" s="48">
        <f>IF(N(AF230)&gt;0,ROUND(AF230,0)+ROW()/1000000,0)</f>
        <v/>
      </c>
    </row>
    <row r="231" ht="18" customHeight="1">
      <c r="A231" s="39" t="n">
        <v>226</v>
      </c>
      <c r="B231" s="33">
        <f>IF(C231="","",IF(X231="À RENSEIGNER","GIC",X231)&amp;"-"&amp;TEXT(A231,"000"))</f>
        <v/>
      </c>
      <c r="C231" s="36" t="n"/>
      <c r="D231" s="34">
        <f>IF(C231="","",IF(U231="☑ Oui","Perdu",IF(AD231&lt;&gt;"","Client","Prospect")))</f>
        <v/>
      </c>
      <c r="E231" s="36" t="n"/>
      <c r="F231" s="36" t="n"/>
      <c r="G231" s="44" t="n"/>
      <c r="H231" s="44" t="n"/>
      <c r="I231" s="36" t="n"/>
      <c r="J231" s="36" t="n"/>
      <c r="K231" s="41" t="n"/>
      <c r="L231" s="41" t="n"/>
      <c r="M231" s="36" t="n"/>
      <c r="N231" s="36" t="n"/>
      <c r="O231" s="32" t="n"/>
      <c r="P231" s="36" t="n"/>
      <c r="Q231" s="36" t="n"/>
      <c r="R231" s="34">
        <f>IF(P231="","",IFERROR(VLOOKUP(P231,T_Produits,2,FALSE),""))</f>
        <v/>
      </c>
      <c r="S231" s="36" t="n"/>
      <c r="T231" s="43" t="n"/>
      <c r="U231" s="43" t="n"/>
      <c r="V231" s="36" t="n"/>
      <c r="W231" s="36" t="n"/>
      <c r="X231" s="33">
        <f>IF(C231="","",Commercial_Id)</f>
        <v/>
      </c>
      <c r="Y231" s="33">
        <f>IF(E231="","",IF(E231="Particulier / ménage","Particulier","Entreprise"))</f>
        <v/>
      </c>
      <c r="Z231" s="39">
        <f>IF(C231="","",COUNTIFS(VC_cle,AK231,VC_type,"Visite sur place"))</f>
        <v/>
      </c>
      <c r="AA231" s="46">
        <f>IF(AL231=0,"",IF(INT(AL231)=0,"",INT(AL231)))</f>
        <v/>
      </c>
      <c r="AB231" s="46">
        <f>IF(AL231=0,"",IF(INDEX(VC_actiondate,ROUND(MOD(AL231,1)*100000,0)-5)=0,"",INDEX(VC_actiondate,ROUND(MOD(AL231,1)*100000,0)-5)))</f>
        <v/>
      </c>
      <c r="AC231" s="33">
        <f>IF(AL231=0,"",INDEX(VC_actiontexte,ROUND(MOD(AL231,1)*100000,0)-5)&amp;"")</f>
        <v/>
      </c>
      <c r="AD231" s="46">
        <f>IF(C231="","",IF(COUNTIFS(Cmd_cle,AK231,Cmd_dateca,"&gt;0")=0,"",SMALL(INDEX(Cmd_dateca+(((Cmd_cle&lt;&gt;AK231)+(Cmd_dateca=0))&gt;0)*1000000,0),1)))</f>
        <v/>
      </c>
      <c r="AE231" s="46">
        <f>IF(C231="","",IF(COUNTIFS(Cmd_cle,AK231,Cmd_dateca,"&gt;0")=0,"",MAX(INDEX((Cmd_cle=AK231)*Cmd_dateca,0))))</f>
        <v/>
      </c>
      <c r="AF231" s="40">
        <f>IF(C231="","",SUMIFS(Cmd_montant,Cmd_cle,AK231,Cmd_dateca,"&gt;0"))</f>
        <v/>
      </c>
      <c r="AG231" s="40">
        <f>IF(C231="","",SUMIFS(Enc_montant,Enc_cle,AK231))</f>
        <v/>
      </c>
      <c r="AH231" s="40">
        <f>IF(C231="","",AF231-AG231)</f>
        <v/>
      </c>
      <c r="AI231" s="33">
        <f>IF(C231="","",IF(D231="Perdu","",IF(AND(AB231&lt;&gt;"",N(AB231)&lt;TODAY()),"Action en retard",IF(AND(D231="Client",AE231&lt;&gt;"",TODAY()-N(AE231)&gt;P_JoursInactif),"Client inactif",IF(AND(D231="Prospect",Z231=0,O231&lt;&gt;"",TODAY()-N(O231)&gt;P_JoursNonVisite),"Jamais visité","")))))</f>
        <v/>
      </c>
      <c r="AJ231" s="33">
        <f>IF(C231="","",C231&amp;" ["&amp;TEXT(A231,"000")&amp;"]")</f>
        <v/>
      </c>
      <c r="AK231" s="33">
        <f>IF(C231="","",X231&amp;"|"&amp;A231)</f>
        <v/>
      </c>
      <c r="AL231" s="47">
        <f>IF(C231="",0,IF(COUNTIFS(VC_cle,AK231)=0,0,MAX(INDEX((VC_cle=AK231)*(VC_date+ROW(VC_date)/100000),0))))</f>
        <v/>
      </c>
      <c r="AM231" s="47">
        <f>IF(AND(C231&lt;&gt;"",N(AB231)&gt;0,D231&lt;&gt;"Perdu"),AB231+ROW()/100000,0)</f>
        <v/>
      </c>
      <c r="AN231" s="48">
        <f>IF(N(AF231)&gt;0,ROUND(AF231,0)+ROW()/1000000,0)</f>
        <v/>
      </c>
    </row>
    <row r="232" ht="18" customHeight="1">
      <c r="A232" s="39" t="n">
        <v>227</v>
      </c>
      <c r="B232" s="33">
        <f>IF(C232="","",IF(X232="À RENSEIGNER","GIC",X232)&amp;"-"&amp;TEXT(A232,"000"))</f>
        <v/>
      </c>
      <c r="C232" s="36" t="n"/>
      <c r="D232" s="34">
        <f>IF(C232="","",IF(U232="☑ Oui","Perdu",IF(AD232&lt;&gt;"","Client","Prospect")))</f>
        <v/>
      </c>
      <c r="E232" s="36" t="n"/>
      <c r="F232" s="36" t="n"/>
      <c r="G232" s="44" t="n"/>
      <c r="H232" s="44" t="n"/>
      <c r="I232" s="36" t="n"/>
      <c r="J232" s="36" t="n"/>
      <c r="K232" s="41" t="n"/>
      <c r="L232" s="41" t="n"/>
      <c r="M232" s="36" t="n"/>
      <c r="N232" s="36" t="n"/>
      <c r="O232" s="32" t="n"/>
      <c r="P232" s="36" t="n"/>
      <c r="Q232" s="36" t="n"/>
      <c r="R232" s="34">
        <f>IF(P232="","",IFERROR(VLOOKUP(P232,T_Produits,2,FALSE),""))</f>
        <v/>
      </c>
      <c r="S232" s="36" t="n"/>
      <c r="T232" s="43" t="n"/>
      <c r="U232" s="43" t="n"/>
      <c r="V232" s="36" t="n"/>
      <c r="W232" s="36" t="n"/>
      <c r="X232" s="33">
        <f>IF(C232="","",Commercial_Id)</f>
        <v/>
      </c>
      <c r="Y232" s="33">
        <f>IF(E232="","",IF(E232="Particulier / ménage","Particulier","Entreprise"))</f>
        <v/>
      </c>
      <c r="Z232" s="39">
        <f>IF(C232="","",COUNTIFS(VC_cle,AK232,VC_type,"Visite sur place"))</f>
        <v/>
      </c>
      <c r="AA232" s="46">
        <f>IF(AL232=0,"",IF(INT(AL232)=0,"",INT(AL232)))</f>
        <v/>
      </c>
      <c r="AB232" s="46">
        <f>IF(AL232=0,"",IF(INDEX(VC_actiondate,ROUND(MOD(AL232,1)*100000,0)-5)=0,"",INDEX(VC_actiondate,ROUND(MOD(AL232,1)*100000,0)-5)))</f>
        <v/>
      </c>
      <c r="AC232" s="33">
        <f>IF(AL232=0,"",INDEX(VC_actiontexte,ROUND(MOD(AL232,1)*100000,0)-5)&amp;"")</f>
        <v/>
      </c>
      <c r="AD232" s="46">
        <f>IF(C232="","",IF(COUNTIFS(Cmd_cle,AK232,Cmd_dateca,"&gt;0")=0,"",SMALL(INDEX(Cmd_dateca+(((Cmd_cle&lt;&gt;AK232)+(Cmd_dateca=0))&gt;0)*1000000,0),1)))</f>
        <v/>
      </c>
      <c r="AE232" s="46">
        <f>IF(C232="","",IF(COUNTIFS(Cmd_cle,AK232,Cmd_dateca,"&gt;0")=0,"",MAX(INDEX((Cmd_cle=AK232)*Cmd_dateca,0))))</f>
        <v/>
      </c>
      <c r="AF232" s="40">
        <f>IF(C232="","",SUMIFS(Cmd_montant,Cmd_cle,AK232,Cmd_dateca,"&gt;0"))</f>
        <v/>
      </c>
      <c r="AG232" s="40">
        <f>IF(C232="","",SUMIFS(Enc_montant,Enc_cle,AK232))</f>
        <v/>
      </c>
      <c r="AH232" s="40">
        <f>IF(C232="","",AF232-AG232)</f>
        <v/>
      </c>
      <c r="AI232" s="33">
        <f>IF(C232="","",IF(D232="Perdu","",IF(AND(AB232&lt;&gt;"",N(AB232)&lt;TODAY()),"Action en retard",IF(AND(D232="Client",AE232&lt;&gt;"",TODAY()-N(AE232)&gt;P_JoursInactif),"Client inactif",IF(AND(D232="Prospect",Z232=0,O232&lt;&gt;"",TODAY()-N(O232)&gt;P_JoursNonVisite),"Jamais visité","")))))</f>
        <v/>
      </c>
      <c r="AJ232" s="33">
        <f>IF(C232="","",C232&amp;" ["&amp;TEXT(A232,"000")&amp;"]")</f>
        <v/>
      </c>
      <c r="AK232" s="33">
        <f>IF(C232="","",X232&amp;"|"&amp;A232)</f>
        <v/>
      </c>
      <c r="AL232" s="47">
        <f>IF(C232="",0,IF(COUNTIFS(VC_cle,AK232)=0,0,MAX(INDEX((VC_cle=AK232)*(VC_date+ROW(VC_date)/100000),0))))</f>
        <v/>
      </c>
      <c r="AM232" s="47">
        <f>IF(AND(C232&lt;&gt;"",N(AB232)&gt;0,D232&lt;&gt;"Perdu"),AB232+ROW()/100000,0)</f>
        <v/>
      </c>
      <c r="AN232" s="48">
        <f>IF(N(AF232)&gt;0,ROUND(AF232,0)+ROW()/1000000,0)</f>
        <v/>
      </c>
    </row>
    <row r="233" ht="18" customHeight="1">
      <c r="A233" s="39" t="n">
        <v>228</v>
      </c>
      <c r="B233" s="33">
        <f>IF(C233="","",IF(X233="À RENSEIGNER","GIC",X233)&amp;"-"&amp;TEXT(A233,"000"))</f>
        <v/>
      </c>
      <c r="C233" s="36" t="n"/>
      <c r="D233" s="34">
        <f>IF(C233="","",IF(U233="☑ Oui","Perdu",IF(AD233&lt;&gt;"","Client","Prospect")))</f>
        <v/>
      </c>
      <c r="E233" s="36" t="n"/>
      <c r="F233" s="36" t="n"/>
      <c r="G233" s="44" t="n"/>
      <c r="H233" s="44" t="n"/>
      <c r="I233" s="36" t="n"/>
      <c r="J233" s="36" t="n"/>
      <c r="K233" s="41" t="n"/>
      <c r="L233" s="41" t="n"/>
      <c r="M233" s="36" t="n"/>
      <c r="N233" s="36" t="n"/>
      <c r="O233" s="32" t="n"/>
      <c r="P233" s="36" t="n"/>
      <c r="Q233" s="36" t="n"/>
      <c r="R233" s="34">
        <f>IF(P233="","",IFERROR(VLOOKUP(P233,T_Produits,2,FALSE),""))</f>
        <v/>
      </c>
      <c r="S233" s="36" t="n"/>
      <c r="T233" s="43" t="n"/>
      <c r="U233" s="43" t="n"/>
      <c r="V233" s="36" t="n"/>
      <c r="W233" s="36" t="n"/>
      <c r="X233" s="33">
        <f>IF(C233="","",Commercial_Id)</f>
        <v/>
      </c>
      <c r="Y233" s="33">
        <f>IF(E233="","",IF(E233="Particulier / ménage","Particulier","Entreprise"))</f>
        <v/>
      </c>
      <c r="Z233" s="39">
        <f>IF(C233="","",COUNTIFS(VC_cle,AK233,VC_type,"Visite sur place"))</f>
        <v/>
      </c>
      <c r="AA233" s="46">
        <f>IF(AL233=0,"",IF(INT(AL233)=0,"",INT(AL233)))</f>
        <v/>
      </c>
      <c r="AB233" s="46">
        <f>IF(AL233=0,"",IF(INDEX(VC_actiondate,ROUND(MOD(AL233,1)*100000,0)-5)=0,"",INDEX(VC_actiondate,ROUND(MOD(AL233,1)*100000,0)-5)))</f>
        <v/>
      </c>
      <c r="AC233" s="33">
        <f>IF(AL233=0,"",INDEX(VC_actiontexte,ROUND(MOD(AL233,1)*100000,0)-5)&amp;"")</f>
        <v/>
      </c>
      <c r="AD233" s="46">
        <f>IF(C233="","",IF(COUNTIFS(Cmd_cle,AK233,Cmd_dateca,"&gt;0")=0,"",SMALL(INDEX(Cmd_dateca+(((Cmd_cle&lt;&gt;AK233)+(Cmd_dateca=0))&gt;0)*1000000,0),1)))</f>
        <v/>
      </c>
      <c r="AE233" s="46">
        <f>IF(C233="","",IF(COUNTIFS(Cmd_cle,AK233,Cmd_dateca,"&gt;0")=0,"",MAX(INDEX((Cmd_cle=AK233)*Cmd_dateca,0))))</f>
        <v/>
      </c>
      <c r="AF233" s="40">
        <f>IF(C233="","",SUMIFS(Cmd_montant,Cmd_cle,AK233,Cmd_dateca,"&gt;0"))</f>
        <v/>
      </c>
      <c r="AG233" s="40">
        <f>IF(C233="","",SUMIFS(Enc_montant,Enc_cle,AK233))</f>
        <v/>
      </c>
      <c r="AH233" s="40">
        <f>IF(C233="","",AF233-AG233)</f>
        <v/>
      </c>
      <c r="AI233" s="33">
        <f>IF(C233="","",IF(D233="Perdu","",IF(AND(AB233&lt;&gt;"",N(AB233)&lt;TODAY()),"Action en retard",IF(AND(D233="Client",AE233&lt;&gt;"",TODAY()-N(AE233)&gt;P_JoursInactif),"Client inactif",IF(AND(D233="Prospect",Z233=0,O233&lt;&gt;"",TODAY()-N(O233)&gt;P_JoursNonVisite),"Jamais visité","")))))</f>
        <v/>
      </c>
      <c r="AJ233" s="33">
        <f>IF(C233="","",C233&amp;" ["&amp;TEXT(A233,"000")&amp;"]")</f>
        <v/>
      </c>
      <c r="AK233" s="33">
        <f>IF(C233="","",X233&amp;"|"&amp;A233)</f>
        <v/>
      </c>
      <c r="AL233" s="47">
        <f>IF(C233="",0,IF(COUNTIFS(VC_cle,AK233)=0,0,MAX(INDEX((VC_cle=AK233)*(VC_date+ROW(VC_date)/100000),0))))</f>
        <v/>
      </c>
      <c r="AM233" s="47">
        <f>IF(AND(C233&lt;&gt;"",N(AB233)&gt;0,D233&lt;&gt;"Perdu"),AB233+ROW()/100000,0)</f>
        <v/>
      </c>
      <c r="AN233" s="48">
        <f>IF(N(AF233)&gt;0,ROUND(AF233,0)+ROW()/1000000,0)</f>
        <v/>
      </c>
    </row>
    <row r="234" ht="18" customHeight="1">
      <c r="A234" s="39" t="n">
        <v>229</v>
      </c>
      <c r="B234" s="33">
        <f>IF(C234="","",IF(X234="À RENSEIGNER","GIC",X234)&amp;"-"&amp;TEXT(A234,"000"))</f>
        <v/>
      </c>
      <c r="C234" s="36" t="n"/>
      <c r="D234" s="34">
        <f>IF(C234="","",IF(U234="☑ Oui","Perdu",IF(AD234&lt;&gt;"","Client","Prospect")))</f>
        <v/>
      </c>
      <c r="E234" s="36" t="n"/>
      <c r="F234" s="36" t="n"/>
      <c r="G234" s="44" t="n"/>
      <c r="H234" s="44" t="n"/>
      <c r="I234" s="36" t="n"/>
      <c r="J234" s="36" t="n"/>
      <c r="K234" s="41" t="n"/>
      <c r="L234" s="41" t="n"/>
      <c r="M234" s="36" t="n"/>
      <c r="N234" s="36" t="n"/>
      <c r="O234" s="32" t="n"/>
      <c r="P234" s="36" t="n"/>
      <c r="Q234" s="36" t="n"/>
      <c r="R234" s="34">
        <f>IF(P234="","",IFERROR(VLOOKUP(P234,T_Produits,2,FALSE),""))</f>
        <v/>
      </c>
      <c r="S234" s="36" t="n"/>
      <c r="T234" s="43" t="n"/>
      <c r="U234" s="43" t="n"/>
      <c r="V234" s="36" t="n"/>
      <c r="W234" s="36" t="n"/>
      <c r="X234" s="33">
        <f>IF(C234="","",Commercial_Id)</f>
        <v/>
      </c>
      <c r="Y234" s="33">
        <f>IF(E234="","",IF(E234="Particulier / ménage","Particulier","Entreprise"))</f>
        <v/>
      </c>
      <c r="Z234" s="39">
        <f>IF(C234="","",COUNTIFS(VC_cle,AK234,VC_type,"Visite sur place"))</f>
        <v/>
      </c>
      <c r="AA234" s="46">
        <f>IF(AL234=0,"",IF(INT(AL234)=0,"",INT(AL234)))</f>
        <v/>
      </c>
      <c r="AB234" s="46">
        <f>IF(AL234=0,"",IF(INDEX(VC_actiondate,ROUND(MOD(AL234,1)*100000,0)-5)=0,"",INDEX(VC_actiondate,ROUND(MOD(AL234,1)*100000,0)-5)))</f>
        <v/>
      </c>
      <c r="AC234" s="33">
        <f>IF(AL234=0,"",INDEX(VC_actiontexte,ROUND(MOD(AL234,1)*100000,0)-5)&amp;"")</f>
        <v/>
      </c>
      <c r="AD234" s="46">
        <f>IF(C234="","",IF(COUNTIFS(Cmd_cle,AK234,Cmd_dateca,"&gt;0")=0,"",SMALL(INDEX(Cmd_dateca+(((Cmd_cle&lt;&gt;AK234)+(Cmd_dateca=0))&gt;0)*1000000,0),1)))</f>
        <v/>
      </c>
      <c r="AE234" s="46">
        <f>IF(C234="","",IF(COUNTIFS(Cmd_cle,AK234,Cmd_dateca,"&gt;0")=0,"",MAX(INDEX((Cmd_cle=AK234)*Cmd_dateca,0))))</f>
        <v/>
      </c>
      <c r="AF234" s="40">
        <f>IF(C234="","",SUMIFS(Cmd_montant,Cmd_cle,AK234,Cmd_dateca,"&gt;0"))</f>
        <v/>
      </c>
      <c r="AG234" s="40">
        <f>IF(C234="","",SUMIFS(Enc_montant,Enc_cle,AK234))</f>
        <v/>
      </c>
      <c r="AH234" s="40">
        <f>IF(C234="","",AF234-AG234)</f>
        <v/>
      </c>
      <c r="AI234" s="33">
        <f>IF(C234="","",IF(D234="Perdu","",IF(AND(AB234&lt;&gt;"",N(AB234)&lt;TODAY()),"Action en retard",IF(AND(D234="Client",AE234&lt;&gt;"",TODAY()-N(AE234)&gt;P_JoursInactif),"Client inactif",IF(AND(D234="Prospect",Z234=0,O234&lt;&gt;"",TODAY()-N(O234)&gt;P_JoursNonVisite),"Jamais visité","")))))</f>
        <v/>
      </c>
      <c r="AJ234" s="33">
        <f>IF(C234="","",C234&amp;" ["&amp;TEXT(A234,"000")&amp;"]")</f>
        <v/>
      </c>
      <c r="AK234" s="33">
        <f>IF(C234="","",X234&amp;"|"&amp;A234)</f>
        <v/>
      </c>
      <c r="AL234" s="47">
        <f>IF(C234="",0,IF(COUNTIFS(VC_cle,AK234)=0,0,MAX(INDEX((VC_cle=AK234)*(VC_date+ROW(VC_date)/100000),0))))</f>
        <v/>
      </c>
      <c r="AM234" s="47">
        <f>IF(AND(C234&lt;&gt;"",N(AB234)&gt;0,D234&lt;&gt;"Perdu"),AB234+ROW()/100000,0)</f>
        <v/>
      </c>
      <c r="AN234" s="48">
        <f>IF(N(AF234)&gt;0,ROUND(AF234,0)+ROW()/1000000,0)</f>
        <v/>
      </c>
    </row>
    <row r="235" ht="18" customHeight="1">
      <c r="A235" s="39" t="n">
        <v>230</v>
      </c>
      <c r="B235" s="33">
        <f>IF(C235="","",IF(X235="À RENSEIGNER","GIC",X235)&amp;"-"&amp;TEXT(A235,"000"))</f>
        <v/>
      </c>
      <c r="C235" s="36" t="n"/>
      <c r="D235" s="34">
        <f>IF(C235="","",IF(U235="☑ Oui","Perdu",IF(AD235&lt;&gt;"","Client","Prospect")))</f>
        <v/>
      </c>
      <c r="E235" s="36" t="n"/>
      <c r="F235" s="36" t="n"/>
      <c r="G235" s="44" t="n"/>
      <c r="H235" s="44" t="n"/>
      <c r="I235" s="36" t="n"/>
      <c r="J235" s="36" t="n"/>
      <c r="K235" s="41" t="n"/>
      <c r="L235" s="41" t="n"/>
      <c r="M235" s="36" t="n"/>
      <c r="N235" s="36" t="n"/>
      <c r="O235" s="32" t="n"/>
      <c r="P235" s="36" t="n"/>
      <c r="Q235" s="36" t="n"/>
      <c r="R235" s="34">
        <f>IF(P235="","",IFERROR(VLOOKUP(P235,T_Produits,2,FALSE),""))</f>
        <v/>
      </c>
      <c r="S235" s="36" t="n"/>
      <c r="T235" s="43" t="n"/>
      <c r="U235" s="43" t="n"/>
      <c r="V235" s="36" t="n"/>
      <c r="W235" s="36" t="n"/>
      <c r="X235" s="33">
        <f>IF(C235="","",Commercial_Id)</f>
        <v/>
      </c>
      <c r="Y235" s="33">
        <f>IF(E235="","",IF(E235="Particulier / ménage","Particulier","Entreprise"))</f>
        <v/>
      </c>
      <c r="Z235" s="39">
        <f>IF(C235="","",COUNTIFS(VC_cle,AK235,VC_type,"Visite sur place"))</f>
        <v/>
      </c>
      <c r="AA235" s="46">
        <f>IF(AL235=0,"",IF(INT(AL235)=0,"",INT(AL235)))</f>
        <v/>
      </c>
      <c r="AB235" s="46">
        <f>IF(AL235=0,"",IF(INDEX(VC_actiondate,ROUND(MOD(AL235,1)*100000,0)-5)=0,"",INDEX(VC_actiondate,ROUND(MOD(AL235,1)*100000,0)-5)))</f>
        <v/>
      </c>
      <c r="AC235" s="33">
        <f>IF(AL235=0,"",INDEX(VC_actiontexte,ROUND(MOD(AL235,1)*100000,0)-5)&amp;"")</f>
        <v/>
      </c>
      <c r="AD235" s="46">
        <f>IF(C235="","",IF(COUNTIFS(Cmd_cle,AK235,Cmd_dateca,"&gt;0")=0,"",SMALL(INDEX(Cmd_dateca+(((Cmd_cle&lt;&gt;AK235)+(Cmd_dateca=0))&gt;0)*1000000,0),1)))</f>
        <v/>
      </c>
      <c r="AE235" s="46">
        <f>IF(C235="","",IF(COUNTIFS(Cmd_cle,AK235,Cmd_dateca,"&gt;0")=0,"",MAX(INDEX((Cmd_cle=AK235)*Cmd_dateca,0))))</f>
        <v/>
      </c>
      <c r="AF235" s="40">
        <f>IF(C235="","",SUMIFS(Cmd_montant,Cmd_cle,AK235,Cmd_dateca,"&gt;0"))</f>
        <v/>
      </c>
      <c r="AG235" s="40">
        <f>IF(C235="","",SUMIFS(Enc_montant,Enc_cle,AK235))</f>
        <v/>
      </c>
      <c r="AH235" s="40">
        <f>IF(C235="","",AF235-AG235)</f>
        <v/>
      </c>
      <c r="AI235" s="33">
        <f>IF(C235="","",IF(D235="Perdu","",IF(AND(AB235&lt;&gt;"",N(AB235)&lt;TODAY()),"Action en retard",IF(AND(D235="Client",AE235&lt;&gt;"",TODAY()-N(AE235)&gt;P_JoursInactif),"Client inactif",IF(AND(D235="Prospect",Z235=0,O235&lt;&gt;"",TODAY()-N(O235)&gt;P_JoursNonVisite),"Jamais visité","")))))</f>
        <v/>
      </c>
      <c r="AJ235" s="33">
        <f>IF(C235="","",C235&amp;" ["&amp;TEXT(A235,"000")&amp;"]")</f>
        <v/>
      </c>
      <c r="AK235" s="33">
        <f>IF(C235="","",X235&amp;"|"&amp;A235)</f>
        <v/>
      </c>
      <c r="AL235" s="47">
        <f>IF(C235="",0,IF(COUNTIFS(VC_cle,AK235)=0,0,MAX(INDEX((VC_cle=AK235)*(VC_date+ROW(VC_date)/100000),0))))</f>
        <v/>
      </c>
      <c r="AM235" s="47">
        <f>IF(AND(C235&lt;&gt;"",N(AB235)&gt;0,D235&lt;&gt;"Perdu"),AB235+ROW()/100000,0)</f>
        <v/>
      </c>
      <c r="AN235" s="48">
        <f>IF(N(AF235)&gt;0,ROUND(AF235,0)+ROW()/1000000,0)</f>
        <v/>
      </c>
    </row>
    <row r="236" ht="18" customHeight="1">
      <c r="A236" s="39" t="n">
        <v>231</v>
      </c>
      <c r="B236" s="33">
        <f>IF(C236="","",IF(X236="À RENSEIGNER","GIC",X236)&amp;"-"&amp;TEXT(A236,"000"))</f>
        <v/>
      </c>
      <c r="C236" s="36" t="n"/>
      <c r="D236" s="34">
        <f>IF(C236="","",IF(U236="☑ Oui","Perdu",IF(AD236&lt;&gt;"","Client","Prospect")))</f>
        <v/>
      </c>
      <c r="E236" s="36" t="n"/>
      <c r="F236" s="36" t="n"/>
      <c r="G236" s="44" t="n"/>
      <c r="H236" s="44" t="n"/>
      <c r="I236" s="36" t="n"/>
      <c r="J236" s="36" t="n"/>
      <c r="K236" s="41" t="n"/>
      <c r="L236" s="41" t="n"/>
      <c r="M236" s="36" t="n"/>
      <c r="N236" s="36" t="n"/>
      <c r="O236" s="32" t="n"/>
      <c r="P236" s="36" t="n"/>
      <c r="Q236" s="36" t="n"/>
      <c r="R236" s="34">
        <f>IF(P236="","",IFERROR(VLOOKUP(P236,T_Produits,2,FALSE),""))</f>
        <v/>
      </c>
      <c r="S236" s="36" t="n"/>
      <c r="T236" s="43" t="n"/>
      <c r="U236" s="43" t="n"/>
      <c r="V236" s="36" t="n"/>
      <c r="W236" s="36" t="n"/>
      <c r="X236" s="33">
        <f>IF(C236="","",Commercial_Id)</f>
        <v/>
      </c>
      <c r="Y236" s="33">
        <f>IF(E236="","",IF(E236="Particulier / ménage","Particulier","Entreprise"))</f>
        <v/>
      </c>
      <c r="Z236" s="39">
        <f>IF(C236="","",COUNTIFS(VC_cle,AK236,VC_type,"Visite sur place"))</f>
        <v/>
      </c>
      <c r="AA236" s="46">
        <f>IF(AL236=0,"",IF(INT(AL236)=0,"",INT(AL236)))</f>
        <v/>
      </c>
      <c r="AB236" s="46">
        <f>IF(AL236=0,"",IF(INDEX(VC_actiondate,ROUND(MOD(AL236,1)*100000,0)-5)=0,"",INDEX(VC_actiondate,ROUND(MOD(AL236,1)*100000,0)-5)))</f>
        <v/>
      </c>
      <c r="AC236" s="33">
        <f>IF(AL236=0,"",INDEX(VC_actiontexte,ROUND(MOD(AL236,1)*100000,0)-5)&amp;"")</f>
        <v/>
      </c>
      <c r="AD236" s="46">
        <f>IF(C236="","",IF(COUNTIFS(Cmd_cle,AK236,Cmd_dateca,"&gt;0")=0,"",SMALL(INDEX(Cmd_dateca+(((Cmd_cle&lt;&gt;AK236)+(Cmd_dateca=0))&gt;0)*1000000,0),1)))</f>
        <v/>
      </c>
      <c r="AE236" s="46">
        <f>IF(C236="","",IF(COUNTIFS(Cmd_cle,AK236,Cmd_dateca,"&gt;0")=0,"",MAX(INDEX((Cmd_cle=AK236)*Cmd_dateca,0))))</f>
        <v/>
      </c>
      <c r="AF236" s="40">
        <f>IF(C236="","",SUMIFS(Cmd_montant,Cmd_cle,AK236,Cmd_dateca,"&gt;0"))</f>
        <v/>
      </c>
      <c r="AG236" s="40">
        <f>IF(C236="","",SUMIFS(Enc_montant,Enc_cle,AK236))</f>
        <v/>
      </c>
      <c r="AH236" s="40">
        <f>IF(C236="","",AF236-AG236)</f>
        <v/>
      </c>
      <c r="AI236" s="33">
        <f>IF(C236="","",IF(D236="Perdu","",IF(AND(AB236&lt;&gt;"",N(AB236)&lt;TODAY()),"Action en retard",IF(AND(D236="Client",AE236&lt;&gt;"",TODAY()-N(AE236)&gt;P_JoursInactif),"Client inactif",IF(AND(D236="Prospect",Z236=0,O236&lt;&gt;"",TODAY()-N(O236)&gt;P_JoursNonVisite),"Jamais visité","")))))</f>
        <v/>
      </c>
      <c r="AJ236" s="33">
        <f>IF(C236="","",C236&amp;" ["&amp;TEXT(A236,"000")&amp;"]")</f>
        <v/>
      </c>
      <c r="AK236" s="33">
        <f>IF(C236="","",X236&amp;"|"&amp;A236)</f>
        <v/>
      </c>
      <c r="AL236" s="47">
        <f>IF(C236="",0,IF(COUNTIFS(VC_cle,AK236)=0,0,MAX(INDEX((VC_cle=AK236)*(VC_date+ROW(VC_date)/100000),0))))</f>
        <v/>
      </c>
      <c r="AM236" s="47">
        <f>IF(AND(C236&lt;&gt;"",N(AB236)&gt;0,D236&lt;&gt;"Perdu"),AB236+ROW()/100000,0)</f>
        <v/>
      </c>
      <c r="AN236" s="48">
        <f>IF(N(AF236)&gt;0,ROUND(AF236,0)+ROW()/1000000,0)</f>
        <v/>
      </c>
    </row>
    <row r="237" ht="18" customHeight="1">
      <c r="A237" s="39" t="n">
        <v>232</v>
      </c>
      <c r="B237" s="33">
        <f>IF(C237="","",IF(X237="À RENSEIGNER","GIC",X237)&amp;"-"&amp;TEXT(A237,"000"))</f>
        <v/>
      </c>
      <c r="C237" s="36" t="n"/>
      <c r="D237" s="34">
        <f>IF(C237="","",IF(U237="☑ Oui","Perdu",IF(AD237&lt;&gt;"","Client","Prospect")))</f>
        <v/>
      </c>
      <c r="E237" s="36" t="n"/>
      <c r="F237" s="36" t="n"/>
      <c r="G237" s="44" t="n"/>
      <c r="H237" s="44" t="n"/>
      <c r="I237" s="36" t="n"/>
      <c r="J237" s="36" t="n"/>
      <c r="K237" s="41" t="n"/>
      <c r="L237" s="41" t="n"/>
      <c r="M237" s="36" t="n"/>
      <c r="N237" s="36" t="n"/>
      <c r="O237" s="32" t="n"/>
      <c r="P237" s="36" t="n"/>
      <c r="Q237" s="36" t="n"/>
      <c r="R237" s="34">
        <f>IF(P237="","",IFERROR(VLOOKUP(P237,T_Produits,2,FALSE),""))</f>
        <v/>
      </c>
      <c r="S237" s="36" t="n"/>
      <c r="T237" s="43" t="n"/>
      <c r="U237" s="43" t="n"/>
      <c r="V237" s="36" t="n"/>
      <c r="W237" s="36" t="n"/>
      <c r="X237" s="33">
        <f>IF(C237="","",Commercial_Id)</f>
        <v/>
      </c>
      <c r="Y237" s="33">
        <f>IF(E237="","",IF(E237="Particulier / ménage","Particulier","Entreprise"))</f>
        <v/>
      </c>
      <c r="Z237" s="39">
        <f>IF(C237="","",COUNTIFS(VC_cle,AK237,VC_type,"Visite sur place"))</f>
        <v/>
      </c>
      <c r="AA237" s="46">
        <f>IF(AL237=0,"",IF(INT(AL237)=0,"",INT(AL237)))</f>
        <v/>
      </c>
      <c r="AB237" s="46">
        <f>IF(AL237=0,"",IF(INDEX(VC_actiondate,ROUND(MOD(AL237,1)*100000,0)-5)=0,"",INDEX(VC_actiondate,ROUND(MOD(AL237,1)*100000,0)-5)))</f>
        <v/>
      </c>
      <c r="AC237" s="33">
        <f>IF(AL237=0,"",INDEX(VC_actiontexte,ROUND(MOD(AL237,1)*100000,0)-5)&amp;"")</f>
        <v/>
      </c>
      <c r="AD237" s="46">
        <f>IF(C237="","",IF(COUNTIFS(Cmd_cle,AK237,Cmd_dateca,"&gt;0")=0,"",SMALL(INDEX(Cmd_dateca+(((Cmd_cle&lt;&gt;AK237)+(Cmd_dateca=0))&gt;0)*1000000,0),1)))</f>
        <v/>
      </c>
      <c r="AE237" s="46">
        <f>IF(C237="","",IF(COUNTIFS(Cmd_cle,AK237,Cmd_dateca,"&gt;0")=0,"",MAX(INDEX((Cmd_cle=AK237)*Cmd_dateca,0))))</f>
        <v/>
      </c>
      <c r="AF237" s="40">
        <f>IF(C237="","",SUMIFS(Cmd_montant,Cmd_cle,AK237,Cmd_dateca,"&gt;0"))</f>
        <v/>
      </c>
      <c r="AG237" s="40">
        <f>IF(C237="","",SUMIFS(Enc_montant,Enc_cle,AK237))</f>
        <v/>
      </c>
      <c r="AH237" s="40">
        <f>IF(C237="","",AF237-AG237)</f>
        <v/>
      </c>
      <c r="AI237" s="33">
        <f>IF(C237="","",IF(D237="Perdu","",IF(AND(AB237&lt;&gt;"",N(AB237)&lt;TODAY()),"Action en retard",IF(AND(D237="Client",AE237&lt;&gt;"",TODAY()-N(AE237)&gt;P_JoursInactif),"Client inactif",IF(AND(D237="Prospect",Z237=0,O237&lt;&gt;"",TODAY()-N(O237)&gt;P_JoursNonVisite),"Jamais visité","")))))</f>
        <v/>
      </c>
      <c r="AJ237" s="33">
        <f>IF(C237="","",C237&amp;" ["&amp;TEXT(A237,"000")&amp;"]")</f>
        <v/>
      </c>
      <c r="AK237" s="33">
        <f>IF(C237="","",X237&amp;"|"&amp;A237)</f>
        <v/>
      </c>
      <c r="AL237" s="47">
        <f>IF(C237="",0,IF(COUNTIFS(VC_cle,AK237)=0,0,MAX(INDEX((VC_cle=AK237)*(VC_date+ROW(VC_date)/100000),0))))</f>
        <v/>
      </c>
      <c r="AM237" s="47">
        <f>IF(AND(C237&lt;&gt;"",N(AB237)&gt;0,D237&lt;&gt;"Perdu"),AB237+ROW()/100000,0)</f>
        <v/>
      </c>
      <c r="AN237" s="48">
        <f>IF(N(AF237)&gt;0,ROUND(AF237,0)+ROW()/1000000,0)</f>
        <v/>
      </c>
    </row>
    <row r="238" ht="18" customHeight="1">
      <c r="A238" s="39" t="n">
        <v>233</v>
      </c>
      <c r="B238" s="33">
        <f>IF(C238="","",IF(X238="À RENSEIGNER","GIC",X238)&amp;"-"&amp;TEXT(A238,"000"))</f>
        <v/>
      </c>
      <c r="C238" s="36" t="n"/>
      <c r="D238" s="34">
        <f>IF(C238="","",IF(U238="☑ Oui","Perdu",IF(AD238&lt;&gt;"","Client","Prospect")))</f>
        <v/>
      </c>
      <c r="E238" s="36" t="n"/>
      <c r="F238" s="36" t="n"/>
      <c r="G238" s="44" t="n"/>
      <c r="H238" s="44" t="n"/>
      <c r="I238" s="36" t="n"/>
      <c r="J238" s="36" t="n"/>
      <c r="K238" s="41" t="n"/>
      <c r="L238" s="41" t="n"/>
      <c r="M238" s="36" t="n"/>
      <c r="N238" s="36" t="n"/>
      <c r="O238" s="32" t="n"/>
      <c r="P238" s="36" t="n"/>
      <c r="Q238" s="36" t="n"/>
      <c r="R238" s="34">
        <f>IF(P238="","",IFERROR(VLOOKUP(P238,T_Produits,2,FALSE),""))</f>
        <v/>
      </c>
      <c r="S238" s="36" t="n"/>
      <c r="T238" s="43" t="n"/>
      <c r="U238" s="43" t="n"/>
      <c r="V238" s="36" t="n"/>
      <c r="W238" s="36" t="n"/>
      <c r="X238" s="33">
        <f>IF(C238="","",Commercial_Id)</f>
        <v/>
      </c>
      <c r="Y238" s="33">
        <f>IF(E238="","",IF(E238="Particulier / ménage","Particulier","Entreprise"))</f>
        <v/>
      </c>
      <c r="Z238" s="39">
        <f>IF(C238="","",COUNTIFS(VC_cle,AK238,VC_type,"Visite sur place"))</f>
        <v/>
      </c>
      <c r="AA238" s="46">
        <f>IF(AL238=0,"",IF(INT(AL238)=0,"",INT(AL238)))</f>
        <v/>
      </c>
      <c r="AB238" s="46">
        <f>IF(AL238=0,"",IF(INDEX(VC_actiondate,ROUND(MOD(AL238,1)*100000,0)-5)=0,"",INDEX(VC_actiondate,ROUND(MOD(AL238,1)*100000,0)-5)))</f>
        <v/>
      </c>
      <c r="AC238" s="33">
        <f>IF(AL238=0,"",INDEX(VC_actiontexte,ROUND(MOD(AL238,1)*100000,0)-5)&amp;"")</f>
        <v/>
      </c>
      <c r="AD238" s="46">
        <f>IF(C238="","",IF(COUNTIFS(Cmd_cle,AK238,Cmd_dateca,"&gt;0")=0,"",SMALL(INDEX(Cmd_dateca+(((Cmd_cle&lt;&gt;AK238)+(Cmd_dateca=0))&gt;0)*1000000,0),1)))</f>
        <v/>
      </c>
      <c r="AE238" s="46">
        <f>IF(C238="","",IF(COUNTIFS(Cmd_cle,AK238,Cmd_dateca,"&gt;0")=0,"",MAX(INDEX((Cmd_cle=AK238)*Cmd_dateca,0))))</f>
        <v/>
      </c>
      <c r="AF238" s="40">
        <f>IF(C238="","",SUMIFS(Cmd_montant,Cmd_cle,AK238,Cmd_dateca,"&gt;0"))</f>
        <v/>
      </c>
      <c r="AG238" s="40">
        <f>IF(C238="","",SUMIFS(Enc_montant,Enc_cle,AK238))</f>
        <v/>
      </c>
      <c r="AH238" s="40">
        <f>IF(C238="","",AF238-AG238)</f>
        <v/>
      </c>
      <c r="AI238" s="33">
        <f>IF(C238="","",IF(D238="Perdu","",IF(AND(AB238&lt;&gt;"",N(AB238)&lt;TODAY()),"Action en retard",IF(AND(D238="Client",AE238&lt;&gt;"",TODAY()-N(AE238)&gt;P_JoursInactif),"Client inactif",IF(AND(D238="Prospect",Z238=0,O238&lt;&gt;"",TODAY()-N(O238)&gt;P_JoursNonVisite),"Jamais visité","")))))</f>
        <v/>
      </c>
      <c r="AJ238" s="33">
        <f>IF(C238="","",C238&amp;" ["&amp;TEXT(A238,"000")&amp;"]")</f>
        <v/>
      </c>
      <c r="AK238" s="33">
        <f>IF(C238="","",X238&amp;"|"&amp;A238)</f>
        <v/>
      </c>
      <c r="AL238" s="47">
        <f>IF(C238="",0,IF(COUNTIFS(VC_cle,AK238)=0,0,MAX(INDEX((VC_cle=AK238)*(VC_date+ROW(VC_date)/100000),0))))</f>
        <v/>
      </c>
      <c r="AM238" s="47">
        <f>IF(AND(C238&lt;&gt;"",N(AB238)&gt;0,D238&lt;&gt;"Perdu"),AB238+ROW()/100000,0)</f>
        <v/>
      </c>
      <c r="AN238" s="48">
        <f>IF(N(AF238)&gt;0,ROUND(AF238,0)+ROW()/1000000,0)</f>
        <v/>
      </c>
    </row>
    <row r="239" ht="18" customHeight="1">
      <c r="A239" s="39" t="n">
        <v>234</v>
      </c>
      <c r="B239" s="33">
        <f>IF(C239="","",IF(X239="À RENSEIGNER","GIC",X239)&amp;"-"&amp;TEXT(A239,"000"))</f>
        <v/>
      </c>
      <c r="C239" s="36" t="n"/>
      <c r="D239" s="34">
        <f>IF(C239="","",IF(U239="☑ Oui","Perdu",IF(AD239&lt;&gt;"","Client","Prospect")))</f>
        <v/>
      </c>
      <c r="E239" s="36" t="n"/>
      <c r="F239" s="36" t="n"/>
      <c r="G239" s="44" t="n"/>
      <c r="H239" s="44" t="n"/>
      <c r="I239" s="36" t="n"/>
      <c r="J239" s="36" t="n"/>
      <c r="K239" s="41" t="n"/>
      <c r="L239" s="41" t="n"/>
      <c r="M239" s="36" t="n"/>
      <c r="N239" s="36" t="n"/>
      <c r="O239" s="32" t="n"/>
      <c r="P239" s="36" t="n"/>
      <c r="Q239" s="36" t="n"/>
      <c r="R239" s="34">
        <f>IF(P239="","",IFERROR(VLOOKUP(P239,T_Produits,2,FALSE),""))</f>
        <v/>
      </c>
      <c r="S239" s="36" t="n"/>
      <c r="T239" s="43" t="n"/>
      <c r="U239" s="43" t="n"/>
      <c r="V239" s="36" t="n"/>
      <c r="W239" s="36" t="n"/>
      <c r="X239" s="33">
        <f>IF(C239="","",Commercial_Id)</f>
        <v/>
      </c>
      <c r="Y239" s="33">
        <f>IF(E239="","",IF(E239="Particulier / ménage","Particulier","Entreprise"))</f>
        <v/>
      </c>
      <c r="Z239" s="39">
        <f>IF(C239="","",COUNTIFS(VC_cle,AK239,VC_type,"Visite sur place"))</f>
        <v/>
      </c>
      <c r="AA239" s="46">
        <f>IF(AL239=0,"",IF(INT(AL239)=0,"",INT(AL239)))</f>
        <v/>
      </c>
      <c r="AB239" s="46">
        <f>IF(AL239=0,"",IF(INDEX(VC_actiondate,ROUND(MOD(AL239,1)*100000,0)-5)=0,"",INDEX(VC_actiondate,ROUND(MOD(AL239,1)*100000,0)-5)))</f>
        <v/>
      </c>
      <c r="AC239" s="33">
        <f>IF(AL239=0,"",INDEX(VC_actiontexte,ROUND(MOD(AL239,1)*100000,0)-5)&amp;"")</f>
        <v/>
      </c>
      <c r="AD239" s="46">
        <f>IF(C239="","",IF(COUNTIFS(Cmd_cle,AK239,Cmd_dateca,"&gt;0")=0,"",SMALL(INDEX(Cmd_dateca+(((Cmd_cle&lt;&gt;AK239)+(Cmd_dateca=0))&gt;0)*1000000,0),1)))</f>
        <v/>
      </c>
      <c r="AE239" s="46">
        <f>IF(C239="","",IF(COUNTIFS(Cmd_cle,AK239,Cmd_dateca,"&gt;0")=0,"",MAX(INDEX((Cmd_cle=AK239)*Cmd_dateca,0))))</f>
        <v/>
      </c>
      <c r="AF239" s="40">
        <f>IF(C239="","",SUMIFS(Cmd_montant,Cmd_cle,AK239,Cmd_dateca,"&gt;0"))</f>
        <v/>
      </c>
      <c r="AG239" s="40">
        <f>IF(C239="","",SUMIFS(Enc_montant,Enc_cle,AK239))</f>
        <v/>
      </c>
      <c r="AH239" s="40">
        <f>IF(C239="","",AF239-AG239)</f>
        <v/>
      </c>
      <c r="AI239" s="33">
        <f>IF(C239="","",IF(D239="Perdu","",IF(AND(AB239&lt;&gt;"",N(AB239)&lt;TODAY()),"Action en retard",IF(AND(D239="Client",AE239&lt;&gt;"",TODAY()-N(AE239)&gt;P_JoursInactif),"Client inactif",IF(AND(D239="Prospect",Z239=0,O239&lt;&gt;"",TODAY()-N(O239)&gt;P_JoursNonVisite),"Jamais visité","")))))</f>
        <v/>
      </c>
      <c r="AJ239" s="33">
        <f>IF(C239="","",C239&amp;" ["&amp;TEXT(A239,"000")&amp;"]")</f>
        <v/>
      </c>
      <c r="AK239" s="33">
        <f>IF(C239="","",X239&amp;"|"&amp;A239)</f>
        <v/>
      </c>
      <c r="AL239" s="47">
        <f>IF(C239="",0,IF(COUNTIFS(VC_cle,AK239)=0,0,MAX(INDEX((VC_cle=AK239)*(VC_date+ROW(VC_date)/100000),0))))</f>
        <v/>
      </c>
      <c r="AM239" s="47">
        <f>IF(AND(C239&lt;&gt;"",N(AB239)&gt;0,D239&lt;&gt;"Perdu"),AB239+ROW()/100000,0)</f>
        <v/>
      </c>
      <c r="AN239" s="48">
        <f>IF(N(AF239)&gt;0,ROUND(AF239,0)+ROW()/1000000,0)</f>
        <v/>
      </c>
    </row>
    <row r="240" ht="18" customHeight="1">
      <c r="A240" s="39" t="n">
        <v>235</v>
      </c>
      <c r="B240" s="33">
        <f>IF(C240="","",IF(X240="À RENSEIGNER","GIC",X240)&amp;"-"&amp;TEXT(A240,"000"))</f>
        <v/>
      </c>
      <c r="C240" s="36" t="n"/>
      <c r="D240" s="34">
        <f>IF(C240="","",IF(U240="☑ Oui","Perdu",IF(AD240&lt;&gt;"","Client","Prospect")))</f>
        <v/>
      </c>
      <c r="E240" s="36" t="n"/>
      <c r="F240" s="36" t="n"/>
      <c r="G240" s="44" t="n"/>
      <c r="H240" s="44" t="n"/>
      <c r="I240" s="36" t="n"/>
      <c r="J240" s="36" t="n"/>
      <c r="K240" s="41" t="n"/>
      <c r="L240" s="41" t="n"/>
      <c r="M240" s="36" t="n"/>
      <c r="N240" s="36" t="n"/>
      <c r="O240" s="32" t="n"/>
      <c r="P240" s="36" t="n"/>
      <c r="Q240" s="36" t="n"/>
      <c r="R240" s="34">
        <f>IF(P240="","",IFERROR(VLOOKUP(P240,T_Produits,2,FALSE),""))</f>
        <v/>
      </c>
      <c r="S240" s="36" t="n"/>
      <c r="T240" s="43" t="n"/>
      <c r="U240" s="43" t="n"/>
      <c r="V240" s="36" t="n"/>
      <c r="W240" s="36" t="n"/>
      <c r="X240" s="33">
        <f>IF(C240="","",Commercial_Id)</f>
        <v/>
      </c>
      <c r="Y240" s="33">
        <f>IF(E240="","",IF(E240="Particulier / ménage","Particulier","Entreprise"))</f>
        <v/>
      </c>
      <c r="Z240" s="39">
        <f>IF(C240="","",COUNTIFS(VC_cle,AK240,VC_type,"Visite sur place"))</f>
        <v/>
      </c>
      <c r="AA240" s="46">
        <f>IF(AL240=0,"",IF(INT(AL240)=0,"",INT(AL240)))</f>
        <v/>
      </c>
      <c r="AB240" s="46">
        <f>IF(AL240=0,"",IF(INDEX(VC_actiondate,ROUND(MOD(AL240,1)*100000,0)-5)=0,"",INDEX(VC_actiondate,ROUND(MOD(AL240,1)*100000,0)-5)))</f>
        <v/>
      </c>
      <c r="AC240" s="33">
        <f>IF(AL240=0,"",INDEX(VC_actiontexte,ROUND(MOD(AL240,1)*100000,0)-5)&amp;"")</f>
        <v/>
      </c>
      <c r="AD240" s="46">
        <f>IF(C240="","",IF(COUNTIFS(Cmd_cle,AK240,Cmd_dateca,"&gt;0")=0,"",SMALL(INDEX(Cmd_dateca+(((Cmd_cle&lt;&gt;AK240)+(Cmd_dateca=0))&gt;0)*1000000,0),1)))</f>
        <v/>
      </c>
      <c r="AE240" s="46">
        <f>IF(C240="","",IF(COUNTIFS(Cmd_cle,AK240,Cmd_dateca,"&gt;0")=0,"",MAX(INDEX((Cmd_cle=AK240)*Cmd_dateca,0))))</f>
        <v/>
      </c>
      <c r="AF240" s="40">
        <f>IF(C240="","",SUMIFS(Cmd_montant,Cmd_cle,AK240,Cmd_dateca,"&gt;0"))</f>
        <v/>
      </c>
      <c r="AG240" s="40">
        <f>IF(C240="","",SUMIFS(Enc_montant,Enc_cle,AK240))</f>
        <v/>
      </c>
      <c r="AH240" s="40">
        <f>IF(C240="","",AF240-AG240)</f>
        <v/>
      </c>
      <c r="AI240" s="33">
        <f>IF(C240="","",IF(D240="Perdu","",IF(AND(AB240&lt;&gt;"",N(AB240)&lt;TODAY()),"Action en retard",IF(AND(D240="Client",AE240&lt;&gt;"",TODAY()-N(AE240)&gt;P_JoursInactif),"Client inactif",IF(AND(D240="Prospect",Z240=0,O240&lt;&gt;"",TODAY()-N(O240)&gt;P_JoursNonVisite),"Jamais visité","")))))</f>
        <v/>
      </c>
      <c r="AJ240" s="33">
        <f>IF(C240="","",C240&amp;" ["&amp;TEXT(A240,"000")&amp;"]")</f>
        <v/>
      </c>
      <c r="AK240" s="33">
        <f>IF(C240="","",X240&amp;"|"&amp;A240)</f>
        <v/>
      </c>
      <c r="AL240" s="47">
        <f>IF(C240="",0,IF(COUNTIFS(VC_cle,AK240)=0,0,MAX(INDEX((VC_cle=AK240)*(VC_date+ROW(VC_date)/100000),0))))</f>
        <v/>
      </c>
      <c r="AM240" s="47">
        <f>IF(AND(C240&lt;&gt;"",N(AB240)&gt;0,D240&lt;&gt;"Perdu"),AB240+ROW()/100000,0)</f>
        <v/>
      </c>
      <c r="AN240" s="48">
        <f>IF(N(AF240)&gt;0,ROUND(AF240,0)+ROW()/1000000,0)</f>
        <v/>
      </c>
    </row>
    <row r="241" ht="18" customHeight="1">
      <c r="A241" s="39" t="n">
        <v>236</v>
      </c>
      <c r="B241" s="33">
        <f>IF(C241="","",IF(X241="À RENSEIGNER","GIC",X241)&amp;"-"&amp;TEXT(A241,"000"))</f>
        <v/>
      </c>
      <c r="C241" s="36" t="n"/>
      <c r="D241" s="34">
        <f>IF(C241="","",IF(U241="☑ Oui","Perdu",IF(AD241&lt;&gt;"","Client","Prospect")))</f>
        <v/>
      </c>
      <c r="E241" s="36" t="n"/>
      <c r="F241" s="36" t="n"/>
      <c r="G241" s="44" t="n"/>
      <c r="H241" s="44" t="n"/>
      <c r="I241" s="36" t="n"/>
      <c r="J241" s="36" t="n"/>
      <c r="K241" s="41" t="n"/>
      <c r="L241" s="41" t="n"/>
      <c r="M241" s="36" t="n"/>
      <c r="N241" s="36" t="n"/>
      <c r="O241" s="32" t="n"/>
      <c r="P241" s="36" t="n"/>
      <c r="Q241" s="36" t="n"/>
      <c r="R241" s="34">
        <f>IF(P241="","",IFERROR(VLOOKUP(P241,T_Produits,2,FALSE),""))</f>
        <v/>
      </c>
      <c r="S241" s="36" t="n"/>
      <c r="T241" s="43" t="n"/>
      <c r="U241" s="43" t="n"/>
      <c r="V241" s="36" t="n"/>
      <c r="W241" s="36" t="n"/>
      <c r="X241" s="33">
        <f>IF(C241="","",Commercial_Id)</f>
        <v/>
      </c>
      <c r="Y241" s="33">
        <f>IF(E241="","",IF(E241="Particulier / ménage","Particulier","Entreprise"))</f>
        <v/>
      </c>
      <c r="Z241" s="39">
        <f>IF(C241="","",COUNTIFS(VC_cle,AK241,VC_type,"Visite sur place"))</f>
        <v/>
      </c>
      <c r="AA241" s="46">
        <f>IF(AL241=0,"",IF(INT(AL241)=0,"",INT(AL241)))</f>
        <v/>
      </c>
      <c r="AB241" s="46">
        <f>IF(AL241=0,"",IF(INDEX(VC_actiondate,ROUND(MOD(AL241,1)*100000,0)-5)=0,"",INDEX(VC_actiondate,ROUND(MOD(AL241,1)*100000,0)-5)))</f>
        <v/>
      </c>
      <c r="AC241" s="33">
        <f>IF(AL241=0,"",INDEX(VC_actiontexte,ROUND(MOD(AL241,1)*100000,0)-5)&amp;"")</f>
        <v/>
      </c>
      <c r="AD241" s="46">
        <f>IF(C241="","",IF(COUNTIFS(Cmd_cle,AK241,Cmd_dateca,"&gt;0")=0,"",SMALL(INDEX(Cmd_dateca+(((Cmd_cle&lt;&gt;AK241)+(Cmd_dateca=0))&gt;0)*1000000,0),1)))</f>
        <v/>
      </c>
      <c r="AE241" s="46">
        <f>IF(C241="","",IF(COUNTIFS(Cmd_cle,AK241,Cmd_dateca,"&gt;0")=0,"",MAX(INDEX((Cmd_cle=AK241)*Cmd_dateca,0))))</f>
        <v/>
      </c>
      <c r="AF241" s="40">
        <f>IF(C241="","",SUMIFS(Cmd_montant,Cmd_cle,AK241,Cmd_dateca,"&gt;0"))</f>
        <v/>
      </c>
      <c r="AG241" s="40">
        <f>IF(C241="","",SUMIFS(Enc_montant,Enc_cle,AK241))</f>
        <v/>
      </c>
      <c r="AH241" s="40">
        <f>IF(C241="","",AF241-AG241)</f>
        <v/>
      </c>
      <c r="AI241" s="33">
        <f>IF(C241="","",IF(D241="Perdu","",IF(AND(AB241&lt;&gt;"",N(AB241)&lt;TODAY()),"Action en retard",IF(AND(D241="Client",AE241&lt;&gt;"",TODAY()-N(AE241)&gt;P_JoursInactif),"Client inactif",IF(AND(D241="Prospect",Z241=0,O241&lt;&gt;"",TODAY()-N(O241)&gt;P_JoursNonVisite),"Jamais visité","")))))</f>
        <v/>
      </c>
      <c r="AJ241" s="33">
        <f>IF(C241="","",C241&amp;" ["&amp;TEXT(A241,"000")&amp;"]")</f>
        <v/>
      </c>
      <c r="AK241" s="33">
        <f>IF(C241="","",X241&amp;"|"&amp;A241)</f>
        <v/>
      </c>
      <c r="AL241" s="47">
        <f>IF(C241="",0,IF(COUNTIFS(VC_cle,AK241)=0,0,MAX(INDEX((VC_cle=AK241)*(VC_date+ROW(VC_date)/100000),0))))</f>
        <v/>
      </c>
      <c r="AM241" s="47">
        <f>IF(AND(C241&lt;&gt;"",N(AB241)&gt;0,D241&lt;&gt;"Perdu"),AB241+ROW()/100000,0)</f>
        <v/>
      </c>
      <c r="AN241" s="48">
        <f>IF(N(AF241)&gt;0,ROUND(AF241,0)+ROW()/1000000,0)</f>
        <v/>
      </c>
    </row>
    <row r="242" ht="18" customHeight="1">
      <c r="A242" s="39" t="n">
        <v>237</v>
      </c>
      <c r="B242" s="33">
        <f>IF(C242="","",IF(X242="À RENSEIGNER","GIC",X242)&amp;"-"&amp;TEXT(A242,"000"))</f>
        <v/>
      </c>
      <c r="C242" s="36" t="n"/>
      <c r="D242" s="34">
        <f>IF(C242="","",IF(U242="☑ Oui","Perdu",IF(AD242&lt;&gt;"","Client","Prospect")))</f>
        <v/>
      </c>
      <c r="E242" s="36" t="n"/>
      <c r="F242" s="36" t="n"/>
      <c r="G242" s="44" t="n"/>
      <c r="H242" s="44" t="n"/>
      <c r="I242" s="36" t="n"/>
      <c r="J242" s="36" t="n"/>
      <c r="K242" s="41" t="n"/>
      <c r="L242" s="41" t="n"/>
      <c r="M242" s="36" t="n"/>
      <c r="N242" s="36" t="n"/>
      <c r="O242" s="32" t="n"/>
      <c r="P242" s="36" t="n"/>
      <c r="Q242" s="36" t="n"/>
      <c r="R242" s="34">
        <f>IF(P242="","",IFERROR(VLOOKUP(P242,T_Produits,2,FALSE),""))</f>
        <v/>
      </c>
      <c r="S242" s="36" t="n"/>
      <c r="T242" s="43" t="n"/>
      <c r="U242" s="43" t="n"/>
      <c r="V242" s="36" t="n"/>
      <c r="W242" s="36" t="n"/>
      <c r="X242" s="33">
        <f>IF(C242="","",Commercial_Id)</f>
        <v/>
      </c>
      <c r="Y242" s="33">
        <f>IF(E242="","",IF(E242="Particulier / ménage","Particulier","Entreprise"))</f>
        <v/>
      </c>
      <c r="Z242" s="39">
        <f>IF(C242="","",COUNTIFS(VC_cle,AK242,VC_type,"Visite sur place"))</f>
        <v/>
      </c>
      <c r="AA242" s="46">
        <f>IF(AL242=0,"",IF(INT(AL242)=0,"",INT(AL242)))</f>
        <v/>
      </c>
      <c r="AB242" s="46">
        <f>IF(AL242=0,"",IF(INDEX(VC_actiondate,ROUND(MOD(AL242,1)*100000,0)-5)=0,"",INDEX(VC_actiondate,ROUND(MOD(AL242,1)*100000,0)-5)))</f>
        <v/>
      </c>
      <c r="AC242" s="33">
        <f>IF(AL242=0,"",INDEX(VC_actiontexte,ROUND(MOD(AL242,1)*100000,0)-5)&amp;"")</f>
        <v/>
      </c>
      <c r="AD242" s="46">
        <f>IF(C242="","",IF(COUNTIFS(Cmd_cle,AK242,Cmd_dateca,"&gt;0")=0,"",SMALL(INDEX(Cmd_dateca+(((Cmd_cle&lt;&gt;AK242)+(Cmd_dateca=0))&gt;0)*1000000,0),1)))</f>
        <v/>
      </c>
      <c r="AE242" s="46">
        <f>IF(C242="","",IF(COUNTIFS(Cmd_cle,AK242,Cmd_dateca,"&gt;0")=0,"",MAX(INDEX((Cmd_cle=AK242)*Cmd_dateca,0))))</f>
        <v/>
      </c>
      <c r="AF242" s="40">
        <f>IF(C242="","",SUMIFS(Cmd_montant,Cmd_cle,AK242,Cmd_dateca,"&gt;0"))</f>
        <v/>
      </c>
      <c r="AG242" s="40">
        <f>IF(C242="","",SUMIFS(Enc_montant,Enc_cle,AK242))</f>
        <v/>
      </c>
      <c r="AH242" s="40">
        <f>IF(C242="","",AF242-AG242)</f>
        <v/>
      </c>
      <c r="AI242" s="33">
        <f>IF(C242="","",IF(D242="Perdu","",IF(AND(AB242&lt;&gt;"",N(AB242)&lt;TODAY()),"Action en retard",IF(AND(D242="Client",AE242&lt;&gt;"",TODAY()-N(AE242)&gt;P_JoursInactif),"Client inactif",IF(AND(D242="Prospect",Z242=0,O242&lt;&gt;"",TODAY()-N(O242)&gt;P_JoursNonVisite),"Jamais visité","")))))</f>
        <v/>
      </c>
      <c r="AJ242" s="33">
        <f>IF(C242="","",C242&amp;" ["&amp;TEXT(A242,"000")&amp;"]")</f>
        <v/>
      </c>
      <c r="AK242" s="33">
        <f>IF(C242="","",X242&amp;"|"&amp;A242)</f>
        <v/>
      </c>
      <c r="AL242" s="47">
        <f>IF(C242="",0,IF(COUNTIFS(VC_cle,AK242)=0,0,MAX(INDEX((VC_cle=AK242)*(VC_date+ROW(VC_date)/100000),0))))</f>
        <v/>
      </c>
      <c r="AM242" s="47">
        <f>IF(AND(C242&lt;&gt;"",N(AB242)&gt;0,D242&lt;&gt;"Perdu"),AB242+ROW()/100000,0)</f>
        <v/>
      </c>
      <c r="AN242" s="48">
        <f>IF(N(AF242)&gt;0,ROUND(AF242,0)+ROW()/1000000,0)</f>
        <v/>
      </c>
    </row>
    <row r="243" ht="18" customHeight="1">
      <c r="A243" s="39" t="n">
        <v>238</v>
      </c>
      <c r="B243" s="33">
        <f>IF(C243="","",IF(X243="À RENSEIGNER","GIC",X243)&amp;"-"&amp;TEXT(A243,"000"))</f>
        <v/>
      </c>
      <c r="C243" s="36" t="n"/>
      <c r="D243" s="34">
        <f>IF(C243="","",IF(U243="☑ Oui","Perdu",IF(AD243&lt;&gt;"","Client","Prospect")))</f>
        <v/>
      </c>
      <c r="E243" s="36" t="n"/>
      <c r="F243" s="36" t="n"/>
      <c r="G243" s="44" t="n"/>
      <c r="H243" s="44" t="n"/>
      <c r="I243" s="36" t="n"/>
      <c r="J243" s="36" t="n"/>
      <c r="K243" s="41" t="n"/>
      <c r="L243" s="41" t="n"/>
      <c r="M243" s="36" t="n"/>
      <c r="N243" s="36" t="n"/>
      <c r="O243" s="32" t="n"/>
      <c r="P243" s="36" t="n"/>
      <c r="Q243" s="36" t="n"/>
      <c r="R243" s="34">
        <f>IF(P243="","",IFERROR(VLOOKUP(P243,T_Produits,2,FALSE),""))</f>
        <v/>
      </c>
      <c r="S243" s="36" t="n"/>
      <c r="T243" s="43" t="n"/>
      <c r="U243" s="43" t="n"/>
      <c r="V243" s="36" t="n"/>
      <c r="W243" s="36" t="n"/>
      <c r="X243" s="33">
        <f>IF(C243="","",Commercial_Id)</f>
        <v/>
      </c>
      <c r="Y243" s="33">
        <f>IF(E243="","",IF(E243="Particulier / ménage","Particulier","Entreprise"))</f>
        <v/>
      </c>
      <c r="Z243" s="39">
        <f>IF(C243="","",COUNTIFS(VC_cle,AK243,VC_type,"Visite sur place"))</f>
        <v/>
      </c>
      <c r="AA243" s="46">
        <f>IF(AL243=0,"",IF(INT(AL243)=0,"",INT(AL243)))</f>
        <v/>
      </c>
      <c r="AB243" s="46">
        <f>IF(AL243=0,"",IF(INDEX(VC_actiondate,ROUND(MOD(AL243,1)*100000,0)-5)=0,"",INDEX(VC_actiondate,ROUND(MOD(AL243,1)*100000,0)-5)))</f>
        <v/>
      </c>
      <c r="AC243" s="33">
        <f>IF(AL243=0,"",INDEX(VC_actiontexte,ROUND(MOD(AL243,1)*100000,0)-5)&amp;"")</f>
        <v/>
      </c>
      <c r="AD243" s="46">
        <f>IF(C243="","",IF(COUNTIFS(Cmd_cle,AK243,Cmd_dateca,"&gt;0")=0,"",SMALL(INDEX(Cmd_dateca+(((Cmd_cle&lt;&gt;AK243)+(Cmd_dateca=0))&gt;0)*1000000,0),1)))</f>
        <v/>
      </c>
      <c r="AE243" s="46">
        <f>IF(C243="","",IF(COUNTIFS(Cmd_cle,AK243,Cmd_dateca,"&gt;0")=0,"",MAX(INDEX((Cmd_cle=AK243)*Cmd_dateca,0))))</f>
        <v/>
      </c>
      <c r="AF243" s="40">
        <f>IF(C243="","",SUMIFS(Cmd_montant,Cmd_cle,AK243,Cmd_dateca,"&gt;0"))</f>
        <v/>
      </c>
      <c r="AG243" s="40">
        <f>IF(C243="","",SUMIFS(Enc_montant,Enc_cle,AK243))</f>
        <v/>
      </c>
      <c r="AH243" s="40">
        <f>IF(C243="","",AF243-AG243)</f>
        <v/>
      </c>
      <c r="AI243" s="33">
        <f>IF(C243="","",IF(D243="Perdu","",IF(AND(AB243&lt;&gt;"",N(AB243)&lt;TODAY()),"Action en retard",IF(AND(D243="Client",AE243&lt;&gt;"",TODAY()-N(AE243)&gt;P_JoursInactif),"Client inactif",IF(AND(D243="Prospect",Z243=0,O243&lt;&gt;"",TODAY()-N(O243)&gt;P_JoursNonVisite),"Jamais visité","")))))</f>
        <v/>
      </c>
      <c r="AJ243" s="33">
        <f>IF(C243="","",C243&amp;" ["&amp;TEXT(A243,"000")&amp;"]")</f>
        <v/>
      </c>
      <c r="AK243" s="33">
        <f>IF(C243="","",X243&amp;"|"&amp;A243)</f>
        <v/>
      </c>
      <c r="AL243" s="47">
        <f>IF(C243="",0,IF(COUNTIFS(VC_cle,AK243)=0,0,MAX(INDEX((VC_cle=AK243)*(VC_date+ROW(VC_date)/100000),0))))</f>
        <v/>
      </c>
      <c r="AM243" s="47">
        <f>IF(AND(C243&lt;&gt;"",N(AB243)&gt;0,D243&lt;&gt;"Perdu"),AB243+ROW()/100000,0)</f>
        <v/>
      </c>
      <c r="AN243" s="48">
        <f>IF(N(AF243)&gt;0,ROUND(AF243,0)+ROW()/1000000,0)</f>
        <v/>
      </c>
    </row>
    <row r="244" ht="18" customHeight="1">
      <c r="A244" s="39" t="n">
        <v>239</v>
      </c>
      <c r="B244" s="33">
        <f>IF(C244="","",IF(X244="À RENSEIGNER","GIC",X244)&amp;"-"&amp;TEXT(A244,"000"))</f>
        <v/>
      </c>
      <c r="C244" s="36" t="n"/>
      <c r="D244" s="34">
        <f>IF(C244="","",IF(U244="☑ Oui","Perdu",IF(AD244&lt;&gt;"","Client","Prospect")))</f>
        <v/>
      </c>
      <c r="E244" s="36" t="n"/>
      <c r="F244" s="36" t="n"/>
      <c r="G244" s="44" t="n"/>
      <c r="H244" s="44" t="n"/>
      <c r="I244" s="36" t="n"/>
      <c r="J244" s="36" t="n"/>
      <c r="K244" s="41" t="n"/>
      <c r="L244" s="41" t="n"/>
      <c r="M244" s="36" t="n"/>
      <c r="N244" s="36" t="n"/>
      <c r="O244" s="32" t="n"/>
      <c r="P244" s="36" t="n"/>
      <c r="Q244" s="36" t="n"/>
      <c r="R244" s="34">
        <f>IF(P244="","",IFERROR(VLOOKUP(P244,T_Produits,2,FALSE),""))</f>
        <v/>
      </c>
      <c r="S244" s="36" t="n"/>
      <c r="T244" s="43" t="n"/>
      <c r="U244" s="43" t="n"/>
      <c r="V244" s="36" t="n"/>
      <c r="W244" s="36" t="n"/>
      <c r="X244" s="33">
        <f>IF(C244="","",Commercial_Id)</f>
        <v/>
      </c>
      <c r="Y244" s="33">
        <f>IF(E244="","",IF(E244="Particulier / ménage","Particulier","Entreprise"))</f>
        <v/>
      </c>
      <c r="Z244" s="39">
        <f>IF(C244="","",COUNTIFS(VC_cle,AK244,VC_type,"Visite sur place"))</f>
        <v/>
      </c>
      <c r="AA244" s="46">
        <f>IF(AL244=0,"",IF(INT(AL244)=0,"",INT(AL244)))</f>
        <v/>
      </c>
      <c r="AB244" s="46">
        <f>IF(AL244=0,"",IF(INDEX(VC_actiondate,ROUND(MOD(AL244,1)*100000,0)-5)=0,"",INDEX(VC_actiondate,ROUND(MOD(AL244,1)*100000,0)-5)))</f>
        <v/>
      </c>
      <c r="AC244" s="33">
        <f>IF(AL244=0,"",INDEX(VC_actiontexte,ROUND(MOD(AL244,1)*100000,0)-5)&amp;"")</f>
        <v/>
      </c>
      <c r="AD244" s="46">
        <f>IF(C244="","",IF(COUNTIFS(Cmd_cle,AK244,Cmd_dateca,"&gt;0")=0,"",SMALL(INDEX(Cmd_dateca+(((Cmd_cle&lt;&gt;AK244)+(Cmd_dateca=0))&gt;0)*1000000,0),1)))</f>
        <v/>
      </c>
      <c r="AE244" s="46">
        <f>IF(C244="","",IF(COUNTIFS(Cmd_cle,AK244,Cmd_dateca,"&gt;0")=0,"",MAX(INDEX((Cmd_cle=AK244)*Cmd_dateca,0))))</f>
        <v/>
      </c>
      <c r="AF244" s="40">
        <f>IF(C244="","",SUMIFS(Cmd_montant,Cmd_cle,AK244,Cmd_dateca,"&gt;0"))</f>
        <v/>
      </c>
      <c r="AG244" s="40">
        <f>IF(C244="","",SUMIFS(Enc_montant,Enc_cle,AK244))</f>
        <v/>
      </c>
      <c r="AH244" s="40">
        <f>IF(C244="","",AF244-AG244)</f>
        <v/>
      </c>
      <c r="AI244" s="33">
        <f>IF(C244="","",IF(D244="Perdu","",IF(AND(AB244&lt;&gt;"",N(AB244)&lt;TODAY()),"Action en retard",IF(AND(D244="Client",AE244&lt;&gt;"",TODAY()-N(AE244)&gt;P_JoursInactif),"Client inactif",IF(AND(D244="Prospect",Z244=0,O244&lt;&gt;"",TODAY()-N(O244)&gt;P_JoursNonVisite),"Jamais visité","")))))</f>
        <v/>
      </c>
      <c r="AJ244" s="33">
        <f>IF(C244="","",C244&amp;" ["&amp;TEXT(A244,"000")&amp;"]")</f>
        <v/>
      </c>
      <c r="AK244" s="33">
        <f>IF(C244="","",X244&amp;"|"&amp;A244)</f>
        <v/>
      </c>
      <c r="AL244" s="47">
        <f>IF(C244="",0,IF(COUNTIFS(VC_cle,AK244)=0,0,MAX(INDEX((VC_cle=AK244)*(VC_date+ROW(VC_date)/100000),0))))</f>
        <v/>
      </c>
      <c r="AM244" s="47">
        <f>IF(AND(C244&lt;&gt;"",N(AB244)&gt;0,D244&lt;&gt;"Perdu"),AB244+ROW()/100000,0)</f>
        <v/>
      </c>
      <c r="AN244" s="48">
        <f>IF(N(AF244)&gt;0,ROUND(AF244,0)+ROW()/1000000,0)</f>
        <v/>
      </c>
    </row>
    <row r="245" ht="18" customHeight="1">
      <c r="A245" s="39" t="n">
        <v>240</v>
      </c>
      <c r="B245" s="33">
        <f>IF(C245="","",IF(X245="À RENSEIGNER","GIC",X245)&amp;"-"&amp;TEXT(A245,"000"))</f>
        <v/>
      </c>
      <c r="C245" s="36" t="n"/>
      <c r="D245" s="34">
        <f>IF(C245="","",IF(U245="☑ Oui","Perdu",IF(AD245&lt;&gt;"","Client","Prospect")))</f>
        <v/>
      </c>
      <c r="E245" s="36" t="n"/>
      <c r="F245" s="36" t="n"/>
      <c r="G245" s="44" t="n"/>
      <c r="H245" s="44" t="n"/>
      <c r="I245" s="36" t="n"/>
      <c r="J245" s="36" t="n"/>
      <c r="K245" s="41" t="n"/>
      <c r="L245" s="41" t="n"/>
      <c r="M245" s="36" t="n"/>
      <c r="N245" s="36" t="n"/>
      <c r="O245" s="32" t="n"/>
      <c r="P245" s="36" t="n"/>
      <c r="Q245" s="36" t="n"/>
      <c r="R245" s="34">
        <f>IF(P245="","",IFERROR(VLOOKUP(P245,T_Produits,2,FALSE),""))</f>
        <v/>
      </c>
      <c r="S245" s="36" t="n"/>
      <c r="T245" s="43" t="n"/>
      <c r="U245" s="43" t="n"/>
      <c r="V245" s="36" t="n"/>
      <c r="W245" s="36" t="n"/>
      <c r="X245" s="33">
        <f>IF(C245="","",Commercial_Id)</f>
        <v/>
      </c>
      <c r="Y245" s="33">
        <f>IF(E245="","",IF(E245="Particulier / ménage","Particulier","Entreprise"))</f>
        <v/>
      </c>
      <c r="Z245" s="39">
        <f>IF(C245="","",COUNTIFS(VC_cle,AK245,VC_type,"Visite sur place"))</f>
        <v/>
      </c>
      <c r="AA245" s="46">
        <f>IF(AL245=0,"",IF(INT(AL245)=0,"",INT(AL245)))</f>
        <v/>
      </c>
      <c r="AB245" s="46">
        <f>IF(AL245=0,"",IF(INDEX(VC_actiondate,ROUND(MOD(AL245,1)*100000,0)-5)=0,"",INDEX(VC_actiondate,ROUND(MOD(AL245,1)*100000,0)-5)))</f>
        <v/>
      </c>
      <c r="AC245" s="33">
        <f>IF(AL245=0,"",INDEX(VC_actiontexte,ROUND(MOD(AL245,1)*100000,0)-5)&amp;"")</f>
        <v/>
      </c>
      <c r="AD245" s="46">
        <f>IF(C245="","",IF(COUNTIFS(Cmd_cle,AK245,Cmd_dateca,"&gt;0")=0,"",SMALL(INDEX(Cmd_dateca+(((Cmd_cle&lt;&gt;AK245)+(Cmd_dateca=0))&gt;0)*1000000,0),1)))</f>
        <v/>
      </c>
      <c r="AE245" s="46">
        <f>IF(C245="","",IF(COUNTIFS(Cmd_cle,AK245,Cmd_dateca,"&gt;0")=0,"",MAX(INDEX((Cmd_cle=AK245)*Cmd_dateca,0))))</f>
        <v/>
      </c>
      <c r="AF245" s="40">
        <f>IF(C245="","",SUMIFS(Cmd_montant,Cmd_cle,AK245,Cmd_dateca,"&gt;0"))</f>
        <v/>
      </c>
      <c r="AG245" s="40">
        <f>IF(C245="","",SUMIFS(Enc_montant,Enc_cle,AK245))</f>
        <v/>
      </c>
      <c r="AH245" s="40">
        <f>IF(C245="","",AF245-AG245)</f>
        <v/>
      </c>
      <c r="AI245" s="33">
        <f>IF(C245="","",IF(D245="Perdu","",IF(AND(AB245&lt;&gt;"",N(AB245)&lt;TODAY()),"Action en retard",IF(AND(D245="Client",AE245&lt;&gt;"",TODAY()-N(AE245)&gt;P_JoursInactif),"Client inactif",IF(AND(D245="Prospect",Z245=0,O245&lt;&gt;"",TODAY()-N(O245)&gt;P_JoursNonVisite),"Jamais visité","")))))</f>
        <v/>
      </c>
      <c r="AJ245" s="33">
        <f>IF(C245="","",C245&amp;" ["&amp;TEXT(A245,"000")&amp;"]")</f>
        <v/>
      </c>
      <c r="AK245" s="33">
        <f>IF(C245="","",X245&amp;"|"&amp;A245)</f>
        <v/>
      </c>
      <c r="AL245" s="47">
        <f>IF(C245="",0,IF(COUNTIFS(VC_cle,AK245)=0,0,MAX(INDEX((VC_cle=AK245)*(VC_date+ROW(VC_date)/100000),0))))</f>
        <v/>
      </c>
      <c r="AM245" s="47">
        <f>IF(AND(C245&lt;&gt;"",N(AB245)&gt;0,D245&lt;&gt;"Perdu"),AB245+ROW()/100000,0)</f>
        <v/>
      </c>
      <c r="AN245" s="48">
        <f>IF(N(AF245)&gt;0,ROUND(AF245,0)+ROW()/1000000,0)</f>
        <v/>
      </c>
    </row>
    <row r="246" ht="18" customHeight="1">
      <c r="A246" s="39" t="n">
        <v>241</v>
      </c>
      <c r="B246" s="33">
        <f>IF(C246="","",IF(X246="À RENSEIGNER","GIC",X246)&amp;"-"&amp;TEXT(A246,"000"))</f>
        <v/>
      </c>
      <c r="C246" s="36" t="n"/>
      <c r="D246" s="34">
        <f>IF(C246="","",IF(U246="☑ Oui","Perdu",IF(AD246&lt;&gt;"","Client","Prospect")))</f>
        <v/>
      </c>
      <c r="E246" s="36" t="n"/>
      <c r="F246" s="36" t="n"/>
      <c r="G246" s="44" t="n"/>
      <c r="H246" s="44" t="n"/>
      <c r="I246" s="36" t="n"/>
      <c r="J246" s="36" t="n"/>
      <c r="K246" s="41" t="n"/>
      <c r="L246" s="41" t="n"/>
      <c r="M246" s="36" t="n"/>
      <c r="N246" s="36" t="n"/>
      <c r="O246" s="32" t="n"/>
      <c r="P246" s="36" t="n"/>
      <c r="Q246" s="36" t="n"/>
      <c r="R246" s="34">
        <f>IF(P246="","",IFERROR(VLOOKUP(P246,T_Produits,2,FALSE),""))</f>
        <v/>
      </c>
      <c r="S246" s="36" t="n"/>
      <c r="T246" s="43" t="n"/>
      <c r="U246" s="43" t="n"/>
      <c r="V246" s="36" t="n"/>
      <c r="W246" s="36" t="n"/>
      <c r="X246" s="33">
        <f>IF(C246="","",Commercial_Id)</f>
        <v/>
      </c>
      <c r="Y246" s="33">
        <f>IF(E246="","",IF(E246="Particulier / ménage","Particulier","Entreprise"))</f>
        <v/>
      </c>
      <c r="Z246" s="39">
        <f>IF(C246="","",COUNTIFS(VC_cle,AK246,VC_type,"Visite sur place"))</f>
        <v/>
      </c>
      <c r="AA246" s="46">
        <f>IF(AL246=0,"",IF(INT(AL246)=0,"",INT(AL246)))</f>
        <v/>
      </c>
      <c r="AB246" s="46">
        <f>IF(AL246=0,"",IF(INDEX(VC_actiondate,ROUND(MOD(AL246,1)*100000,0)-5)=0,"",INDEX(VC_actiondate,ROUND(MOD(AL246,1)*100000,0)-5)))</f>
        <v/>
      </c>
      <c r="AC246" s="33">
        <f>IF(AL246=0,"",INDEX(VC_actiontexte,ROUND(MOD(AL246,1)*100000,0)-5)&amp;"")</f>
        <v/>
      </c>
      <c r="AD246" s="46">
        <f>IF(C246="","",IF(COUNTIFS(Cmd_cle,AK246,Cmd_dateca,"&gt;0")=0,"",SMALL(INDEX(Cmd_dateca+(((Cmd_cle&lt;&gt;AK246)+(Cmd_dateca=0))&gt;0)*1000000,0),1)))</f>
        <v/>
      </c>
      <c r="AE246" s="46">
        <f>IF(C246="","",IF(COUNTIFS(Cmd_cle,AK246,Cmd_dateca,"&gt;0")=0,"",MAX(INDEX((Cmd_cle=AK246)*Cmd_dateca,0))))</f>
        <v/>
      </c>
      <c r="AF246" s="40">
        <f>IF(C246="","",SUMIFS(Cmd_montant,Cmd_cle,AK246,Cmd_dateca,"&gt;0"))</f>
        <v/>
      </c>
      <c r="AG246" s="40">
        <f>IF(C246="","",SUMIFS(Enc_montant,Enc_cle,AK246))</f>
        <v/>
      </c>
      <c r="AH246" s="40">
        <f>IF(C246="","",AF246-AG246)</f>
        <v/>
      </c>
      <c r="AI246" s="33">
        <f>IF(C246="","",IF(D246="Perdu","",IF(AND(AB246&lt;&gt;"",N(AB246)&lt;TODAY()),"Action en retard",IF(AND(D246="Client",AE246&lt;&gt;"",TODAY()-N(AE246)&gt;P_JoursInactif),"Client inactif",IF(AND(D246="Prospect",Z246=0,O246&lt;&gt;"",TODAY()-N(O246)&gt;P_JoursNonVisite),"Jamais visité","")))))</f>
        <v/>
      </c>
      <c r="AJ246" s="33">
        <f>IF(C246="","",C246&amp;" ["&amp;TEXT(A246,"000")&amp;"]")</f>
        <v/>
      </c>
      <c r="AK246" s="33">
        <f>IF(C246="","",X246&amp;"|"&amp;A246)</f>
        <v/>
      </c>
      <c r="AL246" s="47">
        <f>IF(C246="",0,IF(COUNTIFS(VC_cle,AK246)=0,0,MAX(INDEX((VC_cle=AK246)*(VC_date+ROW(VC_date)/100000),0))))</f>
        <v/>
      </c>
      <c r="AM246" s="47">
        <f>IF(AND(C246&lt;&gt;"",N(AB246)&gt;0,D246&lt;&gt;"Perdu"),AB246+ROW()/100000,0)</f>
        <v/>
      </c>
      <c r="AN246" s="48">
        <f>IF(N(AF246)&gt;0,ROUND(AF246,0)+ROW()/1000000,0)</f>
        <v/>
      </c>
    </row>
    <row r="247" ht="18" customHeight="1">
      <c r="A247" s="39" t="n">
        <v>242</v>
      </c>
      <c r="B247" s="33">
        <f>IF(C247="","",IF(X247="À RENSEIGNER","GIC",X247)&amp;"-"&amp;TEXT(A247,"000"))</f>
        <v/>
      </c>
      <c r="C247" s="36" t="n"/>
      <c r="D247" s="34">
        <f>IF(C247="","",IF(U247="☑ Oui","Perdu",IF(AD247&lt;&gt;"","Client","Prospect")))</f>
        <v/>
      </c>
      <c r="E247" s="36" t="n"/>
      <c r="F247" s="36" t="n"/>
      <c r="G247" s="44" t="n"/>
      <c r="H247" s="44" t="n"/>
      <c r="I247" s="36" t="n"/>
      <c r="J247" s="36" t="n"/>
      <c r="K247" s="41" t="n"/>
      <c r="L247" s="41" t="n"/>
      <c r="M247" s="36" t="n"/>
      <c r="N247" s="36" t="n"/>
      <c r="O247" s="32" t="n"/>
      <c r="P247" s="36" t="n"/>
      <c r="Q247" s="36" t="n"/>
      <c r="R247" s="34">
        <f>IF(P247="","",IFERROR(VLOOKUP(P247,T_Produits,2,FALSE),""))</f>
        <v/>
      </c>
      <c r="S247" s="36" t="n"/>
      <c r="T247" s="43" t="n"/>
      <c r="U247" s="43" t="n"/>
      <c r="V247" s="36" t="n"/>
      <c r="W247" s="36" t="n"/>
      <c r="X247" s="33">
        <f>IF(C247="","",Commercial_Id)</f>
        <v/>
      </c>
      <c r="Y247" s="33">
        <f>IF(E247="","",IF(E247="Particulier / ménage","Particulier","Entreprise"))</f>
        <v/>
      </c>
      <c r="Z247" s="39">
        <f>IF(C247="","",COUNTIFS(VC_cle,AK247,VC_type,"Visite sur place"))</f>
        <v/>
      </c>
      <c r="AA247" s="46">
        <f>IF(AL247=0,"",IF(INT(AL247)=0,"",INT(AL247)))</f>
        <v/>
      </c>
      <c r="AB247" s="46">
        <f>IF(AL247=0,"",IF(INDEX(VC_actiondate,ROUND(MOD(AL247,1)*100000,0)-5)=0,"",INDEX(VC_actiondate,ROUND(MOD(AL247,1)*100000,0)-5)))</f>
        <v/>
      </c>
      <c r="AC247" s="33">
        <f>IF(AL247=0,"",INDEX(VC_actiontexte,ROUND(MOD(AL247,1)*100000,0)-5)&amp;"")</f>
        <v/>
      </c>
      <c r="AD247" s="46">
        <f>IF(C247="","",IF(COUNTIFS(Cmd_cle,AK247,Cmd_dateca,"&gt;0")=0,"",SMALL(INDEX(Cmd_dateca+(((Cmd_cle&lt;&gt;AK247)+(Cmd_dateca=0))&gt;0)*1000000,0),1)))</f>
        <v/>
      </c>
      <c r="AE247" s="46">
        <f>IF(C247="","",IF(COUNTIFS(Cmd_cle,AK247,Cmd_dateca,"&gt;0")=0,"",MAX(INDEX((Cmd_cle=AK247)*Cmd_dateca,0))))</f>
        <v/>
      </c>
      <c r="AF247" s="40">
        <f>IF(C247="","",SUMIFS(Cmd_montant,Cmd_cle,AK247,Cmd_dateca,"&gt;0"))</f>
        <v/>
      </c>
      <c r="AG247" s="40">
        <f>IF(C247="","",SUMIFS(Enc_montant,Enc_cle,AK247))</f>
        <v/>
      </c>
      <c r="AH247" s="40">
        <f>IF(C247="","",AF247-AG247)</f>
        <v/>
      </c>
      <c r="AI247" s="33">
        <f>IF(C247="","",IF(D247="Perdu","",IF(AND(AB247&lt;&gt;"",N(AB247)&lt;TODAY()),"Action en retard",IF(AND(D247="Client",AE247&lt;&gt;"",TODAY()-N(AE247)&gt;P_JoursInactif),"Client inactif",IF(AND(D247="Prospect",Z247=0,O247&lt;&gt;"",TODAY()-N(O247)&gt;P_JoursNonVisite),"Jamais visité","")))))</f>
        <v/>
      </c>
      <c r="AJ247" s="33">
        <f>IF(C247="","",C247&amp;" ["&amp;TEXT(A247,"000")&amp;"]")</f>
        <v/>
      </c>
      <c r="AK247" s="33">
        <f>IF(C247="","",X247&amp;"|"&amp;A247)</f>
        <v/>
      </c>
      <c r="AL247" s="47">
        <f>IF(C247="",0,IF(COUNTIFS(VC_cle,AK247)=0,0,MAX(INDEX((VC_cle=AK247)*(VC_date+ROW(VC_date)/100000),0))))</f>
        <v/>
      </c>
      <c r="AM247" s="47">
        <f>IF(AND(C247&lt;&gt;"",N(AB247)&gt;0,D247&lt;&gt;"Perdu"),AB247+ROW()/100000,0)</f>
        <v/>
      </c>
      <c r="AN247" s="48">
        <f>IF(N(AF247)&gt;0,ROUND(AF247,0)+ROW()/1000000,0)</f>
        <v/>
      </c>
    </row>
    <row r="248" ht="18" customHeight="1">
      <c r="A248" s="39" t="n">
        <v>243</v>
      </c>
      <c r="B248" s="33">
        <f>IF(C248="","",IF(X248="À RENSEIGNER","GIC",X248)&amp;"-"&amp;TEXT(A248,"000"))</f>
        <v/>
      </c>
      <c r="C248" s="36" t="n"/>
      <c r="D248" s="34">
        <f>IF(C248="","",IF(U248="☑ Oui","Perdu",IF(AD248&lt;&gt;"","Client","Prospect")))</f>
        <v/>
      </c>
      <c r="E248" s="36" t="n"/>
      <c r="F248" s="36" t="n"/>
      <c r="G248" s="44" t="n"/>
      <c r="H248" s="44" t="n"/>
      <c r="I248" s="36" t="n"/>
      <c r="J248" s="36" t="n"/>
      <c r="K248" s="41" t="n"/>
      <c r="L248" s="41" t="n"/>
      <c r="M248" s="36" t="n"/>
      <c r="N248" s="36" t="n"/>
      <c r="O248" s="32" t="n"/>
      <c r="P248" s="36" t="n"/>
      <c r="Q248" s="36" t="n"/>
      <c r="R248" s="34">
        <f>IF(P248="","",IFERROR(VLOOKUP(P248,T_Produits,2,FALSE),""))</f>
        <v/>
      </c>
      <c r="S248" s="36" t="n"/>
      <c r="T248" s="43" t="n"/>
      <c r="U248" s="43" t="n"/>
      <c r="V248" s="36" t="n"/>
      <c r="W248" s="36" t="n"/>
      <c r="X248" s="33">
        <f>IF(C248="","",Commercial_Id)</f>
        <v/>
      </c>
      <c r="Y248" s="33">
        <f>IF(E248="","",IF(E248="Particulier / ménage","Particulier","Entreprise"))</f>
        <v/>
      </c>
      <c r="Z248" s="39">
        <f>IF(C248="","",COUNTIFS(VC_cle,AK248,VC_type,"Visite sur place"))</f>
        <v/>
      </c>
      <c r="AA248" s="46">
        <f>IF(AL248=0,"",IF(INT(AL248)=0,"",INT(AL248)))</f>
        <v/>
      </c>
      <c r="AB248" s="46">
        <f>IF(AL248=0,"",IF(INDEX(VC_actiondate,ROUND(MOD(AL248,1)*100000,0)-5)=0,"",INDEX(VC_actiondate,ROUND(MOD(AL248,1)*100000,0)-5)))</f>
        <v/>
      </c>
      <c r="AC248" s="33">
        <f>IF(AL248=0,"",INDEX(VC_actiontexte,ROUND(MOD(AL248,1)*100000,0)-5)&amp;"")</f>
        <v/>
      </c>
      <c r="AD248" s="46">
        <f>IF(C248="","",IF(COUNTIFS(Cmd_cle,AK248,Cmd_dateca,"&gt;0")=0,"",SMALL(INDEX(Cmd_dateca+(((Cmd_cle&lt;&gt;AK248)+(Cmd_dateca=0))&gt;0)*1000000,0),1)))</f>
        <v/>
      </c>
      <c r="AE248" s="46">
        <f>IF(C248="","",IF(COUNTIFS(Cmd_cle,AK248,Cmd_dateca,"&gt;0")=0,"",MAX(INDEX((Cmd_cle=AK248)*Cmd_dateca,0))))</f>
        <v/>
      </c>
      <c r="AF248" s="40">
        <f>IF(C248="","",SUMIFS(Cmd_montant,Cmd_cle,AK248,Cmd_dateca,"&gt;0"))</f>
        <v/>
      </c>
      <c r="AG248" s="40">
        <f>IF(C248="","",SUMIFS(Enc_montant,Enc_cle,AK248))</f>
        <v/>
      </c>
      <c r="AH248" s="40">
        <f>IF(C248="","",AF248-AG248)</f>
        <v/>
      </c>
      <c r="AI248" s="33">
        <f>IF(C248="","",IF(D248="Perdu","",IF(AND(AB248&lt;&gt;"",N(AB248)&lt;TODAY()),"Action en retard",IF(AND(D248="Client",AE248&lt;&gt;"",TODAY()-N(AE248)&gt;P_JoursInactif),"Client inactif",IF(AND(D248="Prospect",Z248=0,O248&lt;&gt;"",TODAY()-N(O248)&gt;P_JoursNonVisite),"Jamais visité","")))))</f>
        <v/>
      </c>
      <c r="AJ248" s="33">
        <f>IF(C248="","",C248&amp;" ["&amp;TEXT(A248,"000")&amp;"]")</f>
        <v/>
      </c>
      <c r="AK248" s="33">
        <f>IF(C248="","",X248&amp;"|"&amp;A248)</f>
        <v/>
      </c>
      <c r="AL248" s="47">
        <f>IF(C248="",0,IF(COUNTIFS(VC_cle,AK248)=0,0,MAX(INDEX((VC_cle=AK248)*(VC_date+ROW(VC_date)/100000),0))))</f>
        <v/>
      </c>
      <c r="AM248" s="47">
        <f>IF(AND(C248&lt;&gt;"",N(AB248)&gt;0,D248&lt;&gt;"Perdu"),AB248+ROW()/100000,0)</f>
        <v/>
      </c>
      <c r="AN248" s="48">
        <f>IF(N(AF248)&gt;0,ROUND(AF248,0)+ROW()/1000000,0)</f>
        <v/>
      </c>
    </row>
    <row r="249" ht="18" customHeight="1">
      <c r="A249" s="39" t="n">
        <v>244</v>
      </c>
      <c r="B249" s="33">
        <f>IF(C249="","",IF(X249="À RENSEIGNER","GIC",X249)&amp;"-"&amp;TEXT(A249,"000"))</f>
        <v/>
      </c>
      <c r="C249" s="36" t="n"/>
      <c r="D249" s="34">
        <f>IF(C249="","",IF(U249="☑ Oui","Perdu",IF(AD249&lt;&gt;"","Client","Prospect")))</f>
        <v/>
      </c>
      <c r="E249" s="36" t="n"/>
      <c r="F249" s="36" t="n"/>
      <c r="G249" s="44" t="n"/>
      <c r="H249" s="44" t="n"/>
      <c r="I249" s="36" t="n"/>
      <c r="J249" s="36" t="n"/>
      <c r="K249" s="41" t="n"/>
      <c r="L249" s="41" t="n"/>
      <c r="M249" s="36" t="n"/>
      <c r="N249" s="36" t="n"/>
      <c r="O249" s="32" t="n"/>
      <c r="P249" s="36" t="n"/>
      <c r="Q249" s="36" t="n"/>
      <c r="R249" s="34">
        <f>IF(P249="","",IFERROR(VLOOKUP(P249,T_Produits,2,FALSE),""))</f>
        <v/>
      </c>
      <c r="S249" s="36" t="n"/>
      <c r="T249" s="43" t="n"/>
      <c r="U249" s="43" t="n"/>
      <c r="V249" s="36" t="n"/>
      <c r="W249" s="36" t="n"/>
      <c r="X249" s="33">
        <f>IF(C249="","",Commercial_Id)</f>
        <v/>
      </c>
      <c r="Y249" s="33">
        <f>IF(E249="","",IF(E249="Particulier / ménage","Particulier","Entreprise"))</f>
        <v/>
      </c>
      <c r="Z249" s="39">
        <f>IF(C249="","",COUNTIFS(VC_cle,AK249,VC_type,"Visite sur place"))</f>
        <v/>
      </c>
      <c r="AA249" s="46">
        <f>IF(AL249=0,"",IF(INT(AL249)=0,"",INT(AL249)))</f>
        <v/>
      </c>
      <c r="AB249" s="46">
        <f>IF(AL249=0,"",IF(INDEX(VC_actiondate,ROUND(MOD(AL249,1)*100000,0)-5)=0,"",INDEX(VC_actiondate,ROUND(MOD(AL249,1)*100000,0)-5)))</f>
        <v/>
      </c>
      <c r="AC249" s="33">
        <f>IF(AL249=0,"",INDEX(VC_actiontexte,ROUND(MOD(AL249,1)*100000,0)-5)&amp;"")</f>
        <v/>
      </c>
      <c r="AD249" s="46">
        <f>IF(C249="","",IF(COUNTIFS(Cmd_cle,AK249,Cmd_dateca,"&gt;0")=0,"",SMALL(INDEX(Cmd_dateca+(((Cmd_cle&lt;&gt;AK249)+(Cmd_dateca=0))&gt;0)*1000000,0),1)))</f>
        <v/>
      </c>
      <c r="AE249" s="46">
        <f>IF(C249="","",IF(COUNTIFS(Cmd_cle,AK249,Cmd_dateca,"&gt;0")=0,"",MAX(INDEX((Cmd_cle=AK249)*Cmd_dateca,0))))</f>
        <v/>
      </c>
      <c r="AF249" s="40">
        <f>IF(C249="","",SUMIFS(Cmd_montant,Cmd_cle,AK249,Cmd_dateca,"&gt;0"))</f>
        <v/>
      </c>
      <c r="AG249" s="40">
        <f>IF(C249="","",SUMIFS(Enc_montant,Enc_cle,AK249))</f>
        <v/>
      </c>
      <c r="AH249" s="40">
        <f>IF(C249="","",AF249-AG249)</f>
        <v/>
      </c>
      <c r="AI249" s="33">
        <f>IF(C249="","",IF(D249="Perdu","",IF(AND(AB249&lt;&gt;"",N(AB249)&lt;TODAY()),"Action en retard",IF(AND(D249="Client",AE249&lt;&gt;"",TODAY()-N(AE249)&gt;P_JoursInactif),"Client inactif",IF(AND(D249="Prospect",Z249=0,O249&lt;&gt;"",TODAY()-N(O249)&gt;P_JoursNonVisite),"Jamais visité","")))))</f>
        <v/>
      </c>
      <c r="AJ249" s="33">
        <f>IF(C249="","",C249&amp;" ["&amp;TEXT(A249,"000")&amp;"]")</f>
        <v/>
      </c>
      <c r="AK249" s="33">
        <f>IF(C249="","",X249&amp;"|"&amp;A249)</f>
        <v/>
      </c>
      <c r="AL249" s="47">
        <f>IF(C249="",0,IF(COUNTIFS(VC_cle,AK249)=0,0,MAX(INDEX((VC_cle=AK249)*(VC_date+ROW(VC_date)/100000),0))))</f>
        <v/>
      </c>
      <c r="AM249" s="47">
        <f>IF(AND(C249&lt;&gt;"",N(AB249)&gt;0,D249&lt;&gt;"Perdu"),AB249+ROW()/100000,0)</f>
        <v/>
      </c>
      <c r="AN249" s="48">
        <f>IF(N(AF249)&gt;0,ROUND(AF249,0)+ROW()/1000000,0)</f>
        <v/>
      </c>
    </row>
    <row r="250" ht="18" customHeight="1">
      <c r="A250" s="39" t="n">
        <v>245</v>
      </c>
      <c r="B250" s="33">
        <f>IF(C250="","",IF(X250="À RENSEIGNER","GIC",X250)&amp;"-"&amp;TEXT(A250,"000"))</f>
        <v/>
      </c>
      <c r="C250" s="36" t="n"/>
      <c r="D250" s="34">
        <f>IF(C250="","",IF(U250="☑ Oui","Perdu",IF(AD250&lt;&gt;"","Client","Prospect")))</f>
        <v/>
      </c>
      <c r="E250" s="36" t="n"/>
      <c r="F250" s="36" t="n"/>
      <c r="G250" s="44" t="n"/>
      <c r="H250" s="44" t="n"/>
      <c r="I250" s="36" t="n"/>
      <c r="J250" s="36" t="n"/>
      <c r="K250" s="41" t="n"/>
      <c r="L250" s="41" t="n"/>
      <c r="M250" s="36" t="n"/>
      <c r="N250" s="36" t="n"/>
      <c r="O250" s="32" t="n"/>
      <c r="P250" s="36" t="n"/>
      <c r="Q250" s="36" t="n"/>
      <c r="R250" s="34">
        <f>IF(P250="","",IFERROR(VLOOKUP(P250,T_Produits,2,FALSE),""))</f>
        <v/>
      </c>
      <c r="S250" s="36" t="n"/>
      <c r="T250" s="43" t="n"/>
      <c r="U250" s="43" t="n"/>
      <c r="V250" s="36" t="n"/>
      <c r="W250" s="36" t="n"/>
      <c r="X250" s="33">
        <f>IF(C250="","",Commercial_Id)</f>
        <v/>
      </c>
      <c r="Y250" s="33">
        <f>IF(E250="","",IF(E250="Particulier / ménage","Particulier","Entreprise"))</f>
        <v/>
      </c>
      <c r="Z250" s="39">
        <f>IF(C250="","",COUNTIFS(VC_cle,AK250,VC_type,"Visite sur place"))</f>
        <v/>
      </c>
      <c r="AA250" s="46">
        <f>IF(AL250=0,"",IF(INT(AL250)=0,"",INT(AL250)))</f>
        <v/>
      </c>
      <c r="AB250" s="46">
        <f>IF(AL250=0,"",IF(INDEX(VC_actiondate,ROUND(MOD(AL250,1)*100000,0)-5)=0,"",INDEX(VC_actiondate,ROUND(MOD(AL250,1)*100000,0)-5)))</f>
        <v/>
      </c>
      <c r="AC250" s="33">
        <f>IF(AL250=0,"",INDEX(VC_actiontexte,ROUND(MOD(AL250,1)*100000,0)-5)&amp;"")</f>
        <v/>
      </c>
      <c r="AD250" s="46">
        <f>IF(C250="","",IF(COUNTIFS(Cmd_cle,AK250,Cmd_dateca,"&gt;0")=0,"",SMALL(INDEX(Cmd_dateca+(((Cmd_cle&lt;&gt;AK250)+(Cmd_dateca=0))&gt;0)*1000000,0),1)))</f>
        <v/>
      </c>
      <c r="AE250" s="46">
        <f>IF(C250="","",IF(COUNTIFS(Cmd_cle,AK250,Cmd_dateca,"&gt;0")=0,"",MAX(INDEX((Cmd_cle=AK250)*Cmd_dateca,0))))</f>
        <v/>
      </c>
      <c r="AF250" s="40">
        <f>IF(C250="","",SUMIFS(Cmd_montant,Cmd_cle,AK250,Cmd_dateca,"&gt;0"))</f>
        <v/>
      </c>
      <c r="AG250" s="40">
        <f>IF(C250="","",SUMIFS(Enc_montant,Enc_cle,AK250))</f>
        <v/>
      </c>
      <c r="AH250" s="40">
        <f>IF(C250="","",AF250-AG250)</f>
        <v/>
      </c>
      <c r="AI250" s="33">
        <f>IF(C250="","",IF(D250="Perdu","",IF(AND(AB250&lt;&gt;"",N(AB250)&lt;TODAY()),"Action en retard",IF(AND(D250="Client",AE250&lt;&gt;"",TODAY()-N(AE250)&gt;P_JoursInactif),"Client inactif",IF(AND(D250="Prospect",Z250=0,O250&lt;&gt;"",TODAY()-N(O250)&gt;P_JoursNonVisite),"Jamais visité","")))))</f>
        <v/>
      </c>
      <c r="AJ250" s="33">
        <f>IF(C250="","",C250&amp;" ["&amp;TEXT(A250,"000")&amp;"]")</f>
        <v/>
      </c>
      <c r="AK250" s="33">
        <f>IF(C250="","",X250&amp;"|"&amp;A250)</f>
        <v/>
      </c>
      <c r="AL250" s="47">
        <f>IF(C250="",0,IF(COUNTIFS(VC_cle,AK250)=0,0,MAX(INDEX((VC_cle=AK250)*(VC_date+ROW(VC_date)/100000),0))))</f>
        <v/>
      </c>
      <c r="AM250" s="47">
        <f>IF(AND(C250&lt;&gt;"",N(AB250)&gt;0,D250&lt;&gt;"Perdu"),AB250+ROW()/100000,0)</f>
        <v/>
      </c>
      <c r="AN250" s="48">
        <f>IF(N(AF250)&gt;0,ROUND(AF250,0)+ROW()/1000000,0)</f>
        <v/>
      </c>
    </row>
    <row r="251" ht="18" customHeight="1">
      <c r="A251" s="39" t="n">
        <v>246</v>
      </c>
      <c r="B251" s="33">
        <f>IF(C251="","",IF(X251="À RENSEIGNER","GIC",X251)&amp;"-"&amp;TEXT(A251,"000"))</f>
        <v/>
      </c>
      <c r="C251" s="36" t="n"/>
      <c r="D251" s="34">
        <f>IF(C251="","",IF(U251="☑ Oui","Perdu",IF(AD251&lt;&gt;"","Client","Prospect")))</f>
        <v/>
      </c>
      <c r="E251" s="36" t="n"/>
      <c r="F251" s="36" t="n"/>
      <c r="G251" s="44" t="n"/>
      <c r="H251" s="44" t="n"/>
      <c r="I251" s="36" t="n"/>
      <c r="J251" s="36" t="n"/>
      <c r="K251" s="41" t="n"/>
      <c r="L251" s="41" t="n"/>
      <c r="M251" s="36" t="n"/>
      <c r="N251" s="36" t="n"/>
      <c r="O251" s="32" t="n"/>
      <c r="P251" s="36" t="n"/>
      <c r="Q251" s="36" t="n"/>
      <c r="R251" s="34">
        <f>IF(P251="","",IFERROR(VLOOKUP(P251,T_Produits,2,FALSE),""))</f>
        <v/>
      </c>
      <c r="S251" s="36" t="n"/>
      <c r="T251" s="43" t="n"/>
      <c r="U251" s="43" t="n"/>
      <c r="V251" s="36" t="n"/>
      <c r="W251" s="36" t="n"/>
      <c r="X251" s="33">
        <f>IF(C251="","",Commercial_Id)</f>
        <v/>
      </c>
      <c r="Y251" s="33">
        <f>IF(E251="","",IF(E251="Particulier / ménage","Particulier","Entreprise"))</f>
        <v/>
      </c>
      <c r="Z251" s="39">
        <f>IF(C251="","",COUNTIFS(VC_cle,AK251,VC_type,"Visite sur place"))</f>
        <v/>
      </c>
      <c r="AA251" s="46">
        <f>IF(AL251=0,"",IF(INT(AL251)=0,"",INT(AL251)))</f>
        <v/>
      </c>
      <c r="AB251" s="46">
        <f>IF(AL251=0,"",IF(INDEX(VC_actiondate,ROUND(MOD(AL251,1)*100000,0)-5)=0,"",INDEX(VC_actiondate,ROUND(MOD(AL251,1)*100000,0)-5)))</f>
        <v/>
      </c>
      <c r="AC251" s="33">
        <f>IF(AL251=0,"",INDEX(VC_actiontexte,ROUND(MOD(AL251,1)*100000,0)-5)&amp;"")</f>
        <v/>
      </c>
      <c r="AD251" s="46">
        <f>IF(C251="","",IF(COUNTIFS(Cmd_cle,AK251,Cmd_dateca,"&gt;0")=0,"",SMALL(INDEX(Cmd_dateca+(((Cmd_cle&lt;&gt;AK251)+(Cmd_dateca=0))&gt;0)*1000000,0),1)))</f>
        <v/>
      </c>
      <c r="AE251" s="46">
        <f>IF(C251="","",IF(COUNTIFS(Cmd_cle,AK251,Cmd_dateca,"&gt;0")=0,"",MAX(INDEX((Cmd_cle=AK251)*Cmd_dateca,0))))</f>
        <v/>
      </c>
      <c r="AF251" s="40">
        <f>IF(C251="","",SUMIFS(Cmd_montant,Cmd_cle,AK251,Cmd_dateca,"&gt;0"))</f>
        <v/>
      </c>
      <c r="AG251" s="40">
        <f>IF(C251="","",SUMIFS(Enc_montant,Enc_cle,AK251))</f>
        <v/>
      </c>
      <c r="AH251" s="40">
        <f>IF(C251="","",AF251-AG251)</f>
        <v/>
      </c>
      <c r="AI251" s="33">
        <f>IF(C251="","",IF(D251="Perdu","",IF(AND(AB251&lt;&gt;"",N(AB251)&lt;TODAY()),"Action en retard",IF(AND(D251="Client",AE251&lt;&gt;"",TODAY()-N(AE251)&gt;P_JoursInactif),"Client inactif",IF(AND(D251="Prospect",Z251=0,O251&lt;&gt;"",TODAY()-N(O251)&gt;P_JoursNonVisite),"Jamais visité","")))))</f>
        <v/>
      </c>
      <c r="AJ251" s="33">
        <f>IF(C251="","",C251&amp;" ["&amp;TEXT(A251,"000")&amp;"]")</f>
        <v/>
      </c>
      <c r="AK251" s="33">
        <f>IF(C251="","",X251&amp;"|"&amp;A251)</f>
        <v/>
      </c>
      <c r="AL251" s="47">
        <f>IF(C251="",0,IF(COUNTIFS(VC_cle,AK251)=0,0,MAX(INDEX((VC_cle=AK251)*(VC_date+ROW(VC_date)/100000),0))))</f>
        <v/>
      </c>
      <c r="AM251" s="47">
        <f>IF(AND(C251&lt;&gt;"",N(AB251)&gt;0,D251&lt;&gt;"Perdu"),AB251+ROW()/100000,0)</f>
        <v/>
      </c>
      <c r="AN251" s="48">
        <f>IF(N(AF251)&gt;0,ROUND(AF251,0)+ROW()/1000000,0)</f>
        <v/>
      </c>
    </row>
    <row r="252" ht="18" customHeight="1">
      <c r="A252" s="39" t="n">
        <v>247</v>
      </c>
      <c r="B252" s="33">
        <f>IF(C252="","",IF(X252="À RENSEIGNER","GIC",X252)&amp;"-"&amp;TEXT(A252,"000"))</f>
        <v/>
      </c>
      <c r="C252" s="36" t="n"/>
      <c r="D252" s="34">
        <f>IF(C252="","",IF(U252="☑ Oui","Perdu",IF(AD252&lt;&gt;"","Client","Prospect")))</f>
        <v/>
      </c>
      <c r="E252" s="36" t="n"/>
      <c r="F252" s="36" t="n"/>
      <c r="G252" s="44" t="n"/>
      <c r="H252" s="44" t="n"/>
      <c r="I252" s="36" t="n"/>
      <c r="J252" s="36" t="n"/>
      <c r="K252" s="41" t="n"/>
      <c r="L252" s="41" t="n"/>
      <c r="M252" s="36" t="n"/>
      <c r="N252" s="36" t="n"/>
      <c r="O252" s="32" t="n"/>
      <c r="P252" s="36" t="n"/>
      <c r="Q252" s="36" t="n"/>
      <c r="R252" s="34">
        <f>IF(P252="","",IFERROR(VLOOKUP(P252,T_Produits,2,FALSE),""))</f>
        <v/>
      </c>
      <c r="S252" s="36" t="n"/>
      <c r="T252" s="43" t="n"/>
      <c r="U252" s="43" t="n"/>
      <c r="V252" s="36" t="n"/>
      <c r="W252" s="36" t="n"/>
      <c r="X252" s="33">
        <f>IF(C252="","",Commercial_Id)</f>
        <v/>
      </c>
      <c r="Y252" s="33">
        <f>IF(E252="","",IF(E252="Particulier / ménage","Particulier","Entreprise"))</f>
        <v/>
      </c>
      <c r="Z252" s="39">
        <f>IF(C252="","",COUNTIFS(VC_cle,AK252,VC_type,"Visite sur place"))</f>
        <v/>
      </c>
      <c r="AA252" s="46">
        <f>IF(AL252=0,"",IF(INT(AL252)=0,"",INT(AL252)))</f>
        <v/>
      </c>
      <c r="AB252" s="46">
        <f>IF(AL252=0,"",IF(INDEX(VC_actiondate,ROUND(MOD(AL252,1)*100000,0)-5)=0,"",INDEX(VC_actiondate,ROUND(MOD(AL252,1)*100000,0)-5)))</f>
        <v/>
      </c>
      <c r="AC252" s="33">
        <f>IF(AL252=0,"",INDEX(VC_actiontexte,ROUND(MOD(AL252,1)*100000,0)-5)&amp;"")</f>
        <v/>
      </c>
      <c r="AD252" s="46">
        <f>IF(C252="","",IF(COUNTIFS(Cmd_cle,AK252,Cmd_dateca,"&gt;0")=0,"",SMALL(INDEX(Cmd_dateca+(((Cmd_cle&lt;&gt;AK252)+(Cmd_dateca=0))&gt;0)*1000000,0),1)))</f>
        <v/>
      </c>
      <c r="AE252" s="46">
        <f>IF(C252="","",IF(COUNTIFS(Cmd_cle,AK252,Cmd_dateca,"&gt;0")=0,"",MAX(INDEX((Cmd_cle=AK252)*Cmd_dateca,0))))</f>
        <v/>
      </c>
      <c r="AF252" s="40">
        <f>IF(C252="","",SUMIFS(Cmd_montant,Cmd_cle,AK252,Cmd_dateca,"&gt;0"))</f>
        <v/>
      </c>
      <c r="AG252" s="40">
        <f>IF(C252="","",SUMIFS(Enc_montant,Enc_cle,AK252))</f>
        <v/>
      </c>
      <c r="AH252" s="40">
        <f>IF(C252="","",AF252-AG252)</f>
        <v/>
      </c>
      <c r="AI252" s="33">
        <f>IF(C252="","",IF(D252="Perdu","",IF(AND(AB252&lt;&gt;"",N(AB252)&lt;TODAY()),"Action en retard",IF(AND(D252="Client",AE252&lt;&gt;"",TODAY()-N(AE252)&gt;P_JoursInactif),"Client inactif",IF(AND(D252="Prospect",Z252=0,O252&lt;&gt;"",TODAY()-N(O252)&gt;P_JoursNonVisite),"Jamais visité","")))))</f>
        <v/>
      </c>
      <c r="AJ252" s="33">
        <f>IF(C252="","",C252&amp;" ["&amp;TEXT(A252,"000")&amp;"]")</f>
        <v/>
      </c>
      <c r="AK252" s="33">
        <f>IF(C252="","",X252&amp;"|"&amp;A252)</f>
        <v/>
      </c>
      <c r="AL252" s="47">
        <f>IF(C252="",0,IF(COUNTIFS(VC_cle,AK252)=0,0,MAX(INDEX((VC_cle=AK252)*(VC_date+ROW(VC_date)/100000),0))))</f>
        <v/>
      </c>
      <c r="AM252" s="47">
        <f>IF(AND(C252&lt;&gt;"",N(AB252)&gt;0,D252&lt;&gt;"Perdu"),AB252+ROW()/100000,0)</f>
        <v/>
      </c>
      <c r="AN252" s="48">
        <f>IF(N(AF252)&gt;0,ROUND(AF252,0)+ROW()/1000000,0)</f>
        <v/>
      </c>
    </row>
    <row r="253" ht="18" customHeight="1">
      <c r="A253" s="39" t="n">
        <v>248</v>
      </c>
      <c r="B253" s="33">
        <f>IF(C253="","",IF(X253="À RENSEIGNER","GIC",X253)&amp;"-"&amp;TEXT(A253,"000"))</f>
        <v/>
      </c>
      <c r="C253" s="36" t="n"/>
      <c r="D253" s="34">
        <f>IF(C253="","",IF(U253="☑ Oui","Perdu",IF(AD253&lt;&gt;"","Client","Prospect")))</f>
        <v/>
      </c>
      <c r="E253" s="36" t="n"/>
      <c r="F253" s="36" t="n"/>
      <c r="G253" s="44" t="n"/>
      <c r="H253" s="44" t="n"/>
      <c r="I253" s="36" t="n"/>
      <c r="J253" s="36" t="n"/>
      <c r="K253" s="41" t="n"/>
      <c r="L253" s="41" t="n"/>
      <c r="M253" s="36" t="n"/>
      <c r="N253" s="36" t="n"/>
      <c r="O253" s="32" t="n"/>
      <c r="P253" s="36" t="n"/>
      <c r="Q253" s="36" t="n"/>
      <c r="R253" s="34">
        <f>IF(P253="","",IFERROR(VLOOKUP(P253,T_Produits,2,FALSE),""))</f>
        <v/>
      </c>
      <c r="S253" s="36" t="n"/>
      <c r="T253" s="43" t="n"/>
      <c r="U253" s="43" t="n"/>
      <c r="V253" s="36" t="n"/>
      <c r="W253" s="36" t="n"/>
      <c r="X253" s="33">
        <f>IF(C253="","",Commercial_Id)</f>
        <v/>
      </c>
      <c r="Y253" s="33">
        <f>IF(E253="","",IF(E253="Particulier / ménage","Particulier","Entreprise"))</f>
        <v/>
      </c>
      <c r="Z253" s="39">
        <f>IF(C253="","",COUNTIFS(VC_cle,AK253,VC_type,"Visite sur place"))</f>
        <v/>
      </c>
      <c r="AA253" s="46">
        <f>IF(AL253=0,"",IF(INT(AL253)=0,"",INT(AL253)))</f>
        <v/>
      </c>
      <c r="AB253" s="46">
        <f>IF(AL253=0,"",IF(INDEX(VC_actiondate,ROUND(MOD(AL253,1)*100000,0)-5)=0,"",INDEX(VC_actiondate,ROUND(MOD(AL253,1)*100000,0)-5)))</f>
        <v/>
      </c>
      <c r="AC253" s="33">
        <f>IF(AL253=0,"",INDEX(VC_actiontexte,ROUND(MOD(AL253,1)*100000,0)-5)&amp;"")</f>
        <v/>
      </c>
      <c r="AD253" s="46">
        <f>IF(C253="","",IF(COUNTIFS(Cmd_cle,AK253,Cmd_dateca,"&gt;0")=0,"",SMALL(INDEX(Cmd_dateca+(((Cmd_cle&lt;&gt;AK253)+(Cmd_dateca=0))&gt;0)*1000000,0),1)))</f>
        <v/>
      </c>
      <c r="AE253" s="46">
        <f>IF(C253="","",IF(COUNTIFS(Cmd_cle,AK253,Cmd_dateca,"&gt;0")=0,"",MAX(INDEX((Cmd_cle=AK253)*Cmd_dateca,0))))</f>
        <v/>
      </c>
      <c r="AF253" s="40">
        <f>IF(C253="","",SUMIFS(Cmd_montant,Cmd_cle,AK253,Cmd_dateca,"&gt;0"))</f>
        <v/>
      </c>
      <c r="AG253" s="40">
        <f>IF(C253="","",SUMIFS(Enc_montant,Enc_cle,AK253))</f>
        <v/>
      </c>
      <c r="AH253" s="40">
        <f>IF(C253="","",AF253-AG253)</f>
        <v/>
      </c>
      <c r="AI253" s="33">
        <f>IF(C253="","",IF(D253="Perdu","",IF(AND(AB253&lt;&gt;"",N(AB253)&lt;TODAY()),"Action en retard",IF(AND(D253="Client",AE253&lt;&gt;"",TODAY()-N(AE253)&gt;P_JoursInactif),"Client inactif",IF(AND(D253="Prospect",Z253=0,O253&lt;&gt;"",TODAY()-N(O253)&gt;P_JoursNonVisite),"Jamais visité","")))))</f>
        <v/>
      </c>
      <c r="AJ253" s="33">
        <f>IF(C253="","",C253&amp;" ["&amp;TEXT(A253,"000")&amp;"]")</f>
        <v/>
      </c>
      <c r="AK253" s="33">
        <f>IF(C253="","",X253&amp;"|"&amp;A253)</f>
        <v/>
      </c>
      <c r="AL253" s="47">
        <f>IF(C253="",0,IF(COUNTIFS(VC_cle,AK253)=0,0,MAX(INDEX((VC_cle=AK253)*(VC_date+ROW(VC_date)/100000),0))))</f>
        <v/>
      </c>
      <c r="AM253" s="47">
        <f>IF(AND(C253&lt;&gt;"",N(AB253)&gt;0,D253&lt;&gt;"Perdu"),AB253+ROW()/100000,0)</f>
        <v/>
      </c>
      <c r="AN253" s="48">
        <f>IF(N(AF253)&gt;0,ROUND(AF253,0)+ROW()/1000000,0)</f>
        <v/>
      </c>
    </row>
    <row r="254" ht="18" customHeight="1">
      <c r="A254" s="39" t="n">
        <v>249</v>
      </c>
      <c r="B254" s="33">
        <f>IF(C254="","",IF(X254="À RENSEIGNER","GIC",X254)&amp;"-"&amp;TEXT(A254,"000"))</f>
        <v/>
      </c>
      <c r="C254" s="36" t="n"/>
      <c r="D254" s="34">
        <f>IF(C254="","",IF(U254="☑ Oui","Perdu",IF(AD254&lt;&gt;"","Client","Prospect")))</f>
        <v/>
      </c>
      <c r="E254" s="36" t="n"/>
      <c r="F254" s="36" t="n"/>
      <c r="G254" s="44" t="n"/>
      <c r="H254" s="44" t="n"/>
      <c r="I254" s="36" t="n"/>
      <c r="J254" s="36" t="n"/>
      <c r="K254" s="41" t="n"/>
      <c r="L254" s="41" t="n"/>
      <c r="M254" s="36" t="n"/>
      <c r="N254" s="36" t="n"/>
      <c r="O254" s="32" t="n"/>
      <c r="P254" s="36" t="n"/>
      <c r="Q254" s="36" t="n"/>
      <c r="R254" s="34">
        <f>IF(P254="","",IFERROR(VLOOKUP(P254,T_Produits,2,FALSE),""))</f>
        <v/>
      </c>
      <c r="S254" s="36" t="n"/>
      <c r="T254" s="43" t="n"/>
      <c r="U254" s="43" t="n"/>
      <c r="V254" s="36" t="n"/>
      <c r="W254" s="36" t="n"/>
      <c r="X254" s="33">
        <f>IF(C254="","",Commercial_Id)</f>
        <v/>
      </c>
      <c r="Y254" s="33">
        <f>IF(E254="","",IF(E254="Particulier / ménage","Particulier","Entreprise"))</f>
        <v/>
      </c>
      <c r="Z254" s="39">
        <f>IF(C254="","",COUNTIFS(VC_cle,AK254,VC_type,"Visite sur place"))</f>
        <v/>
      </c>
      <c r="AA254" s="46">
        <f>IF(AL254=0,"",IF(INT(AL254)=0,"",INT(AL254)))</f>
        <v/>
      </c>
      <c r="AB254" s="46">
        <f>IF(AL254=0,"",IF(INDEX(VC_actiondate,ROUND(MOD(AL254,1)*100000,0)-5)=0,"",INDEX(VC_actiondate,ROUND(MOD(AL254,1)*100000,0)-5)))</f>
        <v/>
      </c>
      <c r="AC254" s="33">
        <f>IF(AL254=0,"",INDEX(VC_actiontexte,ROUND(MOD(AL254,1)*100000,0)-5)&amp;"")</f>
        <v/>
      </c>
      <c r="AD254" s="46">
        <f>IF(C254="","",IF(COUNTIFS(Cmd_cle,AK254,Cmd_dateca,"&gt;0")=0,"",SMALL(INDEX(Cmd_dateca+(((Cmd_cle&lt;&gt;AK254)+(Cmd_dateca=0))&gt;0)*1000000,0),1)))</f>
        <v/>
      </c>
      <c r="AE254" s="46">
        <f>IF(C254="","",IF(COUNTIFS(Cmd_cle,AK254,Cmd_dateca,"&gt;0")=0,"",MAX(INDEX((Cmd_cle=AK254)*Cmd_dateca,0))))</f>
        <v/>
      </c>
      <c r="AF254" s="40">
        <f>IF(C254="","",SUMIFS(Cmd_montant,Cmd_cle,AK254,Cmd_dateca,"&gt;0"))</f>
        <v/>
      </c>
      <c r="AG254" s="40">
        <f>IF(C254="","",SUMIFS(Enc_montant,Enc_cle,AK254))</f>
        <v/>
      </c>
      <c r="AH254" s="40">
        <f>IF(C254="","",AF254-AG254)</f>
        <v/>
      </c>
      <c r="AI254" s="33">
        <f>IF(C254="","",IF(D254="Perdu","",IF(AND(AB254&lt;&gt;"",N(AB254)&lt;TODAY()),"Action en retard",IF(AND(D254="Client",AE254&lt;&gt;"",TODAY()-N(AE254)&gt;P_JoursInactif),"Client inactif",IF(AND(D254="Prospect",Z254=0,O254&lt;&gt;"",TODAY()-N(O254)&gt;P_JoursNonVisite),"Jamais visité","")))))</f>
        <v/>
      </c>
      <c r="AJ254" s="33">
        <f>IF(C254="","",C254&amp;" ["&amp;TEXT(A254,"000")&amp;"]")</f>
        <v/>
      </c>
      <c r="AK254" s="33">
        <f>IF(C254="","",X254&amp;"|"&amp;A254)</f>
        <v/>
      </c>
      <c r="AL254" s="47">
        <f>IF(C254="",0,IF(COUNTIFS(VC_cle,AK254)=0,0,MAX(INDEX((VC_cle=AK254)*(VC_date+ROW(VC_date)/100000),0))))</f>
        <v/>
      </c>
      <c r="AM254" s="47">
        <f>IF(AND(C254&lt;&gt;"",N(AB254)&gt;0,D254&lt;&gt;"Perdu"),AB254+ROW()/100000,0)</f>
        <v/>
      </c>
      <c r="AN254" s="48">
        <f>IF(N(AF254)&gt;0,ROUND(AF254,0)+ROW()/1000000,0)</f>
        <v/>
      </c>
    </row>
    <row r="255" ht="18" customHeight="1">
      <c r="A255" s="39" t="n">
        <v>250</v>
      </c>
      <c r="B255" s="33">
        <f>IF(C255="","",IF(X255="À RENSEIGNER","GIC",X255)&amp;"-"&amp;TEXT(A255,"000"))</f>
        <v/>
      </c>
      <c r="C255" s="36" t="n"/>
      <c r="D255" s="34">
        <f>IF(C255="","",IF(U255="☑ Oui","Perdu",IF(AD255&lt;&gt;"","Client","Prospect")))</f>
        <v/>
      </c>
      <c r="E255" s="36" t="n"/>
      <c r="F255" s="36" t="n"/>
      <c r="G255" s="44" t="n"/>
      <c r="H255" s="44" t="n"/>
      <c r="I255" s="36" t="n"/>
      <c r="J255" s="36" t="n"/>
      <c r="K255" s="41" t="n"/>
      <c r="L255" s="41" t="n"/>
      <c r="M255" s="36" t="n"/>
      <c r="N255" s="36" t="n"/>
      <c r="O255" s="32" t="n"/>
      <c r="P255" s="36" t="n"/>
      <c r="Q255" s="36" t="n"/>
      <c r="R255" s="34">
        <f>IF(P255="","",IFERROR(VLOOKUP(P255,T_Produits,2,FALSE),""))</f>
        <v/>
      </c>
      <c r="S255" s="36" t="n"/>
      <c r="T255" s="43" t="n"/>
      <c r="U255" s="43" t="n"/>
      <c r="V255" s="36" t="n"/>
      <c r="W255" s="36" t="n"/>
      <c r="X255" s="33">
        <f>IF(C255="","",Commercial_Id)</f>
        <v/>
      </c>
      <c r="Y255" s="33">
        <f>IF(E255="","",IF(E255="Particulier / ménage","Particulier","Entreprise"))</f>
        <v/>
      </c>
      <c r="Z255" s="39">
        <f>IF(C255="","",COUNTIFS(VC_cle,AK255,VC_type,"Visite sur place"))</f>
        <v/>
      </c>
      <c r="AA255" s="46">
        <f>IF(AL255=0,"",IF(INT(AL255)=0,"",INT(AL255)))</f>
        <v/>
      </c>
      <c r="AB255" s="46">
        <f>IF(AL255=0,"",IF(INDEX(VC_actiondate,ROUND(MOD(AL255,1)*100000,0)-5)=0,"",INDEX(VC_actiondate,ROUND(MOD(AL255,1)*100000,0)-5)))</f>
        <v/>
      </c>
      <c r="AC255" s="33">
        <f>IF(AL255=0,"",INDEX(VC_actiontexte,ROUND(MOD(AL255,1)*100000,0)-5)&amp;"")</f>
        <v/>
      </c>
      <c r="AD255" s="46">
        <f>IF(C255="","",IF(COUNTIFS(Cmd_cle,AK255,Cmd_dateca,"&gt;0")=0,"",SMALL(INDEX(Cmd_dateca+(((Cmd_cle&lt;&gt;AK255)+(Cmd_dateca=0))&gt;0)*1000000,0),1)))</f>
        <v/>
      </c>
      <c r="AE255" s="46">
        <f>IF(C255="","",IF(COUNTIFS(Cmd_cle,AK255,Cmd_dateca,"&gt;0")=0,"",MAX(INDEX((Cmd_cle=AK255)*Cmd_dateca,0))))</f>
        <v/>
      </c>
      <c r="AF255" s="40">
        <f>IF(C255="","",SUMIFS(Cmd_montant,Cmd_cle,AK255,Cmd_dateca,"&gt;0"))</f>
        <v/>
      </c>
      <c r="AG255" s="40">
        <f>IF(C255="","",SUMIFS(Enc_montant,Enc_cle,AK255))</f>
        <v/>
      </c>
      <c r="AH255" s="40">
        <f>IF(C255="","",AF255-AG255)</f>
        <v/>
      </c>
      <c r="AI255" s="33">
        <f>IF(C255="","",IF(D255="Perdu","",IF(AND(AB255&lt;&gt;"",N(AB255)&lt;TODAY()),"Action en retard",IF(AND(D255="Client",AE255&lt;&gt;"",TODAY()-N(AE255)&gt;P_JoursInactif),"Client inactif",IF(AND(D255="Prospect",Z255=0,O255&lt;&gt;"",TODAY()-N(O255)&gt;P_JoursNonVisite),"Jamais visité","")))))</f>
        <v/>
      </c>
      <c r="AJ255" s="33">
        <f>IF(C255="","",C255&amp;" ["&amp;TEXT(A255,"000")&amp;"]")</f>
        <v/>
      </c>
      <c r="AK255" s="33">
        <f>IF(C255="","",X255&amp;"|"&amp;A255)</f>
        <v/>
      </c>
      <c r="AL255" s="47">
        <f>IF(C255="",0,IF(COUNTIFS(VC_cle,AK255)=0,0,MAX(INDEX((VC_cle=AK255)*(VC_date+ROW(VC_date)/100000),0))))</f>
        <v/>
      </c>
      <c r="AM255" s="47">
        <f>IF(AND(C255&lt;&gt;"",N(AB255)&gt;0,D255&lt;&gt;"Perdu"),AB255+ROW()/100000,0)</f>
        <v/>
      </c>
      <c r="AN255" s="48">
        <f>IF(N(AF255)&gt;0,ROUND(AF255,0)+ROW()/1000000,0)</f>
        <v/>
      </c>
    </row>
    <row r="256" ht="18" customHeight="1">
      <c r="A256" s="39" t="n">
        <v>251</v>
      </c>
      <c r="B256" s="33">
        <f>IF(C256="","",IF(X256="À RENSEIGNER","GIC",X256)&amp;"-"&amp;TEXT(A256,"000"))</f>
        <v/>
      </c>
      <c r="C256" s="36" t="n"/>
      <c r="D256" s="34">
        <f>IF(C256="","",IF(U256="☑ Oui","Perdu",IF(AD256&lt;&gt;"","Client","Prospect")))</f>
        <v/>
      </c>
      <c r="E256" s="36" t="n"/>
      <c r="F256" s="36" t="n"/>
      <c r="G256" s="44" t="n"/>
      <c r="H256" s="44" t="n"/>
      <c r="I256" s="36" t="n"/>
      <c r="J256" s="36" t="n"/>
      <c r="K256" s="41" t="n"/>
      <c r="L256" s="41" t="n"/>
      <c r="M256" s="36" t="n"/>
      <c r="N256" s="36" t="n"/>
      <c r="O256" s="32" t="n"/>
      <c r="P256" s="36" t="n"/>
      <c r="Q256" s="36" t="n"/>
      <c r="R256" s="34">
        <f>IF(P256="","",IFERROR(VLOOKUP(P256,T_Produits,2,FALSE),""))</f>
        <v/>
      </c>
      <c r="S256" s="36" t="n"/>
      <c r="T256" s="43" t="n"/>
      <c r="U256" s="43" t="n"/>
      <c r="V256" s="36" t="n"/>
      <c r="W256" s="36" t="n"/>
      <c r="X256" s="33">
        <f>IF(C256="","",Commercial_Id)</f>
        <v/>
      </c>
      <c r="Y256" s="33">
        <f>IF(E256="","",IF(E256="Particulier / ménage","Particulier","Entreprise"))</f>
        <v/>
      </c>
      <c r="Z256" s="39">
        <f>IF(C256="","",COUNTIFS(VC_cle,AK256,VC_type,"Visite sur place"))</f>
        <v/>
      </c>
      <c r="AA256" s="46">
        <f>IF(AL256=0,"",IF(INT(AL256)=0,"",INT(AL256)))</f>
        <v/>
      </c>
      <c r="AB256" s="46">
        <f>IF(AL256=0,"",IF(INDEX(VC_actiondate,ROUND(MOD(AL256,1)*100000,0)-5)=0,"",INDEX(VC_actiondate,ROUND(MOD(AL256,1)*100000,0)-5)))</f>
        <v/>
      </c>
      <c r="AC256" s="33">
        <f>IF(AL256=0,"",INDEX(VC_actiontexte,ROUND(MOD(AL256,1)*100000,0)-5)&amp;"")</f>
        <v/>
      </c>
      <c r="AD256" s="46">
        <f>IF(C256="","",IF(COUNTIFS(Cmd_cle,AK256,Cmd_dateca,"&gt;0")=0,"",SMALL(INDEX(Cmd_dateca+(((Cmd_cle&lt;&gt;AK256)+(Cmd_dateca=0))&gt;0)*1000000,0),1)))</f>
        <v/>
      </c>
      <c r="AE256" s="46">
        <f>IF(C256="","",IF(COUNTIFS(Cmd_cle,AK256,Cmd_dateca,"&gt;0")=0,"",MAX(INDEX((Cmd_cle=AK256)*Cmd_dateca,0))))</f>
        <v/>
      </c>
      <c r="AF256" s="40">
        <f>IF(C256="","",SUMIFS(Cmd_montant,Cmd_cle,AK256,Cmd_dateca,"&gt;0"))</f>
        <v/>
      </c>
      <c r="AG256" s="40">
        <f>IF(C256="","",SUMIFS(Enc_montant,Enc_cle,AK256))</f>
        <v/>
      </c>
      <c r="AH256" s="40">
        <f>IF(C256="","",AF256-AG256)</f>
        <v/>
      </c>
      <c r="AI256" s="33">
        <f>IF(C256="","",IF(D256="Perdu","",IF(AND(AB256&lt;&gt;"",N(AB256)&lt;TODAY()),"Action en retard",IF(AND(D256="Client",AE256&lt;&gt;"",TODAY()-N(AE256)&gt;P_JoursInactif),"Client inactif",IF(AND(D256="Prospect",Z256=0,O256&lt;&gt;"",TODAY()-N(O256)&gt;P_JoursNonVisite),"Jamais visité","")))))</f>
        <v/>
      </c>
      <c r="AJ256" s="33">
        <f>IF(C256="","",C256&amp;" ["&amp;TEXT(A256,"000")&amp;"]")</f>
        <v/>
      </c>
      <c r="AK256" s="33">
        <f>IF(C256="","",X256&amp;"|"&amp;A256)</f>
        <v/>
      </c>
      <c r="AL256" s="47">
        <f>IF(C256="",0,IF(COUNTIFS(VC_cle,AK256)=0,0,MAX(INDEX((VC_cle=AK256)*(VC_date+ROW(VC_date)/100000),0))))</f>
        <v/>
      </c>
      <c r="AM256" s="47">
        <f>IF(AND(C256&lt;&gt;"",N(AB256)&gt;0,D256&lt;&gt;"Perdu"),AB256+ROW()/100000,0)</f>
        <v/>
      </c>
      <c r="AN256" s="48">
        <f>IF(N(AF256)&gt;0,ROUND(AF256,0)+ROW()/1000000,0)</f>
        <v/>
      </c>
    </row>
    <row r="257" ht="18" customHeight="1">
      <c r="A257" s="39" t="n">
        <v>252</v>
      </c>
      <c r="B257" s="33">
        <f>IF(C257="","",IF(X257="À RENSEIGNER","GIC",X257)&amp;"-"&amp;TEXT(A257,"000"))</f>
        <v/>
      </c>
      <c r="C257" s="36" t="n"/>
      <c r="D257" s="34">
        <f>IF(C257="","",IF(U257="☑ Oui","Perdu",IF(AD257&lt;&gt;"","Client","Prospect")))</f>
        <v/>
      </c>
      <c r="E257" s="36" t="n"/>
      <c r="F257" s="36" t="n"/>
      <c r="G257" s="44" t="n"/>
      <c r="H257" s="44" t="n"/>
      <c r="I257" s="36" t="n"/>
      <c r="J257" s="36" t="n"/>
      <c r="K257" s="41" t="n"/>
      <c r="L257" s="41" t="n"/>
      <c r="M257" s="36" t="n"/>
      <c r="N257" s="36" t="n"/>
      <c r="O257" s="32" t="n"/>
      <c r="P257" s="36" t="n"/>
      <c r="Q257" s="36" t="n"/>
      <c r="R257" s="34">
        <f>IF(P257="","",IFERROR(VLOOKUP(P257,T_Produits,2,FALSE),""))</f>
        <v/>
      </c>
      <c r="S257" s="36" t="n"/>
      <c r="T257" s="43" t="n"/>
      <c r="U257" s="43" t="n"/>
      <c r="V257" s="36" t="n"/>
      <c r="W257" s="36" t="n"/>
      <c r="X257" s="33">
        <f>IF(C257="","",Commercial_Id)</f>
        <v/>
      </c>
      <c r="Y257" s="33">
        <f>IF(E257="","",IF(E257="Particulier / ménage","Particulier","Entreprise"))</f>
        <v/>
      </c>
      <c r="Z257" s="39">
        <f>IF(C257="","",COUNTIFS(VC_cle,AK257,VC_type,"Visite sur place"))</f>
        <v/>
      </c>
      <c r="AA257" s="46">
        <f>IF(AL257=0,"",IF(INT(AL257)=0,"",INT(AL257)))</f>
        <v/>
      </c>
      <c r="AB257" s="46">
        <f>IF(AL257=0,"",IF(INDEX(VC_actiondate,ROUND(MOD(AL257,1)*100000,0)-5)=0,"",INDEX(VC_actiondate,ROUND(MOD(AL257,1)*100000,0)-5)))</f>
        <v/>
      </c>
      <c r="AC257" s="33">
        <f>IF(AL257=0,"",INDEX(VC_actiontexte,ROUND(MOD(AL257,1)*100000,0)-5)&amp;"")</f>
        <v/>
      </c>
      <c r="AD257" s="46">
        <f>IF(C257="","",IF(COUNTIFS(Cmd_cle,AK257,Cmd_dateca,"&gt;0")=0,"",SMALL(INDEX(Cmd_dateca+(((Cmd_cle&lt;&gt;AK257)+(Cmd_dateca=0))&gt;0)*1000000,0),1)))</f>
        <v/>
      </c>
      <c r="AE257" s="46">
        <f>IF(C257="","",IF(COUNTIFS(Cmd_cle,AK257,Cmd_dateca,"&gt;0")=0,"",MAX(INDEX((Cmd_cle=AK257)*Cmd_dateca,0))))</f>
        <v/>
      </c>
      <c r="AF257" s="40">
        <f>IF(C257="","",SUMIFS(Cmd_montant,Cmd_cle,AK257,Cmd_dateca,"&gt;0"))</f>
        <v/>
      </c>
      <c r="AG257" s="40">
        <f>IF(C257="","",SUMIFS(Enc_montant,Enc_cle,AK257))</f>
        <v/>
      </c>
      <c r="AH257" s="40">
        <f>IF(C257="","",AF257-AG257)</f>
        <v/>
      </c>
      <c r="AI257" s="33">
        <f>IF(C257="","",IF(D257="Perdu","",IF(AND(AB257&lt;&gt;"",N(AB257)&lt;TODAY()),"Action en retard",IF(AND(D257="Client",AE257&lt;&gt;"",TODAY()-N(AE257)&gt;P_JoursInactif),"Client inactif",IF(AND(D257="Prospect",Z257=0,O257&lt;&gt;"",TODAY()-N(O257)&gt;P_JoursNonVisite),"Jamais visité","")))))</f>
        <v/>
      </c>
      <c r="AJ257" s="33">
        <f>IF(C257="","",C257&amp;" ["&amp;TEXT(A257,"000")&amp;"]")</f>
        <v/>
      </c>
      <c r="AK257" s="33">
        <f>IF(C257="","",X257&amp;"|"&amp;A257)</f>
        <v/>
      </c>
      <c r="AL257" s="47">
        <f>IF(C257="",0,IF(COUNTIFS(VC_cle,AK257)=0,0,MAX(INDEX((VC_cle=AK257)*(VC_date+ROW(VC_date)/100000),0))))</f>
        <v/>
      </c>
      <c r="AM257" s="47">
        <f>IF(AND(C257&lt;&gt;"",N(AB257)&gt;0,D257&lt;&gt;"Perdu"),AB257+ROW()/100000,0)</f>
        <v/>
      </c>
      <c r="AN257" s="48">
        <f>IF(N(AF257)&gt;0,ROUND(AF257,0)+ROW()/1000000,0)</f>
        <v/>
      </c>
    </row>
    <row r="258" ht="18" customHeight="1">
      <c r="A258" s="39" t="n">
        <v>253</v>
      </c>
      <c r="B258" s="33">
        <f>IF(C258="","",IF(X258="À RENSEIGNER","GIC",X258)&amp;"-"&amp;TEXT(A258,"000"))</f>
        <v/>
      </c>
      <c r="C258" s="36" t="n"/>
      <c r="D258" s="34">
        <f>IF(C258="","",IF(U258="☑ Oui","Perdu",IF(AD258&lt;&gt;"","Client","Prospect")))</f>
        <v/>
      </c>
      <c r="E258" s="36" t="n"/>
      <c r="F258" s="36" t="n"/>
      <c r="G258" s="44" t="n"/>
      <c r="H258" s="44" t="n"/>
      <c r="I258" s="36" t="n"/>
      <c r="J258" s="36" t="n"/>
      <c r="K258" s="41" t="n"/>
      <c r="L258" s="41" t="n"/>
      <c r="M258" s="36" t="n"/>
      <c r="N258" s="36" t="n"/>
      <c r="O258" s="32" t="n"/>
      <c r="P258" s="36" t="n"/>
      <c r="Q258" s="36" t="n"/>
      <c r="R258" s="34">
        <f>IF(P258="","",IFERROR(VLOOKUP(P258,T_Produits,2,FALSE),""))</f>
        <v/>
      </c>
      <c r="S258" s="36" t="n"/>
      <c r="T258" s="43" t="n"/>
      <c r="U258" s="43" t="n"/>
      <c r="V258" s="36" t="n"/>
      <c r="W258" s="36" t="n"/>
      <c r="X258" s="33">
        <f>IF(C258="","",Commercial_Id)</f>
        <v/>
      </c>
      <c r="Y258" s="33">
        <f>IF(E258="","",IF(E258="Particulier / ménage","Particulier","Entreprise"))</f>
        <v/>
      </c>
      <c r="Z258" s="39">
        <f>IF(C258="","",COUNTIFS(VC_cle,AK258,VC_type,"Visite sur place"))</f>
        <v/>
      </c>
      <c r="AA258" s="46">
        <f>IF(AL258=0,"",IF(INT(AL258)=0,"",INT(AL258)))</f>
        <v/>
      </c>
      <c r="AB258" s="46">
        <f>IF(AL258=0,"",IF(INDEX(VC_actiondate,ROUND(MOD(AL258,1)*100000,0)-5)=0,"",INDEX(VC_actiondate,ROUND(MOD(AL258,1)*100000,0)-5)))</f>
        <v/>
      </c>
      <c r="AC258" s="33">
        <f>IF(AL258=0,"",INDEX(VC_actiontexte,ROUND(MOD(AL258,1)*100000,0)-5)&amp;"")</f>
        <v/>
      </c>
      <c r="AD258" s="46">
        <f>IF(C258="","",IF(COUNTIFS(Cmd_cle,AK258,Cmd_dateca,"&gt;0")=0,"",SMALL(INDEX(Cmd_dateca+(((Cmd_cle&lt;&gt;AK258)+(Cmd_dateca=0))&gt;0)*1000000,0),1)))</f>
        <v/>
      </c>
      <c r="AE258" s="46">
        <f>IF(C258="","",IF(COUNTIFS(Cmd_cle,AK258,Cmd_dateca,"&gt;0")=0,"",MAX(INDEX((Cmd_cle=AK258)*Cmd_dateca,0))))</f>
        <v/>
      </c>
      <c r="AF258" s="40">
        <f>IF(C258="","",SUMIFS(Cmd_montant,Cmd_cle,AK258,Cmd_dateca,"&gt;0"))</f>
        <v/>
      </c>
      <c r="AG258" s="40">
        <f>IF(C258="","",SUMIFS(Enc_montant,Enc_cle,AK258))</f>
        <v/>
      </c>
      <c r="AH258" s="40">
        <f>IF(C258="","",AF258-AG258)</f>
        <v/>
      </c>
      <c r="AI258" s="33">
        <f>IF(C258="","",IF(D258="Perdu","",IF(AND(AB258&lt;&gt;"",N(AB258)&lt;TODAY()),"Action en retard",IF(AND(D258="Client",AE258&lt;&gt;"",TODAY()-N(AE258)&gt;P_JoursInactif),"Client inactif",IF(AND(D258="Prospect",Z258=0,O258&lt;&gt;"",TODAY()-N(O258)&gt;P_JoursNonVisite),"Jamais visité","")))))</f>
        <v/>
      </c>
      <c r="AJ258" s="33">
        <f>IF(C258="","",C258&amp;" ["&amp;TEXT(A258,"000")&amp;"]")</f>
        <v/>
      </c>
      <c r="AK258" s="33">
        <f>IF(C258="","",X258&amp;"|"&amp;A258)</f>
        <v/>
      </c>
      <c r="AL258" s="47">
        <f>IF(C258="",0,IF(COUNTIFS(VC_cle,AK258)=0,0,MAX(INDEX((VC_cle=AK258)*(VC_date+ROW(VC_date)/100000),0))))</f>
        <v/>
      </c>
      <c r="AM258" s="47">
        <f>IF(AND(C258&lt;&gt;"",N(AB258)&gt;0,D258&lt;&gt;"Perdu"),AB258+ROW()/100000,0)</f>
        <v/>
      </c>
      <c r="AN258" s="48">
        <f>IF(N(AF258)&gt;0,ROUND(AF258,0)+ROW()/1000000,0)</f>
        <v/>
      </c>
    </row>
    <row r="259" ht="18" customHeight="1">
      <c r="A259" s="39" t="n">
        <v>254</v>
      </c>
      <c r="B259" s="33">
        <f>IF(C259="","",IF(X259="À RENSEIGNER","GIC",X259)&amp;"-"&amp;TEXT(A259,"000"))</f>
        <v/>
      </c>
      <c r="C259" s="36" t="n"/>
      <c r="D259" s="34">
        <f>IF(C259="","",IF(U259="☑ Oui","Perdu",IF(AD259&lt;&gt;"","Client","Prospect")))</f>
        <v/>
      </c>
      <c r="E259" s="36" t="n"/>
      <c r="F259" s="36" t="n"/>
      <c r="G259" s="44" t="n"/>
      <c r="H259" s="44" t="n"/>
      <c r="I259" s="36" t="n"/>
      <c r="J259" s="36" t="n"/>
      <c r="K259" s="41" t="n"/>
      <c r="L259" s="41" t="n"/>
      <c r="M259" s="36" t="n"/>
      <c r="N259" s="36" t="n"/>
      <c r="O259" s="32" t="n"/>
      <c r="P259" s="36" t="n"/>
      <c r="Q259" s="36" t="n"/>
      <c r="R259" s="34">
        <f>IF(P259="","",IFERROR(VLOOKUP(P259,T_Produits,2,FALSE),""))</f>
        <v/>
      </c>
      <c r="S259" s="36" t="n"/>
      <c r="T259" s="43" t="n"/>
      <c r="U259" s="43" t="n"/>
      <c r="V259" s="36" t="n"/>
      <c r="W259" s="36" t="n"/>
      <c r="X259" s="33">
        <f>IF(C259="","",Commercial_Id)</f>
        <v/>
      </c>
      <c r="Y259" s="33">
        <f>IF(E259="","",IF(E259="Particulier / ménage","Particulier","Entreprise"))</f>
        <v/>
      </c>
      <c r="Z259" s="39">
        <f>IF(C259="","",COUNTIFS(VC_cle,AK259,VC_type,"Visite sur place"))</f>
        <v/>
      </c>
      <c r="AA259" s="46">
        <f>IF(AL259=0,"",IF(INT(AL259)=0,"",INT(AL259)))</f>
        <v/>
      </c>
      <c r="AB259" s="46">
        <f>IF(AL259=0,"",IF(INDEX(VC_actiondate,ROUND(MOD(AL259,1)*100000,0)-5)=0,"",INDEX(VC_actiondate,ROUND(MOD(AL259,1)*100000,0)-5)))</f>
        <v/>
      </c>
      <c r="AC259" s="33">
        <f>IF(AL259=0,"",INDEX(VC_actiontexte,ROUND(MOD(AL259,1)*100000,0)-5)&amp;"")</f>
        <v/>
      </c>
      <c r="AD259" s="46">
        <f>IF(C259="","",IF(COUNTIFS(Cmd_cle,AK259,Cmd_dateca,"&gt;0")=0,"",SMALL(INDEX(Cmd_dateca+(((Cmd_cle&lt;&gt;AK259)+(Cmd_dateca=0))&gt;0)*1000000,0),1)))</f>
        <v/>
      </c>
      <c r="AE259" s="46">
        <f>IF(C259="","",IF(COUNTIFS(Cmd_cle,AK259,Cmd_dateca,"&gt;0")=0,"",MAX(INDEX((Cmd_cle=AK259)*Cmd_dateca,0))))</f>
        <v/>
      </c>
      <c r="AF259" s="40">
        <f>IF(C259="","",SUMIFS(Cmd_montant,Cmd_cle,AK259,Cmd_dateca,"&gt;0"))</f>
        <v/>
      </c>
      <c r="AG259" s="40">
        <f>IF(C259="","",SUMIFS(Enc_montant,Enc_cle,AK259))</f>
        <v/>
      </c>
      <c r="AH259" s="40">
        <f>IF(C259="","",AF259-AG259)</f>
        <v/>
      </c>
      <c r="AI259" s="33">
        <f>IF(C259="","",IF(D259="Perdu","",IF(AND(AB259&lt;&gt;"",N(AB259)&lt;TODAY()),"Action en retard",IF(AND(D259="Client",AE259&lt;&gt;"",TODAY()-N(AE259)&gt;P_JoursInactif),"Client inactif",IF(AND(D259="Prospect",Z259=0,O259&lt;&gt;"",TODAY()-N(O259)&gt;P_JoursNonVisite),"Jamais visité","")))))</f>
        <v/>
      </c>
      <c r="AJ259" s="33">
        <f>IF(C259="","",C259&amp;" ["&amp;TEXT(A259,"000")&amp;"]")</f>
        <v/>
      </c>
      <c r="AK259" s="33">
        <f>IF(C259="","",X259&amp;"|"&amp;A259)</f>
        <v/>
      </c>
      <c r="AL259" s="47">
        <f>IF(C259="",0,IF(COUNTIFS(VC_cle,AK259)=0,0,MAX(INDEX((VC_cle=AK259)*(VC_date+ROW(VC_date)/100000),0))))</f>
        <v/>
      </c>
      <c r="AM259" s="47">
        <f>IF(AND(C259&lt;&gt;"",N(AB259)&gt;0,D259&lt;&gt;"Perdu"),AB259+ROW()/100000,0)</f>
        <v/>
      </c>
      <c r="AN259" s="48">
        <f>IF(N(AF259)&gt;0,ROUND(AF259,0)+ROW()/1000000,0)</f>
        <v/>
      </c>
    </row>
    <row r="260" ht="18" customHeight="1">
      <c r="A260" s="39" t="n">
        <v>255</v>
      </c>
      <c r="B260" s="33">
        <f>IF(C260="","",IF(X260="À RENSEIGNER","GIC",X260)&amp;"-"&amp;TEXT(A260,"000"))</f>
        <v/>
      </c>
      <c r="C260" s="36" t="n"/>
      <c r="D260" s="34">
        <f>IF(C260="","",IF(U260="☑ Oui","Perdu",IF(AD260&lt;&gt;"","Client","Prospect")))</f>
        <v/>
      </c>
      <c r="E260" s="36" t="n"/>
      <c r="F260" s="36" t="n"/>
      <c r="G260" s="44" t="n"/>
      <c r="H260" s="44" t="n"/>
      <c r="I260" s="36" t="n"/>
      <c r="J260" s="36" t="n"/>
      <c r="K260" s="41" t="n"/>
      <c r="L260" s="41" t="n"/>
      <c r="M260" s="36" t="n"/>
      <c r="N260" s="36" t="n"/>
      <c r="O260" s="32" t="n"/>
      <c r="P260" s="36" t="n"/>
      <c r="Q260" s="36" t="n"/>
      <c r="R260" s="34">
        <f>IF(P260="","",IFERROR(VLOOKUP(P260,T_Produits,2,FALSE),""))</f>
        <v/>
      </c>
      <c r="S260" s="36" t="n"/>
      <c r="T260" s="43" t="n"/>
      <c r="U260" s="43" t="n"/>
      <c r="V260" s="36" t="n"/>
      <c r="W260" s="36" t="n"/>
      <c r="X260" s="33">
        <f>IF(C260="","",Commercial_Id)</f>
        <v/>
      </c>
      <c r="Y260" s="33">
        <f>IF(E260="","",IF(E260="Particulier / ménage","Particulier","Entreprise"))</f>
        <v/>
      </c>
      <c r="Z260" s="39">
        <f>IF(C260="","",COUNTIFS(VC_cle,AK260,VC_type,"Visite sur place"))</f>
        <v/>
      </c>
      <c r="AA260" s="46">
        <f>IF(AL260=0,"",IF(INT(AL260)=0,"",INT(AL260)))</f>
        <v/>
      </c>
      <c r="AB260" s="46">
        <f>IF(AL260=0,"",IF(INDEX(VC_actiondate,ROUND(MOD(AL260,1)*100000,0)-5)=0,"",INDEX(VC_actiondate,ROUND(MOD(AL260,1)*100000,0)-5)))</f>
        <v/>
      </c>
      <c r="AC260" s="33">
        <f>IF(AL260=0,"",INDEX(VC_actiontexte,ROUND(MOD(AL260,1)*100000,0)-5)&amp;"")</f>
        <v/>
      </c>
      <c r="AD260" s="46">
        <f>IF(C260="","",IF(COUNTIFS(Cmd_cle,AK260,Cmd_dateca,"&gt;0")=0,"",SMALL(INDEX(Cmd_dateca+(((Cmd_cle&lt;&gt;AK260)+(Cmd_dateca=0))&gt;0)*1000000,0),1)))</f>
        <v/>
      </c>
      <c r="AE260" s="46">
        <f>IF(C260="","",IF(COUNTIFS(Cmd_cle,AK260,Cmd_dateca,"&gt;0")=0,"",MAX(INDEX((Cmd_cle=AK260)*Cmd_dateca,0))))</f>
        <v/>
      </c>
      <c r="AF260" s="40">
        <f>IF(C260="","",SUMIFS(Cmd_montant,Cmd_cle,AK260,Cmd_dateca,"&gt;0"))</f>
        <v/>
      </c>
      <c r="AG260" s="40">
        <f>IF(C260="","",SUMIFS(Enc_montant,Enc_cle,AK260))</f>
        <v/>
      </c>
      <c r="AH260" s="40">
        <f>IF(C260="","",AF260-AG260)</f>
        <v/>
      </c>
      <c r="AI260" s="33">
        <f>IF(C260="","",IF(D260="Perdu","",IF(AND(AB260&lt;&gt;"",N(AB260)&lt;TODAY()),"Action en retard",IF(AND(D260="Client",AE260&lt;&gt;"",TODAY()-N(AE260)&gt;P_JoursInactif),"Client inactif",IF(AND(D260="Prospect",Z260=0,O260&lt;&gt;"",TODAY()-N(O260)&gt;P_JoursNonVisite),"Jamais visité","")))))</f>
        <v/>
      </c>
      <c r="AJ260" s="33">
        <f>IF(C260="","",C260&amp;" ["&amp;TEXT(A260,"000")&amp;"]")</f>
        <v/>
      </c>
      <c r="AK260" s="33">
        <f>IF(C260="","",X260&amp;"|"&amp;A260)</f>
        <v/>
      </c>
      <c r="AL260" s="47">
        <f>IF(C260="",0,IF(COUNTIFS(VC_cle,AK260)=0,0,MAX(INDEX((VC_cle=AK260)*(VC_date+ROW(VC_date)/100000),0))))</f>
        <v/>
      </c>
      <c r="AM260" s="47">
        <f>IF(AND(C260&lt;&gt;"",N(AB260)&gt;0,D260&lt;&gt;"Perdu"),AB260+ROW()/100000,0)</f>
        <v/>
      </c>
      <c r="AN260" s="48">
        <f>IF(N(AF260)&gt;0,ROUND(AF260,0)+ROW()/1000000,0)</f>
        <v/>
      </c>
    </row>
    <row r="261" ht="18" customHeight="1">
      <c r="A261" s="39" t="n">
        <v>256</v>
      </c>
      <c r="B261" s="33">
        <f>IF(C261="","",IF(X261="À RENSEIGNER","GIC",X261)&amp;"-"&amp;TEXT(A261,"000"))</f>
        <v/>
      </c>
      <c r="C261" s="36" t="n"/>
      <c r="D261" s="34">
        <f>IF(C261="","",IF(U261="☑ Oui","Perdu",IF(AD261&lt;&gt;"","Client","Prospect")))</f>
        <v/>
      </c>
      <c r="E261" s="36" t="n"/>
      <c r="F261" s="36" t="n"/>
      <c r="G261" s="44" t="n"/>
      <c r="H261" s="44" t="n"/>
      <c r="I261" s="36" t="n"/>
      <c r="J261" s="36" t="n"/>
      <c r="K261" s="41" t="n"/>
      <c r="L261" s="41" t="n"/>
      <c r="M261" s="36" t="n"/>
      <c r="N261" s="36" t="n"/>
      <c r="O261" s="32" t="n"/>
      <c r="P261" s="36" t="n"/>
      <c r="Q261" s="36" t="n"/>
      <c r="R261" s="34">
        <f>IF(P261="","",IFERROR(VLOOKUP(P261,T_Produits,2,FALSE),""))</f>
        <v/>
      </c>
      <c r="S261" s="36" t="n"/>
      <c r="T261" s="43" t="n"/>
      <c r="U261" s="43" t="n"/>
      <c r="V261" s="36" t="n"/>
      <c r="W261" s="36" t="n"/>
      <c r="X261" s="33">
        <f>IF(C261="","",Commercial_Id)</f>
        <v/>
      </c>
      <c r="Y261" s="33">
        <f>IF(E261="","",IF(E261="Particulier / ménage","Particulier","Entreprise"))</f>
        <v/>
      </c>
      <c r="Z261" s="39">
        <f>IF(C261="","",COUNTIFS(VC_cle,AK261,VC_type,"Visite sur place"))</f>
        <v/>
      </c>
      <c r="AA261" s="46">
        <f>IF(AL261=0,"",IF(INT(AL261)=0,"",INT(AL261)))</f>
        <v/>
      </c>
      <c r="AB261" s="46">
        <f>IF(AL261=0,"",IF(INDEX(VC_actiondate,ROUND(MOD(AL261,1)*100000,0)-5)=0,"",INDEX(VC_actiondate,ROUND(MOD(AL261,1)*100000,0)-5)))</f>
        <v/>
      </c>
      <c r="AC261" s="33">
        <f>IF(AL261=0,"",INDEX(VC_actiontexte,ROUND(MOD(AL261,1)*100000,0)-5)&amp;"")</f>
        <v/>
      </c>
      <c r="AD261" s="46">
        <f>IF(C261="","",IF(COUNTIFS(Cmd_cle,AK261,Cmd_dateca,"&gt;0")=0,"",SMALL(INDEX(Cmd_dateca+(((Cmd_cle&lt;&gt;AK261)+(Cmd_dateca=0))&gt;0)*1000000,0),1)))</f>
        <v/>
      </c>
      <c r="AE261" s="46">
        <f>IF(C261="","",IF(COUNTIFS(Cmd_cle,AK261,Cmd_dateca,"&gt;0")=0,"",MAX(INDEX((Cmd_cle=AK261)*Cmd_dateca,0))))</f>
        <v/>
      </c>
      <c r="AF261" s="40">
        <f>IF(C261="","",SUMIFS(Cmd_montant,Cmd_cle,AK261,Cmd_dateca,"&gt;0"))</f>
        <v/>
      </c>
      <c r="AG261" s="40">
        <f>IF(C261="","",SUMIFS(Enc_montant,Enc_cle,AK261))</f>
        <v/>
      </c>
      <c r="AH261" s="40">
        <f>IF(C261="","",AF261-AG261)</f>
        <v/>
      </c>
      <c r="AI261" s="33">
        <f>IF(C261="","",IF(D261="Perdu","",IF(AND(AB261&lt;&gt;"",N(AB261)&lt;TODAY()),"Action en retard",IF(AND(D261="Client",AE261&lt;&gt;"",TODAY()-N(AE261)&gt;P_JoursInactif),"Client inactif",IF(AND(D261="Prospect",Z261=0,O261&lt;&gt;"",TODAY()-N(O261)&gt;P_JoursNonVisite),"Jamais visité","")))))</f>
        <v/>
      </c>
      <c r="AJ261" s="33">
        <f>IF(C261="","",C261&amp;" ["&amp;TEXT(A261,"000")&amp;"]")</f>
        <v/>
      </c>
      <c r="AK261" s="33">
        <f>IF(C261="","",X261&amp;"|"&amp;A261)</f>
        <v/>
      </c>
      <c r="AL261" s="47">
        <f>IF(C261="",0,IF(COUNTIFS(VC_cle,AK261)=0,0,MAX(INDEX((VC_cle=AK261)*(VC_date+ROW(VC_date)/100000),0))))</f>
        <v/>
      </c>
      <c r="AM261" s="47">
        <f>IF(AND(C261&lt;&gt;"",N(AB261)&gt;0,D261&lt;&gt;"Perdu"),AB261+ROW()/100000,0)</f>
        <v/>
      </c>
      <c r="AN261" s="48">
        <f>IF(N(AF261)&gt;0,ROUND(AF261,0)+ROW()/1000000,0)</f>
        <v/>
      </c>
    </row>
    <row r="262" ht="18" customHeight="1">
      <c r="A262" s="39" t="n">
        <v>257</v>
      </c>
      <c r="B262" s="33">
        <f>IF(C262="","",IF(X262="À RENSEIGNER","GIC",X262)&amp;"-"&amp;TEXT(A262,"000"))</f>
        <v/>
      </c>
      <c r="C262" s="36" t="n"/>
      <c r="D262" s="34">
        <f>IF(C262="","",IF(U262="☑ Oui","Perdu",IF(AD262&lt;&gt;"","Client","Prospect")))</f>
        <v/>
      </c>
      <c r="E262" s="36" t="n"/>
      <c r="F262" s="36" t="n"/>
      <c r="G262" s="44" t="n"/>
      <c r="H262" s="44" t="n"/>
      <c r="I262" s="36" t="n"/>
      <c r="J262" s="36" t="n"/>
      <c r="K262" s="41" t="n"/>
      <c r="L262" s="41" t="n"/>
      <c r="M262" s="36" t="n"/>
      <c r="N262" s="36" t="n"/>
      <c r="O262" s="32" t="n"/>
      <c r="P262" s="36" t="n"/>
      <c r="Q262" s="36" t="n"/>
      <c r="R262" s="34">
        <f>IF(P262="","",IFERROR(VLOOKUP(P262,T_Produits,2,FALSE),""))</f>
        <v/>
      </c>
      <c r="S262" s="36" t="n"/>
      <c r="T262" s="43" t="n"/>
      <c r="U262" s="43" t="n"/>
      <c r="V262" s="36" t="n"/>
      <c r="W262" s="36" t="n"/>
      <c r="X262" s="33">
        <f>IF(C262="","",Commercial_Id)</f>
        <v/>
      </c>
      <c r="Y262" s="33">
        <f>IF(E262="","",IF(E262="Particulier / ménage","Particulier","Entreprise"))</f>
        <v/>
      </c>
      <c r="Z262" s="39">
        <f>IF(C262="","",COUNTIFS(VC_cle,AK262,VC_type,"Visite sur place"))</f>
        <v/>
      </c>
      <c r="AA262" s="46">
        <f>IF(AL262=0,"",IF(INT(AL262)=0,"",INT(AL262)))</f>
        <v/>
      </c>
      <c r="AB262" s="46">
        <f>IF(AL262=0,"",IF(INDEX(VC_actiondate,ROUND(MOD(AL262,1)*100000,0)-5)=0,"",INDEX(VC_actiondate,ROUND(MOD(AL262,1)*100000,0)-5)))</f>
        <v/>
      </c>
      <c r="AC262" s="33">
        <f>IF(AL262=0,"",INDEX(VC_actiontexte,ROUND(MOD(AL262,1)*100000,0)-5)&amp;"")</f>
        <v/>
      </c>
      <c r="AD262" s="46">
        <f>IF(C262="","",IF(COUNTIFS(Cmd_cle,AK262,Cmd_dateca,"&gt;0")=0,"",SMALL(INDEX(Cmd_dateca+(((Cmd_cle&lt;&gt;AK262)+(Cmd_dateca=0))&gt;0)*1000000,0),1)))</f>
        <v/>
      </c>
      <c r="AE262" s="46">
        <f>IF(C262="","",IF(COUNTIFS(Cmd_cle,AK262,Cmd_dateca,"&gt;0")=0,"",MAX(INDEX((Cmd_cle=AK262)*Cmd_dateca,0))))</f>
        <v/>
      </c>
      <c r="AF262" s="40">
        <f>IF(C262="","",SUMIFS(Cmd_montant,Cmd_cle,AK262,Cmd_dateca,"&gt;0"))</f>
        <v/>
      </c>
      <c r="AG262" s="40">
        <f>IF(C262="","",SUMIFS(Enc_montant,Enc_cle,AK262))</f>
        <v/>
      </c>
      <c r="AH262" s="40">
        <f>IF(C262="","",AF262-AG262)</f>
        <v/>
      </c>
      <c r="AI262" s="33">
        <f>IF(C262="","",IF(D262="Perdu","",IF(AND(AB262&lt;&gt;"",N(AB262)&lt;TODAY()),"Action en retard",IF(AND(D262="Client",AE262&lt;&gt;"",TODAY()-N(AE262)&gt;P_JoursInactif),"Client inactif",IF(AND(D262="Prospect",Z262=0,O262&lt;&gt;"",TODAY()-N(O262)&gt;P_JoursNonVisite),"Jamais visité","")))))</f>
        <v/>
      </c>
      <c r="AJ262" s="33">
        <f>IF(C262="","",C262&amp;" ["&amp;TEXT(A262,"000")&amp;"]")</f>
        <v/>
      </c>
      <c r="AK262" s="33">
        <f>IF(C262="","",X262&amp;"|"&amp;A262)</f>
        <v/>
      </c>
      <c r="AL262" s="47">
        <f>IF(C262="",0,IF(COUNTIFS(VC_cle,AK262)=0,0,MAX(INDEX((VC_cle=AK262)*(VC_date+ROW(VC_date)/100000),0))))</f>
        <v/>
      </c>
      <c r="AM262" s="47">
        <f>IF(AND(C262&lt;&gt;"",N(AB262)&gt;0,D262&lt;&gt;"Perdu"),AB262+ROW()/100000,0)</f>
        <v/>
      </c>
      <c r="AN262" s="48">
        <f>IF(N(AF262)&gt;0,ROUND(AF262,0)+ROW()/1000000,0)</f>
        <v/>
      </c>
    </row>
    <row r="263" ht="18" customHeight="1">
      <c r="A263" s="39" t="n">
        <v>258</v>
      </c>
      <c r="B263" s="33">
        <f>IF(C263="","",IF(X263="À RENSEIGNER","GIC",X263)&amp;"-"&amp;TEXT(A263,"000"))</f>
        <v/>
      </c>
      <c r="C263" s="36" t="n"/>
      <c r="D263" s="34">
        <f>IF(C263="","",IF(U263="☑ Oui","Perdu",IF(AD263&lt;&gt;"","Client","Prospect")))</f>
        <v/>
      </c>
      <c r="E263" s="36" t="n"/>
      <c r="F263" s="36" t="n"/>
      <c r="G263" s="44" t="n"/>
      <c r="H263" s="44" t="n"/>
      <c r="I263" s="36" t="n"/>
      <c r="J263" s="36" t="n"/>
      <c r="K263" s="41" t="n"/>
      <c r="L263" s="41" t="n"/>
      <c r="M263" s="36" t="n"/>
      <c r="N263" s="36" t="n"/>
      <c r="O263" s="32" t="n"/>
      <c r="P263" s="36" t="n"/>
      <c r="Q263" s="36" t="n"/>
      <c r="R263" s="34">
        <f>IF(P263="","",IFERROR(VLOOKUP(P263,T_Produits,2,FALSE),""))</f>
        <v/>
      </c>
      <c r="S263" s="36" t="n"/>
      <c r="T263" s="43" t="n"/>
      <c r="U263" s="43" t="n"/>
      <c r="V263" s="36" t="n"/>
      <c r="W263" s="36" t="n"/>
      <c r="X263" s="33">
        <f>IF(C263="","",Commercial_Id)</f>
        <v/>
      </c>
      <c r="Y263" s="33">
        <f>IF(E263="","",IF(E263="Particulier / ménage","Particulier","Entreprise"))</f>
        <v/>
      </c>
      <c r="Z263" s="39">
        <f>IF(C263="","",COUNTIFS(VC_cle,AK263,VC_type,"Visite sur place"))</f>
        <v/>
      </c>
      <c r="AA263" s="46">
        <f>IF(AL263=0,"",IF(INT(AL263)=0,"",INT(AL263)))</f>
        <v/>
      </c>
      <c r="AB263" s="46">
        <f>IF(AL263=0,"",IF(INDEX(VC_actiondate,ROUND(MOD(AL263,1)*100000,0)-5)=0,"",INDEX(VC_actiondate,ROUND(MOD(AL263,1)*100000,0)-5)))</f>
        <v/>
      </c>
      <c r="AC263" s="33">
        <f>IF(AL263=0,"",INDEX(VC_actiontexte,ROUND(MOD(AL263,1)*100000,0)-5)&amp;"")</f>
        <v/>
      </c>
      <c r="AD263" s="46">
        <f>IF(C263="","",IF(COUNTIFS(Cmd_cle,AK263,Cmd_dateca,"&gt;0")=0,"",SMALL(INDEX(Cmd_dateca+(((Cmd_cle&lt;&gt;AK263)+(Cmd_dateca=0))&gt;0)*1000000,0),1)))</f>
        <v/>
      </c>
      <c r="AE263" s="46">
        <f>IF(C263="","",IF(COUNTIFS(Cmd_cle,AK263,Cmd_dateca,"&gt;0")=0,"",MAX(INDEX((Cmd_cle=AK263)*Cmd_dateca,0))))</f>
        <v/>
      </c>
      <c r="AF263" s="40">
        <f>IF(C263="","",SUMIFS(Cmd_montant,Cmd_cle,AK263,Cmd_dateca,"&gt;0"))</f>
        <v/>
      </c>
      <c r="AG263" s="40">
        <f>IF(C263="","",SUMIFS(Enc_montant,Enc_cle,AK263))</f>
        <v/>
      </c>
      <c r="AH263" s="40">
        <f>IF(C263="","",AF263-AG263)</f>
        <v/>
      </c>
      <c r="AI263" s="33">
        <f>IF(C263="","",IF(D263="Perdu","",IF(AND(AB263&lt;&gt;"",N(AB263)&lt;TODAY()),"Action en retard",IF(AND(D263="Client",AE263&lt;&gt;"",TODAY()-N(AE263)&gt;P_JoursInactif),"Client inactif",IF(AND(D263="Prospect",Z263=0,O263&lt;&gt;"",TODAY()-N(O263)&gt;P_JoursNonVisite),"Jamais visité","")))))</f>
        <v/>
      </c>
      <c r="AJ263" s="33">
        <f>IF(C263="","",C263&amp;" ["&amp;TEXT(A263,"000")&amp;"]")</f>
        <v/>
      </c>
      <c r="AK263" s="33">
        <f>IF(C263="","",X263&amp;"|"&amp;A263)</f>
        <v/>
      </c>
      <c r="AL263" s="47">
        <f>IF(C263="",0,IF(COUNTIFS(VC_cle,AK263)=0,0,MAX(INDEX((VC_cle=AK263)*(VC_date+ROW(VC_date)/100000),0))))</f>
        <v/>
      </c>
      <c r="AM263" s="47">
        <f>IF(AND(C263&lt;&gt;"",N(AB263)&gt;0,D263&lt;&gt;"Perdu"),AB263+ROW()/100000,0)</f>
        <v/>
      </c>
      <c r="AN263" s="48">
        <f>IF(N(AF263)&gt;0,ROUND(AF263,0)+ROW()/1000000,0)</f>
        <v/>
      </c>
    </row>
    <row r="264" ht="18" customHeight="1">
      <c r="A264" s="39" t="n">
        <v>259</v>
      </c>
      <c r="B264" s="33">
        <f>IF(C264="","",IF(X264="À RENSEIGNER","GIC",X264)&amp;"-"&amp;TEXT(A264,"000"))</f>
        <v/>
      </c>
      <c r="C264" s="36" t="n"/>
      <c r="D264" s="34">
        <f>IF(C264="","",IF(U264="☑ Oui","Perdu",IF(AD264&lt;&gt;"","Client","Prospect")))</f>
        <v/>
      </c>
      <c r="E264" s="36" t="n"/>
      <c r="F264" s="36" t="n"/>
      <c r="G264" s="44" t="n"/>
      <c r="H264" s="44" t="n"/>
      <c r="I264" s="36" t="n"/>
      <c r="J264" s="36" t="n"/>
      <c r="K264" s="41" t="n"/>
      <c r="L264" s="41" t="n"/>
      <c r="M264" s="36" t="n"/>
      <c r="N264" s="36" t="n"/>
      <c r="O264" s="32" t="n"/>
      <c r="P264" s="36" t="n"/>
      <c r="Q264" s="36" t="n"/>
      <c r="R264" s="34">
        <f>IF(P264="","",IFERROR(VLOOKUP(P264,T_Produits,2,FALSE),""))</f>
        <v/>
      </c>
      <c r="S264" s="36" t="n"/>
      <c r="T264" s="43" t="n"/>
      <c r="U264" s="43" t="n"/>
      <c r="V264" s="36" t="n"/>
      <c r="W264" s="36" t="n"/>
      <c r="X264" s="33">
        <f>IF(C264="","",Commercial_Id)</f>
        <v/>
      </c>
      <c r="Y264" s="33">
        <f>IF(E264="","",IF(E264="Particulier / ménage","Particulier","Entreprise"))</f>
        <v/>
      </c>
      <c r="Z264" s="39">
        <f>IF(C264="","",COUNTIFS(VC_cle,AK264,VC_type,"Visite sur place"))</f>
        <v/>
      </c>
      <c r="AA264" s="46">
        <f>IF(AL264=0,"",IF(INT(AL264)=0,"",INT(AL264)))</f>
        <v/>
      </c>
      <c r="AB264" s="46">
        <f>IF(AL264=0,"",IF(INDEX(VC_actiondate,ROUND(MOD(AL264,1)*100000,0)-5)=0,"",INDEX(VC_actiondate,ROUND(MOD(AL264,1)*100000,0)-5)))</f>
        <v/>
      </c>
      <c r="AC264" s="33">
        <f>IF(AL264=0,"",INDEX(VC_actiontexte,ROUND(MOD(AL264,1)*100000,0)-5)&amp;"")</f>
        <v/>
      </c>
      <c r="AD264" s="46">
        <f>IF(C264="","",IF(COUNTIFS(Cmd_cle,AK264,Cmd_dateca,"&gt;0")=0,"",SMALL(INDEX(Cmd_dateca+(((Cmd_cle&lt;&gt;AK264)+(Cmd_dateca=0))&gt;0)*1000000,0),1)))</f>
        <v/>
      </c>
      <c r="AE264" s="46">
        <f>IF(C264="","",IF(COUNTIFS(Cmd_cle,AK264,Cmd_dateca,"&gt;0")=0,"",MAX(INDEX((Cmd_cle=AK264)*Cmd_dateca,0))))</f>
        <v/>
      </c>
      <c r="AF264" s="40">
        <f>IF(C264="","",SUMIFS(Cmd_montant,Cmd_cle,AK264,Cmd_dateca,"&gt;0"))</f>
        <v/>
      </c>
      <c r="AG264" s="40">
        <f>IF(C264="","",SUMIFS(Enc_montant,Enc_cle,AK264))</f>
        <v/>
      </c>
      <c r="AH264" s="40">
        <f>IF(C264="","",AF264-AG264)</f>
        <v/>
      </c>
      <c r="AI264" s="33">
        <f>IF(C264="","",IF(D264="Perdu","",IF(AND(AB264&lt;&gt;"",N(AB264)&lt;TODAY()),"Action en retard",IF(AND(D264="Client",AE264&lt;&gt;"",TODAY()-N(AE264)&gt;P_JoursInactif),"Client inactif",IF(AND(D264="Prospect",Z264=0,O264&lt;&gt;"",TODAY()-N(O264)&gt;P_JoursNonVisite),"Jamais visité","")))))</f>
        <v/>
      </c>
      <c r="AJ264" s="33">
        <f>IF(C264="","",C264&amp;" ["&amp;TEXT(A264,"000")&amp;"]")</f>
        <v/>
      </c>
      <c r="AK264" s="33">
        <f>IF(C264="","",X264&amp;"|"&amp;A264)</f>
        <v/>
      </c>
      <c r="AL264" s="47">
        <f>IF(C264="",0,IF(COUNTIFS(VC_cle,AK264)=0,0,MAX(INDEX((VC_cle=AK264)*(VC_date+ROW(VC_date)/100000),0))))</f>
        <v/>
      </c>
      <c r="AM264" s="47">
        <f>IF(AND(C264&lt;&gt;"",N(AB264)&gt;0,D264&lt;&gt;"Perdu"),AB264+ROW()/100000,0)</f>
        <v/>
      </c>
      <c r="AN264" s="48">
        <f>IF(N(AF264)&gt;0,ROUND(AF264,0)+ROW()/1000000,0)</f>
        <v/>
      </c>
    </row>
    <row r="265" ht="18" customHeight="1">
      <c r="A265" s="39" t="n">
        <v>260</v>
      </c>
      <c r="B265" s="33">
        <f>IF(C265="","",IF(X265="À RENSEIGNER","GIC",X265)&amp;"-"&amp;TEXT(A265,"000"))</f>
        <v/>
      </c>
      <c r="C265" s="36" t="n"/>
      <c r="D265" s="34">
        <f>IF(C265="","",IF(U265="☑ Oui","Perdu",IF(AD265&lt;&gt;"","Client","Prospect")))</f>
        <v/>
      </c>
      <c r="E265" s="36" t="n"/>
      <c r="F265" s="36" t="n"/>
      <c r="G265" s="44" t="n"/>
      <c r="H265" s="44" t="n"/>
      <c r="I265" s="36" t="n"/>
      <c r="J265" s="36" t="n"/>
      <c r="K265" s="41" t="n"/>
      <c r="L265" s="41" t="n"/>
      <c r="M265" s="36" t="n"/>
      <c r="N265" s="36" t="n"/>
      <c r="O265" s="32" t="n"/>
      <c r="P265" s="36" t="n"/>
      <c r="Q265" s="36" t="n"/>
      <c r="R265" s="34">
        <f>IF(P265="","",IFERROR(VLOOKUP(P265,T_Produits,2,FALSE),""))</f>
        <v/>
      </c>
      <c r="S265" s="36" t="n"/>
      <c r="T265" s="43" t="n"/>
      <c r="U265" s="43" t="n"/>
      <c r="V265" s="36" t="n"/>
      <c r="W265" s="36" t="n"/>
      <c r="X265" s="33">
        <f>IF(C265="","",Commercial_Id)</f>
        <v/>
      </c>
      <c r="Y265" s="33">
        <f>IF(E265="","",IF(E265="Particulier / ménage","Particulier","Entreprise"))</f>
        <v/>
      </c>
      <c r="Z265" s="39">
        <f>IF(C265="","",COUNTIFS(VC_cle,AK265,VC_type,"Visite sur place"))</f>
        <v/>
      </c>
      <c r="AA265" s="46">
        <f>IF(AL265=0,"",IF(INT(AL265)=0,"",INT(AL265)))</f>
        <v/>
      </c>
      <c r="AB265" s="46">
        <f>IF(AL265=0,"",IF(INDEX(VC_actiondate,ROUND(MOD(AL265,1)*100000,0)-5)=0,"",INDEX(VC_actiondate,ROUND(MOD(AL265,1)*100000,0)-5)))</f>
        <v/>
      </c>
      <c r="AC265" s="33">
        <f>IF(AL265=0,"",INDEX(VC_actiontexte,ROUND(MOD(AL265,1)*100000,0)-5)&amp;"")</f>
        <v/>
      </c>
      <c r="AD265" s="46">
        <f>IF(C265="","",IF(COUNTIFS(Cmd_cle,AK265,Cmd_dateca,"&gt;0")=0,"",SMALL(INDEX(Cmd_dateca+(((Cmd_cle&lt;&gt;AK265)+(Cmd_dateca=0))&gt;0)*1000000,0),1)))</f>
        <v/>
      </c>
      <c r="AE265" s="46">
        <f>IF(C265="","",IF(COUNTIFS(Cmd_cle,AK265,Cmd_dateca,"&gt;0")=0,"",MAX(INDEX((Cmd_cle=AK265)*Cmd_dateca,0))))</f>
        <v/>
      </c>
      <c r="AF265" s="40">
        <f>IF(C265="","",SUMIFS(Cmd_montant,Cmd_cle,AK265,Cmd_dateca,"&gt;0"))</f>
        <v/>
      </c>
      <c r="AG265" s="40">
        <f>IF(C265="","",SUMIFS(Enc_montant,Enc_cle,AK265))</f>
        <v/>
      </c>
      <c r="AH265" s="40">
        <f>IF(C265="","",AF265-AG265)</f>
        <v/>
      </c>
      <c r="AI265" s="33">
        <f>IF(C265="","",IF(D265="Perdu","",IF(AND(AB265&lt;&gt;"",N(AB265)&lt;TODAY()),"Action en retard",IF(AND(D265="Client",AE265&lt;&gt;"",TODAY()-N(AE265)&gt;P_JoursInactif),"Client inactif",IF(AND(D265="Prospect",Z265=0,O265&lt;&gt;"",TODAY()-N(O265)&gt;P_JoursNonVisite),"Jamais visité","")))))</f>
        <v/>
      </c>
      <c r="AJ265" s="33">
        <f>IF(C265="","",C265&amp;" ["&amp;TEXT(A265,"000")&amp;"]")</f>
        <v/>
      </c>
      <c r="AK265" s="33">
        <f>IF(C265="","",X265&amp;"|"&amp;A265)</f>
        <v/>
      </c>
      <c r="AL265" s="47">
        <f>IF(C265="",0,IF(COUNTIFS(VC_cle,AK265)=0,0,MAX(INDEX((VC_cle=AK265)*(VC_date+ROW(VC_date)/100000),0))))</f>
        <v/>
      </c>
      <c r="AM265" s="47">
        <f>IF(AND(C265&lt;&gt;"",N(AB265)&gt;0,D265&lt;&gt;"Perdu"),AB265+ROW()/100000,0)</f>
        <v/>
      </c>
      <c r="AN265" s="48">
        <f>IF(N(AF265)&gt;0,ROUND(AF265,0)+ROW()/1000000,0)</f>
        <v/>
      </c>
    </row>
    <row r="266" ht="18" customHeight="1">
      <c r="A266" s="39" t="n">
        <v>261</v>
      </c>
      <c r="B266" s="33">
        <f>IF(C266="","",IF(X266="À RENSEIGNER","GIC",X266)&amp;"-"&amp;TEXT(A266,"000"))</f>
        <v/>
      </c>
      <c r="C266" s="36" t="n"/>
      <c r="D266" s="34">
        <f>IF(C266="","",IF(U266="☑ Oui","Perdu",IF(AD266&lt;&gt;"","Client","Prospect")))</f>
        <v/>
      </c>
      <c r="E266" s="36" t="n"/>
      <c r="F266" s="36" t="n"/>
      <c r="G266" s="44" t="n"/>
      <c r="H266" s="44" t="n"/>
      <c r="I266" s="36" t="n"/>
      <c r="J266" s="36" t="n"/>
      <c r="K266" s="41" t="n"/>
      <c r="L266" s="41" t="n"/>
      <c r="M266" s="36" t="n"/>
      <c r="N266" s="36" t="n"/>
      <c r="O266" s="32" t="n"/>
      <c r="P266" s="36" t="n"/>
      <c r="Q266" s="36" t="n"/>
      <c r="R266" s="34">
        <f>IF(P266="","",IFERROR(VLOOKUP(P266,T_Produits,2,FALSE),""))</f>
        <v/>
      </c>
      <c r="S266" s="36" t="n"/>
      <c r="T266" s="43" t="n"/>
      <c r="U266" s="43" t="n"/>
      <c r="V266" s="36" t="n"/>
      <c r="W266" s="36" t="n"/>
      <c r="X266" s="33">
        <f>IF(C266="","",Commercial_Id)</f>
        <v/>
      </c>
      <c r="Y266" s="33">
        <f>IF(E266="","",IF(E266="Particulier / ménage","Particulier","Entreprise"))</f>
        <v/>
      </c>
      <c r="Z266" s="39">
        <f>IF(C266="","",COUNTIFS(VC_cle,AK266,VC_type,"Visite sur place"))</f>
        <v/>
      </c>
      <c r="AA266" s="46">
        <f>IF(AL266=0,"",IF(INT(AL266)=0,"",INT(AL266)))</f>
        <v/>
      </c>
      <c r="AB266" s="46">
        <f>IF(AL266=0,"",IF(INDEX(VC_actiondate,ROUND(MOD(AL266,1)*100000,0)-5)=0,"",INDEX(VC_actiondate,ROUND(MOD(AL266,1)*100000,0)-5)))</f>
        <v/>
      </c>
      <c r="AC266" s="33">
        <f>IF(AL266=0,"",INDEX(VC_actiontexte,ROUND(MOD(AL266,1)*100000,0)-5)&amp;"")</f>
        <v/>
      </c>
      <c r="AD266" s="46">
        <f>IF(C266="","",IF(COUNTIFS(Cmd_cle,AK266,Cmd_dateca,"&gt;0")=0,"",SMALL(INDEX(Cmd_dateca+(((Cmd_cle&lt;&gt;AK266)+(Cmd_dateca=0))&gt;0)*1000000,0),1)))</f>
        <v/>
      </c>
      <c r="AE266" s="46">
        <f>IF(C266="","",IF(COUNTIFS(Cmd_cle,AK266,Cmd_dateca,"&gt;0")=0,"",MAX(INDEX((Cmd_cle=AK266)*Cmd_dateca,0))))</f>
        <v/>
      </c>
      <c r="AF266" s="40">
        <f>IF(C266="","",SUMIFS(Cmd_montant,Cmd_cle,AK266,Cmd_dateca,"&gt;0"))</f>
        <v/>
      </c>
      <c r="AG266" s="40">
        <f>IF(C266="","",SUMIFS(Enc_montant,Enc_cle,AK266))</f>
        <v/>
      </c>
      <c r="AH266" s="40">
        <f>IF(C266="","",AF266-AG266)</f>
        <v/>
      </c>
      <c r="AI266" s="33">
        <f>IF(C266="","",IF(D266="Perdu","",IF(AND(AB266&lt;&gt;"",N(AB266)&lt;TODAY()),"Action en retard",IF(AND(D266="Client",AE266&lt;&gt;"",TODAY()-N(AE266)&gt;P_JoursInactif),"Client inactif",IF(AND(D266="Prospect",Z266=0,O266&lt;&gt;"",TODAY()-N(O266)&gt;P_JoursNonVisite),"Jamais visité","")))))</f>
        <v/>
      </c>
      <c r="AJ266" s="33">
        <f>IF(C266="","",C266&amp;" ["&amp;TEXT(A266,"000")&amp;"]")</f>
        <v/>
      </c>
      <c r="AK266" s="33">
        <f>IF(C266="","",X266&amp;"|"&amp;A266)</f>
        <v/>
      </c>
      <c r="AL266" s="47">
        <f>IF(C266="",0,IF(COUNTIFS(VC_cle,AK266)=0,0,MAX(INDEX((VC_cle=AK266)*(VC_date+ROW(VC_date)/100000),0))))</f>
        <v/>
      </c>
      <c r="AM266" s="47">
        <f>IF(AND(C266&lt;&gt;"",N(AB266)&gt;0,D266&lt;&gt;"Perdu"),AB266+ROW()/100000,0)</f>
        <v/>
      </c>
      <c r="AN266" s="48">
        <f>IF(N(AF266)&gt;0,ROUND(AF266,0)+ROW()/1000000,0)</f>
        <v/>
      </c>
    </row>
    <row r="267" ht="18" customHeight="1">
      <c r="A267" s="39" t="n">
        <v>262</v>
      </c>
      <c r="B267" s="33">
        <f>IF(C267="","",IF(X267="À RENSEIGNER","GIC",X267)&amp;"-"&amp;TEXT(A267,"000"))</f>
        <v/>
      </c>
      <c r="C267" s="36" t="n"/>
      <c r="D267" s="34">
        <f>IF(C267="","",IF(U267="☑ Oui","Perdu",IF(AD267&lt;&gt;"","Client","Prospect")))</f>
        <v/>
      </c>
      <c r="E267" s="36" t="n"/>
      <c r="F267" s="36" t="n"/>
      <c r="G267" s="44" t="n"/>
      <c r="H267" s="44" t="n"/>
      <c r="I267" s="36" t="n"/>
      <c r="J267" s="36" t="n"/>
      <c r="K267" s="41" t="n"/>
      <c r="L267" s="41" t="n"/>
      <c r="M267" s="36" t="n"/>
      <c r="N267" s="36" t="n"/>
      <c r="O267" s="32" t="n"/>
      <c r="P267" s="36" t="n"/>
      <c r="Q267" s="36" t="n"/>
      <c r="R267" s="34">
        <f>IF(P267="","",IFERROR(VLOOKUP(P267,T_Produits,2,FALSE),""))</f>
        <v/>
      </c>
      <c r="S267" s="36" t="n"/>
      <c r="T267" s="43" t="n"/>
      <c r="U267" s="43" t="n"/>
      <c r="V267" s="36" t="n"/>
      <c r="W267" s="36" t="n"/>
      <c r="X267" s="33">
        <f>IF(C267="","",Commercial_Id)</f>
        <v/>
      </c>
      <c r="Y267" s="33">
        <f>IF(E267="","",IF(E267="Particulier / ménage","Particulier","Entreprise"))</f>
        <v/>
      </c>
      <c r="Z267" s="39">
        <f>IF(C267="","",COUNTIFS(VC_cle,AK267,VC_type,"Visite sur place"))</f>
        <v/>
      </c>
      <c r="AA267" s="46">
        <f>IF(AL267=0,"",IF(INT(AL267)=0,"",INT(AL267)))</f>
        <v/>
      </c>
      <c r="AB267" s="46">
        <f>IF(AL267=0,"",IF(INDEX(VC_actiondate,ROUND(MOD(AL267,1)*100000,0)-5)=0,"",INDEX(VC_actiondate,ROUND(MOD(AL267,1)*100000,0)-5)))</f>
        <v/>
      </c>
      <c r="AC267" s="33">
        <f>IF(AL267=0,"",INDEX(VC_actiontexte,ROUND(MOD(AL267,1)*100000,0)-5)&amp;"")</f>
        <v/>
      </c>
      <c r="AD267" s="46">
        <f>IF(C267="","",IF(COUNTIFS(Cmd_cle,AK267,Cmd_dateca,"&gt;0")=0,"",SMALL(INDEX(Cmd_dateca+(((Cmd_cle&lt;&gt;AK267)+(Cmd_dateca=0))&gt;0)*1000000,0),1)))</f>
        <v/>
      </c>
      <c r="AE267" s="46">
        <f>IF(C267="","",IF(COUNTIFS(Cmd_cle,AK267,Cmd_dateca,"&gt;0")=0,"",MAX(INDEX((Cmd_cle=AK267)*Cmd_dateca,0))))</f>
        <v/>
      </c>
      <c r="AF267" s="40">
        <f>IF(C267="","",SUMIFS(Cmd_montant,Cmd_cle,AK267,Cmd_dateca,"&gt;0"))</f>
        <v/>
      </c>
      <c r="AG267" s="40">
        <f>IF(C267="","",SUMIFS(Enc_montant,Enc_cle,AK267))</f>
        <v/>
      </c>
      <c r="AH267" s="40">
        <f>IF(C267="","",AF267-AG267)</f>
        <v/>
      </c>
      <c r="AI267" s="33">
        <f>IF(C267="","",IF(D267="Perdu","",IF(AND(AB267&lt;&gt;"",N(AB267)&lt;TODAY()),"Action en retard",IF(AND(D267="Client",AE267&lt;&gt;"",TODAY()-N(AE267)&gt;P_JoursInactif),"Client inactif",IF(AND(D267="Prospect",Z267=0,O267&lt;&gt;"",TODAY()-N(O267)&gt;P_JoursNonVisite),"Jamais visité","")))))</f>
        <v/>
      </c>
      <c r="AJ267" s="33">
        <f>IF(C267="","",C267&amp;" ["&amp;TEXT(A267,"000")&amp;"]")</f>
        <v/>
      </c>
      <c r="AK267" s="33">
        <f>IF(C267="","",X267&amp;"|"&amp;A267)</f>
        <v/>
      </c>
      <c r="AL267" s="47">
        <f>IF(C267="",0,IF(COUNTIFS(VC_cle,AK267)=0,0,MAX(INDEX((VC_cle=AK267)*(VC_date+ROW(VC_date)/100000),0))))</f>
        <v/>
      </c>
      <c r="AM267" s="47">
        <f>IF(AND(C267&lt;&gt;"",N(AB267)&gt;0,D267&lt;&gt;"Perdu"),AB267+ROW()/100000,0)</f>
        <v/>
      </c>
      <c r="AN267" s="48">
        <f>IF(N(AF267)&gt;0,ROUND(AF267,0)+ROW()/1000000,0)</f>
        <v/>
      </c>
    </row>
    <row r="268" ht="18" customHeight="1">
      <c r="A268" s="39" t="n">
        <v>263</v>
      </c>
      <c r="B268" s="33">
        <f>IF(C268="","",IF(X268="À RENSEIGNER","GIC",X268)&amp;"-"&amp;TEXT(A268,"000"))</f>
        <v/>
      </c>
      <c r="C268" s="36" t="n"/>
      <c r="D268" s="34">
        <f>IF(C268="","",IF(U268="☑ Oui","Perdu",IF(AD268&lt;&gt;"","Client","Prospect")))</f>
        <v/>
      </c>
      <c r="E268" s="36" t="n"/>
      <c r="F268" s="36" t="n"/>
      <c r="G268" s="44" t="n"/>
      <c r="H268" s="44" t="n"/>
      <c r="I268" s="36" t="n"/>
      <c r="J268" s="36" t="n"/>
      <c r="K268" s="41" t="n"/>
      <c r="L268" s="41" t="n"/>
      <c r="M268" s="36" t="n"/>
      <c r="N268" s="36" t="n"/>
      <c r="O268" s="32" t="n"/>
      <c r="P268" s="36" t="n"/>
      <c r="Q268" s="36" t="n"/>
      <c r="R268" s="34">
        <f>IF(P268="","",IFERROR(VLOOKUP(P268,T_Produits,2,FALSE),""))</f>
        <v/>
      </c>
      <c r="S268" s="36" t="n"/>
      <c r="T268" s="43" t="n"/>
      <c r="U268" s="43" t="n"/>
      <c r="V268" s="36" t="n"/>
      <c r="W268" s="36" t="n"/>
      <c r="X268" s="33">
        <f>IF(C268="","",Commercial_Id)</f>
        <v/>
      </c>
      <c r="Y268" s="33">
        <f>IF(E268="","",IF(E268="Particulier / ménage","Particulier","Entreprise"))</f>
        <v/>
      </c>
      <c r="Z268" s="39">
        <f>IF(C268="","",COUNTIFS(VC_cle,AK268,VC_type,"Visite sur place"))</f>
        <v/>
      </c>
      <c r="AA268" s="46">
        <f>IF(AL268=0,"",IF(INT(AL268)=0,"",INT(AL268)))</f>
        <v/>
      </c>
      <c r="AB268" s="46">
        <f>IF(AL268=0,"",IF(INDEX(VC_actiondate,ROUND(MOD(AL268,1)*100000,0)-5)=0,"",INDEX(VC_actiondate,ROUND(MOD(AL268,1)*100000,0)-5)))</f>
        <v/>
      </c>
      <c r="AC268" s="33">
        <f>IF(AL268=0,"",INDEX(VC_actiontexte,ROUND(MOD(AL268,1)*100000,0)-5)&amp;"")</f>
        <v/>
      </c>
      <c r="AD268" s="46">
        <f>IF(C268="","",IF(COUNTIFS(Cmd_cle,AK268,Cmd_dateca,"&gt;0")=0,"",SMALL(INDEX(Cmd_dateca+(((Cmd_cle&lt;&gt;AK268)+(Cmd_dateca=0))&gt;0)*1000000,0),1)))</f>
        <v/>
      </c>
      <c r="AE268" s="46">
        <f>IF(C268="","",IF(COUNTIFS(Cmd_cle,AK268,Cmd_dateca,"&gt;0")=0,"",MAX(INDEX((Cmd_cle=AK268)*Cmd_dateca,0))))</f>
        <v/>
      </c>
      <c r="AF268" s="40">
        <f>IF(C268="","",SUMIFS(Cmd_montant,Cmd_cle,AK268,Cmd_dateca,"&gt;0"))</f>
        <v/>
      </c>
      <c r="AG268" s="40">
        <f>IF(C268="","",SUMIFS(Enc_montant,Enc_cle,AK268))</f>
        <v/>
      </c>
      <c r="AH268" s="40">
        <f>IF(C268="","",AF268-AG268)</f>
        <v/>
      </c>
      <c r="AI268" s="33">
        <f>IF(C268="","",IF(D268="Perdu","",IF(AND(AB268&lt;&gt;"",N(AB268)&lt;TODAY()),"Action en retard",IF(AND(D268="Client",AE268&lt;&gt;"",TODAY()-N(AE268)&gt;P_JoursInactif),"Client inactif",IF(AND(D268="Prospect",Z268=0,O268&lt;&gt;"",TODAY()-N(O268)&gt;P_JoursNonVisite),"Jamais visité","")))))</f>
        <v/>
      </c>
      <c r="AJ268" s="33">
        <f>IF(C268="","",C268&amp;" ["&amp;TEXT(A268,"000")&amp;"]")</f>
        <v/>
      </c>
      <c r="AK268" s="33">
        <f>IF(C268="","",X268&amp;"|"&amp;A268)</f>
        <v/>
      </c>
      <c r="AL268" s="47">
        <f>IF(C268="",0,IF(COUNTIFS(VC_cle,AK268)=0,0,MAX(INDEX((VC_cle=AK268)*(VC_date+ROW(VC_date)/100000),0))))</f>
        <v/>
      </c>
      <c r="AM268" s="47">
        <f>IF(AND(C268&lt;&gt;"",N(AB268)&gt;0,D268&lt;&gt;"Perdu"),AB268+ROW()/100000,0)</f>
        <v/>
      </c>
      <c r="AN268" s="48">
        <f>IF(N(AF268)&gt;0,ROUND(AF268,0)+ROW()/1000000,0)</f>
        <v/>
      </c>
    </row>
    <row r="269" ht="18" customHeight="1">
      <c r="A269" s="39" t="n">
        <v>264</v>
      </c>
      <c r="B269" s="33">
        <f>IF(C269="","",IF(X269="À RENSEIGNER","GIC",X269)&amp;"-"&amp;TEXT(A269,"000"))</f>
        <v/>
      </c>
      <c r="C269" s="36" t="n"/>
      <c r="D269" s="34">
        <f>IF(C269="","",IF(U269="☑ Oui","Perdu",IF(AD269&lt;&gt;"","Client","Prospect")))</f>
        <v/>
      </c>
      <c r="E269" s="36" t="n"/>
      <c r="F269" s="36" t="n"/>
      <c r="G269" s="44" t="n"/>
      <c r="H269" s="44" t="n"/>
      <c r="I269" s="36" t="n"/>
      <c r="J269" s="36" t="n"/>
      <c r="K269" s="41" t="n"/>
      <c r="L269" s="41" t="n"/>
      <c r="M269" s="36" t="n"/>
      <c r="N269" s="36" t="n"/>
      <c r="O269" s="32" t="n"/>
      <c r="P269" s="36" t="n"/>
      <c r="Q269" s="36" t="n"/>
      <c r="R269" s="34">
        <f>IF(P269="","",IFERROR(VLOOKUP(P269,T_Produits,2,FALSE),""))</f>
        <v/>
      </c>
      <c r="S269" s="36" t="n"/>
      <c r="T269" s="43" t="n"/>
      <c r="U269" s="43" t="n"/>
      <c r="V269" s="36" t="n"/>
      <c r="W269" s="36" t="n"/>
      <c r="X269" s="33">
        <f>IF(C269="","",Commercial_Id)</f>
        <v/>
      </c>
      <c r="Y269" s="33">
        <f>IF(E269="","",IF(E269="Particulier / ménage","Particulier","Entreprise"))</f>
        <v/>
      </c>
      <c r="Z269" s="39">
        <f>IF(C269="","",COUNTIFS(VC_cle,AK269,VC_type,"Visite sur place"))</f>
        <v/>
      </c>
      <c r="AA269" s="46">
        <f>IF(AL269=0,"",IF(INT(AL269)=0,"",INT(AL269)))</f>
        <v/>
      </c>
      <c r="AB269" s="46">
        <f>IF(AL269=0,"",IF(INDEX(VC_actiondate,ROUND(MOD(AL269,1)*100000,0)-5)=0,"",INDEX(VC_actiondate,ROUND(MOD(AL269,1)*100000,0)-5)))</f>
        <v/>
      </c>
      <c r="AC269" s="33">
        <f>IF(AL269=0,"",INDEX(VC_actiontexte,ROUND(MOD(AL269,1)*100000,0)-5)&amp;"")</f>
        <v/>
      </c>
      <c r="AD269" s="46">
        <f>IF(C269="","",IF(COUNTIFS(Cmd_cle,AK269,Cmd_dateca,"&gt;0")=0,"",SMALL(INDEX(Cmd_dateca+(((Cmd_cle&lt;&gt;AK269)+(Cmd_dateca=0))&gt;0)*1000000,0),1)))</f>
        <v/>
      </c>
      <c r="AE269" s="46">
        <f>IF(C269="","",IF(COUNTIFS(Cmd_cle,AK269,Cmd_dateca,"&gt;0")=0,"",MAX(INDEX((Cmd_cle=AK269)*Cmd_dateca,0))))</f>
        <v/>
      </c>
      <c r="AF269" s="40">
        <f>IF(C269="","",SUMIFS(Cmd_montant,Cmd_cle,AK269,Cmd_dateca,"&gt;0"))</f>
        <v/>
      </c>
      <c r="AG269" s="40">
        <f>IF(C269="","",SUMIFS(Enc_montant,Enc_cle,AK269))</f>
        <v/>
      </c>
      <c r="AH269" s="40">
        <f>IF(C269="","",AF269-AG269)</f>
        <v/>
      </c>
      <c r="AI269" s="33">
        <f>IF(C269="","",IF(D269="Perdu","",IF(AND(AB269&lt;&gt;"",N(AB269)&lt;TODAY()),"Action en retard",IF(AND(D269="Client",AE269&lt;&gt;"",TODAY()-N(AE269)&gt;P_JoursInactif),"Client inactif",IF(AND(D269="Prospect",Z269=0,O269&lt;&gt;"",TODAY()-N(O269)&gt;P_JoursNonVisite),"Jamais visité","")))))</f>
        <v/>
      </c>
      <c r="AJ269" s="33">
        <f>IF(C269="","",C269&amp;" ["&amp;TEXT(A269,"000")&amp;"]")</f>
        <v/>
      </c>
      <c r="AK269" s="33">
        <f>IF(C269="","",X269&amp;"|"&amp;A269)</f>
        <v/>
      </c>
      <c r="AL269" s="47">
        <f>IF(C269="",0,IF(COUNTIFS(VC_cle,AK269)=0,0,MAX(INDEX((VC_cle=AK269)*(VC_date+ROW(VC_date)/100000),0))))</f>
        <v/>
      </c>
      <c r="AM269" s="47">
        <f>IF(AND(C269&lt;&gt;"",N(AB269)&gt;0,D269&lt;&gt;"Perdu"),AB269+ROW()/100000,0)</f>
        <v/>
      </c>
      <c r="AN269" s="48">
        <f>IF(N(AF269)&gt;0,ROUND(AF269,0)+ROW()/1000000,0)</f>
        <v/>
      </c>
    </row>
    <row r="270" ht="18" customHeight="1">
      <c r="A270" s="39" t="n">
        <v>265</v>
      </c>
      <c r="B270" s="33">
        <f>IF(C270="","",IF(X270="À RENSEIGNER","GIC",X270)&amp;"-"&amp;TEXT(A270,"000"))</f>
        <v/>
      </c>
      <c r="C270" s="36" t="n"/>
      <c r="D270" s="34">
        <f>IF(C270="","",IF(U270="☑ Oui","Perdu",IF(AD270&lt;&gt;"","Client","Prospect")))</f>
        <v/>
      </c>
      <c r="E270" s="36" t="n"/>
      <c r="F270" s="36" t="n"/>
      <c r="G270" s="44" t="n"/>
      <c r="H270" s="44" t="n"/>
      <c r="I270" s="36" t="n"/>
      <c r="J270" s="36" t="n"/>
      <c r="K270" s="41" t="n"/>
      <c r="L270" s="41" t="n"/>
      <c r="M270" s="36" t="n"/>
      <c r="N270" s="36" t="n"/>
      <c r="O270" s="32" t="n"/>
      <c r="P270" s="36" t="n"/>
      <c r="Q270" s="36" t="n"/>
      <c r="R270" s="34">
        <f>IF(P270="","",IFERROR(VLOOKUP(P270,T_Produits,2,FALSE),""))</f>
        <v/>
      </c>
      <c r="S270" s="36" t="n"/>
      <c r="T270" s="43" t="n"/>
      <c r="U270" s="43" t="n"/>
      <c r="V270" s="36" t="n"/>
      <c r="W270" s="36" t="n"/>
      <c r="X270" s="33">
        <f>IF(C270="","",Commercial_Id)</f>
        <v/>
      </c>
      <c r="Y270" s="33">
        <f>IF(E270="","",IF(E270="Particulier / ménage","Particulier","Entreprise"))</f>
        <v/>
      </c>
      <c r="Z270" s="39">
        <f>IF(C270="","",COUNTIFS(VC_cle,AK270,VC_type,"Visite sur place"))</f>
        <v/>
      </c>
      <c r="AA270" s="46">
        <f>IF(AL270=0,"",IF(INT(AL270)=0,"",INT(AL270)))</f>
        <v/>
      </c>
      <c r="AB270" s="46">
        <f>IF(AL270=0,"",IF(INDEX(VC_actiondate,ROUND(MOD(AL270,1)*100000,0)-5)=0,"",INDEX(VC_actiondate,ROUND(MOD(AL270,1)*100000,0)-5)))</f>
        <v/>
      </c>
      <c r="AC270" s="33">
        <f>IF(AL270=0,"",INDEX(VC_actiontexte,ROUND(MOD(AL270,1)*100000,0)-5)&amp;"")</f>
        <v/>
      </c>
      <c r="AD270" s="46">
        <f>IF(C270="","",IF(COUNTIFS(Cmd_cle,AK270,Cmd_dateca,"&gt;0")=0,"",SMALL(INDEX(Cmd_dateca+(((Cmd_cle&lt;&gt;AK270)+(Cmd_dateca=0))&gt;0)*1000000,0),1)))</f>
        <v/>
      </c>
      <c r="AE270" s="46">
        <f>IF(C270="","",IF(COUNTIFS(Cmd_cle,AK270,Cmd_dateca,"&gt;0")=0,"",MAX(INDEX((Cmd_cle=AK270)*Cmd_dateca,0))))</f>
        <v/>
      </c>
      <c r="AF270" s="40">
        <f>IF(C270="","",SUMIFS(Cmd_montant,Cmd_cle,AK270,Cmd_dateca,"&gt;0"))</f>
        <v/>
      </c>
      <c r="AG270" s="40">
        <f>IF(C270="","",SUMIFS(Enc_montant,Enc_cle,AK270))</f>
        <v/>
      </c>
      <c r="AH270" s="40">
        <f>IF(C270="","",AF270-AG270)</f>
        <v/>
      </c>
      <c r="AI270" s="33">
        <f>IF(C270="","",IF(D270="Perdu","",IF(AND(AB270&lt;&gt;"",N(AB270)&lt;TODAY()),"Action en retard",IF(AND(D270="Client",AE270&lt;&gt;"",TODAY()-N(AE270)&gt;P_JoursInactif),"Client inactif",IF(AND(D270="Prospect",Z270=0,O270&lt;&gt;"",TODAY()-N(O270)&gt;P_JoursNonVisite),"Jamais visité","")))))</f>
        <v/>
      </c>
      <c r="AJ270" s="33">
        <f>IF(C270="","",C270&amp;" ["&amp;TEXT(A270,"000")&amp;"]")</f>
        <v/>
      </c>
      <c r="AK270" s="33">
        <f>IF(C270="","",X270&amp;"|"&amp;A270)</f>
        <v/>
      </c>
      <c r="AL270" s="47">
        <f>IF(C270="",0,IF(COUNTIFS(VC_cle,AK270)=0,0,MAX(INDEX((VC_cle=AK270)*(VC_date+ROW(VC_date)/100000),0))))</f>
        <v/>
      </c>
      <c r="AM270" s="47">
        <f>IF(AND(C270&lt;&gt;"",N(AB270)&gt;0,D270&lt;&gt;"Perdu"),AB270+ROW()/100000,0)</f>
        <v/>
      </c>
      <c r="AN270" s="48">
        <f>IF(N(AF270)&gt;0,ROUND(AF270,0)+ROW()/1000000,0)</f>
        <v/>
      </c>
    </row>
    <row r="271" ht="18" customHeight="1">
      <c r="A271" s="39" t="n">
        <v>266</v>
      </c>
      <c r="B271" s="33">
        <f>IF(C271="","",IF(X271="À RENSEIGNER","GIC",X271)&amp;"-"&amp;TEXT(A271,"000"))</f>
        <v/>
      </c>
      <c r="C271" s="36" t="n"/>
      <c r="D271" s="34">
        <f>IF(C271="","",IF(U271="☑ Oui","Perdu",IF(AD271&lt;&gt;"","Client","Prospect")))</f>
        <v/>
      </c>
      <c r="E271" s="36" t="n"/>
      <c r="F271" s="36" t="n"/>
      <c r="G271" s="44" t="n"/>
      <c r="H271" s="44" t="n"/>
      <c r="I271" s="36" t="n"/>
      <c r="J271" s="36" t="n"/>
      <c r="K271" s="41" t="n"/>
      <c r="L271" s="41" t="n"/>
      <c r="M271" s="36" t="n"/>
      <c r="N271" s="36" t="n"/>
      <c r="O271" s="32" t="n"/>
      <c r="P271" s="36" t="n"/>
      <c r="Q271" s="36" t="n"/>
      <c r="R271" s="34">
        <f>IF(P271="","",IFERROR(VLOOKUP(P271,T_Produits,2,FALSE),""))</f>
        <v/>
      </c>
      <c r="S271" s="36" t="n"/>
      <c r="T271" s="43" t="n"/>
      <c r="U271" s="43" t="n"/>
      <c r="V271" s="36" t="n"/>
      <c r="W271" s="36" t="n"/>
      <c r="X271" s="33">
        <f>IF(C271="","",Commercial_Id)</f>
        <v/>
      </c>
      <c r="Y271" s="33">
        <f>IF(E271="","",IF(E271="Particulier / ménage","Particulier","Entreprise"))</f>
        <v/>
      </c>
      <c r="Z271" s="39">
        <f>IF(C271="","",COUNTIFS(VC_cle,AK271,VC_type,"Visite sur place"))</f>
        <v/>
      </c>
      <c r="AA271" s="46">
        <f>IF(AL271=0,"",IF(INT(AL271)=0,"",INT(AL271)))</f>
        <v/>
      </c>
      <c r="AB271" s="46">
        <f>IF(AL271=0,"",IF(INDEX(VC_actiondate,ROUND(MOD(AL271,1)*100000,0)-5)=0,"",INDEX(VC_actiondate,ROUND(MOD(AL271,1)*100000,0)-5)))</f>
        <v/>
      </c>
      <c r="AC271" s="33">
        <f>IF(AL271=0,"",INDEX(VC_actiontexte,ROUND(MOD(AL271,1)*100000,0)-5)&amp;"")</f>
        <v/>
      </c>
      <c r="AD271" s="46">
        <f>IF(C271="","",IF(COUNTIFS(Cmd_cle,AK271,Cmd_dateca,"&gt;0")=0,"",SMALL(INDEX(Cmd_dateca+(((Cmd_cle&lt;&gt;AK271)+(Cmd_dateca=0))&gt;0)*1000000,0),1)))</f>
        <v/>
      </c>
      <c r="AE271" s="46">
        <f>IF(C271="","",IF(COUNTIFS(Cmd_cle,AK271,Cmd_dateca,"&gt;0")=0,"",MAX(INDEX((Cmd_cle=AK271)*Cmd_dateca,0))))</f>
        <v/>
      </c>
      <c r="AF271" s="40">
        <f>IF(C271="","",SUMIFS(Cmd_montant,Cmd_cle,AK271,Cmd_dateca,"&gt;0"))</f>
        <v/>
      </c>
      <c r="AG271" s="40">
        <f>IF(C271="","",SUMIFS(Enc_montant,Enc_cle,AK271))</f>
        <v/>
      </c>
      <c r="AH271" s="40">
        <f>IF(C271="","",AF271-AG271)</f>
        <v/>
      </c>
      <c r="AI271" s="33">
        <f>IF(C271="","",IF(D271="Perdu","",IF(AND(AB271&lt;&gt;"",N(AB271)&lt;TODAY()),"Action en retard",IF(AND(D271="Client",AE271&lt;&gt;"",TODAY()-N(AE271)&gt;P_JoursInactif),"Client inactif",IF(AND(D271="Prospect",Z271=0,O271&lt;&gt;"",TODAY()-N(O271)&gt;P_JoursNonVisite),"Jamais visité","")))))</f>
        <v/>
      </c>
      <c r="AJ271" s="33">
        <f>IF(C271="","",C271&amp;" ["&amp;TEXT(A271,"000")&amp;"]")</f>
        <v/>
      </c>
      <c r="AK271" s="33">
        <f>IF(C271="","",X271&amp;"|"&amp;A271)</f>
        <v/>
      </c>
      <c r="AL271" s="47">
        <f>IF(C271="",0,IF(COUNTIFS(VC_cle,AK271)=0,0,MAX(INDEX((VC_cle=AK271)*(VC_date+ROW(VC_date)/100000),0))))</f>
        <v/>
      </c>
      <c r="AM271" s="47">
        <f>IF(AND(C271&lt;&gt;"",N(AB271)&gt;0,D271&lt;&gt;"Perdu"),AB271+ROW()/100000,0)</f>
        <v/>
      </c>
      <c r="AN271" s="48">
        <f>IF(N(AF271)&gt;0,ROUND(AF271,0)+ROW()/1000000,0)</f>
        <v/>
      </c>
    </row>
    <row r="272" ht="18" customHeight="1">
      <c r="A272" s="39" t="n">
        <v>267</v>
      </c>
      <c r="B272" s="33">
        <f>IF(C272="","",IF(X272="À RENSEIGNER","GIC",X272)&amp;"-"&amp;TEXT(A272,"000"))</f>
        <v/>
      </c>
      <c r="C272" s="36" t="n"/>
      <c r="D272" s="34">
        <f>IF(C272="","",IF(U272="☑ Oui","Perdu",IF(AD272&lt;&gt;"","Client","Prospect")))</f>
        <v/>
      </c>
      <c r="E272" s="36" t="n"/>
      <c r="F272" s="36" t="n"/>
      <c r="G272" s="44" t="n"/>
      <c r="H272" s="44" t="n"/>
      <c r="I272" s="36" t="n"/>
      <c r="J272" s="36" t="n"/>
      <c r="K272" s="41" t="n"/>
      <c r="L272" s="41" t="n"/>
      <c r="M272" s="36" t="n"/>
      <c r="N272" s="36" t="n"/>
      <c r="O272" s="32" t="n"/>
      <c r="P272" s="36" t="n"/>
      <c r="Q272" s="36" t="n"/>
      <c r="R272" s="34">
        <f>IF(P272="","",IFERROR(VLOOKUP(P272,T_Produits,2,FALSE),""))</f>
        <v/>
      </c>
      <c r="S272" s="36" t="n"/>
      <c r="T272" s="43" t="n"/>
      <c r="U272" s="43" t="n"/>
      <c r="V272" s="36" t="n"/>
      <c r="W272" s="36" t="n"/>
      <c r="X272" s="33">
        <f>IF(C272="","",Commercial_Id)</f>
        <v/>
      </c>
      <c r="Y272" s="33">
        <f>IF(E272="","",IF(E272="Particulier / ménage","Particulier","Entreprise"))</f>
        <v/>
      </c>
      <c r="Z272" s="39">
        <f>IF(C272="","",COUNTIFS(VC_cle,AK272,VC_type,"Visite sur place"))</f>
        <v/>
      </c>
      <c r="AA272" s="46">
        <f>IF(AL272=0,"",IF(INT(AL272)=0,"",INT(AL272)))</f>
        <v/>
      </c>
      <c r="AB272" s="46">
        <f>IF(AL272=0,"",IF(INDEX(VC_actiondate,ROUND(MOD(AL272,1)*100000,0)-5)=0,"",INDEX(VC_actiondate,ROUND(MOD(AL272,1)*100000,0)-5)))</f>
        <v/>
      </c>
      <c r="AC272" s="33">
        <f>IF(AL272=0,"",INDEX(VC_actiontexte,ROUND(MOD(AL272,1)*100000,0)-5)&amp;"")</f>
        <v/>
      </c>
      <c r="AD272" s="46">
        <f>IF(C272="","",IF(COUNTIFS(Cmd_cle,AK272,Cmd_dateca,"&gt;0")=0,"",SMALL(INDEX(Cmd_dateca+(((Cmd_cle&lt;&gt;AK272)+(Cmd_dateca=0))&gt;0)*1000000,0),1)))</f>
        <v/>
      </c>
      <c r="AE272" s="46">
        <f>IF(C272="","",IF(COUNTIFS(Cmd_cle,AK272,Cmd_dateca,"&gt;0")=0,"",MAX(INDEX((Cmd_cle=AK272)*Cmd_dateca,0))))</f>
        <v/>
      </c>
      <c r="AF272" s="40">
        <f>IF(C272="","",SUMIFS(Cmd_montant,Cmd_cle,AK272,Cmd_dateca,"&gt;0"))</f>
        <v/>
      </c>
      <c r="AG272" s="40">
        <f>IF(C272="","",SUMIFS(Enc_montant,Enc_cle,AK272))</f>
        <v/>
      </c>
      <c r="AH272" s="40">
        <f>IF(C272="","",AF272-AG272)</f>
        <v/>
      </c>
      <c r="AI272" s="33">
        <f>IF(C272="","",IF(D272="Perdu","",IF(AND(AB272&lt;&gt;"",N(AB272)&lt;TODAY()),"Action en retard",IF(AND(D272="Client",AE272&lt;&gt;"",TODAY()-N(AE272)&gt;P_JoursInactif),"Client inactif",IF(AND(D272="Prospect",Z272=0,O272&lt;&gt;"",TODAY()-N(O272)&gt;P_JoursNonVisite),"Jamais visité","")))))</f>
        <v/>
      </c>
      <c r="AJ272" s="33">
        <f>IF(C272="","",C272&amp;" ["&amp;TEXT(A272,"000")&amp;"]")</f>
        <v/>
      </c>
      <c r="AK272" s="33">
        <f>IF(C272="","",X272&amp;"|"&amp;A272)</f>
        <v/>
      </c>
      <c r="AL272" s="47">
        <f>IF(C272="",0,IF(COUNTIFS(VC_cle,AK272)=0,0,MAX(INDEX((VC_cle=AK272)*(VC_date+ROW(VC_date)/100000),0))))</f>
        <v/>
      </c>
      <c r="AM272" s="47">
        <f>IF(AND(C272&lt;&gt;"",N(AB272)&gt;0,D272&lt;&gt;"Perdu"),AB272+ROW()/100000,0)</f>
        <v/>
      </c>
      <c r="AN272" s="48">
        <f>IF(N(AF272)&gt;0,ROUND(AF272,0)+ROW()/1000000,0)</f>
        <v/>
      </c>
    </row>
    <row r="273" ht="18" customHeight="1">
      <c r="A273" s="39" t="n">
        <v>268</v>
      </c>
      <c r="B273" s="33">
        <f>IF(C273="","",IF(X273="À RENSEIGNER","GIC",X273)&amp;"-"&amp;TEXT(A273,"000"))</f>
        <v/>
      </c>
      <c r="C273" s="36" t="n"/>
      <c r="D273" s="34">
        <f>IF(C273="","",IF(U273="☑ Oui","Perdu",IF(AD273&lt;&gt;"","Client","Prospect")))</f>
        <v/>
      </c>
      <c r="E273" s="36" t="n"/>
      <c r="F273" s="36" t="n"/>
      <c r="G273" s="44" t="n"/>
      <c r="H273" s="44" t="n"/>
      <c r="I273" s="36" t="n"/>
      <c r="J273" s="36" t="n"/>
      <c r="K273" s="41" t="n"/>
      <c r="L273" s="41" t="n"/>
      <c r="M273" s="36" t="n"/>
      <c r="N273" s="36" t="n"/>
      <c r="O273" s="32" t="n"/>
      <c r="P273" s="36" t="n"/>
      <c r="Q273" s="36" t="n"/>
      <c r="R273" s="34">
        <f>IF(P273="","",IFERROR(VLOOKUP(P273,T_Produits,2,FALSE),""))</f>
        <v/>
      </c>
      <c r="S273" s="36" t="n"/>
      <c r="T273" s="43" t="n"/>
      <c r="U273" s="43" t="n"/>
      <c r="V273" s="36" t="n"/>
      <c r="W273" s="36" t="n"/>
      <c r="X273" s="33">
        <f>IF(C273="","",Commercial_Id)</f>
        <v/>
      </c>
      <c r="Y273" s="33">
        <f>IF(E273="","",IF(E273="Particulier / ménage","Particulier","Entreprise"))</f>
        <v/>
      </c>
      <c r="Z273" s="39">
        <f>IF(C273="","",COUNTIFS(VC_cle,AK273,VC_type,"Visite sur place"))</f>
        <v/>
      </c>
      <c r="AA273" s="46">
        <f>IF(AL273=0,"",IF(INT(AL273)=0,"",INT(AL273)))</f>
        <v/>
      </c>
      <c r="AB273" s="46">
        <f>IF(AL273=0,"",IF(INDEX(VC_actiondate,ROUND(MOD(AL273,1)*100000,0)-5)=0,"",INDEX(VC_actiondate,ROUND(MOD(AL273,1)*100000,0)-5)))</f>
        <v/>
      </c>
      <c r="AC273" s="33">
        <f>IF(AL273=0,"",INDEX(VC_actiontexte,ROUND(MOD(AL273,1)*100000,0)-5)&amp;"")</f>
        <v/>
      </c>
      <c r="AD273" s="46">
        <f>IF(C273="","",IF(COUNTIFS(Cmd_cle,AK273,Cmd_dateca,"&gt;0")=0,"",SMALL(INDEX(Cmd_dateca+(((Cmd_cle&lt;&gt;AK273)+(Cmd_dateca=0))&gt;0)*1000000,0),1)))</f>
        <v/>
      </c>
      <c r="AE273" s="46">
        <f>IF(C273="","",IF(COUNTIFS(Cmd_cle,AK273,Cmd_dateca,"&gt;0")=0,"",MAX(INDEX((Cmd_cle=AK273)*Cmd_dateca,0))))</f>
        <v/>
      </c>
      <c r="AF273" s="40">
        <f>IF(C273="","",SUMIFS(Cmd_montant,Cmd_cle,AK273,Cmd_dateca,"&gt;0"))</f>
        <v/>
      </c>
      <c r="AG273" s="40">
        <f>IF(C273="","",SUMIFS(Enc_montant,Enc_cle,AK273))</f>
        <v/>
      </c>
      <c r="AH273" s="40">
        <f>IF(C273="","",AF273-AG273)</f>
        <v/>
      </c>
      <c r="AI273" s="33">
        <f>IF(C273="","",IF(D273="Perdu","",IF(AND(AB273&lt;&gt;"",N(AB273)&lt;TODAY()),"Action en retard",IF(AND(D273="Client",AE273&lt;&gt;"",TODAY()-N(AE273)&gt;P_JoursInactif),"Client inactif",IF(AND(D273="Prospect",Z273=0,O273&lt;&gt;"",TODAY()-N(O273)&gt;P_JoursNonVisite),"Jamais visité","")))))</f>
        <v/>
      </c>
      <c r="AJ273" s="33">
        <f>IF(C273="","",C273&amp;" ["&amp;TEXT(A273,"000")&amp;"]")</f>
        <v/>
      </c>
      <c r="AK273" s="33">
        <f>IF(C273="","",X273&amp;"|"&amp;A273)</f>
        <v/>
      </c>
      <c r="AL273" s="47">
        <f>IF(C273="",0,IF(COUNTIFS(VC_cle,AK273)=0,0,MAX(INDEX((VC_cle=AK273)*(VC_date+ROW(VC_date)/100000),0))))</f>
        <v/>
      </c>
      <c r="AM273" s="47">
        <f>IF(AND(C273&lt;&gt;"",N(AB273)&gt;0,D273&lt;&gt;"Perdu"),AB273+ROW()/100000,0)</f>
        <v/>
      </c>
      <c r="AN273" s="48">
        <f>IF(N(AF273)&gt;0,ROUND(AF273,0)+ROW()/1000000,0)</f>
        <v/>
      </c>
    </row>
    <row r="274" ht="18" customHeight="1">
      <c r="A274" s="39" t="n">
        <v>269</v>
      </c>
      <c r="B274" s="33">
        <f>IF(C274="","",IF(X274="À RENSEIGNER","GIC",X274)&amp;"-"&amp;TEXT(A274,"000"))</f>
        <v/>
      </c>
      <c r="C274" s="36" t="n"/>
      <c r="D274" s="34">
        <f>IF(C274="","",IF(U274="☑ Oui","Perdu",IF(AD274&lt;&gt;"","Client","Prospect")))</f>
        <v/>
      </c>
      <c r="E274" s="36" t="n"/>
      <c r="F274" s="36" t="n"/>
      <c r="G274" s="44" t="n"/>
      <c r="H274" s="44" t="n"/>
      <c r="I274" s="36" t="n"/>
      <c r="J274" s="36" t="n"/>
      <c r="K274" s="41" t="n"/>
      <c r="L274" s="41" t="n"/>
      <c r="M274" s="36" t="n"/>
      <c r="N274" s="36" t="n"/>
      <c r="O274" s="32" t="n"/>
      <c r="P274" s="36" t="n"/>
      <c r="Q274" s="36" t="n"/>
      <c r="R274" s="34">
        <f>IF(P274="","",IFERROR(VLOOKUP(P274,T_Produits,2,FALSE),""))</f>
        <v/>
      </c>
      <c r="S274" s="36" t="n"/>
      <c r="T274" s="43" t="n"/>
      <c r="U274" s="43" t="n"/>
      <c r="V274" s="36" t="n"/>
      <c r="W274" s="36" t="n"/>
      <c r="X274" s="33">
        <f>IF(C274="","",Commercial_Id)</f>
        <v/>
      </c>
      <c r="Y274" s="33">
        <f>IF(E274="","",IF(E274="Particulier / ménage","Particulier","Entreprise"))</f>
        <v/>
      </c>
      <c r="Z274" s="39">
        <f>IF(C274="","",COUNTIFS(VC_cle,AK274,VC_type,"Visite sur place"))</f>
        <v/>
      </c>
      <c r="AA274" s="46">
        <f>IF(AL274=0,"",IF(INT(AL274)=0,"",INT(AL274)))</f>
        <v/>
      </c>
      <c r="AB274" s="46">
        <f>IF(AL274=0,"",IF(INDEX(VC_actiondate,ROUND(MOD(AL274,1)*100000,0)-5)=0,"",INDEX(VC_actiondate,ROUND(MOD(AL274,1)*100000,0)-5)))</f>
        <v/>
      </c>
      <c r="AC274" s="33">
        <f>IF(AL274=0,"",INDEX(VC_actiontexte,ROUND(MOD(AL274,1)*100000,0)-5)&amp;"")</f>
        <v/>
      </c>
      <c r="AD274" s="46">
        <f>IF(C274="","",IF(COUNTIFS(Cmd_cle,AK274,Cmd_dateca,"&gt;0")=0,"",SMALL(INDEX(Cmd_dateca+(((Cmd_cle&lt;&gt;AK274)+(Cmd_dateca=0))&gt;0)*1000000,0),1)))</f>
        <v/>
      </c>
      <c r="AE274" s="46">
        <f>IF(C274="","",IF(COUNTIFS(Cmd_cle,AK274,Cmd_dateca,"&gt;0")=0,"",MAX(INDEX((Cmd_cle=AK274)*Cmd_dateca,0))))</f>
        <v/>
      </c>
      <c r="AF274" s="40">
        <f>IF(C274="","",SUMIFS(Cmd_montant,Cmd_cle,AK274,Cmd_dateca,"&gt;0"))</f>
        <v/>
      </c>
      <c r="AG274" s="40">
        <f>IF(C274="","",SUMIFS(Enc_montant,Enc_cle,AK274))</f>
        <v/>
      </c>
      <c r="AH274" s="40">
        <f>IF(C274="","",AF274-AG274)</f>
        <v/>
      </c>
      <c r="AI274" s="33">
        <f>IF(C274="","",IF(D274="Perdu","",IF(AND(AB274&lt;&gt;"",N(AB274)&lt;TODAY()),"Action en retard",IF(AND(D274="Client",AE274&lt;&gt;"",TODAY()-N(AE274)&gt;P_JoursInactif),"Client inactif",IF(AND(D274="Prospect",Z274=0,O274&lt;&gt;"",TODAY()-N(O274)&gt;P_JoursNonVisite),"Jamais visité","")))))</f>
        <v/>
      </c>
      <c r="AJ274" s="33">
        <f>IF(C274="","",C274&amp;" ["&amp;TEXT(A274,"000")&amp;"]")</f>
        <v/>
      </c>
      <c r="AK274" s="33">
        <f>IF(C274="","",X274&amp;"|"&amp;A274)</f>
        <v/>
      </c>
      <c r="AL274" s="47">
        <f>IF(C274="",0,IF(COUNTIFS(VC_cle,AK274)=0,0,MAX(INDEX((VC_cle=AK274)*(VC_date+ROW(VC_date)/100000),0))))</f>
        <v/>
      </c>
      <c r="AM274" s="47">
        <f>IF(AND(C274&lt;&gt;"",N(AB274)&gt;0,D274&lt;&gt;"Perdu"),AB274+ROW()/100000,0)</f>
        <v/>
      </c>
      <c r="AN274" s="48">
        <f>IF(N(AF274)&gt;0,ROUND(AF274,0)+ROW()/1000000,0)</f>
        <v/>
      </c>
    </row>
    <row r="275" ht="18" customHeight="1">
      <c r="A275" s="39" t="n">
        <v>270</v>
      </c>
      <c r="B275" s="33">
        <f>IF(C275="","",IF(X275="À RENSEIGNER","GIC",X275)&amp;"-"&amp;TEXT(A275,"000"))</f>
        <v/>
      </c>
      <c r="C275" s="36" t="n"/>
      <c r="D275" s="34">
        <f>IF(C275="","",IF(U275="☑ Oui","Perdu",IF(AD275&lt;&gt;"","Client","Prospect")))</f>
        <v/>
      </c>
      <c r="E275" s="36" t="n"/>
      <c r="F275" s="36" t="n"/>
      <c r="G275" s="44" t="n"/>
      <c r="H275" s="44" t="n"/>
      <c r="I275" s="36" t="n"/>
      <c r="J275" s="36" t="n"/>
      <c r="K275" s="41" t="n"/>
      <c r="L275" s="41" t="n"/>
      <c r="M275" s="36" t="n"/>
      <c r="N275" s="36" t="n"/>
      <c r="O275" s="32" t="n"/>
      <c r="P275" s="36" t="n"/>
      <c r="Q275" s="36" t="n"/>
      <c r="R275" s="34">
        <f>IF(P275="","",IFERROR(VLOOKUP(P275,T_Produits,2,FALSE),""))</f>
        <v/>
      </c>
      <c r="S275" s="36" t="n"/>
      <c r="T275" s="43" t="n"/>
      <c r="U275" s="43" t="n"/>
      <c r="V275" s="36" t="n"/>
      <c r="W275" s="36" t="n"/>
      <c r="X275" s="33">
        <f>IF(C275="","",Commercial_Id)</f>
        <v/>
      </c>
      <c r="Y275" s="33">
        <f>IF(E275="","",IF(E275="Particulier / ménage","Particulier","Entreprise"))</f>
        <v/>
      </c>
      <c r="Z275" s="39">
        <f>IF(C275="","",COUNTIFS(VC_cle,AK275,VC_type,"Visite sur place"))</f>
        <v/>
      </c>
      <c r="AA275" s="46">
        <f>IF(AL275=0,"",IF(INT(AL275)=0,"",INT(AL275)))</f>
        <v/>
      </c>
      <c r="AB275" s="46">
        <f>IF(AL275=0,"",IF(INDEX(VC_actiondate,ROUND(MOD(AL275,1)*100000,0)-5)=0,"",INDEX(VC_actiondate,ROUND(MOD(AL275,1)*100000,0)-5)))</f>
        <v/>
      </c>
      <c r="AC275" s="33">
        <f>IF(AL275=0,"",INDEX(VC_actiontexte,ROUND(MOD(AL275,1)*100000,0)-5)&amp;"")</f>
        <v/>
      </c>
      <c r="AD275" s="46">
        <f>IF(C275="","",IF(COUNTIFS(Cmd_cle,AK275,Cmd_dateca,"&gt;0")=0,"",SMALL(INDEX(Cmd_dateca+(((Cmd_cle&lt;&gt;AK275)+(Cmd_dateca=0))&gt;0)*1000000,0),1)))</f>
        <v/>
      </c>
      <c r="AE275" s="46">
        <f>IF(C275="","",IF(COUNTIFS(Cmd_cle,AK275,Cmd_dateca,"&gt;0")=0,"",MAX(INDEX((Cmd_cle=AK275)*Cmd_dateca,0))))</f>
        <v/>
      </c>
      <c r="AF275" s="40">
        <f>IF(C275="","",SUMIFS(Cmd_montant,Cmd_cle,AK275,Cmd_dateca,"&gt;0"))</f>
        <v/>
      </c>
      <c r="AG275" s="40">
        <f>IF(C275="","",SUMIFS(Enc_montant,Enc_cle,AK275))</f>
        <v/>
      </c>
      <c r="AH275" s="40">
        <f>IF(C275="","",AF275-AG275)</f>
        <v/>
      </c>
      <c r="AI275" s="33">
        <f>IF(C275="","",IF(D275="Perdu","",IF(AND(AB275&lt;&gt;"",N(AB275)&lt;TODAY()),"Action en retard",IF(AND(D275="Client",AE275&lt;&gt;"",TODAY()-N(AE275)&gt;P_JoursInactif),"Client inactif",IF(AND(D275="Prospect",Z275=0,O275&lt;&gt;"",TODAY()-N(O275)&gt;P_JoursNonVisite),"Jamais visité","")))))</f>
        <v/>
      </c>
      <c r="AJ275" s="33">
        <f>IF(C275="","",C275&amp;" ["&amp;TEXT(A275,"000")&amp;"]")</f>
        <v/>
      </c>
      <c r="AK275" s="33">
        <f>IF(C275="","",X275&amp;"|"&amp;A275)</f>
        <v/>
      </c>
      <c r="AL275" s="47">
        <f>IF(C275="",0,IF(COUNTIFS(VC_cle,AK275)=0,0,MAX(INDEX((VC_cle=AK275)*(VC_date+ROW(VC_date)/100000),0))))</f>
        <v/>
      </c>
      <c r="AM275" s="47">
        <f>IF(AND(C275&lt;&gt;"",N(AB275)&gt;0,D275&lt;&gt;"Perdu"),AB275+ROW()/100000,0)</f>
        <v/>
      </c>
      <c r="AN275" s="48">
        <f>IF(N(AF275)&gt;0,ROUND(AF275,0)+ROW()/1000000,0)</f>
        <v/>
      </c>
    </row>
    <row r="276" ht="18" customHeight="1">
      <c r="A276" s="39" t="n">
        <v>271</v>
      </c>
      <c r="B276" s="33">
        <f>IF(C276="","",IF(X276="À RENSEIGNER","GIC",X276)&amp;"-"&amp;TEXT(A276,"000"))</f>
        <v/>
      </c>
      <c r="C276" s="36" t="n"/>
      <c r="D276" s="34">
        <f>IF(C276="","",IF(U276="☑ Oui","Perdu",IF(AD276&lt;&gt;"","Client","Prospect")))</f>
        <v/>
      </c>
      <c r="E276" s="36" t="n"/>
      <c r="F276" s="36" t="n"/>
      <c r="G276" s="44" t="n"/>
      <c r="H276" s="44" t="n"/>
      <c r="I276" s="36" t="n"/>
      <c r="J276" s="36" t="n"/>
      <c r="K276" s="41" t="n"/>
      <c r="L276" s="41" t="n"/>
      <c r="M276" s="36" t="n"/>
      <c r="N276" s="36" t="n"/>
      <c r="O276" s="32" t="n"/>
      <c r="P276" s="36" t="n"/>
      <c r="Q276" s="36" t="n"/>
      <c r="R276" s="34">
        <f>IF(P276="","",IFERROR(VLOOKUP(P276,T_Produits,2,FALSE),""))</f>
        <v/>
      </c>
      <c r="S276" s="36" t="n"/>
      <c r="T276" s="43" t="n"/>
      <c r="U276" s="43" t="n"/>
      <c r="V276" s="36" t="n"/>
      <c r="W276" s="36" t="n"/>
      <c r="X276" s="33">
        <f>IF(C276="","",Commercial_Id)</f>
        <v/>
      </c>
      <c r="Y276" s="33">
        <f>IF(E276="","",IF(E276="Particulier / ménage","Particulier","Entreprise"))</f>
        <v/>
      </c>
      <c r="Z276" s="39">
        <f>IF(C276="","",COUNTIFS(VC_cle,AK276,VC_type,"Visite sur place"))</f>
        <v/>
      </c>
      <c r="AA276" s="46">
        <f>IF(AL276=0,"",IF(INT(AL276)=0,"",INT(AL276)))</f>
        <v/>
      </c>
      <c r="AB276" s="46">
        <f>IF(AL276=0,"",IF(INDEX(VC_actiondate,ROUND(MOD(AL276,1)*100000,0)-5)=0,"",INDEX(VC_actiondate,ROUND(MOD(AL276,1)*100000,0)-5)))</f>
        <v/>
      </c>
      <c r="AC276" s="33">
        <f>IF(AL276=0,"",INDEX(VC_actiontexte,ROUND(MOD(AL276,1)*100000,0)-5)&amp;"")</f>
        <v/>
      </c>
      <c r="AD276" s="46">
        <f>IF(C276="","",IF(COUNTIFS(Cmd_cle,AK276,Cmd_dateca,"&gt;0")=0,"",SMALL(INDEX(Cmd_dateca+(((Cmd_cle&lt;&gt;AK276)+(Cmd_dateca=0))&gt;0)*1000000,0),1)))</f>
        <v/>
      </c>
      <c r="AE276" s="46">
        <f>IF(C276="","",IF(COUNTIFS(Cmd_cle,AK276,Cmd_dateca,"&gt;0")=0,"",MAX(INDEX((Cmd_cle=AK276)*Cmd_dateca,0))))</f>
        <v/>
      </c>
      <c r="AF276" s="40">
        <f>IF(C276="","",SUMIFS(Cmd_montant,Cmd_cle,AK276,Cmd_dateca,"&gt;0"))</f>
        <v/>
      </c>
      <c r="AG276" s="40">
        <f>IF(C276="","",SUMIFS(Enc_montant,Enc_cle,AK276))</f>
        <v/>
      </c>
      <c r="AH276" s="40">
        <f>IF(C276="","",AF276-AG276)</f>
        <v/>
      </c>
      <c r="AI276" s="33">
        <f>IF(C276="","",IF(D276="Perdu","",IF(AND(AB276&lt;&gt;"",N(AB276)&lt;TODAY()),"Action en retard",IF(AND(D276="Client",AE276&lt;&gt;"",TODAY()-N(AE276)&gt;P_JoursInactif),"Client inactif",IF(AND(D276="Prospect",Z276=0,O276&lt;&gt;"",TODAY()-N(O276)&gt;P_JoursNonVisite),"Jamais visité","")))))</f>
        <v/>
      </c>
      <c r="AJ276" s="33">
        <f>IF(C276="","",C276&amp;" ["&amp;TEXT(A276,"000")&amp;"]")</f>
        <v/>
      </c>
      <c r="AK276" s="33">
        <f>IF(C276="","",X276&amp;"|"&amp;A276)</f>
        <v/>
      </c>
      <c r="AL276" s="47">
        <f>IF(C276="",0,IF(COUNTIFS(VC_cle,AK276)=0,0,MAX(INDEX((VC_cle=AK276)*(VC_date+ROW(VC_date)/100000),0))))</f>
        <v/>
      </c>
      <c r="AM276" s="47">
        <f>IF(AND(C276&lt;&gt;"",N(AB276)&gt;0,D276&lt;&gt;"Perdu"),AB276+ROW()/100000,0)</f>
        <v/>
      </c>
      <c r="AN276" s="48">
        <f>IF(N(AF276)&gt;0,ROUND(AF276,0)+ROW()/1000000,0)</f>
        <v/>
      </c>
    </row>
    <row r="277" ht="18" customHeight="1">
      <c r="A277" s="39" t="n">
        <v>272</v>
      </c>
      <c r="B277" s="33">
        <f>IF(C277="","",IF(X277="À RENSEIGNER","GIC",X277)&amp;"-"&amp;TEXT(A277,"000"))</f>
        <v/>
      </c>
      <c r="C277" s="36" t="n"/>
      <c r="D277" s="34">
        <f>IF(C277="","",IF(U277="☑ Oui","Perdu",IF(AD277&lt;&gt;"","Client","Prospect")))</f>
        <v/>
      </c>
      <c r="E277" s="36" t="n"/>
      <c r="F277" s="36" t="n"/>
      <c r="G277" s="44" t="n"/>
      <c r="H277" s="44" t="n"/>
      <c r="I277" s="36" t="n"/>
      <c r="J277" s="36" t="n"/>
      <c r="K277" s="41" t="n"/>
      <c r="L277" s="41" t="n"/>
      <c r="M277" s="36" t="n"/>
      <c r="N277" s="36" t="n"/>
      <c r="O277" s="32" t="n"/>
      <c r="P277" s="36" t="n"/>
      <c r="Q277" s="36" t="n"/>
      <c r="R277" s="34">
        <f>IF(P277="","",IFERROR(VLOOKUP(P277,T_Produits,2,FALSE),""))</f>
        <v/>
      </c>
      <c r="S277" s="36" t="n"/>
      <c r="T277" s="43" t="n"/>
      <c r="U277" s="43" t="n"/>
      <c r="V277" s="36" t="n"/>
      <c r="W277" s="36" t="n"/>
      <c r="X277" s="33">
        <f>IF(C277="","",Commercial_Id)</f>
        <v/>
      </c>
      <c r="Y277" s="33">
        <f>IF(E277="","",IF(E277="Particulier / ménage","Particulier","Entreprise"))</f>
        <v/>
      </c>
      <c r="Z277" s="39">
        <f>IF(C277="","",COUNTIFS(VC_cle,AK277,VC_type,"Visite sur place"))</f>
        <v/>
      </c>
      <c r="AA277" s="46">
        <f>IF(AL277=0,"",IF(INT(AL277)=0,"",INT(AL277)))</f>
        <v/>
      </c>
      <c r="AB277" s="46">
        <f>IF(AL277=0,"",IF(INDEX(VC_actiondate,ROUND(MOD(AL277,1)*100000,0)-5)=0,"",INDEX(VC_actiondate,ROUND(MOD(AL277,1)*100000,0)-5)))</f>
        <v/>
      </c>
      <c r="AC277" s="33">
        <f>IF(AL277=0,"",INDEX(VC_actiontexte,ROUND(MOD(AL277,1)*100000,0)-5)&amp;"")</f>
        <v/>
      </c>
      <c r="AD277" s="46">
        <f>IF(C277="","",IF(COUNTIFS(Cmd_cle,AK277,Cmd_dateca,"&gt;0")=0,"",SMALL(INDEX(Cmd_dateca+(((Cmd_cle&lt;&gt;AK277)+(Cmd_dateca=0))&gt;0)*1000000,0),1)))</f>
        <v/>
      </c>
      <c r="AE277" s="46">
        <f>IF(C277="","",IF(COUNTIFS(Cmd_cle,AK277,Cmd_dateca,"&gt;0")=0,"",MAX(INDEX((Cmd_cle=AK277)*Cmd_dateca,0))))</f>
        <v/>
      </c>
      <c r="AF277" s="40">
        <f>IF(C277="","",SUMIFS(Cmd_montant,Cmd_cle,AK277,Cmd_dateca,"&gt;0"))</f>
        <v/>
      </c>
      <c r="AG277" s="40">
        <f>IF(C277="","",SUMIFS(Enc_montant,Enc_cle,AK277))</f>
        <v/>
      </c>
      <c r="AH277" s="40">
        <f>IF(C277="","",AF277-AG277)</f>
        <v/>
      </c>
      <c r="AI277" s="33">
        <f>IF(C277="","",IF(D277="Perdu","",IF(AND(AB277&lt;&gt;"",N(AB277)&lt;TODAY()),"Action en retard",IF(AND(D277="Client",AE277&lt;&gt;"",TODAY()-N(AE277)&gt;P_JoursInactif),"Client inactif",IF(AND(D277="Prospect",Z277=0,O277&lt;&gt;"",TODAY()-N(O277)&gt;P_JoursNonVisite),"Jamais visité","")))))</f>
        <v/>
      </c>
      <c r="AJ277" s="33">
        <f>IF(C277="","",C277&amp;" ["&amp;TEXT(A277,"000")&amp;"]")</f>
        <v/>
      </c>
      <c r="AK277" s="33">
        <f>IF(C277="","",X277&amp;"|"&amp;A277)</f>
        <v/>
      </c>
      <c r="AL277" s="47">
        <f>IF(C277="",0,IF(COUNTIFS(VC_cle,AK277)=0,0,MAX(INDEX((VC_cle=AK277)*(VC_date+ROW(VC_date)/100000),0))))</f>
        <v/>
      </c>
      <c r="AM277" s="47">
        <f>IF(AND(C277&lt;&gt;"",N(AB277)&gt;0,D277&lt;&gt;"Perdu"),AB277+ROW()/100000,0)</f>
        <v/>
      </c>
      <c r="AN277" s="48">
        <f>IF(N(AF277)&gt;0,ROUND(AF277,0)+ROW()/1000000,0)</f>
        <v/>
      </c>
    </row>
    <row r="278" ht="18" customHeight="1">
      <c r="A278" s="39" t="n">
        <v>273</v>
      </c>
      <c r="B278" s="33">
        <f>IF(C278="","",IF(X278="À RENSEIGNER","GIC",X278)&amp;"-"&amp;TEXT(A278,"000"))</f>
        <v/>
      </c>
      <c r="C278" s="36" t="n"/>
      <c r="D278" s="34">
        <f>IF(C278="","",IF(U278="☑ Oui","Perdu",IF(AD278&lt;&gt;"","Client","Prospect")))</f>
        <v/>
      </c>
      <c r="E278" s="36" t="n"/>
      <c r="F278" s="36" t="n"/>
      <c r="G278" s="44" t="n"/>
      <c r="H278" s="44" t="n"/>
      <c r="I278" s="36" t="n"/>
      <c r="J278" s="36" t="n"/>
      <c r="K278" s="41" t="n"/>
      <c r="L278" s="41" t="n"/>
      <c r="M278" s="36" t="n"/>
      <c r="N278" s="36" t="n"/>
      <c r="O278" s="32" t="n"/>
      <c r="P278" s="36" t="n"/>
      <c r="Q278" s="36" t="n"/>
      <c r="R278" s="34">
        <f>IF(P278="","",IFERROR(VLOOKUP(P278,T_Produits,2,FALSE),""))</f>
        <v/>
      </c>
      <c r="S278" s="36" t="n"/>
      <c r="T278" s="43" t="n"/>
      <c r="U278" s="43" t="n"/>
      <c r="V278" s="36" t="n"/>
      <c r="W278" s="36" t="n"/>
      <c r="X278" s="33">
        <f>IF(C278="","",Commercial_Id)</f>
        <v/>
      </c>
      <c r="Y278" s="33">
        <f>IF(E278="","",IF(E278="Particulier / ménage","Particulier","Entreprise"))</f>
        <v/>
      </c>
      <c r="Z278" s="39">
        <f>IF(C278="","",COUNTIFS(VC_cle,AK278,VC_type,"Visite sur place"))</f>
        <v/>
      </c>
      <c r="AA278" s="46">
        <f>IF(AL278=0,"",IF(INT(AL278)=0,"",INT(AL278)))</f>
        <v/>
      </c>
      <c r="AB278" s="46">
        <f>IF(AL278=0,"",IF(INDEX(VC_actiondate,ROUND(MOD(AL278,1)*100000,0)-5)=0,"",INDEX(VC_actiondate,ROUND(MOD(AL278,1)*100000,0)-5)))</f>
        <v/>
      </c>
      <c r="AC278" s="33">
        <f>IF(AL278=0,"",INDEX(VC_actiontexte,ROUND(MOD(AL278,1)*100000,0)-5)&amp;"")</f>
        <v/>
      </c>
      <c r="AD278" s="46">
        <f>IF(C278="","",IF(COUNTIFS(Cmd_cle,AK278,Cmd_dateca,"&gt;0")=0,"",SMALL(INDEX(Cmd_dateca+(((Cmd_cle&lt;&gt;AK278)+(Cmd_dateca=0))&gt;0)*1000000,0),1)))</f>
        <v/>
      </c>
      <c r="AE278" s="46">
        <f>IF(C278="","",IF(COUNTIFS(Cmd_cle,AK278,Cmd_dateca,"&gt;0")=0,"",MAX(INDEX((Cmd_cle=AK278)*Cmd_dateca,0))))</f>
        <v/>
      </c>
      <c r="AF278" s="40">
        <f>IF(C278="","",SUMIFS(Cmd_montant,Cmd_cle,AK278,Cmd_dateca,"&gt;0"))</f>
        <v/>
      </c>
      <c r="AG278" s="40">
        <f>IF(C278="","",SUMIFS(Enc_montant,Enc_cle,AK278))</f>
        <v/>
      </c>
      <c r="AH278" s="40">
        <f>IF(C278="","",AF278-AG278)</f>
        <v/>
      </c>
      <c r="AI278" s="33">
        <f>IF(C278="","",IF(D278="Perdu","",IF(AND(AB278&lt;&gt;"",N(AB278)&lt;TODAY()),"Action en retard",IF(AND(D278="Client",AE278&lt;&gt;"",TODAY()-N(AE278)&gt;P_JoursInactif),"Client inactif",IF(AND(D278="Prospect",Z278=0,O278&lt;&gt;"",TODAY()-N(O278)&gt;P_JoursNonVisite),"Jamais visité","")))))</f>
        <v/>
      </c>
      <c r="AJ278" s="33">
        <f>IF(C278="","",C278&amp;" ["&amp;TEXT(A278,"000")&amp;"]")</f>
        <v/>
      </c>
      <c r="AK278" s="33">
        <f>IF(C278="","",X278&amp;"|"&amp;A278)</f>
        <v/>
      </c>
      <c r="AL278" s="47">
        <f>IF(C278="",0,IF(COUNTIFS(VC_cle,AK278)=0,0,MAX(INDEX((VC_cle=AK278)*(VC_date+ROW(VC_date)/100000),0))))</f>
        <v/>
      </c>
      <c r="AM278" s="47">
        <f>IF(AND(C278&lt;&gt;"",N(AB278)&gt;0,D278&lt;&gt;"Perdu"),AB278+ROW()/100000,0)</f>
        <v/>
      </c>
      <c r="AN278" s="48">
        <f>IF(N(AF278)&gt;0,ROUND(AF278,0)+ROW()/1000000,0)</f>
        <v/>
      </c>
    </row>
    <row r="279" ht="18" customHeight="1">
      <c r="A279" s="39" t="n">
        <v>274</v>
      </c>
      <c r="B279" s="33">
        <f>IF(C279="","",IF(X279="À RENSEIGNER","GIC",X279)&amp;"-"&amp;TEXT(A279,"000"))</f>
        <v/>
      </c>
      <c r="C279" s="36" t="n"/>
      <c r="D279" s="34">
        <f>IF(C279="","",IF(U279="☑ Oui","Perdu",IF(AD279&lt;&gt;"","Client","Prospect")))</f>
        <v/>
      </c>
      <c r="E279" s="36" t="n"/>
      <c r="F279" s="36" t="n"/>
      <c r="G279" s="44" t="n"/>
      <c r="H279" s="44" t="n"/>
      <c r="I279" s="36" t="n"/>
      <c r="J279" s="36" t="n"/>
      <c r="K279" s="41" t="n"/>
      <c r="L279" s="41" t="n"/>
      <c r="M279" s="36" t="n"/>
      <c r="N279" s="36" t="n"/>
      <c r="O279" s="32" t="n"/>
      <c r="P279" s="36" t="n"/>
      <c r="Q279" s="36" t="n"/>
      <c r="R279" s="34">
        <f>IF(P279="","",IFERROR(VLOOKUP(P279,T_Produits,2,FALSE),""))</f>
        <v/>
      </c>
      <c r="S279" s="36" t="n"/>
      <c r="T279" s="43" t="n"/>
      <c r="U279" s="43" t="n"/>
      <c r="V279" s="36" t="n"/>
      <c r="W279" s="36" t="n"/>
      <c r="X279" s="33">
        <f>IF(C279="","",Commercial_Id)</f>
        <v/>
      </c>
      <c r="Y279" s="33">
        <f>IF(E279="","",IF(E279="Particulier / ménage","Particulier","Entreprise"))</f>
        <v/>
      </c>
      <c r="Z279" s="39">
        <f>IF(C279="","",COUNTIFS(VC_cle,AK279,VC_type,"Visite sur place"))</f>
        <v/>
      </c>
      <c r="AA279" s="46">
        <f>IF(AL279=0,"",IF(INT(AL279)=0,"",INT(AL279)))</f>
        <v/>
      </c>
      <c r="AB279" s="46">
        <f>IF(AL279=0,"",IF(INDEX(VC_actiondate,ROUND(MOD(AL279,1)*100000,0)-5)=0,"",INDEX(VC_actiondate,ROUND(MOD(AL279,1)*100000,0)-5)))</f>
        <v/>
      </c>
      <c r="AC279" s="33">
        <f>IF(AL279=0,"",INDEX(VC_actiontexte,ROUND(MOD(AL279,1)*100000,0)-5)&amp;"")</f>
        <v/>
      </c>
      <c r="AD279" s="46">
        <f>IF(C279="","",IF(COUNTIFS(Cmd_cle,AK279,Cmd_dateca,"&gt;0")=0,"",SMALL(INDEX(Cmd_dateca+(((Cmd_cle&lt;&gt;AK279)+(Cmd_dateca=0))&gt;0)*1000000,0),1)))</f>
        <v/>
      </c>
      <c r="AE279" s="46">
        <f>IF(C279="","",IF(COUNTIFS(Cmd_cle,AK279,Cmd_dateca,"&gt;0")=0,"",MAX(INDEX((Cmd_cle=AK279)*Cmd_dateca,0))))</f>
        <v/>
      </c>
      <c r="AF279" s="40">
        <f>IF(C279="","",SUMIFS(Cmd_montant,Cmd_cle,AK279,Cmd_dateca,"&gt;0"))</f>
        <v/>
      </c>
      <c r="AG279" s="40">
        <f>IF(C279="","",SUMIFS(Enc_montant,Enc_cle,AK279))</f>
        <v/>
      </c>
      <c r="AH279" s="40">
        <f>IF(C279="","",AF279-AG279)</f>
        <v/>
      </c>
      <c r="AI279" s="33">
        <f>IF(C279="","",IF(D279="Perdu","",IF(AND(AB279&lt;&gt;"",N(AB279)&lt;TODAY()),"Action en retard",IF(AND(D279="Client",AE279&lt;&gt;"",TODAY()-N(AE279)&gt;P_JoursInactif),"Client inactif",IF(AND(D279="Prospect",Z279=0,O279&lt;&gt;"",TODAY()-N(O279)&gt;P_JoursNonVisite),"Jamais visité","")))))</f>
        <v/>
      </c>
      <c r="AJ279" s="33">
        <f>IF(C279="","",C279&amp;" ["&amp;TEXT(A279,"000")&amp;"]")</f>
        <v/>
      </c>
      <c r="AK279" s="33">
        <f>IF(C279="","",X279&amp;"|"&amp;A279)</f>
        <v/>
      </c>
      <c r="AL279" s="47">
        <f>IF(C279="",0,IF(COUNTIFS(VC_cle,AK279)=0,0,MAX(INDEX((VC_cle=AK279)*(VC_date+ROW(VC_date)/100000),0))))</f>
        <v/>
      </c>
      <c r="AM279" s="47">
        <f>IF(AND(C279&lt;&gt;"",N(AB279)&gt;0,D279&lt;&gt;"Perdu"),AB279+ROW()/100000,0)</f>
        <v/>
      </c>
      <c r="AN279" s="48">
        <f>IF(N(AF279)&gt;0,ROUND(AF279,0)+ROW()/1000000,0)</f>
        <v/>
      </c>
    </row>
    <row r="280" ht="18" customHeight="1">
      <c r="A280" s="39" t="n">
        <v>275</v>
      </c>
      <c r="B280" s="33">
        <f>IF(C280="","",IF(X280="À RENSEIGNER","GIC",X280)&amp;"-"&amp;TEXT(A280,"000"))</f>
        <v/>
      </c>
      <c r="C280" s="36" t="n"/>
      <c r="D280" s="34">
        <f>IF(C280="","",IF(U280="☑ Oui","Perdu",IF(AD280&lt;&gt;"","Client","Prospect")))</f>
        <v/>
      </c>
      <c r="E280" s="36" t="n"/>
      <c r="F280" s="36" t="n"/>
      <c r="G280" s="44" t="n"/>
      <c r="H280" s="44" t="n"/>
      <c r="I280" s="36" t="n"/>
      <c r="J280" s="36" t="n"/>
      <c r="K280" s="41" t="n"/>
      <c r="L280" s="41" t="n"/>
      <c r="M280" s="36" t="n"/>
      <c r="N280" s="36" t="n"/>
      <c r="O280" s="32" t="n"/>
      <c r="P280" s="36" t="n"/>
      <c r="Q280" s="36" t="n"/>
      <c r="R280" s="34">
        <f>IF(P280="","",IFERROR(VLOOKUP(P280,T_Produits,2,FALSE),""))</f>
        <v/>
      </c>
      <c r="S280" s="36" t="n"/>
      <c r="T280" s="43" t="n"/>
      <c r="U280" s="43" t="n"/>
      <c r="V280" s="36" t="n"/>
      <c r="W280" s="36" t="n"/>
      <c r="X280" s="33">
        <f>IF(C280="","",Commercial_Id)</f>
        <v/>
      </c>
      <c r="Y280" s="33">
        <f>IF(E280="","",IF(E280="Particulier / ménage","Particulier","Entreprise"))</f>
        <v/>
      </c>
      <c r="Z280" s="39">
        <f>IF(C280="","",COUNTIFS(VC_cle,AK280,VC_type,"Visite sur place"))</f>
        <v/>
      </c>
      <c r="AA280" s="46">
        <f>IF(AL280=0,"",IF(INT(AL280)=0,"",INT(AL280)))</f>
        <v/>
      </c>
      <c r="AB280" s="46">
        <f>IF(AL280=0,"",IF(INDEX(VC_actiondate,ROUND(MOD(AL280,1)*100000,0)-5)=0,"",INDEX(VC_actiondate,ROUND(MOD(AL280,1)*100000,0)-5)))</f>
        <v/>
      </c>
      <c r="AC280" s="33">
        <f>IF(AL280=0,"",INDEX(VC_actiontexte,ROUND(MOD(AL280,1)*100000,0)-5)&amp;"")</f>
        <v/>
      </c>
      <c r="AD280" s="46">
        <f>IF(C280="","",IF(COUNTIFS(Cmd_cle,AK280,Cmd_dateca,"&gt;0")=0,"",SMALL(INDEX(Cmd_dateca+(((Cmd_cle&lt;&gt;AK280)+(Cmd_dateca=0))&gt;0)*1000000,0),1)))</f>
        <v/>
      </c>
      <c r="AE280" s="46">
        <f>IF(C280="","",IF(COUNTIFS(Cmd_cle,AK280,Cmd_dateca,"&gt;0")=0,"",MAX(INDEX((Cmd_cle=AK280)*Cmd_dateca,0))))</f>
        <v/>
      </c>
      <c r="AF280" s="40">
        <f>IF(C280="","",SUMIFS(Cmd_montant,Cmd_cle,AK280,Cmd_dateca,"&gt;0"))</f>
        <v/>
      </c>
      <c r="AG280" s="40">
        <f>IF(C280="","",SUMIFS(Enc_montant,Enc_cle,AK280))</f>
        <v/>
      </c>
      <c r="AH280" s="40">
        <f>IF(C280="","",AF280-AG280)</f>
        <v/>
      </c>
      <c r="AI280" s="33">
        <f>IF(C280="","",IF(D280="Perdu","",IF(AND(AB280&lt;&gt;"",N(AB280)&lt;TODAY()),"Action en retard",IF(AND(D280="Client",AE280&lt;&gt;"",TODAY()-N(AE280)&gt;P_JoursInactif),"Client inactif",IF(AND(D280="Prospect",Z280=0,O280&lt;&gt;"",TODAY()-N(O280)&gt;P_JoursNonVisite),"Jamais visité","")))))</f>
        <v/>
      </c>
      <c r="AJ280" s="33">
        <f>IF(C280="","",C280&amp;" ["&amp;TEXT(A280,"000")&amp;"]")</f>
        <v/>
      </c>
      <c r="AK280" s="33">
        <f>IF(C280="","",X280&amp;"|"&amp;A280)</f>
        <v/>
      </c>
      <c r="AL280" s="47">
        <f>IF(C280="",0,IF(COUNTIFS(VC_cle,AK280)=0,0,MAX(INDEX((VC_cle=AK280)*(VC_date+ROW(VC_date)/100000),0))))</f>
        <v/>
      </c>
      <c r="AM280" s="47">
        <f>IF(AND(C280&lt;&gt;"",N(AB280)&gt;0,D280&lt;&gt;"Perdu"),AB280+ROW()/100000,0)</f>
        <v/>
      </c>
      <c r="AN280" s="48">
        <f>IF(N(AF280)&gt;0,ROUND(AF280,0)+ROW()/1000000,0)</f>
        <v/>
      </c>
    </row>
    <row r="281" ht="18" customHeight="1">
      <c r="A281" s="39" t="n">
        <v>276</v>
      </c>
      <c r="B281" s="33">
        <f>IF(C281="","",IF(X281="À RENSEIGNER","GIC",X281)&amp;"-"&amp;TEXT(A281,"000"))</f>
        <v/>
      </c>
      <c r="C281" s="36" t="n"/>
      <c r="D281" s="34">
        <f>IF(C281="","",IF(U281="☑ Oui","Perdu",IF(AD281&lt;&gt;"","Client","Prospect")))</f>
        <v/>
      </c>
      <c r="E281" s="36" t="n"/>
      <c r="F281" s="36" t="n"/>
      <c r="G281" s="44" t="n"/>
      <c r="H281" s="44" t="n"/>
      <c r="I281" s="36" t="n"/>
      <c r="J281" s="36" t="n"/>
      <c r="K281" s="41" t="n"/>
      <c r="L281" s="41" t="n"/>
      <c r="M281" s="36" t="n"/>
      <c r="N281" s="36" t="n"/>
      <c r="O281" s="32" t="n"/>
      <c r="P281" s="36" t="n"/>
      <c r="Q281" s="36" t="n"/>
      <c r="R281" s="34">
        <f>IF(P281="","",IFERROR(VLOOKUP(P281,T_Produits,2,FALSE),""))</f>
        <v/>
      </c>
      <c r="S281" s="36" t="n"/>
      <c r="T281" s="43" t="n"/>
      <c r="U281" s="43" t="n"/>
      <c r="V281" s="36" t="n"/>
      <c r="W281" s="36" t="n"/>
      <c r="X281" s="33">
        <f>IF(C281="","",Commercial_Id)</f>
        <v/>
      </c>
      <c r="Y281" s="33">
        <f>IF(E281="","",IF(E281="Particulier / ménage","Particulier","Entreprise"))</f>
        <v/>
      </c>
      <c r="Z281" s="39">
        <f>IF(C281="","",COUNTIFS(VC_cle,AK281,VC_type,"Visite sur place"))</f>
        <v/>
      </c>
      <c r="AA281" s="46">
        <f>IF(AL281=0,"",IF(INT(AL281)=0,"",INT(AL281)))</f>
        <v/>
      </c>
      <c r="AB281" s="46">
        <f>IF(AL281=0,"",IF(INDEX(VC_actiondate,ROUND(MOD(AL281,1)*100000,0)-5)=0,"",INDEX(VC_actiondate,ROUND(MOD(AL281,1)*100000,0)-5)))</f>
        <v/>
      </c>
      <c r="AC281" s="33">
        <f>IF(AL281=0,"",INDEX(VC_actiontexte,ROUND(MOD(AL281,1)*100000,0)-5)&amp;"")</f>
        <v/>
      </c>
      <c r="AD281" s="46">
        <f>IF(C281="","",IF(COUNTIFS(Cmd_cle,AK281,Cmd_dateca,"&gt;0")=0,"",SMALL(INDEX(Cmd_dateca+(((Cmd_cle&lt;&gt;AK281)+(Cmd_dateca=0))&gt;0)*1000000,0),1)))</f>
        <v/>
      </c>
      <c r="AE281" s="46">
        <f>IF(C281="","",IF(COUNTIFS(Cmd_cle,AK281,Cmd_dateca,"&gt;0")=0,"",MAX(INDEX((Cmd_cle=AK281)*Cmd_dateca,0))))</f>
        <v/>
      </c>
      <c r="AF281" s="40">
        <f>IF(C281="","",SUMIFS(Cmd_montant,Cmd_cle,AK281,Cmd_dateca,"&gt;0"))</f>
        <v/>
      </c>
      <c r="AG281" s="40">
        <f>IF(C281="","",SUMIFS(Enc_montant,Enc_cle,AK281))</f>
        <v/>
      </c>
      <c r="AH281" s="40">
        <f>IF(C281="","",AF281-AG281)</f>
        <v/>
      </c>
      <c r="AI281" s="33">
        <f>IF(C281="","",IF(D281="Perdu","",IF(AND(AB281&lt;&gt;"",N(AB281)&lt;TODAY()),"Action en retard",IF(AND(D281="Client",AE281&lt;&gt;"",TODAY()-N(AE281)&gt;P_JoursInactif),"Client inactif",IF(AND(D281="Prospect",Z281=0,O281&lt;&gt;"",TODAY()-N(O281)&gt;P_JoursNonVisite),"Jamais visité","")))))</f>
        <v/>
      </c>
      <c r="AJ281" s="33">
        <f>IF(C281="","",C281&amp;" ["&amp;TEXT(A281,"000")&amp;"]")</f>
        <v/>
      </c>
      <c r="AK281" s="33">
        <f>IF(C281="","",X281&amp;"|"&amp;A281)</f>
        <v/>
      </c>
      <c r="AL281" s="47">
        <f>IF(C281="",0,IF(COUNTIFS(VC_cle,AK281)=0,0,MAX(INDEX((VC_cle=AK281)*(VC_date+ROW(VC_date)/100000),0))))</f>
        <v/>
      </c>
      <c r="AM281" s="47">
        <f>IF(AND(C281&lt;&gt;"",N(AB281)&gt;0,D281&lt;&gt;"Perdu"),AB281+ROW()/100000,0)</f>
        <v/>
      </c>
      <c r="AN281" s="48">
        <f>IF(N(AF281)&gt;0,ROUND(AF281,0)+ROW()/1000000,0)</f>
        <v/>
      </c>
    </row>
    <row r="282" ht="18" customHeight="1">
      <c r="A282" s="39" t="n">
        <v>277</v>
      </c>
      <c r="B282" s="33">
        <f>IF(C282="","",IF(X282="À RENSEIGNER","GIC",X282)&amp;"-"&amp;TEXT(A282,"000"))</f>
        <v/>
      </c>
      <c r="C282" s="36" t="n"/>
      <c r="D282" s="34">
        <f>IF(C282="","",IF(U282="☑ Oui","Perdu",IF(AD282&lt;&gt;"","Client","Prospect")))</f>
        <v/>
      </c>
      <c r="E282" s="36" t="n"/>
      <c r="F282" s="36" t="n"/>
      <c r="G282" s="44" t="n"/>
      <c r="H282" s="44" t="n"/>
      <c r="I282" s="36" t="n"/>
      <c r="J282" s="36" t="n"/>
      <c r="K282" s="41" t="n"/>
      <c r="L282" s="41" t="n"/>
      <c r="M282" s="36" t="n"/>
      <c r="N282" s="36" t="n"/>
      <c r="O282" s="32" t="n"/>
      <c r="P282" s="36" t="n"/>
      <c r="Q282" s="36" t="n"/>
      <c r="R282" s="34">
        <f>IF(P282="","",IFERROR(VLOOKUP(P282,T_Produits,2,FALSE),""))</f>
        <v/>
      </c>
      <c r="S282" s="36" t="n"/>
      <c r="T282" s="43" t="n"/>
      <c r="U282" s="43" t="n"/>
      <c r="V282" s="36" t="n"/>
      <c r="W282" s="36" t="n"/>
      <c r="X282" s="33">
        <f>IF(C282="","",Commercial_Id)</f>
        <v/>
      </c>
      <c r="Y282" s="33">
        <f>IF(E282="","",IF(E282="Particulier / ménage","Particulier","Entreprise"))</f>
        <v/>
      </c>
      <c r="Z282" s="39">
        <f>IF(C282="","",COUNTIFS(VC_cle,AK282,VC_type,"Visite sur place"))</f>
        <v/>
      </c>
      <c r="AA282" s="46">
        <f>IF(AL282=0,"",IF(INT(AL282)=0,"",INT(AL282)))</f>
        <v/>
      </c>
      <c r="AB282" s="46">
        <f>IF(AL282=0,"",IF(INDEX(VC_actiondate,ROUND(MOD(AL282,1)*100000,0)-5)=0,"",INDEX(VC_actiondate,ROUND(MOD(AL282,1)*100000,0)-5)))</f>
        <v/>
      </c>
      <c r="AC282" s="33">
        <f>IF(AL282=0,"",INDEX(VC_actiontexte,ROUND(MOD(AL282,1)*100000,0)-5)&amp;"")</f>
        <v/>
      </c>
      <c r="AD282" s="46">
        <f>IF(C282="","",IF(COUNTIFS(Cmd_cle,AK282,Cmd_dateca,"&gt;0")=0,"",SMALL(INDEX(Cmd_dateca+(((Cmd_cle&lt;&gt;AK282)+(Cmd_dateca=0))&gt;0)*1000000,0),1)))</f>
        <v/>
      </c>
      <c r="AE282" s="46">
        <f>IF(C282="","",IF(COUNTIFS(Cmd_cle,AK282,Cmd_dateca,"&gt;0")=0,"",MAX(INDEX((Cmd_cle=AK282)*Cmd_dateca,0))))</f>
        <v/>
      </c>
      <c r="AF282" s="40">
        <f>IF(C282="","",SUMIFS(Cmd_montant,Cmd_cle,AK282,Cmd_dateca,"&gt;0"))</f>
        <v/>
      </c>
      <c r="AG282" s="40">
        <f>IF(C282="","",SUMIFS(Enc_montant,Enc_cle,AK282))</f>
        <v/>
      </c>
      <c r="AH282" s="40">
        <f>IF(C282="","",AF282-AG282)</f>
        <v/>
      </c>
      <c r="AI282" s="33">
        <f>IF(C282="","",IF(D282="Perdu","",IF(AND(AB282&lt;&gt;"",N(AB282)&lt;TODAY()),"Action en retard",IF(AND(D282="Client",AE282&lt;&gt;"",TODAY()-N(AE282)&gt;P_JoursInactif),"Client inactif",IF(AND(D282="Prospect",Z282=0,O282&lt;&gt;"",TODAY()-N(O282)&gt;P_JoursNonVisite),"Jamais visité","")))))</f>
        <v/>
      </c>
      <c r="AJ282" s="33">
        <f>IF(C282="","",C282&amp;" ["&amp;TEXT(A282,"000")&amp;"]")</f>
        <v/>
      </c>
      <c r="AK282" s="33">
        <f>IF(C282="","",X282&amp;"|"&amp;A282)</f>
        <v/>
      </c>
      <c r="AL282" s="47">
        <f>IF(C282="",0,IF(COUNTIFS(VC_cle,AK282)=0,0,MAX(INDEX((VC_cle=AK282)*(VC_date+ROW(VC_date)/100000),0))))</f>
        <v/>
      </c>
      <c r="AM282" s="47">
        <f>IF(AND(C282&lt;&gt;"",N(AB282)&gt;0,D282&lt;&gt;"Perdu"),AB282+ROW()/100000,0)</f>
        <v/>
      </c>
      <c r="AN282" s="48">
        <f>IF(N(AF282)&gt;0,ROUND(AF282,0)+ROW()/1000000,0)</f>
        <v/>
      </c>
    </row>
    <row r="283" ht="18" customHeight="1">
      <c r="A283" s="39" t="n">
        <v>278</v>
      </c>
      <c r="B283" s="33">
        <f>IF(C283="","",IF(X283="À RENSEIGNER","GIC",X283)&amp;"-"&amp;TEXT(A283,"000"))</f>
        <v/>
      </c>
      <c r="C283" s="36" t="n"/>
      <c r="D283" s="34">
        <f>IF(C283="","",IF(U283="☑ Oui","Perdu",IF(AD283&lt;&gt;"","Client","Prospect")))</f>
        <v/>
      </c>
      <c r="E283" s="36" t="n"/>
      <c r="F283" s="36" t="n"/>
      <c r="G283" s="44" t="n"/>
      <c r="H283" s="44" t="n"/>
      <c r="I283" s="36" t="n"/>
      <c r="J283" s="36" t="n"/>
      <c r="K283" s="41" t="n"/>
      <c r="L283" s="41" t="n"/>
      <c r="M283" s="36" t="n"/>
      <c r="N283" s="36" t="n"/>
      <c r="O283" s="32" t="n"/>
      <c r="P283" s="36" t="n"/>
      <c r="Q283" s="36" t="n"/>
      <c r="R283" s="34">
        <f>IF(P283="","",IFERROR(VLOOKUP(P283,T_Produits,2,FALSE),""))</f>
        <v/>
      </c>
      <c r="S283" s="36" t="n"/>
      <c r="T283" s="43" t="n"/>
      <c r="U283" s="43" t="n"/>
      <c r="V283" s="36" t="n"/>
      <c r="W283" s="36" t="n"/>
      <c r="X283" s="33">
        <f>IF(C283="","",Commercial_Id)</f>
        <v/>
      </c>
      <c r="Y283" s="33">
        <f>IF(E283="","",IF(E283="Particulier / ménage","Particulier","Entreprise"))</f>
        <v/>
      </c>
      <c r="Z283" s="39">
        <f>IF(C283="","",COUNTIFS(VC_cle,AK283,VC_type,"Visite sur place"))</f>
        <v/>
      </c>
      <c r="AA283" s="46">
        <f>IF(AL283=0,"",IF(INT(AL283)=0,"",INT(AL283)))</f>
        <v/>
      </c>
      <c r="AB283" s="46">
        <f>IF(AL283=0,"",IF(INDEX(VC_actiondate,ROUND(MOD(AL283,1)*100000,0)-5)=0,"",INDEX(VC_actiondate,ROUND(MOD(AL283,1)*100000,0)-5)))</f>
        <v/>
      </c>
      <c r="AC283" s="33">
        <f>IF(AL283=0,"",INDEX(VC_actiontexte,ROUND(MOD(AL283,1)*100000,0)-5)&amp;"")</f>
        <v/>
      </c>
      <c r="AD283" s="46">
        <f>IF(C283="","",IF(COUNTIFS(Cmd_cle,AK283,Cmd_dateca,"&gt;0")=0,"",SMALL(INDEX(Cmd_dateca+(((Cmd_cle&lt;&gt;AK283)+(Cmd_dateca=0))&gt;0)*1000000,0),1)))</f>
        <v/>
      </c>
      <c r="AE283" s="46">
        <f>IF(C283="","",IF(COUNTIFS(Cmd_cle,AK283,Cmd_dateca,"&gt;0")=0,"",MAX(INDEX((Cmd_cle=AK283)*Cmd_dateca,0))))</f>
        <v/>
      </c>
      <c r="AF283" s="40">
        <f>IF(C283="","",SUMIFS(Cmd_montant,Cmd_cle,AK283,Cmd_dateca,"&gt;0"))</f>
        <v/>
      </c>
      <c r="AG283" s="40">
        <f>IF(C283="","",SUMIFS(Enc_montant,Enc_cle,AK283))</f>
        <v/>
      </c>
      <c r="AH283" s="40">
        <f>IF(C283="","",AF283-AG283)</f>
        <v/>
      </c>
      <c r="AI283" s="33">
        <f>IF(C283="","",IF(D283="Perdu","",IF(AND(AB283&lt;&gt;"",N(AB283)&lt;TODAY()),"Action en retard",IF(AND(D283="Client",AE283&lt;&gt;"",TODAY()-N(AE283)&gt;P_JoursInactif),"Client inactif",IF(AND(D283="Prospect",Z283=0,O283&lt;&gt;"",TODAY()-N(O283)&gt;P_JoursNonVisite),"Jamais visité","")))))</f>
        <v/>
      </c>
      <c r="AJ283" s="33">
        <f>IF(C283="","",C283&amp;" ["&amp;TEXT(A283,"000")&amp;"]")</f>
        <v/>
      </c>
      <c r="AK283" s="33">
        <f>IF(C283="","",X283&amp;"|"&amp;A283)</f>
        <v/>
      </c>
      <c r="AL283" s="47">
        <f>IF(C283="",0,IF(COUNTIFS(VC_cle,AK283)=0,0,MAX(INDEX((VC_cle=AK283)*(VC_date+ROW(VC_date)/100000),0))))</f>
        <v/>
      </c>
      <c r="AM283" s="47">
        <f>IF(AND(C283&lt;&gt;"",N(AB283)&gt;0,D283&lt;&gt;"Perdu"),AB283+ROW()/100000,0)</f>
        <v/>
      </c>
      <c r="AN283" s="48">
        <f>IF(N(AF283)&gt;0,ROUND(AF283,0)+ROW()/1000000,0)</f>
        <v/>
      </c>
    </row>
    <row r="284" ht="18" customHeight="1">
      <c r="A284" s="39" t="n">
        <v>279</v>
      </c>
      <c r="B284" s="33">
        <f>IF(C284="","",IF(X284="À RENSEIGNER","GIC",X284)&amp;"-"&amp;TEXT(A284,"000"))</f>
        <v/>
      </c>
      <c r="C284" s="36" t="n"/>
      <c r="D284" s="34">
        <f>IF(C284="","",IF(U284="☑ Oui","Perdu",IF(AD284&lt;&gt;"","Client","Prospect")))</f>
        <v/>
      </c>
      <c r="E284" s="36" t="n"/>
      <c r="F284" s="36" t="n"/>
      <c r="G284" s="44" t="n"/>
      <c r="H284" s="44" t="n"/>
      <c r="I284" s="36" t="n"/>
      <c r="J284" s="36" t="n"/>
      <c r="K284" s="41" t="n"/>
      <c r="L284" s="41" t="n"/>
      <c r="M284" s="36" t="n"/>
      <c r="N284" s="36" t="n"/>
      <c r="O284" s="32" t="n"/>
      <c r="P284" s="36" t="n"/>
      <c r="Q284" s="36" t="n"/>
      <c r="R284" s="34">
        <f>IF(P284="","",IFERROR(VLOOKUP(P284,T_Produits,2,FALSE),""))</f>
        <v/>
      </c>
      <c r="S284" s="36" t="n"/>
      <c r="T284" s="43" t="n"/>
      <c r="U284" s="43" t="n"/>
      <c r="V284" s="36" t="n"/>
      <c r="W284" s="36" t="n"/>
      <c r="X284" s="33">
        <f>IF(C284="","",Commercial_Id)</f>
        <v/>
      </c>
      <c r="Y284" s="33">
        <f>IF(E284="","",IF(E284="Particulier / ménage","Particulier","Entreprise"))</f>
        <v/>
      </c>
      <c r="Z284" s="39">
        <f>IF(C284="","",COUNTIFS(VC_cle,AK284,VC_type,"Visite sur place"))</f>
        <v/>
      </c>
      <c r="AA284" s="46">
        <f>IF(AL284=0,"",IF(INT(AL284)=0,"",INT(AL284)))</f>
        <v/>
      </c>
      <c r="AB284" s="46">
        <f>IF(AL284=0,"",IF(INDEX(VC_actiondate,ROUND(MOD(AL284,1)*100000,0)-5)=0,"",INDEX(VC_actiondate,ROUND(MOD(AL284,1)*100000,0)-5)))</f>
        <v/>
      </c>
      <c r="AC284" s="33">
        <f>IF(AL284=0,"",INDEX(VC_actiontexte,ROUND(MOD(AL284,1)*100000,0)-5)&amp;"")</f>
        <v/>
      </c>
      <c r="AD284" s="46">
        <f>IF(C284="","",IF(COUNTIFS(Cmd_cle,AK284,Cmd_dateca,"&gt;0")=0,"",SMALL(INDEX(Cmd_dateca+(((Cmd_cle&lt;&gt;AK284)+(Cmd_dateca=0))&gt;0)*1000000,0),1)))</f>
        <v/>
      </c>
      <c r="AE284" s="46">
        <f>IF(C284="","",IF(COUNTIFS(Cmd_cle,AK284,Cmd_dateca,"&gt;0")=0,"",MAX(INDEX((Cmd_cle=AK284)*Cmd_dateca,0))))</f>
        <v/>
      </c>
      <c r="AF284" s="40">
        <f>IF(C284="","",SUMIFS(Cmd_montant,Cmd_cle,AK284,Cmd_dateca,"&gt;0"))</f>
        <v/>
      </c>
      <c r="AG284" s="40">
        <f>IF(C284="","",SUMIFS(Enc_montant,Enc_cle,AK284))</f>
        <v/>
      </c>
      <c r="AH284" s="40">
        <f>IF(C284="","",AF284-AG284)</f>
        <v/>
      </c>
      <c r="AI284" s="33">
        <f>IF(C284="","",IF(D284="Perdu","",IF(AND(AB284&lt;&gt;"",N(AB284)&lt;TODAY()),"Action en retard",IF(AND(D284="Client",AE284&lt;&gt;"",TODAY()-N(AE284)&gt;P_JoursInactif),"Client inactif",IF(AND(D284="Prospect",Z284=0,O284&lt;&gt;"",TODAY()-N(O284)&gt;P_JoursNonVisite),"Jamais visité","")))))</f>
        <v/>
      </c>
      <c r="AJ284" s="33">
        <f>IF(C284="","",C284&amp;" ["&amp;TEXT(A284,"000")&amp;"]")</f>
        <v/>
      </c>
      <c r="AK284" s="33">
        <f>IF(C284="","",X284&amp;"|"&amp;A284)</f>
        <v/>
      </c>
      <c r="AL284" s="47">
        <f>IF(C284="",0,IF(COUNTIFS(VC_cle,AK284)=0,0,MAX(INDEX((VC_cle=AK284)*(VC_date+ROW(VC_date)/100000),0))))</f>
        <v/>
      </c>
      <c r="AM284" s="47">
        <f>IF(AND(C284&lt;&gt;"",N(AB284)&gt;0,D284&lt;&gt;"Perdu"),AB284+ROW()/100000,0)</f>
        <v/>
      </c>
      <c r="AN284" s="48">
        <f>IF(N(AF284)&gt;0,ROUND(AF284,0)+ROW()/1000000,0)</f>
        <v/>
      </c>
    </row>
    <row r="285" ht="18" customHeight="1">
      <c r="A285" s="39" t="n">
        <v>280</v>
      </c>
      <c r="B285" s="33">
        <f>IF(C285="","",IF(X285="À RENSEIGNER","GIC",X285)&amp;"-"&amp;TEXT(A285,"000"))</f>
        <v/>
      </c>
      <c r="C285" s="36" t="n"/>
      <c r="D285" s="34">
        <f>IF(C285="","",IF(U285="☑ Oui","Perdu",IF(AD285&lt;&gt;"","Client","Prospect")))</f>
        <v/>
      </c>
      <c r="E285" s="36" t="n"/>
      <c r="F285" s="36" t="n"/>
      <c r="G285" s="44" t="n"/>
      <c r="H285" s="44" t="n"/>
      <c r="I285" s="36" t="n"/>
      <c r="J285" s="36" t="n"/>
      <c r="K285" s="41" t="n"/>
      <c r="L285" s="41" t="n"/>
      <c r="M285" s="36" t="n"/>
      <c r="N285" s="36" t="n"/>
      <c r="O285" s="32" t="n"/>
      <c r="P285" s="36" t="n"/>
      <c r="Q285" s="36" t="n"/>
      <c r="R285" s="34">
        <f>IF(P285="","",IFERROR(VLOOKUP(P285,T_Produits,2,FALSE),""))</f>
        <v/>
      </c>
      <c r="S285" s="36" t="n"/>
      <c r="T285" s="43" t="n"/>
      <c r="U285" s="43" t="n"/>
      <c r="V285" s="36" t="n"/>
      <c r="W285" s="36" t="n"/>
      <c r="X285" s="33">
        <f>IF(C285="","",Commercial_Id)</f>
        <v/>
      </c>
      <c r="Y285" s="33">
        <f>IF(E285="","",IF(E285="Particulier / ménage","Particulier","Entreprise"))</f>
        <v/>
      </c>
      <c r="Z285" s="39">
        <f>IF(C285="","",COUNTIFS(VC_cle,AK285,VC_type,"Visite sur place"))</f>
        <v/>
      </c>
      <c r="AA285" s="46">
        <f>IF(AL285=0,"",IF(INT(AL285)=0,"",INT(AL285)))</f>
        <v/>
      </c>
      <c r="AB285" s="46">
        <f>IF(AL285=0,"",IF(INDEX(VC_actiondate,ROUND(MOD(AL285,1)*100000,0)-5)=0,"",INDEX(VC_actiondate,ROUND(MOD(AL285,1)*100000,0)-5)))</f>
        <v/>
      </c>
      <c r="AC285" s="33">
        <f>IF(AL285=0,"",INDEX(VC_actiontexte,ROUND(MOD(AL285,1)*100000,0)-5)&amp;"")</f>
        <v/>
      </c>
      <c r="AD285" s="46">
        <f>IF(C285="","",IF(COUNTIFS(Cmd_cle,AK285,Cmd_dateca,"&gt;0")=0,"",SMALL(INDEX(Cmd_dateca+(((Cmd_cle&lt;&gt;AK285)+(Cmd_dateca=0))&gt;0)*1000000,0),1)))</f>
        <v/>
      </c>
      <c r="AE285" s="46">
        <f>IF(C285="","",IF(COUNTIFS(Cmd_cle,AK285,Cmd_dateca,"&gt;0")=0,"",MAX(INDEX((Cmd_cle=AK285)*Cmd_dateca,0))))</f>
        <v/>
      </c>
      <c r="AF285" s="40">
        <f>IF(C285="","",SUMIFS(Cmd_montant,Cmd_cle,AK285,Cmd_dateca,"&gt;0"))</f>
        <v/>
      </c>
      <c r="AG285" s="40">
        <f>IF(C285="","",SUMIFS(Enc_montant,Enc_cle,AK285))</f>
        <v/>
      </c>
      <c r="AH285" s="40">
        <f>IF(C285="","",AF285-AG285)</f>
        <v/>
      </c>
      <c r="AI285" s="33">
        <f>IF(C285="","",IF(D285="Perdu","",IF(AND(AB285&lt;&gt;"",N(AB285)&lt;TODAY()),"Action en retard",IF(AND(D285="Client",AE285&lt;&gt;"",TODAY()-N(AE285)&gt;P_JoursInactif),"Client inactif",IF(AND(D285="Prospect",Z285=0,O285&lt;&gt;"",TODAY()-N(O285)&gt;P_JoursNonVisite),"Jamais visité","")))))</f>
        <v/>
      </c>
      <c r="AJ285" s="33">
        <f>IF(C285="","",C285&amp;" ["&amp;TEXT(A285,"000")&amp;"]")</f>
        <v/>
      </c>
      <c r="AK285" s="33">
        <f>IF(C285="","",X285&amp;"|"&amp;A285)</f>
        <v/>
      </c>
      <c r="AL285" s="47">
        <f>IF(C285="",0,IF(COUNTIFS(VC_cle,AK285)=0,0,MAX(INDEX((VC_cle=AK285)*(VC_date+ROW(VC_date)/100000),0))))</f>
        <v/>
      </c>
      <c r="AM285" s="47">
        <f>IF(AND(C285&lt;&gt;"",N(AB285)&gt;0,D285&lt;&gt;"Perdu"),AB285+ROW()/100000,0)</f>
        <v/>
      </c>
      <c r="AN285" s="48">
        <f>IF(N(AF285)&gt;0,ROUND(AF285,0)+ROW()/1000000,0)</f>
        <v/>
      </c>
    </row>
    <row r="286" ht="18" customHeight="1">
      <c r="A286" s="39" t="n">
        <v>281</v>
      </c>
      <c r="B286" s="33">
        <f>IF(C286="","",IF(X286="À RENSEIGNER","GIC",X286)&amp;"-"&amp;TEXT(A286,"000"))</f>
        <v/>
      </c>
      <c r="C286" s="36" t="n"/>
      <c r="D286" s="34">
        <f>IF(C286="","",IF(U286="☑ Oui","Perdu",IF(AD286&lt;&gt;"","Client","Prospect")))</f>
        <v/>
      </c>
      <c r="E286" s="36" t="n"/>
      <c r="F286" s="36" t="n"/>
      <c r="G286" s="44" t="n"/>
      <c r="H286" s="44" t="n"/>
      <c r="I286" s="36" t="n"/>
      <c r="J286" s="36" t="n"/>
      <c r="K286" s="41" t="n"/>
      <c r="L286" s="41" t="n"/>
      <c r="M286" s="36" t="n"/>
      <c r="N286" s="36" t="n"/>
      <c r="O286" s="32" t="n"/>
      <c r="P286" s="36" t="n"/>
      <c r="Q286" s="36" t="n"/>
      <c r="R286" s="34">
        <f>IF(P286="","",IFERROR(VLOOKUP(P286,T_Produits,2,FALSE),""))</f>
        <v/>
      </c>
      <c r="S286" s="36" t="n"/>
      <c r="T286" s="43" t="n"/>
      <c r="U286" s="43" t="n"/>
      <c r="V286" s="36" t="n"/>
      <c r="W286" s="36" t="n"/>
      <c r="X286" s="33">
        <f>IF(C286="","",Commercial_Id)</f>
        <v/>
      </c>
      <c r="Y286" s="33">
        <f>IF(E286="","",IF(E286="Particulier / ménage","Particulier","Entreprise"))</f>
        <v/>
      </c>
      <c r="Z286" s="39">
        <f>IF(C286="","",COUNTIFS(VC_cle,AK286,VC_type,"Visite sur place"))</f>
        <v/>
      </c>
      <c r="AA286" s="46">
        <f>IF(AL286=0,"",IF(INT(AL286)=0,"",INT(AL286)))</f>
        <v/>
      </c>
      <c r="AB286" s="46">
        <f>IF(AL286=0,"",IF(INDEX(VC_actiondate,ROUND(MOD(AL286,1)*100000,0)-5)=0,"",INDEX(VC_actiondate,ROUND(MOD(AL286,1)*100000,0)-5)))</f>
        <v/>
      </c>
      <c r="AC286" s="33">
        <f>IF(AL286=0,"",INDEX(VC_actiontexte,ROUND(MOD(AL286,1)*100000,0)-5)&amp;"")</f>
        <v/>
      </c>
      <c r="AD286" s="46">
        <f>IF(C286="","",IF(COUNTIFS(Cmd_cle,AK286,Cmd_dateca,"&gt;0")=0,"",SMALL(INDEX(Cmd_dateca+(((Cmd_cle&lt;&gt;AK286)+(Cmd_dateca=0))&gt;0)*1000000,0),1)))</f>
        <v/>
      </c>
      <c r="AE286" s="46">
        <f>IF(C286="","",IF(COUNTIFS(Cmd_cle,AK286,Cmd_dateca,"&gt;0")=0,"",MAX(INDEX((Cmd_cle=AK286)*Cmd_dateca,0))))</f>
        <v/>
      </c>
      <c r="AF286" s="40">
        <f>IF(C286="","",SUMIFS(Cmd_montant,Cmd_cle,AK286,Cmd_dateca,"&gt;0"))</f>
        <v/>
      </c>
      <c r="AG286" s="40">
        <f>IF(C286="","",SUMIFS(Enc_montant,Enc_cle,AK286))</f>
        <v/>
      </c>
      <c r="AH286" s="40">
        <f>IF(C286="","",AF286-AG286)</f>
        <v/>
      </c>
      <c r="AI286" s="33">
        <f>IF(C286="","",IF(D286="Perdu","",IF(AND(AB286&lt;&gt;"",N(AB286)&lt;TODAY()),"Action en retard",IF(AND(D286="Client",AE286&lt;&gt;"",TODAY()-N(AE286)&gt;P_JoursInactif),"Client inactif",IF(AND(D286="Prospect",Z286=0,O286&lt;&gt;"",TODAY()-N(O286)&gt;P_JoursNonVisite),"Jamais visité","")))))</f>
        <v/>
      </c>
      <c r="AJ286" s="33">
        <f>IF(C286="","",C286&amp;" ["&amp;TEXT(A286,"000")&amp;"]")</f>
        <v/>
      </c>
      <c r="AK286" s="33">
        <f>IF(C286="","",X286&amp;"|"&amp;A286)</f>
        <v/>
      </c>
      <c r="AL286" s="47">
        <f>IF(C286="",0,IF(COUNTIFS(VC_cle,AK286)=0,0,MAX(INDEX((VC_cle=AK286)*(VC_date+ROW(VC_date)/100000),0))))</f>
        <v/>
      </c>
      <c r="AM286" s="47">
        <f>IF(AND(C286&lt;&gt;"",N(AB286)&gt;0,D286&lt;&gt;"Perdu"),AB286+ROW()/100000,0)</f>
        <v/>
      </c>
      <c r="AN286" s="48">
        <f>IF(N(AF286)&gt;0,ROUND(AF286,0)+ROW()/1000000,0)</f>
        <v/>
      </c>
    </row>
    <row r="287" ht="18" customHeight="1">
      <c r="A287" s="39" t="n">
        <v>282</v>
      </c>
      <c r="B287" s="33">
        <f>IF(C287="","",IF(X287="À RENSEIGNER","GIC",X287)&amp;"-"&amp;TEXT(A287,"000"))</f>
        <v/>
      </c>
      <c r="C287" s="36" t="n"/>
      <c r="D287" s="34">
        <f>IF(C287="","",IF(U287="☑ Oui","Perdu",IF(AD287&lt;&gt;"","Client","Prospect")))</f>
        <v/>
      </c>
      <c r="E287" s="36" t="n"/>
      <c r="F287" s="36" t="n"/>
      <c r="G287" s="44" t="n"/>
      <c r="H287" s="44" t="n"/>
      <c r="I287" s="36" t="n"/>
      <c r="J287" s="36" t="n"/>
      <c r="K287" s="41" t="n"/>
      <c r="L287" s="41" t="n"/>
      <c r="M287" s="36" t="n"/>
      <c r="N287" s="36" t="n"/>
      <c r="O287" s="32" t="n"/>
      <c r="P287" s="36" t="n"/>
      <c r="Q287" s="36" t="n"/>
      <c r="R287" s="34">
        <f>IF(P287="","",IFERROR(VLOOKUP(P287,T_Produits,2,FALSE),""))</f>
        <v/>
      </c>
      <c r="S287" s="36" t="n"/>
      <c r="T287" s="43" t="n"/>
      <c r="U287" s="43" t="n"/>
      <c r="V287" s="36" t="n"/>
      <c r="W287" s="36" t="n"/>
      <c r="X287" s="33">
        <f>IF(C287="","",Commercial_Id)</f>
        <v/>
      </c>
      <c r="Y287" s="33">
        <f>IF(E287="","",IF(E287="Particulier / ménage","Particulier","Entreprise"))</f>
        <v/>
      </c>
      <c r="Z287" s="39">
        <f>IF(C287="","",COUNTIFS(VC_cle,AK287,VC_type,"Visite sur place"))</f>
        <v/>
      </c>
      <c r="AA287" s="46">
        <f>IF(AL287=0,"",IF(INT(AL287)=0,"",INT(AL287)))</f>
        <v/>
      </c>
      <c r="AB287" s="46">
        <f>IF(AL287=0,"",IF(INDEX(VC_actiondate,ROUND(MOD(AL287,1)*100000,0)-5)=0,"",INDEX(VC_actiondate,ROUND(MOD(AL287,1)*100000,0)-5)))</f>
        <v/>
      </c>
      <c r="AC287" s="33">
        <f>IF(AL287=0,"",INDEX(VC_actiontexte,ROUND(MOD(AL287,1)*100000,0)-5)&amp;"")</f>
        <v/>
      </c>
      <c r="AD287" s="46">
        <f>IF(C287="","",IF(COUNTIFS(Cmd_cle,AK287,Cmd_dateca,"&gt;0")=0,"",SMALL(INDEX(Cmd_dateca+(((Cmd_cle&lt;&gt;AK287)+(Cmd_dateca=0))&gt;0)*1000000,0),1)))</f>
        <v/>
      </c>
      <c r="AE287" s="46">
        <f>IF(C287="","",IF(COUNTIFS(Cmd_cle,AK287,Cmd_dateca,"&gt;0")=0,"",MAX(INDEX((Cmd_cle=AK287)*Cmd_dateca,0))))</f>
        <v/>
      </c>
      <c r="AF287" s="40">
        <f>IF(C287="","",SUMIFS(Cmd_montant,Cmd_cle,AK287,Cmd_dateca,"&gt;0"))</f>
        <v/>
      </c>
      <c r="AG287" s="40">
        <f>IF(C287="","",SUMIFS(Enc_montant,Enc_cle,AK287))</f>
        <v/>
      </c>
      <c r="AH287" s="40">
        <f>IF(C287="","",AF287-AG287)</f>
        <v/>
      </c>
      <c r="AI287" s="33">
        <f>IF(C287="","",IF(D287="Perdu","",IF(AND(AB287&lt;&gt;"",N(AB287)&lt;TODAY()),"Action en retard",IF(AND(D287="Client",AE287&lt;&gt;"",TODAY()-N(AE287)&gt;P_JoursInactif),"Client inactif",IF(AND(D287="Prospect",Z287=0,O287&lt;&gt;"",TODAY()-N(O287)&gt;P_JoursNonVisite),"Jamais visité","")))))</f>
        <v/>
      </c>
      <c r="AJ287" s="33">
        <f>IF(C287="","",C287&amp;" ["&amp;TEXT(A287,"000")&amp;"]")</f>
        <v/>
      </c>
      <c r="AK287" s="33">
        <f>IF(C287="","",X287&amp;"|"&amp;A287)</f>
        <v/>
      </c>
      <c r="AL287" s="47">
        <f>IF(C287="",0,IF(COUNTIFS(VC_cle,AK287)=0,0,MAX(INDEX((VC_cle=AK287)*(VC_date+ROW(VC_date)/100000),0))))</f>
        <v/>
      </c>
      <c r="AM287" s="47">
        <f>IF(AND(C287&lt;&gt;"",N(AB287)&gt;0,D287&lt;&gt;"Perdu"),AB287+ROW()/100000,0)</f>
        <v/>
      </c>
      <c r="AN287" s="48">
        <f>IF(N(AF287)&gt;0,ROUND(AF287,0)+ROW()/1000000,0)</f>
        <v/>
      </c>
    </row>
    <row r="288" ht="18" customHeight="1">
      <c r="A288" s="39" t="n">
        <v>283</v>
      </c>
      <c r="B288" s="33">
        <f>IF(C288="","",IF(X288="À RENSEIGNER","GIC",X288)&amp;"-"&amp;TEXT(A288,"000"))</f>
        <v/>
      </c>
      <c r="C288" s="36" t="n"/>
      <c r="D288" s="34">
        <f>IF(C288="","",IF(U288="☑ Oui","Perdu",IF(AD288&lt;&gt;"","Client","Prospect")))</f>
        <v/>
      </c>
      <c r="E288" s="36" t="n"/>
      <c r="F288" s="36" t="n"/>
      <c r="G288" s="44" t="n"/>
      <c r="H288" s="44" t="n"/>
      <c r="I288" s="36" t="n"/>
      <c r="J288" s="36" t="n"/>
      <c r="K288" s="41" t="n"/>
      <c r="L288" s="41" t="n"/>
      <c r="M288" s="36" t="n"/>
      <c r="N288" s="36" t="n"/>
      <c r="O288" s="32" t="n"/>
      <c r="P288" s="36" t="n"/>
      <c r="Q288" s="36" t="n"/>
      <c r="R288" s="34">
        <f>IF(P288="","",IFERROR(VLOOKUP(P288,T_Produits,2,FALSE),""))</f>
        <v/>
      </c>
      <c r="S288" s="36" t="n"/>
      <c r="T288" s="43" t="n"/>
      <c r="U288" s="43" t="n"/>
      <c r="V288" s="36" t="n"/>
      <c r="W288" s="36" t="n"/>
      <c r="X288" s="33">
        <f>IF(C288="","",Commercial_Id)</f>
        <v/>
      </c>
      <c r="Y288" s="33">
        <f>IF(E288="","",IF(E288="Particulier / ménage","Particulier","Entreprise"))</f>
        <v/>
      </c>
      <c r="Z288" s="39">
        <f>IF(C288="","",COUNTIFS(VC_cle,AK288,VC_type,"Visite sur place"))</f>
        <v/>
      </c>
      <c r="AA288" s="46">
        <f>IF(AL288=0,"",IF(INT(AL288)=0,"",INT(AL288)))</f>
        <v/>
      </c>
      <c r="AB288" s="46">
        <f>IF(AL288=0,"",IF(INDEX(VC_actiondate,ROUND(MOD(AL288,1)*100000,0)-5)=0,"",INDEX(VC_actiondate,ROUND(MOD(AL288,1)*100000,0)-5)))</f>
        <v/>
      </c>
      <c r="AC288" s="33">
        <f>IF(AL288=0,"",INDEX(VC_actiontexte,ROUND(MOD(AL288,1)*100000,0)-5)&amp;"")</f>
        <v/>
      </c>
      <c r="AD288" s="46">
        <f>IF(C288="","",IF(COUNTIFS(Cmd_cle,AK288,Cmd_dateca,"&gt;0")=0,"",SMALL(INDEX(Cmd_dateca+(((Cmd_cle&lt;&gt;AK288)+(Cmd_dateca=0))&gt;0)*1000000,0),1)))</f>
        <v/>
      </c>
      <c r="AE288" s="46">
        <f>IF(C288="","",IF(COUNTIFS(Cmd_cle,AK288,Cmd_dateca,"&gt;0")=0,"",MAX(INDEX((Cmd_cle=AK288)*Cmd_dateca,0))))</f>
        <v/>
      </c>
      <c r="AF288" s="40">
        <f>IF(C288="","",SUMIFS(Cmd_montant,Cmd_cle,AK288,Cmd_dateca,"&gt;0"))</f>
        <v/>
      </c>
      <c r="AG288" s="40">
        <f>IF(C288="","",SUMIFS(Enc_montant,Enc_cle,AK288))</f>
        <v/>
      </c>
      <c r="AH288" s="40">
        <f>IF(C288="","",AF288-AG288)</f>
        <v/>
      </c>
      <c r="AI288" s="33">
        <f>IF(C288="","",IF(D288="Perdu","",IF(AND(AB288&lt;&gt;"",N(AB288)&lt;TODAY()),"Action en retard",IF(AND(D288="Client",AE288&lt;&gt;"",TODAY()-N(AE288)&gt;P_JoursInactif),"Client inactif",IF(AND(D288="Prospect",Z288=0,O288&lt;&gt;"",TODAY()-N(O288)&gt;P_JoursNonVisite),"Jamais visité","")))))</f>
        <v/>
      </c>
      <c r="AJ288" s="33">
        <f>IF(C288="","",C288&amp;" ["&amp;TEXT(A288,"000")&amp;"]")</f>
        <v/>
      </c>
      <c r="AK288" s="33">
        <f>IF(C288="","",X288&amp;"|"&amp;A288)</f>
        <v/>
      </c>
      <c r="AL288" s="47">
        <f>IF(C288="",0,IF(COUNTIFS(VC_cle,AK288)=0,0,MAX(INDEX((VC_cle=AK288)*(VC_date+ROW(VC_date)/100000),0))))</f>
        <v/>
      </c>
      <c r="AM288" s="47">
        <f>IF(AND(C288&lt;&gt;"",N(AB288)&gt;0,D288&lt;&gt;"Perdu"),AB288+ROW()/100000,0)</f>
        <v/>
      </c>
      <c r="AN288" s="48">
        <f>IF(N(AF288)&gt;0,ROUND(AF288,0)+ROW()/1000000,0)</f>
        <v/>
      </c>
    </row>
    <row r="289" ht="18" customHeight="1">
      <c r="A289" s="39" t="n">
        <v>284</v>
      </c>
      <c r="B289" s="33">
        <f>IF(C289="","",IF(X289="À RENSEIGNER","GIC",X289)&amp;"-"&amp;TEXT(A289,"000"))</f>
        <v/>
      </c>
      <c r="C289" s="36" t="n"/>
      <c r="D289" s="34">
        <f>IF(C289="","",IF(U289="☑ Oui","Perdu",IF(AD289&lt;&gt;"","Client","Prospect")))</f>
        <v/>
      </c>
      <c r="E289" s="36" t="n"/>
      <c r="F289" s="36" t="n"/>
      <c r="G289" s="44" t="n"/>
      <c r="H289" s="44" t="n"/>
      <c r="I289" s="36" t="n"/>
      <c r="J289" s="36" t="n"/>
      <c r="K289" s="41" t="n"/>
      <c r="L289" s="41" t="n"/>
      <c r="M289" s="36" t="n"/>
      <c r="N289" s="36" t="n"/>
      <c r="O289" s="32" t="n"/>
      <c r="P289" s="36" t="n"/>
      <c r="Q289" s="36" t="n"/>
      <c r="R289" s="34">
        <f>IF(P289="","",IFERROR(VLOOKUP(P289,T_Produits,2,FALSE),""))</f>
        <v/>
      </c>
      <c r="S289" s="36" t="n"/>
      <c r="T289" s="43" t="n"/>
      <c r="U289" s="43" t="n"/>
      <c r="V289" s="36" t="n"/>
      <c r="W289" s="36" t="n"/>
      <c r="X289" s="33">
        <f>IF(C289="","",Commercial_Id)</f>
        <v/>
      </c>
      <c r="Y289" s="33">
        <f>IF(E289="","",IF(E289="Particulier / ménage","Particulier","Entreprise"))</f>
        <v/>
      </c>
      <c r="Z289" s="39">
        <f>IF(C289="","",COUNTIFS(VC_cle,AK289,VC_type,"Visite sur place"))</f>
        <v/>
      </c>
      <c r="AA289" s="46">
        <f>IF(AL289=0,"",IF(INT(AL289)=0,"",INT(AL289)))</f>
        <v/>
      </c>
      <c r="AB289" s="46">
        <f>IF(AL289=0,"",IF(INDEX(VC_actiondate,ROUND(MOD(AL289,1)*100000,0)-5)=0,"",INDEX(VC_actiondate,ROUND(MOD(AL289,1)*100000,0)-5)))</f>
        <v/>
      </c>
      <c r="AC289" s="33">
        <f>IF(AL289=0,"",INDEX(VC_actiontexte,ROUND(MOD(AL289,1)*100000,0)-5)&amp;"")</f>
        <v/>
      </c>
      <c r="AD289" s="46">
        <f>IF(C289="","",IF(COUNTIFS(Cmd_cle,AK289,Cmd_dateca,"&gt;0")=0,"",SMALL(INDEX(Cmd_dateca+(((Cmd_cle&lt;&gt;AK289)+(Cmd_dateca=0))&gt;0)*1000000,0),1)))</f>
        <v/>
      </c>
      <c r="AE289" s="46">
        <f>IF(C289="","",IF(COUNTIFS(Cmd_cle,AK289,Cmd_dateca,"&gt;0")=0,"",MAX(INDEX((Cmd_cle=AK289)*Cmd_dateca,0))))</f>
        <v/>
      </c>
      <c r="AF289" s="40">
        <f>IF(C289="","",SUMIFS(Cmd_montant,Cmd_cle,AK289,Cmd_dateca,"&gt;0"))</f>
        <v/>
      </c>
      <c r="AG289" s="40">
        <f>IF(C289="","",SUMIFS(Enc_montant,Enc_cle,AK289))</f>
        <v/>
      </c>
      <c r="AH289" s="40">
        <f>IF(C289="","",AF289-AG289)</f>
        <v/>
      </c>
      <c r="AI289" s="33">
        <f>IF(C289="","",IF(D289="Perdu","",IF(AND(AB289&lt;&gt;"",N(AB289)&lt;TODAY()),"Action en retard",IF(AND(D289="Client",AE289&lt;&gt;"",TODAY()-N(AE289)&gt;P_JoursInactif),"Client inactif",IF(AND(D289="Prospect",Z289=0,O289&lt;&gt;"",TODAY()-N(O289)&gt;P_JoursNonVisite),"Jamais visité","")))))</f>
        <v/>
      </c>
      <c r="AJ289" s="33">
        <f>IF(C289="","",C289&amp;" ["&amp;TEXT(A289,"000")&amp;"]")</f>
        <v/>
      </c>
      <c r="AK289" s="33">
        <f>IF(C289="","",X289&amp;"|"&amp;A289)</f>
        <v/>
      </c>
      <c r="AL289" s="47">
        <f>IF(C289="",0,IF(COUNTIFS(VC_cle,AK289)=0,0,MAX(INDEX((VC_cle=AK289)*(VC_date+ROW(VC_date)/100000),0))))</f>
        <v/>
      </c>
      <c r="AM289" s="47">
        <f>IF(AND(C289&lt;&gt;"",N(AB289)&gt;0,D289&lt;&gt;"Perdu"),AB289+ROW()/100000,0)</f>
        <v/>
      </c>
      <c r="AN289" s="48">
        <f>IF(N(AF289)&gt;0,ROUND(AF289,0)+ROW()/1000000,0)</f>
        <v/>
      </c>
    </row>
    <row r="290" ht="18" customHeight="1">
      <c r="A290" s="39" t="n">
        <v>285</v>
      </c>
      <c r="B290" s="33">
        <f>IF(C290="","",IF(X290="À RENSEIGNER","GIC",X290)&amp;"-"&amp;TEXT(A290,"000"))</f>
        <v/>
      </c>
      <c r="C290" s="36" t="n"/>
      <c r="D290" s="34">
        <f>IF(C290="","",IF(U290="☑ Oui","Perdu",IF(AD290&lt;&gt;"","Client","Prospect")))</f>
        <v/>
      </c>
      <c r="E290" s="36" t="n"/>
      <c r="F290" s="36" t="n"/>
      <c r="G290" s="44" t="n"/>
      <c r="H290" s="44" t="n"/>
      <c r="I290" s="36" t="n"/>
      <c r="J290" s="36" t="n"/>
      <c r="K290" s="41" t="n"/>
      <c r="L290" s="41" t="n"/>
      <c r="M290" s="36" t="n"/>
      <c r="N290" s="36" t="n"/>
      <c r="O290" s="32" t="n"/>
      <c r="P290" s="36" t="n"/>
      <c r="Q290" s="36" t="n"/>
      <c r="R290" s="34">
        <f>IF(P290="","",IFERROR(VLOOKUP(P290,T_Produits,2,FALSE),""))</f>
        <v/>
      </c>
      <c r="S290" s="36" t="n"/>
      <c r="T290" s="43" t="n"/>
      <c r="U290" s="43" t="n"/>
      <c r="V290" s="36" t="n"/>
      <c r="W290" s="36" t="n"/>
      <c r="X290" s="33">
        <f>IF(C290="","",Commercial_Id)</f>
        <v/>
      </c>
      <c r="Y290" s="33">
        <f>IF(E290="","",IF(E290="Particulier / ménage","Particulier","Entreprise"))</f>
        <v/>
      </c>
      <c r="Z290" s="39">
        <f>IF(C290="","",COUNTIFS(VC_cle,AK290,VC_type,"Visite sur place"))</f>
        <v/>
      </c>
      <c r="AA290" s="46">
        <f>IF(AL290=0,"",IF(INT(AL290)=0,"",INT(AL290)))</f>
        <v/>
      </c>
      <c r="AB290" s="46">
        <f>IF(AL290=0,"",IF(INDEX(VC_actiondate,ROUND(MOD(AL290,1)*100000,0)-5)=0,"",INDEX(VC_actiondate,ROUND(MOD(AL290,1)*100000,0)-5)))</f>
        <v/>
      </c>
      <c r="AC290" s="33">
        <f>IF(AL290=0,"",INDEX(VC_actiontexte,ROUND(MOD(AL290,1)*100000,0)-5)&amp;"")</f>
        <v/>
      </c>
      <c r="AD290" s="46">
        <f>IF(C290="","",IF(COUNTIFS(Cmd_cle,AK290,Cmd_dateca,"&gt;0")=0,"",SMALL(INDEX(Cmd_dateca+(((Cmd_cle&lt;&gt;AK290)+(Cmd_dateca=0))&gt;0)*1000000,0),1)))</f>
        <v/>
      </c>
      <c r="AE290" s="46">
        <f>IF(C290="","",IF(COUNTIFS(Cmd_cle,AK290,Cmd_dateca,"&gt;0")=0,"",MAX(INDEX((Cmd_cle=AK290)*Cmd_dateca,0))))</f>
        <v/>
      </c>
      <c r="AF290" s="40">
        <f>IF(C290="","",SUMIFS(Cmd_montant,Cmd_cle,AK290,Cmd_dateca,"&gt;0"))</f>
        <v/>
      </c>
      <c r="AG290" s="40">
        <f>IF(C290="","",SUMIFS(Enc_montant,Enc_cle,AK290))</f>
        <v/>
      </c>
      <c r="AH290" s="40">
        <f>IF(C290="","",AF290-AG290)</f>
        <v/>
      </c>
      <c r="AI290" s="33">
        <f>IF(C290="","",IF(D290="Perdu","",IF(AND(AB290&lt;&gt;"",N(AB290)&lt;TODAY()),"Action en retard",IF(AND(D290="Client",AE290&lt;&gt;"",TODAY()-N(AE290)&gt;P_JoursInactif),"Client inactif",IF(AND(D290="Prospect",Z290=0,O290&lt;&gt;"",TODAY()-N(O290)&gt;P_JoursNonVisite),"Jamais visité","")))))</f>
        <v/>
      </c>
      <c r="AJ290" s="33">
        <f>IF(C290="","",C290&amp;" ["&amp;TEXT(A290,"000")&amp;"]")</f>
        <v/>
      </c>
      <c r="AK290" s="33">
        <f>IF(C290="","",X290&amp;"|"&amp;A290)</f>
        <v/>
      </c>
      <c r="AL290" s="47">
        <f>IF(C290="",0,IF(COUNTIFS(VC_cle,AK290)=0,0,MAX(INDEX((VC_cle=AK290)*(VC_date+ROW(VC_date)/100000),0))))</f>
        <v/>
      </c>
      <c r="AM290" s="47">
        <f>IF(AND(C290&lt;&gt;"",N(AB290)&gt;0,D290&lt;&gt;"Perdu"),AB290+ROW()/100000,0)</f>
        <v/>
      </c>
      <c r="AN290" s="48">
        <f>IF(N(AF290)&gt;0,ROUND(AF290,0)+ROW()/1000000,0)</f>
        <v/>
      </c>
    </row>
    <row r="291" ht="18" customHeight="1">
      <c r="A291" s="39" t="n">
        <v>286</v>
      </c>
      <c r="B291" s="33">
        <f>IF(C291="","",IF(X291="À RENSEIGNER","GIC",X291)&amp;"-"&amp;TEXT(A291,"000"))</f>
        <v/>
      </c>
      <c r="C291" s="36" t="n"/>
      <c r="D291" s="34">
        <f>IF(C291="","",IF(U291="☑ Oui","Perdu",IF(AD291&lt;&gt;"","Client","Prospect")))</f>
        <v/>
      </c>
      <c r="E291" s="36" t="n"/>
      <c r="F291" s="36" t="n"/>
      <c r="G291" s="44" t="n"/>
      <c r="H291" s="44" t="n"/>
      <c r="I291" s="36" t="n"/>
      <c r="J291" s="36" t="n"/>
      <c r="K291" s="41" t="n"/>
      <c r="L291" s="41" t="n"/>
      <c r="M291" s="36" t="n"/>
      <c r="N291" s="36" t="n"/>
      <c r="O291" s="32" t="n"/>
      <c r="P291" s="36" t="n"/>
      <c r="Q291" s="36" t="n"/>
      <c r="R291" s="34">
        <f>IF(P291="","",IFERROR(VLOOKUP(P291,T_Produits,2,FALSE),""))</f>
        <v/>
      </c>
      <c r="S291" s="36" t="n"/>
      <c r="T291" s="43" t="n"/>
      <c r="U291" s="43" t="n"/>
      <c r="V291" s="36" t="n"/>
      <c r="W291" s="36" t="n"/>
      <c r="X291" s="33">
        <f>IF(C291="","",Commercial_Id)</f>
        <v/>
      </c>
      <c r="Y291" s="33">
        <f>IF(E291="","",IF(E291="Particulier / ménage","Particulier","Entreprise"))</f>
        <v/>
      </c>
      <c r="Z291" s="39">
        <f>IF(C291="","",COUNTIFS(VC_cle,AK291,VC_type,"Visite sur place"))</f>
        <v/>
      </c>
      <c r="AA291" s="46">
        <f>IF(AL291=0,"",IF(INT(AL291)=0,"",INT(AL291)))</f>
        <v/>
      </c>
      <c r="AB291" s="46">
        <f>IF(AL291=0,"",IF(INDEX(VC_actiondate,ROUND(MOD(AL291,1)*100000,0)-5)=0,"",INDEX(VC_actiondate,ROUND(MOD(AL291,1)*100000,0)-5)))</f>
        <v/>
      </c>
      <c r="AC291" s="33">
        <f>IF(AL291=0,"",INDEX(VC_actiontexte,ROUND(MOD(AL291,1)*100000,0)-5)&amp;"")</f>
        <v/>
      </c>
      <c r="AD291" s="46">
        <f>IF(C291="","",IF(COUNTIFS(Cmd_cle,AK291,Cmd_dateca,"&gt;0")=0,"",SMALL(INDEX(Cmd_dateca+(((Cmd_cle&lt;&gt;AK291)+(Cmd_dateca=0))&gt;0)*1000000,0),1)))</f>
        <v/>
      </c>
      <c r="AE291" s="46">
        <f>IF(C291="","",IF(COUNTIFS(Cmd_cle,AK291,Cmd_dateca,"&gt;0")=0,"",MAX(INDEX((Cmd_cle=AK291)*Cmd_dateca,0))))</f>
        <v/>
      </c>
      <c r="AF291" s="40">
        <f>IF(C291="","",SUMIFS(Cmd_montant,Cmd_cle,AK291,Cmd_dateca,"&gt;0"))</f>
        <v/>
      </c>
      <c r="AG291" s="40">
        <f>IF(C291="","",SUMIFS(Enc_montant,Enc_cle,AK291))</f>
        <v/>
      </c>
      <c r="AH291" s="40">
        <f>IF(C291="","",AF291-AG291)</f>
        <v/>
      </c>
      <c r="AI291" s="33">
        <f>IF(C291="","",IF(D291="Perdu","",IF(AND(AB291&lt;&gt;"",N(AB291)&lt;TODAY()),"Action en retard",IF(AND(D291="Client",AE291&lt;&gt;"",TODAY()-N(AE291)&gt;P_JoursInactif),"Client inactif",IF(AND(D291="Prospect",Z291=0,O291&lt;&gt;"",TODAY()-N(O291)&gt;P_JoursNonVisite),"Jamais visité","")))))</f>
        <v/>
      </c>
      <c r="AJ291" s="33">
        <f>IF(C291="","",C291&amp;" ["&amp;TEXT(A291,"000")&amp;"]")</f>
        <v/>
      </c>
      <c r="AK291" s="33">
        <f>IF(C291="","",X291&amp;"|"&amp;A291)</f>
        <v/>
      </c>
      <c r="AL291" s="47">
        <f>IF(C291="",0,IF(COUNTIFS(VC_cle,AK291)=0,0,MAX(INDEX((VC_cle=AK291)*(VC_date+ROW(VC_date)/100000),0))))</f>
        <v/>
      </c>
      <c r="AM291" s="47">
        <f>IF(AND(C291&lt;&gt;"",N(AB291)&gt;0,D291&lt;&gt;"Perdu"),AB291+ROW()/100000,0)</f>
        <v/>
      </c>
      <c r="AN291" s="48">
        <f>IF(N(AF291)&gt;0,ROUND(AF291,0)+ROW()/1000000,0)</f>
        <v/>
      </c>
    </row>
    <row r="292" ht="18" customHeight="1">
      <c r="A292" s="39" t="n">
        <v>287</v>
      </c>
      <c r="B292" s="33">
        <f>IF(C292="","",IF(X292="À RENSEIGNER","GIC",X292)&amp;"-"&amp;TEXT(A292,"000"))</f>
        <v/>
      </c>
      <c r="C292" s="36" t="n"/>
      <c r="D292" s="34">
        <f>IF(C292="","",IF(U292="☑ Oui","Perdu",IF(AD292&lt;&gt;"","Client","Prospect")))</f>
        <v/>
      </c>
      <c r="E292" s="36" t="n"/>
      <c r="F292" s="36" t="n"/>
      <c r="G292" s="44" t="n"/>
      <c r="H292" s="44" t="n"/>
      <c r="I292" s="36" t="n"/>
      <c r="J292" s="36" t="n"/>
      <c r="K292" s="41" t="n"/>
      <c r="L292" s="41" t="n"/>
      <c r="M292" s="36" t="n"/>
      <c r="N292" s="36" t="n"/>
      <c r="O292" s="32" t="n"/>
      <c r="P292" s="36" t="n"/>
      <c r="Q292" s="36" t="n"/>
      <c r="R292" s="34">
        <f>IF(P292="","",IFERROR(VLOOKUP(P292,T_Produits,2,FALSE),""))</f>
        <v/>
      </c>
      <c r="S292" s="36" t="n"/>
      <c r="T292" s="43" t="n"/>
      <c r="U292" s="43" t="n"/>
      <c r="V292" s="36" t="n"/>
      <c r="W292" s="36" t="n"/>
      <c r="X292" s="33">
        <f>IF(C292="","",Commercial_Id)</f>
        <v/>
      </c>
      <c r="Y292" s="33">
        <f>IF(E292="","",IF(E292="Particulier / ménage","Particulier","Entreprise"))</f>
        <v/>
      </c>
      <c r="Z292" s="39">
        <f>IF(C292="","",COUNTIFS(VC_cle,AK292,VC_type,"Visite sur place"))</f>
        <v/>
      </c>
      <c r="AA292" s="46">
        <f>IF(AL292=0,"",IF(INT(AL292)=0,"",INT(AL292)))</f>
        <v/>
      </c>
      <c r="AB292" s="46">
        <f>IF(AL292=0,"",IF(INDEX(VC_actiondate,ROUND(MOD(AL292,1)*100000,0)-5)=0,"",INDEX(VC_actiondate,ROUND(MOD(AL292,1)*100000,0)-5)))</f>
        <v/>
      </c>
      <c r="AC292" s="33">
        <f>IF(AL292=0,"",INDEX(VC_actiontexte,ROUND(MOD(AL292,1)*100000,0)-5)&amp;"")</f>
        <v/>
      </c>
      <c r="AD292" s="46">
        <f>IF(C292="","",IF(COUNTIFS(Cmd_cle,AK292,Cmd_dateca,"&gt;0")=0,"",SMALL(INDEX(Cmd_dateca+(((Cmd_cle&lt;&gt;AK292)+(Cmd_dateca=0))&gt;0)*1000000,0),1)))</f>
        <v/>
      </c>
      <c r="AE292" s="46">
        <f>IF(C292="","",IF(COUNTIFS(Cmd_cle,AK292,Cmd_dateca,"&gt;0")=0,"",MAX(INDEX((Cmd_cle=AK292)*Cmd_dateca,0))))</f>
        <v/>
      </c>
      <c r="AF292" s="40">
        <f>IF(C292="","",SUMIFS(Cmd_montant,Cmd_cle,AK292,Cmd_dateca,"&gt;0"))</f>
        <v/>
      </c>
      <c r="AG292" s="40">
        <f>IF(C292="","",SUMIFS(Enc_montant,Enc_cle,AK292))</f>
        <v/>
      </c>
      <c r="AH292" s="40">
        <f>IF(C292="","",AF292-AG292)</f>
        <v/>
      </c>
      <c r="AI292" s="33">
        <f>IF(C292="","",IF(D292="Perdu","",IF(AND(AB292&lt;&gt;"",N(AB292)&lt;TODAY()),"Action en retard",IF(AND(D292="Client",AE292&lt;&gt;"",TODAY()-N(AE292)&gt;P_JoursInactif),"Client inactif",IF(AND(D292="Prospect",Z292=0,O292&lt;&gt;"",TODAY()-N(O292)&gt;P_JoursNonVisite),"Jamais visité","")))))</f>
        <v/>
      </c>
      <c r="AJ292" s="33">
        <f>IF(C292="","",C292&amp;" ["&amp;TEXT(A292,"000")&amp;"]")</f>
        <v/>
      </c>
      <c r="AK292" s="33">
        <f>IF(C292="","",X292&amp;"|"&amp;A292)</f>
        <v/>
      </c>
      <c r="AL292" s="47">
        <f>IF(C292="",0,IF(COUNTIFS(VC_cle,AK292)=0,0,MAX(INDEX((VC_cle=AK292)*(VC_date+ROW(VC_date)/100000),0))))</f>
        <v/>
      </c>
      <c r="AM292" s="47">
        <f>IF(AND(C292&lt;&gt;"",N(AB292)&gt;0,D292&lt;&gt;"Perdu"),AB292+ROW()/100000,0)</f>
        <v/>
      </c>
      <c r="AN292" s="48">
        <f>IF(N(AF292)&gt;0,ROUND(AF292,0)+ROW()/1000000,0)</f>
        <v/>
      </c>
    </row>
    <row r="293" ht="18" customHeight="1">
      <c r="A293" s="39" t="n">
        <v>288</v>
      </c>
      <c r="B293" s="33">
        <f>IF(C293="","",IF(X293="À RENSEIGNER","GIC",X293)&amp;"-"&amp;TEXT(A293,"000"))</f>
        <v/>
      </c>
      <c r="C293" s="36" t="n"/>
      <c r="D293" s="34">
        <f>IF(C293="","",IF(U293="☑ Oui","Perdu",IF(AD293&lt;&gt;"","Client","Prospect")))</f>
        <v/>
      </c>
      <c r="E293" s="36" t="n"/>
      <c r="F293" s="36" t="n"/>
      <c r="G293" s="44" t="n"/>
      <c r="H293" s="44" t="n"/>
      <c r="I293" s="36" t="n"/>
      <c r="J293" s="36" t="n"/>
      <c r="K293" s="41" t="n"/>
      <c r="L293" s="41" t="n"/>
      <c r="M293" s="36" t="n"/>
      <c r="N293" s="36" t="n"/>
      <c r="O293" s="32" t="n"/>
      <c r="P293" s="36" t="n"/>
      <c r="Q293" s="36" t="n"/>
      <c r="R293" s="34">
        <f>IF(P293="","",IFERROR(VLOOKUP(P293,T_Produits,2,FALSE),""))</f>
        <v/>
      </c>
      <c r="S293" s="36" t="n"/>
      <c r="T293" s="43" t="n"/>
      <c r="U293" s="43" t="n"/>
      <c r="V293" s="36" t="n"/>
      <c r="W293" s="36" t="n"/>
      <c r="X293" s="33">
        <f>IF(C293="","",Commercial_Id)</f>
        <v/>
      </c>
      <c r="Y293" s="33">
        <f>IF(E293="","",IF(E293="Particulier / ménage","Particulier","Entreprise"))</f>
        <v/>
      </c>
      <c r="Z293" s="39">
        <f>IF(C293="","",COUNTIFS(VC_cle,AK293,VC_type,"Visite sur place"))</f>
        <v/>
      </c>
      <c r="AA293" s="46">
        <f>IF(AL293=0,"",IF(INT(AL293)=0,"",INT(AL293)))</f>
        <v/>
      </c>
      <c r="AB293" s="46">
        <f>IF(AL293=0,"",IF(INDEX(VC_actiondate,ROUND(MOD(AL293,1)*100000,0)-5)=0,"",INDEX(VC_actiondate,ROUND(MOD(AL293,1)*100000,0)-5)))</f>
        <v/>
      </c>
      <c r="AC293" s="33">
        <f>IF(AL293=0,"",INDEX(VC_actiontexte,ROUND(MOD(AL293,1)*100000,0)-5)&amp;"")</f>
        <v/>
      </c>
      <c r="AD293" s="46">
        <f>IF(C293="","",IF(COUNTIFS(Cmd_cle,AK293,Cmd_dateca,"&gt;0")=0,"",SMALL(INDEX(Cmd_dateca+(((Cmd_cle&lt;&gt;AK293)+(Cmd_dateca=0))&gt;0)*1000000,0),1)))</f>
        <v/>
      </c>
      <c r="AE293" s="46">
        <f>IF(C293="","",IF(COUNTIFS(Cmd_cle,AK293,Cmd_dateca,"&gt;0")=0,"",MAX(INDEX((Cmd_cle=AK293)*Cmd_dateca,0))))</f>
        <v/>
      </c>
      <c r="AF293" s="40">
        <f>IF(C293="","",SUMIFS(Cmd_montant,Cmd_cle,AK293,Cmd_dateca,"&gt;0"))</f>
        <v/>
      </c>
      <c r="AG293" s="40">
        <f>IF(C293="","",SUMIFS(Enc_montant,Enc_cle,AK293))</f>
        <v/>
      </c>
      <c r="AH293" s="40">
        <f>IF(C293="","",AF293-AG293)</f>
        <v/>
      </c>
      <c r="AI293" s="33">
        <f>IF(C293="","",IF(D293="Perdu","",IF(AND(AB293&lt;&gt;"",N(AB293)&lt;TODAY()),"Action en retard",IF(AND(D293="Client",AE293&lt;&gt;"",TODAY()-N(AE293)&gt;P_JoursInactif),"Client inactif",IF(AND(D293="Prospect",Z293=0,O293&lt;&gt;"",TODAY()-N(O293)&gt;P_JoursNonVisite),"Jamais visité","")))))</f>
        <v/>
      </c>
      <c r="AJ293" s="33">
        <f>IF(C293="","",C293&amp;" ["&amp;TEXT(A293,"000")&amp;"]")</f>
        <v/>
      </c>
      <c r="AK293" s="33">
        <f>IF(C293="","",X293&amp;"|"&amp;A293)</f>
        <v/>
      </c>
      <c r="AL293" s="47">
        <f>IF(C293="",0,IF(COUNTIFS(VC_cle,AK293)=0,0,MAX(INDEX((VC_cle=AK293)*(VC_date+ROW(VC_date)/100000),0))))</f>
        <v/>
      </c>
      <c r="AM293" s="47">
        <f>IF(AND(C293&lt;&gt;"",N(AB293)&gt;0,D293&lt;&gt;"Perdu"),AB293+ROW()/100000,0)</f>
        <v/>
      </c>
      <c r="AN293" s="48">
        <f>IF(N(AF293)&gt;0,ROUND(AF293,0)+ROW()/1000000,0)</f>
        <v/>
      </c>
    </row>
    <row r="294" ht="18" customHeight="1">
      <c r="A294" s="39" t="n">
        <v>289</v>
      </c>
      <c r="B294" s="33">
        <f>IF(C294="","",IF(X294="À RENSEIGNER","GIC",X294)&amp;"-"&amp;TEXT(A294,"000"))</f>
        <v/>
      </c>
      <c r="C294" s="36" t="n"/>
      <c r="D294" s="34">
        <f>IF(C294="","",IF(U294="☑ Oui","Perdu",IF(AD294&lt;&gt;"","Client","Prospect")))</f>
        <v/>
      </c>
      <c r="E294" s="36" t="n"/>
      <c r="F294" s="36" t="n"/>
      <c r="G294" s="44" t="n"/>
      <c r="H294" s="44" t="n"/>
      <c r="I294" s="36" t="n"/>
      <c r="J294" s="36" t="n"/>
      <c r="K294" s="41" t="n"/>
      <c r="L294" s="41" t="n"/>
      <c r="M294" s="36" t="n"/>
      <c r="N294" s="36" t="n"/>
      <c r="O294" s="32" t="n"/>
      <c r="P294" s="36" t="n"/>
      <c r="Q294" s="36" t="n"/>
      <c r="R294" s="34">
        <f>IF(P294="","",IFERROR(VLOOKUP(P294,T_Produits,2,FALSE),""))</f>
        <v/>
      </c>
      <c r="S294" s="36" t="n"/>
      <c r="T294" s="43" t="n"/>
      <c r="U294" s="43" t="n"/>
      <c r="V294" s="36" t="n"/>
      <c r="W294" s="36" t="n"/>
      <c r="X294" s="33">
        <f>IF(C294="","",Commercial_Id)</f>
        <v/>
      </c>
      <c r="Y294" s="33">
        <f>IF(E294="","",IF(E294="Particulier / ménage","Particulier","Entreprise"))</f>
        <v/>
      </c>
      <c r="Z294" s="39">
        <f>IF(C294="","",COUNTIFS(VC_cle,AK294,VC_type,"Visite sur place"))</f>
        <v/>
      </c>
      <c r="AA294" s="46">
        <f>IF(AL294=0,"",IF(INT(AL294)=0,"",INT(AL294)))</f>
        <v/>
      </c>
      <c r="AB294" s="46">
        <f>IF(AL294=0,"",IF(INDEX(VC_actiondate,ROUND(MOD(AL294,1)*100000,0)-5)=0,"",INDEX(VC_actiondate,ROUND(MOD(AL294,1)*100000,0)-5)))</f>
        <v/>
      </c>
      <c r="AC294" s="33">
        <f>IF(AL294=0,"",INDEX(VC_actiontexte,ROUND(MOD(AL294,1)*100000,0)-5)&amp;"")</f>
        <v/>
      </c>
      <c r="AD294" s="46">
        <f>IF(C294="","",IF(COUNTIFS(Cmd_cle,AK294,Cmd_dateca,"&gt;0")=0,"",SMALL(INDEX(Cmd_dateca+(((Cmd_cle&lt;&gt;AK294)+(Cmd_dateca=0))&gt;0)*1000000,0),1)))</f>
        <v/>
      </c>
      <c r="AE294" s="46">
        <f>IF(C294="","",IF(COUNTIFS(Cmd_cle,AK294,Cmd_dateca,"&gt;0")=0,"",MAX(INDEX((Cmd_cle=AK294)*Cmd_dateca,0))))</f>
        <v/>
      </c>
      <c r="AF294" s="40">
        <f>IF(C294="","",SUMIFS(Cmd_montant,Cmd_cle,AK294,Cmd_dateca,"&gt;0"))</f>
        <v/>
      </c>
      <c r="AG294" s="40">
        <f>IF(C294="","",SUMIFS(Enc_montant,Enc_cle,AK294))</f>
        <v/>
      </c>
      <c r="AH294" s="40">
        <f>IF(C294="","",AF294-AG294)</f>
        <v/>
      </c>
      <c r="AI294" s="33">
        <f>IF(C294="","",IF(D294="Perdu","",IF(AND(AB294&lt;&gt;"",N(AB294)&lt;TODAY()),"Action en retard",IF(AND(D294="Client",AE294&lt;&gt;"",TODAY()-N(AE294)&gt;P_JoursInactif),"Client inactif",IF(AND(D294="Prospect",Z294=0,O294&lt;&gt;"",TODAY()-N(O294)&gt;P_JoursNonVisite),"Jamais visité","")))))</f>
        <v/>
      </c>
      <c r="AJ294" s="33">
        <f>IF(C294="","",C294&amp;" ["&amp;TEXT(A294,"000")&amp;"]")</f>
        <v/>
      </c>
      <c r="AK294" s="33">
        <f>IF(C294="","",X294&amp;"|"&amp;A294)</f>
        <v/>
      </c>
      <c r="AL294" s="47">
        <f>IF(C294="",0,IF(COUNTIFS(VC_cle,AK294)=0,0,MAX(INDEX((VC_cle=AK294)*(VC_date+ROW(VC_date)/100000),0))))</f>
        <v/>
      </c>
      <c r="AM294" s="47">
        <f>IF(AND(C294&lt;&gt;"",N(AB294)&gt;0,D294&lt;&gt;"Perdu"),AB294+ROW()/100000,0)</f>
        <v/>
      </c>
      <c r="AN294" s="48">
        <f>IF(N(AF294)&gt;0,ROUND(AF294,0)+ROW()/1000000,0)</f>
        <v/>
      </c>
    </row>
    <row r="295" ht="18" customHeight="1">
      <c r="A295" s="39" t="n">
        <v>290</v>
      </c>
      <c r="B295" s="33">
        <f>IF(C295="","",IF(X295="À RENSEIGNER","GIC",X295)&amp;"-"&amp;TEXT(A295,"000"))</f>
        <v/>
      </c>
      <c r="C295" s="36" t="n"/>
      <c r="D295" s="34">
        <f>IF(C295="","",IF(U295="☑ Oui","Perdu",IF(AD295&lt;&gt;"","Client","Prospect")))</f>
        <v/>
      </c>
      <c r="E295" s="36" t="n"/>
      <c r="F295" s="36" t="n"/>
      <c r="G295" s="44" t="n"/>
      <c r="H295" s="44" t="n"/>
      <c r="I295" s="36" t="n"/>
      <c r="J295" s="36" t="n"/>
      <c r="K295" s="41" t="n"/>
      <c r="L295" s="41" t="n"/>
      <c r="M295" s="36" t="n"/>
      <c r="N295" s="36" t="n"/>
      <c r="O295" s="32" t="n"/>
      <c r="P295" s="36" t="n"/>
      <c r="Q295" s="36" t="n"/>
      <c r="R295" s="34">
        <f>IF(P295="","",IFERROR(VLOOKUP(P295,T_Produits,2,FALSE),""))</f>
        <v/>
      </c>
      <c r="S295" s="36" t="n"/>
      <c r="T295" s="43" t="n"/>
      <c r="U295" s="43" t="n"/>
      <c r="V295" s="36" t="n"/>
      <c r="W295" s="36" t="n"/>
      <c r="X295" s="33">
        <f>IF(C295="","",Commercial_Id)</f>
        <v/>
      </c>
      <c r="Y295" s="33">
        <f>IF(E295="","",IF(E295="Particulier / ménage","Particulier","Entreprise"))</f>
        <v/>
      </c>
      <c r="Z295" s="39">
        <f>IF(C295="","",COUNTIFS(VC_cle,AK295,VC_type,"Visite sur place"))</f>
        <v/>
      </c>
      <c r="AA295" s="46">
        <f>IF(AL295=0,"",IF(INT(AL295)=0,"",INT(AL295)))</f>
        <v/>
      </c>
      <c r="AB295" s="46">
        <f>IF(AL295=0,"",IF(INDEX(VC_actiondate,ROUND(MOD(AL295,1)*100000,0)-5)=0,"",INDEX(VC_actiondate,ROUND(MOD(AL295,1)*100000,0)-5)))</f>
        <v/>
      </c>
      <c r="AC295" s="33">
        <f>IF(AL295=0,"",INDEX(VC_actiontexte,ROUND(MOD(AL295,1)*100000,0)-5)&amp;"")</f>
        <v/>
      </c>
      <c r="AD295" s="46">
        <f>IF(C295="","",IF(COUNTIFS(Cmd_cle,AK295,Cmd_dateca,"&gt;0")=0,"",SMALL(INDEX(Cmd_dateca+(((Cmd_cle&lt;&gt;AK295)+(Cmd_dateca=0))&gt;0)*1000000,0),1)))</f>
        <v/>
      </c>
      <c r="AE295" s="46">
        <f>IF(C295="","",IF(COUNTIFS(Cmd_cle,AK295,Cmd_dateca,"&gt;0")=0,"",MAX(INDEX((Cmd_cle=AK295)*Cmd_dateca,0))))</f>
        <v/>
      </c>
      <c r="AF295" s="40">
        <f>IF(C295="","",SUMIFS(Cmd_montant,Cmd_cle,AK295,Cmd_dateca,"&gt;0"))</f>
        <v/>
      </c>
      <c r="AG295" s="40">
        <f>IF(C295="","",SUMIFS(Enc_montant,Enc_cle,AK295))</f>
        <v/>
      </c>
      <c r="AH295" s="40">
        <f>IF(C295="","",AF295-AG295)</f>
        <v/>
      </c>
      <c r="AI295" s="33">
        <f>IF(C295="","",IF(D295="Perdu","",IF(AND(AB295&lt;&gt;"",N(AB295)&lt;TODAY()),"Action en retard",IF(AND(D295="Client",AE295&lt;&gt;"",TODAY()-N(AE295)&gt;P_JoursInactif),"Client inactif",IF(AND(D295="Prospect",Z295=0,O295&lt;&gt;"",TODAY()-N(O295)&gt;P_JoursNonVisite),"Jamais visité","")))))</f>
        <v/>
      </c>
      <c r="AJ295" s="33">
        <f>IF(C295="","",C295&amp;" ["&amp;TEXT(A295,"000")&amp;"]")</f>
        <v/>
      </c>
      <c r="AK295" s="33">
        <f>IF(C295="","",X295&amp;"|"&amp;A295)</f>
        <v/>
      </c>
      <c r="AL295" s="47">
        <f>IF(C295="",0,IF(COUNTIFS(VC_cle,AK295)=0,0,MAX(INDEX((VC_cle=AK295)*(VC_date+ROW(VC_date)/100000),0))))</f>
        <v/>
      </c>
      <c r="AM295" s="47">
        <f>IF(AND(C295&lt;&gt;"",N(AB295)&gt;0,D295&lt;&gt;"Perdu"),AB295+ROW()/100000,0)</f>
        <v/>
      </c>
      <c r="AN295" s="48">
        <f>IF(N(AF295)&gt;0,ROUND(AF295,0)+ROW()/1000000,0)</f>
        <v/>
      </c>
    </row>
    <row r="296" ht="18" customHeight="1">
      <c r="A296" s="39" t="n">
        <v>291</v>
      </c>
      <c r="B296" s="33">
        <f>IF(C296="","",IF(X296="À RENSEIGNER","GIC",X296)&amp;"-"&amp;TEXT(A296,"000"))</f>
        <v/>
      </c>
      <c r="C296" s="36" t="n"/>
      <c r="D296" s="34">
        <f>IF(C296="","",IF(U296="☑ Oui","Perdu",IF(AD296&lt;&gt;"","Client","Prospect")))</f>
        <v/>
      </c>
      <c r="E296" s="36" t="n"/>
      <c r="F296" s="36" t="n"/>
      <c r="G296" s="44" t="n"/>
      <c r="H296" s="44" t="n"/>
      <c r="I296" s="36" t="n"/>
      <c r="J296" s="36" t="n"/>
      <c r="K296" s="41" t="n"/>
      <c r="L296" s="41" t="n"/>
      <c r="M296" s="36" t="n"/>
      <c r="N296" s="36" t="n"/>
      <c r="O296" s="32" t="n"/>
      <c r="P296" s="36" t="n"/>
      <c r="Q296" s="36" t="n"/>
      <c r="R296" s="34">
        <f>IF(P296="","",IFERROR(VLOOKUP(P296,T_Produits,2,FALSE),""))</f>
        <v/>
      </c>
      <c r="S296" s="36" t="n"/>
      <c r="T296" s="43" t="n"/>
      <c r="U296" s="43" t="n"/>
      <c r="V296" s="36" t="n"/>
      <c r="W296" s="36" t="n"/>
      <c r="X296" s="33">
        <f>IF(C296="","",Commercial_Id)</f>
        <v/>
      </c>
      <c r="Y296" s="33">
        <f>IF(E296="","",IF(E296="Particulier / ménage","Particulier","Entreprise"))</f>
        <v/>
      </c>
      <c r="Z296" s="39">
        <f>IF(C296="","",COUNTIFS(VC_cle,AK296,VC_type,"Visite sur place"))</f>
        <v/>
      </c>
      <c r="AA296" s="46">
        <f>IF(AL296=0,"",IF(INT(AL296)=0,"",INT(AL296)))</f>
        <v/>
      </c>
      <c r="AB296" s="46">
        <f>IF(AL296=0,"",IF(INDEX(VC_actiondate,ROUND(MOD(AL296,1)*100000,0)-5)=0,"",INDEX(VC_actiondate,ROUND(MOD(AL296,1)*100000,0)-5)))</f>
        <v/>
      </c>
      <c r="AC296" s="33">
        <f>IF(AL296=0,"",INDEX(VC_actiontexte,ROUND(MOD(AL296,1)*100000,0)-5)&amp;"")</f>
        <v/>
      </c>
      <c r="AD296" s="46">
        <f>IF(C296="","",IF(COUNTIFS(Cmd_cle,AK296,Cmd_dateca,"&gt;0")=0,"",SMALL(INDEX(Cmd_dateca+(((Cmd_cle&lt;&gt;AK296)+(Cmd_dateca=0))&gt;0)*1000000,0),1)))</f>
        <v/>
      </c>
      <c r="AE296" s="46">
        <f>IF(C296="","",IF(COUNTIFS(Cmd_cle,AK296,Cmd_dateca,"&gt;0")=0,"",MAX(INDEX((Cmd_cle=AK296)*Cmd_dateca,0))))</f>
        <v/>
      </c>
      <c r="AF296" s="40">
        <f>IF(C296="","",SUMIFS(Cmd_montant,Cmd_cle,AK296,Cmd_dateca,"&gt;0"))</f>
        <v/>
      </c>
      <c r="AG296" s="40">
        <f>IF(C296="","",SUMIFS(Enc_montant,Enc_cle,AK296))</f>
        <v/>
      </c>
      <c r="AH296" s="40">
        <f>IF(C296="","",AF296-AG296)</f>
        <v/>
      </c>
      <c r="AI296" s="33">
        <f>IF(C296="","",IF(D296="Perdu","",IF(AND(AB296&lt;&gt;"",N(AB296)&lt;TODAY()),"Action en retard",IF(AND(D296="Client",AE296&lt;&gt;"",TODAY()-N(AE296)&gt;P_JoursInactif),"Client inactif",IF(AND(D296="Prospect",Z296=0,O296&lt;&gt;"",TODAY()-N(O296)&gt;P_JoursNonVisite),"Jamais visité","")))))</f>
        <v/>
      </c>
      <c r="AJ296" s="33">
        <f>IF(C296="","",C296&amp;" ["&amp;TEXT(A296,"000")&amp;"]")</f>
        <v/>
      </c>
      <c r="AK296" s="33">
        <f>IF(C296="","",X296&amp;"|"&amp;A296)</f>
        <v/>
      </c>
      <c r="AL296" s="47">
        <f>IF(C296="",0,IF(COUNTIFS(VC_cle,AK296)=0,0,MAX(INDEX((VC_cle=AK296)*(VC_date+ROW(VC_date)/100000),0))))</f>
        <v/>
      </c>
      <c r="AM296" s="47">
        <f>IF(AND(C296&lt;&gt;"",N(AB296)&gt;0,D296&lt;&gt;"Perdu"),AB296+ROW()/100000,0)</f>
        <v/>
      </c>
      <c r="AN296" s="48">
        <f>IF(N(AF296)&gt;0,ROUND(AF296,0)+ROW()/1000000,0)</f>
        <v/>
      </c>
    </row>
    <row r="297" ht="18" customHeight="1">
      <c r="A297" s="39" t="n">
        <v>292</v>
      </c>
      <c r="B297" s="33">
        <f>IF(C297="","",IF(X297="À RENSEIGNER","GIC",X297)&amp;"-"&amp;TEXT(A297,"000"))</f>
        <v/>
      </c>
      <c r="C297" s="36" t="n"/>
      <c r="D297" s="34">
        <f>IF(C297="","",IF(U297="☑ Oui","Perdu",IF(AD297&lt;&gt;"","Client","Prospect")))</f>
        <v/>
      </c>
      <c r="E297" s="36" t="n"/>
      <c r="F297" s="36" t="n"/>
      <c r="G297" s="44" t="n"/>
      <c r="H297" s="44" t="n"/>
      <c r="I297" s="36" t="n"/>
      <c r="J297" s="36" t="n"/>
      <c r="K297" s="41" t="n"/>
      <c r="L297" s="41" t="n"/>
      <c r="M297" s="36" t="n"/>
      <c r="N297" s="36" t="n"/>
      <c r="O297" s="32" t="n"/>
      <c r="P297" s="36" t="n"/>
      <c r="Q297" s="36" t="n"/>
      <c r="R297" s="34">
        <f>IF(P297="","",IFERROR(VLOOKUP(P297,T_Produits,2,FALSE),""))</f>
        <v/>
      </c>
      <c r="S297" s="36" t="n"/>
      <c r="T297" s="43" t="n"/>
      <c r="U297" s="43" t="n"/>
      <c r="V297" s="36" t="n"/>
      <c r="W297" s="36" t="n"/>
      <c r="X297" s="33">
        <f>IF(C297="","",Commercial_Id)</f>
        <v/>
      </c>
      <c r="Y297" s="33">
        <f>IF(E297="","",IF(E297="Particulier / ménage","Particulier","Entreprise"))</f>
        <v/>
      </c>
      <c r="Z297" s="39">
        <f>IF(C297="","",COUNTIFS(VC_cle,AK297,VC_type,"Visite sur place"))</f>
        <v/>
      </c>
      <c r="AA297" s="46">
        <f>IF(AL297=0,"",IF(INT(AL297)=0,"",INT(AL297)))</f>
        <v/>
      </c>
      <c r="AB297" s="46">
        <f>IF(AL297=0,"",IF(INDEX(VC_actiondate,ROUND(MOD(AL297,1)*100000,0)-5)=0,"",INDEX(VC_actiondate,ROUND(MOD(AL297,1)*100000,0)-5)))</f>
        <v/>
      </c>
      <c r="AC297" s="33">
        <f>IF(AL297=0,"",INDEX(VC_actiontexte,ROUND(MOD(AL297,1)*100000,0)-5)&amp;"")</f>
        <v/>
      </c>
      <c r="AD297" s="46">
        <f>IF(C297="","",IF(COUNTIFS(Cmd_cle,AK297,Cmd_dateca,"&gt;0")=0,"",SMALL(INDEX(Cmd_dateca+(((Cmd_cle&lt;&gt;AK297)+(Cmd_dateca=0))&gt;0)*1000000,0),1)))</f>
        <v/>
      </c>
      <c r="AE297" s="46">
        <f>IF(C297="","",IF(COUNTIFS(Cmd_cle,AK297,Cmd_dateca,"&gt;0")=0,"",MAX(INDEX((Cmd_cle=AK297)*Cmd_dateca,0))))</f>
        <v/>
      </c>
      <c r="AF297" s="40">
        <f>IF(C297="","",SUMIFS(Cmd_montant,Cmd_cle,AK297,Cmd_dateca,"&gt;0"))</f>
        <v/>
      </c>
      <c r="AG297" s="40">
        <f>IF(C297="","",SUMIFS(Enc_montant,Enc_cle,AK297))</f>
        <v/>
      </c>
      <c r="AH297" s="40">
        <f>IF(C297="","",AF297-AG297)</f>
        <v/>
      </c>
      <c r="AI297" s="33">
        <f>IF(C297="","",IF(D297="Perdu","",IF(AND(AB297&lt;&gt;"",N(AB297)&lt;TODAY()),"Action en retard",IF(AND(D297="Client",AE297&lt;&gt;"",TODAY()-N(AE297)&gt;P_JoursInactif),"Client inactif",IF(AND(D297="Prospect",Z297=0,O297&lt;&gt;"",TODAY()-N(O297)&gt;P_JoursNonVisite),"Jamais visité","")))))</f>
        <v/>
      </c>
      <c r="AJ297" s="33">
        <f>IF(C297="","",C297&amp;" ["&amp;TEXT(A297,"000")&amp;"]")</f>
        <v/>
      </c>
      <c r="AK297" s="33">
        <f>IF(C297="","",X297&amp;"|"&amp;A297)</f>
        <v/>
      </c>
      <c r="AL297" s="47">
        <f>IF(C297="",0,IF(COUNTIFS(VC_cle,AK297)=0,0,MAX(INDEX((VC_cle=AK297)*(VC_date+ROW(VC_date)/100000),0))))</f>
        <v/>
      </c>
      <c r="AM297" s="47">
        <f>IF(AND(C297&lt;&gt;"",N(AB297)&gt;0,D297&lt;&gt;"Perdu"),AB297+ROW()/100000,0)</f>
        <v/>
      </c>
      <c r="AN297" s="48">
        <f>IF(N(AF297)&gt;0,ROUND(AF297,0)+ROW()/1000000,0)</f>
        <v/>
      </c>
    </row>
    <row r="298" ht="18" customHeight="1">
      <c r="A298" s="39" t="n">
        <v>293</v>
      </c>
      <c r="B298" s="33">
        <f>IF(C298="","",IF(X298="À RENSEIGNER","GIC",X298)&amp;"-"&amp;TEXT(A298,"000"))</f>
        <v/>
      </c>
      <c r="C298" s="36" t="n"/>
      <c r="D298" s="34">
        <f>IF(C298="","",IF(U298="☑ Oui","Perdu",IF(AD298&lt;&gt;"","Client","Prospect")))</f>
        <v/>
      </c>
      <c r="E298" s="36" t="n"/>
      <c r="F298" s="36" t="n"/>
      <c r="G298" s="44" t="n"/>
      <c r="H298" s="44" t="n"/>
      <c r="I298" s="36" t="n"/>
      <c r="J298" s="36" t="n"/>
      <c r="K298" s="41" t="n"/>
      <c r="L298" s="41" t="n"/>
      <c r="M298" s="36" t="n"/>
      <c r="N298" s="36" t="n"/>
      <c r="O298" s="32" t="n"/>
      <c r="P298" s="36" t="n"/>
      <c r="Q298" s="36" t="n"/>
      <c r="R298" s="34">
        <f>IF(P298="","",IFERROR(VLOOKUP(P298,T_Produits,2,FALSE),""))</f>
        <v/>
      </c>
      <c r="S298" s="36" t="n"/>
      <c r="T298" s="43" t="n"/>
      <c r="U298" s="43" t="n"/>
      <c r="V298" s="36" t="n"/>
      <c r="W298" s="36" t="n"/>
      <c r="X298" s="33">
        <f>IF(C298="","",Commercial_Id)</f>
        <v/>
      </c>
      <c r="Y298" s="33">
        <f>IF(E298="","",IF(E298="Particulier / ménage","Particulier","Entreprise"))</f>
        <v/>
      </c>
      <c r="Z298" s="39">
        <f>IF(C298="","",COUNTIFS(VC_cle,AK298,VC_type,"Visite sur place"))</f>
        <v/>
      </c>
      <c r="AA298" s="46">
        <f>IF(AL298=0,"",IF(INT(AL298)=0,"",INT(AL298)))</f>
        <v/>
      </c>
      <c r="AB298" s="46">
        <f>IF(AL298=0,"",IF(INDEX(VC_actiondate,ROUND(MOD(AL298,1)*100000,0)-5)=0,"",INDEX(VC_actiondate,ROUND(MOD(AL298,1)*100000,0)-5)))</f>
        <v/>
      </c>
      <c r="AC298" s="33">
        <f>IF(AL298=0,"",INDEX(VC_actiontexte,ROUND(MOD(AL298,1)*100000,0)-5)&amp;"")</f>
        <v/>
      </c>
      <c r="AD298" s="46">
        <f>IF(C298="","",IF(COUNTIFS(Cmd_cle,AK298,Cmd_dateca,"&gt;0")=0,"",SMALL(INDEX(Cmd_dateca+(((Cmd_cle&lt;&gt;AK298)+(Cmd_dateca=0))&gt;0)*1000000,0),1)))</f>
        <v/>
      </c>
      <c r="AE298" s="46">
        <f>IF(C298="","",IF(COUNTIFS(Cmd_cle,AK298,Cmd_dateca,"&gt;0")=0,"",MAX(INDEX((Cmd_cle=AK298)*Cmd_dateca,0))))</f>
        <v/>
      </c>
      <c r="AF298" s="40">
        <f>IF(C298="","",SUMIFS(Cmd_montant,Cmd_cle,AK298,Cmd_dateca,"&gt;0"))</f>
        <v/>
      </c>
      <c r="AG298" s="40">
        <f>IF(C298="","",SUMIFS(Enc_montant,Enc_cle,AK298))</f>
        <v/>
      </c>
      <c r="AH298" s="40">
        <f>IF(C298="","",AF298-AG298)</f>
        <v/>
      </c>
      <c r="AI298" s="33">
        <f>IF(C298="","",IF(D298="Perdu","",IF(AND(AB298&lt;&gt;"",N(AB298)&lt;TODAY()),"Action en retard",IF(AND(D298="Client",AE298&lt;&gt;"",TODAY()-N(AE298)&gt;P_JoursInactif),"Client inactif",IF(AND(D298="Prospect",Z298=0,O298&lt;&gt;"",TODAY()-N(O298)&gt;P_JoursNonVisite),"Jamais visité","")))))</f>
        <v/>
      </c>
      <c r="AJ298" s="33">
        <f>IF(C298="","",C298&amp;" ["&amp;TEXT(A298,"000")&amp;"]")</f>
        <v/>
      </c>
      <c r="AK298" s="33">
        <f>IF(C298="","",X298&amp;"|"&amp;A298)</f>
        <v/>
      </c>
      <c r="AL298" s="47">
        <f>IF(C298="",0,IF(COUNTIFS(VC_cle,AK298)=0,0,MAX(INDEX((VC_cle=AK298)*(VC_date+ROW(VC_date)/100000),0))))</f>
        <v/>
      </c>
      <c r="AM298" s="47">
        <f>IF(AND(C298&lt;&gt;"",N(AB298)&gt;0,D298&lt;&gt;"Perdu"),AB298+ROW()/100000,0)</f>
        <v/>
      </c>
      <c r="AN298" s="48">
        <f>IF(N(AF298)&gt;0,ROUND(AF298,0)+ROW()/1000000,0)</f>
        <v/>
      </c>
    </row>
    <row r="299" ht="18" customHeight="1">
      <c r="A299" s="39" t="n">
        <v>294</v>
      </c>
      <c r="B299" s="33">
        <f>IF(C299="","",IF(X299="À RENSEIGNER","GIC",X299)&amp;"-"&amp;TEXT(A299,"000"))</f>
        <v/>
      </c>
      <c r="C299" s="36" t="n"/>
      <c r="D299" s="34">
        <f>IF(C299="","",IF(U299="☑ Oui","Perdu",IF(AD299&lt;&gt;"","Client","Prospect")))</f>
        <v/>
      </c>
      <c r="E299" s="36" t="n"/>
      <c r="F299" s="36" t="n"/>
      <c r="G299" s="44" t="n"/>
      <c r="H299" s="44" t="n"/>
      <c r="I299" s="36" t="n"/>
      <c r="J299" s="36" t="n"/>
      <c r="K299" s="41" t="n"/>
      <c r="L299" s="41" t="n"/>
      <c r="M299" s="36" t="n"/>
      <c r="N299" s="36" t="n"/>
      <c r="O299" s="32" t="n"/>
      <c r="P299" s="36" t="n"/>
      <c r="Q299" s="36" t="n"/>
      <c r="R299" s="34">
        <f>IF(P299="","",IFERROR(VLOOKUP(P299,T_Produits,2,FALSE),""))</f>
        <v/>
      </c>
      <c r="S299" s="36" t="n"/>
      <c r="T299" s="43" t="n"/>
      <c r="U299" s="43" t="n"/>
      <c r="V299" s="36" t="n"/>
      <c r="W299" s="36" t="n"/>
      <c r="X299" s="33">
        <f>IF(C299="","",Commercial_Id)</f>
        <v/>
      </c>
      <c r="Y299" s="33">
        <f>IF(E299="","",IF(E299="Particulier / ménage","Particulier","Entreprise"))</f>
        <v/>
      </c>
      <c r="Z299" s="39">
        <f>IF(C299="","",COUNTIFS(VC_cle,AK299,VC_type,"Visite sur place"))</f>
        <v/>
      </c>
      <c r="AA299" s="46">
        <f>IF(AL299=0,"",IF(INT(AL299)=0,"",INT(AL299)))</f>
        <v/>
      </c>
      <c r="AB299" s="46">
        <f>IF(AL299=0,"",IF(INDEX(VC_actiondate,ROUND(MOD(AL299,1)*100000,0)-5)=0,"",INDEX(VC_actiondate,ROUND(MOD(AL299,1)*100000,0)-5)))</f>
        <v/>
      </c>
      <c r="AC299" s="33">
        <f>IF(AL299=0,"",INDEX(VC_actiontexte,ROUND(MOD(AL299,1)*100000,0)-5)&amp;"")</f>
        <v/>
      </c>
      <c r="AD299" s="46">
        <f>IF(C299="","",IF(COUNTIFS(Cmd_cle,AK299,Cmd_dateca,"&gt;0")=0,"",SMALL(INDEX(Cmd_dateca+(((Cmd_cle&lt;&gt;AK299)+(Cmd_dateca=0))&gt;0)*1000000,0),1)))</f>
        <v/>
      </c>
      <c r="AE299" s="46">
        <f>IF(C299="","",IF(COUNTIFS(Cmd_cle,AK299,Cmd_dateca,"&gt;0")=0,"",MAX(INDEX((Cmd_cle=AK299)*Cmd_dateca,0))))</f>
        <v/>
      </c>
      <c r="AF299" s="40">
        <f>IF(C299="","",SUMIFS(Cmd_montant,Cmd_cle,AK299,Cmd_dateca,"&gt;0"))</f>
        <v/>
      </c>
      <c r="AG299" s="40">
        <f>IF(C299="","",SUMIFS(Enc_montant,Enc_cle,AK299))</f>
        <v/>
      </c>
      <c r="AH299" s="40">
        <f>IF(C299="","",AF299-AG299)</f>
        <v/>
      </c>
      <c r="AI299" s="33">
        <f>IF(C299="","",IF(D299="Perdu","",IF(AND(AB299&lt;&gt;"",N(AB299)&lt;TODAY()),"Action en retard",IF(AND(D299="Client",AE299&lt;&gt;"",TODAY()-N(AE299)&gt;P_JoursInactif),"Client inactif",IF(AND(D299="Prospect",Z299=0,O299&lt;&gt;"",TODAY()-N(O299)&gt;P_JoursNonVisite),"Jamais visité","")))))</f>
        <v/>
      </c>
      <c r="AJ299" s="33">
        <f>IF(C299="","",C299&amp;" ["&amp;TEXT(A299,"000")&amp;"]")</f>
        <v/>
      </c>
      <c r="AK299" s="33">
        <f>IF(C299="","",X299&amp;"|"&amp;A299)</f>
        <v/>
      </c>
      <c r="AL299" s="47">
        <f>IF(C299="",0,IF(COUNTIFS(VC_cle,AK299)=0,0,MAX(INDEX((VC_cle=AK299)*(VC_date+ROW(VC_date)/100000),0))))</f>
        <v/>
      </c>
      <c r="AM299" s="47">
        <f>IF(AND(C299&lt;&gt;"",N(AB299)&gt;0,D299&lt;&gt;"Perdu"),AB299+ROW()/100000,0)</f>
        <v/>
      </c>
      <c r="AN299" s="48">
        <f>IF(N(AF299)&gt;0,ROUND(AF299,0)+ROW()/1000000,0)</f>
        <v/>
      </c>
    </row>
    <row r="300" ht="18" customHeight="1">
      <c r="A300" s="39" t="n">
        <v>295</v>
      </c>
      <c r="B300" s="33">
        <f>IF(C300="","",IF(X300="À RENSEIGNER","GIC",X300)&amp;"-"&amp;TEXT(A300,"000"))</f>
        <v/>
      </c>
      <c r="C300" s="36" t="n"/>
      <c r="D300" s="34">
        <f>IF(C300="","",IF(U300="☑ Oui","Perdu",IF(AD300&lt;&gt;"","Client","Prospect")))</f>
        <v/>
      </c>
      <c r="E300" s="36" t="n"/>
      <c r="F300" s="36" t="n"/>
      <c r="G300" s="44" t="n"/>
      <c r="H300" s="44" t="n"/>
      <c r="I300" s="36" t="n"/>
      <c r="J300" s="36" t="n"/>
      <c r="K300" s="41" t="n"/>
      <c r="L300" s="41" t="n"/>
      <c r="M300" s="36" t="n"/>
      <c r="N300" s="36" t="n"/>
      <c r="O300" s="32" t="n"/>
      <c r="P300" s="36" t="n"/>
      <c r="Q300" s="36" t="n"/>
      <c r="R300" s="34">
        <f>IF(P300="","",IFERROR(VLOOKUP(P300,T_Produits,2,FALSE),""))</f>
        <v/>
      </c>
      <c r="S300" s="36" t="n"/>
      <c r="T300" s="43" t="n"/>
      <c r="U300" s="43" t="n"/>
      <c r="V300" s="36" t="n"/>
      <c r="W300" s="36" t="n"/>
      <c r="X300" s="33">
        <f>IF(C300="","",Commercial_Id)</f>
        <v/>
      </c>
      <c r="Y300" s="33">
        <f>IF(E300="","",IF(E300="Particulier / ménage","Particulier","Entreprise"))</f>
        <v/>
      </c>
      <c r="Z300" s="39">
        <f>IF(C300="","",COUNTIFS(VC_cle,AK300,VC_type,"Visite sur place"))</f>
        <v/>
      </c>
      <c r="AA300" s="46">
        <f>IF(AL300=0,"",IF(INT(AL300)=0,"",INT(AL300)))</f>
        <v/>
      </c>
      <c r="AB300" s="46">
        <f>IF(AL300=0,"",IF(INDEX(VC_actiondate,ROUND(MOD(AL300,1)*100000,0)-5)=0,"",INDEX(VC_actiondate,ROUND(MOD(AL300,1)*100000,0)-5)))</f>
        <v/>
      </c>
      <c r="AC300" s="33">
        <f>IF(AL300=0,"",INDEX(VC_actiontexte,ROUND(MOD(AL300,1)*100000,0)-5)&amp;"")</f>
        <v/>
      </c>
      <c r="AD300" s="46">
        <f>IF(C300="","",IF(COUNTIFS(Cmd_cle,AK300,Cmd_dateca,"&gt;0")=0,"",SMALL(INDEX(Cmd_dateca+(((Cmd_cle&lt;&gt;AK300)+(Cmd_dateca=0))&gt;0)*1000000,0),1)))</f>
        <v/>
      </c>
      <c r="AE300" s="46">
        <f>IF(C300="","",IF(COUNTIFS(Cmd_cle,AK300,Cmd_dateca,"&gt;0")=0,"",MAX(INDEX((Cmd_cle=AK300)*Cmd_dateca,0))))</f>
        <v/>
      </c>
      <c r="AF300" s="40">
        <f>IF(C300="","",SUMIFS(Cmd_montant,Cmd_cle,AK300,Cmd_dateca,"&gt;0"))</f>
        <v/>
      </c>
      <c r="AG300" s="40">
        <f>IF(C300="","",SUMIFS(Enc_montant,Enc_cle,AK300))</f>
        <v/>
      </c>
      <c r="AH300" s="40">
        <f>IF(C300="","",AF300-AG300)</f>
        <v/>
      </c>
      <c r="AI300" s="33">
        <f>IF(C300="","",IF(D300="Perdu","",IF(AND(AB300&lt;&gt;"",N(AB300)&lt;TODAY()),"Action en retard",IF(AND(D300="Client",AE300&lt;&gt;"",TODAY()-N(AE300)&gt;P_JoursInactif),"Client inactif",IF(AND(D300="Prospect",Z300=0,O300&lt;&gt;"",TODAY()-N(O300)&gt;P_JoursNonVisite),"Jamais visité","")))))</f>
        <v/>
      </c>
      <c r="AJ300" s="33">
        <f>IF(C300="","",C300&amp;" ["&amp;TEXT(A300,"000")&amp;"]")</f>
        <v/>
      </c>
      <c r="AK300" s="33">
        <f>IF(C300="","",X300&amp;"|"&amp;A300)</f>
        <v/>
      </c>
      <c r="AL300" s="47">
        <f>IF(C300="",0,IF(COUNTIFS(VC_cle,AK300)=0,0,MAX(INDEX((VC_cle=AK300)*(VC_date+ROW(VC_date)/100000),0))))</f>
        <v/>
      </c>
      <c r="AM300" s="47">
        <f>IF(AND(C300&lt;&gt;"",N(AB300)&gt;0,D300&lt;&gt;"Perdu"),AB300+ROW()/100000,0)</f>
        <v/>
      </c>
      <c r="AN300" s="48">
        <f>IF(N(AF300)&gt;0,ROUND(AF300,0)+ROW()/1000000,0)</f>
        <v/>
      </c>
    </row>
    <row r="301" ht="18" customHeight="1">
      <c r="A301" s="39" t="n">
        <v>296</v>
      </c>
      <c r="B301" s="33">
        <f>IF(C301="","",IF(X301="À RENSEIGNER","GIC",X301)&amp;"-"&amp;TEXT(A301,"000"))</f>
        <v/>
      </c>
      <c r="C301" s="36" t="n"/>
      <c r="D301" s="34">
        <f>IF(C301="","",IF(U301="☑ Oui","Perdu",IF(AD301&lt;&gt;"","Client","Prospect")))</f>
        <v/>
      </c>
      <c r="E301" s="36" t="n"/>
      <c r="F301" s="36" t="n"/>
      <c r="G301" s="44" t="n"/>
      <c r="H301" s="44" t="n"/>
      <c r="I301" s="36" t="n"/>
      <c r="J301" s="36" t="n"/>
      <c r="K301" s="41" t="n"/>
      <c r="L301" s="41" t="n"/>
      <c r="M301" s="36" t="n"/>
      <c r="N301" s="36" t="n"/>
      <c r="O301" s="32" t="n"/>
      <c r="P301" s="36" t="n"/>
      <c r="Q301" s="36" t="n"/>
      <c r="R301" s="34">
        <f>IF(P301="","",IFERROR(VLOOKUP(P301,T_Produits,2,FALSE),""))</f>
        <v/>
      </c>
      <c r="S301" s="36" t="n"/>
      <c r="T301" s="43" t="n"/>
      <c r="U301" s="43" t="n"/>
      <c r="V301" s="36" t="n"/>
      <c r="W301" s="36" t="n"/>
      <c r="X301" s="33">
        <f>IF(C301="","",Commercial_Id)</f>
        <v/>
      </c>
      <c r="Y301" s="33">
        <f>IF(E301="","",IF(E301="Particulier / ménage","Particulier","Entreprise"))</f>
        <v/>
      </c>
      <c r="Z301" s="39">
        <f>IF(C301="","",COUNTIFS(VC_cle,AK301,VC_type,"Visite sur place"))</f>
        <v/>
      </c>
      <c r="AA301" s="46">
        <f>IF(AL301=0,"",IF(INT(AL301)=0,"",INT(AL301)))</f>
        <v/>
      </c>
      <c r="AB301" s="46">
        <f>IF(AL301=0,"",IF(INDEX(VC_actiondate,ROUND(MOD(AL301,1)*100000,0)-5)=0,"",INDEX(VC_actiondate,ROUND(MOD(AL301,1)*100000,0)-5)))</f>
        <v/>
      </c>
      <c r="AC301" s="33">
        <f>IF(AL301=0,"",INDEX(VC_actiontexte,ROUND(MOD(AL301,1)*100000,0)-5)&amp;"")</f>
        <v/>
      </c>
      <c r="AD301" s="46">
        <f>IF(C301="","",IF(COUNTIFS(Cmd_cle,AK301,Cmd_dateca,"&gt;0")=0,"",SMALL(INDEX(Cmd_dateca+(((Cmd_cle&lt;&gt;AK301)+(Cmd_dateca=0))&gt;0)*1000000,0),1)))</f>
        <v/>
      </c>
      <c r="AE301" s="46">
        <f>IF(C301="","",IF(COUNTIFS(Cmd_cle,AK301,Cmd_dateca,"&gt;0")=0,"",MAX(INDEX((Cmd_cle=AK301)*Cmd_dateca,0))))</f>
        <v/>
      </c>
      <c r="AF301" s="40">
        <f>IF(C301="","",SUMIFS(Cmd_montant,Cmd_cle,AK301,Cmd_dateca,"&gt;0"))</f>
        <v/>
      </c>
      <c r="AG301" s="40">
        <f>IF(C301="","",SUMIFS(Enc_montant,Enc_cle,AK301))</f>
        <v/>
      </c>
      <c r="AH301" s="40">
        <f>IF(C301="","",AF301-AG301)</f>
        <v/>
      </c>
      <c r="AI301" s="33">
        <f>IF(C301="","",IF(D301="Perdu","",IF(AND(AB301&lt;&gt;"",N(AB301)&lt;TODAY()),"Action en retard",IF(AND(D301="Client",AE301&lt;&gt;"",TODAY()-N(AE301)&gt;P_JoursInactif),"Client inactif",IF(AND(D301="Prospect",Z301=0,O301&lt;&gt;"",TODAY()-N(O301)&gt;P_JoursNonVisite),"Jamais visité","")))))</f>
        <v/>
      </c>
      <c r="AJ301" s="33">
        <f>IF(C301="","",C301&amp;" ["&amp;TEXT(A301,"000")&amp;"]")</f>
        <v/>
      </c>
      <c r="AK301" s="33">
        <f>IF(C301="","",X301&amp;"|"&amp;A301)</f>
        <v/>
      </c>
      <c r="AL301" s="47">
        <f>IF(C301="",0,IF(COUNTIFS(VC_cle,AK301)=0,0,MAX(INDEX((VC_cle=AK301)*(VC_date+ROW(VC_date)/100000),0))))</f>
        <v/>
      </c>
      <c r="AM301" s="47">
        <f>IF(AND(C301&lt;&gt;"",N(AB301)&gt;0,D301&lt;&gt;"Perdu"),AB301+ROW()/100000,0)</f>
        <v/>
      </c>
      <c r="AN301" s="48">
        <f>IF(N(AF301)&gt;0,ROUND(AF301,0)+ROW()/1000000,0)</f>
        <v/>
      </c>
    </row>
    <row r="302" ht="18" customHeight="1">
      <c r="A302" s="39" t="n">
        <v>297</v>
      </c>
      <c r="B302" s="33">
        <f>IF(C302="","",IF(X302="À RENSEIGNER","GIC",X302)&amp;"-"&amp;TEXT(A302,"000"))</f>
        <v/>
      </c>
      <c r="C302" s="36" t="n"/>
      <c r="D302" s="34">
        <f>IF(C302="","",IF(U302="☑ Oui","Perdu",IF(AD302&lt;&gt;"","Client","Prospect")))</f>
        <v/>
      </c>
      <c r="E302" s="36" t="n"/>
      <c r="F302" s="36" t="n"/>
      <c r="G302" s="44" t="n"/>
      <c r="H302" s="44" t="n"/>
      <c r="I302" s="36" t="n"/>
      <c r="J302" s="36" t="n"/>
      <c r="K302" s="41" t="n"/>
      <c r="L302" s="41" t="n"/>
      <c r="M302" s="36" t="n"/>
      <c r="N302" s="36" t="n"/>
      <c r="O302" s="32" t="n"/>
      <c r="P302" s="36" t="n"/>
      <c r="Q302" s="36" t="n"/>
      <c r="R302" s="34">
        <f>IF(P302="","",IFERROR(VLOOKUP(P302,T_Produits,2,FALSE),""))</f>
        <v/>
      </c>
      <c r="S302" s="36" t="n"/>
      <c r="T302" s="43" t="n"/>
      <c r="U302" s="43" t="n"/>
      <c r="V302" s="36" t="n"/>
      <c r="W302" s="36" t="n"/>
      <c r="X302" s="33">
        <f>IF(C302="","",Commercial_Id)</f>
        <v/>
      </c>
      <c r="Y302" s="33">
        <f>IF(E302="","",IF(E302="Particulier / ménage","Particulier","Entreprise"))</f>
        <v/>
      </c>
      <c r="Z302" s="39">
        <f>IF(C302="","",COUNTIFS(VC_cle,AK302,VC_type,"Visite sur place"))</f>
        <v/>
      </c>
      <c r="AA302" s="46">
        <f>IF(AL302=0,"",IF(INT(AL302)=0,"",INT(AL302)))</f>
        <v/>
      </c>
      <c r="AB302" s="46">
        <f>IF(AL302=0,"",IF(INDEX(VC_actiondate,ROUND(MOD(AL302,1)*100000,0)-5)=0,"",INDEX(VC_actiondate,ROUND(MOD(AL302,1)*100000,0)-5)))</f>
        <v/>
      </c>
      <c r="AC302" s="33">
        <f>IF(AL302=0,"",INDEX(VC_actiontexte,ROUND(MOD(AL302,1)*100000,0)-5)&amp;"")</f>
        <v/>
      </c>
      <c r="AD302" s="46">
        <f>IF(C302="","",IF(COUNTIFS(Cmd_cle,AK302,Cmd_dateca,"&gt;0")=0,"",SMALL(INDEX(Cmd_dateca+(((Cmd_cle&lt;&gt;AK302)+(Cmd_dateca=0))&gt;0)*1000000,0),1)))</f>
        <v/>
      </c>
      <c r="AE302" s="46">
        <f>IF(C302="","",IF(COUNTIFS(Cmd_cle,AK302,Cmd_dateca,"&gt;0")=0,"",MAX(INDEX((Cmd_cle=AK302)*Cmd_dateca,0))))</f>
        <v/>
      </c>
      <c r="AF302" s="40">
        <f>IF(C302="","",SUMIFS(Cmd_montant,Cmd_cle,AK302,Cmd_dateca,"&gt;0"))</f>
        <v/>
      </c>
      <c r="AG302" s="40">
        <f>IF(C302="","",SUMIFS(Enc_montant,Enc_cle,AK302))</f>
        <v/>
      </c>
      <c r="AH302" s="40">
        <f>IF(C302="","",AF302-AG302)</f>
        <v/>
      </c>
      <c r="AI302" s="33">
        <f>IF(C302="","",IF(D302="Perdu","",IF(AND(AB302&lt;&gt;"",N(AB302)&lt;TODAY()),"Action en retard",IF(AND(D302="Client",AE302&lt;&gt;"",TODAY()-N(AE302)&gt;P_JoursInactif),"Client inactif",IF(AND(D302="Prospect",Z302=0,O302&lt;&gt;"",TODAY()-N(O302)&gt;P_JoursNonVisite),"Jamais visité","")))))</f>
        <v/>
      </c>
      <c r="AJ302" s="33">
        <f>IF(C302="","",C302&amp;" ["&amp;TEXT(A302,"000")&amp;"]")</f>
        <v/>
      </c>
      <c r="AK302" s="33">
        <f>IF(C302="","",X302&amp;"|"&amp;A302)</f>
        <v/>
      </c>
      <c r="AL302" s="47">
        <f>IF(C302="",0,IF(COUNTIFS(VC_cle,AK302)=0,0,MAX(INDEX((VC_cle=AK302)*(VC_date+ROW(VC_date)/100000),0))))</f>
        <v/>
      </c>
      <c r="AM302" s="47">
        <f>IF(AND(C302&lt;&gt;"",N(AB302)&gt;0,D302&lt;&gt;"Perdu"),AB302+ROW()/100000,0)</f>
        <v/>
      </c>
      <c r="AN302" s="48">
        <f>IF(N(AF302)&gt;0,ROUND(AF302,0)+ROW()/1000000,0)</f>
        <v/>
      </c>
    </row>
    <row r="303" ht="18" customHeight="1">
      <c r="A303" s="39" t="n">
        <v>298</v>
      </c>
      <c r="B303" s="33">
        <f>IF(C303="","",IF(X303="À RENSEIGNER","GIC",X303)&amp;"-"&amp;TEXT(A303,"000"))</f>
        <v/>
      </c>
      <c r="C303" s="36" t="n"/>
      <c r="D303" s="34">
        <f>IF(C303="","",IF(U303="☑ Oui","Perdu",IF(AD303&lt;&gt;"","Client","Prospect")))</f>
        <v/>
      </c>
      <c r="E303" s="36" t="n"/>
      <c r="F303" s="36" t="n"/>
      <c r="G303" s="44" t="n"/>
      <c r="H303" s="44" t="n"/>
      <c r="I303" s="36" t="n"/>
      <c r="J303" s="36" t="n"/>
      <c r="K303" s="41" t="n"/>
      <c r="L303" s="41" t="n"/>
      <c r="M303" s="36" t="n"/>
      <c r="N303" s="36" t="n"/>
      <c r="O303" s="32" t="n"/>
      <c r="P303" s="36" t="n"/>
      <c r="Q303" s="36" t="n"/>
      <c r="R303" s="34">
        <f>IF(P303="","",IFERROR(VLOOKUP(P303,T_Produits,2,FALSE),""))</f>
        <v/>
      </c>
      <c r="S303" s="36" t="n"/>
      <c r="T303" s="43" t="n"/>
      <c r="U303" s="43" t="n"/>
      <c r="V303" s="36" t="n"/>
      <c r="W303" s="36" t="n"/>
      <c r="X303" s="33">
        <f>IF(C303="","",Commercial_Id)</f>
        <v/>
      </c>
      <c r="Y303" s="33">
        <f>IF(E303="","",IF(E303="Particulier / ménage","Particulier","Entreprise"))</f>
        <v/>
      </c>
      <c r="Z303" s="39">
        <f>IF(C303="","",COUNTIFS(VC_cle,AK303,VC_type,"Visite sur place"))</f>
        <v/>
      </c>
      <c r="AA303" s="46">
        <f>IF(AL303=0,"",IF(INT(AL303)=0,"",INT(AL303)))</f>
        <v/>
      </c>
      <c r="AB303" s="46">
        <f>IF(AL303=0,"",IF(INDEX(VC_actiondate,ROUND(MOD(AL303,1)*100000,0)-5)=0,"",INDEX(VC_actiondate,ROUND(MOD(AL303,1)*100000,0)-5)))</f>
        <v/>
      </c>
      <c r="AC303" s="33">
        <f>IF(AL303=0,"",INDEX(VC_actiontexte,ROUND(MOD(AL303,1)*100000,0)-5)&amp;"")</f>
        <v/>
      </c>
      <c r="AD303" s="46">
        <f>IF(C303="","",IF(COUNTIFS(Cmd_cle,AK303,Cmd_dateca,"&gt;0")=0,"",SMALL(INDEX(Cmd_dateca+(((Cmd_cle&lt;&gt;AK303)+(Cmd_dateca=0))&gt;0)*1000000,0),1)))</f>
        <v/>
      </c>
      <c r="AE303" s="46">
        <f>IF(C303="","",IF(COUNTIFS(Cmd_cle,AK303,Cmd_dateca,"&gt;0")=0,"",MAX(INDEX((Cmd_cle=AK303)*Cmd_dateca,0))))</f>
        <v/>
      </c>
      <c r="AF303" s="40">
        <f>IF(C303="","",SUMIFS(Cmd_montant,Cmd_cle,AK303,Cmd_dateca,"&gt;0"))</f>
        <v/>
      </c>
      <c r="AG303" s="40">
        <f>IF(C303="","",SUMIFS(Enc_montant,Enc_cle,AK303))</f>
        <v/>
      </c>
      <c r="AH303" s="40">
        <f>IF(C303="","",AF303-AG303)</f>
        <v/>
      </c>
      <c r="AI303" s="33">
        <f>IF(C303="","",IF(D303="Perdu","",IF(AND(AB303&lt;&gt;"",N(AB303)&lt;TODAY()),"Action en retard",IF(AND(D303="Client",AE303&lt;&gt;"",TODAY()-N(AE303)&gt;P_JoursInactif),"Client inactif",IF(AND(D303="Prospect",Z303=0,O303&lt;&gt;"",TODAY()-N(O303)&gt;P_JoursNonVisite),"Jamais visité","")))))</f>
        <v/>
      </c>
      <c r="AJ303" s="33">
        <f>IF(C303="","",C303&amp;" ["&amp;TEXT(A303,"000")&amp;"]")</f>
        <v/>
      </c>
      <c r="AK303" s="33">
        <f>IF(C303="","",X303&amp;"|"&amp;A303)</f>
        <v/>
      </c>
      <c r="AL303" s="47">
        <f>IF(C303="",0,IF(COUNTIFS(VC_cle,AK303)=0,0,MAX(INDEX((VC_cle=AK303)*(VC_date+ROW(VC_date)/100000),0))))</f>
        <v/>
      </c>
      <c r="AM303" s="47">
        <f>IF(AND(C303&lt;&gt;"",N(AB303)&gt;0,D303&lt;&gt;"Perdu"),AB303+ROW()/100000,0)</f>
        <v/>
      </c>
      <c r="AN303" s="48">
        <f>IF(N(AF303)&gt;0,ROUND(AF303,0)+ROW()/1000000,0)</f>
        <v/>
      </c>
    </row>
    <row r="304" ht="18" customHeight="1">
      <c r="A304" s="39" t="n">
        <v>299</v>
      </c>
      <c r="B304" s="33">
        <f>IF(C304="","",IF(X304="À RENSEIGNER","GIC",X304)&amp;"-"&amp;TEXT(A304,"000"))</f>
        <v/>
      </c>
      <c r="C304" s="36" t="n"/>
      <c r="D304" s="34">
        <f>IF(C304="","",IF(U304="☑ Oui","Perdu",IF(AD304&lt;&gt;"","Client","Prospect")))</f>
        <v/>
      </c>
      <c r="E304" s="36" t="n"/>
      <c r="F304" s="36" t="n"/>
      <c r="G304" s="44" t="n"/>
      <c r="H304" s="44" t="n"/>
      <c r="I304" s="36" t="n"/>
      <c r="J304" s="36" t="n"/>
      <c r="K304" s="41" t="n"/>
      <c r="L304" s="41" t="n"/>
      <c r="M304" s="36" t="n"/>
      <c r="N304" s="36" t="n"/>
      <c r="O304" s="32" t="n"/>
      <c r="P304" s="36" t="n"/>
      <c r="Q304" s="36" t="n"/>
      <c r="R304" s="34">
        <f>IF(P304="","",IFERROR(VLOOKUP(P304,T_Produits,2,FALSE),""))</f>
        <v/>
      </c>
      <c r="S304" s="36" t="n"/>
      <c r="T304" s="43" t="n"/>
      <c r="U304" s="43" t="n"/>
      <c r="V304" s="36" t="n"/>
      <c r="W304" s="36" t="n"/>
      <c r="X304" s="33">
        <f>IF(C304="","",Commercial_Id)</f>
        <v/>
      </c>
      <c r="Y304" s="33">
        <f>IF(E304="","",IF(E304="Particulier / ménage","Particulier","Entreprise"))</f>
        <v/>
      </c>
      <c r="Z304" s="39">
        <f>IF(C304="","",COUNTIFS(VC_cle,AK304,VC_type,"Visite sur place"))</f>
        <v/>
      </c>
      <c r="AA304" s="46">
        <f>IF(AL304=0,"",IF(INT(AL304)=0,"",INT(AL304)))</f>
        <v/>
      </c>
      <c r="AB304" s="46">
        <f>IF(AL304=0,"",IF(INDEX(VC_actiondate,ROUND(MOD(AL304,1)*100000,0)-5)=0,"",INDEX(VC_actiondate,ROUND(MOD(AL304,1)*100000,0)-5)))</f>
        <v/>
      </c>
      <c r="AC304" s="33">
        <f>IF(AL304=0,"",INDEX(VC_actiontexte,ROUND(MOD(AL304,1)*100000,0)-5)&amp;"")</f>
        <v/>
      </c>
      <c r="AD304" s="46">
        <f>IF(C304="","",IF(COUNTIFS(Cmd_cle,AK304,Cmd_dateca,"&gt;0")=0,"",SMALL(INDEX(Cmd_dateca+(((Cmd_cle&lt;&gt;AK304)+(Cmd_dateca=0))&gt;0)*1000000,0),1)))</f>
        <v/>
      </c>
      <c r="AE304" s="46">
        <f>IF(C304="","",IF(COUNTIFS(Cmd_cle,AK304,Cmd_dateca,"&gt;0")=0,"",MAX(INDEX((Cmd_cle=AK304)*Cmd_dateca,0))))</f>
        <v/>
      </c>
      <c r="AF304" s="40">
        <f>IF(C304="","",SUMIFS(Cmd_montant,Cmd_cle,AK304,Cmd_dateca,"&gt;0"))</f>
        <v/>
      </c>
      <c r="AG304" s="40">
        <f>IF(C304="","",SUMIFS(Enc_montant,Enc_cle,AK304))</f>
        <v/>
      </c>
      <c r="AH304" s="40">
        <f>IF(C304="","",AF304-AG304)</f>
        <v/>
      </c>
      <c r="AI304" s="33">
        <f>IF(C304="","",IF(D304="Perdu","",IF(AND(AB304&lt;&gt;"",N(AB304)&lt;TODAY()),"Action en retard",IF(AND(D304="Client",AE304&lt;&gt;"",TODAY()-N(AE304)&gt;P_JoursInactif),"Client inactif",IF(AND(D304="Prospect",Z304=0,O304&lt;&gt;"",TODAY()-N(O304)&gt;P_JoursNonVisite),"Jamais visité","")))))</f>
        <v/>
      </c>
      <c r="AJ304" s="33">
        <f>IF(C304="","",C304&amp;" ["&amp;TEXT(A304,"000")&amp;"]")</f>
        <v/>
      </c>
      <c r="AK304" s="33">
        <f>IF(C304="","",X304&amp;"|"&amp;A304)</f>
        <v/>
      </c>
      <c r="AL304" s="47">
        <f>IF(C304="",0,IF(COUNTIFS(VC_cle,AK304)=0,0,MAX(INDEX((VC_cle=AK304)*(VC_date+ROW(VC_date)/100000),0))))</f>
        <v/>
      </c>
      <c r="AM304" s="47">
        <f>IF(AND(C304&lt;&gt;"",N(AB304)&gt;0,D304&lt;&gt;"Perdu"),AB304+ROW()/100000,0)</f>
        <v/>
      </c>
      <c r="AN304" s="48">
        <f>IF(N(AF304)&gt;0,ROUND(AF304,0)+ROW()/1000000,0)</f>
        <v/>
      </c>
    </row>
    <row r="305" ht="18" customHeight="1">
      <c r="A305" s="39" t="n">
        <v>300</v>
      </c>
      <c r="B305" s="33">
        <f>IF(C305="","",IF(X305="À RENSEIGNER","GIC",X305)&amp;"-"&amp;TEXT(A305,"000"))</f>
        <v/>
      </c>
      <c r="C305" s="36" t="n"/>
      <c r="D305" s="34">
        <f>IF(C305="","",IF(U305="☑ Oui","Perdu",IF(AD305&lt;&gt;"","Client","Prospect")))</f>
        <v/>
      </c>
      <c r="E305" s="36" t="n"/>
      <c r="F305" s="36" t="n"/>
      <c r="G305" s="44" t="n"/>
      <c r="H305" s="44" t="n"/>
      <c r="I305" s="36" t="n"/>
      <c r="J305" s="36" t="n"/>
      <c r="K305" s="41" t="n"/>
      <c r="L305" s="41" t="n"/>
      <c r="M305" s="36" t="n"/>
      <c r="N305" s="36" t="n"/>
      <c r="O305" s="32" t="n"/>
      <c r="P305" s="36" t="n"/>
      <c r="Q305" s="36" t="n"/>
      <c r="R305" s="34">
        <f>IF(P305="","",IFERROR(VLOOKUP(P305,T_Produits,2,FALSE),""))</f>
        <v/>
      </c>
      <c r="S305" s="36" t="n"/>
      <c r="T305" s="43" t="n"/>
      <c r="U305" s="43" t="n"/>
      <c r="V305" s="36" t="n"/>
      <c r="W305" s="36" t="n"/>
      <c r="X305" s="33">
        <f>IF(C305="","",Commercial_Id)</f>
        <v/>
      </c>
      <c r="Y305" s="33">
        <f>IF(E305="","",IF(E305="Particulier / ménage","Particulier","Entreprise"))</f>
        <v/>
      </c>
      <c r="Z305" s="39">
        <f>IF(C305="","",COUNTIFS(VC_cle,AK305,VC_type,"Visite sur place"))</f>
        <v/>
      </c>
      <c r="AA305" s="46">
        <f>IF(AL305=0,"",IF(INT(AL305)=0,"",INT(AL305)))</f>
        <v/>
      </c>
      <c r="AB305" s="46">
        <f>IF(AL305=0,"",IF(INDEX(VC_actiondate,ROUND(MOD(AL305,1)*100000,0)-5)=0,"",INDEX(VC_actiondate,ROUND(MOD(AL305,1)*100000,0)-5)))</f>
        <v/>
      </c>
      <c r="AC305" s="33">
        <f>IF(AL305=0,"",INDEX(VC_actiontexte,ROUND(MOD(AL305,1)*100000,0)-5)&amp;"")</f>
        <v/>
      </c>
      <c r="AD305" s="46">
        <f>IF(C305="","",IF(COUNTIFS(Cmd_cle,AK305,Cmd_dateca,"&gt;0")=0,"",SMALL(INDEX(Cmd_dateca+(((Cmd_cle&lt;&gt;AK305)+(Cmd_dateca=0))&gt;0)*1000000,0),1)))</f>
        <v/>
      </c>
      <c r="AE305" s="46">
        <f>IF(C305="","",IF(COUNTIFS(Cmd_cle,AK305,Cmd_dateca,"&gt;0")=0,"",MAX(INDEX((Cmd_cle=AK305)*Cmd_dateca,0))))</f>
        <v/>
      </c>
      <c r="AF305" s="40">
        <f>IF(C305="","",SUMIFS(Cmd_montant,Cmd_cle,AK305,Cmd_dateca,"&gt;0"))</f>
        <v/>
      </c>
      <c r="AG305" s="40">
        <f>IF(C305="","",SUMIFS(Enc_montant,Enc_cle,AK305))</f>
        <v/>
      </c>
      <c r="AH305" s="40">
        <f>IF(C305="","",AF305-AG305)</f>
        <v/>
      </c>
      <c r="AI305" s="33">
        <f>IF(C305="","",IF(D305="Perdu","",IF(AND(AB305&lt;&gt;"",N(AB305)&lt;TODAY()),"Action en retard",IF(AND(D305="Client",AE305&lt;&gt;"",TODAY()-N(AE305)&gt;P_JoursInactif),"Client inactif",IF(AND(D305="Prospect",Z305=0,O305&lt;&gt;"",TODAY()-N(O305)&gt;P_JoursNonVisite),"Jamais visité","")))))</f>
        <v/>
      </c>
      <c r="AJ305" s="33">
        <f>IF(C305="","",C305&amp;" ["&amp;TEXT(A305,"000")&amp;"]")</f>
        <v/>
      </c>
      <c r="AK305" s="33">
        <f>IF(C305="","",X305&amp;"|"&amp;A305)</f>
        <v/>
      </c>
      <c r="AL305" s="47">
        <f>IF(C305="",0,IF(COUNTIFS(VC_cle,AK305)=0,0,MAX(INDEX((VC_cle=AK305)*(VC_date+ROW(VC_date)/100000),0))))</f>
        <v/>
      </c>
      <c r="AM305" s="47">
        <f>IF(AND(C305&lt;&gt;"",N(AB305)&gt;0,D305&lt;&gt;"Perdu"),AB305+ROW()/100000,0)</f>
        <v/>
      </c>
      <c r="AN305" s="48">
        <f>IF(N(AF305)&gt;0,ROUND(AF305,0)+ROW()/1000000,0)</f>
        <v/>
      </c>
    </row>
    <row r="306" ht="18" customHeight="1">
      <c r="A306" s="39" t="n">
        <v>301</v>
      </c>
      <c r="B306" s="33">
        <f>IF(C306="","",IF(X306="À RENSEIGNER","GIC",X306)&amp;"-"&amp;TEXT(A306,"000"))</f>
        <v/>
      </c>
      <c r="C306" s="36" t="n"/>
      <c r="D306" s="34">
        <f>IF(C306="","",IF(U306="☑ Oui","Perdu",IF(AD306&lt;&gt;"","Client","Prospect")))</f>
        <v/>
      </c>
      <c r="E306" s="36" t="n"/>
      <c r="F306" s="36" t="n"/>
      <c r="G306" s="44" t="n"/>
      <c r="H306" s="44" t="n"/>
      <c r="I306" s="36" t="n"/>
      <c r="J306" s="36" t="n"/>
      <c r="K306" s="41" t="n"/>
      <c r="L306" s="41" t="n"/>
      <c r="M306" s="36" t="n"/>
      <c r="N306" s="36" t="n"/>
      <c r="O306" s="32" t="n"/>
      <c r="P306" s="36" t="n"/>
      <c r="Q306" s="36" t="n"/>
      <c r="R306" s="34">
        <f>IF(P306="","",IFERROR(VLOOKUP(P306,T_Produits,2,FALSE),""))</f>
        <v/>
      </c>
      <c r="S306" s="36" t="n"/>
      <c r="T306" s="43" t="n"/>
      <c r="U306" s="43" t="n"/>
      <c r="V306" s="36" t="n"/>
      <c r="W306" s="36" t="n"/>
      <c r="X306" s="33">
        <f>IF(C306="","",Commercial_Id)</f>
        <v/>
      </c>
      <c r="Y306" s="33">
        <f>IF(E306="","",IF(E306="Particulier / ménage","Particulier","Entreprise"))</f>
        <v/>
      </c>
      <c r="Z306" s="39">
        <f>IF(C306="","",COUNTIFS(VC_cle,AK306,VC_type,"Visite sur place"))</f>
        <v/>
      </c>
      <c r="AA306" s="46">
        <f>IF(AL306=0,"",IF(INT(AL306)=0,"",INT(AL306)))</f>
        <v/>
      </c>
      <c r="AB306" s="46">
        <f>IF(AL306=0,"",IF(INDEX(VC_actiondate,ROUND(MOD(AL306,1)*100000,0)-5)=0,"",INDEX(VC_actiondate,ROUND(MOD(AL306,1)*100000,0)-5)))</f>
        <v/>
      </c>
      <c r="AC306" s="33">
        <f>IF(AL306=0,"",INDEX(VC_actiontexte,ROUND(MOD(AL306,1)*100000,0)-5)&amp;"")</f>
        <v/>
      </c>
      <c r="AD306" s="46">
        <f>IF(C306="","",IF(COUNTIFS(Cmd_cle,AK306,Cmd_dateca,"&gt;0")=0,"",SMALL(INDEX(Cmd_dateca+(((Cmd_cle&lt;&gt;AK306)+(Cmd_dateca=0))&gt;0)*1000000,0),1)))</f>
        <v/>
      </c>
      <c r="AE306" s="46">
        <f>IF(C306="","",IF(COUNTIFS(Cmd_cle,AK306,Cmd_dateca,"&gt;0")=0,"",MAX(INDEX((Cmd_cle=AK306)*Cmd_dateca,0))))</f>
        <v/>
      </c>
      <c r="AF306" s="40">
        <f>IF(C306="","",SUMIFS(Cmd_montant,Cmd_cle,AK306,Cmd_dateca,"&gt;0"))</f>
        <v/>
      </c>
      <c r="AG306" s="40">
        <f>IF(C306="","",SUMIFS(Enc_montant,Enc_cle,AK306))</f>
        <v/>
      </c>
      <c r="AH306" s="40">
        <f>IF(C306="","",AF306-AG306)</f>
        <v/>
      </c>
      <c r="AI306" s="33">
        <f>IF(C306="","",IF(D306="Perdu","",IF(AND(AB306&lt;&gt;"",N(AB306)&lt;TODAY()),"Action en retard",IF(AND(D306="Client",AE306&lt;&gt;"",TODAY()-N(AE306)&gt;P_JoursInactif),"Client inactif",IF(AND(D306="Prospect",Z306=0,O306&lt;&gt;"",TODAY()-N(O306)&gt;P_JoursNonVisite),"Jamais visité","")))))</f>
        <v/>
      </c>
      <c r="AJ306" s="33">
        <f>IF(C306="","",C306&amp;" ["&amp;TEXT(A306,"000")&amp;"]")</f>
        <v/>
      </c>
      <c r="AK306" s="33">
        <f>IF(C306="","",X306&amp;"|"&amp;A306)</f>
        <v/>
      </c>
      <c r="AL306" s="47">
        <f>IF(C306="",0,IF(COUNTIFS(VC_cle,AK306)=0,0,MAX(INDEX((VC_cle=AK306)*(VC_date+ROW(VC_date)/100000),0))))</f>
        <v/>
      </c>
      <c r="AM306" s="47">
        <f>IF(AND(C306&lt;&gt;"",N(AB306)&gt;0,D306&lt;&gt;"Perdu"),AB306+ROW()/100000,0)</f>
        <v/>
      </c>
      <c r="AN306" s="48">
        <f>IF(N(AF306)&gt;0,ROUND(AF306,0)+ROW()/1000000,0)</f>
        <v/>
      </c>
    </row>
    <row r="307" ht="18" customHeight="1">
      <c r="A307" s="39" t="n">
        <v>302</v>
      </c>
      <c r="B307" s="33">
        <f>IF(C307="","",IF(X307="À RENSEIGNER","GIC",X307)&amp;"-"&amp;TEXT(A307,"000"))</f>
        <v/>
      </c>
      <c r="C307" s="36" t="n"/>
      <c r="D307" s="34">
        <f>IF(C307="","",IF(U307="☑ Oui","Perdu",IF(AD307&lt;&gt;"","Client","Prospect")))</f>
        <v/>
      </c>
      <c r="E307" s="36" t="n"/>
      <c r="F307" s="36" t="n"/>
      <c r="G307" s="44" t="n"/>
      <c r="H307" s="44" t="n"/>
      <c r="I307" s="36" t="n"/>
      <c r="J307" s="36" t="n"/>
      <c r="K307" s="41" t="n"/>
      <c r="L307" s="41" t="n"/>
      <c r="M307" s="36" t="n"/>
      <c r="N307" s="36" t="n"/>
      <c r="O307" s="32" t="n"/>
      <c r="P307" s="36" t="n"/>
      <c r="Q307" s="36" t="n"/>
      <c r="R307" s="34">
        <f>IF(P307="","",IFERROR(VLOOKUP(P307,T_Produits,2,FALSE),""))</f>
        <v/>
      </c>
      <c r="S307" s="36" t="n"/>
      <c r="T307" s="43" t="n"/>
      <c r="U307" s="43" t="n"/>
      <c r="V307" s="36" t="n"/>
      <c r="W307" s="36" t="n"/>
      <c r="X307" s="33">
        <f>IF(C307="","",Commercial_Id)</f>
        <v/>
      </c>
      <c r="Y307" s="33">
        <f>IF(E307="","",IF(E307="Particulier / ménage","Particulier","Entreprise"))</f>
        <v/>
      </c>
      <c r="Z307" s="39">
        <f>IF(C307="","",COUNTIFS(VC_cle,AK307,VC_type,"Visite sur place"))</f>
        <v/>
      </c>
      <c r="AA307" s="46">
        <f>IF(AL307=0,"",IF(INT(AL307)=0,"",INT(AL307)))</f>
        <v/>
      </c>
      <c r="AB307" s="46">
        <f>IF(AL307=0,"",IF(INDEX(VC_actiondate,ROUND(MOD(AL307,1)*100000,0)-5)=0,"",INDEX(VC_actiondate,ROUND(MOD(AL307,1)*100000,0)-5)))</f>
        <v/>
      </c>
      <c r="AC307" s="33">
        <f>IF(AL307=0,"",INDEX(VC_actiontexte,ROUND(MOD(AL307,1)*100000,0)-5)&amp;"")</f>
        <v/>
      </c>
      <c r="AD307" s="46">
        <f>IF(C307="","",IF(COUNTIFS(Cmd_cle,AK307,Cmd_dateca,"&gt;0")=0,"",SMALL(INDEX(Cmd_dateca+(((Cmd_cle&lt;&gt;AK307)+(Cmd_dateca=0))&gt;0)*1000000,0),1)))</f>
        <v/>
      </c>
      <c r="AE307" s="46">
        <f>IF(C307="","",IF(COUNTIFS(Cmd_cle,AK307,Cmd_dateca,"&gt;0")=0,"",MAX(INDEX((Cmd_cle=AK307)*Cmd_dateca,0))))</f>
        <v/>
      </c>
      <c r="AF307" s="40">
        <f>IF(C307="","",SUMIFS(Cmd_montant,Cmd_cle,AK307,Cmd_dateca,"&gt;0"))</f>
        <v/>
      </c>
      <c r="AG307" s="40">
        <f>IF(C307="","",SUMIFS(Enc_montant,Enc_cle,AK307))</f>
        <v/>
      </c>
      <c r="AH307" s="40">
        <f>IF(C307="","",AF307-AG307)</f>
        <v/>
      </c>
      <c r="AI307" s="33">
        <f>IF(C307="","",IF(D307="Perdu","",IF(AND(AB307&lt;&gt;"",N(AB307)&lt;TODAY()),"Action en retard",IF(AND(D307="Client",AE307&lt;&gt;"",TODAY()-N(AE307)&gt;P_JoursInactif),"Client inactif",IF(AND(D307="Prospect",Z307=0,O307&lt;&gt;"",TODAY()-N(O307)&gt;P_JoursNonVisite),"Jamais visité","")))))</f>
        <v/>
      </c>
      <c r="AJ307" s="33">
        <f>IF(C307="","",C307&amp;" ["&amp;TEXT(A307,"000")&amp;"]")</f>
        <v/>
      </c>
      <c r="AK307" s="33">
        <f>IF(C307="","",X307&amp;"|"&amp;A307)</f>
        <v/>
      </c>
      <c r="AL307" s="47">
        <f>IF(C307="",0,IF(COUNTIFS(VC_cle,AK307)=0,0,MAX(INDEX((VC_cle=AK307)*(VC_date+ROW(VC_date)/100000),0))))</f>
        <v/>
      </c>
      <c r="AM307" s="47">
        <f>IF(AND(C307&lt;&gt;"",N(AB307)&gt;0,D307&lt;&gt;"Perdu"),AB307+ROW()/100000,0)</f>
        <v/>
      </c>
      <c r="AN307" s="48">
        <f>IF(N(AF307)&gt;0,ROUND(AF307,0)+ROW()/1000000,0)</f>
        <v/>
      </c>
    </row>
    <row r="308" ht="18" customHeight="1">
      <c r="A308" s="39" t="n">
        <v>303</v>
      </c>
      <c r="B308" s="33">
        <f>IF(C308="","",IF(X308="À RENSEIGNER","GIC",X308)&amp;"-"&amp;TEXT(A308,"000"))</f>
        <v/>
      </c>
      <c r="C308" s="36" t="n"/>
      <c r="D308" s="34">
        <f>IF(C308="","",IF(U308="☑ Oui","Perdu",IF(AD308&lt;&gt;"","Client","Prospect")))</f>
        <v/>
      </c>
      <c r="E308" s="36" t="n"/>
      <c r="F308" s="36" t="n"/>
      <c r="G308" s="44" t="n"/>
      <c r="H308" s="44" t="n"/>
      <c r="I308" s="36" t="n"/>
      <c r="J308" s="36" t="n"/>
      <c r="K308" s="41" t="n"/>
      <c r="L308" s="41" t="n"/>
      <c r="M308" s="36" t="n"/>
      <c r="N308" s="36" t="n"/>
      <c r="O308" s="32" t="n"/>
      <c r="P308" s="36" t="n"/>
      <c r="Q308" s="36" t="n"/>
      <c r="R308" s="34">
        <f>IF(P308="","",IFERROR(VLOOKUP(P308,T_Produits,2,FALSE),""))</f>
        <v/>
      </c>
      <c r="S308" s="36" t="n"/>
      <c r="T308" s="43" t="n"/>
      <c r="U308" s="43" t="n"/>
      <c r="V308" s="36" t="n"/>
      <c r="W308" s="36" t="n"/>
      <c r="X308" s="33">
        <f>IF(C308="","",Commercial_Id)</f>
        <v/>
      </c>
      <c r="Y308" s="33">
        <f>IF(E308="","",IF(E308="Particulier / ménage","Particulier","Entreprise"))</f>
        <v/>
      </c>
      <c r="Z308" s="39">
        <f>IF(C308="","",COUNTIFS(VC_cle,AK308,VC_type,"Visite sur place"))</f>
        <v/>
      </c>
      <c r="AA308" s="46">
        <f>IF(AL308=0,"",IF(INT(AL308)=0,"",INT(AL308)))</f>
        <v/>
      </c>
      <c r="AB308" s="46">
        <f>IF(AL308=0,"",IF(INDEX(VC_actiondate,ROUND(MOD(AL308,1)*100000,0)-5)=0,"",INDEX(VC_actiondate,ROUND(MOD(AL308,1)*100000,0)-5)))</f>
        <v/>
      </c>
      <c r="AC308" s="33">
        <f>IF(AL308=0,"",INDEX(VC_actiontexte,ROUND(MOD(AL308,1)*100000,0)-5)&amp;"")</f>
        <v/>
      </c>
      <c r="AD308" s="46">
        <f>IF(C308="","",IF(COUNTIFS(Cmd_cle,AK308,Cmd_dateca,"&gt;0")=0,"",SMALL(INDEX(Cmd_dateca+(((Cmd_cle&lt;&gt;AK308)+(Cmd_dateca=0))&gt;0)*1000000,0),1)))</f>
        <v/>
      </c>
      <c r="AE308" s="46">
        <f>IF(C308="","",IF(COUNTIFS(Cmd_cle,AK308,Cmd_dateca,"&gt;0")=0,"",MAX(INDEX((Cmd_cle=AK308)*Cmd_dateca,0))))</f>
        <v/>
      </c>
      <c r="AF308" s="40">
        <f>IF(C308="","",SUMIFS(Cmd_montant,Cmd_cle,AK308,Cmd_dateca,"&gt;0"))</f>
        <v/>
      </c>
      <c r="AG308" s="40">
        <f>IF(C308="","",SUMIFS(Enc_montant,Enc_cle,AK308))</f>
        <v/>
      </c>
      <c r="AH308" s="40">
        <f>IF(C308="","",AF308-AG308)</f>
        <v/>
      </c>
      <c r="AI308" s="33">
        <f>IF(C308="","",IF(D308="Perdu","",IF(AND(AB308&lt;&gt;"",N(AB308)&lt;TODAY()),"Action en retard",IF(AND(D308="Client",AE308&lt;&gt;"",TODAY()-N(AE308)&gt;P_JoursInactif),"Client inactif",IF(AND(D308="Prospect",Z308=0,O308&lt;&gt;"",TODAY()-N(O308)&gt;P_JoursNonVisite),"Jamais visité","")))))</f>
        <v/>
      </c>
      <c r="AJ308" s="33">
        <f>IF(C308="","",C308&amp;" ["&amp;TEXT(A308,"000")&amp;"]")</f>
        <v/>
      </c>
      <c r="AK308" s="33">
        <f>IF(C308="","",X308&amp;"|"&amp;A308)</f>
        <v/>
      </c>
      <c r="AL308" s="47">
        <f>IF(C308="",0,IF(COUNTIFS(VC_cle,AK308)=0,0,MAX(INDEX((VC_cle=AK308)*(VC_date+ROW(VC_date)/100000),0))))</f>
        <v/>
      </c>
      <c r="AM308" s="47">
        <f>IF(AND(C308&lt;&gt;"",N(AB308)&gt;0,D308&lt;&gt;"Perdu"),AB308+ROW()/100000,0)</f>
        <v/>
      </c>
      <c r="AN308" s="48">
        <f>IF(N(AF308)&gt;0,ROUND(AF308,0)+ROW()/1000000,0)</f>
        <v/>
      </c>
    </row>
    <row r="309" ht="18" customHeight="1">
      <c r="A309" s="39" t="n">
        <v>304</v>
      </c>
      <c r="B309" s="33">
        <f>IF(C309="","",IF(X309="À RENSEIGNER","GIC",X309)&amp;"-"&amp;TEXT(A309,"000"))</f>
        <v/>
      </c>
      <c r="C309" s="36" t="n"/>
      <c r="D309" s="34">
        <f>IF(C309="","",IF(U309="☑ Oui","Perdu",IF(AD309&lt;&gt;"","Client","Prospect")))</f>
        <v/>
      </c>
      <c r="E309" s="36" t="n"/>
      <c r="F309" s="36" t="n"/>
      <c r="G309" s="44" t="n"/>
      <c r="H309" s="44" t="n"/>
      <c r="I309" s="36" t="n"/>
      <c r="J309" s="36" t="n"/>
      <c r="K309" s="41" t="n"/>
      <c r="L309" s="41" t="n"/>
      <c r="M309" s="36" t="n"/>
      <c r="N309" s="36" t="n"/>
      <c r="O309" s="32" t="n"/>
      <c r="P309" s="36" t="n"/>
      <c r="Q309" s="36" t="n"/>
      <c r="R309" s="34">
        <f>IF(P309="","",IFERROR(VLOOKUP(P309,T_Produits,2,FALSE),""))</f>
        <v/>
      </c>
      <c r="S309" s="36" t="n"/>
      <c r="T309" s="43" t="n"/>
      <c r="U309" s="43" t="n"/>
      <c r="V309" s="36" t="n"/>
      <c r="W309" s="36" t="n"/>
      <c r="X309" s="33">
        <f>IF(C309="","",Commercial_Id)</f>
        <v/>
      </c>
      <c r="Y309" s="33">
        <f>IF(E309="","",IF(E309="Particulier / ménage","Particulier","Entreprise"))</f>
        <v/>
      </c>
      <c r="Z309" s="39">
        <f>IF(C309="","",COUNTIFS(VC_cle,AK309,VC_type,"Visite sur place"))</f>
        <v/>
      </c>
      <c r="AA309" s="46">
        <f>IF(AL309=0,"",IF(INT(AL309)=0,"",INT(AL309)))</f>
        <v/>
      </c>
      <c r="AB309" s="46">
        <f>IF(AL309=0,"",IF(INDEX(VC_actiondate,ROUND(MOD(AL309,1)*100000,0)-5)=0,"",INDEX(VC_actiondate,ROUND(MOD(AL309,1)*100000,0)-5)))</f>
        <v/>
      </c>
      <c r="AC309" s="33">
        <f>IF(AL309=0,"",INDEX(VC_actiontexte,ROUND(MOD(AL309,1)*100000,0)-5)&amp;"")</f>
        <v/>
      </c>
      <c r="AD309" s="46">
        <f>IF(C309="","",IF(COUNTIFS(Cmd_cle,AK309,Cmd_dateca,"&gt;0")=0,"",SMALL(INDEX(Cmd_dateca+(((Cmd_cle&lt;&gt;AK309)+(Cmd_dateca=0))&gt;0)*1000000,0),1)))</f>
        <v/>
      </c>
      <c r="AE309" s="46">
        <f>IF(C309="","",IF(COUNTIFS(Cmd_cle,AK309,Cmd_dateca,"&gt;0")=0,"",MAX(INDEX((Cmd_cle=AK309)*Cmd_dateca,0))))</f>
        <v/>
      </c>
      <c r="AF309" s="40">
        <f>IF(C309="","",SUMIFS(Cmd_montant,Cmd_cle,AK309,Cmd_dateca,"&gt;0"))</f>
        <v/>
      </c>
      <c r="AG309" s="40">
        <f>IF(C309="","",SUMIFS(Enc_montant,Enc_cle,AK309))</f>
        <v/>
      </c>
      <c r="AH309" s="40">
        <f>IF(C309="","",AF309-AG309)</f>
        <v/>
      </c>
      <c r="AI309" s="33">
        <f>IF(C309="","",IF(D309="Perdu","",IF(AND(AB309&lt;&gt;"",N(AB309)&lt;TODAY()),"Action en retard",IF(AND(D309="Client",AE309&lt;&gt;"",TODAY()-N(AE309)&gt;P_JoursInactif),"Client inactif",IF(AND(D309="Prospect",Z309=0,O309&lt;&gt;"",TODAY()-N(O309)&gt;P_JoursNonVisite),"Jamais visité","")))))</f>
        <v/>
      </c>
      <c r="AJ309" s="33">
        <f>IF(C309="","",C309&amp;" ["&amp;TEXT(A309,"000")&amp;"]")</f>
        <v/>
      </c>
      <c r="AK309" s="33">
        <f>IF(C309="","",X309&amp;"|"&amp;A309)</f>
        <v/>
      </c>
      <c r="AL309" s="47">
        <f>IF(C309="",0,IF(COUNTIFS(VC_cle,AK309)=0,0,MAX(INDEX((VC_cle=AK309)*(VC_date+ROW(VC_date)/100000),0))))</f>
        <v/>
      </c>
      <c r="AM309" s="47">
        <f>IF(AND(C309&lt;&gt;"",N(AB309)&gt;0,D309&lt;&gt;"Perdu"),AB309+ROW()/100000,0)</f>
        <v/>
      </c>
      <c r="AN309" s="48">
        <f>IF(N(AF309)&gt;0,ROUND(AF309,0)+ROW()/1000000,0)</f>
        <v/>
      </c>
    </row>
    <row r="310" ht="18" customHeight="1">
      <c r="A310" s="39" t="n">
        <v>305</v>
      </c>
      <c r="B310" s="33">
        <f>IF(C310="","",IF(X310="À RENSEIGNER","GIC",X310)&amp;"-"&amp;TEXT(A310,"000"))</f>
        <v/>
      </c>
      <c r="C310" s="36" t="n"/>
      <c r="D310" s="34">
        <f>IF(C310="","",IF(U310="☑ Oui","Perdu",IF(AD310&lt;&gt;"","Client","Prospect")))</f>
        <v/>
      </c>
      <c r="E310" s="36" t="n"/>
      <c r="F310" s="36" t="n"/>
      <c r="G310" s="44" t="n"/>
      <c r="H310" s="44" t="n"/>
      <c r="I310" s="36" t="n"/>
      <c r="J310" s="36" t="n"/>
      <c r="K310" s="41" t="n"/>
      <c r="L310" s="41" t="n"/>
      <c r="M310" s="36" t="n"/>
      <c r="N310" s="36" t="n"/>
      <c r="O310" s="32" t="n"/>
      <c r="P310" s="36" t="n"/>
      <c r="Q310" s="36" t="n"/>
      <c r="R310" s="34">
        <f>IF(P310="","",IFERROR(VLOOKUP(P310,T_Produits,2,FALSE),""))</f>
        <v/>
      </c>
      <c r="S310" s="36" t="n"/>
      <c r="T310" s="43" t="n"/>
      <c r="U310" s="43" t="n"/>
      <c r="V310" s="36" t="n"/>
      <c r="W310" s="36" t="n"/>
      <c r="X310" s="33">
        <f>IF(C310="","",Commercial_Id)</f>
        <v/>
      </c>
      <c r="Y310" s="33">
        <f>IF(E310="","",IF(E310="Particulier / ménage","Particulier","Entreprise"))</f>
        <v/>
      </c>
      <c r="Z310" s="39">
        <f>IF(C310="","",COUNTIFS(VC_cle,AK310,VC_type,"Visite sur place"))</f>
        <v/>
      </c>
      <c r="AA310" s="46">
        <f>IF(AL310=0,"",IF(INT(AL310)=0,"",INT(AL310)))</f>
        <v/>
      </c>
      <c r="AB310" s="46">
        <f>IF(AL310=0,"",IF(INDEX(VC_actiondate,ROUND(MOD(AL310,1)*100000,0)-5)=0,"",INDEX(VC_actiondate,ROUND(MOD(AL310,1)*100000,0)-5)))</f>
        <v/>
      </c>
      <c r="AC310" s="33">
        <f>IF(AL310=0,"",INDEX(VC_actiontexte,ROUND(MOD(AL310,1)*100000,0)-5)&amp;"")</f>
        <v/>
      </c>
      <c r="AD310" s="46">
        <f>IF(C310="","",IF(COUNTIFS(Cmd_cle,AK310,Cmd_dateca,"&gt;0")=0,"",SMALL(INDEX(Cmd_dateca+(((Cmd_cle&lt;&gt;AK310)+(Cmd_dateca=0))&gt;0)*1000000,0),1)))</f>
        <v/>
      </c>
      <c r="AE310" s="46">
        <f>IF(C310="","",IF(COUNTIFS(Cmd_cle,AK310,Cmd_dateca,"&gt;0")=0,"",MAX(INDEX((Cmd_cle=AK310)*Cmd_dateca,0))))</f>
        <v/>
      </c>
      <c r="AF310" s="40">
        <f>IF(C310="","",SUMIFS(Cmd_montant,Cmd_cle,AK310,Cmd_dateca,"&gt;0"))</f>
        <v/>
      </c>
      <c r="AG310" s="40">
        <f>IF(C310="","",SUMIFS(Enc_montant,Enc_cle,AK310))</f>
        <v/>
      </c>
      <c r="AH310" s="40">
        <f>IF(C310="","",AF310-AG310)</f>
        <v/>
      </c>
      <c r="AI310" s="33">
        <f>IF(C310="","",IF(D310="Perdu","",IF(AND(AB310&lt;&gt;"",N(AB310)&lt;TODAY()),"Action en retard",IF(AND(D310="Client",AE310&lt;&gt;"",TODAY()-N(AE310)&gt;P_JoursInactif),"Client inactif",IF(AND(D310="Prospect",Z310=0,O310&lt;&gt;"",TODAY()-N(O310)&gt;P_JoursNonVisite),"Jamais visité","")))))</f>
        <v/>
      </c>
      <c r="AJ310" s="33">
        <f>IF(C310="","",C310&amp;" ["&amp;TEXT(A310,"000")&amp;"]")</f>
        <v/>
      </c>
      <c r="AK310" s="33">
        <f>IF(C310="","",X310&amp;"|"&amp;A310)</f>
        <v/>
      </c>
      <c r="AL310" s="47">
        <f>IF(C310="",0,IF(COUNTIFS(VC_cle,AK310)=0,0,MAX(INDEX((VC_cle=AK310)*(VC_date+ROW(VC_date)/100000),0))))</f>
        <v/>
      </c>
      <c r="AM310" s="47">
        <f>IF(AND(C310&lt;&gt;"",N(AB310)&gt;0,D310&lt;&gt;"Perdu"),AB310+ROW()/100000,0)</f>
        <v/>
      </c>
      <c r="AN310" s="48">
        <f>IF(N(AF310)&gt;0,ROUND(AF310,0)+ROW()/1000000,0)</f>
        <v/>
      </c>
    </row>
    <row r="311" ht="18" customHeight="1">
      <c r="A311" s="39" t="n">
        <v>306</v>
      </c>
      <c r="B311" s="33">
        <f>IF(C311="","",IF(X311="À RENSEIGNER","GIC",X311)&amp;"-"&amp;TEXT(A311,"000"))</f>
        <v/>
      </c>
      <c r="C311" s="36" t="n"/>
      <c r="D311" s="34">
        <f>IF(C311="","",IF(U311="☑ Oui","Perdu",IF(AD311&lt;&gt;"","Client","Prospect")))</f>
        <v/>
      </c>
      <c r="E311" s="36" t="n"/>
      <c r="F311" s="36" t="n"/>
      <c r="G311" s="44" t="n"/>
      <c r="H311" s="44" t="n"/>
      <c r="I311" s="36" t="n"/>
      <c r="J311" s="36" t="n"/>
      <c r="K311" s="41" t="n"/>
      <c r="L311" s="41" t="n"/>
      <c r="M311" s="36" t="n"/>
      <c r="N311" s="36" t="n"/>
      <c r="O311" s="32" t="n"/>
      <c r="P311" s="36" t="n"/>
      <c r="Q311" s="36" t="n"/>
      <c r="R311" s="34">
        <f>IF(P311="","",IFERROR(VLOOKUP(P311,T_Produits,2,FALSE),""))</f>
        <v/>
      </c>
      <c r="S311" s="36" t="n"/>
      <c r="T311" s="43" t="n"/>
      <c r="U311" s="43" t="n"/>
      <c r="V311" s="36" t="n"/>
      <c r="W311" s="36" t="n"/>
      <c r="X311" s="33">
        <f>IF(C311="","",Commercial_Id)</f>
        <v/>
      </c>
      <c r="Y311" s="33">
        <f>IF(E311="","",IF(E311="Particulier / ménage","Particulier","Entreprise"))</f>
        <v/>
      </c>
      <c r="Z311" s="39">
        <f>IF(C311="","",COUNTIFS(VC_cle,AK311,VC_type,"Visite sur place"))</f>
        <v/>
      </c>
      <c r="AA311" s="46">
        <f>IF(AL311=0,"",IF(INT(AL311)=0,"",INT(AL311)))</f>
        <v/>
      </c>
      <c r="AB311" s="46">
        <f>IF(AL311=0,"",IF(INDEX(VC_actiondate,ROUND(MOD(AL311,1)*100000,0)-5)=0,"",INDEX(VC_actiondate,ROUND(MOD(AL311,1)*100000,0)-5)))</f>
        <v/>
      </c>
      <c r="AC311" s="33">
        <f>IF(AL311=0,"",INDEX(VC_actiontexte,ROUND(MOD(AL311,1)*100000,0)-5)&amp;"")</f>
        <v/>
      </c>
      <c r="AD311" s="46">
        <f>IF(C311="","",IF(COUNTIFS(Cmd_cle,AK311,Cmd_dateca,"&gt;0")=0,"",SMALL(INDEX(Cmd_dateca+(((Cmd_cle&lt;&gt;AK311)+(Cmd_dateca=0))&gt;0)*1000000,0),1)))</f>
        <v/>
      </c>
      <c r="AE311" s="46">
        <f>IF(C311="","",IF(COUNTIFS(Cmd_cle,AK311,Cmd_dateca,"&gt;0")=0,"",MAX(INDEX((Cmd_cle=AK311)*Cmd_dateca,0))))</f>
        <v/>
      </c>
      <c r="AF311" s="40">
        <f>IF(C311="","",SUMIFS(Cmd_montant,Cmd_cle,AK311,Cmd_dateca,"&gt;0"))</f>
        <v/>
      </c>
      <c r="AG311" s="40">
        <f>IF(C311="","",SUMIFS(Enc_montant,Enc_cle,AK311))</f>
        <v/>
      </c>
      <c r="AH311" s="40">
        <f>IF(C311="","",AF311-AG311)</f>
        <v/>
      </c>
      <c r="AI311" s="33">
        <f>IF(C311="","",IF(D311="Perdu","",IF(AND(AB311&lt;&gt;"",N(AB311)&lt;TODAY()),"Action en retard",IF(AND(D311="Client",AE311&lt;&gt;"",TODAY()-N(AE311)&gt;P_JoursInactif),"Client inactif",IF(AND(D311="Prospect",Z311=0,O311&lt;&gt;"",TODAY()-N(O311)&gt;P_JoursNonVisite),"Jamais visité","")))))</f>
        <v/>
      </c>
      <c r="AJ311" s="33">
        <f>IF(C311="","",C311&amp;" ["&amp;TEXT(A311,"000")&amp;"]")</f>
        <v/>
      </c>
      <c r="AK311" s="33">
        <f>IF(C311="","",X311&amp;"|"&amp;A311)</f>
        <v/>
      </c>
      <c r="AL311" s="47">
        <f>IF(C311="",0,IF(COUNTIFS(VC_cle,AK311)=0,0,MAX(INDEX((VC_cle=AK311)*(VC_date+ROW(VC_date)/100000),0))))</f>
        <v/>
      </c>
      <c r="AM311" s="47">
        <f>IF(AND(C311&lt;&gt;"",N(AB311)&gt;0,D311&lt;&gt;"Perdu"),AB311+ROW()/100000,0)</f>
        <v/>
      </c>
      <c r="AN311" s="48">
        <f>IF(N(AF311)&gt;0,ROUND(AF311,0)+ROW()/1000000,0)</f>
        <v/>
      </c>
    </row>
    <row r="312" ht="18" customHeight="1">
      <c r="A312" s="39" t="n">
        <v>307</v>
      </c>
      <c r="B312" s="33">
        <f>IF(C312="","",IF(X312="À RENSEIGNER","GIC",X312)&amp;"-"&amp;TEXT(A312,"000"))</f>
        <v/>
      </c>
      <c r="C312" s="36" t="n"/>
      <c r="D312" s="34">
        <f>IF(C312="","",IF(U312="☑ Oui","Perdu",IF(AD312&lt;&gt;"","Client","Prospect")))</f>
        <v/>
      </c>
      <c r="E312" s="36" t="n"/>
      <c r="F312" s="36" t="n"/>
      <c r="G312" s="44" t="n"/>
      <c r="H312" s="44" t="n"/>
      <c r="I312" s="36" t="n"/>
      <c r="J312" s="36" t="n"/>
      <c r="K312" s="41" t="n"/>
      <c r="L312" s="41" t="n"/>
      <c r="M312" s="36" t="n"/>
      <c r="N312" s="36" t="n"/>
      <c r="O312" s="32" t="n"/>
      <c r="P312" s="36" t="n"/>
      <c r="Q312" s="36" t="n"/>
      <c r="R312" s="34">
        <f>IF(P312="","",IFERROR(VLOOKUP(P312,T_Produits,2,FALSE),""))</f>
        <v/>
      </c>
      <c r="S312" s="36" t="n"/>
      <c r="T312" s="43" t="n"/>
      <c r="U312" s="43" t="n"/>
      <c r="V312" s="36" t="n"/>
      <c r="W312" s="36" t="n"/>
      <c r="X312" s="33">
        <f>IF(C312="","",Commercial_Id)</f>
        <v/>
      </c>
      <c r="Y312" s="33">
        <f>IF(E312="","",IF(E312="Particulier / ménage","Particulier","Entreprise"))</f>
        <v/>
      </c>
      <c r="Z312" s="39">
        <f>IF(C312="","",COUNTIFS(VC_cle,AK312,VC_type,"Visite sur place"))</f>
        <v/>
      </c>
      <c r="AA312" s="46">
        <f>IF(AL312=0,"",IF(INT(AL312)=0,"",INT(AL312)))</f>
        <v/>
      </c>
      <c r="AB312" s="46">
        <f>IF(AL312=0,"",IF(INDEX(VC_actiondate,ROUND(MOD(AL312,1)*100000,0)-5)=0,"",INDEX(VC_actiondate,ROUND(MOD(AL312,1)*100000,0)-5)))</f>
        <v/>
      </c>
      <c r="AC312" s="33">
        <f>IF(AL312=0,"",INDEX(VC_actiontexte,ROUND(MOD(AL312,1)*100000,0)-5)&amp;"")</f>
        <v/>
      </c>
      <c r="AD312" s="46">
        <f>IF(C312="","",IF(COUNTIFS(Cmd_cle,AK312,Cmd_dateca,"&gt;0")=0,"",SMALL(INDEX(Cmd_dateca+(((Cmd_cle&lt;&gt;AK312)+(Cmd_dateca=0))&gt;0)*1000000,0),1)))</f>
        <v/>
      </c>
      <c r="AE312" s="46">
        <f>IF(C312="","",IF(COUNTIFS(Cmd_cle,AK312,Cmd_dateca,"&gt;0")=0,"",MAX(INDEX((Cmd_cle=AK312)*Cmd_dateca,0))))</f>
        <v/>
      </c>
      <c r="AF312" s="40">
        <f>IF(C312="","",SUMIFS(Cmd_montant,Cmd_cle,AK312,Cmd_dateca,"&gt;0"))</f>
        <v/>
      </c>
      <c r="AG312" s="40">
        <f>IF(C312="","",SUMIFS(Enc_montant,Enc_cle,AK312))</f>
        <v/>
      </c>
      <c r="AH312" s="40">
        <f>IF(C312="","",AF312-AG312)</f>
        <v/>
      </c>
      <c r="AI312" s="33">
        <f>IF(C312="","",IF(D312="Perdu","",IF(AND(AB312&lt;&gt;"",N(AB312)&lt;TODAY()),"Action en retard",IF(AND(D312="Client",AE312&lt;&gt;"",TODAY()-N(AE312)&gt;P_JoursInactif),"Client inactif",IF(AND(D312="Prospect",Z312=0,O312&lt;&gt;"",TODAY()-N(O312)&gt;P_JoursNonVisite),"Jamais visité","")))))</f>
        <v/>
      </c>
      <c r="AJ312" s="33">
        <f>IF(C312="","",C312&amp;" ["&amp;TEXT(A312,"000")&amp;"]")</f>
        <v/>
      </c>
      <c r="AK312" s="33">
        <f>IF(C312="","",X312&amp;"|"&amp;A312)</f>
        <v/>
      </c>
      <c r="AL312" s="47">
        <f>IF(C312="",0,IF(COUNTIFS(VC_cle,AK312)=0,0,MAX(INDEX((VC_cle=AK312)*(VC_date+ROW(VC_date)/100000),0))))</f>
        <v/>
      </c>
      <c r="AM312" s="47">
        <f>IF(AND(C312&lt;&gt;"",N(AB312)&gt;0,D312&lt;&gt;"Perdu"),AB312+ROW()/100000,0)</f>
        <v/>
      </c>
      <c r="AN312" s="48">
        <f>IF(N(AF312)&gt;0,ROUND(AF312,0)+ROW()/1000000,0)</f>
        <v/>
      </c>
    </row>
    <row r="313" ht="18" customHeight="1">
      <c r="A313" s="39" t="n">
        <v>308</v>
      </c>
      <c r="B313" s="33">
        <f>IF(C313="","",IF(X313="À RENSEIGNER","GIC",X313)&amp;"-"&amp;TEXT(A313,"000"))</f>
        <v/>
      </c>
      <c r="C313" s="36" t="n"/>
      <c r="D313" s="34">
        <f>IF(C313="","",IF(U313="☑ Oui","Perdu",IF(AD313&lt;&gt;"","Client","Prospect")))</f>
        <v/>
      </c>
      <c r="E313" s="36" t="n"/>
      <c r="F313" s="36" t="n"/>
      <c r="G313" s="44" t="n"/>
      <c r="H313" s="44" t="n"/>
      <c r="I313" s="36" t="n"/>
      <c r="J313" s="36" t="n"/>
      <c r="K313" s="41" t="n"/>
      <c r="L313" s="41" t="n"/>
      <c r="M313" s="36" t="n"/>
      <c r="N313" s="36" t="n"/>
      <c r="O313" s="32" t="n"/>
      <c r="P313" s="36" t="n"/>
      <c r="Q313" s="36" t="n"/>
      <c r="R313" s="34">
        <f>IF(P313="","",IFERROR(VLOOKUP(P313,T_Produits,2,FALSE),""))</f>
        <v/>
      </c>
      <c r="S313" s="36" t="n"/>
      <c r="T313" s="43" t="n"/>
      <c r="U313" s="43" t="n"/>
      <c r="V313" s="36" t="n"/>
      <c r="W313" s="36" t="n"/>
      <c r="X313" s="33">
        <f>IF(C313="","",Commercial_Id)</f>
        <v/>
      </c>
      <c r="Y313" s="33">
        <f>IF(E313="","",IF(E313="Particulier / ménage","Particulier","Entreprise"))</f>
        <v/>
      </c>
      <c r="Z313" s="39">
        <f>IF(C313="","",COUNTIFS(VC_cle,AK313,VC_type,"Visite sur place"))</f>
        <v/>
      </c>
      <c r="AA313" s="46">
        <f>IF(AL313=0,"",IF(INT(AL313)=0,"",INT(AL313)))</f>
        <v/>
      </c>
      <c r="AB313" s="46">
        <f>IF(AL313=0,"",IF(INDEX(VC_actiondate,ROUND(MOD(AL313,1)*100000,0)-5)=0,"",INDEX(VC_actiondate,ROUND(MOD(AL313,1)*100000,0)-5)))</f>
        <v/>
      </c>
      <c r="AC313" s="33">
        <f>IF(AL313=0,"",INDEX(VC_actiontexte,ROUND(MOD(AL313,1)*100000,0)-5)&amp;"")</f>
        <v/>
      </c>
      <c r="AD313" s="46">
        <f>IF(C313="","",IF(COUNTIFS(Cmd_cle,AK313,Cmd_dateca,"&gt;0")=0,"",SMALL(INDEX(Cmd_dateca+(((Cmd_cle&lt;&gt;AK313)+(Cmd_dateca=0))&gt;0)*1000000,0),1)))</f>
        <v/>
      </c>
      <c r="AE313" s="46">
        <f>IF(C313="","",IF(COUNTIFS(Cmd_cle,AK313,Cmd_dateca,"&gt;0")=0,"",MAX(INDEX((Cmd_cle=AK313)*Cmd_dateca,0))))</f>
        <v/>
      </c>
      <c r="AF313" s="40">
        <f>IF(C313="","",SUMIFS(Cmd_montant,Cmd_cle,AK313,Cmd_dateca,"&gt;0"))</f>
        <v/>
      </c>
      <c r="AG313" s="40">
        <f>IF(C313="","",SUMIFS(Enc_montant,Enc_cle,AK313))</f>
        <v/>
      </c>
      <c r="AH313" s="40">
        <f>IF(C313="","",AF313-AG313)</f>
        <v/>
      </c>
      <c r="AI313" s="33">
        <f>IF(C313="","",IF(D313="Perdu","",IF(AND(AB313&lt;&gt;"",N(AB313)&lt;TODAY()),"Action en retard",IF(AND(D313="Client",AE313&lt;&gt;"",TODAY()-N(AE313)&gt;P_JoursInactif),"Client inactif",IF(AND(D313="Prospect",Z313=0,O313&lt;&gt;"",TODAY()-N(O313)&gt;P_JoursNonVisite),"Jamais visité","")))))</f>
        <v/>
      </c>
      <c r="AJ313" s="33">
        <f>IF(C313="","",C313&amp;" ["&amp;TEXT(A313,"000")&amp;"]")</f>
        <v/>
      </c>
      <c r="AK313" s="33">
        <f>IF(C313="","",X313&amp;"|"&amp;A313)</f>
        <v/>
      </c>
      <c r="AL313" s="47">
        <f>IF(C313="",0,IF(COUNTIFS(VC_cle,AK313)=0,0,MAX(INDEX((VC_cle=AK313)*(VC_date+ROW(VC_date)/100000),0))))</f>
        <v/>
      </c>
      <c r="AM313" s="47">
        <f>IF(AND(C313&lt;&gt;"",N(AB313)&gt;0,D313&lt;&gt;"Perdu"),AB313+ROW()/100000,0)</f>
        <v/>
      </c>
      <c r="AN313" s="48">
        <f>IF(N(AF313)&gt;0,ROUND(AF313,0)+ROW()/1000000,0)</f>
        <v/>
      </c>
    </row>
    <row r="314" ht="18" customHeight="1">
      <c r="A314" s="39" t="n">
        <v>309</v>
      </c>
      <c r="B314" s="33">
        <f>IF(C314="","",IF(X314="À RENSEIGNER","GIC",X314)&amp;"-"&amp;TEXT(A314,"000"))</f>
        <v/>
      </c>
      <c r="C314" s="36" t="n"/>
      <c r="D314" s="34">
        <f>IF(C314="","",IF(U314="☑ Oui","Perdu",IF(AD314&lt;&gt;"","Client","Prospect")))</f>
        <v/>
      </c>
      <c r="E314" s="36" t="n"/>
      <c r="F314" s="36" t="n"/>
      <c r="G314" s="44" t="n"/>
      <c r="H314" s="44" t="n"/>
      <c r="I314" s="36" t="n"/>
      <c r="J314" s="36" t="n"/>
      <c r="K314" s="41" t="n"/>
      <c r="L314" s="41" t="n"/>
      <c r="M314" s="36" t="n"/>
      <c r="N314" s="36" t="n"/>
      <c r="O314" s="32" t="n"/>
      <c r="P314" s="36" t="n"/>
      <c r="Q314" s="36" t="n"/>
      <c r="R314" s="34">
        <f>IF(P314="","",IFERROR(VLOOKUP(P314,T_Produits,2,FALSE),""))</f>
        <v/>
      </c>
      <c r="S314" s="36" t="n"/>
      <c r="T314" s="43" t="n"/>
      <c r="U314" s="43" t="n"/>
      <c r="V314" s="36" t="n"/>
      <c r="W314" s="36" t="n"/>
      <c r="X314" s="33">
        <f>IF(C314="","",Commercial_Id)</f>
        <v/>
      </c>
      <c r="Y314" s="33">
        <f>IF(E314="","",IF(E314="Particulier / ménage","Particulier","Entreprise"))</f>
        <v/>
      </c>
      <c r="Z314" s="39">
        <f>IF(C314="","",COUNTIFS(VC_cle,AK314,VC_type,"Visite sur place"))</f>
        <v/>
      </c>
      <c r="AA314" s="46">
        <f>IF(AL314=0,"",IF(INT(AL314)=0,"",INT(AL314)))</f>
        <v/>
      </c>
      <c r="AB314" s="46">
        <f>IF(AL314=0,"",IF(INDEX(VC_actiondate,ROUND(MOD(AL314,1)*100000,0)-5)=0,"",INDEX(VC_actiondate,ROUND(MOD(AL314,1)*100000,0)-5)))</f>
        <v/>
      </c>
      <c r="AC314" s="33">
        <f>IF(AL314=0,"",INDEX(VC_actiontexte,ROUND(MOD(AL314,1)*100000,0)-5)&amp;"")</f>
        <v/>
      </c>
      <c r="AD314" s="46">
        <f>IF(C314="","",IF(COUNTIFS(Cmd_cle,AK314,Cmd_dateca,"&gt;0")=0,"",SMALL(INDEX(Cmd_dateca+(((Cmd_cle&lt;&gt;AK314)+(Cmd_dateca=0))&gt;0)*1000000,0),1)))</f>
        <v/>
      </c>
      <c r="AE314" s="46">
        <f>IF(C314="","",IF(COUNTIFS(Cmd_cle,AK314,Cmd_dateca,"&gt;0")=0,"",MAX(INDEX((Cmd_cle=AK314)*Cmd_dateca,0))))</f>
        <v/>
      </c>
      <c r="AF314" s="40">
        <f>IF(C314="","",SUMIFS(Cmd_montant,Cmd_cle,AK314,Cmd_dateca,"&gt;0"))</f>
        <v/>
      </c>
      <c r="AG314" s="40">
        <f>IF(C314="","",SUMIFS(Enc_montant,Enc_cle,AK314))</f>
        <v/>
      </c>
      <c r="AH314" s="40">
        <f>IF(C314="","",AF314-AG314)</f>
        <v/>
      </c>
      <c r="AI314" s="33">
        <f>IF(C314="","",IF(D314="Perdu","",IF(AND(AB314&lt;&gt;"",N(AB314)&lt;TODAY()),"Action en retard",IF(AND(D314="Client",AE314&lt;&gt;"",TODAY()-N(AE314)&gt;P_JoursInactif),"Client inactif",IF(AND(D314="Prospect",Z314=0,O314&lt;&gt;"",TODAY()-N(O314)&gt;P_JoursNonVisite),"Jamais visité","")))))</f>
        <v/>
      </c>
      <c r="AJ314" s="33">
        <f>IF(C314="","",C314&amp;" ["&amp;TEXT(A314,"000")&amp;"]")</f>
        <v/>
      </c>
      <c r="AK314" s="33">
        <f>IF(C314="","",X314&amp;"|"&amp;A314)</f>
        <v/>
      </c>
      <c r="AL314" s="47">
        <f>IF(C314="",0,IF(COUNTIFS(VC_cle,AK314)=0,0,MAX(INDEX((VC_cle=AK314)*(VC_date+ROW(VC_date)/100000),0))))</f>
        <v/>
      </c>
      <c r="AM314" s="47">
        <f>IF(AND(C314&lt;&gt;"",N(AB314)&gt;0,D314&lt;&gt;"Perdu"),AB314+ROW()/100000,0)</f>
        <v/>
      </c>
      <c r="AN314" s="48">
        <f>IF(N(AF314)&gt;0,ROUND(AF314,0)+ROW()/1000000,0)</f>
        <v/>
      </c>
    </row>
    <row r="315" ht="18" customHeight="1">
      <c r="A315" s="39" t="n">
        <v>310</v>
      </c>
      <c r="B315" s="33">
        <f>IF(C315="","",IF(X315="À RENSEIGNER","GIC",X315)&amp;"-"&amp;TEXT(A315,"000"))</f>
        <v/>
      </c>
      <c r="C315" s="36" t="n"/>
      <c r="D315" s="34">
        <f>IF(C315="","",IF(U315="☑ Oui","Perdu",IF(AD315&lt;&gt;"","Client","Prospect")))</f>
        <v/>
      </c>
      <c r="E315" s="36" t="n"/>
      <c r="F315" s="36" t="n"/>
      <c r="G315" s="44" t="n"/>
      <c r="H315" s="44" t="n"/>
      <c r="I315" s="36" t="n"/>
      <c r="J315" s="36" t="n"/>
      <c r="K315" s="41" t="n"/>
      <c r="L315" s="41" t="n"/>
      <c r="M315" s="36" t="n"/>
      <c r="N315" s="36" t="n"/>
      <c r="O315" s="32" t="n"/>
      <c r="P315" s="36" t="n"/>
      <c r="Q315" s="36" t="n"/>
      <c r="R315" s="34">
        <f>IF(P315="","",IFERROR(VLOOKUP(P315,T_Produits,2,FALSE),""))</f>
        <v/>
      </c>
      <c r="S315" s="36" t="n"/>
      <c r="T315" s="43" t="n"/>
      <c r="U315" s="43" t="n"/>
      <c r="V315" s="36" t="n"/>
      <c r="W315" s="36" t="n"/>
      <c r="X315" s="33">
        <f>IF(C315="","",Commercial_Id)</f>
        <v/>
      </c>
      <c r="Y315" s="33">
        <f>IF(E315="","",IF(E315="Particulier / ménage","Particulier","Entreprise"))</f>
        <v/>
      </c>
      <c r="Z315" s="39">
        <f>IF(C315="","",COUNTIFS(VC_cle,AK315,VC_type,"Visite sur place"))</f>
        <v/>
      </c>
      <c r="AA315" s="46">
        <f>IF(AL315=0,"",IF(INT(AL315)=0,"",INT(AL315)))</f>
        <v/>
      </c>
      <c r="AB315" s="46">
        <f>IF(AL315=0,"",IF(INDEX(VC_actiondate,ROUND(MOD(AL315,1)*100000,0)-5)=0,"",INDEX(VC_actiondate,ROUND(MOD(AL315,1)*100000,0)-5)))</f>
        <v/>
      </c>
      <c r="AC315" s="33">
        <f>IF(AL315=0,"",INDEX(VC_actiontexte,ROUND(MOD(AL315,1)*100000,0)-5)&amp;"")</f>
        <v/>
      </c>
      <c r="AD315" s="46">
        <f>IF(C315="","",IF(COUNTIFS(Cmd_cle,AK315,Cmd_dateca,"&gt;0")=0,"",SMALL(INDEX(Cmd_dateca+(((Cmd_cle&lt;&gt;AK315)+(Cmd_dateca=0))&gt;0)*1000000,0),1)))</f>
        <v/>
      </c>
      <c r="AE315" s="46">
        <f>IF(C315="","",IF(COUNTIFS(Cmd_cle,AK315,Cmd_dateca,"&gt;0")=0,"",MAX(INDEX((Cmd_cle=AK315)*Cmd_dateca,0))))</f>
        <v/>
      </c>
      <c r="AF315" s="40">
        <f>IF(C315="","",SUMIFS(Cmd_montant,Cmd_cle,AK315,Cmd_dateca,"&gt;0"))</f>
        <v/>
      </c>
      <c r="AG315" s="40">
        <f>IF(C315="","",SUMIFS(Enc_montant,Enc_cle,AK315))</f>
        <v/>
      </c>
      <c r="AH315" s="40">
        <f>IF(C315="","",AF315-AG315)</f>
        <v/>
      </c>
      <c r="AI315" s="33">
        <f>IF(C315="","",IF(D315="Perdu","",IF(AND(AB315&lt;&gt;"",N(AB315)&lt;TODAY()),"Action en retard",IF(AND(D315="Client",AE315&lt;&gt;"",TODAY()-N(AE315)&gt;P_JoursInactif),"Client inactif",IF(AND(D315="Prospect",Z315=0,O315&lt;&gt;"",TODAY()-N(O315)&gt;P_JoursNonVisite),"Jamais visité","")))))</f>
        <v/>
      </c>
      <c r="AJ315" s="33">
        <f>IF(C315="","",C315&amp;" ["&amp;TEXT(A315,"000")&amp;"]")</f>
        <v/>
      </c>
      <c r="AK315" s="33">
        <f>IF(C315="","",X315&amp;"|"&amp;A315)</f>
        <v/>
      </c>
      <c r="AL315" s="47">
        <f>IF(C315="",0,IF(COUNTIFS(VC_cle,AK315)=0,0,MAX(INDEX((VC_cle=AK315)*(VC_date+ROW(VC_date)/100000),0))))</f>
        <v/>
      </c>
      <c r="AM315" s="47">
        <f>IF(AND(C315&lt;&gt;"",N(AB315)&gt;0,D315&lt;&gt;"Perdu"),AB315+ROW()/100000,0)</f>
        <v/>
      </c>
      <c r="AN315" s="48">
        <f>IF(N(AF315)&gt;0,ROUND(AF315,0)+ROW()/1000000,0)</f>
        <v/>
      </c>
    </row>
    <row r="316" ht="18" customHeight="1">
      <c r="A316" s="39" t="n">
        <v>311</v>
      </c>
      <c r="B316" s="33">
        <f>IF(C316="","",IF(X316="À RENSEIGNER","GIC",X316)&amp;"-"&amp;TEXT(A316,"000"))</f>
        <v/>
      </c>
      <c r="C316" s="36" t="n"/>
      <c r="D316" s="34">
        <f>IF(C316="","",IF(U316="☑ Oui","Perdu",IF(AD316&lt;&gt;"","Client","Prospect")))</f>
        <v/>
      </c>
      <c r="E316" s="36" t="n"/>
      <c r="F316" s="36" t="n"/>
      <c r="G316" s="44" t="n"/>
      <c r="H316" s="44" t="n"/>
      <c r="I316" s="36" t="n"/>
      <c r="J316" s="36" t="n"/>
      <c r="K316" s="41" t="n"/>
      <c r="L316" s="41" t="n"/>
      <c r="M316" s="36" t="n"/>
      <c r="N316" s="36" t="n"/>
      <c r="O316" s="32" t="n"/>
      <c r="P316" s="36" t="n"/>
      <c r="Q316" s="36" t="n"/>
      <c r="R316" s="34">
        <f>IF(P316="","",IFERROR(VLOOKUP(P316,T_Produits,2,FALSE),""))</f>
        <v/>
      </c>
      <c r="S316" s="36" t="n"/>
      <c r="T316" s="43" t="n"/>
      <c r="U316" s="43" t="n"/>
      <c r="V316" s="36" t="n"/>
      <c r="W316" s="36" t="n"/>
      <c r="X316" s="33">
        <f>IF(C316="","",Commercial_Id)</f>
        <v/>
      </c>
      <c r="Y316" s="33">
        <f>IF(E316="","",IF(E316="Particulier / ménage","Particulier","Entreprise"))</f>
        <v/>
      </c>
      <c r="Z316" s="39">
        <f>IF(C316="","",COUNTIFS(VC_cle,AK316,VC_type,"Visite sur place"))</f>
        <v/>
      </c>
      <c r="AA316" s="46">
        <f>IF(AL316=0,"",IF(INT(AL316)=0,"",INT(AL316)))</f>
        <v/>
      </c>
      <c r="AB316" s="46">
        <f>IF(AL316=0,"",IF(INDEX(VC_actiondate,ROUND(MOD(AL316,1)*100000,0)-5)=0,"",INDEX(VC_actiondate,ROUND(MOD(AL316,1)*100000,0)-5)))</f>
        <v/>
      </c>
      <c r="AC316" s="33">
        <f>IF(AL316=0,"",INDEX(VC_actiontexte,ROUND(MOD(AL316,1)*100000,0)-5)&amp;"")</f>
        <v/>
      </c>
      <c r="AD316" s="46">
        <f>IF(C316="","",IF(COUNTIFS(Cmd_cle,AK316,Cmd_dateca,"&gt;0")=0,"",SMALL(INDEX(Cmd_dateca+(((Cmd_cle&lt;&gt;AK316)+(Cmd_dateca=0))&gt;0)*1000000,0),1)))</f>
        <v/>
      </c>
      <c r="AE316" s="46">
        <f>IF(C316="","",IF(COUNTIFS(Cmd_cle,AK316,Cmd_dateca,"&gt;0")=0,"",MAX(INDEX((Cmd_cle=AK316)*Cmd_dateca,0))))</f>
        <v/>
      </c>
      <c r="AF316" s="40">
        <f>IF(C316="","",SUMIFS(Cmd_montant,Cmd_cle,AK316,Cmd_dateca,"&gt;0"))</f>
        <v/>
      </c>
      <c r="AG316" s="40">
        <f>IF(C316="","",SUMIFS(Enc_montant,Enc_cle,AK316))</f>
        <v/>
      </c>
      <c r="AH316" s="40">
        <f>IF(C316="","",AF316-AG316)</f>
        <v/>
      </c>
      <c r="AI316" s="33">
        <f>IF(C316="","",IF(D316="Perdu","",IF(AND(AB316&lt;&gt;"",N(AB316)&lt;TODAY()),"Action en retard",IF(AND(D316="Client",AE316&lt;&gt;"",TODAY()-N(AE316)&gt;P_JoursInactif),"Client inactif",IF(AND(D316="Prospect",Z316=0,O316&lt;&gt;"",TODAY()-N(O316)&gt;P_JoursNonVisite),"Jamais visité","")))))</f>
        <v/>
      </c>
      <c r="AJ316" s="33">
        <f>IF(C316="","",C316&amp;" ["&amp;TEXT(A316,"000")&amp;"]")</f>
        <v/>
      </c>
      <c r="AK316" s="33">
        <f>IF(C316="","",X316&amp;"|"&amp;A316)</f>
        <v/>
      </c>
      <c r="AL316" s="47">
        <f>IF(C316="",0,IF(COUNTIFS(VC_cle,AK316)=0,0,MAX(INDEX((VC_cle=AK316)*(VC_date+ROW(VC_date)/100000),0))))</f>
        <v/>
      </c>
      <c r="AM316" s="47">
        <f>IF(AND(C316&lt;&gt;"",N(AB316)&gt;0,D316&lt;&gt;"Perdu"),AB316+ROW()/100000,0)</f>
        <v/>
      </c>
      <c r="AN316" s="48">
        <f>IF(N(AF316)&gt;0,ROUND(AF316,0)+ROW()/1000000,0)</f>
        <v/>
      </c>
    </row>
    <row r="317" ht="18" customHeight="1">
      <c r="A317" s="39" t="n">
        <v>312</v>
      </c>
      <c r="B317" s="33">
        <f>IF(C317="","",IF(X317="À RENSEIGNER","GIC",X317)&amp;"-"&amp;TEXT(A317,"000"))</f>
        <v/>
      </c>
      <c r="C317" s="36" t="n"/>
      <c r="D317" s="34">
        <f>IF(C317="","",IF(U317="☑ Oui","Perdu",IF(AD317&lt;&gt;"","Client","Prospect")))</f>
        <v/>
      </c>
      <c r="E317" s="36" t="n"/>
      <c r="F317" s="36" t="n"/>
      <c r="G317" s="44" t="n"/>
      <c r="H317" s="44" t="n"/>
      <c r="I317" s="36" t="n"/>
      <c r="J317" s="36" t="n"/>
      <c r="K317" s="41" t="n"/>
      <c r="L317" s="41" t="n"/>
      <c r="M317" s="36" t="n"/>
      <c r="N317" s="36" t="n"/>
      <c r="O317" s="32" t="n"/>
      <c r="P317" s="36" t="n"/>
      <c r="Q317" s="36" t="n"/>
      <c r="R317" s="34">
        <f>IF(P317="","",IFERROR(VLOOKUP(P317,T_Produits,2,FALSE),""))</f>
        <v/>
      </c>
      <c r="S317" s="36" t="n"/>
      <c r="T317" s="43" t="n"/>
      <c r="U317" s="43" t="n"/>
      <c r="V317" s="36" t="n"/>
      <c r="W317" s="36" t="n"/>
      <c r="X317" s="33">
        <f>IF(C317="","",Commercial_Id)</f>
        <v/>
      </c>
      <c r="Y317" s="33">
        <f>IF(E317="","",IF(E317="Particulier / ménage","Particulier","Entreprise"))</f>
        <v/>
      </c>
      <c r="Z317" s="39">
        <f>IF(C317="","",COUNTIFS(VC_cle,AK317,VC_type,"Visite sur place"))</f>
        <v/>
      </c>
      <c r="AA317" s="46">
        <f>IF(AL317=0,"",IF(INT(AL317)=0,"",INT(AL317)))</f>
        <v/>
      </c>
      <c r="AB317" s="46">
        <f>IF(AL317=0,"",IF(INDEX(VC_actiondate,ROUND(MOD(AL317,1)*100000,0)-5)=0,"",INDEX(VC_actiondate,ROUND(MOD(AL317,1)*100000,0)-5)))</f>
        <v/>
      </c>
      <c r="AC317" s="33">
        <f>IF(AL317=0,"",INDEX(VC_actiontexte,ROUND(MOD(AL317,1)*100000,0)-5)&amp;"")</f>
        <v/>
      </c>
      <c r="AD317" s="46">
        <f>IF(C317="","",IF(COUNTIFS(Cmd_cle,AK317,Cmd_dateca,"&gt;0")=0,"",SMALL(INDEX(Cmd_dateca+(((Cmd_cle&lt;&gt;AK317)+(Cmd_dateca=0))&gt;0)*1000000,0),1)))</f>
        <v/>
      </c>
      <c r="AE317" s="46">
        <f>IF(C317="","",IF(COUNTIFS(Cmd_cle,AK317,Cmd_dateca,"&gt;0")=0,"",MAX(INDEX((Cmd_cle=AK317)*Cmd_dateca,0))))</f>
        <v/>
      </c>
      <c r="AF317" s="40">
        <f>IF(C317="","",SUMIFS(Cmd_montant,Cmd_cle,AK317,Cmd_dateca,"&gt;0"))</f>
        <v/>
      </c>
      <c r="AG317" s="40">
        <f>IF(C317="","",SUMIFS(Enc_montant,Enc_cle,AK317))</f>
        <v/>
      </c>
      <c r="AH317" s="40">
        <f>IF(C317="","",AF317-AG317)</f>
        <v/>
      </c>
      <c r="AI317" s="33">
        <f>IF(C317="","",IF(D317="Perdu","",IF(AND(AB317&lt;&gt;"",N(AB317)&lt;TODAY()),"Action en retard",IF(AND(D317="Client",AE317&lt;&gt;"",TODAY()-N(AE317)&gt;P_JoursInactif),"Client inactif",IF(AND(D317="Prospect",Z317=0,O317&lt;&gt;"",TODAY()-N(O317)&gt;P_JoursNonVisite),"Jamais visité","")))))</f>
        <v/>
      </c>
      <c r="AJ317" s="33">
        <f>IF(C317="","",C317&amp;" ["&amp;TEXT(A317,"000")&amp;"]")</f>
        <v/>
      </c>
      <c r="AK317" s="33">
        <f>IF(C317="","",X317&amp;"|"&amp;A317)</f>
        <v/>
      </c>
      <c r="AL317" s="47">
        <f>IF(C317="",0,IF(COUNTIFS(VC_cle,AK317)=0,0,MAX(INDEX((VC_cle=AK317)*(VC_date+ROW(VC_date)/100000),0))))</f>
        <v/>
      </c>
      <c r="AM317" s="47">
        <f>IF(AND(C317&lt;&gt;"",N(AB317)&gt;0,D317&lt;&gt;"Perdu"),AB317+ROW()/100000,0)</f>
        <v/>
      </c>
      <c r="AN317" s="48">
        <f>IF(N(AF317)&gt;0,ROUND(AF317,0)+ROW()/1000000,0)</f>
        <v/>
      </c>
    </row>
    <row r="318" ht="18" customHeight="1">
      <c r="A318" s="39" t="n">
        <v>313</v>
      </c>
      <c r="B318" s="33">
        <f>IF(C318="","",IF(X318="À RENSEIGNER","GIC",X318)&amp;"-"&amp;TEXT(A318,"000"))</f>
        <v/>
      </c>
      <c r="C318" s="36" t="n"/>
      <c r="D318" s="34">
        <f>IF(C318="","",IF(U318="☑ Oui","Perdu",IF(AD318&lt;&gt;"","Client","Prospect")))</f>
        <v/>
      </c>
      <c r="E318" s="36" t="n"/>
      <c r="F318" s="36" t="n"/>
      <c r="G318" s="44" t="n"/>
      <c r="H318" s="44" t="n"/>
      <c r="I318" s="36" t="n"/>
      <c r="J318" s="36" t="n"/>
      <c r="K318" s="41" t="n"/>
      <c r="L318" s="41" t="n"/>
      <c r="M318" s="36" t="n"/>
      <c r="N318" s="36" t="n"/>
      <c r="O318" s="32" t="n"/>
      <c r="P318" s="36" t="n"/>
      <c r="Q318" s="36" t="n"/>
      <c r="R318" s="34">
        <f>IF(P318="","",IFERROR(VLOOKUP(P318,T_Produits,2,FALSE),""))</f>
        <v/>
      </c>
      <c r="S318" s="36" t="n"/>
      <c r="T318" s="43" t="n"/>
      <c r="U318" s="43" t="n"/>
      <c r="V318" s="36" t="n"/>
      <c r="W318" s="36" t="n"/>
      <c r="X318" s="33">
        <f>IF(C318="","",Commercial_Id)</f>
        <v/>
      </c>
      <c r="Y318" s="33">
        <f>IF(E318="","",IF(E318="Particulier / ménage","Particulier","Entreprise"))</f>
        <v/>
      </c>
      <c r="Z318" s="39">
        <f>IF(C318="","",COUNTIFS(VC_cle,AK318,VC_type,"Visite sur place"))</f>
        <v/>
      </c>
      <c r="AA318" s="46">
        <f>IF(AL318=0,"",IF(INT(AL318)=0,"",INT(AL318)))</f>
        <v/>
      </c>
      <c r="AB318" s="46">
        <f>IF(AL318=0,"",IF(INDEX(VC_actiondate,ROUND(MOD(AL318,1)*100000,0)-5)=0,"",INDEX(VC_actiondate,ROUND(MOD(AL318,1)*100000,0)-5)))</f>
        <v/>
      </c>
      <c r="AC318" s="33">
        <f>IF(AL318=0,"",INDEX(VC_actiontexte,ROUND(MOD(AL318,1)*100000,0)-5)&amp;"")</f>
        <v/>
      </c>
      <c r="AD318" s="46">
        <f>IF(C318="","",IF(COUNTIFS(Cmd_cle,AK318,Cmd_dateca,"&gt;0")=0,"",SMALL(INDEX(Cmd_dateca+(((Cmd_cle&lt;&gt;AK318)+(Cmd_dateca=0))&gt;0)*1000000,0),1)))</f>
        <v/>
      </c>
      <c r="AE318" s="46">
        <f>IF(C318="","",IF(COUNTIFS(Cmd_cle,AK318,Cmd_dateca,"&gt;0")=0,"",MAX(INDEX((Cmd_cle=AK318)*Cmd_dateca,0))))</f>
        <v/>
      </c>
      <c r="AF318" s="40">
        <f>IF(C318="","",SUMIFS(Cmd_montant,Cmd_cle,AK318,Cmd_dateca,"&gt;0"))</f>
        <v/>
      </c>
      <c r="AG318" s="40">
        <f>IF(C318="","",SUMIFS(Enc_montant,Enc_cle,AK318))</f>
        <v/>
      </c>
      <c r="AH318" s="40">
        <f>IF(C318="","",AF318-AG318)</f>
        <v/>
      </c>
      <c r="AI318" s="33">
        <f>IF(C318="","",IF(D318="Perdu","",IF(AND(AB318&lt;&gt;"",N(AB318)&lt;TODAY()),"Action en retard",IF(AND(D318="Client",AE318&lt;&gt;"",TODAY()-N(AE318)&gt;P_JoursInactif),"Client inactif",IF(AND(D318="Prospect",Z318=0,O318&lt;&gt;"",TODAY()-N(O318)&gt;P_JoursNonVisite),"Jamais visité","")))))</f>
        <v/>
      </c>
      <c r="AJ318" s="33">
        <f>IF(C318="","",C318&amp;" ["&amp;TEXT(A318,"000")&amp;"]")</f>
        <v/>
      </c>
      <c r="AK318" s="33">
        <f>IF(C318="","",X318&amp;"|"&amp;A318)</f>
        <v/>
      </c>
      <c r="AL318" s="47">
        <f>IF(C318="",0,IF(COUNTIFS(VC_cle,AK318)=0,0,MAX(INDEX((VC_cle=AK318)*(VC_date+ROW(VC_date)/100000),0))))</f>
        <v/>
      </c>
      <c r="AM318" s="47">
        <f>IF(AND(C318&lt;&gt;"",N(AB318)&gt;0,D318&lt;&gt;"Perdu"),AB318+ROW()/100000,0)</f>
        <v/>
      </c>
      <c r="AN318" s="48">
        <f>IF(N(AF318)&gt;0,ROUND(AF318,0)+ROW()/1000000,0)</f>
        <v/>
      </c>
    </row>
    <row r="319" ht="18" customHeight="1">
      <c r="A319" s="39" t="n">
        <v>314</v>
      </c>
      <c r="B319" s="33">
        <f>IF(C319="","",IF(X319="À RENSEIGNER","GIC",X319)&amp;"-"&amp;TEXT(A319,"000"))</f>
        <v/>
      </c>
      <c r="C319" s="36" t="n"/>
      <c r="D319" s="34">
        <f>IF(C319="","",IF(U319="☑ Oui","Perdu",IF(AD319&lt;&gt;"","Client","Prospect")))</f>
        <v/>
      </c>
      <c r="E319" s="36" t="n"/>
      <c r="F319" s="36" t="n"/>
      <c r="G319" s="44" t="n"/>
      <c r="H319" s="44" t="n"/>
      <c r="I319" s="36" t="n"/>
      <c r="J319" s="36" t="n"/>
      <c r="K319" s="41" t="n"/>
      <c r="L319" s="41" t="n"/>
      <c r="M319" s="36" t="n"/>
      <c r="N319" s="36" t="n"/>
      <c r="O319" s="32" t="n"/>
      <c r="P319" s="36" t="n"/>
      <c r="Q319" s="36" t="n"/>
      <c r="R319" s="34">
        <f>IF(P319="","",IFERROR(VLOOKUP(P319,T_Produits,2,FALSE),""))</f>
        <v/>
      </c>
      <c r="S319" s="36" t="n"/>
      <c r="T319" s="43" t="n"/>
      <c r="U319" s="43" t="n"/>
      <c r="V319" s="36" t="n"/>
      <c r="W319" s="36" t="n"/>
      <c r="X319" s="33">
        <f>IF(C319="","",Commercial_Id)</f>
        <v/>
      </c>
      <c r="Y319" s="33">
        <f>IF(E319="","",IF(E319="Particulier / ménage","Particulier","Entreprise"))</f>
        <v/>
      </c>
      <c r="Z319" s="39">
        <f>IF(C319="","",COUNTIFS(VC_cle,AK319,VC_type,"Visite sur place"))</f>
        <v/>
      </c>
      <c r="AA319" s="46">
        <f>IF(AL319=0,"",IF(INT(AL319)=0,"",INT(AL319)))</f>
        <v/>
      </c>
      <c r="AB319" s="46">
        <f>IF(AL319=0,"",IF(INDEX(VC_actiondate,ROUND(MOD(AL319,1)*100000,0)-5)=0,"",INDEX(VC_actiondate,ROUND(MOD(AL319,1)*100000,0)-5)))</f>
        <v/>
      </c>
      <c r="AC319" s="33">
        <f>IF(AL319=0,"",INDEX(VC_actiontexte,ROUND(MOD(AL319,1)*100000,0)-5)&amp;"")</f>
        <v/>
      </c>
      <c r="AD319" s="46">
        <f>IF(C319="","",IF(COUNTIFS(Cmd_cle,AK319,Cmd_dateca,"&gt;0")=0,"",SMALL(INDEX(Cmd_dateca+(((Cmd_cle&lt;&gt;AK319)+(Cmd_dateca=0))&gt;0)*1000000,0),1)))</f>
        <v/>
      </c>
      <c r="AE319" s="46">
        <f>IF(C319="","",IF(COUNTIFS(Cmd_cle,AK319,Cmd_dateca,"&gt;0")=0,"",MAX(INDEX((Cmd_cle=AK319)*Cmd_dateca,0))))</f>
        <v/>
      </c>
      <c r="AF319" s="40">
        <f>IF(C319="","",SUMIFS(Cmd_montant,Cmd_cle,AK319,Cmd_dateca,"&gt;0"))</f>
        <v/>
      </c>
      <c r="AG319" s="40">
        <f>IF(C319="","",SUMIFS(Enc_montant,Enc_cle,AK319))</f>
        <v/>
      </c>
      <c r="AH319" s="40">
        <f>IF(C319="","",AF319-AG319)</f>
        <v/>
      </c>
      <c r="AI319" s="33">
        <f>IF(C319="","",IF(D319="Perdu","",IF(AND(AB319&lt;&gt;"",N(AB319)&lt;TODAY()),"Action en retard",IF(AND(D319="Client",AE319&lt;&gt;"",TODAY()-N(AE319)&gt;P_JoursInactif),"Client inactif",IF(AND(D319="Prospect",Z319=0,O319&lt;&gt;"",TODAY()-N(O319)&gt;P_JoursNonVisite),"Jamais visité","")))))</f>
        <v/>
      </c>
      <c r="AJ319" s="33">
        <f>IF(C319="","",C319&amp;" ["&amp;TEXT(A319,"000")&amp;"]")</f>
        <v/>
      </c>
      <c r="AK319" s="33">
        <f>IF(C319="","",X319&amp;"|"&amp;A319)</f>
        <v/>
      </c>
      <c r="AL319" s="47">
        <f>IF(C319="",0,IF(COUNTIFS(VC_cle,AK319)=0,0,MAX(INDEX((VC_cle=AK319)*(VC_date+ROW(VC_date)/100000),0))))</f>
        <v/>
      </c>
      <c r="AM319" s="47">
        <f>IF(AND(C319&lt;&gt;"",N(AB319)&gt;0,D319&lt;&gt;"Perdu"),AB319+ROW()/100000,0)</f>
        <v/>
      </c>
      <c r="AN319" s="48">
        <f>IF(N(AF319)&gt;0,ROUND(AF319,0)+ROW()/1000000,0)</f>
        <v/>
      </c>
    </row>
    <row r="320" ht="18" customHeight="1">
      <c r="A320" s="39" t="n">
        <v>315</v>
      </c>
      <c r="B320" s="33">
        <f>IF(C320="","",IF(X320="À RENSEIGNER","GIC",X320)&amp;"-"&amp;TEXT(A320,"000"))</f>
        <v/>
      </c>
      <c r="C320" s="36" t="n"/>
      <c r="D320" s="34">
        <f>IF(C320="","",IF(U320="☑ Oui","Perdu",IF(AD320&lt;&gt;"","Client","Prospect")))</f>
        <v/>
      </c>
      <c r="E320" s="36" t="n"/>
      <c r="F320" s="36" t="n"/>
      <c r="G320" s="44" t="n"/>
      <c r="H320" s="44" t="n"/>
      <c r="I320" s="36" t="n"/>
      <c r="J320" s="36" t="n"/>
      <c r="K320" s="41" t="n"/>
      <c r="L320" s="41" t="n"/>
      <c r="M320" s="36" t="n"/>
      <c r="N320" s="36" t="n"/>
      <c r="O320" s="32" t="n"/>
      <c r="P320" s="36" t="n"/>
      <c r="Q320" s="36" t="n"/>
      <c r="R320" s="34">
        <f>IF(P320="","",IFERROR(VLOOKUP(P320,T_Produits,2,FALSE),""))</f>
        <v/>
      </c>
      <c r="S320" s="36" t="n"/>
      <c r="T320" s="43" t="n"/>
      <c r="U320" s="43" t="n"/>
      <c r="V320" s="36" t="n"/>
      <c r="W320" s="36" t="n"/>
      <c r="X320" s="33">
        <f>IF(C320="","",Commercial_Id)</f>
        <v/>
      </c>
      <c r="Y320" s="33">
        <f>IF(E320="","",IF(E320="Particulier / ménage","Particulier","Entreprise"))</f>
        <v/>
      </c>
      <c r="Z320" s="39">
        <f>IF(C320="","",COUNTIFS(VC_cle,AK320,VC_type,"Visite sur place"))</f>
        <v/>
      </c>
      <c r="AA320" s="46">
        <f>IF(AL320=0,"",IF(INT(AL320)=0,"",INT(AL320)))</f>
        <v/>
      </c>
      <c r="AB320" s="46">
        <f>IF(AL320=0,"",IF(INDEX(VC_actiondate,ROUND(MOD(AL320,1)*100000,0)-5)=0,"",INDEX(VC_actiondate,ROUND(MOD(AL320,1)*100000,0)-5)))</f>
        <v/>
      </c>
      <c r="AC320" s="33">
        <f>IF(AL320=0,"",INDEX(VC_actiontexte,ROUND(MOD(AL320,1)*100000,0)-5)&amp;"")</f>
        <v/>
      </c>
      <c r="AD320" s="46">
        <f>IF(C320="","",IF(COUNTIFS(Cmd_cle,AK320,Cmd_dateca,"&gt;0")=0,"",SMALL(INDEX(Cmd_dateca+(((Cmd_cle&lt;&gt;AK320)+(Cmd_dateca=0))&gt;0)*1000000,0),1)))</f>
        <v/>
      </c>
      <c r="AE320" s="46">
        <f>IF(C320="","",IF(COUNTIFS(Cmd_cle,AK320,Cmd_dateca,"&gt;0")=0,"",MAX(INDEX((Cmd_cle=AK320)*Cmd_dateca,0))))</f>
        <v/>
      </c>
      <c r="AF320" s="40">
        <f>IF(C320="","",SUMIFS(Cmd_montant,Cmd_cle,AK320,Cmd_dateca,"&gt;0"))</f>
        <v/>
      </c>
      <c r="AG320" s="40">
        <f>IF(C320="","",SUMIFS(Enc_montant,Enc_cle,AK320))</f>
        <v/>
      </c>
      <c r="AH320" s="40">
        <f>IF(C320="","",AF320-AG320)</f>
        <v/>
      </c>
      <c r="AI320" s="33">
        <f>IF(C320="","",IF(D320="Perdu","",IF(AND(AB320&lt;&gt;"",N(AB320)&lt;TODAY()),"Action en retard",IF(AND(D320="Client",AE320&lt;&gt;"",TODAY()-N(AE320)&gt;P_JoursInactif),"Client inactif",IF(AND(D320="Prospect",Z320=0,O320&lt;&gt;"",TODAY()-N(O320)&gt;P_JoursNonVisite),"Jamais visité","")))))</f>
        <v/>
      </c>
      <c r="AJ320" s="33">
        <f>IF(C320="","",C320&amp;" ["&amp;TEXT(A320,"000")&amp;"]")</f>
        <v/>
      </c>
      <c r="AK320" s="33">
        <f>IF(C320="","",X320&amp;"|"&amp;A320)</f>
        <v/>
      </c>
      <c r="AL320" s="47">
        <f>IF(C320="",0,IF(COUNTIFS(VC_cle,AK320)=0,0,MAX(INDEX((VC_cle=AK320)*(VC_date+ROW(VC_date)/100000),0))))</f>
        <v/>
      </c>
      <c r="AM320" s="47">
        <f>IF(AND(C320&lt;&gt;"",N(AB320)&gt;0,D320&lt;&gt;"Perdu"),AB320+ROW()/100000,0)</f>
        <v/>
      </c>
      <c r="AN320" s="48">
        <f>IF(N(AF320)&gt;0,ROUND(AF320,0)+ROW()/1000000,0)</f>
        <v/>
      </c>
    </row>
    <row r="321" ht="18" customHeight="1">
      <c r="A321" s="39" t="n">
        <v>316</v>
      </c>
      <c r="B321" s="33">
        <f>IF(C321="","",IF(X321="À RENSEIGNER","GIC",X321)&amp;"-"&amp;TEXT(A321,"000"))</f>
        <v/>
      </c>
      <c r="C321" s="36" t="n"/>
      <c r="D321" s="34">
        <f>IF(C321="","",IF(U321="☑ Oui","Perdu",IF(AD321&lt;&gt;"","Client","Prospect")))</f>
        <v/>
      </c>
      <c r="E321" s="36" t="n"/>
      <c r="F321" s="36" t="n"/>
      <c r="G321" s="44" t="n"/>
      <c r="H321" s="44" t="n"/>
      <c r="I321" s="36" t="n"/>
      <c r="J321" s="36" t="n"/>
      <c r="K321" s="41" t="n"/>
      <c r="L321" s="41" t="n"/>
      <c r="M321" s="36" t="n"/>
      <c r="N321" s="36" t="n"/>
      <c r="O321" s="32" t="n"/>
      <c r="P321" s="36" t="n"/>
      <c r="Q321" s="36" t="n"/>
      <c r="R321" s="34">
        <f>IF(P321="","",IFERROR(VLOOKUP(P321,T_Produits,2,FALSE),""))</f>
        <v/>
      </c>
      <c r="S321" s="36" t="n"/>
      <c r="T321" s="43" t="n"/>
      <c r="U321" s="43" t="n"/>
      <c r="V321" s="36" t="n"/>
      <c r="W321" s="36" t="n"/>
      <c r="X321" s="33">
        <f>IF(C321="","",Commercial_Id)</f>
        <v/>
      </c>
      <c r="Y321" s="33">
        <f>IF(E321="","",IF(E321="Particulier / ménage","Particulier","Entreprise"))</f>
        <v/>
      </c>
      <c r="Z321" s="39">
        <f>IF(C321="","",COUNTIFS(VC_cle,AK321,VC_type,"Visite sur place"))</f>
        <v/>
      </c>
      <c r="AA321" s="46">
        <f>IF(AL321=0,"",IF(INT(AL321)=0,"",INT(AL321)))</f>
        <v/>
      </c>
      <c r="AB321" s="46">
        <f>IF(AL321=0,"",IF(INDEX(VC_actiondate,ROUND(MOD(AL321,1)*100000,0)-5)=0,"",INDEX(VC_actiondate,ROUND(MOD(AL321,1)*100000,0)-5)))</f>
        <v/>
      </c>
      <c r="AC321" s="33">
        <f>IF(AL321=0,"",INDEX(VC_actiontexte,ROUND(MOD(AL321,1)*100000,0)-5)&amp;"")</f>
        <v/>
      </c>
      <c r="AD321" s="46">
        <f>IF(C321="","",IF(COUNTIFS(Cmd_cle,AK321,Cmd_dateca,"&gt;0")=0,"",SMALL(INDEX(Cmd_dateca+(((Cmd_cle&lt;&gt;AK321)+(Cmd_dateca=0))&gt;0)*1000000,0),1)))</f>
        <v/>
      </c>
      <c r="AE321" s="46">
        <f>IF(C321="","",IF(COUNTIFS(Cmd_cle,AK321,Cmd_dateca,"&gt;0")=0,"",MAX(INDEX((Cmd_cle=AK321)*Cmd_dateca,0))))</f>
        <v/>
      </c>
      <c r="AF321" s="40">
        <f>IF(C321="","",SUMIFS(Cmd_montant,Cmd_cle,AK321,Cmd_dateca,"&gt;0"))</f>
        <v/>
      </c>
      <c r="AG321" s="40">
        <f>IF(C321="","",SUMIFS(Enc_montant,Enc_cle,AK321))</f>
        <v/>
      </c>
      <c r="AH321" s="40">
        <f>IF(C321="","",AF321-AG321)</f>
        <v/>
      </c>
      <c r="AI321" s="33">
        <f>IF(C321="","",IF(D321="Perdu","",IF(AND(AB321&lt;&gt;"",N(AB321)&lt;TODAY()),"Action en retard",IF(AND(D321="Client",AE321&lt;&gt;"",TODAY()-N(AE321)&gt;P_JoursInactif),"Client inactif",IF(AND(D321="Prospect",Z321=0,O321&lt;&gt;"",TODAY()-N(O321)&gt;P_JoursNonVisite),"Jamais visité","")))))</f>
        <v/>
      </c>
      <c r="AJ321" s="33">
        <f>IF(C321="","",C321&amp;" ["&amp;TEXT(A321,"000")&amp;"]")</f>
        <v/>
      </c>
      <c r="AK321" s="33">
        <f>IF(C321="","",X321&amp;"|"&amp;A321)</f>
        <v/>
      </c>
      <c r="AL321" s="47">
        <f>IF(C321="",0,IF(COUNTIFS(VC_cle,AK321)=0,0,MAX(INDEX((VC_cle=AK321)*(VC_date+ROW(VC_date)/100000),0))))</f>
        <v/>
      </c>
      <c r="AM321" s="47">
        <f>IF(AND(C321&lt;&gt;"",N(AB321)&gt;0,D321&lt;&gt;"Perdu"),AB321+ROW()/100000,0)</f>
        <v/>
      </c>
      <c r="AN321" s="48">
        <f>IF(N(AF321)&gt;0,ROUND(AF321,0)+ROW()/1000000,0)</f>
        <v/>
      </c>
    </row>
    <row r="322" ht="18" customHeight="1">
      <c r="A322" s="39" t="n">
        <v>317</v>
      </c>
      <c r="B322" s="33">
        <f>IF(C322="","",IF(X322="À RENSEIGNER","GIC",X322)&amp;"-"&amp;TEXT(A322,"000"))</f>
        <v/>
      </c>
      <c r="C322" s="36" t="n"/>
      <c r="D322" s="34">
        <f>IF(C322="","",IF(U322="☑ Oui","Perdu",IF(AD322&lt;&gt;"","Client","Prospect")))</f>
        <v/>
      </c>
      <c r="E322" s="36" t="n"/>
      <c r="F322" s="36" t="n"/>
      <c r="G322" s="44" t="n"/>
      <c r="H322" s="44" t="n"/>
      <c r="I322" s="36" t="n"/>
      <c r="J322" s="36" t="n"/>
      <c r="K322" s="41" t="n"/>
      <c r="L322" s="41" t="n"/>
      <c r="M322" s="36" t="n"/>
      <c r="N322" s="36" t="n"/>
      <c r="O322" s="32" t="n"/>
      <c r="P322" s="36" t="n"/>
      <c r="Q322" s="36" t="n"/>
      <c r="R322" s="34">
        <f>IF(P322="","",IFERROR(VLOOKUP(P322,T_Produits,2,FALSE),""))</f>
        <v/>
      </c>
      <c r="S322" s="36" t="n"/>
      <c r="T322" s="43" t="n"/>
      <c r="U322" s="43" t="n"/>
      <c r="V322" s="36" t="n"/>
      <c r="W322" s="36" t="n"/>
      <c r="X322" s="33">
        <f>IF(C322="","",Commercial_Id)</f>
        <v/>
      </c>
      <c r="Y322" s="33">
        <f>IF(E322="","",IF(E322="Particulier / ménage","Particulier","Entreprise"))</f>
        <v/>
      </c>
      <c r="Z322" s="39">
        <f>IF(C322="","",COUNTIFS(VC_cle,AK322,VC_type,"Visite sur place"))</f>
        <v/>
      </c>
      <c r="AA322" s="46">
        <f>IF(AL322=0,"",IF(INT(AL322)=0,"",INT(AL322)))</f>
        <v/>
      </c>
      <c r="AB322" s="46">
        <f>IF(AL322=0,"",IF(INDEX(VC_actiondate,ROUND(MOD(AL322,1)*100000,0)-5)=0,"",INDEX(VC_actiondate,ROUND(MOD(AL322,1)*100000,0)-5)))</f>
        <v/>
      </c>
      <c r="AC322" s="33">
        <f>IF(AL322=0,"",INDEX(VC_actiontexte,ROUND(MOD(AL322,1)*100000,0)-5)&amp;"")</f>
        <v/>
      </c>
      <c r="AD322" s="46">
        <f>IF(C322="","",IF(COUNTIFS(Cmd_cle,AK322,Cmd_dateca,"&gt;0")=0,"",SMALL(INDEX(Cmd_dateca+(((Cmd_cle&lt;&gt;AK322)+(Cmd_dateca=0))&gt;0)*1000000,0),1)))</f>
        <v/>
      </c>
      <c r="AE322" s="46">
        <f>IF(C322="","",IF(COUNTIFS(Cmd_cle,AK322,Cmd_dateca,"&gt;0")=0,"",MAX(INDEX((Cmd_cle=AK322)*Cmd_dateca,0))))</f>
        <v/>
      </c>
      <c r="AF322" s="40">
        <f>IF(C322="","",SUMIFS(Cmd_montant,Cmd_cle,AK322,Cmd_dateca,"&gt;0"))</f>
        <v/>
      </c>
      <c r="AG322" s="40">
        <f>IF(C322="","",SUMIFS(Enc_montant,Enc_cle,AK322))</f>
        <v/>
      </c>
      <c r="AH322" s="40">
        <f>IF(C322="","",AF322-AG322)</f>
        <v/>
      </c>
      <c r="AI322" s="33">
        <f>IF(C322="","",IF(D322="Perdu","",IF(AND(AB322&lt;&gt;"",N(AB322)&lt;TODAY()),"Action en retard",IF(AND(D322="Client",AE322&lt;&gt;"",TODAY()-N(AE322)&gt;P_JoursInactif),"Client inactif",IF(AND(D322="Prospect",Z322=0,O322&lt;&gt;"",TODAY()-N(O322)&gt;P_JoursNonVisite),"Jamais visité","")))))</f>
        <v/>
      </c>
      <c r="AJ322" s="33">
        <f>IF(C322="","",C322&amp;" ["&amp;TEXT(A322,"000")&amp;"]")</f>
        <v/>
      </c>
      <c r="AK322" s="33">
        <f>IF(C322="","",X322&amp;"|"&amp;A322)</f>
        <v/>
      </c>
      <c r="AL322" s="47">
        <f>IF(C322="",0,IF(COUNTIFS(VC_cle,AK322)=0,0,MAX(INDEX((VC_cle=AK322)*(VC_date+ROW(VC_date)/100000),0))))</f>
        <v/>
      </c>
      <c r="AM322" s="47">
        <f>IF(AND(C322&lt;&gt;"",N(AB322)&gt;0,D322&lt;&gt;"Perdu"),AB322+ROW()/100000,0)</f>
        <v/>
      </c>
      <c r="AN322" s="48">
        <f>IF(N(AF322)&gt;0,ROUND(AF322,0)+ROW()/1000000,0)</f>
        <v/>
      </c>
    </row>
    <row r="323" ht="18" customHeight="1">
      <c r="A323" s="39" t="n">
        <v>318</v>
      </c>
      <c r="B323" s="33">
        <f>IF(C323="","",IF(X323="À RENSEIGNER","GIC",X323)&amp;"-"&amp;TEXT(A323,"000"))</f>
        <v/>
      </c>
      <c r="C323" s="36" t="n"/>
      <c r="D323" s="34">
        <f>IF(C323="","",IF(U323="☑ Oui","Perdu",IF(AD323&lt;&gt;"","Client","Prospect")))</f>
        <v/>
      </c>
      <c r="E323" s="36" t="n"/>
      <c r="F323" s="36" t="n"/>
      <c r="G323" s="44" t="n"/>
      <c r="H323" s="44" t="n"/>
      <c r="I323" s="36" t="n"/>
      <c r="J323" s="36" t="n"/>
      <c r="K323" s="41" t="n"/>
      <c r="L323" s="41" t="n"/>
      <c r="M323" s="36" t="n"/>
      <c r="N323" s="36" t="n"/>
      <c r="O323" s="32" t="n"/>
      <c r="P323" s="36" t="n"/>
      <c r="Q323" s="36" t="n"/>
      <c r="R323" s="34">
        <f>IF(P323="","",IFERROR(VLOOKUP(P323,T_Produits,2,FALSE),""))</f>
        <v/>
      </c>
      <c r="S323" s="36" t="n"/>
      <c r="T323" s="43" t="n"/>
      <c r="U323" s="43" t="n"/>
      <c r="V323" s="36" t="n"/>
      <c r="W323" s="36" t="n"/>
      <c r="X323" s="33">
        <f>IF(C323="","",Commercial_Id)</f>
        <v/>
      </c>
      <c r="Y323" s="33">
        <f>IF(E323="","",IF(E323="Particulier / ménage","Particulier","Entreprise"))</f>
        <v/>
      </c>
      <c r="Z323" s="39">
        <f>IF(C323="","",COUNTIFS(VC_cle,AK323,VC_type,"Visite sur place"))</f>
        <v/>
      </c>
      <c r="AA323" s="46">
        <f>IF(AL323=0,"",IF(INT(AL323)=0,"",INT(AL323)))</f>
        <v/>
      </c>
      <c r="AB323" s="46">
        <f>IF(AL323=0,"",IF(INDEX(VC_actiondate,ROUND(MOD(AL323,1)*100000,0)-5)=0,"",INDEX(VC_actiondate,ROUND(MOD(AL323,1)*100000,0)-5)))</f>
        <v/>
      </c>
      <c r="AC323" s="33">
        <f>IF(AL323=0,"",INDEX(VC_actiontexte,ROUND(MOD(AL323,1)*100000,0)-5)&amp;"")</f>
        <v/>
      </c>
      <c r="AD323" s="46">
        <f>IF(C323="","",IF(COUNTIFS(Cmd_cle,AK323,Cmd_dateca,"&gt;0")=0,"",SMALL(INDEX(Cmd_dateca+(((Cmd_cle&lt;&gt;AK323)+(Cmd_dateca=0))&gt;0)*1000000,0),1)))</f>
        <v/>
      </c>
      <c r="AE323" s="46">
        <f>IF(C323="","",IF(COUNTIFS(Cmd_cle,AK323,Cmd_dateca,"&gt;0")=0,"",MAX(INDEX((Cmd_cle=AK323)*Cmd_dateca,0))))</f>
        <v/>
      </c>
      <c r="AF323" s="40">
        <f>IF(C323="","",SUMIFS(Cmd_montant,Cmd_cle,AK323,Cmd_dateca,"&gt;0"))</f>
        <v/>
      </c>
      <c r="AG323" s="40">
        <f>IF(C323="","",SUMIFS(Enc_montant,Enc_cle,AK323))</f>
        <v/>
      </c>
      <c r="AH323" s="40">
        <f>IF(C323="","",AF323-AG323)</f>
        <v/>
      </c>
      <c r="AI323" s="33">
        <f>IF(C323="","",IF(D323="Perdu","",IF(AND(AB323&lt;&gt;"",N(AB323)&lt;TODAY()),"Action en retard",IF(AND(D323="Client",AE323&lt;&gt;"",TODAY()-N(AE323)&gt;P_JoursInactif),"Client inactif",IF(AND(D323="Prospect",Z323=0,O323&lt;&gt;"",TODAY()-N(O323)&gt;P_JoursNonVisite),"Jamais visité","")))))</f>
        <v/>
      </c>
      <c r="AJ323" s="33">
        <f>IF(C323="","",C323&amp;" ["&amp;TEXT(A323,"000")&amp;"]")</f>
        <v/>
      </c>
      <c r="AK323" s="33">
        <f>IF(C323="","",X323&amp;"|"&amp;A323)</f>
        <v/>
      </c>
      <c r="AL323" s="47">
        <f>IF(C323="",0,IF(COUNTIFS(VC_cle,AK323)=0,0,MAX(INDEX((VC_cle=AK323)*(VC_date+ROW(VC_date)/100000),0))))</f>
        <v/>
      </c>
      <c r="AM323" s="47">
        <f>IF(AND(C323&lt;&gt;"",N(AB323)&gt;0,D323&lt;&gt;"Perdu"),AB323+ROW()/100000,0)</f>
        <v/>
      </c>
      <c r="AN323" s="48">
        <f>IF(N(AF323)&gt;0,ROUND(AF323,0)+ROW()/1000000,0)</f>
        <v/>
      </c>
    </row>
    <row r="324" ht="18" customHeight="1">
      <c r="A324" s="39" t="n">
        <v>319</v>
      </c>
      <c r="B324" s="33">
        <f>IF(C324="","",IF(X324="À RENSEIGNER","GIC",X324)&amp;"-"&amp;TEXT(A324,"000"))</f>
        <v/>
      </c>
      <c r="C324" s="36" t="n"/>
      <c r="D324" s="34">
        <f>IF(C324="","",IF(U324="☑ Oui","Perdu",IF(AD324&lt;&gt;"","Client","Prospect")))</f>
        <v/>
      </c>
      <c r="E324" s="36" t="n"/>
      <c r="F324" s="36" t="n"/>
      <c r="G324" s="44" t="n"/>
      <c r="H324" s="44" t="n"/>
      <c r="I324" s="36" t="n"/>
      <c r="J324" s="36" t="n"/>
      <c r="K324" s="41" t="n"/>
      <c r="L324" s="41" t="n"/>
      <c r="M324" s="36" t="n"/>
      <c r="N324" s="36" t="n"/>
      <c r="O324" s="32" t="n"/>
      <c r="P324" s="36" t="n"/>
      <c r="Q324" s="36" t="n"/>
      <c r="R324" s="34">
        <f>IF(P324="","",IFERROR(VLOOKUP(P324,T_Produits,2,FALSE),""))</f>
        <v/>
      </c>
      <c r="S324" s="36" t="n"/>
      <c r="T324" s="43" t="n"/>
      <c r="U324" s="43" t="n"/>
      <c r="V324" s="36" t="n"/>
      <c r="W324" s="36" t="n"/>
      <c r="X324" s="33">
        <f>IF(C324="","",Commercial_Id)</f>
        <v/>
      </c>
      <c r="Y324" s="33">
        <f>IF(E324="","",IF(E324="Particulier / ménage","Particulier","Entreprise"))</f>
        <v/>
      </c>
      <c r="Z324" s="39">
        <f>IF(C324="","",COUNTIFS(VC_cle,AK324,VC_type,"Visite sur place"))</f>
        <v/>
      </c>
      <c r="AA324" s="46">
        <f>IF(AL324=0,"",IF(INT(AL324)=0,"",INT(AL324)))</f>
        <v/>
      </c>
      <c r="AB324" s="46">
        <f>IF(AL324=0,"",IF(INDEX(VC_actiondate,ROUND(MOD(AL324,1)*100000,0)-5)=0,"",INDEX(VC_actiondate,ROUND(MOD(AL324,1)*100000,0)-5)))</f>
        <v/>
      </c>
      <c r="AC324" s="33">
        <f>IF(AL324=0,"",INDEX(VC_actiontexte,ROUND(MOD(AL324,1)*100000,0)-5)&amp;"")</f>
        <v/>
      </c>
      <c r="AD324" s="46">
        <f>IF(C324="","",IF(COUNTIFS(Cmd_cle,AK324,Cmd_dateca,"&gt;0")=0,"",SMALL(INDEX(Cmd_dateca+(((Cmd_cle&lt;&gt;AK324)+(Cmd_dateca=0))&gt;0)*1000000,0),1)))</f>
        <v/>
      </c>
      <c r="AE324" s="46">
        <f>IF(C324="","",IF(COUNTIFS(Cmd_cle,AK324,Cmd_dateca,"&gt;0")=0,"",MAX(INDEX((Cmd_cle=AK324)*Cmd_dateca,0))))</f>
        <v/>
      </c>
      <c r="AF324" s="40">
        <f>IF(C324="","",SUMIFS(Cmd_montant,Cmd_cle,AK324,Cmd_dateca,"&gt;0"))</f>
        <v/>
      </c>
      <c r="AG324" s="40">
        <f>IF(C324="","",SUMIFS(Enc_montant,Enc_cle,AK324))</f>
        <v/>
      </c>
      <c r="AH324" s="40">
        <f>IF(C324="","",AF324-AG324)</f>
        <v/>
      </c>
      <c r="AI324" s="33">
        <f>IF(C324="","",IF(D324="Perdu","",IF(AND(AB324&lt;&gt;"",N(AB324)&lt;TODAY()),"Action en retard",IF(AND(D324="Client",AE324&lt;&gt;"",TODAY()-N(AE324)&gt;P_JoursInactif),"Client inactif",IF(AND(D324="Prospect",Z324=0,O324&lt;&gt;"",TODAY()-N(O324)&gt;P_JoursNonVisite),"Jamais visité","")))))</f>
        <v/>
      </c>
      <c r="AJ324" s="33">
        <f>IF(C324="","",C324&amp;" ["&amp;TEXT(A324,"000")&amp;"]")</f>
        <v/>
      </c>
      <c r="AK324" s="33">
        <f>IF(C324="","",X324&amp;"|"&amp;A324)</f>
        <v/>
      </c>
      <c r="AL324" s="47">
        <f>IF(C324="",0,IF(COUNTIFS(VC_cle,AK324)=0,0,MAX(INDEX((VC_cle=AK324)*(VC_date+ROW(VC_date)/100000),0))))</f>
        <v/>
      </c>
      <c r="AM324" s="47">
        <f>IF(AND(C324&lt;&gt;"",N(AB324)&gt;0,D324&lt;&gt;"Perdu"),AB324+ROW()/100000,0)</f>
        <v/>
      </c>
      <c r="AN324" s="48">
        <f>IF(N(AF324)&gt;0,ROUND(AF324,0)+ROW()/1000000,0)</f>
        <v/>
      </c>
    </row>
    <row r="325" ht="18" customHeight="1">
      <c r="A325" s="39" t="n">
        <v>320</v>
      </c>
      <c r="B325" s="33">
        <f>IF(C325="","",IF(X325="À RENSEIGNER","GIC",X325)&amp;"-"&amp;TEXT(A325,"000"))</f>
        <v/>
      </c>
      <c r="C325" s="36" t="n"/>
      <c r="D325" s="34">
        <f>IF(C325="","",IF(U325="☑ Oui","Perdu",IF(AD325&lt;&gt;"","Client","Prospect")))</f>
        <v/>
      </c>
      <c r="E325" s="36" t="n"/>
      <c r="F325" s="36" t="n"/>
      <c r="G325" s="44" t="n"/>
      <c r="H325" s="44" t="n"/>
      <c r="I325" s="36" t="n"/>
      <c r="J325" s="36" t="n"/>
      <c r="K325" s="41" t="n"/>
      <c r="L325" s="41" t="n"/>
      <c r="M325" s="36" t="n"/>
      <c r="N325" s="36" t="n"/>
      <c r="O325" s="32" t="n"/>
      <c r="P325" s="36" t="n"/>
      <c r="Q325" s="36" t="n"/>
      <c r="R325" s="34">
        <f>IF(P325="","",IFERROR(VLOOKUP(P325,T_Produits,2,FALSE),""))</f>
        <v/>
      </c>
      <c r="S325" s="36" t="n"/>
      <c r="T325" s="43" t="n"/>
      <c r="U325" s="43" t="n"/>
      <c r="V325" s="36" t="n"/>
      <c r="W325" s="36" t="n"/>
      <c r="X325" s="33">
        <f>IF(C325="","",Commercial_Id)</f>
        <v/>
      </c>
      <c r="Y325" s="33">
        <f>IF(E325="","",IF(E325="Particulier / ménage","Particulier","Entreprise"))</f>
        <v/>
      </c>
      <c r="Z325" s="39">
        <f>IF(C325="","",COUNTIFS(VC_cle,AK325,VC_type,"Visite sur place"))</f>
        <v/>
      </c>
      <c r="AA325" s="46">
        <f>IF(AL325=0,"",IF(INT(AL325)=0,"",INT(AL325)))</f>
        <v/>
      </c>
      <c r="AB325" s="46">
        <f>IF(AL325=0,"",IF(INDEX(VC_actiondate,ROUND(MOD(AL325,1)*100000,0)-5)=0,"",INDEX(VC_actiondate,ROUND(MOD(AL325,1)*100000,0)-5)))</f>
        <v/>
      </c>
      <c r="AC325" s="33">
        <f>IF(AL325=0,"",INDEX(VC_actiontexte,ROUND(MOD(AL325,1)*100000,0)-5)&amp;"")</f>
        <v/>
      </c>
      <c r="AD325" s="46">
        <f>IF(C325="","",IF(COUNTIFS(Cmd_cle,AK325,Cmd_dateca,"&gt;0")=0,"",SMALL(INDEX(Cmd_dateca+(((Cmd_cle&lt;&gt;AK325)+(Cmd_dateca=0))&gt;0)*1000000,0),1)))</f>
        <v/>
      </c>
      <c r="AE325" s="46">
        <f>IF(C325="","",IF(COUNTIFS(Cmd_cle,AK325,Cmd_dateca,"&gt;0")=0,"",MAX(INDEX((Cmd_cle=AK325)*Cmd_dateca,0))))</f>
        <v/>
      </c>
      <c r="AF325" s="40">
        <f>IF(C325="","",SUMIFS(Cmd_montant,Cmd_cle,AK325,Cmd_dateca,"&gt;0"))</f>
        <v/>
      </c>
      <c r="AG325" s="40">
        <f>IF(C325="","",SUMIFS(Enc_montant,Enc_cle,AK325))</f>
        <v/>
      </c>
      <c r="AH325" s="40">
        <f>IF(C325="","",AF325-AG325)</f>
        <v/>
      </c>
      <c r="AI325" s="33">
        <f>IF(C325="","",IF(D325="Perdu","",IF(AND(AB325&lt;&gt;"",N(AB325)&lt;TODAY()),"Action en retard",IF(AND(D325="Client",AE325&lt;&gt;"",TODAY()-N(AE325)&gt;P_JoursInactif),"Client inactif",IF(AND(D325="Prospect",Z325=0,O325&lt;&gt;"",TODAY()-N(O325)&gt;P_JoursNonVisite),"Jamais visité","")))))</f>
        <v/>
      </c>
      <c r="AJ325" s="33">
        <f>IF(C325="","",C325&amp;" ["&amp;TEXT(A325,"000")&amp;"]")</f>
        <v/>
      </c>
      <c r="AK325" s="33">
        <f>IF(C325="","",X325&amp;"|"&amp;A325)</f>
        <v/>
      </c>
      <c r="AL325" s="47">
        <f>IF(C325="",0,IF(COUNTIFS(VC_cle,AK325)=0,0,MAX(INDEX((VC_cle=AK325)*(VC_date+ROW(VC_date)/100000),0))))</f>
        <v/>
      </c>
      <c r="AM325" s="47">
        <f>IF(AND(C325&lt;&gt;"",N(AB325)&gt;0,D325&lt;&gt;"Perdu"),AB325+ROW()/100000,0)</f>
        <v/>
      </c>
      <c r="AN325" s="48">
        <f>IF(N(AF325)&gt;0,ROUND(AF325,0)+ROW()/1000000,0)</f>
        <v/>
      </c>
    </row>
    <row r="326" ht="18" customHeight="1">
      <c r="A326" s="39" t="n">
        <v>321</v>
      </c>
      <c r="B326" s="33">
        <f>IF(C326="","",IF(X326="À RENSEIGNER","GIC",X326)&amp;"-"&amp;TEXT(A326,"000"))</f>
        <v/>
      </c>
      <c r="C326" s="36" t="n"/>
      <c r="D326" s="34">
        <f>IF(C326="","",IF(U326="☑ Oui","Perdu",IF(AD326&lt;&gt;"","Client","Prospect")))</f>
        <v/>
      </c>
      <c r="E326" s="36" t="n"/>
      <c r="F326" s="36" t="n"/>
      <c r="G326" s="44" t="n"/>
      <c r="H326" s="44" t="n"/>
      <c r="I326" s="36" t="n"/>
      <c r="J326" s="36" t="n"/>
      <c r="K326" s="41" t="n"/>
      <c r="L326" s="41" t="n"/>
      <c r="M326" s="36" t="n"/>
      <c r="N326" s="36" t="n"/>
      <c r="O326" s="32" t="n"/>
      <c r="P326" s="36" t="n"/>
      <c r="Q326" s="36" t="n"/>
      <c r="R326" s="34">
        <f>IF(P326="","",IFERROR(VLOOKUP(P326,T_Produits,2,FALSE),""))</f>
        <v/>
      </c>
      <c r="S326" s="36" t="n"/>
      <c r="T326" s="43" t="n"/>
      <c r="U326" s="43" t="n"/>
      <c r="V326" s="36" t="n"/>
      <c r="W326" s="36" t="n"/>
      <c r="X326" s="33">
        <f>IF(C326="","",Commercial_Id)</f>
        <v/>
      </c>
      <c r="Y326" s="33">
        <f>IF(E326="","",IF(E326="Particulier / ménage","Particulier","Entreprise"))</f>
        <v/>
      </c>
      <c r="Z326" s="39">
        <f>IF(C326="","",COUNTIFS(VC_cle,AK326,VC_type,"Visite sur place"))</f>
        <v/>
      </c>
      <c r="AA326" s="46">
        <f>IF(AL326=0,"",IF(INT(AL326)=0,"",INT(AL326)))</f>
        <v/>
      </c>
      <c r="AB326" s="46">
        <f>IF(AL326=0,"",IF(INDEX(VC_actiondate,ROUND(MOD(AL326,1)*100000,0)-5)=0,"",INDEX(VC_actiondate,ROUND(MOD(AL326,1)*100000,0)-5)))</f>
        <v/>
      </c>
      <c r="AC326" s="33">
        <f>IF(AL326=0,"",INDEX(VC_actiontexte,ROUND(MOD(AL326,1)*100000,0)-5)&amp;"")</f>
        <v/>
      </c>
      <c r="AD326" s="46">
        <f>IF(C326="","",IF(COUNTIFS(Cmd_cle,AK326,Cmd_dateca,"&gt;0")=0,"",SMALL(INDEX(Cmd_dateca+(((Cmd_cle&lt;&gt;AK326)+(Cmd_dateca=0))&gt;0)*1000000,0),1)))</f>
        <v/>
      </c>
      <c r="AE326" s="46">
        <f>IF(C326="","",IF(COUNTIFS(Cmd_cle,AK326,Cmd_dateca,"&gt;0")=0,"",MAX(INDEX((Cmd_cle=AK326)*Cmd_dateca,0))))</f>
        <v/>
      </c>
      <c r="AF326" s="40">
        <f>IF(C326="","",SUMIFS(Cmd_montant,Cmd_cle,AK326,Cmd_dateca,"&gt;0"))</f>
        <v/>
      </c>
      <c r="AG326" s="40">
        <f>IF(C326="","",SUMIFS(Enc_montant,Enc_cle,AK326))</f>
        <v/>
      </c>
      <c r="AH326" s="40">
        <f>IF(C326="","",AF326-AG326)</f>
        <v/>
      </c>
      <c r="AI326" s="33">
        <f>IF(C326="","",IF(D326="Perdu","",IF(AND(AB326&lt;&gt;"",N(AB326)&lt;TODAY()),"Action en retard",IF(AND(D326="Client",AE326&lt;&gt;"",TODAY()-N(AE326)&gt;P_JoursInactif),"Client inactif",IF(AND(D326="Prospect",Z326=0,O326&lt;&gt;"",TODAY()-N(O326)&gt;P_JoursNonVisite),"Jamais visité","")))))</f>
        <v/>
      </c>
      <c r="AJ326" s="33">
        <f>IF(C326="","",C326&amp;" ["&amp;TEXT(A326,"000")&amp;"]")</f>
        <v/>
      </c>
      <c r="AK326" s="33">
        <f>IF(C326="","",X326&amp;"|"&amp;A326)</f>
        <v/>
      </c>
      <c r="AL326" s="47">
        <f>IF(C326="",0,IF(COUNTIFS(VC_cle,AK326)=0,0,MAX(INDEX((VC_cle=AK326)*(VC_date+ROW(VC_date)/100000),0))))</f>
        <v/>
      </c>
      <c r="AM326" s="47">
        <f>IF(AND(C326&lt;&gt;"",N(AB326)&gt;0,D326&lt;&gt;"Perdu"),AB326+ROW()/100000,0)</f>
        <v/>
      </c>
      <c r="AN326" s="48">
        <f>IF(N(AF326)&gt;0,ROUND(AF326,0)+ROW()/1000000,0)</f>
        <v/>
      </c>
    </row>
    <row r="327" ht="18" customHeight="1">
      <c r="A327" s="39" t="n">
        <v>322</v>
      </c>
      <c r="B327" s="33">
        <f>IF(C327="","",IF(X327="À RENSEIGNER","GIC",X327)&amp;"-"&amp;TEXT(A327,"000"))</f>
        <v/>
      </c>
      <c r="C327" s="36" t="n"/>
      <c r="D327" s="34">
        <f>IF(C327="","",IF(U327="☑ Oui","Perdu",IF(AD327&lt;&gt;"","Client","Prospect")))</f>
        <v/>
      </c>
      <c r="E327" s="36" t="n"/>
      <c r="F327" s="36" t="n"/>
      <c r="G327" s="44" t="n"/>
      <c r="H327" s="44" t="n"/>
      <c r="I327" s="36" t="n"/>
      <c r="J327" s="36" t="n"/>
      <c r="K327" s="41" t="n"/>
      <c r="L327" s="41" t="n"/>
      <c r="M327" s="36" t="n"/>
      <c r="N327" s="36" t="n"/>
      <c r="O327" s="32" t="n"/>
      <c r="P327" s="36" t="n"/>
      <c r="Q327" s="36" t="n"/>
      <c r="R327" s="34">
        <f>IF(P327="","",IFERROR(VLOOKUP(P327,T_Produits,2,FALSE),""))</f>
        <v/>
      </c>
      <c r="S327" s="36" t="n"/>
      <c r="T327" s="43" t="n"/>
      <c r="U327" s="43" t="n"/>
      <c r="V327" s="36" t="n"/>
      <c r="W327" s="36" t="n"/>
      <c r="X327" s="33">
        <f>IF(C327="","",Commercial_Id)</f>
        <v/>
      </c>
      <c r="Y327" s="33">
        <f>IF(E327="","",IF(E327="Particulier / ménage","Particulier","Entreprise"))</f>
        <v/>
      </c>
      <c r="Z327" s="39">
        <f>IF(C327="","",COUNTIFS(VC_cle,AK327,VC_type,"Visite sur place"))</f>
        <v/>
      </c>
      <c r="AA327" s="46">
        <f>IF(AL327=0,"",IF(INT(AL327)=0,"",INT(AL327)))</f>
        <v/>
      </c>
      <c r="AB327" s="46">
        <f>IF(AL327=0,"",IF(INDEX(VC_actiondate,ROUND(MOD(AL327,1)*100000,0)-5)=0,"",INDEX(VC_actiondate,ROUND(MOD(AL327,1)*100000,0)-5)))</f>
        <v/>
      </c>
      <c r="AC327" s="33">
        <f>IF(AL327=0,"",INDEX(VC_actiontexte,ROUND(MOD(AL327,1)*100000,0)-5)&amp;"")</f>
        <v/>
      </c>
      <c r="AD327" s="46">
        <f>IF(C327="","",IF(COUNTIFS(Cmd_cle,AK327,Cmd_dateca,"&gt;0")=0,"",SMALL(INDEX(Cmd_dateca+(((Cmd_cle&lt;&gt;AK327)+(Cmd_dateca=0))&gt;0)*1000000,0),1)))</f>
        <v/>
      </c>
      <c r="AE327" s="46">
        <f>IF(C327="","",IF(COUNTIFS(Cmd_cle,AK327,Cmd_dateca,"&gt;0")=0,"",MAX(INDEX((Cmd_cle=AK327)*Cmd_dateca,0))))</f>
        <v/>
      </c>
      <c r="AF327" s="40">
        <f>IF(C327="","",SUMIFS(Cmd_montant,Cmd_cle,AK327,Cmd_dateca,"&gt;0"))</f>
        <v/>
      </c>
      <c r="AG327" s="40">
        <f>IF(C327="","",SUMIFS(Enc_montant,Enc_cle,AK327))</f>
        <v/>
      </c>
      <c r="AH327" s="40">
        <f>IF(C327="","",AF327-AG327)</f>
        <v/>
      </c>
      <c r="AI327" s="33">
        <f>IF(C327="","",IF(D327="Perdu","",IF(AND(AB327&lt;&gt;"",N(AB327)&lt;TODAY()),"Action en retard",IF(AND(D327="Client",AE327&lt;&gt;"",TODAY()-N(AE327)&gt;P_JoursInactif),"Client inactif",IF(AND(D327="Prospect",Z327=0,O327&lt;&gt;"",TODAY()-N(O327)&gt;P_JoursNonVisite),"Jamais visité","")))))</f>
        <v/>
      </c>
      <c r="AJ327" s="33">
        <f>IF(C327="","",C327&amp;" ["&amp;TEXT(A327,"000")&amp;"]")</f>
        <v/>
      </c>
      <c r="AK327" s="33">
        <f>IF(C327="","",X327&amp;"|"&amp;A327)</f>
        <v/>
      </c>
      <c r="AL327" s="47">
        <f>IF(C327="",0,IF(COUNTIFS(VC_cle,AK327)=0,0,MAX(INDEX((VC_cle=AK327)*(VC_date+ROW(VC_date)/100000),0))))</f>
        <v/>
      </c>
      <c r="AM327" s="47">
        <f>IF(AND(C327&lt;&gt;"",N(AB327)&gt;0,D327&lt;&gt;"Perdu"),AB327+ROW()/100000,0)</f>
        <v/>
      </c>
      <c r="AN327" s="48">
        <f>IF(N(AF327)&gt;0,ROUND(AF327,0)+ROW()/1000000,0)</f>
        <v/>
      </c>
    </row>
    <row r="328" ht="18" customHeight="1">
      <c r="A328" s="39" t="n">
        <v>323</v>
      </c>
      <c r="B328" s="33">
        <f>IF(C328="","",IF(X328="À RENSEIGNER","GIC",X328)&amp;"-"&amp;TEXT(A328,"000"))</f>
        <v/>
      </c>
      <c r="C328" s="36" t="n"/>
      <c r="D328" s="34">
        <f>IF(C328="","",IF(U328="☑ Oui","Perdu",IF(AD328&lt;&gt;"","Client","Prospect")))</f>
        <v/>
      </c>
      <c r="E328" s="36" t="n"/>
      <c r="F328" s="36" t="n"/>
      <c r="G328" s="44" t="n"/>
      <c r="H328" s="44" t="n"/>
      <c r="I328" s="36" t="n"/>
      <c r="J328" s="36" t="n"/>
      <c r="K328" s="41" t="n"/>
      <c r="L328" s="41" t="n"/>
      <c r="M328" s="36" t="n"/>
      <c r="N328" s="36" t="n"/>
      <c r="O328" s="32" t="n"/>
      <c r="P328" s="36" t="n"/>
      <c r="Q328" s="36" t="n"/>
      <c r="R328" s="34">
        <f>IF(P328="","",IFERROR(VLOOKUP(P328,T_Produits,2,FALSE),""))</f>
        <v/>
      </c>
      <c r="S328" s="36" t="n"/>
      <c r="T328" s="43" t="n"/>
      <c r="U328" s="43" t="n"/>
      <c r="V328" s="36" t="n"/>
      <c r="W328" s="36" t="n"/>
      <c r="X328" s="33">
        <f>IF(C328="","",Commercial_Id)</f>
        <v/>
      </c>
      <c r="Y328" s="33">
        <f>IF(E328="","",IF(E328="Particulier / ménage","Particulier","Entreprise"))</f>
        <v/>
      </c>
      <c r="Z328" s="39">
        <f>IF(C328="","",COUNTIFS(VC_cle,AK328,VC_type,"Visite sur place"))</f>
        <v/>
      </c>
      <c r="AA328" s="46">
        <f>IF(AL328=0,"",IF(INT(AL328)=0,"",INT(AL328)))</f>
        <v/>
      </c>
      <c r="AB328" s="46">
        <f>IF(AL328=0,"",IF(INDEX(VC_actiondate,ROUND(MOD(AL328,1)*100000,0)-5)=0,"",INDEX(VC_actiondate,ROUND(MOD(AL328,1)*100000,0)-5)))</f>
        <v/>
      </c>
      <c r="AC328" s="33">
        <f>IF(AL328=0,"",INDEX(VC_actiontexte,ROUND(MOD(AL328,1)*100000,0)-5)&amp;"")</f>
        <v/>
      </c>
      <c r="AD328" s="46">
        <f>IF(C328="","",IF(COUNTIFS(Cmd_cle,AK328,Cmd_dateca,"&gt;0")=0,"",SMALL(INDEX(Cmd_dateca+(((Cmd_cle&lt;&gt;AK328)+(Cmd_dateca=0))&gt;0)*1000000,0),1)))</f>
        <v/>
      </c>
      <c r="AE328" s="46">
        <f>IF(C328="","",IF(COUNTIFS(Cmd_cle,AK328,Cmd_dateca,"&gt;0")=0,"",MAX(INDEX((Cmd_cle=AK328)*Cmd_dateca,0))))</f>
        <v/>
      </c>
      <c r="AF328" s="40">
        <f>IF(C328="","",SUMIFS(Cmd_montant,Cmd_cle,AK328,Cmd_dateca,"&gt;0"))</f>
        <v/>
      </c>
      <c r="AG328" s="40">
        <f>IF(C328="","",SUMIFS(Enc_montant,Enc_cle,AK328))</f>
        <v/>
      </c>
      <c r="AH328" s="40">
        <f>IF(C328="","",AF328-AG328)</f>
        <v/>
      </c>
      <c r="AI328" s="33">
        <f>IF(C328="","",IF(D328="Perdu","",IF(AND(AB328&lt;&gt;"",N(AB328)&lt;TODAY()),"Action en retard",IF(AND(D328="Client",AE328&lt;&gt;"",TODAY()-N(AE328)&gt;P_JoursInactif),"Client inactif",IF(AND(D328="Prospect",Z328=0,O328&lt;&gt;"",TODAY()-N(O328)&gt;P_JoursNonVisite),"Jamais visité","")))))</f>
        <v/>
      </c>
      <c r="AJ328" s="33">
        <f>IF(C328="","",C328&amp;" ["&amp;TEXT(A328,"000")&amp;"]")</f>
        <v/>
      </c>
      <c r="AK328" s="33">
        <f>IF(C328="","",X328&amp;"|"&amp;A328)</f>
        <v/>
      </c>
      <c r="AL328" s="47">
        <f>IF(C328="",0,IF(COUNTIFS(VC_cle,AK328)=0,0,MAX(INDEX((VC_cle=AK328)*(VC_date+ROW(VC_date)/100000),0))))</f>
        <v/>
      </c>
      <c r="AM328" s="47">
        <f>IF(AND(C328&lt;&gt;"",N(AB328)&gt;0,D328&lt;&gt;"Perdu"),AB328+ROW()/100000,0)</f>
        <v/>
      </c>
      <c r="AN328" s="48">
        <f>IF(N(AF328)&gt;0,ROUND(AF328,0)+ROW()/1000000,0)</f>
        <v/>
      </c>
    </row>
    <row r="329" ht="18" customHeight="1">
      <c r="A329" s="39" t="n">
        <v>324</v>
      </c>
      <c r="B329" s="33">
        <f>IF(C329="","",IF(X329="À RENSEIGNER","GIC",X329)&amp;"-"&amp;TEXT(A329,"000"))</f>
        <v/>
      </c>
      <c r="C329" s="36" t="n"/>
      <c r="D329" s="34">
        <f>IF(C329="","",IF(U329="☑ Oui","Perdu",IF(AD329&lt;&gt;"","Client","Prospect")))</f>
        <v/>
      </c>
      <c r="E329" s="36" t="n"/>
      <c r="F329" s="36" t="n"/>
      <c r="G329" s="44" t="n"/>
      <c r="H329" s="44" t="n"/>
      <c r="I329" s="36" t="n"/>
      <c r="J329" s="36" t="n"/>
      <c r="K329" s="41" t="n"/>
      <c r="L329" s="41" t="n"/>
      <c r="M329" s="36" t="n"/>
      <c r="N329" s="36" t="n"/>
      <c r="O329" s="32" t="n"/>
      <c r="P329" s="36" t="n"/>
      <c r="Q329" s="36" t="n"/>
      <c r="R329" s="34">
        <f>IF(P329="","",IFERROR(VLOOKUP(P329,T_Produits,2,FALSE),""))</f>
        <v/>
      </c>
      <c r="S329" s="36" t="n"/>
      <c r="T329" s="43" t="n"/>
      <c r="U329" s="43" t="n"/>
      <c r="V329" s="36" t="n"/>
      <c r="W329" s="36" t="n"/>
      <c r="X329" s="33">
        <f>IF(C329="","",Commercial_Id)</f>
        <v/>
      </c>
      <c r="Y329" s="33">
        <f>IF(E329="","",IF(E329="Particulier / ménage","Particulier","Entreprise"))</f>
        <v/>
      </c>
      <c r="Z329" s="39">
        <f>IF(C329="","",COUNTIFS(VC_cle,AK329,VC_type,"Visite sur place"))</f>
        <v/>
      </c>
      <c r="AA329" s="46">
        <f>IF(AL329=0,"",IF(INT(AL329)=0,"",INT(AL329)))</f>
        <v/>
      </c>
      <c r="AB329" s="46">
        <f>IF(AL329=0,"",IF(INDEX(VC_actiondate,ROUND(MOD(AL329,1)*100000,0)-5)=0,"",INDEX(VC_actiondate,ROUND(MOD(AL329,1)*100000,0)-5)))</f>
        <v/>
      </c>
      <c r="AC329" s="33">
        <f>IF(AL329=0,"",INDEX(VC_actiontexte,ROUND(MOD(AL329,1)*100000,0)-5)&amp;"")</f>
        <v/>
      </c>
      <c r="AD329" s="46">
        <f>IF(C329="","",IF(COUNTIFS(Cmd_cle,AK329,Cmd_dateca,"&gt;0")=0,"",SMALL(INDEX(Cmd_dateca+(((Cmd_cle&lt;&gt;AK329)+(Cmd_dateca=0))&gt;0)*1000000,0),1)))</f>
        <v/>
      </c>
      <c r="AE329" s="46">
        <f>IF(C329="","",IF(COUNTIFS(Cmd_cle,AK329,Cmd_dateca,"&gt;0")=0,"",MAX(INDEX((Cmd_cle=AK329)*Cmd_dateca,0))))</f>
        <v/>
      </c>
      <c r="AF329" s="40">
        <f>IF(C329="","",SUMIFS(Cmd_montant,Cmd_cle,AK329,Cmd_dateca,"&gt;0"))</f>
        <v/>
      </c>
      <c r="AG329" s="40">
        <f>IF(C329="","",SUMIFS(Enc_montant,Enc_cle,AK329))</f>
        <v/>
      </c>
      <c r="AH329" s="40">
        <f>IF(C329="","",AF329-AG329)</f>
        <v/>
      </c>
      <c r="AI329" s="33">
        <f>IF(C329="","",IF(D329="Perdu","",IF(AND(AB329&lt;&gt;"",N(AB329)&lt;TODAY()),"Action en retard",IF(AND(D329="Client",AE329&lt;&gt;"",TODAY()-N(AE329)&gt;P_JoursInactif),"Client inactif",IF(AND(D329="Prospect",Z329=0,O329&lt;&gt;"",TODAY()-N(O329)&gt;P_JoursNonVisite),"Jamais visité","")))))</f>
        <v/>
      </c>
      <c r="AJ329" s="33">
        <f>IF(C329="","",C329&amp;" ["&amp;TEXT(A329,"000")&amp;"]")</f>
        <v/>
      </c>
      <c r="AK329" s="33">
        <f>IF(C329="","",X329&amp;"|"&amp;A329)</f>
        <v/>
      </c>
      <c r="AL329" s="47">
        <f>IF(C329="",0,IF(COUNTIFS(VC_cle,AK329)=0,0,MAX(INDEX((VC_cle=AK329)*(VC_date+ROW(VC_date)/100000),0))))</f>
        <v/>
      </c>
      <c r="AM329" s="47">
        <f>IF(AND(C329&lt;&gt;"",N(AB329)&gt;0,D329&lt;&gt;"Perdu"),AB329+ROW()/100000,0)</f>
        <v/>
      </c>
      <c r="AN329" s="48">
        <f>IF(N(AF329)&gt;0,ROUND(AF329,0)+ROW()/1000000,0)</f>
        <v/>
      </c>
    </row>
    <row r="330" ht="18" customHeight="1">
      <c r="A330" s="39" t="n">
        <v>325</v>
      </c>
      <c r="B330" s="33">
        <f>IF(C330="","",IF(X330="À RENSEIGNER","GIC",X330)&amp;"-"&amp;TEXT(A330,"000"))</f>
        <v/>
      </c>
      <c r="C330" s="36" t="n"/>
      <c r="D330" s="34">
        <f>IF(C330="","",IF(U330="☑ Oui","Perdu",IF(AD330&lt;&gt;"","Client","Prospect")))</f>
        <v/>
      </c>
      <c r="E330" s="36" t="n"/>
      <c r="F330" s="36" t="n"/>
      <c r="G330" s="44" t="n"/>
      <c r="H330" s="44" t="n"/>
      <c r="I330" s="36" t="n"/>
      <c r="J330" s="36" t="n"/>
      <c r="K330" s="41" t="n"/>
      <c r="L330" s="41" t="n"/>
      <c r="M330" s="36" t="n"/>
      <c r="N330" s="36" t="n"/>
      <c r="O330" s="32" t="n"/>
      <c r="P330" s="36" t="n"/>
      <c r="Q330" s="36" t="n"/>
      <c r="R330" s="34">
        <f>IF(P330="","",IFERROR(VLOOKUP(P330,T_Produits,2,FALSE),""))</f>
        <v/>
      </c>
      <c r="S330" s="36" t="n"/>
      <c r="T330" s="43" t="n"/>
      <c r="U330" s="43" t="n"/>
      <c r="V330" s="36" t="n"/>
      <c r="W330" s="36" t="n"/>
      <c r="X330" s="33">
        <f>IF(C330="","",Commercial_Id)</f>
        <v/>
      </c>
      <c r="Y330" s="33">
        <f>IF(E330="","",IF(E330="Particulier / ménage","Particulier","Entreprise"))</f>
        <v/>
      </c>
      <c r="Z330" s="39">
        <f>IF(C330="","",COUNTIFS(VC_cle,AK330,VC_type,"Visite sur place"))</f>
        <v/>
      </c>
      <c r="AA330" s="46">
        <f>IF(AL330=0,"",IF(INT(AL330)=0,"",INT(AL330)))</f>
        <v/>
      </c>
      <c r="AB330" s="46">
        <f>IF(AL330=0,"",IF(INDEX(VC_actiondate,ROUND(MOD(AL330,1)*100000,0)-5)=0,"",INDEX(VC_actiondate,ROUND(MOD(AL330,1)*100000,0)-5)))</f>
        <v/>
      </c>
      <c r="AC330" s="33">
        <f>IF(AL330=0,"",INDEX(VC_actiontexte,ROUND(MOD(AL330,1)*100000,0)-5)&amp;"")</f>
        <v/>
      </c>
      <c r="AD330" s="46">
        <f>IF(C330="","",IF(COUNTIFS(Cmd_cle,AK330,Cmd_dateca,"&gt;0")=0,"",SMALL(INDEX(Cmd_dateca+(((Cmd_cle&lt;&gt;AK330)+(Cmd_dateca=0))&gt;0)*1000000,0),1)))</f>
        <v/>
      </c>
      <c r="AE330" s="46">
        <f>IF(C330="","",IF(COUNTIFS(Cmd_cle,AK330,Cmd_dateca,"&gt;0")=0,"",MAX(INDEX((Cmd_cle=AK330)*Cmd_dateca,0))))</f>
        <v/>
      </c>
      <c r="AF330" s="40">
        <f>IF(C330="","",SUMIFS(Cmd_montant,Cmd_cle,AK330,Cmd_dateca,"&gt;0"))</f>
        <v/>
      </c>
      <c r="AG330" s="40">
        <f>IF(C330="","",SUMIFS(Enc_montant,Enc_cle,AK330))</f>
        <v/>
      </c>
      <c r="AH330" s="40">
        <f>IF(C330="","",AF330-AG330)</f>
        <v/>
      </c>
      <c r="AI330" s="33">
        <f>IF(C330="","",IF(D330="Perdu","",IF(AND(AB330&lt;&gt;"",N(AB330)&lt;TODAY()),"Action en retard",IF(AND(D330="Client",AE330&lt;&gt;"",TODAY()-N(AE330)&gt;P_JoursInactif),"Client inactif",IF(AND(D330="Prospect",Z330=0,O330&lt;&gt;"",TODAY()-N(O330)&gt;P_JoursNonVisite),"Jamais visité","")))))</f>
        <v/>
      </c>
      <c r="AJ330" s="33">
        <f>IF(C330="","",C330&amp;" ["&amp;TEXT(A330,"000")&amp;"]")</f>
        <v/>
      </c>
      <c r="AK330" s="33">
        <f>IF(C330="","",X330&amp;"|"&amp;A330)</f>
        <v/>
      </c>
      <c r="AL330" s="47">
        <f>IF(C330="",0,IF(COUNTIFS(VC_cle,AK330)=0,0,MAX(INDEX((VC_cle=AK330)*(VC_date+ROW(VC_date)/100000),0))))</f>
        <v/>
      </c>
      <c r="AM330" s="47">
        <f>IF(AND(C330&lt;&gt;"",N(AB330)&gt;0,D330&lt;&gt;"Perdu"),AB330+ROW()/100000,0)</f>
        <v/>
      </c>
      <c r="AN330" s="48">
        <f>IF(N(AF330)&gt;0,ROUND(AF330,0)+ROW()/1000000,0)</f>
        <v/>
      </c>
    </row>
    <row r="331" ht="18" customHeight="1">
      <c r="A331" s="39" t="n">
        <v>326</v>
      </c>
      <c r="B331" s="33">
        <f>IF(C331="","",IF(X331="À RENSEIGNER","GIC",X331)&amp;"-"&amp;TEXT(A331,"000"))</f>
        <v/>
      </c>
      <c r="C331" s="36" t="n"/>
      <c r="D331" s="34">
        <f>IF(C331="","",IF(U331="☑ Oui","Perdu",IF(AD331&lt;&gt;"","Client","Prospect")))</f>
        <v/>
      </c>
      <c r="E331" s="36" t="n"/>
      <c r="F331" s="36" t="n"/>
      <c r="G331" s="44" t="n"/>
      <c r="H331" s="44" t="n"/>
      <c r="I331" s="36" t="n"/>
      <c r="J331" s="36" t="n"/>
      <c r="K331" s="41" t="n"/>
      <c r="L331" s="41" t="n"/>
      <c r="M331" s="36" t="n"/>
      <c r="N331" s="36" t="n"/>
      <c r="O331" s="32" t="n"/>
      <c r="P331" s="36" t="n"/>
      <c r="Q331" s="36" t="n"/>
      <c r="R331" s="34">
        <f>IF(P331="","",IFERROR(VLOOKUP(P331,T_Produits,2,FALSE),""))</f>
        <v/>
      </c>
      <c r="S331" s="36" t="n"/>
      <c r="T331" s="43" t="n"/>
      <c r="U331" s="43" t="n"/>
      <c r="V331" s="36" t="n"/>
      <c r="W331" s="36" t="n"/>
      <c r="X331" s="33">
        <f>IF(C331="","",Commercial_Id)</f>
        <v/>
      </c>
      <c r="Y331" s="33">
        <f>IF(E331="","",IF(E331="Particulier / ménage","Particulier","Entreprise"))</f>
        <v/>
      </c>
      <c r="Z331" s="39">
        <f>IF(C331="","",COUNTIFS(VC_cle,AK331,VC_type,"Visite sur place"))</f>
        <v/>
      </c>
      <c r="AA331" s="46">
        <f>IF(AL331=0,"",IF(INT(AL331)=0,"",INT(AL331)))</f>
        <v/>
      </c>
      <c r="AB331" s="46">
        <f>IF(AL331=0,"",IF(INDEX(VC_actiondate,ROUND(MOD(AL331,1)*100000,0)-5)=0,"",INDEX(VC_actiondate,ROUND(MOD(AL331,1)*100000,0)-5)))</f>
        <v/>
      </c>
      <c r="AC331" s="33">
        <f>IF(AL331=0,"",INDEX(VC_actiontexte,ROUND(MOD(AL331,1)*100000,0)-5)&amp;"")</f>
        <v/>
      </c>
      <c r="AD331" s="46">
        <f>IF(C331="","",IF(COUNTIFS(Cmd_cle,AK331,Cmd_dateca,"&gt;0")=0,"",SMALL(INDEX(Cmd_dateca+(((Cmd_cle&lt;&gt;AK331)+(Cmd_dateca=0))&gt;0)*1000000,0),1)))</f>
        <v/>
      </c>
      <c r="AE331" s="46">
        <f>IF(C331="","",IF(COUNTIFS(Cmd_cle,AK331,Cmd_dateca,"&gt;0")=0,"",MAX(INDEX((Cmd_cle=AK331)*Cmd_dateca,0))))</f>
        <v/>
      </c>
      <c r="AF331" s="40">
        <f>IF(C331="","",SUMIFS(Cmd_montant,Cmd_cle,AK331,Cmd_dateca,"&gt;0"))</f>
        <v/>
      </c>
      <c r="AG331" s="40">
        <f>IF(C331="","",SUMIFS(Enc_montant,Enc_cle,AK331))</f>
        <v/>
      </c>
      <c r="AH331" s="40">
        <f>IF(C331="","",AF331-AG331)</f>
        <v/>
      </c>
      <c r="AI331" s="33">
        <f>IF(C331="","",IF(D331="Perdu","",IF(AND(AB331&lt;&gt;"",N(AB331)&lt;TODAY()),"Action en retard",IF(AND(D331="Client",AE331&lt;&gt;"",TODAY()-N(AE331)&gt;P_JoursInactif),"Client inactif",IF(AND(D331="Prospect",Z331=0,O331&lt;&gt;"",TODAY()-N(O331)&gt;P_JoursNonVisite),"Jamais visité","")))))</f>
        <v/>
      </c>
      <c r="AJ331" s="33">
        <f>IF(C331="","",C331&amp;" ["&amp;TEXT(A331,"000")&amp;"]")</f>
        <v/>
      </c>
      <c r="AK331" s="33">
        <f>IF(C331="","",X331&amp;"|"&amp;A331)</f>
        <v/>
      </c>
      <c r="AL331" s="47">
        <f>IF(C331="",0,IF(COUNTIFS(VC_cle,AK331)=0,0,MAX(INDEX((VC_cle=AK331)*(VC_date+ROW(VC_date)/100000),0))))</f>
        <v/>
      </c>
      <c r="AM331" s="47">
        <f>IF(AND(C331&lt;&gt;"",N(AB331)&gt;0,D331&lt;&gt;"Perdu"),AB331+ROW()/100000,0)</f>
        <v/>
      </c>
      <c r="AN331" s="48">
        <f>IF(N(AF331)&gt;0,ROUND(AF331,0)+ROW()/1000000,0)</f>
        <v/>
      </c>
    </row>
    <row r="332" ht="18" customHeight="1">
      <c r="A332" s="39" t="n">
        <v>327</v>
      </c>
      <c r="B332" s="33">
        <f>IF(C332="","",IF(X332="À RENSEIGNER","GIC",X332)&amp;"-"&amp;TEXT(A332,"000"))</f>
        <v/>
      </c>
      <c r="C332" s="36" t="n"/>
      <c r="D332" s="34">
        <f>IF(C332="","",IF(U332="☑ Oui","Perdu",IF(AD332&lt;&gt;"","Client","Prospect")))</f>
        <v/>
      </c>
      <c r="E332" s="36" t="n"/>
      <c r="F332" s="36" t="n"/>
      <c r="G332" s="44" t="n"/>
      <c r="H332" s="44" t="n"/>
      <c r="I332" s="36" t="n"/>
      <c r="J332" s="36" t="n"/>
      <c r="K332" s="41" t="n"/>
      <c r="L332" s="41" t="n"/>
      <c r="M332" s="36" t="n"/>
      <c r="N332" s="36" t="n"/>
      <c r="O332" s="32" t="n"/>
      <c r="P332" s="36" t="n"/>
      <c r="Q332" s="36" t="n"/>
      <c r="R332" s="34">
        <f>IF(P332="","",IFERROR(VLOOKUP(P332,T_Produits,2,FALSE),""))</f>
        <v/>
      </c>
      <c r="S332" s="36" t="n"/>
      <c r="T332" s="43" t="n"/>
      <c r="U332" s="43" t="n"/>
      <c r="V332" s="36" t="n"/>
      <c r="W332" s="36" t="n"/>
      <c r="X332" s="33">
        <f>IF(C332="","",Commercial_Id)</f>
        <v/>
      </c>
      <c r="Y332" s="33">
        <f>IF(E332="","",IF(E332="Particulier / ménage","Particulier","Entreprise"))</f>
        <v/>
      </c>
      <c r="Z332" s="39">
        <f>IF(C332="","",COUNTIFS(VC_cle,AK332,VC_type,"Visite sur place"))</f>
        <v/>
      </c>
      <c r="AA332" s="46">
        <f>IF(AL332=0,"",IF(INT(AL332)=0,"",INT(AL332)))</f>
        <v/>
      </c>
      <c r="AB332" s="46">
        <f>IF(AL332=0,"",IF(INDEX(VC_actiondate,ROUND(MOD(AL332,1)*100000,0)-5)=0,"",INDEX(VC_actiondate,ROUND(MOD(AL332,1)*100000,0)-5)))</f>
        <v/>
      </c>
      <c r="AC332" s="33">
        <f>IF(AL332=0,"",INDEX(VC_actiontexte,ROUND(MOD(AL332,1)*100000,0)-5)&amp;"")</f>
        <v/>
      </c>
      <c r="AD332" s="46">
        <f>IF(C332="","",IF(COUNTIFS(Cmd_cle,AK332,Cmd_dateca,"&gt;0")=0,"",SMALL(INDEX(Cmd_dateca+(((Cmd_cle&lt;&gt;AK332)+(Cmd_dateca=0))&gt;0)*1000000,0),1)))</f>
        <v/>
      </c>
      <c r="AE332" s="46">
        <f>IF(C332="","",IF(COUNTIFS(Cmd_cle,AK332,Cmd_dateca,"&gt;0")=0,"",MAX(INDEX((Cmd_cle=AK332)*Cmd_dateca,0))))</f>
        <v/>
      </c>
      <c r="AF332" s="40">
        <f>IF(C332="","",SUMIFS(Cmd_montant,Cmd_cle,AK332,Cmd_dateca,"&gt;0"))</f>
        <v/>
      </c>
      <c r="AG332" s="40">
        <f>IF(C332="","",SUMIFS(Enc_montant,Enc_cle,AK332))</f>
        <v/>
      </c>
      <c r="AH332" s="40">
        <f>IF(C332="","",AF332-AG332)</f>
        <v/>
      </c>
      <c r="AI332" s="33">
        <f>IF(C332="","",IF(D332="Perdu","",IF(AND(AB332&lt;&gt;"",N(AB332)&lt;TODAY()),"Action en retard",IF(AND(D332="Client",AE332&lt;&gt;"",TODAY()-N(AE332)&gt;P_JoursInactif),"Client inactif",IF(AND(D332="Prospect",Z332=0,O332&lt;&gt;"",TODAY()-N(O332)&gt;P_JoursNonVisite),"Jamais visité","")))))</f>
        <v/>
      </c>
      <c r="AJ332" s="33">
        <f>IF(C332="","",C332&amp;" ["&amp;TEXT(A332,"000")&amp;"]")</f>
        <v/>
      </c>
      <c r="AK332" s="33">
        <f>IF(C332="","",X332&amp;"|"&amp;A332)</f>
        <v/>
      </c>
      <c r="AL332" s="47">
        <f>IF(C332="",0,IF(COUNTIFS(VC_cle,AK332)=0,0,MAX(INDEX((VC_cle=AK332)*(VC_date+ROW(VC_date)/100000),0))))</f>
        <v/>
      </c>
      <c r="AM332" s="47">
        <f>IF(AND(C332&lt;&gt;"",N(AB332)&gt;0,D332&lt;&gt;"Perdu"),AB332+ROW()/100000,0)</f>
        <v/>
      </c>
      <c r="AN332" s="48">
        <f>IF(N(AF332)&gt;0,ROUND(AF332,0)+ROW()/1000000,0)</f>
        <v/>
      </c>
    </row>
    <row r="333" ht="18" customHeight="1">
      <c r="A333" s="39" t="n">
        <v>328</v>
      </c>
      <c r="B333" s="33">
        <f>IF(C333="","",IF(X333="À RENSEIGNER","GIC",X333)&amp;"-"&amp;TEXT(A333,"000"))</f>
        <v/>
      </c>
      <c r="C333" s="36" t="n"/>
      <c r="D333" s="34">
        <f>IF(C333="","",IF(U333="☑ Oui","Perdu",IF(AD333&lt;&gt;"","Client","Prospect")))</f>
        <v/>
      </c>
      <c r="E333" s="36" t="n"/>
      <c r="F333" s="36" t="n"/>
      <c r="G333" s="44" t="n"/>
      <c r="H333" s="44" t="n"/>
      <c r="I333" s="36" t="n"/>
      <c r="J333" s="36" t="n"/>
      <c r="K333" s="41" t="n"/>
      <c r="L333" s="41" t="n"/>
      <c r="M333" s="36" t="n"/>
      <c r="N333" s="36" t="n"/>
      <c r="O333" s="32" t="n"/>
      <c r="P333" s="36" t="n"/>
      <c r="Q333" s="36" t="n"/>
      <c r="R333" s="34">
        <f>IF(P333="","",IFERROR(VLOOKUP(P333,T_Produits,2,FALSE),""))</f>
        <v/>
      </c>
      <c r="S333" s="36" t="n"/>
      <c r="T333" s="43" t="n"/>
      <c r="U333" s="43" t="n"/>
      <c r="V333" s="36" t="n"/>
      <c r="W333" s="36" t="n"/>
      <c r="X333" s="33">
        <f>IF(C333="","",Commercial_Id)</f>
        <v/>
      </c>
      <c r="Y333" s="33">
        <f>IF(E333="","",IF(E333="Particulier / ménage","Particulier","Entreprise"))</f>
        <v/>
      </c>
      <c r="Z333" s="39">
        <f>IF(C333="","",COUNTIFS(VC_cle,AK333,VC_type,"Visite sur place"))</f>
        <v/>
      </c>
      <c r="AA333" s="46">
        <f>IF(AL333=0,"",IF(INT(AL333)=0,"",INT(AL333)))</f>
        <v/>
      </c>
      <c r="AB333" s="46">
        <f>IF(AL333=0,"",IF(INDEX(VC_actiondate,ROUND(MOD(AL333,1)*100000,0)-5)=0,"",INDEX(VC_actiondate,ROUND(MOD(AL333,1)*100000,0)-5)))</f>
        <v/>
      </c>
      <c r="AC333" s="33">
        <f>IF(AL333=0,"",INDEX(VC_actiontexte,ROUND(MOD(AL333,1)*100000,0)-5)&amp;"")</f>
        <v/>
      </c>
      <c r="AD333" s="46">
        <f>IF(C333="","",IF(COUNTIFS(Cmd_cle,AK333,Cmd_dateca,"&gt;0")=0,"",SMALL(INDEX(Cmd_dateca+(((Cmd_cle&lt;&gt;AK333)+(Cmd_dateca=0))&gt;0)*1000000,0),1)))</f>
        <v/>
      </c>
      <c r="AE333" s="46">
        <f>IF(C333="","",IF(COUNTIFS(Cmd_cle,AK333,Cmd_dateca,"&gt;0")=0,"",MAX(INDEX((Cmd_cle=AK333)*Cmd_dateca,0))))</f>
        <v/>
      </c>
      <c r="AF333" s="40">
        <f>IF(C333="","",SUMIFS(Cmd_montant,Cmd_cle,AK333,Cmd_dateca,"&gt;0"))</f>
        <v/>
      </c>
      <c r="AG333" s="40">
        <f>IF(C333="","",SUMIFS(Enc_montant,Enc_cle,AK333))</f>
        <v/>
      </c>
      <c r="AH333" s="40">
        <f>IF(C333="","",AF333-AG333)</f>
        <v/>
      </c>
      <c r="AI333" s="33">
        <f>IF(C333="","",IF(D333="Perdu","",IF(AND(AB333&lt;&gt;"",N(AB333)&lt;TODAY()),"Action en retard",IF(AND(D333="Client",AE333&lt;&gt;"",TODAY()-N(AE333)&gt;P_JoursInactif),"Client inactif",IF(AND(D333="Prospect",Z333=0,O333&lt;&gt;"",TODAY()-N(O333)&gt;P_JoursNonVisite),"Jamais visité","")))))</f>
        <v/>
      </c>
      <c r="AJ333" s="33">
        <f>IF(C333="","",C333&amp;" ["&amp;TEXT(A333,"000")&amp;"]")</f>
        <v/>
      </c>
      <c r="AK333" s="33">
        <f>IF(C333="","",X333&amp;"|"&amp;A333)</f>
        <v/>
      </c>
      <c r="AL333" s="47">
        <f>IF(C333="",0,IF(COUNTIFS(VC_cle,AK333)=0,0,MAX(INDEX((VC_cle=AK333)*(VC_date+ROW(VC_date)/100000),0))))</f>
        <v/>
      </c>
      <c r="AM333" s="47">
        <f>IF(AND(C333&lt;&gt;"",N(AB333)&gt;0,D333&lt;&gt;"Perdu"),AB333+ROW()/100000,0)</f>
        <v/>
      </c>
      <c r="AN333" s="48">
        <f>IF(N(AF333)&gt;0,ROUND(AF333,0)+ROW()/1000000,0)</f>
        <v/>
      </c>
    </row>
    <row r="334" ht="18" customHeight="1">
      <c r="A334" s="39" t="n">
        <v>329</v>
      </c>
      <c r="B334" s="33">
        <f>IF(C334="","",IF(X334="À RENSEIGNER","GIC",X334)&amp;"-"&amp;TEXT(A334,"000"))</f>
        <v/>
      </c>
      <c r="C334" s="36" t="n"/>
      <c r="D334" s="34">
        <f>IF(C334="","",IF(U334="☑ Oui","Perdu",IF(AD334&lt;&gt;"","Client","Prospect")))</f>
        <v/>
      </c>
      <c r="E334" s="36" t="n"/>
      <c r="F334" s="36" t="n"/>
      <c r="G334" s="44" t="n"/>
      <c r="H334" s="44" t="n"/>
      <c r="I334" s="36" t="n"/>
      <c r="J334" s="36" t="n"/>
      <c r="K334" s="41" t="n"/>
      <c r="L334" s="41" t="n"/>
      <c r="M334" s="36" t="n"/>
      <c r="N334" s="36" t="n"/>
      <c r="O334" s="32" t="n"/>
      <c r="P334" s="36" t="n"/>
      <c r="Q334" s="36" t="n"/>
      <c r="R334" s="34">
        <f>IF(P334="","",IFERROR(VLOOKUP(P334,T_Produits,2,FALSE),""))</f>
        <v/>
      </c>
      <c r="S334" s="36" t="n"/>
      <c r="T334" s="43" t="n"/>
      <c r="U334" s="43" t="n"/>
      <c r="V334" s="36" t="n"/>
      <c r="W334" s="36" t="n"/>
      <c r="X334" s="33">
        <f>IF(C334="","",Commercial_Id)</f>
        <v/>
      </c>
      <c r="Y334" s="33">
        <f>IF(E334="","",IF(E334="Particulier / ménage","Particulier","Entreprise"))</f>
        <v/>
      </c>
      <c r="Z334" s="39">
        <f>IF(C334="","",COUNTIFS(VC_cle,AK334,VC_type,"Visite sur place"))</f>
        <v/>
      </c>
      <c r="AA334" s="46">
        <f>IF(AL334=0,"",IF(INT(AL334)=0,"",INT(AL334)))</f>
        <v/>
      </c>
      <c r="AB334" s="46">
        <f>IF(AL334=0,"",IF(INDEX(VC_actiondate,ROUND(MOD(AL334,1)*100000,0)-5)=0,"",INDEX(VC_actiondate,ROUND(MOD(AL334,1)*100000,0)-5)))</f>
        <v/>
      </c>
      <c r="AC334" s="33">
        <f>IF(AL334=0,"",INDEX(VC_actiontexte,ROUND(MOD(AL334,1)*100000,0)-5)&amp;"")</f>
        <v/>
      </c>
      <c r="AD334" s="46">
        <f>IF(C334="","",IF(COUNTIFS(Cmd_cle,AK334,Cmd_dateca,"&gt;0")=0,"",SMALL(INDEX(Cmd_dateca+(((Cmd_cle&lt;&gt;AK334)+(Cmd_dateca=0))&gt;0)*1000000,0),1)))</f>
        <v/>
      </c>
      <c r="AE334" s="46">
        <f>IF(C334="","",IF(COUNTIFS(Cmd_cle,AK334,Cmd_dateca,"&gt;0")=0,"",MAX(INDEX((Cmd_cle=AK334)*Cmd_dateca,0))))</f>
        <v/>
      </c>
      <c r="AF334" s="40">
        <f>IF(C334="","",SUMIFS(Cmd_montant,Cmd_cle,AK334,Cmd_dateca,"&gt;0"))</f>
        <v/>
      </c>
      <c r="AG334" s="40">
        <f>IF(C334="","",SUMIFS(Enc_montant,Enc_cle,AK334))</f>
        <v/>
      </c>
      <c r="AH334" s="40">
        <f>IF(C334="","",AF334-AG334)</f>
        <v/>
      </c>
      <c r="AI334" s="33">
        <f>IF(C334="","",IF(D334="Perdu","",IF(AND(AB334&lt;&gt;"",N(AB334)&lt;TODAY()),"Action en retard",IF(AND(D334="Client",AE334&lt;&gt;"",TODAY()-N(AE334)&gt;P_JoursInactif),"Client inactif",IF(AND(D334="Prospect",Z334=0,O334&lt;&gt;"",TODAY()-N(O334)&gt;P_JoursNonVisite),"Jamais visité","")))))</f>
        <v/>
      </c>
      <c r="AJ334" s="33">
        <f>IF(C334="","",C334&amp;" ["&amp;TEXT(A334,"000")&amp;"]")</f>
        <v/>
      </c>
      <c r="AK334" s="33">
        <f>IF(C334="","",X334&amp;"|"&amp;A334)</f>
        <v/>
      </c>
      <c r="AL334" s="47">
        <f>IF(C334="",0,IF(COUNTIFS(VC_cle,AK334)=0,0,MAX(INDEX((VC_cle=AK334)*(VC_date+ROW(VC_date)/100000),0))))</f>
        <v/>
      </c>
      <c r="AM334" s="47">
        <f>IF(AND(C334&lt;&gt;"",N(AB334)&gt;0,D334&lt;&gt;"Perdu"),AB334+ROW()/100000,0)</f>
        <v/>
      </c>
      <c r="AN334" s="48">
        <f>IF(N(AF334)&gt;0,ROUND(AF334,0)+ROW()/1000000,0)</f>
        <v/>
      </c>
    </row>
    <row r="335" ht="18" customHeight="1">
      <c r="A335" s="39" t="n">
        <v>330</v>
      </c>
      <c r="B335" s="33">
        <f>IF(C335="","",IF(X335="À RENSEIGNER","GIC",X335)&amp;"-"&amp;TEXT(A335,"000"))</f>
        <v/>
      </c>
      <c r="C335" s="36" t="n"/>
      <c r="D335" s="34">
        <f>IF(C335="","",IF(U335="☑ Oui","Perdu",IF(AD335&lt;&gt;"","Client","Prospect")))</f>
        <v/>
      </c>
      <c r="E335" s="36" t="n"/>
      <c r="F335" s="36" t="n"/>
      <c r="G335" s="44" t="n"/>
      <c r="H335" s="44" t="n"/>
      <c r="I335" s="36" t="n"/>
      <c r="J335" s="36" t="n"/>
      <c r="K335" s="41" t="n"/>
      <c r="L335" s="41" t="n"/>
      <c r="M335" s="36" t="n"/>
      <c r="N335" s="36" t="n"/>
      <c r="O335" s="32" t="n"/>
      <c r="P335" s="36" t="n"/>
      <c r="Q335" s="36" t="n"/>
      <c r="R335" s="34">
        <f>IF(P335="","",IFERROR(VLOOKUP(P335,T_Produits,2,FALSE),""))</f>
        <v/>
      </c>
      <c r="S335" s="36" t="n"/>
      <c r="T335" s="43" t="n"/>
      <c r="U335" s="43" t="n"/>
      <c r="V335" s="36" t="n"/>
      <c r="W335" s="36" t="n"/>
      <c r="X335" s="33">
        <f>IF(C335="","",Commercial_Id)</f>
        <v/>
      </c>
      <c r="Y335" s="33">
        <f>IF(E335="","",IF(E335="Particulier / ménage","Particulier","Entreprise"))</f>
        <v/>
      </c>
      <c r="Z335" s="39">
        <f>IF(C335="","",COUNTIFS(VC_cle,AK335,VC_type,"Visite sur place"))</f>
        <v/>
      </c>
      <c r="AA335" s="46">
        <f>IF(AL335=0,"",IF(INT(AL335)=0,"",INT(AL335)))</f>
        <v/>
      </c>
      <c r="AB335" s="46">
        <f>IF(AL335=0,"",IF(INDEX(VC_actiondate,ROUND(MOD(AL335,1)*100000,0)-5)=0,"",INDEX(VC_actiondate,ROUND(MOD(AL335,1)*100000,0)-5)))</f>
        <v/>
      </c>
      <c r="AC335" s="33">
        <f>IF(AL335=0,"",INDEX(VC_actiontexte,ROUND(MOD(AL335,1)*100000,0)-5)&amp;"")</f>
        <v/>
      </c>
      <c r="AD335" s="46">
        <f>IF(C335="","",IF(COUNTIFS(Cmd_cle,AK335,Cmd_dateca,"&gt;0")=0,"",SMALL(INDEX(Cmd_dateca+(((Cmd_cle&lt;&gt;AK335)+(Cmd_dateca=0))&gt;0)*1000000,0),1)))</f>
        <v/>
      </c>
      <c r="AE335" s="46">
        <f>IF(C335="","",IF(COUNTIFS(Cmd_cle,AK335,Cmd_dateca,"&gt;0")=0,"",MAX(INDEX((Cmd_cle=AK335)*Cmd_dateca,0))))</f>
        <v/>
      </c>
      <c r="AF335" s="40">
        <f>IF(C335="","",SUMIFS(Cmd_montant,Cmd_cle,AK335,Cmd_dateca,"&gt;0"))</f>
        <v/>
      </c>
      <c r="AG335" s="40">
        <f>IF(C335="","",SUMIFS(Enc_montant,Enc_cle,AK335))</f>
        <v/>
      </c>
      <c r="AH335" s="40">
        <f>IF(C335="","",AF335-AG335)</f>
        <v/>
      </c>
      <c r="AI335" s="33">
        <f>IF(C335="","",IF(D335="Perdu","",IF(AND(AB335&lt;&gt;"",N(AB335)&lt;TODAY()),"Action en retard",IF(AND(D335="Client",AE335&lt;&gt;"",TODAY()-N(AE335)&gt;P_JoursInactif),"Client inactif",IF(AND(D335="Prospect",Z335=0,O335&lt;&gt;"",TODAY()-N(O335)&gt;P_JoursNonVisite),"Jamais visité","")))))</f>
        <v/>
      </c>
      <c r="AJ335" s="33">
        <f>IF(C335="","",C335&amp;" ["&amp;TEXT(A335,"000")&amp;"]")</f>
        <v/>
      </c>
      <c r="AK335" s="33">
        <f>IF(C335="","",X335&amp;"|"&amp;A335)</f>
        <v/>
      </c>
      <c r="AL335" s="47">
        <f>IF(C335="",0,IF(COUNTIFS(VC_cle,AK335)=0,0,MAX(INDEX((VC_cle=AK335)*(VC_date+ROW(VC_date)/100000),0))))</f>
        <v/>
      </c>
      <c r="AM335" s="47">
        <f>IF(AND(C335&lt;&gt;"",N(AB335)&gt;0,D335&lt;&gt;"Perdu"),AB335+ROW()/100000,0)</f>
        <v/>
      </c>
      <c r="AN335" s="48">
        <f>IF(N(AF335)&gt;0,ROUND(AF335,0)+ROW()/1000000,0)</f>
        <v/>
      </c>
    </row>
    <row r="336" ht="18" customHeight="1">
      <c r="A336" s="39" t="n">
        <v>331</v>
      </c>
      <c r="B336" s="33">
        <f>IF(C336="","",IF(X336="À RENSEIGNER","GIC",X336)&amp;"-"&amp;TEXT(A336,"000"))</f>
        <v/>
      </c>
      <c r="C336" s="36" t="n"/>
      <c r="D336" s="34">
        <f>IF(C336="","",IF(U336="☑ Oui","Perdu",IF(AD336&lt;&gt;"","Client","Prospect")))</f>
        <v/>
      </c>
      <c r="E336" s="36" t="n"/>
      <c r="F336" s="36" t="n"/>
      <c r="G336" s="44" t="n"/>
      <c r="H336" s="44" t="n"/>
      <c r="I336" s="36" t="n"/>
      <c r="J336" s="36" t="n"/>
      <c r="K336" s="41" t="n"/>
      <c r="L336" s="41" t="n"/>
      <c r="M336" s="36" t="n"/>
      <c r="N336" s="36" t="n"/>
      <c r="O336" s="32" t="n"/>
      <c r="P336" s="36" t="n"/>
      <c r="Q336" s="36" t="n"/>
      <c r="R336" s="34">
        <f>IF(P336="","",IFERROR(VLOOKUP(P336,T_Produits,2,FALSE),""))</f>
        <v/>
      </c>
      <c r="S336" s="36" t="n"/>
      <c r="T336" s="43" t="n"/>
      <c r="U336" s="43" t="n"/>
      <c r="V336" s="36" t="n"/>
      <c r="W336" s="36" t="n"/>
      <c r="X336" s="33">
        <f>IF(C336="","",Commercial_Id)</f>
        <v/>
      </c>
      <c r="Y336" s="33">
        <f>IF(E336="","",IF(E336="Particulier / ménage","Particulier","Entreprise"))</f>
        <v/>
      </c>
      <c r="Z336" s="39">
        <f>IF(C336="","",COUNTIFS(VC_cle,AK336,VC_type,"Visite sur place"))</f>
        <v/>
      </c>
      <c r="AA336" s="46">
        <f>IF(AL336=0,"",IF(INT(AL336)=0,"",INT(AL336)))</f>
        <v/>
      </c>
      <c r="AB336" s="46">
        <f>IF(AL336=0,"",IF(INDEX(VC_actiondate,ROUND(MOD(AL336,1)*100000,0)-5)=0,"",INDEX(VC_actiondate,ROUND(MOD(AL336,1)*100000,0)-5)))</f>
        <v/>
      </c>
      <c r="AC336" s="33">
        <f>IF(AL336=0,"",INDEX(VC_actiontexte,ROUND(MOD(AL336,1)*100000,0)-5)&amp;"")</f>
        <v/>
      </c>
      <c r="AD336" s="46">
        <f>IF(C336="","",IF(COUNTIFS(Cmd_cle,AK336,Cmd_dateca,"&gt;0")=0,"",SMALL(INDEX(Cmd_dateca+(((Cmd_cle&lt;&gt;AK336)+(Cmd_dateca=0))&gt;0)*1000000,0),1)))</f>
        <v/>
      </c>
      <c r="AE336" s="46">
        <f>IF(C336="","",IF(COUNTIFS(Cmd_cle,AK336,Cmd_dateca,"&gt;0")=0,"",MAX(INDEX((Cmd_cle=AK336)*Cmd_dateca,0))))</f>
        <v/>
      </c>
      <c r="AF336" s="40">
        <f>IF(C336="","",SUMIFS(Cmd_montant,Cmd_cle,AK336,Cmd_dateca,"&gt;0"))</f>
        <v/>
      </c>
      <c r="AG336" s="40">
        <f>IF(C336="","",SUMIFS(Enc_montant,Enc_cle,AK336))</f>
        <v/>
      </c>
      <c r="AH336" s="40">
        <f>IF(C336="","",AF336-AG336)</f>
        <v/>
      </c>
      <c r="AI336" s="33">
        <f>IF(C336="","",IF(D336="Perdu","",IF(AND(AB336&lt;&gt;"",N(AB336)&lt;TODAY()),"Action en retard",IF(AND(D336="Client",AE336&lt;&gt;"",TODAY()-N(AE336)&gt;P_JoursInactif),"Client inactif",IF(AND(D336="Prospect",Z336=0,O336&lt;&gt;"",TODAY()-N(O336)&gt;P_JoursNonVisite),"Jamais visité","")))))</f>
        <v/>
      </c>
      <c r="AJ336" s="33">
        <f>IF(C336="","",C336&amp;" ["&amp;TEXT(A336,"000")&amp;"]")</f>
        <v/>
      </c>
      <c r="AK336" s="33">
        <f>IF(C336="","",X336&amp;"|"&amp;A336)</f>
        <v/>
      </c>
      <c r="AL336" s="47">
        <f>IF(C336="",0,IF(COUNTIFS(VC_cle,AK336)=0,0,MAX(INDEX((VC_cle=AK336)*(VC_date+ROW(VC_date)/100000),0))))</f>
        <v/>
      </c>
      <c r="AM336" s="47">
        <f>IF(AND(C336&lt;&gt;"",N(AB336)&gt;0,D336&lt;&gt;"Perdu"),AB336+ROW()/100000,0)</f>
        <v/>
      </c>
      <c r="AN336" s="48">
        <f>IF(N(AF336)&gt;0,ROUND(AF336,0)+ROW()/1000000,0)</f>
        <v/>
      </c>
    </row>
    <row r="337" ht="18" customHeight="1">
      <c r="A337" s="39" t="n">
        <v>332</v>
      </c>
      <c r="B337" s="33">
        <f>IF(C337="","",IF(X337="À RENSEIGNER","GIC",X337)&amp;"-"&amp;TEXT(A337,"000"))</f>
        <v/>
      </c>
      <c r="C337" s="36" t="n"/>
      <c r="D337" s="34">
        <f>IF(C337="","",IF(U337="☑ Oui","Perdu",IF(AD337&lt;&gt;"","Client","Prospect")))</f>
        <v/>
      </c>
      <c r="E337" s="36" t="n"/>
      <c r="F337" s="36" t="n"/>
      <c r="G337" s="44" t="n"/>
      <c r="H337" s="44" t="n"/>
      <c r="I337" s="36" t="n"/>
      <c r="J337" s="36" t="n"/>
      <c r="K337" s="41" t="n"/>
      <c r="L337" s="41" t="n"/>
      <c r="M337" s="36" t="n"/>
      <c r="N337" s="36" t="n"/>
      <c r="O337" s="32" t="n"/>
      <c r="P337" s="36" t="n"/>
      <c r="Q337" s="36" t="n"/>
      <c r="R337" s="34">
        <f>IF(P337="","",IFERROR(VLOOKUP(P337,T_Produits,2,FALSE),""))</f>
        <v/>
      </c>
      <c r="S337" s="36" t="n"/>
      <c r="T337" s="43" t="n"/>
      <c r="U337" s="43" t="n"/>
      <c r="V337" s="36" t="n"/>
      <c r="W337" s="36" t="n"/>
      <c r="X337" s="33">
        <f>IF(C337="","",Commercial_Id)</f>
        <v/>
      </c>
      <c r="Y337" s="33">
        <f>IF(E337="","",IF(E337="Particulier / ménage","Particulier","Entreprise"))</f>
        <v/>
      </c>
      <c r="Z337" s="39">
        <f>IF(C337="","",COUNTIFS(VC_cle,AK337,VC_type,"Visite sur place"))</f>
        <v/>
      </c>
      <c r="AA337" s="46">
        <f>IF(AL337=0,"",IF(INT(AL337)=0,"",INT(AL337)))</f>
        <v/>
      </c>
      <c r="AB337" s="46">
        <f>IF(AL337=0,"",IF(INDEX(VC_actiondate,ROUND(MOD(AL337,1)*100000,0)-5)=0,"",INDEX(VC_actiondate,ROUND(MOD(AL337,1)*100000,0)-5)))</f>
        <v/>
      </c>
      <c r="AC337" s="33">
        <f>IF(AL337=0,"",INDEX(VC_actiontexte,ROUND(MOD(AL337,1)*100000,0)-5)&amp;"")</f>
        <v/>
      </c>
      <c r="AD337" s="46">
        <f>IF(C337="","",IF(COUNTIFS(Cmd_cle,AK337,Cmd_dateca,"&gt;0")=0,"",SMALL(INDEX(Cmd_dateca+(((Cmd_cle&lt;&gt;AK337)+(Cmd_dateca=0))&gt;0)*1000000,0),1)))</f>
        <v/>
      </c>
      <c r="AE337" s="46">
        <f>IF(C337="","",IF(COUNTIFS(Cmd_cle,AK337,Cmd_dateca,"&gt;0")=0,"",MAX(INDEX((Cmd_cle=AK337)*Cmd_dateca,0))))</f>
        <v/>
      </c>
      <c r="AF337" s="40">
        <f>IF(C337="","",SUMIFS(Cmd_montant,Cmd_cle,AK337,Cmd_dateca,"&gt;0"))</f>
        <v/>
      </c>
      <c r="AG337" s="40">
        <f>IF(C337="","",SUMIFS(Enc_montant,Enc_cle,AK337))</f>
        <v/>
      </c>
      <c r="AH337" s="40">
        <f>IF(C337="","",AF337-AG337)</f>
        <v/>
      </c>
      <c r="AI337" s="33">
        <f>IF(C337="","",IF(D337="Perdu","",IF(AND(AB337&lt;&gt;"",N(AB337)&lt;TODAY()),"Action en retard",IF(AND(D337="Client",AE337&lt;&gt;"",TODAY()-N(AE337)&gt;P_JoursInactif),"Client inactif",IF(AND(D337="Prospect",Z337=0,O337&lt;&gt;"",TODAY()-N(O337)&gt;P_JoursNonVisite),"Jamais visité","")))))</f>
        <v/>
      </c>
      <c r="AJ337" s="33">
        <f>IF(C337="","",C337&amp;" ["&amp;TEXT(A337,"000")&amp;"]")</f>
        <v/>
      </c>
      <c r="AK337" s="33">
        <f>IF(C337="","",X337&amp;"|"&amp;A337)</f>
        <v/>
      </c>
      <c r="AL337" s="47">
        <f>IF(C337="",0,IF(COUNTIFS(VC_cle,AK337)=0,0,MAX(INDEX((VC_cle=AK337)*(VC_date+ROW(VC_date)/100000),0))))</f>
        <v/>
      </c>
      <c r="AM337" s="47">
        <f>IF(AND(C337&lt;&gt;"",N(AB337)&gt;0,D337&lt;&gt;"Perdu"),AB337+ROW()/100000,0)</f>
        <v/>
      </c>
      <c r="AN337" s="48">
        <f>IF(N(AF337)&gt;0,ROUND(AF337,0)+ROW()/1000000,0)</f>
        <v/>
      </c>
    </row>
    <row r="338" ht="18" customHeight="1">
      <c r="A338" s="39" t="n">
        <v>333</v>
      </c>
      <c r="B338" s="33">
        <f>IF(C338="","",IF(X338="À RENSEIGNER","GIC",X338)&amp;"-"&amp;TEXT(A338,"000"))</f>
        <v/>
      </c>
      <c r="C338" s="36" t="n"/>
      <c r="D338" s="34">
        <f>IF(C338="","",IF(U338="☑ Oui","Perdu",IF(AD338&lt;&gt;"","Client","Prospect")))</f>
        <v/>
      </c>
      <c r="E338" s="36" t="n"/>
      <c r="F338" s="36" t="n"/>
      <c r="G338" s="44" t="n"/>
      <c r="H338" s="44" t="n"/>
      <c r="I338" s="36" t="n"/>
      <c r="J338" s="36" t="n"/>
      <c r="K338" s="41" t="n"/>
      <c r="L338" s="41" t="n"/>
      <c r="M338" s="36" t="n"/>
      <c r="N338" s="36" t="n"/>
      <c r="O338" s="32" t="n"/>
      <c r="P338" s="36" t="n"/>
      <c r="Q338" s="36" t="n"/>
      <c r="R338" s="34">
        <f>IF(P338="","",IFERROR(VLOOKUP(P338,T_Produits,2,FALSE),""))</f>
        <v/>
      </c>
      <c r="S338" s="36" t="n"/>
      <c r="T338" s="43" t="n"/>
      <c r="U338" s="43" t="n"/>
      <c r="V338" s="36" t="n"/>
      <c r="W338" s="36" t="n"/>
      <c r="X338" s="33">
        <f>IF(C338="","",Commercial_Id)</f>
        <v/>
      </c>
      <c r="Y338" s="33">
        <f>IF(E338="","",IF(E338="Particulier / ménage","Particulier","Entreprise"))</f>
        <v/>
      </c>
      <c r="Z338" s="39">
        <f>IF(C338="","",COUNTIFS(VC_cle,AK338,VC_type,"Visite sur place"))</f>
        <v/>
      </c>
      <c r="AA338" s="46">
        <f>IF(AL338=0,"",IF(INT(AL338)=0,"",INT(AL338)))</f>
        <v/>
      </c>
      <c r="AB338" s="46">
        <f>IF(AL338=0,"",IF(INDEX(VC_actiondate,ROUND(MOD(AL338,1)*100000,0)-5)=0,"",INDEX(VC_actiondate,ROUND(MOD(AL338,1)*100000,0)-5)))</f>
        <v/>
      </c>
      <c r="AC338" s="33">
        <f>IF(AL338=0,"",INDEX(VC_actiontexte,ROUND(MOD(AL338,1)*100000,0)-5)&amp;"")</f>
        <v/>
      </c>
      <c r="AD338" s="46">
        <f>IF(C338="","",IF(COUNTIFS(Cmd_cle,AK338,Cmd_dateca,"&gt;0")=0,"",SMALL(INDEX(Cmd_dateca+(((Cmd_cle&lt;&gt;AK338)+(Cmd_dateca=0))&gt;0)*1000000,0),1)))</f>
        <v/>
      </c>
      <c r="AE338" s="46">
        <f>IF(C338="","",IF(COUNTIFS(Cmd_cle,AK338,Cmd_dateca,"&gt;0")=0,"",MAX(INDEX((Cmd_cle=AK338)*Cmd_dateca,0))))</f>
        <v/>
      </c>
      <c r="AF338" s="40">
        <f>IF(C338="","",SUMIFS(Cmd_montant,Cmd_cle,AK338,Cmd_dateca,"&gt;0"))</f>
        <v/>
      </c>
      <c r="AG338" s="40">
        <f>IF(C338="","",SUMIFS(Enc_montant,Enc_cle,AK338))</f>
        <v/>
      </c>
      <c r="AH338" s="40">
        <f>IF(C338="","",AF338-AG338)</f>
        <v/>
      </c>
      <c r="AI338" s="33">
        <f>IF(C338="","",IF(D338="Perdu","",IF(AND(AB338&lt;&gt;"",N(AB338)&lt;TODAY()),"Action en retard",IF(AND(D338="Client",AE338&lt;&gt;"",TODAY()-N(AE338)&gt;P_JoursInactif),"Client inactif",IF(AND(D338="Prospect",Z338=0,O338&lt;&gt;"",TODAY()-N(O338)&gt;P_JoursNonVisite),"Jamais visité","")))))</f>
        <v/>
      </c>
      <c r="AJ338" s="33">
        <f>IF(C338="","",C338&amp;" ["&amp;TEXT(A338,"000")&amp;"]")</f>
        <v/>
      </c>
      <c r="AK338" s="33">
        <f>IF(C338="","",X338&amp;"|"&amp;A338)</f>
        <v/>
      </c>
      <c r="AL338" s="47">
        <f>IF(C338="",0,IF(COUNTIFS(VC_cle,AK338)=0,0,MAX(INDEX((VC_cle=AK338)*(VC_date+ROW(VC_date)/100000),0))))</f>
        <v/>
      </c>
      <c r="AM338" s="47">
        <f>IF(AND(C338&lt;&gt;"",N(AB338)&gt;0,D338&lt;&gt;"Perdu"),AB338+ROW()/100000,0)</f>
        <v/>
      </c>
      <c r="AN338" s="48">
        <f>IF(N(AF338)&gt;0,ROUND(AF338,0)+ROW()/1000000,0)</f>
        <v/>
      </c>
    </row>
    <row r="339" ht="18" customHeight="1">
      <c r="A339" s="39" t="n">
        <v>334</v>
      </c>
      <c r="B339" s="33">
        <f>IF(C339="","",IF(X339="À RENSEIGNER","GIC",X339)&amp;"-"&amp;TEXT(A339,"000"))</f>
        <v/>
      </c>
      <c r="C339" s="36" t="n"/>
      <c r="D339" s="34">
        <f>IF(C339="","",IF(U339="☑ Oui","Perdu",IF(AD339&lt;&gt;"","Client","Prospect")))</f>
        <v/>
      </c>
      <c r="E339" s="36" t="n"/>
      <c r="F339" s="36" t="n"/>
      <c r="G339" s="44" t="n"/>
      <c r="H339" s="44" t="n"/>
      <c r="I339" s="36" t="n"/>
      <c r="J339" s="36" t="n"/>
      <c r="K339" s="41" t="n"/>
      <c r="L339" s="41" t="n"/>
      <c r="M339" s="36" t="n"/>
      <c r="N339" s="36" t="n"/>
      <c r="O339" s="32" t="n"/>
      <c r="P339" s="36" t="n"/>
      <c r="Q339" s="36" t="n"/>
      <c r="R339" s="34">
        <f>IF(P339="","",IFERROR(VLOOKUP(P339,T_Produits,2,FALSE),""))</f>
        <v/>
      </c>
      <c r="S339" s="36" t="n"/>
      <c r="T339" s="43" t="n"/>
      <c r="U339" s="43" t="n"/>
      <c r="V339" s="36" t="n"/>
      <c r="W339" s="36" t="n"/>
      <c r="X339" s="33">
        <f>IF(C339="","",Commercial_Id)</f>
        <v/>
      </c>
      <c r="Y339" s="33">
        <f>IF(E339="","",IF(E339="Particulier / ménage","Particulier","Entreprise"))</f>
        <v/>
      </c>
      <c r="Z339" s="39">
        <f>IF(C339="","",COUNTIFS(VC_cle,AK339,VC_type,"Visite sur place"))</f>
        <v/>
      </c>
      <c r="AA339" s="46">
        <f>IF(AL339=0,"",IF(INT(AL339)=0,"",INT(AL339)))</f>
        <v/>
      </c>
      <c r="AB339" s="46">
        <f>IF(AL339=0,"",IF(INDEX(VC_actiondate,ROUND(MOD(AL339,1)*100000,0)-5)=0,"",INDEX(VC_actiondate,ROUND(MOD(AL339,1)*100000,0)-5)))</f>
        <v/>
      </c>
      <c r="AC339" s="33">
        <f>IF(AL339=0,"",INDEX(VC_actiontexte,ROUND(MOD(AL339,1)*100000,0)-5)&amp;"")</f>
        <v/>
      </c>
      <c r="AD339" s="46">
        <f>IF(C339="","",IF(COUNTIFS(Cmd_cle,AK339,Cmd_dateca,"&gt;0")=0,"",SMALL(INDEX(Cmd_dateca+(((Cmd_cle&lt;&gt;AK339)+(Cmd_dateca=0))&gt;0)*1000000,0),1)))</f>
        <v/>
      </c>
      <c r="AE339" s="46">
        <f>IF(C339="","",IF(COUNTIFS(Cmd_cle,AK339,Cmd_dateca,"&gt;0")=0,"",MAX(INDEX((Cmd_cle=AK339)*Cmd_dateca,0))))</f>
        <v/>
      </c>
      <c r="AF339" s="40">
        <f>IF(C339="","",SUMIFS(Cmd_montant,Cmd_cle,AK339,Cmd_dateca,"&gt;0"))</f>
        <v/>
      </c>
      <c r="AG339" s="40">
        <f>IF(C339="","",SUMIFS(Enc_montant,Enc_cle,AK339))</f>
        <v/>
      </c>
      <c r="AH339" s="40">
        <f>IF(C339="","",AF339-AG339)</f>
        <v/>
      </c>
      <c r="AI339" s="33">
        <f>IF(C339="","",IF(D339="Perdu","",IF(AND(AB339&lt;&gt;"",N(AB339)&lt;TODAY()),"Action en retard",IF(AND(D339="Client",AE339&lt;&gt;"",TODAY()-N(AE339)&gt;P_JoursInactif),"Client inactif",IF(AND(D339="Prospect",Z339=0,O339&lt;&gt;"",TODAY()-N(O339)&gt;P_JoursNonVisite),"Jamais visité","")))))</f>
        <v/>
      </c>
      <c r="AJ339" s="33">
        <f>IF(C339="","",C339&amp;" ["&amp;TEXT(A339,"000")&amp;"]")</f>
        <v/>
      </c>
      <c r="AK339" s="33">
        <f>IF(C339="","",X339&amp;"|"&amp;A339)</f>
        <v/>
      </c>
      <c r="AL339" s="47">
        <f>IF(C339="",0,IF(COUNTIFS(VC_cle,AK339)=0,0,MAX(INDEX((VC_cle=AK339)*(VC_date+ROW(VC_date)/100000),0))))</f>
        <v/>
      </c>
      <c r="AM339" s="47">
        <f>IF(AND(C339&lt;&gt;"",N(AB339)&gt;0,D339&lt;&gt;"Perdu"),AB339+ROW()/100000,0)</f>
        <v/>
      </c>
      <c r="AN339" s="48">
        <f>IF(N(AF339)&gt;0,ROUND(AF339,0)+ROW()/1000000,0)</f>
        <v/>
      </c>
    </row>
    <row r="340" ht="18" customHeight="1">
      <c r="A340" s="39" t="n">
        <v>335</v>
      </c>
      <c r="B340" s="33">
        <f>IF(C340="","",IF(X340="À RENSEIGNER","GIC",X340)&amp;"-"&amp;TEXT(A340,"000"))</f>
        <v/>
      </c>
      <c r="C340" s="36" t="n"/>
      <c r="D340" s="34">
        <f>IF(C340="","",IF(U340="☑ Oui","Perdu",IF(AD340&lt;&gt;"","Client","Prospect")))</f>
        <v/>
      </c>
      <c r="E340" s="36" t="n"/>
      <c r="F340" s="36" t="n"/>
      <c r="G340" s="44" t="n"/>
      <c r="H340" s="44" t="n"/>
      <c r="I340" s="36" t="n"/>
      <c r="J340" s="36" t="n"/>
      <c r="K340" s="41" t="n"/>
      <c r="L340" s="41" t="n"/>
      <c r="M340" s="36" t="n"/>
      <c r="N340" s="36" t="n"/>
      <c r="O340" s="32" t="n"/>
      <c r="P340" s="36" t="n"/>
      <c r="Q340" s="36" t="n"/>
      <c r="R340" s="34">
        <f>IF(P340="","",IFERROR(VLOOKUP(P340,T_Produits,2,FALSE),""))</f>
        <v/>
      </c>
      <c r="S340" s="36" t="n"/>
      <c r="T340" s="43" t="n"/>
      <c r="U340" s="43" t="n"/>
      <c r="V340" s="36" t="n"/>
      <c r="W340" s="36" t="n"/>
      <c r="X340" s="33">
        <f>IF(C340="","",Commercial_Id)</f>
        <v/>
      </c>
      <c r="Y340" s="33">
        <f>IF(E340="","",IF(E340="Particulier / ménage","Particulier","Entreprise"))</f>
        <v/>
      </c>
      <c r="Z340" s="39">
        <f>IF(C340="","",COUNTIFS(VC_cle,AK340,VC_type,"Visite sur place"))</f>
        <v/>
      </c>
      <c r="AA340" s="46">
        <f>IF(AL340=0,"",IF(INT(AL340)=0,"",INT(AL340)))</f>
        <v/>
      </c>
      <c r="AB340" s="46">
        <f>IF(AL340=0,"",IF(INDEX(VC_actiondate,ROUND(MOD(AL340,1)*100000,0)-5)=0,"",INDEX(VC_actiondate,ROUND(MOD(AL340,1)*100000,0)-5)))</f>
        <v/>
      </c>
      <c r="AC340" s="33">
        <f>IF(AL340=0,"",INDEX(VC_actiontexte,ROUND(MOD(AL340,1)*100000,0)-5)&amp;"")</f>
        <v/>
      </c>
      <c r="AD340" s="46">
        <f>IF(C340="","",IF(COUNTIFS(Cmd_cle,AK340,Cmd_dateca,"&gt;0")=0,"",SMALL(INDEX(Cmd_dateca+(((Cmd_cle&lt;&gt;AK340)+(Cmd_dateca=0))&gt;0)*1000000,0),1)))</f>
        <v/>
      </c>
      <c r="AE340" s="46">
        <f>IF(C340="","",IF(COUNTIFS(Cmd_cle,AK340,Cmd_dateca,"&gt;0")=0,"",MAX(INDEX((Cmd_cle=AK340)*Cmd_dateca,0))))</f>
        <v/>
      </c>
      <c r="AF340" s="40">
        <f>IF(C340="","",SUMIFS(Cmd_montant,Cmd_cle,AK340,Cmd_dateca,"&gt;0"))</f>
        <v/>
      </c>
      <c r="AG340" s="40">
        <f>IF(C340="","",SUMIFS(Enc_montant,Enc_cle,AK340))</f>
        <v/>
      </c>
      <c r="AH340" s="40">
        <f>IF(C340="","",AF340-AG340)</f>
        <v/>
      </c>
      <c r="AI340" s="33">
        <f>IF(C340="","",IF(D340="Perdu","",IF(AND(AB340&lt;&gt;"",N(AB340)&lt;TODAY()),"Action en retard",IF(AND(D340="Client",AE340&lt;&gt;"",TODAY()-N(AE340)&gt;P_JoursInactif),"Client inactif",IF(AND(D340="Prospect",Z340=0,O340&lt;&gt;"",TODAY()-N(O340)&gt;P_JoursNonVisite),"Jamais visité","")))))</f>
        <v/>
      </c>
      <c r="AJ340" s="33">
        <f>IF(C340="","",C340&amp;" ["&amp;TEXT(A340,"000")&amp;"]")</f>
        <v/>
      </c>
      <c r="AK340" s="33">
        <f>IF(C340="","",X340&amp;"|"&amp;A340)</f>
        <v/>
      </c>
      <c r="AL340" s="47">
        <f>IF(C340="",0,IF(COUNTIFS(VC_cle,AK340)=0,0,MAX(INDEX((VC_cle=AK340)*(VC_date+ROW(VC_date)/100000),0))))</f>
        <v/>
      </c>
      <c r="AM340" s="47">
        <f>IF(AND(C340&lt;&gt;"",N(AB340)&gt;0,D340&lt;&gt;"Perdu"),AB340+ROW()/100000,0)</f>
        <v/>
      </c>
      <c r="AN340" s="48">
        <f>IF(N(AF340)&gt;0,ROUND(AF340,0)+ROW()/1000000,0)</f>
        <v/>
      </c>
    </row>
    <row r="341" ht="18" customHeight="1">
      <c r="A341" s="39" t="n">
        <v>336</v>
      </c>
      <c r="B341" s="33">
        <f>IF(C341="","",IF(X341="À RENSEIGNER","GIC",X341)&amp;"-"&amp;TEXT(A341,"000"))</f>
        <v/>
      </c>
      <c r="C341" s="36" t="n"/>
      <c r="D341" s="34">
        <f>IF(C341="","",IF(U341="☑ Oui","Perdu",IF(AD341&lt;&gt;"","Client","Prospect")))</f>
        <v/>
      </c>
      <c r="E341" s="36" t="n"/>
      <c r="F341" s="36" t="n"/>
      <c r="G341" s="44" t="n"/>
      <c r="H341" s="44" t="n"/>
      <c r="I341" s="36" t="n"/>
      <c r="J341" s="36" t="n"/>
      <c r="K341" s="41" t="n"/>
      <c r="L341" s="41" t="n"/>
      <c r="M341" s="36" t="n"/>
      <c r="N341" s="36" t="n"/>
      <c r="O341" s="32" t="n"/>
      <c r="P341" s="36" t="n"/>
      <c r="Q341" s="36" t="n"/>
      <c r="R341" s="34">
        <f>IF(P341="","",IFERROR(VLOOKUP(P341,T_Produits,2,FALSE),""))</f>
        <v/>
      </c>
      <c r="S341" s="36" t="n"/>
      <c r="T341" s="43" t="n"/>
      <c r="U341" s="43" t="n"/>
      <c r="V341" s="36" t="n"/>
      <c r="W341" s="36" t="n"/>
      <c r="X341" s="33">
        <f>IF(C341="","",Commercial_Id)</f>
        <v/>
      </c>
      <c r="Y341" s="33">
        <f>IF(E341="","",IF(E341="Particulier / ménage","Particulier","Entreprise"))</f>
        <v/>
      </c>
      <c r="Z341" s="39">
        <f>IF(C341="","",COUNTIFS(VC_cle,AK341,VC_type,"Visite sur place"))</f>
        <v/>
      </c>
      <c r="AA341" s="46">
        <f>IF(AL341=0,"",IF(INT(AL341)=0,"",INT(AL341)))</f>
        <v/>
      </c>
      <c r="AB341" s="46">
        <f>IF(AL341=0,"",IF(INDEX(VC_actiondate,ROUND(MOD(AL341,1)*100000,0)-5)=0,"",INDEX(VC_actiondate,ROUND(MOD(AL341,1)*100000,0)-5)))</f>
        <v/>
      </c>
      <c r="AC341" s="33">
        <f>IF(AL341=0,"",INDEX(VC_actiontexte,ROUND(MOD(AL341,1)*100000,0)-5)&amp;"")</f>
        <v/>
      </c>
      <c r="AD341" s="46">
        <f>IF(C341="","",IF(COUNTIFS(Cmd_cle,AK341,Cmd_dateca,"&gt;0")=0,"",SMALL(INDEX(Cmd_dateca+(((Cmd_cle&lt;&gt;AK341)+(Cmd_dateca=0))&gt;0)*1000000,0),1)))</f>
        <v/>
      </c>
      <c r="AE341" s="46">
        <f>IF(C341="","",IF(COUNTIFS(Cmd_cle,AK341,Cmd_dateca,"&gt;0")=0,"",MAX(INDEX((Cmd_cle=AK341)*Cmd_dateca,0))))</f>
        <v/>
      </c>
      <c r="AF341" s="40">
        <f>IF(C341="","",SUMIFS(Cmd_montant,Cmd_cle,AK341,Cmd_dateca,"&gt;0"))</f>
        <v/>
      </c>
      <c r="AG341" s="40">
        <f>IF(C341="","",SUMIFS(Enc_montant,Enc_cle,AK341))</f>
        <v/>
      </c>
      <c r="AH341" s="40">
        <f>IF(C341="","",AF341-AG341)</f>
        <v/>
      </c>
      <c r="AI341" s="33">
        <f>IF(C341="","",IF(D341="Perdu","",IF(AND(AB341&lt;&gt;"",N(AB341)&lt;TODAY()),"Action en retard",IF(AND(D341="Client",AE341&lt;&gt;"",TODAY()-N(AE341)&gt;P_JoursInactif),"Client inactif",IF(AND(D341="Prospect",Z341=0,O341&lt;&gt;"",TODAY()-N(O341)&gt;P_JoursNonVisite),"Jamais visité","")))))</f>
        <v/>
      </c>
      <c r="AJ341" s="33">
        <f>IF(C341="","",C341&amp;" ["&amp;TEXT(A341,"000")&amp;"]")</f>
        <v/>
      </c>
      <c r="AK341" s="33">
        <f>IF(C341="","",X341&amp;"|"&amp;A341)</f>
        <v/>
      </c>
      <c r="AL341" s="47">
        <f>IF(C341="",0,IF(COUNTIFS(VC_cle,AK341)=0,0,MAX(INDEX((VC_cle=AK341)*(VC_date+ROW(VC_date)/100000),0))))</f>
        <v/>
      </c>
      <c r="AM341" s="47">
        <f>IF(AND(C341&lt;&gt;"",N(AB341)&gt;0,D341&lt;&gt;"Perdu"),AB341+ROW()/100000,0)</f>
        <v/>
      </c>
      <c r="AN341" s="48">
        <f>IF(N(AF341)&gt;0,ROUND(AF341,0)+ROW()/1000000,0)</f>
        <v/>
      </c>
    </row>
    <row r="342" ht="18" customHeight="1">
      <c r="A342" s="39" t="n">
        <v>337</v>
      </c>
      <c r="B342" s="33">
        <f>IF(C342="","",IF(X342="À RENSEIGNER","GIC",X342)&amp;"-"&amp;TEXT(A342,"000"))</f>
        <v/>
      </c>
      <c r="C342" s="36" t="n"/>
      <c r="D342" s="34">
        <f>IF(C342="","",IF(U342="☑ Oui","Perdu",IF(AD342&lt;&gt;"","Client","Prospect")))</f>
        <v/>
      </c>
      <c r="E342" s="36" t="n"/>
      <c r="F342" s="36" t="n"/>
      <c r="G342" s="44" t="n"/>
      <c r="H342" s="44" t="n"/>
      <c r="I342" s="36" t="n"/>
      <c r="J342" s="36" t="n"/>
      <c r="K342" s="41" t="n"/>
      <c r="L342" s="41" t="n"/>
      <c r="M342" s="36" t="n"/>
      <c r="N342" s="36" t="n"/>
      <c r="O342" s="32" t="n"/>
      <c r="P342" s="36" t="n"/>
      <c r="Q342" s="36" t="n"/>
      <c r="R342" s="34">
        <f>IF(P342="","",IFERROR(VLOOKUP(P342,T_Produits,2,FALSE),""))</f>
        <v/>
      </c>
      <c r="S342" s="36" t="n"/>
      <c r="T342" s="43" t="n"/>
      <c r="U342" s="43" t="n"/>
      <c r="V342" s="36" t="n"/>
      <c r="W342" s="36" t="n"/>
      <c r="X342" s="33">
        <f>IF(C342="","",Commercial_Id)</f>
        <v/>
      </c>
      <c r="Y342" s="33">
        <f>IF(E342="","",IF(E342="Particulier / ménage","Particulier","Entreprise"))</f>
        <v/>
      </c>
      <c r="Z342" s="39">
        <f>IF(C342="","",COUNTIFS(VC_cle,AK342,VC_type,"Visite sur place"))</f>
        <v/>
      </c>
      <c r="AA342" s="46">
        <f>IF(AL342=0,"",IF(INT(AL342)=0,"",INT(AL342)))</f>
        <v/>
      </c>
      <c r="AB342" s="46">
        <f>IF(AL342=0,"",IF(INDEX(VC_actiondate,ROUND(MOD(AL342,1)*100000,0)-5)=0,"",INDEX(VC_actiondate,ROUND(MOD(AL342,1)*100000,0)-5)))</f>
        <v/>
      </c>
      <c r="AC342" s="33">
        <f>IF(AL342=0,"",INDEX(VC_actiontexte,ROUND(MOD(AL342,1)*100000,0)-5)&amp;"")</f>
        <v/>
      </c>
      <c r="AD342" s="46">
        <f>IF(C342="","",IF(COUNTIFS(Cmd_cle,AK342,Cmd_dateca,"&gt;0")=0,"",SMALL(INDEX(Cmd_dateca+(((Cmd_cle&lt;&gt;AK342)+(Cmd_dateca=0))&gt;0)*1000000,0),1)))</f>
        <v/>
      </c>
      <c r="AE342" s="46">
        <f>IF(C342="","",IF(COUNTIFS(Cmd_cle,AK342,Cmd_dateca,"&gt;0")=0,"",MAX(INDEX((Cmd_cle=AK342)*Cmd_dateca,0))))</f>
        <v/>
      </c>
      <c r="AF342" s="40">
        <f>IF(C342="","",SUMIFS(Cmd_montant,Cmd_cle,AK342,Cmd_dateca,"&gt;0"))</f>
        <v/>
      </c>
      <c r="AG342" s="40">
        <f>IF(C342="","",SUMIFS(Enc_montant,Enc_cle,AK342))</f>
        <v/>
      </c>
      <c r="AH342" s="40">
        <f>IF(C342="","",AF342-AG342)</f>
        <v/>
      </c>
      <c r="AI342" s="33">
        <f>IF(C342="","",IF(D342="Perdu","",IF(AND(AB342&lt;&gt;"",N(AB342)&lt;TODAY()),"Action en retard",IF(AND(D342="Client",AE342&lt;&gt;"",TODAY()-N(AE342)&gt;P_JoursInactif),"Client inactif",IF(AND(D342="Prospect",Z342=0,O342&lt;&gt;"",TODAY()-N(O342)&gt;P_JoursNonVisite),"Jamais visité","")))))</f>
        <v/>
      </c>
      <c r="AJ342" s="33">
        <f>IF(C342="","",C342&amp;" ["&amp;TEXT(A342,"000")&amp;"]")</f>
        <v/>
      </c>
      <c r="AK342" s="33">
        <f>IF(C342="","",X342&amp;"|"&amp;A342)</f>
        <v/>
      </c>
      <c r="AL342" s="47">
        <f>IF(C342="",0,IF(COUNTIFS(VC_cle,AK342)=0,0,MAX(INDEX((VC_cle=AK342)*(VC_date+ROW(VC_date)/100000),0))))</f>
        <v/>
      </c>
      <c r="AM342" s="47">
        <f>IF(AND(C342&lt;&gt;"",N(AB342)&gt;0,D342&lt;&gt;"Perdu"),AB342+ROW()/100000,0)</f>
        <v/>
      </c>
      <c r="AN342" s="48">
        <f>IF(N(AF342)&gt;0,ROUND(AF342,0)+ROW()/1000000,0)</f>
        <v/>
      </c>
    </row>
    <row r="343" ht="18" customHeight="1">
      <c r="A343" s="39" t="n">
        <v>338</v>
      </c>
      <c r="B343" s="33">
        <f>IF(C343="","",IF(X343="À RENSEIGNER","GIC",X343)&amp;"-"&amp;TEXT(A343,"000"))</f>
        <v/>
      </c>
      <c r="C343" s="36" t="n"/>
      <c r="D343" s="34">
        <f>IF(C343="","",IF(U343="☑ Oui","Perdu",IF(AD343&lt;&gt;"","Client","Prospect")))</f>
        <v/>
      </c>
      <c r="E343" s="36" t="n"/>
      <c r="F343" s="36" t="n"/>
      <c r="G343" s="44" t="n"/>
      <c r="H343" s="44" t="n"/>
      <c r="I343" s="36" t="n"/>
      <c r="J343" s="36" t="n"/>
      <c r="K343" s="41" t="n"/>
      <c r="L343" s="41" t="n"/>
      <c r="M343" s="36" t="n"/>
      <c r="N343" s="36" t="n"/>
      <c r="O343" s="32" t="n"/>
      <c r="P343" s="36" t="n"/>
      <c r="Q343" s="36" t="n"/>
      <c r="R343" s="34">
        <f>IF(P343="","",IFERROR(VLOOKUP(P343,T_Produits,2,FALSE),""))</f>
        <v/>
      </c>
      <c r="S343" s="36" t="n"/>
      <c r="T343" s="43" t="n"/>
      <c r="U343" s="43" t="n"/>
      <c r="V343" s="36" t="n"/>
      <c r="W343" s="36" t="n"/>
      <c r="X343" s="33">
        <f>IF(C343="","",Commercial_Id)</f>
        <v/>
      </c>
      <c r="Y343" s="33">
        <f>IF(E343="","",IF(E343="Particulier / ménage","Particulier","Entreprise"))</f>
        <v/>
      </c>
      <c r="Z343" s="39">
        <f>IF(C343="","",COUNTIFS(VC_cle,AK343,VC_type,"Visite sur place"))</f>
        <v/>
      </c>
      <c r="AA343" s="46">
        <f>IF(AL343=0,"",IF(INT(AL343)=0,"",INT(AL343)))</f>
        <v/>
      </c>
      <c r="AB343" s="46">
        <f>IF(AL343=0,"",IF(INDEX(VC_actiondate,ROUND(MOD(AL343,1)*100000,0)-5)=0,"",INDEX(VC_actiondate,ROUND(MOD(AL343,1)*100000,0)-5)))</f>
        <v/>
      </c>
      <c r="AC343" s="33">
        <f>IF(AL343=0,"",INDEX(VC_actiontexte,ROUND(MOD(AL343,1)*100000,0)-5)&amp;"")</f>
        <v/>
      </c>
      <c r="AD343" s="46">
        <f>IF(C343="","",IF(COUNTIFS(Cmd_cle,AK343,Cmd_dateca,"&gt;0")=0,"",SMALL(INDEX(Cmd_dateca+(((Cmd_cle&lt;&gt;AK343)+(Cmd_dateca=0))&gt;0)*1000000,0),1)))</f>
        <v/>
      </c>
      <c r="AE343" s="46">
        <f>IF(C343="","",IF(COUNTIFS(Cmd_cle,AK343,Cmd_dateca,"&gt;0")=0,"",MAX(INDEX((Cmd_cle=AK343)*Cmd_dateca,0))))</f>
        <v/>
      </c>
      <c r="AF343" s="40">
        <f>IF(C343="","",SUMIFS(Cmd_montant,Cmd_cle,AK343,Cmd_dateca,"&gt;0"))</f>
        <v/>
      </c>
      <c r="AG343" s="40">
        <f>IF(C343="","",SUMIFS(Enc_montant,Enc_cle,AK343))</f>
        <v/>
      </c>
      <c r="AH343" s="40">
        <f>IF(C343="","",AF343-AG343)</f>
        <v/>
      </c>
      <c r="AI343" s="33">
        <f>IF(C343="","",IF(D343="Perdu","",IF(AND(AB343&lt;&gt;"",N(AB343)&lt;TODAY()),"Action en retard",IF(AND(D343="Client",AE343&lt;&gt;"",TODAY()-N(AE343)&gt;P_JoursInactif),"Client inactif",IF(AND(D343="Prospect",Z343=0,O343&lt;&gt;"",TODAY()-N(O343)&gt;P_JoursNonVisite),"Jamais visité","")))))</f>
        <v/>
      </c>
      <c r="AJ343" s="33">
        <f>IF(C343="","",C343&amp;" ["&amp;TEXT(A343,"000")&amp;"]")</f>
        <v/>
      </c>
      <c r="AK343" s="33">
        <f>IF(C343="","",X343&amp;"|"&amp;A343)</f>
        <v/>
      </c>
      <c r="AL343" s="47">
        <f>IF(C343="",0,IF(COUNTIFS(VC_cle,AK343)=0,0,MAX(INDEX((VC_cle=AK343)*(VC_date+ROW(VC_date)/100000),0))))</f>
        <v/>
      </c>
      <c r="AM343" s="47">
        <f>IF(AND(C343&lt;&gt;"",N(AB343)&gt;0,D343&lt;&gt;"Perdu"),AB343+ROW()/100000,0)</f>
        <v/>
      </c>
      <c r="AN343" s="48">
        <f>IF(N(AF343)&gt;0,ROUND(AF343,0)+ROW()/1000000,0)</f>
        <v/>
      </c>
    </row>
    <row r="344" ht="18" customHeight="1">
      <c r="A344" s="39" t="n">
        <v>339</v>
      </c>
      <c r="B344" s="33">
        <f>IF(C344="","",IF(X344="À RENSEIGNER","GIC",X344)&amp;"-"&amp;TEXT(A344,"000"))</f>
        <v/>
      </c>
      <c r="C344" s="36" t="n"/>
      <c r="D344" s="34">
        <f>IF(C344="","",IF(U344="☑ Oui","Perdu",IF(AD344&lt;&gt;"","Client","Prospect")))</f>
        <v/>
      </c>
      <c r="E344" s="36" t="n"/>
      <c r="F344" s="36" t="n"/>
      <c r="G344" s="44" t="n"/>
      <c r="H344" s="44" t="n"/>
      <c r="I344" s="36" t="n"/>
      <c r="J344" s="36" t="n"/>
      <c r="K344" s="41" t="n"/>
      <c r="L344" s="41" t="n"/>
      <c r="M344" s="36" t="n"/>
      <c r="N344" s="36" t="n"/>
      <c r="O344" s="32" t="n"/>
      <c r="P344" s="36" t="n"/>
      <c r="Q344" s="36" t="n"/>
      <c r="R344" s="34">
        <f>IF(P344="","",IFERROR(VLOOKUP(P344,T_Produits,2,FALSE),""))</f>
        <v/>
      </c>
      <c r="S344" s="36" t="n"/>
      <c r="T344" s="43" t="n"/>
      <c r="U344" s="43" t="n"/>
      <c r="V344" s="36" t="n"/>
      <c r="W344" s="36" t="n"/>
      <c r="X344" s="33">
        <f>IF(C344="","",Commercial_Id)</f>
        <v/>
      </c>
      <c r="Y344" s="33">
        <f>IF(E344="","",IF(E344="Particulier / ménage","Particulier","Entreprise"))</f>
        <v/>
      </c>
      <c r="Z344" s="39">
        <f>IF(C344="","",COUNTIFS(VC_cle,AK344,VC_type,"Visite sur place"))</f>
        <v/>
      </c>
      <c r="AA344" s="46">
        <f>IF(AL344=0,"",IF(INT(AL344)=0,"",INT(AL344)))</f>
        <v/>
      </c>
      <c r="AB344" s="46">
        <f>IF(AL344=0,"",IF(INDEX(VC_actiondate,ROUND(MOD(AL344,1)*100000,0)-5)=0,"",INDEX(VC_actiondate,ROUND(MOD(AL344,1)*100000,0)-5)))</f>
        <v/>
      </c>
      <c r="AC344" s="33">
        <f>IF(AL344=0,"",INDEX(VC_actiontexte,ROUND(MOD(AL344,1)*100000,0)-5)&amp;"")</f>
        <v/>
      </c>
      <c r="AD344" s="46">
        <f>IF(C344="","",IF(COUNTIFS(Cmd_cle,AK344,Cmd_dateca,"&gt;0")=0,"",SMALL(INDEX(Cmd_dateca+(((Cmd_cle&lt;&gt;AK344)+(Cmd_dateca=0))&gt;0)*1000000,0),1)))</f>
        <v/>
      </c>
      <c r="AE344" s="46">
        <f>IF(C344="","",IF(COUNTIFS(Cmd_cle,AK344,Cmd_dateca,"&gt;0")=0,"",MAX(INDEX((Cmd_cle=AK344)*Cmd_dateca,0))))</f>
        <v/>
      </c>
      <c r="AF344" s="40">
        <f>IF(C344="","",SUMIFS(Cmd_montant,Cmd_cle,AK344,Cmd_dateca,"&gt;0"))</f>
        <v/>
      </c>
      <c r="AG344" s="40">
        <f>IF(C344="","",SUMIFS(Enc_montant,Enc_cle,AK344))</f>
        <v/>
      </c>
      <c r="AH344" s="40">
        <f>IF(C344="","",AF344-AG344)</f>
        <v/>
      </c>
      <c r="AI344" s="33">
        <f>IF(C344="","",IF(D344="Perdu","",IF(AND(AB344&lt;&gt;"",N(AB344)&lt;TODAY()),"Action en retard",IF(AND(D344="Client",AE344&lt;&gt;"",TODAY()-N(AE344)&gt;P_JoursInactif),"Client inactif",IF(AND(D344="Prospect",Z344=0,O344&lt;&gt;"",TODAY()-N(O344)&gt;P_JoursNonVisite),"Jamais visité","")))))</f>
        <v/>
      </c>
      <c r="AJ344" s="33">
        <f>IF(C344="","",C344&amp;" ["&amp;TEXT(A344,"000")&amp;"]")</f>
        <v/>
      </c>
      <c r="AK344" s="33">
        <f>IF(C344="","",X344&amp;"|"&amp;A344)</f>
        <v/>
      </c>
      <c r="AL344" s="47">
        <f>IF(C344="",0,IF(COUNTIFS(VC_cle,AK344)=0,0,MAX(INDEX((VC_cle=AK344)*(VC_date+ROW(VC_date)/100000),0))))</f>
        <v/>
      </c>
      <c r="AM344" s="47">
        <f>IF(AND(C344&lt;&gt;"",N(AB344)&gt;0,D344&lt;&gt;"Perdu"),AB344+ROW()/100000,0)</f>
        <v/>
      </c>
      <c r="AN344" s="48">
        <f>IF(N(AF344)&gt;0,ROUND(AF344,0)+ROW()/1000000,0)</f>
        <v/>
      </c>
    </row>
    <row r="345" ht="18" customHeight="1">
      <c r="A345" s="39" t="n">
        <v>340</v>
      </c>
      <c r="B345" s="33">
        <f>IF(C345="","",IF(X345="À RENSEIGNER","GIC",X345)&amp;"-"&amp;TEXT(A345,"000"))</f>
        <v/>
      </c>
      <c r="C345" s="36" t="n"/>
      <c r="D345" s="34">
        <f>IF(C345="","",IF(U345="☑ Oui","Perdu",IF(AD345&lt;&gt;"","Client","Prospect")))</f>
        <v/>
      </c>
      <c r="E345" s="36" t="n"/>
      <c r="F345" s="36" t="n"/>
      <c r="G345" s="44" t="n"/>
      <c r="H345" s="44" t="n"/>
      <c r="I345" s="36" t="n"/>
      <c r="J345" s="36" t="n"/>
      <c r="K345" s="41" t="n"/>
      <c r="L345" s="41" t="n"/>
      <c r="M345" s="36" t="n"/>
      <c r="N345" s="36" t="n"/>
      <c r="O345" s="32" t="n"/>
      <c r="P345" s="36" t="n"/>
      <c r="Q345" s="36" t="n"/>
      <c r="R345" s="34">
        <f>IF(P345="","",IFERROR(VLOOKUP(P345,T_Produits,2,FALSE),""))</f>
        <v/>
      </c>
      <c r="S345" s="36" t="n"/>
      <c r="T345" s="43" t="n"/>
      <c r="U345" s="43" t="n"/>
      <c r="V345" s="36" t="n"/>
      <c r="W345" s="36" t="n"/>
      <c r="X345" s="33">
        <f>IF(C345="","",Commercial_Id)</f>
        <v/>
      </c>
      <c r="Y345" s="33">
        <f>IF(E345="","",IF(E345="Particulier / ménage","Particulier","Entreprise"))</f>
        <v/>
      </c>
      <c r="Z345" s="39">
        <f>IF(C345="","",COUNTIFS(VC_cle,AK345,VC_type,"Visite sur place"))</f>
        <v/>
      </c>
      <c r="AA345" s="46">
        <f>IF(AL345=0,"",IF(INT(AL345)=0,"",INT(AL345)))</f>
        <v/>
      </c>
      <c r="AB345" s="46">
        <f>IF(AL345=0,"",IF(INDEX(VC_actiondate,ROUND(MOD(AL345,1)*100000,0)-5)=0,"",INDEX(VC_actiondate,ROUND(MOD(AL345,1)*100000,0)-5)))</f>
        <v/>
      </c>
      <c r="AC345" s="33">
        <f>IF(AL345=0,"",INDEX(VC_actiontexte,ROUND(MOD(AL345,1)*100000,0)-5)&amp;"")</f>
        <v/>
      </c>
      <c r="AD345" s="46">
        <f>IF(C345="","",IF(COUNTIFS(Cmd_cle,AK345,Cmd_dateca,"&gt;0")=0,"",SMALL(INDEX(Cmd_dateca+(((Cmd_cle&lt;&gt;AK345)+(Cmd_dateca=0))&gt;0)*1000000,0),1)))</f>
        <v/>
      </c>
      <c r="AE345" s="46">
        <f>IF(C345="","",IF(COUNTIFS(Cmd_cle,AK345,Cmd_dateca,"&gt;0")=0,"",MAX(INDEX((Cmd_cle=AK345)*Cmd_dateca,0))))</f>
        <v/>
      </c>
      <c r="AF345" s="40">
        <f>IF(C345="","",SUMIFS(Cmd_montant,Cmd_cle,AK345,Cmd_dateca,"&gt;0"))</f>
        <v/>
      </c>
      <c r="AG345" s="40">
        <f>IF(C345="","",SUMIFS(Enc_montant,Enc_cle,AK345))</f>
        <v/>
      </c>
      <c r="AH345" s="40">
        <f>IF(C345="","",AF345-AG345)</f>
        <v/>
      </c>
      <c r="AI345" s="33">
        <f>IF(C345="","",IF(D345="Perdu","",IF(AND(AB345&lt;&gt;"",N(AB345)&lt;TODAY()),"Action en retard",IF(AND(D345="Client",AE345&lt;&gt;"",TODAY()-N(AE345)&gt;P_JoursInactif),"Client inactif",IF(AND(D345="Prospect",Z345=0,O345&lt;&gt;"",TODAY()-N(O345)&gt;P_JoursNonVisite),"Jamais visité","")))))</f>
        <v/>
      </c>
      <c r="AJ345" s="33">
        <f>IF(C345="","",C345&amp;" ["&amp;TEXT(A345,"000")&amp;"]")</f>
        <v/>
      </c>
      <c r="AK345" s="33">
        <f>IF(C345="","",X345&amp;"|"&amp;A345)</f>
        <v/>
      </c>
      <c r="AL345" s="47">
        <f>IF(C345="",0,IF(COUNTIFS(VC_cle,AK345)=0,0,MAX(INDEX((VC_cle=AK345)*(VC_date+ROW(VC_date)/100000),0))))</f>
        <v/>
      </c>
      <c r="AM345" s="47">
        <f>IF(AND(C345&lt;&gt;"",N(AB345)&gt;0,D345&lt;&gt;"Perdu"),AB345+ROW()/100000,0)</f>
        <v/>
      </c>
      <c r="AN345" s="48">
        <f>IF(N(AF345)&gt;0,ROUND(AF345,0)+ROW()/1000000,0)</f>
        <v/>
      </c>
    </row>
    <row r="346" ht="18" customHeight="1">
      <c r="A346" s="39" t="n">
        <v>341</v>
      </c>
      <c r="B346" s="33">
        <f>IF(C346="","",IF(X346="À RENSEIGNER","GIC",X346)&amp;"-"&amp;TEXT(A346,"000"))</f>
        <v/>
      </c>
      <c r="C346" s="36" t="n"/>
      <c r="D346" s="34">
        <f>IF(C346="","",IF(U346="☑ Oui","Perdu",IF(AD346&lt;&gt;"","Client","Prospect")))</f>
        <v/>
      </c>
      <c r="E346" s="36" t="n"/>
      <c r="F346" s="36" t="n"/>
      <c r="G346" s="44" t="n"/>
      <c r="H346" s="44" t="n"/>
      <c r="I346" s="36" t="n"/>
      <c r="J346" s="36" t="n"/>
      <c r="K346" s="41" t="n"/>
      <c r="L346" s="41" t="n"/>
      <c r="M346" s="36" t="n"/>
      <c r="N346" s="36" t="n"/>
      <c r="O346" s="32" t="n"/>
      <c r="P346" s="36" t="n"/>
      <c r="Q346" s="36" t="n"/>
      <c r="R346" s="34">
        <f>IF(P346="","",IFERROR(VLOOKUP(P346,T_Produits,2,FALSE),""))</f>
        <v/>
      </c>
      <c r="S346" s="36" t="n"/>
      <c r="T346" s="43" t="n"/>
      <c r="U346" s="43" t="n"/>
      <c r="V346" s="36" t="n"/>
      <c r="W346" s="36" t="n"/>
      <c r="X346" s="33">
        <f>IF(C346="","",Commercial_Id)</f>
        <v/>
      </c>
      <c r="Y346" s="33">
        <f>IF(E346="","",IF(E346="Particulier / ménage","Particulier","Entreprise"))</f>
        <v/>
      </c>
      <c r="Z346" s="39">
        <f>IF(C346="","",COUNTIFS(VC_cle,AK346,VC_type,"Visite sur place"))</f>
        <v/>
      </c>
      <c r="AA346" s="46">
        <f>IF(AL346=0,"",IF(INT(AL346)=0,"",INT(AL346)))</f>
        <v/>
      </c>
      <c r="AB346" s="46">
        <f>IF(AL346=0,"",IF(INDEX(VC_actiondate,ROUND(MOD(AL346,1)*100000,0)-5)=0,"",INDEX(VC_actiondate,ROUND(MOD(AL346,1)*100000,0)-5)))</f>
        <v/>
      </c>
      <c r="AC346" s="33">
        <f>IF(AL346=0,"",INDEX(VC_actiontexte,ROUND(MOD(AL346,1)*100000,0)-5)&amp;"")</f>
        <v/>
      </c>
      <c r="AD346" s="46">
        <f>IF(C346="","",IF(COUNTIFS(Cmd_cle,AK346,Cmd_dateca,"&gt;0")=0,"",SMALL(INDEX(Cmd_dateca+(((Cmd_cle&lt;&gt;AK346)+(Cmd_dateca=0))&gt;0)*1000000,0),1)))</f>
        <v/>
      </c>
      <c r="AE346" s="46">
        <f>IF(C346="","",IF(COUNTIFS(Cmd_cle,AK346,Cmd_dateca,"&gt;0")=0,"",MAX(INDEX((Cmd_cle=AK346)*Cmd_dateca,0))))</f>
        <v/>
      </c>
      <c r="AF346" s="40">
        <f>IF(C346="","",SUMIFS(Cmd_montant,Cmd_cle,AK346,Cmd_dateca,"&gt;0"))</f>
        <v/>
      </c>
      <c r="AG346" s="40">
        <f>IF(C346="","",SUMIFS(Enc_montant,Enc_cle,AK346))</f>
        <v/>
      </c>
      <c r="AH346" s="40">
        <f>IF(C346="","",AF346-AG346)</f>
        <v/>
      </c>
      <c r="AI346" s="33">
        <f>IF(C346="","",IF(D346="Perdu","",IF(AND(AB346&lt;&gt;"",N(AB346)&lt;TODAY()),"Action en retard",IF(AND(D346="Client",AE346&lt;&gt;"",TODAY()-N(AE346)&gt;P_JoursInactif),"Client inactif",IF(AND(D346="Prospect",Z346=0,O346&lt;&gt;"",TODAY()-N(O346)&gt;P_JoursNonVisite),"Jamais visité","")))))</f>
        <v/>
      </c>
      <c r="AJ346" s="33">
        <f>IF(C346="","",C346&amp;" ["&amp;TEXT(A346,"000")&amp;"]")</f>
        <v/>
      </c>
      <c r="AK346" s="33">
        <f>IF(C346="","",X346&amp;"|"&amp;A346)</f>
        <v/>
      </c>
      <c r="AL346" s="47">
        <f>IF(C346="",0,IF(COUNTIFS(VC_cle,AK346)=0,0,MAX(INDEX((VC_cle=AK346)*(VC_date+ROW(VC_date)/100000),0))))</f>
        <v/>
      </c>
      <c r="AM346" s="47">
        <f>IF(AND(C346&lt;&gt;"",N(AB346)&gt;0,D346&lt;&gt;"Perdu"),AB346+ROW()/100000,0)</f>
        <v/>
      </c>
      <c r="AN346" s="48">
        <f>IF(N(AF346)&gt;0,ROUND(AF346,0)+ROW()/1000000,0)</f>
        <v/>
      </c>
    </row>
    <row r="347" ht="18" customHeight="1">
      <c r="A347" s="39" t="n">
        <v>342</v>
      </c>
      <c r="B347" s="33">
        <f>IF(C347="","",IF(X347="À RENSEIGNER","GIC",X347)&amp;"-"&amp;TEXT(A347,"000"))</f>
        <v/>
      </c>
      <c r="C347" s="36" t="n"/>
      <c r="D347" s="34">
        <f>IF(C347="","",IF(U347="☑ Oui","Perdu",IF(AD347&lt;&gt;"","Client","Prospect")))</f>
        <v/>
      </c>
      <c r="E347" s="36" t="n"/>
      <c r="F347" s="36" t="n"/>
      <c r="G347" s="44" t="n"/>
      <c r="H347" s="44" t="n"/>
      <c r="I347" s="36" t="n"/>
      <c r="J347" s="36" t="n"/>
      <c r="K347" s="41" t="n"/>
      <c r="L347" s="41" t="n"/>
      <c r="M347" s="36" t="n"/>
      <c r="N347" s="36" t="n"/>
      <c r="O347" s="32" t="n"/>
      <c r="P347" s="36" t="n"/>
      <c r="Q347" s="36" t="n"/>
      <c r="R347" s="34">
        <f>IF(P347="","",IFERROR(VLOOKUP(P347,T_Produits,2,FALSE),""))</f>
        <v/>
      </c>
      <c r="S347" s="36" t="n"/>
      <c r="T347" s="43" t="n"/>
      <c r="U347" s="43" t="n"/>
      <c r="V347" s="36" t="n"/>
      <c r="W347" s="36" t="n"/>
      <c r="X347" s="33">
        <f>IF(C347="","",Commercial_Id)</f>
        <v/>
      </c>
      <c r="Y347" s="33">
        <f>IF(E347="","",IF(E347="Particulier / ménage","Particulier","Entreprise"))</f>
        <v/>
      </c>
      <c r="Z347" s="39">
        <f>IF(C347="","",COUNTIFS(VC_cle,AK347,VC_type,"Visite sur place"))</f>
        <v/>
      </c>
      <c r="AA347" s="46">
        <f>IF(AL347=0,"",IF(INT(AL347)=0,"",INT(AL347)))</f>
        <v/>
      </c>
      <c r="AB347" s="46">
        <f>IF(AL347=0,"",IF(INDEX(VC_actiondate,ROUND(MOD(AL347,1)*100000,0)-5)=0,"",INDEX(VC_actiondate,ROUND(MOD(AL347,1)*100000,0)-5)))</f>
        <v/>
      </c>
      <c r="AC347" s="33">
        <f>IF(AL347=0,"",INDEX(VC_actiontexte,ROUND(MOD(AL347,1)*100000,0)-5)&amp;"")</f>
        <v/>
      </c>
      <c r="AD347" s="46">
        <f>IF(C347="","",IF(COUNTIFS(Cmd_cle,AK347,Cmd_dateca,"&gt;0")=0,"",SMALL(INDEX(Cmd_dateca+(((Cmd_cle&lt;&gt;AK347)+(Cmd_dateca=0))&gt;0)*1000000,0),1)))</f>
        <v/>
      </c>
      <c r="AE347" s="46">
        <f>IF(C347="","",IF(COUNTIFS(Cmd_cle,AK347,Cmd_dateca,"&gt;0")=0,"",MAX(INDEX((Cmd_cle=AK347)*Cmd_dateca,0))))</f>
        <v/>
      </c>
      <c r="AF347" s="40">
        <f>IF(C347="","",SUMIFS(Cmd_montant,Cmd_cle,AK347,Cmd_dateca,"&gt;0"))</f>
        <v/>
      </c>
      <c r="AG347" s="40">
        <f>IF(C347="","",SUMIFS(Enc_montant,Enc_cle,AK347))</f>
        <v/>
      </c>
      <c r="AH347" s="40">
        <f>IF(C347="","",AF347-AG347)</f>
        <v/>
      </c>
      <c r="AI347" s="33">
        <f>IF(C347="","",IF(D347="Perdu","",IF(AND(AB347&lt;&gt;"",N(AB347)&lt;TODAY()),"Action en retard",IF(AND(D347="Client",AE347&lt;&gt;"",TODAY()-N(AE347)&gt;P_JoursInactif),"Client inactif",IF(AND(D347="Prospect",Z347=0,O347&lt;&gt;"",TODAY()-N(O347)&gt;P_JoursNonVisite),"Jamais visité","")))))</f>
        <v/>
      </c>
      <c r="AJ347" s="33">
        <f>IF(C347="","",C347&amp;" ["&amp;TEXT(A347,"000")&amp;"]")</f>
        <v/>
      </c>
      <c r="AK347" s="33">
        <f>IF(C347="","",X347&amp;"|"&amp;A347)</f>
        <v/>
      </c>
      <c r="AL347" s="47">
        <f>IF(C347="",0,IF(COUNTIFS(VC_cle,AK347)=0,0,MAX(INDEX((VC_cle=AK347)*(VC_date+ROW(VC_date)/100000),0))))</f>
        <v/>
      </c>
      <c r="AM347" s="47">
        <f>IF(AND(C347&lt;&gt;"",N(AB347)&gt;0,D347&lt;&gt;"Perdu"),AB347+ROW()/100000,0)</f>
        <v/>
      </c>
      <c r="AN347" s="48">
        <f>IF(N(AF347)&gt;0,ROUND(AF347,0)+ROW()/1000000,0)</f>
        <v/>
      </c>
    </row>
    <row r="348" ht="18" customHeight="1">
      <c r="A348" s="39" t="n">
        <v>343</v>
      </c>
      <c r="B348" s="33">
        <f>IF(C348="","",IF(X348="À RENSEIGNER","GIC",X348)&amp;"-"&amp;TEXT(A348,"000"))</f>
        <v/>
      </c>
      <c r="C348" s="36" t="n"/>
      <c r="D348" s="34">
        <f>IF(C348="","",IF(U348="☑ Oui","Perdu",IF(AD348&lt;&gt;"","Client","Prospect")))</f>
        <v/>
      </c>
      <c r="E348" s="36" t="n"/>
      <c r="F348" s="36" t="n"/>
      <c r="G348" s="44" t="n"/>
      <c r="H348" s="44" t="n"/>
      <c r="I348" s="36" t="n"/>
      <c r="J348" s="36" t="n"/>
      <c r="K348" s="41" t="n"/>
      <c r="L348" s="41" t="n"/>
      <c r="M348" s="36" t="n"/>
      <c r="N348" s="36" t="n"/>
      <c r="O348" s="32" t="n"/>
      <c r="P348" s="36" t="n"/>
      <c r="Q348" s="36" t="n"/>
      <c r="R348" s="34">
        <f>IF(P348="","",IFERROR(VLOOKUP(P348,T_Produits,2,FALSE),""))</f>
        <v/>
      </c>
      <c r="S348" s="36" t="n"/>
      <c r="T348" s="43" t="n"/>
      <c r="U348" s="43" t="n"/>
      <c r="V348" s="36" t="n"/>
      <c r="W348" s="36" t="n"/>
      <c r="X348" s="33">
        <f>IF(C348="","",Commercial_Id)</f>
        <v/>
      </c>
      <c r="Y348" s="33">
        <f>IF(E348="","",IF(E348="Particulier / ménage","Particulier","Entreprise"))</f>
        <v/>
      </c>
      <c r="Z348" s="39">
        <f>IF(C348="","",COUNTIFS(VC_cle,AK348,VC_type,"Visite sur place"))</f>
        <v/>
      </c>
      <c r="AA348" s="46">
        <f>IF(AL348=0,"",IF(INT(AL348)=0,"",INT(AL348)))</f>
        <v/>
      </c>
      <c r="AB348" s="46">
        <f>IF(AL348=0,"",IF(INDEX(VC_actiondate,ROUND(MOD(AL348,1)*100000,0)-5)=0,"",INDEX(VC_actiondate,ROUND(MOD(AL348,1)*100000,0)-5)))</f>
        <v/>
      </c>
      <c r="AC348" s="33">
        <f>IF(AL348=0,"",INDEX(VC_actiontexte,ROUND(MOD(AL348,1)*100000,0)-5)&amp;"")</f>
        <v/>
      </c>
      <c r="AD348" s="46">
        <f>IF(C348="","",IF(COUNTIFS(Cmd_cle,AK348,Cmd_dateca,"&gt;0")=0,"",SMALL(INDEX(Cmd_dateca+(((Cmd_cle&lt;&gt;AK348)+(Cmd_dateca=0))&gt;0)*1000000,0),1)))</f>
        <v/>
      </c>
      <c r="AE348" s="46">
        <f>IF(C348="","",IF(COUNTIFS(Cmd_cle,AK348,Cmd_dateca,"&gt;0")=0,"",MAX(INDEX((Cmd_cle=AK348)*Cmd_dateca,0))))</f>
        <v/>
      </c>
      <c r="AF348" s="40">
        <f>IF(C348="","",SUMIFS(Cmd_montant,Cmd_cle,AK348,Cmd_dateca,"&gt;0"))</f>
        <v/>
      </c>
      <c r="AG348" s="40">
        <f>IF(C348="","",SUMIFS(Enc_montant,Enc_cle,AK348))</f>
        <v/>
      </c>
      <c r="AH348" s="40">
        <f>IF(C348="","",AF348-AG348)</f>
        <v/>
      </c>
      <c r="AI348" s="33">
        <f>IF(C348="","",IF(D348="Perdu","",IF(AND(AB348&lt;&gt;"",N(AB348)&lt;TODAY()),"Action en retard",IF(AND(D348="Client",AE348&lt;&gt;"",TODAY()-N(AE348)&gt;P_JoursInactif),"Client inactif",IF(AND(D348="Prospect",Z348=0,O348&lt;&gt;"",TODAY()-N(O348)&gt;P_JoursNonVisite),"Jamais visité","")))))</f>
        <v/>
      </c>
      <c r="AJ348" s="33">
        <f>IF(C348="","",C348&amp;" ["&amp;TEXT(A348,"000")&amp;"]")</f>
        <v/>
      </c>
      <c r="AK348" s="33">
        <f>IF(C348="","",X348&amp;"|"&amp;A348)</f>
        <v/>
      </c>
      <c r="AL348" s="47">
        <f>IF(C348="",0,IF(COUNTIFS(VC_cle,AK348)=0,0,MAX(INDEX((VC_cle=AK348)*(VC_date+ROW(VC_date)/100000),0))))</f>
        <v/>
      </c>
      <c r="AM348" s="47">
        <f>IF(AND(C348&lt;&gt;"",N(AB348)&gt;0,D348&lt;&gt;"Perdu"),AB348+ROW()/100000,0)</f>
        <v/>
      </c>
      <c r="AN348" s="48">
        <f>IF(N(AF348)&gt;0,ROUND(AF348,0)+ROW()/1000000,0)</f>
        <v/>
      </c>
    </row>
    <row r="349" ht="18" customHeight="1">
      <c r="A349" s="39" t="n">
        <v>344</v>
      </c>
      <c r="B349" s="33">
        <f>IF(C349="","",IF(X349="À RENSEIGNER","GIC",X349)&amp;"-"&amp;TEXT(A349,"000"))</f>
        <v/>
      </c>
      <c r="C349" s="36" t="n"/>
      <c r="D349" s="34">
        <f>IF(C349="","",IF(U349="☑ Oui","Perdu",IF(AD349&lt;&gt;"","Client","Prospect")))</f>
        <v/>
      </c>
      <c r="E349" s="36" t="n"/>
      <c r="F349" s="36" t="n"/>
      <c r="G349" s="44" t="n"/>
      <c r="H349" s="44" t="n"/>
      <c r="I349" s="36" t="n"/>
      <c r="J349" s="36" t="n"/>
      <c r="K349" s="41" t="n"/>
      <c r="L349" s="41" t="n"/>
      <c r="M349" s="36" t="n"/>
      <c r="N349" s="36" t="n"/>
      <c r="O349" s="32" t="n"/>
      <c r="P349" s="36" t="n"/>
      <c r="Q349" s="36" t="n"/>
      <c r="R349" s="34">
        <f>IF(P349="","",IFERROR(VLOOKUP(P349,T_Produits,2,FALSE),""))</f>
        <v/>
      </c>
      <c r="S349" s="36" t="n"/>
      <c r="T349" s="43" t="n"/>
      <c r="U349" s="43" t="n"/>
      <c r="V349" s="36" t="n"/>
      <c r="W349" s="36" t="n"/>
      <c r="X349" s="33">
        <f>IF(C349="","",Commercial_Id)</f>
        <v/>
      </c>
      <c r="Y349" s="33">
        <f>IF(E349="","",IF(E349="Particulier / ménage","Particulier","Entreprise"))</f>
        <v/>
      </c>
      <c r="Z349" s="39">
        <f>IF(C349="","",COUNTIFS(VC_cle,AK349,VC_type,"Visite sur place"))</f>
        <v/>
      </c>
      <c r="AA349" s="46">
        <f>IF(AL349=0,"",IF(INT(AL349)=0,"",INT(AL349)))</f>
        <v/>
      </c>
      <c r="AB349" s="46">
        <f>IF(AL349=0,"",IF(INDEX(VC_actiondate,ROUND(MOD(AL349,1)*100000,0)-5)=0,"",INDEX(VC_actiondate,ROUND(MOD(AL349,1)*100000,0)-5)))</f>
        <v/>
      </c>
      <c r="AC349" s="33">
        <f>IF(AL349=0,"",INDEX(VC_actiontexte,ROUND(MOD(AL349,1)*100000,0)-5)&amp;"")</f>
        <v/>
      </c>
      <c r="AD349" s="46">
        <f>IF(C349="","",IF(COUNTIFS(Cmd_cle,AK349,Cmd_dateca,"&gt;0")=0,"",SMALL(INDEX(Cmd_dateca+(((Cmd_cle&lt;&gt;AK349)+(Cmd_dateca=0))&gt;0)*1000000,0),1)))</f>
        <v/>
      </c>
      <c r="AE349" s="46">
        <f>IF(C349="","",IF(COUNTIFS(Cmd_cle,AK349,Cmd_dateca,"&gt;0")=0,"",MAX(INDEX((Cmd_cle=AK349)*Cmd_dateca,0))))</f>
        <v/>
      </c>
      <c r="AF349" s="40">
        <f>IF(C349="","",SUMIFS(Cmd_montant,Cmd_cle,AK349,Cmd_dateca,"&gt;0"))</f>
        <v/>
      </c>
      <c r="AG349" s="40">
        <f>IF(C349="","",SUMIFS(Enc_montant,Enc_cle,AK349))</f>
        <v/>
      </c>
      <c r="AH349" s="40">
        <f>IF(C349="","",AF349-AG349)</f>
        <v/>
      </c>
      <c r="AI349" s="33">
        <f>IF(C349="","",IF(D349="Perdu","",IF(AND(AB349&lt;&gt;"",N(AB349)&lt;TODAY()),"Action en retard",IF(AND(D349="Client",AE349&lt;&gt;"",TODAY()-N(AE349)&gt;P_JoursInactif),"Client inactif",IF(AND(D349="Prospect",Z349=0,O349&lt;&gt;"",TODAY()-N(O349)&gt;P_JoursNonVisite),"Jamais visité","")))))</f>
        <v/>
      </c>
      <c r="AJ349" s="33">
        <f>IF(C349="","",C349&amp;" ["&amp;TEXT(A349,"000")&amp;"]")</f>
        <v/>
      </c>
      <c r="AK349" s="33">
        <f>IF(C349="","",X349&amp;"|"&amp;A349)</f>
        <v/>
      </c>
      <c r="AL349" s="47">
        <f>IF(C349="",0,IF(COUNTIFS(VC_cle,AK349)=0,0,MAX(INDEX((VC_cle=AK349)*(VC_date+ROW(VC_date)/100000),0))))</f>
        <v/>
      </c>
      <c r="AM349" s="47">
        <f>IF(AND(C349&lt;&gt;"",N(AB349)&gt;0,D349&lt;&gt;"Perdu"),AB349+ROW()/100000,0)</f>
        <v/>
      </c>
      <c r="AN349" s="48">
        <f>IF(N(AF349)&gt;0,ROUND(AF349,0)+ROW()/1000000,0)</f>
        <v/>
      </c>
    </row>
    <row r="350" ht="18" customHeight="1">
      <c r="A350" s="39" t="n">
        <v>345</v>
      </c>
      <c r="B350" s="33">
        <f>IF(C350="","",IF(X350="À RENSEIGNER","GIC",X350)&amp;"-"&amp;TEXT(A350,"000"))</f>
        <v/>
      </c>
      <c r="C350" s="36" t="n"/>
      <c r="D350" s="34">
        <f>IF(C350="","",IF(U350="☑ Oui","Perdu",IF(AD350&lt;&gt;"","Client","Prospect")))</f>
        <v/>
      </c>
      <c r="E350" s="36" t="n"/>
      <c r="F350" s="36" t="n"/>
      <c r="G350" s="44" t="n"/>
      <c r="H350" s="44" t="n"/>
      <c r="I350" s="36" t="n"/>
      <c r="J350" s="36" t="n"/>
      <c r="K350" s="41" t="n"/>
      <c r="L350" s="41" t="n"/>
      <c r="M350" s="36" t="n"/>
      <c r="N350" s="36" t="n"/>
      <c r="O350" s="32" t="n"/>
      <c r="P350" s="36" t="n"/>
      <c r="Q350" s="36" t="n"/>
      <c r="R350" s="34">
        <f>IF(P350="","",IFERROR(VLOOKUP(P350,T_Produits,2,FALSE),""))</f>
        <v/>
      </c>
      <c r="S350" s="36" t="n"/>
      <c r="T350" s="43" t="n"/>
      <c r="U350" s="43" t="n"/>
      <c r="V350" s="36" t="n"/>
      <c r="W350" s="36" t="n"/>
      <c r="X350" s="33">
        <f>IF(C350="","",Commercial_Id)</f>
        <v/>
      </c>
      <c r="Y350" s="33">
        <f>IF(E350="","",IF(E350="Particulier / ménage","Particulier","Entreprise"))</f>
        <v/>
      </c>
      <c r="Z350" s="39">
        <f>IF(C350="","",COUNTIFS(VC_cle,AK350,VC_type,"Visite sur place"))</f>
        <v/>
      </c>
      <c r="AA350" s="46">
        <f>IF(AL350=0,"",IF(INT(AL350)=0,"",INT(AL350)))</f>
        <v/>
      </c>
      <c r="AB350" s="46">
        <f>IF(AL350=0,"",IF(INDEX(VC_actiondate,ROUND(MOD(AL350,1)*100000,0)-5)=0,"",INDEX(VC_actiondate,ROUND(MOD(AL350,1)*100000,0)-5)))</f>
        <v/>
      </c>
      <c r="AC350" s="33">
        <f>IF(AL350=0,"",INDEX(VC_actiontexte,ROUND(MOD(AL350,1)*100000,0)-5)&amp;"")</f>
        <v/>
      </c>
      <c r="AD350" s="46">
        <f>IF(C350="","",IF(COUNTIFS(Cmd_cle,AK350,Cmd_dateca,"&gt;0")=0,"",SMALL(INDEX(Cmd_dateca+(((Cmd_cle&lt;&gt;AK350)+(Cmd_dateca=0))&gt;0)*1000000,0),1)))</f>
        <v/>
      </c>
      <c r="AE350" s="46">
        <f>IF(C350="","",IF(COUNTIFS(Cmd_cle,AK350,Cmd_dateca,"&gt;0")=0,"",MAX(INDEX((Cmd_cle=AK350)*Cmd_dateca,0))))</f>
        <v/>
      </c>
      <c r="AF350" s="40">
        <f>IF(C350="","",SUMIFS(Cmd_montant,Cmd_cle,AK350,Cmd_dateca,"&gt;0"))</f>
        <v/>
      </c>
      <c r="AG350" s="40">
        <f>IF(C350="","",SUMIFS(Enc_montant,Enc_cle,AK350))</f>
        <v/>
      </c>
      <c r="AH350" s="40">
        <f>IF(C350="","",AF350-AG350)</f>
        <v/>
      </c>
      <c r="AI350" s="33">
        <f>IF(C350="","",IF(D350="Perdu","",IF(AND(AB350&lt;&gt;"",N(AB350)&lt;TODAY()),"Action en retard",IF(AND(D350="Client",AE350&lt;&gt;"",TODAY()-N(AE350)&gt;P_JoursInactif),"Client inactif",IF(AND(D350="Prospect",Z350=0,O350&lt;&gt;"",TODAY()-N(O350)&gt;P_JoursNonVisite),"Jamais visité","")))))</f>
        <v/>
      </c>
      <c r="AJ350" s="33">
        <f>IF(C350="","",C350&amp;" ["&amp;TEXT(A350,"000")&amp;"]")</f>
        <v/>
      </c>
      <c r="AK350" s="33">
        <f>IF(C350="","",X350&amp;"|"&amp;A350)</f>
        <v/>
      </c>
      <c r="AL350" s="47">
        <f>IF(C350="",0,IF(COUNTIFS(VC_cle,AK350)=0,0,MAX(INDEX((VC_cle=AK350)*(VC_date+ROW(VC_date)/100000),0))))</f>
        <v/>
      </c>
      <c r="AM350" s="47">
        <f>IF(AND(C350&lt;&gt;"",N(AB350)&gt;0,D350&lt;&gt;"Perdu"),AB350+ROW()/100000,0)</f>
        <v/>
      </c>
      <c r="AN350" s="48">
        <f>IF(N(AF350)&gt;0,ROUND(AF350,0)+ROW()/1000000,0)</f>
        <v/>
      </c>
    </row>
    <row r="351" ht="18" customHeight="1">
      <c r="A351" s="39" t="n">
        <v>346</v>
      </c>
      <c r="B351" s="33">
        <f>IF(C351="","",IF(X351="À RENSEIGNER","GIC",X351)&amp;"-"&amp;TEXT(A351,"000"))</f>
        <v/>
      </c>
      <c r="C351" s="36" t="n"/>
      <c r="D351" s="34">
        <f>IF(C351="","",IF(U351="☑ Oui","Perdu",IF(AD351&lt;&gt;"","Client","Prospect")))</f>
        <v/>
      </c>
      <c r="E351" s="36" t="n"/>
      <c r="F351" s="36" t="n"/>
      <c r="G351" s="44" t="n"/>
      <c r="H351" s="44" t="n"/>
      <c r="I351" s="36" t="n"/>
      <c r="J351" s="36" t="n"/>
      <c r="K351" s="41" t="n"/>
      <c r="L351" s="41" t="n"/>
      <c r="M351" s="36" t="n"/>
      <c r="N351" s="36" t="n"/>
      <c r="O351" s="32" t="n"/>
      <c r="P351" s="36" t="n"/>
      <c r="Q351" s="36" t="n"/>
      <c r="R351" s="34">
        <f>IF(P351="","",IFERROR(VLOOKUP(P351,T_Produits,2,FALSE),""))</f>
        <v/>
      </c>
      <c r="S351" s="36" t="n"/>
      <c r="T351" s="43" t="n"/>
      <c r="U351" s="43" t="n"/>
      <c r="V351" s="36" t="n"/>
      <c r="W351" s="36" t="n"/>
      <c r="X351" s="33">
        <f>IF(C351="","",Commercial_Id)</f>
        <v/>
      </c>
      <c r="Y351" s="33">
        <f>IF(E351="","",IF(E351="Particulier / ménage","Particulier","Entreprise"))</f>
        <v/>
      </c>
      <c r="Z351" s="39">
        <f>IF(C351="","",COUNTIFS(VC_cle,AK351,VC_type,"Visite sur place"))</f>
        <v/>
      </c>
      <c r="AA351" s="46">
        <f>IF(AL351=0,"",IF(INT(AL351)=0,"",INT(AL351)))</f>
        <v/>
      </c>
      <c r="AB351" s="46">
        <f>IF(AL351=0,"",IF(INDEX(VC_actiondate,ROUND(MOD(AL351,1)*100000,0)-5)=0,"",INDEX(VC_actiondate,ROUND(MOD(AL351,1)*100000,0)-5)))</f>
        <v/>
      </c>
      <c r="AC351" s="33">
        <f>IF(AL351=0,"",INDEX(VC_actiontexte,ROUND(MOD(AL351,1)*100000,0)-5)&amp;"")</f>
        <v/>
      </c>
      <c r="AD351" s="46">
        <f>IF(C351="","",IF(COUNTIFS(Cmd_cle,AK351,Cmd_dateca,"&gt;0")=0,"",SMALL(INDEX(Cmd_dateca+(((Cmd_cle&lt;&gt;AK351)+(Cmd_dateca=0))&gt;0)*1000000,0),1)))</f>
        <v/>
      </c>
      <c r="AE351" s="46">
        <f>IF(C351="","",IF(COUNTIFS(Cmd_cle,AK351,Cmd_dateca,"&gt;0")=0,"",MAX(INDEX((Cmd_cle=AK351)*Cmd_dateca,0))))</f>
        <v/>
      </c>
      <c r="AF351" s="40">
        <f>IF(C351="","",SUMIFS(Cmd_montant,Cmd_cle,AK351,Cmd_dateca,"&gt;0"))</f>
        <v/>
      </c>
      <c r="AG351" s="40">
        <f>IF(C351="","",SUMIFS(Enc_montant,Enc_cle,AK351))</f>
        <v/>
      </c>
      <c r="AH351" s="40">
        <f>IF(C351="","",AF351-AG351)</f>
        <v/>
      </c>
      <c r="AI351" s="33">
        <f>IF(C351="","",IF(D351="Perdu","",IF(AND(AB351&lt;&gt;"",N(AB351)&lt;TODAY()),"Action en retard",IF(AND(D351="Client",AE351&lt;&gt;"",TODAY()-N(AE351)&gt;P_JoursInactif),"Client inactif",IF(AND(D351="Prospect",Z351=0,O351&lt;&gt;"",TODAY()-N(O351)&gt;P_JoursNonVisite),"Jamais visité","")))))</f>
        <v/>
      </c>
      <c r="AJ351" s="33">
        <f>IF(C351="","",C351&amp;" ["&amp;TEXT(A351,"000")&amp;"]")</f>
        <v/>
      </c>
      <c r="AK351" s="33">
        <f>IF(C351="","",X351&amp;"|"&amp;A351)</f>
        <v/>
      </c>
      <c r="AL351" s="47">
        <f>IF(C351="",0,IF(COUNTIFS(VC_cle,AK351)=0,0,MAX(INDEX((VC_cle=AK351)*(VC_date+ROW(VC_date)/100000),0))))</f>
        <v/>
      </c>
      <c r="AM351" s="47">
        <f>IF(AND(C351&lt;&gt;"",N(AB351)&gt;0,D351&lt;&gt;"Perdu"),AB351+ROW()/100000,0)</f>
        <v/>
      </c>
      <c r="AN351" s="48">
        <f>IF(N(AF351)&gt;0,ROUND(AF351,0)+ROW()/1000000,0)</f>
        <v/>
      </c>
    </row>
    <row r="352" ht="18" customHeight="1">
      <c r="A352" s="39" t="n">
        <v>347</v>
      </c>
      <c r="B352" s="33">
        <f>IF(C352="","",IF(X352="À RENSEIGNER","GIC",X352)&amp;"-"&amp;TEXT(A352,"000"))</f>
        <v/>
      </c>
      <c r="C352" s="36" t="n"/>
      <c r="D352" s="34">
        <f>IF(C352="","",IF(U352="☑ Oui","Perdu",IF(AD352&lt;&gt;"","Client","Prospect")))</f>
        <v/>
      </c>
      <c r="E352" s="36" t="n"/>
      <c r="F352" s="36" t="n"/>
      <c r="G352" s="44" t="n"/>
      <c r="H352" s="44" t="n"/>
      <c r="I352" s="36" t="n"/>
      <c r="J352" s="36" t="n"/>
      <c r="K352" s="41" t="n"/>
      <c r="L352" s="41" t="n"/>
      <c r="M352" s="36" t="n"/>
      <c r="N352" s="36" t="n"/>
      <c r="O352" s="32" t="n"/>
      <c r="P352" s="36" t="n"/>
      <c r="Q352" s="36" t="n"/>
      <c r="R352" s="34">
        <f>IF(P352="","",IFERROR(VLOOKUP(P352,T_Produits,2,FALSE),""))</f>
        <v/>
      </c>
      <c r="S352" s="36" t="n"/>
      <c r="T352" s="43" t="n"/>
      <c r="U352" s="43" t="n"/>
      <c r="V352" s="36" t="n"/>
      <c r="W352" s="36" t="n"/>
      <c r="X352" s="33">
        <f>IF(C352="","",Commercial_Id)</f>
        <v/>
      </c>
      <c r="Y352" s="33">
        <f>IF(E352="","",IF(E352="Particulier / ménage","Particulier","Entreprise"))</f>
        <v/>
      </c>
      <c r="Z352" s="39">
        <f>IF(C352="","",COUNTIFS(VC_cle,AK352,VC_type,"Visite sur place"))</f>
        <v/>
      </c>
      <c r="AA352" s="46">
        <f>IF(AL352=0,"",IF(INT(AL352)=0,"",INT(AL352)))</f>
        <v/>
      </c>
      <c r="AB352" s="46">
        <f>IF(AL352=0,"",IF(INDEX(VC_actiondate,ROUND(MOD(AL352,1)*100000,0)-5)=0,"",INDEX(VC_actiondate,ROUND(MOD(AL352,1)*100000,0)-5)))</f>
        <v/>
      </c>
      <c r="AC352" s="33">
        <f>IF(AL352=0,"",INDEX(VC_actiontexte,ROUND(MOD(AL352,1)*100000,0)-5)&amp;"")</f>
        <v/>
      </c>
      <c r="AD352" s="46">
        <f>IF(C352="","",IF(COUNTIFS(Cmd_cle,AK352,Cmd_dateca,"&gt;0")=0,"",SMALL(INDEX(Cmd_dateca+(((Cmd_cle&lt;&gt;AK352)+(Cmd_dateca=0))&gt;0)*1000000,0),1)))</f>
        <v/>
      </c>
      <c r="AE352" s="46">
        <f>IF(C352="","",IF(COUNTIFS(Cmd_cle,AK352,Cmd_dateca,"&gt;0")=0,"",MAX(INDEX((Cmd_cle=AK352)*Cmd_dateca,0))))</f>
        <v/>
      </c>
      <c r="AF352" s="40">
        <f>IF(C352="","",SUMIFS(Cmd_montant,Cmd_cle,AK352,Cmd_dateca,"&gt;0"))</f>
        <v/>
      </c>
      <c r="AG352" s="40">
        <f>IF(C352="","",SUMIFS(Enc_montant,Enc_cle,AK352))</f>
        <v/>
      </c>
      <c r="AH352" s="40">
        <f>IF(C352="","",AF352-AG352)</f>
        <v/>
      </c>
      <c r="AI352" s="33">
        <f>IF(C352="","",IF(D352="Perdu","",IF(AND(AB352&lt;&gt;"",N(AB352)&lt;TODAY()),"Action en retard",IF(AND(D352="Client",AE352&lt;&gt;"",TODAY()-N(AE352)&gt;P_JoursInactif),"Client inactif",IF(AND(D352="Prospect",Z352=0,O352&lt;&gt;"",TODAY()-N(O352)&gt;P_JoursNonVisite),"Jamais visité","")))))</f>
        <v/>
      </c>
      <c r="AJ352" s="33">
        <f>IF(C352="","",C352&amp;" ["&amp;TEXT(A352,"000")&amp;"]")</f>
        <v/>
      </c>
      <c r="AK352" s="33">
        <f>IF(C352="","",X352&amp;"|"&amp;A352)</f>
        <v/>
      </c>
      <c r="AL352" s="47">
        <f>IF(C352="",0,IF(COUNTIFS(VC_cle,AK352)=0,0,MAX(INDEX((VC_cle=AK352)*(VC_date+ROW(VC_date)/100000),0))))</f>
        <v/>
      </c>
      <c r="AM352" s="47">
        <f>IF(AND(C352&lt;&gt;"",N(AB352)&gt;0,D352&lt;&gt;"Perdu"),AB352+ROW()/100000,0)</f>
        <v/>
      </c>
      <c r="AN352" s="48">
        <f>IF(N(AF352)&gt;0,ROUND(AF352,0)+ROW()/1000000,0)</f>
        <v/>
      </c>
    </row>
    <row r="353" ht="18" customHeight="1">
      <c r="A353" s="39" t="n">
        <v>348</v>
      </c>
      <c r="B353" s="33">
        <f>IF(C353="","",IF(X353="À RENSEIGNER","GIC",X353)&amp;"-"&amp;TEXT(A353,"000"))</f>
        <v/>
      </c>
      <c r="C353" s="36" t="n"/>
      <c r="D353" s="34">
        <f>IF(C353="","",IF(U353="☑ Oui","Perdu",IF(AD353&lt;&gt;"","Client","Prospect")))</f>
        <v/>
      </c>
      <c r="E353" s="36" t="n"/>
      <c r="F353" s="36" t="n"/>
      <c r="G353" s="44" t="n"/>
      <c r="H353" s="44" t="n"/>
      <c r="I353" s="36" t="n"/>
      <c r="J353" s="36" t="n"/>
      <c r="K353" s="41" t="n"/>
      <c r="L353" s="41" t="n"/>
      <c r="M353" s="36" t="n"/>
      <c r="N353" s="36" t="n"/>
      <c r="O353" s="32" t="n"/>
      <c r="P353" s="36" t="n"/>
      <c r="Q353" s="36" t="n"/>
      <c r="R353" s="34">
        <f>IF(P353="","",IFERROR(VLOOKUP(P353,T_Produits,2,FALSE),""))</f>
        <v/>
      </c>
      <c r="S353" s="36" t="n"/>
      <c r="T353" s="43" t="n"/>
      <c r="U353" s="43" t="n"/>
      <c r="V353" s="36" t="n"/>
      <c r="W353" s="36" t="n"/>
      <c r="X353" s="33">
        <f>IF(C353="","",Commercial_Id)</f>
        <v/>
      </c>
      <c r="Y353" s="33">
        <f>IF(E353="","",IF(E353="Particulier / ménage","Particulier","Entreprise"))</f>
        <v/>
      </c>
      <c r="Z353" s="39">
        <f>IF(C353="","",COUNTIFS(VC_cle,AK353,VC_type,"Visite sur place"))</f>
        <v/>
      </c>
      <c r="AA353" s="46">
        <f>IF(AL353=0,"",IF(INT(AL353)=0,"",INT(AL353)))</f>
        <v/>
      </c>
      <c r="AB353" s="46">
        <f>IF(AL353=0,"",IF(INDEX(VC_actiondate,ROUND(MOD(AL353,1)*100000,0)-5)=0,"",INDEX(VC_actiondate,ROUND(MOD(AL353,1)*100000,0)-5)))</f>
        <v/>
      </c>
      <c r="AC353" s="33">
        <f>IF(AL353=0,"",INDEX(VC_actiontexte,ROUND(MOD(AL353,1)*100000,0)-5)&amp;"")</f>
        <v/>
      </c>
      <c r="AD353" s="46">
        <f>IF(C353="","",IF(COUNTIFS(Cmd_cle,AK353,Cmd_dateca,"&gt;0")=0,"",SMALL(INDEX(Cmd_dateca+(((Cmd_cle&lt;&gt;AK353)+(Cmd_dateca=0))&gt;0)*1000000,0),1)))</f>
        <v/>
      </c>
      <c r="AE353" s="46">
        <f>IF(C353="","",IF(COUNTIFS(Cmd_cle,AK353,Cmd_dateca,"&gt;0")=0,"",MAX(INDEX((Cmd_cle=AK353)*Cmd_dateca,0))))</f>
        <v/>
      </c>
      <c r="AF353" s="40">
        <f>IF(C353="","",SUMIFS(Cmd_montant,Cmd_cle,AK353,Cmd_dateca,"&gt;0"))</f>
        <v/>
      </c>
      <c r="AG353" s="40">
        <f>IF(C353="","",SUMIFS(Enc_montant,Enc_cle,AK353))</f>
        <v/>
      </c>
      <c r="AH353" s="40">
        <f>IF(C353="","",AF353-AG353)</f>
        <v/>
      </c>
      <c r="AI353" s="33">
        <f>IF(C353="","",IF(D353="Perdu","",IF(AND(AB353&lt;&gt;"",N(AB353)&lt;TODAY()),"Action en retard",IF(AND(D353="Client",AE353&lt;&gt;"",TODAY()-N(AE353)&gt;P_JoursInactif),"Client inactif",IF(AND(D353="Prospect",Z353=0,O353&lt;&gt;"",TODAY()-N(O353)&gt;P_JoursNonVisite),"Jamais visité","")))))</f>
        <v/>
      </c>
      <c r="AJ353" s="33">
        <f>IF(C353="","",C353&amp;" ["&amp;TEXT(A353,"000")&amp;"]")</f>
        <v/>
      </c>
      <c r="AK353" s="33">
        <f>IF(C353="","",X353&amp;"|"&amp;A353)</f>
        <v/>
      </c>
      <c r="AL353" s="47">
        <f>IF(C353="",0,IF(COUNTIFS(VC_cle,AK353)=0,0,MAX(INDEX((VC_cle=AK353)*(VC_date+ROW(VC_date)/100000),0))))</f>
        <v/>
      </c>
      <c r="AM353" s="47">
        <f>IF(AND(C353&lt;&gt;"",N(AB353)&gt;0,D353&lt;&gt;"Perdu"),AB353+ROW()/100000,0)</f>
        <v/>
      </c>
      <c r="AN353" s="48">
        <f>IF(N(AF353)&gt;0,ROUND(AF353,0)+ROW()/1000000,0)</f>
        <v/>
      </c>
    </row>
    <row r="354" ht="18" customHeight="1">
      <c r="A354" s="39" t="n">
        <v>349</v>
      </c>
      <c r="B354" s="33">
        <f>IF(C354="","",IF(X354="À RENSEIGNER","GIC",X354)&amp;"-"&amp;TEXT(A354,"000"))</f>
        <v/>
      </c>
      <c r="C354" s="36" t="n"/>
      <c r="D354" s="34">
        <f>IF(C354="","",IF(U354="☑ Oui","Perdu",IF(AD354&lt;&gt;"","Client","Prospect")))</f>
        <v/>
      </c>
      <c r="E354" s="36" t="n"/>
      <c r="F354" s="36" t="n"/>
      <c r="G354" s="44" t="n"/>
      <c r="H354" s="44" t="n"/>
      <c r="I354" s="36" t="n"/>
      <c r="J354" s="36" t="n"/>
      <c r="K354" s="41" t="n"/>
      <c r="L354" s="41" t="n"/>
      <c r="M354" s="36" t="n"/>
      <c r="N354" s="36" t="n"/>
      <c r="O354" s="32" t="n"/>
      <c r="P354" s="36" t="n"/>
      <c r="Q354" s="36" t="n"/>
      <c r="R354" s="34">
        <f>IF(P354="","",IFERROR(VLOOKUP(P354,T_Produits,2,FALSE),""))</f>
        <v/>
      </c>
      <c r="S354" s="36" t="n"/>
      <c r="T354" s="43" t="n"/>
      <c r="U354" s="43" t="n"/>
      <c r="V354" s="36" t="n"/>
      <c r="W354" s="36" t="n"/>
      <c r="X354" s="33">
        <f>IF(C354="","",Commercial_Id)</f>
        <v/>
      </c>
      <c r="Y354" s="33">
        <f>IF(E354="","",IF(E354="Particulier / ménage","Particulier","Entreprise"))</f>
        <v/>
      </c>
      <c r="Z354" s="39">
        <f>IF(C354="","",COUNTIFS(VC_cle,AK354,VC_type,"Visite sur place"))</f>
        <v/>
      </c>
      <c r="AA354" s="46">
        <f>IF(AL354=0,"",IF(INT(AL354)=0,"",INT(AL354)))</f>
        <v/>
      </c>
      <c r="AB354" s="46">
        <f>IF(AL354=0,"",IF(INDEX(VC_actiondate,ROUND(MOD(AL354,1)*100000,0)-5)=0,"",INDEX(VC_actiondate,ROUND(MOD(AL354,1)*100000,0)-5)))</f>
        <v/>
      </c>
      <c r="AC354" s="33">
        <f>IF(AL354=0,"",INDEX(VC_actiontexte,ROUND(MOD(AL354,1)*100000,0)-5)&amp;"")</f>
        <v/>
      </c>
      <c r="AD354" s="46">
        <f>IF(C354="","",IF(COUNTIFS(Cmd_cle,AK354,Cmd_dateca,"&gt;0")=0,"",SMALL(INDEX(Cmd_dateca+(((Cmd_cle&lt;&gt;AK354)+(Cmd_dateca=0))&gt;0)*1000000,0),1)))</f>
        <v/>
      </c>
      <c r="AE354" s="46">
        <f>IF(C354="","",IF(COUNTIFS(Cmd_cle,AK354,Cmd_dateca,"&gt;0")=0,"",MAX(INDEX((Cmd_cle=AK354)*Cmd_dateca,0))))</f>
        <v/>
      </c>
      <c r="AF354" s="40">
        <f>IF(C354="","",SUMIFS(Cmd_montant,Cmd_cle,AK354,Cmd_dateca,"&gt;0"))</f>
        <v/>
      </c>
      <c r="AG354" s="40">
        <f>IF(C354="","",SUMIFS(Enc_montant,Enc_cle,AK354))</f>
        <v/>
      </c>
      <c r="AH354" s="40">
        <f>IF(C354="","",AF354-AG354)</f>
        <v/>
      </c>
      <c r="AI354" s="33">
        <f>IF(C354="","",IF(D354="Perdu","",IF(AND(AB354&lt;&gt;"",N(AB354)&lt;TODAY()),"Action en retard",IF(AND(D354="Client",AE354&lt;&gt;"",TODAY()-N(AE354)&gt;P_JoursInactif),"Client inactif",IF(AND(D354="Prospect",Z354=0,O354&lt;&gt;"",TODAY()-N(O354)&gt;P_JoursNonVisite),"Jamais visité","")))))</f>
        <v/>
      </c>
      <c r="AJ354" s="33">
        <f>IF(C354="","",C354&amp;" ["&amp;TEXT(A354,"000")&amp;"]")</f>
        <v/>
      </c>
      <c r="AK354" s="33">
        <f>IF(C354="","",X354&amp;"|"&amp;A354)</f>
        <v/>
      </c>
      <c r="AL354" s="47">
        <f>IF(C354="",0,IF(COUNTIFS(VC_cle,AK354)=0,0,MAX(INDEX((VC_cle=AK354)*(VC_date+ROW(VC_date)/100000),0))))</f>
        <v/>
      </c>
      <c r="AM354" s="47">
        <f>IF(AND(C354&lt;&gt;"",N(AB354)&gt;0,D354&lt;&gt;"Perdu"),AB354+ROW()/100000,0)</f>
        <v/>
      </c>
      <c r="AN354" s="48">
        <f>IF(N(AF354)&gt;0,ROUND(AF354,0)+ROW()/1000000,0)</f>
        <v/>
      </c>
    </row>
    <row r="355" ht="18" customHeight="1">
      <c r="A355" s="39" t="n">
        <v>350</v>
      </c>
      <c r="B355" s="33">
        <f>IF(C355="","",IF(X355="À RENSEIGNER","GIC",X355)&amp;"-"&amp;TEXT(A355,"000"))</f>
        <v/>
      </c>
      <c r="C355" s="36" t="n"/>
      <c r="D355" s="34">
        <f>IF(C355="","",IF(U355="☑ Oui","Perdu",IF(AD355&lt;&gt;"","Client","Prospect")))</f>
        <v/>
      </c>
      <c r="E355" s="36" t="n"/>
      <c r="F355" s="36" t="n"/>
      <c r="G355" s="44" t="n"/>
      <c r="H355" s="44" t="n"/>
      <c r="I355" s="36" t="n"/>
      <c r="J355" s="36" t="n"/>
      <c r="K355" s="41" t="n"/>
      <c r="L355" s="41" t="n"/>
      <c r="M355" s="36" t="n"/>
      <c r="N355" s="36" t="n"/>
      <c r="O355" s="32" t="n"/>
      <c r="P355" s="36" t="n"/>
      <c r="Q355" s="36" t="n"/>
      <c r="R355" s="34">
        <f>IF(P355="","",IFERROR(VLOOKUP(P355,T_Produits,2,FALSE),""))</f>
        <v/>
      </c>
      <c r="S355" s="36" t="n"/>
      <c r="T355" s="43" t="n"/>
      <c r="U355" s="43" t="n"/>
      <c r="V355" s="36" t="n"/>
      <c r="W355" s="36" t="n"/>
      <c r="X355" s="33">
        <f>IF(C355="","",Commercial_Id)</f>
        <v/>
      </c>
      <c r="Y355" s="33">
        <f>IF(E355="","",IF(E355="Particulier / ménage","Particulier","Entreprise"))</f>
        <v/>
      </c>
      <c r="Z355" s="39">
        <f>IF(C355="","",COUNTIFS(VC_cle,AK355,VC_type,"Visite sur place"))</f>
        <v/>
      </c>
      <c r="AA355" s="46">
        <f>IF(AL355=0,"",IF(INT(AL355)=0,"",INT(AL355)))</f>
        <v/>
      </c>
      <c r="AB355" s="46">
        <f>IF(AL355=0,"",IF(INDEX(VC_actiondate,ROUND(MOD(AL355,1)*100000,0)-5)=0,"",INDEX(VC_actiondate,ROUND(MOD(AL355,1)*100000,0)-5)))</f>
        <v/>
      </c>
      <c r="AC355" s="33">
        <f>IF(AL355=0,"",INDEX(VC_actiontexte,ROUND(MOD(AL355,1)*100000,0)-5)&amp;"")</f>
        <v/>
      </c>
      <c r="AD355" s="46">
        <f>IF(C355="","",IF(COUNTIFS(Cmd_cle,AK355,Cmd_dateca,"&gt;0")=0,"",SMALL(INDEX(Cmd_dateca+(((Cmd_cle&lt;&gt;AK355)+(Cmd_dateca=0))&gt;0)*1000000,0),1)))</f>
        <v/>
      </c>
      <c r="AE355" s="46">
        <f>IF(C355="","",IF(COUNTIFS(Cmd_cle,AK355,Cmd_dateca,"&gt;0")=0,"",MAX(INDEX((Cmd_cle=AK355)*Cmd_dateca,0))))</f>
        <v/>
      </c>
      <c r="AF355" s="40">
        <f>IF(C355="","",SUMIFS(Cmd_montant,Cmd_cle,AK355,Cmd_dateca,"&gt;0"))</f>
        <v/>
      </c>
      <c r="AG355" s="40">
        <f>IF(C355="","",SUMIFS(Enc_montant,Enc_cle,AK355))</f>
        <v/>
      </c>
      <c r="AH355" s="40">
        <f>IF(C355="","",AF355-AG355)</f>
        <v/>
      </c>
      <c r="AI355" s="33">
        <f>IF(C355="","",IF(D355="Perdu","",IF(AND(AB355&lt;&gt;"",N(AB355)&lt;TODAY()),"Action en retard",IF(AND(D355="Client",AE355&lt;&gt;"",TODAY()-N(AE355)&gt;P_JoursInactif),"Client inactif",IF(AND(D355="Prospect",Z355=0,O355&lt;&gt;"",TODAY()-N(O355)&gt;P_JoursNonVisite),"Jamais visité","")))))</f>
        <v/>
      </c>
      <c r="AJ355" s="33">
        <f>IF(C355="","",C355&amp;" ["&amp;TEXT(A355,"000")&amp;"]")</f>
        <v/>
      </c>
      <c r="AK355" s="33">
        <f>IF(C355="","",X355&amp;"|"&amp;A355)</f>
        <v/>
      </c>
      <c r="AL355" s="47">
        <f>IF(C355="",0,IF(COUNTIFS(VC_cle,AK355)=0,0,MAX(INDEX((VC_cle=AK355)*(VC_date+ROW(VC_date)/100000),0))))</f>
        <v/>
      </c>
      <c r="AM355" s="47">
        <f>IF(AND(C355&lt;&gt;"",N(AB355)&gt;0,D355&lt;&gt;"Perdu"),AB355+ROW()/100000,0)</f>
        <v/>
      </c>
      <c r="AN355" s="48">
        <f>IF(N(AF355)&gt;0,ROUND(AF355,0)+ROW()/1000000,0)</f>
        <v/>
      </c>
    </row>
    <row r="356" ht="18" customHeight="1">
      <c r="A356" s="39" t="n">
        <v>351</v>
      </c>
      <c r="B356" s="33">
        <f>IF(C356="","",IF(X356="À RENSEIGNER","GIC",X356)&amp;"-"&amp;TEXT(A356,"000"))</f>
        <v/>
      </c>
      <c r="C356" s="36" t="n"/>
      <c r="D356" s="34">
        <f>IF(C356="","",IF(U356="☑ Oui","Perdu",IF(AD356&lt;&gt;"","Client","Prospect")))</f>
        <v/>
      </c>
      <c r="E356" s="36" t="n"/>
      <c r="F356" s="36" t="n"/>
      <c r="G356" s="44" t="n"/>
      <c r="H356" s="44" t="n"/>
      <c r="I356" s="36" t="n"/>
      <c r="J356" s="36" t="n"/>
      <c r="K356" s="41" t="n"/>
      <c r="L356" s="41" t="n"/>
      <c r="M356" s="36" t="n"/>
      <c r="N356" s="36" t="n"/>
      <c r="O356" s="32" t="n"/>
      <c r="P356" s="36" t="n"/>
      <c r="Q356" s="36" t="n"/>
      <c r="R356" s="34">
        <f>IF(P356="","",IFERROR(VLOOKUP(P356,T_Produits,2,FALSE),""))</f>
        <v/>
      </c>
      <c r="S356" s="36" t="n"/>
      <c r="T356" s="43" t="n"/>
      <c r="U356" s="43" t="n"/>
      <c r="V356" s="36" t="n"/>
      <c r="W356" s="36" t="n"/>
      <c r="X356" s="33">
        <f>IF(C356="","",Commercial_Id)</f>
        <v/>
      </c>
      <c r="Y356" s="33">
        <f>IF(E356="","",IF(E356="Particulier / ménage","Particulier","Entreprise"))</f>
        <v/>
      </c>
      <c r="Z356" s="39">
        <f>IF(C356="","",COUNTIFS(VC_cle,AK356,VC_type,"Visite sur place"))</f>
        <v/>
      </c>
      <c r="AA356" s="46">
        <f>IF(AL356=0,"",IF(INT(AL356)=0,"",INT(AL356)))</f>
        <v/>
      </c>
      <c r="AB356" s="46">
        <f>IF(AL356=0,"",IF(INDEX(VC_actiondate,ROUND(MOD(AL356,1)*100000,0)-5)=0,"",INDEX(VC_actiondate,ROUND(MOD(AL356,1)*100000,0)-5)))</f>
        <v/>
      </c>
      <c r="AC356" s="33">
        <f>IF(AL356=0,"",INDEX(VC_actiontexte,ROUND(MOD(AL356,1)*100000,0)-5)&amp;"")</f>
        <v/>
      </c>
      <c r="AD356" s="46">
        <f>IF(C356="","",IF(COUNTIFS(Cmd_cle,AK356,Cmd_dateca,"&gt;0")=0,"",SMALL(INDEX(Cmd_dateca+(((Cmd_cle&lt;&gt;AK356)+(Cmd_dateca=0))&gt;0)*1000000,0),1)))</f>
        <v/>
      </c>
      <c r="AE356" s="46">
        <f>IF(C356="","",IF(COUNTIFS(Cmd_cle,AK356,Cmd_dateca,"&gt;0")=0,"",MAX(INDEX((Cmd_cle=AK356)*Cmd_dateca,0))))</f>
        <v/>
      </c>
      <c r="AF356" s="40">
        <f>IF(C356="","",SUMIFS(Cmd_montant,Cmd_cle,AK356,Cmd_dateca,"&gt;0"))</f>
        <v/>
      </c>
      <c r="AG356" s="40">
        <f>IF(C356="","",SUMIFS(Enc_montant,Enc_cle,AK356))</f>
        <v/>
      </c>
      <c r="AH356" s="40">
        <f>IF(C356="","",AF356-AG356)</f>
        <v/>
      </c>
      <c r="AI356" s="33">
        <f>IF(C356="","",IF(D356="Perdu","",IF(AND(AB356&lt;&gt;"",N(AB356)&lt;TODAY()),"Action en retard",IF(AND(D356="Client",AE356&lt;&gt;"",TODAY()-N(AE356)&gt;P_JoursInactif),"Client inactif",IF(AND(D356="Prospect",Z356=0,O356&lt;&gt;"",TODAY()-N(O356)&gt;P_JoursNonVisite),"Jamais visité","")))))</f>
        <v/>
      </c>
      <c r="AJ356" s="33">
        <f>IF(C356="","",C356&amp;" ["&amp;TEXT(A356,"000")&amp;"]")</f>
        <v/>
      </c>
      <c r="AK356" s="33">
        <f>IF(C356="","",X356&amp;"|"&amp;A356)</f>
        <v/>
      </c>
      <c r="AL356" s="47">
        <f>IF(C356="",0,IF(COUNTIFS(VC_cle,AK356)=0,0,MAX(INDEX((VC_cle=AK356)*(VC_date+ROW(VC_date)/100000),0))))</f>
        <v/>
      </c>
      <c r="AM356" s="47">
        <f>IF(AND(C356&lt;&gt;"",N(AB356)&gt;0,D356&lt;&gt;"Perdu"),AB356+ROW()/100000,0)</f>
        <v/>
      </c>
      <c r="AN356" s="48">
        <f>IF(N(AF356)&gt;0,ROUND(AF356,0)+ROW()/1000000,0)</f>
        <v/>
      </c>
    </row>
    <row r="357" ht="18" customHeight="1">
      <c r="A357" s="39" t="n">
        <v>352</v>
      </c>
      <c r="B357" s="33">
        <f>IF(C357="","",IF(X357="À RENSEIGNER","GIC",X357)&amp;"-"&amp;TEXT(A357,"000"))</f>
        <v/>
      </c>
      <c r="C357" s="36" t="n"/>
      <c r="D357" s="34">
        <f>IF(C357="","",IF(U357="☑ Oui","Perdu",IF(AD357&lt;&gt;"","Client","Prospect")))</f>
        <v/>
      </c>
      <c r="E357" s="36" t="n"/>
      <c r="F357" s="36" t="n"/>
      <c r="G357" s="44" t="n"/>
      <c r="H357" s="44" t="n"/>
      <c r="I357" s="36" t="n"/>
      <c r="J357" s="36" t="n"/>
      <c r="K357" s="41" t="n"/>
      <c r="L357" s="41" t="n"/>
      <c r="M357" s="36" t="n"/>
      <c r="N357" s="36" t="n"/>
      <c r="O357" s="32" t="n"/>
      <c r="P357" s="36" t="n"/>
      <c r="Q357" s="36" t="n"/>
      <c r="R357" s="34">
        <f>IF(P357="","",IFERROR(VLOOKUP(P357,T_Produits,2,FALSE),""))</f>
        <v/>
      </c>
      <c r="S357" s="36" t="n"/>
      <c r="T357" s="43" t="n"/>
      <c r="U357" s="43" t="n"/>
      <c r="V357" s="36" t="n"/>
      <c r="W357" s="36" t="n"/>
      <c r="X357" s="33">
        <f>IF(C357="","",Commercial_Id)</f>
        <v/>
      </c>
      <c r="Y357" s="33">
        <f>IF(E357="","",IF(E357="Particulier / ménage","Particulier","Entreprise"))</f>
        <v/>
      </c>
      <c r="Z357" s="39">
        <f>IF(C357="","",COUNTIFS(VC_cle,AK357,VC_type,"Visite sur place"))</f>
        <v/>
      </c>
      <c r="AA357" s="46">
        <f>IF(AL357=0,"",IF(INT(AL357)=0,"",INT(AL357)))</f>
        <v/>
      </c>
      <c r="AB357" s="46">
        <f>IF(AL357=0,"",IF(INDEX(VC_actiondate,ROUND(MOD(AL357,1)*100000,0)-5)=0,"",INDEX(VC_actiondate,ROUND(MOD(AL357,1)*100000,0)-5)))</f>
        <v/>
      </c>
      <c r="AC357" s="33">
        <f>IF(AL357=0,"",INDEX(VC_actiontexte,ROUND(MOD(AL357,1)*100000,0)-5)&amp;"")</f>
        <v/>
      </c>
      <c r="AD357" s="46">
        <f>IF(C357="","",IF(COUNTIFS(Cmd_cle,AK357,Cmd_dateca,"&gt;0")=0,"",SMALL(INDEX(Cmd_dateca+(((Cmd_cle&lt;&gt;AK357)+(Cmd_dateca=0))&gt;0)*1000000,0),1)))</f>
        <v/>
      </c>
      <c r="AE357" s="46">
        <f>IF(C357="","",IF(COUNTIFS(Cmd_cle,AK357,Cmd_dateca,"&gt;0")=0,"",MAX(INDEX((Cmd_cle=AK357)*Cmd_dateca,0))))</f>
        <v/>
      </c>
      <c r="AF357" s="40">
        <f>IF(C357="","",SUMIFS(Cmd_montant,Cmd_cle,AK357,Cmd_dateca,"&gt;0"))</f>
        <v/>
      </c>
      <c r="AG357" s="40">
        <f>IF(C357="","",SUMIFS(Enc_montant,Enc_cle,AK357))</f>
        <v/>
      </c>
      <c r="AH357" s="40">
        <f>IF(C357="","",AF357-AG357)</f>
        <v/>
      </c>
      <c r="AI357" s="33">
        <f>IF(C357="","",IF(D357="Perdu","",IF(AND(AB357&lt;&gt;"",N(AB357)&lt;TODAY()),"Action en retard",IF(AND(D357="Client",AE357&lt;&gt;"",TODAY()-N(AE357)&gt;P_JoursInactif),"Client inactif",IF(AND(D357="Prospect",Z357=0,O357&lt;&gt;"",TODAY()-N(O357)&gt;P_JoursNonVisite),"Jamais visité","")))))</f>
        <v/>
      </c>
      <c r="AJ357" s="33">
        <f>IF(C357="","",C357&amp;" ["&amp;TEXT(A357,"000")&amp;"]")</f>
        <v/>
      </c>
      <c r="AK357" s="33">
        <f>IF(C357="","",X357&amp;"|"&amp;A357)</f>
        <v/>
      </c>
      <c r="AL357" s="47">
        <f>IF(C357="",0,IF(COUNTIFS(VC_cle,AK357)=0,0,MAX(INDEX((VC_cle=AK357)*(VC_date+ROW(VC_date)/100000),0))))</f>
        <v/>
      </c>
      <c r="AM357" s="47">
        <f>IF(AND(C357&lt;&gt;"",N(AB357)&gt;0,D357&lt;&gt;"Perdu"),AB357+ROW()/100000,0)</f>
        <v/>
      </c>
      <c r="AN357" s="48">
        <f>IF(N(AF357)&gt;0,ROUND(AF357,0)+ROW()/1000000,0)</f>
        <v/>
      </c>
    </row>
    <row r="358" ht="18" customHeight="1">
      <c r="A358" s="39" t="n">
        <v>353</v>
      </c>
      <c r="B358" s="33">
        <f>IF(C358="","",IF(X358="À RENSEIGNER","GIC",X358)&amp;"-"&amp;TEXT(A358,"000"))</f>
        <v/>
      </c>
      <c r="C358" s="36" t="n"/>
      <c r="D358" s="34">
        <f>IF(C358="","",IF(U358="☑ Oui","Perdu",IF(AD358&lt;&gt;"","Client","Prospect")))</f>
        <v/>
      </c>
      <c r="E358" s="36" t="n"/>
      <c r="F358" s="36" t="n"/>
      <c r="G358" s="44" t="n"/>
      <c r="H358" s="44" t="n"/>
      <c r="I358" s="36" t="n"/>
      <c r="J358" s="36" t="n"/>
      <c r="K358" s="41" t="n"/>
      <c r="L358" s="41" t="n"/>
      <c r="M358" s="36" t="n"/>
      <c r="N358" s="36" t="n"/>
      <c r="O358" s="32" t="n"/>
      <c r="P358" s="36" t="n"/>
      <c r="Q358" s="36" t="n"/>
      <c r="R358" s="34">
        <f>IF(P358="","",IFERROR(VLOOKUP(P358,T_Produits,2,FALSE),""))</f>
        <v/>
      </c>
      <c r="S358" s="36" t="n"/>
      <c r="T358" s="43" t="n"/>
      <c r="U358" s="43" t="n"/>
      <c r="V358" s="36" t="n"/>
      <c r="W358" s="36" t="n"/>
      <c r="X358" s="33">
        <f>IF(C358="","",Commercial_Id)</f>
        <v/>
      </c>
      <c r="Y358" s="33">
        <f>IF(E358="","",IF(E358="Particulier / ménage","Particulier","Entreprise"))</f>
        <v/>
      </c>
      <c r="Z358" s="39">
        <f>IF(C358="","",COUNTIFS(VC_cle,AK358,VC_type,"Visite sur place"))</f>
        <v/>
      </c>
      <c r="AA358" s="46">
        <f>IF(AL358=0,"",IF(INT(AL358)=0,"",INT(AL358)))</f>
        <v/>
      </c>
      <c r="AB358" s="46">
        <f>IF(AL358=0,"",IF(INDEX(VC_actiondate,ROUND(MOD(AL358,1)*100000,0)-5)=0,"",INDEX(VC_actiondate,ROUND(MOD(AL358,1)*100000,0)-5)))</f>
        <v/>
      </c>
      <c r="AC358" s="33">
        <f>IF(AL358=0,"",INDEX(VC_actiontexte,ROUND(MOD(AL358,1)*100000,0)-5)&amp;"")</f>
        <v/>
      </c>
      <c r="AD358" s="46">
        <f>IF(C358="","",IF(COUNTIFS(Cmd_cle,AK358,Cmd_dateca,"&gt;0")=0,"",SMALL(INDEX(Cmd_dateca+(((Cmd_cle&lt;&gt;AK358)+(Cmd_dateca=0))&gt;0)*1000000,0),1)))</f>
        <v/>
      </c>
      <c r="AE358" s="46">
        <f>IF(C358="","",IF(COUNTIFS(Cmd_cle,AK358,Cmd_dateca,"&gt;0")=0,"",MAX(INDEX((Cmd_cle=AK358)*Cmd_dateca,0))))</f>
        <v/>
      </c>
      <c r="AF358" s="40">
        <f>IF(C358="","",SUMIFS(Cmd_montant,Cmd_cle,AK358,Cmd_dateca,"&gt;0"))</f>
        <v/>
      </c>
      <c r="AG358" s="40">
        <f>IF(C358="","",SUMIFS(Enc_montant,Enc_cle,AK358))</f>
        <v/>
      </c>
      <c r="AH358" s="40">
        <f>IF(C358="","",AF358-AG358)</f>
        <v/>
      </c>
      <c r="AI358" s="33">
        <f>IF(C358="","",IF(D358="Perdu","",IF(AND(AB358&lt;&gt;"",N(AB358)&lt;TODAY()),"Action en retard",IF(AND(D358="Client",AE358&lt;&gt;"",TODAY()-N(AE358)&gt;P_JoursInactif),"Client inactif",IF(AND(D358="Prospect",Z358=0,O358&lt;&gt;"",TODAY()-N(O358)&gt;P_JoursNonVisite),"Jamais visité","")))))</f>
        <v/>
      </c>
      <c r="AJ358" s="33">
        <f>IF(C358="","",C358&amp;" ["&amp;TEXT(A358,"000")&amp;"]")</f>
        <v/>
      </c>
      <c r="AK358" s="33">
        <f>IF(C358="","",X358&amp;"|"&amp;A358)</f>
        <v/>
      </c>
      <c r="AL358" s="47">
        <f>IF(C358="",0,IF(COUNTIFS(VC_cle,AK358)=0,0,MAX(INDEX((VC_cle=AK358)*(VC_date+ROW(VC_date)/100000),0))))</f>
        <v/>
      </c>
      <c r="AM358" s="47">
        <f>IF(AND(C358&lt;&gt;"",N(AB358)&gt;0,D358&lt;&gt;"Perdu"),AB358+ROW()/100000,0)</f>
        <v/>
      </c>
      <c r="AN358" s="48">
        <f>IF(N(AF358)&gt;0,ROUND(AF358,0)+ROW()/1000000,0)</f>
        <v/>
      </c>
    </row>
    <row r="359" ht="18" customHeight="1">
      <c r="A359" s="39" t="n">
        <v>354</v>
      </c>
      <c r="B359" s="33">
        <f>IF(C359="","",IF(X359="À RENSEIGNER","GIC",X359)&amp;"-"&amp;TEXT(A359,"000"))</f>
        <v/>
      </c>
      <c r="C359" s="36" t="n"/>
      <c r="D359" s="34">
        <f>IF(C359="","",IF(U359="☑ Oui","Perdu",IF(AD359&lt;&gt;"","Client","Prospect")))</f>
        <v/>
      </c>
      <c r="E359" s="36" t="n"/>
      <c r="F359" s="36" t="n"/>
      <c r="G359" s="44" t="n"/>
      <c r="H359" s="44" t="n"/>
      <c r="I359" s="36" t="n"/>
      <c r="J359" s="36" t="n"/>
      <c r="K359" s="41" t="n"/>
      <c r="L359" s="41" t="n"/>
      <c r="M359" s="36" t="n"/>
      <c r="N359" s="36" t="n"/>
      <c r="O359" s="32" t="n"/>
      <c r="P359" s="36" t="n"/>
      <c r="Q359" s="36" t="n"/>
      <c r="R359" s="34">
        <f>IF(P359="","",IFERROR(VLOOKUP(P359,T_Produits,2,FALSE),""))</f>
        <v/>
      </c>
      <c r="S359" s="36" t="n"/>
      <c r="T359" s="43" t="n"/>
      <c r="U359" s="43" t="n"/>
      <c r="V359" s="36" t="n"/>
      <c r="W359" s="36" t="n"/>
      <c r="X359" s="33">
        <f>IF(C359="","",Commercial_Id)</f>
        <v/>
      </c>
      <c r="Y359" s="33">
        <f>IF(E359="","",IF(E359="Particulier / ménage","Particulier","Entreprise"))</f>
        <v/>
      </c>
      <c r="Z359" s="39">
        <f>IF(C359="","",COUNTIFS(VC_cle,AK359,VC_type,"Visite sur place"))</f>
        <v/>
      </c>
      <c r="AA359" s="46">
        <f>IF(AL359=0,"",IF(INT(AL359)=0,"",INT(AL359)))</f>
        <v/>
      </c>
      <c r="AB359" s="46">
        <f>IF(AL359=0,"",IF(INDEX(VC_actiondate,ROUND(MOD(AL359,1)*100000,0)-5)=0,"",INDEX(VC_actiondate,ROUND(MOD(AL359,1)*100000,0)-5)))</f>
        <v/>
      </c>
      <c r="AC359" s="33">
        <f>IF(AL359=0,"",INDEX(VC_actiontexte,ROUND(MOD(AL359,1)*100000,0)-5)&amp;"")</f>
        <v/>
      </c>
      <c r="AD359" s="46">
        <f>IF(C359="","",IF(COUNTIFS(Cmd_cle,AK359,Cmd_dateca,"&gt;0")=0,"",SMALL(INDEX(Cmd_dateca+(((Cmd_cle&lt;&gt;AK359)+(Cmd_dateca=0))&gt;0)*1000000,0),1)))</f>
        <v/>
      </c>
      <c r="AE359" s="46">
        <f>IF(C359="","",IF(COUNTIFS(Cmd_cle,AK359,Cmd_dateca,"&gt;0")=0,"",MAX(INDEX((Cmd_cle=AK359)*Cmd_dateca,0))))</f>
        <v/>
      </c>
      <c r="AF359" s="40">
        <f>IF(C359="","",SUMIFS(Cmd_montant,Cmd_cle,AK359,Cmd_dateca,"&gt;0"))</f>
        <v/>
      </c>
      <c r="AG359" s="40">
        <f>IF(C359="","",SUMIFS(Enc_montant,Enc_cle,AK359))</f>
        <v/>
      </c>
      <c r="AH359" s="40">
        <f>IF(C359="","",AF359-AG359)</f>
        <v/>
      </c>
      <c r="AI359" s="33">
        <f>IF(C359="","",IF(D359="Perdu","",IF(AND(AB359&lt;&gt;"",N(AB359)&lt;TODAY()),"Action en retard",IF(AND(D359="Client",AE359&lt;&gt;"",TODAY()-N(AE359)&gt;P_JoursInactif),"Client inactif",IF(AND(D359="Prospect",Z359=0,O359&lt;&gt;"",TODAY()-N(O359)&gt;P_JoursNonVisite),"Jamais visité","")))))</f>
        <v/>
      </c>
      <c r="AJ359" s="33">
        <f>IF(C359="","",C359&amp;" ["&amp;TEXT(A359,"000")&amp;"]")</f>
        <v/>
      </c>
      <c r="AK359" s="33">
        <f>IF(C359="","",X359&amp;"|"&amp;A359)</f>
        <v/>
      </c>
      <c r="AL359" s="47">
        <f>IF(C359="",0,IF(COUNTIFS(VC_cle,AK359)=0,0,MAX(INDEX((VC_cle=AK359)*(VC_date+ROW(VC_date)/100000),0))))</f>
        <v/>
      </c>
      <c r="AM359" s="47">
        <f>IF(AND(C359&lt;&gt;"",N(AB359)&gt;0,D359&lt;&gt;"Perdu"),AB359+ROW()/100000,0)</f>
        <v/>
      </c>
      <c r="AN359" s="48">
        <f>IF(N(AF359)&gt;0,ROUND(AF359,0)+ROW()/1000000,0)</f>
        <v/>
      </c>
    </row>
    <row r="360" ht="18" customHeight="1">
      <c r="A360" s="39" t="n">
        <v>355</v>
      </c>
      <c r="B360" s="33">
        <f>IF(C360="","",IF(X360="À RENSEIGNER","GIC",X360)&amp;"-"&amp;TEXT(A360,"000"))</f>
        <v/>
      </c>
      <c r="C360" s="36" t="n"/>
      <c r="D360" s="34">
        <f>IF(C360="","",IF(U360="☑ Oui","Perdu",IF(AD360&lt;&gt;"","Client","Prospect")))</f>
        <v/>
      </c>
      <c r="E360" s="36" t="n"/>
      <c r="F360" s="36" t="n"/>
      <c r="G360" s="44" t="n"/>
      <c r="H360" s="44" t="n"/>
      <c r="I360" s="36" t="n"/>
      <c r="J360" s="36" t="n"/>
      <c r="K360" s="41" t="n"/>
      <c r="L360" s="41" t="n"/>
      <c r="M360" s="36" t="n"/>
      <c r="N360" s="36" t="n"/>
      <c r="O360" s="32" t="n"/>
      <c r="P360" s="36" t="n"/>
      <c r="Q360" s="36" t="n"/>
      <c r="R360" s="34">
        <f>IF(P360="","",IFERROR(VLOOKUP(P360,T_Produits,2,FALSE),""))</f>
        <v/>
      </c>
      <c r="S360" s="36" t="n"/>
      <c r="T360" s="43" t="n"/>
      <c r="U360" s="43" t="n"/>
      <c r="V360" s="36" t="n"/>
      <c r="W360" s="36" t="n"/>
      <c r="X360" s="33">
        <f>IF(C360="","",Commercial_Id)</f>
        <v/>
      </c>
      <c r="Y360" s="33">
        <f>IF(E360="","",IF(E360="Particulier / ménage","Particulier","Entreprise"))</f>
        <v/>
      </c>
      <c r="Z360" s="39">
        <f>IF(C360="","",COUNTIFS(VC_cle,AK360,VC_type,"Visite sur place"))</f>
        <v/>
      </c>
      <c r="AA360" s="46">
        <f>IF(AL360=0,"",IF(INT(AL360)=0,"",INT(AL360)))</f>
        <v/>
      </c>
      <c r="AB360" s="46">
        <f>IF(AL360=0,"",IF(INDEX(VC_actiondate,ROUND(MOD(AL360,1)*100000,0)-5)=0,"",INDEX(VC_actiondate,ROUND(MOD(AL360,1)*100000,0)-5)))</f>
        <v/>
      </c>
      <c r="AC360" s="33">
        <f>IF(AL360=0,"",INDEX(VC_actiontexte,ROUND(MOD(AL360,1)*100000,0)-5)&amp;"")</f>
        <v/>
      </c>
      <c r="AD360" s="46">
        <f>IF(C360="","",IF(COUNTIFS(Cmd_cle,AK360,Cmd_dateca,"&gt;0")=0,"",SMALL(INDEX(Cmd_dateca+(((Cmd_cle&lt;&gt;AK360)+(Cmd_dateca=0))&gt;0)*1000000,0),1)))</f>
        <v/>
      </c>
      <c r="AE360" s="46">
        <f>IF(C360="","",IF(COUNTIFS(Cmd_cle,AK360,Cmd_dateca,"&gt;0")=0,"",MAX(INDEX((Cmd_cle=AK360)*Cmd_dateca,0))))</f>
        <v/>
      </c>
      <c r="AF360" s="40">
        <f>IF(C360="","",SUMIFS(Cmd_montant,Cmd_cle,AK360,Cmd_dateca,"&gt;0"))</f>
        <v/>
      </c>
      <c r="AG360" s="40">
        <f>IF(C360="","",SUMIFS(Enc_montant,Enc_cle,AK360))</f>
        <v/>
      </c>
      <c r="AH360" s="40">
        <f>IF(C360="","",AF360-AG360)</f>
        <v/>
      </c>
      <c r="AI360" s="33">
        <f>IF(C360="","",IF(D360="Perdu","",IF(AND(AB360&lt;&gt;"",N(AB360)&lt;TODAY()),"Action en retard",IF(AND(D360="Client",AE360&lt;&gt;"",TODAY()-N(AE360)&gt;P_JoursInactif),"Client inactif",IF(AND(D360="Prospect",Z360=0,O360&lt;&gt;"",TODAY()-N(O360)&gt;P_JoursNonVisite),"Jamais visité","")))))</f>
        <v/>
      </c>
      <c r="AJ360" s="33">
        <f>IF(C360="","",C360&amp;" ["&amp;TEXT(A360,"000")&amp;"]")</f>
        <v/>
      </c>
      <c r="AK360" s="33">
        <f>IF(C360="","",X360&amp;"|"&amp;A360)</f>
        <v/>
      </c>
      <c r="AL360" s="47">
        <f>IF(C360="",0,IF(COUNTIFS(VC_cle,AK360)=0,0,MAX(INDEX((VC_cle=AK360)*(VC_date+ROW(VC_date)/100000),0))))</f>
        <v/>
      </c>
      <c r="AM360" s="47">
        <f>IF(AND(C360&lt;&gt;"",N(AB360)&gt;0,D360&lt;&gt;"Perdu"),AB360+ROW()/100000,0)</f>
        <v/>
      </c>
      <c r="AN360" s="48">
        <f>IF(N(AF360)&gt;0,ROUND(AF360,0)+ROW()/1000000,0)</f>
        <v/>
      </c>
    </row>
    <row r="361" ht="18" customHeight="1">
      <c r="A361" s="39" t="n">
        <v>356</v>
      </c>
      <c r="B361" s="33">
        <f>IF(C361="","",IF(X361="À RENSEIGNER","GIC",X361)&amp;"-"&amp;TEXT(A361,"000"))</f>
        <v/>
      </c>
      <c r="C361" s="36" t="n"/>
      <c r="D361" s="34">
        <f>IF(C361="","",IF(U361="☑ Oui","Perdu",IF(AD361&lt;&gt;"","Client","Prospect")))</f>
        <v/>
      </c>
      <c r="E361" s="36" t="n"/>
      <c r="F361" s="36" t="n"/>
      <c r="G361" s="44" t="n"/>
      <c r="H361" s="44" t="n"/>
      <c r="I361" s="36" t="n"/>
      <c r="J361" s="36" t="n"/>
      <c r="K361" s="41" t="n"/>
      <c r="L361" s="41" t="n"/>
      <c r="M361" s="36" t="n"/>
      <c r="N361" s="36" t="n"/>
      <c r="O361" s="32" t="n"/>
      <c r="P361" s="36" t="n"/>
      <c r="Q361" s="36" t="n"/>
      <c r="R361" s="34">
        <f>IF(P361="","",IFERROR(VLOOKUP(P361,T_Produits,2,FALSE),""))</f>
        <v/>
      </c>
      <c r="S361" s="36" t="n"/>
      <c r="T361" s="43" t="n"/>
      <c r="U361" s="43" t="n"/>
      <c r="V361" s="36" t="n"/>
      <c r="W361" s="36" t="n"/>
      <c r="X361" s="33">
        <f>IF(C361="","",Commercial_Id)</f>
        <v/>
      </c>
      <c r="Y361" s="33">
        <f>IF(E361="","",IF(E361="Particulier / ménage","Particulier","Entreprise"))</f>
        <v/>
      </c>
      <c r="Z361" s="39">
        <f>IF(C361="","",COUNTIFS(VC_cle,AK361,VC_type,"Visite sur place"))</f>
        <v/>
      </c>
      <c r="AA361" s="46">
        <f>IF(AL361=0,"",IF(INT(AL361)=0,"",INT(AL361)))</f>
        <v/>
      </c>
      <c r="AB361" s="46">
        <f>IF(AL361=0,"",IF(INDEX(VC_actiondate,ROUND(MOD(AL361,1)*100000,0)-5)=0,"",INDEX(VC_actiondate,ROUND(MOD(AL361,1)*100000,0)-5)))</f>
        <v/>
      </c>
      <c r="AC361" s="33">
        <f>IF(AL361=0,"",INDEX(VC_actiontexte,ROUND(MOD(AL361,1)*100000,0)-5)&amp;"")</f>
        <v/>
      </c>
      <c r="AD361" s="46">
        <f>IF(C361="","",IF(COUNTIFS(Cmd_cle,AK361,Cmd_dateca,"&gt;0")=0,"",SMALL(INDEX(Cmd_dateca+(((Cmd_cle&lt;&gt;AK361)+(Cmd_dateca=0))&gt;0)*1000000,0),1)))</f>
        <v/>
      </c>
      <c r="AE361" s="46">
        <f>IF(C361="","",IF(COUNTIFS(Cmd_cle,AK361,Cmd_dateca,"&gt;0")=0,"",MAX(INDEX((Cmd_cle=AK361)*Cmd_dateca,0))))</f>
        <v/>
      </c>
      <c r="AF361" s="40">
        <f>IF(C361="","",SUMIFS(Cmd_montant,Cmd_cle,AK361,Cmd_dateca,"&gt;0"))</f>
        <v/>
      </c>
      <c r="AG361" s="40">
        <f>IF(C361="","",SUMIFS(Enc_montant,Enc_cle,AK361))</f>
        <v/>
      </c>
      <c r="AH361" s="40">
        <f>IF(C361="","",AF361-AG361)</f>
        <v/>
      </c>
      <c r="AI361" s="33">
        <f>IF(C361="","",IF(D361="Perdu","",IF(AND(AB361&lt;&gt;"",N(AB361)&lt;TODAY()),"Action en retard",IF(AND(D361="Client",AE361&lt;&gt;"",TODAY()-N(AE361)&gt;P_JoursInactif),"Client inactif",IF(AND(D361="Prospect",Z361=0,O361&lt;&gt;"",TODAY()-N(O361)&gt;P_JoursNonVisite),"Jamais visité","")))))</f>
        <v/>
      </c>
      <c r="AJ361" s="33">
        <f>IF(C361="","",C361&amp;" ["&amp;TEXT(A361,"000")&amp;"]")</f>
        <v/>
      </c>
      <c r="AK361" s="33">
        <f>IF(C361="","",X361&amp;"|"&amp;A361)</f>
        <v/>
      </c>
      <c r="AL361" s="47">
        <f>IF(C361="",0,IF(COUNTIFS(VC_cle,AK361)=0,0,MAX(INDEX((VC_cle=AK361)*(VC_date+ROW(VC_date)/100000),0))))</f>
        <v/>
      </c>
      <c r="AM361" s="47">
        <f>IF(AND(C361&lt;&gt;"",N(AB361)&gt;0,D361&lt;&gt;"Perdu"),AB361+ROW()/100000,0)</f>
        <v/>
      </c>
      <c r="AN361" s="48">
        <f>IF(N(AF361)&gt;0,ROUND(AF361,0)+ROW()/1000000,0)</f>
        <v/>
      </c>
    </row>
    <row r="362" ht="18" customHeight="1">
      <c r="A362" s="39" t="n">
        <v>357</v>
      </c>
      <c r="B362" s="33">
        <f>IF(C362="","",IF(X362="À RENSEIGNER","GIC",X362)&amp;"-"&amp;TEXT(A362,"000"))</f>
        <v/>
      </c>
      <c r="C362" s="36" t="n"/>
      <c r="D362" s="34">
        <f>IF(C362="","",IF(U362="☑ Oui","Perdu",IF(AD362&lt;&gt;"","Client","Prospect")))</f>
        <v/>
      </c>
      <c r="E362" s="36" t="n"/>
      <c r="F362" s="36" t="n"/>
      <c r="G362" s="44" t="n"/>
      <c r="H362" s="44" t="n"/>
      <c r="I362" s="36" t="n"/>
      <c r="J362" s="36" t="n"/>
      <c r="K362" s="41" t="n"/>
      <c r="L362" s="41" t="n"/>
      <c r="M362" s="36" t="n"/>
      <c r="N362" s="36" t="n"/>
      <c r="O362" s="32" t="n"/>
      <c r="P362" s="36" t="n"/>
      <c r="Q362" s="36" t="n"/>
      <c r="R362" s="34">
        <f>IF(P362="","",IFERROR(VLOOKUP(P362,T_Produits,2,FALSE),""))</f>
        <v/>
      </c>
      <c r="S362" s="36" t="n"/>
      <c r="T362" s="43" t="n"/>
      <c r="U362" s="43" t="n"/>
      <c r="V362" s="36" t="n"/>
      <c r="W362" s="36" t="n"/>
      <c r="X362" s="33">
        <f>IF(C362="","",Commercial_Id)</f>
        <v/>
      </c>
      <c r="Y362" s="33">
        <f>IF(E362="","",IF(E362="Particulier / ménage","Particulier","Entreprise"))</f>
        <v/>
      </c>
      <c r="Z362" s="39">
        <f>IF(C362="","",COUNTIFS(VC_cle,AK362,VC_type,"Visite sur place"))</f>
        <v/>
      </c>
      <c r="AA362" s="46">
        <f>IF(AL362=0,"",IF(INT(AL362)=0,"",INT(AL362)))</f>
        <v/>
      </c>
      <c r="AB362" s="46">
        <f>IF(AL362=0,"",IF(INDEX(VC_actiondate,ROUND(MOD(AL362,1)*100000,0)-5)=0,"",INDEX(VC_actiondate,ROUND(MOD(AL362,1)*100000,0)-5)))</f>
        <v/>
      </c>
      <c r="AC362" s="33">
        <f>IF(AL362=0,"",INDEX(VC_actiontexte,ROUND(MOD(AL362,1)*100000,0)-5)&amp;"")</f>
        <v/>
      </c>
      <c r="AD362" s="46">
        <f>IF(C362="","",IF(COUNTIFS(Cmd_cle,AK362,Cmd_dateca,"&gt;0")=0,"",SMALL(INDEX(Cmd_dateca+(((Cmd_cle&lt;&gt;AK362)+(Cmd_dateca=0))&gt;0)*1000000,0),1)))</f>
        <v/>
      </c>
      <c r="AE362" s="46">
        <f>IF(C362="","",IF(COUNTIFS(Cmd_cle,AK362,Cmd_dateca,"&gt;0")=0,"",MAX(INDEX((Cmd_cle=AK362)*Cmd_dateca,0))))</f>
        <v/>
      </c>
      <c r="AF362" s="40">
        <f>IF(C362="","",SUMIFS(Cmd_montant,Cmd_cle,AK362,Cmd_dateca,"&gt;0"))</f>
        <v/>
      </c>
      <c r="AG362" s="40">
        <f>IF(C362="","",SUMIFS(Enc_montant,Enc_cle,AK362))</f>
        <v/>
      </c>
      <c r="AH362" s="40">
        <f>IF(C362="","",AF362-AG362)</f>
        <v/>
      </c>
      <c r="AI362" s="33">
        <f>IF(C362="","",IF(D362="Perdu","",IF(AND(AB362&lt;&gt;"",N(AB362)&lt;TODAY()),"Action en retard",IF(AND(D362="Client",AE362&lt;&gt;"",TODAY()-N(AE362)&gt;P_JoursInactif),"Client inactif",IF(AND(D362="Prospect",Z362=0,O362&lt;&gt;"",TODAY()-N(O362)&gt;P_JoursNonVisite),"Jamais visité","")))))</f>
        <v/>
      </c>
      <c r="AJ362" s="33">
        <f>IF(C362="","",C362&amp;" ["&amp;TEXT(A362,"000")&amp;"]")</f>
        <v/>
      </c>
      <c r="AK362" s="33">
        <f>IF(C362="","",X362&amp;"|"&amp;A362)</f>
        <v/>
      </c>
      <c r="AL362" s="47">
        <f>IF(C362="",0,IF(COUNTIFS(VC_cle,AK362)=0,0,MAX(INDEX((VC_cle=AK362)*(VC_date+ROW(VC_date)/100000),0))))</f>
        <v/>
      </c>
      <c r="AM362" s="47">
        <f>IF(AND(C362&lt;&gt;"",N(AB362)&gt;0,D362&lt;&gt;"Perdu"),AB362+ROW()/100000,0)</f>
        <v/>
      </c>
      <c r="AN362" s="48">
        <f>IF(N(AF362)&gt;0,ROUND(AF362,0)+ROW()/1000000,0)</f>
        <v/>
      </c>
    </row>
    <row r="363" ht="18" customHeight="1">
      <c r="A363" s="39" t="n">
        <v>358</v>
      </c>
      <c r="B363" s="33">
        <f>IF(C363="","",IF(X363="À RENSEIGNER","GIC",X363)&amp;"-"&amp;TEXT(A363,"000"))</f>
        <v/>
      </c>
      <c r="C363" s="36" t="n"/>
      <c r="D363" s="34">
        <f>IF(C363="","",IF(U363="☑ Oui","Perdu",IF(AD363&lt;&gt;"","Client","Prospect")))</f>
        <v/>
      </c>
      <c r="E363" s="36" t="n"/>
      <c r="F363" s="36" t="n"/>
      <c r="G363" s="44" t="n"/>
      <c r="H363" s="44" t="n"/>
      <c r="I363" s="36" t="n"/>
      <c r="J363" s="36" t="n"/>
      <c r="K363" s="41" t="n"/>
      <c r="L363" s="41" t="n"/>
      <c r="M363" s="36" t="n"/>
      <c r="N363" s="36" t="n"/>
      <c r="O363" s="32" t="n"/>
      <c r="P363" s="36" t="n"/>
      <c r="Q363" s="36" t="n"/>
      <c r="R363" s="34">
        <f>IF(P363="","",IFERROR(VLOOKUP(P363,T_Produits,2,FALSE),""))</f>
        <v/>
      </c>
      <c r="S363" s="36" t="n"/>
      <c r="T363" s="43" t="n"/>
      <c r="U363" s="43" t="n"/>
      <c r="V363" s="36" t="n"/>
      <c r="W363" s="36" t="n"/>
      <c r="X363" s="33">
        <f>IF(C363="","",Commercial_Id)</f>
        <v/>
      </c>
      <c r="Y363" s="33">
        <f>IF(E363="","",IF(E363="Particulier / ménage","Particulier","Entreprise"))</f>
        <v/>
      </c>
      <c r="Z363" s="39">
        <f>IF(C363="","",COUNTIFS(VC_cle,AK363,VC_type,"Visite sur place"))</f>
        <v/>
      </c>
      <c r="AA363" s="46">
        <f>IF(AL363=0,"",IF(INT(AL363)=0,"",INT(AL363)))</f>
        <v/>
      </c>
      <c r="AB363" s="46">
        <f>IF(AL363=0,"",IF(INDEX(VC_actiondate,ROUND(MOD(AL363,1)*100000,0)-5)=0,"",INDEX(VC_actiondate,ROUND(MOD(AL363,1)*100000,0)-5)))</f>
        <v/>
      </c>
      <c r="AC363" s="33">
        <f>IF(AL363=0,"",INDEX(VC_actiontexte,ROUND(MOD(AL363,1)*100000,0)-5)&amp;"")</f>
        <v/>
      </c>
      <c r="AD363" s="46">
        <f>IF(C363="","",IF(COUNTIFS(Cmd_cle,AK363,Cmd_dateca,"&gt;0")=0,"",SMALL(INDEX(Cmd_dateca+(((Cmd_cle&lt;&gt;AK363)+(Cmd_dateca=0))&gt;0)*1000000,0),1)))</f>
        <v/>
      </c>
      <c r="AE363" s="46">
        <f>IF(C363="","",IF(COUNTIFS(Cmd_cle,AK363,Cmd_dateca,"&gt;0")=0,"",MAX(INDEX((Cmd_cle=AK363)*Cmd_dateca,0))))</f>
        <v/>
      </c>
      <c r="AF363" s="40">
        <f>IF(C363="","",SUMIFS(Cmd_montant,Cmd_cle,AK363,Cmd_dateca,"&gt;0"))</f>
        <v/>
      </c>
      <c r="AG363" s="40">
        <f>IF(C363="","",SUMIFS(Enc_montant,Enc_cle,AK363))</f>
        <v/>
      </c>
      <c r="AH363" s="40">
        <f>IF(C363="","",AF363-AG363)</f>
        <v/>
      </c>
      <c r="AI363" s="33">
        <f>IF(C363="","",IF(D363="Perdu","",IF(AND(AB363&lt;&gt;"",N(AB363)&lt;TODAY()),"Action en retard",IF(AND(D363="Client",AE363&lt;&gt;"",TODAY()-N(AE363)&gt;P_JoursInactif),"Client inactif",IF(AND(D363="Prospect",Z363=0,O363&lt;&gt;"",TODAY()-N(O363)&gt;P_JoursNonVisite),"Jamais visité","")))))</f>
        <v/>
      </c>
      <c r="AJ363" s="33">
        <f>IF(C363="","",C363&amp;" ["&amp;TEXT(A363,"000")&amp;"]")</f>
        <v/>
      </c>
      <c r="AK363" s="33">
        <f>IF(C363="","",X363&amp;"|"&amp;A363)</f>
        <v/>
      </c>
      <c r="AL363" s="47">
        <f>IF(C363="",0,IF(COUNTIFS(VC_cle,AK363)=0,0,MAX(INDEX((VC_cle=AK363)*(VC_date+ROW(VC_date)/100000),0))))</f>
        <v/>
      </c>
      <c r="AM363" s="47">
        <f>IF(AND(C363&lt;&gt;"",N(AB363)&gt;0,D363&lt;&gt;"Perdu"),AB363+ROW()/100000,0)</f>
        <v/>
      </c>
      <c r="AN363" s="48">
        <f>IF(N(AF363)&gt;0,ROUND(AF363,0)+ROW()/1000000,0)</f>
        <v/>
      </c>
    </row>
    <row r="364" ht="18" customHeight="1">
      <c r="A364" s="39" t="n">
        <v>359</v>
      </c>
      <c r="B364" s="33">
        <f>IF(C364="","",IF(X364="À RENSEIGNER","GIC",X364)&amp;"-"&amp;TEXT(A364,"000"))</f>
        <v/>
      </c>
      <c r="C364" s="36" t="n"/>
      <c r="D364" s="34">
        <f>IF(C364="","",IF(U364="☑ Oui","Perdu",IF(AD364&lt;&gt;"","Client","Prospect")))</f>
        <v/>
      </c>
      <c r="E364" s="36" t="n"/>
      <c r="F364" s="36" t="n"/>
      <c r="G364" s="44" t="n"/>
      <c r="H364" s="44" t="n"/>
      <c r="I364" s="36" t="n"/>
      <c r="J364" s="36" t="n"/>
      <c r="K364" s="41" t="n"/>
      <c r="L364" s="41" t="n"/>
      <c r="M364" s="36" t="n"/>
      <c r="N364" s="36" t="n"/>
      <c r="O364" s="32" t="n"/>
      <c r="P364" s="36" t="n"/>
      <c r="Q364" s="36" t="n"/>
      <c r="R364" s="34">
        <f>IF(P364="","",IFERROR(VLOOKUP(P364,T_Produits,2,FALSE),""))</f>
        <v/>
      </c>
      <c r="S364" s="36" t="n"/>
      <c r="T364" s="43" t="n"/>
      <c r="U364" s="43" t="n"/>
      <c r="V364" s="36" t="n"/>
      <c r="W364" s="36" t="n"/>
      <c r="X364" s="33">
        <f>IF(C364="","",Commercial_Id)</f>
        <v/>
      </c>
      <c r="Y364" s="33">
        <f>IF(E364="","",IF(E364="Particulier / ménage","Particulier","Entreprise"))</f>
        <v/>
      </c>
      <c r="Z364" s="39">
        <f>IF(C364="","",COUNTIFS(VC_cle,AK364,VC_type,"Visite sur place"))</f>
        <v/>
      </c>
      <c r="AA364" s="46">
        <f>IF(AL364=0,"",IF(INT(AL364)=0,"",INT(AL364)))</f>
        <v/>
      </c>
      <c r="AB364" s="46">
        <f>IF(AL364=0,"",IF(INDEX(VC_actiondate,ROUND(MOD(AL364,1)*100000,0)-5)=0,"",INDEX(VC_actiondate,ROUND(MOD(AL364,1)*100000,0)-5)))</f>
        <v/>
      </c>
      <c r="AC364" s="33">
        <f>IF(AL364=0,"",INDEX(VC_actiontexte,ROUND(MOD(AL364,1)*100000,0)-5)&amp;"")</f>
        <v/>
      </c>
      <c r="AD364" s="46">
        <f>IF(C364="","",IF(COUNTIFS(Cmd_cle,AK364,Cmd_dateca,"&gt;0")=0,"",SMALL(INDEX(Cmd_dateca+(((Cmd_cle&lt;&gt;AK364)+(Cmd_dateca=0))&gt;0)*1000000,0),1)))</f>
        <v/>
      </c>
      <c r="AE364" s="46">
        <f>IF(C364="","",IF(COUNTIFS(Cmd_cle,AK364,Cmd_dateca,"&gt;0")=0,"",MAX(INDEX((Cmd_cle=AK364)*Cmd_dateca,0))))</f>
        <v/>
      </c>
      <c r="AF364" s="40">
        <f>IF(C364="","",SUMIFS(Cmd_montant,Cmd_cle,AK364,Cmd_dateca,"&gt;0"))</f>
        <v/>
      </c>
      <c r="AG364" s="40">
        <f>IF(C364="","",SUMIFS(Enc_montant,Enc_cle,AK364))</f>
        <v/>
      </c>
      <c r="AH364" s="40">
        <f>IF(C364="","",AF364-AG364)</f>
        <v/>
      </c>
      <c r="AI364" s="33">
        <f>IF(C364="","",IF(D364="Perdu","",IF(AND(AB364&lt;&gt;"",N(AB364)&lt;TODAY()),"Action en retard",IF(AND(D364="Client",AE364&lt;&gt;"",TODAY()-N(AE364)&gt;P_JoursInactif),"Client inactif",IF(AND(D364="Prospect",Z364=0,O364&lt;&gt;"",TODAY()-N(O364)&gt;P_JoursNonVisite),"Jamais visité","")))))</f>
        <v/>
      </c>
      <c r="AJ364" s="33">
        <f>IF(C364="","",C364&amp;" ["&amp;TEXT(A364,"000")&amp;"]")</f>
        <v/>
      </c>
      <c r="AK364" s="33">
        <f>IF(C364="","",X364&amp;"|"&amp;A364)</f>
        <v/>
      </c>
      <c r="AL364" s="47">
        <f>IF(C364="",0,IF(COUNTIFS(VC_cle,AK364)=0,0,MAX(INDEX((VC_cle=AK364)*(VC_date+ROW(VC_date)/100000),0))))</f>
        <v/>
      </c>
      <c r="AM364" s="47">
        <f>IF(AND(C364&lt;&gt;"",N(AB364)&gt;0,D364&lt;&gt;"Perdu"),AB364+ROW()/100000,0)</f>
        <v/>
      </c>
      <c r="AN364" s="48">
        <f>IF(N(AF364)&gt;0,ROUND(AF364,0)+ROW()/1000000,0)</f>
        <v/>
      </c>
    </row>
    <row r="365" ht="18" customHeight="1">
      <c r="A365" s="39" t="n">
        <v>360</v>
      </c>
      <c r="B365" s="33">
        <f>IF(C365="","",IF(X365="À RENSEIGNER","GIC",X365)&amp;"-"&amp;TEXT(A365,"000"))</f>
        <v/>
      </c>
      <c r="C365" s="36" t="n"/>
      <c r="D365" s="34">
        <f>IF(C365="","",IF(U365="☑ Oui","Perdu",IF(AD365&lt;&gt;"","Client","Prospect")))</f>
        <v/>
      </c>
      <c r="E365" s="36" t="n"/>
      <c r="F365" s="36" t="n"/>
      <c r="G365" s="44" t="n"/>
      <c r="H365" s="44" t="n"/>
      <c r="I365" s="36" t="n"/>
      <c r="J365" s="36" t="n"/>
      <c r="K365" s="41" t="n"/>
      <c r="L365" s="41" t="n"/>
      <c r="M365" s="36" t="n"/>
      <c r="N365" s="36" t="n"/>
      <c r="O365" s="32" t="n"/>
      <c r="P365" s="36" t="n"/>
      <c r="Q365" s="36" t="n"/>
      <c r="R365" s="34">
        <f>IF(P365="","",IFERROR(VLOOKUP(P365,T_Produits,2,FALSE),""))</f>
        <v/>
      </c>
      <c r="S365" s="36" t="n"/>
      <c r="T365" s="43" t="n"/>
      <c r="U365" s="43" t="n"/>
      <c r="V365" s="36" t="n"/>
      <c r="W365" s="36" t="n"/>
      <c r="X365" s="33">
        <f>IF(C365="","",Commercial_Id)</f>
        <v/>
      </c>
      <c r="Y365" s="33">
        <f>IF(E365="","",IF(E365="Particulier / ménage","Particulier","Entreprise"))</f>
        <v/>
      </c>
      <c r="Z365" s="39">
        <f>IF(C365="","",COUNTIFS(VC_cle,AK365,VC_type,"Visite sur place"))</f>
        <v/>
      </c>
      <c r="AA365" s="46">
        <f>IF(AL365=0,"",IF(INT(AL365)=0,"",INT(AL365)))</f>
        <v/>
      </c>
      <c r="AB365" s="46">
        <f>IF(AL365=0,"",IF(INDEX(VC_actiondate,ROUND(MOD(AL365,1)*100000,0)-5)=0,"",INDEX(VC_actiondate,ROUND(MOD(AL365,1)*100000,0)-5)))</f>
        <v/>
      </c>
      <c r="AC365" s="33">
        <f>IF(AL365=0,"",INDEX(VC_actiontexte,ROUND(MOD(AL365,1)*100000,0)-5)&amp;"")</f>
        <v/>
      </c>
      <c r="AD365" s="46">
        <f>IF(C365="","",IF(COUNTIFS(Cmd_cle,AK365,Cmd_dateca,"&gt;0")=0,"",SMALL(INDEX(Cmd_dateca+(((Cmd_cle&lt;&gt;AK365)+(Cmd_dateca=0))&gt;0)*1000000,0),1)))</f>
        <v/>
      </c>
      <c r="AE365" s="46">
        <f>IF(C365="","",IF(COUNTIFS(Cmd_cle,AK365,Cmd_dateca,"&gt;0")=0,"",MAX(INDEX((Cmd_cle=AK365)*Cmd_dateca,0))))</f>
        <v/>
      </c>
      <c r="AF365" s="40">
        <f>IF(C365="","",SUMIFS(Cmd_montant,Cmd_cle,AK365,Cmd_dateca,"&gt;0"))</f>
        <v/>
      </c>
      <c r="AG365" s="40">
        <f>IF(C365="","",SUMIFS(Enc_montant,Enc_cle,AK365))</f>
        <v/>
      </c>
      <c r="AH365" s="40">
        <f>IF(C365="","",AF365-AG365)</f>
        <v/>
      </c>
      <c r="AI365" s="33">
        <f>IF(C365="","",IF(D365="Perdu","",IF(AND(AB365&lt;&gt;"",N(AB365)&lt;TODAY()),"Action en retard",IF(AND(D365="Client",AE365&lt;&gt;"",TODAY()-N(AE365)&gt;P_JoursInactif),"Client inactif",IF(AND(D365="Prospect",Z365=0,O365&lt;&gt;"",TODAY()-N(O365)&gt;P_JoursNonVisite),"Jamais visité","")))))</f>
        <v/>
      </c>
      <c r="AJ365" s="33">
        <f>IF(C365="","",C365&amp;" ["&amp;TEXT(A365,"000")&amp;"]")</f>
        <v/>
      </c>
      <c r="AK365" s="33">
        <f>IF(C365="","",X365&amp;"|"&amp;A365)</f>
        <v/>
      </c>
      <c r="AL365" s="47">
        <f>IF(C365="",0,IF(COUNTIFS(VC_cle,AK365)=0,0,MAX(INDEX((VC_cle=AK365)*(VC_date+ROW(VC_date)/100000),0))))</f>
        <v/>
      </c>
      <c r="AM365" s="47">
        <f>IF(AND(C365&lt;&gt;"",N(AB365)&gt;0,D365&lt;&gt;"Perdu"),AB365+ROW()/100000,0)</f>
        <v/>
      </c>
      <c r="AN365" s="48">
        <f>IF(N(AF365)&gt;0,ROUND(AF365,0)+ROW()/1000000,0)</f>
        <v/>
      </c>
    </row>
    <row r="366" ht="18" customHeight="1">
      <c r="A366" s="39" t="n">
        <v>361</v>
      </c>
      <c r="B366" s="33">
        <f>IF(C366="","",IF(X366="À RENSEIGNER","GIC",X366)&amp;"-"&amp;TEXT(A366,"000"))</f>
        <v/>
      </c>
      <c r="C366" s="36" t="n"/>
      <c r="D366" s="34">
        <f>IF(C366="","",IF(U366="☑ Oui","Perdu",IF(AD366&lt;&gt;"","Client","Prospect")))</f>
        <v/>
      </c>
      <c r="E366" s="36" t="n"/>
      <c r="F366" s="36" t="n"/>
      <c r="G366" s="44" t="n"/>
      <c r="H366" s="44" t="n"/>
      <c r="I366" s="36" t="n"/>
      <c r="J366" s="36" t="n"/>
      <c r="K366" s="41" t="n"/>
      <c r="L366" s="41" t="n"/>
      <c r="M366" s="36" t="n"/>
      <c r="N366" s="36" t="n"/>
      <c r="O366" s="32" t="n"/>
      <c r="P366" s="36" t="n"/>
      <c r="Q366" s="36" t="n"/>
      <c r="R366" s="34">
        <f>IF(P366="","",IFERROR(VLOOKUP(P366,T_Produits,2,FALSE),""))</f>
        <v/>
      </c>
      <c r="S366" s="36" t="n"/>
      <c r="T366" s="43" t="n"/>
      <c r="U366" s="43" t="n"/>
      <c r="V366" s="36" t="n"/>
      <c r="W366" s="36" t="n"/>
      <c r="X366" s="33">
        <f>IF(C366="","",Commercial_Id)</f>
        <v/>
      </c>
      <c r="Y366" s="33">
        <f>IF(E366="","",IF(E366="Particulier / ménage","Particulier","Entreprise"))</f>
        <v/>
      </c>
      <c r="Z366" s="39">
        <f>IF(C366="","",COUNTIFS(VC_cle,AK366,VC_type,"Visite sur place"))</f>
        <v/>
      </c>
      <c r="AA366" s="46">
        <f>IF(AL366=0,"",IF(INT(AL366)=0,"",INT(AL366)))</f>
        <v/>
      </c>
      <c r="AB366" s="46">
        <f>IF(AL366=0,"",IF(INDEX(VC_actiondate,ROUND(MOD(AL366,1)*100000,0)-5)=0,"",INDEX(VC_actiondate,ROUND(MOD(AL366,1)*100000,0)-5)))</f>
        <v/>
      </c>
      <c r="AC366" s="33">
        <f>IF(AL366=0,"",INDEX(VC_actiontexte,ROUND(MOD(AL366,1)*100000,0)-5)&amp;"")</f>
        <v/>
      </c>
      <c r="AD366" s="46">
        <f>IF(C366="","",IF(COUNTIFS(Cmd_cle,AK366,Cmd_dateca,"&gt;0")=0,"",SMALL(INDEX(Cmd_dateca+(((Cmd_cle&lt;&gt;AK366)+(Cmd_dateca=0))&gt;0)*1000000,0),1)))</f>
        <v/>
      </c>
      <c r="AE366" s="46">
        <f>IF(C366="","",IF(COUNTIFS(Cmd_cle,AK366,Cmd_dateca,"&gt;0")=0,"",MAX(INDEX((Cmd_cle=AK366)*Cmd_dateca,0))))</f>
        <v/>
      </c>
      <c r="AF366" s="40">
        <f>IF(C366="","",SUMIFS(Cmd_montant,Cmd_cle,AK366,Cmd_dateca,"&gt;0"))</f>
        <v/>
      </c>
      <c r="AG366" s="40">
        <f>IF(C366="","",SUMIFS(Enc_montant,Enc_cle,AK366))</f>
        <v/>
      </c>
      <c r="AH366" s="40">
        <f>IF(C366="","",AF366-AG366)</f>
        <v/>
      </c>
      <c r="AI366" s="33">
        <f>IF(C366="","",IF(D366="Perdu","",IF(AND(AB366&lt;&gt;"",N(AB366)&lt;TODAY()),"Action en retard",IF(AND(D366="Client",AE366&lt;&gt;"",TODAY()-N(AE366)&gt;P_JoursInactif),"Client inactif",IF(AND(D366="Prospect",Z366=0,O366&lt;&gt;"",TODAY()-N(O366)&gt;P_JoursNonVisite),"Jamais visité","")))))</f>
        <v/>
      </c>
      <c r="AJ366" s="33">
        <f>IF(C366="","",C366&amp;" ["&amp;TEXT(A366,"000")&amp;"]")</f>
        <v/>
      </c>
      <c r="AK366" s="33">
        <f>IF(C366="","",X366&amp;"|"&amp;A366)</f>
        <v/>
      </c>
      <c r="AL366" s="47">
        <f>IF(C366="",0,IF(COUNTIFS(VC_cle,AK366)=0,0,MAX(INDEX((VC_cle=AK366)*(VC_date+ROW(VC_date)/100000),0))))</f>
        <v/>
      </c>
      <c r="AM366" s="47">
        <f>IF(AND(C366&lt;&gt;"",N(AB366)&gt;0,D366&lt;&gt;"Perdu"),AB366+ROW()/100000,0)</f>
        <v/>
      </c>
      <c r="AN366" s="48">
        <f>IF(N(AF366)&gt;0,ROUND(AF366,0)+ROW()/1000000,0)</f>
        <v/>
      </c>
    </row>
    <row r="367" ht="18" customHeight="1">
      <c r="A367" s="39" t="n">
        <v>362</v>
      </c>
      <c r="B367" s="33">
        <f>IF(C367="","",IF(X367="À RENSEIGNER","GIC",X367)&amp;"-"&amp;TEXT(A367,"000"))</f>
        <v/>
      </c>
      <c r="C367" s="36" t="n"/>
      <c r="D367" s="34">
        <f>IF(C367="","",IF(U367="☑ Oui","Perdu",IF(AD367&lt;&gt;"","Client","Prospect")))</f>
        <v/>
      </c>
      <c r="E367" s="36" t="n"/>
      <c r="F367" s="36" t="n"/>
      <c r="G367" s="44" t="n"/>
      <c r="H367" s="44" t="n"/>
      <c r="I367" s="36" t="n"/>
      <c r="J367" s="36" t="n"/>
      <c r="K367" s="41" t="n"/>
      <c r="L367" s="41" t="n"/>
      <c r="M367" s="36" t="n"/>
      <c r="N367" s="36" t="n"/>
      <c r="O367" s="32" t="n"/>
      <c r="P367" s="36" t="n"/>
      <c r="Q367" s="36" t="n"/>
      <c r="R367" s="34">
        <f>IF(P367="","",IFERROR(VLOOKUP(P367,T_Produits,2,FALSE),""))</f>
        <v/>
      </c>
      <c r="S367" s="36" t="n"/>
      <c r="T367" s="43" t="n"/>
      <c r="U367" s="43" t="n"/>
      <c r="V367" s="36" t="n"/>
      <c r="W367" s="36" t="n"/>
      <c r="X367" s="33">
        <f>IF(C367="","",Commercial_Id)</f>
        <v/>
      </c>
      <c r="Y367" s="33">
        <f>IF(E367="","",IF(E367="Particulier / ménage","Particulier","Entreprise"))</f>
        <v/>
      </c>
      <c r="Z367" s="39">
        <f>IF(C367="","",COUNTIFS(VC_cle,AK367,VC_type,"Visite sur place"))</f>
        <v/>
      </c>
      <c r="AA367" s="46">
        <f>IF(AL367=0,"",IF(INT(AL367)=0,"",INT(AL367)))</f>
        <v/>
      </c>
      <c r="AB367" s="46">
        <f>IF(AL367=0,"",IF(INDEX(VC_actiondate,ROUND(MOD(AL367,1)*100000,0)-5)=0,"",INDEX(VC_actiondate,ROUND(MOD(AL367,1)*100000,0)-5)))</f>
        <v/>
      </c>
      <c r="AC367" s="33">
        <f>IF(AL367=0,"",INDEX(VC_actiontexte,ROUND(MOD(AL367,1)*100000,0)-5)&amp;"")</f>
        <v/>
      </c>
      <c r="AD367" s="46">
        <f>IF(C367="","",IF(COUNTIFS(Cmd_cle,AK367,Cmd_dateca,"&gt;0")=0,"",SMALL(INDEX(Cmd_dateca+(((Cmd_cle&lt;&gt;AK367)+(Cmd_dateca=0))&gt;0)*1000000,0),1)))</f>
        <v/>
      </c>
      <c r="AE367" s="46">
        <f>IF(C367="","",IF(COUNTIFS(Cmd_cle,AK367,Cmd_dateca,"&gt;0")=0,"",MAX(INDEX((Cmd_cle=AK367)*Cmd_dateca,0))))</f>
        <v/>
      </c>
      <c r="AF367" s="40">
        <f>IF(C367="","",SUMIFS(Cmd_montant,Cmd_cle,AK367,Cmd_dateca,"&gt;0"))</f>
        <v/>
      </c>
      <c r="AG367" s="40">
        <f>IF(C367="","",SUMIFS(Enc_montant,Enc_cle,AK367))</f>
        <v/>
      </c>
      <c r="AH367" s="40">
        <f>IF(C367="","",AF367-AG367)</f>
        <v/>
      </c>
      <c r="AI367" s="33">
        <f>IF(C367="","",IF(D367="Perdu","",IF(AND(AB367&lt;&gt;"",N(AB367)&lt;TODAY()),"Action en retard",IF(AND(D367="Client",AE367&lt;&gt;"",TODAY()-N(AE367)&gt;P_JoursInactif),"Client inactif",IF(AND(D367="Prospect",Z367=0,O367&lt;&gt;"",TODAY()-N(O367)&gt;P_JoursNonVisite),"Jamais visité","")))))</f>
        <v/>
      </c>
      <c r="AJ367" s="33">
        <f>IF(C367="","",C367&amp;" ["&amp;TEXT(A367,"000")&amp;"]")</f>
        <v/>
      </c>
      <c r="AK367" s="33">
        <f>IF(C367="","",X367&amp;"|"&amp;A367)</f>
        <v/>
      </c>
      <c r="AL367" s="47">
        <f>IF(C367="",0,IF(COUNTIFS(VC_cle,AK367)=0,0,MAX(INDEX((VC_cle=AK367)*(VC_date+ROW(VC_date)/100000),0))))</f>
        <v/>
      </c>
      <c r="AM367" s="47">
        <f>IF(AND(C367&lt;&gt;"",N(AB367)&gt;0,D367&lt;&gt;"Perdu"),AB367+ROW()/100000,0)</f>
        <v/>
      </c>
      <c r="AN367" s="48">
        <f>IF(N(AF367)&gt;0,ROUND(AF367,0)+ROW()/1000000,0)</f>
        <v/>
      </c>
    </row>
    <row r="368" ht="18" customHeight="1">
      <c r="A368" s="39" t="n">
        <v>363</v>
      </c>
      <c r="B368" s="33">
        <f>IF(C368="","",IF(X368="À RENSEIGNER","GIC",X368)&amp;"-"&amp;TEXT(A368,"000"))</f>
        <v/>
      </c>
      <c r="C368" s="36" t="n"/>
      <c r="D368" s="34">
        <f>IF(C368="","",IF(U368="☑ Oui","Perdu",IF(AD368&lt;&gt;"","Client","Prospect")))</f>
        <v/>
      </c>
      <c r="E368" s="36" t="n"/>
      <c r="F368" s="36" t="n"/>
      <c r="G368" s="44" t="n"/>
      <c r="H368" s="44" t="n"/>
      <c r="I368" s="36" t="n"/>
      <c r="J368" s="36" t="n"/>
      <c r="K368" s="41" t="n"/>
      <c r="L368" s="41" t="n"/>
      <c r="M368" s="36" t="n"/>
      <c r="N368" s="36" t="n"/>
      <c r="O368" s="32" t="n"/>
      <c r="P368" s="36" t="n"/>
      <c r="Q368" s="36" t="n"/>
      <c r="R368" s="34">
        <f>IF(P368="","",IFERROR(VLOOKUP(P368,T_Produits,2,FALSE),""))</f>
        <v/>
      </c>
      <c r="S368" s="36" t="n"/>
      <c r="T368" s="43" t="n"/>
      <c r="U368" s="43" t="n"/>
      <c r="V368" s="36" t="n"/>
      <c r="W368" s="36" t="n"/>
      <c r="X368" s="33">
        <f>IF(C368="","",Commercial_Id)</f>
        <v/>
      </c>
      <c r="Y368" s="33">
        <f>IF(E368="","",IF(E368="Particulier / ménage","Particulier","Entreprise"))</f>
        <v/>
      </c>
      <c r="Z368" s="39">
        <f>IF(C368="","",COUNTIFS(VC_cle,AK368,VC_type,"Visite sur place"))</f>
        <v/>
      </c>
      <c r="AA368" s="46">
        <f>IF(AL368=0,"",IF(INT(AL368)=0,"",INT(AL368)))</f>
        <v/>
      </c>
      <c r="AB368" s="46">
        <f>IF(AL368=0,"",IF(INDEX(VC_actiondate,ROUND(MOD(AL368,1)*100000,0)-5)=0,"",INDEX(VC_actiondate,ROUND(MOD(AL368,1)*100000,0)-5)))</f>
        <v/>
      </c>
      <c r="AC368" s="33">
        <f>IF(AL368=0,"",INDEX(VC_actiontexte,ROUND(MOD(AL368,1)*100000,0)-5)&amp;"")</f>
        <v/>
      </c>
      <c r="AD368" s="46">
        <f>IF(C368="","",IF(COUNTIFS(Cmd_cle,AK368,Cmd_dateca,"&gt;0")=0,"",SMALL(INDEX(Cmd_dateca+(((Cmd_cle&lt;&gt;AK368)+(Cmd_dateca=0))&gt;0)*1000000,0),1)))</f>
        <v/>
      </c>
      <c r="AE368" s="46">
        <f>IF(C368="","",IF(COUNTIFS(Cmd_cle,AK368,Cmd_dateca,"&gt;0")=0,"",MAX(INDEX((Cmd_cle=AK368)*Cmd_dateca,0))))</f>
        <v/>
      </c>
      <c r="AF368" s="40">
        <f>IF(C368="","",SUMIFS(Cmd_montant,Cmd_cle,AK368,Cmd_dateca,"&gt;0"))</f>
        <v/>
      </c>
      <c r="AG368" s="40">
        <f>IF(C368="","",SUMIFS(Enc_montant,Enc_cle,AK368))</f>
        <v/>
      </c>
      <c r="AH368" s="40">
        <f>IF(C368="","",AF368-AG368)</f>
        <v/>
      </c>
      <c r="AI368" s="33">
        <f>IF(C368="","",IF(D368="Perdu","",IF(AND(AB368&lt;&gt;"",N(AB368)&lt;TODAY()),"Action en retard",IF(AND(D368="Client",AE368&lt;&gt;"",TODAY()-N(AE368)&gt;P_JoursInactif),"Client inactif",IF(AND(D368="Prospect",Z368=0,O368&lt;&gt;"",TODAY()-N(O368)&gt;P_JoursNonVisite),"Jamais visité","")))))</f>
        <v/>
      </c>
      <c r="AJ368" s="33">
        <f>IF(C368="","",C368&amp;" ["&amp;TEXT(A368,"000")&amp;"]")</f>
        <v/>
      </c>
      <c r="AK368" s="33">
        <f>IF(C368="","",X368&amp;"|"&amp;A368)</f>
        <v/>
      </c>
      <c r="AL368" s="47">
        <f>IF(C368="",0,IF(COUNTIFS(VC_cle,AK368)=0,0,MAX(INDEX((VC_cle=AK368)*(VC_date+ROW(VC_date)/100000),0))))</f>
        <v/>
      </c>
      <c r="AM368" s="47">
        <f>IF(AND(C368&lt;&gt;"",N(AB368)&gt;0,D368&lt;&gt;"Perdu"),AB368+ROW()/100000,0)</f>
        <v/>
      </c>
      <c r="AN368" s="48">
        <f>IF(N(AF368)&gt;0,ROUND(AF368,0)+ROW()/1000000,0)</f>
        <v/>
      </c>
    </row>
    <row r="369" ht="18" customHeight="1">
      <c r="A369" s="39" t="n">
        <v>364</v>
      </c>
      <c r="B369" s="33">
        <f>IF(C369="","",IF(X369="À RENSEIGNER","GIC",X369)&amp;"-"&amp;TEXT(A369,"000"))</f>
        <v/>
      </c>
      <c r="C369" s="36" t="n"/>
      <c r="D369" s="34">
        <f>IF(C369="","",IF(U369="☑ Oui","Perdu",IF(AD369&lt;&gt;"","Client","Prospect")))</f>
        <v/>
      </c>
      <c r="E369" s="36" t="n"/>
      <c r="F369" s="36" t="n"/>
      <c r="G369" s="44" t="n"/>
      <c r="H369" s="44" t="n"/>
      <c r="I369" s="36" t="n"/>
      <c r="J369" s="36" t="n"/>
      <c r="K369" s="41" t="n"/>
      <c r="L369" s="41" t="n"/>
      <c r="M369" s="36" t="n"/>
      <c r="N369" s="36" t="n"/>
      <c r="O369" s="32" t="n"/>
      <c r="P369" s="36" t="n"/>
      <c r="Q369" s="36" t="n"/>
      <c r="R369" s="34">
        <f>IF(P369="","",IFERROR(VLOOKUP(P369,T_Produits,2,FALSE),""))</f>
        <v/>
      </c>
      <c r="S369" s="36" t="n"/>
      <c r="T369" s="43" t="n"/>
      <c r="U369" s="43" t="n"/>
      <c r="V369" s="36" t="n"/>
      <c r="W369" s="36" t="n"/>
      <c r="X369" s="33">
        <f>IF(C369="","",Commercial_Id)</f>
        <v/>
      </c>
      <c r="Y369" s="33">
        <f>IF(E369="","",IF(E369="Particulier / ménage","Particulier","Entreprise"))</f>
        <v/>
      </c>
      <c r="Z369" s="39">
        <f>IF(C369="","",COUNTIFS(VC_cle,AK369,VC_type,"Visite sur place"))</f>
        <v/>
      </c>
      <c r="AA369" s="46">
        <f>IF(AL369=0,"",IF(INT(AL369)=0,"",INT(AL369)))</f>
        <v/>
      </c>
      <c r="AB369" s="46">
        <f>IF(AL369=0,"",IF(INDEX(VC_actiondate,ROUND(MOD(AL369,1)*100000,0)-5)=0,"",INDEX(VC_actiondate,ROUND(MOD(AL369,1)*100000,0)-5)))</f>
        <v/>
      </c>
      <c r="AC369" s="33">
        <f>IF(AL369=0,"",INDEX(VC_actiontexte,ROUND(MOD(AL369,1)*100000,0)-5)&amp;"")</f>
        <v/>
      </c>
      <c r="AD369" s="46">
        <f>IF(C369="","",IF(COUNTIFS(Cmd_cle,AK369,Cmd_dateca,"&gt;0")=0,"",SMALL(INDEX(Cmd_dateca+(((Cmd_cle&lt;&gt;AK369)+(Cmd_dateca=0))&gt;0)*1000000,0),1)))</f>
        <v/>
      </c>
      <c r="AE369" s="46">
        <f>IF(C369="","",IF(COUNTIFS(Cmd_cle,AK369,Cmd_dateca,"&gt;0")=0,"",MAX(INDEX((Cmd_cle=AK369)*Cmd_dateca,0))))</f>
        <v/>
      </c>
      <c r="AF369" s="40">
        <f>IF(C369="","",SUMIFS(Cmd_montant,Cmd_cle,AK369,Cmd_dateca,"&gt;0"))</f>
        <v/>
      </c>
      <c r="AG369" s="40">
        <f>IF(C369="","",SUMIFS(Enc_montant,Enc_cle,AK369))</f>
        <v/>
      </c>
      <c r="AH369" s="40">
        <f>IF(C369="","",AF369-AG369)</f>
        <v/>
      </c>
      <c r="AI369" s="33">
        <f>IF(C369="","",IF(D369="Perdu","",IF(AND(AB369&lt;&gt;"",N(AB369)&lt;TODAY()),"Action en retard",IF(AND(D369="Client",AE369&lt;&gt;"",TODAY()-N(AE369)&gt;P_JoursInactif),"Client inactif",IF(AND(D369="Prospect",Z369=0,O369&lt;&gt;"",TODAY()-N(O369)&gt;P_JoursNonVisite),"Jamais visité","")))))</f>
        <v/>
      </c>
      <c r="AJ369" s="33">
        <f>IF(C369="","",C369&amp;" ["&amp;TEXT(A369,"000")&amp;"]")</f>
        <v/>
      </c>
      <c r="AK369" s="33">
        <f>IF(C369="","",X369&amp;"|"&amp;A369)</f>
        <v/>
      </c>
      <c r="AL369" s="47">
        <f>IF(C369="",0,IF(COUNTIFS(VC_cle,AK369)=0,0,MAX(INDEX((VC_cle=AK369)*(VC_date+ROW(VC_date)/100000),0))))</f>
        <v/>
      </c>
      <c r="AM369" s="47">
        <f>IF(AND(C369&lt;&gt;"",N(AB369)&gt;0,D369&lt;&gt;"Perdu"),AB369+ROW()/100000,0)</f>
        <v/>
      </c>
      <c r="AN369" s="48">
        <f>IF(N(AF369)&gt;0,ROUND(AF369,0)+ROW()/1000000,0)</f>
        <v/>
      </c>
    </row>
    <row r="370" ht="18" customHeight="1">
      <c r="A370" s="39" t="n">
        <v>365</v>
      </c>
      <c r="B370" s="33">
        <f>IF(C370="","",IF(X370="À RENSEIGNER","GIC",X370)&amp;"-"&amp;TEXT(A370,"000"))</f>
        <v/>
      </c>
      <c r="C370" s="36" t="n"/>
      <c r="D370" s="34">
        <f>IF(C370="","",IF(U370="☑ Oui","Perdu",IF(AD370&lt;&gt;"","Client","Prospect")))</f>
        <v/>
      </c>
      <c r="E370" s="36" t="n"/>
      <c r="F370" s="36" t="n"/>
      <c r="G370" s="44" t="n"/>
      <c r="H370" s="44" t="n"/>
      <c r="I370" s="36" t="n"/>
      <c r="J370" s="36" t="n"/>
      <c r="K370" s="41" t="n"/>
      <c r="L370" s="41" t="n"/>
      <c r="M370" s="36" t="n"/>
      <c r="N370" s="36" t="n"/>
      <c r="O370" s="32" t="n"/>
      <c r="P370" s="36" t="n"/>
      <c r="Q370" s="36" t="n"/>
      <c r="R370" s="34">
        <f>IF(P370="","",IFERROR(VLOOKUP(P370,T_Produits,2,FALSE),""))</f>
        <v/>
      </c>
      <c r="S370" s="36" t="n"/>
      <c r="T370" s="43" t="n"/>
      <c r="U370" s="43" t="n"/>
      <c r="V370" s="36" t="n"/>
      <c r="W370" s="36" t="n"/>
      <c r="X370" s="33">
        <f>IF(C370="","",Commercial_Id)</f>
        <v/>
      </c>
      <c r="Y370" s="33">
        <f>IF(E370="","",IF(E370="Particulier / ménage","Particulier","Entreprise"))</f>
        <v/>
      </c>
      <c r="Z370" s="39">
        <f>IF(C370="","",COUNTIFS(VC_cle,AK370,VC_type,"Visite sur place"))</f>
        <v/>
      </c>
      <c r="AA370" s="46">
        <f>IF(AL370=0,"",IF(INT(AL370)=0,"",INT(AL370)))</f>
        <v/>
      </c>
      <c r="AB370" s="46">
        <f>IF(AL370=0,"",IF(INDEX(VC_actiondate,ROUND(MOD(AL370,1)*100000,0)-5)=0,"",INDEX(VC_actiondate,ROUND(MOD(AL370,1)*100000,0)-5)))</f>
        <v/>
      </c>
      <c r="AC370" s="33">
        <f>IF(AL370=0,"",INDEX(VC_actiontexte,ROUND(MOD(AL370,1)*100000,0)-5)&amp;"")</f>
        <v/>
      </c>
      <c r="AD370" s="46">
        <f>IF(C370="","",IF(COUNTIFS(Cmd_cle,AK370,Cmd_dateca,"&gt;0")=0,"",SMALL(INDEX(Cmd_dateca+(((Cmd_cle&lt;&gt;AK370)+(Cmd_dateca=0))&gt;0)*1000000,0),1)))</f>
        <v/>
      </c>
      <c r="AE370" s="46">
        <f>IF(C370="","",IF(COUNTIFS(Cmd_cle,AK370,Cmd_dateca,"&gt;0")=0,"",MAX(INDEX((Cmd_cle=AK370)*Cmd_dateca,0))))</f>
        <v/>
      </c>
      <c r="AF370" s="40">
        <f>IF(C370="","",SUMIFS(Cmd_montant,Cmd_cle,AK370,Cmd_dateca,"&gt;0"))</f>
        <v/>
      </c>
      <c r="AG370" s="40">
        <f>IF(C370="","",SUMIFS(Enc_montant,Enc_cle,AK370))</f>
        <v/>
      </c>
      <c r="AH370" s="40">
        <f>IF(C370="","",AF370-AG370)</f>
        <v/>
      </c>
      <c r="AI370" s="33">
        <f>IF(C370="","",IF(D370="Perdu","",IF(AND(AB370&lt;&gt;"",N(AB370)&lt;TODAY()),"Action en retard",IF(AND(D370="Client",AE370&lt;&gt;"",TODAY()-N(AE370)&gt;P_JoursInactif),"Client inactif",IF(AND(D370="Prospect",Z370=0,O370&lt;&gt;"",TODAY()-N(O370)&gt;P_JoursNonVisite),"Jamais visité","")))))</f>
        <v/>
      </c>
      <c r="AJ370" s="33">
        <f>IF(C370="","",C370&amp;" ["&amp;TEXT(A370,"000")&amp;"]")</f>
        <v/>
      </c>
      <c r="AK370" s="33">
        <f>IF(C370="","",X370&amp;"|"&amp;A370)</f>
        <v/>
      </c>
      <c r="AL370" s="47">
        <f>IF(C370="",0,IF(COUNTIFS(VC_cle,AK370)=0,0,MAX(INDEX((VC_cle=AK370)*(VC_date+ROW(VC_date)/100000),0))))</f>
        <v/>
      </c>
      <c r="AM370" s="47">
        <f>IF(AND(C370&lt;&gt;"",N(AB370)&gt;0,D370&lt;&gt;"Perdu"),AB370+ROW()/100000,0)</f>
        <v/>
      </c>
      <c r="AN370" s="48">
        <f>IF(N(AF370)&gt;0,ROUND(AF370,0)+ROW()/1000000,0)</f>
        <v/>
      </c>
    </row>
    <row r="371" ht="18" customHeight="1">
      <c r="A371" s="39" t="n">
        <v>366</v>
      </c>
      <c r="B371" s="33">
        <f>IF(C371="","",IF(X371="À RENSEIGNER","GIC",X371)&amp;"-"&amp;TEXT(A371,"000"))</f>
        <v/>
      </c>
      <c r="C371" s="36" t="n"/>
      <c r="D371" s="34">
        <f>IF(C371="","",IF(U371="☑ Oui","Perdu",IF(AD371&lt;&gt;"","Client","Prospect")))</f>
        <v/>
      </c>
      <c r="E371" s="36" t="n"/>
      <c r="F371" s="36" t="n"/>
      <c r="G371" s="44" t="n"/>
      <c r="H371" s="44" t="n"/>
      <c r="I371" s="36" t="n"/>
      <c r="J371" s="36" t="n"/>
      <c r="K371" s="41" t="n"/>
      <c r="L371" s="41" t="n"/>
      <c r="M371" s="36" t="n"/>
      <c r="N371" s="36" t="n"/>
      <c r="O371" s="32" t="n"/>
      <c r="P371" s="36" t="n"/>
      <c r="Q371" s="36" t="n"/>
      <c r="R371" s="34">
        <f>IF(P371="","",IFERROR(VLOOKUP(P371,T_Produits,2,FALSE),""))</f>
        <v/>
      </c>
      <c r="S371" s="36" t="n"/>
      <c r="T371" s="43" t="n"/>
      <c r="U371" s="43" t="n"/>
      <c r="V371" s="36" t="n"/>
      <c r="W371" s="36" t="n"/>
      <c r="X371" s="33">
        <f>IF(C371="","",Commercial_Id)</f>
        <v/>
      </c>
      <c r="Y371" s="33">
        <f>IF(E371="","",IF(E371="Particulier / ménage","Particulier","Entreprise"))</f>
        <v/>
      </c>
      <c r="Z371" s="39">
        <f>IF(C371="","",COUNTIFS(VC_cle,AK371,VC_type,"Visite sur place"))</f>
        <v/>
      </c>
      <c r="AA371" s="46">
        <f>IF(AL371=0,"",IF(INT(AL371)=0,"",INT(AL371)))</f>
        <v/>
      </c>
      <c r="AB371" s="46">
        <f>IF(AL371=0,"",IF(INDEX(VC_actiondate,ROUND(MOD(AL371,1)*100000,0)-5)=0,"",INDEX(VC_actiondate,ROUND(MOD(AL371,1)*100000,0)-5)))</f>
        <v/>
      </c>
      <c r="AC371" s="33">
        <f>IF(AL371=0,"",INDEX(VC_actiontexte,ROUND(MOD(AL371,1)*100000,0)-5)&amp;"")</f>
        <v/>
      </c>
      <c r="AD371" s="46">
        <f>IF(C371="","",IF(COUNTIFS(Cmd_cle,AK371,Cmd_dateca,"&gt;0")=0,"",SMALL(INDEX(Cmd_dateca+(((Cmd_cle&lt;&gt;AK371)+(Cmd_dateca=0))&gt;0)*1000000,0),1)))</f>
        <v/>
      </c>
      <c r="AE371" s="46">
        <f>IF(C371="","",IF(COUNTIFS(Cmd_cle,AK371,Cmd_dateca,"&gt;0")=0,"",MAX(INDEX((Cmd_cle=AK371)*Cmd_dateca,0))))</f>
        <v/>
      </c>
      <c r="AF371" s="40">
        <f>IF(C371="","",SUMIFS(Cmd_montant,Cmd_cle,AK371,Cmd_dateca,"&gt;0"))</f>
        <v/>
      </c>
      <c r="AG371" s="40">
        <f>IF(C371="","",SUMIFS(Enc_montant,Enc_cle,AK371))</f>
        <v/>
      </c>
      <c r="AH371" s="40">
        <f>IF(C371="","",AF371-AG371)</f>
        <v/>
      </c>
      <c r="AI371" s="33">
        <f>IF(C371="","",IF(D371="Perdu","",IF(AND(AB371&lt;&gt;"",N(AB371)&lt;TODAY()),"Action en retard",IF(AND(D371="Client",AE371&lt;&gt;"",TODAY()-N(AE371)&gt;P_JoursInactif),"Client inactif",IF(AND(D371="Prospect",Z371=0,O371&lt;&gt;"",TODAY()-N(O371)&gt;P_JoursNonVisite),"Jamais visité","")))))</f>
        <v/>
      </c>
      <c r="AJ371" s="33">
        <f>IF(C371="","",C371&amp;" ["&amp;TEXT(A371,"000")&amp;"]")</f>
        <v/>
      </c>
      <c r="AK371" s="33">
        <f>IF(C371="","",X371&amp;"|"&amp;A371)</f>
        <v/>
      </c>
      <c r="AL371" s="47">
        <f>IF(C371="",0,IF(COUNTIFS(VC_cle,AK371)=0,0,MAX(INDEX((VC_cle=AK371)*(VC_date+ROW(VC_date)/100000),0))))</f>
        <v/>
      </c>
      <c r="AM371" s="47">
        <f>IF(AND(C371&lt;&gt;"",N(AB371)&gt;0,D371&lt;&gt;"Perdu"),AB371+ROW()/100000,0)</f>
        <v/>
      </c>
      <c r="AN371" s="48">
        <f>IF(N(AF371)&gt;0,ROUND(AF371,0)+ROW()/1000000,0)</f>
        <v/>
      </c>
    </row>
    <row r="372" ht="18" customHeight="1">
      <c r="A372" s="39" t="n">
        <v>367</v>
      </c>
      <c r="B372" s="33">
        <f>IF(C372="","",IF(X372="À RENSEIGNER","GIC",X372)&amp;"-"&amp;TEXT(A372,"000"))</f>
        <v/>
      </c>
      <c r="C372" s="36" t="n"/>
      <c r="D372" s="34">
        <f>IF(C372="","",IF(U372="☑ Oui","Perdu",IF(AD372&lt;&gt;"","Client","Prospect")))</f>
        <v/>
      </c>
      <c r="E372" s="36" t="n"/>
      <c r="F372" s="36" t="n"/>
      <c r="G372" s="44" t="n"/>
      <c r="H372" s="44" t="n"/>
      <c r="I372" s="36" t="n"/>
      <c r="J372" s="36" t="n"/>
      <c r="K372" s="41" t="n"/>
      <c r="L372" s="41" t="n"/>
      <c r="M372" s="36" t="n"/>
      <c r="N372" s="36" t="n"/>
      <c r="O372" s="32" t="n"/>
      <c r="P372" s="36" t="n"/>
      <c r="Q372" s="36" t="n"/>
      <c r="R372" s="34">
        <f>IF(P372="","",IFERROR(VLOOKUP(P372,T_Produits,2,FALSE),""))</f>
        <v/>
      </c>
      <c r="S372" s="36" t="n"/>
      <c r="T372" s="43" t="n"/>
      <c r="U372" s="43" t="n"/>
      <c r="V372" s="36" t="n"/>
      <c r="W372" s="36" t="n"/>
      <c r="X372" s="33">
        <f>IF(C372="","",Commercial_Id)</f>
        <v/>
      </c>
      <c r="Y372" s="33">
        <f>IF(E372="","",IF(E372="Particulier / ménage","Particulier","Entreprise"))</f>
        <v/>
      </c>
      <c r="Z372" s="39">
        <f>IF(C372="","",COUNTIFS(VC_cle,AK372,VC_type,"Visite sur place"))</f>
        <v/>
      </c>
      <c r="AA372" s="46">
        <f>IF(AL372=0,"",IF(INT(AL372)=0,"",INT(AL372)))</f>
        <v/>
      </c>
      <c r="AB372" s="46">
        <f>IF(AL372=0,"",IF(INDEX(VC_actiondate,ROUND(MOD(AL372,1)*100000,0)-5)=0,"",INDEX(VC_actiondate,ROUND(MOD(AL372,1)*100000,0)-5)))</f>
        <v/>
      </c>
      <c r="AC372" s="33">
        <f>IF(AL372=0,"",INDEX(VC_actiontexte,ROUND(MOD(AL372,1)*100000,0)-5)&amp;"")</f>
        <v/>
      </c>
      <c r="AD372" s="46">
        <f>IF(C372="","",IF(COUNTIFS(Cmd_cle,AK372,Cmd_dateca,"&gt;0")=0,"",SMALL(INDEX(Cmd_dateca+(((Cmd_cle&lt;&gt;AK372)+(Cmd_dateca=0))&gt;0)*1000000,0),1)))</f>
        <v/>
      </c>
      <c r="AE372" s="46">
        <f>IF(C372="","",IF(COUNTIFS(Cmd_cle,AK372,Cmd_dateca,"&gt;0")=0,"",MAX(INDEX((Cmd_cle=AK372)*Cmd_dateca,0))))</f>
        <v/>
      </c>
      <c r="AF372" s="40">
        <f>IF(C372="","",SUMIFS(Cmd_montant,Cmd_cle,AK372,Cmd_dateca,"&gt;0"))</f>
        <v/>
      </c>
      <c r="AG372" s="40">
        <f>IF(C372="","",SUMIFS(Enc_montant,Enc_cle,AK372))</f>
        <v/>
      </c>
      <c r="AH372" s="40">
        <f>IF(C372="","",AF372-AG372)</f>
        <v/>
      </c>
      <c r="AI372" s="33">
        <f>IF(C372="","",IF(D372="Perdu","",IF(AND(AB372&lt;&gt;"",N(AB372)&lt;TODAY()),"Action en retard",IF(AND(D372="Client",AE372&lt;&gt;"",TODAY()-N(AE372)&gt;P_JoursInactif),"Client inactif",IF(AND(D372="Prospect",Z372=0,O372&lt;&gt;"",TODAY()-N(O372)&gt;P_JoursNonVisite),"Jamais visité","")))))</f>
        <v/>
      </c>
      <c r="AJ372" s="33">
        <f>IF(C372="","",C372&amp;" ["&amp;TEXT(A372,"000")&amp;"]")</f>
        <v/>
      </c>
      <c r="AK372" s="33">
        <f>IF(C372="","",X372&amp;"|"&amp;A372)</f>
        <v/>
      </c>
      <c r="AL372" s="47">
        <f>IF(C372="",0,IF(COUNTIFS(VC_cle,AK372)=0,0,MAX(INDEX((VC_cle=AK372)*(VC_date+ROW(VC_date)/100000),0))))</f>
        <v/>
      </c>
      <c r="AM372" s="47">
        <f>IF(AND(C372&lt;&gt;"",N(AB372)&gt;0,D372&lt;&gt;"Perdu"),AB372+ROW()/100000,0)</f>
        <v/>
      </c>
      <c r="AN372" s="48">
        <f>IF(N(AF372)&gt;0,ROUND(AF372,0)+ROW()/1000000,0)</f>
        <v/>
      </c>
    </row>
    <row r="373" ht="18" customHeight="1">
      <c r="A373" s="39" t="n">
        <v>368</v>
      </c>
      <c r="B373" s="33">
        <f>IF(C373="","",IF(X373="À RENSEIGNER","GIC",X373)&amp;"-"&amp;TEXT(A373,"000"))</f>
        <v/>
      </c>
      <c r="C373" s="36" t="n"/>
      <c r="D373" s="34">
        <f>IF(C373="","",IF(U373="☑ Oui","Perdu",IF(AD373&lt;&gt;"","Client","Prospect")))</f>
        <v/>
      </c>
      <c r="E373" s="36" t="n"/>
      <c r="F373" s="36" t="n"/>
      <c r="G373" s="44" t="n"/>
      <c r="H373" s="44" t="n"/>
      <c r="I373" s="36" t="n"/>
      <c r="J373" s="36" t="n"/>
      <c r="K373" s="41" t="n"/>
      <c r="L373" s="41" t="n"/>
      <c r="M373" s="36" t="n"/>
      <c r="N373" s="36" t="n"/>
      <c r="O373" s="32" t="n"/>
      <c r="P373" s="36" t="n"/>
      <c r="Q373" s="36" t="n"/>
      <c r="R373" s="34">
        <f>IF(P373="","",IFERROR(VLOOKUP(P373,T_Produits,2,FALSE),""))</f>
        <v/>
      </c>
      <c r="S373" s="36" t="n"/>
      <c r="T373" s="43" t="n"/>
      <c r="U373" s="43" t="n"/>
      <c r="V373" s="36" t="n"/>
      <c r="W373" s="36" t="n"/>
      <c r="X373" s="33">
        <f>IF(C373="","",Commercial_Id)</f>
        <v/>
      </c>
      <c r="Y373" s="33">
        <f>IF(E373="","",IF(E373="Particulier / ménage","Particulier","Entreprise"))</f>
        <v/>
      </c>
      <c r="Z373" s="39">
        <f>IF(C373="","",COUNTIFS(VC_cle,AK373,VC_type,"Visite sur place"))</f>
        <v/>
      </c>
      <c r="AA373" s="46">
        <f>IF(AL373=0,"",IF(INT(AL373)=0,"",INT(AL373)))</f>
        <v/>
      </c>
      <c r="AB373" s="46">
        <f>IF(AL373=0,"",IF(INDEX(VC_actiondate,ROUND(MOD(AL373,1)*100000,0)-5)=0,"",INDEX(VC_actiondate,ROUND(MOD(AL373,1)*100000,0)-5)))</f>
        <v/>
      </c>
      <c r="AC373" s="33">
        <f>IF(AL373=0,"",INDEX(VC_actiontexte,ROUND(MOD(AL373,1)*100000,0)-5)&amp;"")</f>
        <v/>
      </c>
      <c r="AD373" s="46">
        <f>IF(C373="","",IF(COUNTIFS(Cmd_cle,AK373,Cmd_dateca,"&gt;0")=0,"",SMALL(INDEX(Cmd_dateca+(((Cmd_cle&lt;&gt;AK373)+(Cmd_dateca=0))&gt;0)*1000000,0),1)))</f>
        <v/>
      </c>
      <c r="AE373" s="46">
        <f>IF(C373="","",IF(COUNTIFS(Cmd_cle,AK373,Cmd_dateca,"&gt;0")=0,"",MAX(INDEX((Cmd_cle=AK373)*Cmd_dateca,0))))</f>
        <v/>
      </c>
      <c r="AF373" s="40">
        <f>IF(C373="","",SUMIFS(Cmd_montant,Cmd_cle,AK373,Cmd_dateca,"&gt;0"))</f>
        <v/>
      </c>
      <c r="AG373" s="40">
        <f>IF(C373="","",SUMIFS(Enc_montant,Enc_cle,AK373))</f>
        <v/>
      </c>
      <c r="AH373" s="40">
        <f>IF(C373="","",AF373-AG373)</f>
        <v/>
      </c>
      <c r="AI373" s="33">
        <f>IF(C373="","",IF(D373="Perdu","",IF(AND(AB373&lt;&gt;"",N(AB373)&lt;TODAY()),"Action en retard",IF(AND(D373="Client",AE373&lt;&gt;"",TODAY()-N(AE373)&gt;P_JoursInactif),"Client inactif",IF(AND(D373="Prospect",Z373=0,O373&lt;&gt;"",TODAY()-N(O373)&gt;P_JoursNonVisite),"Jamais visité","")))))</f>
        <v/>
      </c>
      <c r="AJ373" s="33">
        <f>IF(C373="","",C373&amp;" ["&amp;TEXT(A373,"000")&amp;"]")</f>
        <v/>
      </c>
      <c r="AK373" s="33">
        <f>IF(C373="","",X373&amp;"|"&amp;A373)</f>
        <v/>
      </c>
      <c r="AL373" s="47">
        <f>IF(C373="",0,IF(COUNTIFS(VC_cle,AK373)=0,0,MAX(INDEX((VC_cle=AK373)*(VC_date+ROW(VC_date)/100000),0))))</f>
        <v/>
      </c>
      <c r="AM373" s="47">
        <f>IF(AND(C373&lt;&gt;"",N(AB373)&gt;0,D373&lt;&gt;"Perdu"),AB373+ROW()/100000,0)</f>
        <v/>
      </c>
      <c r="AN373" s="48">
        <f>IF(N(AF373)&gt;0,ROUND(AF373,0)+ROW()/1000000,0)</f>
        <v/>
      </c>
    </row>
    <row r="374" ht="18" customHeight="1">
      <c r="A374" s="39" t="n">
        <v>369</v>
      </c>
      <c r="B374" s="33">
        <f>IF(C374="","",IF(X374="À RENSEIGNER","GIC",X374)&amp;"-"&amp;TEXT(A374,"000"))</f>
        <v/>
      </c>
      <c r="C374" s="36" t="n"/>
      <c r="D374" s="34">
        <f>IF(C374="","",IF(U374="☑ Oui","Perdu",IF(AD374&lt;&gt;"","Client","Prospect")))</f>
        <v/>
      </c>
      <c r="E374" s="36" t="n"/>
      <c r="F374" s="36" t="n"/>
      <c r="G374" s="44" t="n"/>
      <c r="H374" s="44" t="n"/>
      <c r="I374" s="36" t="n"/>
      <c r="J374" s="36" t="n"/>
      <c r="K374" s="41" t="n"/>
      <c r="L374" s="41" t="n"/>
      <c r="M374" s="36" t="n"/>
      <c r="N374" s="36" t="n"/>
      <c r="O374" s="32" t="n"/>
      <c r="P374" s="36" t="n"/>
      <c r="Q374" s="36" t="n"/>
      <c r="R374" s="34">
        <f>IF(P374="","",IFERROR(VLOOKUP(P374,T_Produits,2,FALSE),""))</f>
        <v/>
      </c>
      <c r="S374" s="36" t="n"/>
      <c r="T374" s="43" t="n"/>
      <c r="U374" s="43" t="n"/>
      <c r="V374" s="36" t="n"/>
      <c r="W374" s="36" t="n"/>
      <c r="X374" s="33">
        <f>IF(C374="","",Commercial_Id)</f>
        <v/>
      </c>
      <c r="Y374" s="33">
        <f>IF(E374="","",IF(E374="Particulier / ménage","Particulier","Entreprise"))</f>
        <v/>
      </c>
      <c r="Z374" s="39">
        <f>IF(C374="","",COUNTIFS(VC_cle,AK374,VC_type,"Visite sur place"))</f>
        <v/>
      </c>
      <c r="AA374" s="46">
        <f>IF(AL374=0,"",IF(INT(AL374)=0,"",INT(AL374)))</f>
        <v/>
      </c>
      <c r="AB374" s="46">
        <f>IF(AL374=0,"",IF(INDEX(VC_actiondate,ROUND(MOD(AL374,1)*100000,0)-5)=0,"",INDEX(VC_actiondate,ROUND(MOD(AL374,1)*100000,0)-5)))</f>
        <v/>
      </c>
      <c r="AC374" s="33">
        <f>IF(AL374=0,"",INDEX(VC_actiontexte,ROUND(MOD(AL374,1)*100000,0)-5)&amp;"")</f>
        <v/>
      </c>
      <c r="AD374" s="46">
        <f>IF(C374="","",IF(COUNTIFS(Cmd_cle,AK374,Cmd_dateca,"&gt;0")=0,"",SMALL(INDEX(Cmd_dateca+(((Cmd_cle&lt;&gt;AK374)+(Cmd_dateca=0))&gt;0)*1000000,0),1)))</f>
        <v/>
      </c>
      <c r="AE374" s="46">
        <f>IF(C374="","",IF(COUNTIFS(Cmd_cle,AK374,Cmd_dateca,"&gt;0")=0,"",MAX(INDEX((Cmd_cle=AK374)*Cmd_dateca,0))))</f>
        <v/>
      </c>
      <c r="AF374" s="40">
        <f>IF(C374="","",SUMIFS(Cmd_montant,Cmd_cle,AK374,Cmd_dateca,"&gt;0"))</f>
        <v/>
      </c>
      <c r="AG374" s="40">
        <f>IF(C374="","",SUMIFS(Enc_montant,Enc_cle,AK374))</f>
        <v/>
      </c>
      <c r="AH374" s="40">
        <f>IF(C374="","",AF374-AG374)</f>
        <v/>
      </c>
      <c r="AI374" s="33">
        <f>IF(C374="","",IF(D374="Perdu","",IF(AND(AB374&lt;&gt;"",N(AB374)&lt;TODAY()),"Action en retard",IF(AND(D374="Client",AE374&lt;&gt;"",TODAY()-N(AE374)&gt;P_JoursInactif),"Client inactif",IF(AND(D374="Prospect",Z374=0,O374&lt;&gt;"",TODAY()-N(O374)&gt;P_JoursNonVisite),"Jamais visité","")))))</f>
        <v/>
      </c>
      <c r="AJ374" s="33">
        <f>IF(C374="","",C374&amp;" ["&amp;TEXT(A374,"000")&amp;"]")</f>
        <v/>
      </c>
      <c r="AK374" s="33">
        <f>IF(C374="","",X374&amp;"|"&amp;A374)</f>
        <v/>
      </c>
      <c r="AL374" s="47">
        <f>IF(C374="",0,IF(COUNTIFS(VC_cle,AK374)=0,0,MAX(INDEX((VC_cle=AK374)*(VC_date+ROW(VC_date)/100000),0))))</f>
        <v/>
      </c>
      <c r="AM374" s="47">
        <f>IF(AND(C374&lt;&gt;"",N(AB374)&gt;0,D374&lt;&gt;"Perdu"),AB374+ROW()/100000,0)</f>
        <v/>
      </c>
      <c r="AN374" s="48">
        <f>IF(N(AF374)&gt;0,ROUND(AF374,0)+ROW()/1000000,0)</f>
        <v/>
      </c>
    </row>
    <row r="375" ht="18" customHeight="1">
      <c r="A375" s="39" t="n">
        <v>370</v>
      </c>
      <c r="B375" s="33">
        <f>IF(C375="","",IF(X375="À RENSEIGNER","GIC",X375)&amp;"-"&amp;TEXT(A375,"000"))</f>
        <v/>
      </c>
      <c r="C375" s="36" t="n"/>
      <c r="D375" s="34">
        <f>IF(C375="","",IF(U375="☑ Oui","Perdu",IF(AD375&lt;&gt;"","Client","Prospect")))</f>
        <v/>
      </c>
      <c r="E375" s="36" t="n"/>
      <c r="F375" s="36" t="n"/>
      <c r="G375" s="44" t="n"/>
      <c r="H375" s="44" t="n"/>
      <c r="I375" s="36" t="n"/>
      <c r="J375" s="36" t="n"/>
      <c r="K375" s="41" t="n"/>
      <c r="L375" s="41" t="n"/>
      <c r="M375" s="36" t="n"/>
      <c r="N375" s="36" t="n"/>
      <c r="O375" s="32" t="n"/>
      <c r="P375" s="36" t="n"/>
      <c r="Q375" s="36" t="n"/>
      <c r="R375" s="34">
        <f>IF(P375="","",IFERROR(VLOOKUP(P375,T_Produits,2,FALSE),""))</f>
        <v/>
      </c>
      <c r="S375" s="36" t="n"/>
      <c r="T375" s="43" t="n"/>
      <c r="U375" s="43" t="n"/>
      <c r="V375" s="36" t="n"/>
      <c r="W375" s="36" t="n"/>
      <c r="X375" s="33">
        <f>IF(C375="","",Commercial_Id)</f>
        <v/>
      </c>
      <c r="Y375" s="33">
        <f>IF(E375="","",IF(E375="Particulier / ménage","Particulier","Entreprise"))</f>
        <v/>
      </c>
      <c r="Z375" s="39">
        <f>IF(C375="","",COUNTIFS(VC_cle,AK375,VC_type,"Visite sur place"))</f>
        <v/>
      </c>
      <c r="AA375" s="46">
        <f>IF(AL375=0,"",IF(INT(AL375)=0,"",INT(AL375)))</f>
        <v/>
      </c>
      <c r="AB375" s="46">
        <f>IF(AL375=0,"",IF(INDEX(VC_actiondate,ROUND(MOD(AL375,1)*100000,0)-5)=0,"",INDEX(VC_actiondate,ROUND(MOD(AL375,1)*100000,0)-5)))</f>
        <v/>
      </c>
      <c r="AC375" s="33">
        <f>IF(AL375=0,"",INDEX(VC_actiontexte,ROUND(MOD(AL375,1)*100000,0)-5)&amp;"")</f>
        <v/>
      </c>
      <c r="AD375" s="46">
        <f>IF(C375="","",IF(COUNTIFS(Cmd_cle,AK375,Cmd_dateca,"&gt;0")=0,"",SMALL(INDEX(Cmd_dateca+(((Cmd_cle&lt;&gt;AK375)+(Cmd_dateca=0))&gt;0)*1000000,0),1)))</f>
        <v/>
      </c>
      <c r="AE375" s="46">
        <f>IF(C375="","",IF(COUNTIFS(Cmd_cle,AK375,Cmd_dateca,"&gt;0")=0,"",MAX(INDEX((Cmd_cle=AK375)*Cmd_dateca,0))))</f>
        <v/>
      </c>
      <c r="AF375" s="40">
        <f>IF(C375="","",SUMIFS(Cmd_montant,Cmd_cle,AK375,Cmd_dateca,"&gt;0"))</f>
        <v/>
      </c>
      <c r="AG375" s="40">
        <f>IF(C375="","",SUMIFS(Enc_montant,Enc_cle,AK375))</f>
        <v/>
      </c>
      <c r="AH375" s="40">
        <f>IF(C375="","",AF375-AG375)</f>
        <v/>
      </c>
      <c r="AI375" s="33">
        <f>IF(C375="","",IF(D375="Perdu","",IF(AND(AB375&lt;&gt;"",N(AB375)&lt;TODAY()),"Action en retard",IF(AND(D375="Client",AE375&lt;&gt;"",TODAY()-N(AE375)&gt;P_JoursInactif),"Client inactif",IF(AND(D375="Prospect",Z375=0,O375&lt;&gt;"",TODAY()-N(O375)&gt;P_JoursNonVisite),"Jamais visité","")))))</f>
        <v/>
      </c>
      <c r="AJ375" s="33">
        <f>IF(C375="","",C375&amp;" ["&amp;TEXT(A375,"000")&amp;"]")</f>
        <v/>
      </c>
      <c r="AK375" s="33">
        <f>IF(C375="","",X375&amp;"|"&amp;A375)</f>
        <v/>
      </c>
      <c r="AL375" s="47">
        <f>IF(C375="",0,IF(COUNTIFS(VC_cle,AK375)=0,0,MAX(INDEX((VC_cle=AK375)*(VC_date+ROW(VC_date)/100000),0))))</f>
        <v/>
      </c>
      <c r="AM375" s="47">
        <f>IF(AND(C375&lt;&gt;"",N(AB375)&gt;0,D375&lt;&gt;"Perdu"),AB375+ROW()/100000,0)</f>
        <v/>
      </c>
      <c r="AN375" s="48">
        <f>IF(N(AF375)&gt;0,ROUND(AF375,0)+ROW()/1000000,0)</f>
        <v/>
      </c>
    </row>
    <row r="376" ht="18" customHeight="1">
      <c r="A376" s="39" t="n">
        <v>371</v>
      </c>
      <c r="B376" s="33">
        <f>IF(C376="","",IF(X376="À RENSEIGNER","GIC",X376)&amp;"-"&amp;TEXT(A376,"000"))</f>
        <v/>
      </c>
      <c r="C376" s="36" t="n"/>
      <c r="D376" s="34">
        <f>IF(C376="","",IF(U376="☑ Oui","Perdu",IF(AD376&lt;&gt;"","Client","Prospect")))</f>
        <v/>
      </c>
      <c r="E376" s="36" t="n"/>
      <c r="F376" s="36" t="n"/>
      <c r="G376" s="44" t="n"/>
      <c r="H376" s="44" t="n"/>
      <c r="I376" s="36" t="n"/>
      <c r="J376" s="36" t="n"/>
      <c r="K376" s="41" t="n"/>
      <c r="L376" s="41" t="n"/>
      <c r="M376" s="36" t="n"/>
      <c r="N376" s="36" t="n"/>
      <c r="O376" s="32" t="n"/>
      <c r="P376" s="36" t="n"/>
      <c r="Q376" s="36" t="n"/>
      <c r="R376" s="34">
        <f>IF(P376="","",IFERROR(VLOOKUP(P376,T_Produits,2,FALSE),""))</f>
        <v/>
      </c>
      <c r="S376" s="36" t="n"/>
      <c r="T376" s="43" t="n"/>
      <c r="U376" s="43" t="n"/>
      <c r="V376" s="36" t="n"/>
      <c r="W376" s="36" t="n"/>
      <c r="X376" s="33">
        <f>IF(C376="","",Commercial_Id)</f>
        <v/>
      </c>
      <c r="Y376" s="33">
        <f>IF(E376="","",IF(E376="Particulier / ménage","Particulier","Entreprise"))</f>
        <v/>
      </c>
      <c r="Z376" s="39">
        <f>IF(C376="","",COUNTIFS(VC_cle,AK376,VC_type,"Visite sur place"))</f>
        <v/>
      </c>
      <c r="AA376" s="46">
        <f>IF(AL376=0,"",IF(INT(AL376)=0,"",INT(AL376)))</f>
        <v/>
      </c>
      <c r="AB376" s="46">
        <f>IF(AL376=0,"",IF(INDEX(VC_actiondate,ROUND(MOD(AL376,1)*100000,0)-5)=0,"",INDEX(VC_actiondate,ROUND(MOD(AL376,1)*100000,0)-5)))</f>
        <v/>
      </c>
      <c r="AC376" s="33">
        <f>IF(AL376=0,"",INDEX(VC_actiontexte,ROUND(MOD(AL376,1)*100000,0)-5)&amp;"")</f>
        <v/>
      </c>
      <c r="AD376" s="46">
        <f>IF(C376="","",IF(COUNTIFS(Cmd_cle,AK376,Cmd_dateca,"&gt;0")=0,"",SMALL(INDEX(Cmd_dateca+(((Cmd_cle&lt;&gt;AK376)+(Cmd_dateca=0))&gt;0)*1000000,0),1)))</f>
        <v/>
      </c>
      <c r="AE376" s="46">
        <f>IF(C376="","",IF(COUNTIFS(Cmd_cle,AK376,Cmd_dateca,"&gt;0")=0,"",MAX(INDEX((Cmd_cle=AK376)*Cmd_dateca,0))))</f>
        <v/>
      </c>
      <c r="AF376" s="40">
        <f>IF(C376="","",SUMIFS(Cmd_montant,Cmd_cle,AK376,Cmd_dateca,"&gt;0"))</f>
        <v/>
      </c>
      <c r="AG376" s="40">
        <f>IF(C376="","",SUMIFS(Enc_montant,Enc_cle,AK376))</f>
        <v/>
      </c>
      <c r="AH376" s="40">
        <f>IF(C376="","",AF376-AG376)</f>
        <v/>
      </c>
      <c r="AI376" s="33">
        <f>IF(C376="","",IF(D376="Perdu","",IF(AND(AB376&lt;&gt;"",N(AB376)&lt;TODAY()),"Action en retard",IF(AND(D376="Client",AE376&lt;&gt;"",TODAY()-N(AE376)&gt;P_JoursInactif),"Client inactif",IF(AND(D376="Prospect",Z376=0,O376&lt;&gt;"",TODAY()-N(O376)&gt;P_JoursNonVisite),"Jamais visité","")))))</f>
        <v/>
      </c>
      <c r="AJ376" s="33">
        <f>IF(C376="","",C376&amp;" ["&amp;TEXT(A376,"000")&amp;"]")</f>
        <v/>
      </c>
      <c r="AK376" s="33">
        <f>IF(C376="","",X376&amp;"|"&amp;A376)</f>
        <v/>
      </c>
      <c r="AL376" s="47">
        <f>IF(C376="",0,IF(COUNTIFS(VC_cle,AK376)=0,0,MAX(INDEX((VC_cle=AK376)*(VC_date+ROW(VC_date)/100000),0))))</f>
        <v/>
      </c>
      <c r="AM376" s="47">
        <f>IF(AND(C376&lt;&gt;"",N(AB376)&gt;0,D376&lt;&gt;"Perdu"),AB376+ROW()/100000,0)</f>
        <v/>
      </c>
      <c r="AN376" s="48">
        <f>IF(N(AF376)&gt;0,ROUND(AF376,0)+ROW()/1000000,0)</f>
        <v/>
      </c>
    </row>
    <row r="377" ht="18" customHeight="1">
      <c r="A377" s="39" t="n">
        <v>372</v>
      </c>
      <c r="B377" s="33">
        <f>IF(C377="","",IF(X377="À RENSEIGNER","GIC",X377)&amp;"-"&amp;TEXT(A377,"000"))</f>
        <v/>
      </c>
      <c r="C377" s="36" t="n"/>
      <c r="D377" s="34">
        <f>IF(C377="","",IF(U377="☑ Oui","Perdu",IF(AD377&lt;&gt;"","Client","Prospect")))</f>
        <v/>
      </c>
      <c r="E377" s="36" t="n"/>
      <c r="F377" s="36" t="n"/>
      <c r="G377" s="44" t="n"/>
      <c r="H377" s="44" t="n"/>
      <c r="I377" s="36" t="n"/>
      <c r="J377" s="36" t="n"/>
      <c r="K377" s="41" t="n"/>
      <c r="L377" s="41" t="n"/>
      <c r="M377" s="36" t="n"/>
      <c r="N377" s="36" t="n"/>
      <c r="O377" s="32" t="n"/>
      <c r="P377" s="36" t="n"/>
      <c r="Q377" s="36" t="n"/>
      <c r="R377" s="34">
        <f>IF(P377="","",IFERROR(VLOOKUP(P377,T_Produits,2,FALSE),""))</f>
        <v/>
      </c>
      <c r="S377" s="36" t="n"/>
      <c r="T377" s="43" t="n"/>
      <c r="U377" s="43" t="n"/>
      <c r="V377" s="36" t="n"/>
      <c r="W377" s="36" t="n"/>
      <c r="X377" s="33">
        <f>IF(C377="","",Commercial_Id)</f>
        <v/>
      </c>
      <c r="Y377" s="33">
        <f>IF(E377="","",IF(E377="Particulier / ménage","Particulier","Entreprise"))</f>
        <v/>
      </c>
      <c r="Z377" s="39">
        <f>IF(C377="","",COUNTIFS(VC_cle,AK377,VC_type,"Visite sur place"))</f>
        <v/>
      </c>
      <c r="AA377" s="46">
        <f>IF(AL377=0,"",IF(INT(AL377)=0,"",INT(AL377)))</f>
        <v/>
      </c>
      <c r="AB377" s="46">
        <f>IF(AL377=0,"",IF(INDEX(VC_actiondate,ROUND(MOD(AL377,1)*100000,0)-5)=0,"",INDEX(VC_actiondate,ROUND(MOD(AL377,1)*100000,0)-5)))</f>
        <v/>
      </c>
      <c r="AC377" s="33">
        <f>IF(AL377=0,"",INDEX(VC_actiontexte,ROUND(MOD(AL377,1)*100000,0)-5)&amp;"")</f>
        <v/>
      </c>
      <c r="AD377" s="46">
        <f>IF(C377="","",IF(COUNTIFS(Cmd_cle,AK377,Cmd_dateca,"&gt;0")=0,"",SMALL(INDEX(Cmd_dateca+(((Cmd_cle&lt;&gt;AK377)+(Cmd_dateca=0))&gt;0)*1000000,0),1)))</f>
        <v/>
      </c>
      <c r="AE377" s="46">
        <f>IF(C377="","",IF(COUNTIFS(Cmd_cle,AK377,Cmd_dateca,"&gt;0")=0,"",MAX(INDEX((Cmd_cle=AK377)*Cmd_dateca,0))))</f>
        <v/>
      </c>
      <c r="AF377" s="40">
        <f>IF(C377="","",SUMIFS(Cmd_montant,Cmd_cle,AK377,Cmd_dateca,"&gt;0"))</f>
        <v/>
      </c>
      <c r="AG377" s="40">
        <f>IF(C377="","",SUMIFS(Enc_montant,Enc_cle,AK377))</f>
        <v/>
      </c>
      <c r="AH377" s="40">
        <f>IF(C377="","",AF377-AG377)</f>
        <v/>
      </c>
      <c r="AI377" s="33">
        <f>IF(C377="","",IF(D377="Perdu","",IF(AND(AB377&lt;&gt;"",N(AB377)&lt;TODAY()),"Action en retard",IF(AND(D377="Client",AE377&lt;&gt;"",TODAY()-N(AE377)&gt;P_JoursInactif),"Client inactif",IF(AND(D377="Prospect",Z377=0,O377&lt;&gt;"",TODAY()-N(O377)&gt;P_JoursNonVisite),"Jamais visité","")))))</f>
        <v/>
      </c>
      <c r="AJ377" s="33">
        <f>IF(C377="","",C377&amp;" ["&amp;TEXT(A377,"000")&amp;"]")</f>
        <v/>
      </c>
      <c r="AK377" s="33">
        <f>IF(C377="","",X377&amp;"|"&amp;A377)</f>
        <v/>
      </c>
      <c r="AL377" s="47">
        <f>IF(C377="",0,IF(COUNTIFS(VC_cle,AK377)=0,0,MAX(INDEX((VC_cle=AK377)*(VC_date+ROW(VC_date)/100000),0))))</f>
        <v/>
      </c>
      <c r="AM377" s="47">
        <f>IF(AND(C377&lt;&gt;"",N(AB377)&gt;0,D377&lt;&gt;"Perdu"),AB377+ROW()/100000,0)</f>
        <v/>
      </c>
      <c r="AN377" s="48">
        <f>IF(N(AF377)&gt;0,ROUND(AF377,0)+ROW()/1000000,0)</f>
        <v/>
      </c>
    </row>
    <row r="378" ht="18" customHeight="1">
      <c r="A378" s="39" t="n">
        <v>373</v>
      </c>
      <c r="B378" s="33">
        <f>IF(C378="","",IF(X378="À RENSEIGNER","GIC",X378)&amp;"-"&amp;TEXT(A378,"000"))</f>
        <v/>
      </c>
      <c r="C378" s="36" t="n"/>
      <c r="D378" s="34">
        <f>IF(C378="","",IF(U378="☑ Oui","Perdu",IF(AD378&lt;&gt;"","Client","Prospect")))</f>
        <v/>
      </c>
      <c r="E378" s="36" t="n"/>
      <c r="F378" s="36" t="n"/>
      <c r="G378" s="44" t="n"/>
      <c r="H378" s="44" t="n"/>
      <c r="I378" s="36" t="n"/>
      <c r="J378" s="36" t="n"/>
      <c r="K378" s="41" t="n"/>
      <c r="L378" s="41" t="n"/>
      <c r="M378" s="36" t="n"/>
      <c r="N378" s="36" t="n"/>
      <c r="O378" s="32" t="n"/>
      <c r="P378" s="36" t="n"/>
      <c r="Q378" s="36" t="n"/>
      <c r="R378" s="34">
        <f>IF(P378="","",IFERROR(VLOOKUP(P378,T_Produits,2,FALSE),""))</f>
        <v/>
      </c>
      <c r="S378" s="36" t="n"/>
      <c r="T378" s="43" t="n"/>
      <c r="U378" s="43" t="n"/>
      <c r="V378" s="36" t="n"/>
      <c r="W378" s="36" t="n"/>
      <c r="X378" s="33">
        <f>IF(C378="","",Commercial_Id)</f>
        <v/>
      </c>
      <c r="Y378" s="33">
        <f>IF(E378="","",IF(E378="Particulier / ménage","Particulier","Entreprise"))</f>
        <v/>
      </c>
      <c r="Z378" s="39">
        <f>IF(C378="","",COUNTIFS(VC_cle,AK378,VC_type,"Visite sur place"))</f>
        <v/>
      </c>
      <c r="AA378" s="46">
        <f>IF(AL378=0,"",IF(INT(AL378)=0,"",INT(AL378)))</f>
        <v/>
      </c>
      <c r="AB378" s="46">
        <f>IF(AL378=0,"",IF(INDEX(VC_actiondate,ROUND(MOD(AL378,1)*100000,0)-5)=0,"",INDEX(VC_actiondate,ROUND(MOD(AL378,1)*100000,0)-5)))</f>
        <v/>
      </c>
      <c r="AC378" s="33">
        <f>IF(AL378=0,"",INDEX(VC_actiontexte,ROUND(MOD(AL378,1)*100000,0)-5)&amp;"")</f>
        <v/>
      </c>
      <c r="AD378" s="46">
        <f>IF(C378="","",IF(COUNTIFS(Cmd_cle,AK378,Cmd_dateca,"&gt;0")=0,"",SMALL(INDEX(Cmd_dateca+(((Cmd_cle&lt;&gt;AK378)+(Cmd_dateca=0))&gt;0)*1000000,0),1)))</f>
        <v/>
      </c>
      <c r="AE378" s="46">
        <f>IF(C378="","",IF(COUNTIFS(Cmd_cle,AK378,Cmd_dateca,"&gt;0")=0,"",MAX(INDEX((Cmd_cle=AK378)*Cmd_dateca,0))))</f>
        <v/>
      </c>
      <c r="AF378" s="40">
        <f>IF(C378="","",SUMIFS(Cmd_montant,Cmd_cle,AK378,Cmd_dateca,"&gt;0"))</f>
        <v/>
      </c>
      <c r="AG378" s="40">
        <f>IF(C378="","",SUMIFS(Enc_montant,Enc_cle,AK378))</f>
        <v/>
      </c>
      <c r="AH378" s="40">
        <f>IF(C378="","",AF378-AG378)</f>
        <v/>
      </c>
      <c r="AI378" s="33">
        <f>IF(C378="","",IF(D378="Perdu","",IF(AND(AB378&lt;&gt;"",N(AB378)&lt;TODAY()),"Action en retard",IF(AND(D378="Client",AE378&lt;&gt;"",TODAY()-N(AE378)&gt;P_JoursInactif),"Client inactif",IF(AND(D378="Prospect",Z378=0,O378&lt;&gt;"",TODAY()-N(O378)&gt;P_JoursNonVisite),"Jamais visité","")))))</f>
        <v/>
      </c>
      <c r="AJ378" s="33">
        <f>IF(C378="","",C378&amp;" ["&amp;TEXT(A378,"000")&amp;"]")</f>
        <v/>
      </c>
      <c r="AK378" s="33">
        <f>IF(C378="","",X378&amp;"|"&amp;A378)</f>
        <v/>
      </c>
      <c r="AL378" s="47">
        <f>IF(C378="",0,IF(COUNTIFS(VC_cle,AK378)=0,0,MAX(INDEX((VC_cle=AK378)*(VC_date+ROW(VC_date)/100000),0))))</f>
        <v/>
      </c>
      <c r="AM378" s="47">
        <f>IF(AND(C378&lt;&gt;"",N(AB378)&gt;0,D378&lt;&gt;"Perdu"),AB378+ROW()/100000,0)</f>
        <v/>
      </c>
      <c r="AN378" s="48">
        <f>IF(N(AF378)&gt;0,ROUND(AF378,0)+ROW()/1000000,0)</f>
        <v/>
      </c>
    </row>
    <row r="379" ht="18" customHeight="1">
      <c r="A379" s="39" t="n">
        <v>374</v>
      </c>
      <c r="B379" s="33">
        <f>IF(C379="","",IF(X379="À RENSEIGNER","GIC",X379)&amp;"-"&amp;TEXT(A379,"000"))</f>
        <v/>
      </c>
      <c r="C379" s="36" t="n"/>
      <c r="D379" s="34">
        <f>IF(C379="","",IF(U379="☑ Oui","Perdu",IF(AD379&lt;&gt;"","Client","Prospect")))</f>
        <v/>
      </c>
      <c r="E379" s="36" t="n"/>
      <c r="F379" s="36" t="n"/>
      <c r="G379" s="44" t="n"/>
      <c r="H379" s="44" t="n"/>
      <c r="I379" s="36" t="n"/>
      <c r="J379" s="36" t="n"/>
      <c r="K379" s="41" t="n"/>
      <c r="L379" s="41" t="n"/>
      <c r="M379" s="36" t="n"/>
      <c r="N379" s="36" t="n"/>
      <c r="O379" s="32" t="n"/>
      <c r="P379" s="36" t="n"/>
      <c r="Q379" s="36" t="n"/>
      <c r="R379" s="34">
        <f>IF(P379="","",IFERROR(VLOOKUP(P379,T_Produits,2,FALSE),""))</f>
        <v/>
      </c>
      <c r="S379" s="36" t="n"/>
      <c r="T379" s="43" t="n"/>
      <c r="U379" s="43" t="n"/>
      <c r="V379" s="36" t="n"/>
      <c r="W379" s="36" t="n"/>
      <c r="X379" s="33">
        <f>IF(C379="","",Commercial_Id)</f>
        <v/>
      </c>
      <c r="Y379" s="33">
        <f>IF(E379="","",IF(E379="Particulier / ménage","Particulier","Entreprise"))</f>
        <v/>
      </c>
      <c r="Z379" s="39">
        <f>IF(C379="","",COUNTIFS(VC_cle,AK379,VC_type,"Visite sur place"))</f>
        <v/>
      </c>
      <c r="AA379" s="46">
        <f>IF(AL379=0,"",IF(INT(AL379)=0,"",INT(AL379)))</f>
        <v/>
      </c>
      <c r="AB379" s="46">
        <f>IF(AL379=0,"",IF(INDEX(VC_actiondate,ROUND(MOD(AL379,1)*100000,0)-5)=0,"",INDEX(VC_actiondate,ROUND(MOD(AL379,1)*100000,0)-5)))</f>
        <v/>
      </c>
      <c r="AC379" s="33">
        <f>IF(AL379=0,"",INDEX(VC_actiontexte,ROUND(MOD(AL379,1)*100000,0)-5)&amp;"")</f>
        <v/>
      </c>
      <c r="AD379" s="46">
        <f>IF(C379="","",IF(COUNTIFS(Cmd_cle,AK379,Cmd_dateca,"&gt;0")=0,"",SMALL(INDEX(Cmd_dateca+(((Cmd_cle&lt;&gt;AK379)+(Cmd_dateca=0))&gt;0)*1000000,0),1)))</f>
        <v/>
      </c>
      <c r="AE379" s="46">
        <f>IF(C379="","",IF(COUNTIFS(Cmd_cle,AK379,Cmd_dateca,"&gt;0")=0,"",MAX(INDEX((Cmd_cle=AK379)*Cmd_dateca,0))))</f>
        <v/>
      </c>
      <c r="AF379" s="40">
        <f>IF(C379="","",SUMIFS(Cmd_montant,Cmd_cle,AK379,Cmd_dateca,"&gt;0"))</f>
        <v/>
      </c>
      <c r="AG379" s="40">
        <f>IF(C379="","",SUMIFS(Enc_montant,Enc_cle,AK379))</f>
        <v/>
      </c>
      <c r="AH379" s="40">
        <f>IF(C379="","",AF379-AG379)</f>
        <v/>
      </c>
      <c r="AI379" s="33">
        <f>IF(C379="","",IF(D379="Perdu","",IF(AND(AB379&lt;&gt;"",N(AB379)&lt;TODAY()),"Action en retard",IF(AND(D379="Client",AE379&lt;&gt;"",TODAY()-N(AE379)&gt;P_JoursInactif),"Client inactif",IF(AND(D379="Prospect",Z379=0,O379&lt;&gt;"",TODAY()-N(O379)&gt;P_JoursNonVisite),"Jamais visité","")))))</f>
        <v/>
      </c>
      <c r="AJ379" s="33">
        <f>IF(C379="","",C379&amp;" ["&amp;TEXT(A379,"000")&amp;"]")</f>
        <v/>
      </c>
      <c r="AK379" s="33">
        <f>IF(C379="","",X379&amp;"|"&amp;A379)</f>
        <v/>
      </c>
      <c r="AL379" s="47">
        <f>IF(C379="",0,IF(COUNTIFS(VC_cle,AK379)=0,0,MAX(INDEX((VC_cle=AK379)*(VC_date+ROW(VC_date)/100000),0))))</f>
        <v/>
      </c>
      <c r="AM379" s="47">
        <f>IF(AND(C379&lt;&gt;"",N(AB379)&gt;0,D379&lt;&gt;"Perdu"),AB379+ROW()/100000,0)</f>
        <v/>
      </c>
      <c r="AN379" s="48">
        <f>IF(N(AF379)&gt;0,ROUND(AF379,0)+ROW()/1000000,0)</f>
        <v/>
      </c>
    </row>
    <row r="380" ht="18" customHeight="1">
      <c r="A380" s="39" t="n">
        <v>375</v>
      </c>
      <c r="B380" s="33">
        <f>IF(C380="","",IF(X380="À RENSEIGNER","GIC",X380)&amp;"-"&amp;TEXT(A380,"000"))</f>
        <v/>
      </c>
      <c r="C380" s="36" t="n"/>
      <c r="D380" s="34">
        <f>IF(C380="","",IF(U380="☑ Oui","Perdu",IF(AD380&lt;&gt;"","Client","Prospect")))</f>
        <v/>
      </c>
      <c r="E380" s="36" t="n"/>
      <c r="F380" s="36" t="n"/>
      <c r="G380" s="44" t="n"/>
      <c r="H380" s="44" t="n"/>
      <c r="I380" s="36" t="n"/>
      <c r="J380" s="36" t="n"/>
      <c r="K380" s="41" t="n"/>
      <c r="L380" s="41" t="n"/>
      <c r="M380" s="36" t="n"/>
      <c r="N380" s="36" t="n"/>
      <c r="O380" s="32" t="n"/>
      <c r="P380" s="36" t="n"/>
      <c r="Q380" s="36" t="n"/>
      <c r="R380" s="34">
        <f>IF(P380="","",IFERROR(VLOOKUP(P380,T_Produits,2,FALSE),""))</f>
        <v/>
      </c>
      <c r="S380" s="36" t="n"/>
      <c r="T380" s="43" t="n"/>
      <c r="U380" s="43" t="n"/>
      <c r="V380" s="36" t="n"/>
      <c r="W380" s="36" t="n"/>
      <c r="X380" s="33">
        <f>IF(C380="","",Commercial_Id)</f>
        <v/>
      </c>
      <c r="Y380" s="33">
        <f>IF(E380="","",IF(E380="Particulier / ménage","Particulier","Entreprise"))</f>
        <v/>
      </c>
      <c r="Z380" s="39">
        <f>IF(C380="","",COUNTIFS(VC_cle,AK380,VC_type,"Visite sur place"))</f>
        <v/>
      </c>
      <c r="AA380" s="46">
        <f>IF(AL380=0,"",IF(INT(AL380)=0,"",INT(AL380)))</f>
        <v/>
      </c>
      <c r="AB380" s="46">
        <f>IF(AL380=0,"",IF(INDEX(VC_actiondate,ROUND(MOD(AL380,1)*100000,0)-5)=0,"",INDEX(VC_actiondate,ROUND(MOD(AL380,1)*100000,0)-5)))</f>
        <v/>
      </c>
      <c r="AC380" s="33">
        <f>IF(AL380=0,"",INDEX(VC_actiontexte,ROUND(MOD(AL380,1)*100000,0)-5)&amp;"")</f>
        <v/>
      </c>
      <c r="AD380" s="46">
        <f>IF(C380="","",IF(COUNTIFS(Cmd_cle,AK380,Cmd_dateca,"&gt;0")=0,"",SMALL(INDEX(Cmd_dateca+(((Cmd_cle&lt;&gt;AK380)+(Cmd_dateca=0))&gt;0)*1000000,0),1)))</f>
        <v/>
      </c>
      <c r="AE380" s="46">
        <f>IF(C380="","",IF(COUNTIFS(Cmd_cle,AK380,Cmd_dateca,"&gt;0")=0,"",MAX(INDEX((Cmd_cle=AK380)*Cmd_dateca,0))))</f>
        <v/>
      </c>
      <c r="AF380" s="40">
        <f>IF(C380="","",SUMIFS(Cmd_montant,Cmd_cle,AK380,Cmd_dateca,"&gt;0"))</f>
        <v/>
      </c>
      <c r="AG380" s="40">
        <f>IF(C380="","",SUMIFS(Enc_montant,Enc_cle,AK380))</f>
        <v/>
      </c>
      <c r="AH380" s="40">
        <f>IF(C380="","",AF380-AG380)</f>
        <v/>
      </c>
      <c r="AI380" s="33">
        <f>IF(C380="","",IF(D380="Perdu","",IF(AND(AB380&lt;&gt;"",N(AB380)&lt;TODAY()),"Action en retard",IF(AND(D380="Client",AE380&lt;&gt;"",TODAY()-N(AE380)&gt;P_JoursInactif),"Client inactif",IF(AND(D380="Prospect",Z380=0,O380&lt;&gt;"",TODAY()-N(O380)&gt;P_JoursNonVisite),"Jamais visité","")))))</f>
        <v/>
      </c>
      <c r="AJ380" s="33">
        <f>IF(C380="","",C380&amp;" ["&amp;TEXT(A380,"000")&amp;"]")</f>
        <v/>
      </c>
      <c r="AK380" s="33">
        <f>IF(C380="","",X380&amp;"|"&amp;A380)</f>
        <v/>
      </c>
      <c r="AL380" s="47">
        <f>IF(C380="",0,IF(COUNTIFS(VC_cle,AK380)=0,0,MAX(INDEX((VC_cle=AK380)*(VC_date+ROW(VC_date)/100000),0))))</f>
        <v/>
      </c>
      <c r="AM380" s="47">
        <f>IF(AND(C380&lt;&gt;"",N(AB380)&gt;0,D380&lt;&gt;"Perdu"),AB380+ROW()/100000,0)</f>
        <v/>
      </c>
      <c r="AN380" s="48">
        <f>IF(N(AF380)&gt;0,ROUND(AF380,0)+ROW()/1000000,0)</f>
        <v/>
      </c>
    </row>
    <row r="381" ht="18" customHeight="1">
      <c r="A381" s="39" t="n">
        <v>376</v>
      </c>
      <c r="B381" s="33">
        <f>IF(C381="","",IF(X381="À RENSEIGNER","GIC",X381)&amp;"-"&amp;TEXT(A381,"000"))</f>
        <v/>
      </c>
      <c r="C381" s="36" t="n"/>
      <c r="D381" s="34">
        <f>IF(C381="","",IF(U381="☑ Oui","Perdu",IF(AD381&lt;&gt;"","Client","Prospect")))</f>
        <v/>
      </c>
      <c r="E381" s="36" t="n"/>
      <c r="F381" s="36" t="n"/>
      <c r="G381" s="44" t="n"/>
      <c r="H381" s="44" t="n"/>
      <c r="I381" s="36" t="n"/>
      <c r="J381" s="36" t="n"/>
      <c r="K381" s="41" t="n"/>
      <c r="L381" s="41" t="n"/>
      <c r="M381" s="36" t="n"/>
      <c r="N381" s="36" t="n"/>
      <c r="O381" s="32" t="n"/>
      <c r="P381" s="36" t="n"/>
      <c r="Q381" s="36" t="n"/>
      <c r="R381" s="34">
        <f>IF(P381="","",IFERROR(VLOOKUP(P381,T_Produits,2,FALSE),""))</f>
        <v/>
      </c>
      <c r="S381" s="36" t="n"/>
      <c r="T381" s="43" t="n"/>
      <c r="U381" s="43" t="n"/>
      <c r="V381" s="36" t="n"/>
      <c r="W381" s="36" t="n"/>
      <c r="X381" s="33">
        <f>IF(C381="","",Commercial_Id)</f>
        <v/>
      </c>
      <c r="Y381" s="33">
        <f>IF(E381="","",IF(E381="Particulier / ménage","Particulier","Entreprise"))</f>
        <v/>
      </c>
      <c r="Z381" s="39">
        <f>IF(C381="","",COUNTIFS(VC_cle,AK381,VC_type,"Visite sur place"))</f>
        <v/>
      </c>
      <c r="AA381" s="46">
        <f>IF(AL381=0,"",IF(INT(AL381)=0,"",INT(AL381)))</f>
        <v/>
      </c>
      <c r="AB381" s="46">
        <f>IF(AL381=0,"",IF(INDEX(VC_actiondate,ROUND(MOD(AL381,1)*100000,0)-5)=0,"",INDEX(VC_actiondate,ROUND(MOD(AL381,1)*100000,0)-5)))</f>
        <v/>
      </c>
      <c r="AC381" s="33">
        <f>IF(AL381=0,"",INDEX(VC_actiontexte,ROUND(MOD(AL381,1)*100000,0)-5)&amp;"")</f>
        <v/>
      </c>
      <c r="AD381" s="46">
        <f>IF(C381="","",IF(COUNTIFS(Cmd_cle,AK381,Cmd_dateca,"&gt;0")=0,"",SMALL(INDEX(Cmd_dateca+(((Cmd_cle&lt;&gt;AK381)+(Cmd_dateca=0))&gt;0)*1000000,0),1)))</f>
        <v/>
      </c>
      <c r="AE381" s="46">
        <f>IF(C381="","",IF(COUNTIFS(Cmd_cle,AK381,Cmd_dateca,"&gt;0")=0,"",MAX(INDEX((Cmd_cle=AK381)*Cmd_dateca,0))))</f>
        <v/>
      </c>
      <c r="AF381" s="40">
        <f>IF(C381="","",SUMIFS(Cmd_montant,Cmd_cle,AK381,Cmd_dateca,"&gt;0"))</f>
        <v/>
      </c>
      <c r="AG381" s="40">
        <f>IF(C381="","",SUMIFS(Enc_montant,Enc_cle,AK381))</f>
        <v/>
      </c>
      <c r="AH381" s="40">
        <f>IF(C381="","",AF381-AG381)</f>
        <v/>
      </c>
      <c r="AI381" s="33">
        <f>IF(C381="","",IF(D381="Perdu","",IF(AND(AB381&lt;&gt;"",N(AB381)&lt;TODAY()),"Action en retard",IF(AND(D381="Client",AE381&lt;&gt;"",TODAY()-N(AE381)&gt;P_JoursInactif),"Client inactif",IF(AND(D381="Prospect",Z381=0,O381&lt;&gt;"",TODAY()-N(O381)&gt;P_JoursNonVisite),"Jamais visité","")))))</f>
        <v/>
      </c>
      <c r="AJ381" s="33">
        <f>IF(C381="","",C381&amp;" ["&amp;TEXT(A381,"000")&amp;"]")</f>
        <v/>
      </c>
      <c r="AK381" s="33">
        <f>IF(C381="","",X381&amp;"|"&amp;A381)</f>
        <v/>
      </c>
      <c r="AL381" s="47">
        <f>IF(C381="",0,IF(COUNTIFS(VC_cle,AK381)=0,0,MAX(INDEX((VC_cle=AK381)*(VC_date+ROW(VC_date)/100000),0))))</f>
        <v/>
      </c>
      <c r="AM381" s="47">
        <f>IF(AND(C381&lt;&gt;"",N(AB381)&gt;0,D381&lt;&gt;"Perdu"),AB381+ROW()/100000,0)</f>
        <v/>
      </c>
      <c r="AN381" s="48">
        <f>IF(N(AF381)&gt;0,ROUND(AF381,0)+ROW()/1000000,0)</f>
        <v/>
      </c>
    </row>
    <row r="382" ht="18" customHeight="1">
      <c r="A382" s="39" t="n">
        <v>377</v>
      </c>
      <c r="B382" s="33">
        <f>IF(C382="","",IF(X382="À RENSEIGNER","GIC",X382)&amp;"-"&amp;TEXT(A382,"000"))</f>
        <v/>
      </c>
      <c r="C382" s="36" t="n"/>
      <c r="D382" s="34">
        <f>IF(C382="","",IF(U382="☑ Oui","Perdu",IF(AD382&lt;&gt;"","Client","Prospect")))</f>
        <v/>
      </c>
      <c r="E382" s="36" t="n"/>
      <c r="F382" s="36" t="n"/>
      <c r="G382" s="44" t="n"/>
      <c r="H382" s="44" t="n"/>
      <c r="I382" s="36" t="n"/>
      <c r="J382" s="36" t="n"/>
      <c r="K382" s="41" t="n"/>
      <c r="L382" s="41" t="n"/>
      <c r="M382" s="36" t="n"/>
      <c r="N382" s="36" t="n"/>
      <c r="O382" s="32" t="n"/>
      <c r="P382" s="36" t="n"/>
      <c r="Q382" s="36" t="n"/>
      <c r="R382" s="34">
        <f>IF(P382="","",IFERROR(VLOOKUP(P382,T_Produits,2,FALSE),""))</f>
        <v/>
      </c>
      <c r="S382" s="36" t="n"/>
      <c r="T382" s="43" t="n"/>
      <c r="U382" s="43" t="n"/>
      <c r="V382" s="36" t="n"/>
      <c r="W382" s="36" t="n"/>
      <c r="X382" s="33">
        <f>IF(C382="","",Commercial_Id)</f>
        <v/>
      </c>
      <c r="Y382" s="33">
        <f>IF(E382="","",IF(E382="Particulier / ménage","Particulier","Entreprise"))</f>
        <v/>
      </c>
      <c r="Z382" s="39">
        <f>IF(C382="","",COUNTIFS(VC_cle,AK382,VC_type,"Visite sur place"))</f>
        <v/>
      </c>
      <c r="AA382" s="46">
        <f>IF(AL382=0,"",IF(INT(AL382)=0,"",INT(AL382)))</f>
        <v/>
      </c>
      <c r="AB382" s="46">
        <f>IF(AL382=0,"",IF(INDEX(VC_actiondate,ROUND(MOD(AL382,1)*100000,0)-5)=0,"",INDEX(VC_actiondate,ROUND(MOD(AL382,1)*100000,0)-5)))</f>
        <v/>
      </c>
      <c r="AC382" s="33">
        <f>IF(AL382=0,"",INDEX(VC_actiontexte,ROUND(MOD(AL382,1)*100000,0)-5)&amp;"")</f>
        <v/>
      </c>
      <c r="AD382" s="46">
        <f>IF(C382="","",IF(COUNTIFS(Cmd_cle,AK382,Cmd_dateca,"&gt;0")=0,"",SMALL(INDEX(Cmd_dateca+(((Cmd_cle&lt;&gt;AK382)+(Cmd_dateca=0))&gt;0)*1000000,0),1)))</f>
        <v/>
      </c>
      <c r="AE382" s="46">
        <f>IF(C382="","",IF(COUNTIFS(Cmd_cle,AK382,Cmd_dateca,"&gt;0")=0,"",MAX(INDEX((Cmd_cle=AK382)*Cmd_dateca,0))))</f>
        <v/>
      </c>
      <c r="AF382" s="40">
        <f>IF(C382="","",SUMIFS(Cmd_montant,Cmd_cle,AK382,Cmd_dateca,"&gt;0"))</f>
        <v/>
      </c>
      <c r="AG382" s="40">
        <f>IF(C382="","",SUMIFS(Enc_montant,Enc_cle,AK382))</f>
        <v/>
      </c>
      <c r="AH382" s="40">
        <f>IF(C382="","",AF382-AG382)</f>
        <v/>
      </c>
      <c r="AI382" s="33">
        <f>IF(C382="","",IF(D382="Perdu","",IF(AND(AB382&lt;&gt;"",N(AB382)&lt;TODAY()),"Action en retard",IF(AND(D382="Client",AE382&lt;&gt;"",TODAY()-N(AE382)&gt;P_JoursInactif),"Client inactif",IF(AND(D382="Prospect",Z382=0,O382&lt;&gt;"",TODAY()-N(O382)&gt;P_JoursNonVisite),"Jamais visité","")))))</f>
        <v/>
      </c>
      <c r="AJ382" s="33">
        <f>IF(C382="","",C382&amp;" ["&amp;TEXT(A382,"000")&amp;"]")</f>
        <v/>
      </c>
      <c r="AK382" s="33">
        <f>IF(C382="","",X382&amp;"|"&amp;A382)</f>
        <v/>
      </c>
      <c r="AL382" s="47">
        <f>IF(C382="",0,IF(COUNTIFS(VC_cle,AK382)=0,0,MAX(INDEX((VC_cle=AK382)*(VC_date+ROW(VC_date)/100000),0))))</f>
        <v/>
      </c>
      <c r="AM382" s="47">
        <f>IF(AND(C382&lt;&gt;"",N(AB382)&gt;0,D382&lt;&gt;"Perdu"),AB382+ROW()/100000,0)</f>
        <v/>
      </c>
      <c r="AN382" s="48">
        <f>IF(N(AF382)&gt;0,ROUND(AF382,0)+ROW()/1000000,0)</f>
        <v/>
      </c>
    </row>
    <row r="383" ht="18" customHeight="1">
      <c r="A383" s="39" t="n">
        <v>378</v>
      </c>
      <c r="B383" s="33">
        <f>IF(C383="","",IF(X383="À RENSEIGNER","GIC",X383)&amp;"-"&amp;TEXT(A383,"000"))</f>
        <v/>
      </c>
      <c r="C383" s="36" t="n"/>
      <c r="D383" s="34">
        <f>IF(C383="","",IF(U383="☑ Oui","Perdu",IF(AD383&lt;&gt;"","Client","Prospect")))</f>
        <v/>
      </c>
      <c r="E383" s="36" t="n"/>
      <c r="F383" s="36" t="n"/>
      <c r="G383" s="44" t="n"/>
      <c r="H383" s="44" t="n"/>
      <c r="I383" s="36" t="n"/>
      <c r="J383" s="36" t="n"/>
      <c r="K383" s="41" t="n"/>
      <c r="L383" s="41" t="n"/>
      <c r="M383" s="36" t="n"/>
      <c r="N383" s="36" t="n"/>
      <c r="O383" s="32" t="n"/>
      <c r="P383" s="36" t="n"/>
      <c r="Q383" s="36" t="n"/>
      <c r="R383" s="34">
        <f>IF(P383="","",IFERROR(VLOOKUP(P383,T_Produits,2,FALSE),""))</f>
        <v/>
      </c>
      <c r="S383" s="36" t="n"/>
      <c r="T383" s="43" t="n"/>
      <c r="U383" s="43" t="n"/>
      <c r="V383" s="36" t="n"/>
      <c r="W383" s="36" t="n"/>
      <c r="X383" s="33">
        <f>IF(C383="","",Commercial_Id)</f>
        <v/>
      </c>
      <c r="Y383" s="33">
        <f>IF(E383="","",IF(E383="Particulier / ménage","Particulier","Entreprise"))</f>
        <v/>
      </c>
      <c r="Z383" s="39">
        <f>IF(C383="","",COUNTIFS(VC_cle,AK383,VC_type,"Visite sur place"))</f>
        <v/>
      </c>
      <c r="AA383" s="46">
        <f>IF(AL383=0,"",IF(INT(AL383)=0,"",INT(AL383)))</f>
        <v/>
      </c>
      <c r="AB383" s="46">
        <f>IF(AL383=0,"",IF(INDEX(VC_actiondate,ROUND(MOD(AL383,1)*100000,0)-5)=0,"",INDEX(VC_actiondate,ROUND(MOD(AL383,1)*100000,0)-5)))</f>
        <v/>
      </c>
      <c r="AC383" s="33">
        <f>IF(AL383=0,"",INDEX(VC_actiontexte,ROUND(MOD(AL383,1)*100000,0)-5)&amp;"")</f>
        <v/>
      </c>
      <c r="AD383" s="46">
        <f>IF(C383="","",IF(COUNTIFS(Cmd_cle,AK383,Cmd_dateca,"&gt;0")=0,"",SMALL(INDEX(Cmd_dateca+(((Cmd_cle&lt;&gt;AK383)+(Cmd_dateca=0))&gt;0)*1000000,0),1)))</f>
        <v/>
      </c>
      <c r="AE383" s="46">
        <f>IF(C383="","",IF(COUNTIFS(Cmd_cle,AK383,Cmd_dateca,"&gt;0")=0,"",MAX(INDEX((Cmd_cle=AK383)*Cmd_dateca,0))))</f>
        <v/>
      </c>
      <c r="AF383" s="40">
        <f>IF(C383="","",SUMIFS(Cmd_montant,Cmd_cle,AK383,Cmd_dateca,"&gt;0"))</f>
        <v/>
      </c>
      <c r="AG383" s="40">
        <f>IF(C383="","",SUMIFS(Enc_montant,Enc_cle,AK383))</f>
        <v/>
      </c>
      <c r="AH383" s="40">
        <f>IF(C383="","",AF383-AG383)</f>
        <v/>
      </c>
      <c r="AI383" s="33">
        <f>IF(C383="","",IF(D383="Perdu","",IF(AND(AB383&lt;&gt;"",N(AB383)&lt;TODAY()),"Action en retard",IF(AND(D383="Client",AE383&lt;&gt;"",TODAY()-N(AE383)&gt;P_JoursInactif),"Client inactif",IF(AND(D383="Prospect",Z383=0,O383&lt;&gt;"",TODAY()-N(O383)&gt;P_JoursNonVisite),"Jamais visité","")))))</f>
        <v/>
      </c>
      <c r="AJ383" s="33">
        <f>IF(C383="","",C383&amp;" ["&amp;TEXT(A383,"000")&amp;"]")</f>
        <v/>
      </c>
      <c r="AK383" s="33">
        <f>IF(C383="","",X383&amp;"|"&amp;A383)</f>
        <v/>
      </c>
      <c r="AL383" s="47">
        <f>IF(C383="",0,IF(COUNTIFS(VC_cle,AK383)=0,0,MAX(INDEX((VC_cle=AK383)*(VC_date+ROW(VC_date)/100000),0))))</f>
        <v/>
      </c>
      <c r="AM383" s="47">
        <f>IF(AND(C383&lt;&gt;"",N(AB383)&gt;0,D383&lt;&gt;"Perdu"),AB383+ROW()/100000,0)</f>
        <v/>
      </c>
      <c r="AN383" s="48">
        <f>IF(N(AF383)&gt;0,ROUND(AF383,0)+ROW()/1000000,0)</f>
        <v/>
      </c>
    </row>
    <row r="384" ht="18" customHeight="1">
      <c r="A384" s="39" t="n">
        <v>379</v>
      </c>
      <c r="B384" s="33">
        <f>IF(C384="","",IF(X384="À RENSEIGNER","GIC",X384)&amp;"-"&amp;TEXT(A384,"000"))</f>
        <v/>
      </c>
      <c r="C384" s="36" t="n"/>
      <c r="D384" s="34">
        <f>IF(C384="","",IF(U384="☑ Oui","Perdu",IF(AD384&lt;&gt;"","Client","Prospect")))</f>
        <v/>
      </c>
      <c r="E384" s="36" t="n"/>
      <c r="F384" s="36" t="n"/>
      <c r="G384" s="44" t="n"/>
      <c r="H384" s="44" t="n"/>
      <c r="I384" s="36" t="n"/>
      <c r="J384" s="36" t="n"/>
      <c r="K384" s="41" t="n"/>
      <c r="L384" s="41" t="n"/>
      <c r="M384" s="36" t="n"/>
      <c r="N384" s="36" t="n"/>
      <c r="O384" s="32" t="n"/>
      <c r="P384" s="36" t="n"/>
      <c r="Q384" s="36" t="n"/>
      <c r="R384" s="34">
        <f>IF(P384="","",IFERROR(VLOOKUP(P384,T_Produits,2,FALSE),""))</f>
        <v/>
      </c>
      <c r="S384" s="36" t="n"/>
      <c r="T384" s="43" t="n"/>
      <c r="U384" s="43" t="n"/>
      <c r="V384" s="36" t="n"/>
      <c r="W384" s="36" t="n"/>
      <c r="X384" s="33">
        <f>IF(C384="","",Commercial_Id)</f>
        <v/>
      </c>
      <c r="Y384" s="33">
        <f>IF(E384="","",IF(E384="Particulier / ménage","Particulier","Entreprise"))</f>
        <v/>
      </c>
      <c r="Z384" s="39">
        <f>IF(C384="","",COUNTIFS(VC_cle,AK384,VC_type,"Visite sur place"))</f>
        <v/>
      </c>
      <c r="AA384" s="46">
        <f>IF(AL384=0,"",IF(INT(AL384)=0,"",INT(AL384)))</f>
        <v/>
      </c>
      <c r="AB384" s="46">
        <f>IF(AL384=0,"",IF(INDEX(VC_actiondate,ROUND(MOD(AL384,1)*100000,0)-5)=0,"",INDEX(VC_actiondate,ROUND(MOD(AL384,1)*100000,0)-5)))</f>
        <v/>
      </c>
      <c r="AC384" s="33">
        <f>IF(AL384=0,"",INDEX(VC_actiontexte,ROUND(MOD(AL384,1)*100000,0)-5)&amp;"")</f>
        <v/>
      </c>
      <c r="AD384" s="46">
        <f>IF(C384="","",IF(COUNTIFS(Cmd_cle,AK384,Cmd_dateca,"&gt;0")=0,"",SMALL(INDEX(Cmd_dateca+(((Cmd_cle&lt;&gt;AK384)+(Cmd_dateca=0))&gt;0)*1000000,0),1)))</f>
        <v/>
      </c>
      <c r="AE384" s="46">
        <f>IF(C384="","",IF(COUNTIFS(Cmd_cle,AK384,Cmd_dateca,"&gt;0")=0,"",MAX(INDEX((Cmd_cle=AK384)*Cmd_dateca,0))))</f>
        <v/>
      </c>
      <c r="AF384" s="40">
        <f>IF(C384="","",SUMIFS(Cmd_montant,Cmd_cle,AK384,Cmd_dateca,"&gt;0"))</f>
        <v/>
      </c>
      <c r="AG384" s="40">
        <f>IF(C384="","",SUMIFS(Enc_montant,Enc_cle,AK384))</f>
        <v/>
      </c>
      <c r="AH384" s="40">
        <f>IF(C384="","",AF384-AG384)</f>
        <v/>
      </c>
      <c r="AI384" s="33">
        <f>IF(C384="","",IF(D384="Perdu","",IF(AND(AB384&lt;&gt;"",N(AB384)&lt;TODAY()),"Action en retard",IF(AND(D384="Client",AE384&lt;&gt;"",TODAY()-N(AE384)&gt;P_JoursInactif),"Client inactif",IF(AND(D384="Prospect",Z384=0,O384&lt;&gt;"",TODAY()-N(O384)&gt;P_JoursNonVisite),"Jamais visité","")))))</f>
        <v/>
      </c>
      <c r="AJ384" s="33">
        <f>IF(C384="","",C384&amp;" ["&amp;TEXT(A384,"000")&amp;"]")</f>
        <v/>
      </c>
      <c r="AK384" s="33">
        <f>IF(C384="","",X384&amp;"|"&amp;A384)</f>
        <v/>
      </c>
      <c r="AL384" s="47">
        <f>IF(C384="",0,IF(COUNTIFS(VC_cle,AK384)=0,0,MAX(INDEX((VC_cle=AK384)*(VC_date+ROW(VC_date)/100000),0))))</f>
        <v/>
      </c>
      <c r="AM384" s="47">
        <f>IF(AND(C384&lt;&gt;"",N(AB384)&gt;0,D384&lt;&gt;"Perdu"),AB384+ROW()/100000,0)</f>
        <v/>
      </c>
      <c r="AN384" s="48">
        <f>IF(N(AF384)&gt;0,ROUND(AF384,0)+ROW()/1000000,0)</f>
        <v/>
      </c>
    </row>
    <row r="385" ht="18" customHeight="1">
      <c r="A385" s="39" t="n">
        <v>380</v>
      </c>
      <c r="B385" s="33">
        <f>IF(C385="","",IF(X385="À RENSEIGNER","GIC",X385)&amp;"-"&amp;TEXT(A385,"000"))</f>
        <v/>
      </c>
      <c r="C385" s="36" t="n"/>
      <c r="D385" s="34">
        <f>IF(C385="","",IF(U385="☑ Oui","Perdu",IF(AD385&lt;&gt;"","Client","Prospect")))</f>
        <v/>
      </c>
      <c r="E385" s="36" t="n"/>
      <c r="F385" s="36" t="n"/>
      <c r="G385" s="44" t="n"/>
      <c r="H385" s="44" t="n"/>
      <c r="I385" s="36" t="n"/>
      <c r="J385" s="36" t="n"/>
      <c r="K385" s="41" t="n"/>
      <c r="L385" s="41" t="n"/>
      <c r="M385" s="36" t="n"/>
      <c r="N385" s="36" t="n"/>
      <c r="O385" s="32" t="n"/>
      <c r="P385" s="36" t="n"/>
      <c r="Q385" s="36" t="n"/>
      <c r="R385" s="34">
        <f>IF(P385="","",IFERROR(VLOOKUP(P385,T_Produits,2,FALSE),""))</f>
        <v/>
      </c>
      <c r="S385" s="36" t="n"/>
      <c r="T385" s="43" t="n"/>
      <c r="U385" s="43" t="n"/>
      <c r="V385" s="36" t="n"/>
      <c r="W385" s="36" t="n"/>
      <c r="X385" s="33">
        <f>IF(C385="","",Commercial_Id)</f>
        <v/>
      </c>
      <c r="Y385" s="33">
        <f>IF(E385="","",IF(E385="Particulier / ménage","Particulier","Entreprise"))</f>
        <v/>
      </c>
      <c r="Z385" s="39">
        <f>IF(C385="","",COUNTIFS(VC_cle,AK385,VC_type,"Visite sur place"))</f>
        <v/>
      </c>
      <c r="AA385" s="46">
        <f>IF(AL385=0,"",IF(INT(AL385)=0,"",INT(AL385)))</f>
        <v/>
      </c>
      <c r="AB385" s="46">
        <f>IF(AL385=0,"",IF(INDEX(VC_actiondate,ROUND(MOD(AL385,1)*100000,0)-5)=0,"",INDEX(VC_actiondate,ROUND(MOD(AL385,1)*100000,0)-5)))</f>
        <v/>
      </c>
      <c r="AC385" s="33">
        <f>IF(AL385=0,"",INDEX(VC_actiontexte,ROUND(MOD(AL385,1)*100000,0)-5)&amp;"")</f>
        <v/>
      </c>
      <c r="AD385" s="46">
        <f>IF(C385="","",IF(COUNTIFS(Cmd_cle,AK385,Cmd_dateca,"&gt;0")=0,"",SMALL(INDEX(Cmd_dateca+(((Cmd_cle&lt;&gt;AK385)+(Cmd_dateca=0))&gt;0)*1000000,0),1)))</f>
        <v/>
      </c>
      <c r="AE385" s="46">
        <f>IF(C385="","",IF(COUNTIFS(Cmd_cle,AK385,Cmd_dateca,"&gt;0")=0,"",MAX(INDEX((Cmd_cle=AK385)*Cmd_dateca,0))))</f>
        <v/>
      </c>
      <c r="AF385" s="40">
        <f>IF(C385="","",SUMIFS(Cmd_montant,Cmd_cle,AK385,Cmd_dateca,"&gt;0"))</f>
        <v/>
      </c>
      <c r="AG385" s="40">
        <f>IF(C385="","",SUMIFS(Enc_montant,Enc_cle,AK385))</f>
        <v/>
      </c>
      <c r="AH385" s="40">
        <f>IF(C385="","",AF385-AG385)</f>
        <v/>
      </c>
      <c r="AI385" s="33">
        <f>IF(C385="","",IF(D385="Perdu","",IF(AND(AB385&lt;&gt;"",N(AB385)&lt;TODAY()),"Action en retard",IF(AND(D385="Client",AE385&lt;&gt;"",TODAY()-N(AE385)&gt;P_JoursInactif),"Client inactif",IF(AND(D385="Prospect",Z385=0,O385&lt;&gt;"",TODAY()-N(O385)&gt;P_JoursNonVisite),"Jamais visité","")))))</f>
        <v/>
      </c>
      <c r="AJ385" s="33">
        <f>IF(C385="","",C385&amp;" ["&amp;TEXT(A385,"000")&amp;"]")</f>
        <v/>
      </c>
      <c r="AK385" s="33">
        <f>IF(C385="","",X385&amp;"|"&amp;A385)</f>
        <v/>
      </c>
      <c r="AL385" s="47">
        <f>IF(C385="",0,IF(COUNTIFS(VC_cle,AK385)=0,0,MAX(INDEX((VC_cle=AK385)*(VC_date+ROW(VC_date)/100000),0))))</f>
        <v/>
      </c>
      <c r="AM385" s="47">
        <f>IF(AND(C385&lt;&gt;"",N(AB385)&gt;0,D385&lt;&gt;"Perdu"),AB385+ROW()/100000,0)</f>
        <v/>
      </c>
      <c r="AN385" s="48">
        <f>IF(N(AF385)&gt;0,ROUND(AF385,0)+ROW()/1000000,0)</f>
        <v/>
      </c>
    </row>
    <row r="386" ht="18" customHeight="1">
      <c r="A386" s="39" t="n">
        <v>381</v>
      </c>
      <c r="B386" s="33">
        <f>IF(C386="","",IF(X386="À RENSEIGNER","GIC",X386)&amp;"-"&amp;TEXT(A386,"000"))</f>
        <v/>
      </c>
      <c r="C386" s="36" t="n"/>
      <c r="D386" s="34">
        <f>IF(C386="","",IF(U386="☑ Oui","Perdu",IF(AD386&lt;&gt;"","Client","Prospect")))</f>
        <v/>
      </c>
      <c r="E386" s="36" t="n"/>
      <c r="F386" s="36" t="n"/>
      <c r="G386" s="44" t="n"/>
      <c r="H386" s="44" t="n"/>
      <c r="I386" s="36" t="n"/>
      <c r="J386" s="36" t="n"/>
      <c r="K386" s="41" t="n"/>
      <c r="L386" s="41" t="n"/>
      <c r="M386" s="36" t="n"/>
      <c r="N386" s="36" t="n"/>
      <c r="O386" s="32" t="n"/>
      <c r="P386" s="36" t="n"/>
      <c r="Q386" s="36" t="n"/>
      <c r="R386" s="34">
        <f>IF(P386="","",IFERROR(VLOOKUP(P386,T_Produits,2,FALSE),""))</f>
        <v/>
      </c>
      <c r="S386" s="36" t="n"/>
      <c r="T386" s="43" t="n"/>
      <c r="U386" s="43" t="n"/>
      <c r="V386" s="36" t="n"/>
      <c r="W386" s="36" t="n"/>
      <c r="X386" s="33">
        <f>IF(C386="","",Commercial_Id)</f>
        <v/>
      </c>
      <c r="Y386" s="33">
        <f>IF(E386="","",IF(E386="Particulier / ménage","Particulier","Entreprise"))</f>
        <v/>
      </c>
      <c r="Z386" s="39">
        <f>IF(C386="","",COUNTIFS(VC_cle,AK386,VC_type,"Visite sur place"))</f>
        <v/>
      </c>
      <c r="AA386" s="46">
        <f>IF(AL386=0,"",IF(INT(AL386)=0,"",INT(AL386)))</f>
        <v/>
      </c>
      <c r="AB386" s="46">
        <f>IF(AL386=0,"",IF(INDEX(VC_actiondate,ROUND(MOD(AL386,1)*100000,0)-5)=0,"",INDEX(VC_actiondate,ROUND(MOD(AL386,1)*100000,0)-5)))</f>
        <v/>
      </c>
      <c r="AC386" s="33">
        <f>IF(AL386=0,"",INDEX(VC_actiontexte,ROUND(MOD(AL386,1)*100000,0)-5)&amp;"")</f>
        <v/>
      </c>
      <c r="AD386" s="46">
        <f>IF(C386="","",IF(COUNTIFS(Cmd_cle,AK386,Cmd_dateca,"&gt;0")=0,"",SMALL(INDEX(Cmd_dateca+(((Cmd_cle&lt;&gt;AK386)+(Cmd_dateca=0))&gt;0)*1000000,0),1)))</f>
        <v/>
      </c>
      <c r="AE386" s="46">
        <f>IF(C386="","",IF(COUNTIFS(Cmd_cle,AK386,Cmd_dateca,"&gt;0")=0,"",MAX(INDEX((Cmd_cle=AK386)*Cmd_dateca,0))))</f>
        <v/>
      </c>
      <c r="AF386" s="40">
        <f>IF(C386="","",SUMIFS(Cmd_montant,Cmd_cle,AK386,Cmd_dateca,"&gt;0"))</f>
        <v/>
      </c>
      <c r="AG386" s="40">
        <f>IF(C386="","",SUMIFS(Enc_montant,Enc_cle,AK386))</f>
        <v/>
      </c>
      <c r="AH386" s="40">
        <f>IF(C386="","",AF386-AG386)</f>
        <v/>
      </c>
      <c r="AI386" s="33">
        <f>IF(C386="","",IF(D386="Perdu","",IF(AND(AB386&lt;&gt;"",N(AB386)&lt;TODAY()),"Action en retard",IF(AND(D386="Client",AE386&lt;&gt;"",TODAY()-N(AE386)&gt;P_JoursInactif),"Client inactif",IF(AND(D386="Prospect",Z386=0,O386&lt;&gt;"",TODAY()-N(O386)&gt;P_JoursNonVisite),"Jamais visité","")))))</f>
        <v/>
      </c>
      <c r="AJ386" s="33">
        <f>IF(C386="","",C386&amp;" ["&amp;TEXT(A386,"000")&amp;"]")</f>
        <v/>
      </c>
      <c r="AK386" s="33">
        <f>IF(C386="","",X386&amp;"|"&amp;A386)</f>
        <v/>
      </c>
      <c r="AL386" s="47">
        <f>IF(C386="",0,IF(COUNTIFS(VC_cle,AK386)=0,0,MAX(INDEX((VC_cle=AK386)*(VC_date+ROW(VC_date)/100000),0))))</f>
        <v/>
      </c>
      <c r="AM386" s="47">
        <f>IF(AND(C386&lt;&gt;"",N(AB386)&gt;0,D386&lt;&gt;"Perdu"),AB386+ROW()/100000,0)</f>
        <v/>
      </c>
      <c r="AN386" s="48">
        <f>IF(N(AF386)&gt;0,ROUND(AF386,0)+ROW()/1000000,0)</f>
        <v/>
      </c>
    </row>
    <row r="387" ht="18" customHeight="1">
      <c r="A387" s="39" t="n">
        <v>382</v>
      </c>
      <c r="B387" s="33">
        <f>IF(C387="","",IF(X387="À RENSEIGNER","GIC",X387)&amp;"-"&amp;TEXT(A387,"000"))</f>
        <v/>
      </c>
      <c r="C387" s="36" t="n"/>
      <c r="D387" s="34">
        <f>IF(C387="","",IF(U387="☑ Oui","Perdu",IF(AD387&lt;&gt;"","Client","Prospect")))</f>
        <v/>
      </c>
      <c r="E387" s="36" t="n"/>
      <c r="F387" s="36" t="n"/>
      <c r="G387" s="44" t="n"/>
      <c r="H387" s="44" t="n"/>
      <c r="I387" s="36" t="n"/>
      <c r="J387" s="36" t="n"/>
      <c r="K387" s="41" t="n"/>
      <c r="L387" s="41" t="n"/>
      <c r="M387" s="36" t="n"/>
      <c r="N387" s="36" t="n"/>
      <c r="O387" s="32" t="n"/>
      <c r="P387" s="36" t="n"/>
      <c r="Q387" s="36" t="n"/>
      <c r="R387" s="34">
        <f>IF(P387="","",IFERROR(VLOOKUP(P387,T_Produits,2,FALSE),""))</f>
        <v/>
      </c>
      <c r="S387" s="36" t="n"/>
      <c r="T387" s="43" t="n"/>
      <c r="U387" s="43" t="n"/>
      <c r="V387" s="36" t="n"/>
      <c r="W387" s="36" t="n"/>
      <c r="X387" s="33">
        <f>IF(C387="","",Commercial_Id)</f>
        <v/>
      </c>
      <c r="Y387" s="33">
        <f>IF(E387="","",IF(E387="Particulier / ménage","Particulier","Entreprise"))</f>
        <v/>
      </c>
      <c r="Z387" s="39">
        <f>IF(C387="","",COUNTIFS(VC_cle,AK387,VC_type,"Visite sur place"))</f>
        <v/>
      </c>
      <c r="AA387" s="46">
        <f>IF(AL387=0,"",IF(INT(AL387)=0,"",INT(AL387)))</f>
        <v/>
      </c>
      <c r="AB387" s="46">
        <f>IF(AL387=0,"",IF(INDEX(VC_actiondate,ROUND(MOD(AL387,1)*100000,0)-5)=0,"",INDEX(VC_actiondate,ROUND(MOD(AL387,1)*100000,0)-5)))</f>
        <v/>
      </c>
      <c r="AC387" s="33">
        <f>IF(AL387=0,"",INDEX(VC_actiontexte,ROUND(MOD(AL387,1)*100000,0)-5)&amp;"")</f>
        <v/>
      </c>
      <c r="AD387" s="46">
        <f>IF(C387="","",IF(COUNTIFS(Cmd_cle,AK387,Cmd_dateca,"&gt;0")=0,"",SMALL(INDEX(Cmd_dateca+(((Cmd_cle&lt;&gt;AK387)+(Cmd_dateca=0))&gt;0)*1000000,0),1)))</f>
        <v/>
      </c>
      <c r="AE387" s="46">
        <f>IF(C387="","",IF(COUNTIFS(Cmd_cle,AK387,Cmd_dateca,"&gt;0")=0,"",MAX(INDEX((Cmd_cle=AK387)*Cmd_dateca,0))))</f>
        <v/>
      </c>
      <c r="AF387" s="40">
        <f>IF(C387="","",SUMIFS(Cmd_montant,Cmd_cle,AK387,Cmd_dateca,"&gt;0"))</f>
        <v/>
      </c>
      <c r="AG387" s="40">
        <f>IF(C387="","",SUMIFS(Enc_montant,Enc_cle,AK387))</f>
        <v/>
      </c>
      <c r="AH387" s="40">
        <f>IF(C387="","",AF387-AG387)</f>
        <v/>
      </c>
      <c r="AI387" s="33">
        <f>IF(C387="","",IF(D387="Perdu","",IF(AND(AB387&lt;&gt;"",N(AB387)&lt;TODAY()),"Action en retard",IF(AND(D387="Client",AE387&lt;&gt;"",TODAY()-N(AE387)&gt;P_JoursInactif),"Client inactif",IF(AND(D387="Prospect",Z387=0,O387&lt;&gt;"",TODAY()-N(O387)&gt;P_JoursNonVisite),"Jamais visité","")))))</f>
        <v/>
      </c>
      <c r="AJ387" s="33">
        <f>IF(C387="","",C387&amp;" ["&amp;TEXT(A387,"000")&amp;"]")</f>
        <v/>
      </c>
      <c r="AK387" s="33">
        <f>IF(C387="","",X387&amp;"|"&amp;A387)</f>
        <v/>
      </c>
      <c r="AL387" s="47">
        <f>IF(C387="",0,IF(COUNTIFS(VC_cle,AK387)=0,0,MAX(INDEX((VC_cle=AK387)*(VC_date+ROW(VC_date)/100000),0))))</f>
        <v/>
      </c>
      <c r="AM387" s="47">
        <f>IF(AND(C387&lt;&gt;"",N(AB387)&gt;0,D387&lt;&gt;"Perdu"),AB387+ROW()/100000,0)</f>
        <v/>
      </c>
      <c r="AN387" s="48">
        <f>IF(N(AF387)&gt;0,ROUND(AF387,0)+ROW()/1000000,0)</f>
        <v/>
      </c>
    </row>
    <row r="388" ht="18" customHeight="1">
      <c r="A388" s="39" t="n">
        <v>383</v>
      </c>
      <c r="B388" s="33">
        <f>IF(C388="","",IF(X388="À RENSEIGNER","GIC",X388)&amp;"-"&amp;TEXT(A388,"000"))</f>
        <v/>
      </c>
      <c r="C388" s="36" t="n"/>
      <c r="D388" s="34">
        <f>IF(C388="","",IF(U388="☑ Oui","Perdu",IF(AD388&lt;&gt;"","Client","Prospect")))</f>
        <v/>
      </c>
      <c r="E388" s="36" t="n"/>
      <c r="F388" s="36" t="n"/>
      <c r="G388" s="44" t="n"/>
      <c r="H388" s="44" t="n"/>
      <c r="I388" s="36" t="n"/>
      <c r="J388" s="36" t="n"/>
      <c r="K388" s="41" t="n"/>
      <c r="L388" s="41" t="n"/>
      <c r="M388" s="36" t="n"/>
      <c r="N388" s="36" t="n"/>
      <c r="O388" s="32" t="n"/>
      <c r="P388" s="36" t="n"/>
      <c r="Q388" s="36" t="n"/>
      <c r="R388" s="34">
        <f>IF(P388="","",IFERROR(VLOOKUP(P388,T_Produits,2,FALSE),""))</f>
        <v/>
      </c>
      <c r="S388" s="36" t="n"/>
      <c r="T388" s="43" t="n"/>
      <c r="U388" s="43" t="n"/>
      <c r="V388" s="36" t="n"/>
      <c r="W388" s="36" t="n"/>
      <c r="X388" s="33">
        <f>IF(C388="","",Commercial_Id)</f>
        <v/>
      </c>
      <c r="Y388" s="33">
        <f>IF(E388="","",IF(E388="Particulier / ménage","Particulier","Entreprise"))</f>
        <v/>
      </c>
      <c r="Z388" s="39">
        <f>IF(C388="","",COUNTIFS(VC_cle,AK388,VC_type,"Visite sur place"))</f>
        <v/>
      </c>
      <c r="AA388" s="46">
        <f>IF(AL388=0,"",IF(INT(AL388)=0,"",INT(AL388)))</f>
        <v/>
      </c>
      <c r="AB388" s="46">
        <f>IF(AL388=0,"",IF(INDEX(VC_actiondate,ROUND(MOD(AL388,1)*100000,0)-5)=0,"",INDEX(VC_actiondate,ROUND(MOD(AL388,1)*100000,0)-5)))</f>
        <v/>
      </c>
      <c r="AC388" s="33">
        <f>IF(AL388=0,"",INDEX(VC_actiontexte,ROUND(MOD(AL388,1)*100000,0)-5)&amp;"")</f>
        <v/>
      </c>
      <c r="AD388" s="46">
        <f>IF(C388="","",IF(COUNTIFS(Cmd_cle,AK388,Cmd_dateca,"&gt;0")=0,"",SMALL(INDEX(Cmd_dateca+(((Cmd_cle&lt;&gt;AK388)+(Cmd_dateca=0))&gt;0)*1000000,0),1)))</f>
        <v/>
      </c>
      <c r="AE388" s="46">
        <f>IF(C388="","",IF(COUNTIFS(Cmd_cle,AK388,Cmd_dateca,"&gt;0")=0,"",MAX(INDEX((Cmd_cle=AK388)*Cmd_dateca,0))))</f>
        <v/>
      </c>
      <c r="AF388" s="40">
        <f>IF(C388="","",SUMIFS(Cmd_montant,Cmd_cle,AK388,Cmd_dateca,"&gt;0"))</f>
        <v/>
      </c>
      <c r="AG388" s="40">
        <f>IF(C388="","",SUMIFS(Enc_montant,Enc_cle,AK388))</f>
        <v/>
      </c>
      <c r="AH388" s="40">
        <f>IF(C388="","",AF388-AG388)</f>
        <v/>
      </c>
      <c r="AI388" s="33">
        <f>IF(C388="","",IF(D388="Perdu","",IF(AND(AB388&lt;&gt;"",N(AB388)&lt;TODAY()),"Action en retard",IF(AND(D388="Client",AE388&lt;&gt;"",TODAY()-N(AE388)&gt;P_JoursInactif),"Client inactif",IF(AND(D388="Prospect",Z388=0,O388&lt;&gt;"",TODAY()-N(O388)&gt;P_JoursNonVisite),"Jamais visité","")))))</f>
        <v/>
      </c>
      <c r="AJ388" s="33">
        <f>IF(C388="","",C388&amp;" ["&amp;TEXT(A388,"000")&amp;"]")</f>
        <v/>
      </c>
      <c r="AK388" s="33">
        <f>IF(C388="","",X388&amp;"|"&amp;A388)</f>
        <v/>
      </c>
      <c r="AL388" s="47">
        <f>IF(C388="",0,IF(COUNTIFS(VC_cle,AK388)=0,0,MAX(INDEX((VC_cle=AK388)*(VC_date+ROW(VC_date)/100000),0))))</f>
        <v/>
      </c>
      <c r="AM388" s="47">
        <f>IF(AND(C388&lt;&gt;"",N(AB388)&gt;0,D388&lt;&gt;"Perdu"),AB388+ROW()/100000,0)</f>
        <v/>
      </c>
      <c r="AN388" s="48">
        <f>IF(N(AF388)&gt;0,ROUND(AF388,0)+ROW()/1000000,0)</f>
        <v/>
      </c>
    </row>
    <row r="389" ht="18" customHeight="1">
      <c r="A389" s="39" t="n">
        <v>384</v>
      </c>
      <c r="B389" s="33">
        <f>IF(C389="","",IF(X389="À RENSEIGNER","GIC",X389)&amp;"-"&amp;TEXT(A389,"000"))</f>
        <v/>
      </c>
      <c r="C389" s="36" t="n"/>
      <c r="D389" s="34">
        <f>IF(C389="","",IF(U389="☑ Oui","Perdu",IF(AD389&lt;&gt;"","Client","Prospect")))</f>
        <v/>
      </c>
      <c r="E389" s="36" t="n"/>
      <c r="F389" s="36" t="n"/>
      <c r="G389" s="44" t="n"/>
      <c r="H389" s="44" t="n"/>
      <c r="I389" s="36" t="n"/>
      <c r="J389" s="36" t="n"/>
      <c r="K389" s="41" t="n"/>
      <c r="L389" s="41" t="n"/>
      <c r="M389" s="36" t="n"/>
      <c r="N389" s="36" t="n"/>
      <c r="O389" s="32" t="n"/>
      <c r="P389" s="36" t="n"/>
      <c r="Q389" s="36" t="n"/>
      <c r="R389" s="34">
        <f>IF(P389="","",IFERROR(VLOOKUP(P389,T_Produits,2,FALSE),""))</f>
        <v/>
      </c>
      <c r="S389" s="36" t="n"/>
      <c r="T389" s="43" t="n"/>
      <c r="U389" s="43" t="n"/>
      <c r="V389" s="36" t="n"/>
      <c r="W389" s="36" t="n"/>
      <c r="X389" s="33">
        <f>IF(C389="","",Commercial_Id)</f>
        <v/>
      </c>
      <c r="Y389" s="33">
        <f>IF(E389="","",IF(E389="Particulier / ménage","Particulier","Entreprise"))</f>
        <v/>
      </c>
      <c r="Z389" s="39">
        <f>IF(C389="","",COUNTIFS(VC_cle,AK389,VC_type,"Visite sur place"))</f>
        <v/>
      </c>
      <c r="AA389" s="46">
        <f>IF(AL389=0,"",IF(INT(AL389)=0,"",INT(AL389)))</f>
        <v/>
      </c>
      <c r="AB389" s="46">
        <f>IF(AL389=0,"",IF(INDEX(VC_actiondate,ROUND(MOD(AL389,1)*100000,0)-5)=0,"",INDEX(VC_actiondate,ROUND(MOD(AL389,1)*100000,0)-5)))</f>
        <v/>
      </c>
      <c r="AC389" s="33">
        <f>IF(AL389=0,"",INDEX(VC_actiontexte,ROUND(MOD(AL389,1)*100000,0)-5)&amp;"")</f>
        <v/>
      </c>
      <c r="AD389" s="46">
        <f>IF(C389="","",IF(COUNTIFS(Cmd_cle,AK389,Cmd_dateca,"&gt;0")=0,"",SMALL(INDEX(Cmd_dateca+(((Cmd_cle&lt;&gt;AK389)+(Cmd_dateca=0))&gt;0)*1000000,0),1)))</f>
        <v/>
      </c>
      <c r="AE389" s="46">
        <f>IF(C389="","",IF(COUNTIFS(Cmd_cle,AK389,Cmd_dateca,"&gt;0")=0,"",MAX(INDEX((Cmd_cle=AK389)*Cmd_dateca,0))))</f>
        <v/>
      </c>
      <c r="AF389" s="40">
        <f>IF(C389="","",SUMIFS(Cmd_montant,Cmd_cle,AK389,Cmd_dateca,"&gt;0"))</f>
        <v/>
      </c>
      <c r="AG389" s="40">
        <f>IF(C389="","",SUMIFS(Enc_montant,Enc_cle,AK389))</f>
        <v/>
      </c>
      <c r="AH389" s="40">
        <f>IF(C389="","",AF389-AG389)</f>
        <v/>
      </c>
      <c r="AI389" s="33">
        <f>IF(C389="","",IF(D389="Perdu","",IF(AND(AB389&lt;&gt;"",N(AB389)&lt;TODAY()),"Action en retard",IF(AND(D389="Client",AE389&lt;&gt;"",TODAY()-N(AE389)&gt;P_JoursInactif),"Client inactif",IF(AND(D389="Prospect",Z389=0,O389&lt;&gt;"",TODAY()-N(O389)&gt;P_JoursNonVisite),"Jamais visité","")))))</f>
        <v/>
      </c>
      <c r="AJ389" s="33">
        <f>IF(C389="","",C389&amp;" ["&amp;TEXT(A389,"000")&amp;"]")</f>
        <v/>
      </c>
      <c r="AK389" s="33">
        <f>IF(C389="","",X389&amp;"|"&amp;A389)</f>
        <v/>
      </c>
      <c r="AL389" s="47">
        <f>IF(C389="",0,IF(COUNTIFS(VC_cle,AK389)=0,0,MAX(INDEX((VC_cle=AK389)*(VC_date+ROW(VC_date)/100000),0))))</f>
        <v/>
      </c>
      <c r="AM389" s="47">
        <f>IF(AND(C389&lt;&gt;"",N(AB389)&gt;0,D389&lt;&gt;"Perdu"),AB389+ROW()/100000,0)</f>
        <v/>
      </c>
      <c r="AN389" s="48">
        <f>IF(N(AF389)&gt;0,ROUND(AF389,0)+ROW()/1000000,0)</f>
        <v/>
      </c>
    </row>
    <row r="390" ht="18" customHeight="1">
      <c r="A390" s="39" t="n">
        <v>385</v>
      </c>
      <c r="B390" s="33">
        <f>IF(C390="","",IF(X390="À RENSEIGNER","GIC",X390)&amp;"-"&amp;TEXT(A390,"000"))</f>
        <v/>
      </c>
      <c r="C390" s="36" t="n"/>
      <c r="D390" s="34">
        <f>IF(C390="","",IF(U390="☑ Oui","Perdu",IF(AD390&lt;&gt;"","Client","Prospect")))</f>
        <v/>
      </c>
      <c r="E390" s="36" t="n"/>
      <c r="F390" s="36" t="n"/>
      <c r="G390" s="44" t="n"/>
      <c r="H390" s="44" t="n"/>
      <c r="I390" s="36" t="n"/>
      <c r="J390" s="36" t="n"/>
      <c r="K390" s="41" t="n"/>
      <c r="L390" s="41" t="n"/>
      <c r="M390" s="36" t="n"/>
      <c r="N390" s="36" t="n"/>
      <c r="O390" s="32" t="n"/>
      <c r="P390" s="36" t="n"/>
      <c r="Q390" s="36" t="n"/>
      <c r="R390" s="34">
        <f>IF(P390="","",IFERROR(VLOOKUP(P390,T_Produits,2,FALSE),""))</f>
        <v/>
      </c>
      <c r="S390" s="36" t="n"/>
      <c r="T390" s="43" t="n"/>
      <c r="U390" s="43" t="n"/>
      <c r="V390" s="36" t="n"/>
      <c r="W390" s="36" t="n"/>
      <c r="X390" s="33">
        <f>IF(C390="","",Commercial_Id)</f>
        <v/>
      </c>
      <c r="Y390" s="33">
        <f>IF(E390="","",IF(E390="Particulier / ménage","Particulier","Entreprise"))</f>
        <v/>
      </c>
      <c r="Z390" s="39">
        <f>IF(C390="","",COUNTIFS(VC_cle,AK390,VC_type,"Visite sur place"))</f>
        <v/>
      </c>
      <c r="AA390" s="46">
        <f>IF(AL390=0,"",IF(INT(AL390)=0,"",INT(AL390)))</f>
        <v/>
      </c>
      <c r="AB390" s="46">
        <f>IF(AL390=0,"",IF(INDEX(VC_actiondate,ROUND(MOD(AL390,1)*100000,0)-5)=0,"",INDEX(VC_actiondate,ROUND(MOD(AL390,1)*100000,0)-5)))</f>
        <v/>
      </c>
      <c r="AC390" s="33">
        <f>IF(AL390=0,"",INDEX(VC_actiontexte,ROUND(MOD(AL390,1)*100000,0)-5)&amp;"")</f>
        <v/>
      </c>
      <c r="AD390" s="46">
        <f>IF(C390="","",IF(COUNTIFS(Cmd_cle,AK390,Cmd_dateca,"&gt;0")=0,"",SMALL(INDEX(Cmd_dateca+(((Cmd_cle&lt;&gt;AK390)+(Cmd_dateca=0))&gt;0)*1000000,0),1)))</f>
        <v/>
      </c>
      <c r="AE390" s="46">
        <f>IF(C390="","",IF(COUNTIFS(Cmd_cle,AK390,Cmd_dateca,"&gt;0")=0,"",MAX(INDEX((Cmd_cle=AK390)*Cmd_dateca,0))))</f>
        <v/>
      </c>
      <c r="AF390" s="40">
        <f>IF(C390="","",SUMIFS(Cmd_montant,Cmd_cle,AK390,Cmd_dateca,"&gt;0"))</f>
        <v/>
      </c>
      <c r="AG390" s="40">
        <f>IF(C390="","",SUMIFS(Enc_montant,Enc_cle,AK390))</f>
        <v/>
      </c>
      <c r="AH390" s="40">
        <f>IF(C390="","",AF390-AG390)</f>
        <v/>
      </c>
      <c r="AI390" s="33">
        <f>IF(C390="","",IF(D390="Perdu","",IF(AND(AB390&lt;&gt;"",N(AB390)&lt;TODAY()),"Action en retard",IF(AND(D390="Client",AE390&lt;&gt;"",TODAY()-N(AE390)&gt;P_JoursInactif),"Client inactif",IF(AND(D390="Prospect",Z390=0,O390&lt;&gt;"",TODAY()-N(O390)&gt;P_JoursNonVisite),"Jamais visité","")))))</f>
        <v/>
      </c>
      <c r="AJ390" s="33">
        <f>IF(C390="","",C390&amp;" ["&amp;TEXT(A390,"000")&amp;"]")</f>
        <v/>
      </c>
      <c r="AK390" s="33">
        <f>IF(C390="","",X390&amp;"|"&amp;A390)</f>
        <v/>
      </c>
      <c r="AL390" s="47">
        <f>IF(C390="",0,IF(COUNTIFS(VC_cle,AK390)=0,0,MAX(INDEX((VC_cle=AK390)*(VC_date+ROW(VC_date)/100000),0))))</f>
        <v/>
      </c>
      <c r="AM390" s="47">
        <f>IF(AND(C390&lt;&gt;"",N(AB390)&gt;0,D390&lt;&gt;"Perdu"),AB390+ROW()/100000,0)</f>
        <v/>
      </c>
      <c r="AN390" s="48">
        <f>IF(N(AF390)&gt;0,ROUND(AF390,0)+ROW()/1000000,0)</f>
        <v/>
      </c>
    </row>
    <row r="391" ht="18" customHeight="1">
      <c r="A391" s="39" t="n">
        <v>386</v>
      </c>
      <c r="B391" s="33">
        <f>IF(C391="","",IF(X391="À RENSEIGNER","GIC",X391)&amp;"-"&amp;TEXT(A391,"000"))</f>
        <v/>
      </c>
      <c r="C391" s="36" t="n"/>
      <c r="D391" s="34">
        <f>IF(C391="","",IF(U391="☑ Oui","Perdu",IF(AD391&lt;&gt;"","Client","Prospect")))</f>
        <v/>
      </c>
      <c r="E391" s="36" t="n"/>
      <c r="F391" s="36" t="n"/>
      <c r="G391" s="44" t="n"/>
      <c r="H391" s="44" t="n"/>
      <c r="I391" s="36" t="n"/>
      <c r="J391" s="36" t="n"/>
      <c r="K391" s="41" t="n"/>
      <c r="L391" s="41" t="n"/>
      <c r="M391" s="36" t="n"/>
      <c r="N391" s="36" t="n"/>
      <c r="O391" s="32" t="n"/>
      <c r="P391" s="36" t="n"/>
      <c r="Q391" s="36" t="n"/>
      <c r="R391" s="34">
        <f>IF(P391="","",IFERROR(VLOOKUP(P391,T_Produits,2,FALSE),""))</f>
        <v/>
      </c>
      <c r="S391" s="36" t="n"/>
      <c r="T391" s="43" t="n"/>
      <c r="U391" s="43" t="n"/>
      <c r="V391" s="36" t="n"/>
      <c r="W391" s="36" t="n"/>
      <c r="X391" s="33">
        <f>IF(C391="","",Commercial_Id)</f>
        <v/>
      </c>
      <c r="Y391" s="33">
        <f>IF(E391="","",IF(E391="Particulier / ménage","Particulier","Entreprise"))</f>
        <v/>
      </c>
      <c r="Z391" s="39">
        <f>IF(C391="","",COUNTIFS(VC_cle,AK391,VC_type,"Visite sur place"))</f>
        <v/>
      </c>
      <c r="AA391" s="46">
        <f>IF(AL391=0,"",IF(INT(AL391)=0,"",INT(AL391)))</f>
        <v/>
      </c>
      <c r="AB391" s="46">
        <f>IF(AL391=0,"",IF(INDEX(VC_actiondate,ROUND(MOD(AL391,1)*100000,0)-5)=0,"",INDEX(VC_actiondate,ROUND(MOD(AL391,1)*100000,0)-5)))</f>
        <v/>
      </c>
      <c r="AC391" s="33">
        <f>IF(AL391=0,"",INDEX(VC_actiontexte,ROUND(MOD(AL391,1)*100000,0)-5)&amp;"")</f>
        <v/>
      </c>
      <c r="AD391" s="46">
        <f>IF(C391="","",IF(COUNTIFS(Cmd_cle,AK391,Cmd_dateca,"&gt;0")=0,"",SMALL(INDEX(Cmd_dateca+(((Cmd_cle&lt;&gt;AK391)+(Cmd_dateca=0))&gt;0)*1000000,0),1)))</f>
        <v/>
      </c>
      <c r="AE391" s="46">
        <f>IF(C391="","",IF(COUNTIFS(Cmd_cle,AK391,Cmd_dateca,"&gt;0")=0,"",MAX(INDEX((Cmd_cle=AK391)*Cmd_dateca,0))))</f>
        <v/>
      </c>
      <c r="AF391" s="40">
        <f>IF(C391="","",SUMIFS(Cmd_montant,Cmd_cle,AK391,Cmd_dateca,"&gt;0"))</f>
        <v/>
      </c>
      <c r="AG391" s="40">
        <f>IF(C391="","",SUMIFS(Enc_montant,Enc_cle,AK391))</f>
        <v/>
      </c>
      <c r="AH391" s="40">
        <f>IF(C391="","",AF391-AG391)</f>
        <v/>
      </c>
      <c r="AI391" s="33">
        <f>IF(C391="","",IF(D391="Perdu","",IF(AND(AB391&lt;&gt;"",N(AB391)&lt;TODAY()),"Action en retard",IF(AND(D391="Client",AE391&lt;&gt;"",TODAY()-N(AE391)&gt;P_JoursInactif),"Client inactif",IF(AND(D391="Prospect",Z391=0,O391&lt;&gt;"",TODAY()-N(O391)&gt;P_JoursNonVisite),"Jamais visité","")))))</f>
        <v/>
      </c>
      <c r="AJ391" s="33">
        <f>IF(C391="","",C391&amp;" ["&amp;TEXT(A391,"000")&amp;"]")</f>
        <v/>
      </c>
      <c r="AK391" s="33">
        <f>IF(C391="","",X391&amp;"|"&amp;A391)</f>
        <v/>
      </c>
      <c r="AL391" s="47">
        <f>IF(C391="",0,IF(COUNTIFS(VC_cle,AK391)=0,0,MAX(INDEX((VC_cle=AK391)*(VC_date+ROW(VC_date)/100000),0))))</f>
        <v/>
      </c>
      <c r="AM391" s="47">
        <f>IF(AND(C391&lt;&gt;"",N(AB391)&gt;0,D391&lt;&gt;"Perdu"),AB391+ROW()/100000,0)</f>
        <v/>
      </c>
      <c r="AN391" s="48">
        <f>IF(N(AF391)&gt;0,ROUND(AF391,0)+ROW()/1000000,0)</f>
        <v/>
      </c>
    </row>
    <row r="392" ht="18" customHeight="1">
      <c r="A392" s="39" t="n">
        <v>387</v>
      </c>
      <c r="B392" s="33">
        <f>IF(C392="","",IF(X392="À RENSEIGNER","GIC",X392)&amp;"-"&amp;TEXT(A392,"000"))</f>
        <v/>
      </c>
      <c r="C392" s="36" t="n"/>
      <c r="D392" s="34">
        <f>IF(C392="","",IF(U392="☑ Oui","Perdu",IF(AD392&lt;&gt;"","Client","Prospect")))</f>
        <v/>
      </c>
      <c r="E392" s="36" t="n"/>
      <c r="F392" s="36" t="n"/>
      <c r="G392" s="44" t="n"/>
      <c r="H392" s="44" t="n"/>
      <c r="I392" s="36" t="n"/>
      <c r="J392" s="36" t="n"/>
      <c r="K392" s="41" t="n"/>
      <c r="L392" s="41" t="n"/>
      <c r="M392" s="36" t="n"/>
      <c r="N392" s="36" t="n"/>
      <c r="O392" s="32" t="n"/>
      <c r="P392" s="36" t="n"/>
      <c r="Q392" s="36" t="n"/>
      <c r="R392" s="34">
        <f>IF(P392="","",IFERROR(VLOOKUP(P392,T_Produits,2,FALSE),""))</f>
        <v/>
      </c>
      <c r="S392" s="36" t="n"/>
      <c r="T392" s="43" t="n"/>
      <c r="U392" s="43" t="n"/>
      <c r="V392" s="36" t="n"/>
      <c r="W392" s="36" t="n"/>
      <c r="X392" s="33">
        <f>IF(C392="","",Commercial_Id)</f>
        <v/>
      </c>
      <c r="Y392" s="33">
        <f>IF(E392="","",IF(E392="Particulier / ménage","Particulier","Entreprise"))</f>
        <v/>
      </c>
      <c r="Z392" s="39">
        <f>IF(C392="","",COUNTIFS(VC_cle,AK392,VC_type,"Visite sur place"))</f>
        <v/>
      </c>
      <c r="AA392" s="46">
        <f>IF(AL392=0,"",IF(INT(AL392)=0,"",INT(AL392)))</f>
        <v/>
      </c>
      <c r="AB392" s="46">
        <f>IF(AL392=0,"",IF(INDEX(VC_actiondate,ROUND(MOD(AL392,1)*100000,0)-5)=0,"",INDEX(VC_actiondate,ROUND(MOD(AL392,1)*100000,0)-5)))</f>
        <v/>
      </c>
      <c r="AC392" s="33">
        <f>IF(AL392=0,"",INDEX(VC_actiontexte,ROUND(MOD(AL392,1)*100000,0)-5)&amp;"")</f>
        <v/>
      </c>
      <c r="AD392" s="46">
        <f>IF(C392="","",IF(COUNTIFS(Cmd_cle,AK392,Cmd_dateca,"&gt;0")=0,"",SMALL(INDEX(Cmd_dateca+(((Cmd_cle&lt;&gt;AK392)+(Cmd_dateca=0))&gt;0)*1000000,0),1)))</f>
        <v/>
      </c>
      <c r="AE392" s="46">
        <f>IF(C392="","",IF(COUNTIFS(Cmd_cle,AK392,Cmd_dateca,"&gt;0")=0,"",MAX(INDEX((Cmd_cle=AK392)*Cmd_dateca,0))))</f>
        <v/>
      </c>
      <c r="AF392" s="40">
        <f>IF(C392="","",SUMIFS(Cmd_montant,Cmd_cle,AK392,Cmd_dateca,"&gt;0"))</f>
        <v/>
      </c>
      <c r="AG392" s="40">
        <f>IF(C392="","",SUMIFS(Enc_montant,Enc_cle,AK392))</f>
        <v/>
      </c>
      <c r="AH392" s="40">
        <f>IF(C392="","",AF392-AG392)</f>
        <v/>
      </c>
      <c r="AI392" s="33">
        <f>IF(C392="","",IF(D392="Perdu","",IF(AND(AB392&lt;&gt;"",N(AB392)&lt;TODAY()),"Action en retard",IF(AND(D392="Client",AE392&lt;&gt;"",TODAY()-N(AE392)&gt;P_JoursInactif),"Client inactif",IF(AND(D392="Prospect",Z392=0,O392&lt;&gt;"",TODAY()-N(O392)&gt;P_JoursNonVisite),"Jamais visité","")))))</f>
        <v/>
      </c>
      <c r="AJ392" s="33">
        <f>IF(C392="","",C392&amp;" ["&amp;TEXT(A392,"000")&amp;"]")</f>
        <v/>
      </c>
      <c r="AK392" s="33">
        <f>IF(C392="","",X392&amp;"|"&amp;A392)</f>
        <v/>
      </c>
      <c r="AL392" s="47">
        <f>IF(C392="",0,IF(COUNTIFS(VC_cle,AK392)=0,0,MAX(INDEX((VC_cle=AK392)*(VC_date+ROW(VC_date)/100000),0))))</f>
        <v/>
      </c>
      <c r="AM392" s="47">
        <f>IF(AND(C392&lt;&gt;"",N(AB392)&gt;0,D392&lt;&gt;"Perdu"),AB392+ROW()/100000,0)</f>
        <v/>
      </c>
      <c r="AN392" s="48">
        <f>IF(N(AF392)&gt;0,ROUND(AF392,0)+ROW()/1000000,0)</f>
        <v/>
      </c>
    </row>
    <row r="393" ht="18" customHeight="1">
      <c r="A393" s="39" t="n">
        <v>388</v>
      </c>
      <c r="B393" s="33">
        <f>IF(C393="","",IF(X393="À RENSEIGNER","GIC",X393)&amp;"-"&amp;TEXT(A393,"000"))</f>
        <v/>
      </c>
      <c r="C393" s="36" t="n"/>
      <c r="D393" s="34">
        <f>IF(C393="","",IF(U393="☑ Oui","Perdu",IF(AD393&lt;&gt;"","Client","Prospect")))</f>
        <v/>
      </c>
      <c r="E393" s="36" t="n"/>
      <c r="F393" s="36" t="n"/>
      <c r="G393" s="44" t="n"/>
      <c r="H393" s="44" t="n"/>
      <c r="I393" s="36" t="n"/>
      <c r="J393" s="36" t="n"/>
      <c r="K393" s="41" t="n"/>
      <c r="L393" s="41" t="n"/>
      <c r="M393" s="36" t="n"/>
      <c r="N393" s="36" t="n"/>
      <c r="O393" s="32" t="n"/>
      <c r="P393" s="36" t="n"/>
      <c r="Q393" s="36" t="n"/>
      <c r="R393" s="34">
        <f>IF(P393="","",IFERROR(VLOOKUP(P393,T_Produits,2,FALSE),""))</f>
        <v/>
      </c>
      <c r="S393" s="36" t="n"/>
      <c r="T393" s="43" t="n"/>
      <c r="U393" s="43" t="n"/>
      <c r="V393" s="36" t="n"/>
      <c r="W393" s="36" t="n"/>
      <c r="X393" s="33">
        <f>IF(C393="","",Commercial_Id)</f>
        <v/>
      </c>
      <c r="Y393" s="33">
        <f>IF(E393="","",IF(E393="Particulier / ménage","Particulier","Entreprise"))</f>
        <v/>
      </c>
      <c r="Z393" s="39">
        <f>IF(C393="","",COUNTIFS(VC_cle,AK393,VC_type,"Visite sur place"))</f>
        <v/>
      </c>
      <c r="AA393" s="46">
        <f>IF(AL393=0,"",IF(INT(AL393)=0,"",INT(AL393)))</f>
        <v/>
      </c>
      <c r="AB393" s="46">
        <f>IF(AL393=0,"",IF(INDEX(VC_actiondate,ROUND(MOD(AL393,1)*100000,0)-5)=0,"",INDEX(VC_actiondate,ROUND(MOD(AL393,1)*100000,0)-5)))</f>
        <v/>
      </c>
      <c r="AC393" s="33">
        <f>IF(AL393=0,"",INDEX(VC_actiontexte,ROUND(MOD(AL393,1)*100000,0)-5)&amp;"")</f>
        <v/>
      </c>
      <c r="AD393" s="46">
        <f>IF(C393="","",IF(COUNTIFS(Cmd_cle,AK393,Cmd_dateca,"&gt;0")=0,"",SMALL(INDEX(Cmd_dateca+(((Cmd_cle&lt;&gt;AK393)+(Cmd_dateca=0))&gt;0)*1000000,0),1)))</f>
        <v/>
      </c>
      <c r="AE393" s="46">
        <f>IF(C393="","",IF(COUNTIFS(Cmd_cle,AK393,Cmd_dateca,"&gt;0")=0,"",MAX(INDEX((Cmd_cle=AK393)*Cmd_dateca,0))))</f>
        <v/>
      </c>
      <c r="AF393" s="40">
        <f>IF(C393="","",SUMIFS(Cmd_montant,Cmd_cle,AK393,Cmd_dateca,"&gt;0"))</f>
        <v/>
      </c>
      <c r="AG393" s="40">
        <f>IF(C393="","",SUMIFS(Enc_montant,Enc_cle,AK393))</f>
        <v/>
      </c>
      <c r="AH393" s="40">
        <f>IF(C393="","",AF393-AG393)</f>
        <v/>
      </c>
      <c r="AI393" s="33">
        <f>IF(C393="","",IF(D393="Perdu","",IF(AND(AB393&lt;&gt;"",N(AB393)&lt;TODAY()),"Action en retard",IF(AND(D393="Client",AE393&lt;&gt;"",TODAY()-N(AE393)&gt;P_JoursInactif),"Client inactif",IF(AND(D393="Prospect",Z393=0,O393&lt;&gt;"",TODAY()-N(O393)&gt;P_JoursNonVisite),"Jamais visité","")))))</f>
        <v/>
      </c>
      <c r="AJ393" s="33">
        <f>IF(C393="","",C393&amp;" ["&amp;TEXT(A393,"000")&amp;"]")</f>
        <v/>
      </c>
      <c r="AK393" s="33">
        <f>IF(C393="","",X393&amp;"|"&amp;A393)</f>
        <v/>
      </c>
      <c r="AL393" s="47">
        <f>IF(C393="",0,IF(COUNTIFS(VC_cle,AK393)=0,0,MAX(INDEX((VC_cle=AK393)*(VC_date+ROW(VC_date)/100000),0))))</f>
        <v/>
      </c>
      <c r="AM393" s="47">
        <f>IF(AND(C393&lt;&gt;"",N(AB393)&gt;0,D393&lt;&gt;"Perdu"),AB393+ROW()/100000,0)</f>
        <v/>
      </c>
      <c r="AN393" s="48">
        <f>IF(N(AF393)&gt;0,ROUND(AF393,0)+ROW()/1000000,0)</f>
        <v/>
      </c>
    </row>
    <row r="394" ht="18" customHeight="1">
      <c r="A394" s="39" t="n">
        <v>389</v>
      </c>
      <c r="B394" s="33">
        <f>IF(C394="","",IF(X394="À RENSEIGNER","GIC",X394)&amp;"-"&amp;TEXT(A394,"000"))</f>
        <v/>
      </c>
      <c r="C394" s="36" t="n"/>
      <c r="D394" s="34">
        <f>IF(C394="","",IF(U394="☑ Oui","Perdu",IF(AD394&lt;&gt;"","Client","Prospect")))</f>
        <v/>
      </c>
      <c r="E394" s="36" t="n"/>
      <c r="F394" s="36" t="n"/>
      <c r="G394" s="44" t="n"/>
      <c r="H394" s="44" t="n"/>
      <c r="I394" s="36" t="n"/>
      <c r="J394" s="36" t="n"/>
      <c r="K394" s="41" t="n"/>
      <c r="L394" s="41" t="n"/>
      <c r="M394" s="36" t="n"/>
      <c r="N394" s="36" t="n"/>
      <c r="O394" s="32" t="n"/>
      <c r="P394" s="36" t="n"/>
      <c r="Q394" s="36" t="n"/>
      <c r="R394" s="34">
        <f>IF(P394="","",IFERROR(VLOOKUP(P394,T_Produits,2,FALSE),""))</f>
        <v/>
      </c>
      <c r="S394" s="36" t="n"/>
      <c r="T394" s="43" t="n"/>
      <c r="U394" s="43" t="n"/>
      <c r="V394" s="36" t="n"/>
      <c r="W394" s="36" t="n"/>
      <c r="X394" s="33">
        <f>IF(C394="","",Commercial_Id)</f>
        <v/>
      </c>
      <c r="Y394" s="33">
        <f>IF(E394="","",IF(E394="Particulier / ménage","Particulier","Entreprise"))</f>
        <v/>
      </c>
      <c r="Z394" s="39">
        <f>IF(C394="","",COUNTIFS(VC_cle,AK394,VC_type,"Visite sur place"))</f>
        <v/>
      </c>
      <c r="AA394" s="46">
        <f>IF(AL394=0,"",IF(INT(AL394)=0,"",INT(AL394)))</f>
        <v/>
      </c>
      <c r="AB394" s="46">
        <f>IF(AL394=0,"",IF(INDEX(VC_actiondate,ROUND(MOD(AL394,1)*100000,0)-5)=0,"",INDEX(VC_actiondate,ROUND(MOD(AL394,1)*100000,0)-5)))</f>
        <v/>
      </c>
      <c r="AC394" s="33">
        <f>IF(AL394=0,"",INDEX(VC_actiontexte,ROUND(MOD(AL394,1)*100000,0)-5)&amp;"")</f>
        <v/>
      </c>
      <c r="AD394" s="46">
        <f>IF(C394="","",IF(COUNTIFS(Cmd_cle,AK394,Cmd_dateca,"&gt;0")=0,"",SMALL(INDEX(Cmd_dateca+(((Cmd_cle&lt;&gt;AK394)+(Cmd_dateca=0))&gt;0)*1000000,0),1)))</f>
        <v/>
      </c>
      <c r="AE394" s="46">
        <f>IF(C394="","",IF(COUNTIFS(Cmd_cle,AK394,Cmd_dateca,"&gt;0")=0,"",MAX(INDEX((Cmd_cle=AK394)*Cmd_dateca,0))))</f>
        <v/>
      </c>
      <c r="AF394" s="40">
        <f>IF(C394="","",SUMIFS(Cmd_montant,Cmd_cle,AK394,Cmd_dateca,"&gt;0"))</f>
        <v/>
      </c>
      <c r="AG394" s="40">
        <f>IF(C394="","",SUMIFS(Enc_montant,Enc_cle,AK394))</f>
        <v/>
      </c>
      <c r="AH394" s="40">
        <f>IF(C394="","",AF394-AG394)</f>
        <v/>
      </c>
      <c r="AI394" s="33">
        <f>IF(C394="","",IF(D394="Perdu","",IF(AND(AB394&lt;&gt;"",N(AB394)&lt;TODAY()),"Action en retard",IF(AND(D394="Client",AE394&lt;&gt;"",TODAY()-N(AE394)&gt;P_JoursInactif),"Client inactif",IF(AND(D394="Prospect",Z394=0,O394&lt;&gt;"",TODAY()-N(O394)&gt;P_JoursNonVisite),"Jamais visité","")))))</f>
        <v/>
      </c>
      <c r="AJ394" s="33">
        <f>IF(C394="","",C394&amp;" ["&amp;TEXT(A394,"000")&amp;"]")</f>
        <v/>
      </c>
      <c r="AK394" s="33">
        <f>IF(C394="","",X394&amp;"|"&amp;A394)</f>
        <v/>
      </c>
      <c r="AL394" s="47">
        <f>IF(C394="",0,IF(COUNTIFS(VC_cle,AK394)=0,0,MAX(INDEX((VC_cle=AK394)*(VC_date+ROW(VC_date)/100000),0))))</f>
        <v/>
      </c>
      <c r="AM394" s="47">
        <f>IF(AND(C394&lt;&gt;"",N(AB394)&gt;0,D394&lt;&gt;"Perdu"),AB394+ROW()/100000,0)</f>
        <v/>
      </c>
      <c r="AN394" s="48">
        <f>IF(N(AF394)&gt;0,ROUND(AF394,0)+ROW()/1000000,0)</f>
        <v/>
      </c>
    </row>
    <row r="395" ht="18" customHeight="1">
      <c r="A395" s="39" t="n">
        <v>390</v>
      </c>
      <c r="B395" s="33">
        <f>IF(C395="","",IF(X395="À RENSEIGNER","GIC",X395)&amp;"-"&amp;TEXT(A395,"000"))</f>
        <v/>
      </c>
      <c r="C395" s="36" t="n"/>
      <c r="D395" s="34">
        <f>IF(C395="","",IF(U395="☑ Oui","Perdu",IF(AD395&lt;&gt;"","Client","Prospect")))</f>
        <v/>
      </c>
      <c r="E395" s="36" t="n"/>
      <c r="F395" s="36" t="n"/>
      <c r="G395" s="44" t="n"/>
      <c r="H395" s="44" t="n"/>
      <c r="I395" s="36" t="n"/>
      <c r="J395" s="36" t="n"/>
      <c r="K395" s="41" t="n"/>
      <c r="L395" s="41" t="n"/>
      <c r="M395" s="36" t="n"/>
      <c r="N395" s="36" t="n"/>
      <c r="O395" s="32" t="n"/>
      <c r="P395" s="36" t="n"/>
      <c r="Q395" s="36" t="n"/>
      <c r="R395" s="34">
        <f>IF(P395="","",IFERROR(VLOOKUP(P395,T_Produits,2,FALSE),""))</f>
        <v/>
      </c>
      <c r="S395" s="36" t="n"/>
      <c r="T395" s="43" t="n"/>
      <c r="U395" s="43" t="n"/>
      <c r="V395" s="36" t="n"/>
      <c r="W395" s="36" t="n"/>
      <c r="X395" s="33">
        <f>IF(C395="","",Commercial_Id)</f>
        <v/>
      </c>
      <c r="Y395" s="33">
        <f>IF(E395="","",IF(E395="Particulier / ménage","Particulier","Entreprise"))</f>
        <v/>
      </c>
      <c r="Z395" s="39">
        <f>IF(C395="","",COUNTIFS(VC_cle,AK395,VC_type,"Visite sur place"))</f>
        <v/>
      </c>
      <c r="AA395" s="46">
        <f>IF(AL395=0,"",IF(INT(AL395)=0,"",INT(AL395)))</f>
        <v/>
      </c>
      <c r="AB395" s="46">
        <f>IF(AL395=0,"",IF(INDEX(VC_actiondate,ROUND(MOD(AL395,1)*100000,0)-5)=0,"",INDEX(VC_actiondate,ROUND(MOD(AL395,1)*100000,0)-5)))</f>
        <v/>
      </c>
      <c r="AC395" s="33">
        <f>IF(AL395=0,"",INDEX(VC_actiontexte,ROUND(MOD(AL395,1)*100000,0)-5)&amp;"")</f>
        <v/>
      </c>
      <c r="AD395" s="46">
        <f>IF(C395="","",IF(COUNTIFS(Cmd_cle,AK395,Cmd_dateca,"&gt;0")=0,"",SMALL(INDEX(Cmd_dateca+(((Cmd_cle&lt;&gt;AK395)+(Cmd_dateca=0))&gt;0)*1000000,0),1)))</f>
        <v/>
      </c>
      <c r="AE395" s="46">
        <f>IF(C395="","",IF(COUNTIFS(Cmd_cle,AK395,Cmd_dateca,"&gt;0")=0,"",MAX(INDEX((Cmd_cle=AK395)*Cmd_dateca,0))))</f>
        <v/>
      </c>
      <c r="AF395" s="40">
        <f>IF(C395="","",SUMIFS(Cmd_montant,Cmd_cle,AK395,Cmd_dateca,"&gt;0"))</f>
        <v/>
      </c>
      <c r="AG395" s="40">
        <f>IF(C395="","",SUMIFS(Enc_montant,Enc_cle,AK395))</f>
        <v/>
      </c>
      <c r="AH395" s="40">
        <f>IF(C395="","",AF395-AG395)</f>
        <v/>
      </c>
      <c r="AI395" s="33">
        <f>IF(C395="","",IF(D395="Perdu","",IF(AND(AB395&lt;&gt;"",N(AB395)&lt;TODAY()),"Action en retard",IF(AND(D395="Client",AE395&lt;&gt;"",TODAY()-N(AE395)&gt;P_JoursInactif),"Client inactif",IF(AND(D395="Prospect",Z395=0,O395&lt;&gt;"",TODAY()-N(O395)&gt;P_JoursNonVisite),"Jamais visité","")))))</f>
        <v/>
      </c>
      <c r="AJ395" s="33">
        <f>IF(C395="","",C395&amp;" ["&amp;TEXT(A395,"000")&amp;"]")</f>
        <v/>
      </c>
      <c r="AK395" s="33">
        <f>IF(C395="","",X395&amp;"|"&amp;A395)</f>
        <v/>
      </c>
      <c r="AL395" s="47">
        <f>IF(C395="",0,IF(COUNTIFS(VC_cle,AK395)=0,0,MAX(INDEX((VC_cle=AK395)*(VC_date+ROW(VC_date)/100000),0))))</f>
        <v/>
      </c>
      <c r="AM395" s="47">
        <f>IF(AND(C395&lt;&gt;"",N(AB395)&gt;0,D395&lt;&gt;"Perdu"),AB395+ROW()/100000,0)</f>
        <v/>
      </c>
      <c r="AN395" s="48">
        <f>IF(N(AF395)&gt;0,ROUND(AF395,0)+ROW()/1000000,0)</f>
        <v/>
      </c>
    </row>
    <row r="396" ht="18" customHeight="1">
      <c r="A396" s="39" t="n">
        <v>391</v>
      </c>
      <c r="B396" s="33">
        <f>IF(C396="","",IF(X396="À RENSEIGNER","GIC",X396)&amp;"-"&amp;TEXT(A396,"000"))</f>
        <v/>
      </c>
      <c r="C396" s="36" t="n"/>
      <c r="D396" s="34">
        <f>IF(C396="","",IF(U396="☑ Oui","Perdu",IF(AD396&lt;&gt;"","Client","Prospect")))</f>
        <v/>
      </c>
      <c r="E396" s="36" t="n"/>
      <c r="F396" s="36" t="n"/>
      <c r="G396" s="44" t="n"/>
      <c r="H396" s="44" t="n"/>
      <c r="I396" s="36" t="n"/>
      <c r="J396" s="36" t="n"/>
      <c r="K396" s="41" t="n"/>
      <c r="L396" s="41" t="n"/>
      <c r="M396" s="36" t="n"/>
      <c r="N396" s="36" t="n"/>
      <c r="O396" s="32" t="n"/>
      <c r="P396" s="36" t="n"/>
      <c r="Q396" s="36" t="n"/>
      <c r="R396" s="34">
        <f>IF(P396="","",IFERROR(VLOOKUP(P396,T_Produits,2,FALSE),""))</f>
        <v/>
      </c>
      <c r="S396" s="36" t="n"/>
      <c r="T396" s="43" t="n"/>
      <c r="U396" s="43" t="n"/>
      <c r="V396" s="36" t="n"/>
      <c r="W396" s="36" t="n"/>
      <c r="X396" s="33">
        <f>IF(C396="","",Commercial_Id)</f>
        <v/>
      </c>
      <c r="Y396" s="33">
        <f>IF(E396="","",IF(E396="Particulier / ménage","Particulier","Entreprise"))</f>
        <v/>
      </c>
      <c r="Z396" s="39">
        <f>IF(C396="","",COUNTIFS(VC_cle,AK396,VC_type,"Visite sur place"))</f>
        <v/>
      </c>
      <c r="AA396" s="46">
        <f>IF(AL396=0,"",IF(INT(AL396)=0,"",INT(AL396)))</f>
        <v/>
      </c>
      <c r="AB396" s="46">
        <f>IF(AL396=0,"",IF(INDEX(VC_actiondate,ROUND(MOD(AL396,1)*100000,0)-5)=0,"",INDEX(VC_actiondate,ROUND(MOD(AL396,1)*100000,0)-5)))</f>
        <v/>
      </c>
      <c r="AC396" s="33">
        <f>IF(AL396=0,"",INDEX(VC_actiontexte,ROUND(MOD(AL396,1)*100000,0)-5)&amp;"")</f>
        <v/>
      </c>
      <c r="AD396" s="46">
        <f>IF(C396="","",IF(COUNTIFS(Cmd_cle,AK396,Cmd_dateca,"&gt;0")=0,"",SMALL(INDEX(Cmd_dateca+(((Cmd_cle&lt;&gt;AK396)+(Cmd_dateca=0))&gt;0)*1000000,0),1)))</f>
        <v/>
      </c>
      <c r="AE396" s="46">
        <f>IF(C396="","",IF(COUNTIFS(Cmd_cle,AK396,Cmd_dateca,"&gt;0")=0,"",MAX(INDEX((Cmd_cle=AK396)*Cmd_dateca,0))))</f>
        <v/>
      </c>
      <c r="AF396" s="40">
        <f>IF(C396="","",SUMIFS(Cmd_montant,Cmd_cle,AK396,Cmd_dateca,"&gt;0"))</f>
        <v/>
      </c>
      <c r="AG396" s="40">
        <f>IF(C396="","",SUMIFS(Enc_montant,Enc_cle,AK396))</f>
        <v/>
      </c>
      <c r="AH396" s="40">
        <f>IF(C396="","",AF396-AG396)</f>
        <v/>
      </c>
      <c r="AI396" s="33">
        <f>IF(C396="","",IF(D396="Perdu","",IF(AND(AB396&lt;&gt;"",N(AB396)&lt;TODAY()),"Action en retard",IF(AND(D396="Client",AE396&lt;&gt;"",TODAY()-N(AE396)&gt;P_JoursInactif),"Client inactif",IF(AND(D396="Prospect",Z396=0,O396&lt;&gt;"",TODAY()-N(O396)&gt;P_JoursNonVisite),"Jamais visité","")))))</f>
        <v/>
      </c>
      <c r="AJ396" s="33">
        <f>IF(C396="","",C396&amp;" ["&amp;TEXT(A396,"000")&amp;"]")</f>
        <v/>
      </c>
      <c r="AK396" s="33">
        <f>IF(C396="","",X396&amp;"|"&amp;A396)</f>
        <v/>
      </c>
      <c r="AL396" s="47">
        <f>IF(C396="",0,IF(COUNTIFS(VC_cle,AK396)=0,0,MAX(INDEX((VC_cle=AK396)*(VC_date+ROW(VC_date)/100000),0))))</f>
        <v/>
      </c>
      <c r="AM396" s="47">
        <f>IF(AND(C396&lt;&gt;"",N(AB396)&gt;0,D396&lt;&gt;"Perdu"),AB396+ROW()/100000,0)</f>
        <v/>
      </c>
      <c r="AN396" s="48">
        <f>IF(N(AF396)&gt;0,ROUND(AF396,0)+ROW()/1000000,0)</f>
        <v/>
      </c>
    </row>
    <row r="397" ht="18" customHeight="1">
      <c r="A397" s="39" t="n">
        <v>392</v>
      </c>
      <c r="B397" s="33">
        <f>IF(C397="","",IF(X397="À RENSEIGNER","GIC",X397)&amp;"-"&amp;TEXT(A397,"000"))</f>
        <v/>
      </c>
      <c r="C397" s="36" t="n"/>
      <c r="D397" s="34">
        <f>IF(C397="","",IF(U397="☑ Oui","Perdu",IF(AD397&lt;&gt;"","Client","Prospect")))</f>
        <v/>
      </c>
      <c r="E397" s="36" t="n"/>
      <c r="F397" s="36" t="n"/>
      <c r="G397" s="44" t="n"/>
      <c r="H397" s="44" t="n"/>
      <c r="I397" s="36" t="n"/>
      <c r="J397" s="36" t="n"/>
      <c r="K397" s="41" t="n"/>
      <c r="L397" s="41" t="n"/>
      <c r="M397" s="36" t="n"/>
      <c r="N397" s="36" t="n"/>
      <c r="O397" s="32" t="n"/>
      <c r="P397" s="36" t="n"/>
      <c r="Q397" s="36" t="n"/>
      <c r="R397" s="34">
        <f>IF(P397="","",IFERROR(VLOOKUP(P397,T_Produits,2,FALSE),""))</f>
        <v/>
      </c>
      <c r="S397" s="36" t="n"/>
      <c r="T397" s="43" t="n"/>
      <c r="U397" s="43" t="n"/>
      <c r="V397" s="36" t="n"/>
      <c r="W397" s="36" t="n"/>
      <c r="X397" s="33">
        <f>IF(C397="","",Commercial_Id)</f>
        <v/>
      </c>
      <c r="Y397" s="33">
        <f>IF(E397="","",IF(E397="Particulier / ménage","Particulier","Entreprise"))</f>
        <v/>
      </c>
      <c r="Z397" s="39">
        <f>IF(C397="","",COUNTIFS(VC_cle,AK397,VC_type,"Visite sur place"))</f>
        <v/>
      </c>
      <c r="AA397" s="46">
        <f>IF(AL397=0,"",IF(INT(AL397)=0,"",INT(AL397)))</f>
        <v/>
      </c>
      <c r="AB397" s="46">
        <f>IF(AL397=0,"",IF(INDEX(VC_actiondate,ROUND(MOD(AL397,1)*100000,0)-5)=0,"",INDEX(VC_actiondate,ROUND(MOD(AL397,1)*100000,0)-5)))</f>
        <v/>
      </c>
      <c r="AC397" s="33">
        <f>IF(AL397=0,"",INDEX(VC_actiontexte,ROUND(MOD(AL397,1)*100000,0)-5)&amp;"")</f>
        <v/>
      </c>
      <c r="AD397" s="46">
        <f>IF(C397="","",IF(COUNTIFS(Cmd_cle,AK397,Cmd_dateca,"&gt;0")=0,"",SMALL(INDEX(Cmd_dateca+(((Cmd_cle&lt;&gt;AK397)+(Cmd_dateca=0))&gt;0)*1000000,0),1)))</f>
        <v/>
      </c>
      <c r="AE397" s="46">
        <f>IF(C397="","",IF(COUNTIFS(Cmd_cle,AK397,Cmd_dateca,"&gt;0")=0,"",MAX(INDEX((Cmd_cle=AK397)*Cmd_dateca,0))))</f>
        <v/>
      </c>
      <c r="AF397" s="40">
        <f>IF(C397="","",SUMIFS(Cmd_montant,Cmd_cle,AK397,Cmd_dateca,"&gt;0"))</f>
        <v/>
      </c>
      <c r="AG397" s="40">
        <f>IF(C397="","",SUMIFS(Enc_montant,Enc_cle,AK397))</f>
        <v/>
      </c>
      <c r="AH397" s="40">
        <f>IF(C397="","",AF397-AG397)</f>
        <v/>
      </c>
      <c r="AI397" s="33">
        <f>IF(C397="","",IF(D397="Perdu","",IF(AND(AB397&lt;&gt;"",N(AB397)&lt;TODAY()),"Action en retard",IF(AND(D397="Client",AE397&lt;&gt;"",TODAY()-N(AE397)&gt;P_JoursInactif),"Client inactif",IF(AND(D397="Prospect",Z397=0,O397&lt;&gt;"",TODAY()-N(O397)&gt;P_JoursNonVisite),"Jamais visité","")))))</f>
        <v/>
      </c>
      <c r="AJ397" s="33">
        <f>IF(C397="","",C397&amp;" ["&amp;TEXT(A397,"000")&amp;"]")</f>
        <v/>
      </c>
      <c r="AK397" s="33">
        <f>IF(C397="","",X397&amp;"|"&amp;A397)</f>
        <v/>
      </c>
      <c r="AL397" s="47">
        <f>IF(C397="",0,IF(COUNTIFS(VC_cle,AK397)=0,0,MAX(INDEX((VC_cle=AK397)*(VC_date+ROW(VC_date)/100000),0))))</f>
        <v/>
      </c>
      <c r="AM397" s="47">
        <f>IF(AND(C397&lt;&gt;"",N(AB397)&gt;0,D397&lt;&gt;"Perdu"),AB397+ROW()/100000,0)</f>
        <v/>
      </c>
      <c r="AN397" s="48">
        <f>IF(N(AF397)&gt;0,ROUND(AF397,0)+ROW()/1000000,0)</f>
        <v/>
      </c>
    </row>
    <row r="398" ht="18" customHeight="1">
      <c r="A398" s="39" t="n">
        <v>393</v>
      </c>
      <c r="B398" s="33">
        <f>IF(C398="","",IF(X398="À RENSEIGNER","GIC",X398)&amp;"-"&amp;TEXT(A398,"000"))</f>
        <v/>
      </c>
      <c r="C398" s="36" t="n"/>
      <c r="D398" s="34">
        <f>IF(C398="","",IF(U398="☑ Oui","Perdu",IF(AD398&lt;&gt;"","Client","Prospect")))</f>
        <v/>
      </c>
      <c r="E398" s="36" t="n"/>
      <c r="F398" s="36" t="n"/>
      <c r="G398" s="44" t="n"/>
      <c r="H398" s="44" t="n"/>
      <c r="I398" s="36" t="n"/>
      <c r="J398" s="36" t="n"/>
      <c r="K398" s="41" t="n"/>
      <c r="L398" s="41" t="n"/>
      <c r="M398" s="36" t="n"/>
      <c r="N398" s="36" t="n"/>
      <c r="O398" s="32" t="n"/>
      <c r="P398" s="36" t="n"/>
      <c r="Q398" s="36" t="n"/>
      <c r="R398" s="34">
        <f>IF(P398="","",IFERROR(VLOOKUP(P398,T_Produits,2,FALSE),""))</f>
        <v/>
      </c>
      <c r="S398" s="36" t="n"/>
      <c r="T398" s="43" t="n"/>
      <c r="U398" s="43" t="n"/>
      <c r="V398" s="36" t="n"/>
      <c r="W398" s="36" t="n"/>
      <c r="X398" s="33">
        <f>IF(C398="","",Commercial_Id)</f>
        <v/>
      </c>
      <c r="Y398" s="33">
        <f>IF(E398="","",IF(E398="Particulier / ménage","Particulier","Entreprise"))</f>
        <v/>
      </c>
      <c r="Z398" s="39">
        <f>IF(C398="","",COUNTIFS(VC_cle,AK398,VC_type,"Visite sur place"))</f>
        <v/>
      </c>
      <c r="AA398" s="46">
        <f>IF(AL398=0,"",IF(INT(AL398)=0,"",INT(AL398)))</f>
        <v/>
      </c>
      <c r="AB398" s="46">
        <f>IF(AL398=0,"",IF(INDEX(VC_actiondate,ROUND(MOD(AL398,1)*100000,0)-5)=0,"",INDEX(VC_actiondate,ROUND(MOD(AL398,1)*100000,0)-5)))</f>
        <v/>
      </c>
      <c r="AC398" s="33">
        <f>IF(AL398=0,"",INDEX(VC_actiontexte,ROUND(MOD(AL398,1)*100000,0)-5)&amp;"")</f>
        <v/>
      </c>
      <c r="AD398" s="46">
        <f>IF(C398="","",IF(COUNTIFS(Cmd_cle,AK398,Cmd_dateca,"&gt;0")=0,"",SMALL(INDEX(Cmd_dateca+(((Cmd_cle&lt;&gt;AK398)+(Cmd_dateca=0))&gt;0)*1000000,0),1)))</f>
        <v/>
      </c>
      <c r="AE398" s="46">
        <f>IF(C398="","",IF(COUNTIFS(Cmd_cle,AK398,Cmd_dateca,"&gt;0")=0,"",MAX(INDEX((Cmd_cle=AK398)*Cmd_dateca,0))))</f>
        <v/>
      </c>
      <c r="AF398" s="40">
        <f>IF(C398="","",SUMIFS(Cmd_montant,Cmd_cle,AK398,Cmd_dateca,"&gt;0"))</f>
        <v/>
      </c>
      <c r="AG398" s="40">
        <f>IF(C398="","",SUMIFS(Enc_montant,Enc_cle,AK398))</f>
        <v/>
      </c>
      <c r="AH398" s="40">
        <f>IF(C398="","",AF398-AG398)</f>
        <v/>
      </c>
      <c r="AI398" s="33">
        <f>IF(C398="","",IF(D398="Perdu","",IF(AND(AB398&lt;&gt;"",N(AB398)&lt;TODAY()),"Action en retard",IF(AND(D398="Client",AE398&lt;&gt;"",TODAY()-N(AE398)&gt;P_JoursInactif),"Client inactif",IF(AND(D398="Prospect",Z398=0,O398&lt;&gt;"",TODAY()-N(O398)&gt;P_JoursNonVisite),"Jamais visité","")))))</f>
        <v/>
      </c>
      <c r="AJ398" s="33">
        <f>IF(C398="","",C398&amp;" ["&amp;TEXT(A398,"000")&amp;"]")</f>
        <v/>
      </c>
      <c r="AK398" s="33">
        <f>IF(C398="","",X398&amp;"|"&amp;A398)</f>
        <v/>
      </c>
      <c r="AL398" s="47">
        <f>IF(C398="",0,IF(COUNTIFS(VC_cle,AK398)=0,0,MAX(INDEX((VC_cle=AK398)*(VC_date+ROW(VC_date)/100000),0))))</f>
        <v/>
      </c>
      <c r="AM398" s="47">
        <f>IF(AND(C398&lt;&gt;"",N(AB398)&gt;0,D398&lt;&gt;"Perdu"),AB398+ROW()/100000,0)</f>
        <v/>
      </c>
      <c r="AN398" s="48">
        <f>IF(N(AF398)&gt;0,ROUND(AF398,0)+ROW()/1000000,0)</f>
        <v/>
      </c>
    </row>
    <row r="399" ht="18" customHeight="1">
      <c r="A399" s="39" t="n">
        <v>394</v>
      </c>
      <c r="B399" s="33">
        <f>IF(C399="","",IF(X399="À RENSEIGNER","GIC",X399)&amp;"-"&amp;TEXT(A399,"000"))</f>
        <v/>
      </c>
      <c r="C399" s="36" t="n"/>
      <c r="D399" s="34">
        <f>IF(C399="","",IF(U399="☑ Oui","Perdu",IF(AD399&lt;&gt;"","Client","Prospect")))</f>
        <v/>
      </c>
      <c r="E399" s="36" t="n"/>
      <c r="F399" s="36" t="n"/>
      <c r="G399" s="44" t="n"/>
      <c r="H399" s="44" t="n"/>
      <c r="I399" s="36" t="n"/>
      <c r="J399" s="36" t="n"/>
      <c r="K399" s="41" t="n"/>
      <c r="L399" s="41" t="n"/>
      <c r="M399" s="36" t="n"/>
      <c r="N399" s="36" t="n"/>
      <c r="O399" s="32" t="n"/>
      <c r="P399" s="36" t="n"/>
      <c r="Q399" s="36" t="n"/>
      <c r="R399" s="34">
        <f>IF(P399="","",IFERROR(VLOOKUP(P399,T_Produits,2,FALSE),""))</f>
        <v/>
      </c>
      <c r="S399" s="36" t="n"/>
      <c r="T399" s="43" t="n"/>
      <c r="U399" s="43" t="n"/>
      <c r="V399" s="36" t="n"/>
      <c r="W399" s="36" t="n"/>
      <c r="X399" s="33">
        <f>IF(C399="","",Commercial_Id)</f>
        <v/>
      </c>
      <c r="Y399" s="33">
        <f>IF(E399="","",IF(E399="Particulier / ménage","Particulier","Entreprise"))</f>
        <v/>
      </c>
      <c r="Z399" s="39">
        <f>IF(C399="","",COUNTIFS(VC_cle,AK399,VC_type,"Visite sur place"))</f>
        <v/>
      </c>
      <c r="AA399" s="46">
        <f>IF(AL399=0,"",IF(INT(AL399)=0,"",INT(AL399)))</f>
        <v/>
      </c>
      <c r="AB399" s="46">
        <f>IF(AL399=0,"",IF(INDEX(VC_actiondate,ROUND(MOD(AL399,1)*100000,0)-5)=0,"",INDEX(VC_actiondate,ROUND(MOD(AL399,1)*100000,0)-5)))</f>
        <v/>
      </c>
      <c r="AC399" s="33">
        <f>IF(AL399=0,"",INDEX(VC_actiontexte,ROUND(MOD(AL399,1)*100000,0)-5)&amp;"")</f>
        <v/>
      </c>
      <c r="AD399" s="46">
        <f>IF(C399="","",IF(COUNTIFS(Cmd_cle,AK399,Cmd_dateca,"&gt;0")=0,"",SMALL(INDEX(Cmd_dateca+(((Cmd_cle&lt;&gt;AK399)+(Cmd_dateca=0))&gt;0)*1000000,0),1)))</f>
        <v/>
      </c>
      <c r="AE399" s="46">
        <f>IF(C399="","",IF(COUNTIFS(Cmd_cle,AK399,Cmd_dateca,"&gt;0")=0,"",MAX(INDEX((Cmd_cle=AK399)*Cmd_dateca,0))))</f>
        <v/>
      </c>
      <c r="AF399" s="40">
        <f>IF(C399="","",SUMIFS(Cmd_montant,Cmd_cle,AK399,Cmd_dateca,"&gt;0"))</f>
        <v/>
      </c>
      <c r="AG399" s="40">
        <f>IF(C399="","",SUMIFS(Enc_montant,Enc_cle,AK399))</f>
        <v/>
      </c>
      <c r="AH399" s="40">
        <f>IF(C399="","",AF399-AG399)</f>
        <v/>
      </c>
      <c r="AI399" s="33">
        <f>IF(C399="","",IF(D399="Perdu","",IF(AND(AB399&lt;&gt;"",N(AB399)&lt;TODAY()),"Action en retard",IF(AND(D399="Client",AE399&lt;&gt;"",TODAY()-N(AE399)&gt;P_JoursInactif),"Client inactif",IF(AND(D399="Prospect",Z399=0,O399&lt;&gt;"",TODAY()-N(O399)&gt;P_JoursNonVisite),"Jamais visité","")))))</f>
        <v/>
      </c>
      <c r="AJ399" s="33">
        <f>IF(C399="","",C399&amp;" ["&amp;TEXT(A399,"000")&amp;"]")</f>
        <v/>
      </c>
      <c r="AK399" s="33">
        <f>IF(C399="","",X399&amp;"|"&amp;A399)</f>
        <v/>
      </c>
      <c r="AL399" s="47">
        <f>IF(C399="",0,IF(COUNTIFS(VC_cle,AK399)=0,0,MAX(INDEX((VC_cle=AK399)*(VC_date+ROW(VC_date)/100000),0))))</f>
        <v/>
      </c>
      <c r="AM399" s="47">
        <f>IF(AND(C399&lt;&gt;"",N(AB399)&gt;0,D399&lt;&gt;"Perdu"),AB399+ROW()/100000,0)</f>
        <v/>
      </c>
      <c r="AN399" s="48">
        <f>IF(N(AF399)&gt;0,ROUND(AF399,0)+ROW()/1000000,0)</f>
        <v/>
      </c>
    </row>
    <row r="400" ht="18" customHeight="1">
      <c r="A400" s="39" t="n">
        <v>395</v>
      </c>
      <c r="B400" s="33">
        <f>IF(C400="","",IF(X400="À RENSEIGNER","GIC",X400)&amp;"-"&amp;TEXT(A400,"000"))</f>
        <v/>
      </c>
      <c r="C400" s="36" t="n"/>
      <c r="D400" s="34">
        <f>IF(C400="","",IF(U400="☑ Oui","Perdu",IF(AD400&lt;&gt;"","Client","Prospect")))</f>
        <v/>
      </c>
      <c r="E400" s="36" t="n"/>
      <c r="F400" s="36" t="n"/>
      <c r="G400" s="44" t="n"/>
      <c r="H400" s="44" t="n"/>
      <c r="I400" s="36" t="n"/>
      <c r="J400" s="36" t="n"/>
      <c r="K400" s="41" t="n"/>
      <c r="L400" s="41" t="n"/>
      <c r="M400" s="36" t="n"/>
      <c r="N400" s="36" t="n"/>
      <c r="O400" s="32" t="n"/>
      <c r="P400" s="36" t="n"/>
      <c r="Q400" s="36" t="n"/>
      <c r="R400" s="34">
        <f>IF(P400="","",IFERROR(VLOOKUP(P400,T_Produits,2,FALSE),""))</f>
        <v/>
      </c>
      <c r="S400" s="36" t="n"/>
      <c r="T400" s="43" t="n"/>
      <c r="U400" s="43" t="n"/>
      <c r="V400" s="36" t="n"/>
      <c r="W400" s="36" t="n"/>
      <c r="X400" s="33">
        <f>IF(C400="","",Commercial_Id)</f>
        <v/>
      </c>
      <c r="Y400" s="33">
        <f>IF(E400="","",IF(E400="Particulier / ménage","Particulier","Entreprise"))</f>
        <v/>
      </c>
      <c r="Z400" s="39">
        <f>IF(C400="","",COUNTIFS(VC_cle,AK400,VC_type,"Visite sur place"))</f>
        <v/>
      </c>
      <c r="AA400" s="46">
        <f>IF(AL400=0,"",IF(INT(AL400)=0,"",INT(AL400)))</f>
        <v/>
      </c>
      <c r="AB400" s="46">
        <f>IF(AL400=0,"",IF(INDEX(VC_actiondate,ROUND(MOD(AL400,1)*100000,0)-5)=0,"",INDEX(VC_actiondate,ROUND(MOD(AL400,1)*100000,0)-5)))</f>
        <v/>
      </c>
      <c r="AC400" s="33">
        <f>IF(AL400=0,"",INDEX(VC_actiontexte,ROUND(MOD(AL400,1)*100000,0)-5)&amp;"")</f>
        <v/>
      </c>
      <c r="AD400" s="46">
        <f>IF(C400="","",IF(COUNTIFS(Cmd_cle,AK400,Cmd_dateca,"&gt;0")=0,"",SMALL(INDEX(Cmd_dateca+(((Cmd_cle&lt;&gt;AK400)+(Cmd_dateca=0))&gt;0)*1000000,0),1)))</f>
        <v/>
      </c>
      <c r="AE400" s="46">
        <f>IF(C400="","",IF(COUNTIFS(Cmd_cle,AK400,Cmd_dateca,"&gt;0")=0,"",MAX(INDEX((Cmd_cle=AK400)*Cmd_dateca,0))))</f>
        <v/>
      </c>
      <c r="AF400" s="40">
        <f>IF(C400="","",SUMIFS(Cmd_montant,Cmd_cle,AK400,Cmd_dateca,"&gt;0"))</f>
        <v/>
      </c>
      <c r="AG400" s="40">
        <f>IF(C400="","",SUMIFS(Enc_montant,Enc_cle,AK400))</f>
        <v/>
      </c>
      <c r="AH400" s="40">
        <f>IF(C400="","",AF400-AG400)</f>
        <v/>
      </c>
      <c r="AI400" s="33">
        <f>IF(C400="","",IF(D400="Perdu","",IF(AND(AB400&lt;&gt;"",N(AB400)&lt;TODAY()),"Action en retard",IF(AND(D400="Client",AE400&lt;&gt;"",TODAY()-N(AE400)&gt;P_JoursInactif),"Client inactif",IF(AND(D400="Prospect",Z400=0,O400&lt;&gt;"",TODAY()-N(O400)&gt;P_JoursNonVisite),"Jamais visité","")))))</f>
        <v/>
      </c>
      <c r="AJ400" s="33">
        <f>IF(C400="","",C400&amp;" ["&amp;TEXT(A400,"000")&amp;"]")</f>
        <v/>
      </c>
      <c r="AK400" s="33">
        <f>IF(C400="","",X400&amp;"|"&amp;A400)</f>
        <v/>
      </c>
      <c r="AL400" s="47">
        <f>IF(C400="",0,IF(COUNTIFS(VC_cle,AK400)=0,0,MAX(INDEX((VC_cle=AK400)*(VC_date+ROW(VC_date)/100000),0))))</f>
        <v/>
      </c>
      <c r="AM400" s="47">
        <f>IF(AND(C400&lt;&gt;"",N(AB400)&gt;0,D400&lt;&gt;"Perdu"),AB400+ROW()/100000,0)</f>
        <v/>
      </c>
      <c r="AN400" s="48">
        <f>IF(N(AF400)&gt;0,ROUND(AF400,0)+ROW()/1000000,0)</f>
        <v/>
      </c>
    </row>
    <row r="401" ht="18" customHeight="1">
      <c r="A401" s="39" t="n">
        <v>396</v>
      </c>
      <c r="B401" s="33">
        <f>IF(C401="","",IF(X401="À RENSEIGNER","GIC",X401)&amp;"-"&amp;TEXT(A401,"000"))</f>
        <v/>
      </c>
      <c r="C401" s="36" t="n"/>
      <c r="D401" s="34">
        <f>IF(C401="","",IF(U401="☑ Oui","Perdu",IF(AD401&lt;&gt;"","Client","Prospect")))</f>
        <v/>
      </c>
      <c r="E401" s="36" t="n"/>
      <c r="F401" s="36" t="n"/>
      <c r="G401" s="44" t="n"/>
      <c r="H401" s="44" t="n"/>
      <c r="I401" s="36" t="n"/>
      <c r="J401" s="36" t="n"/>
      <c r="K401" s="41" t="n"/>
      <c r="L401" s="41" t="n"/>
      <c r="M401" s="36" t="n"/>
      <c r="N401" s="36" t="n"/>
      <c r="O401" s="32" t="n"/>
      <c r="P401" s="36" t="n"/>
      <c r="Q401" s="36" t="n"/>
      <c r="R401" s="34">
        <f>IF(P401="","",IFERROR(VLOOKUP(P401,T_Produits,2,FALSE),""))</f>
        <v/>
      </c>
      <c r="S401" s="36" t="n"/>
      <c r="T401" s="43" t="n"/>
      <c r="U401" s="43" t="n"/>
      <c r="V401" s="36" t="n"/>
      <c r="W401" s="36" t="n"/>
      <c r="X401" s="33">
        <f>IF(C401="","",Commercial_Id)</f>
        <v/>
      </c>
      <c r="Y401" s="33">
        <f>IF(E401="","",IF(E401="Particulier / ménage","Particulier","Entreprise"))</f>
        <v/>
      </c>
      <c r="Z401" s="39">
        <f>IF(C401="","",COUNTIFS(VC_cle,AK401,VC_type,"Visite sur place"))</f>
        <v/>
      </c>
      <c r="AA401" s="46">
        <f>IF(AL401=0,"",IF(INT(AL401)=0,"",INT(AL401)))</f>
        <v/>
      </c>
      <c r="AB401" s="46">
        <f>IF(AL401=0,"",IF(INDEX(VC_actiondate,ROUND(MOD(AL401,1)*100000,0)-5)=0,"",INDEX(VC_actiondate,ROUND(MOD(AL401,1)*100000,0)-5)))</f>
        <v/>
      </c>
      <c r="AC401" s="33">
        <f>IF(AL401=0,"",INDEX(VC_actiontexte,ROUND(MOD(AL401,1)*100000,0)-5)&amp;"")</f>
        <v/>
      </c>
      <c r="AD401" s="46">
        <f>IF(C401="","",IF(COUNTIFS(Cmd_cle,AK401,Cmd_dateca,"&gt;0")=0,"",SMALL(INDEX(Cmd_dateca+(((Cmd_cle&lt;&gt;AK401)+(Cmd_dateca=0))&gt;0)*1000000,0),1)))</f>
        <v/>
      </c>
      <c r="AE401" s="46">
        <f>IF(C401="","",IF(COUNTIFS(Cmd_cle,AK401,Cmd_dateca,"&gt;0")=0,"",MAX(INDEX((Cmd_cle=AK401)*Cmd_dateca,0))))</f>
        <v/>
      </c>
      <c r="AF401" s="40">
        <f>IF(C401="","",SUMIFS(Cmd_montant,Cmd_cle,AK401,Cmd_dateca,"&gt;0"))</f>
        <v/>
      </c>
      <c r="AG401" s="40">
        <f>IF(C401="","",SUMIFS(Enc_montant,Enc_cle,AK401))</f>
        <v/>
      </c>
      <c r="AH401" s="40">
        <f>IF(C401="","",AF401-AG401)</f>
        <v/>
      </c>
      <c r="AI401" s="33">
        <f>IF(C401="","",IF(D401="Perdu","",IF(AND(AB401&lt;&gt;"",N(AB401)&lt;TODAY()),"Action en retard",IF(AND(D401="Client",AE401&lt;&gt;"",TODAY()-N(AE401)&gt;P_JoursInactif),"Client inactif",IF(AND(D401="Prospect",Z401=0,O401&lt;&gt;"",TODAY()-N(O401)&gt;P_JoursNonVisite),"Jamais visité","")))))</f>
        <v/>
      </c>
      <c r="AJ401" s="33">
        <f>IF(C401="","",C401&amp;" ["&amp;TEXT(A401,"000")&amp;"]")</f>
        <v/>
      </c>
      <c r="AK401" s="33">
        <f>IF(C401="","",X401&amp;"|"&amp;A401)</f>
        <v/>
      </c>
      <c r="AL401" s="47">
        <f>IF(C401="",0,IF(COUNTIFS(VC_cle,AK401)=0,0,MAX(INDEX((VC_cle=AK401)*(VC_date+ROW(VC_date)/100000),0))))</f>
        <v/>
      </c>
      <c r="AM401" s="47">
        <f>IF(AND(C401&lt;&gt;"",N(AB401)&gt;0,D401&lt;&gt;"Perdu"),AB401+ROW()/100000,0)</f>
        <v/>
      </c>
      <c r="AN401" s="48">
        <f>IF(N(AF401)&gt;0,ROUND(AF401,0)+ROW()/1000000,0)</f>
        <v/>
      </c>
    </row>
    <row r="402" ht="18" customHeight="1">
      <c r="A402" s="39" t="n">
        <v>397</v>
      </c>
      <c r="B402" s="33">
        <f>IF(C402="","",IF(X402="À RENSEIGNER","GIC",X402)&amp;"-"&amp;TEXT(A402,"000"))</f>
        <v/>
      </c>
      <c r="C402" s="36" t="n"/>
      <c r="D402" s="34">
        <f>IF(C402="","",IF(U402="☑ Oui","Perdu",IF(AD402&lt;&gt;"","Client","Prospect")))</f>
        <v/>
      </c>
      <c r="E402" s="36" t="n"/>
      <c r="F402" s="36" t="n"/>
      <c r="G402" s="44" t="n"/>
      <c r="H402" s="44" t="n"/>
      <c r="I402" s="36" t="n"/>
      <c r="J402" s="36" t="n"/>
      <c r="K402" s="41" t="n"/>
      <c r="L402" s="41" t="n"/>
      <c r="M402" s="36" t="n"/>
      <c r="N402" s="36" t="n"/>
      <c r="O402" s="32" t="n"/>
      <c r="P402" s="36" t="n"/>
      <c r="Q402" s="36" t="n"/>
      <c r="R402" s="34">
        <f>IF(P402="","",IFERROR(VLOOKUP(P402,T_Produits,2,FALSE),""))</f>
        <v/>
      </c>
      <c r="S402" s="36" t="n"/>
      <c r="T402" s="43" t="n"/>
      <c r="U402" s="43" t="n"/>
      <c r="V402" s="36" t="n"/>
      <c r="W402" s="36" t="n"/>
      <c r="X402" s="33">
        <f>IF(C402="","",Commercial_Id)</f>
        <v/>
      </c>
      <c r="Y402" s="33">
        <f>IF(E402="","",IF(E402="Particulier / ménage","Particulier","Entreprise"))</f>
        <v/>
      </c>
      <c r="Z402" s="39">
        <f>IF(C402="","",COUNTIFS(VC_cle,AK402,VC_type,"Visite sur place"))</f>
        <v/>
      </c>
      <c r="AA402" s="46">
        <f>IF(AL402=0,"",IF(INT(AL402)=0,"",INT(AL402)))</f>
        <v/>
      </c>
      <c r="AB402" s="46">
        <f>IF(AL402=0,"",IF(INDEX(VC_actiondate,ROUND(MOD(AL402,1)*100000,0)-5)=0,"",INDEX(VC_actiondate,ROUND(MOD(AL402,1)*100000,0)-5)))</f>
        <v/>
      </c>
      <c r="AC402" s="33">
        <f>IF(AL402=0,"",INDEX(VC_actiontexte,ROUND(MOD(AL402,1)*100000,0)-5)&amp;"")</f>
        <v/>
      </c>
      <c r="AD402" s="46">
        <f>IF(C402="","",IF(COUNTIFS(Cmd_cle,AK402,Cmd_dateca,"&gt;0")=0,"",SMALL(INDEX(Cmd_dateca+(((Cmd_cle&lt;&gt;AK402)+(Cmd_dateca=0))&gt;0)*1000000,0),1)))</f>
        <v/>
      </c>
      <c r="AE402" s="46">
        <f>IF(C402="","",IF(COUNTIFS(Cmd_cle,AK402,Cmd_dateca,"&gt;0")=0,"",MAX(INDEX((Cmd_cle=AK402)*Cmd_dateca,0))))</f>
        <v/>
      </c>
      <c r="AF402" s="40">
        <f>IF(C402="","",SUMIFS(Cmd_montant,Cmd_cle,AK402,Cmd_dateca,"&gt;0"))</f>
        <v/>
      </c>
      <c r="AG402" s="40">
        <f>IF(C402="","",SUMIFS(Enc_montant,Enc_cle,AK402))</f>
        <v/>
      </c>
      <c r="AH402" s="40">
        <f>IF(C402="","",AF402-AG402)</f>
        <v/>
      </c>
      <c r="AI402" s="33">
        <f>IF(C402="","",IF(D402="Perdu","",IF(AND(AB402&lt;&gt;"",N(AB402)&lt;TODAY()),"Action en retard",IF(AND(D402="Client",AE402&lt;&gt;"",TODAY()-N(AE402)&gt;P_JoursInactif),"Client inactif",IF(AND(D402="Prospect",Z402=0,O402&lt;&gt;"",TODAY()-N(O402)&gt;P_JoursNonVisite),"Jamais visité","")))))</f>
        <v/>
      </c>
      <c r="AJ402" s="33">
        <f>IF(C402="","",C402&amp;" ["&amp;TEXT(A402,"000")&amp;"]")</f>
        <v/>
      </c>
      <c r="AK402" s="33">
        <f>IF(C402="","",X402&amp;"|"&amp;A402)</f>
        <v/>
      </c>
      <c r="AL402" s="47">
        <f>IF(C402="",0,IF(COUNTIFS(VC_cle,AK402)=0,0,MAX(INDEX((VC_cle=AK402)*(VC_date+ROW(VC_date)/100000),0))))</f>
        <v/>
      </c>
      <c r="AM402" s="47">
        <f>IF(AND(C402&lt;&gt;"",N(AB402)&gt;0,D402&lt;&gt;"Perdu"),AB402+ROW()/100000,0)</f>
        <v/>
      </c>
      <c r="AN402" s="48">
        <f>IF(N(AF402)&gt;0,ROUND(AF402,0)+ROW()/1000000,0)</f>
        <v/>
      </c>
    </row>
    <row r="403" ht="18" customHeight="1">
      <c r="A403" s="39" t="n">
        <v>398</v>
      </c>
      <c r="B403" s="33">
        <f>IF(C403="","",IF(X403="À RENSEIGNER","GIC",X403)&amp;"-"&amp;TEXT(A403,"000"))</f>
        <v/>
      </c>
      <c r="C403" s="36" t="n"/>
      <c r="D403" s="34">
        <f>IF(C403="","",IF(U403="☑ Oui","Perdu",IF(AD403&lt;&gt;"","Client","Prospect")))</f>
        <v/>
      </c>
      <c r="E403" s="36" t="n"/>
      <c r="F403" s="36" t="n"/>
      <c r="G403" s="44" t="n"/>
      <c r="H403" s="44" t="n"/>
      <c r="I403" s="36" t="n"/>
      <c r="J403" s="36" t="n"/>
      <c r="K403" s="41" t="n"/>
      <c r="L403" s="41" t="n"/>
      <c r="M403" s="36" t="n"/>
      <c r="N403" s="36" t="n"/>
      <c r="O403" s="32" t="n"/>
      <c r="P403" s="36" t="n"/>
      <c r="Q403" s="36" t="n"/>
      <c r="R403" s="34">
        <f>IF(P403="","",IFERROR(VLOOKUP(P403,T_Produits,2,FALSE),""))</f>
        <v/>
      </c>
      <c r="S403" s="36" t="n"/>
      <c r="T403" s="43" t="n"/>
      <c r="U403" s="43" t="n"/>
      <c r="V403" s="36" t="n"/>
      <c r="W403" s="36" t="n"/>
      <c r="X403" s="33">
        <f>IF(C403="","",Commercial_Id)</f>
        <v/>
      </c>
      <c r="Y403" s="33">
        <f>IF(E403="","",IF(E403="Particulier / ménage","Particulier","Entreprise"))</f>
        <v/>
      </c>
      <c r="Z403" s="39">
        <f>IF(C403="","",COUNTIFS(VC_cle,AK403,VC_type,"Visite sur place"))</f>
        <v/>
      </c>
      <c r="AA403" s="46">
        <f>IF(AL403=0,"",IF(INT(AL403)=0,"",INT(AL403)))</f>
        <v/>
      </c>
      <c r="AB403" s="46">
        <f>IF(AL403=0,"",IF(INDEX(VC_actiondate,ROUND(MOD(AL403,1)*100000,0)-5)=0,"",INDEX(VC_actiondate,ROUND(MOD(AL403,1)*100000,0)-5)))</f>
        <v/>
      </c>
      <c r="AC403" s="33">
        <f>IF(AL403=0,"",INDEX(VC_actiontexte,ROUND(MOD(AL403,1)*100000,0)-5)&amp;"")</f>
        <v/>
      </c>
      <c r="AD403" s="46">
        <f>IF(C403="","",IF(COUNTIFS(Cmd_cle,AK403,Cmd_dateca,"&gt;0")=0,"",SMALL(INDEX(Cmd_dateca+(((Cmd_cle&lt;&gt;AK403)+(Cmd_dateca=0))&gt;0)*1000000,0),1)))</f>
        <v/>
      </c>
      <c r="AE403" s="46">
        <f>IF(C403="","",IF(COUNTIFS(Cmd_cle,AK403,Cmd_dateca,"&gt;0")=0,"",MAX(INDEX((Cmd_cle=AK403)*Cmd_dateca,0))))</f>
        <v/>
      </c>
      <c r="AF403" s="40">
        <f>IF(C403="","",SUMIFS(Cmd_montant,Cmd_cle,AK403,Cmd_dateca,"&gt;0"))</f>
        <v/>
      </c>
      <c r="AG403" s="40">
        <f>IF(C403="","",SUMIFS(Enc_montant,Enc_cle,AK403))</f>
        <v/>
      </c>
      <c r="AH403" s="40">
        <f>IF(C403="","",AF403-AG403)</f>
        <v/>
      </c>
      <c r="AI403" s="33">
        <f>IF(C403="","",IF(D403="Perdu","",IF(AND(AB403&lt;&gt;"",N(AB403)&lt;TODAY()),"Action en retard",IF(AND(D403="Client",AE403&lt;&gt;"",TODAY()-N(AE403)&gt;P_JoursInactif),"Client inactif",IF(AND(D403="Prospect",Z403=0,O403&lt;&gt;"",TODAY()-N(O403)&gt;P_JoursNonVisite),"Jamais visité","")))))</f>
        <v/>
      </c>
      <c r="AJ403" s="33">
        <f>IF(C403="","",C403&amp;" ["&amp;TEXT(A403,"000")&amp;"]")</f>
        <v/>
      </c>
      <c r="AK403" s="33">
        <f>IF(C403="","",X403&amp;"|"&amp;A403)</f>
        <v/>
      </c>
      <c r="AL403" s="47">
        <f>IF(C403="",0,IF(COUNTIFS(VC_cle,AK403)=0,0,MAX(INDEX((VC_cle=AK403)*(VC_date+ROW(VC_date)/100000),0))))</f>
        <v/>
      </c>
      <c r="AM403" s="47">
        <f>IF(AND(C403&lt;&gt;"",N(AB403)&gt;0,D403&lt;&gt;"Perdu"),AB403+ROW()/100000,0)</f>
        <v/>
      </c>
      <c r="AN403" s="48">
        <f>IF(N(AF403)&gt;0,ROUND(AF403,0)+ROW()/1000000,0)</f>
        <v/>
      </c>
    </row>
    <row r="404" ht="18" customHeight="1">
      <c r="A404" s="39" t="n">
        <v>399</v>
      </c>
      <c r="B404" s="33">
        <f>IF(C404="","",IF(X404="À RENSEIGNER","GIC",X404)&amp;"-"&amp;TEXT(A404,"000"))</f>
        <v/>
      </c>
      <c r="C404" s="36" t="n"/>
      <c r="D404" s="34">
        <f>IF(C404="","",IF(U404="☑ Oui","Perdu",IF(AD404&lt;&gt;"","Client","Prospect")))</f>
        <v/>
      </c>
      <c r="E404" s="36" t="n"/>
      <c r="F404" s="36" t="n"/>
      <c r="G404" s="44" t="n"/>
      <c r="H404" s="44" t="n"/>
      <c r="I404" s="36" t="n"/>
      <c r="J404" s="36" t="n"/>
      <c r="K404" s="41" t="n"/>
      <c r="L404" s="41" t="n"/>
      <c r="M404" s="36" t="n"/>
      <c r="N404" s="36" t="n"/>
      <c r="O404" s="32" t="n"/>
      <c r="P404" s="36" t="n"/>
      <c r="Q404" s="36" t="n"/>
      <c r="R404" s="34">
        <f>IF(P404="","",IFERROR(VLOOKUP(P404,T_Produits,2,FALSE),""))</f>
        <v/>
      </c>
      <c r="S404" s="36" t="n"/>
      <c r="T404" s="43" t="n"/>
      <c r="U404" s="43" t="n"/>
      <c r="V404" s="36" t="n"/>
      <c r="W404" s="36" t="n"/>
      <c r="X404" s="33">
        <f>IF(C404="","",Commercial_Id)</f>
        <v/>
      </c>
      <c r="Y404" s="33">
        <f>IF(E404="","",IF(E404="Particulier / ménage","Particulier","Entreprise"))</f>
        <v/>
      </c>
      <c r="Z404" s="39">
        <f>IF(C404="","",COUNTIFS(VC_cle,AK404,VC_type,"Visite sur place"))</f>
        <v/>
      </c>
      <c r="AA404" s="46">
        <f>IF(AL404=0,"",IF(INT(AL404)=0,"",INT(AL404)))</f>
        <v/>
      </c>
      <c r="AB404" s="46">
        <f>IF(AL404=0,"",IF(INDEX(VC_actiondate,ROUND(MOD(AL404,1)*100000,0)-5)=0,"",INDEX(VC_actiondate,ROUND(MOD(AL404,1)*100000,0)-5)))</f>
        <v/>
      </c>
      <c r="AC404" s="33">
        <f>IF(AL404=0,"",INDEX(VC_actiontexte,ROUND(MOD(AL404,1)*100000,0)-5)&amp;"")</f>
        <v/>
      </c>
      <c r="AD404" s="46">
        <f>IF(C404="","",IF(COUNTIFS(Cmd_cle,AK404,Cmd_dateca,"&gt;0")=0,"",SMALL(INDEX(Cmd_dateca+(((Cmd_cle&lt;&gt;AK404)+(Cmd_dateca=0))&gt;0)*1000000,0),1)))</f>
        <v/>
      </c>
      <c r="AE404" s="46">
        <f>IF(C404="","",IF(COUNTIFS(Cmd_cle,AK404,Cmd_dateca,"&gt;0")=0,"",MAX(INDEX((Cmd_cle=AK404)*Cmd_dateca,0))))</f>
        <v/>
      </c>
      <c r="AF404" s="40">
        <f>IF(C404="","",SUMIFS(Cmd_montant,Cmd_cle,AK404,Cmd_dateca,"&gt;0"))</f>
        <v/>
      </c>
      <c r="AG404" s="40">
        <f>IF(C404="","",SUMIFS(Enc_montant,Enc_cle,AK404))</f>
        <v/>
      </c>
      <c r="AH404" s="40">
        <f>IF(C404="","",AF404-AG404)</f>
        <v/>
      </c>
      <c r="AI404" s="33">
        <f>IF(C404="","",IF(D404="Perdu","",IF(AND(AB404&lt;&gt;"",N(AB404)&lt;TODAY()),"Action en retard",IF(AND(D404="Client",AE404&lt;&gt;"",TODAY()-N(AE404)&gt;P_JoursInactif),"Client inactif",IF(AND(D404="Prospect",Z404=0,O404&lt;&gt;"",TODAY()-N(O404)&gt;P_JoursNonVisite),"Jamais visité","")))))</f>
        <v/>
      </c>
      <c r="AJ404" s="33">
        <f>IF(C404="","",C404&amp;" ["&amp;TEXT(A404,"000")&amp;"]")</f>
        <v/>
      </c>
      <c r="AK404" s="33">
        <f>IF(C404="","",X404&amp;"|"&amp;A404)</f>
        <v/>
      </c>
      <c r="AL404" s="47">
        <f>IF(C404="",0,IF(COUNTIFS(VC_cle,AK404)=0,0,MAX(INDEX((VC_cle=AK404)*(VC_date+ROW(VC_date)/100000),0))))</f>
        <v/>
      </c>
      <c r="AM404" s="47">
        <f>IF(AND(C404&lt;&gt;"",N(AB404)&gt;0,D404&lt;&gt;"Perdu"),AB404+ROW()/100000,0)</f>
        <v/>
      </c>
      <c r="AN404" s="48">
        <f>IF(N(AF404)&gt;0,ROUND(AF404,0)+ROW()/1000000,0)</f>
        <v/>
      </c>
    </row>
    <row r="405" ht="18" customHeight="1">
      <c r="A405" s="39" t="n">
        <v>400</v>
      </c>
      <c r="B405" s="33">
        <f>IF(C405="","",IF(X405="À RENSEIGNER","GIC",X405)&amp;"-"&amp;TEXT(A405,"000"))</f>
        <v/>
      </c>
      <c r="C405" s="36" t="n"/>
      <c r="D405" s="34">
        <f>IF(C405="","",IF(U405="☑ Oui","Perdu",IF(AD405&lt;&gt;"","Client","Prospect")))</f>
        <v/>
      </c>
      <c r="E405" s="36" t="n"/>
      <c r="F405" s="36" t="n"/>
      <c r="G405" s="44" t="n"/>
      <c r="H405" s="44" t="n"/>
      <c r="I405" s="36" t="n"/>
      <c r="J405" s="36" t="n"/>
      <c r="K405" s="41" t="n"/>
      <c r="L405" s="41" t="n"/>
      <c r="M405" s="36" t="n"/>
      <c r="N405" s="36" t="n"/>
      <c r="O405" s="32" t="n"/>
      <c r="P405" s="36" t="n"/>
      <c r="Q405" s="36" t="n"/>
      <c r="R405" s="34">
        <f>IF(P405="","",IFERROR(VLOOKUP(P405,T_Produits,2,FALSE),""))</f>
        <v/>
      </c>
      <c r="S405" s="36" t="n"/>
      <c r="T405" s="43" t="n"/>
      <c r="U405" s="43" t="n"/>
      <c r="V405" s="36" t="n"/>
      <c r="W405" s="36" t="n"/>
      <c r="X405" s="33">
        <f>IF(C405="","",Commercial_Id)</f>
        <v/>
      </c>
      <c r="Y405" s="33">
        <f>IF(E405="","",IF(E405="Particulier / ménage","Particulier","Entreprise"))</f>
        <v/>
      </c>
      <c r="Z405" s="39">
        <f>IF(C405="","",COUNTIFS(VC_cle,AK405,VC_type,"Visite sur place"))</f>
        <v/>
      </c>
      <c r="AA405" s="46">
        <f>IF(AL405=0,"",IF(INT(AL405)=0,"",INT(AL405)))</f>
        <v/>
      </c>
      <c r="AB405" s="46">
        <f>IF(AL405=0,"",IF(INDEX(VC_actiondate,ROUND(MOD(AL405,1)*100000,0)-5)=0,"",INDEX(VC_actiondate,ROUND(MOD(AL405,1)*100000,0)-5)))</f>
        <v/>
      </c>
      <c r="AC405" s="33">
        <f>IF(AL405=0,"",INDEX(VC_actiontexte,ROUND(MOD(AL405,1)*100000,0)-5)&amp;"")</f>
        <v/>
      </c>
      <c r="AD405" s="46">
        <f>IF(C405="","",IF(COUNTIFS(Cmd_cle,AK405,Cmd_dateca,"&gt;0")=0,"",SMALL(INDEX(Cmd_dateca+(((Cmd_cle&lt;&gt;AK405)+(Cmd_dateca=0))&gt;0)*1000000,0),1)))</f>
        <v/>
      </c>
      <c r="AE405" s="46">
        <f>IF(C405="","",IF(COUNTIFS(Cmd_cle,AK405,Cmd_dateca,"&gt;0")=0,"",MAX(INDEX((Cmd_cle=AK405)*Cmd_dateca,0))))</f>
        <v/>
      </c>
      <c r="AF405" s="40">
        <f>IF(C405="","",SUMIFS(Cmd_montant,Cmd_cle,AK405,Cmd_dateca,"&gt;0"))</f>
        <v/>
      </c>
      <c r="AG405" s="40">
        <f>IF(C405="","",SUMIFS(Enc_montant,Enc_cle,AK405))</f>
        <v/>
      </c>
      <c r="AH405" s="40">
        <f>IF(C405="","",AF405-AG405)</f>
        <v/>
      </c>
      <c r="AI405" s="33">
        <f>IF(C405="","",IF(D405="Perdu","",IF(AND(AB405&lt;&gt;"",N(AB405)&lt;TODAY()),"Action en retard",IF(AND(D405="Client",AE405&lt;&gt;"",TODAY()-N(AE405)&gt;P_JoursInactif),"Client inactif",IF(AND(D405="Prospect",Z405=0,O405&lt;&gt;"",TODAY()-N(O405)&gt;P_JoursNonVisite),"Jamais visité","")))))</f>
        <v/>
      </c>
      <c r="AJ405" s="33">
        <f>IF(C405="","",C405&amp;" ["&amp;TEXT(A405,"000")&amp;"]")</f>
        <v/>
      </c>
      <c r="AK405" s="33">
        <f>IF(C405="","",X405&amp;"|"&amp;A405)</f>
        <v/>
      </c>
      <c r="AL405" s="47">
        <f>IF(C405="",0,IF(COUNTIFS(VC_cle,AK405)=0,0,MAX(INDEX((VC_cle=AK405)*(VC_date+ROW(VC_date)/100000),0))))</f>
        <v/>
      </c>
      <c r="AM405" s="47">
        <f>IF(AND(C405&lt;&gt;"",N(AB405)&gt;0,D405&lt;&gt;"Perdu"),AB405+ROW()/100000,0)</f>
        <v/>
      </c>
      <c r="AN405" s="48">
        <f>IF(N(AF405)&gt;0,ROUND(AF405,0)+ROW()/1000000,0)</f>
        <v/>
      </c>
    </row>
    <row r="406" ht="18" customHeight="1">
      <c r="A406" s="39" t="n">
        <v>401</v>
      </c>
      <c r="B406" s="33">
        <f>IF(C406="","",IF(X406="À RENSEIGNER","GIC",X406)&amp;"-"&amp;TEXT(A406,"000"))</f>
        <v/>
      </c>
      <c r="C406" s="36" t="n"/>
      <c r="D406" s="34">
        <f>IF(C406="","",IF(U406="☑ Oui","Perdu",IF(AD406&lt;&gt;"","Client","Prospect")))</f>
        <v/>
      </c>
      <c r="E406" s="36" t="n"/>
      <c r="F406" s="36" t="n"/>
      <c r="G406" s="44" t="n"/>
      <c r="H406" s="44" t="n"/>
      <c r="I406" s="36" t="n"/>
      <c r="J406" s="36" t="n"/>
      <c r="K406" s="41" t="n"/>
      <c r="L406" s="41" t="n"/>
      <c r="M406" s="36" t="n"/>
      <c r="N406" s="36" t="n"/>
      <c r="O406" s="32" t="n"/>
      <c r="P406" s="36" t="n"/>
      <c r="Q406" s="36" t="n"/>
      <c r="R406" s="34">
        <f>IF(P406="","",IFERROR(VLOOKUP(P406,T_Produits,2,FALSE),""))</f>
        <v/>
      </c>
      <c r="S406" s="36" t="n"/>
      <c r="T406" s="43" t="n"/>
      <c r="U406" s="43" t="n"/>
      <c r="V406" s="36" t="n"/>
      <c r="W406" s="36" t="n"/>
      <c r="X406" s="33">
        <f>IF(C406="","",Commercial_Id)</f>
        <v/>
      </c>
      <c r="Y406" s="33">
        <f>IF(E406="","",IF(E406="Particulier / ménage","Particulier","Entreprise"))</f>
        <v/>
      </c>
      <c r="Z406" s="39">
        <f>IF(C406="","",COUNTIFS(VC_cle,AK406,VC_type,"Visite sur place"))</f>
        <v/>
      </c>
      <c r="AA406" s="46">
        <f>IF(AL406=0,"",IF(INT(AL406)=0,"",INT(AL406)))</f>
        <v/>
      </c>
      <c r="AB406" s="46">
        <f>IF(AL406=0,"",IF(INDEX(VC_actiondate,ROUND(MOD(AL406,1)*100000,0)-5)=0,"",INDEX(VC_actiondate,ROUND(MOD(AL406,1)*100000,0)-5)))</f>
        <v/>
      </c>
      <c r="AC406" s="33">
        <f>IF(AL406=0,"",INDEX(VC_actiontexte,ROUND(MOD(AL406,1)*100000,0)-5)&amp;"")</f>
        <v/>
      </c>
      <c r="AD406" s="46">
        <f>IF(C406="","",IF(COUNTIFS(Cmd_cle,AK406,Cmd_dateca,"&gt;0")=0,"",SMALL(INDEX(Cmd_dateca+(((Cmd_cle&lt;&gt;AK406)+(Cmd_dateca=0))&gt;0)*1000000,0),1)))</f>
        <v/>
      </c>
      <c r="AE406" s="46">
        <f>IF(C406="","",IF(COUNTIFS(Cmd_cle,AK406,Cmd_dateca,"&gt;0")=0,"",MAX(INDEX((Cmd_cle=AK406)*Cmd_dateca,0))))</f>
        <v/>
      </c>
      <c r="AF406" s="40">
        <f>IF(C406="","",SUMIFS(Cmd_montant,Cmd_cle,AK406,Cmd_dateca,"&gt;0"))</f>
        <v/>
      </c>
      <c r="AG406" s="40">
        <f>IF(C406="","",SUMIFS(Enc_montant,Enc_cle,AK406))</f>
        <v/>
      </c>
      <c r="AH406" s="40">
        <f>IF(C406="","",AF406-AG406)</f>
        <v/>
      </c>
      <c r="AI406" s="33">
        <f>IF(C406="","",IF(D406="Perdu","",IF(AND(AB406&lt;&gt;"",N(AB406)&lt;TODAY()),"Action en retard",IF(AND(D406="Client",AE406&lt;&gt;"",TODAY()-N(AE406)&gt;P_JoursInactif),"Client inactif",IF(AND(D406="Prospect",Z406=0,O406&lt;&gt;"",TODAY()-N(O406)&gt;P_JoursNonVisite),"Jamais visité","")))))</f>
        <v/>
      </c>
      <c r="AJ406" s="33">
        <f>IF(C406="","",C406&amp;" ["&amp;TEXT(A406,"000")&amp;"]")</f>
        <v/>
      </c>
      <c r="AK406" s="33">
        <f>IF(C406="","",X406&amp;"|"&amp;A406)</f>
        <v/>
      </c>
      <c r="AL406" s="47">
        <f>IF(C406="",0,IF(COUNTIFS(VC_cle,AK406)=0,0,MAX(INDEX((VC_cle=AK406)*(VC_date+ROW(VC_date)/100000),0))))</f>
        <v/>
      </c>
      <c r="AM406" s="47">
        <f>IF(AND(C406&lt;&gt;"",N(AB406)&gt;0,D406&lt;&gt;"Perdu"),AB406+ROW()/100000,0)</f>
        <v/>
      </c>
      <c r="AN406" s="48">
        <f>IF(N(AF406)&gt;0,ROUND(AF406,0)+ROW()/1000000,0)</f>
        <v/>
      </c>
    </row>
    <row r="407" ht="18" customHeight="1">
      <c r="A407" s="39" t="n">
        <v>402</v>
      </c>
      <c r="B407" s="33">
        <f>IF(C407="","",IF(X407="À RENSEIGNER","GIC",X407)&amp;"-"&amp;TEXT(A407,"000"))</f>
        <v/>
      </c>
      <c r="C407" s="36" t="n"/>
      <c r="D407" s="34">
        <f>IF(C407="","",IF(U407="☑ Oui","Perdu",IF(AD407&lt;&gt;"","Client","Prospect")))</f>
        <v/>
      </c>
      <c r="E407" s="36" t="n"/>
      <c r="F407" s="36" t="n"/>
      <c r="G407" s="44" t="n"/>
      <c r="H407" s="44" t="n"/>
      <c r="I407" s="36" t="n"/>
      <c r="J407" s="36" t="n"/>
      <c r="K407" s="41" t="n"/>
      <c r="L407" s="41" t="n"/>
      <c r="M407" s="36" t="n"/>
      <c r="N407" s="36" t="n"/>
      <c r="O407" s="32" t="n"/>
      <c r="P407" s="36" t="n"/>
      <c r="Q407" s="36" t="n"/>
      <c r="R407" s="34">
        <f>IF(P407="","",IFERROR(VLOOKUP(P407,T_Produits,2,FALSE),""))</f>
        <v/>
      </c>
      <c r="S407" s="36" t="n"/>
      <c r="T407" s="43" t="n"/>
      <c r="U407" s="43" t="n"/>
      <c r="V407" s="36" t="n"/>
      <c r="W407" s="36" t="n"/>
      <c r="X407" s="33">
        <f>IF(C407="","",Commercial_Id)</f>
        <v/>
      </c>
      <c r="Y407" s="33">
        <f>IF(E407="","",IF(E407="Particulier / ménage","Particulier","Entreprise"))</f>
        <v/>
      </c>
      <c r="Z407" s="39">
        <f>IF(C407="","",COUNTIFS(VC_cle,AK407,VC_type,"Visite sur place"))</f>
        <v/>
      </c>
      <c r="AA407" s="46">
        <f>IF(AL407=0,"",IF(INT(AL407)=0,"",INT(AL407)))</f>
        <v/>
      </c>
      <c r="AB407" s="46">
        <f>IF(AL407=0,"",IF(INDEX(VC_actiondate,ROUND(MOD(AL407,1)*100000,0)-5)=0,"",INDEX(VC_actiondate,ROUND(MOD(AL407,1)*100000,0)-5)))</f>
        <v/>
      </c>
      <c r="AC407" s="33">
        <f>IF(AL407=0,"",INDEX(VC_actiontexte,ROUND(MOD(AL407,1)*100000,0)-5)&amp;"")</f>
        <v/>
      </c>
      <c r="AD407" s="46">
        <f>IF(C407="","",IF(COUNTIFS(Cmd_cle,AK407,Cmd_dateca,"&gt;0")=0,"",SMALL(INDEX(Cmd_dateca+(((Cmd_cle&lt;&gt;AK407)+(Cmd_dateca=0))&gt;0)*1000000,0),1)))</f>
        <v/>
      </c>
      <c r="AE407" s="46">
        <f>IF(C407="","",IF(COUNTIFS(Cmd_cle,AK407,Cmd_dateca,"&gt;0")=0,"",MAX(INDEX((Cmd_cle=AK407)*Cmd_dateca,0))))</f>
        <v/>
      </c>
      <c r="AF407" s="40">
        <f>IF(C407="","",SUMIFS(Cmd_montant,Cmd_cle,AK407,Cmd_dateca,"&gt;0"))</f>
        <v/>
      </c>
      <c r="AG407" s="40">
        <f>IF(C407="","",SUMIFS(Enc_montant,Enc_cle,AK407))</f>
        <v/>
      </c>
      <c r="AH407" s="40">
        <f>IF(C407="","",AF407-AG407)</f>
        <v/>
      </c>
      <c r="AI407" s="33">
        <f>IF(C407="","",IF(D407="Perdu","",IF(AND(AB407&lt;&gt;"",N(AB407)&lt;TODAY()),"Action en retard",IF(AND(D407="Client",AE407&lt;&gt;"",TODAY()-N(AE407)&gt;P_JoursInactif),"Client inactif",IF(AND(D407="Prospect",Z407=0,O407&lt;&gt;"",TODAY()-N(O407)&gt;P_JoursNonVisite),"Jamais visité","")))))</f>
        <v/>
      </c>
      <c r="AJ407" s="33">
        <f>IF(C407="","",C407&amp;" ["&amp;TEXT(A407,"000")&amp;"]")</f>
        <v/>
      </c>
      <c r="AK407" s="33">
        <f>IF(C407="","",X407&amp;"|"&amp;A407)</f>
        <v/>
      </c>
      <c r="AL407" s="47">
        <f>IF(C407="",0,IF(COUNTIFS(VC_cle,AK407)=0,0,MAX(INDEX((VC_cle=AK407)*(VC_date+ROW(VC_date)/100000),0))))</f>
        <v/>
      </c>
      <c r="AM407" s="47">
        <f>IF(AND(C407&lt;&gt;"",N(AB407)&gt;0,D407&lt;&gt;"Perdu"),AB407+ROW()/100000,0)</f>
        <v/>
      </c>
      <c r="AN407" s="48">
        <f>IF(N(AF407)&gt;0,ROUND(AF407,0)+ROW()/1000000,0)</f>
        <v/>
      </c>
    </row>
    <row r="408" ht="18" customHeight="1">
      <c r="A408" s="39" t="n">
        <v>403</v>
      </c>
      <c r="B408" s="33">
        <f>IF(C408="","",IF(X408="À RENSEIGNER","GIC",X408)&amp;"-"&amp;TEXT(A408,"000"))</f>
        <v/>
      </c>
      <c r="C408" s="36" t="n"/>
      <c r="D408" s="34">
        <f>IF(C408="","",IF(U408="☑ Oui","Perdu",IF(AD408&lt;&gt;"","Client","Prospect")))</f>
        <v/>
      </c>
      <c r="E408" s="36" t="n"/>
      <c r="F408" s="36" t="n"/>
      <c r="G408" s="44" t="n"/>
      <c r="H408" s="44" t="n"/>
      <c r="I408" s="36" t="n"/>
      <c r="J408" s="36" t="n"/>
      <c r="K408" s="41" t="n"/>
      <c r="L408" s="41" t="n"/>
      <c r="M408" s="36" t="n"/>
      <c r="N408" s="36" t="n"/>
      <c r="O408" s="32" t="n"/>
      <c r="P408" s="36" t="n"/>
      <c r="Q408" s="36" t="n"/>
      <c r="R408" s="34">
        <f>IF(P408="","",IFERROR(VLOOKUP(P408,T_Produits,2,FALSE),""))</f>
        <v/>
      </c>
      <c r="S408" s="36" t="n"/>
      <c r="T408" s="43" t="n"/>
      <c r="U408" s="43" t="n"/>
      <c r="V408" s="36" t="n"/>
      <c r="W408" s="36" t="n"/>
      <c r="X408" s="33">
        <f>IF(C408="","",Commercial_Id)</f>
        <v/>
      </c>
      <c r="Y408" s="33">
        <f>IF(E408="","",IF(E408="Particulier / ménage","Particulier","Entreprise"))</f>
        <v/>
      </c>
      <c r="Z408" s="39">
        <f>IF(C408="","",COUNTIFS(VC_cle,AK408,VC_type,"Visite sur place"))</f>
        <v/>
      </c>
      <c r="AA408" s="46">
        <f>IF(AL408=0,"",IF(INT(AL408)=0,"",INT(AL408)))</f>
        <v/>
      </c>
      <c r="AB408" s="46">
        <f>IF(AL408=0,"",IF(INDEX(VC_actiondate,ROUND(MOD(AL408,1)*100000,0)-5)=0,"",INDEX(VC_actiondate,ROUND(MOD(AL408,1)*100000,0)-5)))</f>
        <v/>
      </c>
      <c r="AC408" s="33">
        <f>IF(AL408=0,"",INDEX(VC_actiontexte,ROUND(MOD(AL408,1)*100000,0)-5)&amp;"")</f>
        <v/>
      </c>
      <c r="AD408" s="46">
        <f>IF(C408="","",IF(COUNTIFS(Cmd_cle,AK408,Cmd_dateca,"&gt;0")=0,"",SMALL(INDEX(Cmd_dateca+(((Cmd_cle&lt;&gt;AK408)+(Cmd_dateca=0))&gt;0)*1000000,0),1)))</f>
        <v/>
      </c>
      <c r="AE408" s="46">
        <f>IF(C408="","",IF(COUNTIFS(Cmd_cle,AK408,Cmd_dateca,"&gt;0")=0,"",MAX(INDEX((Cmd_cle=AK408)*Cmd_dateca,0))))</f>
        <v/>
      </c>
      <c r="AF408" s="40">
        <f>IF(C408="","",SUMIFS(Cmd_montant,Cmd_cle,AK408,Cmd_dateca,"&gt;0"))</f>
        <v/>
      </c>
      <c r="AG408" s="40">
        <f>IF(C408="","",SUMIFS(Enc_montant,Enc_cle,AK408))</f>
        <v/>
      </c>
      <c r="AH408" s="40">
        <f>IF(C408="","",AF408-AG408)</f>
        <v/>
      </c>
      <c r="AI408" s="33">
        <f>IF(C408="","",IF(D408="Perdu","",IF(AND(AB408&lt;&gt;"",N(AB408)&lt;TODAY()),"Action en retard",IF(AND(D408="Client",AE408&lt;&gt;"",TODAY()-N(AE408)&gt;P_JoursInactif),"Client inactif",IF(AND(D408="Prospect",Z408=0,O408&lt;&gt;"",TODAY()-N(O408)&gt;P_JoursNonVisite),"Jamais visité","")))))</f>
        <v/>
      </c>
      <c r="AJ408" s="33">
        <f>IF(C408="","",C408&amp;" ["&amp;TEXT(A408,"000")&amp;"]")</f>
        <v/>
      </c>
      <c r="AK408" s="33">
        <f>IF(C408="","",X408&amp;"|"&amp;A408)</f>
        <v/>
      </c>
      <c r="AL408" s="47">
        <f>IF(C408="",0,IF(COUNTIFS(VC_cle,AK408)=0,0,MAX(INDEX((VC_cle=AK408)*(VC_date+ROW(VC_date)/100000),0))))</f>
        <v/>
      </c>
      <c r="AM408" s="47">
        <f>IF(AND(C408&lt;&gt;"",N(AB408)&gt;0,D408&lt;&gt;"Perdu"),AB408+ROW()/100000,0)</f>
        <v/>
      </c>
      <c r="AN408" s="48">
        <f>IF(N(AF408)&gt;0,ROUND(AF408,0)+ROW()/1000000,0)</f>
        <v/>
      </c>
    </row>
    <row r="409" ht="18" customHeight="1">
      <c r="A409" s="39" t="n">
        <v>404</v>
      </c>
      <c r="B409" s="33">
        <f>IF(C409="","",IF(X409="À RENSEIGNER","GIC",X409)&amp;"-"&amp;TEXT(A409,"000"))</f>
        <v/>
      </c>
      <c r="C409" s="36" t="n"/>
      <c r="D409" s="34">
        <f>IF(C409="","",IF(U409="☑ Oui","Perdu",IF(AD409&lt;&gt;"","Client","Prospect")))</f>
        <v/>
      </c>
      <c r="E409" s="36" t="n"/>
      <c r="F409" s="36" t="n"/>
      <c r="G409" s="44" t="n"/>
      <c r="H409" s="44" t="n"/>
      <c r="I409" s="36" t="n"/>
      <c r="J409" s="36" t="n"/>
      <c r="K409" s="41" t="n"/>
      <c r="L409" s="41" t="n"/>
      <c r="M409" s="36" t="n"/>
      <c r="N409" s="36" t="n"/>
      <c r="O409" s="32" t="n"/>
      <c r="P409" s="36" t="n"/>
      <c r="Q409" s="36" t="n"/>
      <c r="R409" s="34">
        <f>IF(P409="","",IFERROR(VLOOKUP(P409,T_Produits,2,FALSE),""))</f>
        <v/>
      </c>
      <c r="S409" s="36" t="n"/>
      <c r="T409" s="43" t="n"/>
      <c r="U409" s="43" t="n"/>
      <c r="V409" s="36" t="n"/>
      <c r="W409" s="36" t="n"/>
      <c r="X409" s="33">
        <f>IF(C409="","",Commercial_Id)</f>
        <v/>
      </c>
      <c r="Y409" s="33">
        <f>IF(E409="","",IF(E409="Particulier / ménage","Particulier","Entreprise"))</f>
        <v/>
      </c>
      <c r="Z409" s="39">
        <f>IF(C409="","",COUNTIFS(VC_cle,AK409,VC_type,"Visite sur place"))</f>
        <v/>
      </c>
      <c r="AA409" s="46">
        <f>IF(AL409=0,"",IF(INT(AL409)=0,"",INT(AL409)))</f>
        <v/>
      </c>
      <c r="AB409" s="46">
        <f>IF(AL409=0,"",IF(INDEX(VC_actiondate,ROUND(MOD(AL409,1)*100000,0)-5)=0,"",INDEX(VC_actiondate,ROUND(MOD(AL409,1)*100000,0)-5)))</f>
        <v/>
      </c>
      <c r="AC409" s="33">
        <f>IF(AL409=0,"",INDEX(VC_actiontexte,ROUND(MOD(AL409,1)*100000,0)-5)&amp;"")</f>
        <v/>
      </c>
      <c r="AD409" s="46">
        <f>IF(C409="","",IF(COUNTIFS(Cmd_cle,AK409,Cmd_dateca,"&gt;0")=0,"",SMALL(INDEX(Cmd_dateca+(((Cmd_cle&lt;&gt;AK409)+(Cmd_dateca=0))&gt;0)*1000000,0),1)))</f>
        <v/>
      </c>
      <c r="AE409" s="46">
        <f>IF(C409="","",IF(COUNTIFS(Cmd_cle,AK409,Cmd_dateca,"&gt;0")=0,"",MAX(INDEX((Cmd_cle=AK409)*Cmd_dateca,0))))</f>
        <v/>
      </c>
      <c r="AF409" s="40">
        <f>IF(C409="","",SUMIFS(Cmd_montant,Cmd_cle,AK409,Cmd_dateca,"&gt;0"))</f>
        <v/>
      </c>
      <c r="AG409" s="40">
        <f>IF(C409="","",SUMIFS(Enc_montant,Enc_cle,AK409))</f>
        <v/>
      </c>
      <c r="AH409" s="40">
        <f>IF(C409="","",AF409-AG409)</f>
        <v/>
      </c>
      <c r="AI409" s="33">
        <f>IF(C409="","",IF(D409="Perdu","",IF(AND(AB409&lt;&gt;"",N(AB409)&lt;TODAY()),"Action en retard",IF(AND(D409="Client",AE409&lt;&gt;"",TODAY()-N(AE409)&gt;P_JoursInactif),"Client inactif",IF(AND(D409="Prospect",Z409=0,O409&lt;&gt;"",TODAY()-N(O409)&gt;P_JoursNonVisite),"Jamais visité","")))))</f>
        <v/>
      </c>
      <c r="AJ409" s="33">
        <f>IF(C409="","",C409&amp;" ["&amp;TEXT(A409,"000")&amp;"]")</f>
        <v/>
      </c>
      <c r="AK409" s="33">
        <f>IF(C409="","",X409&amp;"|"&amp;A409)</f>
        <v/>
      </c>
      <c r="AL409" s="47">
        <f>IF(C409="",0,IF(COUNTIFS(VC_cle,AK409)=0,0,MAX(INDEX((VC_cle=AK409)*(VC_date+ROW(VC_date)/100000),0))))</f>
        <v/>
      </c>
      <c r="AM409" s="47">
        <f>IF(AND(C409&lt;&gt;"",N(AB409)&gt;0,D409&lt;&gt;"Perdu"),AB409+ROW()/100000,0)</f>
        <v/>
      </c>
      <c r="AN409" s="48">
        <f>IF(N(AF409)&gt;0,ROUND(AF409,0)+ROW()/1000000,0)</f>
        <v/>
      </c>
    </row>
    <row r="410" ht="18" customHeight="1">
      <c r="A410" s="39" t="n">
        <v>405</v>
      </c>
      <c r="B410" s="33">
        <f>IF(C410="","",IF(X410="À RENSEIGNER","GIC",X410)&amp;"-"&amp;TEXT(A410,"000"))</f>
        <v/>
      </c>
      <c r="C410" s="36" t="n"/>
      <c r="D410" s="34">
        <f>IF(C410="","",IF(U410="☑ Oui","Perdu",IF(AD410&lt;&gt;"","Client","Prospect")))</f>
        <v/>
      </c>
      <c r="E410" s="36" t="n"/>
      <c r="F410" s="36" t="n"/>
      <c r="G410" s="44" t="n"/>
      <c r="H410" s="44" t="n"/>
      <c r="I410" s="36" t="n"/>
      <c r="J410" s="36" t="n"/>
      <c r="K410" s="41" t="n"/>
      <c r="L410" s="41" t="n"/>
      <c r="M410" s="36" t="n"/>
      <c r="N410" s="36" t="n"/>
      <c r="O410" s="32" t="n"/>
      <c r="P410" s="36" t="n"/>
      <c r="Q410" s="36" t="n"/>
      <c r="R410" s="34">
        <f>IF(P410="","",IFERROR(VLOOKUP(P410,T_Produits,2,FALSE),""))</f>
        <v/>
      </c>
      <c r="S410" s="36" t="n"/>
      <c r="T410" s="43" t="n"/>
      <c r="U410" s="43" t="n"/>
      <c r="V410" s="36" t="n"/>
      <c r="W410" s="36" t="n"/>
      <c r="X410" s="33">
        <f>IF(C410="","",Commercial_Id)</f>
        <v/>
      </c>
      <c r="Y410" s="33">
        <f>IF(E410="","",IF(E410="Particulier / ménage","Particulier","Entreprise"))</f>
        <v/>
      </c>
      <c r="Z410" s="39">
        <f>IF(C410="","",COUNTIFS(VC_cle,AK410,VC_type,"Visite sur place"))</f>
        <v/>
      </c>
      <c r="AA410" s="46">
        <f>IF(AL410=0,"",IF(INT(AL410)=0,"",INT(AL410)))</f>
        <v/>
      </c>
      <c r="AB410" s="46">
        <f>IF(AL410=0,"",IF(INDEX(VC_actiondate,ROUND(MOD(AL410,1)*100000,0)-5)=0,"",INDEX(VC_actiondate,ROUND(MOD(AL410,1)*100000,0)-5)))</f>
        <v/>
      </c>
      <c r="AC410" s="33">
        <f>IF(AL410=0,"",INDEX(VC_actiontexte,ROUND(MOD(AL410,1)*100000,0)-5)&amp;"")</f>
        <v/>
      </c>
      <c r="AD410" s="46">
        <f>IF(C410="","",IF(COUNTIFS(Cmd_cle,AK410,Cmd_dateca,"&gt;0")=0,"",SMALL(INDEX(Cmd_dateca+(((Cmd_cle&lt;&gt;AK410)+(Cmd_dateca=0))&gt;0)*1000000,0),1)))</f>
        <v/>
      </c>
      <c r="AE410" s="46">
        <f>IF(C410="","",IF(COUNTIFS(Cmd_cle,AK410,Cmd_dateca,"&gt;0")=0,"",MAX(INDEX((Cmd_cle=AK410)*Cmd_dateca,0))))</f>
        <v/>
      </c>
      <c r="AF410" s="40">
        <f>IF(C410="","",SUMIFS(Cmd_montant,Cmd_cle,AK410,Cmd_dateca,"&gt;0"))</f>
        <v/>
      </c>
      <c r="AG410" s="40">
        <f>IF(C410="","",SUMIFS(Enc_montant,Enc_cle,AK410))</f>
        <v/>
      </c>
      <c r="AH410" s="40">
        <f>IF(C410="","",AF410-AG410)</f>
        <v/>
      </c>
      <c r="AI410" s="33">
        <f>IF(C410="","",IF(D410="Perdu","",IF(AND(AB410&lt;&gt;"",N(AB410)&lt;TODAY()),"Action en retard",IF(AND(D410="Client",AE410&lt;&gt;"",TODAY()-N(AE410)&gt;P_JoursInactif),"Client inactif",IF(AND(D410="Prospect",Z410=0,O410&lt;&gt;"",TODAY()-N(O410)&gt;P_JoursNonVisite),"Jamais visité","")))))</f>
        <v/>
      </c>
      <c r="AJ410" s="33">
        <f>IF(C410="","",C410&amp;" ["&amp;TEXT(A410,"000")&amp;"]")</f>
        <v/>
      </c>
      <c r="AK410" s="33">
        <f>IF(C410="","",X410&amp;"|"&amp;A410)</f>
        <v/>
      </c>
      <c r="AL410" s="47">
        <f>IF(C410="",0,IF(COUNTIFS(VC_cle,AK410)=0,0,MAX(INDEX((VC_cle=AK410)*(VC_date+ROW(VC_date)/100000),0))))</f>
        <v/>
      </c>
      <c r="AM410" s="47">
        <f>IF(AND(C410&lt;&gt;"",N(AB410)&gt;0,D410&lt;&gt;"Perdu"),AB410+ROW()/100000,0)</f>
        <v/>
      </c>
      <c r="AN410" s="48">
        <f>IF(N(AF410)&gt;0,ROUND(AF410,0)+ROW()/1000000,0)</f>
        <v/>
      </c>
    </row>
    <row r="411" ht="18" customHeight="1">
      <c r="A411" s="39" t="n">
        <v>406</v>
      </c>
      <c r="B411" s="33">
        <f>IF(C411="","",IF(X411="À RENSEIGNER","GIC",X411)&amp;"-"&amp;TEXT(A411,"000"))</f>
        <v/>
      </c>
      <c r="C411" s="36" t="n"/>
      <c r="D411" s="34">
        <f>IF(C411="","",IF(U411="☑ Oui","Perdu",IF(AD411&lt;&gt;"","Client","Prospect")))</f>
        <v/>
      </c>
      <c r="E411" s="36" t="n"/>
      <c r="F411" s="36" t="n"/>
      <c r="G411" s="44" t="n"/>
      <c r="H411" s="44" t="n"/>
      <c r="I411" s="36" t="n"/>
      <c r="J411" s="36" t="n"/>
      <c r="K411" s="41" t="n"/>
      <c r="L411" s="41" t="n"/>
      <c r="M411" s="36" t="n"/>
      <c r="N411" s="36" t="n"/>
      <c r="O411" s="32" t="n"/>
      <c r="P411" s="36" t="n"/>
      <c r="Q411" s="36" t="n"/>
      <c r="R411" s="34">
        <f>IF(P411="","",IFERROR(VLOOKUP(P411,T_Produits,2,FALSE),""))</f>
        <v/>
      </c>
      <c r="S411" s="36" t="n"/>
      <c r="T411" s="43" t="n"/>
      <c r="U411" s="43" t="n"/>
      <c r="V411" s="36" t="n"/>
      <c r="W411" s="36" t="n"/>
      <c r="X411" s="33">
        <f>IF(C411="","",Commercial_Id)</f>
        <v/>
      </c>
      <c r="Y411" s="33">
        <f>IF(E411="","",IF(E411="Particulier / ménage","Particulier","Entreprise"))</f>
        <v/>
      </c>
      <c r="Z411" s="39">
        <f>IF(C411="","",COUNTIFS(VC_cle,AK411,VC_type,"Visite sur place"))</f>
        <v/>
      </c>
      <c r="AA411" s="46">
        <f>IF(AL411=0,"",IF(INT(AL411)=0,"",INT(AL411)))</f>
        <v/>
      </c>
      <c r="AB411" s="46">
        <f>IF(AL411=0,"",IF(INDEX(VC_actiondate,ROUND(MOD(AL411,1)*100000,0)-5)=0,"",INDEX(VC_actiondate,ROUND(MOD(AL411,1)*100000,0)-5)))</f>
        <v/>
      </c>
      <c r="AC411" s="33">
        <f>IF(AL411=0,"",INDEX(VC_actiontexte,ROUND(MOD(AL411,1)*100000,0)-5)&amp;"")</f>
        <v/>
      </c>
      <c r="AD411" s="46">
        <f>IF(C411="","",IF(COUNTIFS(Cmd_cle,AK411,Cmd_dateca,"&gt;0")=0,"",SMALL(INDEX(Cmd_dateca+(((Cmd_cle&lt;&gt;AK411)+(Cmd_dateca=0))&gt;0)*1000000,0),1)))</f>
        <v/>
      </c>
      <c r="AE411" s="46">
        <f>IF(C411="","",IF(COUNTIFS(Cmd_cle,AK411,Cmd_dateca,"&gt;0")=0,"",MAX(INDEX((Cmd_cle=AK411)*Cmd_dateca,0))))</f>
        <v/>
      </c>
      <c r="AF411" s="40">
        <f>IF(C411="","",SUMIFS(Cmd_montant,Cmd_cle,AK411,Cmd_dateca,"&gt;0"))</f>
        <v/>
      </c>
      <c r="AG411" s="40">
        <f>IF(C411="","",SUMIFS(Enc_montant,Enc_cle,AK411))</f>
        <v/>
      </c>
      <c r="AH411" s="40">
        <f>IF(C411="","",AF411-AG411)</f>
        <v/>
      </c>
      <c r="AI411" s="33">
        <f>IF(C411="","",IF(D411="Perdu","",IF(AND(AB411&lt;&gt;"",N(AB411)&lt;TODAY()),"Action en retard",IF(AND(D411="Client",AE411&lt;&gt;"",TODAY()-N(AE411)&gt;P_JoursInactif),"Client inactif",IF(AND(D411="Prospect",Z411=0,O411&lt;&gt;"",TODAY()-N(O411)&gt;P_JoursNonVisite),"Jamais visité","")))))</f>
        <v/>
      </c>
      <c r="AJ411" s="33">
        <f>IF(C411="","",C411&amp;" ["&amp;TEXT(A411,"000")&amp;"]")</f>
        <v/>
      </c>
      <c r="AK411" s="33">
        <f>IF(C411="","",X411&amp;"|"&amp;A411)</f>
        <v/>
      </c>
      <c r="AL411" s="47">
        <f>IF(C411="",0,IF(COUNTIFS(VC_cle,AK411)=0,0,MAX(INDEX((VC_cle=AK411)*(VC_date+ROW(VC_date)/100000),0))))</f>
        <v/>
      </c>
      <c r="AM411" s="47">
        <f>IF(AND(C411&lt;&gt;"",N(AB411)&gt;0,D411&lt;&gt;"Perdu"),AB411+ROW()/100000,0)</f>
        <v/>
      </c>
      <c r="AN411" s="48">
        <f>IF(N(AF411)&gt;0,ROUND(AF411,0)+ROW()/1000000,0)</f>
        <v/>
      </c>
    </row>
    <row r="412" ht="18" customHeight="1">
      <c r="A412" s="39" t="n">
        <v>407</v>
      </c>
      <c r="B412" s="33">
        <f>IF(C412="","",IF(X412="À RENSEIGNER","GIC",X412)&amp;"-"&amp;TEXT(A412,"000"))</f>
        <v/>
      </c>
      <c r="C412" s="36" t="n"/>
      <c r="D412" s="34">
        <f>IF(C412="","",IF(U412="☑ Oui","Perdu",IF(AD412&lt;&gt;"","Client","Prospect")))</f>
        <v/>
      </c>
      <c r="E412" s="36" t="n"/>
      <c r="F412" s="36" t="n"/>
      <c r="G412" s="44" t="n"/>
      <c r="H412" s="44" t="n"/>
      <c r="I412" s="36" t="n"/>
      <c r="J412" s="36" t="n"/>
      <c r="K412" s="41" t="n"/>
      <c r="L412" s="41" t="n"/>
      <c r="M412" s="36" t="n"/>
      <c r="N412" s="36" t="n"/>
      <c r="O412" s="32" t="n"/>
      <c r="P412" s="36" t="n"/>
      <c r="Q412" s="36" t="n"/>
      <c r="R412" s="34">
        <f>IF(P412="","",IFERROR(VLOOKUP(P412,T_Produits,2,FALSE),""))</f>
        <v/>
      </c>
      <c r="S412" s="36" t="n"/>
      <c r="T412" s="43" t="n"/>
      <c r="U412" s="43" t="n"/>
      <c r="V412" s="36" t="n"/>
      <c r="W412" s="36" t="n"/>
      <c r="X412" s="33">
        <f>IF(C412="","",Commercial_Id)</f>
        <v/>
      </c>
      <c r="Y412" s="33">
        <f>IF(E412="","",IF(E412="Particulier / ménage","Particulier","Entreprise"))</f>
        <v/>
      </c>
      <c r="Z412" s="39">
        <f>IF(C412="","",COUNTIFS(VC_cle,AK412,VC_type,"Visite sur place"))</f>
        <v/>
      </c>
      <c r="AA412" s="46">
        <f>IF(AL412=0,"",IF(INT(AL412)=0,"",INT(AL412)))</f>
        <v/>
      </c>
      <c r="AB412" s="46">
        <f>IF(AL412=0,"",IF(INDEX(VC_actiondate,ROUND(MOD(AL412,1)*100000,0)-5)=0,"",INDEX(VC_actiondate,ROUND(MOD(AL412,1)*100000,0)-5)))</f>
        <v/>
      </c>
      <c r="AC412" s="33">
        <f>IF(AL412=0,"",INDEX(VC_actiontexte,ROUND(MOD(AL412,1)*100000,0)-5)&amp;"")</f>
        <v/>
      </c>
      <c r="AD412" s="46">
        <f>IF(C412="","",IF(COUNTIFS(Cmd_cle,AK412,Cmd_dateca,"&gt;0")=0,"",SMALL(INDEX(Cmd_dateca+(((Cmd_cle&lt;&gt;AK412)+(Cmd_dateca=0))&gt;0)*1000000,0),1)))</f>
        <v/>
      </c>
      <c r="AE412" s="46">
        <f>IF(C412="","",IF(COUNTIFS(Cmd_cle,AK412,Cmd_dateca,"&gt;0")=0,"",MAX(INDEX((Cmd_cle=AK412)*Cmd_dateca,0))))</f>
        <v/>
      </c>
      <c r="AF412" s="40">
        <f>IF(C412="","",SUMIFS(Cmd_montant,Cmd_cle,AK412,Cmd_dateca,"&gt;0"))</f>
        <v/>
      </c>
      <c r="AG412" s="40">
        <f>IF(C412="","",SUMIFS(Enc_montant,Enc_cle,AK412))</f>
        <v/>
      </c>
      <c r="AH412" s="40">
        <f>IF(C412="","",AF412-AG412)</f>
        <v/>
      </c>
      <c r="AI412" s="33">
        <f>IF(C412="","",IF(D412="Perdu","",IF(AND(AB412&lt;&gt;"",N(AB412)&lt;TODAY()),"Action en retard",IF(AND(D412="Client",AE412&lt;&gt;"",TODAY()-N(AE412)&gt;P_JoursInactif),"Client inactif",IF(AND(D412="Prospect",Z412=0,O412&lt;&gt;"",TODAY()-N(O412)&gt;P_JoursNonVisite),"Jamais visité","")))))</f>
        <v/>
      </c>
      <c r="AJ412" s="33">
        <f>IF(C412="","",C412&amp;" ["&amp;TEXT(A412,"000")&amp;"]")</f>
        <v/>
      </c>
      <c r="AK412" s="33">
        <f>IF(C412="","",X412&amp;"|"&amp;A412)</f>
        <v/>
      </c>
      <c r="AL412" s="47">
        <f>IF(C412="",0,IF(COUNTIFS(VC_cle,AK412)=0,0,MAX(INDEX((VC_cle=AK412)*(VC_date+ROW(VC_date)/100000),0))))</f>
        <v/>
      </c>
      <c r="AM412" s="47">
        <f>IF(AND(C412&lt;&gt;"",N(AB412)&gt;0,D412&lt;&gt;"Perdu"),AB412+ROW()/100000,0)</f>
        <v/>
      </c>
      <c r="AN412" s="48">
        <f>IF(N(AF412)&gt;0,ROUND(AF412,0)+ROW()/1000000,0)</f>
        <v/>
      </c>
    </row>
    <row r="413" ht="18" customHeight="1">
      <c r="A413" s="39" t="n">
        <v>408</v>
      </c>
      <c r="B413" s="33">
        <f>IF(C413="","",IF(X413="À RENSEIGNER","GIC",X413)&amp;"-"&amp;TEXT(A413,"000"))</f>
        <v/>
      </c>
      <c r="C413" s="36" t="n"/>
      <c r="D413" s="34">
        <f>IF(C413="","",IF(U413="☑ Oui","Perdu",IF(AD413&lt;&gt;"","Client","Prospect")))</f>
        <v/>
      </c>
      <c r="E413" s="36" t="n"/>
      <c r="F413" s="36" t="n"/>
      <c r="G413" s="44" t="n"/>
      <c r="H413" s="44" t="n"/>
      <c r="I413" s="36" t="n"/>
      <c r="J413" s="36" t="n"/>
      <c r="K413" s="41" t="n"/>
      <c r="L413" s="41" t="n"/>
      <c r="M413" s="36" t="n"/>
      <c r="N413" s="36" t="n"/>
      <c r="O413" s="32" t="n"/>
      <c r="P413" s="36" t="n"/>
      <c r="Q413" s="36" t="n"/>
      <c r="R413" s="34">
        <f>IF(P413="","",IFERROR(VLOOKUP(P413,T_Produits,2,FALSE),""))</f>
        <v/>
      </c>
      <c r="S413" s="36" t="n"/>
      <c r="T413" s="43" t="n"/>
      <c r="U413" s="43" t="n"/>
      <c r="V413" s="36" t="n"/>
      <c r="W413" s="36" t="n"/>
      <c r="X413" s="33">
        <f>IF(C413="","",Commercial_Id)</f>
        <v/>
      </c>
      <c r="Y413" s="33">
        <f>IF(E413="","",IF(E413="Particulier / ménage","Particulier","Entreprise"))</f>
        <v/>
      </c>
      <c r="Z413" s="39">
        <f>IF(C413="","",COUNTIFS(VC_cle,AK413,VC_type,"Visite sur place"))</f>
        <v/>
      </c>
      <c r="AA413" s="46">
        <f>IF(AL413=0,"",IF(INT(AL413)=0,"",INT(AL413)))</f>
        <v/>
      </c>
      <c r="AB413" s="46">
        <f>IF(AL413=0,"",IF(INDEX(VC_actiondate,ROUND(MOD(AL413,1)*100000,0)-5)=0,"",INDEX(VC_actiondate,ROUND(MOD(AL413,1)*100000,0)-5)))</f>
        <v/>
      </c>
      <c r="AC413" s="33">
        <f>IF(AL413=0,"",INDEX(VC_actiontexte,ROUND(MOD(AL413,1)*100000,0)-5)&amp;"")</f>
        <v/>
      </c>
      <c r="AD413" s="46">
        <f>IF(C413="","",IF(COUNTIFS(Cmd_cle,AK413,Cmd_dateca,"&gt;0")=0,"",SMALL(INDEX(Cmd_dateca+(((Cmd_cle&lt;&gt;AK413)+(Cmd_dateca=0))&gt;0)*1000000,0),1)))</f>
        <v/>
      </c>
      <c r="AE413" s="46">
        <f>IF(C413="","",IF(COUNTIFS(Cmd_cle,AK413,Cmd_dateca,"&gt;0")=0,"",MAX(INDEX((Cmd_cle=AK413)*Cmd_dateca,0))))</f>
        <v/>
      </c>
      <c r="AF413" s="40">
        <f>IF(C413="","",SUMIFS(Cmd_montant,Cmd_cle,AK413,Cmd_dateca,"&gt;0"))</f>
        <v/>
      </c>
      <c r="AG413" s="40">
        <f>IF(C413="","",SUMIFS(Enc_montant,Enc_cle,AK413))</f>
        <v/>
      </c>
      <c r="AH413" s="40">
        <f>IF(C413="","",AF413-AG413)</f>
        <v/>
      </c>
      <c r="AI413" s="33">
        <f>IF(C413="","",IF(D413="Perdu","",IF(AND(AB413&lt;&gt;"",N(AB413)&lt;TODAY()),"Action en retard",IF(AND(D413="Client",AE413&lt;&gt;"",TODAY()-N(AE413)&gt;P_JoursInactif),"Client inactif",IF(AND(D413="Prospect",Z413=0,O413&lt;&gt;"",TODAY()-N(O413)&gt;P_JoursNonVisite),"Jamais visité","")))))</f>
        <v/>
      </c>
      <c r="AJ413" s="33">
        <f>IF(C413="","",C413&amp;" ["&amp;TEXT(A413,"000")&amp;"]")</f>
        <v/>
      </c>
      <c r="AK413" s="33">
        <f>IF(C413="","",X413&amp;"|"&amp;A413)</f>
        <v/>
      </c>
      <c r="AL413" s="47">
        <f>IF(C413="",0,IF(COUNTIFS(VC_cle,AK413)=0,0,MAX(INDEX((VC_cle=AK413)*(VC_date+ROW(VC_date)/100000),0))))</f>
        <v/>
      </c>
      <c r="AM413" s="47">
        <f>IF(AND(C413&lt;&gt;"",N(AB413)&gt;0,D413&lt;&gt;"Perdu"),AB413+ROW()/100000,0)</f>
        <v/>
      </c>
      <c r="AN413" s="48">
        <f>IF(N(AF413)&gt;0,ROUND(AF413,0)+ROW()/1000000,0)</f>
        <v/>
      </c>
    </row>
    <row r="414" ht="18" customHeight="1">
      <c r="A414" s="39" t="n">
        <v>409</v>
      </c>
      <c r="B414" s="33">
        <f>IF(C414="","",IF(X414="À RENSEIGNER","GIC",X414)&amp;"-"&amp;TEXT(A414,"000"))</f>
        <v/>
      </c>
      <c r="C414" s="36" t="n"/>
      <c r="D414" s="34">
        <f>IF(C414="","",IF(U414="☑ Oui","Perdu",IF(AD414&lt;&gt;"","Client","Prospect")))</f>
        <v/>
      </c>
      <c r="E414" s="36" t="n"/>
      <c r="F414" s="36" t="n"/>
      <c r="G414" s="44" t="n"/>
      <c r="H414" s="44" t="n"/>
      <c r="I414" s="36" t="n"/>
      <c r="J414" s="36" t="n"/>
      <c r="K414" s="41" t="n"/>
      <c r="L414" s="41" t="n"/>
      <c r="M414" s="36" t="n"/>
      <c r="N414" s="36" t="n"/>
      <c r="O414" s="32" t="n"/>
      <c r="P414" s="36" t="n"/>
      <c r="Q414" s="36" t="n"/>
      <c r="R414" s="34">
        <f>IF(P414="","",IFERROR(VLOOKUP(P414,T_Produits,2,FALSE),""))</f>
        <v/>
      </c>
      <c r="S414" s="36" t="n"/>
      <c r="T414" s="43" t="n"/>
      <c r="U414" s="43" t="n"/>
      <c r="V414" s="36" t="n"/>
      <c r="W414" s="36" t="n"/>
      <c r="X414" s="33">
        <f>IF(C414="","",Commercial_Id)</f>
        <v/>
      </c>
      <c r="Y414" s="33">
        <f>IF(E414="","",IF(E414="Particulier / ménage","Particulier","Entreprise"))</f>
        <v/>
      </c>
      <c r="Z414" s="39">
        <f>IF(C414="","",COUNTIFS(VC_cle,AK414,VC_type,"Visite sur place"))</f>
        <v/>
      </c>
      <c r="AA414" s="46">
        <f>IF(AL414=0,"",IF(INT(AL414)=0,"",INT(AL414)))</f>
        <v/>
      </c>
      <c r="AB414" s="46">
        <f>IF(AL414=0,"",IF(INDEX(VC_actiondate,ROUND(MOD(AL414,1)*100000,0)-5)=0,"",INDEX(VC_actiondate,ROUND(MOD(AL414,1)*100000,0)-5)))</f>
        <v/>
      </c>
      <c r="AC414" s="33">
        <f>IF(AL414=0,"",INDEX(VC_actiontexte,ROUND(MOD(AL414,1)*100000,0)-5)&amp;"")</f>
        <v/>
      </c>
      <c r="AD414" s="46">
        <f>IF(C414="","",IF(COUNTIFS(Cmd_cle,AK414,Cmd_dateca,"&gt;0")=0,"",SMALL(INDEX(Cmd_dateca+(((Cmd_cle&lt;&gt;AK414)+(Cmd_dateca=0))&gt;0)*1000000,0),1)))</f>
        <v/>
      </c>
      <c r="AE414" s="46">
        <f>IF(C414="","",IF(COUNTIFS(Cmd_cle,AK414,Cmd_dateca,"&gt;0")=0,"",MAX(INDEX((Cmd_cle=AK414)*Cmd_dateca,0))))</f>
        <v/>
      </c>
      <c r="AF414" s="40">
        <f>IF(C414="","",SUMIFS(Cmd_montant,Cmd_cle,AK414,Cmd_dateca,"&gt;0"))</f>
        <v/>
      </c>
      <c r="AG414" s="40">
        <f>IF(C414="","",SUMIFS(Enc_montant,Enc_cle,AK414))</f>
        <v/>
      </c>
      <c r="AH414" s="40">
        <f>IF(C414="","",AF414-AG414)</f>
        <v/>
      </c>
      <c r="AI414" s="33">
        <f>IF(C414="","",IF(D414="Perdu","",IF(AND(AB414&lt;&gt;"",N(AB414)&lt;TODAY()),"Action en retard",IF(AND(D414="Client",AE414&lt;&gt;"",TODAY()-N(AE414)&gt;P_JoursInactif),"Client inactif",IF(AND(D414="Prospect",Z414=0,O414&lt;&gt;"",TODAY()-N(O414)&gt;P_JoursNonVisite),"Jamais visité","")))))</f>
        <v/>
      </c>
      <c r="AJ414" s="33">
        <f>IF(C414="","",C414&amp;" ["&amp;TEXT(A414,"000")&amp;"]")</f>
        <v/>
      </c>
      <c r="AK414" s="33">
        <f>IF(C414="","",X414&amp;"|"&amp;A414)</f>
        <v/>
      </c>
      <c r="AL414" s="47">
        <f>IF(C414="",0,IF(COUNTIFS(VC_cle,AK414)=0,0,MAX(INDEX((VC_cle=AK414)*(VC_date+ROW(VC_date)/100000),0))))</f>
        <v/>
      </c>
      <c r="AM414" s="47">
        <f>IF(AND(C414&lt;&gt;"",N(AB414)&gt;0,D414&lt;&gt;"Perdu"),AB414+ROW()/100000,0)</f>
        <v/>
      </c>
      <c r="AN414" s="48">
        <f>IF(N(AF414)&gt;0,ROUND(AF414,0)+ROW()/1000000,0)</f>
        <v/>
      </c>
    </row>
    <row r="415" ht="18" customHeight="1">
      <c r="A415" s="39" t="n">
        <v>410</v>
      </c>
      <c r="B415" s="33">
        <f>IF(C415="","",IF(X415="À RENSEIGNER","GIC",X415)&amp;"-"&amp;TEXT(A415,"000"))</f>
        <v/>
      </c>
      <c r="C415" s="36" t="n"/>
      <c r="D415" s="34">
        <f>IF(C415="","",IF(U415="☑ Oui","Perdu",IF(AD415&lt;&gt;"","Client","Prospect")))</f>
        <v/>
      </c>
      <c r="E415" s="36" t="n"/>
      <c r="F415" s="36" t="n"/>
      <c r="G415" s="44" t="n"/>
      <c r="H415" s="44" t="n"/>
      <c r="I415" s="36" t="n"/>
      <c r="J415" s="36" t="n"/>
      <c r="K415" s="41" t="n"/>
      <c r="L415" s="41" t="n"/>
      <c r="M415" s="36" t="n"/>
      <c r="N415" s="36" t="n"/>
      <c r="O415" s="32" t="n"/>
      <c r="P415" s="36" t="n"/>
      <c r="Q415" s="36" t="n"/>
      <c r="R415" s="34">
        <f>IF(P415="","",IFERROR(VLOOKUP(P415,T_Produits,2,FALSE),""))</f>
        <v/>
      </c>
      <c r="S415" s="36" t="n"/>
      <c r="T415" s="43" t="n"/>
      <c r="U415" s="43" t="n"/>
      <c r="V415" s="36" t="n"/>
      <c r="W415" s="36" t="n"/>
      <c r="X415" s="33">
        <f>IF(C415="","",Commercial_Id)</f>
        <v/>
      </c>
      <c r="Y415" s="33">
        <f>IF(E415="","",IF(E415="Particulier / ménage","Particulier","Entreprise"))</f>
        <v/>
      </c>
      <c r="Z415" s="39">
        <f>IF(C415="","",COUNTIFS(VC_cle,AK415,VC_type,"Visite sur place"))</f>
        <v/>
      </c>
      <c r="AA415" s="46">
        <f>IF(AL415=0,"",IF(INT(AL415)=0,"",INT(AL415)))</f>
        <v/>
      </c>
      <c r="AB415" s="46">
        <f>IF(AL415=0,"",IF(INDEX(VC_actiondate,ROUND(MOD(AL415,1)*100000,0)-5)=0,"",INDEX(VC_actiondate,ROUND(MOD(AL415,1)*100000,0)-5)))</f>
        <v/>
      </c>
      <c r="AC415" s="33">
        <f>IF(AL415=0,"",INDEX(VC_actiontexte,ROUND(MOD(AL415,1)*100000,0)-5)&amp;"")</f>
        <v/>
      </c>
      <c r="AD415" s="46">
        <f>IF(C415="","",IF(COUNTIFS(Cmd_cle,AK415,Cmd_dateca,"&gt;0")=0,"",SMALL(INDEX(Cmd_dateca+(((Cmd_cle&lt;&gt;AK415)+(Cmd_dateca=0))&gt;0)*1000000,0),1)))</f>
        <v/>
      </c>
      <c r="AE415" s="46">
        <f>IF(C415="","",IF(COUNTIFS(Cmd_cle,AK415,Cmd_dateca,"&gt;0")=0,"",MAX(INDEX((Cmd_cle=AK415)*Cmd_dateca,0))))</f>
        <v/>
      </c>
      <c r="AF415" s="40">
        <f>IF(C415="","",SUMIFS(Cmd_montant,Cmd_cle,AK415,Cmd_dateca,"&gt;0"))</f>
        <v/>
      </c>
      <c r="AG415" s="40">
        <f>IF(C415="","",SUMIFS(Enc_montant,Enc_cle,AK415))</f>
        <v/>
      </c>
      <c r="AH415" s="40">
        <f>IF(C415="","",AF415-AG415)</f>
        <v/>
      </c>
      <c r="AI415" s="33">
        <f>IF(C415="","",IF(D415="Perdu","",IF(AND(AB415&lt;&gt;"",N(AB415)&lt;TODAY()),"Action en retard",IF(AND(D415="Client",AE415&lt;&gt;"",TODAY()-N(AE415)&gt;P_JoursInactif),"Client inactif",IF(AND(D415="Prospect",Z415=0,O415&lt;&gt;"",TODAY()-N(O415)&gt;P_JoursNonVisite),"Jamais visité","")))))</f>
        <v/>
      </c>
      <c r="AJ415" s="33">
        <f>IF(C415="","",C415&amp;" ["&amp;TEXT(A415,"000")&amp;"]")</f>
        <v/>
      </c>
      <c r="AK415" s="33">
        <f>IF(C415="","",X415&amp;"|"&amp;A415)</f>
        <v/>
      </c>
      <c r="AL415" s="47">
        <f>IF(C415="",0,IF(COUNTIFS(VC_cle,AK415)=0,0,MAX(INDEX((VC_cle=AK415)*(VC_date+ROW(VC_date)/100000),0))))</f>
        <v/>
      </c>
      <c r="AM415" s="47">
        <f>IF(AND(C415&lt;&gt;"",N(AB415)&gt;0,D415&lt;&gt;"Perdu"),AB415+ROW()/100000,0)</f>
        <v/>
      </c>
      <c r="AN415" s="48">
        <f>IF(N(AF415)&gt;0,ROUND(AF415,0)+ROW()/1000000,0)</f>
        <v/>
      </c>
    </row>
    <row r="416" ht="18" customHeight="1">
      <c r="A416" s="39" t="n">
        <v>411</v>
      </c>
      <c r="B416" s="33">
        <f>IF(C416="","",IF(X416="À RENSEIGNER","GIC",X416)&amp;"-"&amp;TEXT(A416,"000"))</f>
        <v/>
      </c>
      <c r="C416" s="36" t="n"/>
      <c r="D416" s="34">
        <f>IF(C416="","",IF(U416="☑ Oui","Perdu",IF(AD416&lt;&gt;"","Client","Prospect")))</f>
        <v/>
      </c>
      <c r="E416" s="36" t="n"/>
      <c r="F416" s="36" t="n"/>
      <c r="G416" s="44" t="n"/>
      <c r="H416" s="44" t="n"/>
      <c r="I416" s="36" t="n"/>
      <c r="J416" s="36" t="n"/>
      <c r="K416" s="41" t="n"/>
      <c r="L416" s="41" t="n"/>
      <c r="M416" s="36" t="n"/>
      <c r="N416" s="36" t="n"/>
      <c r="O416" s="32" t="n"/>
      <c r="P416" s="36" t="n"/>
      <c r="Q416" s="36" t="n"/>
      <c r="R416" s="34">
        <f>IF(P416="","",IFERROR(VLOOKUP(P416,T_Produits,2,FALSE),""))</f>
        <v/>
      </c>
      <c r="S416" s="36" t="n"/>
      <c r="T416" s="43" t="n"/>
      <c r="U416" s="43" t="n"/>
      <c r="V416" s="36" t="n"/>
      <c r="W416" s="36" t="n"/>
      <c r="X416" s="33">
        <f>IF(C416="","",Commercial_Id)</f>
        <v/>
      </c>
      <c r="Y416" s="33">
        <f>IF(E416="","",IF(E416="Particulier / ménage","Particulier","Entreprise"))</f>
        <v/>
      </c>
      <c r="Z416" s="39">
        <f>IF(C416="","",COUNTIFS(VC_cle,AK416,VC_type,"Visite sur place"))</f>
        <v/>
      </c>
      <c r="AA416" s="46">
        <f>IF(AL416=0,"",IF(INT(AL416)=0,"",INT(AL416)))</f>
        <v/>
      </c>
      <c r="AB416" s="46">
        <f>IF(AL416=0,"",IF(INDEX(VC_actiondate,ROUND(MOD(AL416,1)*100000,0)-5)=0,"",INDEX(VC_actiondate,ROUND(MOD(AL416,1)*100000,0)-5)))</f>
        <v/>
      </c>
      <c r="AC416" s="33">
        <f>IF(AL416=0,"",INDEX(VC_actiontexte,ROUND(MOD(AL416,1)*100000,0)-5)&amp;"")</f>
        <v/>
      </c>
      <c r="AD416" s="46">
        <f>IF(C416="","",IF(COUNTIFS(Cmd_cle,AK416,Cmd_dateca,"&gt;0")=0,"",SMALL(INDEX(Cmd_dateca+(((Cmd_cle&lt;&gt;AK416)+(Cmd_dateca=0))&gt;0)*1000000,0),1)))</f>
        <v/>
      </c>
      <c r="AE416" s="46">
        <f>IF(C416="","",IF(COUNTIFS(Cmd_cle,AK416,Cmd_dateca,"&gt;0")=0,"",MAX(INDEX((Cmd_cle=AK416)*Cmd_dateca,0))))</f>
        <v/>
      </c>
      <c r="AF416" s="40">
        <f>IF(C416="","",SUMIFS(Cmd_montant,Cmd_cle,AK416,Cmd_dateca,"&gt;0"))</f>
        <v/>
      </c>
      <c r="AG416" s="40">
        <f>IF(C416="","",SUMIFS(Enc_montant,Enc_cle,AK416))</f>
        <v/>
      </c>
      <c r="AH416" s="40">
        <f>IF(C416="","",AF416-AG416)</f>
        <v/>
      </c>
      <c r="AI416" s="33">
        <f>IF(C416="","",IF(D416="Perdu","",IF(AND(AB416&lt;&gt;"",N(AB416)&lt;TODAY()),"Action en retard",IF(AND(D416="Client",AE416&lt;&gt;"",TODAY()-N(AE416)&gt;P_JoursInactif),"Client inactif",IF(AND(D416="Prospect",Z416=0,O416&lt;&gt;"",TODAY()-N(O416)&gt;P_JoursNonVisite),"Jamais visité","")))))</f>
        <v/>
      </c>
      <c r="AJ416" s="33">
        <f>IF(C416="","",C416&amp;" ["&amp;TEXT(A416,"000")&amp;"]")</f>
        <v/>
      </c>
      <c r="AK416" s="33">
        <f>IF(C416="","",X416&amp;"|"&amp;A416)</f>
        <v/>
      </c>
      <c r="AL416" s="47">
        <f>IF(C416="",0,IF(COUNTIFS(VC_cle,AK416)=0,0,MAX(INDEX((VC_cle=AK416)*(VC_date+ROW(VC_date)/100000),0))))</f>
        <v/>
      </c>
      <c r="AM416" s="47">
        <f>IF(AND(C416&lt;&gt;"",N(AB416)&gt;0,D416&lt;&gt;"Perdu"),AB416+ROW()/100000,0)</f>
        <v/>
      </c>
      <c r="AN416" s="48">
        <f>IF(N(AF416)&gt;0,ROUND(AF416,0)+ROW()/1000000,0)</f>
        <v/>
      </c>
    </row>
    <row r="417" ht="18" customHeight="1">
      <c r="A417" s="39" t="n">
        <v>412</v>
      </c>
      <c r="B417" s="33">
        <f>IF(C417="","",IF(X417="À RENSEIGNER","GIC",X417)&amp;"-"&amp;TEXT(A417,"000"))</f>
        <v/>
      </c>
      <c r="C417" s="36" t="n"/>
      <c r="D417" s="34">
        <f>IF(C417="","",IF(U417="☑ Oui","Perdu",IF(AD417&lt;&gt;"","Client","Prospect")))</f>
        <v/>
      </c>
      <c r="E417" s="36" t="n"/>
      <c r="F417" s="36" t="n"/>
      <c r="G417" s="44" t="n"/>
      <c r="H417" s="44" t="n"/>
      <c r="I417" s="36" t="n"/>
      <c r="J417" s="36" t="n"/>
      <c r="K417" s="41" t="n"/>
      <c r="L417" s="41" t="n"/>
      <c r="M417" s="36" t="n"/>
      <c r="N417" s="36" t="n"/>
      <c r="O417" s="32" t="n"/>
      <c r="P417" s="36" t="n"/>
      <c r="Q417" s="36" t="n"/>
      <c r="R417" s="34">
        <f>IF(P417="","",IFERROR(VLOOKUP(P417,T_Produits,2,FALSE),""))</f>
        <v/>
      </c>
      <c r="S417" s="36" t="n"/>
      <c r="T417" s="43" t="n"/>
      <c r="U417" s="43" t="n"/>
      <c r="V417" s="36" t="n"/>
      <c r="W417" s="36" t="n"/>
      <c r="X417" s="33">
        <f>IF(C417="","",Commercial_Id)</f>
        <v/>
      </c>
      <c r="Y417" s="33">
        <f>IF(E417="","",IF(E417="Particulier / ménage","Particulier","Entreprise"))</f>
        <v/>
      </c>
      <c r="Z417" s="39">
        <f>IF(C417="","",COUNTIFS(VC_cle,AK417,VC_type,"Visite sur place"))</f>
        <v/>
      </c>
      <c r="AA417" s="46">
        <f>IF(AL417=0,"",IF(INT(AL417)=0,"",INT(AL417)))</f>
        <v/>
      </c>
      <c r="AB417" s="46">
        <f>IF(AL417=0,"",IF(INDEX(VC_actiondate,ROUND(MOD(AL417,1)*100000,0)-5)=0,"",INDEX(VC_actiondate,ROUND(MOD(AL417,1)*100000,0)-5)))</f>
        <v/>
      </c>
      <c r="AC417" s="33">
        <f>IF(AL417=0,"",INDEX(VC_actiontexte,ROUND(MOD(AL417,1)*100000,0)-5)&amp;"")</f>
        <v/>
      </c>
      <c r="AD417" s="46">
        <f>IF(C417="","",IF(COUNTIFS(Cmd_cle,AK417,Cmd_dateca,"&gt;0")=0,"",SMALL(INDEX(Cmd_dateca+(((Cmd_cle&lt;&gt;AK417)+(Cmd_dateca=0))&gt;0)*1000000,0),1)))</f>
        <v/>
      </c>
      <c r="AE417" s="46">
        <f>IF(C417="","",IF(COUNTIFS(Cmd_cle,AK417,Cmd_dateca,"&gt;0")=0,"",MAX(INDEX((Cmd_cle=AK417)*Cmd_dateca,0))))</f>
        <v/>
      </c>
      <c r="AF417" s="40">
        <f>IF(C417="","",SUMIFS(Cmd_montant,Cmd_cle,AK417,Cmd_dateca,"&gt;0"))</f>
        <v/>
      </c>
      <c r="AG417" s="40">
        <f>IF(C417="","",SUMIFS(Enc_montant,Enc_cle,AK417))</f>
        <v/>
      </c>
      <c r="AH417" s="40">
        <f>IF(C417="","",AF417-AG417)</f>
        <v/>
      </c>
      <c r="AI417" s="33">
        <f>IF(C417="","",IF(D417="Perdu","",IF(AND(AB417&lt;&gt;"",N(AB417)&lt;TODAY()),"Action en retard",IF(AND(D417="Client",AE417&lt;&gt;"",TODAY()-N(AE417)&gt;P_JoursInactif),"Client inactif",IF(AND(D417="Prospect",Z417=0,O417&lt;&gt;"",TODAY()-N(O417)&gt;P_JoursNonVisite),"Jamais visité","")))))</f>
        <v/>
      </c>
      <c r="AJ417" s="33">
        <f>IF(C417="","",C417&amp;" ["&amp;TEXT(A417,"000")&amp;"]")</f>
        <v/>
      </c>
      <c r="AK417" s="33">
        <f>IF(C417="","",X417&amp;"|"&amp;A417)</f>
        <v/>
      </c>
      <c r="AL417" s="47">
        <f>IF(C417="",0,IF(COUNTIFS(VC_cle,AK417)=0,0,MAX(INDEX((VC_cle=AK417)*(VC_date+ROW(VC_date)/100000),0))))</f>
        <v/>
      </c>
      <c r="AM417" s="47">
        <f>IF(AND(C417&lt;&gt;"",N(AB417)&gt;0,D417&lt;&gt;"Perdu"),AB417+ROW()/100000,0)</f>
        <v/>
      </c>
      <c r="AN417" s="48">
        <f>IF(N(AF417)&gt;0,ROUND(AF417,0)+ROW()/1000000,0)</f>
        <v/>
      </c>
    </row>
    <row r="418" ht="18" customHeight="1">
      <c r="A418" s="39" t="n">
        <v>413</v>
      </c>
      <c r="B418" s="33">
        <f>IF(C418="","",IF(X418="À RENSEIGNER","GIC",X418)&amp;"-"&amp;TEXT(A418,"000"))</f>
        <v/>
      </c>
      <c r="C418" s="36" t="n"/>
      <c r="D418" s="34">
        <f>IF(C418="","",IF(U418="☑ Oui","Perdu",IF(AD418&lt;&gt;"","Client","Prospect")))</f>
        <v/>
      </c>
      <c r="E418" s="36" t="n"/>
      <c r="F418" s="36" t="n"/>
      <c r="G418" s="44" t="n"/>
      <c r="H418" s="44" t="n"/>
      <c r="I418" s="36" t="n"/>
      <c r="J418" s="36" t="n"/>
      <c r="K418" s="41" t="n"/>
      <c r="L418" s="41" t="n"/>
      <c r="M418" s="36" t="n"/>
      <c r="N418" s="36" t="n"/>
      <c r="O418" s="32" t="n"/>
      <c r="P418" s="36" t="n"/>
      <c r="Q418" s="36" t="n"/>
      <c r="R418" s="34">
        <f>IF(P418="","",IFERROR(VLOOKUP(P418,T_Produits,2,FALSE),""))</f>
        <v/>
      </c>
      <c r="S418" s="36" t="n"/>
      <c r="T418" s="43" t="n"/>
      <c r="U418" s="43" t="n"/>
      <c r="V418" s="36" t="n"/>
      <c r="W418" s="36" t="n"/>
      <c r="X418" s="33">
        <f>IF(C418="","",Commercial_Id)</f>
        <v/>
      </c>
      <c r="Y418" s="33">
        <f>IF(E418="","",IF(E418="Particulier / ménage","Particulier","Entreprise"))</f>
        <v/>
      </c>
      <c r="Z418" s="39">
        <f>IF(C418="","",COUNTIFS(VC_cle,AK418,VC_type,"Visite sur place"))</f>
        <v/>
      </c>
      <c r="AA418" s="46">
        <f>IF(AL418=0,"",IF(INT(AL418)=0,"",INT(AL418)))</f>
        <v/>
      </c>
      <c r="AB418" s="46">
        <f>IF(AL418=0,"",IF(INDEX(VC_actiondate,ROUND(MOD(AL418,1)*100000,0)-5)=0,"",INDEX(VC_actiondate,ROUND(MOD(AL418,1)*100000,0)-5)))</f>
        <v/>
      </c>
      <c r="AC418" s="33">
        <f>IF(AL418=0,"",INDEX(VC_actiontexte,ROUND(MOD(AL418,1)*100000,0)-5)&amp;"")</f>
        <v/>
      </c>
      <c r="AD418" s="46">
        <f>IF(C418="","",IF(COUNTIFS(Cmd_cle,AK418,Cmd_dateca,"&gt;0")=0,"",SMALL(INDEX(Cmd_dateca+(((Cmd_cle&lt;&gt;AK418)+(Cmd_dateca=0))&gt;0)*1000000,0),1)))</f>
        <v/>
      </c>
      <c r="AE418" s="46">
        <f>IF(C418="","",IF(COUNTIFS(Cmd_cle,AK418,Cmd_dateca,"&gt;0")=0,"",MAX(INDEX((Cmd_cle=AK418)*Cmd_dateca,0))))</f>
        <v/>
      </c>
      <c r="AF418" s="40">
        <f>IF(C418="","",SUMIFS(Cmd_montant,Cmd_cle,AK418,Cmd_dateca,"&gt;0"))</f>
        <v/>
      </c>
      <c r="AG418" s="40">
        <f>IF(C418="","",SUMIFS(Enc_montant,Enc_cle,AK418))</f>
        <v/>
      </c>
      <c r="AH418" s="40">
        <f>IF(C418="","",AF418-AG418)</f>
        <v/>
      </c>
      <c r="AI418" s="33">
        <f>IF(C418="","",IF(D418="Perdu","",IF(AND(AB418&lt;&gt;"",N(AB418)&lt;TODAY()),"Action en retard",IF(AND(D418="Client",AE418&lt;&gt;"",TODAY()-N(AE418)&gt;P_JoursInactif),"Client inactif",IF(AND(D418="Prospect",Z418=0,O418&lt;&gt;"",TODAY()-N(O418)&gt;P_JoursNonVisite),"Jamais visité","")))))</f>
        <v/>
      </c>
      <c r="AJ418" s="33">
        <f>IF(C418="","",C418&amp;" ["&amp;TEXT(A418,"000")&amp;"]")</f>
        <v/>
      </c>
      <c r="AK418" s="33">
        <f>IF(C418="","",X418&amp;"|"&amp;A418)</f>
        <v/>
      </c>
      <c r="AL418" s="47">
        <f>IF(C418="",0,IF(COUNTIFS(VC_cle,AK418)=0,0,MAX(INDEX((VC_cle=AK418)*(VC_date+ROW(VC_date)/100000),0))))</f>
        <v/>
      </c>
      <c r="AM418" s="47">
        <f>IF(AND(C418&lt;&gt;"",N(AB418)&gt;0,D418&lt;&gt;"Perdu"),AB418+ROW()/100000,0)</f>
        <v/>
      </c>
      <c r="AN418" s="48">
        <f>IF(N(AF418)&gt;0,ROUND(AF418,0)+ROW()/1000000,0)</f>
        <v/>
      </c>
    </row>
    <row r="419" ht="18" customHeight="1">
      <c r="A419" s="39" t="n">
        <v>414</v>
      </c>
      <c r="B419" s="33">
        <f>IF(C419="","",IF(X419="À RENSEIGNER","GIC",X419)&amp;"-"&amp;TEXT(A419,"000"))</f>
        <v/>
      </c>
      <c r="C419" s="36" t="n"/>
      <c r="D419" s="34">
        <f>IF(C419="","",IF(U419="☑ Oui","Perdu",IF(AD419&lt;&gt;"","Client","Prospect")))</f>
        <v/>
      </c>
      <c r="E419" s="36" t="n"/>
      <c r="F419" s="36" t="n"/>
      <c r="G419" s="44" t="n"/>
      <c r="H419" s="44" t="n"/>
      <c r="I419" s="36" t="n"/>
      <c r="J419" s="36" t="n"/>
      <c r="K419" s="41" t="n"/>
      <c r="L419" s="41" t="n"/>
      <c r="M419" s="36" t="n"/>
      <c r="N419" s="36" t="n"/>
      <c r="O419" s="32" t="n"/>
      <c r="P419" s="36" t="n"/>
      <c r="Q419" s="36" t="n"/>
      <c r="R419" s="34">
        <f>IF(P419="","",IFERROR(VLOOKUP(P419,T_Produits,2,FALSE),""))</f>
        <v/>
      </c>
      <c r="S419" s="36" t="n"/>
      <c r="T419" s="43" t="n"/>
      <c r="U419" s="43" t="n"/>
      <c r="V419" s="36" t="n"/>
      <c r="W419" s="36" t="n"/>
      <c r="X419" s="33">
        <f>IF(C419="","",Commercial_Id)</f>
        <v/>
      </c>
      <c r="Y419" s="33">
        <f>IF(E419="","",IF(E419="Particulier / ménage","Particulier","Entreprise"))</f>
        <v/>
      </c>
      <c r="Z419" s="39">
        <f>IF(C419="","",COUNTIFS(VC_cle,AK419,VC_type,"Visite sur place"))</f>
        <v/>
      </c>
      <c r="AA419" s="46">
        <f>IF(AL419=0,"",IF(INT(AL419)=0,"",INT(AL419)))</f>
        <v/>
      </c>
      <c r="AB419" s="46">
        <f>IF(AL419=0,"",IF(INDEX(VC_actiondate,ROUND(MOD(AL419,1)*100000,0)-5)=0,"",INDEX(VC_actiondate,ROUND(MOD(AL419,1)*100000,0)-5)))</f>
        <v/>
      </c>
      <c r="AC419" s="33">
        <f>IF(AL419=0,"",INDEX(VC_actiontexte,ROUND(MOD(AL419,1)*100000,0)-5)&amp;"")</f>
        <v/>
      </c>
      <c r="AD419" s="46">
        <f>IF(C419="","",IF(COUNTIFS(Cmd_cle,AK419,Cmd_dateca,"&gt;0")=0,"",SMALL(INDEX(Cmd_dateca+(((Cmd_cle&lt;&gt;AK419)+(Cmd_dateca=0))&gt;0)*1000000,0),1)))</f>
        <v/>
      </c>
      <c r="AE419" s="46">
        <f>IF(C419="","",IF(COUNTIFS(Cmd_cle,AK419,Cmd_dateca,"&gt;0")=0,"",MAX(INDEX((Cmd_cle=AK419)*Cmd_dateca,0))))</f>
        <v/>
      </c>
      <c r="AF419" s="40">
        <f>IF(C419="","",SUMIFS(Cmd_montant,Cmd_cle,AK419,Cmd_dateca,"&gt;0"))</f>
        <v/>
      </c>
      <c r="AG419" s="40">
        <f>IF(C419="","",SUMIFS(Enc_montant,Enc_cle,AK419))</f>
        <v/>
      </c>
      <c r="AH419" s="40">
        <f>IF(C419="","",AF419-AG419)</f>
        <v/>
      </c>
      <c r="AI419" s="33">
        <f>IF(C419="","",IF(D419="Perdu","",IF(AND(AB419&lt;&gt;"",N(AB419)&lt;TODAY()),"Action en retard",IF(AND(D419="Client",AE419&lt;&gt;"",TODAY()-N(AE419)&gt;P_JoursInactif),"Client inactif",IF(AND(D419="Prospect",Z419=0,O419&lt;&gt;"",TODAY()-N(O419)&gt;P_JoursNonVisite),"Jamais visité","")))))</f>
        <v/>
      </c>
      <c r="AJ419" s="33">
        <f>IF(C419="","",C419&amp;" ["&amp;TEXT(A419,"000")&amp;"]")</f>
        <v/>
      </c>
      <c r="AK419" s="33">
        <f>IF(C419="","",X419&amp;"|"&amp;A419)</f>
        <v/>
      </c>
      <c r="AL419" s="47">
        <f>IF(C419="",0,IF(COUNTIFS(VC_cle,AK419)=0,0,MAX(INDEX((VC_cle=AK419)*(VC_date+ROW(VC_date)/100000),0))))</f>
        <v/>
      </c>
      <c r="AM419" s="47">
        <f>IF(AND(C419&lt;&gt;"",N(AB419)&gt;0,D419&lt;&gt;"Perdu"),AB419+ROW()/100000,0)</f>
        <v/>
      </c>
      <c r="AN419" s="48">
        <f>IF(N(AF419)&gt;0,ROUND(AF419,0)+ROW()/1000000,0)</f>
        <v/>
      </c>
    </row>
    <row r="420" ht="18" customHeight="1">
      <c r="A420" s="39" t="n">
        <v>415</v>
      </c>
      <c r="B420" s="33">
        <f>IF(C420="","",IF(X420="À RENSEIGNER","GIC",X420)&amp;"-"&amp;TEXT(A420,"000"))</f>
        <v/>
      </c>
      <c r="C420" s="36" t="n"/>
      <c r="D420" s="34">
        <f>IF(C420="","",IF(U420="☑ Oui","Perdu",IF(AD420&lt;&gt;"","Client","Prospect")))</f>
        <v/>
      </c>
      <c r="E420" s="36" t="n"/>
      <c r="F420" s="36" t="n"/>
      <c r="G420" s="44" t="n"/>
      <c r="H420" s="44" t="n"/>
      <c r="I420" s="36" t="n"/>
      <c r="J420" s="36" t="n"/>
      <c r="K420" s="41" t="n"/>
      <c r="L420" s="41" t="n"/>
      <c r="M420" s="36" t="n"/>
      <c r="N420" s="36" t="n"/>
      <c r="O420" s="32" t="n"/>
      <c r="P420" s="36" t="n"/>
      <c r="Q420" s="36" t="n"/>
      <c r="R420" s="34">
        <f>IF(P420="","",IFERROR(VLOOKUP(P420,T_Produits,2,FALSE),""))</f>
        <v/>
      </c>
      <c r="S420" s="36" t="n"/>
      <c r="T420" s="43" t="n"/>
      <c r="U420" s="43" t="n"/>
      <c r="V420" s="36" t="n"/>
      <c r="W420" s="36" t="n"/>
      <c r="X420" s="33">
        <f>IF(C420="","",Commercial_Id)</f>
        <v/>
      </c>
      <c r="Y420" s="33">
        <f>IF(E420="","",IF(E420="Particulier / ménage","Particulier","Entreprise"))</f>
        <v/>
      </c>
      <c r="Z420" s="39">
        <f>IF(C420="","",COUNTIFS(VC_cle,AK420,VC_type,"Visite sur place"))</f>
        <v/>
      </c>
      <c r="AA420" s="46">
        <f>IF(AL420=0,"",IF(INT(AL420)=0,"",INT(AL420)))</f>
        <v/>
      </c>
      <c r="AB420" s="46">
        <f>IF(AL420=0,"",IF(INDEX(VC_actiondate,ROUND(MOD(AL420,1)*100000,0)-5)=0,"",INDEX(VC_actiondate,ROUND(MOD(AL420,1)*100000,0)-5)))</f>
        <v/>
      </c>
      <c r="AC420" s="33">
        <f>IF(AL420=0,"",INDEX(VC_actiontexte,ROUND(MOD(AL420,1)*100000,0)-5)&amp;"")</f>
        <v/>
      </c>
      <c r="AD420" s="46">
        <f>IF(C420="","",IF(COUNTIFS(Cmd_cle,AK420,Cmd_dateca,"&gt;0")=0,"",SMALL(INDEX(Cmd_dateca+(((Cmd_cle&lt;&gt;AK420)+(Cmd_dateca=0))&gt;0)*1000000,0),1)))</f>
        <v/>
      </c>
      <c r="AE420" s="46">
        <f>IF(C420="","",IF(COUNTIFS(Cmd_cle,AK420,Cmd_dateca,"&gt;0")=0,"",MAX(INDEX((Cmd_cle=AK420)*Cmd_dateca,0))))</f>
        <v/>
      </c>
      <c r="AF420" s="40">
        <f>IF(C420="","",SUMIFS(Cmd_montant,Cmd_cle,AK420,Cmd_dateca,"&gt;0"))</f>
        <v/>
      </c>
      <c r="AG420" s="40">
        <f>IF(C420="","",SUMIFS(Enc_montant,Enc_cle,AK420))</f>
        <v/>
      </c>
      <c r="AH420" s="40">
        <f>IF(C420="","",AF420-AG420)</f>
        <v/>
      </c>
      <c r="AI420" s="33">
        <f>IF(C420="","",IF(D420="Perdu","",IF(AND(AB420&lt;&gt;"",N(AB420)&lt;TODAY()),"Action en retard",IF(AND(D420="Client",AE420&lt;&gt;"",TODAY()-N(AE420)&gt;P_JoursInactif),"Client inactif",IF(AND(D420="Prospect",Z420=0,O420&lt;&gt;"",TODAY()-N(O420)&gt;P_JoursNonVisite),"Jamais visité","")))))</f>
        <v/>
      </c>
      <c r="AJ420" s="33">
        <f>IF(C420="","",C420&amp;" ["&amp;TEXT(A420,"000")&amp;"]")</f>
        <v/>
      </c>
      <c r="AK420" s="33">
        <f>IF(C420="","",X420&amp;"|"&amp;A420)</f>
        <v/>
      </c>
      <c r="AL420" s="47">
        <f>IF(C420="",0,IF(COUNTIFS(VC_cle,AK420)=0,0,MAX(INDEX((VC_cle=AK420)*(VC_date+ROW(VC_date)/100000),0))))</f>
        <v/>
      </c>
      <c r="AM420" s="47">
        <f>IF(AND(C420&lt;&gt;"",N(AB420)&gt;0,D420&lt;&gt;"Perdu"),AB420+ROW()/100000,0)</f>
        <v/>
      </c>
      <c r="AN420" s="48">
        <f>IF(N(AF420)&gt;0,ROUND(AF420,0)+ROW()/1000000,0)</f>
        <v/>
      </c>
    </row>
    <row r="421" ht="18" customHeight="1">
      <c r="A421" s="39" t="n">
        <v>416</v>
      </c>
      <c r="B421" s="33">
        <f>IF(C421="","",IF(X421="À RENSEIGNER","GIC",X421)&amp;"-"&amp;TEXT(A421,"000"))</f>
        <v/>
      </c>
      <c r="C421" s="36" t="n"/>
      <c r="D421" s="34">
        <f>IF(C421="","",IF(U421="☑ Oui","Perdu",IF(AD421&lt;&gt;"","Client","Prospect")))</f>
        <v/>
      </c>
      <c r="E421" s="36" t="n"/>
      <c r="F421" s="36" t="n"/>
      <c r="G421" s="44" t="n"/>
      <c r="H421" s="44" t="n"/>
      <c r="I421" s="36" t="n"/>
      <c r="J421" s="36" t="n"/>
      <c r="K421" s="41" t="n"/>
      <c r="L421" s="41" t="n"/>
      <c r="M421" s="36" t="n"/>
      <c r="N421" s="36" t="n"/>
      <c r="O421" s="32" t="n"/>
      <c r="P421" s="36" t="n"/>
      <c r="Q421" s="36" t="n"/>
      <c r="R421" s="34">
        <f>IF(P421="","",IFERROR(VLOOKUP(P421,T_Produits,2,FALSE),""))</f>
        <v/>
      </c>
      <c r="S421" s="36" t="n"/>
      <c r="T421" s="43" t="n"/>
      <c r="U421" s="43" t="n"/>
      <c r="V421" s="36" t="n"/>
      <c r="W421" s="36" t="n"/>
      <c r="X421" s="33">
        <f>IF(C421="","",Commercial_Id)</f>
        <v/>
      </c>
      <c r="Y421" s="33">
        <f>IF(E421="","",IF(E421="Particulier / ménage","Particulier","Entreprise"))</f>
        <v/>
      </c>
      <c r="Z421" s="39">
        <f>IF(C421="","",COUNTIFS(VC_cle,AK421,VC_type,"Visite sur place"))</f>
        <v/>
      </c>
      <c r="AA421" s="46">
        <f>IF(AL421=0,"",IF(INT(AL421)=0,"",INT(AL421)))</f>
        <v/>
      </c>
      <c r="AB421" s="46">
        <f>IF(AL421=0,"",IF(INDEX(VC_actiondate,ROUND(MOD(AL421,1)*100000,0)-5)=0,"",INDEX(VC_actiondate,ROUND(MOD(AL421,1)*100000,0)-5)))</f>
        <v/>
      </c>
      <c r="AC421" s="33">
        <f>IF(AL421=0,"",INDEX(VC_actiontexte,ROUND(MOD(AL421,1)*100000,0)-5)&amp;"")</f>
        <v/>
      </c>
      <c r="AD421" s="46">
        <f>IF(C421="","",IF(COUNTIFS(Cmd_cle,AK421,Cmd_dateca,"&gt;0")=0,"",SMALL(INDEX(Cmd_dateca+(((Cmd_cle&lt;&gt;AK421)+(Cmd_dateca=0))&gt;0)*1000000,0),1)))</f>
        <v/>
      </c>
      <c r="AE421" s="46">
        <f>IF(C421="","",IF(COUNTIFS(Cmd_cle,AK421,Cmd_dateca,"&gt;0")=0,"",MAX(INDEX((Cmd_cle=AK421)*Cmd_dateca,0))))</f>
        <v/>
      </c>
      <c r="AF421" s="40">
        <f>IF(C421="","",SUMIFS(Cmd_montant,Cmd_cle,AK421,Cmd_dateca,"&gt;0"))</f>
        <v/>
      </c>
      <c r="AG421" s="40">
        <f>IF(C421="","",SUMIFS(Enc_montant,Enc_cle,AK421))</f>
        <v/>
      </c>
      <c r="AH421" s="40">
        <f>IF(C421="","",AF421-AG421)</f>
        <v/>
      </c>
      <c r="AI421" s="33">
        <f>IF(C421="","",IF(D421="Perdu","",IF(AND(AB421&lt;&gt;"",N(AB421)&lt;TODAY()),"Action en retard",IF(AND(D421="Client",AE421&lt;&gt;"",TODAY()-N(AE421)&gt;P_JoursInactif),"Client inactif",IF(AND(D421="Prospect",Z421=0,O421&lt;&gt;"",TODAY()-N(O421)&gt;P_JoursNonVisite),"Jamais visité","")))))</f>
        <v/>
      </c>
      <c r="AJ421" s="33">
        <f>IF(C421="","",C421&amp;" ["&amp;TEXT(A421,"000")&amp;"]")</f>
        <v/>
      </c>
      <c r="AK421" s="33">
        <f>IF(C421="","",X421&amp;"|"&amp;A421)</f>
        <v/>
      </c>
      <c r="AL421" s="47">
        <f>IF(C421="",0,IF(COUNTIFS(VC_cle,AK421)=0,0,MAX(INDEX((VC_cle=AK421)*(VC_date+ROW(VC_date)/100000),0))))</f>
        <v/>
      </c>
      <c r="AM421" s="47">
        <f>IF(AND(C421&lt;&gt;"",N(AB421)&gt;0,D421&lt;&gt;"Perdu"),AB421+ROW()/100000,0)</f>
        <v/>
      </c>
      <c r="AN421" s="48">
        <f>IF(N(AF421)&gt;0,ROUND(AF421,0)+ROW()/1000000,0)</f>
        <v/>
      </c>
    </row>
    <row r="422" ht="18" customHeight="1">
      <c r="A422" s="39" t="n">
        <v>417</v>
      </c>
      <c r="B422" s="33">
        <f>IF(C422="","",IF(X422="À RENSEIGNER","GIC",X422)&amp;"-"&amp;TEXT(A422,"000"))</f>
        <v/>
      </c>
      <c r="C422" s="36" t="n"/>
      <c r="D422" s="34">
        <f>IF(C422="","",IF(U422="☑ Oui","Perdu",IF(AD422&lt;&gt;"","Client","Prospect")))</f>
        <v/>
      </c>
      <c r="E422" s="36" t="n"/>
      <c r="F422" s="36" t="n"/>
      <c r="G422" s="44" t="n"/>
      <c r="H422" s="44" t="n"/>
      <c r="I422" s="36" t="n"/>
      <c r="J422" s="36" t="n"/>
      <c r="K422" s="41" t="n"/>
      <c r="L422" s="41" t="n"/>
      <c r="M422" s="36" t="n"/>
      <c r="N422" s="36" t="n"/>
      <c r="O422" s="32" t="n"/>
      <c r="P422" s="36" t="n"/>
      <c r="Q422" s="36" t="n"/>
      <c r="R422" s="34">
        <f>IF(P422="","",IFERROR(VLOOKUP(P422,T_Produits,2,FALSE),""))</f>
        <v/>
      </c>
      <c r="S422" s="36" t="n"/>
      <c r="T422" s="43" t="n"/>
      <c r="U422" s="43" t="n"/>
      <c r="V422" s="36" t="n"/>
      <c r="W422" s="36" t="n"/>
      <c r="X422" s="33">
        <f>IF(C422="","",Commercial_Id)</f>
        <v/>
      </c>
      <c r="Y422" s="33">
        <f>IF(E422="","",IF(E422="Particulier / ménage","Particulier","Entreprise"))</f>
        <v/>
      </c>
      <c r="Z422" s="39">
        <f>IF(C422="","",COUNTIFS(VC_cle,AK422,VC_type,"Visite sur place"))</f>
        <v/>
      </c>
      <c r="AA422" s="46">
        <f>IF(AL422=0,"",IF(INT(AL422)=0,"",INT(AL422)))</f>
        <v/>
      </c>
      <c r="AB422" s="46">
        <f>IF(AL422=0,"",IF(INDEX(VC_actiondate,ROUND(MOD(AL422,1)*100000,0)-5)=0,"",INDEX(VC_actiondate,ROUND(MOD(AL422,1)*100000,0)-5)))</f>
        <v/>
      </c>
      <c r="AC422" s="33">
        <f>IF(AL422=0,"",INDEX(VC_actiontexte,ROUND(MOD(AL422,1)*100000,0)-5)&amp;"")</f>
        <v/>
      </c>
      <c r="AD422" s="46">
        <f>IF(C422="","",IF(COUNTIFS(Cmd_cle,AK422,Cmd_dateca,"&gt;0")=0,"",SMALL(INDEX(Cmd_dateca+(((Cmd_cle&lt;&gt;AK422)+(Cmd_dateca=0))&gt;0)*1000000,0),1)))</f>
        <v/>
      </c>
      <c r="AE422" s="46">
        <f>IF(C422="","",IF(COUNTIFS(Cmd_cle,AK422,Cmd_dateca,"&gt;0")=0,"",MAX(INDEX((Cmd_cle=AK422)*Cmd_dateca,0))))</f>
        <v/>
      </c>
      <c r="AF422" s="40">
        <f>IF(C422="","",SUMIFS(Cmd_montant,Cmd_cle,AK422,Cmd_dateca,"&gt;0"))</f>
        <v/>
      </c>
      <c r="AG422" s="40">
        <f>IF(C422="","",SUMIFS(Enc_montant,Enc_cle,AK422))</f>
        <v/>
      </c>
      <c r="AH422" s="40">
        <f>IF(C422="","",AF422-AG422)</f>
        <v/>
      </c>
      <c r="AI422" s="33">
        <f>IF(C422="","",IF(D422="Perdu","",IF(AND(AB422&lt;&gt;"",N(AB422)&lt;TODAY()),"Action en retard",IF(AND(D422="Client",AE422&lt;&gt;"",TODAY()-N(AE422)&gt;P_JoursInactif),"Client inactif",IF(AND(D422="Prospect",Z422=0,O422&lt;&gt;"",TODAY()-N(O422)&gt;P_JoursNonVisite),"Jamais visité","")))))</f>
        <v/>
      </c>
      <c r="AJ422" s="33">
        <f>IF(C422="","",C422&amp;" ["&amp;TEXT(A422,"000")&amp;"]")</f>
        <v/>
      </c>
      <c r="AK422" s="33">
        <f>IF(C422="","",X422&amp;"|"&amp;A422)</f>
        <v/>
      </c>
      <c r="AL422" s="47">
        <f>IF(C422="",0,IF(COUNTIFS(VC_cle,AK422)=0,0,MAX(INDEX((VC_cle=AK422)*(VC_date+ROW(VC_date)/100000),0))))</f>
        <v/>
      </c>
      <c r="AM422" s="47">
        <f>IF(AND(C422&lt;&gt;"",N(AB422)&gt;0,D422&lt;&gt;"Perdu"),AB422+ROW()/100000,0)</f>
        <v/>
      </c>
      <c r="AN422" s="48">
        <f>IF(N(AF422)&gt;0,ROUND(AF422,0)+ROW()/1000000,0)</f>
        <v/>
      </c>
    </row>
    <row r="423" ht="18" customHeight="1">
      <c r="A423" s="39" t="n">
        <v>418</v>
      </c>
      <c r="B423" s="33">
        <f>IF(C423="","",IF(X423="À RENSEIGNER","GIC",X423)&amp;"-"&amp;TEXT(A423,"000"))</f>
        <v/>
      </c>
      <c r="C423" s="36" t="n"/>
      <c r="D423" s="34">
        <f>IF(C423="","",IF(U423="☑ Oui","Perdu",IF(AD423&lt;&gt;"","Client","Prospect")))</f>
        <v/>
      </c>
      <c r="E423" s="36" t="n"/>
      <c r="F423" s="36" t="n"/>
      <c r="G423" s="44" t="n"/>
      <c r="H423" s="44" t="n"/>
      <c r="I423" s="36" t="n"/>
      <c r="J423" s="36" t="n"/>
      <c r="K423" s="41" t="n"/>
      <c r="L423" s="41" t="n"/>
      <c r="M423" s="36" t="n"/>
      <c r="N423" s="36" t="n"/>
      <c r="O423" s="32" t="n"/>
      <c r="P423" s="36" t="n"/>
      <c r="Q423" s="36" t="n"/>
      <c r="R423" s="34">
        <f>IF(P423="","",IFERROR(VLOOKUP(P423,T_Produits,2,FALSE),""))</f>
        <v/>
      </c>
      <c r="S423" s="36" t="n"/>
      <c r="T423" s="43" t="n"/>
      <c r="U423" s="43" t="n"/>
      <c r="V423" s="36" t="n"/>
      <c r="W423" s="36" t="n"/>
      <c r="X423" s="33">
        <f>IF(C423="","",Commercial_Id)</f>
        <v/>
      </c>
      <c r="Y423" s="33">
        <f>IF(E423="","",IF(E423="Particulier / ménage","Particulier","Entreprise"))</f>
        <v/>
      </c>
      <c r="Z423" s="39">
        <f>IF(C423="","",COUNTIFS(VC_cle,AK423,VC_type,"Visite sur place"))</f>
        <v/>
      </c>
      <c r="AA423" s="46">
        <f>IF(AL423=0,"",IF(INT(AL423)=0,"",INT(AL423)))</f>
        <v/>
      </c>
      <c r="AB423" s="46">
        <f>IF(AL423=0,"",IF(INDEX(VC_actiondate,ROUND(MOD(AL423,1)*100000,0)-5)=0,"",INDEX(VC_actiondate,ROUND(MOD(AL423,1)*100000,0)-5)))</f>
        <v/>
      </c>
      <c r="AC423" s="33">
        <f>IF(AL423=0,"",INDEX(VC_actiontexte,ROUND(MOD(AL423,1)*100000,0)-5)&amp;"")</f>
        <v/>
      </c>
      <c r="AD423" s="46">
        <f>IF(C423="","",IF(COUNTIFS(Cmd_cle,AK423,Cmd_dateca,"&gt;0")=0,"",SMALL(INDEX(Cmd_dateca+(((Cmd_cle&lt;&gt;AK423)+(Cmd_dateca=0))&gt;0)*1000000,0),1)))</f>
        <v/>
      </c>
      <c r="AE423" s="46">
        <f>IF(C423="","",IF(COUNTIFS(Cmd_cle,AK423,Cmd_dateca,"&gt;0")=0,"",MAX(INDEX((Cmd_cle=AK423)*Cmd_dateca,0))))</f>
        <v/>
      </c>
      <c r="AF423" s="40">
        <f>IF(C423="","",SUMIFS(Cmd_montant,Cmd_cle,AK423,Cmd_dateca,"&gt;0"))</f>
        <v/>
      </c>
      <c r="AG423" s="40">
        <f>IF(C423="","",SUMIFS(Enc_montant,Enc_cle,AK423))</f>
        <v/>
      </c>
      <c r="AH423" s="40">
        <f>IF(C423="","",AF423-AG423)</f>
        <v/>
      </c>
      <c r="AI423" s="33">
        <f>IF(C423="","",IF(D423="Perdu","",IF(AND(AB423&lt;&gt;"",N(AB423)&lt;TODAY()),"Action en retard",IF(AND(D423="Client",AE423&lt;&gt;"",TODAY()-N(AE423)&gt;P_JoursInactif),"Client inactif",IF(AND(D423="Prospect",Z423=0,O423&lt;&gt;"",TODAY()-N(O423)&gt;P_JoursNonVisite),"Jamais visité","")))))</f>
        <v/>
      </c>
      <c r="AJ423" s="33">
        <f>IF(C423="","",C423&amp;" ["&amp;TEXT(A423,"000")&amp;"]")</f>
        <v/>
      </c>
      <c r="AK423" s="33">
        <f>IF(C423="","",X423&amp;"|"&amp;A423)</f>
        <v/>
      </c>
      <c r="AL423" s="47">
        <f>IF(C423="",0,IF(COUNTIFS(VC_cle,AK423)=0,0,MAX(INDEX((VC_cle=AK423)*(VC_date+ROW(VC_date)/100000),0))))</f>
        <v/>
      </c>
      <c r="AM423" s="47">
        <f>IF(AND(C423&lt;&gt;"",N(AB423)&gt;0,D423&lt;&gt;"Perdu"),AB423+ROW()/100000,0)</f>
        <v/>
      </c>
      <c r="AN423" s="48">
        <f>IF(N(AF423)&gt;0,ROUND(AF423,0)+ROW()/1000000,0)</f>
        <v/>
      </c>
    </row>
    <row r="424" ht="18" customHeight="1">
      <c r="A424" s="39" t="n">
        <v>419</v>
      </c>
      <c r="B424" s="33">
        <f>IF(C424="","",IF(X424="À RENSEIGNER","GIC",X424)&amp;"-"&amp;TEXT(A424,"000"))</f>
        <v/>
      </c>
      <c r="C424" s="36" t="n"/>
      <c r="D424" s="34">
        <f>IF(C424="","",IF(U424="☑ Oui","Perdu",IF(AD424&lt;&gt;"","Client","Prospect")))</f>
        <v/>
      </c>
      <c r="E424" s="36" t="n"/>
      <c r="F424" s="36" t="n"/>
      <c r="G424" s="44" t="n"/>
      <c r="H424" s="44" t="n"/>
      <c r="I424" s="36" t="n"/>
      <c r="J424" s="36" t="n"/>
      <c r="K424" s="41" t="n"/>
      <c r="L424" s="41" t="n"/>
      <c r="M424" s="36" t="n"/>
      <c r="N424" s="36" t="n"/>
      <c r="O424" s="32" t="n"/>
      <c r="P424" s="36" t="n"/>
      <c r="Q424" s="36" t="n"/>
      <c r="R424" s="34">
        <f>IF(P424="","",IFERROR(VLOOKUP(P424,T_Produits,2,FALSE),""))</f>
        <v/>
      </c>
      <c r="S424" s="36" t="n"/>
      <c r="T424" s="43" t="n"/>
      <c r="U424" s="43" t="n"/>
      <c r="V424" s="36" t="n"/>
      <c r="W424" s="36" t="n"/>
      <c r="X424" s="33">
        <f>IF(C424="","",Commercial_Id)</f>
        <v/>
      </c>
      <c r="Y424" s="33">
        <f>IF(E424="","",IF(E424="Particulier / ménage","Particulier","Entreprise"))</f>
        <v/>
      </c>
      <c r="Z424" s="39">
        <f>IF(C424="","",COUNTIFS(VC_cle,AK424,VC_type,"Visite sur place"))</f>
        <v/>
      </c>
      <c r="AA424" s="46">
        <f>IF(AL424=0,"",IF(INT(AL424)=0,"",INT(AL424)))</f>
        <v/>
      </c>
      <c r="AB424" s="46">
        <f>IF(AL424=0,"",IF(INDEX(VC_actiondate,ROUND(MOD(AL424,1)*100000,0)-5)=0,"",INDEX(VC_actiondate,ROUND(MOD(AL424,1)*100000,0)-5)))</f>
        <v/>
      </c>
      <c r="AC424" s="33">
        <f>IF(AL424=0,"",INDEX(VC_actiontexte,ROUND(MOD(AL424,1)*100000,0)-5)&amp;"")</f>
        <v/>
      </c>
      <c r="AD424" s="46">
        <f>IF(C424="","",IF(COUNTIFS(Cmd_cle,AK424,Cmd_dateca,"&gt;0")=0,"",SMALL(INDEX(Cmd_dateca+(((Cmd_cle&lt;&gt;AK424)+(Cmd_dateca=0))&gt;0)*1000000,0),1)))</f>
        <v/>
      </c>
      <c r="AE424" s="46">
        <f>IF(C424="","",IF(COUNTIFS(Cmd_cle,AK424,Cmd_dateca,"&gt;0")=0,"",MAX(INDEX((Cmd_cle=AK424)*Cmd_dateca,0))))</f>
        <v/>
      </c>
      <c r="AF424" s="40">
        <f>IF(C424="","",SUMIFS(Cmd_montant,Cmd_cle,AK424,Cmd_dateca,"&gt;0"))</f>
        <v/>
      </c>
      <c r="AG424" s="40">
        <f>IF(C424="","",SUMIFS(Enc_montant,Enc_cle,AK424))</f>
        <v/>
      </c>
      <c r="AH424" s="40">
        <f>IF(C424="","",AF424-AG424)</f>
        <v/>
      </c>
      <c r="AI424" s="33">
        <f>IF(C424="","",IF(D424="Perdu","",IF(AND(AB424&lt;&gt;"",N(AB424)&lt;TODAY()),"Action en retard",IF(AND(D424="Client",AE424&lt;&gt;"",TODAY()-N(AE424)&gt;P_JoursInactif),"Client inactif",IF(AND(D424="Prospect",Z424=0,O424&lt;&gt;"",TODAY()-N(O424)&gt;P_JoursNonVisite),"Jamais visité","")))))</f>
        <v/>
      </c>
      <c r="AJ424" s="33">
        <f>IF(C424="","",C424&amp;" ["&amp;TEXT(A424,"000")&amp;"]")</f>
        <v/>
      </c>
      <c r="AK424" s="33">
        <f>IF(C424="","",X424&amp;"|"&amp;A424)</f>
        <v/>
      </c>
      <c r="AL424" s="47">
        <f>IF(C424="",0,IF(COUNTIFS(VC_cle,AK424)=0,0,MAX(INDEX((VC_cle=AK424)*(VC_date+ROW(VC_date)/100000),0))))</f>
        <v/>
      </c>
      <c r="AM424" s="47">
        <f>IF(AND(C424&lt;&gt;"",N(AB424)&gt;0,D424&lt;&gt;"Perdu"),AB424+ROW()/100000,0)</f>
        <v/>
      </c>
      <c r="AN424" s="48">
        <f>IF(N(AF424)&gt;0,ROUND(AF424,0)+ROW()/1000000,0)</f>
        <v/>
      </c>
    </row>
    <row r="425" ht="18" customHeight="1">
      <c r="A425" s="39" t="n">
        <v>420</v>
      </c>
      <c r="B425" s="33">
        <f>IF(C425="","",IF(X425="À RENSEIGNER","GIC",X425)&amp;"-"&amp;TEXT(A425,"000"))</f>
        <v/>
      </c>
      <c r="C425" s="36" t="n"/>
      <c r="D425" s="34">
        <f>IF(C425="","",IF(U425="☑ Oui","Perdu",IF(AD425&lt;&gt;"","Client","Prospect")))</f>
        <v/>
      </c>
      <c r="E425" s="36" t="n"/>
      <c r="F425" s="36" t="n"/>
      <c r="G425" s="44" t="n"/>
      <c r="H425" s="44" t="n"/>
      <c r="I425" s="36" t="n"/>
      <c r="J425" s="36" t="n"/>
      <c r="K425" s="41" t="n"/>
      <c r="L425" s="41" t="n"/>
      <c r="M425" s="36" t="n"/>
      <c r="N425" s="36" t="n"/>
      <c r="O425" s="32" t="n"/>
      <c r="P425" s="36" t="n"/>
      <c r="Q425" s="36" t="n"/>
      <c r="R425" s="34">
        <f>IF(P425="","",IFERROR(VLOOKUP(P425,T_Produits,2,FALSE),""))</f>
        <v/>
      </c>
      <c r="S425" s="36" t="n"/>
      <c r="T425" s="43" t="n"/>
      <c r="U425" s="43" t="n"/>
      <c r="V425" s="36" t="n"/>
      <c r="W425" s="36" t="n"/>
      <c r="X425" s="33">
        <f>IF(C425="","",Commercial_Id)</f>
        <v/>
      </c>
      <c r="Y425" s="33">
        <f>IF(E425="","",IF(E425="Particulier / ménage","Particulier","Entreprise"))</f>
        <v/>
      </c>
      <c r="Z425" s="39">
        <f>IF(C425="","",COUNTIFS(VC_cle,AK425,VC_type,"Visite sur place"))</f>
        <v/>
      </c>
      <c r="AA425" s="46">
        <f>IF(AL425=0,"",IF(INT(AL425)=0,"",INT(AL425)))</f>
        <v/>
      </c>
      <c r="AB425" s="46">
        <f>IF(AL425=0,"",IF(INDEX(VC_actiondate,ROUND(MOD(AL425,1)*100000,0)-5)=0,"",INDEX(VC_actiondate,ROUND(MOD(AL425,1)*100000,0)-5)))</f>
        <v/>
      </c>
      <c r="AC425" s="33">
        <f>IF(AL425=0,"",INDEX(VC_actiontexte,ROUND(MOD(AL425,1)*100000,0)-5)&amp;"")</f>
        <v/>
      </c>
      <c r="AD425" s="46">
        <f>IF(C425="","",IF(COUNTIFS(Cmd_cle,AK425,Cmd_dateca,"&gt;0")=0,"",SMALL(INDEX(Cmd_dateca+(((Cmd_cle&lt;&gt;AK425)+(Cmd_dateca=0))&gt;0)*1000000,0),1)))</f>
        <v/>
      </c>
      <c r="AE425" s="46">
        <f>IF(C425="","",IF(COUNTIFS(Cmd_cle,AK425,Cmd_dateca,"&gt;0")=0,"",MAX(INDEX((Cmd_cle=AK425)*Cmd_dateca,0))))</f>
        <v/>
      </c>
      <c r="AF425" s="40">
        <f>IF(C425="","",SUMIFS(Cmd_montant,Cmd_cle,AK425,Cmd_dateca,"&gt;0"))</f>
        <v/>
      </c>
      <c r="AG425" s="40">
        <f>IF(C425="","",SUMIFS(Enc_montant,Enc_cle,AK425))</f>
        <v/>
      </c>
      <c r="AH425" s="40">
        <f>IF(C425="","",AF425-AG425)</f>
        <v/>
      </c>
      <c r="AI425" s="33">
        <f>IF(C425="","",IF(D425="Perdu","",IF(AND(AB425&lt;&gt;"",N(AB425)&lt;TODAY()),"Action en retard",IF(AND(D425="Client",AE425&lt;&gt;"",TODAY()-N(AE425)&gt;P_JoursInactif),"Client inactif",IF(AND(D425="Prospect",Z425=0,O425&lt;&gt;"",TODAY()-N(O425)&gt;P_JoursNonVisite),"Jamais visité","")))))</f>
        <v/>
      </c>
      <c r="AJ425" s="33">
        <f>IF(C425="","",C425&amp;" ["&amp;TEXT(A425,"000")&amp;"]")</f>
        <v/>
      </c>
      <c r="AK425" s="33">
        <f>IF(C425="","",X425&amp;"|"&amp;A425)</f>
        <v/>
      </c>
      <c r="AL425" s="47">
        <f>IF(C425="",0,IF(COUNTIFS(VC_cle,AK425)=0,0,MAX(INDEX((VC_cle=AK425)*(VC_date+ROW(VC_date)/100000),0))))</f>
        <v/>
      </c>
      <c r="AM425" s="47">
        <f>IF(AND(C425&lt;&gt;"",N(AB425)&gt;0,D425&lt;&gt;"Perdu"),AB425+ROW()/100000,0)</f>
        <v/>
      </c>
      <c r="AN425" s="48">
        <f>IF(N(AF425)&gt;0,ROUND(AF425,0)+ROW()/1000000,0)</f>
        <v/>
      </c>
    </row>
    <row r="426" ht="18" customHeight="1">
      <c r="A426" s="39" t="n">
        <v>421</v>
      </c>
      <c r="B426" s="33">
        <f>IF(C426="","",IF(X426="À RENSEIGNER","GIC",X426)&amp;"-"&amp;TEXT(A426,"000"))</f>
        <v/>
      </c>
      <c r="C426" s="36" t="n"/>
      <c r="D426" s="34">
        <f>IF(C426="","",IF(U426="☑ Oui","Perdu",IF(AD426&lt;&gt;"","Client","Prospect")))</f>
        <v/>
      </c>
      <c r="E426" s="36" t="n"/>
      <c r="F426" s="36" t="n"/>
      <c r="G426" s="44" t="n"/>
      <c r="H426" s="44" t="n"/>
      <c r="I426" s="36" t="n"/>
      <c r="J426" s="36" t="n"/>
      <c r="K426" s="41" t="n"/>
      <c r="L426" s="41" t="n"/>
      <c r="M426" s="36" t="n"/>
      <c r="N426" s="36" t="n"/>
      <c r="O426" s="32" t="n"/>
      <c r="P426" s="36" t="n"/>
      <c r="Q426" s="36" t="n"/>
      <c r="R426" s="34">
        <f>IF(P426="","",IFERROR(VLOOKUP(P426,T_Produits,2,FALSE),""))</f>
        <v/>
      </c>
      <c r="S426" s="36" t="n"/>
      <c r="T426" s="43" t="n"/>
      <c r="U426" s="43" t="n"/>
      <c r="V426" s="36" t="n"/>
      <c r="W426" s="36" t="n"/>
      <c r="X426" s="33">
        <f>IF(C426="","",Commercial_Id)</f>
        <v/>
      </c>
      <c r="Y426" s="33">
        <f>IF(E426="","",IF(E426="Particulier / ménage","Particulier","Entreprise"))</f>
        <v/>
      </c>
      <c r="Z426" s="39">
        <f>IF(C426="","",COUNTIFS(VC_cle,AK426,VC_type,"Visite sur place"))</f>
        <v/>
      </c>
      <c r="AA426" s="46">
        <f>IF(AL426=0,"",IF(INT(AL426)=0,"",INT(AL426)))</f>
        <v/>
      </c>
      <c r="AB426" s="46">
        <f>IF(AL426=0,"",IF(INDEX(VC_actiondate,ROUND(MOD(AL426,1)*100000,0)-5)=0,"",INDEX(VC_actiondate,ROUND(MOD(AL426,1)*100000,0)-5)))</f>
        <v/>
      </c>
      <c r="AC426" s="33">
        <f>IF(AL426=0,"",INDEX(VC_actiontexte,ROUND(MOD(AL426,1)*100000,0)-5)&amp;"")</f>
        <v/>
      </c>
      <c r="AD426" s="46">
        <f>IF(C426="","",IF(COUNTIFS(Cmd_cle,AK426,Cmd_dateca,"&gt;0")=0,"",SMALL(INDEX(Cmd_dateca+(((Cmd_cle&lt;&gt;AK426)+(Cmd_dateca=0))&gt;0)*1000000,0),1)))</f>
        <v/>
      </c>
      <c r="AE426" s="46">
        <f>IF(C426="","",IF(COUNTIFS(Cmd_cle,AK426,Cmd_dateca,"&gt;0")=0,"",MAX(INDEX((Cmd_cle=AK426)*Cmd_dateca,0))))</f>
        <v/>
      </c>
      <c r="AF426" s="40">
        <f>IF(C426="","",SUMIFS(Cmd_montant,Cmd_cle,AK426,Cmd_dateca,"&gt;0"))</f>
        <v/>
      </c>
      <c r="AG426" s="40">
        <f>IF(C426="","",SUMIFS(Enc_montant,Enc_cle,AK426))</f>
        <v/>
      </c>
      <c r="AH426" s="40">
        <f>IF(C426="","",AF426-AG426)</f>
        <v/>
      </c>
      <c r="AI426" s="33">
        <f>IF(C426="","",IF(D426="Perdu","",IF(AND(AB426&lt;&gt;"",N(AB426)&lt;TODAY()),"Action en retard",IF(AND(D426="Client",AE426&lt;&gt;"",TODAY()-N(AE426)&gt;P_JoursInactif),"Client inactif",IF(AND(D426="Prospect",Z426=0,O426&lt;&gt;"",TODAY()-N(O426)&gt;P_JoursNonVisite),"Jamais visité","")))))</f>
        <v/>
      </c>
      <c r="AJ426" s="33">
        <f>IF(C426="","",C426&amp;" ["&amp;TEXT(A426,"000")&amp;"]")</f>
        <v/>
      </c>
      <c r="AK426" s="33">
        <f>IF(C426="","",X426&amp;"|"&amp;A426)</f>
        <v/>
      </c>
      <c r="AL426" s="47">
        <f>IF(C426="",0,IF(COUNTIFS(VC_cle,AK426)=0,0,MAX(INDEX((VC_cle=AK426)*(VC_date+ROW(VC_date)/100000),0))))</f>
        <v/>
      </c>
      <c r="AM426" s="47">
        <f>IF(AND(C426&lt;&gt;"",N(AB426)&gt;0,D426&lt;&gt;"Perdu"),AB426+ROW()/100000,0)</f>
        <v/>
      </c>
      <c r="AN426" s="48">
        <f>IF(N(AF426)&gt;0,ROUND(AF426,0)+ROW()/1000000,0)</f>
        <v/>
      </c>
    </row>
    <row r="427" ht="18" customHeight="1">
      <c r="A427" s="39" t="n">
        <v>422</v>
      </c>
      <c r="B427" s="33">
        <f>IF(C427="","",IF(X427="À RENSEIGNER","GIC",X427)&amp;"-"&amp;TEXT(A427,"000"))</f>
        <v/>
      </c>
      <c r="C427" s="36" t="n"/>
      <c r="D427" s="34">
        <f>IF(C427="","",IF(U427="☑ Oui","Perdu",IF(AD427&lt;&gt;"","Client","Prospect")))</f>
        <v/>
      </c>
      <c r="E427" s="36" t="n"/>
      <c r="F427" s="36" t="n"/>
      <c r="G427" s="44" t="n"/>
      <c r="H427" s="44" t="n"/>
      <c r="I427" s="36" t="n"/>
      <c r="J427" s="36" t="n"/>
      <c r="K427" s="41" t="n"/>
      <c r="L427" s="41" t="n"/>
      <c r="M427" s="36" t="n"/>
      <c r="N427" s="36" t="n"/>
      <c r="O427" s="32" t="n"/>
      <c r="P427" s="36" t="n"/>
      <c r="Q427" s="36" t="n"/>
      <c r="R427" s="34">
        <f>IF(P427="","",IFERROR(VLOOKUP(P427,T_Produits,2,FALSE),""))</f>
        <v/>
      </c>
      <c r="S427" s="36" t="n"/>
      <c r="T427" s="43" t="n"/>
      <c r="U427" s="43" t="n"/>
      <c r="V427" s="36" t="n"/>
      <c r="W427" s="36" t="n"/>
      <c r="X427" s="33">
        <f>IF(C427="","",Commercial_Id)</f>
        <v/>
      </c>
      <c r="Y427" s="33">
        <f>IF(E427="","",IF(E427="Particulier / ménage","Particulier","Entreprise"))</f>
        <v/>
      </c>
      <c r="Z427" s="39">
        <f>IF(C427="","",COUNTIFS(VC_cle,AK427,VC_type,"Visite sur place"))</f>
        <v/>
      </c>
      <c r="AA427" s="46">
        <f>IF(AL427=0,"",IF(INT(AL427)=0,"",INT(AL427)))</f>
        <v/>
      </c>
      <c r="AB427" s="46">
        <f>IF(AL427=0,"",IF(INDEX(VC_actiondate,ROUND(MOD(AL427,1)*100000,0)-5)=0,"",INDEX(VC_actiondate,ROUND(MOD(AL427,1)*100000,0)-5)))</f>
        <v/>
      </c>
      <c r="AC427" s="33">
        <f>IF(AL427=0,"",INDEX(VC_actiontexte,ROUND(MOD(AL427,1)*100000,0)-5)&amp;"")</f>
        <v/>
      </c>
      <c r="AD427" s="46">
        <f>IF(C427="","",IF(COUNTIFS(Cmd_cle,AK427,Cmd_dateca,"&gt;0")=0,"",SMALL(INDEX(Cmd_dateca+(((Cmd_cle&lt;&gt;AK427)+(Cmd_dateca=0))&gt;0)*1000000,0),1)))</f>
        <v/>
      </c>
      <c r="AE427" s="46">
        <f>IF(C427="","",IF(COUNTIFS(Cmd_cle,AK427,Cmd_dateca,"&gt;0")=0,"",MAX(INDEX((Cmd_cle=AK427)*Cmd_dateca,0))))</f>
        <v/>
      </c>
      <c r="AF427" s="40">
        <f>IF(C427="","",SUMIFS(Cmd_montant,Cmd_cle,AK427,Cmd_dateca,"&gt;0"))</f>
        <v/>
      </c>
      <c r="AG427" s="40">
        <f>IF(C427="","",SUMIFS(Enc_montant,Enc_cle,AK427))</f>
        <v/>
      </c>
      <c r="AH427" s="40">
        <f>IF(C427="","",AF427-AG427)</f>
        <v/>
      </c>
      <c r="AI427" s="33">
        <f>IF(C427="","",IF(D427="Perdu","",IF(AND(AB427&lt;&gt;"",N(AB427)&lt;TODAY()),"Action en retard",IF(AND(D427="Client",AE427&lt;&gt;"",TODAY()-N(AE427)&gt;P_JoursInactif),"Client inactif",IF(AND(D427="Prospect",Z427=0,O427&lt;&gt;"",TODAY()-N(O427)&gt;P_JoursNonVisite),"Jamais visité","")))))</f>
        <v/>
      </c>
      <c r="AJ427" s="33">
        <f>IF(C427="","",C427&amp;" ["&amp;TEXT(A427,"000")&amp;"]")</f>
        <v/>
      </c>
      <c r="AK427" s="33">
        <f>IF(C427="","",X427&amp;"|"&amp;A427)</f>
        <v/>
      </c>
      <c r="AL427" s="47">
        <f>IF(C427="",0,IF(COUNTIFS(VC_cle,AK427)=0,0,MAX(INDEX((VC_cle=AK427)*(VC_date+ROW(VC_date)/100000),0))))</f>
        <v/>
      </c>
      <c r="AM427" s="47">
        <f>IF(AND(C427&lt;&gt;"",N(AB427)&gt;0,D427&lt;&gt;"Perdu"),AB427+ROW()/100000,0)</f>
        <v/>
      </c>
      <c r="AN427" s="48">
        <f>IF(N(AF427)&gt;0,ROUND(AF427,0)+ROW()/1000000,0)</f>
        <v/>
      </c>
    </row>
    <row r="428" ht="18" customHeight="1">
      <c r="A428" s="39" t="n">
        <v>423</v>
      </c>
      <c r="B428" s="33">
        <f>IF(C428="","",IF(X428="À RENSEIGNER","GIC",X428)&amp;"-"&amp;TEXT(A428,"000"))</f>
        <v/>
      </c>
      <c r="C428" s="36" t="n"/>
      <c r="D428" s="34">
        <f>IF(C428="","",IF(U428="☑ Oui","Perdu",IF(AD428&lt;&gt;"","Client","Prospect")))</f>
        <v/>
      </c>
      <c r="E428" s="36" t="n"/>
      <c r="F428" s="36" t="n"/>
      <c r="G428" s="44" t="n"/>
      <c r="H428" s="44" t="n"/>
      <c r="I428" s="36" t="n"/>
      <c r="J428" s="36" t="n"/>
      <c r="K428" s="41" t="n"/>
      <c r="L428" s="41" t="n"/>
      <c r="M428" s="36" t="n"/>
      <c r="N428" s="36" t="n"/>
      <c r="O428" s="32" t="n"/>
      <c r="P428" s="36" t="n"/>
      <c r="Q428" s="36" t="n"/>
      <c r="R428" s="34">
        <f>IF(P428="","",IFERROR(VLOOKUP(P428,T_Produits,2,FALSE),""))</f>
        <v/>
      </c>
      <c r="S428" s="36" t="n"/>
      <c r="T428" s="43" t="n"/>
      <c r="U428" s="43" t="n"/>
      <c r="V428" s="36" t="n"/>
      <c r="W428" s="36" t="n"/>
      <c r="X428" s="33">
        <f>IF(C428="","",Commercial_Id)</f>
        <v/>
      </c>
      <c r="Y428" s="33">
        <f>IF(E428="","",IF(E428="Particulier / ménage","Particulier","Entreprise"))</f>
        <v/>
      </c>
      <c r="Z428" s="39">
        <f>IF(C428="","",COUNTIFS(VC_cle,AK428,VC_type,"Visite sur place"))</f>
        <v/>
      </c>
      <c r="AA428" s="46">
        <f>IF(AL428=0,"",IF(INT(AL428)=0,"",INT(AL428)))</f>
        <v/>
      </c>
      <c r="AB428" s="46">
        <f>IF(AL428=0,"",IF(INDEX(VC_actiondate,ROUND(MOD(AL428,1)*100000,0)-5)=0,"",INDEX(VC_actiondate,ROUND(MOD(AL428,1)*100000,0)-5)))</f>
        <v/>
      </c>
      <c r="AC428" s="33">
        <f>IF(AL428=0,"",INDEX(VC_actiontexte,ROUND(MOD(AL428,1)*100000,0)-5)&amp;"")</f>
        <v/>
      </c>
      <c r="AD428" s="46">
        <f>IF(C428="","",IF(COUNTIFS(Cmd_cle,AK428,Cmd_dateca,"&gt;0")=0,"",SMALL(INDEX(Cmd_dateca+(((Cmd_cle&lt;&gt;AK428)+(Cmd_dateca=0))&gt;0)*1000000,0),1)))</f>
        <v/>
      </c>
      <c r="AE428" s="46">
        <f>IF(C428="","",IF(COUNTIFS(Cmd_cle,AK428,Cmd_dateca,"&gt;0")=0,"",MAX(INDEX((Cmd_cle=AK428)*Cmd_dateca,0))))</f>
        <v/>
      </c>
      <c r="AF428" s="40">
        <f>IF(C428="","",SUMIFS(Cmd_montant,Cmd_cle,AK428,Cmd_dateca,"&gt;0"))</f>
        <v/>
      </c>
      <c r="AG428" s="40">
        <f>IF(C428="","",SUMIFS(Enc_montant,Enc_cle,AK428))</f>
        <v/>
      </c>
      <c r="AH428" s="40">
        <f>IF(C428="","",AF428-AG428)</f>
        <v/>
      </c>
      <c r="AI428" s="33">
        <f>IF(C428="","",IF(D428="Perdu","",IF(AND(AB428&lt;&gt;"",N(AB428)&lt;TODAY()),"Action en retard",IF(AND(D428="Client",AE428&lt;&gt;"",TODAY()-N(AE428)&gt;P_JoursInactif),"Client inactif",IF(AND(D428="Prospect",Z428=0,O428&lt;&gt;"",TODAY()-N(O428)&gt;P_JoursNonVisite),"Jamais visité","")))))</f>
        <v/>
      </c>
      <c r="AJ428" s="33">
        <f>IF(C428="","",C428&amp;" ["&amp;TEXT(A428,"000")&amp;"]")</f>
        <v/>
      </c>
      <c r="AK428" s="33">
        <f>IF(C428="","",X428&amp;"|"&amp;A428)</f>
        <v/>
      </c>
      <c r="AL428" s="47">
        <f>IF(C428="",0,IF(COUNTIFS(VC_cle,AK428)=0,0,MAX(INDEX((VC_cle=AK428)*(VC_date+ROW(VC_date)/100000),0))))</f>
        <v/>
      </c>
      <c r="AM428" s="47">
        <f>IF(AND(C428&lt;&gt;"",N(AB428)&gt;0,D428&lt;&gt;"Perdu"),AB428+ROW()/100000,0)</f>
        <v/>
      </c>
      <c r="AN428" s="48">
        <f>IF(N(AF428)&gt;0,ROUND(AF428,0)+ROW()/1000000,0)</f>
        <v/>
      </c>
    </row>
    <row r="429" ht="18" customHeight="1">
      <c r="A429" s="39" t="n">
        <v>424</v>
      </c>
      <c r="B429" s="33">
        <f>IF(C429="","",IF(X429="À RENSEIGNER","GIC",X429)&amp;"-"&amp;TEXT(A429,"000"))</f>
        <v/>
      </c>
      <c r="C429" s="36" t="n"/>
      <c r="D429" s="34">
        <f>IF(C429="","",IF(U429="☑ Oui","Perdu",IF(AD429&lt;&gt;"","Client","Prospect")))</f>
        <v/>
      </c>
      <c r="E429" s="36" t="n"/>
      <c r="F429" s="36" t="n"/>
      <c r="G429" s="44" t="n"/>
      <c r="H429" s="44" t="n"/>
      <c r="I429" s="36" t="n"/>
      <c r="J429" s="36" t="n"/>
      <c r="K429" s="41" t="n"/>
      <c r="L429" s="41" t="n"/>
      <c r="M429" s="36" t="n"/>
      <c r="N429" s="36" t="n"/>
      <c r="O429" s="32" t="n"/>
      <c r="P429" s="36" t="n"/>
      <c r="Q429" s="36" t="n"/>
      <c r="R429" s="34">
        <f>IF(P429="","",IFERROR(VLOOKUP(P429,T_Produits,2,FALSE),""))</f>
        <v/>
      </c>
      <c r="S429" s="36" t="n"/>
      <c r="T429" s="43" t="n"/>
      <c r="U429" s="43" t="n"/>
      <c r="V429" s="36" t="n"/>
      <c r="W429" s="36" t="n"/>
      <c r="X429" s="33">
        <f>IF(C429="","",Commercial_Id)</f>
        <v/>
      </c>
      <c r="Y429" s="33">
        <f>IF(E429="","",IF(E429="Particulier / ménage","Particulier","Entreprise"))</f>
        <v/>
      </c>
      <c r="Z429" s="39">
        <f>IF(C429="","",COUNTIFS(VC_cle,AK429,VC_type,"Visite sur place"))</f>
        <v/>
      </c>
      <c r="AA429" s="46">
        <f>IF(AL429=0,"",IF(INT(AL429)=0,"",INT(AL429)))</f>
        <v/>
      </c>
      <c r="AB429" s="46">
        <f>IF(AL429=0,"",IF(INDEX(VC_actiondate,ROUND(MOD(AL429,1)*100000,0)-5)=0,"",INDEX(VC_actiondate,ROUND(MOD(AL429,1)*100000,0)-5)))</f>
        <v/>
      </c>
      <c r="AC429" s="33">
        <f>IF(AL429=0,"",INDEX(VC_actiontexte,ROUND(MOD(AL429,1)*100000,0)-5)&amp;"")</f>
        <v/>
      </c>
      <c r="AD429" s="46">
        <f>IF(C429="","",IF(COUNTIFS(Cmd_cle,AK429,Cmd_dateca,"&gt;0")=0,"",SMALL(INDEX(Cmd_dateca+(((Cmd_cle&lt;&gt;AK429)+(Cmd_dateca=0))&gt;0)*1000000,0),1)))</f>
        <v/>
      </c>
      <c r="AE429" s="46">
        <f>IF(C429="","",IF(COUNTIFS(Cmd_cle,AK429,Cmd_dateca,"&gt;0")=0,"",MAX(INDEX((Cmd_cle=AK429)*Cmd_dateca,0))))</f>
        <v/>
      </c>
      <c r="AF429" s="40">
        <f>IF(C429="","",SUMIFS(Cmd_montant,Cmd_cle,AK429,Cmd_dateca,"&gt;0"))</f>
        <v/>
      </c>
      <c r="AG429" s="40">
        <f>IF(C429="","",SUMIFS(Enc_montant,Enc_cle,AK429))</f>
        <v/>
      </c>
      <c r="AH429" s="40">
        <f>IF(C429="","",AF429-AG429)</f>
        <v/>
      </c>
      <c r="AI429" s="33">
        <f>IF(C429="","",IF(D429="Perdu","",IF(AND(AB429&lt;&gt;"",N(AB429)&lt;TODAY()),"Action en retard",IF(AND(D429="Client",AE429&lt;&gt;"",TODAY()-N(AE429)&gt;P_JoursInactif),"Client inactif",IF(AND(D429="Prospect",Z429=0,O429&lt;&gt;"",TODAY()-N(O429)&gt;P_JoursNonVisite),"Jamais visité","")))))</f>
        <v/>
      </c>
      <c r="AJ429" s="33">
        <f>IF(C429="","",C429&amp;" ["&amp;TEXT(A429,"000")&amp;"]")</f>
        <v/>
      </c>
      <c r="AK429" s="33">
        <f>IF(C429="","",X429&amp;"|"&amp;A429)</f>
        <v/>
      </c>
      <c r="AL429" s="47">
        <f>IF(C429="",0,IF(COUNTIFS(VC_cle,AK429)=0,0,MAX(INDEX((VC_cle=AK429)*(VC_date+ROW(VC_date)/100000),0))))</f>
        <v/>
      </c>
      <c r="AM429" s="47">
        <f>IF(AND(C429&lt;&gt;"",N(AB429)&gt;0,D429&lt;&gt;"Perdu"),AB429+ROW()/100000,0)</f>
        <v/>
      </c>
      <c r="AN429" s="48">
        <f>IF(N(AF429)&gt;0,ROUND(AF429,0)+ROW()/1000000,0)</f>
        <v/>
      </c>
    </row>
    <row r="430" ht="18" customHeight="1">
      <c r="A430" s="39" t="n">
        <v>425</v>
      </c>
      <c r="B430" s="33">
        <f>IF(C430="","",IF(X430="À RENSEIGNER","GIC",X430)&amp;"-"&amp;TEXT(A430,"000"))</f>
        <v/>
      </c>
      <c r="C430" s="36" t="n"/>
      <c r="D430" s="34">
        <f>IF(C430="","",IF(U430="☑ Oui","Perdu",IF(AD430&lt;&gt;"","Client","Prospect")))</f>
        <v/>
      </c>
      <c r="E430" s="36" t="n"/>
      <c r="F430" s="36" t="n"/>
      <c r="G430" s="44" t="n"/>
      <c r="H430" s="44" t="n"/>
      <c r="I430" s="36" t="n"/>
      <c r="J430" s="36" t="n"/>
      <c r="K430" s="41" t="n"/>
      <c r="L430" s="41" t="n"/>
      <c r="M430" s="36" t="n"/>
      <c r="N430" s="36" t="n"/>
      <c r="O430" s="32" t="n"/>
      <c r="P430" s="36" t="n"/>
      <c r="Q430" s="36" t="n"/>
      <c r="R430" s="34">
        <f>IF(P430="","",IFERROR(VLOOKUP(P430,T_Produits,2,FALSE),""))</f>
        <v/>
      </c>
      <c r="S430" s="36" t="n"/>
      <c r="T430" s="43" t="n"/>
      <c r="U430" s="43" t="n"/>
      <c r="V430" s="36" t="n"/>
      <c r="W430" s="36" t="n"/>
      <c r="X430" s="33">
        <f>IF(C430="","",Commercial_Id)</f>
        <v/>
      </c>
      <c r="Y430" s="33">
        <f>IF(E430="","",IF(E430="Particulier / ménage","Particulier","Entreprise"))</f>
        <v/>
      </c>
      <c r="Z430" s="39">
        <f>IF(C430="","",COUNTIFS(VC_cle,AK430,VC_type,"Visite sur place"))</f>
        <v/>
      </c>
      <c r="AA430" s="46">
        <f>IF(AL430=0,"",IF(INT(AL430)=0,"",INT(AL430)))</f>
        <v/>
      </c>
      <c r="AB430" s="46">
        <f>IF(AL430=0,"",IF(INDEX(VC_actiondate,ROUND(MOD(AL430,1)*100000,0)-5)=0,"",INDEX(VC_actiondate,ROUND(MOD(AL430,1)*100000,0)-5)))</f>
        <v/>
      </c>
      <c r="AC430" s="33">
        <f>IF(AL430=0,"",INDEX(VC_actiontexte,ROUND(MOD(AL430,1)*100000,0)-5)&amp;"")</f>
        <v/>
      </c>
      <c r="AD430" s="46">
        <f>IF(C430="","",IF(COUNTIFS(Cmd_cle,AK430,Cmd_dateca,"&gt;0")=0,"",SMALL(INDEX(Cmd_dateca+(((Cmd_cle&lt;&gt;AK430)+(Cmd_dateca=0))&gt;0)*1000000,0),1)))</f>
        <v/>
      </c>
      <c r="AE430" s="46">
        <f>IF(C430="","",IF(COUNTIFS(Cmd_cle,AK430,Cmd_dateca,"&gt;0")=0,"",MAX(INDEX((Cmd_cle=AK430)*Cmd_dateca,0))))</f>
        <v/>
      </c>
      <c r="AF430" s="40">
        <f>IF(C430="","",SUMIFS(Cmd_montant,Cmd_cle,AK430,Cmd_dateca,"&gt;0"))</f>
        <v/>
      </c>
      <c r="AG430" s="40">
        <f>IF(C430="","",SUMIFS(Enc_montant,Enc_cle,AK430))</f>
        <v/>
      </c>
      <c r="AH430" s="40">
        <f>IF(C430="","",AF430-AG430)</f>
        <v/>
      </c>
      <c r="AI430" s="33">
        <f>IF(C430="","",IF(D430="Perdu","",IF(AND(AB430&lt;&gt;"",N(AB430)&lt;TODAY()),"Action en retard",IF(AND(D430="Client",AE430&lt;&gt;"",TODAY()-N(AE430)&gt;P_JoursInactif),"Client inactif",IF(AND(D430="Prospect",Z430=0,O430&lt;&gt;"",TODAY()-N(O430)&gt;P_JoursNonVisite),"Jamais visité","")))))</f>
        <v/>
      </c>
      <c r="AJ430" s="33">
        <f>IF(C430="","",C430&amp;" ["&amp;TEXT(A430,"000")&amp;"]")</f>
        <v/>
      </c>
      <c r="AK430" s="33">
        <f>IF(C430="","",X430&amp;"|"&amp;A430)</f>
        <v/>
      </c>
      <c r="AL430" s="47">
        <f>IF(C430="",0,IF(COUNTIFS(VC_cle,AK430)=0,0,MAX(INDEX((VC_cle=AK430)*(VC_date+ROW(VC_date)/100000),0))))</f>
        <v/>
      </c>
      <c r="AM430" s="47">
        <f>IF(AND(C430&lt;&gt;"",N(AB430)&gt;0,D430&lt;&gt;"Perdu"),AB430+ROW()/100000,0)</f>
        <v/>
      </c>
      <c r="AN430" s="48">
        <f>IF(N(AF430)&gt;0,ROUND(AF430,0)+ROW()/1000000,0)</f>
        <v/>
      </c>
    </row>
    <row r="431" ht="18" customHeight="1">
      <c r="A431" s="39" t="n">
        <v>426</v>
      </c>
      <c r="B431" s="33">
        <f>IF(C431="","",IF(X431="À RENSEIGNER","GIC",X431)&amp;"-"&amp;TEXT(A431,"000"))</f>
        <v/>
      </c>
      <c r="C431" s="36" t="n"/>
      <c r="D431" s="34">
        <f>IF(C431="","",IF(U431="☑ Oui","Perdu",IF(AD431&lt;&gt;"","Client","Prospect")))</f>
        <v/>
      </c>
      <c r="E431" s="36" t="n"/>
      <c r="F431" s="36" t="n"/>
      <c r="G431" s="44" t="n"/>
      <c r="H431" s="44" t="n"/>
      <c r="I431" s="36" t="n"/>
      <c r="J431" s="36" t="n"/>
      <c r="K431" s="41" t="n"/>
      <c r="L431" s="41" t="n"/>
      <c r="M431" s="36" t="n"/>
      <c r="N431" s="36" t="n"/>
      <c r="O431" s="32" t="n"/>
      <c r="P431" s="36" t="n"/>
      <c r="Q431" s="36" t="n"/>
      <c r="R431" s="34">
        <f>IF(P431="","",IFERROR(VLOOKUP(P431,T_Produits,2,FALSE),""))</f>
        <v/>
      </c>
      <c r="S431" s="36" t="n"/>
      <c r="T431" s="43" t="n"/>
      <c r="U431" s="43" t="n"/>
      <c r="V431" s="36" t="n"/>
      <c r="W431" s="36" t="n"/>
      <c r="X431" s="33">
        <f>IF(C431="","",Commercial_Id)</f>
        <v/>
      </c>
      <c r="Y431" s="33">
        <f>IF(E431="","",IF(E431="Particulier / ménage","Particulier","Entreprise"))</f>
        <v/>
      </c>
      <c r="Z431" s="39">
        <f>IF(C431="","",COUNTIFS(VC_cle,AK431,VC_type,"Visite sur place"))</f>
        <v/>
      </c>
      <c r="AA431" s="46">
        <f>IF(AL431=0,"",IF(INT(AL431)=0,"",INT(AL431)))</f>
        <v/>
      </c>
      <c r="AB431" s="46">
        <f>IF(AL431=0,"",IF(INDEX(VC_actiondate,ROUND(MOD(AL431,1)*100000,0)-5)=0,"",INDEX(VC_actiondate,ROUND(MOD(AL431,1)*100000,0)-5)))</f>
        <v/>
      </c>
      <c r="AC431" s="33">
        <f>IF(AL431=0,"",INDEX(VC_actiontexte,ROUND(MOD(AL431,1)*100000,0)-5)&amp;"")</f>
        <v/>
      </c>
      <c r="AD431" s="46">
        <f>IF(C431="","",IF(COUNTIFS(Cmd_cle,AK431,Cmd_dateca,"&gt;0")=0,"",SMALL(INDEX(Cmd_dateca+(((Cmd_cle&lt;&gt;AK431)+(Cmd_dateca=0))&gt;0)*1000000,0),1)))</f>
        <v/>
      </c>
      <c r="AE431" s="46">
        <f>IF(C431="","",IF(COUNTIFS(Cmd_cle,AK431,Cmd_dateca,"&gt;0")=0,"",MAX(INDEX((Cmd_cle=AK431)*Cmd_dateca,0))))</f>
        <v/>
      </c>
      <c r="AF431" s="40">
        <f>IF(C431="","",SUMIFS(Cmd_montant,Cmd_cle,AK431,Cmd_dateca,"&gt;0"))</f>
        <v/>
      </c>
      <c r="AG431" s="40">
        <f>IF(C431="","",SUMIFS(Enc_montant,Enc_cle,AK431))</f>
        <v/>
      </c>
      <c r="AH431" s="40">
        <f>IF(C431="","",AF431-AG431)</f>
        <v/>
      </c>
      <c r="AI431" s="33">
        <f>IF(C431="","",IF(D431="Perdu","",IF(AND(AB431&lt;&gt;"",N(AB431)&lt;TODAY()),"Action en retard",IF(AND(D431="Client",AE431&lt;&gt;"",TODAY()-N(AE431)&gt;P_JoursInactif),"Client inactif",IF(AND(D431="Prospect",Z431=0,O431&lt;&gt;"",TODAY()-N(O431)&gt;P_JoursNonVisite),"Jamais visité","")))))</f>
        <v/>
      </c>
      <c r="AJ431" s="33">
        <f>IF(C431="","",C431&amp;" ["&amp;TEXT(A431,"000")&amp;"]")</f>
        <v/>
      </c>
      <c r="AK431" s="33">
        <f>IF(C431="","",X431&amp;"|"&amp;A431)</f>
        <v/>
      </c>
      <c r="AL431" s="47">
        <f>IF(C431="",0,IF(COUNTIFS(VC_cle,AK431)=0,0,MAX(INDEX((VC_cle=AK431)*(VC_date+ROW(VC_date)/100000),0))))</f>
        <v/>
      </c>
      <c r="AM431" s="47">
        <f>IF(AND(C431&lt;&gt;"",N(AB431)&gt;0,D431&lt;&gt;"Perdu"),AB431+ROW()/100000,0)</f>
        <v/>
      </c>
      <c r="AN431" s="48">
        <f>IF(N(AF431)&gt;0,ROUND(AF431,0)+ROW()/1000000,0)</f>
        <v/>
      </c>
    </row>
    <row r="432" ht="18" customHeight="1">
      <c r="A432" s="39" t="n">
        <v>427</v>
      </c>
      <c r="B432" s="33">
        <f>IF(C432="","",IF(X432="À RENSEIGNER","GIC",X432)&amp;"-"&amp;TEXT(A432,"000"))</f>
        <v/>
      </c>
      <c r="C432" s="36" t="n"/>
      <c r="D432" s="34">
        <f>IF(C432="","",IF(U432="☑ Oui","Perdu",IF(AD432&lt;&gt;"","Client","Prospect")))</f>
        <v/>
      </c>
      <c r="E432" s="36" t="n"/>
      <c r="F432" s="36" t="n"/>
      <c r="G432" s="44" t="n"/>
      <c r="H432" s="44" t="n"/>
      <c r="I432" s="36" t="n"/>
      <c r="J432" s="36" t="n"/>
      <c r="K432" s="41" t="n"/>
      <c r="L432" s="41" t="n"/>
      <c r="M432" s="36" t="n"/>
      <c r="N432" s="36" t="n"/>
      <c r="O432" s="32" t="n"/>
      <c r="P432" s="36" t="n"/>
      <c r="Q432" s="36" t="n"/>
      <c r="R432" s="34">
        <f>IF(P432="","",IFERROR(VLOOKUP(P432,T_Produits,2,FALSE),""))</f>
        <v/>
      </c>
      <c r="S432" s="36" t="n"/>
      <c r="T432" s="43" t="n"/>
      <c r="U432" s="43" t="n"/>
      <c r="V432" s="36" t="n"/>
      <c r="W432" s="36" t="n"/>
      <c r="X432" s="33">
        <f>IF(C432="","",Commercial_Id)</f>
        <v/>
      </c>
      <c r="Y432" s="33">
        <f>IF(E432="","",IF(E432="Particulier / ménage","Particulier","Entreprise"))</f>
        <v/>
      </c>
      <c r="Z432" s="39">
        <f>IF(C432="","",COUNTIFS(VC_cle,AK432,VC_type,"Visite sur place"))</f>
        <v/>
      </c>
      <c r="AA432" s="46">
        <f>IF(AL432=0,"",IF(INT(AL432)=0,"",INT(AL432)))</f>
        <v/>
      </c>
      <c r="AB432" s="46">
        <f>IF(AL432=0,"",IF(INDEX(VC_actiondate,ROUND(MOD(AL432,1)*100000,0)-5)=0,"",INDEX(VC_actiondate,ROUND(MOD(AL432,1)*100000,0)-5)))</f>
        <v/>
      </c>
      <c r="AC432" s="33">
        <f>IF(AL432=0,"",INDEX(VC_actiontexte,ROUND(MOD(AL432,1)*100000,0)-5)&amp;"")</f>
        <v/>
      </c>
      <c r="AD432" s="46">
        <f>IF(C432="","",IF(COUNTIFS(Cmd_cle,AK432,Cmd_dateca,"&gt;0")=0,"",SMALL(INDEX(Cmd_dateca+(((Cmd_cle&lt;&gt;AK432)+(Cmd_dateca=0))&gt;0)*1000000,0),1)))</f>
        <v/>
      </c>
      <c r="AE432" s="46">
        <f>IF(C432="","",IF(COUNTIFS(Cmd_cle,AK432,Cmd_dateca,"&gt;0")=0,"",MAX(INDEX((Cmd_cle=AK432)*Cmd_dateca,0))))</f>
        <v/>
      </c>
      <c r="AF432" s="40">
        <f>IF(C432="","",SUMIFS(Cmd_montant,Cmd_cle,AK432,Cmd_dateca,"&gt;0"))</f>
        <v/>
      </c>
      <c r="AG432" s="40">
        <f>IF(C432="","",SUMIFS(Enc_montant,Enc_cle,AK432))</f>
        <v/>
      </c>
      <c r="AH432" s="40">
        <f>IF(C432="","",AF432-AG432)</f>
        <v/>
      </c>
      <c r="AI432" s="33">
        <f>IF(C432="","",IF(D432="Perdu","",IF(AND(AB432&lt;&gt;"",N(AB432)&lt;TODAY()),"Action en retard",IF(AND(D432="Client",AE432&lt;&gt;"",TODAY()-N(AE432)&gt;P_JoursInactif),"Client inactif",IF(AND(D432="Prospect",Z432=0,O432&lt;&gt;"",TODAY()-N(O432)&gt;P_JoursNonVisite),"Jamais visité","")))))</f>
        <v/>
      </c>
      <c r="AJ432" s="33">
        <f>IF(C432="","",C432&amp;" ["&amp;TEXT(A432,"000")&amp;"]")</f>
        <v/>
      </c>
      <c r="AK432" s="33">
        <f>IF(C432="","",X432&amp;"|"&amp;A432)</f>
        <v/>
      </c>
      <c r="AL432" s="47">
        <f>IF(C432="",0,IF(COUNTIFS(VC_cle,AK432)=0,0,MAX(INDEX((VC_cle=AK432)*(VC_date+ROW(VC_date)/100000),0))))</f>
        <v/>
      </c>
      <c r="AM432" s="47">
        <f>IF(AND(C432&lt;&gt;"",N(AB432)&gt;0,D432&lt;&gt;"Perdu"),AB432+ROW()/100000,0)</f>
        <v/>
      </c>
      <c r="AN432" s="48">
        <f>IF(N(AF432)&gt;0,ROUND(AF432,0)+ROW()/1000000,0)</f>
        <v/>
      </c>
    </row>
    <row r="433" ht="18" customHeight="1">
      <c r="A433" s="39" t="n">
        <v>428</v>
      </c>
      <c r="B433" s="33">
        <f>IF(C433="","",IF(X433="À RENSEIGNER","GIC",X433)&amp;"-"&amp;TEXT(A433,"000"))</f>
        <v/>
      </c>
      <c r="C433" s="36" t="n"/>
      <c r="D433" s="34">
        <f>IF(C433="","",IF(U433="☑ Oui","Perdu",IF(AD433&lt;&gt;"","Client","Prospect")))</f>
        <v/>
      </c>
      <c r="E433" s="36" t="n"/>
      <c r="F433" s="36" t="n"/>
      <c r="G433" s="44" t="n"/>
      <c r="H433" s="44" t="n"/>
      <c r="I433" s="36" t="n"/>
      <c r="J433" s="36" t="n"/>
      <c r="K433" s="41" t="n"/>
      <c r="L433" s="41" t="n"/>
      <c r="M433" s="36" t="n"/>
      <c r="N433" s="36" t="n"/>
      <c r="O433" s="32" t="n"/>
      <c r="P433" s="36" t="n"/>
      <c r="Q433" s="36" t="n"/>
      <c r="R433" s="34">
        <f>IF(P433="","",IFERROR(VLOOKUP(P433,T_Produits,2,FALSE),""))</f>
        <v/>
      </c>
      <c r="S433" s="36" t="n"/>
      <c r="T433" s="43" t="n"/>
      <c r="U433" s="43" t="n"/>
      <c r="V433" s="36" t="n"/>
      <c r="W433" s="36" t="n"/>
      <c r="X433" s="33">
        <f>IF(C433="","",Commercial_Id)</f>
        <v/>
      </c>
      <c r="Y433" s="33">
        <f>IF(E433="","",IF(E433="Particulier / ménage","Particulier","Entreprise"))</f>
        <v/>
      </c>
      <c r="Z433" s="39">
        <f>IF(C433="","",COUNTIFS(VC_cle,AK433,VC_type,"Visite sur place"))</f>
        <v/>
      </c>
      <c r="AA433" s="46">
        <f>IF(AL433=0,"",IF(INT(AL433)=0,"",INT(AL433)))</f>
        <v/>
      </c>
      <c r="AB433" s="46">
        <f>IF(AL433=0,"",IF(INDEX(VC_actiondate,ROUND(MOD(AL433,1)*100000,0)-5)=0,"",INDEX(VC_actiondate,ROUND(MOD(AL433,1)*100000,0)-5)))</f>
        <v/>
      </c>
      <c r="AC433" s="33">
        <f>IF(AL433=0,"",INDEX(VC_actiontexte,ROUND(MOD(AL433,1)*100000,0)-5)&amp;"")</f>
        <v/>
      </c>
      <c r="AD433" s="46">
        <f>IF(C433="","",IF(COUNTIFS(Cmd_cle,AK433,Cmd_dateca,"&gt;0")=0,"",SMALL(INDEX(Cmd_dateca+(((Cmd_cle&lt;&gt;AK433)+(Cmd_dateca=0))&gt;0)*1000000,0),1)))</f>
        <v/>
      </c>
      <c r="AE433" s="46">
        <f>IF(C433="","",IF(COUNTIFS(Cmd_cle,AK433,Cmd_dateca,"&gt;0")=0,"",MAX(INDEX((Cmd_cle=AK433)*Cmd_dateca,0))))</f>
        <v/>
      </c>
      <c r="AF433" s="40">
        <f>IF(C433="","",SUMIFS(Cmd_montant,Cmd_cle,AK433,Cmd_dateca,"&gt;0"))</f>
        <v/>
      </c>
      <c r="AG433" s="40">
        <f>IF(C433="","",SUMIFS(Enc_montant,Enc_cle,AK433))</f>
        <v/>
      </c>
      <c r="AH433" s="40">
        <f>IF(C433="","",AF433-AG433)</f>
        <v/>
      </c>
      <c r="AI433" s="33">
        <f>IF(C433="","",IF(D433="Perdu","",IF(AND(AB433&lt;&gt;"",N(AB433)&lt;TODAY()),"Action en retard",IF(AND(D433="Client",AE433&lt;&gt;"",TODAY()-N(AE433)&gt;P_JoursInactif),"Client inactif",IF(AND(D433="Prospect",Z433=0,O433&lt;&gt;"",TODAY()-N(O433)&gt;P_JoursNonVisite),"Jamais visité","")))))</f>
        <v/>
      </c>
      <c r="AJ433" s="33">
        <f>IF(C433="","",C433&amp;" ["&amp;TEXT(A433,"000")&amp;"]")</f>
        <v/>
      </c>
      <c r="AK433" s="33">
        <f>IF(C433="","",X433&amp;"|"&amp;A433)</f>
        <v/>
      </c>
      <c r="AL433" s="47">
        <f>IF(C433="",0,IF(COUNTIFS(VC_cle,AK433)=0,0,MAX(INDEX((VC_cle=AK433)*(VC_date+ROW(VC_date)/100000),0))))</f>
        <v/>
      </c>
      <c r="AM433" s="47">
        <f>IF(AND(C433&lt;&gt;"",N(AB433)&gt;0,D433&lt;&gt;"Perdu"),AB433+ROW()/100000,0)</f>
        <v/>
      </c>
      <c r="AN433" s="48">
        <f>IF(N(AF433)&gt;0,ROUND(AF433,0)+ROW()/1000000,0)</f>
        <v/>
      </c>
    </row>
    <row r="434" ht="18" customHeight="1">
      <c r="A434" s="39" t="n">
        <v>429</v>
      </c>
      <c r="B434" s="33">
        <f>IF(C434="","",IF(X434="À RENSEIGNER","GIC",X434)&amp;"-"&amp;TEXT(A434,"000"))</f>
        <v/>
      </c>
      <c r="C434" s="36" t="n"/>
      <c r="D434" s="34">
        <f>IF(C434="","",IF(U434="☑ Oui","Perdu",IF(AD434&lt;&gt;"","Client","Prospect")))</f>
        <v/>
      </c>
      <c r="E434" s="36" t="n"/>
      <c r="F434" s="36" t="n"/>
      <c r="G434" s="44" t="n"/>
      <c r="H434" s="44" t="n"/>
      <c r="I434" s="36" t="n"/>
      <c r="J434" s="36" t="n"/>
      <c r="K434" s="41" t="n"/>
      <c r="L434" s="41" t="n"/>
      <c r="M434" s="36" t="n"/>
      <c r="N434" s="36" t="n"/>
      <c r="O434" s="32" t="n"/>
      <c r="P434" s="36" t="n"/>
      <c r="Q434" s="36" t="n"/>
      <c r="R434" s="34">
        <f>IF(P434="","",IFERROR(VLOOKUP(P434,T_Produits,2,FALSE),""))</f>
        <v/>
      </c>
      <c r="S434" s="36" t="n"/>
      <c r="T434" s="43" t="n"/>
      <c r="U434" s="43" t="n"/>
      <c r="V434" s="36" t="n"/>
      <c r="W434" s="36" t="n"/>
      <c r="X434" s="33">
        <f>IF(C434="","",Commercial_Id)</f>
        <v/>
      </c>
      <c r="Y434" s="33">
        <f>IF(E434="","",IF(E434="Particulier / ménage","Particulier","Entreprise"))</f>
        <v/>
      </c>
      <c r="Z434" s="39">
        <f>IF(C434="","",COUNTIFS(VC_cle,AK434,VC_type,"Visite sur place"))</f>
        <v/>
      </c>
      <c r="AA434" s="46">
        <f>IF(AL434=0,"",IF(INT(AL434)=0,"",INT(AL434)))</f>
        <v/>
      </c>
      <c r="AB434" s="46">
        <f>IF(AL434=0,"",IF(INDEX(VC_actiondate,ROUND(MOD(AL434,1)*100000,0)-5)=0,"",INDEX(VC_actiondate,ROUND(MOD(AL434,1)*100000,0)-5)))</f>
        <v/>
      </c>
      <c r="AC434" s="33">
        <f>IF(AL434=0,"",INDEX(VC_actiontexte,ROUND(MOD(AL434,1)*100000,0)-5)&amp;"")</f>
        <v/>
      </c>
      <c r="AD434" s="46">
        <f>IF(C434="","",IF(COUNTIFS(Cmd_cle,AK434,Cmd_dateca,"&gt;0")=0,"",SMALL(INDEX(Cmd_dateca+(((Cmd_cle&lt;&gt;AK434)+(Cmd_dateca=0))&gt;0)*1000000,0),1)))</f>
        <v/>
      </c>
      <c r="AE434" s="46">
        <f>IF(C434="","",IF(COUNTIFS(Cmd_cle,AK434,Cmd_dateca,"&gt;0")=0,"",MAX(INDEX((Cmd_cle=AK434)*Cmd_dateca,0))))</f>
        <v/>
      </c>
      <c r="AF434" s="40">
        <f>IF(C434="","",SUMIFS(Cmd_montant,Cmd_cle,AK434,Cmd_dateca,"&gt;0"))</f>
        <v/>
      </c>
      <c r="AG434" s="40">
        <f>IF(C434="","",SUMIFS(Enc_montant,Enc_cle,AK434))</f>
        <v/>
      </c>
      <c r="AH434" s="40">
        <f>IF(C434="","",AF434-AG434)</f>
        <v/>
      </c>
      <c r="AI434" s="33">
        <f>IF(C434="","",IF(D434="Perdu","",IF(AND(AB434&lt;&gt;"",N(AB434)&lt;TODAY()),"Action en retard",IF(AND(D434="Client",AE434&lt;&gt;"",TODAY()-N(AE434)&gt;P_JoursInactif),"Client inactif",IF(AND(D434="Prospect",Z434=0,O434&lt;&gt;"",TODAY()-N(O434)&gt;P_JoursNonVisite),"Jamais visité","")))))</f>
        <v/>
      </c>
      <c r="AJ434" s="33">
        <f>IF(C434="","",C434&amp;" ["&amp;TEXT(A434,"000")&amp;"]")</f>
        <v/>
      </c>
      <c r="AK434" s="33">
        <f>IF(C434="","",X434&amp;"|"&amp;A434)</f>
        <v/>
      </c>
      <c r="AL434" s="47">
        <f>IF(C434="",0,IF(COUNTIFS(VC_cle,AK434)=0,0,MAX(INDEX((VC_cle=AK434)*(VC_date+ROW(VC_date)/100000),0))))</f>
        <v/>
      </c>
      <c r="AM434" s="47">
        <f>IF(AND(C434&lt;&gt;"",N(AB434)&gt;0,D434&lt;&gt;"Perdu"),AB434+ROW()/100000,0)</f>
        <v/>
      </c>
      <c r="AN434" s="48">
        <f>IF(N(AF434)&gt;0,ROUND(AF434,0)+ROW()/1000000,0)</f>
        <v/>
      </c>
    </row>
    <row r="435" ht="18" customHeight="1">
      <c r="A435" s="39" t="n">
        <v>430</v>
      </c>
      <c r="B435" s="33">
        <f>IF(C435="","",IF(X435="À RENSEIGNER","GIC",X435)&amp;"-"&amp;TEXT(A435,"000"))</f>
        <v/>
      </c>
      <c r="C435" s="36" t="n"/>
      <c r="D435" s="34">
        <f>IF(C435="","",IF(U435="☑ Oui","Perdu",IF(AD435&lt;&gt;"","Client","Prospect")))</f>
        <v/>
      </c>
      <c r="E435" s="36" t="n"/>
      <c r="F435" s="36" t="n"/>
      <c r="G435" s="44" t="n"/>
      <c r="H435" s="44" t="n"/>
      <c r="I435" s="36" t="n"/>
      <c r="J435" s="36" t="n"/>
      <c r="K435" s="41" t="n"/>
      <c r="L435" s="41" t="n"/>
      <c r="M435" s="36" t="n"/>
      <c r="N435" s="36" t="n"/>
      <c r="O435" s="32" t="n"/>
      <c r="P435" s="36" t="n"/>
      <c r="Q435" s="36" t="n"/>
      <c r="R435" s="34">
        <f>IF(P435="","",IFERROR(VLOOKUP(P435,T_Produits,2,FALSE),""))</f>
        <v/>
      </c>
      <c r="S435" s="36" t="n"/>
      <c r="T435" s="43" t="n"/>
      <c r="U435" s="43" t="n"/>
      <c r="V435" s="36" t="n"/>
      <c r="W435" s="36" t="n"/>
      <c r="X435" s="33">
        <f>IF(C435="","",Commercial_Id)</f>
        <v/>
      </c>
      <c r="Y435" s="33">
        <f>IF(E435="","",IF(E435="Particulier / ménage","Particulier","Entreprise"))</f>
        <v/>
      </c>
      <c r="Z435" s="39">
        <f>IF(C435="","",COUNTIFS(VC_cle,AK435,VC_type,"Visite sur place"))</f>
        <v/>
      </c>
      <c r="AA435" s="46">
        <f>IF(AL435=0,"",IF(INT(AL435)=0,"",INT(AL435)))</f>
        <v/>
      </c>
      <c r="AB435" s="46">
        <f>IF(AL435=0,"",IF(INDEX(VC_actiondate,ROUND(MOD(AL435,1)*100000,0)-5)=0,"",INDEX(VC_actiondate,ROUND(MOD(AL435,1)*100000,0)-5)))</f>
        <v/>
      </c>
      <c r="AC435" s="33">
        <f>IF(AL435=0,"",INDEX(VC_actiontexte,ROUND(MOD(AL435,1)*100000,0)-5)&amp;"")</f>
        <v/>
      </c>
      <c r="AD435" s="46">
        <f>IF(C435="","",IF(COUNTIFS(Cmd_cle,AK435,Cmd_dateca,"&gt;0")=0,"",SMALL(INDEX(Cmd_dateca+(((Cmd_cle&lt;&gt;AK435)+(Cmd_dateca=0))&gt;0)*1000000,0),1)))</f>
        <v/>
      </c>
      <c r="AE435" s="46">
        <f>IF(C435="","",IF(COUNTIFS(Cmd_cle,AK435,Cmd_dateca,"&gt;0")=0,"",MAX(INDEX((Cmd_cle=AK435)*Cmd_dateca,0))))</f>
        <v/>
      </c>
      <c r="AF435" s="40">
        <f>IF(C435="","",SUMIFS(Cmd_montant,Cmd_cle,AK435,Cmd_dateca,"&gt;0"))</f>
        <v/>
      </c>
      <c r="AG435" s="40">
        <f>IF(C435="","",SUMIFS(Enc_montant,Enc_cle,AK435))</f>
        <v/>
      </c>
      <c r="AH435" s="40">
        <f>IF(C435="","",AF435-AG435)</f>
        <v/>
      </c>
      <c r="AI435" s="33">
        <f>IF(C435="","",IF(D435="Perdu","",IF(AND(AB435&lt;&gt;"",N(AB435)&lt;TODAY()),"Action en retard",IF(AND(D435="Client",AE435&lt;&gt;"",TODAY()-N(AE435)&gt;P_JoursInactif),"Client inactif",IF(AND(D435="Prospect",Z435=0,O435&lt;&gt;"",TODAY()-N(O435)&gt;P_JoursNonVisite),"Jamais visité","")))))</f>
        <v/>
      </c>
      <c r="AJ435" s="33">
        <f>IF(C435="","",C435&amp;" ["&amp;TEXT(A435,"000")&amp;"]")</f>
        <v/>
      </c>
      <c r="AK435" s="33">
        <f>IF(C435="","",X435&amp;"|"&amp;A435)</f>
        <v/>
      </c>
      <c r="AL435" s="47">
        <f>IF(C435="",0,IF(COUNTIFS(VC_cle,AK435)=0,0,MAX(INDEX((VC_cle=AK435)*(VC_date+ROW(VC_date)/100000),0))))</f>
        <v/>
      </c>
      <c r="AM435" s="47">
        <f>IF(AND(C435&lt;&gt;"",N(AB435)&gt;0,D435&lt;&gt;"Perdu"),AB435+ROW()/100000,0)</f>
        <v/>
      </c>
      <c r="AN435" s="48">
        <f>IF(N(AF435)&gt;0,ROUND(AF435,0)+ROW()/1000000,0)</f>
        <v/>
      </c>
    </row>
    <row r="436" ht="18" customHeight="1">
      <c r="A436" s="39" t="n">
        <v>431</v>
      </c>
      <c r="B436" s="33">
        <f>IF(C436="","",IF(X436="À RENSEIGNER","GIC",X436)&amp;"-"&amp;TEXT(A436,"000"))</f>
        <v/>
      </c>
      <c r="C436" s="36" t="n"/>
      <c r="D436" s="34">
        <f>IF(C436="","",IF(U436="☑ Oui","Perdu",IF(AD436&lt;&gt;"","Client","Prospect")))</f>
        <v/>
      </c>
      <c r="E436" s="36" t="n"/>
      <c r="F436" s="36" t="n"/>
      <c r="G436" s="44" t="n"/>
      <c r="H436" s="44" t="n"/>
      <c r="I436" s="36" t="n"/>
      <c r="J436" s="36" t="n"/>
      <c r="K436" s="41" t="n"/>
      <c r="L436" s="41" t="n"/>
      <c r="M436" s="36" t="n"/>
      <c r="N436" s="36" t="n"/>
      <c r="O436" s="32" t="n"/>
      <c r="P436" s="36" t="n"/>
      <c r="Q436" s="36" t="n"/>
      <c r="R436" s="34">
        <f>IF(P436="","",IFERROR(VLOOKUP(P436,T_Produits,2,FALSE),""))</f>
        <v/>
      </c>
      <c r="S436" s="36" t="n"/>
      <c r="T436" s="43" t="n"/>
      <c r="U436" s="43" t="n"/>
      <c r="V436" s="36" t="n"/>
      <c r="W436" s="36" t="n"/>
      <c r="X436" s="33">
        <f>IF(C436="","",Commercial_Id)</f>
        <v/>
      </c>
      <c r="Y436" s="33">
        <f>IF(E436="","",IF(E436="Particulier / ménage","Particulier","Entreprise"))</f>
        <v/>
      </c>
      <c r="Z436" s="39">
        <f>IF(C436="","",COUNTIFS(VC_cle,AK436,VC_type,"Visite sur place"))</f>
        <v/>
      </c>
      <c r="AA436" s="46">
        <f>IF(AL436=0,"",IF(INT(AL436)=0,"",INT(AL436)))</f>
        <v/>
      </c>
      <c r="AB436" s="46">
        <f>IF(AL436=0,"",IF(INDEX(VC_actiondate,ROUND(MOD(AL436,1)*100000,0)-5)=0,"",INDEX(VC_actiondate,ROUND(MOD(AL436,1)*100000,0)-5)))</f>
        <v/>
      </c>
      <c r="AC436" s="33">
        <f>IF(AL436=0,"",INDEX(VC_actiontexte,ROUND(MOD(AL436,1)*100000,0)-5)&amp;"")</f>
        <v/>
      </c>
      <c r="AD436" s="46">
        <f>IF(C436="","",IF(COUNTIFS(Cmd_cle,AK436,Cmd_dateca,"&gt;0")=0,"",SMALL(INDEX(Cmd_dateca+(((Cmd_cle&lt;&gt;AK436)+(Cmd_dateca=0))&gt;0)*1000000,0),1)))</f>
        <v/>
      </c>
      <c r="AE436" s="46">
        <f>IF(C436="","",IF(COUNTIFS(Cmd_cle,AK436,Cmd_dateca,"&gt;0")=0,"",MAX(INDEX((Cmd_cle=AK436)*Cmd_dateca,0))))</f>
        <v/>
      </c>
      <c r="AF436" s="40">
        <f>IF(C436="","",SUMIFS(Cmd_montant,Cmd_cle,AK436,Cmd_dateca,"&gt;0"))</f>
        <v/>
      </c>
      <c r="AG436" s="40">
        <f>IF(C436="","",SUMIFS(Enc_montant,Enc_cle,AK436))</f>
        <v/>
      </c>
      <c r="AH436" s="40">
        <f>IF(C436="","",AF436-AG436)</f>
        <v/>
      </c>
      <c r="AI436" s="33">
        <f>IF(C436="","",IF(D436="Perdu","",IF(AND(AB436&lt;&gt;"",N(AB436)&lt;TODAY()),"Action en retard",IF(AND(D436="Client",AE436&lt;&gt;"",TODAY()-N(AE436)&gt;P_JoursInactif),"Client inactif",IF(AND(D436="Prospect",Z436=0,O436&lt;&gt;"",TODAY()-N(O436)&gt;P_JoursNonVisite),"Jamais visité","")))))</f>
        <v/>
      </c>
      <c r="AJ436" s="33">
        <f>IF(C436="","",C436&amp;" ["&amp;TEXT(A436,"000")&amp;"]")</f>
        <v/>
      </c>
      <c r="AK436" s="33">
        <f>IF(C436="","",X436&amp;"|"&amp;A436)</f>
        <v/>
      </c>
      <c r="AL436" s="47">
        <f>IF(C436="",0,IF(COUNTIFS(VC_cle,AK436)=0,0,MAX(INDEX((VC_cle=AK436)*(VC_date+ROW(VC_date)/100000),0))))</f>
        <v/>
      </c>
      <c r="AM436" s="47">
        <f>IF(AND(C436&lt;&gt;"",N(AB436)&gt;0,D436&lt;&gt;"Perdu"),AB436+ROW()/100000,0)</f>
        <v/>
      </c>
      <c r="AN436" s="48">
        <f>IF(N(AF436)&gt;0,ROUND(AF436,0)+ROW()/1000000,0)</f>
        <v/>
      </c>
    </row>
    <row r="437" ht="18" customHeight="1">
      <c r="A437" s="39" t="n">
        <v>432</v>
      </c>
      <c r="B437" s="33">
        <f>IF(C437="","",IF(X437="À RENSEIGNER","GIC",X437)&amp;"-"&amp;TEXT(A437,"000"))</f>
        <v/>
      </c>
      <c r="C437" s="36" t="n"/>
      <c r="D437" s="34">
        <f>IF(C437="","",IF(U437="☑ Oui","Perdu",IF(AD437&lt;&gt;"","Client","Prospect")))</f>
        <v/>
      </c>
      <c r="E437" s="36" t="n"/>
      <c r="F437" s="36" t="n"/>
      <c r="G437" s="44" t="n"/>
      <c r="H437" s="44" t="n"/>
      <c r="I437" s="36" t="n"/>
      <c r="J437" s="36" t="n"/>
      <c r="K437" s="41" t="n"/>
      <c r="L437" s="41" t="n"/>
      <c r="M437" s="36" t="n"/>
      <c r="N437" s="36" t="n"/>
      <c r="O437" s="32" t="n"/>
      <c r="P437" s="36" t="n"/>
      <c r="Q437" s="36" t="n"/>
      <c r="R437" s="34">
        <f>IF(P437="","",IFERROR(VLOOKUP(P437,T_Produits,2,FALSE),""))</f>
        <v/>
      </c>
      <c r="S437" s="36" t="n"/>
      <c r="T437" s="43" t="n"/>
      <c r="U437" s="43" t="n"/>
      <c r="V437" s="36" t="n"/>
      <c r="W437" s="36" t="n"/>
      <c r="X437" s="33">
        <f>IF(C437="","",Commercial_Id)</f>
        <v/>
      </c>
      <c r="Y437" s="33">
        <f>IF(E437="","",IF(E437="Particulier / ménage","Particulier","Entreprise"))</f>
        <v/>
      </c>
      <c r="Z437" s="39">
        <f>IF(C437="","",COUNTIFS(VC_cle,AK437,VC_type,"Visite sur place"))</f>
        <v/>
      </c>
      <c r="AA437" s="46">
        <f>IF(AL437=0,"",IF(INT(AL437)=0,"",INT(AL437)))</f>
        <v/>
      </c>
      <c r="AB437" s="46">
        <f>IF(AL437=0,"",IF(INDEX(VC_actiondate,ROUND(MOD(AL437,1)*100000,0)-5)=0,"",INDEX(VC_actiondate,ROUND(MOD(AL437,1)*100000,0)-5)))</f>
        <v/>
      </c>
      <c r="AC437" s="33">
        <f>IF(AL437=0,"",INDEX(VC_actiontexte,ROUND(MOD(AL437,1)*100000,0)-5)&amp;"")</f>
        <v/>
      </c>
      <c r="AD437" s="46">
        <f>IF(C437="","",IF(COUNTIFS(Cmd_cle,AK437,Cmd_dateca,"&gt;0")=0,"",SMALL(INDEX(Cmd_dateca+(((Cmd_cle&lt;&gt;AK437)+(Cmd_dateca=0))&gt;0)*1000000,0),1)))</f>
        <v/>
      </c>
      <c r="AE437" s="46">
        <f>IF(C437="","",IF(COUNTIFS(Cmd_cle,AK437,Cmd_dateca,"&gt;0")=0,"",MAX(INDEX((Cmd_cle=AK437)*Cmd_dateca,0))))</f>
        <v/>
      </c>
      <c r="AF437" s="40">
        <f>IF(C437="","",SUMIFS(Cmd_montant,Cmd_cle,AK437,Cmd_dateca,"&gt;0"))</f>
        <v/>
      </c>
      <c r="AG437" s="40">
        <f>IF(C437="","",SUMIFS(Enc_montant,Enc_cle,AK437))</f>
        <v/>
      </c>
      <c r="AH437" s="40">
        <f>IF(C437="","",AF437-AG437)</f>
        <v/>
      </c>
      <c r="AI437" s="33">
        <f>IF(C437="","",IF(D437="Perdu","",IF(AND(AB437&lt;&gt;"",N(AB437)&lt;TODAY()),"Action en retard",IF(AND(D437="Client",AE437&lt;&gt;"",TODAY()-N(AE437)&gt;P_JoursInactif),"Client inactif",IF(AND(D437="Prospect",Z437=0,O437&lt;&gt;"",TODAY()-N(O437)&gt;P_JoursNonVisite),"Jamais visité","")))))</f>
        <v/>
      </c>
      <c r="AJ437" s="33">
        <f>IF(C437="","",C437&amp;" ["&amp;TEXT(A437,"000")&amp;"]")</f>
        <v/>
      </c>
      <c r="AK437" s="33">
        <f>IF(C437="","",X437&amp;"|"&amp;A437)</f>
        <v/>
      </c>
      <c r="AL437" s="47">
        <f>IF(C437="",0,IF(COUNTIFS(VC_cle,AK437)=0,0,MAX(INDEX((VC_cle=AK437)*(VC_date+ROW(VC_date)/100000),0))))</f>
        <v/>
      </c>
      <c r="AM437" s="47">
        <f>IF(AND(C437&lt;&gt;"",N(AB437)&gt;0,D437&lt;&gt;"Perdu"),AB437+ROW()/100000,0)</f>
        <v/>
      </c>
      <c r="AN437" s="48">
        <f>IF(N(AF437)&gt;0,ROUND(AF437,0)+ROW()/1000000,0)</f>
        <v/>
      </c>
    </row>
    <row r="438" ht="18" customHeight="1">
      <c r="A438" s="39" t="n">
        <v>433</v>
      </c>
      <c r="B438" s="33">
        <f>IF(C438="","",IF(X438="À RENSEIGNER","GIC",X438)&amp;"-"&amp;TEXT(A438,"000"))</f>
        <v/>
      </c>
      <c r="C438" s="36" t="n"/>
      <c r="D438" s="34">
        <f>IF(C438="","",IF(U438="☑ Oui","Perdu",IF(AD438&lt;&gt;"","Client","Prospect")))</f>
        <v/>
      </c>
      <c r="E438" s="36" t="n"/>
      <c r="F438" s="36" t="n"/>
      <c r="G438" s="44" t="n"/>
      <c r="H438" s="44" t="n"/>
      <c r="I438" s="36" t="n"/>
      <c r="J438" s="36" t="n"/>
      <c r="K438" s="41" t="n"/>
      <c r="L438" s="41" t="n"/>
      <c r="M438" s="36" t="n"/>
      <c r="N438" s="36" t="n"/>
      <c r="O438" s="32" t="n"/>
      <c r="P438" s="36" t="n"/>
      <c r="Q438" s="36" t="n"/>
      <c r="R438" s="34">
        <f>IF(P438="","",IFERROR(VLOOKUP(P438,T_Produits,2,FALSE),""))</f>
        <v/>
      </c>
      <c r="S438" s="36" t="n"/>
      <c r="T438" s="43" t="n"/>
      <c r="U438" s="43" t="n"/>
      <c r="V438" s="36" t="n"/>
      <c r="W438" s="36" t="n"/>
      <c r="X438" s="33">
        <f>IF(C438="","",Commercial_Id)</f>
        <v/>
      </c>
      <c r="Y438" s="33">
        <f>IF(E438="","",IF(E438="Particulier / ménage","Particulier","Entreprise"))</f>
        <v/>
      </c>
      <c r="Z438" s="39">
        <f>IF(C438="","",COUNTIFS(VC_cle,AK438,VC_type,"Visite sur place"))</f>
        <v/>
      </c>
      <c r="AA438" s="46">
        <f>IF(AL438=0,"",IF(INT(AL438)=0,"",INT(AL438)))</f>
        <v/>
      </c>
      <c r="AB438" s="46">
        <f>IF(AL438=0,"",IF(INDEX(VC_actiondate,ROUND(MOD(AL438,1)*100000,0)-5)=0,"",INDEX(VC_actiondate,ROUND(MOD(AL438,1)*100000,0)-5)))</f>
        <v/>
      </c>
      <c r="AC438" s="33">
        <f>IF(AL438=0,"",INDEX(VC_actiontexte,ROUND(MOD(AL438,1)*100000,0)-5)&amp;"")</f>
        <v/>
      </c>
      <c r="AD438" s="46">
        <f>IF(C438="","",IF(COUNTIFS(Cmd_cle,AK438,Cmd_dateca,"&gt;0")=0,"",SMALL(INDEX(Cmd_dateca+(((Cmd_cle&lt;&gt;AK438)+(Cmd_dateca=0))&gt;0)*1000000,0),1)))</f>
        <v/>
      </c>
      <c r="AE438" s="46">
        <f>IF(C438="","",IF(COUNTIFS(Cmd_cle,AK438,Cmd_dateca,"&gt;0")=0,"",MAX(INDEX((Cmd_cle=AK438)*Cmd_dateca,0))))</f>
        <v/>
      </c>
      <c r="AF438" s="40">
        <f>IF(C438="","",SUMIFS(Cmd_montant,Cmd_cle,AK438,Cmd_dateca,"&gt;0"))</f>
        <v/>
      </c>
      <c r="AG438" s="40">
        <f>IF(C438="","",SUMIFS(Enc_montant,Enc_cle,AK438))</f>
        <v/>
      </c>
      <c r="AH438" s="40">
        <f>IF(C438="","",AF438-AG438)</f>
        <v/>
      </c>
      <c r="AI438" s="33">
        <f>IF(C438="","",IF(D438="Perdu","",IF(AND(AB438&lt;&gt;"",N(AB438)&lt;TODAY()),"Action en retard",IF(AND(D438="Client",AE438&lt;&gt;"",TODAY()-N(AE438)&gt;P_JoursInactif),"Client inactif",IF(AND(D438="Prospect",Z438=0,O438&lt;&gt;"",TODAY()-N(O438)&gt;P_JoursNonVisite),"Jamais visité","")))))</f>
        <v/>
      </c>
      <c r="AJ438" s="33">
        <f>IF(C438="","",C438&amp;" ["&amp;TEXT(A438,"000")&amp;"]")</f>
        <v/>
      </c>
      <c r="AK438" s="33">
        <f>IF(C438="","",X438&amp;"|"&amp;A438)</f>
        <v/>
      </c>
      <c r="AL438" s="47">
        <f>IF(C438="",0,IF(COUNTIFS(VC_cle,AK438)=0,0,MAX(INDEX((VC_cle=AK438)*(VC_date+ROW(VC_date)/100000),0))))</f>
        <v/>
      </c>
      <c r="AM438" s="47">
        <f>IF(AND(C438&lt;&gt;"",N(AB438)&gt;0,D438&lt;&gt;"Perdu"),AB438+ROW()/100000,0)</f>
        <v/>
      </c>
      <c r="AN438" s="48">
        <f>IF(N(AF438)&gt;0,ROUND(AF438,0)+ROW()/1000000,0)</f>
        <v/>
      </c>
    </row>
    <row r="439" ht="18" customHeight="1">
      <c r="A439" s="39" t="n">
        <v>434</v>
      </c>
      <c r="B439" s="33">
        <f>IF(C439="","",IF(X439="À RENSEIGNER","GIC",X439)&amp;"-"&amp;TEXT(A439,"000"))</f>
        <v/>
      </c>
      <c r="C439" s="36" t="n"/>
      <c r="D439" s="34">
        <f>IF(C439="","",IF(U439="☑ Oui","Perdu",IF(AD439&lt;&gt;"","Client","Prospect")))</f>
        <v/>
      </c>
      <c r="E439" s="36" t="n"/>
      <c r="F439" s="36" t="n"/>
      <c r="G439" s="44" t="n"/>
      <c r="H439" s="44" t="n"/>
      <c r="I439" s="36" t="n"/>
      <c r="J439" s="36" t="n"/>
      <c r="K439" s="41" t="n"/>
      <c r="L439" s="41" t="n"/>
      <c r="M439" s="36" t="n"/>
      <c r="N439" s="36" t="n"/>
      <c r="O439" s="32" t="n"/>
      <c r="P439" s="36" t="n"/>
      <c r="Q439" s="36" t="n"/>
      <c r="R439" s="34">
        <f>IF(P439="","",IFERROR(VLOOKUP(P439,T_Produits,2,FALSE),""))</f>
        <v/>
      </c>
      <c r="S439" s="36" t="n"/>
      <c r="T439" s="43" t="n"/>
      <c r="U439" s="43" t="n"/>
      <c r="V439" s="36" t="n"/>
      <c r="W439" s="36" t="n"/>
      <c r="X439" s="33">
        <f>IF(C439="","",Commercial_Id)</f>
        <v/>
      </c>
      <c r="Y439" s="33">
        <f>IF(E439="","",IF(E439="Particulier / ménage","Particulier","Entreprise"))</f>
        <v/>
      </c>
      <c r="Z439" s="39">
        <f>IF(C439="","",COUNTIFS(VC_cle,AK439,VC_type,"Visite sur place"))</f>
        <v/>
      </c>
      <c r="AA439" s="46">
        <f>IF(AL439=0,"",IF(INT(AL439)=0,"",INT(AL439)))</f>
        <v/>
      </c>
      <c r="AB439" s="46">
        <f>IF(AL439=0,"",IF(INDEX(VC_actiondate,ROUND(MOD(AL439,1)*100000,0)-5)=0,"",INDEX(VC_actiondate,ROUND(MOD(AL439,1)*100000,0)-5)))</f>
        <v/>
      </c>
      <c r="AC439" s="33">
        <f>IF(AL439=0,"",INDEX(VC_actiontexte,ROUND(MOD(AL439,1)*100000,0)-5)&amp;"")</f>
        <v/>
      </c>
      <c r="AD439" s="46">
        <f>IF(C439="","",IF(COUNTIFS(Cmd_cle,AK439,Cmd_dateca,"&gt;0")=0,"",SMALL(INDEX(Cmd_dateca+(((Cmd_cle&lt;&gt;AK439)+(Cmd_dateca=0))&gt;0)*1000000,0),1)))</f>
        <v/>
      </c>
      <c r="AE439" s="46">
        <f>IF(C439="","",IF(COUNTIFS(Cmd_cle,AK439,Cmd_dateca,"&gt;0")=0,"",MAX(INDEX((Cmd_cle=AK439)*Cmd_dateca,0))))</f>
        <v/>
      </c>
      <c r="AF439" s="40">
        <f>IF(C439="","",SUMIFS(Cmd_montant,Cmd_cle,AK439,Cmd_dateca,"&gt;0"))</f>
        <v/>
      </c>
      <c r="AG439" s="40">
        <f>IF(C439="","",SUMIFS(Enc_montant,Enc_cle,AK439))</f>
        <v/>
      </c>
      <c r="AH439" s="40">
        <f>IF(C439="","",AF439-AG439)</f>
        <v/>
      </c>
      <c r="AI439" s="33">
        <f>IF(C439="","",IF(D439="Perdu","",IF(AND(AB439&lt;&gt;"",N(AB439)&lt;TODAY()),"Action en retard",IF(AND(D439="Client",AE439&lt;&gt;"",TODAY()-N(AE439)&gt;P_JoursInactif),"Client inactif",IF(AND(D439="Prospect",Z439=0,O439&lt;&gt;"",TODAY()-N(O439)&gt;P_JoursNonVisite),"Jamais visité","")))))</f>
        <v/>
      </c>
      <c r="AJ439" s="33">
        <f>IF(C439="","",C439&amp;" ["&amp;TEXT(A439,"000")&amp;"]")</f>
        <v/>
      </c>
      <c r="AK439" s="33">
        <f>IF(C439="","",X439&amp;"|"&amp;A439)</f>
        <v/>
      </c>
      <c r="AL439" s="47">
        <f>IF(C439="",0,IF(COUNTIFS(VC_cle,AK439)=0,0,MAX(INDEX((VC_cle=AK439)*(VC_date+ROW(VC_date)/100000),0))))</f>
        <v/>
      </c>
      <c r="AM439" s="47">
        <f>IF(AND(C439&lt;&gt;"",N(AB439)&gt;0,D439&lt;&gt;"Perdu"),AB439+ROW()/100000,0)</f>
        <v/>
      </c>
      <c r="AN439" s="48">
        <f>IF(N(AF439)&gt;0,ROUND(AF439,0)+ROW()/1000000,0)</f>
        <v/>
      </c>
    </row>
    <row r="440" ht="18" customHeight="1">
      <c r="A440" s="39" t="n">
        <v>435</v>
      </c>
      <c r="B440" s="33">
        <f>IF(C440="","",IF(X440="À RENSEIGNER","GIC",X440)&amp;"-"&amp;TEXT(A440,"000"))</f>
        <v/>
      </c>
      <c r="C440" s="36" t="n"/>
      <c r="D440" s="34">
        <f>IF(C440="","",IF(U440="☑ Oui","Perdu",IF(AD440&lt;&gt;"","Client","Prospect")))</f>
        <v/>
      </c>
      <c r="E440" s="36" t="n"/>
      <c r="F440" s="36" t="n"/>
      <c r="G440" s="44" t="n"/>
      <c r="H440" s="44" t="n"/>
      <c r="I440" s="36" t="n"/>
      <c r="J440" s="36" t="n"/>
      <c r="K440" s="41" t="n"/>
      <c r="L440" s="41" t="n"/>
      <c r="M440" s="36" t="n"/>
      <c r="N440" s="36" t="n"/>
      <c r="O440" s="32" t="n"/>
      <c r="P440" s="36" t="n"/>
      <c r="Q440" s="36" t="n"/>
      <c r="R440" s="34">
        <f>IF(P440="","",IFERROR(VLOOKUP(P440,T_Produits,2,FALSE),""))</f>
        <v/>
      </c>
      <c r="S440" s="36" t="n"/>
      <c r="T440" s="43" t="n"/>
      <c r="U440" s="43" t="n"/>
      <c r="V440" s="36" t="n"/>
      <c r="W440" s="36" t="n"/>
      <c r="X440" s="33">
        <f>IF(C440="","",Commercial_Id)</f>
        <v/>
      </c>
      <c r="Y440" s="33">
        <f>IF(E440="","",IF(E440="Particulier / ménage","Particulier","Entreprise"))</f>
        <v/>
      </c>
      <c r="Z440" s="39">
        <f>IF(C440="","",COUNTIFS(VC_cle,AK440,VC_type,"Visite sur place"))</f>
        <v/>
      </c>
      <c r="AA440" s="46">
        <f>IF(AL440=0,"",IF(INT(AL440)=0,"",INT(AL440)))</f>
        <v/>
      </c>
      <c r="AB440" s="46">
        <f>IF(AL440=0,"",IF(INDEX(VC_actiondate,ROUND(MOD(AL440,1)*100000,0)-5)=0,"",INDEX(VC_actiondate,ROUND(MOD(AL440,1)*100000,0)-5)))</f>
        <v/>
      </c>
      <c r="AC440" s="33">
        <f>IF(AL440=0,"",INDEX(VC_actiontexte,ROUND(MOD(AL440,1)*100000,0)-5)&amp;"")</f>
        <v/>
      </c>
      <c r="AD440" s="46">
        <f>IF(C440="","",IF(COUNTIFS(Cmd_cle,AK440,Cmd_dateca,"&gt;0")=0,"",SMALL(INDEX(Cmd_dateca+(((Cmd_cle&lt;&gt;AK440)+(Cmd_dateca=0))&gt;0)*1000000,0),1)))</f>
        <v/>
      </c>
      <c r="AE440" s="46">
        <f>IF(C440="","",IF(COUNTIFS(Cmd_cle,AK440,Cmd_dateca,"&gt;0")=0,"",MAX(INDEX((Cmd_cle=AK440)*Cmd_dateca,0))))</f>
        <v/>
      </c>
      <c r="AF440" s="40">
        <f>IF(C440="","",SUMIFS(Cmd_montant,Cmd_cle,AK440,Cmd_dateca,"&gt;0"))</f>
        <v/>
      </c>
      <c r="AG440" s="40">
        <f>IF(C440="","",SUMIFS(Enc_montant,Enc_cle,AK440))</f>
        <v/>
      </c>
      <c r="AH440" s="40">
        <f>IF(C440="","",AF440-AG440)</f>
        <v/>
      </c>
      <c r="AI440" s="33">
        <f>IF(C440="","",IF(D440="Perdu","",IF(AND(AB440&lt;&gt;"",N(AB440)&lt;TODAY()),"Action en retard",IF(AND(D440="Client",AE440&lt;&gt;"",TODAY()-N(AE440)&gt;P_JoursInactif),"Client inactif",IF(AND(D440="Prospect",Z440=0,O440&lt;&gt;"",TODAY()-N(O440)&gt;P_JoursNonVisite),"Jamais visité","")))))</f>
        <v/>
      </c>
      <c r="AJ440" s="33">
        <f>IF(C440="","",C440&amp;" ["&amp;TEXT(A440,"000")&amp;"]")</f>
        <v/>
      </c>
      <c r="AK440" s="33">
        <f>IF(C440="","",X440&amp;"|"&amp;A440)</f>
        <v/>
      </c>
      <c r="AL440" s="47">
        <f>IF(C440="",0,IF(COUNTIFS(VC_cle,AK440)=0,0,MAX(INDEX((VC_cle=AK440)*(VC_date+ROW(VC_date)/100000),0))))</f>
        <v/>
      </c>
      <c r="AM440" s="47">
        <f>IF(AND(C440&lt;&gt;"",N(AB440)&gt;0,D440&lt;&gt;"Perdu"),AB440+ROW()/100000,0)</f>
        <v/>
      </c>
      <c r="AN440" s="48">
        <f>IF(N(AF440)&gt;0,ROUND(AF440,0)+ROW()/1000000,0)</f>
        <v/>
      </c>
    </row>
    <row r="441" ht="18" customHeight="1">
      <c r="A441" s="39" t="n">
        <v>436</v>
      </c>
      <c r="B441" s="33">
        <f>IF(C441="","",IF(X441="À RENSEIGNER","GIC",X441)&amp;"-"&amp;TEXT(A441,"000"))</f>
        <v/>
      </c>
      <c r="C441" s="36" t="n"/>
      <c r="D441" s="34">
        <f>IF(C441="","",IF(U441="☑ Oui","Perdu",IF(AD441&lt;&gt;"","Client","Prospect")))</f>
        <v/>
      </c>
      <c r="E441" s="36" t="n"/>
      <c r="F441" s="36" t="n"/>
      <c r="G441" s="44" t="n"/>
      <c r="H441" s="44" t="n"/>
      <c r="I441" s="36" t="n"/>
      <c r="J441" s="36" t="n"/>
      <c r="K441" s="41" t="n"/>
      <c r="L441" s="41" t="n"/>
      <c r="M441" s="36" t="n"/>
      <c r="N441" s="36" t="n"/>
      <c r="O441" s="32" t="n"/>
      <c r="P441" s="36" t="n"/>
      <c r="Q441" s="36" t="n"/>
      <c r="R441" s="34">
        <f>IF(P441="","",IFERROR(VLOOKUP(P441,T_Produits,2,FALSE),""))</f>
        <v/>
      </c>
      <c r="S441" s="36" t="n"/>
      <c r="T441" s="43" t="n"/>
      <c r="U441" s="43" t="n"/>
      <c r="V441" s="36" t="n"/>
      <c r="W441" s="36" t="n"/>
      <c r="X441" s="33">
        <f>IF(C441="","",Commercial_Id)</f>
        <v/>
      </c>
      <c r="Y441" s="33">
        <f>IF(E441="","",IF(E441="Particulier / ménage","Particulier","Entreprise"))</f>
        <v/>
      </c>
      <c r="Z441" s="39">
        <f>IF(C441="","",COUNTIFS(VC_cle,AK441,VC_type,"Visite sur place"))</f>
        <v/>
      </c>
      <c r="AA441" s="46">
        <f>IF(AL441=0,"",IF(INT(AL441)=0,"",INT(AL441)))</f>
        <v/>
      </c>
      <c r="AB441" s="46">
        <f>IF(AL441=0,"",IF(INDEX(VC_actiondate,ROUND(MOD(AL441,1)*100000,0)-5)=0,"",INDEX(VC_actiondate,ROUND(MOD(AL441,1)*100000,0)-5)))</f>
        <v/>
      </c>
      <c r="AC441" s="33">
        <f>IF(AL441=0,"",INDEX(VC_actiontexte,ROUND(MOD(AL441,1)*100000,0)-5)&amp;"")</f>
        <v/>
      </c>
      <c r="AD441" s="46">
        <f>IF(C441="","",IF(COUNTIFS(Cmd_cle,AK441,Cmd_dateca,"&gt;0")=0,"",SMALL(INDEX(Cmd_dateca+(((Cmd_cle&lt;&gt;AK441)+(Cmd_dateca=0))&gt;0)*1000000,0),1)))</f>
        <v/>
      </c>
      <c r="AE441" s="46">
        <f>IF(C441="","",IF(COUNTIFS(Cmd_cle,AK441,Cmd_dateca,"&gt;0")=0,"",MAX(INDEX((Cmd_cle=AK441)*Cmd_dateca,0))))</f>
        <v/>
      </c>
      <c r="AF441" s="40">
        <f>IF(C441="","",SUMIFS(Cmd_montant,Cmd_cle,AK441,Cmd_dateca,"&gt;0"))</f>
        <v/>
      </c>
      <c r="AG441" s="40">
        <f>IF(C441="","",SUMIFS(Enc_montant,Enc_cle,AK441))</f>
        <v/>
      </c>
      <c r="AH441" s="40">
        <f>IF(C441="","",AF441-AG441)</f>
        <v/>
      </c>
      <c r="AI441" s="33">
        <f>IF(C441="","",IF(D441="Perdu","",IF(AND(AB441&lt;&gt;"",N(AB441)&lt;TODAY()),"Action en retard",IF(AND(D441="Client",AE441&lt;&gt;"",TODAY()-N(AE441)&gt;P_JoursInactif),"Client inactif",IF(AND(D441="Prospect",Z441=0,O441&lt;&gt;"",TODAY()-N(O441)&gt;P_JoursNonVisite),"Jamais visité","")))))</f>
        <v/>
      </c>
      <c r="AJ441" s="33">
        <f>IF(C441="","",C441&amp;" ["&amp;TEXT(A441,"000")&amp;"]")</f>
        <v/>
      </c>
      <c r="AK441" s="33">
        <f>IF(C441="","",X441&amp;"|"&amp;A441)</f>
        <v/>
      </c>
      <c r="AL441" s="47">
        <f>IF(C441="",0,IF(COUNTIFS(VC_cle,AK441)=0,0,MAX(INDEX((VC_cle=AK441)*(VC_date+ROW(VC_date)/100000),0))))</f>
        <v/>
      </c>
      <c r="AM441" s="47">
        <f>IF(AND(C441&lt;&gt;"",N(AB441)&gt;0,D441&lt;&gt;"Perdu"),AB441+ROW()/100000,0)</f>
        <v/>
      </c>
      <c r="AN441" s="48">
        <f>IF(N(AF441)&gt;0,ROUND(AF441,0)+ROW()/1000000,0)</f>
        <v/>
      </c>
    </row>
    <row r="442" ht="18" customHeight="1">
      <c r="A442" s="39" t="n">
        <v>437</v>
      </c>
      <c r="B442" s="33">
        <f>IF(C442="","",IF(X442="À RENSEIGNER","GIC",X442)&amp;"-"&amp;TEXT(A442,"000"))</f>
        <v/>
      </c>
      <c r="C442" s="36" t="n"/>
      <c r="D442" s="34">
        <f>IF(C442="","",IF(U442="☑ Oui","Perdu",IF(AD442&lt;&gt;"","Client","Prospect")))</f>
        <v/>
      </c>
      <c r="E442" s="36" t="n"/>
      <c r="F442" s="36" t="n"/>
      <c r="G442" s="44" t="n"/>
      <c r="H442" s="44" t="n"/>
      <c r="I442" s="36" t="n"/>
      <c r="J442" s="36" t="n"/>
      <c r="K442" s="41" t="n"/>
      <c r="L442" s="41" t="n"/>
      <c r="M442" s="36" t="n"/>
      <c r="N442" s="36" t="n"/>
      <c r="O442" s="32" t="n"/>
      <c r="P442" s="36" t="n"/>
      <c r="Q442" s="36" t="n"/>
      <c r="R442" s="34">
        <f>IF(P442="","",IFERROR(VLOOKUP(P442,T_Produits,2,FALSE),""))</f>
        <v/>
      </c>
      <c r="S442" s="36" t="n"/>
      <c r="T442" s="43" t="n"/>
      <c r="U442" s="43" t="n"/>
      <c r="V442" s="36" t="n"/>
      <c r="W442" s="36" t="n"/>
      <c r="X442" s="33">
        <f>IF(C442="","",Commercial_Id)</f>
        <v/>
      </c>
      <c r="Y442" s="33">
        <f>IF(E442="","",IF(E442="Particulier / ménage","Particulier","Entreprise"))</f>
        <v/>
      </c>
      <c r="Z442" s="39">
        <f>IF(C442="","",COUNTIFS(VC_cle,AK442,VC_type,"Visite sur place"))</f>
        <v/>
      </c>
      <c r="AA442" s="46">
        <f>IF(AL442=0,"",IF(INT(AL442)=0,"",INT(AL442)))</f>
        <v/>
      </c>
      <c r="AB442" s="46">
        <f>IF(AL442=0,"",IF(INDEX(VC_actiondate,ROUND(MOD(AL442,1)*100000,0)-5)=0,"",INDEX(VC_actiondate,ROUND(MOD(AL442,1)*100000,0)-5)))</f>
        <v/>
      </c>
      <c r="AC442" s="33">
        <f>IF(AL442=0,"",INDEX(VC_actiontexte,ROUND(MOD(AL442,1)*100000,0)-5)&amp;"")</f>
        <v/>
      </c>
      <c r="AD442" s="46">
        <f>IF(C442="","",IF(COUNTIFS(Cmd_cle,AK442,Cmd_dateca,"&gt;0")=0,"",SMALL(INDEX(Cmd_dateca+(((Cmd_cle&lt;&gt;AK442)+(Cmd_dateca=0))&gt;0)*1000000,0),1)))</f>
        <v/>
      </c>
      <c r="AE442" s="46">
        <f>IF(C442="","",IF(COUNTIFS(Cmd_cle,AK442,Cmd_dateca,"&gt;0")=0,"",MAX(INDEX((Cmd_cle=AK442)*Cmd_dateca,0))))</f>
        <v/>
      </c>
      <c r="AF442" s="40">
        <f>IF(C442="","",SUMIFS(Cmd_montant,Cmd_cle,AK442,Cmd_dateca,"&gt;0"))</f>
        <v/>
      </c>
      <c r="AG442" s="40">
        <f>IF(C442="","",SUMIFS(Enc_montant,Enc_cle,AK442))</f>
        <v/>
      </c>
      <c r="AH442" s="40">
        <f>IF(C442="","",AF442-AG442)</f>
        <v/>
      </c>
      <c r="AI442" s="33">
        <f>IF(C442="","",IF(D442="Perdu","",IF(AND(AB442&lt;&gt;"",N(AB442)&lt;TODAY()),"Action en retard",IF(AND(D442="Client",AE442&lt;&gt;"",TODAY()-N(AE442)&gt;P_JoursInactif),"Client inactif",IF(AND(D442="Prospect",Z442=0,O442&lt;&gt;"",TODAY()-N(O442)&gt;P_JoursNonVisite),"Jamais visité","")))))</f>
        <v/>
      </c>
      <c r="AJ442" s="33">
        <f>IF(C442="","",C442&amp;" ["&amp;TEXT(A442,"000")&amp;"]")</f>
        <v/>
      </c>
      <c r="AK442" s="33">
        <f>IF(C442="","",X442&amp;"|"&amp;A442)</f>
        <v/>
      </c>
      <c r="AL442" s="47">
        <f>IF(C442="",0,IF(COUNTIFS(VC_cle,AK442)=0,0,MAX(INDEX((VC_cle=AK442)*(VC_date+ROW(VC_date)/100000),0))))</f>
        <v/>
      </c>
      <c r="AM442" s="47">
        <f>IF(AND(C442&lt;&gt;"",N(AB442)&gt;0,D442&lt;&gt;"Perdu"),AB442+ROW()/100000,0)</f>
        <v/>
      </c>
      <c r="AN442" s="48">
        <f>IF(N(AF442)&gt;0,ROUND(AF442,0)+ROW()/1000000,0)</f>
        <v/>
      </c>
    </row>
    <row r="443" ht="18" customHeight="1">
      <c r="A443" s="39" t="n">
        <v>438</v>
      </c>
      <c r="B443" s="33">
        <f>IF(C443="","",IF(X443="À RENSEIGNER","GIC",X443)&amp;"-"&amp;TEXT(A443,"000"))</f>
        <v/>
      </c>
      <c r="C443" s="36" t="n"/>
      <c r="D443" s="34">
        <f>IF(C443="","",IF(U443="☑ Oui","Perdu",IF(AD443&lt;&gt;"","Client","Prospect")))</f>
        <v/>
      </c>
      <c r="E443" s="36" t="n"/>
      <c r="F443" s="36" t="n"/>
      <c r="G443" s="44" t="n"/>
      <c r="H443" s="44" t="n"/>
      <c r="I443" s="36" t="n"/>
      <c r="J443" s="36" t="n"/>
      <c r="K443" s="41" t="n"/>
      <c r="L443" s="41" t="n"/>
      <c r="M443" s="36" t="n"/>
      <c r="N443" s="36" t="n"/>
      <c r="O443" s="32" t="n"/>
      <c r="P443" s="36" t="n"/>
      <c r="Q443" s="36" t="n"/>
      <c r="R443" s="34">
        <f>IF(P443="","",IFERROR(VLOOKUP(P443,T_Produits,2,FALSE),""))</f>
        <v/>
      </c>
      <c r="S443" s="36" t="n"/>
      <c r="T443" s="43" t="n"/>
      <c r="U443" s="43" t="n"/>
      <c r="V443" s="36" t="n"/>
      <c r="W443" s="36" t="n"/>
      <c r="X443" s="33">
        <f>IF(C443="","",Commercial_Id)</f>
        <v/>
      </c>
      <c r="Y443" s="33">
        <f>IF(E443="","",IF(E443="Particulier / ménage","Particulier","Entreprise"))</f>
        <v/>
      </c>
      <c r="Z443" s="39">
        <f>IF(C443="","",COUNTIFS(VC_cle,AK443,VC_type,"Visite sur place"))</f>
        <v/>
      </c>
      <c r="AA443" s="46">
        <f>IF(AL443=0,"",IF(INT(AL443)=0,"",INT(AL443)))</f>
        <v/>
      </c>
      <c r="AB443" s="46">
        <f>IF(AL443=0,"",IF(INDEX(VC_actiondate,ROUND(MOD(AL443,1)*100000,0)-5)=0,"",INDEX(VC_actiondate,ROUND(MOD(AL443,1)*100000,0)-5)))</f>
        <v/>
      </c>
      <c r="AC443" s="33">
        <f>IF(AL443=0,"",INDEX(VC_actiontexte,ROUND(MOD(AL443,1)*100000,0)-5)&amp;"")</f>
        <v/>
      </c>
      <c r="AD443" s="46">
        <f>IF(C443="","",IF(COUNTIFS(Cmd_cle,AK443,Cmd_dateca,"&gt;0")=0,"",SMALL(INDEX(Cmd_dateca+(((Cmd_cle&lt;&gt;AK443)+(Cmd_dateca=0))&gt;0)*1000000,0),1)))</f>
        <v/>
      </c>
      <c r="AE443" s="46">
        <f>IF(C443="","",IF(COUNTIFS(Cmd_cle,AK443,Cmd_dateca,"&gt;0")=0,"",MAX(INDEX((Cmd_cle=AK443)*Cmd_dateca,0))))</f>
        <v/>
      </c>
      <c r="AF443" s="40">
        <f>IF(C443="","",SUMIFS(Cmd_montant,Cmd_cle,AK443,Cmd_dateca,"&gt;0"))</f>
        <v/>
      </c>
      <c r="AG443" s="40">
        <f>IF(C443="","",SUMIFS(Enc_montant,Enc_cle,AK443))</f>
        <v/>
      </c>
      <c r="AH443" s="40">
        <f>IF(C443="","",AF443-AG443)</f>
        <v/>
      </c>
      <c r="AI443" s="33">
        <f>IF(C443="","",IF(D443="Perdu","",IF(AND(AB443&lt;&gt;"",N(AB443)&lt;TODAY()),"Action en retard",IF(AND(D443="Client",AE443&lt;&gt;"",TODAY()-N(AE443)&gt;P_JoursInactif),"Client inactif",IF(AND(D443="Prospect",Z443=0,O443&lt;&gt;"",TODAY()-N(O443)&gt;P_JoursNonVisite),"Jamais visité","")))))</f>
        <v/>
      </c>
      <c r="AJ443" s="33">
        <f>IF(C443="","",C443&amp;" ["&amp;TEXT(A443,"000")&amp;"]")</f>
        <v/>
      </c>
      <c r="AK443" s="33">
        <f>IF(C443="","",X443&amp;"|"&amp;A443)</f>
        <v/>
      </c>
      <c r="AL443" s="47">
        <f>IF(C443="",0,IF(COUNTIFS(VC_cle,AK443)=0,0,MAX(INDEX((VC_cle=AK443)*(VC_date+ROW(VC_date)/100000),0))))</f>
        <v/>
      </c>
      <c r="AM443" s="47">
        <f>IF(AND(C443&lt;&gt;"",N(AB443)&gt;0,D443&lt;&gt;"Perdu"),AB443+ROW()/100000,0)</f>
        <v/>
      </c>
      <c r="AN443" s="48">
        <f>IF(N(AF443)&gt;0,ROUND(AF443,0)+ROW()/1000000,0)</f>
        <v/>
      </c>
    </row>
    <row r="444" ht="18" customHeight="1">
      <c r="A444" s="39" t="n">
        <v>439</v>
      </c>
      <c r="B444" s="33">
        <f>IF(C444="","",IF(X444="À RENSEIGNER","GIC",X444)&amp;"-"&amp;TEXT(A444,"000"))</f>
        <v/>
      </c>
      <c r="C444" s="36" t="n"/>
      <c r="D444" s="34">
        <f>IF(C444="","",IF(U444="☑ Oui","Perdu",IF(AD444&lt;&gt;"","Client","Prospect")))</f>
        <v/>
      </c>
      <c r="E444" s="36" t="n"/>
      <c r="F444" s="36" t="n"/>
      <c r="G444" s="44" t="n"/>
      <c r="H444" s="44" t="n"/>
      <c r="I444" s="36" t="n"/>
      <c r="J444" s="36" t="n"/>
      <c r="K444" s="41" t="n"/>
      <c r="L444" s="41" t="n"/>
      <c r="M444" s="36" t="n"/>
      <c r="N444" s="36" t="n"/>
      <c r="O444" s="32" t="n"/>
      <c r="P444" s="36" t="n"/>
      <c r="Q444" s="36" t="n"/>
      <c r="R444" s="34">
        <f>IF(P444="","",IFERROR(VLOOKUP(P444,T_Produits,2,FALSE),""))</f>
        <v/>
      </c>
      <c r="S444" s="36" t="n"/>
      <c r="T444" s="43" t="n"/>
      <c r="U444" s="43" t="n"/>
      <c r="V444" s="36" t="n"/>
      <c r="W444" s="36" t="n"/>
      <c r="X444" s="33">
        <f>IF(C444="","",Commercial_Id)</f>
        <v/>
      </c>
      <c r="Y444" s="33">
        <f>IF(E444="","",IF(E444="Particulier / ménage","Particulier","Entreprise"))</f>
        <v/>
      </c>
      <c r="Z444" s="39">
        <f>IF(C444="","",COUNTIFS(VC_cle,AK444,VC_type,"Visite sur place"))</f>
        <v/>
      </c>
      <c r="AA444" s="46">
        <f>IF(AL444=0,"",IF(INT(AL444)=0,"",INT(AL444)))</f>
        <v/>
      </c>
      <c r="AB444" s="46">
        <f>IF(AL444=0,"",IF(INDEX(VC_actiondate,ROUND(MOD(AL444,1)*100000,0)-5)=0,"",INDEX(VC_actiondate,ROUND(MOD(AL444,1)*100000,0)-5)))</f>
        <v/>
      </c>
      <c r="AC444" s="33">
        <f>IF(AL444=0,"",INDEX(VC_actiontexte,ROUND(MOD(AL444,1)*100000,0)-5)&amp;"")</f>
        <v/>
      </c>
      <c r="AD444" s="46">
        <f>IF(C444="","",IF(COUNTIFS(Cmd_cle,AK444,Cmd_dateca,"&gt;0")=0,"",SMALL(INDEX(Cmd_dateca+(((Cmd_cle&lt;&gt;AK444)+(Cmd_dateca=0))&gt;0)*1000000,0),1)))</f>
        <v/>
      </c>
      <c r="AE444" s="46">
        <f>IF(C444="","",IF(COUNTIFS(Cmd_cle,AK444,Cmd_dateca,"&gt;0")=0,"",MAX(INDEX((Cmd_cle=AK444)*Cmd_dateca,0))))</f>
        <v/>
      </c>
      <c r="AF444" s="40">
        <f>IF(C444="","",SUMIFS(Cmd_montant,Cmd_cle,AK444,Cmd_dateca,"&gt;0"))</f>
        <v/>
      </c>
      <c r="AG444" s="40">
        <f>IF(C444="","",SUMIFS(Enc_montant,Enc_cle,AK444))</f>
        <v/>
      </c>
      <c r="AH444" s="40">
        <f>IF(C444="","",AF444-AG444)</f>
        <v/>
      </c>
      <c r="AI444" s="33">
        <f>IF(C444="","",IF(D444="Perdu","",IF(AND(AB444&lt;&gt;"",N(AB444)&lt;TODAY()),"Action en retard",IF(AND(D444="Client",AE444&lt;&gt;"",TODAY()-N(AE444)&gt;P_JoursInactif),"Client inactif",IF(AND(D444="Prospect",Z444=0,O444&lt;&gt;"",TODAY()-N(O444)&gt;P_JoursNonVisite),"Jamais visité","")))))</f>
        <v/>
      </c>
      <c r="AJ444" s="33">
        <f>IF(C444="","",C444&amp;" ["&amp;TEXT(A444,"000")&amp;"]")</f>
        <v/>
      </c>
      <c r="AK444" s="33">
        <f>IF(C444="","",X444&amp;"|"&amp;A444)</f>
        <v/>
      </c>
      <c r="AL444" s="47">
        <f>IF(C444="",0,IF(COUNTIFS(VC_cle,AK444)=0,0,MAX(INDEX((VC_cle=AK444)*(VC_date+ROW(VC_date)/100000),0))))</f>
        <v/>
      </c>
      <c r="AM444" s="47">
        <f>IF(AND(C444&lt;&gt;"",N(AB444)&gt;0,D444&lt;&gt;"Perdu"),AB444+ROW()/100000,0)</f>
        <v/>
      </c>
      <c r="AN444" s="48">
        <f>IF(N(AF444)&gt;0,ROUND(AF444,0)+ROW()/1000000,0)</f>
        <v/>
      </c>
    </row>
    <row r="445" ht="18" customHeight="1">
      <c r="A445" s="39" t="n">
        <v>440</v>
      </c>
      <c r="B445" s="33">
        <f>IF(C445="","",IF(X445="À RENSEIGNER","GIC",X445)&amp;"-"&amp;TEXT(A445,"000"))</f>
        <v/>
      </c>
      <c r="C445" s="36" t="n"/>
      <c r="D445" s="34">
        <f>IF(C445="","",IF(U445="☑ Oui","Perdu",IF(AD445&lt;&gt;"","Client","Prospect")))</f>
        <v/>
      </c>
      <c r="E445" s="36" t="n"/>
      <c r="F445" s="36" t="n"/>
      <c r="G445" s="44" t="n"/>
      <c r="H445" s="44" t="n"/>
      <c r="I445" s="36" t="n"/>
      <c r="J445" s="36" t="n"/>
      <c r="K445" s="41" t="n"/>
      <c r="L445" s="41" t="n"/>
      <c r="M445" s="36" t="n"/>
      <c r="N445" s="36" t="n"/>
      <c r="O445" s="32" t="n"/>
      <c r="P445" s="36" t="n"/>
      <c r="Q445" s="36" t="n"/>
      <c r="R445" s="34">
        <f>IF(P445="","",IFERROR(VLOOKUP(P445,T_Produits,2,FALSE),""))</f>
        <v/>
      </c>
      <c r="S445" s="36" t="n"/>
      <c r="T445" s="43" t="n"/>
      <c r="U445" s="43" t="n"/>
      <c r="V445" s="36" t="n"/>
      <c r="W445" s="36" t="n"/>
      <c r="X445" s="33">
        <f>IF(C445="","",Commercial_Id)</f>
        <v/>
      </c>
      <c r="Y445" s="33">
        <f>IF(E445="","",IF(E445="Particulier / ménage","Particulier","Entreprise"))</f>
        <v/>
      </c>
      <c r="Z445" s="39">
        <f>IF(C445="","",COUNTIFS(VC_cle,AK445,VC_type,"Visite sur place"))</f>
        <v/>
      </c>
      <c r="AA445" s="46">
        <f>IF(AL445=0,"",IF(INT(AL445)=0,"",INT(AL445)))</f>
        <v/>
      </c>
      <c r="AB445" s="46">
        <f>IF(AL445=0,"",IF(INDEX(VC_actiondate,ROUND(MOD(AL445,1)*100000,0)-5)=0,"",INDEX(VC_actiondate,ROUND(MOD(AL445,1)*100000,0)-5)))</f>
        <v/>
      </c>
      <c r="AC445" s="33">
        <f>IF(AL445=0,"",INDEX(VC_actiontexte,ROUND(MOD(AL445,1)*100000,0)-5)&amp;"")</f>
        <v/>
      </c>
      <c r="AD445" s="46">
        <f>IF(C445="","",IF(COUNTIFS(Cmd_cle,AK445,Cmd_dateca,"&gt;0")=0,"",SMALL(INDEX(Cmd_dateca+(((Cmd_cle&lt;&gt;AK445)+(Cmd_dateca=0))&gt;0)*1000000,0),1)))</f>
        <v/>
      </c>
      <c r="AE445" s="46">
        <f>IF(C445="","",IF(COUNTIFS(Cmd_cle,AK445,Cmd_dateca,"&gt;0")=0,"",MAX(INDEX((Cmd_cle=AK445)*Cmd_dateca,0))))</f>
        <v/>
      </c>
      <c r="AF445" s="40">
        <f>IF(C445="","",SUMIFS(Cmd_montant,Cmd_cle,AK445,Cmd_dateca,"&gt;0"))</f>
        <v/>
      </c>
      <c r="AG445" s="40">
        <f>IF(C445="","",SUMIFS(Enc_montant,Enc_cle,AK445))</f>
        <v/>
      </c>
      <c r="AH445" s="40">
        <f>IF(C445="","",AF445-AG445)</f>
        <v/>
      </c>
      <c r="AI445" s="33">
        <f>IF(C445="","",IF(D445="Perdu","",IF(AND(AB445&lt;&gt;"",N(AB445)&lt;TODAY()),"Action en retard",IF(AND(D445="Client",AE445&lt;&gt;"",TODAY()-N(AE445)&gt;P_JoursInactif),"Client inactif",IF(AND(D445="Prospect",Z445=0,O445&lt;&gt;"",TODAY()-N(O445)&gt;P_JoursNonVisite),"Jamais visité","")))))</f>
        <v/>
      </c>
      <c r="AJ445" s="33">
        <f>IF(C445="","",C445&amp;" ["&amp;TEXT(A445,"000")&amp;"]")</f>
        <v/>
      </c>
      <c r="AK445" s="33">
        <f>IF(C445="","",X445&amp;"|"&amp;A445)</f>
        <v/>
      </c>
      <c r="AL445" s="47">
        <f>IF(C445="",0,IF(COUNTIFS(VC_cle,AK445)=0,0,MAX(INDEX((VC_cle=AK445)*(VC_date+ROW(VC_date)/100000),0))))</f>
        <v/>
      </c>
      <c r="AM445" s="47">
        <f>IF(AND(C445&lt;&gt;"",N(AB445)&gt;0,D445&lt;&gt;"Perdu"),AB445+ROW()/100000,0)</f>
        <v/>
      </c>
      <c r="AN445" s="48">
        <f>IF(N(AF445)&gt;0,ROUND(AF445,0)+ROW()/1000000,0)</f>
        <v/>
      </c>
    </row>
    <row r="446" ht="18" customHeight="1">
      <c r="A446" s="39" t="n">
        <v>441</v>
      </c>
      <c r="B446" s="33">
        <f>IF(C446="","",IF(X446="À RENSEIGNER","GIC",X446)&amp;"-"&amp;TEXT(A446,"000"))</f>
        <v/>
      </c>
      <c r="C446" s="36" t="n"/>
      <c r="D446" s="34">
        <f>IF(C446="","",IF(U446="☑ Oui","Perdu",IF(AD446&lt;&gt;"","Client","Prospect")))</f>
        <v/>
      </c>
      <c r="E446" s="36" t="n"/>
      <c r="F446" s="36" t="n"/>
      <c r="G446" s="44" t="n"/>
      <c r="H446" s="44" t="n"/>
      <c r="I446" s="36" t="n"/>
      <c r="J446" s="36" t="n"/>
      <c r="K446" s="41" t="n"/>
      <c r="L446" s="41" t="n"/>
      <c r="M446" s="36" t="n"/>
      <c r="N446" s="36" t="n"/>
      <c r="O446" s="32" t="n"/>
      <c r="P446" s="36" t="n"/>
      <c r="Q446" s="36" t="n"/>
      <c r="R446" s="34">
        <f>IF(P446="","",IFERROR(VLOOKUP(P446,T_Produits,2,FALSE),""))</f>
        <v/>
      </c>
      <c r="S446" s="36" t="n"/>
      <c r="T446" s="43" t="n"/>
      <c r="U446" s="43" t="n"/>
      <c r="V446" s="36" t="n"/>
      <c r="W446" s="36" t="n"/>
      <c r="X446" s="33">
        <f>IF(C446="","",Commercial_Id)</f>
        <v/>
      </c>
      <c r="Y446" s="33">
        <f>IF(E446="","",IF(E446="Particulier / ménage","Particulier","Entreprise"))</f>
        <v/>
      </c>
      <c r="Z446" s="39">
        <f>IF(C446="","",COUNTIFS(VC_cle,AK446,VC_type,"Visite sur place"))</f>
        <v/>
      </c>
      <c r="AA446" s="46">
        <f>IF(AL446=0,"",IF(INT(AL446)=0,"",INT(AL446)))</f>
        <v/>
      </c>
      <c r="AB446" s="46">
        <f>IF(AL446=0,"",IF(INDEX(VC_actiondate,ROUND(MOD(AL446,1)*100000,0)-5)=0,"",INDEX(VC_actiondate,ROUND(MOD(AL446,1)*100000,0)-5)))</f>
        <v/>
      </c>
      <c r="AC446" s="33">
        <f>IF(AL446=0,"",INDEX(VC_actiontexte,ROUND(MOD(AL446,1)*100000,0)-5)&amp;"")</f>
        <v/>
      </c>
      <c r="AD446" s="46">
        <f>IF(C446="","",IF(COUNTIFS(Cmd_cle,AK446,Cmd_dateca,"&gt;0")=0,"",SMALL(INDEX(Cmd_dateca+(((Cmd_cle&lt;&gt;AK446)+(Cmd_dateca=0))&gt;0)*1000000,0),1)))</f>
        <v/>
      </c>
      <c r="AE446" s="46">
        <f>IF(C446="","",IF(COUNTIFS(Cmd_cle,AK446,Cmd_dateca,"&gt;0")=0,"",MAX(INDEX((Cmd_cle=AK446)*Cmd_dateca,0))))</f>
        <v/>
      </c>
      <c r="AF446" s="40">
        <f>IF(C446="","",SUMIFS(Cmd_montant,Cmd_cle,AK446,Cmd_dateca,"&gt;0"))</f>
        <v/>
      </c>
      <c r="AG446" s="40">
        <f>IF(C446="","",SUMIFS(Enc_montant,Enc_cle,AK446))</f>
        <v/>
      </c>
      <c r="AH446" s="40">
        <f>IF(C446="","",AF446-AG446)</f>
        <v/>
      </c>
      <c r="AI446" s="33">
        <f>IF(C446="","",IF(D446="Perdu","",IF(AND(AB446&lt;&gt;"",N(AB446)&lt;TODAY()),"Action en retard",IF(AND(D446="Client",AE446&lt;&gt;"",TODAY()-N(AE446)&gt;P_JoursInactif),"Client inactif",IF(AND(D446="Prospect",Z446=0,O446&lt;&gt;"",TODAY()-N(O446)&gt;P_JoursNonVisite),"Jamais visité","")))))</f>
        <v/>
      </c>
      <c r="AJ446" s="33">
        <f>IF(C446="","",C446&amp;" ["&amp;TEXT(A446,"000")&amp;"]")</f>
        <v/>
      </c>
      <c r="AK446" s="33">
        <f>IF(C446="","",X446&amp;"|"&amp;A446)</f>
        <v/>
      </c>
      <c r="AL446" s="47">
        <f>IF(C446="",0,IF(COUNTIFS(VC_cle,AK446)=0,0,MAX(INDEX((VC_cle=AK446)*(VC_date+ROW(VC_date)/100000),0))))</f>
        <v/>
      </c>
      <c r="AM446" s="47">
        <f>IF(AND(C446&lt;&gt;"",N(AB446)&gt;0,D446&lt;&gt;"Perdu"),AB446+ROW()/100000,0)</f>
        <v/>
      </c>
      <c r="AN446" s="48">
        <f>IF(N(AF446)&gt;0,ROUND(AF446,0)+ROW()/1000000,0)</f>
        <v/>
      </c>
    </row>
    <row r="447" ht="18" customHeight="1">
      <c r="A447" s="39" t="n">
        <v>442</v>
      </c>
      <c r="B447" s="33">
        <f>IF(C447="","",IF(X447="À RENSEIGNER","GIC",X447)&amp;"-"&amp;TEXT(A447,"000"))</f>
        <v/>
      </c>
      <c r="C447" s="36" t="n"/>
      <c r="D447" s="34">
        <f>IF(C447="","",IF(U447="☑ Oui","Perdu",IF(AD447&lt;&gt;"","Client","Prospect")))</f>
        <v/>
      </c>
      <c r="E447" s="36" t="n"/>
      <c r="F447" s="36" t="n"/>
      <c r="G447" s="44" t="n"/>
      <c r="H447" s="44" t="n"/>
      <c r="I447" s="36" t="n"/>
      <c r="J447" s="36" t="n"/>
      <c r="K447" s="41" t="n"/>
      <c r="L447" s="41" t="n"/>
      <c r="M447" s="36" t="n"/>
      <c r="N447" s="36" t="n"/>
      <c r="O447" s="32" t="n"/>
      <c r="P447" s="36" t="n"/>
      <c r="Q447" s="36" t="n"/>
      <c r="R447" s="34">
        <f>IF(P447="","",IFERROR(VLOOKUP(P447,T_Produits,2,FALSE),""))</f>
        <v/>
      </c>
      <c r="S447" s="36" t="n"/>
      <c r="T447" s="43" t="n"/>
      <c r="U447" s="43" t="n"/>
      <c r="V447" s="36" t="n"/>
      <c r="W447" s="36" t="n"/>
      <c r="X447" s="33">
        <f>IF(C447="","",Commercial_Id)</f>
        <v/>
      </c>
      <c r="Y447" s="33">
        <f>IF(E447="","",IF(E447="Particulier / ménage","Particulier","Entreprise"))</f>
        <v/>
      </c>
      <c r="Z447" s="39">
        <f>IF(C447="","",COUNTIFS(VC_cle,AK447,VC_type,"Visite sur place"))</f>
        <v/>
      </c>
      <c r="AA447" s="46">
        <f>IF(AL447=0,"",IF(INT(AL447)=0,"",INT(AL447)))</f>
        <v/>
      </c>
      <c r="AB447" s="46">
        <f>IF(AL447=0,"",IF(INDEX(VC_actiondate,ROUND(MOD(AL447,1)*100000,0)-5)=0,"",INDEX(VC_actiondate,ROUND(MOD(AL447,1)*100000,0)-5)))</f>
        <v/>
      </c>
      <c r="AC447" s="33">
        <f>IF(AL447=0,"",INDEX(VC_actiontexte,ROUND(MOD(AL447,1)*100000,0)-5)&amp;"")</f>
        <v/>
      </c>
      <c r="AD447" s="46">
        <f>IF(C447="","",IF(COUNTIFS(Cmd_cle,AK447,Cmd_dateca,"&gt;0")=0,"",SMALL(INDEX(Cmd_dateca+(((Cmd_cle&lt;&gt;AK447)+(Cmd_dateca=0))&gt;0)*1000000,0),1)))</f>
        <v/>
      </c>
      <c r="AE447" s="46">
        <f>IF(C447="","",IF(COUNTIFS(Cmd_cle,AK447,Cmd_dateca,"&gt;0")=0,"",MAX(INDEX((Cmd_cle=AK447)*Cmd_dateca,0))))</f>
        <v/>
      </c>
      <c r="AF447" s="40">
        <f>IF(C447="","",SUMIFS(Cmd_montant,Cmd_cle,AK447,Cmd_dateca,"&gt;0"))</f>
        <v/>
      </c>
      <c r="AG447" s="40">
        <f>IF(C447="","",SUMIFS(Enc_montant,Enc_cle,AK447))</f>
        <v/>
      </c>
      <c r="AH447" s="40">
        <f>IF(C447="","",AF447-AG447)</f>
        <v/>
      </c>
      <c r="AI447" s="33">
        <f>IF(C447="","",IF(D447="Perdu","",IF(AND(AB447&lt;&gt;"",N(AB447)&lt;TODAY()),"Action en retard",IF(AND(D447="Client",AE447&lt;&gt;"",TODAY()-N(AE447)&gt;P_JoursInactif),"Client inactif",IF(AND(D447="Prospect",Z447=0,O447&lt;&gt;"",TODAY()-N(O447)&gt;P_JoursNonVisite),"Jamais visité","")))))</f>
        <v/>
      </c>
      <c r="AJ447" s="33">
        <f>IF(C447="","",C447&amp;" ["&amp;TEXT(A447,"000")&amp;"]")</f>
        <v/>
      </c>
      <c r="AK447" s="33">
        <f>IF(C447="","",X447&amp;"|"&amp;A447)</f>
        <v/>
      </c>
      <c r="AL447" s="47">
        <f>IF(C447="",0,IF(COUNTIFS(VC_cle,AK447)=0,0,MAX(INDEX((VC_cle=AK447)*(VC_date+ROW(VC_date)/100000),0))))</f>
        <v/>
      </c>
      <c r="AM447" s="47">
        <f>IF(AND(C447&lt;&gt;"",N(AB447)&gt;0,D447&lt;&gt;"Perdu"),AB447+ROW()/100000,0)</f>
        <v/>
      </c>
      <c r="AN447" s="48">
        <f>IF(N(AF447)&gt;0,ROUND(AF447,0)+ROW()/1000000,0)</f>
        <v/>
      </c>
    </row>
    <row r="448" ht="18" customHeight="1">
      <c r="A448" s="39" t="n">
        <v>443</v>
      </c>
      <c r="B448" s="33">
        <f>IF(C448="","",IF(X448="À RENSEIGNER","GIC",X448)&amp;"-"&amp;TEXT(A448,"000"))</f>
        <v/>
      </c>
      <c r="C448" s="36" t="n"/>
      <c r="D448" s="34">
        <f>IF(C448="","",IF(U448="☑ Oui","Perdu",IF(AD448&lt;&gt;"","Client","Prospect")))</f>
        <v/>
      </c>
      <c r="E448" s="36" t="n"/>
      <c r="F448" s="36" t="n"/>
      <c r="G448" s="44" t="n"/>
      <c r="H448" s="44" t="n"/>
      <c r="I448" s="36" t="n"/>
      <c r="J448" s="36" t="n"/>
      <c r="K448" s="41" t="n"/>
      <c r="L448" s="41" t="n"/>
      <c r="M448" s="36" t="n"/>
      <c r="N448" s="36" t="n"/>
      <c r="O448" s="32" t="n"/>
      <c r="P448" s="36" t="n"/>
      <c r="Q448" s="36" t="n"/>
      <c r="R448" s="34">
        <f>IF(P448="","",IFERROR(VLOOKUP(P448,T_Produits,2,FALSE),""))</f>
        <v/>
      </c>
      <c r="S448" s="36" t="n"/>
      <c r="T448" s="43" t="n"/>
      <c r="U448" s="43" t="n"/>
      <c r="V448" s="36" t="n"/>
      <c r="W448" s="36" t="n"/>
      <c r="X448" s="33">
        <f>IF(C448="","",Commercial_Id)</f>
        <v/>
      </c>
      <c r="Y448" s="33">
        <f>IF(E448="","",IF(E448="Particulier / ménage","Particulier","Entreprise"))</f>
        <v/>
      </c>
      <c r="Z448" s="39">
        <f>IF(C448="","",COUNTIFS(VC_cle,AK448,VC_type,"Visite sur place"))</f>
        <v/>
      </c>
      <c r="AA448" s="46">
        <f>IF(AL448=0,"",IF(INT(AL448)=0,"",INT(AL448)))</f>
        <v/>
      </c>
      <c r="AB448" s="46">
        <f>IF(AL448=0,"",IF(INDEX(VC_actiondate,ROUND(MOD(AL448,1)*100000,0)-5)=0,"",INDEX(VC_actiondate,ROUND(MOD(AL448,1)*100000,0)-5)))</f>
        <v/>
      </c>
      <c r="AC448" s="33">
        <f>IF(AL448=0,"",INDEX(VC_actiontexte,ROUND(MOD(AL448,1)*100000,0)-5)&amp;"")</f>
        <v/>
      </c>
      <c r="AD448" s="46">
        <f>IF(C448="","",IF(COUNTIFS(Cmd_cle,AK448,Cmd_dateca,"&gt;0")=0,"",SMALL(INDEX(Cmd_dateca+(((Cmd_cle&lt;&gt;AK448)+(Cmd_dateca=0))&gt;0)*1000000,0),1)))</f>
        <v/>
      </c>
      <c r="AE448" s="46">
        <f>IF(C448="","",IF(COUNTIFS(Cmd_cle,AK448,Cmd_dateca,"&gt;0")=0,"",MAX(INDEX((Cmd_cle=AK448)*Cmd_dateca,0))))</f>
        <v/>
      </c>
      <c r="AF448" s="40">
        <f>IF(C448="","",SUMIFS(Cmd_montant,Cmd_cle,AK448,Cmd_dateca,"&gt;0"))</f>
        <v/>
      </c>
      <c r="AG448" s="40">
        <f>IF(C448="","",SUMIFS(Enc_montant,Enc_cle,AK448))</f>
        <v/>
      </c>
      <c r="AH448" s="40">
        <f>IF(C448="","",AF448-AG448)</f>
        <v/>
      </c>
      <c r="AI448" s="33">
        <f>IF(C448="","",IF(D448="Perdu","",IF(AND(AB448&lt;&gt;"",N(AB448)&lt;TODAY()),"Action en retard",IF(AND(D448="Client",AE448&lt;&gt;"",TODAY()-N(AE448)&gt;P_JoursInactif),"Client inactif",IF(AND(D448="Prospect",Z448=0,O448&lt;&gt;"",TODAY()-N(O448)&gt;P_JoursNonVisite),"Jamais visité","")))))</f>
        <v/>
      </c>
      <c r="AJ448" s="33">
        <f>IF(C448="","",C448&amp;" ["&amp;TEXT(A448,"000")&amp;"]")</f>
        <v/>
      </c>
      <c r="AK448" s="33">
        <f>IF(C448="","",X448&amp;"|"&amp;A448)</f>
        <v/>
      </c>
      <c r="AL448" s="47">
        <f>IF(C448="",0,IF(COUNTIFS(VC_cle,AK448)=0,0,MAX(INDEX((VC_cle=AK448)*(VC_date+ROW(VC_date)/100000),0))))</f>
        <v/>
      </c>
      <c r="AM448" s="47">
        <f>IF(AND(C448&lt;&gt;"",N(AB448)&gt;0,D448&lt;&gt;"Perdu"),AB448+ROW()/100000,0)</f>
        <v/>
      </c>
      <c r="AN448" s="48">
        <f>IF(N(AF448)&gt;0,ROUND(AF448,0)+ROW()/1000000,0)</f>
        <v/>
      </c>
    </row>
    <row r="449" ht="18" customHeight="1">
      <c r="A449" s="39" t="n">
        <v>444</v>
      </c>
      <c r="B449" s="33">
        <f>IF(C449="","",IF(X449="À RENSEIGNER","GIC",X449)&amp;"-"&amp;TEXT(A449,"000"))</f>
        <v/>
      </c>
      <c r="C449" s="36" t="n"/>
      <c r="D449" s="34">
        <f>IF(C449="","",IF(U449="☑ Oui","Perdu",IF(AD449&lt;&gt;"","Client","Prospect")))</f>
        <v/>
      </c>
      <c r="E449" s="36" t="n"/>
      <c r="F449" s="36" t="n"/>
      <c r="G449" s="44" t="n"/>
      <c r="H449" s="44" t="n"/>
      <c r="I449" s="36" t="n"/>
      <c r="J449" s="36" t="n"/>
      <c r="K449" s="41" t="n"/>
      <c r="L449" s="41" t="n"/>
      <c r="M449" s="36" t="n"/>
      <c r="N449" s="36" t="n"/>
      <c r="O449" s="32" t="n"/>
      <c r="P449" s="36" t="n"/>
      <c r="Q449" s="36" t="n"/>
      <c r="R449" s="34">
        <f>IF(P449="","",IFERROR(VLOOKUP(P449,T_Produits,2,FALSE),""))</f>
        <v/>
      </c>
      <c r="S449" s="36" t="n"/>
      <c r="T449" s="43" t="n"/>
      <c r="U449" s="43" t="n"/>
      <c r="V449" s="36" t="n"/>
      <c r="W449" s="36" t="n"/>
      <c r="X449" s="33">
        <f>IF(C449="","",Commercial_Id)</f>
        <v/>
      </c>
      <c r="Y449" s="33">
        <f>IF(E449="","",IF(E449="Particulier / ménage","Particulier","Entreprise"))</f>
        <v/>
      </c>
      <c r="Z449" s="39">
        <f>IF(C449="","",COUNTIFS(VC_cle,AK449,VC_type,"Visite sur place"))</f>
        <v/>
      </c>
      <c r="AA449" s="46">
        <f>IF(AL449=0,"",IF(INT(AL449)=0,"",INT(AL449)))</f>
        <v/>
      </c>
      <c r="AB449" s="46">
        <f>IF(AL449=0,"",IF(INDEX(VC_actiondate,ROUND(MOD(AL449,1)*100000,0)-5)=0,"",INDEX(VC_actiondate,ROUND(MOD(AL449,1)*100000,0)-5)))</f>
        <v/>
      </c>
      <c r="AC449" s="33">
        <f>IF(AL449=0,"",INDEX(VC_actiontexte,ROUND(MOD(AL449,1)*100000,0)-5)&amp;"")</f>
        <v/>
      </c>
      <c r="AD449" s="46">
        <f>IF(C449="","",IF(COUNTIFS(Cmd_cle,AK449,Cmd_dateca,"&gt;0")=0,"",SMALL(INDEX(Cmd_dateca+(((Cmd_cle&lt;&gt;AK449)+(Cmd_dateca=0))&gt;0)*1000000,0),1)))</f>
        <v/>
      </c>
      <c r="AE449" s="46">
        <f>IF(C449="","",IF(COUNTIFS(Cmd_cle,AK449,Cmd_dateca,"&gt;0")=0,"",MAX(INDEX((Cmd_cle=AK449)*Cmd_dateca,0))))</f>
        <v/>
      </c>
      <c r="AF449" s="40">
        <f>IF(C449="","",SUMIFS(Cmd_montant,Cmd_cle,AK449,Cmd_dateca,"&gt;0"))</f>
        <v/>
      </c>
      <c r="AG449" s="40">
        <f>IF(C449="","",SUMIFS(Enc_montant,Enc_cle,AK449))</f>
        <v/>
      </c>
      <c r="AH449" s="40">
        <f>IF(C449="","",AF449-AG449)</f>
        <v/>
      </c>
      <c r="AI449" s="33">
        <f>IF(C449="","",IF(D449="Perdu","",IF(AND(AB449&lt;&gt;"",N(AB449)&lt;TODAY()),"Action en retard",IF(AND(D449="Client",AE449&lt;&gt;"",TODAY()-N(AE449)&gt;P_JoursInactif),"Client inactif",IF(AND(D449="Prospect",Z449=0,O449&lt;&gt;"",TODAY()-N(O449)&gt;P_JoursNonVisite),"Jamais visité","")))))</f>
        <v/>
      </c>
      <c r="AJ449" s="33">
        <f>IF(C449="","",C449&amp;" ["&amp;TEXT(A449,"000")&amp;"]")</f>
        <v/>
      </c>
      <c r="AK449" s="33">
        <f>IF(C449="","",X449&amp;"|"&amp;A449)</f>
        <v/>
      </c>
      <c r="AL449" s="47">
        <f>IF(C449="",0,IF(COUNTIFS(VC_cle,AK449)=0,0,MAX(INDEX((VC_cle=AK449)*(VC_date+ROW(VC_date)/100000),0))))</f>
        <v/>
      </c>
      <c r="AM449" s="47">
        <f>IF(AND(C449&lt;&gt;"",N(AB449)&gt;0,D449&lt;&gt;"Perdu"),AB449+ROW()/100000,0)</f>
        <v/>
      </c>
      <c r="AN449" s="48">
        <f>IF(N(AF449)&gt;0,ROUND(AF449,0)+ROW()/1000000,0)</f>
        <v/>
      </c>
    </row>
    <row r="450" ht="18" customHeight="1">
      <c r="A450" s="39" t="n">
        <v>445</v>
      </c>
      <c r="B450" s="33">
        <f>IF(C450="","",IF(X450="À RENSEIGNER","GIC",X450)&amp;"-"&amp;TEXT(A450,"000"))</f>
        <v/>
      </c>
      <c r="C450" s="36" t="n"/>
      <c r="D450" s="34">
        <f>IF(C450="","",IF(U450="☑ Oui","Perdu",IF(AD450&lt;&gt;"","Client","Prospect")))</f>
        <v/>
      </c>
      <c r="E450" s="36" t="n"/>
      <c r="F450" s="36" t="n"/>
      <c r="G450" s="44" t="n"/>
      <c r="H450" s="44" t="n"/>
      <c r="I450" s="36" t="n"/>
      <c r="J450" s="36" t="n"/>
      <c r="K450" s="41" t="n"/>
      <c r="L450" s="41" t="n"/>
      <c r="M450" s="36" t="n"/>
      <c r="N450" s="36" t="n"/>
      <c r="O450" s="32" t="n"/>
      <c r="P450" s="36" t="n"/>
      <c r="Q450" s="36" t="n"/>
      <c r="R450" s="34">
        <f>IF(P450="","",IFERROR(VLOOKUP(P450,T_Produits,2,FALSE),""))</f>
        <v/>
      </c>
      <c r="S450" s="36" t="n"/>
      <c r="T450" s="43" t="n"/>
      <c r="U450" s="43" t="n"/>
      <c r="V450" s="36" t="n"/>
      <c r="W450" s="36" t="n"/>
      <c r="X450" s="33">
        <f>IF(C450="","",Commercial_Id)</f>
        <v/>
      </c>
      <c r="Y450" s="33">
        <f>IF(E450="","",IF(E450="Particulier / ménage","Particulier","Entreprise"))</f>
        <v/>
      </c>
      <c r="Z450" s="39">
        <f>IF(C450="","",COUNTIFS(VC_cle,AK450,VC_type,"Visite sur place"))</f>
        <v/>
      </c>
      <c r="AA450" s="46">
        <f>IF(AL450=0,"",IF(INT(AL450)=0,"",INT(AL450)))</f>
        <v/>
      </c>
      <c r="AB450" s="46">
        <f>IF(AL450=0,"",IF(INDEX(VC_actiondate,ROUND(MOD(AL450,1)*100000,0)-5)=0,"",INDEX(VC_actiondate,ROUND(MOD(AL450,1)*100000,0)-5)))</f>
        <v/>
      </c>
      <c r="AC450" s="33">
        <f>IF(AL450=0,"",INDEX(VC_actiontexte,ROUND(MOD(AL450,1)*100000,0)-5)&amp;"")</f>
        <v/>
      </c>
      <c r="AD450" s="46">
        <f>IF(C450="","",IF(COUNTIFS(Cmd_cle,AK450,Cmd_dateca,"&gt;0")=0,"",SMALL(INDEX(Cmd_dateca+(((Cmd_cle&lt;&gt;AK450)+(Cmd_dateca=0))&gt;0)*1000000,0),1)))</f>
        <v/>
      </c>
      <c r="AE450" s="46">
        <f>IF(C450="","",IF(COUNTIFS(Cmd_cle,AK450,Cmd_dateca,"&gt;0")=0,"",MAX(INDEX((Cmd_cle=AK450)*Cmd_dateca,0))))</f>
        <v/>
      </c>
      <c r="AF450" s="40">
        <f>IF(C450="","",SUMIFS(Cmd_montant,Cmd_cle,AK450,Cmd_dateca,"&gt;0"))</f>
        <v/>
      </c>
      <c r="AG450" s="40">
        <f>IF(C450="","",SUMIFS(Enc_montant,Enc_cle,AK450))</f>
        <v/>
      </c>
      <c r="AH450" s="40">
        <f>IF(C450="","",AF450-AG450)</f>
        <v/>
      </c>
      <c r="AI450" s="33">
        <f>IF(C450="","",IF(D450="Perdu","",IF(AND(AB450&lt;&gt;"",N(AB450)&lt;TODAY()),"Action en retard",IF(AND(D450="Client",AE450&lt;&gt;"",TODAY()-N(AE450)&gt;P_JoursInactif),"Client inactif",IF(AND(D450="Prospect",Z450=0,O450&lt;&gt;"",TODAY()-N(O450)&gt;P_JoursNonVisite),"Jamais visité","")))))</f>
        <v/>
      </c>
      <c r="AJ450" s="33">
        <f>IF(C450="","",C450&amp;" ["&amp;TEXT(A450,"000")&amp;"]")</f>
        <v/>
      </c>
      <c r="AK450" s="33">
        <f>IF(C450="","",X450&amp;"|"&amp;A450)</f>
        <v/>
      </c>
      <c r="AL450" s="47">
        <f>IF(C450="",0,IF(COUNTIFS(VC_cle,AK450)=0,0,MAX(INDEX((VC_cle=AK450)*(VC_date+ROW(VC_date)/100000),0))))</f>
        <v/>
      </c>
      <c r="AM450" s="47">
        <f>IF(AND(C450&lt;&gt;"",N(AB450)&gt;0,D450&lt;&gt;"Perdu"),AB450+ROW()/100000,0)</f>
        <v/>
      </c>
      <c r="AN450" s="48">
        <f>IF(N(AF450)&gt;0,ROUND(AF450,0)+ROW()/1000000,0)</f>
        <v/>
      </c>
    </row>
    <row r="451" ht="18" customHeight="1">
      <c r="A451" s="39" t="n">
        <v>446</v>
      </c>
      <c r="B451" s="33">
        <f>IF(C451="","",IF(X451="À RENSEIGNER","GIC",X451)&amp;"-"&amp;TEXT(A451,"000"))</f>
        <v/>
      </c>
      <c r="C451" s="36" t="n"/>
      <c r="D451" s="34">
        <f>IF(C451="","",IF(U451="☑ Oui","Perdu",IF(AD451&lt;&gt;"","Client","Prospect")))</f>
        <v/>
      </c>
      <c r="E451" s="36" t="n"/>
      <c r="F451" s="36" t="n"/>
      <c r="G451" s="44" t="n"/>
      <c r="H451" s="44" t="n"/>
      <c r="I451" s="36" t="n"/>
      <c r="J451" s="36" t="n"/>
      <c r="K451" s="41" t="n"/>
      <c r="L451" s="41" t="n"/>
      <c r="M451" s="36" t="n"/>
      <c r="N451" s="36" t="n"/>
      <c r="O451" s="32" t="n"/>
      <c r="P451" s="36" t="n"/>
      <c r="Q451" s="36" t="n"/>
      <c r="R451" s="34">
        <f>IF(P451="","",IFERROR(VLOOKUP(P451,T_Produits,2,FALSE),""))</f>
        <v/>
      </c>
      <c r="S451" s="36" t="n"/>
      <c r="T451" s="43" t="n"/>
      <c r="U451" s="43" t="n"/>
      <c r="V451" s="36" t="n"/>
      <c r="W451" s="36" t="n"/>
      <c r="X451" s="33">
        <f>IF(C451="","",Commercial_Id)</f>
        <v/>
      </c>
      <c r="Y451" s="33">
        <f>IF(E451="","",IF(E451="Particulier / ménage","Particulier","Entreprise"))</f>
        <v/>
      </c>
      <c r="Z451" s="39">
        <f>IF(C451="","",COUNTIFS(VC_cle,AK451,VC_type,"Visite sur place"))</f>
        <v/>
      </c>
      <c r="AA451" s="46">
        <f>IF(AL451=0,"",IF(INT(AL451)=0,"",INT(AL451)))</f>
        <v/>
      </c>
      <c r="AB451" s="46">
        <f>IF(AL451=0,"",IF(INDEX(VC_actiondate,ROUND(MOD(AL451,1)*100000,0)-5)=0,"",INDEX(VC_actiondate,ROUND(MOD(AL451,1)*100000,0)-5)))</f>
        <v/>
      </c>
      <c r="AC451" s="33">
        <f>IF(AL451=0,"",INDEX(VC_actiontexte,ROUND(MOD(AL451,1)*100000,0)-5)&amp;"")</f>
        <v/>
      </c>
      <c r="AD451" s="46">
        <f>IF(C451="","",IF(COUNTIFS(Cmd_cle,AK451,Cmd_dateca,"&gt;0")=0,"",SMALL(INDEX(Cmd_dateca+(((Cmd_cle&lt;&gt;AK451)+(Cmd_dateca=0))&gt;0)*1000000,0),1)))</f>
        <v/>
      </c>
      <c r="AE451" s="46">
        <f>IF(C451="","",IF(COUNTIFS(Cmd_cle,AK451,Cmd_dateca,"&gt;0")=0,"",MAX(INDEX((Cmd_cle=AK451)*Cmd_dateca,0))))</f>
        <v/>
      </c>
      <c r="AF451" s="40">
        <f>IF(C451="","",SUMIFS(Cmd_montant,Cmd_cle,AK451,Cmd_dateca,"&gt;0"))</f>
        <v/>
      </c>
      <c r="AG451" s="40">
        <f>IF(C451="","",SUMIFS(Enc_montant,Enc_cle,AK451))</f>
        <v/>
      </c>
      <c r="AH451" s="40">
        <f>IF(C451="","",AF451-AG451)</f>
        <v/>
      </c>
      <c r="AI451" s="33">
        <f>IF(C451="","",IF(D451="Perdu","",IF(AND(AB451&lt;&gt;"",N(AB451)&lt;TODAY()),"Action en retard",IF(AND(D451="Client",AE451&lt;&gt;"",TODAY()-N(AE451)&gt;P_JoursInactif),"Client inactif",IF(AND(D451="Prospect",Z451=0,O451&lt;&gt;"",TODAY()-N(O451)&gt;P_JoursNonVisite),"Jamais visité","")))))</f>
        <v/>
      </c>
      <c r="AJ451" s="33">
        <f>IF(C451="","",C451&amp;" ["&amp;TEXT(A451,"000")&amp;"]")</f>
        <v/>
      </c>
      <c r="AK451" s="33">
        <f>IF(C451="","",X451&amp;"|"&amp;A451)</f>
        <v/>
      </c>
      <c r="AL451" s="47">
        <f>IF(C451="",0,IF(COUNTIFS(VC_cle,AK451)=0,0,MAX(INDEX((VC_cle=AK451)*(VC_date+ROW(VC_date)/100000),0))))</f>
        <v/>
      </c>
      <c r="AM451" s="47">
        <f>IF(AND(C451&lt;&gt;"",N(AB451)&gt;0,D451&lt;&gt;"Perdu"),AB451+ROW()/100000,0)</f>
        <v/>
      </c>
      <c r="AN451" s="48">
        <f>IF(N(AF451)&gt;0,ROUND(AF451,0)+ROW()/1000000,0)</f>
        <v/>
      </c>
    </row>
    <row r="452" ht="18" customHeight="1">
      <c r="A452" s="39" t="n">
        <v>447</v>
      </c>
      <c r="B452" s="33">
        <f>IF(C452="","",IF(X452="À RENSEIGNER","GIC",X452)&amp;"-"&amp;TEXT(A452,"000"))</f>
        <v/>
      </c>
      <c r="C452" s="36" t="n"/>
      <c r="D452" s="34">
        <f>IF(C452="","",IF(U452="☑ Oui","Perdu",IF(AD452&lt;&gt;"","Client","Prospect")))</f>
        <v/>
      </c>
      <c r="E452" s="36" t="n"/>
      <c r="F452" s="36" t="n"/>
      <c r="G452" s="44" t="n"/>
      <c r="H452" s="44" t="n"/>
      <c r="I452" s="36" t="n"/>
      <c r="J452" s="36" t="n"/>
      <c r="K452" s="41" t="n"/>
      <c r="L452" s="41" t="n"/>
      <c r="M452" s="36" t="n"/>
      <c r="N452" s="36" t="n"/>
      <c r="O452" s="32" t="n"/>
      <c r="P452" s="36" t="n"/>
      <c r="Q452" s="36" t="n"/>
      <c r="R452" s="34">
        <f>IF(P452="","",IFERROR(VLOOKUP(P452,T_Produits,2,FALSE),""))</f>
        <v/>
      </c>
      <c r="S452" s="36" t="n"/>
      <c r="T452" s="43" t="n"/>
      <c r="U452" s="43" t="n"/>
      <c r="V452" s="36" t="n"/>
      <c r="W452" s="36" t="n"/>
      <c r="X452" s="33">
        <f>IF(C452="","",Commercial_Id)</f>
        <v/>
      </c>
      <c r="Y452" s="33">
        <f>IF(E452="","",IF(E452="Particulier / ménage","Particulier","Entreprise"))</f>
        <v/>
      </c>
      <c r="Z452" s="39">
        <f>IF(C452="","",COUNTIFS(VC_cle,AK452,VC_type,"Visite sur place"))</f>
        <v/>
      </c>
      <c r="AA452" s="46">
        <f>IF(AL452=0,"",IF(INT(AL452)=0,"",INT(AL452)))</f>
        <v/>
      </c>
      <c r="AB452" s="46">
        <f>IF(AL452=0,"",IF(INDEX(VC_actiondate,ROUND(MOD(AL452,1)*100000,0)-5)=0,"",INDEX(VC_actiondate,ROUND(MOD(AL452,1)*100000,0)-5)))</f>
        <v/>
      </c>
      <c r="AC452" s="33">
        <f>IF(AL452=0,"",INDEX(VC_actiontexte,ROUND(MOD(AL452,1)*100000,0)-5)&amp;"")</f>
        <v/>
      </c>
      <c r="AD452" s="46">
        <f>IF(C452="","",IF(COUNTIFS(Cmd_cle,AK452,Cmd_dateca,"&gt;0")=0,"",SMALL(INDEX(Cmd_dateca+(((Cmd_cle&lt;&gt;AK452)+(Cmd_dateca=0))&gt;0)*1000000,0),1)))</f>
        <v/>
      </c>
      <c r="AE452" s="46">
        <f>IF(C452="","",IF(COUNTIFS(Cmd_cle,AK452,Cmd_dateca,"&gt;0")=0,"",MAX(INDEX((Cmd_cle=AK452)*Cmd_dateca,0))))</f>
        <v/>
      </c>
      <c r="AF452" s="40">
        <f>IF(C452="","",SUMIFS(Cmd_montant,Cmd_cle,AK452,Cmd_dateca,"&gt;0"))</f>
        <v/>
      </c>
      <c r="AG452" s="40">
        <f>IF(C452="","",SUMIFS(Enc_montant,Enc_cle,AK452))</f>
        <v/>
      </c>
      <c r="AH452" s="40">
        <f>IF(C452="","",AF452-AG452)</f>
        <v/>
      </c>
      <c r="AI452" s="33">
        <f>IF(C452="","",IF(D452="Perdu","",IF(AND(AB452&lt;&gt;"",N(AB452)&lt;TODAY()),"Action en retard",IF(AND(D452="Client",AE452&lt;&gt;"",TODAY()-N(AE452)&gt;P_JoursInactif),"Client inactif",IF(AND(D452="Prospect",Z452=0,O452&lt;&gt;"",TODAY()-N(O452)&gt;P_JoursNonVisite),"Jamais visité","")))))</f>
        <v/>
      </c>
      <c r="AJ452" s="33">
        <f>IF(C452="","",C452&amp;" ["&amp;TEXT(A452,"000")&amp;"]")</f>
        <v/>
      </c>
      <c r="AK452" s="33">
        <f>IF(C452="","",X452&amp;"|"&amp;A452)</f>
        <v/>
      </c>
      <c r="AL452" s="47">
        <f>IF(C452="",0,IF(COUNTIFS(VC_cle,AK452)=0,0,MAX(INDEX((VC_cle=AK452)*(VC_date+ROW(VC_date)/100000),0))))</f>
        <v/>
      </c>
      <c r="AM452" s="47">
        <f>IF(AND(C452&lt;&gt;"",N(AB452)&gt;0,D452&lt;&gt;"Perdu"),AB452+ROW()/100000,0)</f>
        <v/>
      </c>
      <c r="AN452" s="48">
        <f>IF(N(AF452)&gt;0,ROUND(AF452,0)+ROW()/1000000,0)</f>
        <v/>
      </c>
    </row>
    <row r="453" ht="18" customHeight="1">
      <c r="A453" s="39" t="n">
        <v>448</v>
      </c>
      <c r="B453" s="33">
        <f>IF(C453="","",IF(X453="À RENSEIGNER","GIC",X453)&amp;"-"&amp;TEXT(A453,"000"))</f>
        <v/>
      </c>
      <c r="C453" s="36" t="n"/>
      <c r="D453" s="34">
        <f>IF(C453="","",IF(U453="☑ Oui","Perdu",IF(AD453&lt;&gt;"","Client","Prospect")))</f>
        <v/>
      </c>
      <c r="E453" s="36" t="n"/>
      <c r="F453" s="36" t="n"/>
      <c r="G453" s="44" t="n"/>
      <c r="H453" s="44" t="n"/>
      <c r="I453" s="36" t="n"/>
      <c r="J453" s="36" t="n"/>
      <c r="K453" s="41" t="n"/>
      <c r="L453" s="41" t="n"/>
      <c r="M453" s="36" t="n"/>
      <c r="N453" s="36" t="n"/>
      <c r="O453" s="32" t="n"/>
      <c r="P453" s="36" t="n"/>
      <c r="Q453" s="36" t="n"/>
      <c r="R453" s="34">
        <f>IF(P453="","",IFERROR(VLOOKUP(P453,T_Produits,2,FALSE),""))</f>
        <v/>
      </c>
      <c r="S453" s="36" t="n"/>
      <c r="T453" s="43" t="n"/>
      <c r="U453" s="43" t="n"/>
      <c r="V453" s="36" t="n"/>
      <c r="W453" s="36" t="n"/>
      <c r="X453" s="33">
        <f>IF(C453="","",Commercial_Id)</f>
        <v/>
      </c>
      <c r="Y453" s="33">
        <f>IF(E453="","",IF(E453="Particulier / ménage","Particulier","Entreprise"))</f>
        <v/>
      </c>
      <c r="Z453" s="39">
        <f>IF(C453="","",COUNTIFS(VC_cle,AK453,VC_type,"Visite sur place"))</f>
        <v/>
      </c>
      <c r="AA453" s="46">
        <f>IF(AL453=0,"",IF(INT(AL453)=0,"",INT(AL453)))</f>
        <v/>
      </c>
      <c r="AB453" s="46">
        <f>IF(AL453=0,"",IF(INDEX(VC_actiondate,ROUND(MOD(AL453,1)*100000,0)-5)=0,"",INDEX(VC_actiondate,ROUND(MOD(AL453,1)*100000,0)-5)))</f>
        <v/>
      </c>
      <c r="AC453" s="33">
        <f>IF(AL453=0,"",INDEX(VC_actiontexte,ROUND(MOD(AL453,1)*100000,0)-5)&amp;"")</f>
        <v/>
      </c>
      <c r="AD453" s="46">
        <f>IF(C453="","",IF(COUNTIFS(Cmd_cle,AK453,Cmd_dateca,"&gt;0")=0,"",SMALL(INDEX(Cmd_dateca+(((Cmd_cle&lt;&gt;AK453)+(Cmd_dateca=0))&gt;0)*1000000,0),1)))</f>
        <v/>
      </c>
      <c r="AE453" s="46">
        <f>IF(C453="","",IF(COUNTIFS(Cmd_cle,AK453,Cmd_dateca,"&gt;0")=0,"",MAX(INDEX((Cmd_cle=AK453)*Cmd_dateca,0))))</f>
        <v/>
      </c>
      <c r="AF453" s="40">
        <f>IF(C453="","",SUMIFS(Cmd_montant,Cmd_cle,AK453,Cmd_dateca,"&gt;0"))</f>
        <v/>
      </c>
      <c r="AG453" s="40">
        <f>IF(C453="","",SUMIFS(Enc_montant,Enc_cle,AK453))</f>
        <v/>
      </c>
      <c r="AH453" s="40">
        <f>IF(C453="","",AF453-AG453)</f>
        <v/>
      </c>
      <c r="AI453" s="33">
        <f>IF(C453="","",IF(D453="Perdu","",IF(AND(AB453&lt;&gt;"",N(AB453)&lt;TODAY()),"Action en retard",IF(AND(D453="Client",AE453&lt;&gt;"",TODAY()-N(AE453)&gt;P_JoursInactif),"Client inactif",IF(AND(D453="Prospect",Z453=0,O453&lt;&gt;"",TODAY()-N(O453)&gt;P_JoursNonVisite),"Jamais visité","")))))</f>
        <v/>
      </c>
      <c r="AJ453" s="33">
        <f>IF(C453="","",C453&amp;" ["&amp;TEXT(A453,"000")&amp;"]")</f>
        <v/>
      </c>
      <c r="AK453" s="33">
        <f>IF(C453="","",X453&amp;"|"&amp;A453)</f>
        <v/>
      </c>
      <c r="AL453" s="47">
        <f>IF(C453="",0,IF(COUNTIFS(VC_cle,AK453)=0,0,MAX(INDEX((VC_cle=AK453)*(VC_date+ROW(VC_date)/100000),0))))</f>
        <v/>
      </c>
      <c r="AM453" s="47">
        <f>IF(AND(C453&lt;&gt;"",N(AB453)&gt;0,D453&lt;&gt;"Perdu"),AB453+ROW()/100000,0)</f>
        <v/>
      </c>
      <c r="AN453" s="48">
        <f>IF(N(AF453)&gt;0,ROUND(AF453,0)+ROW()/1000000,0)</f>
        <v/>
      </c>
    </row>
    <row r="454" ht="18" customHeight="1">
      <c r="A454" s="39" t="n">
        <v>449</v>
      </c>
      <c r="B454" s="33">
        <f>IF(C454="","",IF(X454="À RENSEIGNER","GIC",X454)&amp;"-"&amp;TEXT(A454,"000"))</f>
        <v/>
      </c>
      <c r="C454" s="36" t="n"/>
      <c r="D454" s="34">
        <f>IF(C454="","",IF(U454="☑ Oui","Perdu",IF(AD454&lt;&gt;"","Client","Prospect")))</f>
        <v/>
      </c>
      <c r="E454" s="36" t="n"/>
      <c r="F454" s="36" t="n"/>
      <c r="G454" s="44" t="n"/>
      <c r="H454" s="44" t="n"/>
      <c r="I454" s="36" t="n"/>
      <c r="J454" s="36" t="n"/>
      <c r="K454" s="41" t="n"/>
      <c r="L454" s="41" t="n"/>
      <c r="M454" s="36" t="n"/>
      <c r="N454" s="36" t="n"/>
      <c r="O454" s="32" t="n"/>
      <c r="P454" s="36" t="n"/>
      <c r="Q454" s="36" t="n"/>
      <c r="R454" s="34">
        <f>IF(P454="","",IFERROR(VLOOKUP(P454,T_Produits,2,FALSE),""))</f>
        <v/>
      </c>
      <c r="S454" s="36" t="n"/>
      <c r="T454" s="43" t="n"/>
      <c r="U454" s="43" t="n"/>
      <c r="V454" s="36" t="n"/>
      <c r="W454" s="36" t="n"/>
      <c r="X454" s="33">
        <f>IF(C454="","",Commercial_Id)</f>
        <v/>
      </c>
      <c r="Y454" s="33">
        <f>IF(E454="","",IF(E454="Particulier / ménage","Particulier","Entreprise"))</f>
        <v/>
      </c>
      <c r="Z454" s="39">
        <f>IF(C454="","",COUNTIFS(VC_cle,AK454,VC_type,"Visite sur place"))</f>
        <v/>
      </c>
      <c r="AA454" s="46">
        <f>IF(AL454=0,"",IF(INT(AL454)=0,"",INT(AL454)))</f>
        <v/>
      </c>
      <c r="AB454" s="46">
        <f>IF(AL454=0,"",IF(INDEX(VC_actiondate,ROUND(MOD(AL454,1)*100000,0)-5)=0,"",INDEX(VC_actiondate,ROUND(MOD(AL454,1)*100000,0)-5)))</f>
        <v/>
      </c>
      <c r="AC454" s="33">
        <f>IF(AL454=0,"",INDEX(VC_actiontexte,ROUND(MOD(AL454,1)*100000,0)-5)&amp;"")</f>
        <v/>
      </c>
      <c r="AD454" s="46">
        <f>IF(C454="","",IF(COUNTIFS(Cmd_cle,AK454,Cmd_dateca,"&gt;0")=0,"",SMALL(INDEX(Cmd_dateca+(((Cmd_cle&lt;&gt;AK454)+(Cmd_dateca=0))&gt;0)*1000000,0),1)))</f>
        <v/>
      </c>
      <c r="AE454" s="46">
        <f>IF(C454="","",IF(COUNTIFS(Cmd_cle,AK454,Cmd_dateca,"&gt;0")=0,"",MAX(INDEX((Cmd_cle=AK454)*Cmd_dateca,0))))</f>
        <v/>
      </c>
      <c r="AF454" s="40">
        <f>IF(C454="","",SUMIFS(Cmd_montant,Cmd_cle,AK454,Cmd_dateca,"&gt;0"))</f>
        <v/>
      </c>
      <c r="AG454" s="40">
        <f>IF(C454="","",SUMIFS(Enc_montant,Enc_cle,AK454))</f>
        <v/>
      </c>
      <c r="AH454" s="40">
        <f>IF(C454="","",AF454-AG454)</f>
        <v/>
      </c>
      <c r="AI454" s="33">
        <f>IF(C454="","",IF(D454="Perdu","",IF(AND(AB454&lt;&gt;"",N(AB454)&lt;TODAY()),"Action en retard",IF(AND(D454="Client",AE454&lt;&gt;"",TODAY()-N(AE454)&gt;P_JoursInactif),"Client inactif",IF(AND(D454="Prospect",Z454=0,O454&lt;&gt;"",TODAY()-N(O454)&gt;P_JoursNonVisite),"Jamais visité","")))))</f>
        <v/>
      </c>
      <c r="AJ454" s="33">
        <f>IF(C454="","",C454&amp;" ["&amp;TEXT(A454,"000")&amp;"]")</f>
        <v/>
      </c>
      <c r="AK454" s="33">
        <f>IF(C454="","",X454&amp;"|"&amp;A454)</f>
        <v/>
      </c>
      <c r="AL454" s="47">
        <f>IF(C454="",0,IF(COUNTIFS(VC_cle,AK454)=0,0,MAX(INDEX((VC_cle=AK454)*(VC_date+ROW(VC_date)/100000),0))))</f>
        <v/>
      </c>
      <c r="AM454" s="47">
        <f>IF(AND(C454&lt;&gt;"",N(AB454)&gt;0,D454&lt;&gt;"Perdu"),AB454+ROW()/100000,0)</f>
        <v/>
      </c>
      <c r="AN454" s="48">
        <f>IF(N(AF454)&gt;0,ROUND(AF454,0)+ROW()/1000000,0)</f>
        <v/>
      </c>
    </row>
    <row r="455" ht="18" customHeight="1">
      <c r="A455" s="39" t="n">
        <v>450</v>
      </c>
      <c r="B455" s="33">
        <f>IF(C455="","",IF(X455="À RENSEIGNER","GIC",X455)&amp;"-"&amp;TEXT(A455,"000"))</f>
        <v/>
      </c>
      <c r="C455" s="36" t="n"/>
      <c r="D455" s="34">
        <f>IF(C455="","",IF(U455="☑ Oui","Perdu",IF(AD455&lt;&gt;"","Client","Prospect")))</f>
        <v/>
      </c>
      <c r="E455" s="36" t="n"/>
      <c r="F455" s="36" t="n"/>
      <c r="G455" s="44" t="n"/>
      <c r="H455" s="44" t="n"/>
      <c r="I455" s="36" t="n"/>
      <c r="J455" s="36" t="n"/>
      <c r="K455" s="41" t="n"/>
      <c r="L455" s="41" t="n"/>
      <c r="M455" s="36" t="n"/>
      <c r="N455" s="36" t="n"/>
      <c r="O455" s="32" t="n"/>
      <c r="P455" s="36" t="n"/>
      <c r="Q455" s="36" t="n"/>
      <c r="R455" s="34">
        <f>IF(P455="","",IFERROR(VLOOKUP(P455,T_Produits,2,FALSE),""))</f>
        <v/>
      </c>
      <c r="S455" s="36" t="n"/>
      <c r="T455" s="43" t="n"/>
      <c r="U455" s="43" t="n"/>
      <c r="V455" s="36" t="n"/>
      <c r="W455" s="36" t="n"/>
      <c r="X455" s="33">
        <f>IF(C455="","",Commercial_Id)</f>
        <v/>
      </c>
      <c r="Y455" s="33">
        <f>IF(E455="","",IF(E455="Particulier / ménage","Particulier","Entreprise"))</f>
        <v/>
      </c>
      <c r="Z455" s="39">
        <f>IF(C455="","",COUNTIFS(VC_cle,AK455,VC_type,"Visite sur place"))</f>
        <v/>
      </c>
      <c r="AA455" s="46">
        <f>IF(AL455=0,"",IF(INT(AL455)=0,"",INT(AL455)))</f>
        <v/>
      </c>
      <c r="AB455" s="46">
        <f>IF(AL455=0,"",IF(INDEX(VC_actiondate,ROUND(MOD(AL455,1)*100000,0)-5)=0,"",INDEX(VC_actiondate,ROUND(MOD(AL455,1)*100000,0)-5)))</f>
        <v/>
      </c>
      <c r="AC455" s="33">
        <f>IF(AL455=0,"",INDEX(VC_actiontexte,ROUND(MOD(AL455,1)*100000,0)-5)&amp;"")</f>
        <v/>
      </c>
      <c r="AD455" s="46">
        <f>IF(C455="","",IF(COUNTIFS(Cmd_cle,AK455,Cmd_dateca,"&gt;0")=0,"",SMALL(INDEX(Cmd_dateca+(((Cmd_cle&lt;&gt;AK455)+(Cmd_dateca=0))&gt;0)*1000000,0),1)))</f>
        <v/>
      </c>
      <c r="AE455" s="46">
        <f>IF(C455="","",IF(COUNTIFS(Cmd_cle,AK455,Cmd_dateca,"&gt;0")=0,"",MAX(INDEX((Cmd_cle=AK455)*Cmd_dateca,0))))</f>
        <v/>
      </c>
      <c r="AF455" s="40">
        <f>IF(C455="","",SUMIFS(Cmd_montant,Cmd_cle,AK455,Cmd_dateca,"&gt;0"))</f>
        <v/>
      </c>
      <c r="AG455" s="40">
        <f>IF(C455="","",SUMIFS(Enc_montant,Enc_cle,AK455))</f>
        <v/>
      </c>
      <c r="AH455" s="40">
        <f>IF(C455="","",AF455-AG455)</f>
        <v/>
      </c>
      <c r="AI455" s="33">
        <f>IF(C455="","",IF(D455="Perdu","",IF(AND(AB455&lt;&gt;"",N(AB455)&lt;TODAY()),"Action en retard",IF(AND(D455="Client",AE455&lt;&gt;"",TODAY()-N(AE455)&gt;P_JoursInactif),"Client inactif",IF(AND(D455="Prospect",Z455=0,O455&lt;&gt;"",TODAY()-N(O455)&gt;P_JoursNonVisite),"Jamais visité","")))))</f>
        <v/>
      </c>
      <c r="AJ455" s="33">
        <f>IF(C455="","",C455&amp;" ["&amp;TEXT(A455,"000")&amp;"]")</f>
        <v/>
      </c>
      <c r="AK455" s="33">
        <f>IF(C455="","",X455&amp;"|"&amp;A455)</f>
        <v/>
      </c>
      <c r="AL455" s="47">
        <f>IF(C455="",0,IF(COUNTIFS(VC_cle,AK455)=0,0,MAX(INDEX((VC_cle=AK455)*(VC_date+ROW(VC_date)/100000),0))))</f>
        <v/>
      </c>
      <c r="AM455" s="47">
        <f>IF(AND(C455&lt;&gt;"",N(AB455)&gt;0,D455&lt;&gt;"Perdu"),AB455+ROW()/100000,0)</f>
        <v/>
      </c>
      <c r="AN455" s="48">
        <f>IF(N(AF455)&gt;0,ROUND(AF455,0)+ROW()/1000000,0)</f>
        <v/>
      </c>
    </row>
    <row r="456" ht="18" customHeight="1">
      <c r="A456" s="39" t="n">
        <v>451</v>
      </c>
      <c r="B456" s="33">
        <f>IF(C456="","",IF(X456="À RENSEIGNER","GIC",X456)&amp;"-"&amp;TEXT(A456,"000"))</f>
        <v/>
      </c>
      <c r="C456" s="36" t="n"/>
      <c r="D456" s="34">
        <f>IF(C456="","",IF(U456="☑ Oui","Perdu",IF(AD456&lt;&gt;"","Client","Prospect")))</f>
        <v/>
      </c>
      <c r="E456" s="36" t="n"/>
      <c r="F456" s="36" t="n"/>
      <c r="G456" s="44" t="n"/>
      <c r="H456" s="44" t="n"/>
      <c r="I456" s="36" t="n"/>
      <c r="J456" s="36" t="n"/>
      <c r="K456" s="41" t="n"/>
      <c r="L456" s="41" t="n"/>
      <c r="M456" s="36" t="n"/>
      <c r="N456" s="36" t="n"/>
      <c r="O456" s="32" t="n"/>
      <c r="P456" s="36" t="n"/>
      <c r="Q456" s="36" t="n"/>
      <c r="R456" s="34">
        <f>IF(P456="","",IFERROR(VLOOKUP(P456,T_Produits,2,FALSE),""))</f>
        <v/>
      </c>
      <c r="S456" s="36" t="n"/>
      <c r="T456" s="43" t="n"/>
      <c r="U456" s="43" t="n"/>
      <c r="V456" s="36" t="n"/>
      <c r="W456" s="36" t="n"/>
      <c r="X456" s="33">
        <f>IF(C456="","",Commercial_Id)</f>
        <v/>
      </c>
      <c r="Y456" s="33">
        <f>IF(E456="","",IF(E456="Particulier / ménage","Particulier","Entreprise"))</f>
        <v/>
      </c>
      <c r="Z456" s="39">
        <f>IF(C456="","",COUNTIFS(VC_cle,AK456,VC_type,"Visite sur place"))</f>
        <v/>
      </c>
      <c r="AA456" s="46">
        <f>IF(AL456=0,"",IF(INT(AL456)=0,"",INT(AL456)))</f>
        <v/>
      </c>
      <c r="AB456" s="46">
        <f>IF(AL456=0,"",IF(INDEX(VC_actiondate,ROUND(MOD(AL456,1)*100000,0)-5)=0,"",INDEX(VC_actiondate,ROUND(MOD(AL456,1)*100000,0)-5)))</f>
        <v/>
      </c>
      <c r="AC456" s="33">
        <f>IF(AL456=0,"",INDEX(VC_actiontexte,ROUND(MOD(AL456,1)*100000,0)-5)&amp;"")</f>
        <v/>
      </c>
      <c r="AD456" s="46">
        <f>IF(C456="","",IF(COUNTIFS(Cmd_cle,AK456,Cmd_dateca,"&gt;0")=0,"",SMALL(INDEX(Cmd_dateca+(((Cmd_cle&lt;&gt;AK456)+(Cmd_dateca=0))&gt;0)*1000000,0),1)))</f>
        <v/>
      </c>
      <c r="AE456" s="46">
        <f>IF(C456="","",IF(COUNTIFS(Cmd_cle,AK456,Cmd_dateca,"&gt;0")=0,"",MAX(INDEX((Cmd_cle=AK456)*Cmd_dateca,0))))</f>
        <v/>
      </c>
      <c r="AF456" s="40">
        <f>IF(C456="","",SUMIFS(Cmd_montant,Cmd_cle,AK456,Cmd_dateca,"&gt;0"))</f>
        <v/>
      </c>
      <c r="AG456" s="40">
        <f>IF(C456="","",SUMIFS(Enc_montant,Enc_cle,AK456))</f>
        <v/>
      </c>
      <c r="AH456" s="40">
        <f>IF(C456="","",AF456-AG456)</f>
        <v/>
      </c>
      <c r="AI456" s="33">
        <f>IF(C456="","",IF(D456="Perdu","",IF(AND(AB456&lt;&gt;"",N(AB456)&lt;TODAY()),"Action en retard",IF(AND(D456="Client",AE456&lt;&gt;"",TODAY()-N(AE456)&gt;P_JoursInactif),"Client inactif",IF(AND(D456="Prospect",Z456=0,O456&lt;&gt;"",TODAY()-N(O456)&gt;P_JoursNonVisite),"Jamais visité","")))))</f>
        <v/>
      </c>
      <c r="AJ456" s="33">
        <f>IF(C456="","",C456&amp;" ["&amp;TEXT(A456,"000")&amp;"]")</f>
        <v/>
      </c>
      <c r="AK456" s="33">
        <f>IF(C456="","",X456&amp;"|"&amp;A456)</f>
        <v/>
      </c>
      <c r="AL456" s="47">
        <f>IF(C456="",0,IF(COUNTIFS(VC_cle,AK456)=0,0,MAX(INDEX((VC_cle=AK456)*(VC_date+ROW(VC_date)/100000),0))))</f>
        <v/>
      </c>
      <c r="AM456" s="47">
        <f>IF(AND(C456&lt;&gt;"",N(AB456)&gt;0,D456&lt;&gt;"Perdu"),AB456+ROW()/100000,0)</f>
        <v/>
      </c>
      <c r="AN456" s="48">
        <f>IF(N(AF456)&gt;0,ROUND(AF456,0)+ROW()/1000000,0)</f>
        <v/>
      </c>
    </row>
    <row r="457" ht="18" customHeight="1">
      <c r="A457" s="39" t="n">
        <v>452</v>
      </c>
      <c r="B457" s="33">
        <f>IF(C457="","",IF(X457="À RENSEIGNER","GIC",X457)&amp;"-"&amp;TEXT(A457,"000"))</f>
        <v/>
      </c>
      <c r="C457" s="36" t="n"/>
      <c r="D457" s="34">
        <f>IF(C457="","",IF(U457="☑ Oui","Perdu",IF(AD457&lt;&gt;"","Client","Prospect")))</f>
        <v/>
      </c>
      <c r="E457" s="36" t="n"/>
      <c r="F457" s="36" t="n"/>
      <c r="G457" s="44" t="n"/>
      <c r="H457" s="44" t="n"/>
      <c r="I457" s="36" t="n"/>
      <c r="J457" s="36" t="n"/>
      <c r="K457" s="41" t="n"/>
      <c r="L457" s="41" t="n"/>
      <c r="M457" s="36" t="n"/>
      <c r="N457" s="36" t="n"/>
      <c r="O457" s="32" t="n"/>
      <c r="P457" s="36" t="n"/>
      <c r="Q457" s="36" t="n"/>
      <c r="R457" s="34">
        <f>IF(P457="","",IFERROR(VLOOKUP(P457,T_Produits,2,FALSE),""))</f>
        <v/>
      </c>
      <c r="S457" s="36" t="n"/>
      <c r="T457" s="43" t="n"/>
      <c r="U457" s="43" t="n"/>
      <c r="V457" s="36" t="n"/>
      <c r="W457" s="36" t="n"/>
      <c r="X457" s="33">
        <f>IF(C457="","",Commercial_Id)</f>
        <v/>
      </c>
      <c r="Y457" s="33">
        <f>IF(E457="","",IF(E457="Particulier / ménage","Particulier","Entreprise"))</f>
        <v/>
      </c>
      <c r="Z457" s="39">
        <f>IF(C457="","",COUNTIFS(VC_cle,AK457,VC_type,"Visite sur place"))</f>
        <v/>
      </c>
      <c r="AA457" s="46">
        <f>IF(AL457=0,"",IF(INT(AL457)=0,"",INT(AL457)))</f>
        <v/>
      </c>
      <c r="AB457" s="46">
        <f>IF(AL457=0,"",IF(INDEX(VC_actiondate,ROUND(MOD(AL457,1)*100000,0)-5)=0,"",INDEX(VC_actiondate,ROUND(MOD(AL457,1)*100000,0)-5)))</f>
        <v/>
      </c>
      <c r="AC457" s="33">
        <f>IF(AL457=0,"",INDEX(VC_actiontexte,ROUND(MOD(AL457,1)*100000,0)-5)&amp;"")</f>
        <v/>
      </c>
      <c r="AD457" s="46">
        <f>IF(C457="","",IF(COUNTIFS(Cmd_cle,AK457,Cmd_dateca,"&gt;0")=0,"",SMALL(INDEX(Cmd_dateca+(((Cmd_cle&lt;&gt;AK457)+(Cmd_dateca=0))&gt;0)*1000000,0),1)))</f>
        <v/>
      </c>
      <c r="AE457" s="46">
        <f>IF(C457="","",IF(COUNTIFS(Cmd_cle,AK457,Cmd_dateca,"&gt;0")=0,"",MAX(INDEX((Cmd_cle=AK457)*Cmd_dateca,0))))</f>
        <v/>
      </c>
      <c r="AF457" s="40">
        <f>IF(C457="","",SUMIFS(Cmd_montant,Cmd_cle,AK457,Cmd_dateca,"&gt;0"))</f>
        <v/>
      </c>
      <c r="AG457" s="40">
        <f>IF(C457="","",SUMIFS(Enc_montant,Enc_cle,AK457))</f>
        <v/>
      </c>
      <c r="AH457" s="40">
        <f>IF(C457="","",AF457-AG457)</f>
        <v/>
      </c>
      <c r="AI457" s="33">
        <f>IF(C457="","",IF(D457="Perdu","",IF(AND(AB457&lt;&gt;"",N(AB457)&lt;TODAY()),"Action en retard",IF(AND(D457="Client",AE457&lt;&gt;"",TODAY()-N(AE457)&gt;P_JoursInactif),"Client inactif",IF(AND(D457="Prospect",Z457=0,O457&lt;&gt;"",TODAY()-N(O457)&gt;P_JoursNonVisite),"Jamais visité","")))))</f>
        <v/>
      </c>
      <c r="AJ457" s="33">
        <f>IF(C457="","",C457&amp;" ["&amp;TEXT(A457,"000")&amp;"]")</f>
        <v/>
      </c>
      <c r="AK457" s="33">
        <f>IF(C457="","",X457&amp;"|"&amp;A457)</f>
        <v/>
      </c>
      <c r="AL457" s="47">
        <f>IF(C457="",0,IF(COUNTIFS(VC_cle,AK457)=0,0,MAX(INDEX((VC_cle=AK457)*(VC_date+ROW(VC_date)/100000),0))))</f>
        <v/>
      </c>
      <c r="AM457" s="47">
        <f>IF(AND(C457&lt;&gt;"",N(AB457)&gt;0,D457&lt;&gt;"Perdu"),AB457+ROW()/100000,0)</f>
        <v/>
      </c>
      <c r="AN457" s="48">
        <f>IF(N(AF457)&gt;0,ROUND(AF457,0)+ROW()/1000000,0)</f>
        <v/>
      </c>
    </row>
    <row r="458" ht="18" customHeight="1">
      <c r="A458" s="39" t="n">
        <v>453</v>
      </c>
      <c r="B458" s="33">
        <f>IF(C458="","",IF(X458="À RENSEIGNER","GIC",X458)&amp;"-"&amp;TEXT(A458,"000"))</f>
        <v/>
      </c>
      <c r="C458" s="36" t="n"/>
      <c r="D458" s="34">
        <f>IF(C458="","",IF(U458="☑ Oui","Perdu",IF(AD458&lt;&gt;"","Client","Prospect")))</f>
        <v/>
      </c>
      <c r="E458" s="36" t="n"/>
      <c r="F458" s="36" t="n"/>
      <c r="G458" s="44" t="n"/>
      <c r="H458" s="44" t="n"/>
      <c r="I458" s="36" t="n"/>
      <c r="J458" s="36" t="n"/>
      <c r="K458" s="41" t="n"/>
      <c r="L458" s="41" t="n"/>
      <c r="M458" s="36" t="n"/>
      <c r="N458" s="36" t="n"/>
      <c r="O458" s="32" t="n"/>
      <c r="P458" s="36" t="n"/>
      <c r="Q458" s="36" t="n"/>
      <c r="R458" s="34">
        <f>IF(P458="","",IFERROR(VLOOKUP(P458,T_Produits,2,FALSE),""))</f>
        <v/>
      </c>
      <c r="S458" s="36" t="n"/>
      <c r="T458" s="43" t="n"/>
      <c r="U458" s="43" t="n"/>
      <c r="V458" s="36" t="n"/>
      <c r="W458" s="36" t="n"/>
      <c r="X458" s="33">
        <f>IF(C458="","",Commercial_Id)</f>
        <v/>
      </c>
      <c r="Y458" s="33">
        <f>IF(E458="","",IF(E458="Particulier / ménage","Particulier","Entreprise"))</f>
        <v/>
      </c>
      <c r="Z458" s="39">
        <f>IF(C458="","",COUNTIFS(VC_cle,AK458,VC_type,"Visite sur place"))</f>
        <v/>
      </c>
      <c r="AA458" s="46">
        <f>IF(AL458=0,"",IF(INT(AL458)=0,"",INT(AL458)))</f>
        <v/>
      </c>
      <c r="AB458" s="46">
        <f>IF(AL458=0,"",IF(INDEX(VC_actiondate,ROUND(MOD(AL458,1)*100000,0)-5)=0,"",INDEX(VC_actiondate,ROUND(MOD(AL458,1)*100000,0)-5)))</f>
        <v/>
      </c>
      <c r="AC458" s="33">
        <f>IF(AL458=0,"",INDEX(VC_actiontexte,ROUND(MOD(AL458,1)*100000,0)-5)&amp;"")</f>
        <v/>
      </c>
      <c r="AD458" s="46">
        <f>IF(C458="","",IF(COUNTIFS(Cmd_cle,AK458,Cmd_dateca,"&gt;0")=0,"",SMALL(INDEX(Cmd_dateca+(((Cmd_cle&lt;&gt;AK458)+(Cmd_dateca=0))&gt;0)*1000000,0),1)))</f>
        <v/>
      </c>
      <c r="AE458" s="46">
        <f>IF(C458="","",IF(COUNTIFS(Cmd_cle,AK458,Cmd_dateca,"&gt;0")=0,"",MAX(INDEX((Cmd_cle=AK458)*Cmd_dateca,0))))</f>
        <v/>
      </c>
      <c r="AF458" s="40">
        <f>IF(C458="","",SUMIFS(Cmd_montant,Cmd_cle,AK458,Cmd_dateca,"&gt;0"))</f>
        <v/>
      </c>
      <c r="AG458" s="40">
        <f>IF(C458="","",SUMIFS(Enc_montant,Enc_cle,AK458))</f>
        <v/>
      </c>
      <c r="AH458" s="40">
        <f>IF(C458="","",AF458-AG458)</f>
        <v/>
      </c>
      <c r="AI458" s="33">
        <f>IF(C458="","",IF(D458="Perdu","",IF(AND(AB458&lt;&gt;"",N(AB458)&lt;TODAY()),"Action en retard",IF(AND(D458="Client",AE458&lt;&gt;"",TODAY()-N(AE458)&gt;P_JoursInactif),"Client inactif",IF(AND(D458="Prospect",Z458=0,O458&lt;&gt;"",TODAY()-N(O458)&gt;P_JoursNonVisite),"Jamais visité","")))))</f>
        <v/>
      </c>
      <c r="AJ458" s="33">
        <f>IF(C458="","",C458&amp;" ["&amp;TEXT(A458,"000")&amp;"]")</f>
        <v/>
      </c>
      <c r="AK458" s="33">
        <f>IF(C458="","",X458&amp;"|"&amp;A458)</f>
        <v/>
      </c>
      <c r="AL458" s="47">
        <f>IF(C458="",0,IF(COUNTIFS(VC_cle,AK458)=0,0,MAX(INDEX((VC_cle=AK458)*(VC_date+ROW(VC_date)/100000),0))))</f>
        <v/>
      </c>
      <c r="AM458" s="47">
        <f>IF(AND(C458&lt;&gt;"",N(AB458)&gt;0,D458&lt;&gt;"Perdu"),AB458+ROW()/100000,0)</f>
        <v/>
      </c>
      <c r="AN458" s="48">
        <f>IF(N(AF458)&gt;0,ROUND(AF458,0)+ROW()/1000000,0)</f>
        <v/>
      </c>
    </row>
    <row r="459" ht="18" customHeight="1">
      <c r="A459" s="39" t="n">
        <v>454</v>
      </c>
      <c r="B459" s="33">
        <f>IF(C459="","",IF(X459="À RENSEIGNER","GIC",X459)&amp;"-"&amp;TEXT(A459,"000"))</f>
        <v/>
      </c>
      <c r="C459" s="36" t="n"/>
      <c r="D459" s="34">
        <f>IF(C459="","",IF(U459="☑ Oui","Perdu",IF(AD459&lt;&gt;"","Client","Prospect")))</f>
        <v/>
      </c>
      <c r="E459" s="36" t="n"/>
      <c r="F459" s="36" t="n"/>
      <c r="G459" s="44" t="n"/>
      <c r="H459" s="44" t="n"/>
      <c r="I459" s="36" t="n"/>
      <c r="J459" s="36" t="n"/>
      <c r="K459" s="41" t="n"/>
      <c r="L459" s="41" t="n"/>
      <c r="M459" s="36" t="n"/>
      <c r="N459" s="36" t="n"/>
      <c r="O459" s="32" t="n"/>
      <c r="P459" s="36" t="n"/>
      <c r="Q459" s="36" t="n"/>
      <c r="R459" s="34">
        <f>IF(P459="","",IFERROR(VLOOKUP(P459,T_Produits,2,FALSE),""))</f>
        <v/>
      </c>
      <c r="S459" s="36" t="n"/>
      <c r="T459" s="43" t="n"/>
      <c r="U459" s="43" t="n"/>
      <c r="V459" s="36" t="n"/>
      <c r="W459" s="36" t="n"/>
      <c r="X459" s="33">
        <f>IF(C459="","",Commercial_Id)</f>
        <v/>
      </c>
      <c r="Y459" s="33">
        <f>IF(E459="","",IF(E459="Particulier / ménage","Particulier","Entreprise"))</f>
        <v/>
      </c>
      <c r="Z459" s="39">
        <f>IF(C459="","",COUNTIFS(VC_cle,AK459,VC_type,"Visite sur place"))</f>
        <v/>
      </c>
      <c r="AA459" s="46">
        <f>IF(AL459=0,"",IF(INT(AL459)=0,"",INT(AL459)))</f>
        <v/>
      </c>
      <c r="AB459" s="46">
        <f>IF(AL459=0,"",IF(INDEX(VC_actiondate,ROUND(MOD(AL459,1)*100000,0)-5)=0,"",INDEX(VC_actiondate,ROUND(MOD(AL459,1)*100000,0)-5)))</f>
        <v/>
      </c>
      <c r="AC459" s="33">
        <f>IF(AL459=0,"",INDEX(VC_actiontexte,ROUND(MOD(AL459,1)*100000,0)-5)&amp;"")</f>
        <v/>
      </c>
      <c r="AD459" s="46">
        <f>IF(C459="","",IF(COUNTIFS(Cmd_cle,AK459,Cmd_dateca,"&gt;0")=0,"",SMALL(INDEX(Cmd_dateca+(((Cmd_cle&lt;&gt;AK459)+(Cmd_dateca=0))&gt;0)*1000000,0),1)))</f>
        <v/>
      </c>
      <c r="AE459" s="46">
        <f>IF(C459="","",IF(COUNTIFS(Cmd_cle,AK459,Cmd_dateca,"&gt;0")=0,"",MAX(INDEX((Cmd_cle=AK459)*Cmd_dateca,0))))</f>
        <v/>
      </c>
      <c r="AF459" s="40">
        <f>IF(C459="","",SUMIFS(Cmd_montant,Cmd_cle,AK459,Cmd_dateca,"&gt;0"))</f>
        <v/>
      </c>
      <c r="AG459" s="40">
        <f>IF(C459="","",SUMIFS(Enc_montant,Enc_cle,AK459))</f>
        <v/>
      </c>
      <c r="AH459" s="40">
        <f>IF(C459="","",AF459-AG459)</f>
        <v/>
      </c>
      <c r="AI459" s="33">
        <f>IF(C459="","",IF(D459="Perdu","",IF(AND(AB459&lt;&gt;"",N(AB459)&lt;TODAY()),"Action en retard",IF(AND(D459="Client",AE459&lt;&gt;"",TODAY()-N(AE459)&gt;P_JoursInactif),"Client inactif",IF(AND(D459="Prospect",Z459=0,O459&lt;&gt;"",TODAY()-N(O459)&gt;P_JoursNonVisite),"Jamais visité","")))))</f>
        <v/>
      </c>
      <c r="AJ459" s="33">
        <f>IF(C459="","",C459&amp;" ["&amp;TEXT(A459,"000")&amp;"]")</f>
        <v/>
      </c>
      <c r="AK459" s="33">
        <f>IF(C459="","",X459&amp;"|"&amp;A459)</f>
        <v/>
      </c>
      <c r="AL459" s="47">
        <f>IF(C459="",0,IF(COUNTIFS(VC_cle,AK459)=0,0,MAX(INDEX((VC_cle=AK459)*(VC_date+ROW(VC_date)/100000),0))))</f>
        <v/>
      </c>
      <c r="AM459" s="47">
        <f>IF(AND(C459&lt;&gt;"",N(AB459)&gt;0,D459&lt;&gt;"Perdu"),AB459+ROW()/100000,0)</f>
        <v/>
      </c>
      <c r="AN459" s="48">
        <f>IF(N(AF459)&gt;0,ROUND(AF459,0)+ROW()/1000000,0)</f>
        <v/>
      </c>
    </row>
    <row r="460" ht="18" customHeight="1">
      <c r="A460" s="39" t="n">
        <v>455</v>
      </c>
      <c r="B460" s="33">
        <f>IF(C460="","",IF(X460="À RENSEIGNER","GIC",X460)&amp;"-"&amp;TEXT(A460,"000"))</f>
        <v/>
      </c>
      <c r="C460" s="36" t="n"/>
      <c r="D460" s="34">
        <f>IF(C460="","",IF(U460="☑ Oui","Perdu",IF(AD460&lt;&gt;"","Client","Prospect")))</f>
        <v/>
      </c>
      <c r="E460" s="36" t="n"/>
      <c r="F460" s="36" t="n"/>
      <c r="G460" s="44" t="n"/>
      <c r="H460" s="44" t="n"/>
      <c r="I460" s="36" t="n"/>
      <c r="J460" s="36" t="n"/>
      <c r="K460" s="41" t="n"/>
      <c r="L460" s="41" t="n"/>
      <c r="M460" s="36" t="n"/>
      <c r="N460" s="36" t="n"/>
      <c r="O460" s="32" t="n"/>
      <c r="P460" s="36" t="n"/>
      <c r="Q460" s="36" t="n"/>
      <c r="R460" s="34">
        <f>IF(P460="","",IFERROR(VLOOKUP(P460,T_Produits,2,FALSE),""))</f>
        <v/>
      </c>
      <c r="S460" s="36" t="n"/>
      <c r="T460" s="43" t="n"/>
      <c r="U460" s="43" t="n"/>
      <c r="V460" s="36" t="n"/>
      <c r="W460" s="36" t="n"/>
      <c r="X460" s="33">
        <f>IF(C460="","",Commercial_Id)</f>
        <v/>
      </c>
      <c r="Y460" s="33">
        <f>IF(E460="","",IF(E460="Particulier / ménage","Particulier","Entreprise"))</f>
        <v/>
      </c>
      <c r="Z460" s="39">
        <f>IF(C460="","",COUNTIFS(VC_cle,AK460,VC_type,"Visite sur place"))</f>
        <v/>
      </c>
      <c r="AA460" s="46">
        <f>IF(AL460=0,"",IF(INT(AL460)=0,"",INT(AL460)))</f>
        <v/>
      </c>
      <c r="AB460" s="46">
        <f>IF(AL460=0,"",IF(INDEX(VC_actiondate,ROUND(MOD(AL460,1)*100000,0)-5)=0,"",INDEX(VC_actiondate,ROUND(MOD(AL460,1)*100000,0)-5)))</f>
        <v/>
      </c>
      <c r="AC460" s="33">
        <f>IF(AL460=0,"",INDEX(VC_actiontexte,ROUND(MOD(AL460,1)*100000,0)-5)&amp;"")</f>
        <v/>
      </c>
      <c r="AD460" s="46">
        <f>IF(C460="","",IF(COUNTIFS(Cmd_cle,AK460,Cmd_dateca,"&gt;0")=0,"",SMALL(INDEX(Cmd_dateca+(((Cmd_cle&lt;&gt;AK460)+(Cmd_dateca=0))&gt;0)*1000000,0),1)))</f>
        <v/>
      </c>
      <c r="AE460" s="46">
        <f>IF(C460="","",IF(COUNTIFS(Cmd_cle,AK460,Cmd_dateca,"&gt;0")=0,"",MAX(INDEX((Cmd_cle=AK460)*Cmd_dateca,0))))</f>
        <v/>
      </c>
      <c r="AF460" s="40">
        <f>IF(C460="","",SUMIFS(Cmd_montant,Cmd_cle,AK460,Cmd_dateca,"&gt;0"))</f>
        <v/>
      </c>
      <c r="AG460" s="40">
        <f>IF(C460="","",SUMIFS(Enc_montant,Enc_cle,AK460))</f>
        <v/>
      </c>
      <c r="AH460" s="40">
        <f>IF(C460="","",AF460-AG460)</f>
        <v/>
      </c>
      <c r="AI460" s="33">
        <f>IF(C460="","",IF(D460="Perdu","",IF(AND(AB460&lt;&gt;"",N(AB460)&lt;TODAY()),"Action en retard",IF(AND(D460="Client",AE460&lt;&gt;"",TODAY()-N(AE460)&gt;P_JoursInactif),"Client inactif",IF(AND(D460="Prospect",Z460=0,O460&lt;&gt;"",TODAY()-N(O460)&gt;P_JoursNonVisite),"Jamais visité","")))))</f>
        <v/>
      </c>
      <c r="AJ460" s="33">
        <f>IF(C460="","",C460&amp;" ["&amp;TEXT(A460,"000")&amp;"]")</f>
        <v/>
      </c>
      <c r="AK460" s="33">
        <f>IF(C460="","",X460&amp;"|"&amp;A460)</f>
        <v/>
      </c>
      <c r="AL460" s="47">
        <f>IF(C460="",0,IF(COUNTIFS(VC_cle,AK460)=0,0,MAX(INDEX((VC_cle=AK460)*(VC_date+ROW(VC_date)/100000),0))))</f>
        <v/>
      </c>
      <c r="AM460" s="47">
        <f>IF(AND(C460&lt;&gt;"",N(AB460)&gt;0,D460&lt;&gt;"Perdu"),AB460+ROW()/100000,0)</f>
        <v/>
      </c>
      <c r="AN460" s="48">
        <f>IF(N(AF460)&gt;0,ROUND(AF460,0)+ROW()/1000000,0)</f>
        <v/>
      </c>
    </row>
    <row r="461" ht="18" customHeight="1">
      <c r="A461" s="39" t="n">
        <v>456</v>
      </c>
      <c r="B461" s="33">
        <f>IF(C461="","",IF(X461="À RENSEIGNER","GIC",X461)&amp;"-"&amp;TEXT(A461,"000"))</f>
        <v/>
      </c>
      <c r="C461" s="36" t="n"/>
      <c r="D461" s="34">
        <f>IF(C461="","",IF(U461="☑ Oui","Perdu",IF(AD461&lt;&gt;"","Client","Prospect")))</f>
        <v/>
      </c>
      <c r="E461" s="36" t="n"/>
      <c r="F461" s="36" t="n"/>
      <c r="G461" s="44" t="n"/>
      <c r="H461" s="44" t="n"/>
      <c r="I461" s="36" t="n"/>
      <c r="J461" s="36" t="n"/>
      <c r="K461" s="41" t="n"/>
      <c r="L461" s="41" t="n"/>
      <c r="M461" s="36" t="n"/>
      <c r="N461" s="36" t="n"/>
      <c r="O461" s="32" t="n"/>
      <c r="P461" s="36" t="n"/>
      <c r="Q461" s="36" t="n"/>
      <c r="R461" s="34">
        <f>IF(P461="","",IFERROR(VLOOKUP(P461,T_Produits,2,FALSE),""))</f>
        <v/>
      </c>
      <c r="S461" s="36" t="n"/>
      <c r="T461" s="43" t="n"/>
      <c r="U461" s="43" t="n"/>
      <c r="V461" s="36" t="n"/>
      <c r="W461" s="36" t="n"/>
      <c r="X461" s="33">
        <f>IF(C461="","",Commercial_Id)</f>
        <v/>
      </c>
      <c r="Y461" s="33">
        <f>IF(E461="","",IF(E461="Particulier / ménage","Particulier","Entreprise"))</f>
        <v/>
      </c>
      <c r="Z461" s="39">
        <f>IF(C461="","",COUNTIFS(VC_cle,AK461,VC_type,"Visite sur place"))</f>
        <v/>
      </c>
      <c r="AA461" s="46">
        <f>IF(AL461=0,"",IF(INT(AL461)=0,"",INT(AL461)))</f>
        <v/>
      </c>
      <c r="AB461" s="46">
        <f>IF(AL461=0,"",IF(INDEX(VC_actiondate,ROUND(MOD(AL461,1)*100000,0)-5)=0,"",INDEX(VC_actiondate,ROUND(MOD(AL461,1)*100000,0)-5)))</f>
        <v/>
      </c>
      <c r="AC461" s="33">
        <f>IF(AL461=0,"",INDEX(VC_actiontexte,ROUND(MOD(AL461,1)*100000,0)-5)&amp;"")</f>
        <v/>
      </c>
      <c r="AD461" s="46">
        <f>IF(C461="","",IF(COUNTIFS(Cmd_cle,AK461,Cmd_dateca,"&gt;0")=0,"",SMALL(INDEX(Cmd_dateca+(((Cmd_cle&lt;&gt;AK461)+(Cmd_dateca=0))&gt;0)*1000000,0),1)))</f>
        <v/>
      </c>
      <c r="AE461" s="46">
        <f>IF(C461="","",IF(COUNTIFS(Cmd_cle,AK461,Cmd_dateca,"&gt;0")=0,"",MAX(INDEX((Cmd_cle=AK461)*Cmd_dateca,0))))</f>
        <v/>
      </c>
      <c r="AF461" s="40">
        <f>IF(C461="","",SUMIFS(Cmd_montant,Cmd_cle,AK461,Cmd_dateca,"&gt;0"))</f>
        <v/>
      </c>
      <c r="AG461" s="40">
        <f>IF(C461="","",SUMIFS(Enc_montant,Enc_cle,AK461))</f>
        <v/>
      </c>
      <c r="AH461" s="40">
        <f>IF(C461="","",AF461-AG461)</f>
        <v/>
      </c>
      <c r="AI461" s="33">
        <f>IF(C461="","",IF(D461="Perdu","",IF(AND(AB461&lt;&gt;"",N(AB461)&lt;TODAY()),"Action en retard",IF(AND(D461="Client",AE461&lt;&gt;"",TODAY()-N(AE461)&gt;P_JoursInactif),"Client inactif",IF(AND(D461="Prospect",Z461=0,O461&lt;&gt;"",TODAY()-N(O461)&gt;P_JoursNonVisite),"Jamais visité","")))))</f>
        <v/>
      </c>
      <c r="AJ461" s="33">
        <f>IF(C461="","",C461&amp;" ["&amp;TEXT(A461,"000")&amp;"]")</f>
        <v/>
      </c>
      <c r="AK461" s="33">
        <f>IF(C461="","",X461&amp;"|"&amp;A461)</f>
        <v/>
      </c>
      <c r="AL461" s="47">
        <f>IF(C461="",0,IF(COUNTIFS(VC_cle,AK461)=0,0,MAX(INDEX((VC_cle=AK461)*(VC_date+ROW(VC_date)/100000),0))))</f>
        <v/>
      </c>
      <c r="AM461" s="47">
        <f>IF(AND(C461&lt;&gt;"",N(AB461)&gt;0,D461&lt;&gt;"Perdu"),AB461+ROW()/100000,0)</f>
        <v/>
      </c>
      <c r="AN461" s="48">
        <f>IF(N(AF461)&gt;0,ROUND(AF461,0)+ROW()/1000000,0)</f>
        <v/>
      </c>
    </row>
    <row r="462" ht="18" customHeight="1">
      <c r="A462" s="39" t="n">
        <v>457</v>
      </c>
      <c r="B462" s="33">
        <f>IF(C462="","",IF(X462="À RENSEIGNER","GIC",X462)&amp;"-"&amp;TEXT(A462,"000"))</f>
        <v/>
      </c>
      <c r="C462" s="36" t="n"/>
      <c r="D462" s="34">
        <f>IF(C462="","",IF(U462="☑ Oui","Perdu",IF(AD462&lt;&gt;"","Client","Prospect")))</f>
        <v/>
      </c>
      <c r="E462" s="36" t="n"/>
      <c r="F462" s="36" t="n"/>
      <c r="G462" s="44" t="n"/>
      <c r="H462" s="44" t="n"/>
      <c r="I462" s="36" t="n"/>
      <c r="J462" s="36" t="n"/>
      <c r="K462" s="41" t="n"/>
      <c r="L462" s="41" t="n"/>
      <c r="M462" s="36" t="n"/>
      <c r="N462" s="36" t="n"/>
      <c r="O462" s="32" t="n"/>
      <c r="P462" s="36" t="n"/>
      <c r="Q462" s="36" t="n"/>
      <c r="R462" s="34">
        <f>IF(P462="","",IFERROR(VLOOKUP(P462,T_Produits,2,FALSE),""))</f>
        <v/>
      </c>
      <c r="S462" s="36" t="n"/>
      <c r="T462" s="43" t="n"/>
      <c r="U462" s="43" t="n"/>
      <c r="V462" s="36" t="n"/>
      <c r="W462" s="36" t="n"/>
      <c r="X462" s="33">
        <f>IF(C462="","",Commercial_Id)</f>
        <v/>
      </c>
      <c r="Y462" s="33">
        <f>IF(E462="","",IF(E462="Particulier / ménage","Particulier","Entreprise"))</f>
        <v/>
      </c>
      <c r="Z462" s="39">
        <f>IF(C462="","",COUNTIFS(VC_cle,AK462,VC_type,"Visite sur place"))</f>
        <v/>
      </c>
      <c r="AA462" s="46">
        <f>IF(AL462=0,"",IF(INT(AL462)=0,"",INT(AL462)))</f>
        <v/>
      </c>
      <c r="AB462" s="46">
        <f>IF(AL462=0,"",IF(INDEX(VC_actiondate,ROUND(MOD(AL462,1)*100000,0)-5)=0,"",INDEX(VC_actiondate,ROUND(MOD(AL462,1)*100000,0)-5)))</f>
        <v/>
      </c>
      <c r="AC462" s="33">
        <f>IF(AL462=0,"",INDEX(VC_actiontexte,ROUND(MOD(AL462,1)*100000,0)-5)&amp;"")</f>
        <v/>
      </c>
      <c r="AD462" s="46">
        <f>IF(C462="","",IF(COUNTIFS(Cmd_cle,AK462,Cmd_dateca,"&gt;0")=0,"",SMALL(INDEX(Cmd_dateca+(((Cmd_cle&lt;&gt;AK462)+(Cmd_dateca=0))&gt;0)*1000000,0),1)))</f>
        <v/>
      </c>
      <c r="AE462" s="46">
        <f>IF(C462="","",IF(COUNTIFS(Cmd_cle,AK462,Cmd_dateca,"&gt;0")=0,"",MAX(INDEX((Cmd_cle=AK462)*Cmd_dateca,0))))</f>
        <v/>
      </c>
      <c r="AF462" s="40">
        <f>IF(C462="","",SUMIFS(Cmd_montant,Cmd_cle,AK462,Cmd_dateca,"&gt;0"))</f>
        <v/>
      </c>
      <c r="AG462" s="40">
        <f>IF(C462="","",SUMIFS(Enc_montant,Enc_cle,AK462))</f>
        <v/>
      </c>
      <c r="AH462" s="40">
        <f>IF(C462="","",AF462-AG462)</f>
        <v/>
      </c>
      <c r="AI462" s="33">
        <f>IF(C462="","",IF(D462="Perdu","",IF(AND(AB462&lt;&gt;"",N(AB462)&lt;TODAY()),"Action en retard",IF(AND(D462="Client",AE462&lt;&gt;"",TODAY()-N(AE462)&gt;P_JoursInactif),"Client inactif",IF(AND(D462="Prospect",Z462=0,O462&lt;&gt;"",TODAY()-N(O462)&gt;P_JoursNonVisite),"Jamais visité","")))))</f>
        <v/>
      </c>
      <c r="AJ462" s="33">
        <f>IF(C462="","",C462&amp;" ["&amp;TEXT(A462,"000")&amp;"]")</f>
        <v/>
      </c>
      <c r="AK462" s="33">
        <f>IF(C462="","",X462&amp;"|"&amp;A462)</f>
        <v/>
      </c>
      <c r="AL462" s="47">
        <f>IF(C462="",0,IF(COUNTIFS(VC_cle,AK462)=0,0,MAX(INDEX((VC_cle=AK462)*(VC_date+ROW(VC_date)/100000),0))))</f>
        <v/>
      </c>
      <c r="AM462" s="47">
        <f>IF(AND(C462&lt;&gt;"",N(AB462)&gt;0,D462&lt;&gt;"Perdu"),AB462+ROW()/100000,0)</f>
        <v/>
      </c>
      <c r="AN462" s="48">
        <f>IF(N(AF462)&gt;0,ROUND(AF462,0)+ROW()/1000000,0)</f>
        <v/>
      </c>
    </row>
    <row r="463" ht="18" customHeight="1">
      <c r="A463" s="39" t="n">
        <v>458</v>
      </c>
      <c r="B463" s="33">
        <f>IF(C463="","",IF(X463="À RENSEIGNER","GIC",X463)&amp;"-"&amp;TEXT(A463,"000"))</f>
        <v/>
      </c>
      <c r="C463" s="36" t="n"/>
      <c r="D463" s="34">
        <f>IF(C463="","",IF(U463="☑ Oui","Perdu",IF(AD463&lt;&gt;"","Client","Prospect")))</f>
        <v/>
      </c>
      <c r="E463" s="36" t="n"/>
      <c r="F463" s="36" t="n"/>
      <c r="G463" s="44" t="n"/>
      <c r="H463" s="44" t="n"/>
      <c r="I463" s="36" t="n"/>
      <c r="J463" s="36" t="n"/>
      <c r="K463" s="41" t="n"/>
      <c r="L463" s="41" t="n"/>
      <c r="M463" s="36" t="n"/>
      <c r="N463" s="36" t="n"/>
      <c r="O463" s="32" t="n"/>
      <c r="P463" s="36" t="n"/>
      <c r="Q463" s="36" t="n"/>
      <c r="R463" s="34">
        <f>IF(P463="","",IFERROR(VLOOKUP(P463,T_Produits,2,FALSE),""))</f>
        <v/>
      </c>
      <c r="S463" s="36" t="n"/>
      <c r="T463" s="43" t="n"/>
      <c r="U463" s="43" t="n"/>
      <c r="V463" s="36" t="n"/>
      <c r="W463" s="36" t="n"/>
      <c r="X463" s="33">
        <f>IF(C463="","",Commercial_Id)</f>
        <v/>
      </c>
      <c r="Y463" s="33">
        <f>IF(E463="","",IF(E463="Particulier / ménage","Particulier","Entreprise"))</f>
        <v/>
      </c>
      <c r="Z463" s="39">
        <f>IF(C463="","",COUNTIFS(VC_cle,AK463,VC_type,"Visite sur place"))</f>
        <v/>
      </c>
      <c r="AA463" s="46">
        <f>IF(AL463=0,"",IF(INT(AL463)=0,"",INT(AL463)))</f>
        <v/>
      </c>
      <c r="AB463" s="46">
        <f>IF(AL463=0,"",IF(INDEX(VC_actiondate,ROUND(MOD(AL463,1)*100000,0)-5)=0,"",INDEX(VC_actiondate,ROUND(MOD(AL463,1)*100000,0)-5)))</f>
        <v/>
      </c>
      <c r="AC463" s="33">
        <f>IF(AL463=0,"",INDEX(VC_actiontexte,ROUND(MOD(AL463,1)*100000,0)-5)&amp;"")</f>
        <v/>
      </c>
      <c r="AD463" s="46">
        <f>IF(C463="","",IF(COUNTIFS(Cmd_cle,AK463,Cmd_dateca,"&gt;0")=0,"",SMALL(INDEX(Cmd_dateca+(((Cmd_cle&lt;&gt;AK463)+(Cmd_dateca=0))&gt;0)*1000000,0),1)))</f>
        <v/>
      </c>
      <c r="AE463" s="46">
        <f>IF(C463="","",IF(COUNTIFS(Cmd_cle,AK463,Cmd_dateca,"&gt;0")=0,"",MAX(INDEX((Cmd_cle=AK463)*Cmd_dateca,0))))</f>
        <v/>
      </c>
      <c r="AF463" s="40">
        <f>IF(C463="","",SUMIFS(Cmd_montant,Cmd_cle,AK463,Cmd_dateca,"&gt;0"))</f>
        <v/>
      </c>
      <c r="AG463" s="40">
        <f>IF(C463="","",SUMIFS(Enc_montant,Enc_cle,AK463))</f>
        <v/>
      </c>
      <c r="AH463" s="40">
        <f>IF(C463="","",AF463-AG463)</f>
        <v/>
      </c>
      <c r="AI463" s="33">
        <f>IF(C463="","",IF(D463="Perdu","",IF(AND(AB463&lt;&gt;"",N(AB463)&lt;TODAY()),"Action en retard",IF(AND(D463="Client",AE463&lt;&gt;"",TODAY()-N(AE463)&gt;P_JoursInactif),"Client inactif",IF(AND(D463="Prospect",Z463=0,O463&lt;&gt;"",TODAY()-N(O463)&gt;P_JoursNonVisite),"Jamais visité","")))))</f>
        <v/>
      </c>
      <c r="AJ463" s="33">
        <f>IF(C463="","",C463&amp;" ["&amp;TEXT(A463,"000")&amp;"]")</f>
        <v/>
      </c>
      <c r="AK463" s="33">
        <f>IF(C463="","",X463&amp;"|"&amp;A463)</f>
        <v/>
      </c>
      <c r="AL463" s="47">
        <f>IF(C463="",0,IF(COUNTIFS(VC_cle,AK463)=0,0,MAX(INDEX((VC_cle=AK463)*(VC_date+ROW(VC_date)/100000),0))))</f>
        <v/>
      </c>
      <c r="AM463" s="47">
        <f>IF(AND(C463&lt;&gt;"",N(AB463)&gt;0,D463&lt;&gt;"Perdu"),AB463+ROW()/100000,0)</f>
        <v/>
      </c>
      <c r="AN463" s="48">
        <f>IF(N(AF463)&gt;0,ROUND(AF463,0)+ROW()/1000000,0)</f>
        <v/>
      </c>
    </row>
    <row r="464" ht="18" customHeight="1">
      <c r="A464" s="39" t="n">
        <v>459</v>
      </c>
      <c r="B464" s="33">
        <f>IF(C464="","",IF(X464="À RENSEIGNER","GIC",X464)&amp;"-"&amp;TEXT(A464,"000"))</f>
        <v/>
      </c>
      <c r="C464" s="36" t="n"/>
      <c r="D464" s="34">
        <f>IF(C464="","",IF(U464="☑ Oui","Perdu",IF(AD464&lt;&gt;"","Client","Prospect")))</f>
        <v/>
      </c>
      <c r="E464" s="36" t="n"/>
      <c r="F464" s="36" t="n"/>
      <c r="G464" s="44" t="n"/>
      <c r="H464" s="44" t="n"/>
      <c r="I464" s="36" t="n"/>
      <c r="J464" s="36" t="n"/>
      <c r="K464" s="41" t="n"/>
      <c r="L464" s="41" t="n"/>
      <c r="M464" s="36" t="n"/>
      <c r="N464" s="36" t="n"/>
      <c r="O464" s="32" t="n"/>
      <c r="P464" s="36" t="n"/>
      <c r="Q464" s="36" t="n"/>
      <c r="R464" s="34">
        <f>IF(P464="","",IFERROR(VLOOKUP(P464,T_Produits,2,FALSE),""))</f>
        <v/>
      </c>
      <c r="S464" s="36" t="n"/>
      <c r="T464" s="43" t="n"/>
      <c r="U464" s="43" t="n"/>
      <c r="V464" s="36" t="n"/>
      <c r="W464" s="36" t="n"/>
      <c r="X464" s="33">
        <f>IF(C464="","",Commercial_Id)</f>
        <v/>
      </c>
      <c r="Y464" s="33">
        <f>IF(E464="","",IF(E464="Particulier / ménage","Particulier","Entreprise"))</f>
        <v/>
      </c>
      <c r="Z464" s="39">
        <f>IF(C464="","",COUNTIFS(VC_cle,AK464,VC_type,"Visite sur place"))</f>
        <v/>
      </c>
      <c r="AA464" s="46">
        <f>IF(AL464=0,"",IF(INT(AL464)=0,"",INT(AL464)))</f>
        <v/>
      </c>
      <c r="AB464" s="46">
        <f>IF(AL464=0,"",IF(INDEX(VC_actiondate,ROUND(MOD(AL464,1)*100000,0)-5)=0,"",INDEX(VC_actiondate,ROUND(MOD(AL464,1)*100000,0)-5)))</f>
        <v/>
      </c>
      <c r="AC464" s="33">
        <f>IF(AL464=0,"",INDEX(VC_actiontexte,ROUND(MOD(AL464,1)*100000,0)-5)&amp;"")</f>
        <v/>
      </c>
      <c r="AD464" s="46">
        <f>IF(C464="","",IF(COUNTIFS(Cmd_cle,AK464,Cmd_dateca,"&gt;0")=0,"",SMALL(INDEX(Cmd_dateca+(((Cmd_cle&lt;&gt;AK464)+(Cmd_dateca=0))&gt;0)*1000000,0),1)))</f>
        <v/>
      </c>
      <c r="AE464" s="46">
        <f>IF(C464="","",IF(COUNTIFS(Cmd_cle,AK464,Cmd_dateca,"&gt;0")=0,"",MAX(INDEX((Cmd_cle=AK464)*Cmd_dateca,0))))</f>
        <v/>
      </c>
      <c r="AF464" s="40">
        <f>IF(C464="","",SUMIFS(Cmd_montant,Cmd_cle,AK464,Cmd_dateca,"&gt;0"))</f>
        <v/>
      </c>
      <c r="AG464" s="40">
        <f>IF(C464="","",SUMIFS(Enc_montant,Enc_cle,AK464))</f>
        <v/>
      </c>
      <c r="AH464" s="40">
        <f>IF(C464="","",AF464-AG464)</f>
        <v/>
      </c>
      <c r="AI464" s="33">
        <f>IF(C464="","",IF(D464="Perdu","",IF(AND(AB464&lt;&gt;"",N(AB464)&lt;TODAY()),"Action en retard",IF(AND(D464="Client",AE464&lt;&gt;"",TODAY()-N(AE464)&gt;P_JoursInactif),"Client inactif",IF(AND(D464="Prospect",Z464=0,O464&lt;&gt;"",TODAY()-N(O464)&gt;P_JoursNonVisite),"Jamais visité","")))))</f>
        <v/>
      </c>
      <c r="AJ464" s="33">
        <f>IF(C464="","",C464&amp;" ["&amp;TEXT(A464,"000")&amp;"]")</f>
        <v/>
      </c>
      <c r="AK464" s="33">
        <f>IF(C464="","",X464&amp;"|"&amp;A464)</f>
        <v/>
      </c>
      <c r="AL464" s="47">
        <f>IF(C464="",0,IF(COUNTIFS(VC_cle,AK464)=0,0,MAX(INDEX((VC_cle=AK464)*(VC_date+ROW(VC_date)/100000),0))))</f>
        <v/>
      </c>
      <c r="AM464" s="47">
        <f>IF(AND(C464&lt;&gt;"",N(AB464)&gt;0,D464&lt;&gt;"Perdu"),AB464+ROW()/100000,0)</f>
        <v/>
      </c>
      <c r="AN464" s="48">
        <f>IF(N(AF464)&gt;0,ROUND(AF464,0)+ROW()/1000000,0)</f>
        <v/>
      </c>
    </row>
    <row r="465" ht="18" customHeight="1">
      <c r="A465" s="39" t="n">
        <v>460</v>
      </c>
      <c r="B465" s="33">
        <f>IF(C465="","",IF(X465="À RENSEIGNER","GIC",X465)&amp;"-"&amp;TEXT(A465,"000"))</f>
        <v/>
      </c>
      <c r="C465" s="36" t="n"/>
      <c r="D465" s="34">
        <f>IF(C465="","",IF(U465="☑ Oui","Perdu",IF(AD465&lt;&gt;"","Client","Prospect")))</f>
        <v/>
      </c>
      <c r="E465" s="36" t="n"/>
      <c r="F465" s="36" t="n"/>
      <c r="G465" s="44" t="n"/>
      <c r="H465" s="44" t="n"/>
      <c r="I465" s="36" t="n"/>
      <c r="J465" s="36" t="n"/>
      <c r="K465" s="41" t="n"/>
      <c r="L465" s="41" t="n"/>
      <c r="M465" s="36" t="n"/>
      <c r="N465" s="36" t="n"/>
      <c r="O465" s="32" t="n"/>
      <c r="P465" s="36" t="n"/>
      <c r="Q465" s="36" t="n"/>
      <c r="R465" s="34">
        <f>IF(P465="","",IFERROR(VLOOKUP(P465,T_Produits,2,FALSE),""))</f>
        <v/>
      </c>
      <c r="S465" s="36" t="n"/>
      <c r="T465" s="43" t="n"/>
      <c r="U465" s="43" t="n"/>
      <c r="V465" s="36" t="n"/>
      <c r="W465" s="36" t="n"/>
      <c r="X465" s="33">
        <f>IF(C465="","",Commercial_Id)</f>
        <v/>
      </c>
      <c r="Y465" s="33">
        <f>IF(E465="","",IF(E465="Particulier / ménage","Particulier","Entreprise"))</f>
        <v/>
      </c>
      <c r="Z465" s="39">
        <f>IF(C465="","",COUNTIFS(VC_cle,AK465,VC_type,"Visite sur place"))</f>
        <v/>
      </c>
      <c r="AA465" s="46">
        <f>IF(AL465=0,"",IF(INT(AL465)=0,"",INT(AL465)))</f>
        <v/>
      </c>
      <c r="AB465" s="46">
        <f>IF(AL465=0,"",IF(INDEX(VC_actiondate,ROUND(MOD(AL465,1)*100000,0)-5)=0,"",INDEX(VC_actiondate,ROUND(MOD(AL465,1)*100000,0)-5)))</f>
        <v/>
      </c>
      <c r="AC465" s="33">
        <f>IF(AL465=0,"",INDEX(VC_actiontexte,ROUND(MOD(AL465,1)*100000,0)-5)&amp;"")</f>
        <v/>
      </c>
      <c r="AD465" s="46">
        <f>IF(C465="","",IF(COUNTIFS(Cmd_cle,AK465,Cmd_dateca,"&gt;0")=0,"",SMALL(INDEX(Cmd_dateca+(((Cmd_cle&lt;&gt;AK465)+(Cmd_dateca=0))&gt;0)*1000000,0),1)))</f>
        <v/>
      </c>
      <c r="AE465" s="46">
        <f>IF(C465="","",IF(COUNTIFS(Cmd_cle,AK465,Cmd_dateca,"&gt;0")=0,"",MAX(INDEX((Cmd_cle=AK465)*Cmd_dateca,0))))</f>
        <v/>
      </c>
      <c r="AF465" s="40">
        <f>IF(C465="","",SUMIFS(Cmd_montant,Cmd_cle,AK465,Cmd_dateca,"&gt;0"))</f>
        <v/>
      </c>
      <c r="AG465" s="40">
        <f>IF(C465="","",SUMIFS(Enc_montant,Enc_cle,AK465))</f>
        <v/>
      </c>
      <c r="AH465" s="40">
        <f>IF(C465="","",AF465-AG465)</f>
        <v/>
      </c>
      <c r="AI465" s="33">
        <f>IF(C465="","",IF(D465="Perdu","",IF(AND(AB465&lt;&gt;"",N(AB465)&lt;TODAY()),"Action en retard",IF(AND(D465="Client",AE465&lt;&gt;"",TODAY()-N(AE465)&gt;P_JoursInactif),"Client inactif",IF(AND(D465="Prospect",Z465=0,O465&lt;&gt;"",TODAY()-N(O465)&gt;P_JoursNonVisite),"Jamais visité","")))))</f>
        <v/>
      </c>
      <c r="AJ465" s="33">
        <f>IF(C465="","",C465&amp;" ["&amp;TEXT(A465,"000")&amp;"]")</f>
        <v/>
      </c>
      <c r="AK465" s="33">
        <f>IF(C465="","",X465&amp;"|"&amp;A465)</f>
        <v/>
      </c>
      <c r="AL465" s="47">
        <f>IF(C465="",0,IF(COUNTIFS(VC_cle,AK465)=0,0,MAX(INDEX((VC_cle=AK465)*(VC_date+ROW(VC_date)/100000),0))))</f>
        <v/>
      </c>
      <c r="AM465" s="47">
        <f>IF(AND(C465&lt;&gt;"",N(AB465)&gt;0,D465&lt;&gt;"Perdu"),AB465+ROW()/100000,0)</f>
        <v/>
      </c>
      <c r="AN465" s="48">
        <f>IF(N(AF465)&gt;0,ROUND(AF465,0)+ROW()/1000000,0)</f>
        <v/>
      </c>
    </row>
    <row r="466" ht="18" customHeight="1">
      <c r="A466" s="39" t="n">
        <v>461</v>
      </c>
      <c r="B466" s="33">
        <f>IF(C466="","",IF(X466="À RENSEIGNER","GIC",X466)&amp;"-"&amp;TEXT(A466,"000"))</f>
        <v/>
      </c>
      <c r="C466" s="36" t="n"/>
      <c r="D466" s="34">
        <f>IF(C466="","",IF(U466="☑ Oui","Perdu",IF(AD466&lt;&gt;"","Client","Prospect")))</f>
        <v/>
      </c>
      <c r="E466" s="36" t="n"/>
      <c r="F466" s="36" t="n"/>
      <c r="G466" s="44" t="n"/>
      <c r="H466" s="44" t="n"/>
      <c r="I466" s="36" t="n"/>
      <c r="J466" s="36" t="n"/>
      <c r="K466" s="41" t="n"/>
      <c r="L466" s="41" t="n"/>
      <c r="M466" s="36" t="n"/>
      <c r="N466" s="36" t="n"/>
      <c r="O466" s="32" t="n"/>
      <c r="P466" s="36" t="n"/>
      <c r="Q466" s="36" t="n"/>
      <c r="R466" s="34">
        <f>IF(P466="","",IFERROR(VLOOKUP(P466,T_Produits,2,FALSE),""))</f>
        <v/>
      </c>
      <c r="S466" s="36" t="n"/>
      <c r="T466" s="43" t="n"/>
      <c r="U466" s="43" t="n"/>
      <c r="V466" s="36" t="n"/>
      <c r="W466" s="36" t="n"/>
      <c r="X466" s="33">
        <f>IF(C466="","",Commercial_Id)</f>
        <v/>
      </c>
      <c r="Y466" s="33">
        <f>IF(E466="","",IF(E466="Particulier / ménage","Particulier","Entreprise"))</f>
        <v/>
      </c>
      <c r="Z466" s="39">
        <f>IF(C466="","",COUNTIFS(VC_cle,AK466,VC_type,"Visite sur place"))</f>
        <v/>
      </c>
      <c r="AA466" s="46">
        <f>IF(AL466=0,"",IF(INT(AL466)=0,"",INT(AL466)))</f>
        <v/>
      </c>
      <c r="AB466" s="46">
        <f>IF(AL466=0,"",IF(INDEX(VC_actiondate,ROUND(MOD(AL466,1)*100000,0)-5)=0,"",INDEX(VC_actiondate,ROUND(MOD(AL466,1)*100000,0)-5)))</f>
        <v/>
      </c>
      <c r="AC466" s="33">
        <f>IF(AL466=0,"",INDEX(VC_actiontexte,ROUND(MOD(AL466,1)*100000,0)-5)&amp;"")</f>
        <v/>
      </c>
      <c r="AD466" s="46">
        <f>IF(C466="","",IF(COUNTIFS(Cmd_cle,AK466,Cmd_dateca,"&gt;0")=0,"",SMALL(INDEX(Cmd_dateca+(((Cmd_cle&lt;&gt;AK466)+(Cmd_dateca=0))&gt;0)*1000000,0),1)))</f>
        <v/>
      </c>
      <c r="AE466" s="46">
        <f>IF(C466="","",IF(COUNTIFS(Cmd_cle,AK466,Cmd_dateca,"&gt;0")=0,"",MAX(INDEX((Cmd_cle=AK466)*Cmd_dateca,0))))</f>
        <v/>
      </c>
      <c r="AF466" s="40">
        <f>IF(C466="","",SUMIFS(Cmd_montant,Cmd_cle,AK466,Cmd_dateca,"&gt;0"))</f>
        <v/>
      </c>
      <c r="AG466" s="40">
        <f>IF(C466="","",SUMIFS(Enc_montant,Enc_cle,AK466))</f>
        <v/>
      </c>
      <c r="AH466" s="40">
        <f>IF(C466="","",AF466-AG466)</f>
        <v/>
      </c>
      <c r="AI466" s="33">
        <f>IF(C466="","",IF(D466="Perdu","",IF(AND(AB466&lt;&gt;"",N(AB466)&lt;TODAY()),"Action en retard",IF(AND(D466="Client",AE466&lt;&gt;"",TODAY()-N(AE466)&gt;P_JoursInactif),"Client inactif",IF(AND(D466="Prospect",Z466=0,O466&lt;&gt;"",TODAY()-N(O466)&gt;P_JoursNonVisite),"Jamais visité","")))))</f>
        <v/>
      </c>
      <c r="AJ466" s="33">
        <f>IF(C466="","",C466&amp;" ["&amp;TEXT(A466,"000")&amp;"]")</f>
        <v/>
      </c>
      <c r="AK466" s="33">
        <f>IF(C466="","",X466&amp;"|"&amp;A466)</f>
        <v/>
      </c>
      <c r="AL466" s="47">
        <f>IF(C466="",0,IF(COUNTIFS(VC_cle,AK466)=0,0,MAX(INDEX((VC_cle=AK466)*(VC_date+ROW(VC_date)/100000),0))))</f>
        <v/>
      </c>
      <c r="AM466" s="47">
        <f>IF(AND(C466&lt;&gt;"",N(AB466)&gt;0,D466&lt;&gt;"Perdu"),AB466+ROW()/100000,0)</f>
        <v/>
      </c>
      <c r="AN466" s="48">
        <f>IF(N(AF466)&gt;0,ROUND(AF466,0)+ROW()/1000000,0)</f>
        <v/>
      </c>
    </row>
    <row r="467" ht="18" customHeight="1">
      <c r="A467" s="39" t="n">
        <v>462</v>
      </c>
      <c r="B467" s="33">
        <f>IF(C467="","",IF(X467="À RENSEIGNER","GIC",X467)&amp;"-"&amp;TEXT(A467,"000"))</f>
        <v/>
      </c>
      <c r="C467" s="36" t="n"/>
      <c r="D467" s="34">
        <f>IF(C467="","",IF(U467="☑ Oui","Perdu",IF(AD467&lt;&gt;"","Client","Prospect")))</f>
        <v/>
      </c>
      <c r="E467" s="36" t="n"/>
      <c r="F467" s="36" t="n"/>
      <c r="G467" s="44" t="n"/>
      <c r="H467" s="44" t="n"/>
      <c r="I467" s="36" t="n"/>
      <c r="J467" s="36" t="n"/>
      <c r="K467" s="41" t="n"/>
      <c r="L467" s="41" t="n"/>
      <c r="M467" s="36" t="n"/>
      <c r="N467" s="36" t="n"/>
      <c r="O467" s="32" t="n"/>
      <c r="P467" s="36" t="n"/>
      <c r="Q467" s="36" t="n"/>
      <c r="R467" s="34">
        <f>IF(P467="","",IFERROR(VLOOKUP(P467,T_Produits,2,FALSE),""))</f>
        <v/>
      </c>
      <c r="S467" s="36" t="n"/>
      <c r="T467" s="43" t="n"/>
      <c r="U467" s="43" t="n"/>
      <c r="V467" s="36" t="n"/>
      <c r="W467" s="36" t="n"/>
      <c r="X467" s="33">
        <f>IF(C467="","",Commercial_Id)</f>
        <v/>
      </c>
      <c r="Y467" s="33">
        <f>IF(E467="","",IF(E467="Particulier / ménage","Particulier","Entreprise"))</f>
        <v/>
      </c>
      <c r="Z467" s="39">
        <f>IF(C467="","",COUNTIFS(VC_cle,AK467,VC_type,"Visite sur place"))</f>
        <v/>
      </c>
      <c r="AA467" s="46">
        <f>IF(AL467=0,"",IF(INT(AL467)=0,"",INT(AL467)))</f>
        <v/>
      </c>
      <c r="AB467" s="46">
        <f>IF(AL467=0,"",IF(INDEX(VC_actiondate,ROUND(MOD(AL467,1)*100000,0)-5)=0,"",INDEX(VC_actiondate,ROUND(MOD(AL467,1)*100000,0)-5)))</f>
        <v/>
      </c>
      <c r="AC467" s="33">
        <f>IF(AL467=0,"",INDEX(VC_actiontexte,ROUND(MOD(AL467,1)*100000,0)-5)&amp;"")</f>
        <v/>
      </c>
      <c r="AD467" s="46">
        <f>IF(C467="","",IF(COUNTIFS(Cmd_cle,AK467,Cmd_dateca,"&gt;0")=0,"",SMALL(INDEX(Cmd_dateca+(((Cmd_cle&lt;&gt;AK467)+(Cmd_dateca=0))&gt;0)*1000000,0),1)))</f>
        <v/>
      </c>
      <c r="AE467" s="46">
        <f>IF(C467="","",IF(COUNTIFS(Cmd_cle,AK467,Cmd_dateca,"&gt;0")=0,"",MAX(INDEX((Cmd_cle=AK467)*Cmd_dateca,0))))</f>
        <v/>
      </c>
      <c r="AF467" s="40">
        <f>IF(C467="","",SUMIFS(Cmd_montant,Cmd_cle,AK467,Cmd_dateca,"&gt;0"))</f>
        <v/>
      </c>
      <c r="AG467" s="40">
        <f>IF(C467="","",SUMIFS(Enc_montant,Enc_cle,AK467))</f>
        <v/>
      </c>
      <c r="AH467" s="40">
        <f>IF(C467="","",AF467-AG467)</f>
        <v/>
      </c>
      <c r="AI467" s="33">
        <f>IF(C467="","",IF(D467="Perdu","",IF(AND(AB467&lt;&gt;"",N(AB467)&lt;TODAY()),"Action en retard",IF(AND(D467="Client",AE467&lt;&gt;"",TODAY()-N(AE467)&gt;P_JoursInactif),"Client inactif",IF(AND(D467="Prospect",Z467=0,O467&lt;&gt;"",TODAY()-N(O467)&gt;P_JoursNonVisite),"Jamais visité","")))))</f>
        <v/>
      </c>
      <c r="AJ467" s="33">
        <f>IF(C467="","",C467&amp;" ["&amp;TEXT(A467,"000")&amp;"]")</f>
        <v/>
      </c>
      <c r="AK467" s="33">
        <f>IF(C467="","",X467&amp;"|"&amp;A467)</f>
        <v/>
      </c>
      <c r="AL467" s="47">
        <f>IF(C467="",0,IF(COUNTIFS(VC_cle,AK467)=0,0,MAX(INDEX((VC_cle=AK467)*(VC_date+ROW(VC_date)/100000),0))))</f>
        <v/>
      </c>
      <c r="AM467" s="47">
        <f>IF(AND(C467&lt;&gt;"",N(AB467)&gt;0,D467&lt;&gt;"Perdu"),AB467+ROW()/100000,0)</f>
        <v/>
      </c>
      <c r="AN467" s="48">
        <f>IF(N(AF467)&gt;0,ROUND(AF467,0)+ROW()/1000000,0)</f>
        <v/>
      </c>
    </row>
    <row r="468" ht="18" customHeight="1">
      <c r="A468" s="39" t="n">
        <v>463</v>
      </c>
      <c r="B468" s="33">
        <f>IF(C468="","",IF(X468="À RENSEIGNER","GIC",X468)&amp;"-"&amp;TEXT(A468,"000"))</f>
        <v/>
      </c>
      <c r="C468" s="36" t="n"/>
      <c r="D468" s="34">
        <f>IF(C468="","",IF(U468="☑ Oui","Perdu",IF(AD468&lt;&gt;"","Client","Prospect")))</f>
        <v/>
      </c>
      <c r="E468" s="36" t="n"/>
      <c r="F468" s="36" t="n"/>
      <c r="G468" s="44" t="n"/>
      <c r="H468" s="44" t="n"/>
      <c r="I468" s="36" t="n"/>
      <c r="J468" s="36" t="n"/>
      <c r="K468" s="41" t="n"/>
      <c r="L468" s="41" t="n"/>
      <c r="M468" s="36" t="n"/>
      <c r="N468" s="36" t="n"/>
      <c r="O468" s="32" t="n"/>
      <c r="P468" s="36" t="n"/>
      <c r="Q468" s="36" t="n"/>
      <c r="R468" s="34">
        <f>IF(P468="","",IFERROR(VLOOKUP(P468,T_Produits,2,FALSE),""))</f>
        <v/>
      </c>
      <c r="S468" s="36" t="n"/>
      <c r="T468" s="43" t="n"/>
      <c r="U468" s="43" t="n"/>
      <c r="V468" s="36" t="n"/>
      <c r="W468" s="36" t="n"/>
      <c r="X468" s="33">
        <f>IF(C468="","",Commercial_Id)</f>
        <v/>
      </c>
      <c r="Y468" s="33">
        <f>IF(E468="","",IF(E468="Particulier / ménage","Particulier","Entreprise"))</f>
        <v/>
      </c>
      <c r="Z468" s="39">
        <f>IF(C468="","",COUNTIFS(VC_cle,AK468,VC_type,"Visite sur place"))</f>
        <v/>
      </c>
      <c r="AA468" s="46">
        <f>IF(AL468=0,"",IF(INT(AL468)=0,"",INT(AL468)))</f>
        <v/>
      </c>
      <c r="AB468" s="46">
        <f>IF(AL468=0,"",IF(INDEX(VC_actiondate,ROUND(MOD(AL468,1)*100000,0)-5)=0,"",INDEX(VC_actiondate,ROUND(MOD(AL468,1)*100000,0)-5)))</f>
        <v/>
      </c>
      <c r="AC468" s="33">
        <f>IF(AL468=0,"",INDEX(VC_actiontexte,ROUND(MOD(AL468,1)*100000,0)-5)&amp;"")</f>
        <v/>
      </c>
      <c r="AD468" s="46">
        <f>IF(C468="","",IF(COUNTIFS(Cmd_cle,AK468,Cmd_dateca,"&gt;0")=0,"",SMALL(INDEX(Cmd_dateca+(((Cmd_cle&lt;&gt;AK468)+(Cmd_dateca=0))&gt;0)*1000000,0),1)))</f>
        <v/>
      </c>
      <c r="AE468" s="46">
        <f>IF(C468="","",IF(COUNTIFS(Cmd_cle,AK468,Cmd_dateca,"&gt;0")=0,"",MAX(INDEX((Cmd_cle=AK468)*Cmd_dateca,0))))</f>
        <v/>
      </c>
      <c r="AF468" s="40">
        <f>IF(C468="","",SUMIFS(Cmd_montant,Cmd_cle,AK468,Cmd_dateca,"&gt;0"))</f>
        <v/>
      </c>
      <c r="AG468" s="40">
        <f>IF(C468="","",SUMIFS(Enc_montant,Enc_cle,AK468))</f>
        <v/>
      </c>
      <c r="AH468" s="40">
        <f>IF(C468="","",AF468-AG468)</f>
        <v/>
      </c>
      <c r="AI468" s="33">
        <f>IF(C468="","",IF(D468="Perdu","",IF(AND(AB468&lt;&gt;"",N(AB468)&lt;TODAY()),"Action en retard",IF(AND(D468="Client",AE468&lt;&gt;"",TODAY()-N(AE468)&gt;P_JoursInactif),"Client inactif",IF(AND(D468="Prospect",Z468=0,O468&lt;&gt;"",TODAY()-N(O468)&gt;P_JoursNonVisite),"Jamais visité","")))))</f>
        <v/>
      </c>
      <c r="AJ468" s="33">
        <f>IF(C468="","",C468&amp;" ["&amp;TEXT(A468,"000")&amp;"]")</f>
        <v/>
      </c>
      <c r="AK468" s="33">
        <f>IF(C468="","",X468&amp;"|"&amp;A468)</f>
        <v/>
      </c>
      <c r="AL468" s="47">
        <f>IF(C468="",0,IF(COUNTIFS(VC_cle,AK468)=0,0,MAX(INDEX((VC_cle=AK468)*(VC_date+ROW(VC_date)/100000),0))))</f>
        <v/>
      </c>
      <c r="AM468" s="47">
        <f>IF(AND(C468&lt;&gt;"",N(AB468)&gt;0,D468&lt;&gt;"Perdu"),AB468+ROW()/100000,0)</f>
        <v/>
      </c>
      <c r="AN468" s="48">
        <f>IF(N(AF468)&gt;0,ROUND(AF468,0)+ROW()/1000000,0)</f>
        <v/>
      </c>
    </row>
    <row r="469" ht="18" customHeight="1">
      <c r="A469" s="39" t="n">
        <v>464</v>
      </c>
      <c r="B469" s="33">
        <f>IF(C469="","",IF(X469="À RENSEIGNER","GIC",X469)&amp;"-"&amp;TEXT(A469,"000"))</f>
        <v/>
      </c>
      <c r="C469" s="36" t="n"/>
      <c r="D469" s="34">
        <f>IF(C469="","",IF(U469="☑ Oui","Perdu",IF(AD469&lt;&gt;"","Client","Prospect")))</f>
        <v/>
      </c>
      <c r="E469" s="36" t="n"/>
      <c r="F469" s="36" t="n"/>
      <c r="G469" s="44" t="n"/>
      <c r="H469" s="44" t="n"/>
      <c r="I469" s="36" t="n"/>
      <c r="J469" s="36" t="n"/>
      <c r="K469" s="41" t="n"/>
      <c r="L469" s="41" t="n"/>
      <c r="M469" s="36" t="n"/>
      <c r="N469" s="36" t="n"/>
      <c r="O469" s="32" t="n"/>
      <c r="P469" s="36" t="n"/>
      <c r="Q469" s="36" t="n"/>
      <c r="R469" s="34">
        <f>IF(P469="","",IFERROR(VLOOKUP(P469,T_Produits,2,FALSE),""))</f>
        <v/>
      </c>
      <c r="S469" s="36" t="n"/>
      <c r="T469" s="43" t="n"/>
      <c r="U469" s="43" t="n"/>
      <c r="V469" s="36" t="n"/>
      <c r="W469" s="36" t="n"/>
      <c r="X469" s="33">
        <f>IF(C469="","",Commercial_Id)</f>
        <v/>
      </c>
      <c r="Y469" s="33">
        <f>IF(E469="","",IF(E469="Particulier / ménage","Particulier","Entreprise"))</f>
        <v/>
      </c>
      <c r="Z469" s="39">
        <f>IF(C469="","",COUNTIFS(VC_cle,AK469,VC_type,"Visite sur place"))</f>
        <v/>
      </c>
      <c r="AA469" s="46">
        <f>IF(AL469=0,"",IF(INT(AL469)=0,"",INT(AL469)))</f>
        <v/>
      </c>
      <c r="AB469" s="46">
        <f>IF(AL469=0,"",IF(INDEX(VC_actiondate,ROUND(MOD(AL469,1)*100000,0)-5)=0,"",INDEX(VC_actiondate,ROUND(MOD(AL469,1)*100000,0)-5)))</f>
        <v/>
      </c>
      <c r="AC469" s="33">
        <f>IF(AL469=0,"",INDEX(VC_actiontexte,ROUND(MOD(AL469,1)*100000,0)-5)&amp;"")</f>
        <v/>
      </c>
      <c r="AD469" s="46">
        <f>IF(C469="","",IF(COUNTIFS(Cmd_cle,AK469,Cmd_dateca,"&gt;0")=0,"",SMALL(INDEX(Cmd_dateca+(((Cmd_cle&lt;&gt;AK469)+(Cmd_dateca=0))&gt;0)*1000000,0),1)))</f>
        <v/>
      </c>
      <c r="AE469" s="46">
        <f>IF(C469="","",IF(COUNTIFS(Cmd_cle,AK469,Cmd_dateca,"&gt;0")=0,"",MAX(INDEX((Cmd_cle=AK469)*Cmd_dateca,0))))</f>
        <v/>
      </c>
      <c r="AF469" s="40">
        <f>IF(C469="","",SUMIFS(Cmd_montant,Cmd_cle,AK469,Cmd_dateca,"&gt;0"))</f>
        <v/>
      </c>
      <c r="AG469" s="40">
        <f>IF(C469="","",SUMIFS(Enc_montant,Enc_cle,AK469))</f>
        <v/>
      </c>
      <c r="AH469" s="40">
        <f>IF(C469="","",AF469-AG469)</f>
        <v/>
      </c>
      <c r="AI469" s="33">
        <f>IF(C469="","",IF(D469="Perdu","",IF(AND(AB469&lt;&gt;"",N(AB469)&lt;TODAY()),"Action en retard",IF(AND(D469="Client",AE469&lt;&gt;"",TODAY()-N(AE469)&gt;P_JoursInactif),"Client inactif",IF(AND(D469="Prospect",Z469=0,O469&lt;&gt;"",TODAY()-N(O469)&gt;P_JoursNonVisite),"Jamais visité","")))))</f>
        <v/>
      </c>
      <c r="AJ469" s="33">
        <f>IF(C469="","",C469&amp;" ["&amp;TEXT(A469,"000")&amp;"]")</f>
        <v/>
      </c>
      <c r="AK469" s="33">
        <f>IF(C469="","",X469&amp;"|"&amp;A469)</f>
        <v/>
      </c>
      <c r="AL469" s="47">
        <f>IF(C469="",0,IF(COUNTIFS(VC_cle,AK469)=0,0,MAX(INDEX((VC_cle=AK469)*(VC_date+ROW(VC_date)/100000),0))))</f>
        <v/>
      </c>
      <c r="AM469" s="47">
        <f>IF(AND(C469&lt;&gt;"",N(AB469)&gt;0,D469&lt;&gt;"Perdu"),AB469+ROW()/100000,0)</f>
        <v/>
      </c>
      <c r="AN469" s="48">
        <f>IF(N(AF469)&gt;0,ROUND(AF469,0)+ROW()/1000000,0)</f>
        <v/>
      </c>
    </row>
    <row r="470" ht="18" customHeight="1">
      <c r="A470" s="39" t="n">
        <v>465</v>
      </c>
      <c r="B470" s="33">
        <f>IF(C470="","",IF(X470="À RENSEIGNER","GIC",X470)&amp;"-"&amp;TEXT(A470,"000"))</f>
        <v/>
      </c>
      <c r="C470" s="36" t="n"/>
      <c r="D470" s="34">
        <f>IF(C470="","",IF(U470="☑ Oui","Perdu",IF(AD470&lt;&gt;"","Client","Prospect")))</f>
        <v/>
      </c>
      <c r="E470" s="36" t="n"/>
      <c r="F470" s="36" t="n"/>
      <c r="G470" s="44" t="n"/>
      <c r="H470" s="44" t="n"/>
      <c r="I470" s="36" t="n"/>
      <c r="J470" s="36" t="n"/>
      <c r="K470" s="41" t="n"/>
      <c r="L470" s="41" t="n"/>
      <c r="M470" s="36" t="n"/>
      <c r="N470" s="36" t="n"/>
      <c r="O470" s="32" t="n"/>
      <c r="P470" s="36" t="n"/>
      <c r="Q470" s="36" t="n"/>
      <c r="R470" s="34">
        <f>IF(P470="","",IFERROR(VLOOKUP(P470,T_Produits,2,FALSE),""))</f>
        <v/>
      </c>
      <c r="S470" s="36" t="n"/>
      <c r="T470" s="43" t="n"/>
      <c r="U470" s="43" t="n"/>
      <c r="V470" s="36" t="n"/>
      <c r="W470" s="36" t="n"/>
      <c r="X470" s="33">
        <f>IF(C470="","",Commercial_Id)</f>
        <v/>
      </c>
      <c r="Y470" s="33">
        <f>IF(E470="","",IF(E470="Particulier / ménage","Particulier","Entreprise"))</f>
        <v/>
      </c>
      <c r="Z470" s="39">
        <f>IF(C470="","",COUNTIFS(VC_cle,AK470,VC_type,"Visite sur place"))</f>
        <v/>
      </c>
      <c r="AA470" s="46">
        <f>IF(AL470=0,"",IF(INT(AL470)=0,"",INT(AL470)))</f>
        <v/>
      </c>
      <c r="AB470" s="46">
        <f>IF(AL470=0,"",IF(INDEX(VC_actiondate,ROUND(MOD(AL470,1)*100000,0)-5)=0,"",INDEX(VC_actiondate,ROUND(MOD(AL470,1)*100000,0)-5)))</f>
        <v/>
      </c>
      <c r="AC470" s="33">
        <f>IF(AL470=0,"",INDEX(VC_actiontexte,ROUND(MOD(AL470,1)*100000,0)-5)&amp;"")</f>
        <v/>
      </c>
      <c r="AD470" s="46">
        <f>IF(C470="","",IF(COUNTIFS(Cmd_cle,AK470,Cmd_dateca,"&gt;0")=0,"",SMALL(INDEX(Cmd_dateca+(((Cmd_cle&lt;&gt;AK470)+(Cmd_dateca=0))&gt;0)*1000000,0),1)))</f>
        <v/>
      </c>
      <c r="AE470" s="46">
        <f>IF(C470="","",IF(COUNTIFS(Cmd_cle,AK470,Cmd_dateca,"&gt;0")=0,"",MAX(INDEX((Cmd_cle=AK470)*Cmd_dateca,0))))</f>
        <v/>
      </c>
      <c r="AF470" s="40">
        <f>IF(C470="","",SUMIFS(Cmd_montant,Cmd_cle,AK470,Cmd_dateca,"&gt;0"))</f>
        <v/>
      </c>
      <c r="AG470" s="40">
        <f>IF(C470="","",SUMIFS(Enc_montant,Enc_cle,AK470))</f>
        <v/>
      </c>
      <c r="AH470" s="40">
        <f>IF(C470="","",AF470-AG470)</f>
        <v/>
      </c>
      <c r="AI470" s="33">
        <f>IF(C470="","",IF(D470="Perdu","",IF(AND(AB470&lt;&gt;"",N(AB470)&lt;TODAY()),"Action en retard",IF(AND(D470="Client",AE470&lt;&gt;"",TODAY()-N(AE470)&gt;P_JoursInactif),"Client inactif",IF(AND(D470="Prospect",Z470=0,O470&lt;&gt;"",TODAY()-N(O470)&gt;P_JoursNonVisite),"Jamais visité","")))))</f>
        <v/>
      </c>
      <c r="AJ470" s="33">
        <f>IF(C470="","",C470&amp;" ["&amp;TEXT(A470,"000")&amp;"]")</f>
        <v/>
      </c>
      <c r="AK470" s="33">
        <f>IF(C470="","",X470&amp;"|"&amp;A470)</f>
        <v/>
      </c>
      <c r="AL470" s="47">
        <f>IF(C470="",0,IF(COUNTIFS(VC_cle,AK470)=0,0,MAX(INDEX((VC_cle=AK470)*(VC_date+ROW(VC_date)/100000),0))))</f>
        <v/>
      </c>
      <c r="AM470" s="47">
        <f>IF(AND(C470&lt;&gt;"",N(AB470)&gt;0,D470&lt;&gt;"Perdu"),AB470+ROW()/100000,0)</f>
        <v/>
      </c>
      <c r="AN470" s="48">
        <f>IF(N(AF470)&gt;0,ROUND(AF470,0)+ROW()/1000000,0)</f>
        <v/>
      </c>
    </row>
    <row r="471" ht="18" customHeight="1">
      <c r="A471" s="39" t="n">
        <v>466</v>
      </c>
      <c r="B471" s="33">
        <f>IF(C471="","",IF(X471="À RENSEIGNER","GIC",X471)&amp;"-"&amp;TEXT(A471,"000"))</f>
        <v/>
      </c>
      <c r="C471" s="36" t="n"/>
      <c r="D471" s="34">
        <f>IF(C471="","",IF(U471="☑ Oui","Perdu",IF(AD471&lt;&gt;"","Client","Prospect")))</f>
        <v/>
      </c>
      <c r="E471" s="36" t="n"/>
      <c r="F471" s="36" t="n"/>
      <c r="G471" s="44" t="n"/>
      <c r="H471" s="44" t="n"/>
      <c r="I471" s="36" t="n"/>
      <c r="J471" s="36" t="n"/>
      <c r="K471" s="41" t="n"/>
      <c r="L471" s="41" t="n"/>
      <c r="M471" s="36" t="n"/>
      <c r="N471" s="36" t="n"/>
      <c r="O471" s="32" t="n"/>
      <c r="P471" s="36" t="n"/>
      <c r="Q471" s="36" t="n"/>
      <c r="R471" s="34">
        <f>IF(P471="","",IFERROR(VLOOKUP(P471,T_Produits,2,FALSE),""))</f>
        <v/>
      </c>
      <c r="S471" s="36" t="n"/>
      <c r="T471" s="43" t="n"/>
      <c r="U471" s="43" t="n"/>
      <c r="V471" s="36" t="n"/>
      <c r="W471" s="36" t="n"/>
      <c r="X471" s="33">
        <f>IF(C471="","",Commercial_Id)</f>
        <v/>
      </c>
      <c r="Y471" s="33">
        <f>IF(E471="","",IF(E471="Particulier / ménage","Particulier","Entreprise"))</f>
        <v/>
      </c>
      <c r="Z471" s="39">
        <f>IF(C471="","",COUNTIFS(VC_cle,AK471,VC_type,"Visite sur place"))</f>
        <v/>
      </c>
      <c r="AA471" s="46">
        <f>IF(AL471=0,"",IF(INT(AL471)=0,"",INT(AL471)))</f>
        <v/>
      </c>
      <c r="AB471" s="46">
        <f>IF(AL471=0,"",IF(INDEX(VC_actiondate,ROUND(MOD(AL471,1)*100000,0)-5)=0,"",INDEX(VC_actiondate,ROUND(MOD(AL471,1)*100000,0)-5)))</f>
        <v/>
      </c>
      <c r="AC471" s="33">
        <f>IF(AL471=0,"",INDEX(VC_actiontexte,ROUND(MOD(AL471,1)*100000,0)-5)&amp;"")</f>
        <v/>
      </c>
      <c r="AD471" s="46">
        <f>IF(C471="","",IF(COUNTIFS(Cmd_cle,AK471,Cmd_dateca,"&gt;0")=0,"",SMALL(INDEX(Cmd_dateca+(((Cmd_cle&lt;&gt;AK471)+(Cmd_dateca=0))&gt;0)*1000000,0),1)))</f>
        <v/>
      </c>
      <c r="AE471" s="46">
        <f>IF(C471="","",IF(COUNTIFS(Cmd_cle,AK471,Cmd_dateca,"&gt;0")=0,"",MAX(INDEX((Cmd_cle=AK471)*Cmd_dateca,0))))</f>
        <v/>
      </c>
      <c r="AF471" s="40">
        <f>IF(C471="","",SUMIFS(Cmd_montant,Cmd_cle,AK471,Cmd_dateca,"&gt;0"))</f>
        <v/>
      </c>
      <c r="AG471" s="40">
        <f>IF(C471="","",SUMIFS(Enc_montant,Enc_cle,AK471))</f>
        <v/>
      </c>
      <c r="AH471" s="40">
        <f>IF(C471="","",AF471-AG471)</f>
        <v/>
      </c>
      <c r="AI471" s="33">
        <f>IF(C471="","",IF(D471="Perdu","",IF(AND(AB471&lt;&gt;"",N(AB471)&lt;TODAY()),"Action en retard",IF(AND(D471="Client",AE471&lt;&gt;"",TODAY()-N(AE471)&gt;P_JoursInactif),"Client inactif",IF(AND(D471="Prospect",Z471=0,O471&lt;&gt;"",TODAY()-N(O471)&gt;P_JoursNonVisite),"Jamais visité","")))))</f>
        <v/>
      </c>
      <c r="AJ471" s="33">
        <f>IF(C471="","",C471&amp;" ["&amp;TEXT(A471,"000")&amp;"]")</f>
        <v/>
      </c>
      <c r="AK471" s="33">
        <f>IF(C471="","",X471&amp;"|"&amp;A471)</f>
        <v/>
      </c>
      <c r="AL471" s="47">
        <f>IF(C471="",0,IF(COUNTIFS(VC_cle,AK471)=0,0,MAX(INDEX((VC_cle=AK471)*(VC_date+ROW(VC_date)/100000),0))))</f>
        <v/>
      </c>
      <c r="AM471" s="47">
        <f>IF(AND(C471&lt;&gt;"",N(AB471)&gt;0,D471&lt;&gt;"Perdu"),AB471+ROW()/100000,0)</f>
        <v/>
      </c>
      <c r="AN471" s="48">
        <f>IF(N(AF471)&gt;0,ROUND(AF471,0)+ROW()/1000000,0)</f>
        <v/>
      </c>
    </row>
    <row r="472" ht="18" customHeight="1">
      <c r="A472" s="39" t="n">
        <v>467</v>
      </c>
      <c r="B472" s="33">
        <f>IF(C472="","",IF(X472="À RENSEIGNER","GIC",X472)&amp;"-"&amp;TEXT(A472,"000"))</f>
        <v/>
      </c>
      <c r="C472" s="36" t="n"/>
      <c r="D472" s="34">
        <f>IF(C472="","",IF(U472="☑ Oui","Perdu",IF(AD472&lt;&gt;"","Client","Prospect")))</f>
        <v/>
      </c>
      <c r="E472" s="36" t="n"/>
      <c r="F472" s="36" t="n"/>
      <c r="G472" s="44" t="n"/>
      <c r="H472" s="44" t="n"/>
      <c r="I472" s="36" t="n"/>
      <c r="J472" s="36" t="n"/>
      <c r="K472" s="41" t="n"/>
      <c r="L472" s="41" t="n"/>
      <c r="M472" s="36" t="n"/>
      <c r="N472" s="36" t="n"/>
      <c r="O472" s="32" t="n"/>
      <c r="P472" s="36" t="n"/>
      <c r="Q472" s="36" t="n"/>
      <c r="R472" s="34">
        <f>IF(P472="","",IFERROR(VLOOKUP(P472,T_Produits,2,FALSE),""))</f>
        <v/>
      </c>
      <c r="S472" s="36" t="n"/>
      <c r="T472" s="43" t="n"/>
      <c r="U472" s="43" t="n"/>
      <c r="V472" s="36" t="n"/>
      <c r="W472" s="36" t="n"/>
      <c r="X472" s="33">
        <f>IF(C472="","",Commercial_Id)</f>
        <v/>
      </c>
      <c r="Y472" s="33">
        <f>IF(E472="","",IF(E472="Particulier / ménage","Particulier","Entreprise"))</f>
        <v/>
      </c>
      <c r="Z472" s="39">
        <f>IF(C472="","",COUNTIFS(VC_cle,AK472,VC_type,"Visite sur place"))</f>
        <v/>
      </c>
      <c r="AA472" s="46">
        <f>IF(AL472=0,"",IF(INT(AL472)=0,"",INT(AL472)))</f>
        <v/>
      </c>
      <c r="AB472" s="46">
        <f>IF(AL472=0,"",IF(INDEX(VC_actiondate,ROUND(MOD(AL472,1)*100000,0)-5)=0,"",INDEX(VC_actiondate,ROUND(MOD(AL472,1)*100000,0)-5)))</f>
        <v/>
      </c>
      <c r="AC472" s="33">
        <f>IF(AL472=0,"",INDEX(VC_actiontexte,ROUND(MOD(AL472,1)*100000,0)-5)&amp;"")</f>
        <v/>
      </c>
      <c r="AD472" s="46">
        <f>IF(C472="","",IF(COUNTIFS(Cmd_cle,AK472,Cmd_dateca,"&gt;0")=0,"",SMALL(INDEX(Cmd_dateca+(((Cmd_cle&lt;&gt;AK472)+(Cmd_dateca=0))&gt;0)*1000000,0),1)))</f>
        <v/>
      </c>
      <c r="AE472" s="46">
        <f>IF(C472="","",IF(COUNTIFS(Cmd_cle,AK472,Cmd_dateca,"&gt;0")=0,"",MAX(INDEX((Cmd_cle=AK472)*Cmd_dateca,0))))</f>
        <v/>
      </c>
      <c r="AF472" s="40">
        <f>IF(C472="","",SUMIFS(Cmd_montant,Cmd_cle,AK472,Cmd_dateca,"&gt;0"))</f>
        <v/>
      </c>
      <c r="AG472" s="40">
        <f>IF(C472="","",SUMIFS(Enc_montant,Enc_cle,AK472))</f>
        <v/>
      </c>
      <c r="AH472" s="40">
        <f>IF(C472="","",AF472-AG472)</f>
        <v/>
      </c>
      <c r="AI472" s="33">
        <f>IF(C472="","",IF(D472="Perdu","",IF(AND(AB472&lt;&gt;"",N(AB472)&lt;TODAY()),"Action en retard",IF(AND(D472="Client",AE472&lt;&gt;"",TODAY()-N(AE472)&gt;P_JoursInactif),"Client inactif",IF(AND(D472="Prospect",Z472=0,O472&lt;&gt;"",TODAY()-N(O472)&gt;P_JoursNonVisite),"Jamais visité","")))))</f>
        <v/>
      </c>
      <c r="AJ472" s="33">
        <f>IF(C472="","",C472&amp;" ["&amp;TEXT(A472,"000")&amp;"]")</f>
        <v/>
      </c>
      <c r="AK472" s="33">
        <f>IF(C472="","",X472&amp;"|"&amp;A472)</f>
        <v/>
      </c>
      <c r="AL472" s="47">
        <f>IF(C472="",0,IF(COUNTIFS(VC_cle,AK472)=0,0,MAX(INDEX((VC_cle=AK472)*(VC_date+ROW(VC_date)/100000),0))))</f>
        <v/>
      </c>
      <c r="AM472" s="47">
        <f>IF(AND(C472&lt;&gt;"",N(AB472)&gt;0,D472&lt;&gt;"Perdu"),AB472+ROW()/100000,0)</f>
        <v/>
      </c>
      <c r="AN472" s="48">
        <f>IF(N(AF472)&gt;0,ROUND(AF472,0)+ROW()/1000000,0)</f>
        <v/>
      </c>
    </row>
    <row r="473" ht="18" customHeight="1">
      <c r="A473" s="39" t="n">
        <v>468</v>
      </c>
      <c r="B473" s="33">
        <f>IF(C473="","",IF(X473="À RENSEIGNER","GIC",X473)&amp;"-"&amp;TEXT(A473,"000"))</f>
        <v/>
      </c>
      <c r="C473" s="36" t="n"/>
      <c r="D473" s="34">
        <f>IF(C473="","",IF(U473="☑ Oui","Perdu",IF(AD473&lt;&gt;"","Client","Prospect")))</f>
        <v/>
      </c>
      <c r="E473" s="36" t="n"/>
      <c r="F473" s="36" t="n"/>
      <c r="G473" s="44" t="n"/>
      <c r="H473" s="44" t="n"/>
      <c r="I473" s="36" t="n"/>
      <c r="J473" s="36" t="n"/>
      <c r="K473" s="41" t="n"/>
      <c r="L473" s="41" t="n"/>
      <c r="M473" s="36" t="n"/>
      <c r="N473" s="36" t="n"/>
      <c r="O473" s="32" t="n"/>
      <c r="P473" s="36" t="n"/>
      <c r="Q473" s="36" t="n"/>
      <c r="R473" s="34">
        <f>IF(P473="","",IFERROR(VLOOKUP(P473,T_Produits,2,FALSE),""))</f>
        <v/>
      </c>
      <c r="S473" s="36" t="n"/>
      <c r="T473" s="43" t="n"/>
      <c r="U473" s="43" t="n"/>
      <c r="V473" s="36" t="n"/>
      <c r="W473" s="36" t="n"/>
      <c r="X473" s="33">
        <f>IF(C473="","",Commercial_Id)</f>
        <v/>
      </c>
      <c r="Y473" s="33">
        <f>IF(E473="","",IF(E473="Particulier / ménage","Particulier","Entreprise"))</f>
        <v/>
      </c>
      <c r="Z473" s="39">
        <f>IF(C473="","",COUNTIFS(VC_cle,AK473,VC_type,"Visite sur place"))</f>
        <v/>
      </c>
      <c r="AA473" s="46">
        <f>IF(AL473=0,"",IF(INT(AL473)=0,"",INT(AL473)))</f>
        <v/>
      </c>
      <c r="AB473" s="46">
        <f>IF(AL473=0,"",IF(INDEX(VC_actiondate,ROUND(MOD(AL473,1)*100000,0)-5)=0,"",INDEX(VC_actiondate,ROUND(MOD(AL473,1)*100000,0)-5)))</f>
        <v/>
      </c>
      <c r="AC473" s="33">
        <f>IF(AL473=0,"",INDEX(VC_actiontexte,ROUND(MOD(AL473,1)*100000,0)-5)&amp;"")</f>
        <v/>
      </c>
      <c r="AD473" s="46">
        <f>IF(C473="","",IF(COUNTIFS(Cmd_cle,AK473,Cmd_dateca,"&gt;0")=0,"",SMALL(INDEX(Cmd_dateca+(((Cmd_cle&lt;&gt;AK473)+(Cmd_dateca=0))&gt;0)*1000000,0),1)))</f>
        <v/>
      </c>
      <c r="AE473" s="46">
        <f>IF(C473="","",IF(COUNTIFS(Cmd_cle,AK473,Cmd_dateca,"&gt;0")=0,"",MAX(INDEX((Cmd_cle=AK473)*Cmd_dateca,0))))</f>
        <v/>
      </c>
      <c r="AF473" s="40">
        <f>IF(C473="","",SUMIFS(Cmd_montant,Cmd_cle,AK473,Cmd_dateca,"&gt;0"))</f>
        <v/>
      </c>
      <c r="AG473" s="40">
        <f>IF(C473="","",SUMIFS(Enc_montant,Enc_cle,AK473))</f>
        <v/>
      </c>
      <c r="AH473" s="40">
        <f>IF(C473="","",AF473-AG473)</f>
        <v/>
      </c>
      <c r="AI473" s="33">
        <f>IF(C473="","",IF(D473="Perdu","",IF(AND(AB473&lt;&gt;"",N(AB473)&lt;TODAY()),"Action en retard",IF(AND(D473="Client",AE473&lt;&gt;"",TODAY()-N(AE473)&gt;P_JoursInactif),"Client inactif",IF(AND(D473="Prospect",Z473=0,O473&lt;&gt;"",TODAY()-N(O473)&gt;P_JoursNonVisite),"Jamais visité","")))))</f>
        <v/>
      </c>
      <c r="AJ473" s="33">
        <f>IF(C473="","",C473&amp;" ["&amp;TEXT(A473,"000")&amp;"]")</f>
        <v/>
      </c>
      <c r="AK473" s="33">
        <f>IF(C473="","",X473&amp;"|"&amp;A473)</f>
        <v/>
      </c>
      <c r="AL473" s="47">
        <f>IF(C473="",0,IF(COUNTIFS(VC_cle,AK473)=0,0,MAX(INDEX((VC_cle=AK473)*(VC_date+ROW(VC_date)/100000),0))))</f>
        <v/>
      </c>
      <c r="AM473" s="47">
        <f>IF(AND(C473&lt;&gt;"",N(AB473)&gt;0,D473&lt;&gt;"Perdu"),AB473+ROW()/100000,0)</f>
        <v/>
      </c>
      <c r="AN473" s="48">
        <f>IF(N(AF473)&gt;0,ROUND(AF473,0)+ROW()/1000000,0)</f>
        <v/>
      </c>
    </row>
    <row r="474" ht="18" customHeight="1">
      <c r="A474" s="39" t="n">
        <v>469</v>
      </c>
      <c r="B474" s="33">
        <f>IF(C474="","",IF(X474="À RENSEIGNER","GIC",X474)&amp;"-"&amp;TEXT(A474,"000"))</f>
        <v/>
      </c>
      <c r="C474" s="36" t="n"/>
      <c r="D474" s="34">
        <f>IF(C474="","",IF(U474="☑ Oui","Perdu",IF(AD474&lt;&gt;"","Client","Prospect")))</f>
        <v/>
      </c>
      <c r="E474" s="36" t="n"/>
      <c r="F474" s="36" t="n"/>
      <c r="G474" s="44" t="n"/>
      <c r="H474" s="44" t="n"/>
      <c r="I474" s="36" t="n"/>
      <c r="J474" s="36" t="n"/>
      <c r="K474" s="41" t="n"/>
      <c r="L474" s="41" t="n"/>
      <c r="M474" s="36" t="n"/>
      <c r="N474" s="36" t="n"/>
      <c r="O474" s="32" t="n"/>
      <c r="P474" s="36" t="n"/>
      <c r="Q474" s="36" t="n"/>
      <c r="R474" s="34">
        <f>IF(P474="","",IFERROR(VLOOKUP(P474,T_Produits,2,FALSE),""))</f>
        <v/>
      </c>
      <c r="S474" s="36" t="n"/>
      <c r="T474" s="43" t="n"/>
      <c r="U474" s="43" t="n"/>
      <c r="V474" s="36" t="n"/>
      <c r="W474" s="36" t="n"/>
      <c r="X474" s="33">
        <f>IF(C474="","",Commercial_Id)</f>
        <v/>
      </c>
      <c r="Y474" s="33">
        <f>IF(E474="","",IF(E474="Particulier / ménage","Particulier","Entreprise"))</f>
        <v/>
      </c>
      <c r="Z474" s="39">
        <f>IF(C474="","",COUNTIFS(VC_cle,AK474,VC_type,"Visite sur place"))</f>
        <v/>
      </c>
      <c r="AA474" s="46">
        <f>IF(AL474=0,"",IF(INT(AL474)=0,"",INT(AL474)))</f>
        <v/>
      </c>
      <c r="AB474" s="46">
        <f>IF(AL474=0,"",IF(INDEX(VC_actiondate,ROUND(MOD(AL474,1)*100000,0)-5)=0,"",INDEX(VC_actiondate,ROUND(MOD(AL474,1)*100000,0)-5)))</f>
        <v/>
      </c>
      <c r="AC474" s="33">
        <f>IF(AL474=0,"",INDEX(VC_actiontexte,ROUND(MOD(AL474,1)*100000,0)-5)&amp;"")</f>
        <v/>
      </c>
      <c r="AD474" s="46">
        <f>IF(C474="","",IF(COUNTIFS(Cmd_cle,AK474,Cmd_dateca,"&gt;0")=0,"",SMALL(INDEX(Cmd_dateca+(((Cmd_cle&lt;&gt;AK474)+(Cmd_dateca=0))&gt;0)*1000000,0),1)))</f>
        <v/>
      </c>
      <c r="AE474" s="46">
        <f>IF(C474="","",IF(COUNTIFS(Cmd_cle,AK474,Cmd_dateca,"&gt;0")=0,"",MAX(INDEX((Cmd_cle=AK474)*Cmd_dateca,0))))</f>
        <v/>
      </c>
      <c r="AF474" s="40">
        <f>IF(C474="","",SUMIFS(Cmd_montant,Cmd_cle,AK474,Cmd_dateca,"&gt;0"))</f>
        <v/>
      </c>
      <c r="AG474" s="40">
        <f>IF(C474="","",SUMIFS(Enc_montant,Enc_cle,AK474))</f>
        <v/>
      </c>
      <c r="AH474" s="40">
        <f>IF(C474="","",AF474-AG474)</f>
        <v/>
      </c>
      <c r="AI474" s="33">
        <f>IF(C474="","",IF(D474="Perdu","",IF(AND(AB474&lt;&gt;"",N(AB474)&lt;TODAY()),"Action en retard",IF(AND(D474="Client",AE474&lt;&gt;"",TODAY()-N(AE474)&gt;P_JoursInactif),"Client inactif",IF(AND(D474="Prospect",Z474=0,O474&lt;&gt;"",TODAY()-N(O474)&gt;P_JoursNonVisite),"Jamais visité","")))))</f>
        <v/>
      </c>
      <c r="AJ474" s="33">
        <f>IF(C474="","",C474&amp;" ["&amp;TEXT(A474,"000")&amp;"]")</f>
        <v/>
      </c>
      <c r="AK474" s="33">
        <f>IF(C474="","",X474&amp;"|"&amp;A474)</f>
        <v/>
      </c>
      <c r="AL474" s="47">
        <f>IF(C474="",0,IF(COUNTIFS(VC_cle,AK474)=0,0,MAX(INDEX((VC_cle=AK474)*(VC_date+ROW(VC_date)/100000),0))))</f>
        <v/>
      </c>
      <c r="AM474" s="47">
        <f>IF(AND(C474&lt;&gt;"",N(AB474)&gt;0,D474&lt;&gt;"Perdu"),AB474+ROW()/100000,0)</f>
        <v/>
      </c>
      <c r="AN474" s="48">
        <f>IF(N(AF474)&gt;0,ROUND(AF474,0)+ROW()/1000000,0)</f>
        <v/>
      </c>
    </row>
    <row r="475" ht="18" customHeight="1">
      <c r="A475" s="39" t="n">
        <v>470</v>
      </c>
      <c r="B475" s="33">
        <f>IF(C475="","",IF(X475="À RENSEIGNER","GIC",X475)&amp;"-"&amp;TEXT(A475,"000"))</f>
        <v/>
      </c>
      <c r="C475" s="36" t="n"/>
      <c r="D475" s="34">
        <f>IF(C475="","",IF(U475="☑ Oui","Perdu",IF(AD475&lt;&gt;"","Client","Prospect")))</f>
        <v/>
      </c>
      <c r="E475" s="36" t="n"/>
      <c r="F475" s="36" t="n"/>
      <c r="G475" s="44" t="n"/>
      <c r="H475" s="44" t="n"/>
      <c r="I475" s="36" t="n"/>
      <c r="J475" s="36" t="n"/>
      <c r="K475" s="41" t="n"/>
      <c r="L475" s="41" t="n"/>
      <c r="M475" s="36" t="n"/>
      <c r="N475" s="36" t="n"/>
      <c r="O475" s="32" t="n"/>
      <c r="P475" s="36" t="n"/>
      <c r="Q475" s="36" t="n"/>
      <c r="R475" s="34">
        <f>IF(P475="","",IFERROR(VLOOKUP(P475,T_Produits,2,FALSE),""))</f>
        <v/>
      </c>
      <c r="S475" s="36" t="n"/>
      <c r="T475" s="43" t="n"/>
      <c r="U475" s="43" t="n"/>
      <c r="V475" s="36" t="n"/>
      <c r="W475" s="36" t="n"/>
      <c r="X475" s="33">
        <f>IF(C475="","",Commercial_Id)</f>
        <v/>
      </c>
      <c r="Y475" s="33">
        <f>IF(E475="","",IF(E475="Particulier / ménage","Particulier","Entreprise"))</f>
        <v/>
      </c>
      <c r="Z475" s="39">
        <f>IF(C475="","",COUNTIFS(VC_cle,AK475,VC_type,"Visite sur place"))</f>
        <v/>
      </c>
      <c r="AA475" s="46">
        <f>IF(AL475=0,"",IF(INT(AL475)=0,"",INT(AL475)))</f>
        <v/>
      </c>
      <c r="AB475" s="46">
        <f>IF(AL475=0,"",IF(INDEX(VC_actiondate,ROUND(MOD(AL475,1)*100000,0)-5)=0,"",INDEX(VC_actiondate,ROUND(MOD(AL475,1)*100000,0)-5)))</f>
        <v/>
      </c>
      <c r="AC475" s="33">
        <f>IF(AL475=0,"",INDEX(VC_actiontexte,ROUND(MOD(AL475,1)*100000,0)-5)&amp;"")</f>
        <v/>
      </c>
      <c r="AD475" s="46">
        <f>IF(C475="","",IF(COUNTIFS(Cmd_cle,AK475,Cmd_dateca,"&gt;0")=0,"",SMALL(INDEX(Cmd_dateca+(((Cmd_cle&lt;&gt;AK475)+(Cmd_dateca=0))&gt;0)*1000000,0),1)))</f>
        <v/>
      </c>
      <c r="AE475" s="46">
        <f>IF(C475="","",IF(COUNTIFS(Cmd_cle,AK475,Cmd_dateca,"&gt;0")=0,"",MAX(INDEX((Cmd_cle=AK475)*Cmd_dateca,0))))</f>
        <v/>
      </c>
      <c r="AF475" s="40">
        <f>IF(C475="","",SUMIFS(Cmd_montant,Cmd_cle,AK475,Cmd_dateca,"&gt;0"))</f>
        <v/>
      </c>
      <c r="AG475" s="40">
        <f>IF(C475="","",SUMIFS(Enc_montant,Enc_cle,AK475))</f>
        <v/>
      </c>
      <c r="AH475" s="40">
        <f>IF(C475="","",AF475-AG475)</f>
        <v/>
      </c>
      <c r="AI475" s="33">
        <f>IF(C475="","",IF(D475="Perdu","",IF(AND(AB475&lt;&gt;"",N(AB475)&lt;TODAY()),"Action en retard",IF(AND(D475="Client",AE475&lt;&gt;"",TODAY()-N(AE475)&gt;P_JoursInactif),"Client inactif",IF(AND(D475="Prospect",Z475=0,O475&lt;&gt;"",TODAY()-N(O475)&gt;P_JoursNonVisite),"Jamais visité","")))))</f>
        <v/>
      </c>
      <c r="AJ475" s="33">
        <f>IF(C475="","",C475&amp;" ["&amp;TEXT(A475,"000")&amp;"]")</f>
        <v/>
      </c>
      <c r="AK475" s="33">
        <f>IF(C475="","",X475&amp;"|"&amp;A475)</f>
        <v/>
      </c>
      <c r="AL475" s="47">
        <f>IF(C475="",0,IF(COUNTIFS(VC_cle,AK475)=0,0,MAX(INDEX((VC_cle=AK475)*(VC_date+ROW(VC_date)/100000),0))))</f>
        <v/>
      </c>
      <c r="AM475" s="47">
        <f>IF(AND(C475&lt;&gt;"",N(AB475)&gt;0,D475&lt;&gt;"Perdu"),AB475+ROW()/100000,0)</f>
        <v/>
      </c>
      <c r="AN475" s="48">
        <f>IF(N(AF475)&gt;0,ROUND(AF475,0)+ROW()/1000000,0)</f>
        <v/>
      </c>
    </row>
    <row r="476" ht="18" customHeight="1">
      <c r="A476" s="39" t="n">
        <v>471</v>
      </c>
      <c r="B476" s="33">
        <f>IF(C476="","",IF(X476="À RENSEIGNER","GIC",X476)&amp;"-"&amp;TEXT(A476,"000"))</f>
        <v/>
      </c>
      <c r="C476" s="36" t="n"/>
      <c r="D476" s="34">
        <f>IF(C476="","",IF(U476="☑ Oui","Perdu",IF(AD476&lt;&gt;"","Client","Prospect")))</f>
        <v/>
      </c>
      <c r="E476" s="36" t="n"/>
      <c r="F476" s="36" t="n"/>
      <c r="G476" s="44" t="n"/>
      <c r="H476" s="44" t="n"/>
      <c r="I476" s="36" t="n"/>
      <c r="J476" s="36" t="n"/>
      <c r="K476" s="41" t="n"/>
      <c r="L476" s="41" t="n"/>
      <c r="M476" s="36" t="n"/>
      <c r="N476" s="36" t="n"/>
      <c r="O476" s="32" t="n"/>
      <c r="P476" s="36" t="n"/>
      <c r="Q476" s="36" t="n"/>
      <c r="R476" s="34">
        <f>IF(P476="","",IFERROR(VLOOKUP(P476,T_Produits,2,FALSE),""))</f>
        <v/>
      </c>
      <c r="S476" s="36" t="n"/>
      <c r="T476" s="43" t="n"/>
      <c r="U476" s="43" t="n"/>
      <c r="V476" s="36" t="n"/>
      <c r="W476" s="36" t="n"/>
      <c r="X476" s="33">
        <f>IF(C476="","",Commercial_Id)</f>
        <v/>
      </c>
      <c r="Y476" s="33">
        <f>IF(E476="","",IF(E476="Particulier / ménage","Particulier","Entreprise"))</f>
        <v/>
      </c>
      <c r="Z476" s="39">
        <f>IF(C476="","",COUNTIFS(VC_cle,AK476,VC_type,"Visite sur place"))</f>
        <v/>
      </c>
      <c r="AA476" s="46">
        <f>IF(AL476=0,"",IF(INT(AL476)=0,"",INT(AL476)))</f>
        <v/>
      </c>
      <c r="AB476" s="46">
        <f>IF(AL476=0,"",IF(INDEX(VC_actiondate,ROUND(MOD(AL476,1)*100000,0)-5)=0,"",INDEX(VC_actiondate,ROUND(MOD(AL476,1)*100000,0)-5)))</f>
        <v/>
      </c>
      <c r="AC476" s="33">
        <f>IF(AL476=0,"",INDEX(VC_actiontexte,ROUND(MOD(AL476,1)*100000,0)-5)&amp;"")</f>
        <v/>
      </c>
      <c r="AD476" s="46">
        <f>IF(C476="","",IF(COUNTIFS(Cmd_cle,AK476,Cmd_dateca,"&gt;0")=0,"",SMALL(INDEX(Cmd_dateca+(((Cmd_cle&lt;&gt;AK476)+(Cmd_dateca=0))&gt;0)*1000000,0),1)))</f>
        <v/>
      </c>
      <c r="AE476" s="46">
        <f>IF(C476="","",IF(COUNTIFS(Cmd_cle,AK476,Cmd_dateca,"&gt;0")=0,"",MAX(INDEX((Cmd_cle=AK476)*Cmd_dateca,0))))</f>
        <v/>
      </c>
      <c r="AF476" s="40">
        <f>IF(C476="","",SUMIFS(Cmd_montant,Cmd_cle,AK476,Cmd_dateca,"&gt;0"))</f>
        <v/>
      </c>
      <c r="AG476" s="40">
        <f>IF(C476="","",SUMIFS(Enc_montant,Enc_cle,AK476))</f>
        <v/>
      </c>
      <c r="AH476" s="40">
        <f>IF(C476="","",AF476-AG476)</f>
        <v/>
      </c>
      <c r="AI476" s="33">
        <f>IF(C476="","",IF(D476="Perdu","",IF(AND(AB476&lt;&gt;"",N(AB476)&lt;TODAY()),"Action en retard",IF(AND(D476="Client",AE476&lt;&gt;"",TODAY()-N(AE476)&gt;P_JoursInactif),"Client inactif",IF(AND(D476="Prospect",Z476=0,O476&lt;&gt;"",TODAY()-N(O476)&gt;P_JoursNonVisite),"Jamais visité","")))))</f>
        <v/>
      </c>
      <c r="AJ476" s="33">
        <f>IF(C476="","",C476&amp;" ["&amp;TEXT(A476,"000")&amp;"]")</f>
        <v/>
      </c>
      <c r="AK476" s="33">
        <f>IF(C476="","",X476&amp;"|"&amp;A476)</f>
        <v/>
      </c>
      <c r="AL476" s="47">
        <f>IF(C476="",0,IF(COUNTIFS(VC_cle,AK476)=0,0,MAX(INDEX((VC_cle=AK476)*(VC_date+ROW(VC_date)/100000),0))))</f>
        <v/>
      </c>
      <c r="AM476" s="47">
        <f>IF(AND(C476&lt;&gt;"",N(AB476)&gt;0,D476&lt;&gt;"Perdu"),AB476+ROW()/100000,0)</f>
        <v/>
      </c>
      <c r="AN476" s="48">
        <f>IF(N(AF476)&gt;0,ROUND(AF476,0)+ROW()/1000000,0)</f>
        <v/>
      </c>
    </row>
    <row r="477" ht="18" customHeight="1">
      <c r="A477" s="39" t="n">
        <v>472</v>
      </c>
      <c r="B477" s="33">
        <f>IF(C477="","",IF(X477="À RENSEIGNER","GIC",X477)&amp;"-"&amp;TEXT(A477,"000"))</f>
        <v/>
      </c>
      <c r="C477" s="36" t="n"/>
      <c r="D477" s="34">
        <f>IF(C477="","",IF(U477="☑ Oui","Perdu",IF(AD477&lt;&gt;"","Client","Prospect")))</f>
        <v/>
      </c>
      <c r="E477" s="36" t="n"/>
      <c r="F477" s="36" t="n"/>
      <c r="G477" s="44" t="n"/>
      <c r="H477" s="44" t="n"/>
      <c r="I477" s="36" t="n"/>
      <c r="J477" s="36" t="n"/>
      <c r="K477" s="41" t="n"/>
      <c r="L477" s="41" t="n"/>
      <c r="M477" s="36" t="n"/>
      <c r="N477" s="36" t="n"/>
      <c r="O477" s="32" t="n"/>
      <c r="P477" s="36" t="n"/>
      <c r="Q477" s="36" t="n"/>
      <c r="R477" s="34">
        <f>IF(P477="","",IFERROR(VLOOKUP(P477,T_Produits,2,FALSE),""))</f>
        <v/>
      </c>
      <c r="S477" s="36" t="n"/>
      <c r="T477" s="43" t="n"/>
      <c r="U477" s="43" t="n"/>
      <c r="V477" s="36" t="n"/>
      <c r="W477" s="36" t="n"/>
      <c r="X477" s="33">
        <f>IF(C477="","",Commercial_Id)</f>
        <v/>
      </c>
      <c r="Y477" s="33">
        <f>IF(E477="","",IF(E477="Particulier / ménage","Particulier","Entreprise"))</f>
        <v/>
      </c>
      <c r="Z477" s="39">
        <f>IF(C477="","",COUNTIFS(VC_cle,AK477,VC_type,"Visite sur place"))</f>
        <v/>
      </c>
      <c r="AA477" s="46">
        <f>IF(AL477=0,"",IF(INT(AL477)=0,"",INT(AL477)))</f>
        <v/>
      </c>
      <c r="AB477" s="46">
        <f>IF(AL477=0,"",IF(INDEX(VC_actiondate,ROUND(MOD(AL477,1)*100000,0)-5)=0,"",INDEX(VC_actiondate,ROUND(MOD(AL477,1)*100000,0)-5)))</f>
        <v/>
      </c>
      <c r="AC477" s="33">
        <f>IF(AL477=0,"",INDEX(VC_actiontexte,ROUND(MOD(AL477,1)*100000,0)-5)&amp;"")</f>
        <v/>
      </c>
      <c r="AD477" s="46">
        <f>IF(C477="","",IF(COUNTIFS(Cmd_cle,AK477,Cmd_dateca,"&gt;0")=0,"",SMALL(INDEX(Cmd_dateca+(((Cmd_cle&lt;&gt;AK477)+(Cmd_dateca=0))&gt;0)*1000000,0),1)))</f>
        <v/>
      </c>
      <c r="AE477" s="46">
        <f>IF(C477="","",IF(COUNTIFS(Cmd_cle,AK477,Cmd_dateca,"&gt;0")=0,"",MAX(INDEX((Cmd_cle=AK477)*Cmd_dateca,0))))</f>
        <v/>
      </c>
      <c r="AF477" s="40">
        <f>IF(C477="","",SUMIFS(Cmd_montant,Cmd_cle,AK477,Cmd_dateca,"&gt;0"))</f>
        <v/>
      </c>
      <c r="AG477" s="40">
        <f>IF(C477="","",SUMIFS(Enc_montant,Enc_cle,AK477))</f>
        <v/>
      </c>
      <c r="AH477" s="40">
        <f>IF(C477="","",AF477-AG477)</f>
        <v/>
      </c>
      <c r="AI477" s="33">
        <f>IF(C477="","",IF(D477="Perdu","",IF(AND(AB477&lt;&gt;"",N(AB477)&lt;TODAY()),"Action en retard",IF(AND(D477="Client",AE477&lt;&gt;"",TODAY()-N(AE477)&gt;P_JoursInactif),"Client inactif",IF(AND(D477="Prospect",Z477=0,O477&lt;&gt;"",TODAY()-N(O477)&gt;P_JoursNonVisite),"Jamais visité","")))))</f>
        <v/>
      </c>
      <c r="AJ477" s="33">
        <f>IF(C477="","",C477&amp;" ["&amp;TEXT(A477,"000")&amp;"]")</f>
        <v/>
      </c>
      <c r="AK477" s="33">
        <f>IF(C477="","",X477&amp;"|"&amp;A477)</f>
        <v/>
      </c>
      <c r="AL477" s="47">
        <f>IF(C477="",0,IF(COUNTIFS(VC_cle,AK477)=0,0,MAX(INDEX((VC_cle=AK477)*(VC_date+ROW(VC_date)/100000),0))))</f>
        <v/>
      </c>
      <c r="AM477" s="47">
        <f>IF(AND(C477&lt;&gt;"",N(AB477)&gt;0,D477&lt;&gt;"Perdu"),AB477+ROW()/100000,0)</f>
        <v/>
      </c>
      <c r="AN477" s="48">
        <f>IF(N(AF477)&gt;0,ROUND(AF477,0)+ROW()/1000000,0)</f>
        <v/>
      </c>
    </row>
    <row r="478" ht="18" customHeight="1">
      <c r="A478" s="39" t="n">
        <v>473</v>
      </c>
      <c r="B478" s="33">
        <f>IF(C478="","",IF(X478="À RENSEIGNER","GIC",X478)&amp;"-"&amp;TEXT(A478,"000"))</f>
        <v/>
      </c>
      <c r="C478" s="36" t="n"/>
      <c r="D478" s="34">
        <f>IF(C478="","",IF(U478="☑ Oui","Perdu",IF(AD478&lt;&gt;"","Client","Prospect")))</f>
        <v/>
      </c>
      <c r="E478" s="36" t="n"/>
      <c r="F478" s="36" t="n"/>
      <c r="G478" s="44" t="n"/>
      <c r="H478" s="44" t="n"/>
      <c r="I478" s="36" t="n"/>
      <c r="J478" s="36" t="n"/>
      <c r="K478" s="41" t="n"/>
      <c r="L478" s="41" t="n"/>
      <c r="M478" s="36" t="n"/>
      <c r="N478" s="36" t="n"/>
      <c r="O478" s="32" t="n"/>
      <c r="P478" s="36" t="n"/>
      <c r="Q478" s="36" t="n"/>
      <c r="R478" s="34">
        <f>IF(P478="","",IFERROR(VLOOKUP(P478,T_Produits,2,FALSE),""))</f>
        <v/>
      </c>
      <c r="S478" s="36" t="n"/>
      <c r="T478" s="43" t="n"/>
      <c r="U478" s="43" t="n"/>
      <c r="V478" s="36" t="n"/>
      <c r="W478" s="36" t="n"/>
      <c r="X478" s="33">
        <f>IF(C478="","",Commercial_Id)</f>
        <v/>
      </c>
      <c r="Y478" s="33">
        <f>IF(E478="","",IF(E478="Particulier / ménage","Particulier","Entreprise"))</f>
        <v/>
      </c>
      <c r="Z478" s="39">
        <f>IF(C478="","",COUNTIFS(VC_cle,AK478,VC_type,"Visite sur place"))</f>
        <v/>
      </c>
      <c r="AA478" s="46">
        <f>IF(AL478=0,"",IF(INT(AL478)=0,"",INT(AL478)))</f>
        <v/>
      </c>
      <c r="AB478" s="46">
        <f>IF(AL478=0,"",IF(INDEX(VC_actiondate,ROUND(MOD(AL478,1)*100000,0)-5)=0,"",INDEX(VC_actiondate,ROUND(MOD(AL478,1)*100000,0)-5)))</f>
        <v/>
      </c>
      <c r="AC478" s="33">
        <f>IF(AL478=0,"",INDEX(VC_actiontexte,ROUND(MOD(AL478,1)*100000,0)-5)&amp;"")</f>
        <v/>
      </c>
      <c r="AD478" s="46">
        <f>IF(C478="","",IF(COUNTIFS(Cmd_cle,AK478,Cmd_dateca,"&gt;0")=0,"",SMALL(INDEX(Cmd_dateca+(((Cmd_cle&lt;&gt;AK478)+(Cmd_dateca=0))&gt;0)*1000000,0),1)))</f>
        <v/>
      </c>
      <c r="AE478" s="46">
        <f>IF(C478="","",IF(COUNTIFS(Cmd_cle,AK478,Cmd_dateca,"&gt;0")=0,"",MAX(INDEX((Cmd_cle=AK478)*Cmd_dateca,0))))</f>
        <v/>
      </c>
      <c r="AF478" s="40">
        <f>IF(C478="","",SUMIFS(Cmd_montant,Cmd_cle,AK478,Cmd_dateca,"&gt;0"))</f>
        <v/>
      </c>
      <c r="AG478" s="40">
        <f>IF(C478="","",SUMIFS(Enc_montant,Enc_cle,AK478))</f>
        <v/>
      </c>
      <c r="AH478" s="40">
        <f>IF(C478="","",AF478-AG478)</f>
        <v/>
      </c>
      <c r="AI478" s="33">
        <f>IF(C478="","",IF(D478="Perdu","",IF(AND(AB478&lt;&gt;"",N(AB478)&lt;TODAY()),"Action en retard",IF(AND(D478="Client",AE478&lt;&gt;"",TODAY()-N(AE478)&gt;P_JoursInactif),"Client inactif",IF(AND(D478="Prospect",Z478=0,O478&lt;&gt;"",TODAY()-N(O478)&gt;P_JoursNonVisite),"Jamais visité","")))))</f>
        <v/>
      </c>
      <c r="AJ478" s="33">
        <f>IF(C478="","",C478&amp;" ["&amp;TEXT(A478,"000")&amp;"]")</f>
        <v/>
      </c>
      <c r="AK478" s="33">
        <f>IF(C478="","",X478&amp;"|"&amp;A478)</f>
        <v/>
      </c>
      <c r="AL478" s="47">
        <f>IF(C478="",0,IF(COUNTIFS(VC_cle,AK478)=0,0,MAX(INDEX((VC_cle=AK478)*(VC_date+ROW(VC_date)/100000),0))))</f>
        <v/>
      </c>
      <c r="AM478" s="47">
        <f>IF(AND(C478&lt;&gt;"",N(AB478)&gt;0,D478&lt;&gt;"Perdu"),AB478+ROW()/100000,0)</f>
        <v/>
      </c>
      <c r="AN478" s="48">
        <f>IF(N(AF478)&gt;0,ROUND(AF478,0)+ROW()/1000000,0)</f>
        <v/>
      </c>
    </row>
    <row r="479" ht="18" customHeight="1">
      <c r="A479" s="39" t="n">
        <v>474</v>
      </c>
      <c r="B479" s="33">
        <f>IF(C479="","",IF(X479="À RENSEIGNER","GIC",X479)&amp;"-"&amp;TEXT(A479,"000"))</f>
        <v/>
      </c>
      <c r="C479" s="36" t="n"/>
      <c r="D479" s="34">
        <f>IF(C479="","",IF(U479="☑ Oui","Perdu",IF(AD479&lt;&gt;"","Client","Prospect")))</f>
        <v/>
      </c>
      <c r="E479" s="36" t="n"/>
      <c r="F479" s="36" t="n"/>
      <c r="G479" s="44" t="n"/>
      <c r="H479" s="44" t="n"/>
      <c r="I479" s="36" t="n"/>
      <c r="J479" s="36" t="n"/>
      <c r="K479" s="41" t="n"/>
      <c r="L479" s="41" t="n"/>
      <c r="M479" s="36" t="n"/>
      <c r="N479" s="36" t="n"/>
      <c r="O479" s="32" t="n"/>
      <c r="P479" s="36" t="n"/>
      <c r="Q479" s="36" t="n"/>
      <c r="R479" s="34">
        <f>IF(P479="","",IFERROR(VLOOKUP(P479,T_Produits,2,FALSE),""))</f>
        <v/>
      </c>
      <c r="S479" s="36" t="n"/>
      <c r="T479" s="43" t="n"/>
      <c r="U479" s="43" t="n"/>
      <c r="V479" s="36" t="n"/>
      <c r="W479" s="36" t="n"/>
      <c r="X479" s="33">
        <f>IF(C479="","",Commercial_Id)</f>
        <v/>
      </c>
      <c r="Y479" s="33">
        <f>IF(E479="","",IF(E479="Particulier / ménage","Particulier","Entreprise"))</f>
        <v/>
      </c>
      <c r="Z479" s="39">
        <f>IF(C479="","",COUNTIFS(VC_cle,AK479,VC_type,"Visite sur place"))</f>
        <v/>
      </c>
      <c r="AA479" s="46">
        <f>IF(AL479=0,"",IF(INT(AL479)=0,"",INT(AL479)))</f>
        <v/>
      </c>
      <c r="AB479" s="46">
        <f>IF(AL479=0,"",IF(INDEX(VC_actiondate,ROUND(MOD(AL479,1)*100000,0)-5)=0,"",INDEX(VC_actiondate,ROUND(MOD(AL479,1)*100000,0)-5)))</f>
        <v/>
      </c>
      <c r="AC479" s="33">
        <f>IF(AL479=0,"",INDEX(VC_actiontexte,ROUND(MOD(AL479,1)*100000,0)-5)&amp;"")</f>
        <v/>
      </c>
      <c r="AD479" s="46">
        <f>IF(C479="","",IF(COUNTIFS(Cmd_cle,AK479,Cmd_dateca,"&gt;0")=0,"",SMALL(INDEX(Cmd_dateca+(((Cmd_cle&lt;&gt;AK479)+(Cmd_dateca=0))&gt;0)*1000000,0),1)))</f>
        <v/>
      </c>
      <c r="AE479" s="46">
        <f>IF(C479="","",IF(COUNTIFS(Cmd_cle,AK479,Cmd_dateca,"&gt;0")=0,"",MAX(INDEX((Cmd_cle=AK479)*Cmd_dateca,0))))</f>
        <v/>
      </c>
      <c r="AF479" s="40">
        <f>IF(C479="","",SUMIFS(Cmd_montant,Cmd_cle,AK479,Cmd_dateca,"&gt;0"))</f>
        <v/>
      </c>
      <c r="AG479" s="40">
        <f>IF(C479="","",SUMIFS(Enc_montant,Enc_cle,AK479))</f>
        <v/>
      </c>
      <c r="AH479" s="40">
        <f>IF(C479="","",AF479-AG479)</f>
        <v/>
      </c>
      <c r="AI479" s="33">
        <f>IF(C479="","",IF(D479="Perdu","",IF(AND(AB479&lt;&gt;"",N(AB479)&lt;TODAY()),"Action en retard",IF(AND(D479="Client",AE479&lt;&gt;"",TODAY()-N(AE479)&gt;P_JoursInactif),"Client inactif",IF(AND(D479="Prospect",Z479=0,O479&lt;&gt;"",TODAY()-N(O479)&gt;P_JoursNonVisite),"Jamais visité","")))))</f>
        <v/>
      </c>
      <c r="AJ479" s="33">
        <f>IF(C479="","",C479&amp;" ["&amp;TEXT(A479,"000")&amp;"]")</f>
        <v/>
      </c>
      <c r="AK479" s="33">
        <f>IF(C479="","",X479&amp;"|"&amp;A479)</f>
        <v/>
      </c>
      <c r="AL479" s="47">
        <f>IF(C479="",0,IF(COUNTIFS(VC_cle,AK479)=0,0,MAX(INDEX((VC_cle=AK479)*(VC_date+ROW(VC_date)/100000),0))))</f>
        <v/>
      </c>
      <c r="AM479" s="47">
        <f>IF(AND(C479&lt;&gt;"",N(AB479)&gt;0,D479&lt;&gt;"Perdu"),AB479+ROW()/100000,0)</f>
        <v/>
      </c>
      <c r="AN479" s="48">
        <f>IF(N(AF479)&gt;0,ROUND(AF479,0)+ROW()/1000000,0)</f>
        <v/>
      </c>
    </row>
    <row r="480" ht="18" customHeight="1">
      <c r="A480" s="39" t="n">
        <v>475</v>
      </c>
      <c r="B480" s="33">
        <f>IF(C480="","",IF(X480="À RENSEIGNER","GIC",X480)&amp;"-"&amp;TEXT(A480,"000"))</f>
        <v/>
      </c>
      <c r="C480" s="36" t="n"/>
      <c r="D480" s="34">
        <f>IF(C480="","",IF(U480="☑ Oui","Perdu",IF(AD480&lt;&gt;"","Client","Prospect")))</f>
        <v/>
      </c>
      <c r="E480" s="36" t="n"/>
      <c r="F480" s="36" t="n"/>
      <c r="G480" s="44" t="n"/>
      <c r="H480" s="44" t="n"/>
      <c r="I480" s="36" t="n"/>
      <c r="J480" s="36" t="n"/>
      <c r="K480" s="41" t="n"/>
      <c r="L480" s="41" t="n"/>
      <c r="M480" s="36" t="n"/>
      <c r="N480" s="36" t="n"/>
      <c r="O480" s="32" t="n"/>
      <c r="P480" s="36" t="n"/>
      <c r="Q480" s="36" t="n"/>
      <c r="R480" s="34">
        <f>IF(P480="","",IFERROR(VLOOKUP(P480,T_Produits,2,FALSE),""))</f>
        <v/>
      </c>
      <c r="S480" s="36" t="n"/>
      <c r="T480" s="43" t="n"/>
      <c r="U480" s="43" t="n"/>
      <c r="V480" s="36" t="n"/>
      <c r="W480" s="36" t="n"/>
      <c r="X480" s="33">
        <f>IF(C480="","",Commercial_Id)</f>
        <v/>
      </c>
      <c r="Y480" s="33">
        <f>IF(E480="","",IF(E480="Particulier / ménage","Particulier","Entreprise"))</f>
        <v/>
      </c>
      <c r="Z480" s="39">
        <f>IF(C480="","",COUNTIFS(VC_cle,AK480,VC_type,"Visite sur place"))</f>
        <v/>
      </c>
      <c r="AA480" s="46">
        <f>IF(AL480=0,"",IF(INT(AL480)=0,"",INT(AL480)))</f>
        <v/>
      </c>
      <c r="AB480" s="46">
        <f>IF(AL480=0,"",IF(INDEX(VC_actiondate,ROUND(MOD(AL480,1)*100000,0)-5)=0,"",INDEX(VC_actiondate,ROUND(MOD(AL480,1)*100000,0)-5)))</f>
        <v/>
      </c>
      <c r="AC480" s="33">
        <f>IF(AL480=0,"",INDEX(VC_actiontexte,ROUND(MOD(AL480,1)*100000,0)-5)&amp;"")</f>
        <v/>
      </c>
      <c r="AD480" s="46">
        <f>IF(C480="","",IF(COUNTIFS(Cmd_cle,AK480,Cmd_dateca,"&gt;0")=0,"",SMALL(INDEX(Cmd_dateca+(((Cmd_cle&lt;&gt;AK480)+(Cmd_dateca=0))&gt;0)*1000000,0),1)))</f>
        <v/>
      </c>
      <c r="AE480" s="46">
        <f>IF(C480="","",IF(COUNTIFS(Cmd_cle,AK480,Cmd_dateca,"&gt;0")=0,"",MAX(INDEX((Cmd_cle=AK480)*Cmd_dateca,0))))</f>
        <v/>
      </c>
      <c r="AF480" s="40">
        <f>IF(C480="","",SUMIFS(Cmd_montant,Cmd_cle,AK480,Cmd_dateca,"&gt;0"))</f>
        <v/>
      </c>
      <c r="AG480" s="40">
        <f>IF(C480="","",SUMIFS(Enc_montant,Enc_cle,AK480))</f>
        <v/>
      </c>
      <c r="AH480" s="40">
        <f>IF(C480="","",AF480-AG480)</f>
        <v/>
      </c>
      <c r="AI480" s="33">
        <f>IF(C480="","",IF(D480="Perdu","",IF(AND(AB480&lt;&gt;"",N(AB480)&lt;TODAY()),"Action en retard",IF(AND(D480="Client",AE480&lt;&gt;"",TODAY()-N(AE480)&gt;P_JoursInactif),"Client inactif",IF(AND(D480="Prospect",Z480=0,O480&lt;&gt;"",TODAY()-N(O480)&gt;P_JoursNonVisite),"Jamais visité","")))))</f>
        <v/>
      </c>
      <c r="AJ480" s="33">
        <f>IF(C480="","",C480&amp;" ["&amp;TEXT(A480,"000")&amp;"]")</f>
        <v/>
      </c>
      <c r="AK480" s="33">
        <f>IF(C480="","",X480&amp;"|"&amp;A480)</f>
        <v/>
      </c>
      <c r="AL480" s="47">
        <f>IF(C480="",0,IF(COUNTIFS(VC_cle,AK480)=0,0,MAX(INDEX((VC_cle=AK480)*(VC_date+ROW(VC_date)/100000),0))))</f>
        <v/>
      </c>
      <c r="AM480" s="47">
        <f>IF(AND(C480&lt;&gt;"",N(AB480)&gt;0,D480&lt;&gt;"Perdu"),AB480+ROW()/100000,0)</f>
        <v/>
      </c>
      <c r="AN480" s="48">
        <f>IF(N(AF480)&gt;0,ROUND(AF480,0)+ROW()/1000000,0)</f>
        <v/>
      </c>
    </row>
    <row r="481" ht="18" customHeight="1">
      <c r="A481" s="39" t="n">
        <v>476</v>
      </c>
      <c r="B481" s="33">
        <f>IF(C481="","",IF(X481="À RENSEIGNER","GIC",X481)&amp;"-"&amp;TEXT(A481,"000"))</f>
        <v/>
      </c>
      <c r="C481" s="36" t="n"/>
      <c r="D481" s="34">
        <f>IF(C481="","",IF(U481="☑ Oui","Perdu",IF(AD481&lt;&gt;"","Client","Prospect")))</f>
        <v/>
      </c>
      <c r="E481" s="36" t="n"/>
      <c r="F481" s="36" t="n"/>
      <c r="G481" s="44" t="n"/>
      <c r="H481" s="44" t="n"/>
      <c r="I481" s="36" t="n"/>
      <c r="J481" s="36" t="n"/>
      <c r="K481" s="41" t="n"/>
      <c r="L481" s="41" t="n"/>
      <c r="M481" s="36" t="n"/>
      <c r="N481" s="36" t="n"/>
      <c r="O481" s="32" t="n"/>
      <c r="P481" s="36" t="n"/>
      <c r="Q481" s="36" t="n"/>
      <c r="R481" s="34">
        <f>IF(P481="","",IFERROR(VLOOKUP(P481,T_Produits,2,FALSE),""))</f>
        <v/>
      </c>
      <c r="S481" s="36" t="n"/>
      <c r="T481" s="43" t="n"/>
      <c r="U481" s="43" t="n"/>
      <c r="V481" s="36" t="n"/>
      <c r="W481" s="36" t="n"/>
      <c r="X481" s="33">
        <f>IF(C481="","",Commercial_Id)</f>
        <v/>
      </c>
      <c r="Y481" s="33">
        <f>IF(E481="","",IF(E481="Particulier / ménage","Particulier","Entreprise"))</f>
        <v/>
      </c>
      <c r="Z481" s="39">
        <f>IF(C481="","",COUNTIFS(VC_cle,AK481,VC_type,"Visite sur place"))</f>
        <v/>
      </c>
      <c r="AA481" s="46">
        <f>IF(AL481=0,"",IF(INT(AL481)=0,"",INT(AL481)))</f>
        <v/>
      </c>
      <c r="AB481" s="46">
        <f>IF(AL481=0,"",IF(INDEX(VC_actiondate,ROUND(MOD(AL481,1)*100000,0)-5)=0,"",INDEX(VC_actiondate,ROUND(MOD(AL481,1)*100000,0)-5)))</f>
        <v/>
      </c>
      <c r="AC481" s="33">
        <f>IF(AL481=0,"",INDEX(VC_actiontexte,ROUND(MOD(AL481,1)*100000,0)-5)&amp;"")</f>
        <v/>
      </c>
      <c r="AD481" s="46">
        <f>IF(C481="","",IF(COUNTIFS(Cmd_cle,AK481,Cmd_dateca,"&gt;0")=0,"",SMALL(INDEX(Cmd_dateca+(((Cmd_cle&lt;&gt;AK481)+(Cmd_dateca=0))&gt;0)*1000000,0),1)))</f>
        <v/>
      </c>
      <c r="AE481" s="46">
        <f>IF(C481="","",IF(COUNTIFS(Cmd_cle,AK481,Cmd_dateca,"&gt;0")=0,"",MAX(INDEX((Cmd_cle=AK481)*Cmd_dateca,0))))</f>
        <v/>
      </c>
      <c r="AF481" s="40">
        <f>IF(C481="","",SUMIFS(Cmd_montant,Cmd_cle,AK481,Cmd_dateca,"&gt;0"))</f>
        <v/>
      </c>
      <c r="AG481" s="40">
        <f>IF(C481="","",SUMIFS(Enc_montant,Enc_cle,AK481))</f>
        <v/>
      </c>
      <c r="AH481" s="40">
        <f>IF(C481="","",AF481-AG481)</f>
        <v/>
      </c>
      <c r="AI481" s="33">
        <f>IF(C481="","",IF(D481="Perdu","",IF(AND(AB481&lt;&gt;"",N(AB481)&lt;TODAY()),"Action en retard",IF(AND(D481="Client",AE481&lt;&gt;"",TODAY()-N(AE481)&gt;P_JoursInactif),"Client inactif",IF(AND(D481="Prospect",Z481=0,O481&lt;&gt;"",TODAY()-N(O481)&gt;P_JoursNonVisite),"Jamais visité","")))))</f>
        <v/>
      </c>
      <c r="AJ481" s="33">
        <f>IF(C481="","",C481&amp;" ["&amp;TEXT(A481,"000")&amp;"]")</f>
        <v/>
      </c>
      <c r="AK481" s="33">
        <f>IF(C481="","",X481&amp;"|"&amp;A481)</f>
        <v/>
      </c>
      <c r="AL481" s="47">
        <f>IF(C481="",0,IF(COUNTIFS(VC_cle,AK481)=0,0,MAX(INDEX((VC_cle=AK481)*(VC_date+ROW(VC_date)/100000),0))))</f>
        <v/>
      </c>
      <c r="AM481" s="47">
        <f>IF(AND(C481&lt;&gt;"",N(AB481)&gt;0,D481&lt;&gt;"Perdu"),AB481+ROW()/100000,0)</f>
        <v/>
      </c>
      <c r="AN481" s="48">
        <f>IF(N(AF481)&gt;0,ROUND(AF481,0)+ROW()/1000000,0)</f>
        <v/>
      </c>
    </row>
    <row r="482" ht="18" customHeight="1">
      <c r="A482" s="39" t="n">
        <v>477</v>
      </c>
      <c r="B482" s="33">
        <f>IF(C482="","",IF(X482="À RENSEIGNER","GIC",X482)&amp;"-"&amp;TEXT(A482,"000"))</f>
        <v/>
      </c>
      <c r="C482" s="36" t="n"/>
      <c r="D482" s="34">
        <f>IF(C482="","",IF(U482="☑ Oui","Perdu",IF(AD482&lt;&gt;"","Client","Prospect")))</f>
        <v/>
      </c>
      <c r="E482" s="36" t="n"/>
      <c r="F482" s="36" t="n"/>
      <c r="G482" s="44" t="n"/>
      <c r="H482" s="44" t="n"/>
      <c r="I482" s="36" t="n"/>
      <c r="J482" s="36" t="n"/>
      <c r="K482" s="41" t="n"/>
      <c r="L482" s="41" t="n"/>
      <c r="M482" s="36" t="n"/>
      <c r="N482" s="36" t="n"/>
      <c r="O482" s="32" t="n"/>
      <c r="P482" s="36" t="n"/>
      <c r="Q482" s="36" t="n"/>
      <c r="R482" s="34">
        <f>IF(P482="","",IFERROR(VLOOKUP(P482,T_Produits,2,FALSE),""))</f>
        <v/>
      </c>
      <c r="S482" s="36" t="n"/>
      <c r="T482" s="43" t="n"/>
      <c r="U482" s="43" t="n"/>
      <c r="V482" s="36" t="n"/>
      <c r="W482" s="36" t="n"/>
      <c r="X482" s="33">
        <f>IF(C482="","",Commercial_Id)</f>
        <v/>
      </c>
      <c r="Y482" s="33">
        <f>IF(E482="","",IF(E482="Particulier / ménage","Particulier","Entreprise"))</f>
        <v/>
      </c>
      <c r="Z482" s="39">
        <f>IF(C482="","",COUNTIFS(VC_cle,AK482,VC_type,"Visite sur place"))</f>
        <v/>
      </c>
      <c r="AA482" s="46">
        <f>IF(AL482=0,"",IF(INT(AL482)=0,"",INT(AL482)))</f>
        <v/>
      </c>
      <c r="AB482" s="46">
        <f>IF(AL482=0,"",IF(INDEX(VC_actiondate,ROUND(MOD(AL482,1)*100000,0)-5)=0,"",INDEX(VC_actiondate,ROUND(MOD(AL482,1)*100000,0)-5)))</f>
        <v/>
      </c>
      <c r="AC482" s="33">
        <f>IF(AL482=0,"",INDEX(VC_actiontexte,ROUND(MOD(AL482,1)*100000,0)-5)&amp;"")</f>
        <v/>
      </c>
      <c r="AD482" s="46">
        <f>IF(C482="","",IF(COUNTIFS(Cmd_cle,AK482,Cmd_dateca,"&gt;0")=0,"",SMALL(INDEX(Cmd_dateca+(((Cmd_cle&lt;&gt;AK482)+(Cmd_dateca=0))&gt;0)*1000000,0),1)))</f>
        <v/>
      </c>
      <c r="AE482" s="46">
        <f>IF(C482="","",IF(COUNTIFS(Cmd_cle,AK482,Cmd_dateca,"&gt;0")=0,"",MAX(INDEX((Cmd_cle=AK482)*Cmd_dateca,0))))</f>
        <v/>
      </c>
      <c r="AF482" s="40">
        <f>IF(C482="","",SUMIFS(Cmd_montant,Cmd_cle,AK482,Cmd_dateca,"&gt;0"))</f>
        <v/>
      </c>
      <c r="AG482" s="40">
        <f>IF(C482="","",SUMIFS(Enc_montant,Enc_cle,AK482))</f>
        <v/>
      </c>
      <c r="AH482" s="40">
        <f>IF(C482="","",AF482-AG482)</f>
        <v/>
      </c>
      <c r="AI482" s="33">
        <f>IF(C482="","",IF(D482="Perdu","",IF(AND(AB482&lt;&gt;"",N(AB482)&lt;TODAY()),"Action en retard",IF(AND(D482="Client",AE482&lt;&gt;"",TODAY()-N(AE482)&gt;P_JoursInactif),"Client inactif",IF(AND(D482="Prospect",Z482=0,O482&lt;&gt;"",TODAY()-N(O482)&gt;P_JoursNonVisite),"Jamais visité","")))))</f>
        <v/>
      </c>
      <c r="AJ482" s="33">
        <f>IF(C482="","",C482&amp;" ["&amp;TEXT(A482,"000")&amp;"]")</f>
        <v/>
      </c>
      <c r="AK482" s="33">
        <f>IF(C482="","",X482&amp;"|"&amp;A482)</f>
        <v/>
      </c>
      <c r="AL482" s="47">
        <f>IF(C482="",0,IF(COUNTIFS(VC_cle,AK482)=0,0,MAX(INDEX((VC_cle=AK482)*(VC_date+ROW(VC_date)/100000),0))))</f>
        <v/>
      </c>
      <c r="AM482" s="47">
        <f>IF(AND(C482&lt;&gt;"",N(AB482)&gt;0,D482&lt;&gt;"Perdu"),AB482+ROW()/100000,0)</f>
        <v/>
      </c>
      <c r="AN482" s="48">
        <f>IF(N(AF482)&gt;0,ROUND(AF482,0)+ROW()/1000000,0)</f>
        <v/>
      </c>
    </row>
    <row r="483" ht="18" customHeight="1">
      <c r="A483" s="39" t="n">
        <v>478</v>
      </c>
      <c r="B483" s="33">
        <f>IF(C483="","",IF(X483="À RENSEIGNER","GIC",X483)&amp;"-"&amp;TEXT(A483,"000"))</f>
        <v/>
      </c>
      <c r="C483" s="36" t="n"/>
      <c r="D483" s="34">
        <f>IF(C483="","",IF(U483="☑ Oui","Perdu",IF(AD483&lt;&gt;"","Client","Prospect")))</f>
        <v/>
      </c>
      <c r="E483" s="36" t="n"/>
      <c r="F483" s="36" t="n"/>
      <c r="G483" s="44" t="n"/>
      <c r="H483" s="44" t="n"/>
      <c r="I483" s="36" t="n"/>
      <c r="J483" s="36" t="n"/>
      <c r="K483" s="41" t="n"/>
      <c r="L483" s="41" t="n"/>
      <c r="M483" s="36" t="n"/>
      <c r="N483" s="36" t="n"/>
      <c r="O483" s="32" t="n"/>
      <c r="P483" s="36" t="n"/>
      <c r="Q483" s="36" t="n"/>
      <c r="R483" s="34">
        <f>IF(P483="","",IFERROR(VLOOKUP(P483,T_Produits,2,FALSE),""))</f>
        <v/>
      </c>
      <c r="S483" s="36" t="n"/>
      <c r="T483" s="43" t="n"/>
      <c r="U483" s="43" t="n"/>
      <c r="V483" s="36" t="n"/>
      <c r="W483" s="36" t="n"/>
      <c r="X483" s="33">
        <f>IF(C483="","",Commercial_Id)</f>
        <v/>
      </c>
      <c r="Y483" s="33">
        <f>IF(E483="","",IF(E483="Particulier / ménage","Particulier","Entreprise"))</f>
        <v/>
      </c>
      <c r="Z483" s="39">
        <f>IF(C483="","",COUNTIFS(VC_cle,AK483,VC_type,"Visite sur place"))</f>
        <v/>
      </c>
      <c r="AA483" s="46">
        <f>IF(AL483=0,"",IF(INT(AL483)=0,"",INT(AL483)))</f>
        <v/>
      </c>
      <c r="AB483" s="46">
        <f>IF(AL483=0,"",IF(INDEX(VC_actiondate,ROUND(MOD(AL483,1)*100000,0)-5)=0,"",INDEX(VC_actiondate,ROUND(MOD(AL483,1)*100000,0)-5)))</f>
        <v/>
      </c>
      <c r="AC483" s="33">
        <f>IF(AL483=0,"",INDEX(VC_actiontexte,ROUND(MOD(AL483,1)*100000,0)-5)&amp;"")</f>
        <v/>
      </c>
      <c r="AD483" s="46">
        <f>IF(C483="","",IF(COUNTIFS(Cmd_cle,AK483,Cmd_dateca,"&gt;0")=0,"",SMALL(INDEX(Cmd_dateca+(((Cmd_cle&lt;&gt;AK483)+(Cmd_dateca=0))&gt;0)*1000000,0),1)))</f>
        <v/>
      </c>
      <c r="AE483" s="46">
        <f>IF(C483="","",IF(COUNTIFS(Cmd_cle,AK483,Cmd_dateca,"&gt;0")=0,"",MAX(INDEX((Cmd_cle=AK483)*Cmd_dateca,0))))</f>
        <v/>
      </c>
      <c r="AF483" s="40">
        <f>IF(C483="","",SUMIFS(Cmd_montant,Cmd_cle,AK483,Cmd_dateca,"&gt;0"))</f>
        <v/>
      </c>
      <c r="AG483" s="40">
        <f>IF(C483="","",SUMIFS(Enc_montant,Enc_cle,AK483))</f>
        <v/>
      </c>
      <c r="AH483" s="40">
        <f>IF(C483="","",AF483-AG483)</f>
        <v/>
      </c>
      <c r="AI483" s="33">
        <f>IF(C483="","",IF(D483="Perdu","",IF(AND(AB483&lt;&gt;"",N(AB483)&lt;TODAY()),"Action en retard",IF(AND(D483="Client",AE483&lt;&gt;"",TODAY()-N(AE483)&gt;P_JoursInactif),"Client inactif",IF(AND(D483="Prospect",Z483=0,O483&lt;&gt;"",TODAY()-N(O483)&gt;P_JoursNonVisite),"Jamais visité","")))))</f>
        <v/>
      </c>
      <c r="AJ483" s="33">
        <f>IF(C483="","",C483&amp;" ["&amp;TEXT(A483,"000")&amp;"]")</f>
        <v/>
      </c>
      <c r="AK483" s="33">
        <f>IF(C483="","",X483&amp;"|"&amp;A483)</f>
        <v/>
      </c>
      <c r="AL483" s="47">
        <f>IF(C483="",0,IF(COUNTIFS(VC_cle,AK483)=0,0,MAX(INDEX((VC_cle=AK483)*(VC_date+ROW(VC_date)/100000),0))))</f>
        <v/>
      </c>
      <c r="AM483" s="47">
        <f>IF(AND(C483&lt;&gt;"",N(AB483)&gt;0,D483&lt;&gt;"Perdu"),AB483+ROW()/100000,0)</f>
        <v/>
      </c>
      <c r="AN483" s="48">
        <f>IF(N(AF483)&gt;0,ROUND(AF483,0)+ROW()/1000000,0)</f>
        <v/>
      </c>
    </row>
    <row r="484" ht="18" customHeight="1">
      <c r="A484" s="39" t="n">
        <v>479</v>
      </c>
      <c r="B484" s="33">
        <f>IF(C484="","",IF(X484="À RENSEIGNER","GIC",X484)&amp;"-"&amp;TEXT(A484,"000"))</f>
        <v/>
      </c>
      <c r="C484" s="36" t="n"/>
      <c r="D484" s="34">
        <f>IF(C484="","",IF(U484="☑ Oui","Perdu",IF(AD484&lt;&gt;"","Client","Prospect")))</f>
        <v/>
      </c>
      <c r="E484" s="36" t="n"/>
      <c r="F484" s="36" t="n"/>
      <c r="G484" s="44" t="n"/>
      <c r="H484" s="44" t="n"/>
      <c r="I484" s="36" t="n"/>
      <c r="J484" s="36" t="n"/>
      <c r="K484" s="41" t="n"/>
      <c r="L484" s="41" t="n"/>
      <c r="M484" s="36" t="n"/>
      <c r="N484" s="36" t="n"/>
      <c r="O484" s="32" t="n"/>
      <c r="P484" s="36" t="n"/>
      <c r="Q484" s="36" t="n"/>
      <c r="R484" s="34">
        <f>IF(P484="","",IFERROR(VLOOKUP(P484,T_Produits,2,FALSE),""))</f>
        <v/>
      </c>
      <c r="S484" s="36" t="n"/>
      <c r="T484" s="43" t="n"/>
      <c r="U484" s="43" t="n"/>
      <c r="V484" s="36" t="n"/>
      <c r="W484" s="36" t="n"/>
      <c r="X484" s="33">
        <f>IF(C484="","",Commercial_Id)</f>
        <v/>
      </c>
      <c r="Y484" s="33">
        <f>IF(E484="","",IF(E484="Particulier / ménage","Particulier","Entreprise"))</f>
        <v/>
      </c>
      <c r="Z484" s="39">
        <f>IF(C484="","",COUNTIFS(VC_cle,AK484,VC_type,"Visite sur place"))</f>
        <v/>
      </c>
      <c r="AA484" s="46">
        <f>IF(AL484=0,"",IF(INT(AL484)=0,"",INT(AL484)))</f>
        <v/>
      </c>
      <c r="AB484" s="46">
        <f>IF(AL484=0,"",IF(INDEX(VC_actiondate,ROUND(MOD(AL484,1)*100000,0)-5)=0,"",INDEX(VC_actiondate,ROUND(MOD(AL484,1)*100000,0)-5)))</f>
        <v/>
      </c>
      <c r="AC484" s="33">
        <f>IF(AL484=0,"",INDEX(VC_actiontexte,ROUND(MOD(AL484,1)*100000,0)-5)&amp;"")</f>
        <v/>
      </c>
      <c r="AD484" s="46">
        <f>IF(C484="","",IF(COUNTIFS(Cmd_cle,AK484,Cmd_dateca,"&gt;0")=0,"",SMALL(INDEX(Cmd_dateca+(((Cmd_cle&lt;&gt;AK484)+(Cmd_dateca=0))&gt;0)*1000000,0),1)))</f>
        <v/>
      </c>
      <c r="AE484" s="46">
        <f>IF(C484="","",IF(COUNTIFS(Cmd_cle,AK484,Cmd_dateca,"&gt;0")=0,"",MAX(INDEX((Cmd_cle=AK484)*Cmd_dateca,0))))</f>
        <v/>
      </c>
      <c r="AF484" s="40">
        <f>IF(C484="","",SUMIFS(Cmd_montant,Cmd_cle,AK484,Cmd_dateca,"&gt;0"))</f>
        <v/>
      </c>
      <c r="AG484" s="40">
        <f>IF(C484="","",SUMIFS(Enc_montant,Enc_cle,AK484))</f>
        <v/>
      </c>
      <c r="AH484" s="40">
        <f>IF(C484="","",AF484-AG484)</f>
        <v/>
      </c>
      <c r="AI484" s="33">
        <f>IF(C484="","",IF(D484="Perdu","",IF(AND(AB484&lt;&gt;"",N(AB484)&lt;TODAY()),"Action en retard",IF(AND(D484="Client",AE484&lt;&gt;"",TODAY()-N(AE484)&gt;P_JoursInactif),"Client inactif",IF(AND(D484="Prospect",Z484=0,O484&lt;&gt;"",TODAY()-N(O484)&gt;P_JoursNonVisite),"Jamais visité","")))))</f>
        <v/>
      </c>
      <c r="AJ484" s="33">
        <f>IF(C484="","",C484&amp;" ["&amp;TEXT(A484,"000")&amp;"]")</f>
        <v/>
      </c>
      <c r="AK484" s="33">
        <f>IF(C484="","",X484&amp;"|"&amp;A484)</f>
        <v/>
      </c>
      <c r="AL484" s="47">
        <f>IF(C484="",0,IF(COUNTIFS(VC_cle,AK484)=0,0,MAX(INDEX((VC_cle=AK484)*(VC_date+ROW(VC_date)/100000),0))))</f>
        <v/>
      </c>
      <c r="AM484" s="47">
        <f>IF(AND(C484&lt;&gt;"",N(AB484)&gt;0,D484&lt;&gt;"Perdu"),AB484+ROW()/100000,0)</f>
        <v/>
      </c>
      <c r="AN484" s="48">
        <f>IF(N(AF484)&gt;0,ROUND(AF484,0)+ROW()/1000000,0)</f>
        <v/>
      </c>
    </row>
    <row r="485" ht="18" customHeight="1">
      <c r="A485" s="39" t="n">
        <v>480</v>
      </c>
      <c r="B485" s="33">
        <f>IF(C485="","",IF(X485="À RENSEIGNER","GIC",X485)&amp;"-"&amp;TEXT(A485,"000"))</f>
        <v/>
      </c>
      <c r="C485" s="36" t="n"/>
      <c r="D485" s="34">
        <f>IF(C485="","",IF(U485="☑ Oui","Perdu",IF(AD485&lt;&gt;"","Client","Prospect")))</f>
        <v/>
      </c>
      <c r="E485" s="36" t="n"/>
      <c r="F485" s="36" t="n"/>
      <c r="G485" s="44" t="n"/>
      <c r="H485" s="44" t="n"/>
      <c r="I485" s="36" t="n"/>
      <c r="J485" s="36" t="n"/>
      <c r="K485" s="41" t="n"/>
      <c r="L485" s="41" t="n"/>
      <c r="M485" s="36" t="n"/>
      <c r="N485" s="36" t="n"/>
      <c r="O485" s="32" t="n"/>
      <c r="P485" s="36" t="n"/>
      <c r="Q485" s="36" t="n"/>
      <c r="R485" s="34">
        <f>IF(P485="","",IFERROR(VLOOKUP(P485,T_Produits,2,FALSE),""))</f>
        <v/>
      </c>
      <c r="S485" s="36" t="n"/>
      <c r="T485" s="43" t="n"/>
      <c r="U485" s="43" t="n"/>
      <c r="V485" s="36" t="n"/>
      <c r="W485" s="36" t="n"/>
      <c r="X485" s="33">
        <f>IF(C485="","",Commercial_Id)</f>
        <v/>
      </c>
      <c r="Y485" s="33">
        <f>IF(E485="","",IF(E485="Particulier / ménage","Particulier","Entreprise"))</f>
        <v/>
      </c>
      <c r="Z485" s="39">
        <f>IF(C485="","",COUNTIFS(VC_cle,AK485,VC_type,"Visite sur place"))</f>
        <v/>
      </c>
      <c r="AA485" s="46">
        <f>IF(AL485=0,"",IF(INT(AL485)=0,"",INT(AL485)))</f>
        <v/>
      </c>
      <c r="AB485" s="46">
        <f>IF(AL485=0,"",IF(INDEX(VC_actiondate,ROUND(MOD(AL485,1)*100000,0)-5)=0,"",INDEX(VC_actiondate,ROUND(MOD(AL485,1)*100000,0)-5)))</f>
        <v/>
      </c>
      <c r="AC485" s="33">
        <f>IF(AL485=0,"",INDEX(VC_actiontexte,ROUND(MOD(AL485,1)*100000,0)-5)&amp;"")</f>
        <v/>
      </c>
      <c r="AD485" s="46">
        <f>IF(C485="","",IF(COUNTIFS(Cmd_cle,AK485,Cmd_dateca,"&gt;0")=0,"",SMALL(INDEX(Cmd_dateca+(((Cmd_cle&lt;&gt;AK485)+(Cmd_dateca=0))&gt;0)*1000000,0),1)))</f>
        <v/>
      </c>
      <c r="AE485" s="46">
        <f>IF(C485="","",IF(COUNTIFS(Cmd_cle,AK485,Cmd_dateca,"&gt;0")=0,"",MAX(INDEX((Cmd_cle=AK485)*Cmd_dateca,0))))</f>
        <v/>
      </c>
      <c r="AF485" s="40">
        <f>IF(C485="","",SUMIFS(Cmd_montant,Cmd_cle,AK485,Cmd_dateca,"&gt;0"))</f>
        <v/>
      </c>
      <c r="AG485" s="40">
        <f>IF(C485="","",SUMIFS(Enc_montant,Enc_cle,AK485))</f>
        <v/>
      </c>
      <c r="AH485" s="40">
        <f>IF(C485="","",AF485-AG485)</f>
        <v/>
      </c>
      <c r="AI485" s="33">
        <f>IF(C485="","",IF(D485="Perdu","",IF(AND(AB485&lt;&gt;"",N(AB485)&lt;TODAY()),"Action en retard",IF(AND(D485="Client",AE485&lt;&gt;"",TODAY()-N(AE485)&gt;P_JoursInactif),"Client inactif",IF(AND(D485="Prospect",Z485=0,O485&lt;&gt;"",TODAY()-N(O485)&gt;P_JoursNonVisite),"Jamais visité","")))))</f>
        <v/>
      </c>
      <c r="AJ485" s="33">
        <f>IF(C485="","",C485&amp;" ["&amp;TEXT(A485,"000")&amp;"]")</f>
        <v/>
      </c>
      <c r="AK485" s="33">
        <f>IF(C485="","",X485&amp;"|"&amp;A485)</f>
        <v/>
      </c>
      <c r="AL485" s="47">
        <f>IF(C485="",0,IF(COUNTIFS(VC_cle,AK485)=0,0,MAX(INDEX((VC_cle=AK485)*(VC_date+ROW(VC_date)/100000),0))))</f>
        <v/>
      </c>
      <c r="AM485" s="47">
        <f>IF(AND(C485&lt;&gt;"",N(AB485)&gt;0,D485&lt;&gt;"Perdu"),AB485+ROW()/100000,0)</f>
        <v/>
      </c>
      <c r="AN485" s="48">
        <f>IF(N(AF485)&gt;0,ROUND(AF485,0)+ROW()/1000000,0)</f>
        <v/>
      </c>
    </row>
    <row r="486" ht="18" customHeight="1">
      <c r="A486" s="39" t="n">
        <v>481</v>
      </c>
      <c r="B486" s="33">
        <f>IF(C486="","",IF(X486="À RENSEIGNER","GIC",X486)&amp;"-"&amp;TEXT(A486,"000"))</f>
        <v/>
      </c>
      <c r="C486" s="36" t="n"/>
      <c r="D486" s="34">
        <f>IF(C486="","",IF(U486="☑ Oui","Perdu",IF(AD486&lt;&gt;"","Client","Prospect")))</f>
        <v/>
      </c>
      <c r="E486" s="36" t="n"/>
      <c r="F486" s="36" t="n"/>
      <c r="G486" s="44" t="n"/>
      <c r="H486" s="44" t="n"/>
      <c r="I486" s="36" t="n"/>
      <c r="J486" s="36" t="n"/>
      <c r="K486" s="41" t="n"/>
      <c r="L486" s="41" t="n"/>
      <c r="M486" s="36" t="n"/>
      <c r="N486" s="36" t="n"/>
      <c r="O486" s="32" t="n"/>
      <c r="P486" s="36" t="n"/>
      <c r="Q486" s="36" t="n"/>
      <c r="R486" s="34">
        <f>IF(P486="","",IFERROR(VLOOKUP(P486,T_Produits,2,FALSE),""))</f>
        <v/>
      </c>
      <c r="S486" s="36" t="n"/>
      <c r="T486" s="43" t="n"/>
      <c r="U486" s="43" t="n"/>
      <c r="V486" s="36" t="n"/>
      <c r="W486" s="36" t="n"/>
      <c r="X486" s="33">
        <f>IF(C486="","",Commercial_Id)</f>
        <v/>
      </c>
      <c r="Y486" s="33">
        <f>IF(E486="","",IF(E486="Particulier / ménage","Particulier","Entreprise"))</f>
        <v/>
      </c>
      <c r="Z486" s="39">
        <f>IF(C486="","",COUNTIFS(VC_cle,AK486,VC_type,"Visite sur place"))</f>
        <v/>
      </c>
      <c r="AA486" s="46">
        <f>IF(AL486=0,"",IF(INT(AL486)=0,"",INT(AL486)))</f>
        <v/>
      </c>
      <c r="AB486" s="46">
        <f>IF(AL486=0,"",IF(INDEX(VC_actiondate,ROUND(MOD(AL486,1)*100000,0)-5)=0,"",INDEX(VC_actiondate,ROUND(MOD(AL486,1)*100000,0)-5)))</f>
        <v/>
      </c>
      <c r="AC486" s="33">
        <f>IF(AL486=0,"",INDEX(VC_actiontexte,ROUND(MOD(AL486,1)*100000,0)-5)&amp;"")</f>
        <v/>
      </c>
      <c r="AD486" s="46">
        <f>IF(C486="","",IF(COUNTIFS(Cmd_cle,AK486,Cmd_dateca,"&gt;0")=0,"",SMALL(INDEX(Cmd_dateca+(((Cmd_cle&lt;&gt;AK486)+(Cmd_dateca=0))&gt;0)*1000000,0),1)))</f>
        <v/>
      </c>
      <c r="AE486" s="46">
        <f>IF(C486="","",IF(COUNTIFS(Cmd_cle,AK486,Cmd_dateca,"&gt;0")=0,"",MAX(INDEX((Cmd_cle=AK486)*Cmd_dateca,0))))</f>
        <v/>
      </c>
      <c r="AF486" s="40">
        <f>IF(C486="","",SUMIFS(Cmd_montant,Cmd_cle,AK486,Cmd_dateca,"&gt;0"))</f>
        <v/>
      </c>
      <c r="AG486" s="40">
        <f>IF(C486="","",SUMIFS(Enc_montant,Enc_cle,AK486))</f>
        <v/>
      </c>
      <c r="AH486" s="40">
        <f>IF(C486="","",AF486-AG486)</f>
        <v/>
      </c>
      <c r="AI486" s="33">
        <f>IF(C486="","",IF(D486="Perdu","",IF(AND(AB486&lt;&gt;"",N(AB486)&lt;TODAY()),"Action en retard",IF(AND(D486="Client",AE486&lt;&gt;"",TODAY()-N(AE486)&gt;P_JoursInactif),"Client inactif",IF(AND(D486="Prospect",Z486=0,O486&lt;&gt;"",TODAY()-N(O486)&gt;P_JoursNonVisite),"Jamais visité","")))))</f>
        <v/>
      </c>
      <c r="AJ486" s="33">
        <f>IF(C486="","",C486&amp;" ["&amp;TEXT(A486,"000")&amp;"]")</f>
        <v/>
      </c>
      <c r="AK486" s="33">
        <f>IF(C486="","",X486&amp;"|"&amp;A486)</f>
        <v/>
      </c>
      <c r="AL486" s="47">
        <f>IF(C486="",0,IF(COUNTIFS(VC_cle,AK486)=0,0,MAX(INDEX((VC_cle=AK486)*(VC_date+ROW(VC_date)/100000),0))))</f>
        <v/>
      </c>
      <c r="AM486" s="47">
        <f>IF(AND(C486&lt;&gt;"",N(AB486)&gt;0,D486&lt;&gt;"Perdu"),AB486+ROW()/100000,0)</f>
        <v/>
      </c>
      <c r="AN486" s="48">
        <f>IF(N(AF486)&gt;0,ROUND(AF486,0)+ROW()/1000000,0)</f>
        <v/>
      </c>
    </row>
    <row r="487" ht="18" customHeight="1">
      <c r="A487" s="39" t="n">
        <v>482</v>
      </c>
      <c r="B487" s="33">
        <f>IF(C487="","",IF(X487="À RENSEIGNER","GIC",X487)&amp;"-"&amp;TEXT(A487,"000"))</f>
        <v/>
      </c>
      <c r="C487" s="36" t="n"/>
      <c r="D487" s="34">
        <f>IF(C487="","",IF(U487="☑ Oui","Perdu",IF(AD487&lt;&gt;"","Client","Prospect")))</f>
        <v/>
      </c>
      <c r="E487" s="36" t="n"/>
      <c r="F487" s="36" t="n"/>
      <c r="G487" s="44" t="n"/>
      <c r="H487" s="44" t="n"/>
      <c r="I487" s="36" t="n"/>
      <c r="J487" s="36" t="n"/>
      <c r="K487" s="41" t="n"/>
      <c r="L487" s="41" t="n"/>
      <c r="M487" s="36" t="n"/>
      <c r="N487" s="36" t="n"/>
      <c r="O487" s="32" t="n"/>
      <c r="P487" s="36" t="n"/>
      <c r="Q487" s="36" t="n"/>
      <c r="R487" s="34">
        <f>IF(P487="","",IFERROR(VLOOKUP(P487,T_Produits,2,FALSE),""))</f>
        <v/>
      </c>
      <c r="S487" s="36" t="n"/>
      <c r="T487" s="43" t="n"/>
      <c r="U487" s="43" t="n"/>
      <c r="V487" s="36" t="n"/>
      <c r="W487" s="36" t="n"/>
      <c r="X487" s="33">
        <f>IF(C487="","",Commercial_Id)</f>
        <v/>
      </c>
      <c r="Y487" s="33">
        <f>IF(E487="","",IF(E487="Particulier / ménage","Particulier","Entreprise"))</f>
        <v/>
      </c>
      <c r="Z487" s="39">
        <f>IF(C487="","",COUNTIFS(VC_cle,AK487,VC_type,"Visite sur place"))</f>
        <v/>
      </c>
      <c r="AA487" s="46">
        <f>IF(AL487=0,"",IF(INT(AL487)=0,"",INT(AL487)))</f>
        <v/>
      </c>
      <c r="AB487" s="46">
        <f>IF(AL487=0,"",IF(INDEX(VC_actiondate,ROUND(MOD(AL487,1)*100000,0)-5)=0,"",INDEX(VC_actiondate,ROUND(MOD(AL487,1)*100000,0)-5)))</f>
        <v/>
      </c>
      <c r="AC487" s="33">
        <f>IF(AL487=0,"",INDEX(VC_actiontexte,ROUND(MOD(AL487,1)*100000,0)-5)&amp;"")</f>
        <v/>
      </c>
      <c r="AD487" s="46">
        <f>IF(C487="","",IF(COUNTIFS(Cmd_cle,AK487,Cmd_dateca,"&gt;0")=0,"",SMALL(INDEX(Cmd_dateca+(((Cmd_cle&lt;&gt;AK487)+(Cmd_dateca=0))&gt;0)*1000000,0),1)))</f>
        <v/>
      </c>
      <c r="AE487" s="46">
        <f>IF(C487="","",IF(COUNTIFS(Cmd_cle,AK487,Cmd_dateca,"&gt;0")=0,"",MAX(INDEX((Cmd_cle=AK487)*Cmd_dateca,0))))</f>
        <v/>
      </c>
      <c r="AF487" s="40">
        <f>IF(C487="","",SUMIFS(Cmd_montant,Cmd_cle,AK487,Cmd_dateca,"&gt;0"))</f>
        <v/>
      </c>
      <c r="AG487" s="40">
        <f>IF(C487="","",SUMIFS(Enc_montant,Enc_cle,AK487))</f>
        <v/>
      </c>
      <c r="AH487" s="40">
        <f>IF(C487="","",AF487-AG487)</f>
        <v/>
      </c>
      <c r="AI487" s="33">
        <f>IF(C487="","",IF(D487="Perdu","",IF(AND(AB487&lt;&gt;"",N(AB487)&lt;TODAY()),"Action en retard",IF(AND(D487="Client",AE487&lt;&gt;"",TODAY()-N(AE487)&gt;P_JoursInactif),"Client inactif",IF(AND(D487="Prospect",Z487=0,O487&lt;&gt;"",TODAY()-N(O487)&gt;P_JoursNonVisite),"Jamais visité","")))))</f>
        <v/>
      </c>
      <c r="AJ487" s="33">
        <f>IF(C487="","",C487&amp;" ["&amp;TEXT(A487,"000")&amp;"]")</f>
        <v/>
      </c>
      <c r="AK487" s="33">
        <f>IF(C487="","",X487&amp;"|"&amp;A487)</f>
        <v/>
      </c>
      <c r="AL487" s="47">
        <f>IF(C487="",0,IF(COUNTIFS(VC_cle,AK487)=0,0,MAX(INDEX((VC_cle=AK487)*(VC_date+ROW(VC_date)/100000),0))))</f>
        <v/>
      </c>
      <c r="AM487" s="47">
        <f>IF(AND(C487&lt;&gt;"",N(AB487)&gt;0,D487&lt;&gt;"Perdu"),AB487+ROW()/100000,0)</f>
        <v/>
      </c>
      <c r="AN487" s="48">
        <f>IF(N(AF487)&gt;0,ROUND(AF487,0)+ROW()/1000000,0)</f>
        <v/>
      </c>
    </row>
    <row r="488" ht="18" customHeight="1">
      <c r="A488" s="39" t="n">
        <v>483</v>
      </c>
      <c r="B488" s="33">
        <f>IF(C488="","",IF(X488="À RENSEIGNER","GIC",X488)&amp;"-"&amp;TEXT(A488,"000"))</f>
        <v/>
      </c>
      <c r="C488" s="36" t="n"/>
      <c r="D488" s="34">
        <f>IF(C488="","",IF(U488="☑ Oui","Perdu",IF(AD488&lt;&gt;"","Client","Prospect")))</f>
        <v/>
      </c>
      <c r="E488" s="36" t="n"/>
      <c r="F488" s="36" t="n"/>
      <c r="G488" s="44" t="n"/>
      <c r="H488" s="44" t="n"/>
      <c r="I488" s="36" t="n"/>
      <c r="J488" s="36" t="n"/>
      <c r="K488" s="41" t="n"/>
      <c r="L488" s="41" t="n"/>
      <c r="M488" s="36" t="n"/>
      <c r="N488" s="36" t="n"/>
      <c r="O488" s="32" t="n"/>
      <c r="P488" s="36" t="n"/>
      <c r="Q488" s="36" t="n"/>
      <c r="R488" s="34">
        <f>IF(P488="","",IFERROR(VLOOKUP(P488,T_Produits,2,FALSE),""))</f>
        <v/>
      </c>
      <c r="S488" s="36" t="n"/>
      <c r="T488" s="43" t="n"/>
      <c r="U488" s="43" t="n"/>
      <c r="V488" s="36" t="n"/>
      <c r="W488" s="36" t="n"/>
      <c r="X488" s="33">
        <f>IF(C488="","",Commercial_Id)</f>
        <v/>
      </c>
      <c r="Y488" s="33">
        <f>IF(E488="","",IF(E488="Particulier / ménage","Particulier","Entreprise"))</f>
        <v/>
      </c>
      <c r="Z488" s="39">
        <f>IF(C488="","",COUNTIFS(VC_cle,AK488,VC_type,"Visite sur place"))</f>
        <v/>
      </c>
      <c r="AA488" s="46">
        <f>IF(AL488=0,"",IF(INT(AL488)=0,"",INT(AL488)))</f>
        <v/>
      </c>
      <c r="AB488" s="46">
        <f>IF(AL488=0,"",IF(INDEX(VC_actiondate,ROUND(MOD(AL488,1)*100000,0)-5)=0,"",INDEX(VC_actiondate,ROUND(MOD(AL488,1)*100000,0)-5)))</f>
        <v/>
      </c>
      <c r="AC488" s="33">
        <f>IF(AL488=0,"",INDEX(VC_actiontexte,ROUND(MOD(AL488,1)*100000,0)-5)&amp;"")</f>
        <v/>
      </c>
      <c r="AD488" s="46">
        <f>IF(C488="","",IF(COUNTIFS(Cmd_cle,AK488,Cmd_dateca,"&gt;0")=0,"",SMALL(INDEX(Cmd_dateca+(((Cmd_cle&lt;&gt;AK488)+(Cmd_dateca=0))&gt;0)*1000000,0),1)))</f>
        <v/>
      </c>
      <c r="AE488" s="46">
        <f>IF(C488="","",IF(COUNTIFS(Cmd_cle,AK488,Cmd_dateca,"&gt;0")=0,"",MAX(INDEX((Cmd_cle=AK488)*Cmd_dateca,0))))</f>
        <v/>
      </c>
      <c r="AF488" s="40">
        <f>IF(C488="","",SUMIFS(Cmd_montant,Cmd_cle,AK488,Cmd_dateca,"&gt;0"))</f>
        <v/>
      </c>
      <c r="AG488" s="40">
        <f>IF(C488="","",SUMIFS(Enc_montant,Enc_cle,AK488))</f>
        <v/>
      </c>
      <c r="AH488" s="40">
        <f>IF(C488="","",AF488-AG488)</f>
        <v/>
      </c>
      <c r="AI488" s="33">
        <f>IF(C488="","",IF(D488="Perdu","",IF(AND(AB488&lt;&gt;"",N(AB488)&lt;TODAY()),"Action en retard",IF(AND(D488="Client",AE488&lt;&gt;"",TODAY()-N(AE488)&gt;P_JoursInactif),"Client inactif",IF(AND(D488="Prospect",Z488=0,O488&lt;&gt;"",TODAY()-N(O488)&gt;P_JoursNonVisite),"Jamais visité","")))))</f>
        <v/>
      </c>
      <c r="AJ488" s="33">
        <f>IF(C488="","",C488&amp;" ["&amp;TEXT(A488,"000")&amp;"]")</f>
        <v/>
      </c>
      <c r="AK488" s="33">
        <f>IF(C488="","",X488&amp;"|"&amp;A488)</f>
        <v/>
      </c>
      <c r="AL488" s="47">
        <f>IF(C488="",0,IF(COUNTIFS(VC_cle,AK488)=0,0,MAX(INDEX((VC_cle=AK488)*(VC_date+ROW(VC_date)/100000),0))))</f>
        <v/>
      </c>
      <c r="AM488" s="47">
        <f>IF(AND(C488&lt;&gt;"",N(AB488)&gt;0,D488&lt;&gt;"Perdu"),AB488+ROW()/100000,0)</f>
        <v/>
      </c>
      <c r="AN488" s="48">
        <f>IF(N(AF488)&gt;0,ROUND(AF488,0)+ROW()/1000000,0)</f>
        <v/>
      </c>
    </row>
    <row r="489" ht="18" customHeight="1">
      <c r="A489" s="39" t="n">
        <v>484</v>
      </c>
      <c r="B489" s="33">
        <f>IF(C489="","",IF(X489="À RENSEIGNER","GIC",X489)&amp;"-"&amp;TEXT(A489,"000"))</f>
        <v/>
      </c>
      <c r="C489" s="36" t="n"/>
      <c r="D489" s="34">
        <f>IF(C489="","",IF(U489="☑ Oui","Perdu",IF(AD489&lt;&gt;"","Client","Prospect")))</f>
        <v/>
      </c>
      <c r="E489" s="36" t="n"/>
      <c r="F489" s="36" t="n"/>
      <c r="G489" s="44" t="n"/>
      <c r="H489" s="44" t="n"/>
      <c r="I489" s="36" t="n"/>
      <c r="J489" s="36" t="n"/>
      <c r="K489" s="41" t="n"/>
      <c r="L489" s="41" t="n"/>
      <c r="M489" s="36" t="n"/>
      <c r="N489" s="36" t="n"/>
      <c r="O489" s="32" t="n"/>
      <c r="P489" s="36" t="n"/>
      <c r="Q489" s="36" t="n"/>
      <c r="R489" s="34">
        <f>IF(P489="","",IFERROR(VLOOKUP(P489,T_Produits,2,FALSE),""))</f>
        <v/>
      </c>
      <c r="S489" s="36" t="n"/>
      <c r="T489" s="43" t="n"/>
      <c r="U489" s="43" t="n"/>
      <c r="V489" s="36" t="n"/>
      <c r="W489" s="36" t="n"/>
      <c r="X489" s="33">
        <f>IF(C489="","",Commercial_Id)</f>
        <v/>
      </c>
      <c r="Y489" s="33">
        <f>IF(E489="","",IF(E489="Particulier / ménage","Particulier","Entreprise"))</f>
        <v/>
      </c>
      <c r="Z489" s="39">
        <f>IF(C489="","",COUNTIFS(VC_cle,AK489,VC_type,"Visite sur place"))</f>
        <v/>
      </c>
      <c r="AA489" s="46">
        <f>IF(AL489=0,"",IF(INT(AL489)=0,"",INT(AL489)))</f>
        <v/>
      </c>
      <c r="AB489" s="46">
        <f>IF(AL489=0,"",IF(INDEX(VC_actiondate,ROUND(MOD(AL489,1)*100000,0)-5)=0,"",INDEX(VC_actiondate,ROUND(MOD(AL489,1)*100000,0)-5)))</f>
        <v/>
      </c>
      <c r="AC489" s="33">
        <f>IF(AL489=0,"",INDEX(VC_actiontexte,ROUND(MOD(AL489,1)*100000,0)-5)&amp;"")</f>
        <v/>
      </c>
      <c r="AD489" s="46">
        <f>IF(C489="","",IF(COUNTIFS(Cmd_cle,AK489,Cmd_dateca,"&gt;0")=0,"",SMALL(INDEX(Cmd_dateca+(((Cmd_cle&lt;&gt;AK489)+(Cmd_dateca=0))&gt;0)*1000000,0),1)))</f>
        <v/>
      </c>
      <c r="AE489" s="46">
        <f>IF(C489="","",IF(COUNTIFS(Cmd_cle,AK489,Cmd_dateca,"&gt;0")=0,"",MAX(INDEX((Cmd_cle=AK489)*Cmd_dateca,0))))</f>
        <v/>
      </c>
      <c r="AF489" s="40">
        <f>IF(C489="","",SUMIFS(Cmd_montant,Cmd_cle,AK489,Cmd_dateca,"&gt;0"))</f>
        <v/>
      </c>
      <c r="AG489" s="40">
        <f>IF(C489="","",SUMIFS(Enc_montant,Enc_cle,AK489))</f>
        <v/>
      </c>
      <c r="AH489" s="40">
        <f>IF(C489="","",AF489-AG489)</f>
        <v/>
      </c>
      <c r="AI489" s="33">
        <f>IF(C489="","",IF(D489="Perdu","",IF(AND(AB489&lt;&gt;"",N(AB489)&lt;TODAY()),"Action en retard",IF(AND(D489="Client",AE489&lt;&gt;"",TODAY()-N(AE489)&gt;P_JoursInactif),"Client inactif",IF(AND(D489="Prospect",Z489=0,O489&lt;&gt;"",TODAY()-N(O489)&gt;P_JoursNonVisite),"Jamais visité","")))))</f>
        <v/>
      </c>
      <c r="AJ489" s="33">
        <f>IF(C489="","",C489&amp;" ["&amp;TEXT(A489,"000")&amp;"]")</f>
        <v/>
      </c>
      <c r="AK489" s="33">
        <f>IF(C489="","",X489&amp;"|"&amp;A489)</f>
        <v/>
      </c>
      <c r="AL489" s="47">
        <f>IF(C489="",0,IF(COUNTIFS(VC_cle,AK489)=0,0,MAX(INDEX((VC_cle=AK489)*(VC_date+ROW(VC_date)/100000),0))))</f>
        <v/>
      </c>
      <c r="AM489" s="47">
        <f>IF(AND(C489&lt;&gt;"",N(AB489)&gt;0,D489&lt;&gt;"Perdu"),AB489+ROW()/100000,0)</f>
        <v/>
      </c>
      <c r="AN489" s="48">
        <f>IF(N(AF489)&gt;0,ROUND(AF489,0)+ROW()/1000000,0)</f>
        <v/>
      </c>
    </row>
    <row r="490" ht="18" customHeight="1">
      <c r="A490" s="39" t="n">
        <v>485</v>
      </c>
      <c r="B490" s="33">
        <f>IF(C490="","",IF(X490="À RENSEIGNER","GIC",X490)&amp;"-"&amp;TEXT(A490,"000"))</f>
        <v/>
      </c>
      <c r="C490" s="36" t="n"/>
      <c r="D490" s="34">
        <f>IF(C490="","",IF(U490="☑ Oui","Perdu",IF(AD490&lt;&gt;"","Client","Prospect")))</f>
        <v/>
      </c>
      <c r="E490" s="36" t="n"/>
      <c r="F490" s="36" t="n"/>
      <c r="G490" s="44" t="n"/>
      <c r="H490" s="44" t="n"/>
      <c r="I490" s="36" t="n"/>
      <c r="J490" s="36" t="n"/>
      <c r="K490" s="41" t="n"/>
      <c r="L490" s="41" t="n"/>
      <c r="M490" s="36" t="n"/>
      <c r="N490" s="36" t="n"/>
      <c r="O490" s="32" t="n"/>
      <c r="P490" s="36" t="n"/>
      <c r="Q490" s="36" t="n"/>
      <c r="R490" s="34">
        <f>IF(P490="","",IFERROR(VLOOKUP(P490,T_Produits,2,FALSE),""))</f>
        <v/>
      </c>
      <c r="S490" s="36" t="n"/>
      <c r="T490" s="43" t="n"/>
      <c r="U490" s="43" t="n"/>
      <c r="V490" s="36" t="n"/>
      <c r="W490" s="36" t="n"/>
      <c r="X490" s="33">
        <f>IF(C490="","",Commercial_Id)</f>
        <v/>
      </c>
      <c r="Y490" s="33">
        <f>IF(E490="","",IF(E490="Particulier / ménage","Particulier","Entreprise"))</f>
        <v/>
      </c>
      <c r="Z490" s="39">
        <f>IF(C490="","",COUNTIFS(VC_cle,AK490,VC_type,"Visite sur place"))</f>
        <v/>
      </c>
      <c r="AA490" s="46">
        <f>IF(AL490=0,"",IF(INT(AL490)=0,"",INT(AL490)))</f>
        <v/>
      </c>
      <c r="AB490" s="46">
        <f>IF(AL490=0,"",IF(INDEX(VC_actiondate,ROUND(MOD(AL490,1)*100000,0)-5)=0,"",INDEX(VC_actiondate,ROUND(MOD(AL490,1)*100000,0)-5)))</f>
        <v/>
      </c>
      <c r="AC490" s="33">
        <f>IF(AL490=0,"",INDEX(VC_actiontexte,ROUND(MOD(AL490,1)*100000,0)-5)&amp;"")</f>
        <v/>
      </c>
      <c r="AD490" s="46">
        <f>IF(C490="","",IF(COUNTIFS(Cmd_cle,AK490,Cmd_dateca,"&gt;0")=0,"",SMALL(INDEX(Cmd_dateca+(((Cmd_cle&lt;&gt;AK490)+(Cmd_dateca=0))&gt;0)*1000000,0),1)))</f>
        <v/>
      </c>
      <c r="AE490" s="46">
        <f>IF(C490="","",IF(COUNTIFS(Cmd_cle,AK490,Cmd_dateca,"&gt;0")=0,"",MAX(INDEX((Cmd_cle=AK490)*Cmd_dateca,0))))</f>
        <v/>
      </c>
      <c r="AF490" s="40">
        <f>IF(C490="","",SUMIFS(Cmd_montant,Cmd_cle,AK490,Cmd_dateca,"&gt;0"))</f>
        <v/>
      </c>
      <c r="AG490" s="40">
        <f>IF(C490="","",SUMIFS(Enc_montant,Enc_cle,AK490))</f>
        <v/>
      </c>
      <c r="AH490" s="40">
        <f>IF(C490="","",AF490-AG490)</f>
        <v/>
      </c>
      <c r="AI490" s="33">
        <f>IF(C490="","",IF(D490="Perdu","",IF(AND(AB490&lt;&gt;"",N(AB490)&lt;TODAY()),"Action en retard",IF(AND(D490="Client",AE490&lt;&gt;"",TODAY()-N(AE490)&gt;P_JoursInactif),"Client inactif",IF(AND(D490="Prospect",Z490=0,O490&lt;&gt;"",TODAY()-N(O490)&gt;P_JoursNonVisite),"Jamais visité","")))))</f>
        <v/>
      </c>
      <c r="AJ490" s="33">
        <f>IF(C490="","",C490&amp;" ["&amp;TEXT(A490,"000")&amp;"]")</f>
        <v/>
      </c>
      <c r="AK490" s="33">
        <f>IF(C490="","",X490&amp;"|"&amp;A490)</f>
        <v/>
      </c>
      <c r="AL490" s="47">
        <f>IF(C490="",0,IF(COUNTIFS(VC_cle,AK490)=0,0,MAX(INDEX((VC_cle=AK490)*(VC_date+ROW(VC_date)/100000),0))))</f>
        <v/>
      </c>
      <c r="AM490" s="47">
        <f>IF(AND(C490&lt;&gt;"",N(AB490)&gt;0,D490&lt;&gt;"Perdu"),AB490+ROW()/100000,0)</f>
        <v/>
      </c>
      <c r="AN490" s="48">
        <f>IF(N(AF490)&gt;0,ROUND(AF490,0)+ROW()/1000000,0)</f>
        <v/>
      </c>
    </row>
    <row r="491" ht="18" customHeight="1">
      <c r="A491" s="39" t="n">
        <v>486</v>
      </c>
      <c r="B491" s="33">
        <f>IF(C491="","",IF(X491="À RENSEIGNER","GIC",X491)&amp;"-"&amp;TEXT(A491,"000"))</f>
        <v/>
      </c>
      <c r="C491" s="36" t="n"/>
      <c r="D491" s="34">
        <f>IF(C491="","",IF(U491="☑ Oui","Perdu",IF(AD491&lt;&gt;"","Client","Prospect")))</f>
        <v/>
      </c>
      <c r="E491" s="36" t="n"/>
      <c r="F491" s="36" t="n"/>
      <c r="G491" s="44" t="n"/>
      <c r="H491" s="44" t="n"/>
      <c r="I491" s="36" t="n"/>
      <c r="J491" s="36" t="n"/>
      <c r="K491" s="41" t="n"/>
      <c r="L491" s="41" t="n"/>
      <c r="M491" s="36" t="n"/>
      <c r="N491" s="36" t="n"/>
      <c r="O491" s="32" t="n"/>
      <c r="P491" s="36" t="n"/>
      <c r="Q491" s="36" t="n"/>
      <c r="R491" s="34">
        <f>IF(P491="","",IFERROR(VLOOKUP(P491,T_Produits,2,FALSE),""))</f>
        <v/>
      </c>
      <c r="S491" s="36" t="n"/>
      <c r="T491" s="43" t="n"/>
      <c r="U491" s="43" t="n"/>
      <c r="V491" s="36" t="n"/>
      <c r="W491" s="36" t="n"/>
      <c r="X491" s="33">
        <f>IF(C491="","",Commercial_Id)</f>
        <v/>
      </c>
      <c r="Y491" s="33">
        <f>IF(E491="","",IF(E491="Particulier / ménage","Particulier","Entreprise"))</f>
        <v/>
      </c>
      <c r="Z491" s="39">
        <f>IF(C491="","",COUNTIFS(VC_cle,AK491,VC_type,"Visite sur place"))</f>
        <v/>
      </c>
      <c r="AA491" s="46">
        <f>IF(AL491=0,"",IF(INT(AL491)=0,"",INT(AL491)))</f>
        <v/>
      </c>
      <c r="AB491" s="46">
        <f>IF(AL491=0,"",IF(INDEX(VC_actiondate,ROUND(MOD(AL491,1)*100000,0)-5)=0,"",INDEX(VC_actiondate,ROUND(MOD(AL491,1)*100000,0)-5)))</f>
        <v/>
      </c>
      <c r="AC491" s="33">
        <f>IF(AL491=0,"",INDEX(VC_actiontexte,ROUND(MOD(AL491,1)*100000,0)-5)&amp;"")</f>
        <v/>
      </c>
      <c r="AD491" s="46">
        <f>IF(C491="","",IF(COUNTIFS(Cmd_cle,AK491,Cmd_dateca,"&gt;0")=0,"",SMALL(INDEX(Cmd_dateca+(((Cmd_cle&lt;&gt;AK491)+(Cmd_dateca=0))&gt;0)*1000000,0),1)))</f>
        <v/>
      </c>
      <c r="AE491" s="46">
        <f>IF(C491="","",IF(COUNTIFS(Cmd_cle,AK491,Cmd_dateca,"&gt;0")=0,"",MAX(INDEX((Cmd_cle=AK491)*Cmd_dateca,0))))</f>
        <v/>
      </c>
      <c r="AF491" s="40">
        <f>IF(C491="","",SUMIFS(Cmd_montant,Cmd_cle,AK491,Cmd_dateca,"&gt;0"))</f>
        <v/>
      </c>
      <c r="AG491" s="40">
        <f>IF(C491="","",SUMIFS(Enc_montant,Enc_cle,AK491))</f>
        <v/>
      </c>
      <c r="AH491" s="40">
        <f>IF(C491="","",AF491-AG491)</f>
        <v/>
      </c>
      <c r="AI491" s="33">
        <f>IF(C491="","",IF(D491="Perdu","",IF(AND(AB491&lt;&gt;"",N(AB491)&lt;TODAY()),"Action en retard",IF(AND(D491="Client",AE491&lt;&gt;"",TODAY()-N(AE491)&gt;P_JoursInactif),"Client inactif",IF(AND(D491="Prospect",Z491=0,O491&lt;&gt;"",TODAY()-N(O491)&gt;P_JoursNonVisite),"Jamais visité","")))))</f>
        <v/>
      </c>
      <c r="AJ491" s="33">
        <f>IF(C491="","",C491&amp;" ["&amp;TEXT(A491,"000")&amp;"]")</f>
        <v/>
      </c>
      <c r="AK491" s="33">
        <f>IF(C491="","",X491&amp;"|"&amp;A491)</f>
        <v/>
      </c>
      <c r="AL491" s="47">
        <f>IF(C491="",0,IF(COUNTIFS(VC_cle,AK491)=0,0,MAX(INDEX((VC_cle=AK491)*(VC_date+ROW(VC_date)/100000),0))))</f>
        <v/>
      </c>
      <c r="AM491" s="47">
        <f>IF(AND(C491&lt;&gt;"",N(AB491)&gt;0,D491&lt;&gt;"Perdu"),AB491+ROW()/100000,0)</f>
        <v/>
      </c>
      <c r="AN491" s="48">
        <f>IF(N(AF491)&gt;0,ROUND(AF491,0)+ROW()/1000000,0)</f>
        <v/>
      </c>
    </row>
    <row r="492" ht="18" customHeight="1">
      <c r="A492" s="39" t="n">
        <v>487</v>
      </c>
      <c r="B492" s="33">
        <f>IF(C492="","",IF(X492="À RENSEIGNER","GIC",X492)&amp;"-"&amp;TEXT(A492,"000"))</f>
        <v/>
      </c>
      <c r="C492" s="36" t="n"/>
      <c r="D492" s="34">
        <f>IF(C492="","",IF(U492="☑ Oui","Perdu",IF(AD492&lt;&gt;"","Client","Prospect")))</f>
        <v/>
      </c>
      <c r="E492" s="36" t="n"/>
      <c r="F492" s="36" t="n"/>
      <c r="G492" s="44" t="n"/>
      <c r="H492" s="44" t="n"/>
      <c r="I492" s="36" t="n"/>
      <c r="J492" s="36" t="n"/>
      <c r="K492" s="41" t="n"/>
      <c r="L492" s="41" t="n"/>
      <c r="M492" s="36" t="n"/>
      <c r="N492" s="36" t="n"/>
      <c r="O492" s="32" t="n"/>
      <c r="P492" s="36" t="n"/>
      <c r="Q492" s="36" t="n"/>
      <c r="R492" s="34">
        <f>IF(P492="","",IFERROR(VLOOKUP(P492,T_Produits,2,FALSE),""))</f>
        <v/>
      </c>
      <c r="S492" s="36" t="n"/>
      <c r="T492" s="43" t="n"/>
      <c r="U492" s="43" t="n"/>
      <c r="V492" s="36" t="n"/>
      <c r="W492" s="36" t="n"/>
      <c r="X492" s="33">
        <f>IF(C492="","",Commercial_Id)</f>
        <v/>
      </c>
      <c r="Y492" s="33">
        <f>IF(E492="","",IF(E492="Particulier / ménage","Particulier","Entreprise"))</f>
        <v/>
      </c>
      <c r="Z492" s="39">
        <f>IF(C492="","",COUNTIFS(VC_cle,AK492,VC_type,"Visite sur place"))</f>
        <v/>
      </c>
      <c r="AA492" s="46">
        <f>IF(AL492=0,"",IF(INT(AL492)=0,"",INT(AL492)))</f>
        <v/>
      </c>
      <c r="AB492" s="46">
        <f>IF(AL492=0,"",IF(INDEX(VC_actiondate,ROUND(MOD(AL492,1)*100000,0)-5)=0,"",INDEX(VC_actiondate,ROUND(MOD(AL492,1)*100000,0)-5)))</f>
        <v/>
      </c>
      <c r="AC492" s="33">
        <f>IF(AL492=0,"",INDEX(VC_actiontexte,ROUND(MOD(AL492,1)*100000,0)-5)&amp;"")</f>
        <v/>
      </c>
      <c r="AD492" s="46">
        <f>IF(C492="","",IF(COUNTIFS(Cmd_cle,AK492,Cmd_dateca,"&gt;0")=0,"",SMALL(INDEX(Cmd_dateca+(((Cmd_cle&lt;&gt;AK492)+(Cmd_dateca=0))&gt;0)*1000000,0),1)))</f>
        <v/>
      </c>
      <c r="AE492" s="46">
        <f>IF(C492="","",IF(COUNTIFS(Cmd_cle,AK492,Cmd_dateca,"&gt;0")=0,"",MAX(INDEX((Cmd_cle=AK492)*Cmd_dateca,0))))</f>
        <v/>
      </c>
      <c r="AF492" s="40">
        <f>IF(C492="","",SUMIFS(Cmd_montant,Cmd_cle,AK492,Cmd_dateca,"&gt;0"))</f>
        <v/>
      </c>
      <c r="AG492" s="40">
        <f>IF(C492="","",SUMIFS(Enc_montant,Enc_cle,AK492))</f>
        <v/>
      </c>
      <c r="AH492" s="40">
        <f>IF(C492="","",AF492-AG492)</f>
        <v/>
      </c>
      <c r="AI492" s="33">
        <f>IF(C492="","",IF(D492="Perdu","",IF(AND(AB492&lt;&gt;"",N(AB492)&lt;TODAY()),"Action en retard",IF(AND(D492="Client",AE492&lt;&gt;"",TODAY()-N(AE492)&gt;P_JoursInactif),"Client inactif",IF(AND(D492="Prospect",Z492=0,O492&lt;&gt;"",TODAY()-N(O492)&gt;P_JoursNonVisite),"Jamais visité","")))))</f>
        <v/>
      </c>
      <c r="AJ492" s="33">
        <f>IF(C492="","",C492&amp;" ["&amp;TEXT(A492,"000")&amp;"]")</f>
        <v/>
      </c>
      <c r="AK492" s="33">
        <f>IF(C492="","",X492&amp;"|"&amp;A492)</f>
        <v/>
      </c>
      <c r="AL492" s="47">
        <f>IF(C492="",0,IF(COUNTIFS(VC_cle,AK492)=0,0,MAX(INDEX((VC_cle=AK492)*(VC_date+ROW(VC_date)/100000),0))))</f>
        <v/>
      </c>
      <c r="AM492" s="47">
        <f>IF(AND(C492&lt;&gt;"",N(AB492)&gt;0,D492&lt;&gt;"Perdu"),AB492+ROW()/100000,0)</f>
        <v/>
      </c>
      <c r="AN492" s="48">
        <f>IF(N(AF492)&gt;0,ROUND(AF492,0)+ROW()/1000000,0)</f>
        <v/>
      </c>
    </row>
    <row r="493" ht="18" customHeight="1">
      <c r="A493" s="39" t="n">
        <v>488</v>
      </c>
      <c r="B493" s="33">
        <f>IF(C493="","",IF(X493="À RENSEIGNER","GIC",X493)&amp;"-"&amp;TEXT(A493,"000"))</f>
        <v/>
      </c>
      <c r="C493" s="36" t="n"/>
      <c r="D493" s="34">
        <f>IF(C493="","",IF(U493="☑ Oui","Perdu",IF(AD493&lt;&gt;"","Client","Prospect")))</f>
        <v/>
      </c>
      <c r="E493" s="36" t="n"/>
      <c r="F493" s="36" t="n"/>
      <c r="G493" s="44" t="n"/>
      <c r="H493" s="44" t="n"/>
      <c r="I493" s="36" t="n"/>
      <c r="J493" s="36" t="n"/>
      <c r="K493" s="41" t="n"/>
      <c r="L493" s="41" t="n"/>
      <c r="M493" s="36" t="n"/>
      <c r="N493" s="36" t="n"/>
      <c r="O493" s="32" t="n"/>
      <c r="P493" s="36" t="n"/>
      <c r="Q493" s="36" t="n"/>
      <c r="R493" s="34">
        <f>IF(P493="","",IFERROR(VLOOKUP(P493,T_Produits,2,FALSE),""))</f>
        <v/>
      </c>
      <c r="S493" s="36" t="n"/>
      <c r="T493" s="43" t="n"/>
      <c r="U493" s="43" t="n"/>
      <c r="V493" s="36" t="n"/>
      <c r="W493" s="36" t="n"/>
      <c r="X493" s="33">
        <f>IF(C493="","",Commercial_Id)</f>
        <v/>
      </c>
      <c r="Y493" s="33">
        <f>IF(E493="","",IF(E493="Particulier / ménage","Particulier","Entreprise"))</f>
        <v/>
      </c>
      <c r="Z493" s="39">
        <f>IF(C493="","",COUNTIFS(VC_cle,AK493,VC_type,"Visite sur place"))</f>
        <v/>
      </c>
      <c r="AA493" s="46">
        <f>IF(AL493=0,"",IF(INT(AL493)=0,"",INT(AL493)))</f>
        <v/>
      </c>
      <c r="AB493" s="46">
        <f>IF(AL493=0,"",IF(INDEX(VC_actiondate,ROUND(MOD(AL493,1)*100000,0)-5)=0,"",INDEX(VC_actiondate,ROUND(MOD(AL493,1)*100000,0)-5)))</f>
        <v/>
      </c>
      <c r="AC493" s="33">
        <f>IF(AL493=0,"",INDEX(VC_actiontexte,ROUND(MOD(AL493,1)*100000,0)-5)&amp;"")</f>
        <v/>
      </c>
      <c r="AD493" s="46">
        <f>IF(C493="","",IF(COUNTIFS(Cmd_cle,AK493,Cmd_dateca,"&gt;0")=0,"",SMALL(INDEX(Cmd_dateca+(((Cmd_cle&lt;&gt;AK493)+(Cmd_dateca=0))&gt;0)*1000000,0),1)))</f>
        <v/>
      </c>
      <c r="AE493" s="46">
        <f>IF(C493="","",IF(COUNTIFS(Cmd_cle,AK493,Cmd_dateca,"&gt;0")=0,"",MAX(INDEX((Cmd_cle=AK493)*Cmd_dateca,0))))</f>
        <v/>
      </c>
      <c r="AF493" s="40">
        <f>IF(C493="","",SUMIFS(Cmd_montant,Cmd_cle,AK493,Cmd_dateca,"&gt;0"))</f>
        <v/>
      </c>
      <c r="AG493" s="40">
        <f>IF(C493="","",SUMIFS(Enc_montant,Enc_cle,AK493))</f>
        <v/>
      </c>
      <c r="AH493" s="40">
        <f>IF(C493="","",AF493-AG493)</f>
        <v/>
      </c>
      <c r="AI493" s="33">
        <f>IF(C493="","",IF(D493="Perdu","",IF(AND(AB493&lt;&gt;"",N(AB493)&lt;TODAY()),"Action en retard",IF(AND(D493="Client",AE493&lt;&gt;"",TODAY()-N(AE493)&gt;P_JoursInactif),"Client inactif",IF(AND(D493="Prospect",Z493=0,O493&lt;&gt;"",TODAY()-N(O493)&gt;P_JoursNonVisite),"Jamais visité","")))))</f>
        <v/>
      </c>
      <c r="AJ493" s="33">
        <f>IF(C493="","",C493&amp;" ["&amp;TEXT(A493,"000")&amp;"]")</f>
        <v/>
      </c>
      <c r="AK493" s="33">
        <f>IF(C493="","",X493&amp;"|"&amp;A493)</f>
        <v/>
      </c>
      <c r="AL493" s="47">
        <f>IF(C493="",0,IF(COUNTIFS(VC_cle,AK493)=0,0,MAX(INDEX((VC_cle=AK493)*(VC_date+ROW(VC_date)/100000),0))))</f>
        <v/>
      </c>
      <c r="AM493" s="47">
        <f>IF(AND(C493&lt;&gt;"",N(AB493)&gt;0,D493&lt;&gt;"Perdu"),AB493+ROW()/100000,0)</f>
        <v/>
      </c>
      <c r="AN493" s="48">
        <f>IF(N(AF493)&gt;0,ROUND(AF493,0)+ROW()/1000000,0)</f>
        <v/>
      </c>
    </row>
    <row r="494" ht="18" customHeight="1">
      <c r="A494" s="39" t="n">
        <v>489</v>
      </c>
      <c r="B494" s="33">
        <f>IF(C494="","",IF(X494="À RENSEIGNER","GIC",X494)&amp;"-"&amp;TEXT(A494,"000"))</f>
        <v/>
      </c>
      <c r="C494" s="36" t="n"/>
      <c r="D494" s="34">
        <f>IF(C494="","",IF(U494="☑ Oui","Perdu",IF(AD494&lt;&gt;"","Client","Prospect")))</f>
        <v/>
      </c>
      <c r="E494" s="36" t="n"/>
      <c r="F494" s="36" t="n"/>
      <c r="G494" s="44" t="n"/>
      <c r="H494" s="44" t="n"/>
      <c r="I494" s="36" t="n"/>
      <c r="J494" s="36" t="n"/>
      <c r="K494" s="41" t="n"/>
      <c r="L494" s="41" t="n"/>
      <c r="M494" s="36" t="n"/>
      <c r="N494" s="36" t="n"/>
      <c r="O494" s="32" t="n"/>
      <c r="P494" s="36" t="n"/>
      <c r="Q494" s="36" t="n"/>
      <c r="R494" s="34">
        <f>IF(P494="","",IFERROR(VLOOKUP(P494,T_Produits,2,FALSE),""))</f>
        <v/>
      </c>
      <c r="S494" s="36" t="n"/>
      <c r="T494" s="43" t="n"/>
      <c r="U494" s="43" t="n"/>
      <c r="V494" s="36" t="n"/>
      <c r="W494" s="36" t="n"/>
      <c r="X494" s="33">
        <f>IF(C494="","",Commercial_Id)</f>
        <v/>
      </c>
      <c r="Y494" s="33">
        <f>IF(E494="","",IF(E494="Particulier / ménage","Particulier","Entreprise"))</f>
        <v/>
      </c>
      <c r="Z494" s="39">
        <f>IF(C494="","",COUNTIFS(VC_cle,AK494,VC_type,"Visite sur place"))</f>
        <v/>
      </c>
      <c r="AA494" s="46">
        <f>IF(AL494=0,"",IF(INT(AL494)=0,"",INT(AL494)))</f>
        <v/>
      </c>
      <c r="AB494" s="46">
        <f>IF(AL494=0,"",IF(INDEX(VC_actiondate,ROUND(MOD(AL494,1)*100000,0)-5)=0,"",INDEX(VC_actiondate,ROUND(MOD(AL494,1)*100000,0)-5)))</f>
        <v/>
      </c>
      <c r="AC494" s="33">
        <f>IF(AL494=0,"",INDEX(VC_actiontexte,ROUND(MOD(AL494,1)*100000,0)-5)&amp;"")</f>
        <v/>
      </c>
      <c r="AD494" s="46">
        <f>IF(C494="","",IF(COUNTIFS(Cmd_cle,AK494,Cmd_dateca,"&gt;0")=0,"",SMALL(INDEX(Cmd_dateca+(((Cmd_cle&lt;&gt;AK494)+(Cmd_dateca=0))&gt;0)*1000000,0),1)))</f>
        <v/>
      </c>
      <c r="AE494" s="46">
        <f>IF(C494="","",IF(COUNTIFS(Cmd_cle,AK494,Cmd_dateca,"&gt;0")=0,"",MAX(INDEX((Cmd_cle=AK494)*Cmd_dateca,0))))</f>
        <v/>
      </c>
      <c r="AF494" s="40">
        <f>IF(C494="","",SUMIFS(Cmd_montant,Cmd_cle,AK494,Cmd_dateca,"&gt;0"))</f>
        <v/>
      </c>
      <c r="AG494" s="40">
        <f>IF(C494="","",SUMIFS(Enc_montant,Enc_cle,AK494))</f>
        <v/>
      </c>
      <c r="AH494" s="40">
        <f>IF(C494="","",AF494-AG494)</f>
        <v/>
      </c>
      <c r="AI494" s="33">
        <f>IF(C494="","",IF(D494="Perdu","",IF(AND(AB494&lt;&gt;"",N(AB494)&lt;TODAY()),"Action en retard",IF(AND(D494="Client",AE494&lt;&gt;"",TODAY()-N(AE494)&gt;P_JoursInactif),"Client inactif",IF(AND(D494="Prospect",Z494=0,O494&lt;&gt;"",TODAY()-N(O494)&gt;P_JoursNonVisite),"Jamais visité","")))))</f>
        <v/>
      </c>
      <c r="AJ494" s="33">
        <f>IF(C494="","",C494&amp;" ["&amp;TEXT(A494,"000")&amp;"]")</f>
        <v/>
      </c>
      <c r="AK494" s="33">
        <f>IF(C494="","",X494&amp;"|"&amp;A494)</f>
        <v/>
      </c>
      <c r="AL494" s="47">
        <f>IF(C494="",0,IF(COUNTIFS(VC_cle,AK494)=0,0,MAX(INDEX((VC_cle=AK494)*(VC_date+ROW(VC_date)/100000),0))))</f>
        <v/>
      </c>
      <c r="AM494" s="47">
        <f>IF(AND(C494&lt;&gt;"",N(AB494)&gt;0,D494&lt;&gt;"Perdu"),AB494+ROW()/100000,0)</f>
        <v/>
      </c>
      <c r="AN494" s="48">
        <f>IF(N(AF494)&gt;0,ROUND(AF494,0)+ROW()/1000000,0)</f>
        <v/>
      </c>
    </row>
    <row r="495" ht="18" customHeight="1">
      <c r="A495" s="39" t="n">
        <v>490</v>
      </c>
      <c r="B495" s="33">
        <f>IF(C495="","",IF(X495="À RENSEIGNER","GIC",X495)&amp;"-"&amp;TEXT(A495,"000"))</f>
        <v/>
      </c>
      <c r="C495" s="36" t="n"/>
      <c r="D495" s="34">
        <f>IF(C495="","",IF(U495="☑ Oui","Perdu",IF(AD495&lt;&gt;"","Client","Prospect")))</f>
        <v/>
      </c>
      <c r="E495" s="36" t="n"/>
      <c r="F495" s="36" t="n"/>
      <c r="G495" s="44" t="n"/>
      <c r="H495" s="44" t="n"/>
      <c r="I495" s="36" t="n"/>
      <c r="J495" s="36" t="n"/>
      <c r="K495" s="41" t="n"/>
      <c r="L495" s="41" t="n"/>
      <c r="M495" s="36" t="n"/>
      <c r="N495" s="36" t="n"/>
      <c r="O495" s="32" t="n"/>
      <c r="P495" s="36" t="n"/>
      <c r="Q495" s="36" t="n"/>
      <c r="R495" s="34">
        <f>IF(P495="","",IFERROR(VLOOKUP(P495,T_Produits,2,FALSE),""))</f>
        <v/>
      </c>
      <c r="S495" s="36" t="n"/>
      <c r="T495" s="43" t="n"/>
      <c r="U495" s="43" t="n"/>
      <c r="V495" s="36" t="n"/>
      <c r="W495" s="36" t="n"/>
      <c r="X495" s="33">
        <f>IF(C495="","",Commercial_Id)</f>
        <v/>
      </c>
      <c r="Y495" s="33">
        <f>IF(E495="","",IF(E495="Particulier / ménage","Particulier","Entreprise"))</f>
        <v/>
      </c>
      <c r="Z495" s="39">
        <f>IF(C495="","",COUNTIFS(VC_cle,AK495,VC_type,"Visite sur place"))</f>
        <v/>
      </c>
      <c r="AA495" s="46">
        <f>IF(AL495=0,"",IF(INT(AL495)=0,"",INT(AL495)))</f>
        <v/>
      </c>
      <c r="AB495" s="46">
        <f>IF(AL495=0,"",IF(INDEX(VC_actiondate,ROUND(MOD(AL495,1)*100000,0)-5)=0,"",INDEX(VC_actiondate,ROUND(MOD(AL495,1)*100000,0)-5)))</f>
        <v/>
      </c>
      <c r="AC495" s="33">
        <f>IF(AL495=0,"",INDEX(VC_actiontexte,ROUND(MOD(AL495,1)*100000,0)-5)&amp;"")</f>
        <v/>
      </c>
      <c r="AD495" s="46">
        <f>IF(C495="","",IF(COUNTIFS(Cmd_cle,AK495,Cmd_dateca,"&gt;0")=0,"",SMALL(INDEX(Cmd_dateca+(((Cmd_cle&lt;&gt;AK495)+(Cmd_dateca=0))&gt;0)*1000000,0),1)))</f>
        <v/>
      </c>
      <c r="AE495" s="46">
        <f>IF(C495="","",IF(COUNTIFS(Cmd_cle,AK495,Cmd_dateca,"&gt;0")=0,"",MAX(INDEX((Cmd_cle=AK495)*Cmd_dateca,0))))</f>
        <v/>
      </c>
      <c r="AF495" s="40">
        <f>IF(C495="","",SUMIFS(Cmd_montant,Cmd_cle,AK495,Cmd_dateca,"&gt;0"))</f>
        <v/>
      </c>
      <c r="AG495" s="40">
        <f>IF(C495="","",SUMIFS(Enc_montant,Enc_cle,AK495))</f>
        <v/>
      </c>
      <c r="AH495" s="40">
        <f>IF(C495="","",AF495-AG495)</f>
        <v/>
      </c>
      <c r="AI495" s="33">
        <f>IF(C495="","",IF(D495="Perdu","",IF(AND(AB495&lt;&gt;"",N(AB495)&lt;TODAY()),"Action en retard",IF(AND(D495="Client",AE495&lt;&gt;"",TODAY()-N(AE495)&gt;P_JoursInactif),"Client inactif",IF(AND(D495="Prospect",Z495=0,O495&lt;&gt;"",TODAY()-N(O495)&gt;P_JoursNonVisite),"Jamais visité","")))))</f>
        <v/>
      </c>
      <c r="AJ495" s="33">
        <f>IF(C495="","",C495&amp;" ["&amp;TEXT(A495,"000")&amp;"]")</f>
        <v/>
      </c>
      <c r="AK495" s="33">
        <f>IF(C495="","",X495&amp;"|"&amp;A495)</f>
        <v/>
      </c>
      <c r="AL495" s="47">
        <f>IF(C495="",0,IF(COUNTIFS(VC_cle,AK495)=0,0,MAX(INDEX((VC_cle=AK495)*(VC_date+ROW(VC_date)/100000),0))))</f>
        <v/>
      </c>
      <c r="AM495" s="47">
        <f>IF(AND(C495&lt;&gt;"",N(AB495)&gt;0,D495&lt;&gt;"Perdu"),AB495+ROW()/100000,0)</f>
        <v/>
      </c>
      <c r="AN495" s="48">
        <f>IF(N(AF495)&gt;0,ROUND(AF495,0)+ROW()/1000000,0)</f>
        <v/>
      </c>
    </row>
    <row r="496" ht="18" customHeight="1">
      <c r="A496" s="39" t="n">
        <v>491</v>
      </c>
      <c r="B496" s="33">
        <f>IF(C496="","",IF(X496="À RENSEIGNER","GIC",X496)&amp;"-"&amp;TEXT(A496,"000"))</f>
        <v/>
      </c>
      <c r="C496" s="36" t="n"/>
      <c r="D496" s="34">
        <f>IF(C496="","",IF(U496="☑ Oui","Perdu",IF(AD496&lt;&gt;"","Client","Prospect")))</f>
        <v/>
      </c>
      <c r="E496" s="36" t="n"/>
      <c r="F496" s="36" t="n"/>
      <c r="G496" s="44" t="n"/>
      <c r="H496" s="44" t="n"/>
      <c r="I496" s="36" t="n"/>
      <c r="J496" s="36" t="n"/>
      <c r="K496" s="41" t="n"/>
      <c r="L496" s="41" t="n"/>
      <c r="M496" s="36" t="n"/>
      <c r="N496" s="36" t="n"/>
      <c r="O496" s="32" t="n"/>
      <c r="P496" s="36" t="n"/>
      <c r="Q496" s="36" t="n"/>
      <c r="R496" s="34">
        <f>IF(P496="","",IFERROR(VLOOKUP(P496,T_Produits,2,FALSE),""))</f>
        <v/>
      </c>
      <c r="S496" s="36" t="n"/>
      <c r="T496" s="43" t="n"/>
      <c r="U496" s="43" t="n"/>
      <c r="V496" s="36" t="n"/>
      <c r="W496" s="36" t="n"/>
      <c r="X496" s="33">
        <f>IF(C496="","",Commercial_Id)</f>
        <v/>
      </c>
      <c r="Y496" s="33">
        <f>IF(E496="","",IF(E496="Particulier / ménage","Particulier","Entreprise"))</f>
        <v/>
      </c>
      <c r="Z496" s="39">
        <f>IF(C496="","",COUNTIFS(VC_cle,AK496,VC_type,"Visite sur place"))</f>
        <v/>
      </c>
      <c r="AA496" s="46">
        <f>IF(AL496=0,"",IF(INT(AL496)=0,"",INT(AL496)))</f>
        <v/>
      </c>
      <c r="AB496" s="46">
        <f>IF(AL496=0,"",IF(INDEX(VC_actiondate,ROUND(MOD(AL496,1)*100000,0)-5)=0,"",INDEX(VC_actiondate,ROUND(MOD(AL496,1)*100000,0)-5)))</f>
        <v/>
      </c>
      <c r="AC496" s="33">
        <f>IF(AL496=0,"",INDEX(VC_actiontexte,ROUND(MOD(AL496,1)*100000,0)-5)&amp;"")</f>
        <v/>
      </c>
      <c r="AD496" s="46">
        <f>IF(C496="","",IF(COUNTIFS(Cmd_cle,AK496,Cmd_dateca,"&gt;0")=0,"",SMALL(INDEX(Cmd_dateca+(((Cmd_cle&lt;&gt;AK496)+(Cmd_dateca=0))&gt;0)*1000000,0),1)))</f>
        <v/>
      </c>
      <c r="AE496" s="46">
        <f>IF(C496="","",IF(COUNTIFS(Cmd_cle,AK496,Cmd_dateca,"&gt;0")=0,"",MAX(INDEX((Cmd_cle=AK496)*Cmd_dateca,0))))</f>
        <v/>
      </c>
      <c r="AF496" s="40">
        <f>IF(C496="","",SUMIFS(Cmd_montant,Cmd_cle,AK496,Cmd_dateca,"&gt;0"))</f>
        <v/>
      </c>
      <c r="AG496" s="40">
        <f>IF(C496="","",SUMIFS(Enc_montant,Enc_cle,AK496))</f>
        <v/>
      </c>
      <c r="AH496" s="40">
        <f>IF(C496="","",AF496-AG496)</f>
        <v/>
      </c>
      <c r="AI496" s="33">
        <f>IF(C496="","",IF(D496="Perdu","",IF(AND(AB496&lt;&gt;"",N(AB496)&lt;TODAY()),"Action en retard",IF(AND(D496="Client",AE496&lt;&gt;"",TODAY()-N(AE496)&gt;P_JoursInactif),"Client inactif",IF(AND(D496="Prospect",Z496=0,O496&lt;&gt;"",TODAY()-N(O496)&gt;P_JoursNonVisite),"Jamais visité","")))))</f>
        <v/>
      </c>
      <c r="AJ496" s="33">
        <f>IF(C496="","",C496&amp;" ["&amp;TEXT(A496,"000")&amp;"]")</f>
        <v/>
      </c>
      <c r="AK496" s="33">
        <f>IF(C496="","",X496&amp;"|"&amp;A496)</f>
        <v/>
      </c>
      <c r="AL496" s="47">
        <f>IF(C496="",0,IF(COUNTIFS(VC_cle,AK496)=0,0,MAX(INDEX((VC_cle=AK496)*(VC_date+ROW(VC_date)/100000),0))))</f>
        <v/>
      </c>
      <c r="AM496" s="47">
        <f>IF(AND(C496&lt;&gt;"",N(AB496)&gt;0,D496&lt;&gt;"Perdu"),AB496+ROW()/100000,0)</f>
        <v/>
      </c>
      <c r="AN496" s="48">
        <f>IF(N(AF496)&gt;0,ROUND(AF496,0)+ROW()/1000000,0)</f>
        <v/>
      </c>
    </row>
    <row r="497" ht="18" customHeight="1">
      <c r="A497" s="39" t="n">
        <v>492</v>
      </c>
      <c r="B497" s="33">
        <f>IF(C497="","",IF(X497="À RENSEIGNER","GIC",X497)&amp;"-"&amp;TEXT(A497,"000"))</f>
        <v/>
      </c>
      <c r="C497" s="36" t="n"/>
      <c r="D497" s="34">
        <f>IF(C497="","",IF(U497="☑ Oui","Perdu",IF(AD497&lt;&gt;"","Client","Prospect")))</f>
        <v/>
      </c>
      <c r="E497" s="36" t="n"/>
      <c r="F497" s="36" t="n"/>
      <c r="G497" s="44" t="n"/>
      <c r="H497" s="44" t="n"/>
      <c r="I497" s="36" t="n"/>
      <c r="J497" s="36" t="n"/>
      <c r="K497" s="41" t="n"/>
      <c r="L497" s="41" t="n"/>
      <c r="M497" s="36" t="n"/>
      <c r="N497" s="36" t="n"/>
      <c r="O497" s="32" t="n"/>
      <c r="P497" s="36" t="n"/>
      <c r="Q497" s="36" t="n"/>
      <c r="R497" s="34">
        <f>IF(P497="","",IFERROR(VLOOKUP(P497,T_Produits,2,FALSE),""))</f>
        <v/>
      </c>
      <c r="S497" s="36" t="n"/>
      <c r="T497" s="43" t="n"/>
      <c r="U497" s="43" t="n"/>
      <c r="V497" s="36" t="n"/>
      <c r="W497" s="36" t="n"/>
      <c r="X497" s="33">
        <f>IF(C497="","",Commercial_Id)</f>
        <v/>
      </c>
      <c r="Y497" s="33">
        <f>IF(E497="","",IF(E497="Particulier / ménage","Particulier","Entreprise"))</f>
        <v/>
      </c>
      <c r="Z497" s="39">
        <f>IF(C497="","",COUNTIFS(VC_cle,AK497,VC_type,"Visite sur place"))</f>
        <v/>
      </c>
      <c r="AA497" s="46">
        <f>IF(AL497=0,"",IF(INT(AL497)=0,"",INT(AL497)))</f>
        <v/>
      </c>
      <c r="AB497" s="46">
        <f>IF(AL497=0,"",IF(INDEX(VC_actiondate,ROUND(MOD(AL497,1)*100000,0)-5)=0,"",INDEX(VC_actiondate,ROUND(MOD(AL497,1)*100000,0)-5)))</f>
        <v/>
      </c>
      <c r="AC497" s="33">
        <f>IF(AL497=0,"",INDEX(VC_actiontexte,ROUND(MOD(AL497,1)*100000,0)-5)&amp;"")</f>
        <v/>
      </c>
      <c r="AD497" s="46">
        <f>IF(C497="","",IF(COUNTIFS(Cmd_cle,AK497,Cmd_dateca,"&gt;0")=0,"",SMALL(INDEX(Cmd_dateca+(((Cmd_cle&lt;&gt;AK497)+(Cmd_dateca=0))&gt;0)*1000000,0),1)))</f>
        <v/>
      </c>
      <c r="AE497" s="46">
        <f>IF(C497="","",IF(COUNTIFS(Cmd_cle,AK497,Cmd_dateca,"&gt;0")=0,"",MAX(INDEX((Cmd_cle=AK497)*Cmd_dateca,0))))</f>
        <v/>
      </c>
      <c r="AF497" s="40">
        <f>IF(C497="","",SUMIFS(Cmd_montant,Cmd_cle,AK497,Cmd_dateca,"&gt;0"))</f>
        <v/>
      </c>
      <c r="AG497" s="40">
        <f>IF(C497="","",SUMIFS(Enc_montant,Enc_cle,AK497))</f>
        <v/>
      </c>
      <c r="AH497" s="40">
        <f>IF(C497="","",AF497-AG497)</f>
        <v/>
      </c>
      <c r="AI497" s="33">
        <f>IF(C497="","",IF(D497="Perdu","",IF(AND(AB497&lt;&gt;"",N(AB497)&lt;TODAY()),"Action en retard",IF(AND(D497="Client",AE497&lt;&gt;"",TODAY()-N(AE497)&gt;P_JoursInactif),"Client inactif",IF(AND(D497="Prospect",Z497=0,O497&lt;&gt;"",TODAY()-N(O497)&gt;P_JoursNonVisite),"Jamais visité","")))))</f>
        <v/>
      </c>
      <c r="AJ497" s="33">
        <f>IF(C497="","",C497&amp;" ["&amp;TEXT(A497,"000")&amp;"]")</f>
        <v/>
      </c>
      <c r="AK497" s="33">
        <f>IF(C497="","",X497&amp;"|"&amp;A497)</f>
        <v/>
      </c>
      <c r="AL497" s="47">
        <f>IF(C497="",0,IF(COUNTIFS(VC_cle,AK497)=0,0,MAX(INDEX((VC_cle=AK497)*(VC_date+ROW(VC_date)/100000),0))))</f>
        <v/>
      </c>
      <c r="AM497" s="47">
        <f>IF(AND(C497&lt;&gt;"",N(AB497)&gt;0,D497&lt;&gt;"Perdu"),AB497+ROW()/100000,0)</f>
        <v/>
      </c>
      <c r="AN497" s="48">
        <f>IF(N(AF497)&gt;0,ROUND(AF497,0)+ROW()/1000000,0)</f>
        <v/>
      </c>
    </row>
    <row r="498" ht="18" customHeight="1">
      <c r="A498" s="39" t="n">
        <v>493</v>
      </c>
      <c r="B498" s="33">
        <f>IF(C498="","",IF(X498="À RENSEIGNER","GIC",X498)&amp;"-"&amp;TEXT(A498,"000"))</f>
        <v/>
      </c>
      <c r="C498" s="36" t="n"/>
      <c r="D498" s="34">
        <f>IF(C498="","",IF(U498="☑ Oui","Perdu",IF(AD498&lt;&gt;"","Client","Prospect")))</f>
        <v/>
      </c>
      <c r="E498" s="36" t="n"/>
      <c r="F498" s="36" t="n"/>
      <c r="G498" s="44" t="n"/>
      <c r="H498" s="44" t="n"/>
      <c r="I498" s="36" t="n"/>
      <c r="J498" s="36" t="n"/>
      <c r="K498" s="41" t="n"/>
      <c r="L498" s="41" t="n"/>
      <c r="M498" s="36" t="n"/>
      <c r="N498" s="36" t="n"/>
      <c r="O498" s="32" t="n"/>
      <c r="P498" s="36" t="n"/>
      <c r="Q498" s="36" t="n"/>
      <c r="R498" s="34">
        <f>IF(P498="","",IFERROR(VLOOKUP(P498,T_Produits,2,FALSE),""))</f>
        <v/>
      </c>
      <c r="S498" s="36" t="n"/>
      <c r="T498" s="43" t="n"/>
      <c r="U498" s="43" t="n"/>
      <c r="V498" s="36" t="n"/>
      <c r="W498" s="36" t="n"/>
      <c r="X498" s="33">
        <f>IF(C498="","",Commercial_Id)</f>
        <v/>
      </c>
      <c r="Y498" s="33">
        <f>IF(E498="","",IF(E498="Particulier / ménage","Particulier","Entreprise"))</f>
        <v/>
      </c>
      <c r="Z498" s="39">
        <f>IF(C498="","",COUNTIFS(VC_cle,AK498,VC_type,"Visite sur place"))</f>
        <v/>
      </c>
      <c r="AA498" s="46">
        <f>IF(AL498=0,"",IF(INT(AL498)=0,"",INT(AL498)))</f>
        <v/>
      </c>
      <c r="AB498" s="46">
        <f>IF(AL498=0,"",IF(INDEX(VC_actiondate,ROUND(MOD(AL498,1)*100000,0)-5)=0,"",INDEX(VC_actiondate,ROUND(MOD(AL498,1)*100000,0)-5)))</f>
        <v/>
      </c>
      <c r="AC498" s="33">
        <f>IF(AL498=0,"",INDEX(VC_actiontexte,ROUND(MOD(AL498,1)*100000,0)-5)&amp;"")</f>
        <v/>
      </c>
      <c r="AD498" s="46">
        <f>IF(C498="","",IF(COUNTIFS(Cmd_cle,AK498,Cmd_dateca,"&gt;0")=0,"",SMALL(INDEX(Cmd_dateca+(((Cmd_cle&lt;&gt;AK498)+(Cmd_dateca=0))&gt;0)*1000000,0),1)))</f>
        <v/>
      </c>
      <c r="AE498" s="46">
        <f>IF(C498="","",IF(COUNTIFS(Cmd_cle,AK498,Cmd_dateca,"&gt;0")=0,"",MAX(INDEX((Cmd_cle=AK498)*Cmd_dateca,0))))</f>
        <v/>
      </c>
      <c r="AF498" s="40">
        <f>IF(C498="","",SUMIFS(Cmd_montant,Cmd_cle,AK498,Cmd_dateca,"&gt;0"))</f>
        <v/>
      </c>
      <c r="AG498" s="40">
        <f>IF(C498="","",SUMIFS(Enc_montant,Enc_cle,AK498))</f>
        <v/>
      </c>
      <c r="AH498" s="40">
        <f>IF(C498="","",AF498-AG498)</f>
        <v/>
      </c>
      <c r="AI498" s="33">
        <f>IF(C498="","",IF(D498="Perdu","",IF(AND(AB498&lt;&gt;"",N(AB498)&lt;TODAY()),"Action en retard",IF(AND(D498="Client",AE498&lt;&gt;"",TODAY()-N(AE498)&gt;P_JoursInactif),"Client inactif",IF(AND(D498="Prospect",Z498=0,O498&lt;&gt;"",TODAY()-N(O498)&gt;P_JoursNonVisite),"Jamais visité","")))))</f>
        <v/>
      </c>
      <c r="AJ498" s="33">
        <f>IF(C498="","",C498&amp;" ["&amp;TEXT(A498,"000")&amp;"]")</f>
        <v/>
      </c>
      <c r="AK498" s="33">
        <f>IF(C498="","",X498&amp;"|"&amp;A498)</f>
        <v/>
      </c>
      <c r="AL498" s="47">
        <f>IF(C498="",0,IF(COUNTIFS(VC_cle,AK498)=0,0,MAX(INDEX((VC_cle=AK498)*(VC_date+ROW(VC_date)/100000),0))))</f>
        <v/>
      </c>
      <c r="AM498" s="47">
        <f>IF(AND(C498&lt;&gt;"",N(AB498)&gt;0,D498&lt;&gt;"Perdu"),AB498+ROW()/100000,0)</f>
        <v/>
      </c>
      <c r="AN498" s="48">
        <f>IF(N(AF498)&gt;0,ROUND(AF498,0)+ROW()/1000000,0)</f>
        <v/>
      </c>
    </row>
    <row r="499" ht="18" customHeight="1">
      <c r="A499" s="39" t="n">
        <v>494</v>
      </c>
      <c r="B499" s="33">
        <f>IF(C499="","",IF(X499="À RENSEIGNER","GIC",X499)&amp;"-"&amp;TEXT(A499,"000"))</f>
        <v/>
      </c>
      <c r="C499" s="36" t="n"/>
      <c r="D499" s="34">
        <f>IF(C499="","",IF(U499="☑ Oui","Perdu",IF(AD499&lt;&gt;"","Client","Prospect")))</f>
        <v/>
      </c>
      <c r="E499" s="36" t="n"/>
      <c r="F499" s="36" t="n"/>
      <c r="G499" s="44" t="n"/>
      <c r="H499" s="44" t="n"/>
      <c r="I499" s="36" t="n"/>
      <c r="J499" s="36" t="n"/>
      <c r="K499" s="41" t="n"/>
      <c r="L499" s="41" t="n"/>
      <c r="M499" s="36" t="n"/>
      <c r="N499" s="36" t="n"/>
      <c r="O499" s="32" t="n"/>
      <c r="P499" s="36" t="n"/>
      <c r="Q499" s="36" t="n"/>
      <c r="R499" s="34">
        <f>IF(P499="","",IFERROR(VLOOKUP(P499,T_Produits,2,FALSE),""))</f>
        <v/>
      </c>
      <c r="S499" s="36" t="n"/>
      <c r="T499" s="43" t="n"/>
      <c r="U499" s="43" t="n"/>
      <c r="V499" s="36" t="n"/>
      <c r="W499" s="36" t="n"/>
      <c r="X499" s="33">
        <f>IF(C499="","",Commercial_Id)</f>
        <v/>
      </c>
      <c r="Y499" s="33">
        <f>IF(E499="","",IF(E499="Particulier / ménage","Particulier","Entreprise"))</f>
        <v/>
      </c>
      <c r="Z499" s="39">
        <f>IF(C499="","",COUNTIFS(VC_cle,AK499,VC_type,"Visite sur place"))</f>
        <v/>
      </c>
      <c r="AA499" s="46">
        <f>IF(AL499=0,"",IF(INT(AL499)=0,"",INT(AL499)))</f>
        <v/>
      </c>
      <c r="AB499" s="46">
        <f>IF(AL499=0,"",IF(INDEX(VC_actiondate,ROUND(MOD(AL499,1)*100000,0)-5)=0,"",INDEX(VC_actiondate,ROUND(MOD(AL499,1)*100000,0)-5)))</f>
        <v/>
      </c>
      <c r="AC499" s="33">
        <f>IF(AL499=0,"",INDEX(VC_actiontexte,ROUND(MOD(AL499,1)*100000,0)-5)&amp;"")</f>
        <v/>
      </c>
      <c r="AD499" s="46">
        <f>IF(C499="","",IF(COUNTIFS(Cmd_cle,AK499,Cmd_dateca,"&gt;0")=0,"",SMALL(INDEX(Cmd_dateca+(((Cmd_cle&lt;&gt;AK499)+(Cmd_dateca=0))&gt;0)*1000000,0),1)))</f>
        <v/>
      </c>
      <c r="AE499" s="46">
        <f>IF(C499="","",IF(COUNTIFS(Cmd_cle,AK499,Cmd_dateca,"&gt;0")=0,"",MAX(INDEX((Cmd_cle=AK499)*Cmd_dateca,0))))</f>
        <v/>
      </c>
      <c r="AF499" s="40">
        <f>IF(C499="","",SUMIFS(Cmd_montant,Cmd_cle,AK499,Cmd_dateca,"&gt;0"))</f>
        <v/>
      </c>
      <c r="AG499" s="40">
        <f>IF(C499="","",SUMIFS(Enc_montant,Enc_cle,AK499))</f>
        <v/>
      </c>
      <c r="AH499" s="40">
        <f>IF(C499="","",AF499-AG499)</f>
        <v/>
      </c>
      <c r="AI499" s="33">
        <f>IF(C499="","",IF(D499="Perdu","",IF(AND(AB499&lt;&gt;"",N(AB499)&lt;TODAY()),"Action en retard",IF(AND(D499="Client",AE499&lt;&gt;"",TODAY()-N(AE499)&gt;P_JoursInactif),"Client inactif",IF(AND(D499="Prospect",Z499=0,O499&lt;&gt;"",TODAY()-N(O499)&gt;P_JoursNonVisite),"Jamais visité","")))))</f>
        <v/>
      </c>
      <c r="AJ499" s="33">
        <f>IF(C499="","",C499&amp;" ["&amp;TEXT(A499,"000")&amp;"]")</f>
        <v/>
      </c>
      <c r="AK499" s="33">
        <f>IF(C499="","",X499&amp;"|"&amp;A499)</f>
        <v/>
      </c>
      <c r="AL499" s="47">
        <f>IF(C499="",0,IF(COUNTIFS(VC_cle,AK499)=0,0,MAX(INDEX((VC_cle=AK499)*(VC_date+ROW(VC_date)/100000),0))))</f>
        <v/>
      </c>
      <c r="AM499" s="47">
        <f>IF(AND(C499&lt;&gt;"",N(AB499)&gt;0,D499&lt;&gt;"Perdu"),AB499+ROW()/100000,0)</f>
        <v/>
      </c>
      <c r="AN499" s="48">
        <f>IF(N(AF499)&gt;0,ROUND(AF499,0)+ROW()/1000000,0)</f>
        <v/>
      </c>
    </row>
    <row r="500" ht="18" customHeight="1">
      <c r="A500" s="39" t="n">
        <v>495</v>
      </c>
      <c r="B500" s="33">
        <f>IF(C500="","",IF(X500="À RENSEIGNER","GIC",X500)&amp;"-"&amp;TEXT(A500,"000"))</f>
        <v/>
      </c>
      <c r="C500" s="36" t="n"/>
      <c r="D500" s="34">
        <f>IF(C500="","",IF(U500="☑ Oui","Perdu",IF(AD500&lt;&gt;"","Client","Prospect")))</f>
        <v/>
      </c>
      <c r="E500" s="36" t="n"/>
      <c r="F500" s="36" t="n"/>
      <c r="G500" s="44" t="n"/>
      <c r="H500" s="44" t="n"/>
      <c r="I500" s="36" t="n"/>
      <c r="J500" s="36" t="n"/>
      <c r="K500" s="41" t="n"/>
      <c r="L500" s="41" t="n"/>
      <c r="M500" s="36" t="n"/>
      <c r="N500" s="36" t="n"/>
      <c r="O500" s="32" t="n"/>
      <c r="P500" s="36" t="n"/>
      <c r="Q500" s="36" t="n"/>
      <c r="R500" s="34">
        <f>IF(P500="","",IFERROR(VLOOKUP(P500,T_Produits,2,FALSE),""))</f>
        <v/>
      </c>
      <c r="S500" s="36" t="n"/>
      <c r="T500" s="43" t="n"/>
      <c r="U500" s="43" t="n"/>
      <c r="V500" s="36" t="n"/>
      <c r="W500" s="36" t="n"/>
      <c r="X500" s="33">
        <f>IF(C500="","",Commercial_Id)</f>
        <v/>
      </c>
      <c r="Y500" s="33">
        <f>IF(E500="","",IF(E500="Particulier / ménage","Particulier","Entreprise"))</f>
        <v/>
      </c>
      <c r="Z500" s="39">
        <f>IF(C500="","",COUNTIFS(VC_cle,AK500,VC_type,"Visite sur place"))</f>
        <v/>
      </c>
      <c r="AA500" s="46">
        <f>IF(AL500=0,"",IF(INT(AL500)=0,"",INT(AL500)))</f>
        <v/>
      </c>
      <c r="AB500" s="46">
        <f>IF(AL500=0,"",IF(INDEX(VC_actiondate,ROUND(MOD(AL500,1)*100000,0)-5)=0,"",INDEX(VC_actiondate,ROUND(MOD(AL500,1)*100000,0)-5)))</f>
        <v/>
      </c>
      <c r="AC500" s="33">
        <f>IF(AL500=0,"",INDEX(VC_actiontexte,ROUND(MOD(AL500,1)*100000,0)-5)&amp;"")</f>
        <v/>
      </c>
      <c r="AD500" s="46">
        <f>IF(C500="","",IF(COUNTIFS(Cmd_cle,AK500,Cmd_dateca,"&gt;0")=0,"",SMALL(INDEX(Cmd_dateca+(((Cmd_cle&lt;&gt;AK500)+(Cmd_dateca=0))&gt;0)*1000000,0),1)))</f>
        <v/>
      </c>
      <c r="AE500" s="46">
        <f>IF(C500="","",IF(COUNTIFS(Cmd_cle,AK500,Cmd_dateca,"&gt;0")=0,"",MAX(INDEX((Cmd_cle=AK500)*Cmd_dateca,0))))</f>
        <v/>
      </c>
      <c r="AF500" s="40">
        <f>IF(C500="","",SUMIFS(Cmd_montant,Cmd_cle,AK500,Cmd_dateca,"&gt;0"))</f>
        <v/>
      </c>
      <c r="AG500" s="40">
        <f>IF(C500="","",SUMIFS(Enc_montant,Enc_cle,AK500))</f>
        <v/>
      </c>
      <c r="AH500" s="40">
        <f>IF(C500="","",AF500-AG500)</f>
        <v/>
      </c>
      <c r="AI500" s="33">
        <f>IF(C500="","",IF(D500="Perdu","",IF(AND(AB500&lt;&gt;"",N(AB500)&lt;TODAY()),"Action en retard",IF(AND(D500="Client",AE500&lt;&gt;"",TODAY()-N(AE500)&gt;P_JoursInactif),"Client inactif",IF(AND(D500="Prospect",Z500=0,O500&lt;&gt;"",TODAY()-N(O500)&gt;P_JoursNonVisite),"Jamais visité","")))))</f>
        <v/>
      </c>
      <c r="AJ500" s="33">
        <f>IF(C500="","",C500&amp;" ["&amp;TEXT(A500,"000")&amp;"]")</f>
        <v/>
      </c>
      <c r="AK500" s="33">
        <f>IF(C500="","",X500&amp;"|"&amp;A500)</f>
        <v/>
      </c>
      <c r="AL500" s="47">
        <f>IF(C500="",0,IF(COUNTIFS(VC_cle,AK500)=0,0,MAX(INDEX((VC_cle=AK500)*(VC_date+ROW(VC_date)/100000),0))))</f>
        <v/>
      </c>
      <c r="AM500" s="47">
        <f>IF(AND(C500&lt;&gt;"",N(AB500)&gt;0,D500&lt;&gt;"Perdu"),AB500+ROW()/100000,0)</f>
        <v/>
      </c>
      <c r="AN500" s="48">
        <f>IF(N(AF500)&gt;0,ROUND(AF500,0)+ROW()/1000000,0)</f>
        <v/>
      </c>
    </row>
    <row r="501" ht="18" customHeight="1">
      <c r="A501" s="39" t="n">
        <v>496</v>
      </c>
      <c r="B501" s="33">
        <f>IF(C501="","",IF(X501="À RENSEIGNER","GIC",X501)&amp;"-"&amp;TEXT(A501,"000"))</f>
        <v/>
      </c>
      <c r="C501" s="36" t="n"/>
      <c r="D501" s="34">
        <f>IF(C501="","",IF(U501="☑ Oui","Perdu",IF(AD501&lt;&gt;"","Client","Prospect")))</f>
        <v/>
      </c>
      <c r="E501" s="36" t="n"/>
      <c r="F501" s="36" t="n"/>
      <c r="G501" s="44" t="n"/>
      <c r="H501" s="44" t="n"/>
      <c r="I501" s="36" t="n"/>
      <c r="J501" s="36" t="n"/>
      <c r="K501" s="41" t="n"/>
      <c r="L501" s="41" t="n"/>
      <c r="M501" s="36" t="n"/>
      <c r="N501" s="36" t="n"/>
      <c r="O501" s="32" t="n"/>
      <c r="P501" s="36" t="n"/>
      <c r="Q501" s="36" t="n"/>
      <c r="R501" s="34">
        <f>IF(P501="","",IFERROR(VLOOKUP(P501,T_Produits,2,FALSE),""))</f>
        <v/>
      </c>
      <c r="S501" s="36" t="n"/>
      <c r="T501" s="43" t="n"/>
      <c r="U501" s="43" t="n"/>
      <c r="V501" s="36" t="n"/>
      <c r="W501" s="36" t="n"/>
      <c r="X501" s="33">
        <f>IF(C501="","",Commercial_Id)</f>
        <v/>
      </c>
      <c r="Y501" s="33">
        <f>IF(E501="","",IF(E501="Particulier / ménage","Particulier","Entreprise"))</f>
        <v/>
      </c>
      <c r="Z501" s="39">
        <f>IF(C501="","",COUNTIFS(VC_cle,AK501,VC_type,"Visite sur place"))</f>
        <v/>
      </c>
      <c r="AA501" s="46">
        <f>IF(AL501=0,"",IF(INT(AL501)=0,"",INT(AL501)))</f>
        <v/>
      </c>
      <c r="AB501" s="46">
        <f>IF(AL501=0,"",IF(INDEX(VC_actiondate,ROUND(MOD(AL501,1)*100000,0)-5)=0,"",INDEX(VC_actiondate,ROUND(MOD(AL501,1)*100000,0)-5)))</f>
        <v/>
      </c>
      <c r="AC501" s="33">
        <f>IF(AL501=0,"",INDEX(VC_actiontexte,ROUND(MOD(AL501,1)*100000,0)-5)&amp;"")</f>
        <v/>
      </c>
      <c r="AD501" s="46">
        <f>IF(C501="","",IF(COUNTIFS(Cmd_cle,AK501,Cmd_dateca,"&gt;0")=0,"",SMALL(INDEX(Cmd_dateca+(((Cmd_cle&lt;&gt;AK501)+(Cmd_dateca=0))&gt;0)*1000000,0),1)))</f>
        <v/>
      </c>
      <c r="AE501" s="46">
        <f>IF(C501="","",IF(COUNTIFS(Cmd_cle,AK501,Cmd_dateca,"&gt;0")=0,"",MAX(INDEX((Cmd_cle=AK501)*Cmd_dateca,0))))</f>
        <v/>
      </c>
      <c r="AF501" s="40">
        <f>IF(C501="","",SUMIFS(Cmd_montant,Cmd_cle,AK501,Cmd_dateca,"&gt;0"))</f>
        <v/>
      </c>
      <c r="AG501" s="40">
        <f>IF(C501="","",SUMIFS(Enc_montant,Enc_cle,AK501))</f>
        <v/>
      </c>
      <c r="AH501" s="40">
        <f>IF(C501="","",AF501-AG501)</f>
        <v/>
      </c>
      <c r="AI501" s="33">
        <f>IF(C501="","",IF(D501="Perdu","",IF(AND(AB501&lt;&gt;"",N(AB501)&lt;TODAY()),"Action en retard",IF(AND(D501="Client",AE501&lt;&gt;"",TODAY()-N(AE501)&gt;P_JoursInactif),"Client inactif",IF(AND(D501="Prospect",Z501=0,O501&lt;&gt;"",TODAY()-N(O501)&gt;P_JoursNonVisite),"Jamais visité","")))))</f>
        <v/>
      </c>
      <c r="AJ501" s="33">
        <f>IF(C501="","",C501&amp;" ["&amp;TEXT(A501,"000")&amp;"]")</f>
        <v/>
      </c>
      <c r="AK501" s="33">
        <f>IF(C501="","",X501&amp;"|"&amp;A501)</f>
        <v/>
      </c>
      <c r="AL501" s="47">
        <f>IF(C501="",0,IF(COUNTIFS(VC_cle,AK501)=0,0,MAX(INDEX((VC_cle=AK501)*(VC_date+ROW(VC_date)/100000),0))))</f>
        <v/>
      </c>
      <c r="AM501" s="47">
        <f>IF(AND(C501&lt;&gt;"",N(AB501)&gt;0,D501&lt;&gt;"Perdu"),AB501+ROW()/100000,0)</f>
        <v/>
      </c>
      <c r="AN501" s="48">
        <f>IF(N(AF501)&gt;0,ROUND(AF501,0)+ROW()/1000000,0)</f>
        <v/>
      </c>
    </row>
    <row r="502" ht="18" customHeight="1">
      <c r="A502" s="39" t="n">
        <v>497</v>
      </c>
      <c r="B502" s="33">
        <f>IF(C502="","",IF(X502="À RENSEIGNER","GIC",X502)&amp;"-"&amp;TEXT(A502,"000"))</f>
        <v/>
      </c>
      <c r="C502" s="36" t="n"/>
      <c r="D502" s="34">
        <f>IF(C502="","",IF(U502="☑ Oui","Perdu",IF(AD502&lt;&gt;"","Client","Prospect")))</f>
        <v/>
      </c>
      <c r="E502" s="36" t="n"/>
      <c r="F502" s="36" t="n"/>
      <c r="G502" s="44" t="n"/>
      <c r="H502" s="44" t="n"/>
      <c r="I502" s="36" t="n"/>
      <c r="J502" s="36" t="n"/>
      <c r="K502" s="41" t="n"/>
      <c r="L502" s="41" t="n"/>
      <c r="M502" s="36" t="n"/>
      <c r="N502" s="36" t="n"/>
      <c r="O502" s="32" t="n"/>
      <c r="P502" s="36" t="n"/>
      <c r="Q502" s="36" t="n"/>
      <c r="R502" s="34">
        <f>IF(P502="","",IFERROR(VLOOKUP(P502,T_Produits,2,FALSE),""))</f>
        <v/>
      </c>
      <c r="S502" s="36" t="n"/>
      <c r="T502" s="43" t="n"/>
      <c r="U502" s="43" t="n"/>
      <c r="V502" s="36" t="n"/>
      <c r="W502" s="36" t="n"/>
      <c r="X502" s="33">
        <f>IF(C502="","",Commercial_Id)</f>
        <v/>
      </c>
      <c r="Y502" s="33">
        <f>IF(E502="","",IF(E502="Particulier / ménage","Particulier","Entreprise"))</f>
        <v/>
      </c>
      <c r="Z502" s="39">
        <f>IF(C502="","",COUNTIFS(VC_cle,AK502,VC_type,"Visite sur place"))</f>
        <v/>
      </c>
      <c r="AA502" s="46">
        <f>IF(AL502=0,"",IF(INT(AL502)=0,"",INT(AL502)))</f>
        <v/>
      </c>
      <c r="AB502" s="46">
        <f>IF(AL502=0,"",IF(INDEX(VC_actiondate,ROUND(MOD(AL502,1)*100000,0)-5)=0,"",INDEX(VC_actiondate,ROUND(MOD(AL502,1)*100000,0)-5)))</f>
        <v/>
      </c>
      <c r="AC502" s="33">
        <f>IF(AL502=0,"",INDEX(VC_actiontexte,ROUND(MOD(AL502,1)*100000,0)-5)&amp;"")</f>
        <v/>
      </c>
      <c r="AD502" s="46">
        <f>IF(C502="","",IF(COUNTIFS(Cmd_cle,AK502,Cmd_dateca,"&gt;0")=0,"",SMALL(INDEX(Cmd_dateca+(((Cmd_cle&lt;&gt;AK502)+(Cmd_dateca=0))&gt;0)*1000000,0),1)))</f>
        <v/>
      </c>
      <c r="AE502" s="46">
        <f>IF(C502="","",IF(COUNTIFS(Cmd_cle,AK502,Cmd_dateca,"&gt;0")=0,"",MAX(INDEX((Cmd_cle=AK502)*Cmd_dateca,0))))</f>
        <v/>
      </c>
      <c r="AF502" s="40">
        <f>IF(C502="","",SUMIFS(Cmd_montant,Cmd_cle,AK502,Cmd_dateca,"&gt;0"))</f>
        <v/>
      </c>
      <c r="AG502" s="40">
        <f>IF(C502="","",SUMIFS(Enc_montant,Enc_cle,AK502))</f>
        <v/>
      </c>
      <c r="AH502" s="40">
        <f>IF(C502="","",AF502-AG502)</f>
        <v/>
      </c>
      <c r="AI502" s="33">
        <f>IF(C502="","",IF(D502="Perdu","",IF(AND(AB502&lt;&gt;"",N(AB502)&lt;TODAY()),"Action en retard",IF(AND(D502="Client",AE502&lt;&gt;"",TODAY()-N(AE502)&gt;P_JoursInactif),"Client inactif",IF(AND(D502="Prospect",Z502=0,O502&lt;&gt;"",TODAY()-N(O502)&gt;P_JoursNonVisite),"Jamais visité","")))))</f>
        <v/>
      </c>
      <c r="AJ502" s="33">
        <f>IF(C502="","",C502&amp;" ["&amp;TEXT(A502,"000")&amp;"]")</f>
        <v/>
      </c>
      <c r="AK502" s="33">
        <f>IF(C502="","",X502&amp;"|"&amp;A502)</f>
        <v/>
      </c>
      <c r="AL502" s="47">
        <f>IF(C502="",0,IF(COUNTIFS(VC_cle,AK502)=0,0,MAX(INDEX((VC_cle=AK502)*(VC_date+ROW(VC_date)/100000),0))))</f>
        <v/>
      </c>
      <c r="AM502" s="47">
        <f>IF(AND(C502&lt;&gt;"",N(AB502)&gt;0,D502&lt;&gt;"Perdu"),AB502+ROW()/100000,0)</f>
        <v/>
      </c>
      <c r="AN502" s="48">
        <f>IF(N(AF502)&gt;0,ROUND(AF502,0)+ROW()/1000000,0)</f>
        <v/>
      </c>
    </row>
    <row r="503" ht="18" customHeight="1">
      <c r="A503" s="39" t="n">
        <v>498</v>
      </c>
      <c r="B503" s="33">
        <f>IF(C503="","",IF(X503="À RENSEIGNER","GIC",X503)&amp;"-"&amp;TEXT(A503,"000"))</f>
        <v/>
      </c>
      <c r="C503" s="36" t="n"/>
      <c r="D503" s="34">
        <f>IF(C503="","",IF(U503="☑ Oui","Perdu",IF(AD503&lt;&gt;"","Client","Prospect")))</f>
        <v/>
      </c>
      <c r="E503" s="36" t="n"/>
      <c r="F503" s="36" t="n"/>
      <c r="G503" s="44" t="n"/>
      <c r="H503" s="44" t="n"/>
      <c r="I503" s="36" t="n"/>
      <c r="J503" s="36" t="n"/>
      <c r="K503" s="41" t="n"/>
      <c r="L503" s="41" t="n"/>
      <c r="M503" s="36" t="n"/>
      <c r="N503" s="36" t="n"/>
      <c r="O503" s="32" t="n"/>
      <c r="P503" s="36" t="n"/>
      <c r="Q503" s="36" t="n"/>
      <c r="R503" s="34">
        <f>IF(P503="","",IFERROR(VLOOKUP(P503,T_Produits,2,FALSE),""))</f>
        <v/>
      </c>
      <c r="S503" s="36" t="n"/>
      <c r="T503" s="43" t="n"/>
      <c r="U503" s="43" t="n"/>
      <c r="V503" s="36" t="n"/>
      <c r="W503" s="36" t="n"/>
      <c r="X503" s="33">
        <f>IF(C503="","",Commercial_Id)</f>
        <v/>
      </c>
      <c r="Y503" s="33">
        <f>IF(E503="","",IF(E503="Particulier / ménage","Particulier","Entreprise"))</f>
        <v/>
      </c>
      <c r="Z503" s="39">
        <f>IF(C503="","",COUNTIFS(VC_cle,AK503,VC_type,"Visite sur place"))</f>
        <v/>
      </c>
      <c r="AA503" s="46">
        <f>IF(AL503=0,"",IF(INT(AL503)=0,"",INT(AL503)))</f>
        <v/>
      </c>
      <c r="AB503" s="46">
        <f>IF(AL503=0,"",IF(INDEX(VC_actiondate,ROUND(MOD(AL503,1)*100000,0)-5)=0,"",INDEX(VC_actiondate,ROUND(MOD(AL503,1)*100000,0)-5)))</f>
        <v/>
      </c>
      <c r="AC503" s="33">
        <f>IF(AL503=0,"",INDEX(VC_actiontexte,ROUND(MOD(AL503,1)*100000,0)-5)&amp;"")</f>
        <v/>
      </c>
      <c r="AD503" s="46">
        <f>IF(C503="","",IF(COUNTIFS(Cmd_cle,AK503,Cmd_dateca,"&gt;0")=0,"",SMALL(INDEX(Cmd_dateca+(((Cmd_cle&lt;&gt;AK503)+(Cmd_dateca=0))&gt;0)*1000000,0),1)))</f>
        <v/>
      </c>
      <c r="AE503" s="46">
        <f>IF(C503="","",IF(COUNTIFS(Cmd_cle,AK503,Cmd_dateca,"&gt;0")=0,"",MAX(INDEX((Cmd_cle=AK503)*Cmd_dateca,0))))</f>
        <v/>
      </c>
      <c r="AF503" s="40">
        <f>IF(C503="","",SUMIFS(Cmd_montant,Cmd_cle,AK503,Cmd_dateca,"&gt;0"))</f>
        <v/>
      </c>
      <c r="AG503" s="40">
        <f>IF(C503="","",SUMIFS(Enc_montant,Enc_cle,AK503))</f>
        <v/>
      </c>
      <c r="AH503" s="40">
        <f>IF(C503="","",AF503-AG503)</f>
        <v/>
      </c>
      <c r="AI503" s="33">
        <f>IF(C503="","",IF(D503="Perdu","",IF(AND(AB503&lt;&gt;"",N(AB503)&lt;TODAY()),"Action en retard",IF(AND(D503="Client",AE503&lt;&gt;"",TODAY()-N(AE503)&gt;P_JoursInactif),"Client inactif",IF(AND(D503="Prospect",Z503=0,O503&lt;&gt;"",TODAY()-N(O503)&gt;P_JoursNonVisite),"Jamais visité","")))))</f>
        <v/>
      </c>
      <c r="AJ503" s="33">
        <f>IF(C503="","",C503&amp;" ["&amp;TEXT(A503,"000")&amp;"]")</f>
        <v/>
      </c>
      <c r="AK503" s="33">
        <f>IF(C503="","",X503&amp;"|"&amp;A503)</f>
        <v/>
      </c>
      <c r="AL503" s="47">
        <f>IF(C503="",0,IF(COUNTIFS(VC_cle,AK503)=0,0,MAX(INDEX((VC_cle=AK503)*(VC_date+ROW(VC_date)/100000),0))))</f>
        <v/>
      </c>
      <c r="AM503" s="47">
        <f>IF(AND(C503&lt;&gt;"",N(AB503)&gt;0,D503&lt;&gt;"Perdu"),AB503+ROW()/100000,0)</f>
        <v/>
      </c>
      <c r="AN503" s="48">
        <f>IF(N(AF503)&gt;0,ROUND(AF503,0)+ROW()/1000000,0)</f>
        <v/>
      </c>
    </row>
    <row r="504" ht="18" customHeight="1">
      <c r="A504" s="39" t="n">
        <v>499</v>
      </c>
      <c r="B504" s="33">
        <f>IF(C504="","",IF(X504="À RENSEIGNER","GIC",X504)&amp;"-"&amp;TEXT(A504,"000"))</f>
        <v/>
      </c>
      <c r="C504" s="36" t="n"/>
      <c r="D504" s="34">
        <f>IF(C504="","",IF(U504="☑ Oui","Perdu",IF(AD504&lt;&gt;"","Client","Prospect")))</f>
        <v/>
      </c>
      <c r="E504" s="36" t="n"/>
      <c r="F504" s="36" t="n"/>
      <c r="G504" s="44" t="n"/>
      <c r="H504" s="44" t="n"/>
      <c r="I504" s="36" t="n"/>
      <c r="J504" s="36" t="n"/>
      <c r="K504" s="41" t="n"/>
      <c r="L504" s="41" t="n"/>
      <c r="M504" s="36" t="n"/>
      <c r="N504" s="36" t="n"/>
      <c r="O504" s="32" t="n"/>
      <c r="P504" s="36" t="n"/>
      <c r="Q504" s="36" t="n"/>
      <c r="R504" s="34">
        <f>IF(P504="","",IFERROR(VLOOKUP(P504,T_Produits,2,FALSE),""))</f>
        <v/>
      </c>
      <c r="S504" s="36" t="n"/>
      <c r="T504" s="43" t="n"/>
      <c r="U504" s="43" t="n"/>
      <c r="V504" s="36" t="n"/>
      <c r="W504" s="36" t="n"/>
      <c r="X504" s="33">
        <f>IF(C504="","",Commercial_Id)</f>
        <v/>
      </c>
      <c r="Y504" s="33">
        <f>IF(E504="","",IF(E504="Particulier / ménage","Particulier","Entreprise"))</f>
        <v/>
      </c>
      <c r="Z504" s="39">
        <f>IF(C504="","",COUNTIFS(VC_cle,AK504,VC_type,"Visite sur place"))</f>
        <v/>
      </c>
      <c r="AA504" s="46">
        <f>IF(AL504=0,"",IF(INT(AL504)=0,"",INT(AL504)))</f>
        <v/>
      </c>
      <c r="AB504" s="46">
        <f>IF(AL504=0,"",IF(INDEX(VC_actiondate,ROUND(MOD(AL504,1)*100000,0)-5)=0,"",INDEX(VC_actiondate,ROUND(MOD(AL504,1)*100000,0)-5)))</f>
        <v/>
      </c>
      <c r="AC504" s="33">
        <f>IF(AL504=0,"",INDEX(VC_actiontexte,ROUND(MOD(AL504,1)*100000,0)-5)&amp;"")</f>
        <v/>
      </c>
      <c r="AD504" s="46">
        <f>IF(C504="","",IF(COUNTIFS(Cmd_cle,AK504,Cmd_dateca,"&gt;0")=0,"",SMALL(INDEX(Cmd_dateca+(((Cmd_cle&lt;&gt;AK504)+(Cmd_dateca=0))&gt;0)*1000000,0),1)))</f>
        <v/>
      </c>
      <c r="AE504" s="46">
        <f>IF(C504="","",IF(COUNTIFS(Cmd_cle,AK504,Cmd_dateca,"&gt;0")=0,"",MAX(INDEX((Cmd_cle=AK504)*Cmd_dateca,0))))</f>
        <v/>
      </c>
      <c r="AF504" s="40">
        <f>IF(C504="","",SUMIFS(Cmd_montant,Cmd_cle,AK504,Cmd_dateca,"&gt;0"))</f>
        <v/>
      </c>
      <c r="AG504" s="40">
        <f>IF(C504="","",SUMIFS(Enc_montant,Enc_cle,AK504))</f>
        <v/>
      </c>
      <c r="AH504" s="40">
        <f>IF(C504="","",AF504-AG504)</f>
        <v/>
      </c>
      <c r="AI504" s="33">
        <f>IF(C504="","",IF(D504="Perdu","",IF(AND(AB504&lt;&gt;"",N(AB504)&lt;TODAY()),"Action en retard",IF(AND(D504="Client",AE504&lt;&gt;"",TODAY()-N(AE504)&gt;P_JoursInactif),"Client inactif",IF(AND(D504="Prospect",Z504=0,O504&lt;&gt;"",TODAY()-N(O504)&gt;P_JoursNonVisite),"Jamais visité","")))))</f>
        <v/>
      </c>
      <c r="AJ504" s="33">
        <f>IF(C504="","",C504&amp;" ["&amp;TEXT(A504,"000")&amp;"]")</f>
        <v/>
      </c>
      <c r="AK504" s="33">
        <f>IF(C504="","",X504&amp;"|"&amp;A504)</f>
        <v/>
      </c>
      <c r="AL504" s="47">
        <f>IF(C504="",0,IF(COUNTIFS(VC_cle,AK504)=0,0,MAX(INDEX((VC_cle=AK504)*(VC_date+ROW(VC_date)/100000),0))))</f>
        <v/>
      </c>
      <c r="AM504" s="47">
        <f>IF(AND(C504&lt;&gt;"",N(AB504)&gt;0,D504&lt;&gt;"Perdu"),AB504+ROW()/100000,0)</f>
        <v/>
      </c>
      <c r="AN504" s="48">
        <f>IF(N(AF504)&gt;0,ROUND(AF504,0)+ROW()/1000000,0)</f>
        <v/>
      </c>
    </row>
    <row r="505" ht="18" customHeight="1">
      <c r="A505" s="39" t="n">
        <v>500</v>
      </c>
      <c r="B505" s="33">
        <f>IF(C505="","",IF(X505="À RENSEIGNER","GIC",X505)&amp;"-"&amp;TEXT(A505,"000"))</f>
        <v/>
      </c>
      <c r="C505" s="36" t="n"/>
      <c r="D505" s="34">
        <f>IF(C505="","",IF(U505="☑ Oui","Perdu",IF(AD505&lt;&gt;"","Client","Prospect")))</f>
        <v/>
      </c>
      <c r="E505" s="36" t="n"/>
      <c r="F505" s="36" t="n"/>
      <c r="G505" s="44" t="n"/>
      <c r="H505" s="44" t="n"/>
      <c r="I505" s="36" t="n"/>
      <c r="J505" s="36" t="n"/>
      <c r="K505" s="41" t="n"/>
      <c r="L505" s="41" t="n"/>
      <c r="M505" s="36" t="n"/>
      <c r="N505" s="36" t="n"/>
      <c r="O505" s="32" t="n"/>
      <c r="P505" s="36" t="n"/>
      <c r="Q505" s="36" t="n"/>
      <c r="R505" s="34">
        <f>IF(P505="","",IFERROR(VLOOKUP(P505,T_Produits,2,FALSE),""))</f>
        <v/>
      </c>
      <c r="S505" s="36" t="n"/>
      <c r="T505" s="43" t="n"/>
      <c r="U505" s="43" t="n"/>
      <c r="V505" s="36" t="n"/>
      <c r="W505" s="36" t="n"/>
      <c r="X505" s="33">
        <f>IF(C505="","",Commercial_Id)</f>
        <v/>
      </c>
      <c r="Y505" s="33">
        <f>IF(E505="","",IF(E505="Particulier / ménage","Particulier","Entreprise"))</f>
        <v/>
      </c>
      <c r="Z505" s="39">
        <f>IF(C505="","",COUNTIFS(VC_cle,AK505,VC_type,"Visite sur place"))</f>
        <v/>
      </c>
      <c r="AA505" s="46">
        <f>IF(AL505=0,"",IF(INT(AL505)=0,"",INT(AL505)))</f>
        <v/>
      </c>
      <c r="AB505" s="46">
        <f>IF(AL505=0,"",IF(INDEX(VC_actiondate,ROUND(MOD(AL505,1)*100000,0)-5)=0,"",INDEX(VC_actiondate,ROUND(MOD(AL505,1)*100000,0)-5)))</f>
        <v/>
      </c>
      <c r="AC505" s="33">
        <f>IF(AL505=0,"",INDEX(VC_actiontexte,ROUND(MOD(AL505,1)*100000,0)-5)&amp;"")</f>
        <v/>
      </c>
      <c r="AD505" s="46">
        <f>IF(C505="","",IF(COUNTIFS(Cmd_cle,AK505,Cmd_dateca,"&gt;0")=0,"",SMALL(INDEX(Cmd_dateca+(((Cmd_cle&lt;&gt;AK505)+(Cmd_dateca=0))&gt;0)*1000000,0),1)))</f>
        <v/>
      </c>
      <c r="AE505" s="46">
        <f>IF(C505="","",IF(COUNTIFS(Cmd_cle,AK505,Cmd_dateca,"&gt;0")=0,"",MAX(INDEX((Cmd_cle=AK505)*Cmd_dateca,0))))</f>
        <v/>
      </c>
      <c r="AF505" s="40">
        <f>IF(C505="","",SUMIFS(Cmd_montant,Cmd_cle,AK505,Cmd_dateca,"&gt;0"))</f>
        <v/>
      </c>
      <c r="AG505" s="40">
        <f>IF(C505="","",SUMIFS(Enc_montant,Enc_cle,AK505))</f>
        <v/>
      </c>
      <c r="AH505" s="40">
        <f>IF(C505="","",AF505-AG505)</f>
        <v/>
      </c>
      <c r="AI505" s="33">
        <f>IF(C505="","",IF(D505="Perdu","",IF(AND(AB505&lt;&gt;"",N(AB505)&lt;TODAY()),"Action en retard",IF(AND(D505="Client",AE505&lt;&gt;"",TODAY()-N(AE505)&gt;P_JoursInactif),"Client inactif",IF(AND(D505="Prospect",Z505=0,O505&lt;&gt;"",TODAY()-N(O505)&gt;P_JoursNonVisite),"Jamais visité","")))))</f>
        <v/>
      </c>
      <c r="AJ505" s="33">
        <f>IF(C505="","",C505&amp;" ["&amp;TEXT(A505,"000")&amp;"]")</f>
        <v/>
      </c>
      <c r="AK505" s="33">
        <f>IF(C505="","",X505&amp;"|"&amp;A505)</f>
        <v/>
      </c>
      <c r="AL505" s="47">
        <f>IF(C505="",0,IF(COUNTIFS(VC_cle,AK505)=0,0,MAX(INDEX((VC_cle=AK505)*(VC_date+ROW(VC_date)/100000),0))))</f>
        <v/>
      </c>
      <c r="AM505" s="47">
        <f>IF(AND(C505&lt;&gt;"",N(AB505)&gt;0,D505&lt;&gt;"Perdu"),AB505+ROW()/100000,0)</f>
        <v/>
      </c>
      <c r="AN505" s="48">
        <f>IF(N(AF505)&gt;0,ROUND(AF505,0)+ROW()/1000000,0)</f>
        <v/>
      </c>
    </row>
    <row r="506" ht="18" customHeight="1">
      <c r="A506" s="39" t="n">
        <v>501</v>
      </c>
      <c r="B506" s="33">
        <f>IF(C506="","",IF(X506="À RENSEIGNER","GIC",X506)&amp;"-"&amp;TEXT(A506,"000"))</f>
        <v/>
      </c>
      <c r="C506" s="36" t="n"/>
      <c r="D506" s="34">
        <f>IF(C506="","",IF(U506="☑ Oui","Perdu",IF(AD506&lt;&gt;"","Client","Prospect")))</f>
        <v/>
      </c>
      <c r="E506" s="36" t="n"/>
      <c r="F506" s="36" t="n"/>
      <c r="G506" s="44" t="n"/>
      <c r="H506" s="44" t="n"/>
      <c r="I506" s="36" t="n"/>
      <c r="J506" s="36" t="n"/>
      <c r="K506" s="41" t="n"/>
      <c r="L506" s="41" t="n"/>
      <c r="M506" s="36" t="n"/>
      <c r="N506" s="36" t="n"/>
      <c r="O506" s="32" t="n"/>
      <c r="P506" s="36" t="n"/>
      <c r="Q506" s="36" t="n"/>
      <c r="R506" s="34">
        <f>IF(P506="","",IFERROR(VLOOKUP(P506,T_Produits,2,FALSE),""))</f>
        <v/>
      </c>
      <c r="S506" s="36" t="n"/>
      <c r="T506" s="43" t="n"/>
      <c r="U506" s="43" t="n"/>
      <c r="V506" s="36" t="n"/>
      <c r="W506" s="36" t="n"/>
      <c r="X506" s="33">
        <f>IF(C506="","",Commercial_Id)</f>
        <v/>
      </c>
      <c r="Y506" s="33">
        <f>IF(E506="","",IF(E506="Particulier / ménage","Particulier","Entreprise"))</f>
        <v/>
      </c>
      <c r="Z506" s="39">
        <f>IF(C506="","",COUNTIFS(VC_cle,AK506,VC_type,"Visite sur place"))</f>
        <v/>
      </c>
      <c r="AA506" s="46">
        <f>IF(AL506=0,"",IF(INT(AL506)=0,"",INT(AL506)))</f>
        <v/>
      </c>
      <c r="AB506" s="46">
        <f>IF(AL506=0,"",IF(INDEX(VC_actiondate,ROUND(MOD(AL506,1)*100000,0)-5)=0,"",INDEX(VC_actiondate,ROUND(MOD(AL506,1)*100000,0)-5)))</f>
        <v/>
      </c>
      <c r="AC506" s="33">
        <f>IF(AL506=0,"",INDEX(VC_actiontexte,ROUND(MOD(AL506,1)*100000,0)-5)&amp;"")</f>
        <v/>
      </c>
      <c r="AD506" s="46">
        <f>IF(C506="","",IF(COUNTIFS(Cmd_cle,AK506,Cmd_dateca,"&gt;0")=0,"",SMALL(INDEX(Cmd_dateca+(((Cmd_cle&lt;&gt;AK506)+(Cmd_dateca=0))&gt;0)*1000000,0),1)))</f>
        <v/>
      </c>
      <c r="AE506" s="46">
        <f>IF(C506="","",IF(COUNTIFS(Cmd_cle,AK506,Cmd_dateca,"&gt;0")=0,"",MAX(INDEX((Cmd_cle=AK506)*Cmd_dateca,0))))</f>
        <v/>
      </c>
      <c r="AF506" s="40">
        <f>IF(C506="","",SUMIFS(Cmd_montant,Cmd_cle,AK506,Cmd_dateca,"&gt;0"))</f>
        <v/>
      </c>
      <c r="AG506" s="40">
        <f>IF(C506="","",SUMIFS(Enc_montant,Enc_cle,AK506))</f>
        <v/>
      </c>
      <c r="AH506" s="40">
        <f>IF(C506="","",AF506-AG506)</f>
        <v/>
      </c>
      <c r="AI506" s="33">
        <f>IF(C506="","",IF(D506="Perdu","",IF(AND(AB506&lt;&gt;"",N(AB506)&lt;TODAY()),"Action en retard",IF(AND(D506="Client",AE506&lt;&gt;"",TODAY()-N(AE506)&gt;P_JoursInactif),"Client inactif",IF(AND(D506="Prospect",Z506=0,O506&lt;&gt;"",TODAY()-N(O506)&gt;P_JoursNonVisite),"Jamais visité","")))))</f>
        <v/>
      </c>
      <c r="AJ506" s="33">
        <f>IF(C506="","",C506&amp;" ["&amp;TEXT(A506,"000")&amp;"]")</f>
        <v/>
      </c>
      <c r="AK506" s="33">
        <f>IF(C506="","",X506&amp;"|"&amp;A506)</f>
        <v/>
      </c>
      <c r="AL506" s="47">
        <f>IF(C506="",0,IF(COUNTIFS(VC_cle,AK506)=0,0,MAX(INDEX((VC_cle=AK506)*(VC_date+ROW(VC_date)/100000),0))))</f>
        <v/>
      </c>
      <c r="AM506" s="47">
        <f>IF(AND(C506&lt;&gt;"",N(AB506)&gt;0,D506&lt;&gt;"Perdu"),AB506+ROW()/100000,0)</f>
        <v/>
      </c>
      <c r="AN506" s="48">
        <f>IF(N(AF506)&gt;0,ROUND(AF506,0)+ROW()/1000000,0)</f>
        <v/>
      </c>
    </row>
    <row r="507" ht="18" customHeight="1">
      <c r="A507" s="39" t="n">
        <v>502</v>
      </c>
      <c r="B507" s="33">
        <f>IF(C507="","",IF(X507="À RENSEIGNER","GIC",X507)&amp;"-"&amp;TEXT(A507,"000"))</f>
        <v/>
      </c>
      <c r="C507" s="36" t="n"/>
      <c r="D507" s="34">
        <f>IF(C507="","",IF(U507="☑ Oui","Perdu",IF(AD507&lt;&gt;"","Client","Prospect")))</f>
        <v/>
      </c>
      <c r="E507" s="36" t="n"/>
      <c r="F507" s="36" t="n"/>
      <c r="G507" s="44" t="n"/>
      <c r="H507" s="44" t="n"/>
      <c r="I507" s="36" t="n"/>
      <c r="J507" s="36" t="n"/>
      <c r="K507" s="41" t="n"/>
      <c r="L507" s="41" t="n"/>
      <c r="M507" s="36" t="n"/>
      <c r="N507" s="36" t="n"/>
      <c r="O507" s="32" t="n"/>
      <c r="P507" s="36" t="n"/>
      <c r="Q507" s="36" t="n"/>
      <c r="R507" s="34">
        <f>IF(P507="","",IFERROR(VLOOKUP(P507,T_Produits,2,FALSE),""))</f>
        <v/>
      </c>
      <c r="S507" s="36" t="n"/>
      <c r="T507" s="43" t="n"/>
      <c r="U507" s="43" t="n"/>
      <c r="V507" s="36" t="n"/>
      <c r="W507" s="36" t="n"/>
      <c r="X507" s="33">
        <f>IF(C507="","",Commercial_Id)</f>
        <v/>
      </c>
      <c r="Y507" s="33">
        <f>IF(E507="","",IF(E507="Particulier / ménage","Particulier","Entreprise"))</f>
        <v/>
      </c>
      <c r="Z507" s="39">
        <f>IF(C507="","",COUNTIFS(VC_cle,AK507,VC_type,"Visite sur place"))</f>
        <v/>
      </c>
      <c r="AA507" s="46">
        <f>IF(AL507=0,"",IF(INT(AL507)=0,"",INT(AL507)))</f>
        <v/>
      </c>
      <c r="AB507" s="46">
        <f>IF(AL507=0,"",IF(INDEX(VC_actiondate,ROUND(MOD(AL507,1)*100000,0)-5)=0,"",INDEX(VC_actiondate,ROUND(MOD(AL507,1)*100000,0)-5)))</f>
        <v/>
      </c>
      <c r="AC507" s="33">
        <f>IF(AL507=0,"",INDEX(VC_actiontexte,ROUND(MOD(AL507,1)*100000,0)-5)&amp;"")</f>
        <v/>
      </c>
      <c r="AD507" s="46">
        <f>IF(C507="","",IF(COUNTIFS(Cmd_cle,AK507,Cmd_dateca,"&gt;0")=0,"",SMALL(INDEX(Cmd_dateca+(((Cmd_cle&lt;&gt;AK507)+(Cmd_dateca=0))&gt;0)*1000000,0),1)))</f>
        <v/>
      </c>
      <c r="AE507" s="46">
        <f>IF(C507="","",IF(COUNTIFS(Cmd_cle,AK507,Cmd_dateca,"&gt;0")=0,"",MAX(INDEX((Cmd_cle=AK507)*Cmd_dateca,0))))</f>
        <v/>
      </c>
      <c r="AF507" s="40">
        <f>IF(C507="","",SUMIFS(Cmd_montant,Cmd_cle,AK507,Cmd_dateca,"&gt;0"))</f>
        <v/>
      </c>
      <c r="AG507" s="40">
        <f>IF(C507="","",SUMIFS(Enc_montant,Enc_cle,AK507))</f>
        <v/>
      </c>
      <c r="AH507" s="40">
        <f>IF(C507="","",AF507-AG507)</f>
        <v/>
      </c>
      <c r="AI507" s="33">
        <f>IF(C507="","",IF(D507="Perdu","",IF(AND(AB507&lt;&gt;"",N(AB507)&lt;TODAY()),"Action en retard",IF(AND(D507="Client",AE507&lt;&gt;"",TODAY()-N(AE507)&gt;P_JoursInactif),"Client inactif",IF(AND(D507="Prospect",Z507=0,O507&lt;&gt;"",TODAY()-N(O507)&gt;P_JoursNonVisite),"Jamais visité","")))))</f>
        <v/>
      </c>
      <c r="AJ507" s="33">
        <f>IF(C507="","",C507&amp;" ["&amp;TEXT(A507,"000")&amp;"]")</f>
        <v/>
      </c>
      <c r="AK507" s="33">
        <f>IF(C507="","",X507&amp;"|"&amp;A507)</f>
        <v/>
      </c>
      <c r="AL507" s="47">
        <f>IF(C507="",0,IF(COUNTIFS(VC_cle,AK507)=0,0,MAX(INDEX((VC_cle=AK507)*(VC_date+ROW(VC_date)/100000),0))))</f>
        <v/>
      </c>
      <c r="AM507" s="47">
        <f>IF(AND(C507&lt;&gt;"",N(AB507)&gt;0,D507&lt;&gt;"Perdu"),AB507+ROW()/100000,0)</f>
        <v/>
      </c>
      <c r="AN507" s="48">
        <f>IF(N(AF507)&gt;0,ROUND(AF507,0)+ROW()/1000000,0)</f>
        <v/>
      </c>
    </row>
    <row r="508" ht="18" customHeight="1">
      <c r="A508" s="39" t="n">
        <v>503</v>
      </c>
      <c r="B508" s="33">
        <f>IF(C508="","",IF(X508="À RENSEIGNER","GIC",X508)&amp;"-"&amp;TEXT(A508,"000"))</f>
        <v/>
      </c>
      <c r="C508" s="36" t="n"/>
      <c r="D508" s="34">
        <f>IF(C508="","",IF(U508="☑ Oui","Perdu",IF(AD508&lt;&gt;"","Client","Prospect")))</f>
        <v/>
      </c>
      <c r="E508" s="36" t="n"/>
      <c r="F508" s="36" t="n"/>
      <c r="G508" s="44" t="n"/>
      <c r="H508" s="44" t="n"/>
      <c r="I508" s="36" t="n"/>
      <c r="J508" s="36" t="n"/>
      <c r="K508" s="41" t="n"/>
      <c r="L508" s="41" t="n"/>
      <c r="M508" s="36" t="n"/>
      <c r="N508" s="36" t="n"/>
      <c r="O508" s="32" t="n"/>
      <c r="P508" s="36" t="n"/>
      <c r="Q508" s="36" t="n"/>
      <c r="R508" s="34">
        <f>IF(P508="","",IFERROR(VLOOKUP(P508,T_Produits,2,FALSE),""))</f>
        <v/>
      </c>
      <c r="S508" s="36" t="n"/>
      <c r="T508" s="43" t="n"/>
      <c r="U508" s="43" t="n"/>
      <c r="V508" s="36" t="n"/>
      <c r="W508" s="36" t="n"/>
      <c r="X508" s="33">
        <f>IF(C508="","",Commercial_Id)</f>
        <v/>
      </c>
      <c r="Y508" s="33">
        <f>IF(E508="","",IF(E508="Particulier / ménage","Particulier","Entreprise"))</f>
        <v/>
      </c>
      <c r="Z508" s="39">
        <f>IF(C508="","",COUNTIFS(VC_cle,AK508,VC_type,"Visite sur place"))</f>
        <v/>
      </c>
      <c r="AA508" s="46">
        <f>IF(AL508=0,"",IF(INT(AL508)=0,"",INT(AL508)))</f>
        <v/>
      </c>
      <c r="AB508" s="46">
        <f>IF(AL508=0,"",IF(INDEX(VC_actiondate,ROUND(MOD(AL508,1)*100000,0)-5)=0,"",INDEX(VC_actiondate,ROUND(MOD(AL508,1)*100000,0)-5)))</f>
        <v/>
      </c>
      <c r="AC508" s="33">
        <f>IF(AL508=0,"",INDEX(VC_actiontexte,ROUND(MOD(AL508,1)*100000,0)-5)&amp;"")</f>
        <v/>
      </c>
      <c r="AD508" s="46">
        <f>IF(C508="","",IF(COUNTIFS(Cmd_cle,AK508,Cmd_dateca,"&gt;0")=0,"",SMALL(INDEX(Cmd_dateca+(((Cmd_cle&lt;&gt;AK508)+(Cmd_dateca=0))&gt;0)*1000000,0),1)))</f>
        <v/>
      </c>
      <c r="AE508" s="46">
        <f>IF(C508="","",IF(COUNTIFS(Cmd_cle,AK508,Cmd_dateca,"&gt;0")=0,"",MAX(INDEX((Cmd_cle=AK508)*Cmd_dateca,0))))</f>
        <v/>
      </c>
      <c r="AF508" s="40">
        <f>IF(C508="","",SUMIFS(Cmd_montant,Cmd_cle,AK508,Cmd_dateca,"&gt;0"))</f>
        <v/>
      </c>
      <c r="AG508" s="40">
        <f>IF(C508="","",SUMIFS(Enc_montant,Enc_cle,AK508))</f>
        <v/>
      </c>
      <c r="AH508" s="40">
        <f>IF(C508="","",AF508-AG508)</f>
        <v/>
      </c>
      <c r="AI508" s="33">
        <f>IF(C508="","",IF(D508="Perdu","",IF(AND(AB508&lt;&gt;"",N(AB508)&lt;TODAY()),"Action en retard",IF(AND(D508="Client",AE508&lt;&gt;"",TODAY()-N(AE508)&gt;P_JoursInactif),"Client inactif",IF(AND(D508="Prospect",Z508=0,O508&lt;&gt;"",TODAY()-N(O508)&gt;P_JoursNonVisite),"Jamais visité","")))))</f>
        <v/>
      </c>
      <c r="AJ508" s="33">
        <f>IF(C508="","",C508&amp;" ["&amp;TEXT(A508,"000")&amp;"]")</f>
        <v/>
      </c>
      <c r="AK508" s="33">
        <f>IF(C508="","",X508&amp;"|"&amp;A508)</f>
        <v/>
      </c>
      <c r="AL508" s="47">
        <f>IF(C508="",0,IF(COUNTIFS(VC_cle,AK508)=0,0,MAX(INDEX((VC_cle=AK508)*(VC_date+ROW(VC_date)/100000),0))))</f>
        <v/>
      </c>
      <c r="AM508" s="47">
        <f>IF(AND(C508&lt;&gt;"",N(AB508)&gt;0,D508&lt;&gt;"Perdu"),AB508+ROW()/100000,0)</f>
        <v/>
      </c>
      <c r="AN508" s="48">
        <f>IF(N(AF508)&gt;0,ROUND(AF508,0)+ROW()/1000000,0)</f>
        <v/>
      </c>
    </row>
    <row r="509" ht="18" customHeight="1">
      <c r="A509" s="39" t="n">
        <v>504</v>
      </c>
      <c r="B509" s="33">
        <f>IF(C509="","",IF(X509="À RENSEIGNER","GIC",X509)&amp;"-"&amp;TEXT(A509,"000"))</f>
        <v/>
      </c>
      <c r="C509" s="36" t="n"/>
      <c r="D509" s="34">
        <f>IF(C509="","",IF(U509="☑ Oui","Perdu",IF(AD509&lt;&gt;"","Client","Prospect")))</f>
        <v/>
      </c>
      <c r="E509" s="36" t="n"/>
      <c r="F509" s="36" t="n"/>
      <c r="G509" s="44" t="n"/>
      <c r="H509" s="44" t="n"/>
      <c r="I509" s="36" t="n"/>
      <c r="J509" s="36" t="n"/>
      <c r="K509" s="41" t="n"/>
      <c r="L509" s="41" t="n"/>
      <c r="M509" s="36" t="n"/>
      <c r="N509" s="36" t="n"/>
      <c r="O509" s="32" t="n"/>
      <c r="P509" s="36" t="n"/>
      <c r="Q509" s="36" t="n"/>
      <c r="R509" s="34">
        <f>IF(P509="","",IFERROR(VLOOKUP(P509,T_Produits,2,FALSE),""))</f>
        <v/>
      </c>
      <c r="S509" s="36" t="n"/>
      <c r="T509" s="43" t="n"/>
      <c r="U509" s="43" t="n"/>
      <c r="V509" s="36" t="n"/>
      <c r="W509" s="36" t="n"/>
      <c r="X509" s="33">
        <f>IF(C509="","",Commercial_Id)</f>
        <v/>
      </c>
      <c r="Y509" s="33">
        <f>IF(E509="","",IF(E509="Particulier / ménage","Particulier","Entreprise"))</f>
        <v/>
      </c>
      <c r="Z509" s="39">
        <f>IF(C509="","",COUNTIFS(VC_cle,AK509,VC_type,"Visite sur place"))</f>
        <v/>
      </c>
      <c r="AA509" s="46">
        <f>IF(AL509=0,"",IF(INT(AL509)=0,"",INT(AL509)))</f>
        <v/>
      </c>
      <c r="AB509" s="46">
        <f>IF(AL509=0,"",IF(INDEX(VC_actiondate,ROUND(MOD(AL509,1)*100000,0)-5)=0,"",INDEX(VC_actiondate,ROUND(MOD(AL509,1)*100000,0)-5)))</f>
        <v/>
      </c>
      <c r="AC509" s="33">
        <f>IF(AL509=0,"",INDEX(VC_actiontexte,ROUND(MOD(AL509,1)*100000,0)-5)&amp;"")</f>
        <v/>
      </c>
      <c r="AD509" s="46">
        <f>IF(C509="","",IF(COUNTIFS(Cmd_cle,AK509,Cmd_dateca,"&gt;0")=0,"",SMALL(INDEX(Cmd_dateca+(((Cmd_cle&lt;&gt;AK509)+(Cmd_dateca=0))&gt;0)*1000000,0),1)))</f>
        <v/>
      </c>
      <c r="AE509" s="46">
        <f>IF(C509="","",IF(COUNTIFS(Cmd_cle,AK509,Cmd_dateca,"&gt;0")=0,"",MAX(INDEX((Cmd_cle=AK509)*Cmd_dateca,0))))</f>
        <v/>
      </c>
      <c r="AF509" s="40">
        <f>IF(C509="","",SUMIFS(Cmd_montant,Cmd_cle,AK509,Cmd_dateca,"&gt;0"))</f>
        <v/>
      </c>
      <c r="AG509" s="40">
        <f>IF(C509="","",SUMIFS(Enc_montant,Enc_cle,AK509))</f>
        <v/>
      </c>
      <c r="AH509" s="40">
        <f>IF(C509="","",AF509-AG509)</f>
        <v/>
      </c>
      <c r="AI509" s="33">
        <f>IF(C509="","",IF(D509="Perdu","",IF(AND(AB509&lt;&gt;"",N(AB509)&lt;TODAY()),"Action en retard",IF(AND(D509="Client",AE509&lt;&gt;"",TODAY()-N(AE509)&gt;P_JoursInactif),"Client inactif",IF(AND(D509="Prospect",Z509=0,O509&lt;&gt;"",TODAY()-N(O509)&gt;P_JoursNonVisite),"Jamais visité","")))))</f>
        <v/>
      </c>
      <c r="AJ509" s="33">
        <f>IF(C509="","",C509&amp;" ["&amp;TEXT(A509,"000")&amp;"]")</f>
        <v/>
      </c>
      <c r="AK509" s="33">
        <f>IF(C509="","",X509&amp;"|"&amp;A509)</f>
        <v/>
      </c>
      <c r="AL509" s="47">
        <f>IF(C509="",0,IF(COUNTIFS(VC_cle,AK509)=0,0,MAX(INDEX((VC_cle=AK509)*(VC_date+ROW(VC_date)/100000),0))))</f>
        <v/>
      </c>
      <c r="AM509" s="47">
        <f>IF(AND(C509&lt;&gt;"",N(AB509)&gt;0,D509&lt;&gt;"Perdu"),AB509+ROW()/100000,0)</f>
        <v/>
      </c>
      <c r="AN509" s="48">
        <f>IF(N(AF509)&gt;0,ROUND(AF509,0)+ROW()/1000000,0)</f>
        <v/>
      </c>
    </row>
    <row r="510" ht="18" customHeight="1">
      <c r="A510" s="39" t="n">
        <v>505</v>
      </c>
      <c r="B510" s="33">
        <f>IF(C510="","",IF(X510="À RENSEIGNER","GIC",X510)&amp;"-"&amp;TEXT(A510,"000"))</f>
        <v/>
      </c>
      <c r="C510" s="36" t="n"/>
      <c r="D510" s="34">
        <f>IF(C510="","",IF(U510="☑ Oui","Perdu",IF(AD510&lt;&gt;"","Client","Prospect")))</f>
        <v/>
      </c>
      <c r="E510" s="36" t="n"/>
      <c r="F510" s="36" t="n"/>
      <c r="G510" s="44" t="n"/>
      <c r="H510" s="44" t="n"/>
      <c r="I510" s="36" t="n"/>
      <c r="J510" s="36" t="n"/>
      <c r="K510" s="41" t="n"/>
      <c r="L510" s="41" t="n"/>
      <c r="M510" s="36" t="n"/>
      <c r="N510" s="36" t="n"/>
      <c r="O510" s="32" t="n"/>
      <c r="P510" s="36" t="n"/>
      <c r="Q510" s="36" t="n"/>
      <c r="R510" s="34">
        <f>IF(P510="","",IFERROR(VLOOKUP(P510,T_Produits,2,FALSE),""))</f>
        <v/>
      </c>
      <c r="S510" s="36" t="n"/>
      <c r="T510" s="43" t="n"/>
      <c r="U510" s="43" t="n"/>
      <c r="V510" s="36" t="n"/>
      <c r="W510" s="36" t="n"/>
      <c r="X510" s="33">
        <f>IF(C510="","",Commercial_Id)</f>
        <v/>
      </c>
      <c r="Y510" s="33">
        <f>IF(E510="","",IF(E510="Particulier / ménage","Particulier","Entreprise"))</f>
        <v/>
      </c>
      <c r="Z510" s="39">
        <f>IF(C510="","",COUNTIFS(VC_cle,AK510,VC_type,"Visite sur place"))</f>
        <v/>
      </c>
      <c r="AA510" s="46">
        <f>IF(AL510=0,"",IF(INT(AL510)=0,"",INT(AL510)))</f>
        <v/>
      </c>
      <c r="AB510" s="46">
        <f>IF(AL510=0,"",IF(INDEX(VC_actiondate,ROUND(MOD(AL510,1)*100000,0)-5)=0,"",INDEX(VC_actiondate,ROUND(MOD(AL510,1)*100000,0)-5)))</f>
        <v/>
      </c>
      <c r="AC510" s="33">
        <f>IF(AL510=0,"",INDEX(VC_actiontexte,ROUND(MOD(AL510,1)*100000,0)-5)&amp;"")</f>
        <v/>
      </c>
      <c r="AD510" s="46">
        <f>IF(C510="","",IF(COUNTIFS(Cmd_cle,AK510,Cmd_dateca,"&gt;0")=0,"",SMALL(INDEX(Cmd_dateca+(((Cmd_cle&lt;&gt;AK510)+(Cmd_dateca=0))&gt;0)*1000000,0),1)))</f>
        <v/>
      </c>
      <c r="AE510" s="46">
        <f>IF(C510="","",IF(COUNTIFS(Cmd_cle,AK510,Cmd_dateca,"&gt;0")=0,"",MAX(INDEX((Cmd_cle=AK510)*Cmd_dateca,0))))</f>
        <v/>
      </c>
      <c r="AF510" s="40">
        <f>IF(C510="","",SUMIFS(Cmd_montant,Cmd_cle,AK510,Cmd_dateca,"&gt;0"))</f>
        <v/>
      </c>
      <c r="AG510" s="40">
        <f>IF(C510="","",SUMIFS(Enc_montant,Enc_cle,AK510))</f>
        <v/>
      </c>
      <c r="AH510" s="40">
        <f>IF(C510="","",AF510-AG510)</f>
        <v/>
      </c>
      <c r="AI510" s="33">
        <f>IF(C510="","",IF(D510="Perdu","",IF(AND(AB510&lt;&gt;"",N(AB510)&lt;TODAY()),"Action en retard",IF(AND(D510="Client",AE510&lt;&gt;"",TODAY()-N(AE510)&gt;P_JoursInactif),"Client inactif",IF(AND(D510="Prospect",Z510=0,O510&lt;&gt;"",TODAY()-N(O510)&gt;P_JoursNonVisite),"Jamais visité","")))))</f>
        <v/>
      </c>
      <c r="AJ510" s="33">
        <f>IF(C510="","",C510&amp;" ["&amp;TEXT(A510,"000")&amp;"]")</f>
        <v/>
      </c>
      <c r="AK510" s="33">
        <f>IF(C510="","",X510&amp;"|"&amp;A510)</f>
        <v/>
      </c>
      <c r="AL510" s="47">
        <f>IF(C510="",0,IF(COUNTIFS(VC_cle,AK510)=0,0,MAX(INDEX((VC_cle=AK510)*(VC_date+ROW(VC_date)/100000),0))))</f>
        <v/>
      </c>
      <c r="AM510" s="47">
        <f>IF(AND(C510&lt;&gt;"",N(AB510)&gt;0,D510&lt;&gt;"Perdu"),AB510+ROW()/100000,0)</f>
        <v/>
      </c>
      <c r="AN510" s="48">
        <f>IF(N(AF510)&gt;0,ROUND(AF510,0)+ROW()/1000000,0)</f>
        <v/>
      </c>
    </row>
    <row r="511" ht="18" customHeight="1">
      <c r="A511" s="39" t="n">
        <v>506</v>
      </c>
      <c r="B511" s="33">
        <f>IF(C511="","",IF(X511="À RENSEIGNER","GIC",X511)&amp;"-"&amp;TEXT(A511,"000"))</f>
        <v/>
      </c>
      <c r="C511" s="36" t="n"/>
      <c r="D511" s="34">
        <f>IF(C511="","",IF(U511="☑ Oui","Perdu",IF(AD511&lt;&gt;"","Client","Prospect")))</f>
        <v/>
      </c>
      <c r="E511" s="36" t="n"/>
      <c r="F511" s="36" t="n"/>
      <c r="G511" s="44" t="n"/>
      <c r="H511" s="44" t="n"/>
      <c r="I511" s="36" t="n"/>
      <c r="J511" s="36" t="n"/>
      <c r="K511" s="41" t="n"/>
      <c r="L511" s="41" t="n"/>
      <c r="M511" s="36" t="n"/>
      <c r="N511" s="36" t="n"/>
      <c r="O511" s="32" t="n"/>
      <c r="P511" s="36" t="n"/>
      <c r="Q511" s="36" t="n"/>
      <c r="R511" s="34">
        <f>IF(P511="","",IFERROR(VLOOKUP(P511,T_Produits,2,FALSE),""))</f>
        <v/>
      </c>
      <c r="S511" s="36" t="n"/>
      <c r="T511" s="43" t="n"/>
      <c r="U511" s="43" t="n"/>
      <c r="V511" s="36" t="n"/>
      <c r="W511" s="36" t="n"/>
      <c r="X511" s="33">
        <f>IF(C511="","",Commercial_Id)</f>
        <v/>
      </c>
      <c r="Y511" s="33">
        <f>IF(E511="","",IF(E511="Particulier / ménage","Particulier","Entreprise"))</f>
        <v/>
      </c>
      <c r="Z511" s="39">
        <f>IF(C511="","",COUNTIFS(VC_cle,AK511,VC_type,"Visite sur place"))</f>
        <v/>
      </c>
      <c r="AA511" s="46">
        <f>IF(AL511=0,"",IF(INT(AL511)=0,"",INT(AL511)))</f>
        <v/>
      </c>
      <c r="AB511" s="46">
        <f>IF(AL511=0,"",IF(INDEX(VC_actiondate,ROUND(MOD(AL511,1)*100000,0)-5)=0,"",INDEX(VC_actiondate,ROUND(MOD(AL511,1)*100000,0)-5)))</f>
        <v/>
      </c>
      <c r="AC511" s="33">
        <f>IF(AL511=0,"",INDEX(VC_actiontexte,ROUND(MOD(AL511,1)*100000,0)-5)&amp;"")</f>
        <v/>
      </c>
      <c r="AD511" s="46">
        <f>IF(C511="","",IF(COUNTIFS(Cmd_cle,AK511,Cmd_dateca,"&gt;0")=0,"",SMALL(INDEX(Cmd_dateca+(((Cmd_cle&lt;&gt;AK511)+(Cmd_dateca=0))&gt;0)*1000000,0),1)))</f>
        <v/>
      </c>
      <c r="AE511" s="46">
        <f>IF(C511="","",IF(COUNTIFS(Cmd_cle,AK511,Cmd_dateca,"&gt;0")=0,"",MAX(INDEX((Cmd_cle=AK511)*Cmd_dateca,0))))</f>
        <v/>
      </c>
      <c r="AF511" s="40">
        <f>IF(C511="","",SUMIFS(Cmd_montant,Cmd_cle,AK511,Cmd_dateca,"&gt;0"))</f>
        <v/>
      </c>
      <c r="AG511" s="40">
        <f>IF(C511="","",SUMIFS(Enc_montant,Enc_cle,AK511))</f>
        <v/>
      </c>
      <c r="AH511" s="40">
        <f>IF(C511="","",AF511-AG511)</f>
        <v/>
      </c>
      <c r="AI511" s="33">
        <f>IF(C511="","",IF(D511="Perdu","",IF(AND(AB511&lt;&gt;"",N(AB511)&lt;TODAY()),"Action en retard",IF(AND(D511="Client",AE511&lt;&gt;"",TODAY()-N(AE511)&gt;P_JoursInactif),"Client inactif",IF(AND(D511="Prospect",Z511=0,O511&lt;&gt;"",TODAY()-N(O511)&gt;P_JoursNonVisite),"Jamais visité","")))))</f>
        <v/>
      </c>
      <c r="AJ511" s="33">
        <f>IF(C511="","",C511&amp;" ["&amp;TEXT(A511,"000")&amp;"]")</f>
        <v/>
      </c>
      <c r="AK511" s="33">
        <f>IF(C511="","",X511&amp;"|"&amp;A511)</f>
        <v/>
      </c>
      <c r="AL511" s="47">
        <f>IF(C511="",0,IF(COUNTIFS(VC_cle,AK511)=0,0,MAX(INDEX((VC_cle=AK511)*(VC_date+ROW(VC_date)/100000),0))))</f>
        <v/>
      </c>
      <c r="AM511" s="47">
        <f>IF(AND(C511&lt;&gt;"",N(AB511)&gt;0,D511&lt;&gt;"Perdu"),AB511+ROW()/100000,0)</f>
        <v/>
      </c>
      <c r="AN511" s="48">
        <f>IF(N(AF511)&gt;0,ROUND(AF511,0)+ROW()/1000000,0)</f>
        <v/>
      </c>
    </row>
    <row r="512" ht="18" customHeight="1">
      <c r="A512" s="39" t="n">
        <v>507</v>
      </c>
      <c r="B512" s="33">
        <f>IF(C512="","",IF(X512="À RENSEIGNER","GIC",X512)&amp;"-"&amp;TEXT(A512,"000"))</f>
        <v/>
      </c>
      <c r="C512" s="36" t="n"/>
      <c r="D512" s="34">
        <f>IF(C512="","",IF(U512="☑ Oui","Perdu",IF(AD512&lt;&gt;"","Client","Prospect")))</f>
        <v/>
      </c>
      <c r="E512" s="36" t="n"/>
      <c r="F512" s="36" t="n"/>
      <c r="G512" s="44" t="n"/>
      <c r="H512" s="44" t="n"/>
      <c r="I512" s="36" t="n"/>
      <c r="J512" s="36" t="n"/>
      <c r="K512" s="41" t="n"/>
      <c r="L512" s="41" t="n"/>
      <c r="M512" s="36" t="n"/>
      <c r="N512" s="36" t="n"/>
      <c r="O512" s="32" t="n"/>
      <c r="P512" s="36" t="n"/>
      <c r="Q512" s="36" t="n"/>
      <c r="R512" s="34">
        <f>IF(P512="","",IFERROR(VLOOKUP(P512,T_Produits,2,FALSE),""))</f>
        <v/>
      </c>
      <c r="S512" s="36" t="n"/>
      <c r="T512" s="43" t="n"/>
      <c r="U512" s="43" t="n"/>
      <c r="V512" s="36" t="n"/>
      <c r="W512" s="36" t="n"/>
      <c r="X512" s="33">
        <f>IF(C512="","",Commercial_Id)</f>
        <v/>
      </c>
      <c r="Y512" s="33">
        <f>IF(E512="","",IF(E512="Particulier / ménage","Particulier","Entreprise"))</f>
        <v/>
      </c>
      <c r="Z512" s="39">
        <f>IF(C512="","",COUNTIFS(VC_cle,AK512,VC_type,"Visite sur place"))</f>
        <v/>
      </c>
      <c r="AA512" s="46">
        <f>IF(AL512=0,"",IF(INT(AL512)=0,"",INT(AL512)))</f>
        <v/>
      </c>
      <c r="AB512" s="46">
        <f>IF(AL512=0,"",IF(INDEX(VC_actiondate,ROUND(MOD(AL512,1)*100000,0)-5)=0,"",INDEX(VC_actiondate,ROUND(MOD(AL512,1)*100000,0)-5)))</f>
        <v/>
      </c>
      <c r="AC512" s="33">
        <f>IF(AL512=0,"",INDEX(VC_actiontexte,ROUND(MOD(AL512,1)*100000,0)-5)&amp;"")</f>
        <v/>
      </c>
      <c r="AD512" s="46">
        <f>IF(C512="","",IF(COUNTIFS(Cmd_cle,AK512,Cmd_dateca,"&gt;0")=0,"",SMALL(INDEX(Cmd_dateca+(((Cmd_cle&lt;&gt;AK512)+(Cmd_dateca=0))&gt;0)*1000000,0),1)))</f>
        <v/>
      </c>
      <c r="AE512" s="46">
        <f>IF(C512="","",IF(COUNTIFS(Cmd_cle,AK512,Cmd_dateca,"&gt;0")=0,"",MAX(INDEX((Cmd_cle=AK512)*Cmd_dateca,0))))</f>
        <v/>
      </c>
      <c r="AF512" s="40">
        <f>IF(C512="","",SUMIFS(Cmd_montant,Cmd_cle,AK512,Cmd_dateca,"&gt;0"))</f>
        <v/>
      </c>
      <c r="AG512" s="40">
        <f>IF(C512="","",SUMIFS(Enc_montant,Enc_cle,AK512))</f>
        <v/>
      </c>
      <c r="AH512" s="40">
        <f>IF(C512="","",AF512-AG512)</f>
        <v/>
      </c>
      <c r="AI512" s="33">
        <f>IF(C512="","",IF(D512="Perdu","",IF(AND(AB512&lt;&gt;"",N(AB512)&lt;TODAY()),"Action en retard",IF(AND(D512="Client",AE512&lt;&gt;"",TODAY()-N(AE512)&gt;P_JoursInactif),"Client inactif",IF(AND(D512="Prospect",Z512=0,O512&lt;&gt;"",TODAY()-N(O512)&gt;P_JoursNonVisite),"Jamais visité","")))))</f>
        <v/>
      </c>
      <c r="AJ512" s="33">
        <f>IF(C512="","",C512&amp;" ["&amp;TEXT(A512,"000")&amp;"]")</f>
        <v/>
      </c>
      <c r="AK512" s="33">
        <f>IF(C512="","",X512&amp;"|"&amp;A512)</f>
        <v/>
      </c>
      <c r="AL512" s="47">
        <f>IF(C512="",0,IF(COUNTIFS(VC_cle,AK512)=0,0,MAX(INDEX((VC_cle=AK512)*(VC_date+ROW(VC_date)/100000),0))))</f>
        <v/>
      </c>
      <c r="AM512" s="47">
        <f>IF(AND(C512&lt;&gt;"",N(AB512)&gt;0,D512&lt;&gt;"Perdu"),AB512+ROW()/100000,0)</f>
        <v/>
      </c>
      <c r="AN512" s="48">
        <f>IF(N(AF512)&gt;0,ROUND(AF512,0)+ROW()/1000000,0)</f>
        <v/>
      </c>
    </row>
    <row r="513" ht="18" customHeight="1">
      <c r="A513" s="39" t="n">
        <v>508</v>
      </c>
      <c r="B513" s="33">
        <f>IF(C513="","",IF(X513="À RENSEIGNER","GIC",X513)&amp;"-"&amp;TEXT(A513,"000"))</f>
        <v/>
      </c>
      <c r="C513" s="36" t="n"/>
      <c r="D513" s="34">
        <f>IF(C513="","",IF(U513="☑ Oui","Perdu",IF(AD513&lt;&gt;"","Client","Prospect")))</f>
        <v/>
      </c>
      <c r="E513" s="36" t="n"/>
      <c r="F513" s="36" t="n"/>
      <c r="G513" s="44" t="n"/>
      <c r="H513" s="44" t="n"/>
      <c r="I513" s="36" t="n"/>
      <c r="J513" s="36" t="n"/>
      <c r="K513" s="41" t="n"/>
      <c r="L513" s="41" t="n"/>
      <c r="M513" s="36" t="n"/>
      <c r="N513" s="36" t="n"/>
      <c r="O513" s="32" t="n"/>
      <c r="P513" s="36" t="n"/>
      <c r="Q513" s="36" t="n"/>
      <c r="R513" s="34">
        <f>IF(P513="","",IFERROR(VLOOKUP(P513,T_Produits,2,FALSE),""))</f>
        <v/>
      </c>
      <c r="S513" s="36" t="n"/>
      <c r="T513" s="43" t="n"/>
      <c r="U513" s="43" t="n"/>
      <c r="V513" s="36" t="n"/>
      <c r="W513" s="36" t="n"/>
      <c r="X513" s="33">
        <f>IF(C513="","",Commercial_Id)</f>
        <v/>
      </c>
      <c r="Y513" s="33">
        <f>IF(E513="","",IF(E513="Particulier / ménage","Particulier","Entreprise"))</f>
        <v/>
      </c>
      <c r="Z513" s="39">
        <f>IF(C513="","",COUNTIFS(VC_cle,AK513,VC_type,"Visite sur place"))</f>
        <v/>
      </c>
      <c r="AA513" s="46">
        <f>IF(AL513=0,"",IF(INT(AL513)=0,"",INT(AL513)))</f>
        <v/>
      </c>
      <c r="AB513" s="46">
        <f>IF(AL513=0,"",IF(INDEX(VC_actiondate,ROUND(MOD(AL513,1)*100000,0)-5)=0,"",INDEX(VC_actiondate,ROUND(MOD(AL513,1)*100000,0)-5)))</f>
        <v/>
      </c>
      <c r="AC513" s="33">
        <f>IF(AL513=0,"",INDEX(VC_actiontexte,ROUND(MOD(AL513,1)*100000,0)-5)&amp;"")</f>
        <v/>
      </c>
      <c r="AD513" s="46">
        <f>IF(C513="","",IF(COUNTIFS(Cmd_cle,AK513,Cmd_dateca,"&gt;0")=0,"",SMALL(INDEX(Cmd_dateca+(((Cmd_cle&lt;&gt;AK513)+(Cmd_dateca=0))&gt;0)*1000000,0),1)))</f>
        <v/>
      </c>
      <c r="AE513" s="46">
        <f>IF(C513="","",IF(COUNTIFS(Cmd_cle,AK513,Cmd_dateca,"&gt;0")=0,"",MAX(INDEX((Cmd_cle=AK513)*Cmd_dateca,0))))</f>
        <v/>
      </c>
      <c r="AF513" s="40">
        <f>IF(C513="","",SUMIFS(Cmd_montant,Cmd_cle,AK513,Cmd_dateca,"&gt;0"))</f>
        <v/>
      </c>
      <c r="AG513" s="40">
        <f>IF(C513="","",SUMIFS(Enc_montant,Enc_cle,AK513))</f>
        <v/>
      </c>
      <c r="AH513" s="40">
        <f>IF(C513="","",AF513-AG513)</f>
        <v/>
      </c>
      <c r="AI513" s="33">
        <f>IF(C513="","",IF(D513="Perdu","",IF(AND(AB513&lt;&gt;"",N(AB513)&lt;TODAY()),"Action en retard",IF(AND(D513="Client",AE513&lt;&gt;"",TODAY()-N(AE513)&gt;P_JoursInactif),"Client inactif",IF(AND(D513="Prospect",Z513=0,O513&lt;&gt;"",TODAY()-N(O513)&gt;P_JoursNonVisite),"Jamais visité","")))))</f>
        <v/>
      </c>
      <c r="AJ513" s="33">
        <f>IF(C513="","",C513&amp;" ["&amp;TEXT(A513,"000")&amp;"]")</f>
        <v/>
      </c>
      <c r="AK513" s="33">
        <f>IF(C513="","",X513&amp;"|"&amp;A513)</f>
        <v/>
      </c>
      <c r="AL513" s="47">
        <f>IF(C513="",0,IF(COUNTIFS(VC_cle,AK513)=0,0,MAX(INDEX((VC_cle=AK513)*(VC_date+ROW(VC_date)/100000),0))))</f>
        <v/>
      </c>
      <c r="AM513" s="47">
        <f>IF(AND(C513&lt;&gt;"",N(AB513)&gt;0,D513&lt;&gt;"Perdu"),AB513+ROW()/100000,0)</f>
        <v/>
      </c>
      <c r="AN513" s="48">
        <f>IF(N(AF513)&gt;0,ROUND(AF513,0)+ROW()/1000000,0)</f>
        <v/>
      </c>
    </row>
    <row r="514" ht="18" customHeight="1">
      <c r="A514" s="39" t="n">
        <v>509</v>
      </c>
      <c r="B514" s="33">
        <f>IF(C514="","",IF(X514="À RENSEIGNER","GIC",X514)&amp;"-"&amp;TEXT(A514,"000"))</f>
        <v/>
      </c>
      <c r="C514" s="36" t="n"/>
      <c r="D514" s="34">
        <f>IF(C514="","",IF(U514="☑ Oui","Perdu",IF(AD514&lt;&gt;"","Client","Prospect")))</f>
        <v/>
      </c>
      <c r="E514" s="36" t="n"/>
      <c r="F514" s="36" t="n"/>
      <c r="G514" s="44" t="n"/>
      <c r="H514" s="44" t="n"/>
      <c r="I514" s="36" t="n"/>
      <c r="J514" s="36" t="n"/>
      <c r="K514" s="41" t="n"/>
      <c r="L514" s="41" t="n"/>
      <c r="M514" s="36" t="n"/>
      <c r="N514" s="36" t="n"/>
      <c r="O514" s="32" t="n"/>
      <c r="P514" s="36" t="n"/>
      <c r="Q514" s="36" t="n"/>
      <c r="R514" s="34">
        <f>IF(P514="","",IFERROR(VLOOKUP(P514,T_Produits,2,FALSE),""))</f>
        <v/>
      </c>
      <c r="S514" s="36" t="n"/>
      <c r="T514" s="43" t="n"/>
      <c r="U514" s="43" t="n"/>
      <c r="V514" s="36" t="n"/>
      <c r="W514" s="36" t="n"/>
      <c r="X514" s="33">
        <f>IF(C514="","",Commercial_Id)</f>
        <v/>
      </c>
      <c r="Y514" s="33">
        <f>IF(E514="","",IF(E514="Particulier / ménage","Particulier","Entreprise"))</f>
        <v/>
      </c>
      <c r="Z514" s="39">
        <f>IF(C514="","",COUNTIFS(VC_cle,AK514,VC_type,"Visite sur place"))</f>
        <v/>
      </c>
      <c r="AA514" s="46">
        <f>IF(AL514=0,"",IF(INT(AL514)=0,"",INT(AL514)))</f>
        <v/>
      </c>
      <c r="AB514" s="46">
        <f>IF(AL514=0,"",IF(INDEX(VC_actiondate,ROUND(MOD(AL514,1)*100000,0)-5)=0,"",INDEX(VC_actiondate,ROUND(MOD(AL514,1)*100000,0)-5)))</f>
        <v/>
      </c>
      <c r="AC514" s="33">
        <f>IF(AL514=0,"",INDEX(VC_actiontexte,ROUND(MOD(AL514,1)*100000,0)-5)&amp;"")</f>
        <v/>
      </c>
      <c r="AD514" s="46">
        <f>IF(C514="","",IF(COUNTIFS(Cmd_cle,AK514,Cmd_dateca,"&gt;0")=0,"",SMALL(INDEX(Cmd_dateca+(((Cmd_cle&lt;&gt;AK514)+(Cmd_dateca=0))&gt;0)*1000000,0),1)))</f>
        <v/>
      </c>
      <c r="AE514" s="46">
        <f>IF(C514="","",IF(COUNTIFS(Cmd_cle,AK514,Cmd_dateca,"&gt;0")=0,"",MAX(INDEX((Cmd_cle=AK514)*Cmd_dateca,0))))</f>
        <v/>
      </c>
      <c r="AF514" s="40">
        <f>IF(C514="","",SUMIFS(Cmd_montant,Cmd_cle,AK514,Cmd_dateca,"&gt;0"))</f>
        <v/>
      </c>
      <c r="AG514" s="40">
        <f>IF(C514="","",SUMIFS(Enc_montant,Enc_cle,AK514))</f>
        <v/>
      </c>
      <c r="AH514" s="40">
        <f>IF(C514="","",AF514-AG514)</f>
        <v/>
      </c>
      <c r="AI514" s="33">
        <f>IF(C514="","",IF(D514="Perdu","",IF(AND(AB514&lt;&gt;"",N(AB514)&lt;TODAY()),"Action en retard",IF(AND(D514="Client",AE514&lt;&gt;"",TODAY()-N(AE514)&gt;P_JoursInactif),"Client inactif",IF(AND(D514="Prospect",Z514=0,O514&lt;&gt;"",TODAY()-N(O514)&gt;P_JoursNonVisite),"Jamais visité","")))))</f>
        <v/>
      </c>
      <c r="AJ514" s="33">
        <f>IF(C514="","",C514&amp;" ["&amp;TEXT(A514,"000")&amp;"]")</f>
        <v/>
      </c>
      <c r="AK514" s="33">
        <f>IF(C514="","",X514&amp;"|"&amp;A514)</f>
        <v/>
      </c>
      <c r="AL514" s="47">
        <f>IF(C514="",0,IF(COUNTIFS(VC_cle,AK514)=0,0,MAX(INDEX((VC_cle=AK514)*(VC_date+ROW(VC_date)/100000),0))))</f>
        <v/>
      </c>
      <c r="AM514" s="47">
        <f>IF(AND(C514&lt;&gt;"",N(AB514)&gt;0,D514&lt;&gt;"Perdu"),AB514+ROW()/100000,0)</f>
        <v/>
      </c>
      <c r="AN514" s="48">
        <f>IF(N(AF514)&gt;0,ROUND(AF514,0)+ROW()/1000000,0)</f>
        <v/>
      </c>
    </row>
    <row r="515" ht="18" customHeight="1">
      <c r="A515" s="39" t="n">
        <v>510</v>
      </c>
      <c r="B515" s="33">
        <f>IF(C515="","",IF(X515="À RENSEIGNER","GIC",X515)&amp;"-"&amp;TEXT(A515,"000"))</f>
        <v/>
      </c>
      <c r="C515" s="36" t="n"/>
      <c r="D515" s="34">
        <f>IF(C515="","",IF(U515="☑ Oui","Perdu",IF(AD515&lt;&gt;"","Client","Prospect")))</f>
        <v/>
      </c>
      <c r="E515" s="36" t="n"/>
      <c r="F515" s="36" t="n"/>
      <c r="G515" s="44" t="n"/>
      <c r="H515" s="44" t="n"/>
      <c r="I515" s="36" t="n"/>
      <c r="J515" s="36" t="n"/>
      <c r="K515" s="41" t="n"/>
      <c r="L515" s="41" t="n"/>
      <c r="M515" s="36" t="n"/>
      <c r="N515" s="36" t="n"/>
      <c r="O515" s="32" t="n"/>
      <c r="P515" s="36" t="n"/>
      <c r="Q515" s="36" t="n"/>
      <c r="R515" s="34">
        <f>IF(P515="","",IFERROR(VLOOKUP(P515,T_Produits,2,FALSE),""))</f>
        <v/>
      </c>
      <c r="S515" s="36" t="n"/>
      <c r="T515" s="43" t="n"/>
      <c r="U515" s="43" t="n"/>
      <c r="V515" s="36" t="n"/>
      <c r="W515" s="36" t="n"/>
      <c r="X515" s="33">
        <f>IF(C515="","",Commercial_Id)</f>
        <v/>
      </c>
      <c r="Y515" s="33">
        <f>IF(E515="","",IF(E515="Particulier / ménage","Particulier","Entreprise"))</f>
        <v/>
      </c>
      <c r="Z515" s="39">
        <f>IF(C515="","",COUNTIFS(VC_cle,AK515,VC_type,"Visite sur place"))</f>
        <v/>
      </c>
      <c r="AA515" s="46">
        <f>IF(AL515=0,"",IF(INT(AL515)=0,"",INT(AL515)))</f>
        <v/>
      </c>
      <c r="AB515" s="46">
        <f>IF(AL515=0,"",IF(INDEX(VC_actiondate,ROUND(MOD(AL515,1)*100000,0)-5)=0,"",INDEX(VC_actiondate,ROUND(MOD(AL515,1)*100000,0)-5)))</f>
        <v/>
      </c>
      <c r="AC515" s="33">
        <f>IF(AL515=0,"",INDEX(VC_actiontexte,ROUND(MOD(AL515,1)*100000,0)-5)&amp;"")</f>
        <v/>
      </c>
      <c r="AD515" s="46">
        <f>IF(C515="","",IF(COUNTIFS(Cmd_cle,AK515,Cmd_dateca,"&gt;0")=0,"",SMALL(INDEX(Cmd_dateca+(((Cmd_cle&lt;&gt;AK515)+(Cmd_dateca=0))&gt;0)*1000000,0),1)))</f>
        <v/>
      </c>
      <c r="AE515" s="46">
        <f>IF(C515="","",IF(COUNTIFS(Cmd_cle,AK515,Cmd_dateca,"&gt;0")=0,"",MAX(INDEX((Cmd_cle=AK515)*Cmd_dateca,0))))</f>
        <v/>
      </c>
      <c r="AF515" s="40">
        <f>IF(C515="","",SUMIFS(Cmd_montant,Cmd_cle,AK515,Cmd_dateca,"&gt;0"))</f>
        <v/>
      </c>
      <c r="AG515" s="40">
        <f>IF(C515="","",SUMIFS(Enc_montant,Enc_cle,AK515))</f>
        <v/>
      </c>
      <c r="AH515" s="40">
        <f>IF(C515="","",AF515-AG515)</f>
        <v/>
      </c>
      <c r="AI515" s="33">
        <f>IF(C515="","",IF(D515="Perdu","",IF(AND(AB515&lt;&gt;"",N(AB515)&lt;TODAY()),"Action en retard",IF(AND(D515="Client",AE515&lt;&gt;"",TODAY()-N(AE515)&gt;P_JoursInactif),"Client inactif",IF(AND(D515="Prospect",Z515=0,O515&lt;&gt;"",TODAY()-N(O515)&gt;P_JoursNonVisite),"Jamais visité","")))))</f>
        <v/>
      </c>
      <c r="AJ515" s="33">
        <f>IF(C515="","",C515&amp;" ["&amp;TEXT(A515,"000")&amp;"]")</f>
        <v/>
      </c>
      <c r="AK515" s="33">
        <f>IF(C515="","",X515&amp;"|"&amp;A515)</f>
        <v/>
      </c>
      <c r="AL515" s="47">
        <f>IF(C515="",0,IF(COUNTIFS(VC_cle,AK515)=0,0,MAX(INDEX((VC_cle=AK515)*(VC_date+ROW(VC_date)/100000),0))))</f>
        <v/>
      </c>
      <c r="AM515" s="47">
        <f>IF(AND(C515&lt;&gt;"",N(AB515)&gt;0,D515&lt;&gt;"Perdu"),AB515+ROW()/100000,0)</f>
        <v/>
      </c>
      <c r="AN515" s="48">
        <f>IF(N(AF515)&gt;0,ROUND(AF515,0)+ROW()/1000000,0)</f>
        <v/>
      </c>
    </row>
    <row r="516" ht="18" customHeight="1">
      <c r="A516" s="39" t="n">
        <v>511</v>
      </c>
      <c r="B516" s="33">
        <f>IF(C516="","",IF(X516="À RENSEIGNER","GIC",X516)&amp;"-"&amp;TEXT(A516,"000"))</f>
        <v/>
      </c>
      <c r="C516" s="36" t="n"/>
      <c r="D516" s="34">
        <f>IF(C516="","",IF(U516="☑ Oui","Perdu",IF(AD516&lt;&gt;"","Client","Prospect")))</f>
        <v/>
      </c>
      <c r="E516" s="36" t="n"/>
      <c r="F516" s="36" t="n"/>
      <c r="G516" s="44" t="n"/>
      <c r="H516" s="44" t="n"/>
      <c r="I516" s="36" t="n"/>
      <c r="J516" s="36" t="n"/>
      <c r="K516" s="41" t="n"/>
      <c r="L516" s="41" t="n"/>
      <c r="M516" s="36" t="n"/>
      <c r="N516" s="36" t="n"/>
      <c r="O516" s="32" t="n"/>
      <c r="P516" s="36" t="n"/>
      <c r="Q516" s="36" t="n"/>
      <c r="R516" s="34">
        <f>IF(P516="","",IFERROR(VLOOKUP(P516,T_Produits,2,FALSE),""))</f>
        <v/>
      </c>
      <c r="S516" s="36" t="n"/>
      <c r="T516" s="43" t="n"/>
      <c r="U516" s="43" t="n"/>
      <c r="V516" s="36" t="n"/>
      <c r="W516" s="36" t="n"/>
      <c r="X516" s="33">
        <f>IF(C516="","",Commercial_Id)</f>
        <v/>
      </c>
      <c r="Y516" s="33">
        <f>IF(E516="","",IF(E516="Particulier / ménage","Particulier","Entreprise"))</f>
        <v/>
      </c>
      <c r="Z516" s="39">
        <f>IF(C516="","",COUNTIFS(VC_cle,AK516,VC_type,"Visite sur place"))</f>
        <v/>
      </c>
      <c r="AA516" s="46">
        <f>IF(AL516=0,"",IF(INT(AL516)=0,"",INT(AL516)))</f>
        <v/>
      </c>
      <c r="AB516" s="46">
        <f>IF(AL516=0,"",IF(INDEX(VC_actiondate,ROUND(MOD(AL516,1)*100000,0)-5)=0,"",INDEX(VC_actiondate,ROUND(MOD(AL516,1)*100000,0)-5)))</f>
        <v/>
      </c>
      <c r="AC516" s="33">
        <f>IF(AL516=0,"",INDEX(VC_actiontexte,ROUND(MOD(AL516,1)*100000,0)-5)&amp;"")</f>
        <v/>
      </c>
      <c r="AD516" s="46">
        <f>IF(C516="","",IF(COUNTIFS(Cmd_cle,AK516,Cmd_dateca,"&gt;0")=0,"",SMALL(INDEX(Cmd_dateca+(((Cmd_cle&lt;&gt;AK516)+(Cmd_dateca=0))&gt;0)*1000000,0),1)))</f>
        <v/>
      </c>
      <c r="AE516" s="46">
        <f>IF(C516="","",IF(COUNTIFS(Cmd_cle,AK516,Cmd_dateca,"&gt;0")=0,"",MAX(INDEX((Cmd_cle=AK516)*Cmd_dateca,0))))</f>
        <v/>
      </c>
      <c r="AF516" s="40">
        <f>IF(C516="","",SUMIFS(Cmd_montant,Cmd_cle,AK516,Cmd_dateca,"&gt;0"))</f>
        <v/>
      </c>
      <c r="AG516" s="40">
        <f>IF(C516="","",SUMIFS(Enc_montant,Enc_cle,AK516))</f>
        <v/>
      </c>
      <c r="AH516" s="40">
        <f>IF(C516="","",AF516-AG516)</f>
        <v/>
      </c>
      <c r="AI516" s="33">
        <f>IF(C516="","",IF(D516="Perdu","",IF(AND(AB516&lt;&gt;"",N(AB516)&lt;TODAY()),"Action en retard",IF(AND(D516="Client",AE516&lt;&gt;"",TODAY()-N(AE516)&gt;P_JoursInactif),"Client inactif",IF(AND(D516="Prospect",Z516=0,O516&lt;&gt;"",TODAY()-N(O516)&gt;P_JoursNonVisite),"Jamais visité","")))))</f>
        <v/>
      </c>
      <c r="AJ516" s="33">
        <f>IF(C516="","",C516&amp;" ["&amp;TEXT(A516,"000")&amp;"]")</f>
        <v/>
      </c>
      <c r="AK516" s="33">
        <f>IF(C516="","",X516&amp;"|"&amp;A516)</f>
        <v/>
      </c>
      <c r="AL516" s="47">
        <f>IF(C516="",0,IF(COUNTIFS(VC_cle,AK516)=0,0,MAX(INDEX((VC_cle=AK516)*(VC_date+ROW(VC_date)/100000),0))))</f>
        <v/>
      </c>
      <c r="AM516" s="47">
        <f>IF(AND(C516&lt;&gt;"",N(AB516)&gt;0,D516&lt;&gt;"Perdu"),AB516+ROW()/100000,0)</f>
        <v/>
      </c>
      <c r="AN516" s="48">
        <f>IF(N(AF516)&gt;0,ROUND(AF516,0)+ROW()/1000000,0)</f>
        <v/>
      </c>
    </row>
    <row r="517" ht="18" customHeight="1">
      <c r="A517" s="39" t="n">
        <v>512</v>
      </c>
      <c r="B517" s="33">
        <f>IF(C517="","",IF(X517="À RENSEIGNER","GIC",X517)&amp;"-"&amp;TEXT(A517,"000"))</f>
        <v/>
      </c>
      <c r="C517" s="36" t="n"/>
      <c r="D517" s="34">
        <f>IF(C517="","",IF(U517="☑ Oui","Perdu",IF(AD517&lt;&gt;"","Client","Prospect")))</f>
        <v/>
      </c>
      <c r="E517" s="36" t="n"/>
      <c r="F517" s="36" t="n"/>
      <c r="G517" s="44" t="n"/>
      <c r="H517" s="44" t="n"/>
      <c r="I517" s="36" t="n"/>
      <c r="J517" s="36" t="n"/>
      <c r="K517" s="41" t="n"/>
      <c r="L517" s="41" t="n"/>
      <c r="M517" s="36" t="n"/>
      <c r="N517" s="36" t="n"/>
      <c r="O517" s="32" t="n"/>
      <c r="P517" s="36" t="n"/>
      <c r="Q517" s="36" t="n"/>
      <c r="R517" s="34">
        <f>IF(P517="","",IFERROR(VLOOKUP(P517,T_Produits,2,FALSE),""))</f>
        <v/>
      </c>
      <c r="S517" s="36" t="n"/>
      <c r="T517" s="43" t="n"/>
      <c r="U517" s="43" t="n"/>
      <c r="V517" s="36" t="n"/>
      <c r="W517" s="36" t="n"/>
      <c r="X517" s="33">
        <f>IF(C517="","",Commercial_Id)</f>
        <v/>
      </c>
      <c r="Y517" s="33">
        <f>IF(E517="","",IF(E517="Particulier / ménage","Particulier","Entreprise"))</f>
        <v/>
      </c>
      <c r="Z517" s="39">
        <f>IF(C517="","",COUNTIFS(VC_cle,AK517,VC_type,"Visite sur place"))</f>
        <v/>
      </c>
      <c r="AA517" s="46">
        <f>IF(AL517=0,"",IF(INT(AL517)=0,"",INT(AL517)))</f>
        <v/>
      </c>
      <c r="AB517" s="46">
        <f>IF(AL517=0,"",IF(INDEX(VC_actiondate,ROUND(MOD(AL517,1)*100000,0)-5)=0,"",INDEX(VC_actiondate,ROUND(MOD(AL517,1)*100000,0)-5)))</f>
        <v/>
      </c>
      <c r="AC517" s="33">
        <f>IF(AL517=0,"",INDEX(VC_actiontexte,ROUND(MOD(AL517,1)*100000,0)-5)&amp;"")</f>
        <v/>
      </c>
      <c r="AD517" s="46">
        <f>IF(C517="","",IF(COUNTIFS(Cmd_cle,AK517,Cmd_dateca,"&gt;0")=0,"",SMALL(INDEX(Cmd_dateca+(((Cmd_cle&lt;&gt;AK517)+(Cmd_dateca=0))&gt;0)*1000000,0),1)))</f>
        <v/>
      </c>
      <c r="AE517" s="46">
        <f>IF(C517="","",IF(COUNTIFS(Cmd_cle,AK517,Cmd_dateca,"&gt;0")=0,"",MAX(INDEX((Cmd_cle=AK517)*Cmd_dateca,0))))</f>
        <v/>
      </c>
      <c r="AF517" s="40">
        <f>IF(C517="","",SUMIFS(Cmd_montant,Cmd_cle,AK517,Cmd_dateca,"&gt;0"))</f>
        <v/>
      </c>
      <c r="AG517" s="40">
        <f>IF(C517="","",SUMIFS(Enc_montant,Enc_cle,AK517))</f>
        <v/>
      </c>
      <c r="AH517" s="40">
        <f>IF(C517="","",AF517-AG517)</f>
        <v/>
      </c>
      <c r="AI517" s="33">
        <f>IF(C517="","",IF(D517="Perdu","",IF(AND(AB517&lt;&gt;"",N(AB517)&lt;TODAY()),"Action en retard",IF(AND(D517="Client",AE517&lt;&gt;"",TODAY()-N(AE517)&gt;P_JoursInactif),"Client inactif",IF(AND(D517="Prospect",Z517=0,O517&lt;&gt;"",TODAY()-N(O517)&gt;P_JoursNonVisite),"Jamais visité","")))))</f>
        <v/>
      </c>
      <c r="AJ517" s="33">
        <f>IF(C517="","",C517&amp;" ["&amp;TEXT(A517,"000")&amp;"]")</f>
        <v/>
      </c>
      <c r="AK517" s="33">
        <f>IF(C517="","",X517&amp;"|"&amp;A517)</f>
        <v/>
      </c>
      <c r="AL517" s="47">
        <f>IF(C517="",0,IF(COUNTIFS(VC_cle,AK517)=0,0,MAX(INDEX((VC_cle=AK517)*(VC_date+ROW(VC_date)/100000),0))))</f>
        <v/>
      </c>
      <c r="AM517" s="47">
        <f>IF(AND(C517&lt;&gt;"",N(AB517)&gt;0,D517&lt;&gt;"Perdu"),AB517+ROW()/100000,0)</f>
        <v/>
      </c>
      <c r="AN517" s="48">
        <f>IF(N(AF517)&gt;0,ROUND(AF517,0)+ROW()/1000000,0)</f>
        <v/>
      </c>
    </row>
    <row r="518" ht="18" customHeight="1">
      <c r="A518" s="39" t="n">
        <v>513</v>
      </c>
      <c r="B518" s="33">
        <f>IF(C518="","",IF(X518="À RENSEIGNER","GIC",X518)&amp;"-"&amp;TEXT(A518,"000"))</f>
        <v/>
      </c>
      <c r="C518" s="36" t="n"/>
      <c r="D518" s="34">
        <f>IF(C518="","",IF(U518="☑ Oui","Perdu",IF(AD518&lt;&gt;"","Client","Prospect")))</f>
        <v/>
      </c>
      <c r="E518" s="36" t="n"/>
      <c r="F518" s="36" t="n"/>
      <c r="G518" s="44" t="n"/>
      <c r="H518" s="44" t="n"/>
      <c r="I518" s="36" t="n"/>
      <c r="J518" s="36" t="n"/>
      <c r="K518" s="41" t="n"/>
      <c r="L518" s="41" t="n"/>
      <c r="M518" s="36" t="n"/>
      <c r="N518" s="36" t="n"/>
      <c r="O518" s="32" t="n"/>
      <c r="P518" s="36" t="n"/>
      <c r="Q518" s="36" t="n"/>
      <c r="R518" s="34">
        <f>IF(P518="","",IFERROR(VLOOKUP(P518,T_Produits,2,FALSE),""))</f>
        <v/>
      </c>
      <c r="S518" s="36" t="n"/>
      <c r="T518" s="43" t="n"/>
      <c r="U518" s="43" t="n"/>
      <c r="V518" s="36" t="n"/>
      <c r="W518" s="36" t="n"/>
      <c r="X518" s="33">
        <f>IF(C518="","",Commercial_Id)</f>
        <v/>
      </c>
      <c r="Y518" s="33">
        <f>IF(E518="","",IF(E518="Particulier / ménage","Particulier","Entreprise"))</f>
        <v/>
      </c>
      <c r="Z518" s="39">
        <f>IF(C518="","",COUNTIFS(VC_cle,AK518,VC_type,"Visite sur place"))</f>
        <v/>
      </c>
      <c r="AA518" s="46">
        <f>IF(AL518=0,"",IF(INT(AL518)=0,"",INT(AL518)))</f>
        <v/>
      </c>
      <c r="AB518" s="46">
        <f>IF(AL518=0,"",IF(INDEX(VC_actiondate,ROUND(MOD(AL518,1)*100000,0)-5)=0,"",INDEX(VC_actiondate,ROUND(MOD(AL518,1)*100000,0)-5)))</f>
        <v/>
      </c>
      <c r="AC518" s="33">
        <f>IF(AL518=0,"",INDEX(VC_actiontexte,ROUND(MOD(AL518,1)*100000,0)-5)&amp;"")</f>
        <v/>
      </c>
      <c r="AD518" s="46">
        <f>IF(C518="","",IF(COUNTIFS(Cmd_cle,AK518,Cmd_dateca,"&gt;0")=0,"",SMALL(INDEX(Cmd_dateca+(((Cmd_cle&lt;&gt;AK518)+(Cmd_dateca=0))&gt;0)*1000000,0),1)))</f>
        <v/>
      </c>
      <c r="AE518" s="46">
        <f>IF(C518="","",IF(COUNTIFS(Cmd_cle,AK518,Cmd_dateca,"&gt;0")=0,"",MAX(INDEX((Cmd_cle=AK518)*Cmd_dateca,0))))</f>
        <v/>
      </c>
      <c r="AF518" s="40">
        <f>IF(C518="","",SUMIFS(Cmd_montant,Cmd_cle,AK518,Cmd_dateca,"&gt;0"))</f>
        <v/>
      </c>
      <c r="AG518" s="40">
        <f>IF(C518="","",SUMIFS(Enc_montant,Enc_cle,AK518))</f>
        <v/>
      </c>
      <c r="AH518" s="40">
        <f>IF(C518="","",AF518-AG518)</f>
        <v/>
      </c>
      <c r="AI518" s="33">
        <f>IF(C518="","",IF(D518="Perdu","",IF(AND(AB518&lt;&gt;"",N(AB518)&lt;TODAY()),"Action en retard",IF(AND(D518="Client",AE518&lt;&gt;"",TODAY()-N(AE518)&gt;P_JoursInactif),"Client inactif",IF(AND(D518="Prospect",Z518=0,O518&lt;&gt;"",TODAY()-N(O518)&gt;P_JoursNonVisite),"Jamais visité","")))))</f>
        <v/>
      </c>
      <c r="AJ518" s="33">
        <f>IF(C518="","",C518&amp;" ["&amp;TEXT(A518,"000")&amp;"]")</f>
        <v/>
      </c>
      <c r="AK518" s="33">
        <f>IF(C518="","",X518&amp;"|"&amp;A518)</f>
        <v/>
      </c>
      <c r="AL518" s="47">
        <f>IF(C518="",0,IF(COUNTIFS(VC_cle,AK518)=0,0,MAX(INDEX((VC_cle=AK518)*(VC_date+ROW(VC_date)/100000),0))))</f>
        <v/>
      </c>
      <c r="AM518" s="47">
        <f>IF(AND(C518&lt;&gt;"",N(AB518)&gt;0,D518&lt;&gt;"Perdu"),AB518+ROW()/100000,0)</f>
        <v/>
      </c>
      <c r="AN518" s="48">
        <f>IF(N(AF518)&gt;0,ROUND(AF518,0)+ROW()/1000000,0)</f>
        <v/>
      </c>
    </row>
    <row r="519" ht="18" customHeight="1">
      <c r="A519" s="39" t="n">
        <v>514</v>
      </c>
      <c r="B519" s="33">
        <f>IF(C519="","",IF(X519="À RENSEIGNER","GIC",X519)&amp;"-"&amp;TEXT(A519,"000"))</f>
        <v/>
      </c>
      <c r="C519" s="36" t="n"/>
      <c r="D519" s="34">
        <f>IF(C519="","",IF(U519="☑ Oui","Perdu",IF(AD519&lt;&gt;"","Client","Prospect")))</f>
        <v/>
      </c>
      <c r="E519" s="36" t="n"/>
      <c r="F519" s="36" t="n"/>
      <c r="G519" s="44" t="n"/>
      <c r="H519" s="44" t="n"/>
      <c r="I519" s="36" t="n"/>
      <c r="J519" s="36" t="n"/>
      <c r="K519" s="41" t="n"/>
      <c r="L519" s="41" t="n"/>
      <c r="M519" s="36" t="n"/>
      <c r="N519" s="36" t="n"/>
      <c r="O519" s="32" t="n"/>
      <c r="P519" s="36" t="n"/>
      <c r="Q519" s="36" t="n"/>
      <c r="R519" s="34">
        <f>IF(P519="","",IFERROR(VLOOKUP(P519,T_Produits,2,FALSE),""))</f>
        <v/>
      </c>
      <c r="S519" s="36" t="n"/>
      <c r="T519" s="43" t="n"/>
      <c r="U519" s="43" t="n"/>
      <c r="V519" s="36" t="n"/>
      <c r="W519" s="36" t="n"/>
      <c r="X519" s="33">
        <f>IF(C519="","",Commercial_Id)</f>
        <v/>
      </c>
      <c r="Y519" s="33">
        <f>IF(E519="","",IF(E519="Particulier / ménage","Particulier","Entreprise"))</f>
        <v/>
      </c>
      <c r="Z519" s="39">
        <f>IF(C519="","",COUNTIFS(VC_cle,AK519,VC_type,"Visite sur place"))</f>
        <v/>
      </c>
      <c r="AA519" s="46">
        <f>IF(AL519=0,"",IF(INT(AL519)=0,"",INT(AL519)))</f>
        <v/>
      </c>
      <c r="AB519" s="46">
        <f>IF(AL519=0,"",IF(INDEX(VC_actiondate,ROUND(MOD(AL519,1)*100000,0)-5)=0,"",INDEX(VC_actiondate,ROUND(MOD(AL519,1)*100000,0)-5)))</f>
        <v/>
      </c>
      <c r="AC519" s="33">
        <f>IF(AL519=0,"",INDEX(VC_actiontexte,ROUND(MOD(AL519,1)*100000,0)-5)&amp;"")</f>
        <v/>
      </c>
      <c r="AD519" s="46">
        <f>IF(C519="","",IF(COUNTIFS(Cmd_cle,AK519,Cmd_dateca,"&gt;0")=0,"",SMALL(INDEX(Cmd_dateca+(((Cmd_cle&lt;&gt;AK519)+(Cmd_dateca=0))&gt;0)*1000000,0),1)))</f>
        <v/>
      </c>
      <c r="AE519" s="46">
        <f>IF(C519="","",IF(COUNTIFS(Cmd_cle,AK519,Cmd_dateca,"&gt;0")=0,"",MAX(INDEX((Cmd_cle=AK519)*Cmd_dateca,0))))</f>
        <v/>
      </c>
      <c r="AF519" s="40">
        <f>IF(C519="","",SUMIFS(Cmd_montant,Cmd_cle,AK519,Cmd_dateca,"&gt;0"))</f>
        <v/>
      </c>
      <c r="AG519" s="40">
        <f>IF(C519="","",SUMIFS(Enc_montant,Enc_cle,AK519))</f>
        <v/>
      </c>
      <c r="AH519" s="40">
        <f>IF(C519="","",AF519-AG519)</f>
        <v/>
      </c>
      <c r="AI519" s="33">
        <f>IF(C519="","",IF(D519="Perdu","",IF(AND(AB519&lt;&gt;"",N(AB519)&lt;TODAY()),"Action en retard",IF(AND(D519="Client",AE519&lt;&gt;"",TODAY()-N(AE519)&gt;P_JoursInactif),"Client inactif",IF(AND(D519="Prospect",Z519=0,O519&lt;&gt;"",TODAY()-N(O519)&gt;P_JoursNonVisite),"Jamais visité","")))))</f>
        <v/>
      </c>
      <c r="AJ519" s="33">
        <f>IF(C519="","",C519&amp;" ["&amp;TEXT(A519,"000")&amp;"]")</f>
        <v/>
      </c>
      <c r="AK519" s="33">
        <f>IF(C519="","",X519&amp;"|"&amp;A519)</f>
        <v/>
      </c>
      <c r="AL519" s="47">
        <f>IF(C519="",0,IF(COUNTIFS(VC_cle,AK519)=0,0,MAX(INDEX((VC_cle=AK519)*(VC_date+ROW(VC_date)/100000),0))))</f>
        <v/>
      </c>
      <c r="AM519" s="47">
        <f>IF(AND(C519&lt;&gt;"",N(AB519)&gt;0,D519&lt;&gt;"Perdu"),AB519+ROW()/100000,0)</f>
        <v/>
      </c>
      <c r="AN519" s="48">
        <f>IF(N(AF519)&gt;0,ROUND(AF519,0)+ROW()/1000000,0)</f>
        <v/>
      </c>
    </row>
    <row r="520" ht="18" customHeight="1">
      <c r="A520" s="39" t="n">
        <v>515</v>
      </c>
      <c r="B520" s="33">
        <f>IF(C520="","",IF(X520="À RENSEIGNER","GIC",X520)&amp;"-"&amp;TEXT(A520,"000"))</f>
        <v/>
      </c>
      <c r="C520" s="36" t="n"/>
      <c r="D520" s="34">
        <f>IF(C520="","",IF(U520="☑ Oui","Perdu",IF(AD520&lt;&gt;"","Client","Prospect")))</f>
        <v/>
      </c>
      <c r="E520" s="36" t="n"/>
      <c r="F520" s="36" t="n"/>
      <c r="G520" s="44" t="n"/>
      <c r="H520" s="44" t="n"/>
      <c r="I520" s="36" t="n"/>
      <c r="J520" s="36" t="n"/>
      <c r="K520" s="41" t="n"/>
      <c r="L520" s="41" t="n"/>
      <c r="M520" s="36" t="n"/>
      <c r="N520" s="36" t="n"/>
      <c r="O520" s="32" t="n"/>
      <c r="P520" s="36" t="n"/>
      <c r="Q520" s="36" t="n"/>
      <c r="R520" s="34">
        <f>IF(P520="","",IFERROR(VLOOKUP(P520,T_Produits,2,FALSE),""))</f>
        <v/>
      </c>
      <c r="S520" s="36" t="n"/>
      <c r="T520" s="43" t="n"/>
      <c r="U520" s="43" t="n"/>
      <c r="V520" s="36" t="n"/>
      <c r="W520" s="36" t="n"/>
      <c r="X520" s="33">
        <f>IF(C520="","",Commercial_Id)</f>
        <v/>
      </c>
      <c r="Y520" s="33">
        <f>IF(E520="","",IF(E520="Particulier / ménage","Particulier","Entreprise"))</f>
        <v/>
      </c>
      <c r="Z520" s="39">
        <f>IF(C520="","",COUNTIFS(VC_cle,AK520,VC_type,"Visite sur place"))</f>
        <v/>
      </c>
      <c r="AA520" s="46">
        <f>IF(AL520=0,"",IF(INT(AL520)=0,"",INT(AL520)))</f>
        <v/>
      </c>
      <c r="AB520" s="46">
        <f>IF(AL520=0,"",IF(INDEX(VC_actiondate,ROUND(MOD(AL520,1)*100000,0)-5)=0,"",INDEX(VC_actiondate,ROUND(MOD(AL520,1)*100000,0)-5)))</f>
        <v/>
      </c>
      <c r="AC520" s="33">
        <f>IF(AL520=0,"",INDEX(VC_actiontexte,ROUND(MOD(AL520,1)*100000,0)-5)&amp;"")</f>
        <v/>
      </c>
      <c r="AD520" s="46">
        <f>IF(C520="","",IF(COUNTIFS(Cmd_cle,AK520,Cmd_dateca,"&gt;0")=0,"",SMALL(INDEX(Cmd_dateca+(((Cmd_cle&lt;&gt;AK520)+(Cmd_dateca=0))&gt;0)*1000000,0),1)))</f>
        <v/>
      </c>
      <c r="AE520" s="46">
        <f>IF(C520="","",IF(COUNTIFS(Cmd_cle,AK520,Cmd_dateca,"&gt;0")=0,"",MAX(INDEX((Cmd_cle=AK520)*Cmd_dateca,0))))</f>
        <v/>
      </c>
      <c r="AF520" s="40">
        <f>IF(C520="","",SUMIFS(Cmd_montant,Cmd_cle,AK520,Cmd_dateca,"&gt;0"))</f>
        <v/>
      </c>
      <c r="AG520" s="40">
        <f>IF(C520="","",SUMIFS(Enc_montant,Enc_cle,AK520))</f>
        <v/>
      </c>
      <c r="AH520" s="40">
        <f>IF(C520="","",AF520-AG520)</f>
        <v/>
      </c>
      <c r="AI520" s="33">
        <f>IF(C520="","",IF(D520="Perdu","",IF(AND(AB520&lt;&gt;"",N(AB520)&lt;TODAY()),"Action en retard",IF(AND(D520="Client",AE520&lt;&gt;"",TODAY()-N(AE520)&gt;P_JoursInactif),"Client inactif",IF(AND(D520="Prospect",Z520=0,O520&lt;&gt;"",TODAY()-N(O520)&gt;P_JoursNonVisite),"Jamais visité","")))))</f>
        <v/>
      </c>
      <c r="AJ520" s="33">
        <f>IF(C520="","",C520&amp;" ["&amp;TEXT(A520,"000")&amp;"]")</f>
        <v/>
      </c>
      <c r="AK520" s="33">
        <f>IF(C520="","",X520&amp;"|"&amp;A520)</f>
        <v/>
      </c>
      <c r="AL520" s="47">
        <f>IF(C520="",0,IF(COUNTIFS(VC_cle,AK520)=0,0,MAX(INDEX((VC_cle=AK520)*(VC_date+ROW(VC_date)/100000),0))))</f>
        <v/>
      </c>
      <c r="AM520" s="47">
        <f>IF(AND(C520&lt;&gt;"",N(AB520)&gt;0,D520&lt;&gt;"Perdu"),AB520+ROW()/100000,0)</f>
        <v/>
      </c>
      <c r="AN520" s="48">
        <f>IF(N(AF520)&gt;0,ROUND(AF520,0)+ROW()/1000000,0)</f>
        <v/>
      </c>
    </row>
    <row r="521" ht="18" customHeight="1">
      <c r="A521" s="39" t="n">
        <v>516</v>
      </c>
      <c r="B521" s="33">
        <f>IF(C521="","",IF(X521="À RENSEIGNER","GIC",X521)&amp;"-"&amp;TEXT(A521,"000"))</f>
        <v/>
      </c>
      <c r="C521" s="36" t="n"/>
      <c r="D521" s="34">
        <f>IF(C521="","",IF(U521="☑ Oui","Perdu",IF(AD521&lt;&gt;"","Client","Prospect")))</f>
        <v/>
      </c>
      <c r="E521" s="36" t="n"/>
      <c r="F521" s="36" t="n"/>
      <c r="G521" s="44" t="n"/>
      <c r="H521" s="44" t="n"/>
      <c r="I521" s="36" t="n"/>
      <c r="J521" s="36" t="n"/>
      <c r="K521" s="41" t="n"/>
      <c r="L521" s="41" t="n"/>
      <c r="M521" s="36" t="n"/>
      <c r="N521" s="36" t="n"/>
      <c r="O521" s="32" t="n"/>
      <c r="P521" s="36" t="n"/>
      <c r="Q521" s="36" t="n"/>
      <c r="R521" s="34">
        <f>IF(P521="","",IFERROR(VLOOKUP(P521,T_Produits,2,FALSE),""))</f>
        <v/>
      </c>
      <c r="S521" s="36" t="n"/>
      <c r="T521" s="43" t="n"/>
      <c r="U521" s="43" t="n"/>
      <c r="V521" s="36" t="n"/>
      <c r="W521" s="36" t="n"/>
      <c r="X521" s="33">
        <f>IF(C521="","",Commercial_Id)</f>
        <v/>
      </c>
      <c r="Y521" s="33">
        <f>IF(E521="","",IF(E521="Particulier / ménage","Particulier","Entreprise"))</f>
        <v/>
      </c>
      <c r="Z521" s="39">
        <f>IF(C521="","",COUNTIFS(VC_cle,AK521,VC_type,"Visite sur place"))</f>
        <v/>
      </c>
      <c r="AA521" s="46">
        <f>IF(AL521=0,"",IF(INT(AL521)=0,"",INT(AL521)))</f>
        <v/>
      </c>
      <c r="AB521" s="46">
        <f>IF(AL521=0,"",IF(INDEX(VC_actiondate,ROUND(MOD(AL521,1)*100000,0)-5)=0,"",INDEX(VC_actiondate,ROUND(MOD(AL521,1)*100000,0)-5)))</f>
        <v/>
      </c>
      <c r="AC521" s="33">
        <f>IF(AL521=0,"",INDEX(VC_actiontexte,ROUND(MOD(AL521,1)*100000,0)-5)&amp;"")</f>
        <v/>
      </c>
      <c r="AD521" s="46">
        <f>IF(C521="","",IF(COUNTIFS(Cmd_cle,AK521,Cmd_dateca,"&gt;0")=0,"",SMALL(INDEX(Cmd_dateca+(((Cmd_cle&lt;&gt;AK521)+(Cmd_dateca=0))&gt;0)*1000000,0),1)))</f>
        <v/>
      </c>
      <c r="AE521" s="46">
        <f>IF(C521="","",IF(COUNTIFS(Cmd_cle,AK521,Cmd_dateca,"&gt;0")=0,"",MAX(INDEX((Cmd_cle=AK521)*Cmd_dateca,0))))</f>
        <v/>
      </c>
      <c r="AF521" s="40">
        <f>IF(C521="","",SUMIFS(Cmd_montant,Cmd_cle,AK521,Cmd_dateca,"&gt;0"))</f>
        <v/>
      </c>
      <c r="AG521" s="40">
        <f>IF(C521="","",SUMIFS(Enc_montant,Enc_cle,AK521))</f>
        <v/>
      </c>
      <c r="AH521" s="40">
        <f>IF(C521="","",AF521-AG521)</f>
        <v/>
      </c>
      <c r="AI521" s="33">
        <f>IF(C521="","",IF(D521="Perdu","",IF(AND(AB521&lt;&gt;"",N(AB521)&lt;TODAY()),"Action en retard",IF(AND(D521="Client",AE521&lt;&gt;"",TODAY()-N(AE521)&gt;P_JoursInactif),"Client inactif",IF(AND(D521="Prospect",Z521=0,O521&lt;&gt;"",TODAY()-N(O521)&gt;P_JoursNonVisite),"Jamais visité","")))))</f>
        <v/>
      </c>
      <c r="AJ521" s="33">
        <f>IF(C521="","",C521&amp;" ["&amp;TEXT(A521,"000")&amp;"]")</f>
        <v/>
      </c>
      <c r="AK521" s="33">
        <f>IF(C521="","",X521&amp;"|"&amp;A521)</f>
        <v/>
      </c>
      <c r="AL521" s="47">
        <f>IF(C521="",0,IF(COUNTIFS(VC_cle,AK521)=0,0,MAX(INDEX((VC_cle=AK521)*(VC_date+ROW(VC_date)/100000),0))))</f>
        <v/>
      </c>
      <c r="AM521" s="47">
        <f>IF(AND(C521&lt;&gt;"",N(AB521)&gt;0,D521&lt;&gt;"Perdu"),AB521+ROW()/100000,0)</f>
        <v/>
      </c>
      <c r="AN521" s="48">
        <f>IF(N(AF521)&gt;0,ROUND(AF521,0)+ROW()/1000000,0)</f>
        <v/>
      </c>
    </row>
    <row r="522" ht="18" customHeight="1">
      <c r="A522" s="39" t="n">
        <v>517</v>
      </c>
      <c r="B522" s="33">
        <f>IF(C522="","",IF(X522="À RENSEIGNER","GIC",X522)&amp;"-"&amp;TEXT(A522,"000"))</f>
        <v/>
      </c>
      <c r="C522" s="36" t="n"/>
      <c r="D522" s="34">
        <f>IF(C522="","",IF(U522="☑ Oui","Perdu",IF(AD522&lt;&gt;"","Client","Prospect")))</f>
        <v/>
      </c>
      <c r="E522" s="36" t="n"/>
      <c r="F522" s="36" t="n"/>
      <c r="G522" s="44" t="n"/>
      <c r="H522" s="44" t="n"/>
      <c r="I522" s="36" t="n"/>
      <c r="J522" s="36" t="n"/>
      <c r="K522" s="41" t="n"/>
      <c r="L522" s="41" t="n"/>
      <c r="M522" s="36" t="n"/>
      <c r="N522" s="36" t="n"/>
      <c r="O522" s="32" t="n"/>
      <c r="P522" s="36" t="n"/>
      <c r="Q522" s="36" t="n"/>
      <c r="R522" s="34">
        <f>IF(P522="","",IFERROR(VLOOKUP(P522,T_Produits,2,FALSE),""))</f>
        <v/>
      </c>
      <c r="S522" s="36" t="n"/>
      <c r="T522" s="43" t="n"/>
      <c r="U522" s="43" t="n"/>
      <c r="V522" s="36" t="n"/>
      <c r="W522" s="36" t="n"/>
      <c r="X522" s="33">
        <f>IF(C522="","",Commercial_Id)</f>
        <v/>
      </c>
      <c r="Y522" s="33">
        <f>IF(E522="","",IF(E522="Particulier / ménage","Particulier","Entreprise"))</f>
        <v/>
      </c>
      <c r="Z522" s="39">
        <f>IF(C522="","",COUNTIFS(VC_cle,AK522,VC_type,"Visite sur place"))</f>
        <v/>
      </c>
      <c r="AA522" s="46">
        <f>IF(AL522=0,"",IF(INT(AL522)=0,"",INT(AL522)))</f>
        <v/>
      </c>
      <c r="AB522" s="46">
        <f>IF(AL522=0,"",IF(INDEX(VC_actiondate,ROUND(MOD(AL522,1)*100000,0)-5)=0,"",INDEX(VC_actiondate,ROUND(MOD(AL522,1)*100000,0)-5)))</f>
        <v/>
      </c>
      <c r="AC522" s="33">
        <f>IF(AL522=0,"",INDEX(VC_actiontexte,ROUND(MOD(AL522,1)*100000,0)-5)&amp;"")</f>
        <v/>
      </c>
      <c r="AD522" s="46">
        <f>IF(C522="","",IF(COUNTIFS(Cmd_cle,AK522,Cmd_dateca,"&gt;0")=0,"",SMALL(INDEX(Cmd_dateca+(((Cmd_cle&lt;&gt;AK522)+(Cmd_dateca=0))&gt;0)*1000000,0),1)))</f>
        <v/>
      </c>
      <c r="AE522" s="46">
        <f>IF(C522="","",IF(COUNTIFS(Cmd_cle,AK522,Cmd_dateca,"&gt;0")=0,"",MAX(INDEX((Cmd_cle=AK522)*Cmd_dateca,0))))</f>
        <v/>
      </c>
      <c r="AF522" s="40">
        <f>IF(C522="","",SUMIFS(Cmd_montant,Cmd_cle,AK522,Cmd_dateca,"&gt;0"))</f>
        <v/>
      </c>
      <c r="AG522" s="40">
        <f>IF(C522="","",SUMIFS(Enc_montant,Enc_cle,AK522))</f>
        <v/>
      </c>
      <c r="AH522" s="40">
        <f>IF(C522="","",AF522-AG522)</f>
        <v/>
      </c>
      <c r="AI522" s="33">
        <f>IF(C522="","",IF(D522="Perdu","",IF(AND(AB522&lt;&gt;"",N(AB522)&lt;TODAY()),"Action en retard",IF(AND(D522="Client",AE522&lt;&gt;"",TODAY()-N(AE522)&gt;P_JoursInactif),"Client inactif",IF(AND(D522="Prospect",Z522=0,O522&lt;&gt;"",TODAY()-N(O522)&gt;P_JoursNonVisite),"Jamais visité","")))))</f>
        <v/>
      </c>
      <c r="AJ522" s="33">
        <f>IF(C522="","",C522&amp;" ["&amp;TEXT(A522,"000")&amp;"]")</f>
        <v/>
      </c>
      <c r="AK522" s="33">
        <f>IF(C522="","",X522&amp;"|"&amp;A522)</f>
        <v/>
      </c>
      <c r="AL522" s="47">
        <f>IF(C522="",0,IF(COUNTIFS(VC_cle,AK522)=0,0,MAX(INDEX((VC_cle=AK522)*(VC_date+ROW(VC_date)/100000),0))))</f>
        <v/>
      </c>
      <c r="AM522" s="47">
        <f>IF(AND(C522&lt;&gt;"",N(AB522)&gt;0,D522&lt;&gt;"Perdu"),AB522+ROW()/100000,0)</f>
        <v/>
      </c>
      <c r="AN522" s="48">
        <f>IF(N(AF522)&gt;0,ROUND(AF522,0)+ROW()/1000000,0)</f>
        <v/>
      </c>
    </row>
    <row r="523" ht="18" customHeight="1">
      <c r="A523" s="39" t="n">
        <v>518</v>
      </c>
      <c r="B523" s="33">
        <f>IF(C523="","",IF(X523="À RENSEIGNER","GIC",X523)&amp;"-"&amp;TEXT(A523,"000"))</f>
        <v/>
      </c>
      <c r="C523" s="36" t="n"/>
      <c r="D523" s="34">
        <f>IF(C523="","",IF(U523="☑ Oui","Perdu",IF(AD523&lt;&gt;"","Client","Prospect")))</f>
        <v/>
      </c>
      <c r="E523" s="36" t="n"/>
      <c r="F523" s="36" t="n"/>
      <c r="G523" s="44" t="n"/>
      <c r="H523" s="44" t="n"/>
      <c r="I523" s="36" t="n"/>
      <c r="J523" s="36" t="n"/>
      <c r="K523" s="41" t="n"/>
      <c r="L523" s="41" t="n"/>
      <c r="M523" s="36" t="n"/>
      <c r="N523" s="36" t="n"/>
      <c r="O523" s="32" t="n"/>
      <c r="P523" s="36" t="n"/>
      <c r="Q523" s="36" t="n"/>
      <c r="R523" s="34">
        <f>IF(P523="","",IFERROR(VLOOKUP(P523,T_Produits,2,FALSE),""))</f>
        <v/>
      </c>
      <c r="S523" s="36" t="n"/>
      <c r="T523" s="43" t="n"/>
      <c r="U523" s="43" t="n"/>
      <c r="V523" s="36" t="n"/>
      <c r="W523" s="36" t="n"/>
      <c r="X523" s="33">
        <f>IF(C523="","",Commercial_Id)</f>
        <v/>
      </c>
      <c r="Y523" s="33">
        <f>IF(E523="","",IF(E523="Particulier / ménage","Particulier","Entreprise"))</f>
        <v/>
      </c>
      <c r="Z523" s="39">
        <f>IF(C523="","",COUNTIFS(VC_cle,AK523,VC_type,"Visite sur place"))</f>
        <v/>
      </c>
      <c r="AA523" s="46">
        <f>IF(AL523=0,"",IF(INT(AL523)=0,"",INT(AL523)))</f>
        <v/>
      </c>
      <c r="AB523" s="46">
        <f>IF(AL523=0,"",IF(INDEX(VC_actiondate,ROUND(MOD(AL523,1)*100000,0)-5)=0,"",INDEX(VC_actiondate,ROUND(MOD(AL523,1)*100000,0)-5)))</f>
        <v/>
      </c>
      <c r="AC523" s="33">
        <f>IF(AL523=0,"",INDEX(VC_actiontexte,ROUND(MOD(AL523,1)*100000,0)-5)&amp;"")</f>
        <v/>
      </c>
      <c r="AD523" s="46">
        <f>IF(C523="","",IF(COUNTIFS(Cmd_cle,AK523,Cmd_dateca,"&gt;0")=0,"",SMALL(INDEX(Cmd_dateca+(((Cmd_cle&lt;&gt;AK523)+(Cmd_dateca=0))&gt;0)*1000000,0),1)))</f>
        <v/>
      </c>
      <c r="AE523" s="46">
        <f>IF(C523="","",IF(COUNTIFS(Cmd_cle,AK523,Cmd_dateca,"&gt;0")=0,"",MAX(INDEX((Cmd_cle=AK523)*Cmd_dateca,0))))</f>
        <v/>
      </c>
      <c r="AF523" s="40">
        <f>IF(C523="","",SUMIFS(Cmd_montant,Cmd_cle,AK523,Cmd_dateca,"&gt;0"))</f>
        <v/>
      </c>
      <c r="AG523" s="40">
        <f>IF(C523="","",SUMIFS(Enc_montant,Enc_cle,AK523))</f>
        <v/>
      </c>
      <c r="AH523" s="40">
        <f>IF(C523="","",AF523-AG523)</f>
        <v/>
      </c>
      <c r="AI523" s="33">
        <f>IF(C523="","",IF(D523="Perdu","",IF(AND(AB523&lt;&gt;"",N(AB523)&lt;TODAY()),"Action en retard",IF(AND(D523="Client",AE523&lt;&gt;"",TODAY()-N(AE523)&gt;P_JoursInactif),"Client inactif",IF(AND(D523="Prospect",Z523=0,O523&lt;&gt;"",TODAY()-N(O523)&gt;P_JoursNonVisite),"Jamais visité","")))))</f>
        <v/>
      </c>
      <c r="AJ523" s="33">
        <f>IF(C523="","",C523&amp;" ["&amp;TEXT(A523,"000")&amp;"]")</f>
        <v/>
      </c>
      <c r="AK523" s="33">
        <f>IF(C523="","",X523&amp;"|"&amp;A523)</f>
        <v/>
      </c>
      <c r="AL523" s="47">
        <f>IF(C523="",0,IF(COUNTIFS(VC_cle,AK523)=0,0,MAX(INDEX((VC_cle=AK523)*(VC_date+ROW(VC_date)/100000),0))))</f>
        <v/>
      </c>
      <c r="AM523" s="47">
        <f>IF(AND(C523&lt;&gt;"",N(AB523)&gt;0,D523&lt;&gt;"Perdu"),AB523+ROW()/100000,0)</f>
        <v/>
      </c>
      <c r="AN523" s="48">
        <f>IF(N(AF523)&gt;0,ROUND(AF523,0)+ROW()/1000000,0)</f>
        <v/>
      </c>
    </row>
    <row r="524" ht="18" customHeight="1">
      <c r="A524" s="39" t="n">
        <v>519</v>
      </c>
      <c r="B524" s="33">
        <f>IF(C524="","",IF(X524="À RENSEIGNER","GIC",X524)&amp;"-"&amp;TEXT(A524,"000"))</f>
        <v/>
      </c>
      <c r="C524" s="36" t="n"/>
      <c r="D524" s="34">
        <f>IF(C524="","",IF(U524="☑ Oui","Perdu",IF(AD524&lt;&gt;"","Client","Prospect")))</f>
        <v/>
      </c>
      <c r="E524" s="36" t="n"/>
      <c r="F524" s="36" t="n"/>
      <c r="G524" s="44" t="n"/>
      <c r="H524" s="44" t="n"/>
      <c r="I524" s="36" t="n"/>
      <c r="J524" s="36" t="n"/>
      <c r="K524" s="41" t="n"/>
      <c r="L524" s="41" t="n"/>
      <c r="M524" s="36" t="n"/>
      <c r="N524" s="36" t="n"/>
      <c r="O524" s="32" t="n"/>
      <c r="P524" s="36" t="n"/>
      <c r="Q524" s="36" t="n"/>
      <c r="R524" s="34">
        <f>IF(P524="","",IFERROR(VLOOKUP(P524,T_Produits,2,FALSE),""))</f>
        <v/>
      </c>
      <c r="S524" s="36" t="n"/>
      <c r="T524" s="43" t="n"/>
      <c r="U524" s="43" t="n"/>
      <c r="V524" s="36" t="n"/>
      <c r="W524" s="36" t="n"/>
      <c r="X524" s="33">
        <f>IF(C524="","",Commercial_Id)</f>
        <v/>
      </c>
      <c r="Y524" s="33">
        <f>IF(E524="","",IF(E524="Particulier / ménage","Particulier","Entreprise"))</f>
        <v/>
      </c>
      <c r="Z524" s="39">
        <f>IF(C524="","",COUNTIFS(VC_cle,AK524,VC_type,"Visite sur place"))</f>
        <v/>
      </c>
      <c r="AA524" s="46">
        <f>IF(AL524=0,"",IF(INT(AL524)=0,"",INT(AL524)))</f>
        <v/>
      </c>
      <c r="AB524" s="46">
        <f>IF(AL524=0,"",IF(INDEX(VC_actiondate,ROUND(MOD(AL524,1)*100000,0)-5)=0,"",INDEX(VC_actiondate,ROUND(MOD(AL524,1)*100000,0)-5)))</f>
        <v/>
      </c>
      <c r="AC524" s="33">
        <f>IF(AL524=0,"",INDEX(VC_actiontexte,ROUND(MOD(AL524,1)*100000,0)-5)&amp;"")</f>
        <v/>
      </c>
      <c r="AD524" s="46">
        <f>IF(C524="","",IF(COUNTIFS(Cmd_cle,AK524,Cmd_dateca,"&gt;0")=0,"",SMALL(INDEX(Cmd_dateca+(((Cmd_cle&lt;&gt;AK524)+(Cmd_dateca=0))&gt;0)*1000000,0),1)))</f>
        <v/>
      </c>
      <c r="AE524" s="46">
        <f>IF(C524="","",IF(COUNTIFS(Cmd_cle,AK524,Cmd_dateca,"&gt;0")=0,"",MAX(INDEX((Cmd_cle=AK524)*Cmd_dateca,0))))</f>
        <v/>
      </c>
      <c r="AF524" s="40">
        <f>IF(C524="","",SUMIFS(Cmd_montant,Cmd_cle,AK524,Cmd_dateca,"&gt;0"))</f>
        <v/>
      </c>
      <c r="AG524" s="40">
        <f>IF(C524="","",SUMIFS(Enc_montant,Enc_cle,AK524))</f>
        <v/>
      </c>
      <c r="AH524" s="40">
        <f>IF(C524="","",AF524-AG524)</f>
        <v/>
      </c>
      <c r="AI524" s="33">
        <f>IF(C524="","",IF(D524="Perdu","",IF(AND(AB524&lt;&gt;"",N(AB524)&lt;TODAY()),"Action en retard",IF(AND(D524="Client",AE524&lt;&gt;"",TODAY()-N(AE524)&gt;P_JoursInactif),"Client inactif",IF(AND(D524="Prospect",Z524=0,O524&lt;&gt;"",TODAY()-N(O524)&gt;P_JoursNonVisite),"Jamais visité","")))))</f>
        <v/>
      </c>
      <c r="AJ524" s="33">
        <f>IF(C524="","",C524&amp;" ["&amp;TEXT(A524,"000")&amp;"]")</f>
        <v/>
      </c>
      <c r="AK524" s="33">
        <f>IF(C524="","",X524&amp;"|"&amp;A524)</f>
        <v/>
      </c>
      <c r="AL524" s="47">
        <f>IF(C524="",0,IF(COUNTIFS(VC_cle,AK524)=0,0,MAX(INDEX((VC_cle=AK524)*(VC_date+ROW(VC_date)/100000),0))))</f>
        <v/>
      </c>
      <c r="AM524" s="47">
        <f>IF(AND(C524&lt;&gt;"",N(AB524)&gt;0,D524&lt;&gt;"Perdu"),AB524+ROW()/100000,0)</f>
        <v/>
      </c>
      <c r="AN524" s="48">
        <f>IF(N(AF524)&gt;0,ROUND(AF524,0)+ROW()/1000000,0)</f>
        <v/>
      </c>
    </row>
    <row r="525" ht="18" customHeight="1">
      <c r="A525" s="39" t="n">
        <v>520</v>
      </c>
      <c r="B525" s="33">
        <f>IF(C525="","",IF(X525="À RENSEIGNER","GIC",X525)&amp;"-"&amp;TEXT(A525,"000"))</f>
        <v/>
      </c>
      <c r="C525" s="36" t="n"/>
      <c r="D525" s="34">
        <f>IF(C525="","",IF(U525="☑ Oui","Perdu",IF(AD525&lt;&gt;"","Client","Prospect")))</f>
        <v/>
      </c>
      <c r="E525" s="36" t="n"/>
      <c r="F525" s="36" t="n"/>
      <c r="G525" s="44" t="n"/>
      <c r="H525" s="44" t="n"/>
      <c r="I525" s="36" t="n"/>
      <c r="J525" s="36" t="n"/>
      <c r="K525" s="41" t="n"/>
      <c r="L525" s="41" t="n"/>
      <c r="M525" s="36" t="n"/>
      <c r="N525" s="36" t="n"/>
      <c r="O525" s="32" t="n"/>
      <c r="P525" s="36" t="n"/>
      <c r="Q525" s="36" t="n"/>
      <c r="R525" s="34">
        <f>IF(P525="","",IFERROR(VLOOKUP(P525,T_Produits,2,FALSE),""))</f>
        <v/>
      </c>
      <c r="S525" s="36" t="n"/>
      <c r="T525" s="43" t="n"/>
      <c r="U525" s="43" t="n"/>
      <c r="V525" s="36" t="n"/>
      <c r="W525" s="36" t="n"/>
      <c r="X525" s="33">
        <f>IF(C525="","",Commercial_Id)</f>
        <v/>
      </c>
      <c r="Y525" s="33">
        <f>IF(E525="","",IF(E525="Particulier / ménage","Particulier","Entreprise"))</f>
        <v/>
      </c>
      <c r="Z525" s="39">
        <f>IF(C525="","",COUNTIFS(VC_cle,AK525,VC_type,"Visite sur place"))</f>
        <v/>
      </c>
      <c r="AA525" s="46">
        <f>IF(AL525=0,"",IF(INT(AL525)=0,"",INT(AL525)))</f>
        <v/>
      </c>
      <c r="AB525" s="46">
        <f>IF(AL525=0,"",IF(INDEX(VC_actiondate,ROUND(MOD(AL525,1)*100000,0)-5)=0,"",INDEX(VC_actiondate,ROUND(MOD(AL525,1)*100000,0)-5)))</f>
        <v/>
      </c>
      <c r="AC525" s="33">
        <f>IF(AL525=0,"",INDEX(VC_actiontexte,ROUND(MOD(AL525,1)*100000,0)-5)&amp;"")</f>
        <v/>
      </c>
      <c r="AD525" s="46">
        <f>IF(C525="","",IF(COUNTIFS(Cmd_cle,AK525,Cmd_dateca,"&gt;0")=0,"",SMALL(INDEX(Cmd_dateca+(((Cmd_cle&lt;&gt;AK525)+(Cmd_dateca=0))&gt;0)*1000000,0),1)))</f>
        <v/>
      </c>
      <c r="AE525" s="46">
        <f>IF(C525="","",IF(COUNTIFS(Cmd_cle,AK525,Cmd_dateca,"&gt;0")=0,"",MAX(INDEX((Cmd_cle=AK525)*Cmd_dateca,0))))</f>
        <v/>
      </c>
      <c r="AF525" s="40">
        <f>IF(C525="","",SUMIFS(Cmd_montant,Cmd_cle,AK525,Cmd_dateca,"&gt;0"))</f>
        <v/>
      </c>
      <c r="AG525" s="40">
        <f>IF(C525="","",SUMIFS(Enc_montant,Enc_cle,AK525))</f>
        <v/>
      </c>
      <c r="AH525" s="40">
        <f>IF(C525="","",AF525-AG525)</f>
        <v/>
      </c>
      <c r="AI525" s="33">
        <f>IF(C525="","",IF(D525="Perdu","",IF(AND(AB525&lt;&gt;"",N(AB525)&lt;TODAY()),"Action en retard",IF(AND(D525="Client",AE525&lt;&gt;"",TODAY()-N(AE525)&gt;P_JoursInactif),"Client inactif",IF(AND(D525="Prospect",Z525=0,O525&lt;&gt;"",TODAY()-N(O525)&gt;P_JoursNonVisite),"Jamais visité","")))))</f>
        <v/>
      </c>
      <c r="AJ525" s="33">
        <f>IF(C525="","",C525&amp;" ["&amp;TEXT(A525,"000")&amp;"]")</f>
        <v/>
      </c>
      <c r="AK525" s="33">
        <f>IF(C525="","",X525&amp;"|"&amp;A525)</f>
        <v/>
      </c>
      <c r="AL525" s="47">
        <f>IF(C525="",0,IF(COUNTIFS(VC_cle,AK525)=0,0,MAX(INDEX((VC_cle=AK525)*(VC_date+ROW(VC_date)/100000),0))))</f>
        <v/>
      </c>
      <c r="AM525" s="47">
        <f>IF(AND(C525&lt;&gt;"",N(AB525)&gt;0,D525&lt;&gt;"Perdu"),AB525+ROW()/100000,0)</f>
        <v/>
      </c>
      <c r="AN525" s="48">
        <f>IF(N(AF525)&gt;0,ROUND(AF525,0)+ROW()/1000000,0)</f>
        <v/>
      </c>
    </row>
    <row r="526" ht="18" customHeight="1">
      <c r="A526" s="39" t="n">
        <v>521</v>
      </c>
      <c r="B526" s="33">
        <f>IF(C526="","",IF(X526="À RENSEIGNER","GIC",X526)&amp;"-"&amp;TEXT(A526,"000"))</f>
        <v/>
      </c>
      <c r="C526" s="36" t="n"/>
      <c r="D526" s="34">
        <f>IF(C526="","",IF(U526="☑ Oui","Perdu",IF(AD526&lt;&gt;"","Client","Prospect")))</f>
        <v/>
      </c>
      <c r="E526" s="36" t="n"/>
      <c r="F526" s="36" t="n"/>
      <c r="G526" s="44" t="n"/>
      <c r="H526" s="44" t="n"/>
      <c r="I526" s="36" t="n"/>
      <c r="J526" s="36" t="n"/>
      <c r="K526" s="41" t="n"/>
      <c r="L526" s="41" t="n"/>
      <c r="M526" s="36" t="n"/>
      <c r="N526" s="36" t="n"/>
      <c r="O526" s="32" t="n"/>
      <c r="P526" s="36" t="n"/>
      <c r="Q526" s="36" t="n"/>
      <c r="R526" s="34">
        <f>IF(P526="","",IFERROR(VLOOKUP(P526,T_Produits,2,FALSE),""))</f>
        <v/>
      </c>
      <c r="S526" s="36" t="n"/>
      <c r="T526" s="43" t="n"/>
      <c r="U526" s="43" t="n"/>
      <c r="V526" s="36" t="n"/>
      <c r="W526" s="36" t="n"/>
      <c r="X526" s="33">
        <f>IF(C526="","",Commercial_Id)</f>
        <v/>
      </c>
      <c r="Y526" s="33">
        <f>IF(E526="","",IF(E526="Particulier / ménage","Particulier","Entreprise"))</f>
        <v/>
      </c>
      <c r="Z526" s="39">
        <f>IF(C526="","",COUNTIFS(VC_cle,AK526,VC_type,"Visite sur place"))</f>
        <v/>
      </c>
      <c r="AA526" s="46">
        <f>IF(AL526=0,"",IF(INT(AL526)=0,"",INT(AL526)))</f>
        <v/>
      </c>
      <c r="AB526" s="46">
        <f>IF(AL526=0,"",IF(INDEX(VC_actiondate,ROUND(MOD(AL526,1)*100000,0)-5)=0,"",INDEX(VC_actiondate,ROUND(MOD(AL526,1)*100000,0)-5)))</f>
        <v/>
      </c>
      <c r="AC526" s="33">
        <f>IF(AL526=0,"",INDEX(VC_actiontexte,ROUND(MOD(AL526,1)*100000,0)-5)&amp;"")</f>
        <v/>
      </c>
      <c r="AD526" s="46">
        <f>IF(C526="","",IF(COUNTIFS(Cmd_cle,AK526,Cmd_dateca,"&gt;0")=0,"",SMALL(INDEX(Cmd_dateca+(((Cmd_cle&lt;&gt;AK526)+(Cmd_dateca=0))&gt;0)*1000000,0),1)))</f>
        <v/>
      </c>
      <c r="AE526" s="46">
        <f>IF(C526="","",IF(COUNTIFS(Cmd_cle,AK526,Cmd_dateca,"&gt;0")=0,"",MAX(INDEX((Cmd_cle=AK526)*Cmd_dateca,0))))</f>
        <v/>
      </c>
      <c r="AF526" s="40">
        <f>IF(C526="","",SUMIFS(Cmd_montant,Cmd_cle,AK526,Cmd_dateca,"&gt;0"))</f>
        <v/>
      </c>
      <c r="AG526" s="40">
        <f>IF(C526="","",SUMIFS(Enc_montant,Enc_cle,AK526))</f>
        <v/>
      </c>
      <c r="AH526" s="40">
        <f>IF(C526="","",AF526-AG526)</f>
        <v/>
      </c>
      <c r="AI526" s="33">
        <f>IF(C526="","",IF(D526="Perdu","",IF(AND(AB526&lt;&gt;"",N(AB526)&lt;TODAY()),"Action en retard",IF(AND(D526="Client",AE526&lt;&gt;"",TODAY()-N(AE526)&gt;P_JoursInactif),"Client inactif",IF(AND(D526="Prospect",Z526=0,O526&lt;&gt;"",TODAY()-N(O526)&gt;P_JoursNonVisite),"Jamais visité","")))))</f>
        <v/>
      </c>
      <c r="AJ526" s="33">
        <f>IF(C526="","",C526&amp;" ["&amp;TEXT(A526,"000")&amp;"]")</f>
        <v/>
      </c>
      <c r="AK526" s="33">
        <f>IF(C526="","",X526&amp;"|"&amp;A526)</f>
        <v/>
      </c>
      <c r="AL526" s="47">
        <f>IF(C526="",0,IF(COUNTIFS(VC_cle,AK526)=0,0,MAX(INDEX((VC_cle=AK526)*(VC_date+ROW(VC_date)/100000),0))))</f>
        <v/>
      </c>
      <c r="AM526" s="47">
        <f>IF(AND(C526&lt;&gt;"",N(AB526)&gt;0,D526&lt;&gt;"Perdu"),AB526+ROW()/100000,0)</f>
        <v/>
      </c>
      <c r="AN526" s="48">
        <f>IF(N(AF526)&gt;0,ROUND(AF526,0)+ROW()/1000000,0)</f>
        <v/>
      </c>
    </row>
    <row r="527" ht="18" customHeight="1">
      <c r="A527" s="39" t="n">
        <v>522</v>
      </c>
      <c r="B527" s="33">
        <f>IF(C527="","",IF(X527="À RENSEIGNER","GIC",X527)&amp;"-"&amp;TEXT(A527,"000"))</f>
        <v/>
      </c>
      <c r="C527" s="36" t="n"/>
      <c r="D527" s="34">
        <f>IF(C527="","",IF(U527="☑ Oui","Perdu",IF(AD527&lt;&gt;"","Client","Prospect")))</f>
        <v/>
      </c>
      <c r="E527" s="36" t="n"/>
      <c r="F527" s="36" t="n"/>
      <c r="G527" s="44" t="n"/>
      <c r="H527" s="44" t="n"/>
      <c r="I527" s="36" t="n"/>
      <c r="J527" s="36" t="n"/>
      <c r="K527" s="41" t="n"/>
      <c r="L527" s="41" t="n"/>
      <c r="M527" s="36" t="n"/>
      <c r="N527" s="36" t="n"/>
      <c r="O527" s="32" t="n"/>
      <c r="P527" s="36" t="n"/>
      <c r="Q527" s="36" t="n"/>
      <c r="R527" s="34">
        <f>IF(P527="","",IFERROR(VLOOKUP(P527,T_Produits,2,FALSE),""))</f>
        <v/>
      </c>
      <c r="S527" s="36" t="n"/>
      <c r="T527" s="43" t="n"/>
      <c r="U527" s="43" t="n"/>
      <c r="V527" s="36" t="n"/>
      <c r="W527" s="36" t="n"/>
      <c r="X527" s="33">
        <f>IF(C527="","",Commercial_Id)</f>
        <v/>
      </c>
      <c r="Y527" s="33">
        <f>IF(E527="","",IF(E527="Particulier / ménage","Particulier","Entreprise"))</f>
        <v/>
      </c>
      <c r="Z527" s="39">
        <f>IF(C527="","",COUNTIFS(VC_cle,AK527,VC_type,"Visite sur place"))</f>
        <v/>
      </c>
      <c r="AA527" s="46">
        <f>IF(AL527=0,"",IF(INT(AL527)=0,"",INT(AL527)))</f>
        <v/>
      </c>
      <c r="AB527" s="46">
        <f>IF(AL527=0,"",IF(INDEX(VC_actiondate,ROUND(MOD(AL527,1)*100000,0)-5)=0,"",INDEX(VC_actiondate,ROUND(MOD(AL527,1)*100000,0)-5)))</f>
        <v/>
      </c>
      <c r="AC527" s="33">
        <f>IF(AL527=0,"",INDEX(VC_actiontexte,ROUND(MOD(AL527,1)*100000,0)-5)&amp;"")</f>
        <v/>
      </c>
      <c r="AD527" s="46">
        <f>IF(C527="","",IF(COUNTIFS(Cmd_cle,AK527,Cmd_dateca,"&gt;0")=0,"",SMALL(INDEX(Cmd_dateca+(((Cmd_cle&lt;&gt;AK527)+(Cmd_dateca=0))&gt;0)*1000000,0),1)))</f>
        <v/>
      </c>
      <c r="AE527" s="46">
        <f>IF(C527="","",IF(COUNTIFS(Cmd_cle,AK527,Cmd_dateca,"&gt;0")=0,"",MAX(INDEX((Cmd_cle=AK527)*Cmd_dateca,0))))</f>
        <v/>
      </c>
      <c r="AF527" s="40">
        <f>IF(C527="","",SUMIFS(Cmd_montant,Cmd_cle,AK527,Cmd_dateca,"&gt;0"))</f>
        <v/>
      </c>
      <c r="AG527" s="40">
        <f>IF(C527="","",SUMIFS(Enc_montant,Enc_cle,AK527))</f>
        <v/>
      </c>
      <c r="AH527" s="40">
        <f>IF(C527="","",AF527-AG527)</f>
        <v/>
      </c>
      <c r="AI527" s="33">
        <f>IF(C527="","",IF(D527="Perdu","",IF(AND(AB527&lt;&gt;"",N(AB527)&lt;TODAY()),"Action en retard",IF(AND(D527="Client",AE527&lt;&gt;"",TODAY()-N(AE527)&gt;P_JoursInactif),"Client inactif",IF(AND(D527="Prospect",Z527=0,O527&lt;&gt;"",TODAY()-N(O527)&gt;P_JoursNonVisite),"Jamais visité","")))))</f>
        <v/>
      </c>
      <c r="AJ527" s="33">
        <f>IF(C527="","",C527&amp;" ["&amp;TEXT(A527,"000")&amp;"]")</f>
        <v/>
      </c>
      <c r="AK527" s="33">
        <f>IF(C527="","",X527&amp;"|"&amp;A527)</f>
        <v/>
      </c>
      <c r="AL527" s="47">
        <f>IF(C527="",0,IF(COUNTIFS(VC_cle,AK527)=0,0,MAX(INDEX((VC_cle=AK527)*(VC_date+ROW(VC_date)/100000),0))))</f>
        <v/>
      </c>
      <c r="AM527" s="47">
        <f>IF(AND(C527&lt;&gt;"",N(AB527)&gt;0,D527&lt;&gt;"Perdu"),AB527+ROW()/100000,0)</f>
        <v/>
      </c>
      <c r="AN527" s="48">
        <f>IF(N(AF527)&gt;0,ROUND(AF527,0)+ROW()/1000000,0)</f>
        <v/>
      </c>
    </row>
    <row r="528" ht="18" customHeight="1">
      <c r="A528" s="39" t="n">
        <v>523</v>
      </c>
      <c r="B528" s="33">
        <f>IF(C528="","",IF(X528="À RENSEIGNER","GIC",X528)&amp;"-"&amp;TEXT(A528,"000"))</f>
        <v/>
      </c>
      <c r="C528" s="36" t="n"/>
      <c r="D528" s="34">
        <f>IF(C528="","",IF(U528="☑ Oui","Perdu",IF(AD528&lt;&gt;"","Client","Prospect")))</f>
        <v/>
      </c>
      <c r="E528" s="36" t="n"/>
      <c r="F528" s="36" t="n"/>
      <c r="G528" s="44" t="n"/>
      <c r="H528" s="44" t="n"/>
      <c r="I528" s="36" t="n"/>
      <c r="J528" s="36" t="n"/>
      <c r="K528" s="41" t="n"/>
      <c r="L528" s="41" t="n"/>
      <c r="M528" s="36" t="n"/>
      <c r="N528" s="36" t="n"/>
      <c r="O528" s="32" t="n"/>
      <c r="P528" s="36" t="n"/>
      <c r="Q528" s="36" t="n"/>
      <c r="R528" s="34">
        <f>IF(P528="","",IFERROR(VLOOKUP(P528,T_Produits,2,FALSE),""))</f>
        <v/>
      </c>
      <c r="S528" s="36" t="n"/>
      <c r="T528" s="43" t="n"/>
      <c r="U528" s="43" t="n"/>
      <c r="V528" s="36" t="n"/>
      <c r="W528" s="36" t="n"/>
      <c r="X528" s="33">
        <f>IF(C528="","",Commercial_Id)</f>
        <v/>
      </c>
      <c r="Y528" s="33">
        <f>IF(E528="","",IF(E528="Particulier / ménage","Particulier","Entreprise"))</f>
        <v/>
      </c>
      <c r="Z528" s="39">
        <f>IF(C528="","",COUNTIFS(VC_cle,AK528,VC_type,"Visite sur place"))</f>
        <v/>
      </c>
      <c r="AA528" s="46">
        <f>IF(AL528=0,"",IF(INT(AL528)=0,"",INT(AL528)))</f>
        <v/>
      </c>
      <c r="AB528" s="46">
        <f>IF(AL528=0,"",IF(INDEX(VC_actiondate,ROUND(MOD(AL528,1)*100000,0)-5)=0,"",INDEX(VC_actiondate,ROUND(MOD(AL528,1)*100000,0)-5)))</f>
        <v/>
      </c>
      <c r="AC528" s="33">
        <f>IF(AL528=0,"",INDEX(VC_actiontexte,ROUND(MOD(AL528,1)*100000,0)-5)&amp;"")</f>
        <v/>
      </c>
      <c r="AD528" s="46">
        <f>IF(C528="","",IF(COUNTIFS(Cmd_cle,AK528,Cmd_dateca,"&gt;0")=0,"",SMALL(INDEX(Cmd_dateca+(((Cmd_cle&lt;&gt;AK528)+(Cmd_dateca=0))&gt;0)*1000000,0),1)))</f>
        <v/>
      </c>
      <c r="AE528" s="46">
        <f>IF(C528="","",IF(COUNTIFS(Cmd_cle,AK528,Cmd_dateca,"&gt;0")=0,"",MAX(INDEX((Cmd_cle=AK528)*Cmd_dateca,0))))</f>
        <v/>
      </c>
      <c r="AF528" s="40">
        <f>IF(C528="","",SUMIFS(Cmd_montant,Cmd_cle,AK528,Cmd_dateca,"&gt;0"))</f>
        <v/>
      </c>
      <c r="AG528" s="40">
        <f>IF(C528="","",SUMIFS(Enc_montant,Enc_cle,AK528))</f>
        <v/>
      </c>
      <c r="AH528" s="40">
        <f>IF(C528="","",AF528-AG528)</f>
        <v/>
      </c>
      <c r="AI528" s="33">
        <f>IF(C528="","",IF(D528="Perdu","",IF(AND(AB528&lt;&gt;"",N(AB528)&lt;TODAY()),"Action en retard",IF(AND(D528="Client",AE528&lt;&gt;"",TODAY()-N(AE528)&gt;P_JoursInactif),"Client inactif",IF(AND(D528="Prospect",Z528=0,O528&lt;&gt;"",TODAY()-N(O528)&gt;P_JoursNonVisite),"Jamais visité","")))))</f>
        <v/>
      </c>
      <c r="AJ528" s="33">
        <f>IF(C528="","",C528&amp;" ["&amp;TEXT(A528,"000")&amp;"]")</f>
        <v/>
      </c>
      <c r="AK528" s="33">
        <f>IF(C528="","",X528&amp;"|"&amp;A528)</f>
        <v/>
      </c>
      <c r="AL528" s="47">
        <f>IF(C528="",0,IF(COUNTIFS(VC_cle,AK528)=0,0,MAX(INDEX((VC_cle=AK528)*(VC_date+ROW(VC_date)/100000),0))))</f>
        <v/>
      </c>
      <c r="AM528" s="47">
        <f>IF(AND(C528&lt;&gt;"",N(AB528)&gt;0,D528&lt;&gt;"Perdu"),AB528+ROW()/100000,0)</f>
        <v/>
      </c>
      <c r="AN528" s="48">
        <f>IF(N(AF528)&gt;0,ROUND(AF528,0)+ROW()/1000000,0)</f>
        <v/>
      </c>
    </row>
    <row r="529" ht="18" customHeight="1">
      <c r="A529" s="39" t="n">
        <v>524</v>
      </c>
      <c r="B529" s="33">
        <f>IF(C529="","",IF(X529="À RENSEIGNER","GIC",X529)&amp;"-"&amp;TEXT(A529,"000"))</f>
        <v/>
      </c>
      <c r="C529" s="36" t="n"/>
      <c r="D529" s="34">
        <f>IF(C529="","",IF(U529="☑ Oui","Perdu",IF(AD529&lt;&gt;"","Client","Prospect")))</f>
        <v/>
      </c>
      <c r="E529" s="36" t="n"/>
      <c r="F529" s="36" t="n"/>
      <c r="G529" s="44" t="n"/>
      <c r="H529" s="44" t="n"/>
      <c r="I529" s="36" t="n"/>
      <c r="J529" s="36" t="n"/>
      <c r="K529" s="41" t="n"/>
      <c r="L529" s="41" t="n"/>
      <c r="M529" s="36" t="n"/>
      <c r="N529" s="36" t="n"/>
      <c r="O529" s="32" t="n"/>
      <c r="P529" s="36" t="n"/>
      <c r="Q529" s="36" t="n"/>
      <c r="R529" s="34">
        <f>IF(P529="","",IFERROR(VLOOKUP(P529,T_Produits,2,FALSE),""))</f>
        <v/>
      </c>
      <c r="S529" s="36" t="n"/>
      <c r="T529" s="43" t="n"/>
      <c r="U529" s="43" t="n"/>
      <c r="V529" s="36" t="n"/>
      <c r="W529" s="36" t="n"/>
      <c r="X529" s="33">
        <f>IF(C529="","",Commercial_Id)</f>
        <v/>
      </c>
      <c r="Y529" s="33">
        <f>IF(E529="","",IF(E529="Particulier / ménage","Particulier","Entreprise"))</f>
        <v/>
      </c>
      <c r="Z529" s="39">
        <f>IF(C529="","",COUNTIFS(VC_cle,AK529,VC_type,"Visite sur place"))</f>
        <v/>
      </c>
      <c r="AA529" s="46">
        <f>IF(AL529=0,"",IF(INT(AL529)=0,"",INT(AL529)))</f>
        <v/>
      </c>
      <c r="AB529" s="46">
        <f>IF(AL529=0,"",IF(INDEX(VC_actiondate,ROUND(MOD(AL529,1)*100000,0)-5)=0,"",INDEX(VC_actiondate,ROUND(MOD(AL529,1)*100000,0)-5)))</f>
        <v/>
      </c>
      <c r="AC529" s="33">
        <f>IF(AL529=0,"",INDEX(VC_actiontexte,ROUND(MOD(AL529,1)*100000,0)-5)&amp;"")</f>
        <v/>
      </c>
      <c r="AD529" s="46">
        <f>IF(C529="","",IF(COUNTIFS(Cmd_cle,AK529,Cmd_dateca,"&gt;0")=0,"",SMALL(INDEX(Cmd_dateca+(((Cmd_cle&lt;&gt;AK529)+(Cmd_dateca=0))&gt;0)*1000000,0),1)))</f>
        <v/>
      </c>
      <c r="AE529" s="46">
        <f>IF(C529="","",IF(COUNTIFS(Cmd_cle,AK529,Cmd_dateca,"&gt;0")=0,"",MAX(INDEX((Cmd_cle=AK529)*Cmd_dateca,0))))</f>
        <v/>
      </c>
      <c r="AF529" s="40">
        <f>IF(C529="","",SUMIFS(Cmd_montant,Cmd_cle,AK529,Cmd_dateca,"&gt;0"))</f>
        <v/>
      </c>
      <c r="AG529" s="40">
        <f>IF(C529="","",SUMIFS(Enc_montant,Enc_cle,AK529))</f>
        <v/>
      </c>
      <c r="AH529" s="40">
        <f>IF(C529="","",AF529-AG529)</f>
        <v/>
      </c>
      <c r="AI529" s="33">
        <f>IF(C529="","",IF(D529="Perdu","",IF(AND(AB529&lt;&gt;"",N(AB529)&lt;TODAY()),"Action en retard",IF(AND(D529="Client",AE529&lt;&gt;"",TODAY()-N(AE529)&gt;P_JoursInactif),"Client inactif",IF(AND(D529="Prospect",Z529=0,O529&lt;&gt;"",TODAY()-N(O529)&gt;P_JoursNonVisite),"Jamais visité","")))))</f>
        <v/>
      </c>
      <c r="AJ529" s="33">
        <f>IF(C529="","",C529&amp;" ["&amp;TEXT(A529,"000")&amp;"]")</f>
        <v/>
      </c>
      <c r="AK529" s="33">
        <f>IF(C529="","",X529&amp;"|"&amp;A529)</f>
        <v/>
      </c>
      <c r="AL529" s="47">
        <f>IF(C529="",0,IF(COUNTIFS(VC_cle,AK529)=0,0,MAX(INDEX((VC_cle=AK529)*(VC_date+ROW(VC_date)/100000),0))))</f>
        <v/>
      </c>
      <c r="AM529" s="47">
        <f>IF(AND(C529&lt;&gt;"",N(AB529)&gt;0,D529&lt;&gt;"Perdu"),AB529+ROW()/100000,0)</f>
        <v/>
      </c>
      <c r="AN529" s="48">
        <f>IF(N(AF529)&gt;0,ROUND(AF529,0)+ROW()/1000000,0)</f>
        <v/>
      </c>
    </row>
    <row r="530" ht="18" customHeight="1">
      <c r="A530" s="39" t="n">
        <v>525</v>
      </c>
      <c r="B530" s="33">
        <f>IF(C530="","",IF(X530="À RENSEIGNER","GIC",X530)&amp;"-"&amp;TEXT(A530,"000"))</f>
        <v/>
      </c>
      <c r="C530" s="36" t="n"/>
      <c r="D530" s="34">
        <f>IF(C530="","",IF(U530="☑ Oui","Perdu",IF(AD530&lt;&gt;"","Client","Prospect")))</f>
        <v/>
      </c>
      <c r="E530" s="36" t="n"/>
      <c r="F530" s="36" t="n"/>
      <c r="G530" s="44" t="n"/>
      <c r="H530" s="44" t="n"/>
      <c r="I530" s="36" t="n"/>
      <c r="J530" s="36" t="n"/>
      <c r="K530" s="41" t="n"/>
      <c r="L530" s="41" t="n"/>
      <c r="M530" s="36" t="n"/>
      <c r="N530" s="36" t="n"/>
      <c r="O530" s="32" t="n"/>
      <c r="P530" s="36" t="n"/>
      <c r="Q530" s="36" t="n"/>
      <c r="R530" s="34">
        <f>IF(P530="","",IFERROR(VLOOKUP(P530,T_Produits,2,FALSE),""))</f>
        <v/>
      </c>
      <c r="S530" s="36" t="n"/>
      <c r="T530" s="43" t="n"/>
      <c r="U530" s="43" t="n"/>
      <c r="V530" s="36" t="n"/>
      <c r="W530" s="36" t="n"/>
      <c r="X530" s="33">
        <f>IF(C530="","",Commercial_Id)</f>
        <v/>
      </c>
      <c r="Y530" s="33">
        <f>IF(E530="","",IF(E530="Particulier / ménage","Particulier","Entreprise"))</f>
        <v/>
      </c>
      <c r="Z530" s="39">
        <f>IF(C530="","",COUNTIFS(VC_cle,AK530,VC_type,"Visite sur place"))</f>
        <v/>
      </c>
      <c r="AA530" s="46">
        <f>IF(AL530=0,"",IF(INT(AL530)=0,"",INT(AL530)))</f>
        <v/>
      </c>
      <c r="AB530" s="46">
        <f>IF(AL530=0,"",IF(INDEX(VC_actiondate,ROUND(MOD(AL530,1)*100000,0)-5)=0,"",INDEX(VC_actiondate,ROUND(MOD(AL530,1)*100000,0)-5)))</f>
        <v/>
      </c>
      <c r="AC530" s="33">
        <f>IF(AL530=0,"",INDEX(VC_actiontexte,ROUND(MOD(AL530,1)*100000,0)-5)&amp;"")</f>
        <v/>
      </c>
      <c r="AD530" s="46">
        <f>IF(C530="","",IF(COUNTIFS(Cmd_cle,AK530,Cmd_dateca,"&gt;0")=0,"",SMALL(INDEX(Cmd_dateca+(((Cmd_cle&lt;&gt;AK530)+(Cmd_dateca=0))&gt;0)*1000000,0),1)))</f>
        <v/>
      </c>
      <c r="AE530" s="46">
        <f>IF(C530="","",IF(COUNTIFS(Cmd_cle,AK530,Cmd_dateca,"&gt;0")=0,"",MAX(INDEX((Cmd_cle=AK530)*Cmd_dateca,0))))</f>
        <v/>
      </c>
      <c r="AF530" s="40">
        <f>IF(C530="","",SUMIFS(Cmd_montant,Cmd_cle,AK530,Cmd_dateca,"&gt;0"))</f>
        <v/>
      </c>
      <c r="AG530" s="40">
        <f>IF(C530="","",SUMIFS(Enc_montant,Enc_cle,AK530))</f>
        <v/>
      </c>
      <c r="AH530" s="40">
        <f>IF(C530="","",AF530-AG530)</f>
        <v/>
      </c>
      <c r="AI530" s="33">
        <f>IF(C530="","",IF(D530="Perdu","",IF(AND(AB530&lt;&gt;"",N(AB530)&lt;TODAY()),"Action en retard",IF(AND(D530="Client",AE530&lt;&gt;"",TODAY()-N(AE530)&gt;P_JoursInactif),"Client inactif",IF(AND(D530="Prospect",Z530=0,O530&lt;&gt;"",TODAY()-N(O530)&gt;P_JoursNonVisite),"Jamais visité","")))))</f>
        <v/>
      </c>
      <c r="AJ530" s="33">
        <f>IF(C530="","",C530&amp;" ["&amp;TEXT(A530,"000")&amp;"]")</f>
        <v/>
      </c>
      <c r="AK530" s="33">
        <f>IF(C530="","",X530&amp;"|"&amp;A530)</f>
        <v/>
      </c>
      <c r="AL530" s="47">
        <f>IF(C530="",0,IF(COUNTIFS(VC_cle,AK530)=0,0,MAX(INDEX((VC_cle=AK530)*(VC_date+ROW(VC_date)/100000),0))))</f>
        <v/>
      </c>
      <c r="AM530" s="47">
        <f>IF(AND(C530&lt;&gt;"",N(AB530)&gt;0,D530&lt;&gt;"Perdu"),AB530+ROW()/100000,0)</f>
        <v/>
      </c>
      <c r="AN530" s="48">
        <f>IF(N(AF530)&gt;0,ROUND(AF530,0)+ROW()/1000000,0)</f>
        <v/>
      </c>
    </row>
    <row r="531" ht="18" customHeight="1">
      <c r="A531" s="39" t="n">
        <v>526</v>
      </c>
      <c r="B531" s="33">
        <f>IF(C531="","",IF(X531="À RENSEIGNER","GIC",X531)&amp;"-"&amp;TEXT(A531,"000"))</f>
        <v/>
      </c>
      <c r="C531" s="36" t="n"/>
      <c r="D531" s="34">
        <f>IF(C531="","",IF(U531="☑ Oui","Perdu",IF(AD531&lt;&gt;"","Client","Prospect")))</f>
        <v/>
      </c>
      <c r="E531" s="36" t="n"/>
      <c r="F531" s="36" t="n"/>
      <c r="G531" s="44" t="n"/>
      <c r="H531" s="44" t="n"/>
      <c r="I531" s="36" t="n"/>
      <c r="J531" s="36" t="n"/>
      <c r="K531" s="41" t="n"/>
      <c r="L531" s="41" t="n"/>
      <c r="M531" s="36" t="n"/>
      <c r="N531" s="36" t="n"/>
      <c r="O531" s="32" t="n"/>
      <c r="P531" s="36" t="n"/>
      <c r="Q531" s="36" t="n"/>
      <c r="R531" s="34">
        <f>IF(P531="","",IFERROR(VLOOKUP(P531,T_Produits,2,FALSE),""))</f>
        <v/>
      </c>
      <c r="S531" s="36" t="n"/>
      <c r="T531" s="43" t="n"/>
      <c r="U531" s="43" t="n"/>
      <c r="V531" s="36" t="n"/>
      <c r="W531" s="36" t="n"/>
      <c r="X531" s="33">
        <f>IF(C531="","",Commercial_Id)</f>
        <v/>
      </c>
      <c r="Y531" s="33">
        <f>IF(E531="","",IF(E531="Particulier / ménage","Particulier","Entreprise"))</f>
        <v/>
      </c>
      <c r="Z531" s="39">
        <f>IF(C531="","",COUNTIFS(VC_cle,AK531,VC_type,"Visite sur place"))</f>
        <v/>
      </c>
      <c r="AA531" s="46">
        <f>IF(AL531=0,"",IF(INT(AL531)=0,"",INT(AL531)))</f>
        <v/>
      </c>
      <c r="AB531" s="46">
        <f>IF(AL531=0,"",IF(INDEX(VC_actiondate,ROUND(MOD(AL531,1)*100000,0)-5)=0,"",INDEX(VC_actiondate,ROUND(MOD(AL531,1)*100000,0)-5)))</f>
        <v/>
      </c>
      <c r="AC531" s="33">
        <f>IF(AL531=0,"",INDEX(VC_actiontexte,ROUND(MOD(AL531,1)*100000,0)-5)&amp;"")</f>
        <v/>
      </c>
      <c r="AD531" s="46">
        <f>IF(C531="","",IF(COUNTIFS(Cmd_cle,AK531,Cmd_dateca,"&gt;0")=0,"",SMALL(INDEX(Cmd_dateca+(((Cmd_cle&lt;&gt;AK531)+(Cmd_dateca=0))&gt;0)*1000000,0),1)))</f>
        <v/>
      </c>
      <c r="AE531" s="46">
        <f>IF(C531="","",IF(COUNTIFS(Cmd_cle,AK531,Cmd_dateca,"&gt;0")=0,"",MAX(INDEX((Cmd_cle=AK531)*Cmd_dateca,0))))</f>
        <v/>
      </c>
      <c r="AF531" s="40">
        <f>IF(C531="","",SUMIFS(Cmd_montant,Cmd_cle,AK531,Cmd_dateca,"&gt;0"))</f>
        <v/>
      </c>
      <c r="AG531" s="40">
        <f>IF(C531="","",SUMIFS(Enc_montant,Enc_cle,AK531))</f>
        <v/>
      </c>
      <c r="AH531" s="40">
        <f>IF(C531="","",AF531-AG531)</f>
        <v/>
      </c>
      <c r="AI531" s="33">
        <f>IF(C531="","",IF(D531="Perdu","",IF(AND(AB531&lt;&gt;"",N(AB531)&lt;TODAY()),"Action en retard",IF(AND(D531="Client",AE531&lt;&gt;"",TODAY()-N(AE531)&gt;P_JoursInactif),"Client inactif",IF(AND(D531="Prospect",Z531=0,O531&lt;&gt;"",TODAY()-N(O531)&gt;P_JoursNonVisite),"Jamais visité","")))))</f>
        <v/>
      </c>
      <c r="AJ531" s="33">
        <f>IF(C531="","",C531&amp;" ["&amp;TEXT(A531,"000")&amp;"]")</f>
        <v/>
      </c>
      <c r="AK531" s="33">
        <f>IF(C531="","",X531&amp;"|"&amp;A531)</f>
        <v/>
      </c>
      <c r="AL531" s="47">
        <f>IF(C531="",0,IF(COUNTIFS(VC_cle,AK531)=0,0,MAX(INDEX((VC_cle=AK531)*(VC_date+ROW(VC_date)/100000),0))))</f>
        <v/>
      </c>
      <c r="AM531" s="47">
        <f>IF(AND(C531&lt;&gt;"",N(AB531)&gt;0,D531&lt;&gt;"Perdu"),AB531+ROW()/100000,0)</f>
        <v/>
      </c>
      <c r="AN531" s="48">
        <f>IF(N(AF531)&gt;0,ROUND(AF531,0)+ROW()/1000000,0)</f>
        <v/>
      </c>
    </row>
    <row r="532" ht="18" customHeight="1">
      <c r="A532" s="39" t="n">
        <v>527</v>
      </c>
      <c r="B532" s="33">
        <f>IF(C532="","",IF(X532="À RENSEIGNER","GIC",X532)&amp;"-"&amp;TEXT(A532,"000"))</f>
        <v/>
      </c>
      <c r="C532" s="36" t="n"/>
      <c r="D532" s="34">
        <f>IF(C532="","",IF(U532="☑ Oui","Perdu",IF(AD532&lt;&gt;"","Client","Prospect")))</f>
        <v/>
      </c>
      <c r="E532" s="36" t="n"/>
      <c r="F532" s="36" t="n"/>
      <c r="G532" s="44" t="n"/>
      <c r="H532" s="44" t="n"/>
      <c r="I532" s="36" t="n"/>
      <c r="J532" s="36" t="n"/>
      <c r="K532" s="41" t="n"/>
      <c r="L532" s="41" t="n"/>
      <c r="M532" s="36" t="n"/>
      <c r="N532" s="36" t="n"/>
      <c r="O532" s="32" t="n"/>
      <c r="P532" s="36" t="n"/>
      <c r="Q532" s="36" t="n"/>
      <c r="R532" s="34">
        <f>IF(P532="","",IFERROR(VLOOKUP(P532,T_Produits,2,FALSE),""))</f>
        <v/>
      </c>
      <c r="S532" s="36" t="n"/>
      <c r="T532" s="43" t="n"/>
      <c r="U532" s="43" t="n"/>
      <c r="V532" s="36" t="n"/>
      <c r="W532" s="36" t="n"/>
      <c r="X532" s="33">
        <f>IF(C532="","",Commercial_Id)</f>
        <v/>
      </c>
      <c r="Y532" s="33">
        <f>IF(E532="","",IF(E532="Particulier / ménage","Particulier","Entreprise"))</f>
        <v/>
      </c>
      <c r="Z532" s="39">
        <f>IF(C532="","",COUNTIFS(VC_cle,AK532,VC_type,"Visite sur place"))</f>
        <v/>
      </c>
      <c r="AA532" s="46">
        <f>IF(AL532=0,"",IF(INT(AL532)=0,"",INT(AL532)))</f>
        <v/>
      </c>
      <c r="AB532" s="46">
        <f>IF(AL532=0,"",IF(INDEX(VC_actiondate,ROUND(MOD(AL532,1)*100000,0)-5)=0,"",INDEX(VC_actiondate,ROUND(MOD(AL532,1)*100000,0)-5)))</f>
        <v/>
      </c>
      <c r="AC532" s="33">
        <f>IF(AL532=0,"",INDEX(VC_actiontexte,ROUND(MOD(AL532,1)*100000,0)-5)&amp;"")</f>
        <v/>
      </c>
      <c r="AD532" s="46">
        <f>IF(C532="","",IF(COUNTIFS(Cmd_cle,AK532,Cmd_dateca,"&gt;0")=0,"",SMALL(INDEX(Cmd_dateca+(((Cmd_cle&lt;&gt;AK532)+(Cmd_dateca=0))&gt;0)*1000000,0),1)))</f>
        <v/>
      </c>
      <c r="AE532" s="46">
        <f>IF(C532="","",IF(COUNTIFS(Cmd_cle,AK532,Cmd_dateca,"&gt;0")=0,"",MAX(INDEX((Cmd_cle=AK532)*Cmd_dateca,0))))</f>
        <v/>
      </c>
      <c r="AF532" s="40">
        <f>IF(C532="","",SUMIFS(Cmd_montant,Cmd_cle,AK532,Cmd_dateca,"&gt;0"))</f>
        <v/>
      </c>
      <c r="AG532" s="40">
        <f>IF(C532="","",SUMIFS(Enc_montant,Enc_cle,AK532))</f>
        <v/>
      </c>
      <c r="AH532" s="40">
        <f>IF(C532="","",AF532-AG532)</f>
        <v/>
      </c>
      <c r="AI532" s="33">
        <f>IF(C532="","",IF(D532="Perdu","",IF(AND(AB532&lt;&gt;"",N(AB532)&lt;TODAY()),"Action en retard",IF(AND(D532="Client",AE532&lt;&gt;"",TODAY()-N(AE532)&gt;P_JoursInactif),"Client inactif",IF(AND(D532="Prospect",Z532=0,O532&lt;&gt;"",TODAY()-N(O532)&gt;P_JoursNonVisite),"Jamais visité","")))))</f>
        <v/>
      </c>
      <c r="AJ532" s="33">
        <f>IF(C532="","",C532&amp;" ["&amp;TEXT(A532,"000")&amp;"]")</f>
        <v/>
      </c>
      <c r="AK532" s="33">
        <f>IF(C532="","",X532&amp;"|"&amp;A532)</f>
        <v/>
      </c>
      <c r="AL532" s="47">
        <f>IF(C532="",0,IF(COUNTIFS(VC_cle,AK532)=0,0,MAX(INDEX((VC_cle=AK532)*(VC_date+ROW(VC_date)/100000),0))))</f>
        <v/>
      </c>
      <c r="AM532" s="47">
        <f>IF(AND(C532&lt;&gt;"",N(AB532)&gt;0,D532&lt;&gt;"Perdu"),AB532+ROW()/100000,0)</f>
        <v/>
      </c>
      <c r="AN532" s="48">
        <f>IF(N(AF532)&gt;0,ROUND(AF532,0)+ROW()/1000000,0)</f>
        <v/>
      </c>
    </row>
    <row r="533" ht="18" customHeight="1">
      <c r="A533" s="39" t="n">
        <v>528</v>
      </c>
      <c r="B533" s="33">
        <f>IF(C533="","",IF(X533="À RENSEIGNER","GIC",X533)&amp;"-"&amp;TEXT(A533,"000"))</f>
        <v/>
      </c>
      <c r="C533" s="36" t="n"/>
      <c r="D533" s="34">
        <f>IF(C533="","",IF(U533="☑ Oui","Perdu",IF(AD533&lt;&gt;"","Client","Prospect")))</f>
        <v/>
      </c>
      <c r="E533" s="36" t="n"/>
      <c r="F533" s="36" t="n"/>
      <c r="G533" s="44" t="n"/>
      <c r="H533" s="44" t="n"/>
      <c r="I533" s="36" t="n"/>
      <c r="J533" s="36" t="n"/>
      <c r="K533" s="41" t="n"/>
      <c r="L533" s="41" t="n"/>
      <c r="M533" s="36" t="n"/>
      <c r="N533" s="36" t="n"/>
      <c r="O533" s="32" t="n"/>
      <c r="P533" s="36" t="n"/>
      <c r="Q533" s="36" t="n"/>
      <c r="R533" s="34">
        <f>IF(P533="","",IFERROR(VLOOKUP(P533,T_Produits,2,FALSE),""))</f>
        <v/>
      </c>
      <c r="S533" s="36" t="n"/>
      <c r="T533" s="43" t="n"/>
      <c r="U533" s="43" t="n"/>
      <c r="V533" s="36" t="n"/>
      <c r="W533" s="36" t="n"/>
      <c r="X533" s="33">
        <f>IF(C533="","",Commercial_Id)</f>
        <v/>
      </c>
      <c r="Y533" s="33">
        <f>IF(E533="","",IF(E533="Particulier / ménage","Particulier","Entreprise"))</f>
        <v/>
      </c>
      <c r="Z533" s="39">
        <f>IF(C533="","",COUNTIFS(VC_cle,AK533,VC_type,"Visite sur place"))</f>
        <v/>
      </c>
      <c r="AA533" s="46">
        <f>IF(AL533=0,"",IF(INT(AL533)=0,"",INT(AL533)))</f>
        <v/>
      </c>
      <c r="AB533" s="46">
        <f>IF(AL533=0,"",IF(INDEX(VC_actiondate,ROUND(MOD(AL533,1)*100000,0)-5)=0,"",INDEX(VC_actiondate,ROUND(MOD(AL533,1)*100000,0)-5)))</f>
        <v/>
      </c>
      <c r="AC533" s="33">
        <f>IF(AL533=0,"",INDEX(VC_actiontexte,ROUND(MOD(AL533,1)*100000,0)-5)&amp;"")</f>
        <v/>
      </c>
      <c r="AD533" s="46">
        <f>IF(C533="","",IF(COUNTIFS(Cmd_cle,AK533,Cmd_dateca,"&gt;0")=0,"",SMALL(INDEX(Cmd_dateca+(((Cmd_cle&lt;&gt;AK533)+(Cmd_dateca=0))&gt;0)*1000000,0),1)))</f>
        <v/>
      </c>
      <c r="AE533" s="46">
        <f>IF(C533="","",IF(COUNTIFS(Cmd_cle,AK533,Cmd_dateca,"&gt;0")=0,"",MAX(INDEX((Cmd_cle=AK533)*Cmd_dateca,0))))</f>
        <v/>
      </c>
      <c r="AF533" s="40">
        <f>IF(C533="","",SUMIFS(Cmd_montant,Cmd_cle,AK533,Cmd_dateca,"&gt;0"))</f>
        <v/>
      </c>
      <c r="AG533" s="40">
        <f>IF(C533="","",SUMIFS(Enc_montant,Enc_cle,AK533))</f>
        <v/>
      </c>
      <c r="AH533" s="40">
        <f>IF(C533="","",AF533-AG533)</f>
        <v/>
      </c>
      <c r="AI533" s="33">
        <f>IF(C533="","",IF(D533="Perdu","",IF(AND(AB533&lt;&gt;"",N(AB533)&lt;TODAY()),"Action en retard",IF(AND(D533="Client",AE533&lt;&gt;"",TODAY()-N(AE533)&gt;P_JoursInactif),"Client inactif",IF(AND(D533="Prospect",Z533=0,O533&lt;&gt;"",TODAY()-N(O533)&gt;P_JoursNonVisite),"Jamais visité","")))))</f>
        <v/>
      </c>
      <c r="AJ533" s="33">
        <f>IF(C533="","",C533&amp;" ["&amp;TEXT(A533,"000")&amp;"]")</f>
        <v/>
      </c>
      <c r="AK533" s="33">
        <f>IF(C533="","",X533&amp;"|"&amp;A533)</f>
        <v/>
      </c>
      <c r="AL533" s="47">
        <f>IF(C533="",0,IF(COUNTIFS(VC_cle,AK533)=0,0,MAX(INDEX((VC_cle=AK533)*(VC_date+ROW(VC_date)/100000),0))))</f>
        <v/>
      </c>
      <c r="AM533" s="47">
        <f>IF(AND(C533&lt;&gt;"",N(AB533)&gt;0,D533&lt;&gt;"Perdu"),AB533+ROW()/100000,0)</f>
        <v/>
      </c>
      <c r="AN533" s="48">
        <f>IF(N(AF533)&gt;0,ROUND(AF533,0)+ROW()/1000000,0)</f>
        <v/>
      </c>
    </row>
    <row r="534" ht="18" customHeight="1">
      <c r="A534" s="39" t="n">
        <v>529</v>
      </c>
      <c r="B534" s="33">
        <f>IF(C534="","",IF(X534="À RENSEIGNER","GIC",X534)&amp;"-"&amp;TEXT(A534,"000"))</f>
        <v/>
      </c>
      <c r="C534" s="36" t="n"/>
      <c r="D534" s="34">
        <f>IF(C534="","",IF(U534="☑ Oui","Perdu",IF(AD534&lt;&gt;"","Client","Prospect")))</f>
        <v/>
      </c>
      <c r="E534" s="36" t="n"/>
      <c r="F534" s="36" t="n"/>
      <c r="G534" s="44" t="n"/>
      <c r="H534" s="44" t="n"/>
      <c r="I534" s="36" t="n"/>
      <c r="J534" s="36" t="n"/>
      <c r="K534" s="41" t="n"/>
      <c r="L534" s="41" t="n"/>
      <c r="M534" s="36" t="n"/>
      <c r="N534" s="36" t="n"/>
      <c r="O534" s="32" t="n"/>
      <c r="P534" s="36" t="n"/>
      <c r="Q534" s="36" t="n"/>
      <c r="R534" s="34">
        <f>IF(P534="","",IFERROR(VLOOKUP(P534,T_Produits,2,FALSE),""))</f>
        <v/>
      </c>
      <c r="S534" s="36" t="n"/>
      <c r="T534" s="43" t="n"/>
      <c r="U534" s="43" t="n"/>
      <c r="V534" s="36" t="n"/>
      <c r="W534" s="36" t="n"/>
      <c r="X534" s="33">
        <f>IF(C534="","",Commercial_Id)</f>
        <v/>
      </c>
      <c r="Y534" s="33">
        <f>IF(E534="","",IF(E534="Particulier / ménage","Particulier","Entreprise"))</f>
        <v/>
      </c>
      <c r="Z534" s="39">
        <f>IF(C534="","",COUNTIFS(VC_cle,AK534,VC_type,"Visite sur place"))</f>
        <v/>
      </c>
      <c r="AA534" s="46">
        <f>IF(AL534=0,"",IF(INT(AL534)=0,"",INT(AL534)))</f>
        <v/>
      </c>
      <c r="AB534" s="46">
        <f>IF(AL534=0,"",IF(INDEX(VC_actiondate,ROUND(MOD(AL534,1)*100000,0)-5)=0,"",INDEX(VC_actiondate,ROUND(MOD(AL534,1)*100000,0)-5)))</f>
        <v/>
      </c>
      <c r="AC534" s="33">
        <f>IF(AL534=0,"",INDEX(VC_actiontexte,ROUND(MOD(AL534,1)*100000,0)-5)&amp;"")</f>
        <v/>
      </c>
      <c r="AD534" s="46">
        <f>IF(C534="","",IF(COUNTIFS(Cmd_cle,AK534,Cmd_dateca,"&gt;0")=0,"",SMALL(INDEX(Cmd_dateca+(((Cmd_cle&lt;&gt;AK534)+(Cmd_dateca=0))&gt;0)*1000000,0),1)))</f>
        <v/>
      </c>
      <c r="AE534" s="46">
        <f>IF(C534="","",IF(COUNTIFS(Cmd_cle,AK534,Cmd_dateca,"&gt;0")=0,"",MAX(INDEX((Cmd_cle=AK534)*Cmd_dateca,0))))</f>
        <v/>
      </c>
      <c r="AF534" s="40">
        <f>IF(C534="","",SUMIFS(Cmd_montant,Cmd_cle,AK534,Cmd_dateca,"&gt;0"))</f>
        <v/>
      </c>
      <c r="AG534" s="40">
        <f>IF(C534="","",SUMIFS(Enc_montant,Enc_cle,AK534))</f>
        <v/>
      </c>
      <c r="AH534" s="40">
        <f>IF(C534="","",AF534-AG534)</f>
        <v/>
      </c>
      <c r="AI534" s="33">
        <f>IF(C534="","",IF(D534="Perdu","",IF(AND(AB534&lt;&gt;"",N(AB534)&lt;TODAY()),"Action en retard",IF(AND(D534="Client",AE534&lt;&gt;"",TODAY()-N(AE534)&gt;P_JoursInactif),"Client inactif",IF(AND(D534="Prospect",Z534=0,O534&lt;&gt;"",TODAY()-N(O534)&gt;P_JoursNonVisite),"Jamais visité","")))))</f>
        <v/>
      </c>
      <c r="AJ534" s="33">
        <f>IF(C534="","",C534&amp;" ["&amp;TEXT(A534,"000")&amp;"]")</f>
        <v/>
      </c>
      <c r="AK534" s="33">
        <f>IF(C534="","",X534&amp;"|"&amp;A534)</f>
        <v/>
      </c>
      <c r="AL534" s="47">
        <f>IF(C534="",0,IF(COUNTIFS(VC_cle,AK534)=0,0,MAX(INDEX((VC_cle=AK534)*(VC_date+ROW(VC_date)/100000),0))))</f>
        <v/>
      </c>
      <c r="AM534" s="47">
        <f>IF(AND(C534&lt;&gt;"",N(AB534)&gt;0,D534&lt;&gt;"Perdu"),AB534+ROW()/100000,0)</f>
        <v/>
      </c>
      <c r="AN534" s="48">
        <f>IF(N(AF534)&gt;0,ROUND(AF534,0)+ROW()/1000000,0)</f>
        <v/>
      </c>
    </row>
    <row r="535" ht="18" customHeight="1">
      <c r="A535" s="39" t="n">
        <v>530</v>
      </c>
      <c r="B535" s="33">
        <f>IF(C535="","",IF(X535="À RENSEIGNER","GIC",X535)&amp;"-"&amp;TEXT(A535,"000"))</f>
        <v/>
      </c>
      <c r="C535" s="36" t="n"/>
      <c r="D535" s="34">
        <f>IF(C535="","",IF(U535="☑ Oui","Perdu",IF(AD535&lt;&gt;"","Client","Prospect")))</f>
        <v/>
      </c>
      <c r="E535" s="36" t="n"/>
      <c r="F535" s="36" t="n"/>
      <c r="G535" s="44" t="n"/>
      <c r="H535" s="44" t="n"/>
      <c r="I535" s="36" t="n"/>
      <c r="J535" s="36" t="n"/>
      <c r="K535" s="41" t="n"/>
      <c r="L535" s="41" t="n"/>
      <c r="M535" s="36" t="n"/>
      <c r="N535" s="36" t="n"/>
      <c r="O535" s="32" t="n"/>
      <c r="P535" s="36" t="n"/>
      <c r="Q535" s="36" t="n"/>
      <c r="R535" s="34">
        <f>IF(P535="","",IFERROR(VLOOKUP(P535,T_Produits,2,FALSE),""))</f>
        <v/>
      </c>
      <c r="S535" s="36" t="n"/>
      <c r="T535" s="43" t="n"/>
      <c r="U535" s="43" t="n"/>
      <c r="V535" s="36" t="n"/>
      <c r="W535" s="36" t="n"/>
      <c r="X535" s="33">
        <f>IF(C535="","",Commercial_Id)</f>
        <v/>
      </c>
      <c r="Y535" s="33">
        <f>IF(E535="","",IF(E535="Particulier / ménage","Particulier","Entreprise"))</f>
        <v/>
      </c>
      <c r="Z535" s="39">
        <f>IF(C535="","",COUNTIFS(VC_cle,AK535,VC_type,"Visite sur place"))</f>
        <v/>
      </c>
      <c r="AA535" s="46">
        <f>IF(AL535=0,"",IF(INT(AL535)=0,"",INT(AL535)))</f>
        <v/>
      </c>
      <c r="AB535" s="46">
        <f>IF(AL535=0,"",IF(INDEX(VC_actiondate,ROUND(MOD(AL535,1)*100000,0)-5)=0,"",INDEX(VC_actiondate,ROUND(MOD(AL535,1)*100000,0)-5)))</f>
        <v/>
      </c>
      <c r="AC535" s="33">
        <f>IF(AL535=0,"",INDEX(VC_actiontexte,ROUND(MOD(AL535,1)*100000,0)-5)&amp;"")</f>
        <v/>
      </c>
      <c r="AD535" s="46">
        <f>IF(C535="","",IF(COUNTIFS(Cmd_cle,AK535,Cmd_dateca,"&gt;0")=0,"",SMALL(INDEX(Cmd_dateca+(((Cmd_cle&lt;&gt;AK535)+(Cmd_dateca=0))&gt;0)*1000000,0),1)))</f>
        <v/>
      </c>
      <c r="AE535" s="46">
        <f>IF(C535="","",IF(COUNTIFS(Cmd_cle,AK535,Cmd_dateca,"&gt;0")=0,"",MAX(INDEX((Cmd_cle=AK535)*Cmd_dateca,0))))</f>
        <v/>
      </c>
      <c r="AF535" s="40">
        <f>IF(C535="","",SUMIFS(Cmd_montant,Cmd_cle,AK535,Cmd_dateca,"&gt;0"))</f>
        <v/>
      </c>
      <c r="AG535" s="40">
        <f>IF(C535="","",SUMIFS(Enc_montant,Enc_cle,AK535))</f>
        <v/>
      </c>
      <c r="AH535" s="40">
        <f>IF(C535="","",AF535-AG535)</f>
        <v/>
      </c>
      <c r="AI535" s="33">
        <f>IF(C535="","",IF(D535="Perdu","",IF(AND(AB535&lt;&gt;"",N(AB535)&lt;TODAY()),"Action en retard",IF(AND(D535="Client",AE535&lt;&gt;"",TODAY()-N(AE535)&gt;P_JoursInactif),"Client inactif",IF(AND(D535="Prospect",Z535=0,O535&lt;&gt;"",TODAY()-N(O535)&gt;P_JoursNonVisite),"Jamais visité","")))))</f>
        <v/>
      </c>
      <c r="AJ535" s="33">
        <f>IF(C535="","",C535&amp;" ["&amp;TEXT(A535,"000")&amp;"]")</f>
        <v/>
      </c>
      <c r="AK535" s="33">
        <f>IF(C535="","",X535&amp;"|"&amp;A535)</f>
        <v/>
      </c>
      <c r="AL535" s="47">
        <f>IF(C535="",0,IF(COUNTIFS(VC_cle,AK535)=0,0,MAX(INDEX((VC_cle=AK535)*(VC_date+ROW(VC_date)/100000),0))))</f>
        <v/>
      </c>
      <c r="AM535" s="47">
        <f>IF(AND(C535&lt;&gt;"",N(AB535)&gt;0,D535&lt;&gt;"Perdu"),AB535+ROW()/100000,0)</f>
        <v/>
      </c>
      <c r="AN535" s="48">
        <f>IF(N(AF535)&gt;0,ROUND(AF535,0)+ROW()/1000000,0)</f>
        <v/>
      </c>
    </row>
    <row r="536" ht="18" customHeight="1">
      <c r="A536" s="39" t="n">
        <v>531</v>
      </c>
      <c r="B536" s="33">
        <f>IF(C536="","",IF(X536="À RENSEIGNER","GIC",X536)&amp;"-"&amp;TEXT(A536,"000"))</f>
        <v/>
      </c>
      <c r="C536" s="36" t="n"/>
      <c r="D536" s="34">
        <f>IF(C536="","",IF(U536="☑ Oui","Perdu",IF(AD536&lt;&gt;"","Client","Prospect")))</f>
        <v/>
      </c>
      <c r="E536" s="36" t="n"/>
      <c r="F536" s="36" t="n"/>
      <c r="G536" s="44" t="n"/>
      <c r="H536" s="44" t="n"/>
      <c r="I536" s="36" t="n"/>
      <c r="J536" s="36" t="n"/>
      <c r="K536" s="41" t="n"/>
      <c r="L536" s="41" t="n"/>
      <c r="M536" s="36" t="n"/>
      <c r="N536" s="36" t="n"/>
      <c r="O536" s="32" t="n"/>
      <c r="P536" s="36" t="n"/>
      <c r="Q536" s="36" t="n"/>
      <c r="R536" s="34">
        <f>IF(P536="","",IFERROR(VLOOKUP(P536,T_Produits,2,FALSE),""))</f>
        <v/>
      </c>
      <c r="S536" s="36" t="n"/>
      <c r="T536" s="43" t="n"/>
      <c r="U536" s="43" t="n"/>
      <c r="V536" s="36" t="n"/>
      <c r="W536" s="36" t="n"/>
      <c r="X536" s="33">
        <f>IF(C536="","",Commercial_Id)</f>
        <v/>
      </c>
      <c r="Y536" s="33">
        <f>IF(E536="","",IF(E536="Particulier / ménage","Particulier","Entreprise"))</f>
        <v/>
      </c>
      <c r="Z536" s="39">
        <f>IF(C536="","",COUNTIFS(VC_cle,AK536,VC_type,"Visite sur place"))</f>
        <v/>
      </c>
      <c r="AA536" s="46">
        <f>IF(AL536=0,"",IF(INT(AL536)=0,"",INT(AL536)))</f>
        <v/>
      </c>
      <c r="AB536" s="46">
        <f>IF(AL536=0,"",IF(INDEX(VC_actiondate,ROUND(MOD(AL536,1)*100000,0)-5)=0,"",INDEX(VC_actiondate,ROUND(MOD(AL536,1)*100000,0)-5)))</f>
        <v/>
      </c>
      <c r="AC536" s="33">
        <f>IF(AL536=0,"",INDEX(VC_actiontexte,ROUND(MOD(AL536,1)*100000,0)-5)&amp;"")</f>
        <v/>
      </c>
      <c r="AD536" s="46">
        <f>IF(C536="","",IF(COUNTIFS(Cmd_cle,AK536,Cmd_dateca,"&gt;0")=0,"",SMALL(INDEX(Cmd_dateca+(((Cmd_cle&lt;&gt;AK536)+(Cmd_dateca=0))&gt;0)*1000000,0),1)))</f>
        <v/>
      </c>
      <c r="AE536" s="46">
        <f>IF(C536="","",IF(COUNTIFS(Cmd_cle,AK536,Cmd_dateca,"&gt;0")=0,"",MAX(INDEX((Cmd_cle=AK536)*Cmd_dateca,0))))</f>
        <v/>
      </c>
      <c r="AF536" s="40">
        <f>IF(C536="","",SUMIFS(Cmd_montant,Cmd_cle,AK536,Cmd_dateca,"&gt;0"))</f>
        <v/>
      </c>
      <c r="AG536" s="40">
        <f>IF(C536="","",SUMIFS(Enc_montant,Enc_cle,AK536))</f>
        <v/>
      </c>
      <c r="AH536" s="40">
        <f>IF(C536="","",AF536-AG536)</f>
        <v/>
      </c>
      <c r="AI536" s="33">
        <f>IF(C536="","",IF(D536="Perdu","",IF(AND(AB536&lt;&gt;"",N(AB536)&lt;TODAY()),"Action en retard",IF(AND(D536="Client",AE536&lt;&gt;"",TODAY()-N(AE536)&gt;P_JoursInactif),"Client inactif",IF(AND(D536="Prospect",Z536=0,O536&lt;&gt;"",TODAY()-N(O536)&gt;P_JoursNonVisite),"Jamais visité","")))))</f>
        <v/>
      </c>
      <c r="AJ536" s="33">
        <f>IF(C536="","",C536&amp;" ["&amp;TEXT(A536,"000")&amp;"]")</f>
        <v/>
      </c>
      <c r="AK536" s="33">
        <f>IF(C536="","",X536&amp;"|"&amp;A536)</f>
        <v/>
      </c>
      <c r="AL536" s="47">
        <f>IF(C536="",0,IF(COUNTIFS(VC_cle,AK536)=0,0,MAX(INDEX((VC_cle=AK536)*(VC_date+ROW(VC_date)/100000),0))))</f>
        <v/>
      </c>
      <c r="AM536" s="47">
        <f>IF(AND(C536&lt;&gt;"",N(AB536)&gt;0,D536&lt;&gt;"Perdu"),AB536+ROW()/100000,0)</f>
        <v/>
      </c>
      <c r="AN536" s="48">
        <f>IF(N(AF536)&gt;0,ROUND(AF536,0)+ROW()/1000000,0)</f>
        <v/>
      </c>
    </row>
    <row r="537" ht="18" customHeight="1">
      <c r="A537" s="39" t="n">
        <v>532</v>
      </c>
      <c r="B537" s="33">
        <f>IF(C537="","",IF(X537="À RENSEIGNER","GIC",X537)&amp;"-"&amp;TEXT(A537,"000"))</f>
        <v/>
      </c>
      <c r="C537" s="36" t="n"/>
      <c r="D537" s="34">
        <f>IF(C537="","",IF(U537="☑ Oui","Perdu",IF(AD537&lt;&gt;"","Client","Prospect")))</f>
        <v/>
      </c>
      <c r="E537" s="36" t="n"/>
      <c r="F537" s="36" t="n"/>
      <c r="G537" s="44" t="n"/>
      <c r="H537" s="44" t="n"/>
      <c r="I537" s="36" t="n"/>
      <c r="J537" s="36" t="n"/>
      <c r="K537" s="41" t="n"/>
      <c r="L537" s="41" t="n"/>
      <c r="M537" s="36" t="n"/>
      <c r="N537" s="36" t="n"/>
      <c r="O537" s="32" t="n"/>
      <c r="P537" s="36" t="n"/>
      <c r="Q537" s="36" t="n"/>
      <c r="R537" s="34">
        <f>IF(P537="","",IFERROR(VLOOKUP(P537,T_Produits,2,FALSE),""))</f>
        <v/>
      </c>
      <c r="S537" s="36" t="n"/>
      <c r="T537" s="43" t="n"/>
      <c r="U537" s="43" t="n"/>
      <c r="V537" s="36" t="n"/>
      <c r="W537" s="36" t="n"/>
      <c r="X537" s="33">
        <f>IF(C537="","",Commercial_Id)</f>
        <v/>
      </c>
      <c r="Y537" s="33">
        <f>IF(E537="","",IF(E537="Particulier / ménage","Particulier","Entreprise"))</f>
        <v/>
      </c>
      <c r="Z537" s="39">
        <f>IF(C537="","",COUNTIFS(VC_cle,AK537,VC_type,"Visite sur place"))</f>
        <v/>
      </c>
      <c r="AA537" s="46">
        <f>IF(AL537=0,"",IF(INT(AL537)=0,"",INT(AL537)))</f>
        <v/>
      </c>
      <c r="AB537" s="46">
        <f>IF(AL537=0,"",IF(INDEX(VC_actiondate,ROUND(MOD(AL537,1)*100000,0)-5)=0,"",INDEX(VC_actiondate,ROUND(MOD(AL537,1)*100000,0)-5)))</f>
        <v/>
      </c>
      <c r="AC537" s="33">
        <f>IF(AL537=0,"",INDEX(VC_actiontexte,ROUND(MOD(AL537,1)*100000,0)-5)&amp;"")</f>
        <v/>
      </c>
      <c r="AD537" s="46">
        <f>IF(C537="","",IF(COUNTIFS(Cmd_cle,AK537,Cmd_dateca,"&gt;0")=0,"",SMALL(INDEX(Cmd_dateca+(((Cmd_cle&lt;&gt;AK537)+(Cmd_dateca=0))&gt;0)*1000000,0),1)))</f>
        <v/>
      </c>
      <c r="AE537" s="46">
        <f>IF(C537="","",IF(COUNTIFS(Cmd_cle,AK537,Cmd_dateca,"&gt;0")=0,"",MAX(INDEX((Cmd_cle=AK537)*Cmd_dateca,0))))</f>
        <v/>
      </c>
      <c r="AF537" s="40">
        <f>IF(C537="","",SUMIFS(Cmd_montant,Cmd_cle,AK537,Cmd_dateca,"&gt;0"))</f>
        <v/>
      </c>
      <c r="AG537" s="40">
        <f>IF(C537="","",SUMIFS(Enc_montant,Enc_cle,AK537))</f>
        <v/>
      </c>
      <c r="AH537" s="40">
        <f>IF(C537="","",AF537-AG537)</f>
        <v/>
      </c>
      <c r="AI537" s="33">
        <f>IF(C537="","",IF(D537="Perdu","",IF(AND(AB537&lt;&gt;"",N(AB537)&lt;TODAY()),"Action en retard",IF(AND(D537="Client",AE537&lt;&gt;"",TODAY()-N(AE537)&gt;P_JoursInactif),"Client inactif",IF(AND(D537="Prospect",Z537=0,O537&lt;&gt;"",TODAY()-N(O537)&gt;P_JoursNonVisite),"Jamais visité","")))))</f>
        <v/>
      </c>
      <c r="AJ537" s="33">
        <f>IF(C537="","",C537&amp;" ["&amp;TEXT(A537,"000")&amp;"]")</f>
        <v/>
      </c>
      <c r="AK537" s="33">
        <f>IF(C537="","",X537&amp;"|"&amp;A537)</f>
        <v/>
      </c>
      <c r="AL537" s="47">
        <f>IF(C537="",0,IF(COUNTIFS(VC_cle,AK537)=0,0,MAX(INDEX((VC_cle=AK537)*(VC_date+ROW(VC_date)/100000),0))))</f>
        <v/>
      </c>
      <c r="AM537" s="47">
        <f>IF(AND(C537&lt;&gt;"",N(AB537)&gt;0,D537&lt;&gt;"Perdu"),AB537+ROW()/100000,0)</f>
        <v/>
      </c>
      <c r="AN537" s="48">
        <f>IF(N(AF537)&gt;0,ROUND(AF537,0)+ROW()/1000000,0)</f>
        <v/>
      </c>
    </row>
    <row r="538" ht="18" customHeight="1">
      <c r="A538" s="39" t="n">
        <v>533</v>
      </c>
      <c r="B538" s="33">
        <f>IF(C538="","",IF(X538="À RENSEIGNER","GIC",X538)&amp;"-"&amp;TEXT(A538,"000"))</f>
        <v/>
      </c>
      <c r="C538" s="36" t="n"/>
      <c r="D538" s="34">
        <f>IF(C538="","",IF(U538="☑ Oui","Perdu",IF(AD538&lt;&gt;"","Client","Prospect")))</f>
        <v/>
      </c>
      <c r="E538" s="36" t="n"/>
      <c r="F538" s="36" t="n"/>
      <c r="G538" s="44" t="n"/>
      <c r="H538" s="44" t="n"/>
      <c r="I538" s="36" t="n"/>
      <c r="J538" s="36" t="n"/>
      <c r="K538" s="41" t="n"/>
      <c r="L538" s="41" t="n"/>
      <c r="M538" s="36" t="n"/>
      <c r="N538" s="36" t="n"/>
      <c r="O538" s="32" t="n"/>
      <c r="P538" s="36" t="n"/>
      <c r="Q538" s="36" t="n"/>
      <c r="R538" s="34">
        <f>IF(P538="","",IFERROR(VLOOKUP(P538,T_Produits,2,FALSE),""))</f>
        <v/>
      </c>
      <c r="S538" s="36" t="n"/>
      <c r="T538" s="43" t="n"/>
      <c r="U538" s="43" t="n"/>
      <c r="V538" s="36" t="n"/>
      <c r="W538" s="36" t="n"/>
      <c r="X538" s="33">
        <f>IF(C538="","",Commercial_Id)</f>
        <v/>
      </c>
      <c r="Y538" s="33">
        <f>IF(E538="","",IF(E538="Particulier / ménage","Particulier","Entreprise"))</f>
        <v/>
      </c>
      <c r="Z538" s="39">
        <f>IF(C538="","",COUNTIFS(VC_cle,AK538,VC_type,"Visite sur place"))</f>
        <v/>
      </c>
      <c r="AA538" s="46">
        <f>IF(AL538=0,"",IF(INT(AL538)=0,"",INT(AL538)))</f>
        <v/>
      </c>
      <c r="AB538" s="46">
        <f>IF(AL538=0,"",IF(INDEX(VC_actiondate,ROUND(MOD(AL538,1)*100000,0)-5)=0,"",INDEX(VC_actiondate,ROUND(MOD(AL538,1)*100000,0)-5)))</f>
        <v/>
      </c>
      <c r="AC538" s="33">
        <f>IF(AL538=0,"",INDEX(VC_actiontexte,ROUND(MOD(AL538,1)*100000,0)-5)&amp;"")</f>
        <v/>
      </c>
      <c r="AD538" s="46">
        <f>IF(C538="","",IF(COUNTIFS(Cmd_cle,AK538,Cmd_dateca,"&gt;0")=0,"",SMALL(INDEX(Cmd_dateca+(((Cmd_cle&lt;&gt;AK538)+(Cmd_dateca=0))&gt;0)*1000000,0),1)))</f>
        <v/>
      </c>
      <c r="AE538" s="46">
        <f>IF(C538="","",IF(COUNTIFS(Cmd_cle,AK538,Cmd_dateca,"&gt;0")=0,"",MAX(INDEX((Cmd_cle=AK538)*Cmd_dateca,0))))</f>
        <v/>
      </c>
      <c r="AF538" s="40">
        <f>IF(C538="","",SUMIFS(Cmd_montant,Cmd_cle,AK538,Cmd_dateca,"&gt;0"))</f>
        <v/>
      </c>
      <c r="AG538" s="40">
        <f>IF(C538="","",SUMIFS(Enc_montant,Enc_cle,AK538))</f>
        <v/>
      </c>
      <c r="AH538" s="40">
        <f>IF(C538="","",AF538-AG538)</f>
        <v/>
      </c>
      <c r="AI538" s="33">
        <f>IF(C538="","",IF(D538="Perdu","",IF(AND(AB538&lt;&gt;"",N(AB538)&lt;TODAY()),"Action en retard",IF(AND(D538="Client",AE538&lt;&gt;"",TODAY()-N(AE538)&gt;P_JoursInactif),"Client inactif",IF(AND(D538="Prospect",Z538=0,O538&lt;&gt;"",TODAY()-N(O538)&gt;P_JoursNonVisite),"Jamais visité","")))))</f>
        <v/>
      </c>
      <c r="AJ538" s="33">
        <f>IF(C538="","",C538&amp;" ["&amp;TEXT(A538,"000")&amp;"]")</f>
        <v/>
      </c>
      <c r="AK538" s="33">
        <f>IF(C538="","",X538&amp;"|"&amp;A538)</f>
        <v/>
      </c>
      <c r="AL538" s="47">
        <f>IF(C538="",0,IF(COUNTIFS(VC_cle,AK538)=0,0,MAX(INDEX((VC_cle=AK538)*(VC_date+ROW(VC_date)/100000),0))))</f>
        <v/>
      </c>
      <c r="AM538" s="47">
        <f>IF(AND(C538&lt;&gt;"",N(AB538)&gt;0,D538&lt;&gt;"Perdu"),AB538+ROW()/100000,0)</f>
        <v/>
      </c>
      <c r="AN538" s="48">
        <f>IF(N(AF538)&gt;0,ROUND(AF538,0)+ROW()/1000000,0)</f>
        <v/>
      </c>
    </row>
    <row r="539" ht="18" customHeight="1">
      <c r="A539" s="39" t="n">
        <v>534</v>
      </c>
      <c r="B539" s="33">
        <f>IF(C539="","",IF(X539="À RENSEIGNER","GIC",X539)&amp;"-"&amp;TEXT(A539,"000"))</f>
        <v/>
      </c>
      <c r="C539" s="36" t="n"/>
      <c r="D539" s="34">
        <f>IF(C539="","",IF(U539="☑ Oui","Perdu",IF(AD539&lt;&gt;"","Client","Prospect")))</f>
        <v/>
      </c>
      <c r="E539" s="36" t="n"/>
      <c r="F539" s="36" t="n"/>
      <c r="G539" s="44" t="n"/>
      <c r="H539" s="44" t="n"/>
      <c r="I539" s="36" t="n"/>
      <c r="J539" s="36" t="n"/>
      <c r="K539" s="41" t="n"/>
      <c r="L539" s="41" t="n"/>
      <c r="M539" s="36" t="n"/>
      <c r="N539" s="36" t="n"/>
      <c r="O539" s="32" t="n"/>
      <c r="P539" s="36" t="n"/>
      <c r="Q539" s="36" t="n"/>
      <c r="R539" s="34">
        <f>IF(P539="","",IFERROR(VLOOKUP(P539,T_Produits,2,FALSE),""))</f>
        <v/>
      </c>
      <c r="S539" s="36" t="n"/>
      <c r="T539" s="43" t="n"/>
      <c r="U539" s="43" t="n"/>
      <c r="V539" s="36" t="n"/>
      <c r="W539" s="36" t="n"/>
      <c r="X539" s="33">
        <f>IF(C539="","",Commercial_Id)</f>
        <v/>
      </c>
      <c r="Y539" s="33">
        <f>IF(E539="","",IF(E539="Particulier / ménage","Particulier","Entreprise"))</f>
        <v/>
      </c>
      <c r="Z539" s="39">
        <f>IF(C539="","",COUNTIFS(VC_cle,AK539,VC_type,"Visite sur place"))</f>
        <v/>
      </c>
      <c r="AA539" s="46">
        <f>IF(AL539=0,"",IF(INT(AL539)=0,"",INT(AL539)))</f>
        <v/>
      </c>
      <c r="AB539" s="46">
        <f>IF(AL539=0,"",IF(INDEX(VC_actiondate,ROUND(MOD(AL539,1)*100000,0)-5)=0,"",INDEX(VC_actiondate,ROUND(MOD(AL539,1)*100000,0)-5)))</f>
        <v/>
      </c>
      <c r="AC539" s="33">
        <f>IF(AL539=0,"",INDEX(VC_actiontexte,ROUND(MOD(AL539,1)*100000,0)-5)&amp;"")</f>
        <v/>
      </c>
      <c r="AD539" s="46">
        <f>IF(C539="","",IF(COUNTIFS(Cmd_cle,AK539,Cmd_dateca,"&gt;0")=0,"",SMALL(INDEX(Cmd_dateca+(((Cmd_cle&lt;&gt;AK539)+(Cmd_dateca=0))&gt;0)*1000000,0),1)))</f>
        <v/>
      </c>
      <c r="AE539" s="46">
        <f>IF(C539="","",IF(COUNTIFS(Cmd_cle,AK539,Cmd_dateca,"&gt;0")=0,"",MAX(INDEX((Cmd_cle=AK539)*Cmd_dateca,0))))</f>
        <v/>
      </c>
      <c r="AF539" s="40">
        <f>IF(C539="","",SUMIFS(Cmd_montant,Cmd_cle,AK539,Cmd_dateca,"&gt;0"))</f>
        <v/>
      </c>
      <c r="AG539" s="40">
        <f>IF(C539="","",SUMIFS(Enc_montant,Enc_cle,AK539))</f>
        <v/>
      </c>
      <c r="AH539" s="40">
        <f>IF(C539="","",AF539-AG539)</f>
        <v/>
      </c>
      <c r="AI539" s="33">
        <f>IF(C539="","",IF(D539="Perdu","",IF(AND(AB539&lt;&gt;"",N(AB539)&lt;TODAY()),"Action en retard",IF(AND(D539="Client",AE539&lt;&gt;"",TODAY()-N(AE539)&gt;P_JoursInactif),"Client inactif",IF(AND(D539="Prospect",Z539=0,O539&lt;&gt;"",TODAY()-N(O539)&gt;P_JoursNonVisite),"Jamais visité","")))))</f>
        <v/>
      </c>
      <c r="AJ539" s="33">
        <f>IF(C539="","",C539&amp;" ["&amp;TEXT(A539,"000")&amp;"]")</f>
        <v/>
      </c>
      <c r="AK539" s="33">
        <f>IF(C539="","",X539&amp;"|"&amp;A539)</f>
        <v/>
      </c>
      <c r="AL539" s="47">
        <f>IF(C539="",0,IF(COUNTIFS(VC_cle,AK539)=0,0,MAX(INDEX((VC_cle=AK539)*(VC_date+ROW(VC_date)/100000),0))))</f>
        <v/>
      </c>
      <c r="AM539" s="47">
        <f>IF(AND(C539&lt;&gt;"",N(AB539)&gt;0,D539&lt;&gt;"Perdu"),AB539+ROW()/100000,0)</f>
        <v/>
      </c>
      <c r="AN539" s="48">
        <f>IF(N(AF539)&gt;0,ROUND(AF539,0)+ROW()/1000000,0)</f>
        <v/>
      </c>
    </row>
    <row r="540" ht="18" customHeight="1">
      <c r="A540" s="39" t="n">
        <v>535</v>
      </c>
      <c r="B540" s="33">
        <f>IF(C540="","",IF(X540="À RENSEIGNER","GIC",X540)&amp;"-"&amp;TEXT(A540,"000"))</f>
        <v/>
      </c>
      <c r="C540" s="36" t="n"/>
      <c r="D540" s="34">
        <f>IF(C540="","",IF(U540="☑ Oui","Perdu",IF(AD540&lt;&gt;"","Client","Prospect")))</f>
        <v/>
      </c>
      <c r="E540" s="36" t="n"/>
      <c r="F540" s="36" t="n"/>
      <c r="G540" s="44" t="n"/>
      <c r="H540" s="44" t="n"/>
      <c r="I540" s="36" t="n"/>
      <c r="J540" s="36" t="n"/>
      <c r="K540" s="41" t="n"/>
      <c r="L540" s="41" t="n"/>
      <c r="M540" s="36" t="n"/>
      <c r="N540" s="36" t="n"/>
      <c r="O540" s="32" t="n"/>
      <c r="P540" s="36" t="n"/>
      <c r="Q540" s="36" t="n"/>
      <c r="R540" s="34">
        <f>IF(P540="","",IFERROR(VLOOKUP(P540,T_Produits,2,FALSE),""))</f>
        <v/>
      </c>
      <c r="S540" s="36" t="n"/>
      <c r="T540" s="43" t="n"/>
      <c r="U540" s="43" t="n"/>
      <c r="V540" s="36" t="n"/>
      <c r="W540" s="36" t="n"/>
      <c r="X540" s="33">
        <f>IF(C540="","",Commercial_Id)</f>
        <v/>
      </c>
      <c r="Y540" s="33">
        <f>IF(E540="","",IF(E540="Particulier / ménage","Particulier","Entreprise"))</f>
        <v/>
      </c>
      <c r="Z540" s="39">
        <f>IF(C540="","",COUNTIFS(VC_cle,AK540,VC_type,"Visite sur place"))</f>
        <v/>
      </c>
      <c r="AA540" s="46">
        <f>IF(AL540=0,"",IF(INT(AL540)=0,"",INT(AL540)))</f>
        <v/>
      </c>
      <c r="AB540" s="46">
        <f>IF(AL540=0,"",IF(INDEX(VC_actiondate,ROUND(MOD(AL540,1)*100000,0)-5)=0,"",INDEX(VC_actiondate,ROUND(MOD(AL540,1)*100000,0)-5)))</f>
        <v/>
      </c>
      <c r="AC540" s="33">
        <f>IF(AL540=0,"",INDEX(VC_actiontexte,ROUND(MOD(AL540,1)*100000,0)-5)&amp;"")</f>
        <v/>
      </c>
      <c r="AD540" s="46">
        <f>IF(C540="","",IF(COUNTIFS(Cmd_cle,AK540,Cmd_dateca,"&gt;0")=0,"",SMALL(INDEX(Cmd_dateca+(((Cmd_cle&lt;&gt;AK540)+(Cmd_dateca=0))&gt;0)*1000000,0),1)))</f>
        <v/>
      </c>
      <c r="AE540" s="46">
        <f>IF(C540="","",IF(COUNTIFS(Cmd_cle,AK540,Cmd_dateca,"&gt;0")=0,"",MAX(INDEX((Cmd_cle=AK540)*Cmd_dateca,0))))</f>
        <v/>
      </c>
      <c r="AF540" s="40">
        <f>IF(C540="","",SUMIFS(Cmd_montant,Cmd_cle,AK540,Cmd_dateca,"&gt;0"))</f>
        <v/>
      </c>
      <c r="AG540" s="40">
        <f>IF(C540="","",SUMIFS(Enc_montant,Enc_cle,AK540))</f>
        <v/>
      </c>
      <c r="AH540" s="40">
        <f>IF(C540="","",AF540-AG540)</f>
        <v/>
      </c>
      <c r="AI540" s="33">
        <f>IF(C540="","",IF(D540="Perdu","",IF(AND(AB540&lt;&gt;"",N(AB540)&lt;TODAY()),"Action en retard",IF(AND(D540="Client",AE540&lt;&gt;"",TODAY()-N(AE540)&gt;P_JoursInactif),"Client inactif",IF(AND(D540="Prospect",Z540=0,O540&lt;&gt;"",TODAY()-N(O540)&gt;P_JoursNonVisite),"Jamais visité","")))))</f>
        <v/>
      </c>
      <c r="AJ540" s="33">
        <f>IF(C540="","",C540&amp;" ["&amp;TEXT(A540,"000")&amp;"]")</f>
        <v/>
      </c>
      <c r="AK540" s="33">
        <f>IF(C540="","",X540&amp;"|"&amp;A540)</f>
        <v/>
      </c>
      <c r="AL540" s="47">
        <f>IF(C540="",0,IF(COUNTIFS(VC_cle,AK540)=0,0,MAX(INDEX((VC_cle=AK540)*(VC_date+ROW(VC_date)/100000),0))))</f>
        <v/>
      </c>
      <c r="AM540" s="47">
        <f>IF(AND(C540&lt;&gt;"",N(AB540)&gt;0,D540&lt;&gt;"Perdu"),AB540+ROW()/100000,0)</f>
        <v/>
      </c>
      <c r="AN540" s="48">
        <f>IF(N(AF540)&gt;0,ROUND(AF540,0)+ROW()/1000000,0)</f>
        <v/>
      </c>
    </row>
    <row r="541" ht="18" customHeight="1">
      <c r="A541" s="39" t="n">
        <v>536</v>
      </c>
      <c r="B541" s="33">
        <f>IF(C541="","",IF(X541="À RENSEIGNER","GIC",X541)&amp;"-"&amp;TEXT(A541,"000"))</f>
        <v/>
      </c>
      <c r="C541" s="36" t="n"/>
      <c r="D541" s="34">
        <f>IF(C541="","",IF(U541="☑ Oui","Perdu",IF(AD541&lt;&gt;"","Client","Prospect")))</f>
        <v/>
      </c>
      <c r="E541" s="36" t="n"/>
      <c r="F541" s="36" t="n"/>
      <c r="G541" s="44" t="n"/>
      <c r="H541" s="44" t="n"/>
      <c r="I541" s="36" t="n"/>
      <c r="J541" s="36" t="n"/>
      <c r="K541" s="41" t="n"/>
      <c r="L541" s="41" t="n"/>
      <c r="M541" s="36" t="n"/>
      <c r="N541" s="36" t="n"/>
      <c r="O541" s="32" t="n"/>
      <c r="P541" s="36" t="n"/>
      <c r="Q541" s="36" t="n"/>
      <c r="R541" s="34">
        <f>IF(P541="","",IFERROR(VLOOKUP(P541,T_Produits,2,FALSE),""))</f>
        <v/>
      </c>
      <c r="S541" s="36" t="n"/>
      <c r="T541" s="43" t="n"/>
      <c r="U541" s="43" t="n"/>
      <c r="V541" s="36" t="n"/>
      <c r="W541" s="36" t="n"/>
      <c r="X541" s="33">
        <f>IF(C541="","",Commercial_Id)</f>
        <v/>
      </c>
      <c r="Y541" s="33">
        <f>IF(E541="","",IF(E541="Particulier / ménage","Particulier","Entreprise"))</f>
        <v/>
      </c>
      <c r="Z541" s="39">
        <f>IF(C541="","",COUNTIFS(VC_cle,AK541,VC_type,"Visite sur place"))</f>
        <v/>
      </c>
      <c r="AA541" s="46">
        <f>IF(AL541=0,"",IF(INT(AL541)=0,"",INT(AL541)))</f>
        <v/>
      </c>
      <c r="AB541" s="46">
        <f>IF(AL541=0,"",IF(INDEX(VC_actiondate,ROUND(MOD(AL541,1)*100000,0)-5)=0,"",INDEX(VC_actiondate,ROUND(MOD(AL541,1)*100000,0)-5)))</f>
        <v/>
      </c>
      <c r="AC541" s="33">
        <f>IF(AL541=0,"",INDEX(VC_actiontexte,ROUND(MOD(AL541,1)*100000,0)-5)&amp;"")</f>
        <v/>
      </c>
      <c r="AD541" s="46">
        <f>IF(C541="","",IF(COUNTIFS(Cmd_cle,AK541,Cmd_dateca,"&gt;0")=0,"",SMALL(INDEX(Cmd_dateca+(((Cmd_cle&lt;&gt;AK541)+(Cmd_dateca=0))&gt;0)*1000000,0),1)))</f>
        <v/>
      </c>
      <c r="AE541" s="46">
        <f>IF(C541="","",IF(COUNTIFS(Cmd_cle,AK541,Cmd_dateca,"&gt;0")=0,"",MAX(INDEX((Cmd_cle=AK541)*Cmd_dateca,0))))</f>
        <v/>
      </c>
      <c r="AF541" s="40">
        <f>IF(C541="","",SUMIFS(Cmd_montant,Cmd_cle,AK541,Cmd_dateca,"&gt;0"))</f>
        <v/>
      </c>
      <c r="AG541" s="40">
        <f>IF(C541="","",SUMIFS(Enc_montant,Enc_cle,AK541))</f>
        <v/>
      </c>
      <c r="AH541" s="40">
        <f>IF(C541="","",AF541-AG541)</f>
        <v/>
      </c>
      <c r="AI541" s="33">
        <f>IF(C541="","",IF(D541="Perdu","",IF(AND(AB541&lt;&gt;"",N(AB541)&lt;TODAY()),"Action en retard",IF(AND(D541="Client",AE541&lt;&gt;"",TODAY()-N(AE541)&gt;P_JoursInactif),"Client inactif",IF(AND(D541="Prospect",Z541=0,O541&lt;&gt;"",TODAY()-N(O541)&gt;P_JoursNonVisite),"Jamais visité","")))))</f>
        <v/>
      </c>
      <c r="AJ541" s="33">
        <f>IF(C541="","",C541&amp;" ["&amp;TEXT(A541,"000")&amp;"]")</f>
        <v/>
      </c>
      <c r="AK541" s="33">
        <f>IF(C541="","",X541&amp;"|"&amp;A541)</f>
        <v/>
      </c>
      <c r="AL541" s="47">
        <f>IF(C541="",0,IF(COUNTIFS(VC_cle,AK541)=0,0,MAX(INDEX((VC_cle=AK541)*(VC_date+ROW(VC_date)/100000),0))))</f>
        <v/>
      </c>
      <c r="AM541" s="47">
        <f>IF(AND(C541&lt;&gt;"",N(AB541)&gt;0,D541&lt;&gt;"Perdu"),AB541+ROW()/100000,0)</f>
        <v/>
      </c>
      <c r="AN541" s="48">
        <f>IF(N(AF541)&gt;0,ROUND(AF541,0)+ROW()/1000000,0)</f>
        <v/>
      </c>
    </row>
    <row r="542" ht="18" customHeight="1">
      <c r="A542" s="39" t="n">
        <v>537</v>
      </c>
      <c r="B542" s="33">
        <f>IF(C542="","",IF(X542="À RENSEIGNER","GIC",X542)&amp;"-"&amp;TEXT(A542,"000"))</f>
        <v/>
      </c>
      <c r="C542" s="36" t="n"/>
      <c r="D542" s="34">
        <f>IF(C542="","",IF(U542="☑ Oui","Perdu",IF(AD542&lt;&gt;"","Client","Prospect")))</f>
        <v/>
      </c>
      <c r="E542" s="36" t="n"/>
      <c r="F542" s="36" t="n"/>
      <c r="G542" s="44" t="n"/>
      <c r="H542" s="44" t="n"/>
      <c r="I542" s="36" t="n"/>
      <c r="J542" s="36" t="n"/>
      <c r="K542" s="41" t="n"/>
      <c r="L542" s="41" t="n"/>
      <c r="M542" s="36" t="n"/>
      <c r="N542" s="36" t="n"/>
      <c r="O542" s="32" t="n"/>
      <c r="P542" s="36" t="n"/>
      <c r="Q542" s="36" t="n"/>
      <c r="R542" s="34">
        <f>IF(P542="","",IFERROR(VLOOKUP(P542,T_Produits,2,FALSE),""))</f>
        <v/>
      </c>
      <c r="S542" s="36" t="n"/>
      <c r="T542" s="43" t="n"/>
      <c r="U542" s="43" t="n"/>
      <c r="V542" s="36" t="n"/>
      <c r="W542" s="36" t="n"/>
      <c r="X542" s="33">
        <f>IF(C542="","",Commercial_Id)</f>
        <v/>
      </c>
      <c r="Y542" s="33">
        <f>IF(E542="","",IF(E542="Particulier / ménage","Particulier","Entreprise"))</f>
        <v/>
      </c>
      <c r="Z542" s="39">
        <f>IF(C542="","",COUNTIFS(VC_cle,AK542,VC_type,"Visite sur place"))</f>
        <v/>
      </c>
      <c r="AA542" s="46">
        <f>IF(AL542=0,"",IF(INT(AL542)=0,"",INT(AL542)))</f>
        <v/>
      </c>
      <c r="AB542" s="46">
        <f>IF(AL542=0,"",IF(INDEX(VC_actiondate,ROUND(MOD(AL542,1)*100000,0)-5)=0,"",INDEX(VC_actiondate,ROUND(MOD(AL542,1)*100000,0)-5)))</f>
        <v/>
      </c>
      <c r="AC542" s="33">
        <f>IF(AL542=0,"",INDEX(VC_actiontexte,ROUND(MOD(AL542,1)*100000,0)-5)&amp;"")</f>
        <v/>
      </c>
      <c r="AD542" s="46">
        <f>IF(C542="","",IF(COUNTIFS(Cmd_cle,AK542,Cmd_dateca,"&gt;0")=0,"",SMALL(INDEX(Cmd_dateca+(((Cmd_cle&lt;&gt;AK542)+(Cmd_dateca=0))&gt;0)*1000000,0),1)))</f>
        <v/>
      </c>
      <c r="AE542" s="46">
        <f>IF(C542="","",IF(COUNTIFS(Cmd_cle,AK542,Cmd_dateca,"&gt;0")=0,"",MAX(INDEX((Cmd_cle=AK542)*Cmd_dateca,0))))</f>
        <v/>
      </c>
      <c r="AF542" s="40">
        <f>IF(C542="","",SUMIFS(Cmd_montant,Cmd_cle,AK542,Cmd_dateca,"&gt;0"))</f>
        <v/>
      </c>
      <c r="AG542" s="40">
        <f>IF(C542="","",SUMIFS(Enc_montant,Enc_cle,AK542))</f>
        <v/>
      </c>
      <c r="AH542" s="40">
        <f>IF(C542="","",AF542-AG542)</f>
        <v/>
      </c>
      <c r="AI542" s="33">
        <f>IF(C542="","",IF(D542="Perdu","",IF(AND(AB542&lt;&gt;"",N(AB542)&lt;TODAY()),"Action en retard",IF(AND(D542="Client",AE542&lt;&gt;"",TODAY()-N(AE542)&gt;P_JoursInactif),"Client inactif",IF(AND(D542="Prospect",Z542=0,O542&lt;&gt;"",TODAY()-N(O542)&gt;P_JoursNonVisite),"Jamais visité","")))))</f>
        <v/>
      </c>
      <c r="AJ542" s="33">
        <f>IF(C542="","",C542&amp;" ["&amp;TEXT(A542,"000")&amp;"]")</f>
        <v/>
      </c>
      <c r="AK542" s="33">
        <f>IF(C542="","",X542&amp;"|"&amp;A542)</f>
        <v/>
      </c>
      <c r="AL542" s="47">
        <f>IF(C542="",0,IF(COUNTIFS(VC_cle,AK542)=0,0,MAX(INDEX((VC_cle=AK542)*(VC_date+ROW(VC_date)/100000),0))))</f>
        <v/>
      </c>
      <c r="AM542" s="47">
        <f>IF(AND(C542&lt;&gt;"",N(AB542)&gt;0,D542&lt;&gt;"Perdu"),AB542+ROW()/100000,0)</f>
        <v/>
      </c>
      <c r="AN542" s="48">
        <f>IF(N(AF542)&gt;0,ROUND(AF542,0)+ROW()/1000000,0)</f>
        <v/>
      </c>
    </row>
    <row r="543" ht="18" customHeight="1">
      <c r="A543" s="39" t="n">
        <v>538</v>
      </c>
      <c r="B543" s="33">
        <f>IF(C543="","",IF(X543="À RENSEIGNER","GIC",X543)&amp;"-"&amp;TEXT(A543,"000"))</f>
        <v/>
      </c>
      <c r="C543" s="36" t="n"/>
      <c r="D543" s="34">
        <f>IF(C543="","",IF(U543="☑ Oui","Perdu",IF(AD543&lt;&gt;"","Client","Prospect")))</f>
        <v/>
      </c>
      <c r="E543" s="36" t="n"/>
      <c r="F543" s="36" t="n"/>
      <c r="G543" s="44" t="n"/>
      <c r="H543" s="44" t="n"/>
      <c r="I543" s="36" t="n"/>
      <c r="J543" s="36" t="n"/>
      <c r="K543" s="41" t="n"/>
      <c r="L543" s="41" t="n"/>
      <c r="M543" s="36" t="n"/>
      <c r="N543" s="36" t="n"/>
      <c r="O543" s="32" t="n"/>
      <c r="P543" s="36" t="n"/>
      <c r="Q543" s="36" t="n"/>
      <c r="R543" s="34">
        <f>IF(P543="","",IFERROR(VLOOKUP(P543,T_Produits,2,FALSE),""))</f>
        <v/>
      </c>
      <c r="S543" s="36" t="n"/>
      <c r="T543" s="43" t="n"/>
      <c r="U543" s="43" t="n"/>
      <c r="V543" s="36" t="n"/>
      <c r="W543" s="36" t="n"/>
      <c r="X543" s="33">
        <f>IF(C543="","",Commercial_Id)</f>
        <v/>
      </c>
      <c r="Y543" s="33">
        <f>IF(E543="","",IF(E543="Particulier / ménage","Particulier","Entreprise"))</f>
        <v/>
      </c>
      <c r="Z543" s="39">
        <f>IF(C543="","",COUNTIFS(VC_cle,AK543,VC_type,"Visite sur place"))</f>
        <v/>
      </c>
      <c r="AA543" s="46">
        <f>IF(AL543=0,"",IF(INT(AL543)=0,"",INT(AL543)))</f>
        <v/>
      </c>
      <c r="AB543" s="46">
        <f>IF(AL543=0,"",IF(INDEX(VC_actiondate,ROUND(MOD(AL543,1)*100000,0)-5)=0,"",INDEX(VC_actiondate,ROUND(MOD(AL543,1)*100000,0)-5)))</f>
        <v/>
      </c>
      <c r="AC543" s="33">
        <f>IF(AL543=0,"",INDEX(VC_actiontexte,ROUND(MOD(AL543,1)*100000,0)-5)&amp;"")</f>
        <v/>
      </c>
      <c r="AD543" s="46">
        <f>IF(C543="","",IF(COUNTIFS(Cmd_cle,AK543,Cmd_dateca,"&gt;0")=0,"",SMALL(INDEX(Cmd_dateca+(((Cmd_cle&lt;&gt;AK543)+(Cmd_dateca=0))&gt;0)*1000000,0),1)))</f>
        <v/>
      </c>
      <c r="AE543" s="46">
        <f>IF(C543="","",IF(COUNTIFS(Cmd_cle,AK543,Cmd_dateca,"&gt;0")=0,"",MAX(INDEX((Cmd_cle=AK543)*Cmd_dateca,0))))</f>
        <v/>
      </c>
      <c r="AF543" s="40">
        <f>IF(C543="","",SUMIFS(Cmd_montant,Cmd_cle,AK543,Cmd_dateca,"&gt;0"))</f>
        <v/>
      </c>
      <c r="AG543" s="40">
        <f>IF(C543="","",SUMIFS(Enc_montant,Enc_cle,AK543))</f>
        <v/>
      </c>
      <c r="AH543" s="40">
        <f>IF(C543="","",AF543-AG543)</f>
        <v/>
      </c>
      <c r="AI543" s="33">
        <f>IF(C543="","",IF(D543="Perdu","",IF(AND(AB543&lt;&gt;"",N(AB543)&lt;TODAY()),"Action en retard",IF(AND(D543="Client",AE543&lt;&gt;"",TODAY()-N(AE543)&gt;P_JoursInactif),"Client inactif",IF(AND(D543="Prospect",Z543=0,O543&lt;&gt;"",TODAY()-N(O543)&gt;P_JoursNonVisite),"Jamais visité","")))))</f>
        <v/>
      </c>
      <c r="AJ543" s="33">
        <f>IF(C543="","",C543&amp;" ["&amp;TEXT(A543,"000")&amp;"]")</f>
        <v/>
      </c>
      <c r="AK543" s="33">
        <f>IF(C543="","",X543&amp;"|"&amp;A543)</f>
        <v/>
      </c>
      <c r="AL543" s="47">
        <f>IF(C543="",0,IF(COUNTIFS(VC_cle,AK543)=0,0,MAX(INDEX((VC_cle=AK543)*(VC_date+ROW(VC_date)/100000),0))))</f>
        <v/>
      </c>
      <c r="AM543" s="47">
        <f>IF(AND(C543&lt;&gt;"",N(AB543)&gt;0,D543&lt;&gt;"Perdu"),AB543+ROW()/100000,0)</f>
        <v/>
      </c>
      <c r="AN543" s="48">
        <f>IF(N(AF543)&gt;0,ROUND(AF543,0)+ROW()/1000000,0)</f>
        <v/>
      </c>
    </row>
    <row r="544" ht="18" customHeight="1">
      <c r="A544" s="39" t="n">
        <v>539</v>
      </c>
      <c r="B544" s="33">
        <f>IF(C544="","",IF(X544="À RENSEIGNER","GIC",X544)&amp;"-"&amp;TEXT(A544,"000"))</f>
        <v/>
      </c>
      <c r="C544" s="36" t="n"/>
      <c r="D544" s="34">
        <f>IF(C544="","",IF(U544="☑ Oui","Perdu",IF(AD544&lt;&gt;"","Client","Prospect")))</f>
        <v/>
      </c>
      <c r="E544" s="36" t="n"/>
      <c r="F544" s="36" t="n"/>
      <c r="G544" s="44" t="n"/>
      <c r="H544" s="44" t="n"/>
      <c r="I544" s="36" t="n"/>
      <c r="J544" s="36" t="n"/>
      <c r="K544" s="41" t="n"/>
      <c r="L544" s="41" t="n"/>
      <c r="M544" s="36" t="n"/>
      <c r="N544" s="36" t="n"/>
      <c r="O544" s="32" t="n"/>
      <c r="P544" s="36" t="n"/>
      <c r="Q544" s="36" t="n"/>
      <c r="R544" s="34">
        <f>IF(P544="","",IFERROR(VLOOKUP(P544,T_Produits,2,FALSE),""))</f>
        <v/>
      </c>
      <c r="S544" s="36" t="n"/>
      <c r="T544" s="43" t="n"/>
      <c r="U544" s="43" t="n"/>
      <c r="V544" s="36" t="n"/>
      <c r="W544" s="36" t="n"/>
      <c r="X544" s="33">
        <f>IF(C544="","",Commercial_Id)</f>
        <v/>
      </c>
      <c r="Y544" s="33">
        <f>IF(E544="","",IF(E544="Particulier / ménage","Particulier","Entreprise"))</f>
        <v/>
      </c>
      <c r="Z544" s="39">
        <f>IF(C544="","",COUNTIFS(VC_cle,AK544,VC_type,"Visite sur place"))</f>
        <v/>
      </c>
      <c r="AA544" s="46">
        <f>IF(AL544=0,"",IF(INT(AL544)=0,"",INT(AL544)))</f>
        <v/>
      </c>
      <c r="AB544" s="46">
        <f>IF(AL544=0,"",IF(INDEX(VC_actiondate,ROUND(MOD(AL544,1)*100000,0)-5)=0,"",INDEX(VC_actiondate,ROUND(MOD(AL544,1)*100000,0)-5)))</f>
        <v/>
      </c>
      <c r="AC544" s="33">
        <f>IF(AL544=0,"",INDEX(VC_actiontexte,ROUND(MOD(AL544,1)*100000,0)-5)&amp;"")</f>
        <v/>
      </c>
      <c r="AD544" s="46">
        <f>IF(C544="","",IF(COUNTIFS(Cmd_cle,AK544,Cmd_dateca,"&gt;0")=0,"",SMALL(INDEX(Cmd_dateca+(((Cmd_cle&lt;&gt;AK544)+(Cmd_dateca=0))&gt;0)*1000000,0),1)))</f>
        <v/>
      </c>
      <c r="AE544" s="46">
        <f>IF(C544="","",IF(COUNTIFS(Cmd_cle,AK544,Cmd_dateca,"&gt;0")=0,"",MAX(INDEX((Cmd_cle=AK544)*Cmd_dateca,0))))</f>
        <v/>
      </c>
      <c r="AF544" s="40">
        <f>IF(C544="","",SUMIFS(Cmd_montant,Cmd_cle,AK544,Cmd_dateca,"&gt;0"))</f>
        <v/>
      </c>
      <c r="AG544" s="40">
        <f>IF(C544="","",SUMIFS(Enc_montant,Enc_cle,AK544))</f>
        <v/>
      </c>
      <c r="AH544" s="40">
        <f>IF(C544="","",AF544-AG544)</f>
        <v/>
      </c>
      <c r="AI544" s="33">
        <f>IF(C544="","",IF(D544="Perdu","",IF(AND(AB544&lt;&gt;"",N(AB544)&lt;TODAY()),"Action en retard",IF(AND(D544="Client",AE544&lt;&gt;"",TODAY()-N(AE544)&gt;P_JoursInactif),"Client inactif",IF(AND(D544="Prospect",Z544=0,O544&lt;&gt;"",TODAY()-N(O544)&gt;P_JoursNonVisite),"Jamais visité","")))))</f>
        <v/>
      </c>
      <c r="AJ544" s="33">
        <f>IF(C544="","",C544&amp;" ["&amp;TEXT(A544,"000")&amp;"]")</f>
        <v/>
      </c>
      <c r="AK544" s="33">
        <f>IF(C544="","",X544&amp;"|"&amp;A544)</f>
        <v/>
      </c>
      <c r="AL544" s="47">
        <f>IF(C544="",0,IF(COUNTIFS(VC_cle,AK544)=0,0,MAX(INDEX((VC_cle=AK544)*(VC_date+ROW(VC_date)/100000),0))))</f>
        <v/>
      </c>
      <c r="AM544" s="47">
        <f>IF(AND(C544&lt;&gt;"",N(AB544)&gt;0,D544&lt;&gt;"Perdu"),AB544+ROW()/100000,0)</f>
        <v/>
      </c>
      <c r="AN544" s="48">
        <f>IF(N(AF544)&gt;0,ROUND(AF544,0)+ROW()/1000000,0)</f>
        <v/>
      </c>
    </row>
    <row r="545" ht="18" customHeight="1">
      <c r="A545" s="39" t="n">
        <v>540</v>
      </c>
      <c r="B545" s="33">
        <f>IF(C545="","",IF(X545="À RENSEIGNER","GIC",X545)&amp;"-"&amp;TEXT(A545,"000"))</f>
        <v/>
      </c>
      <c r="C545" s="36" t="n"/>
      <c r="D545" s="34">
        <f>IF(C545="","",IF(U545="☑ Oui","Perdu",IF(AD545&lt;&gt;"","Client","Prospect")))</f>
        <v/>
      </c>
      <c r="E545" s="36" t="n"/>
      <c r="F545" s="36" t="n"/>
      <c r="G545" s="44" t="n"/>
      <c r="H545" s="44" t="n"/>
      <c r="I545" s="36" t="n"/>
      <c r="J545" s="36" t="n"/>
      <c r="K545" s="41" t="n"/>
      <c r="L545" s="41" t="n"/>
      <c r="M545" s="36" t="n"/>
      <c r="N545" s="36" t="n"/>
      <c r="O545" s="32" t="n"/>
      <c r="P545" s="36" t="n"/>
      <c r="Q545" s="36" t="n"/>
      <c r="R545" s="34">
        <f>IF(P545="","",IFERROR(VLOOKUP(P545,T_Produits,2,FALSE),""))</f>
        <v/>
      </c>
      <c r="S545" s="36" t="n"/>
      <c r="T545" s="43" t="n"/>
      <c r="U545" s="43" t="n"/>
      <c r="V545" s="36" t="n"/>
      <c r="W545" s="36" t="n"/>
      <c r="X545" s="33">
        <f>IF(C545="","",Commercial_Id)</f>
        <v/>
      </c>
      <c r="Y545" s="33">
        <f>IF(E545="","",IF(E545="Particulier / ménage","Particulier","Entreprise"))</f>
        <v/>
      </c>
      <c r="Z545" s="39">
        <f>IF(C545="","",COUNTIFS(VC_cle,AK545,VC_type,"Visite sur place"))</f>
        <v/>
      </c>
      <c r="AA545" s="46">
        <f>IF(AL545=0,"",IF(INT(AL545)=0,"",INT(AL545)))</f>
        <v/>
      </c>
      <c r="AB545" s="46">
        <f>IF(AL545=0,"",IF(INDEX(VC_actiondate,ROUND(MOD(AL545,1)*100000,0)-5)=0,"",INDEX(VC_actiondate,ROUND(MOD(AL545,1)*100000,0)-5)))</f>
        <v/>
      </c>
      <c r="AC545" s="33">
        <f>IF(AL545=0,"",INDEX(VC_actiontexte,ROUND(MOD(AL545,1)*100000,0)-5)&amp;"")</f>
        <v/>
      </c>
      <c r="AD545" s="46">
        <f>IF(C545="","",IF(COUNTIFS(Cmd_cle,AK545,Cmd_dateca,"&gt;0")=0,"",SMALL(INDEX(Cmd_dateca+(((Cmd_cle&lt;&gt;AK545)+(Cmd_dateca=0))&gt;0)*1000000,0),1)))</f>
        <v/>
      </c>
      <c r="AE545" s="46">
        <f>IF(C545="","",IF(COUNTIFS(Cmd_cle,AK545,Cmd_dateca,"&gt;0")=0,"",MAX(INDEX((Cmd_cle=AK545)*Cmd_dateca,0))))</f>
        <v/>
      </c>
      <c r="AF545" s="40">
        <f>IF(C545="","",SUMIFS(Cmd_montant,Cmd_cle,AK545,Cmd_dateca,"&gt;0"))</f>
        <v/>
      </c>
      <c r="AG545" s="40">
        <f>IF(C545="","",SUMIFS(Enc_montant,Enc_cle,AK545))</f>
        <v/>
      </c>
      <c r="AH545" s="40">
        <f>IF(C545="","",AF545-AG545)</f>
        <v/>
      </c>
      <c r="AI545" s="33">
        <f>IF(C545="","",IF(D545="Perdu","",IF(AND(AB545&lt;&gt;"",N(AB545)&lt;TODAY()),"Action en retard",IF(AND(D545="Client",AE545&lt;&gt;"",TODAY()-N(AE545)&gt;P_JoursInactif),"Client inactif",IF(AND(D545="Prospect",Z545=0,O545&lt;&gt;"",TODAY()-N(O545)&gt;P_JoursNonVisite),"Jamais visité","")))))</f>
        <v/>
      </c>
      <c r="AJ545" s="33">
        <f>IF(C545="","",C545&amp;" ["&amp;TEXT(A545,"000")&amp;"]")</f>
        <v/>
      </c>
      <c r="AK545" s="33">
        <f>IF(C545="","",X545&amp;"|"&amp;A545)</f>
        <v/>
      </c>
      <c r="AL545" s="47">
        <f>IF(C545="",0,IF(COUNTIFS(VC_cle,AK545)=0,0,MAX(INDEX((VC_cle=AK545)*(VC_date+ROW(VC_date)/100000),0))))</f>
        <v/>
      </c>
      <c r="AM545" s="47">
        <f>IF(AND(C545&lt;&gt;"",N(AB545)&gt;0,D545&lt;&gt;"Perdu"),AB545+ROW()/100000,0)</f>
        <v/>
      </c>
      <c r="AN545" s="48">
        <f>IF(N(AF545)&gt;0,ROUND(AF545,0)+ROW()/1000000,0)</f>
        <v/>
      </c>
    </row>
    <row r="546" ht="18" customHeight="1">
      <c r="A546" s="39" t="n">
        <v>541</v>
      </c>
      <c r="B546" s="33">
        <f>IF(C546="","",IF(X546="À RENSEIGNER","GIC",X546)&amp;"-"&amp;TEXT(A546,"000"))</f>
        <v/>
      </c>
      <c r="C546" s="36" t="n"/>
      <c r="D546" s="34">
        <f>IF(C546="","",IF(U546="☑ Oui","Perdu",IF(AD546&lt;&gt;"","Client","Prospect")))</f>
        <v/>
      </c>
      <c r="E546" s="36" t="n"/>
      <c r="F546" s="36" t="n"/>
      <c r="G546" s="44" t="n"/>
      <c r="H546" s="44" t="n"/>
      <c r="I546" s="36" t="n"/>
      <c r="J546" s="36" t="n"/>
      <c r="K546" s="41" t="n"/>
      <c r="L546" s="41" t="n"/>
      <c r="M546" s="36" t="n"/>
      <c r="N546" s="36" t="n"/>
      <c r="O546" s="32" t="n"/>
      <c r="P546" s="36" t="n"/>
      <c r="Q546" s="36" t="n"/>
      <c r="R546" s="34">
        <f>IF(P546="","",IFERROR(VLOOKUP(P546,T_Produits,2,FALSE),""))</f>
        <v/>
      </c>
      <c r="S546" s="36" t="n"/>
      <c r="T546" s="43" t="n"/>
      <c r="U546" s="43" t="n"/>
      <c r="V546" s="36" t="n"/>
      <c r="W546" s="36" t="n"/>
      <c r="X546" s="33">
        <f>IF(C546="","",Commercial_Id)</f>
        <v/>
      </c>
      <c r="Y546" s="33">
        <f>IF(E546="","",IF(E546="Particulier / ménage","Particulier","Entreprise"))</f>
        <v/>
      </c>
      <c r="Z546" s="39">
        <f>IF(C546="","",COUNTIFS(VC_cle,AK546,VC_type,"Visite sur place"))</f>
        <v/>
      </c>
      <c r="AA546" s="46">
        <f>IF(AL546=0,"",IF(INT(AL546)=0,"",INT(AL546)))</f>
        <v/>
      </c>
      <c r="AB546" s="46">
        <f>IF(AL546=0,"",IF(INDEX(VC_actiondate,ROUND(MOD(AL546,1)*100000,0)-5)=0,"",INDEX(VC_actiondate,ROUND(MOD(AL546,1)*100000,0)-5)))</f>
        <v/>
      </c>
      <c r="AC546" s="33">
        <f>IF(AL546=0,"",INDEX(VC_actiontexte,ROUND(MOD(AL546,1)*100000,0)-5)&amp;"")</f>
        <v/>
      </c>
      <c r="AD546" s="46">
        <f>IF(C546="","",IF(COUNTIFS(Cmd_cle,AK546,Cmd_dateca,"&gt;0")=0,"",SMALL(INDEX(Cmd_dateca+(((Cmd_cle&lt;&gt;AK546)+(Cmd_dateca=0))&gt;0)*1000000,0),1)))</f>
        <v/>
      </c>
      <c r="AE546" s="46">
        <f>IF(C546="","",IF(COUNTIFS(Cmd_cle,AK546,Cmd_dateca,"&gt;0")=0,"",MAX(INDEX((Cmd_cle=AK546)*Cmd_dateca,0))))</f>
        <v/>
      </c>
      <c r="AF546" s="40">
        <f>IF(C546="","",SUMIFS(Cmd_montant,Cmd_cle,AK546,Cmd_dateca,"&gt;0"))</f>
        <v/>
      </c>
      <c r="AG546" s="40">
        <f>IF(C546="","",SUMIFS(Enc_montant,Enc_cle,AK546))</f>
        <v/>
      </c>
      <c r="AH546" s="40">
        <f>IF(C546="","",AF546-AG546)</f>
        <v/>
      </c>
      <c r="AI546" s="33">
        <f>IF(C546="","",IF(D546="Perdu","",IF(AND(AB546&lt;&gt;"",N(AB546)&lt;TODAY()),"Action en retard",IF(AND(D546="Client",AE546&lt;&gt;"",TODAY()-N(AE546)&gt;P_JoursInactif),"Client inactif",IF(AND(D546="Prospect",Z546=0,O546&lt;&gt;"",TODAY()-N(O546)&gt;P_JoursNonVisite),"Jamais visité","")))))</f>
        <v/>
      </c>
      <c r="AJ546" s="33">
        <f>IF(C546="","",C546&amp;" ["&amp;TEXT(A546,"000")&amp;"]")</f>
        <v/>
      </c>
      <c r="AK546" s="33">
        <f>IF(C546="","",X546&amp;"|"&amp;A546)</f>
        <v/>
      </c>
      <c r="AL546" s="47">
        <f>IF(C546="",0,IF(COUNTIFS(VC_cle,AK546)=0,0,MAX(INDEX((VC_cle=AK546)*(VC_date+ROW(VC_date)/100000),0))))</f>
        <v/>
      </c>
      <c r="AM546" s="47">
        <f>IF(AND(C546&lt;&gt;"",N(AB546)&gt;0,D546&lt;&gt;"Perdu"),AB546+ROW()/100000,0)</f>
        <v/>
      </c>
      <c r="AN546" s="48">
        <f>IF(N(AF546)&gt;0,ROUND(AF546,0)+ROW()/1000000,0)</f>
        <v/>
      </c>
    </row>
    <row r="547" ht="18" customHeight="1">
      <c r="A547" s="39" t="n">
        <v>542</v>
      </c>
      <c r="B547" s="33">
        <f>IF(C547="","",IF(X547="À RENSEIGNER","GIC",X547)&amp;"-"&amp;TEXT(A547,"000"))</f>
        <v/>
      </c>
      <c r="C547" s="36" t="n"/>
      <c r="D547" s="34">
        <f>IF(C547="","",IF(U547="☑ Oui","Perdu",IF(AD547&lt;&gt;"","Client","Prospect")))</f>
        <v/>
      </c>
      <c r="E547" s="36" t="n"/>
      <c r="F547" s="36" t="n"/>
      <c r="G547" s="44" t="n"/>
      <c r="H547" s="44" t="n"/>
      <c r="I547" s="36" t="n"/>
      <c r="J547" s="36" t="n"/>
      <c r="K547" s="41" t="n"/>
      <c r="L547" s="41" t="n"/>
      <c r="M547" s="36" t="n"/>
      <c r="N547" s="36" t="n"/>
      <c r="O547" s="32" t="n"/>
      <c r="P547" s="36" t="n"/>
      <c r="Q547" s="36" t="n"/>
      <c r="R547" s="34">
        <f>IF(P547="","",IFERROR(VLOOKUP(P547,T_Produits,2,FALSE),""))</f>
        <v/>
      </c>
      <c r="S547" s="36" t="n"/>
      <c r="T547" s="43" t="n"/>
      <c r="U547" s="43" t="n"/>
      <c r="V547" s="36" t="n"/>
      <c r="W547" s="36" t="n"/>
      <c r="X547" s="33">
        <f>IF(C547="","",Commercial_Id)</f>
        <v/>
      </c>
      <c r="Y547" s="33">
        <f>IF(E547="","",IF(E547="Particulier / ménage","Particulier","Entreprise"))</f>
        <v/>
      </c>
      <c r="Z547" s="39">
        <f>IF(C547="","",COUNTIFS(VC_cle,AK547,VC_type,"Visite sur place"))</f>
        <v/>
      </c>
      <c r="AA547" s="46">
        <f>IF(AL547=0,"",IF(INT(AL547)=0,"",INT(AL547)))</f>
        <v/>
      </c>
      <c r="AB547" s="46">
        <f>IF(AL547=0,"",IF(INDEX(VC_actiondate,ROUND(MOD(AL547,1)*100000,0)-5)=0,"",INDEX(VC_actiondate,ROUND(MOD(AL547,1)*100000,0)-5)))</f>
        <v/>
      </c>
      <c r="AC547" s="33">
        <f>IF(AL547=0,"",INDEX(VC_actiontexte,ROUND(MOD(AL547,1)*100000,0)-5)&amp;"")</f>
        <v/>
      </c>
      <c r="AD547" s="46">
        <f>IF(C547="","",IF(COUNTIFS(Cmd_cle,AK547,Cmd_dateca,"&gt;0")=0,"",SMALL(INDEX(Cmd_dateca+(((Cmd_cle&lt;&gt;AK547)+(Cmd_dateca=0))&gt;0)*1000000,0),1)))</f>
        <v/>
      </c>
      <c r="AE547" s="46">
        <f>IF(C547="","",IF(COUNTIFS(Cmd_cle,AK547,Cmd_dateca,"&gt;0")=0,"",MAX(INDEX((Cmd_cle=AK547)*Cmd_dateca,0))))</f>
        <v/>
      </c>
      <c r="AF547" s="40">
        <f>IF(C547="","",SUMIFS(Cmd_montant,Cmd_cle,AK547,Cmd_dateca,"&gt;0"))</f>
        <v/>
      </c>
      <c r="AG547" s="40">
        <f>IF(C547="","",SUMIFS(Enc_montant,Enc_cle,AK547))</f>
        <v/>
      </c>
      <c r="AH547" s="40">
        <f>IF(C547="","",AF547-AG547)</f>
        <v/>
      </c>
      <c r="AI547" s="33">
        <f>IF(C547="","",IF(D547="Perdu","",IF(AND(AB547&lt;&gt;"",N(AB547)&lt;TODAY()),"Action en retard",IF(AND(D547="Client",AE547&lt;&gt;"",TODAY()-N(AE547)&gt;P_JoursInactif),"Client inactif",IF(AND(D547="Prospect",Z547=0,O547&lt;&gt;"",TODAY()-N(O547)&gt;P_JoursNonVisite),"Jamais visité","")))))</f>
        <v/>
      </c>
      <c r="AJ547" s="33">
        <f>IF(C547="","",C547&amp;" ["&amp;TEXT(A547,"000")&amp;"]")</f>
        <v/>
      </c>
      <c r="AK547" s="33">
        <f>IF(C547="","",X547&amp;"|"&amp;A547)</f>
        <v/>
      </c>
      <c r="AL547" s="47">
        <f>IF(C547="",0,IF(COUNTIFS(VC_cle,AK547)=0,0,MAX(INDEX((VC_cle=AK547)*(VC_date+ROW(VC_date)/100000),0))))</f>
        <v/>
      </c>
      <c r="AM547" s="47">
        <f>IF(AND(C547&lt;&gt;"",N(AB547)&gt;0,D547&lt;&gt;"Perdu"),AB547+ROW()/100000,0)</f>
        <v/>
      </c>
      <c r="AN547" s="48">
        <f>IF(N(AF547)&gt;0,ROUND(AF547,0)+ROW()/1000000,0)</f>
        <v/>
      </c>
    </row>
    <row r="548" ht="18" customHeight="1">
      <c r="A548" s="39" t="n">
        <v>543</v>
      </c>
      <c r="B548" s="33">
        <f>IF(C548="","",IF(X548="À RENSEIGNER","GIC",X548)&amp;"-"&amp;TEXT(A548,"000"))</f>
        <v/>
      </c>
      <c r="C548" s="36" t="n"/>
      <c r="D548" s="34">
        <f>IF(C548="","",IF(U548="☑ Oui","Perdu",IF(AD548&lt;&gt;"","Client","Prospect")))</f>
        <v/>
      </c>
      <c r="E548" s="36" t="n"/>
      <c r="F548" s="36" t="n"/>
      <c r="G548" s="44" t="n"/>
      <c r="H548" s="44" t="n"/>
      <c r="I548" s="36" t="n"/>
      <c r="J548" s="36" t="n"/>
      <c r="K548" s="41" t="n"/>
      <c r="L548" s="41" t="n"/>
      <c r="M548" s="36" t="n"/>
      <c r="N548" s="36" t="n"/>
      <c r="O548" s="32" t="n"/>
      <c r="P548" s="36" t="n"/>
      <c r="Q548" s="36" t="n"/>
      <c r="R548" s="34">
        <f>IF(P548="","",IFERROR(VLOOKUP(P548,T_Produits,2,FALSE),""))</f>
        <v/>
      </c>
      <c r="S548" s="36" t="n"/>
      <c r="T548" s="43" t="n"/>
      <c r="U548" s="43" t="n"/>
      <c r="V548" s="36" t="n"/>
      <c r="W548" s="36" t="n"/>
      <c r="X548" s="33">
        <f>IF(C548="","",Commercial_Id)</f>
        <v/>
      </c>
      <c r="Y548" s="33">
        <f>IF(E548="","",IF(E548="Particulier / ménage","Particulier","Entreprise"))</f>
        <v/>
      </c>
      <c r="Z548" s="39">
        <f>IF(C548="","",COUNTIFS(VC_cle,AK548,VC_type,"Visite sur place"))</f>
        <v/>
      </c>
      <c r="AA548" s="46">
        <f>IF(AL548=0,"",IF(INT(AL548)=0,"",INT(AL548)))</f>
        <v/>
      </c>
      <c r="AB548" s="46">
        <f>IF(AL548=0,"",IF(INDEX(VC_actiondate,ROUND(MOD(AL548,1)*100000,0)-5)=0,"",INDEX(VC_actiondate,ROUND(MOD(AL548,1)*100000,0)-5)))</f>
        <v/>
      </c>
      <c r="AC548" s="33">
        <f>IF(AL548=0,"",INDEX(VC_actiontexte,ROUND(MOD(AL548,1)*100000,0)-5)&amp;"")</f>
        <v/>
      </c>
      <c r="AD548" s="46">
        <f>IF(C548="","",IF(COUNTIFS(Cmd_cle,AK548,Cmd_dateca,"&gt;0")=0,"",SMALL(INDEX(Cmd_dateca+(((Cmd_cle&lt;&gt;AK548)+(Cmd_dateca=0))&gt;0)*1000000,0),1)))</f>
        <v/>
      </c>
      <c r="AE548" s="46">
        <f>IF(C548="","",IF(COUNTIFS(Cmd_cle,AK548,Cmd_dateca,"&gt;0")=0,"",MAX(INDEX((Cmd_cle=AK548)*Cmd_dateca,0))))</f>
        <v/>
      </c>
      <c r="AF548" s="40">
        <f>IF(C548="","",SUMIFS(Cmd_montant,Cmd_cle,AK548,Cmd_dateca,"&gt;0"))</f>
        <v/>
      </c>
      <c r="AG548" s="40">
        <f>IF(C548="","",SUMIFS(Enc_montant,Enc_cle,AK548))</f>
        <v/>
      </c>
      <c r="AH548" s="40">
        <f>IF(C548="","",AF548-AG548)</f>
        <v/>
      </c>
      <c r="AI548" s="33">
        <f>IF(C548="","",IF(D548="Perdu","",IF(AND(AB548&lt;&gt;"",N(AB548)&lt;TODAY()),"Action en retard",IF(AND(D548="Client",AE548&lt;&gt;"",TODAY()-N(AE548)&gt;P_JoursInactif),"Client inactif",IF(AND(D548="Prospect",Z548=0,O548&lt;&gt;"",TODAY()-N(O548)&gt;P_JoursNonVisite),"Jamais visité","")))))</f>
        <v/>
      </c>
      <c r="AJ548" s="33">
        <f>IF(C548="","",C548&amp;" ["&amp;TEXT(A548,"000")&amp;"]")</f>
        <v/>
      </c>
      <c r="AK548" s="33">
        <f>IF(C548="","",X548&amp;"|"&amp;A548)</f>
        <v/>
      </c>
      <c r="AL548" s="47">
        <f>IF(C548="",0,IF(COUNTIFS(VC_cle,AK548)=0,0,MAX(INDEX((VC_cle=AK548)*(VC_date+ROW(VC_date)/100000),0))))</f>
        <v/>
      </c>
      <c r="AM548" s="47">
        <f>IF(AND(C548&lt;&gt;"",N(AB548)&gt;0,D548&lt;&gt;"Perdu"),AB548+ROW()/100000,0)</f>
        <v/>
      </c>
      <c r="AN548" s="48">
        <f>IF(N(AF548)&gt;0,ROUND(AF548,0)+ROW()/1000000,0)</f>
        <v/>
      </c>
    </row>
    <row r="549" ht="18" customHeight="1">
      <c r="A549" s="39" t="n">
        <v>544</v>
      </c>
      <c r="B549" s="33">
        <f>IF(C549="","",IF(X549="À RENSEIGNER","GIC",X549)&amp;"-"&amp;TEXT(A549,"000"))</f>
        <v/>
      </c>
      <c r="C549" s="36" t="n"/>
      <c r="D549" s="34">
        <f>IF(C549="","",IF(U549="☑ Oui","Perdu",IF(AD549&lt;&gt;"","Client","Prospect")))</f>
        <v/>
      </c>
      <c r="E549" s="36" t="n"/>
      <c r="F549" s="36" t="n"/>
      <c r="G549" s="44" t="n"/>
      <c r="H549" s="44" t="n"/>
      <c r="I549" s="36" t="n"/>
      <c r="J549" s="36" t="n"/>
      <c r="K549" s="41" t="n"/>
      <c r="L549" s="41" t="n"/>
      <c r="M549" s="36" t="n"/>
      <c r="N549" s="36" t="n"/>
      <c r="O549" s="32" t="n"/>
      <c r="P549" s="36" t="n"/>
      <c r="Q549" s="36" t="n"/>
      <c r="R549" s="34">
        <f>IF(P549="","",IFERROR(VLOOKUP(P549,T_Produits,2,FALSE),""))</f>
        <v/>
      </c>
      <c r="S549" s="36" t="n"/>
      <c r="T549" s="43" t="n"/>
      <c r="U549" s="43" t="n"/>
      <c r="V549" s="36" t="n"/>
      <c r="W549" s="36" t="n"/>
      <c r="X549" s="33">
        <f>IF(C549="","",Commercial_Id)</f>
        <v/>
      </c>
      <c r="Y549" s="33">
        <f>IF(E549="","",IF(E549="Particulier / ménage","Particulier","Entreprise"))</f>
        <v/>
      </c>
      <c r="Z549" s="39">
        <f>IF(C549="","",COUNTIFS(VC_cle,AK549,VC_type,"Visite sur place"))</f>
        <v/>
      </c>
      <c r="AA549" s="46">
        <f>IF(AL549=0,"",IF(INT(AL549)=0,"",INT(AL549)))</f>
        <v/>
      </c>
      <c r="AB549" s="46">
        <f>IF(AL549=0,"",IF(INDEX(VC_actiondate,ROUND(MOD(AL549,1)*100000,0)-5)=0,"",INDEX(VC_actiondate,ROUND(MOD(AL549,1)*100000,0)-5)))</f>
        <v/>
      </c>
      <c r="AC549" s="33">
        <f>IF(AL549=0,"",INDEX(VC_actiontexte,ROUND(MOD(AL549,1)*100000,0)-5)&amp;"")</f>
        <v/>
      </c>
      <c r="AD549" s="46">
        <f>IF(C549="","",IF(COUNTIFS(Cmd_cle,AK549,Cmd_dateca,"&gt;0")=0,"",SMALL(INDEX(Cmd_dateca+(((Cmd_cle&lt;&gt;AK549)+(Cmd_dateca=0))&gt;0)*1000000,0),1)))</f>
        <v/>
      </c>
      <c r="AE549" s="46">
        <f>IF(C549="","",IF(COUNTIFS(Cmd_cle,AK549,Cmd_dateca,"&gt;0")=0,"",MAX(INDEX((Cmd_cle=AK549)*Cmd_dateca,0))))</f>
        <v/>
      </c>
      <c r="AF549" s="40">
        <f>IF(C549="","",SUMIFS(Cmd_montant,Cmd_cle,AK549,Cmd_dateca,"&gt;0"))</f>
        <v/>
      </c>
      <c r="AG549" s="40">
        <f>IF(C549="","",SUMIFS(Enc_montant,Enc_cle,AK549))</f>
        <v/>
      </c>
      <c r="AH549" s="40">
        <f>IF(C549="","",AF549-AG549)</f>
        <v/>
      </c>
      <c r="AI549" s="33">
        <f>IF(C549="","",IF(D549="Perdu","",IF(AND(AB549&lt;&gt;"",N(AB549)&lt;TODAY()),"Action en retard",IF(AND(D549="Client",AE549&lt;&gt;"",TODAY()-N(AE549)&gt;P_JoursInactif),"Client inactif",IF(AND(D549="Prospect",Z549=0,O549&lt;&gt;"",TODAY()-N(O549)&gt;P_JoursNonVisite),"Jamais visité","")))))</f>
        <v/>
      </c>
      <c r="AJ549" s="33">
        <f>IF(C549="","",C549&amp;" ["&amp;TEXT(A549,"000")&amp;"]")</f>
        <v/>
      </c>
      <c r="AK549" s="33">
        <f>IF(C549="","",X549&amp;"|"&amp;A549)</f>
        <v/>
      </c>
      <c r="AL549" s="47">
        <f>IF(C549="",0,IF(COUNTIFS(VC_cle,AK549)=0,0,MAX(INDEX((VC_cle=AK549)*(VC_date+ROW(VC_date)/100000),0))))</f>
        <v/>
      </c>
      <c r="AM549" s="47">
        <f>IF(AND(C549&lt;&gt;"",N(AB549)&gt;0,D549&lt;&gt;"Perdu"),AB549+ROW()/100000,0)</f>
        <v/>
      </c>
      <c r="AN549" s="48">
        <f>IF(N(AF549)&gt;0,ROUND(AF549,0)+ROW()/1000000,0)</f>
        <v/>
      </c>
    </row>
    <row r="550" ht="18" customHeight="1">
      <c r="A550" s="39" t="n">
        <v>545</v>
      </c>
      <c r="B550" s="33">
        <f>IF(C550="","",IF(X550="À RENSEIGNER","GIC",X550)&amp;"-"&amp;TEXT(A550,"000"))</f>
        <v/>
      </c>
      <c r="C550" s="36" t="n"/>
      <c r="D550" s="34">
        <f>IF(C550="","",IF(U550="☑ Oui","Perdu",IF(AD550&lt;&gt;"","Client","Prospect")))</f>
        <v/>
      </c>
      <c r="E550" s="36" t="n"/>
      <c r="F550" s="36" t="n"/>
      <c r="G550" s="44" t="n"/>
      <c r="H550" s="44" t="n"/>
      <c r="I550" s="36" t="n"/>
      <c r="J550" s="36" t="n"/>
      <c r="K550" s="41" t="n"/>
      <c r="L550" s="41" t="n"/>
      <c r="M550" s="36" t="n"/>
      <c r="N550" s="36" t="n"/>
      <c r="O550" s="32" t="n"/>
      <c r="P550" s="36" t="n"/>
      <c r="Q550" s="36" t="n"/>
      <c r="R550" s="34">
        <f>IF(P550="","",IFERROR(VLOOKUP(P550,T_Produits,2,FALSE),""))</f>
        <v/>
      </c>
      <c r="S550" s="36" t="n"/>
      <c r="T550" s="43" t="n"/>
      <c r="U550" s="43" t="n"/>
      <c r="V550" s="36" t="n"/>
      <c r="W550" s="36" t="n"/>
      <c r="X550" s="33">
        <f>IF(C550="","",Commercial_Id)</f>
        <v/>
      </c>
      <c r="Y550" s="33">
        <f>IF(E550="","",IF(E550="Particulier / ménage","Particulier","Entreprise"))</f>
        <v/>
      </c>
      <c r="Z550" s="39">
        <f>IF(C550="","",COUNTIFS(VC_cle,AK550,VC_type,"Visite sur place"))</f>
        <v/>
      </c>
      <c r="AA550" s="46">
        <f>IF(AL550=0,"",IF(INT(AL550)=0,"",INT(AL550)))</f>
        <v/>
      </c>
      <c r="AB550" s="46">
        <f>IF(AL550=0,"",IF(INDEX(VC_actiondate,ROUND(MOD(AL550,1)*100000,0)-5)=0,"",INDEX(VC_actiondate,ROUND(MOD(AL550,1)*100000,0)-5)))</f>
        <v/>
      </c>
      <c r="AC550" s="33">
        <f>IF(AL550=0,"",INDEX(VC_actiontexte,ROUND(MOD(AL550,1)*100000,0)-5)&amp;"")</f>
        <v/>
      </c>
      <c r="AD550" s="46">
        <f>IF(C550="","",IF(COUNTIFS(Cmd_cle,AK550,Cmd_dateca,"&gt;0")=0,"",SMALL(INDEX(Cmd_dateca+(((Cmd_cle&lt;&gt;AK550)+(Cmd_dateca=0))&gt;0)*1000000,0),1)))</f>
        <v/>
      </c>
      <c r="AE550" s="46">
        <f>IF(C550="","",IF(COUNTIFS(Cmd_cle,AK550,Cmd_dateca,"&gt;0")=0,"",MAX(INDEX((Cmd_cle=AK550)*Cmd_dateca,0))))</f>
        <v/>
      </c>
      <c r="AF550" s="40">
        <f>IF(C550="","",SUMIFS(Cmd_montant,Cmd_cle,AK550,Cmd_dateca,"&gt;0"))</f>
        <v/>
      </c>
      <c r="AG550" s="40">
        <f>IF(C550="","",SUMIFS(Enc_montant,Enc_cle,AK550))</f>
        <v/>
      </c>
      <c r="AH550" s="40">
        <f>IF(C550="","",AF550-AG550)</f>
        <v/>
      </c>
      <c r="AI550" s="33">
        <f>IF(C550="","",IF(D550="Perdu","",IF(AND(AB550&lt;&gt;"",N(AB550)&lt;TODAY()),"Action en retard",IF(AND(D550="Client",AE550&lt;&gt;"",TODAY()-N(AE550)&gt;P_JoursInactif),"Client inactif",IF(AND(D550="Prospect",Z550=0,O550&lt;&gt;"",TODAY()-N(O550)&gt;P_JoursNonVisite),"Jamais visité","")))))</f>
        <v/>
      </c>
      <c r="AJ550" s="33">
        <f>IF(C550="","",C550&amp;" ["&amp;TEXT(A550,"000")&amp;"]")</f>
        <v/>
      </c>
      <c r="AK550" s="33">
        <f>IF(C550="","",X550&amp;"|"&amp;A550)</f>
        <v/>
      </c>
      <c r="AL550" s="47">
        <f>IF(C550="",0,IF(COUNTIFS(VC_cle,AK550)=0,0,MAX(INDEX((VC_cle=AK550)*(VC_date+ROW(VC_date)/100000),0))))</f>
        <v/>
      </c>
      <c r="AM550" s="47">
        <f>IF(AND(C550&lt;&gt;"",N(AB550)&gt;0,D550&lt;&gt;"Perdu"),AB550+ROW()/100000,0)</f>
        <v/>
      </c>
      <c r="AN550" s="48">
        <f>IF(N(AF550)&gt;0,ROUND(AF550,0)+ROW()/1000000,0)</f>
        <v/>
      </c>
    </row>
    <row r="551" ht="18" customHeight="1">
      <c r="A551" s="39" t="n">
        <v>546</v>
      </c>
      <c r="B551" s="33">
        <f>IF(C551="","",IF(X551="À RENSEIGNER","GIC",X551)&amp;"-"&amp;TEXT(A551,"000"))</f>
        <v/>
      </c>
      <c r="C551" s="36" t="n"/>
      <c r="D551" s="34">
        <f>IF(C551="","",IF(U551="☑ Oui","Perdu",IF(AD551&lt;&gt;"","Client","Prospect")))</f>
        <v/>
      </c>
      <c r="E551" s="36" t="n"/>
      <c r="F551" s="36" t="n"/>
      <c r="G551" s="44" t="n"/>
      <c r="H551" s="44" t="n"/>
      <c r="I551" s="36" t="n"/>
      <c r="J551" s="36" t="n"/>
      <c r="K551" s="41" t="n"/>
      <c r="L551" s="41" t="n"/>
      <c r="M551" s="36" t="n"/>
      <c r="N551" s="36" t="n"/>
      <c r="O551" s="32" t="n"/>
      <c r="P551" s="36" t="n"/>
      <c r="Q551" s="36" t="n"/>
      <c r="R551" s="34">
        <f>IF(P551="","",IFERROR(VLOOKUP(P551,T_Produits,2,FALSE),""))</f>
        <v/>
      </c>
      <c r="S551" s="36" t="n"/>
      <c r="T551" s="43" t="n"/>
      <c r="U551" s="43" t="n"/>
      <c r="V551" s="36" t="n"/>
      <c r="W551" s="36" t="n"/>
      <c r="X551" s="33">
        <f>IF(C551="","",Commercial_Id)</f>
        <v/>
      </c>
      <c r="Y551" s="33">
        <f>IF(E551="","",IF(E551="Particulier / ménage","Particulier","Entreprise"))</f>
        <v/>
      </c>
      <c r="Z551" s="39">
        <f>IF(C551="","",COUNTIFS(VC_cle,AK551,VC_type,"Visite sur place"))</f>
        <v/>
      </c>
      <c r="AA551" s="46">
        <f>IF(AL551=0,"",IF(INT(AL551)=0,"",INT(AL551)))</f>
        <v/>
      </c>
      <c r="AB551" s="46">
        <f>IF(AL551=0,"",IF(INDEX(VC_actiondate,ROUND(MOD(AL551,1)*100000,0)-5)=0,"",INDEX(VC_actiondate,ROUND(MOD(AL551,1)*100000,0)-5)))</f>
        <v/>
      </c>
      <c r="AC551" s="33">
        <f>IF(AL551=0,"",INDEX(VC_actiontexte,ROUND(MOD(AL551,1)*100000,0)-5)&amp;"")</f>
        <v/>
      </c>
      <c r="AD551" s="46">
        <f>IF(C551="","",IF(COUNTIFS(Cmd_cle,AK551,Cmd_dateca,"&gt;0")=0,"",SMALL(INDEX(Cmd_dateca+(((Cmd_cle&lt;&gt;AK551)+(Cmd_dateca=0))&gt;0)*1000000,0),1)))</f>
        <v/>
      </c>
      <c r="AE551" s="46">
        <f>IF(C551="","",IF(COUNTIFS(Cmd_cle,AK551,Cmd_dateca,"&gt;0")=0,"",MAX(INDEX((Cmd_cle=AK551)*Cmd_dateca,0))))</f>
        <v/>
      </c>
      <c r="AF551" s="40">
        <f>IF(C551="","",SUMIFS(Cmd_montant,Cmd_cle,AK551,Cmd_dateca,"&gt;0"))</f>
        <v/>
      </c>
      <c r="AG551" s="40">
        <f>IF(C551="","",SUMIFS(Enc_montant,Enc_cle,AK551))</f>
        <v/>
      </c>
      <c r="AH551" s="40">
        <f>IF(C551="","",AF551-AG551)</f>
        <v/>
      </c>
      <c r="AI551" s="33">
        <f>IF(C551="","",IF(D551="Perdu","",IF(AND(AB551&lt;&gt;"",N(AB551)&lt;TODAY()),"Action en retard",IF(AND(D551="Client",AE551&lt;&gt;"",TODAY()-N(AE551)&gt;P_JoursInactif),"Client inactif",IF(AND(D551="Prospect",Z551=0,O551&lt;&gt;"",TODAY()-N(O551)&gt;P_JoursNonVisite),"Jamais visité","")))))</f>
        <v/>
      </c>
      <c r="AJ551" s="33">
        <f>IF(C551="","",C551&amp;" ["&amp;TEXT(A551,"000")&amp;"]")</f>
        <v/>
      </c>
      <c r="AK551" s="33">
        <f>IF(C551="","",X551&amp;"|"&amp;A551)</f>
        <v/>
      </c>
      <c r="AL551" s="47">
        <f>IF(C551="",0,IF(COUNTIFS(VC_cle,AK551)=0,0,MAX(INDEX((VC_cle=AK551)*(VC_date+ROW(VC_date)/100000),0))))</f>
        <v/>
      </c>
      <c r="AM551" s="47">
        <f>IF(AND(C551&lt;&gt;"",N(AB551)&gt;0,D551&lt;&gt;"Perdu"),AB551+ROW()/100000,0)</f>
        <v/>
      </c>
      <c r="AN551" s="48">
        <f>IF(N(AF551)&gt;0,ROUND(AF551,0)+ROW()/1000000,0)</f>
        <v/>
      </c>
    </row>
    <row r="552" ht="18" customHeight="1">
      <c r="A552" s="39" t="n">
        <v>547</v>
      </c>
      <c r="B552" s="33">
        <f>IF(C552="","",IF(X552="À RENSEIGNER","GIC",X552)&amp;"-"&amp;TEXT(A552,"000"))</f>
        <v/>
      </c>
      <c r="C552" s="36" t="n"/>
      <c r="D552" s="34">
        <f>IF(C552="","",IF(U552="☑ Oui","Perdu",IF(AD552&lt;&gt;"","Client","Prospect")))</f>
        <v/>
      </c>
      <c r="E552" s="36" t="n"/>
      <c r="F552" s="36" t="n"/>
      <c r="G552" s="44" t="n"/>
      <c r="H552" s="44" t="n"/>
      <c r="I552" s="36" t="n"/>
      <c r="J552" s="36" t="n"/>
      <c r="K552" s="41" t="n"/>
      <c r="L552" s="41" t="n"/>
      <c r="M552" s="36" t="n"/>
      <c r="N552" s="36" t="n"/>
      <c r="O552" s="32" t="n"/>
      <c r="P552" s="36" t="n"/>
      <c r="Q552" s="36" t="n"/>
      <c r="R552" s="34">
        <f>IF(P552="","",IFERROR(VLOOKUP(P552,T_Produits,2,FALSE),""))</f>
        <v/>
      </c>
      <c r="S552" s="36" t="n"/>
      <c r="T552" s="43" t="n"/>
      <c r="U552" s="43" t="n"/>
      <c r="V552" s="36" t="n"/>
      <c r="W552" s="36" t="n"/>
      <c r="X552" s="33">
        <f>IF(C552="","",Commercial_Id)</f>
        <v/>
      </c>
      <c r="Y552" s="33">
        <f>IF(E552="","",IF(E552="Particulier / ménage","Particulier","Entreprise"))</f>
        <v/>
      </c>
      <c r="Z552" s="39">
        <f>IF(C552="","",COUNTIFS(VC_cle,AK552,VC_type,"Visite sur place"))</f>
        <v/>
      </c>
      <c r="AA552" s="46">
        <f>IF(AL552=0,"",IF(INT(AL552)=0,"",INT(AL552)))</f>
        <v/>
      </c>
      <c r="AB552" s="46">
        <f>IF(AL552=0,"",IF(INDEX(VC_actiondate,ROUND(MOD(AL552,1)*100000,0)-5)=0,"",INDEX(VC_actiondate,ROUND(MOD(AL552,1)*100000,0)-5)))</f>
        <v/>
      </c>
      <c r="AC552" s="33">
        <f>IF(AL552=0,"",INDEX(VC_actiontexte,ROUND(MOD(AL552,1)*100000,0)-5)&amp;"")</f>
        <v/>
      </c>
      <c r="AD552" s="46">
        <f>IF(C552="","",IF(COUNTIFS(Cmd_cle,AK552,Cmd_dateca,"&gt;0")=0,"",SMALL(INDEX(Cmd_dateca+(((Cmd_cle&lt;&gt;AK552)+(Cmd_dateca=0))&gt;0)*1000000,0),1)))</f>
        <v/>
      </c>
      <c r="AE552" s="46">
        <f>IF(C552="","",IF(COUNTIFS(Cmd_cle,AK552,Cmd_dateca,"&gt;0")=0,"",MAX(INDEX((Cmd_cle=AK552)*Cmd_dateca,0))))</f>
        <v/>
      </c>
      <c r="AF552" s="40">
        <f>IF(C552="","",SUMIFS(Cmd_montant,Cmd_cle,AK552,Cmd_dateca,"&gt;0"))</f>
        <v/>
      </c>
      <c r="AG552" s="40">
        <f>IF(C552="","",SUMIFS(Enc_montant,Enc_cle,AK552))</f>
        <v/>
      </c>
      <c r="AH552" s="40">
        <f>IF(C552="","",AF552-AG552)</f>
        <v/>
      </c>
      <c r="AI552" s="33">
        <f>IF(C552="","",IF(D552="Perdu","",IF(AND(AB552&lt;&gt;"",N(AB552)&lt;TODAY()),"Action en retard",IF(AND(D552="Client",AE552&lt;&gt;"",TODAY()-N(AE552)&gt;P_JoursInactif),"Client inactif",IF(AND(D552="Prospect",Z552=0,O552&lt;&gt;"",TODAY()-N(O552)&gt;P_JoursNonVisite),"Jamais visité","")))))</f>
        <v/>
      </c>
      <c r="AJ552" s="33">
        <f>IF(C552="","",C552&amp;" ["&amp;TEXT(A552,"000")&amp;"]")</f>
        <v/>
      </c>
      <c r="AK552" s="33">
        <f>IF(C552="","",X552&amp;"|"&amp;A552)</f>
        <v/>
      </c>
      <c r="AL552" s="47">
        <f>IF(C552="",0,IF(COUNTIFS(VC_cle,AK552)=0,0,MAX(INDEX((VC_cle=AK552)*(VC_date+ROW(VC_date)/100000),0))))</f>
        <v/>
      </c>
      <c r="AM552" s="47">
        <f>IF(AND(C552&lt;&gt;"",N(AB552)&gt;0,D552&lt;&gt;"Perdu"),AB552+ROW()/100000,0)</f>
        <v/>
      </c>
      <c r="AN552" s="48">
        <f>IF(N(AF552)&gt;0,ROUND(AF552,0)+ROW()/1000000,0)</f>
        <v/>
      </c>
    </row>
    <row r="553" ht="18" customHeight="1">
      <c r="A553" s="39" t="n">
        <v>548</v>
      </c>
      <c r="B553" s="33">
        <f>IF(C553="","",IF(X553="À RENSEIGNER","GIC",X553)&amp;"-"&amp;TEXT(A553,"000"))</f>
        <v/>
      </c>
      <c r="C553" s="36" t="n"/>
      <c r="D553" s="34">
        <f>IF(C553="","",IF(U553="☑ Oui","Perdu",IF(AD553&lt;&gt;"","Client","Prospect")))</f>
        <v/>
      </c>
      <c r="E553" s="36" t="n"/>
      <c r="F553" s="36" t="n"/>
      <c r="G553" s="44" t="n"/>
      <c r="H553" s="44" t="n"/>
      <c r="I553" s="36" t="n"/>
      <c r="J553" s="36" t="n"/>
      <c r="K553" s="41" t="n"/>
      <c r="L553" s="41" t="n"/>
      <c r="M553" s="36" t="n"/>
      <c r="N553" s="36" t="n"/>
      <c r="O553" s="32" t="n"/>
      <c r="P553" s="36" t="n"/>
      <c r="Q553" s="36" t="n"/>
      <c r="R553" s="34">
        <f>IF(P553="","",IFERROR(VLOOKUP(P553,T_Produits,2,FALSE),""))</f>
        <v/>
      </c>
      <c r="S553" s="36" t="n"/>
      <c r="T553" s="43" t="n"/>
      <c r="U553" s="43" t="n"/>
      <c r="V553" s="36" t="n"/>
      <c r="W553" s="36" t="n"/>
      <c r="X553" s="33">
        <f>IF(C553="","",Commercial_Id)</f>
        <v/>
      </c>
      <c r="Y553" s="33">
        <f>IF(E553="","",IF(E553="Particulier / ménage","Particulier","Entreprise"))</f>
        <v/>
      </c>
      <c r="Z553" s="39">
        <f>IF(C553="","",COUNTIFS(VC_cle,AK553,VC_type,"Visite sur place"))</f>
        <v/>
      </c>
      <c r="AA553" s="46">
        <f>IF(AL553=0,"",IF(INT(AL553)=0,"",INT(AL553)))</f>
        <v/>
      </c>
      <c r="AB553" s="46">
        <f>IF(AL553=0,"",IF(INDEX(VC_actiondate,ROUND(MOD(AL553,1)*100000,0)-5)=0,"",INDEX(VC_actiondate,ROUND(MOD(AL553,1)*100000,0)-5)))</f>
        <v/>
      </c>
      <c r="AC553" s="33">
        <f>IF(AL553=0,"",INDEX(VC_actiontexte,ROUND(MOD(AL553,1)*100000,0)-5)&amp;"")</f>
        <v/>
      </c>
      <c r="AD553" s="46">
        <f>IF(C553="","",IF(COUNTIFS(Cmd_cle,AK553,Cmd_dateca,"&gt;0")=0,"",SMALL(INDEX(Cmd_dateca+(((Cmd_cle&lt;&gt;AK553)+(Cmd_dateca=0))&gt;0)*1000000,0),1)))</f>
        <v/>
      </c>
      <c r="AE553" s="46">
        <f>IF(C553="","",IF(COUNTIFS(Cmd_cle,AK553,Cmd_dateca,"&gt;0")=0,"",MAX(INDEX((Cmd_cle=AK553)*Cmd_dateca,0))))</f>
        <v/>
      </c>
      <c r="AF553" s="40">
        <f>IF(C553="","",SUMIFS(Cmd_montant,Cmd_cle,AK553,Cmd_dateca,"&gt;0"))</f>
        <v/>
      </c>
      <c r="AG553" s="40">
        <f>IF(C553="","",SUMIFS(Enc_montant,Enc_cle,AK553))</f>
        <v/>
      </c>
      <c r="AH553" s="40">
        <f>IF(C553="","",AF553-AG553)</f>
        <v/>
      </c>
      <c r="AI553" s="33">
        <f>IF(C553="","",IF(D553="Perdu","",IF(AND(AB553&lt;&gt;"",N(AB553)&lt;TODAY()),"Action en retard",IF(AND(D553="Client",AE553&lt;&gt;"",TODAY()-N(AE553)&gt;P_JoursInactif),"Client inactif",IF(AND(D553="Prospect",Z553=0,O553&lt;&gt;"",TODAY()-N(O553)&gt;P_JoursNonVisite),"Jamais visité","")))))</f>
        <v/>
      </c>
      <c r="AJ553" s="33">
        <f>IF(C553="","",C553&amp;" ["&amp;TEXT(A553,"000")&amp;"]")</f>
        <v/>
      </c>
      <c r="AK553" s="33">
        <f>IF(C553="","",X553&amp;"|"&amp;A553)</f>
        <v/>
      </c>
      <c r="AL553" s="47">
        <f>IF(C553="",0,IF(COUNTIFS(VC_cle,AK553)=0,0,MAX(INDEX((VC_cle=AK553)*(VC_date+ROW(VC_date)/100000),0))))</f>
        <v/>
      </c>
      <c r="AM553" s="47">
        <f>IF(AND(C553&lt;&gt;"",N(AB553)&gt;0,D553&lt;&gt;"Perdu"),AB553+ROW()/100000,0)</f>
        <v/>
      </c>
      <c r="AN553" s="48">
        <f>IF(N(AF553)&gt;0,ROUND(AF553,0)+ROW()/1000000,0)</f>
        <v/>
      </c>
    </row>
    <row r="554" ht="18" customHeight="1">
      <c r="A554" s="39" t="n">
        <v>549</v>
      </c>
      <c r="B554" s="33">
        <f>IF(C554="","",IF(X554="À RENSEIGNER","GIC",X554)&amp;"-"&amp;TEXT(A554,"000"))</f>
        <v/>
      </c>
      <c r="C554" s="36" t="n"/>
      <c r="D554" s="34">
        <f>IF(C554="","",IF(U554="☑ Oui","Perdu",IF(AD554&lt;&gt;"","Client","Prospect")))</f>
        <v/>
      </c>
      <c r="E554" s="36" t="n"/>
      <c r="F554" s="36" t="n"/>
      <c r="G554" s="44" t="n"/>
      <c r="H554" s="44" t="n"/>
      <c r="I554" s="36" t="n"/>
      <c r="J554" s="36" t="n"/>
      <c r="K554" s="41" t="n"/>
      <c r="L554" s="41" t="n"/>
      <c r="M554" s="36" t="n"/>
      <c r="N554" s="36" t="n"/>
      <c r="O554" s="32" t="n"/>
      <c r="P554" s="36" t="n"/>
      <c r="Q554" s="36" t="n"/>
      <c r="R554" s="34">
        <f>IF(P554="","",IFERROR(VLOOKUP(P554,T_Produits,2,FALSE),""))</f>
        <v/>
      </c>
      <c r="S554" s="36" t="n"/>
      <c r="T554" s="43" t="n"/>
      <c r="U554" s="43" t="n"/>
      <c r="V554" s="36" t="n"/>
      <c r="W554" s="36" t="n"/>
      <c r="X554" s="33">
        <f>IF(C554="","",Commercial_Id)</f>
        <v/>
      </c>
      <c r="Y554" s="33">
        <f>IF(E554="","",IF(E554="Particulier / ménage","Particulier","Entreprise"))</f>
        <v/>
      </c>
      <c r="Z554" s="39">
        <f>IF(C554="","",COUNTIFS(VC_cle,AK554,VC_type,"Visite sur place"))</f>
        <v/>
      </c>
      <c r="AA554" s="46">
        <f>IF(AL554=0,"",IF(INT(AL554)=0,"",INT(AL554)))</f>
        <v/>
      </c>
      <c r="AB554" s="46">
        <f>IF(AL554=0,"",IF(INDEX(VC_actiondate,ROUND(MOD(AL554,1)*100000,0)-5)=0,"",INDEX(VC_actiondate,ROUND(MOD(AL554,1)*100000,0)-5)))</f>
        <v/>
      </c>
      <c r="AC554" s="33">
        <f>IF(AL554=0,"",INDEX(VC_actiontexte,ROUND(MOD(AL554,1)*100000,0)-5)&amp;"")</f>
        <v/>
      </c>
      <c r="AD554" s="46">
        <f>IF(C554="","",IF(COUNTIFS(Cmd_cle,AK554,Cmd_dateca,"&gt;0")=0,"",SMALL(INDEX(Cmd_dateca+(((Cmd_cle&lt;&gt;AK554)+(Cmd_dateca=0))&gt;0)*1000000,0),1)))</f>
        <v/>
      </c>
      <c r="AE554" s="46">
        <f>IF(C554="","",IF(COUNTIFS(Cmd_cle,AK554,Cmd_dateca,"&gt;0")=0,"",MAX(INDEX((Cmd_cle=AK554)*Cmd_dateca,0))))</f>
        <v/>
      </c>
      <c r="AF554" s="40">
        <f>IF(C554="","",SUMIFS(Cmd_montant,Cmd_cle,AK554,Cmd_dateca,"&gt;0"))</f>
        <v/>
      </c>
      <c r="AG554" s="40">
        <f>IF(C554="","",SUMIFS(Enc_montant,Enc_cle,AK554))</f>
        <v/>
      </c>
      <c r="AH554" s="40">
        <f>IF(C554="","",AF554-AG554)</f>
        <v/>
      </c>
      <c r="AI554" s="33">
        <f>IF(C554="","",IF(D554="Perdu","",IF(AND(AB554&lt;&gt;"",N(AB554)&lt;TODAY()),"Action en retard",IF(AND(D554="Client",AE554&lt;&gt;"",TODAY()-N(AE554)&gt;P_JoursInactif),"Client inactif",IF(AND(D554="Prospect",Z554=0,O554&lt;&gt;"",TODAY()-N(O554)&gt;P_JoursNonVisite),"Jamais visité","")))))</f>
        <v/>
      </c>
      <c r="AJ554" s="33">
        <f>IF(C554="","",C554&amp;" ["&amp;TEXT(A554,"000")&amp;"]")</f>
        <v/>
      </c>
      <c r="AK554" s="33">
        <f>IF(C554="","",X554&amp;"|"&amp;A554)</f>
        <v/>
      </c>
      <c r="AL554" s="47">
        <f>IF(C554="",0,IF(COUNTIFS(VC_cle,AK554)=0,0,MAX(INDEX((VC_cle=AK554)*(VC_date+ROW(VC_date)/100000),0))))</f>
        <v/>
      </c>
      <c r="AM554" s="47">
        <f>IF(AND(C554&lt;&gt;"",N(AB554)&gt;0,D554&lt;&gt;"Perdu"),AB554+ROW()/100000,0)</f>
        <v/>
      </c>
      <c r="AN554" s="48">
        <f>IF(N(AF554)&gt;0,ROUND(AF554,0)+ROW()/1000000,0)</f>
        <v/>
      </c>
    </row>
    <row r="555" ht="18" customHeight="1">
      <c r="A555" s="39" t="n">
        <v>550</v>
      </c>
      <c r="B555" s="33">
        <f>IF(C555="","",IF(X555="À RENSEIGNER","GIC",X555)&amp;"-"&amp;TEXT(A555,"000"))</f>
        <v/>
      </c>
      <c r="C555" s="36" t="n"/>
      <c r="D555" s="34">
        <f>IF(C555="","",IF(U555="☑ Oui","Perdu",IF(AD555&lt;&gt;"","Client","Prospect")))</f>
        <v/>
      </c>
      <c r="E555" s="36" t="n"/>
      <c r="F555" s="36" t="n"/>
      <c r="G555" s="44" t="n"/>
      <c r="H555" s="44" t="n"/>
      <c r="I555" s="36" t="n"/>
      <c r="J555" s="36" t="n"/>
      <c r="K555" s="41" t="n"/>
      <c r="L555" s="41" t="n"/>
      <c r="M555" s="36" t="n"/>
      <c r="N555" s="36" t="n"/>
      <c r="O555" s="32" t="n"/>
      <c r="P555" s="36" t="n"/>
      <c r="Q555" s="36" t="n"/>
      <c r="R555" s="34">
        <f>IF(P555="","",IFERROR(VLOOKUP(P555,T_Produits,2,FALSE),""))</f>
        <v/>
      </c>
      <c r="S555" s="36" t="n"/>
      <c r="T555" s="43" t="n"/>
      <c r="U555" s="43" t="n"/>
      <c r="V555" s="36" t="n"/>
      <c r="W555" s="36" t="n"/>
      <c r="X555" s="33">
        <f>IF(C555="","",Commercial_Id)</f>
        <v/>
      </c>
      <c r="Y555" s="33">
        <f>IF(E555="","",IF(E555="Particulier / ménage","Particulier","Entreprise"))</f>
        <v/>
      </c>
      <c r="Z555" s="39">
        <f>IF(C555="","",COUNTIFS(VC_cle,AK555,VC_type,"Visite sur place"))</f>
        <v/>
      </c>
      <c r="AA555" s="46">
        <f>IF(AL555=0,"",IF(INT(AL555)=0,"",INT(AL555)))</f>
        <v/>
      </c>
      <c r="AB555" s="46">
        <f>IF(AL555=0,"",IF(INDEX(VC_actiondate,ROUND(MOD(AL555,1)*100000,0)-5)=0,"",INDEX(VC_actiondate,ROUND(MOD(AL555,1)*100000,0)-5)))</f>
        <v/>
      </c>
      <c r="AC555" s="33">
        <f>IF(AL555=0,"",INDEX(VC_actiontexte,ROUND(MOD(AL555,1)*100000,0)-5)&amp;"")</f>
        <v/>
      </c>
      <c r="AD555" s="46">
        <f>IF(C555="","",IF(COUNTIFS(Cmd_cle,AK555,Cmd_dateca,"&gt;0")=0,"",SMALL(INDEX(Cmd_dateca+(((Cmd_cle&lt;&gt;AK555)+(Cmd_dateca=0))&gt;0)*1000000,0),1)))</f>
        <v/>
      </c>
      <c r="AE555" s="46">
        <f>IF(C555="","",IF(COUNTIFS(Cmd_cle,AK555,Cmd_dateca,"&gt;0")=0,"",MAX(INDEX((Cmd_cle=AK555)*Cmd_dateca,0))))</f>
        <v/>
      </c>
      <c r="AF555" s="40">
        <f>IF(C555="","",SUMIFS(Cmd_montant,Cmd_cle,AK555,Cmd_dateca,"&gt;0"))</f>
        <v/>
      </c>
      <c r="AG555" s="40">
        <f>IF(C555="","",SUMIFS(Enc_montant,Enc_cle,AK555))</f>
        <v/>
      </c>
      <c r="AH555" s="40">
        <f>IF(C555="","",AF555-AG555)</f>
        <v/>
      </c>
      <c r="AI555" s="33">
        <f>IF(C555="","",IF(D555="Perdu","",IF(AND(AB555&lt;&gt;"",N(AB555)&lt;TODAY()),"Action en retard",IF(AND(D555="Client",AE555&lt;&gt;"",TODAY()-N(AE555)&gt;P_JoursInactif),"Client inactif",IF(AND(D555="Prospect",Z555=0,O555&lt;&gt;"",TODAY()-N(O555)&gt;P_JoursNonVisite),"Jamais visité","")))))</f>
        <v/>
      </c>
      <c r="AJ555" s="33">
        <f>IF(C555="","",C555&amp;" ["&amp;TEXT(A555,"000")&amp;"]")</f>
        <v/>
      </c>
      <c r="AK555" s="33">
        <f>IF(C555="","",X555&amp;"|"&amp;A555)</f>
        <v/>
      </c>
      <c r="AL555" s="47">
        <f>IF(C555="",0,IF(COUNTIFS(VC_cle,AK555)=0,0,MAX(INDEX((VC_cle=AK555)*(VC_date+ROW(VC_date)/100000),0))))</f>
        <v/>
      </c>
      <c r="AM555" s="47">
        <f>IF(AND(C555&lt;&gt;"",N(AB555)&gt;0,D555&lt;&gt;"Perdu"),AB555+ROW()/100000,0)</f>
        <v/>
      </c>
      <c r="AN555" s="48">
        <f>IF(N(AF555)&gt;0,ROUND(AF555,0)+ROW()/1000000,0)</f>
        <v/>
      </c>
    </row>
    <row r="556" ht="18" customHeight="1">
      <c r="A556" s="39" t="n">
        <v>551</v>
      </c>
      <c r="B556" s="33">
        <f>IF(C556="","",IF(X556="À RENSEIGNER","GIC",X556)&amp;"-"&amp;TEXT(A556,"000"))</f>
        <v/>
      </c>
      <c r="C556" s="36" t="n"/>
      <c r="D556" s="34">
        <f>IF(C556="","",IF(U556="☑ Oui","Perdu",IF(AD556&lt;&gt;"","Client","Prospect")))</f>
        <v/>
      </c>
      <c r="E556" s="36" t="n"/>
      <c r="F556" s="36" t="n"/>
      <c r="G556" s="44" t="n"/>
      <c r="H556" s="44" t="n"/>
      <c r="I556" s="36" t="n"/>
      <c r="J556" s="36" t="n"/>
      <c r="K556" s="41" t="n"/>
      <c r="L556" s="41" t="n"/>
      <c r="M556" s="36" t="n"/>
      <c r="N556" s="36" t="n"/>
      <c r="O556" s="32" t="n"/>
      <c r="P556" s="36" t="n"/>
      <c r="Q556" s="36" t="n"/>
      <c r="R556" s="34">
        <f>IF(P556="","",IFERROR(VLOOKUP(P556,T_Produits,2,FALSE),""))</f>
        <v/>
      </c>
      <c r="S556" s="36" t="n"/>
      <c r="T556" s="43" t="n"/>
      <c r="U556" s="43" t="n"/>
      <c r="V556" s="36" t="n"/>
      <c r="W556" s="36" t="n"/>
      <c r="X556" s="33">
        <f>IF(C556="","",Commercial_Id)</f>
        <v/>
      </c>
      <c r="Y556" s="33">
        <f>IF(E556="","",IF(E556="Particulier / ménage","Particulier","Entreprise"))</f>
        <v/>
      </c>
      <c r="Z556" s="39">
        <f>IF(C556="","",COUNTIFS(VC_cle,AK556,VC_type,"Visite sur place"))</f>
        <v/>
      </c>
      <c r="AA556" s="46">
        <f>IF(AL556=0,"",IF(INT(AL556)=0,"",INT(AL556)))</f>
        <v/>
      </c>
      <c r="AB556" s="46">
        <f>IF(AL556=0,"",IF(INDEX(VC_actiondate,ROUND(MOD(AL556,1)*100000,0)-5)=0,"",INDEX(VC_actiondate,ROUND(MOD(AL556,1)*100000,0)-5)))</f>
        <v/>
      </c>
      <c r="AC556" s="33">
        <f>IF(AL556=0,"",INDEX(VC_actiontexte,ROUND(MOD(AL556,1)*100000,0)-5)&amp;"")</f>
        <v/>
      </c>
      <c r="AD556" s="46">
        <f>IF(C556="","",IF(COUNTIFS(Cmd_cle,AK556,Cmd_dateca,"&gt;0")=0,"",SMALL(INDEX(Cmd_dateca+(((Cmd_cle&lt;&gt;AK556)+(Cmd_dateca=0))&gt;0)*1000000,0),1)))</f>
        <v/>
      </c>
      <c r="AE556" s="46">
        <f>IF(C556="","",IF(COUNTIFS(Cmd_cle,AK556,Cmd_dateca,"&gt;0")=0,"",MAX(INDEX((Cmd_cle=AK556)*Cmd_dateca,0))))</f>
        <v/>
      </c>
      <c r="AF556" s="40">
        <f>IF(C556="","",SUMIFS(Cmd_montant,Cmd_cle,AK556,Cmd_dateca,"&gt;0"))</f>
        <v/>
      </c>
      <c r="AG556" s="40">
        <f>IF(C556="","",SUMIFS(Enc_montant,Enc_cle,AK556))</f>
        <v/>
      </c>
      <c r="AH556" s="40">
        <f>IF(C556="","",AF556-AG556)</f>
        <v/>
      </c>
      <c r="AI556" s="33">
        <f>IF(C556="","",IF(D556="Perdu","",IF(AND(AB556&lt;&gt;"",N(AB556)&lt;TODAY()),"Action en retard",IF(AND(D556="Client",AE556&lt;&gt;"",TODAY()-N(AE556)&gt;P_JoursInactif),"Client inactif",IF(AND(D556="Prospect",Z556=0,O556&lt;&gt;"",TODAY()-N(O556)&gt;P_JoursNonVisite),"Jamais visité","")))))</f>
        <v/>
      </c>
      <c r="AJ556" s="33">
        <f>IF(C556="","",C556&amp;" ["&amp;TEXT(A556,"000")&amp;"]")</f>
        <v/>
      </c>
      <c r="AK556" s="33">
        <f>IF(C556="","",X556&amp;"|"&amp;A556)</f>
        <v/>
      </c>
      <c r="AL556" s="47">
        <f>IF(C556="",0,IF(COUNTIFS(VC_cle,AK556)=0,0,MAX(INDEX((VC_cle=AK556)*(VC_date+ROW(VC_date)/100000),0))))</f>
        <v/>
      </c>
      <c r="AM556" s="47">
        <f>IF(AND(C556&lt;&gt;"",N(AB556)&gt;0,D556&lt;&gt;"Perdu"),AB556+ROW()/100000,0)</f>
        <v/>
      </c>
      <c r="AN556" s="48">
        <f>IF(N(AF556)&gt;0,ROUND(AF556,0)+ROW()/1000000,0)</f>
        <v/>
      </c>
    </row>
    <row r="557" ht="18" customHeight="1">
      <c r="A557" s="39" t="n">
        <v>552</v>
      </c>
      <c r="B557" s="33">
        <f>IF(C557="","",IF(X557="À RENSEIGNER","GIC",X557)&amp;"-"&amp;TEXT(A557,"000"))</f>
        <v/>
      </c>
      <c r="C557" s="36" t="n"/>
      <c r="D557" s="34">
        <f>IF(C557="","",IF(U557="☑ Oui","Perdu",IF(AD557&lt;&gt;"","Client","Prospect")))</f>
        <v/>
      </c>
      <c r="E557" s="36" t="n"/>
      <c r="F557" s="36" t="n"/>
      <c r="G557" s="44" t="n"/>
      <c r="H557" s="44" t="n"/>
      <c r="I557" s="36" t="n"/>
      <c r="J557" s="36" t="n"/>
      <c r="K557" s="41" t="n"/>
      <c r="L557" s="41" t="n"/>
      <c r="M557" s="36" t="n"/>
      <c r="N557" s="36" t="n"/>
      <c r="O557" s="32" t="n"/>
      <c r="P557" s="36" t="n"/>
      <c r="Q557" s="36" t="n"/>
      <c r="R557" s="34">
        <f>IF(P557="","",IFERROR(VLOOKUP(P557,T_Produits,2,FALSE),""))</f>
        <v/>
      </c>
      <c r="S557" s="36" t="n"/>
      <c r="T557" s="43" t="n"/>
      <c r="U557" s="43" t="n"/>
      <c r="V557" s="36" t="n"/>
      <c r="W557" s="36" t="n"/>
      <c r="X557" s="33">
        <f>IF(C557="","",Commercial_Id)</f>
        <v/>
      </c>
      <c r="Y557" s="33">
        <f>IF(E557="","",IF(E557="Particulier / ménage","Particulier","Entreprise"))</f>
        <v/>
      </c>
      <c r="Z557" s="39">
        <f>IF(C557="","",COUNTIFS(VC_cle,AK557,VC_type,"Visite sur place"))</f>
        <v/>
      </c>
      <c r="AA557" s="46">
        <f>IF(AL557=0,"",IF(INT(AL557)=0,"",INT(AL557)))</f>
        <v/>
      </c>
      <c r="AB557" s="46">
        <f>IF(AL557=0,"",IF(INDEX(VC_actiondate,ROUND(MOD(AL557,1)*100000,0)-5)=0,"",INDEX(VC_actiondate,ROUND(MOD(AL557,1)*100000,0)-5)))</f>
        <v/>
      </c>
      <c r="AC557" s="33">
        <f>IF(AL557=0,"",INDEX(VC_actiontexte,ROUND(MOD(AL557,1)*100000,0)-5)&amp;"")</f>
        <v/>
      </c>
      <c r="AD557" s="46">
        <f>IF(C557="","",IF(COUNTIFS(Cmd_cle,AK557,Cmd_dateca,"&gt;0")=0,"",SMALL(INDEX(Cmd_dateca+(((Cmd_cle&lt;&gt;AK557)+(Cmd_dateca=0))&gt;0)*1000000,0),1)))</f>
        <v/>
      </c>
      <c r="AE557" s="46">
        <f>IF(C557="","",IF(COUNTIFS(Cmd_cle,AK557,Cmd_dateca,"&gt;0")=0,"",MAX(INDEX((Cmd_cle=AK557)*Cmd_dateca,0))))</f>
        <v/>
      </c>
      <c r="AF557" s="40">
        <f>IF(C557="","",SUMIFS(Cmd_montant,Cmd_cle,AK557,Cmd_dateca,"&gt;0"))</f>
        <v/>
      </c>
      <c r="AG557" s="40">
        <f>IF(C557="","",SUMIFS(Enc_montant,Enc_cle,AK557))</f>
        <v/>
      </c>
      <c r="AH557" s="40">
        <f>IF(C557="","",AF557-AG557)</f>
        <v/>
      </c>
      <c r="AI557" s="33">
        <f>IF(C557="","",IF(D557="Perdu","",IF(AND(AB557&lt;&gt;"",N(AB557)&lt;TODAY()),"Action en retard",IF(AND(D557="Client",AE557&lt;&gt;"",TODAY()-N(AE557)&gt;P_JoursInactif),"Client inactif",IF(AND(D557="Prospect",Z557=0,O557&lt;&gt;"",TODAY()-N(O557)&gt;P_JoursNonVisite),"Jamais visité","")))))</f>
        <v/>
      </c>
      <c r="AJ557" s="33">
        <f>IF(C557="","",C557&amp;" ["&amp;TEXT(A557,"000")&amp;"]")</f>
        <v/>
      </c>
      <c r="AK557" s="33">
        <f>IF(C557="","",X557&amp;"|"&amp;A557)</f>
        <v/>
      </c>
      <c r="AL557" s="47">
        <f>IF(C557="",0,IF(COUNTIFS(VC_cle,AK557)=0,0,MAX(INDEX((VC_cle=AK557)*(VC_date+ROW(VC_date)/100000),0))))</f>
        <v/>
      </c>
      <c r="AM557" s="47">
        <f>IF(AND(C557&lt;&gt;"",N(AB557)&gt;0,D557&lt;&gt;"Perdu"),AB557+ROW()/100000,0)</f>
        <v/>
      </c>
      <c r="AN557" s="48">
        <f>IF(N(AF557)&gt;0,ROUND(AF557,0)+ROW()/1000000,0)</f>
        <v/>
      </c>
    </row>
    <row r="558" ht="18" customHeight="1">
      <c r="A558" s="39" t="n">
        <v>553</v>
      </c>
      <c r="B558" s="33">
        <f>IF(C558="","",IF(X558="À RENSEIGNER","GIC",X558)&amp;"-"&amp;TEXT(A558,"000"))</f>
        <v/>
      </c>
      <c r="C558" s="36" t="n"/>
      <c r="D558" s="34">
        <f>IF(C558="","",IF(U558="☑ Oui","Perdu",IF(AD558&lt;&gt;"","Client","Prospect")))</f>
        <v/>
      </c>
      <c r="E558" s="36" t="n"/>
      <c r="F558" s="36" t="n"/>
      <c r="G558" s="44" t="n"/>
      <c r="H558" s="44" t="n"/>
      <c r="I558" s="36" t="n"/>
      <c r="J558" s="36" t="n"/>
      <c r="K558" s="41" t="n"/>
      <c r="L558" s="41" t="n"/>
      <c r="M558" s="36" t="n"/>
      <c r="N558" s="36" t="n"/>
      <c r="O558" s="32" t="n"/>
      <c r="P558" s="36" t="n"/>
      <c r="Q558" s="36" t="n"/>
      <c r="R558" s="34">
        <f>IF(P558="","",IFERROR(VLOOKUP(P558,T_Produits,2,FALSE),""))</f>
        <v/>
      </c>
      <c r="S558" s="36" t="n"/>
      <c r="T558" s="43" t="n"/>
      <c r="U558" s="43" t="n"/>
      <c r="V558" s="36" t="n"/>
      <c r="W558" s="36" t="n"/>
      <c r="X558" s="33">
        <f>IF(C558="","",Commercial_Id)</f>
        <v/>
      </c>
      <c r="Y558" s="33">
        <f>IF(E558="","",IF(E558="Particulier / ménage","Particulier","Entreprise"))</f>
        <v/>
      </c>
      <c r="Z558" s="39">
        <f>IF(C558="","",COUNTIFS(VC_cle,AK558,VC_type,"Visite sur place"))</f>
        <v/>
      </c>
      <c r="AA558" s="46">
        <f>IF(AL558=0,"",IF(INT(AL558)=0,"",INT(AL558)))</f>
        <v/>
      </c>
      <c r="AB558" s="46">
        <f>IF(AL558=0,"",IF(INDEX(VC_actiondate,ROUND(MOD(AL558,1)*100000,0)-5)=0,"",INDEX(VC_actiondate,ROUND(MOD(AL558,1)*100000,0)-5)))</f>
        <v/>
      </c>
      <c r="AC558" s="33">
        <f>IF(AL558=0,"",INDEX(VC_actiontexte,ROUND(MOD(AL558,1)*100000,0)-5)&amp;"")</f>
        <v/>
      </c>
      <c r="AD558" s="46">
        <f>IF(C558="","",IF(COUNTIFS(Cmd_cle,AK558,Cmd_dateca,"&gt;0")=0,"",SMALL(INDEX(Cmd_dateca+(((Cmd_cle&lt;&gt;AK558)+(Cmd_dateca=0))&gt;0)*1000000,0),1)))</f>
        <v/>
      </c>
      <c r="AE558" s="46">
        <f>IF(C558="","",IF(COUNTIFS(Cmd_cle,AK558,Cmd_dateca,"&gt;0")=0,"",MAX(INDEX((Cmd_cle=AK558)*Cmd_dateca,0))))</f>
        <v/>
      </c>
      <c r="AF558" s="40">
        <f>IF(C558="","",SUMIFS(Cmd_montant,Cmd_cle,AK558,Cmd_dateca,"&gt;0"))</f>
        <v/>
      </c>
      <c r="AG558" s="40">
        <f>IF(C558="","",SUMIFS(Enc_montant,Enc_cle,AK558))</f>
        <v/>
      </c>
      <c r="AH558" s="40">
        <f>IF(C558="","",AF558-AG558)</f>
        <v/>
      </c>
      <c r="AI558" s="33">
        <f>IF(C558="","",IF(D558="Perdu","",IF(AND(AB558&lt;&gt;"",N(AB558)&lt;TODAY()),"Action en retard",IF(AND(D558="Client",AE558&lt;&gt;"",TODAY()-N(AE558)&gt;P_JoursInactif),"Client inactif",IF(AND(D558="Prospect",Z558=0,O558&lt;&gt;"",TODAY()-N(O558)&gt;P_JoursNonVisite),"Jamais visité","")))))</f>
        <v/>
      </c>
      <c r="AJ558" s="33">
        <f>IF(C558="","",C558&amp;" ["&amp;TEXT(A558,"000")&amp;"]")</f>
        <v/>
      </c>
      <c r="AK558" s="33">
        <f>IF(C558="","",X558&amp;"|"&amp;A558)</f>
        <v/>
      </c>
      <c r="AL558" s="47">
        <f>IF(C558="",0,IF(COUNTIFS(VC_cle,AK558)=0,0,MAX(INDEX((VC_cle=AK558)*(VC_date+ROW(VC_date)/100000),0))))</f>
        <v/>
      </c>
      <c r="AM558" s="47">
        <f>IF(AND(C558&lt;&gt;"",N(AB558)&gt;0,D558&lt;&gt;"Perdu"),AB558+ROW()/100000,0)</f>
        <v/>
      </c>
      <c r="AN558" s="48">
        <f>IF(N(AF558)&gt;0,ROUND(AF558,0)+ROW()/1000000,0)</f>
        <v/>
      </c>
    </row>
    <row r="559" ht="18" customHeight="1">
      <c r="A559" s="39" t="n">
        <v>554</v>
      </c>
      <c r="B559" s="33">
        <f>IF(C559="","",IF(X559="À RENSEIGNER","GIC",X559)&amp;"-"&amp;TEXT(A559,"000"))</f>
        <v/>
      </c>
      <c r="C559" s="36" t="n"/>
      <c r="D559" s="34">
        <f>IF(C559="","",IF(U559="☑ Oui","Perdu",IF(AD559&lt;&gt;"","Client","Prospect")))</f>
        <v/>
      </c>
      <c r="E559" s="36" t="n"/>
      <c r="F559" s="36" t="n"/>
      <c r="G559" s="44" t="n"/>
      <c r="H559" s="44" t="n"/>
      <c r="I559" s="36" t="n"/>
      <c r="J559" s="36" t="n"/>
      <c r="K559" s="41" t="n"/>
      <c r="L559" s="41" t="n"/>
      <c r="M559" s="36" t="n"/>
      <c r="N559" s="36" t="n"/>
      <c r="O559" s="32" t="n"/>
      <c r="P559" s="36" t="n"/>
      <c r="Q559" s="36" t="n"/>
      <c r="R559" s="34">
        <f>IF(P559="","",IFERROR(VLOOKUP(P559,T_Produits,2,FALSE),""))</f>
        <v/>
      </c>
      <c r="S559" s="36" t="n"/>
      <c r="T559" s="43" t="n"/>
      <c r="U559" s="43" t="n"/>
      <c r="V559" s="36" t="n"/>
      <c r="W559" s="36" t="n"/>
      <c r="X559" s="33">
        <f>IF(C559="","",Commercial_Id)</f>
        <v/>
      </c>
      <c r="Y559" s="33">
        <f>IF(E559="","",IF(E559="Particulier / ménage","Particulier","Entreprise"))</f>
        <v/>
      </c>
      <c r="Z559" s="39">
        <f>IF(C559="","",COUNTIFS(VC_cle,AK559,VC_type,"Visite sur place"))</f>
        <v/>
      </c>
      <c r="AA559" s="46">
        <f>IF(AL559=0,"",IF(INT(AL559)=0,"",INT(AL559)))</f>
        <v/>
      </c>
      <c r="AB559" s="46">
        <f>IF(AL559=0,"",IF(INDEX(VC_actiondate,ROUND(MOD(AL559,1)*100000,0)-5)=0,"",INDEX(VC_actiondate,ROUND(MOD(AL559,1)*100000,0)-5)))</f>
        <v/>
      </c>
      <c r="AC559" s="33">
        <f>IF(AL559=0,"",INDEX(VC_actiontexte,ROUND(MOD(AL559,1)*100000,0)-5)&amp;"")</f>
        <v/>
      </c>
      <c r="AD559" s="46">
        <f>IF(C559="","",IF(COUNTIFS(Cmd_cle,AK559,Cmd_dateca,"&gt;0")=0,"",SMALL(INDEX(Cmd_dateca+(((Cmd_cle&lt;&gt;AK559)+(Cmd_dateca=0))&gt;0)*1000000,0),1)))</f>
        <v/>
      </c>
      <c r="AE559" s="46">
        <f>IF(C559="","",IF(COUNTIFS(Cmd_cle,AK559,Cmd_dateca,"&gt;0")=0,"",MAX(INDEX((Cmd_cle=AK559)*Cmd_dateca,0))))</f>
        <v/>
      </c>
      <c r="AF559" s="40">
        <f>IF(C559="","",SUMIFS(Cmd_montant,Cmd_cle,AK559,Cmd_dateca,"&gt;0"))</f>
        <v/>
      </c>
      <c r="AG559" s="40">
        <f>IF(C559="","",SUMIFS(Enc_montant,Enc_cle,AK559))</f>
        <v/>
      </c>
      <c r="AH559" s="40">
        <f>IF(C559="","",AF559-AG559)</f>
        <v/>
      </c>
      <c r="AI559" s="33">
        <f>IF(C559="","",IF(D559="Perdu","",IF(AND(AB559&lt;&gt;"",N(AB559)&lt;TODAY()),"Action en retard",IF(AND(D559="Client",AE559&lt;&gt;"",TODAY()-N(AE559)&gt;P_JoursInactif),"Client inactif",IF(AND(D559="Prospect",Z559=0,O559&lt;&gt;"",TODAY()-N(O559)&gt;P_JoursNonVisite),"Jamais visité","")))))</f>
        <v/>
      </c>
      <c r="AJ559" s="33">
        <f>IF(C559="","",C559&amp;" ["&amp;TEXT(A559,"000")&amp;"]")</f>
        <v/>
      </c>
      <c r="AK559" s="33">
        <f>IF(C559="","",X559&amp;"|"&amp;A559)</f>
        <v/>
      </c>
      <c r="AL559" s="47">
        <f>IF(C559="",0,IF(COUNTIFS(VC_cle,AK559)=0,0,MAX(INDEX((VC_cle=AK559)*(VC_date+ROW(VC_date)/100000),0))))</f>
        <v/>
      </c>
      <c r="AM559" s="47">
        <f>IF(AND(C559&lt;&gt;"",N(AB559)&gt;0,D559&lt;&gt;"Perdu"),AB559+ROW()/100000,0)</f>
        <v/>
      </c>
      <c r="AN559" s="48">
        <f>IF(N(AF559)&gt;0,ROUND(AF559,0)+ROW()/1000000,0)</f>
        <v/>
      </c>
    </row>
    <row r="560" ht="18" customHeight="1">
      <c r="A560" s="39" t="n">
        <v>555</v>
      </c>
      <c r="B560" s="33">
        <f>IF(C560="","",IF(X560="À RENSEIGNER","GIC",X560)&amp;"-"&amp;TEXT(A560,"000"))</f>
        <v/>
      </c>
      <c r="C560" s="36" t="n"/>
      <c r="D560" s="34">
        <f>IF(C560="","",IF(U560="☑ Oui","Perdu",IF(AD560&lt;&gt;"","Client","Prospect")))</f>
        <v/>
      </c>
      <c r="E560" s="36" t="n"/>
      <c r="F560" s="36" t="n"/>
      <c r="G560" s="44" t="n"/>
      <c r="H560" s="44" t="n"/>
      <c r="I560" s="36" t="n"/>
      <c r="J560" s="36" t="n"/>
      <c r="K560" s="41" t="n"/>
      <c r="L560" s="41" t="n"/>
      <c r="M560" s="36" t="n"/>
      <c r="N560" s="36" t="n"/>
      <c r="O560" s="32" t="n"/>
      <c r="P560" s="36" t="n"/>
      <c r="Q560" s="36" t="n"/>
      <c r="R560" s="34">
        <f>IF(P560="","",IFERROR(VLOOKUP(P560,T_Produits,2,FALSE),""))</f>
        <v/>
      </c>
      <c r="S560" s="36" t="n"/>
      <c r="T560" s="43" t="n"/>
      <c r="U560" s="43" t="n"/>
      <c r="V560" s="36" t="n"/>
      <c r="W560" s="36" t="n"/>
      <c r="X560" s="33">
        <f>IF(C560="","",Commercial_Id)</f>
        <v/>
      </c>
      <c r="Y560" s="33">
        <f>IF(E560="","",IF(E560="Particulier / ménage","Particulier","Entreprise"))</f>
        <v/>
      </c>
      <c r="Z560" s="39">
        <f>IF(C560="","",COUNTIFS(VC_cle,AK560,VC_type,"Visite sur place"))</f>
        <v/>
      </c>
      <c r="AA560" s="46">
        <f>IF(AL560=0,"",IF(INT(AL560)=0,"",INT(AL560)))</f>
        <v/>
      </c>
      <c r="AB560" s="46">
        <f>IF(AL560=0,"",IF(INDEX(VC_actiondate,ROUND(MOD(AL560,1)*100000,0)-5)=0,"",INDEX(VC_actiondate,ROUND(MOD(AL560,1)*100000,0)-5)))</f>
        <v/>
      </c>
      <c r="AC560" s="33">
        <f>IF(AL560=0,"",INDEX(VC_actiontexte,ROUND(MOD(AL560,1)*100000,0)-5)&amp;"")</f>
        <v/>
      </c>
      <c r="AD560" s="46">
        <f>IF(C560="","",IF(COUNTIFS(Cmd_cle,AK560,Cmd_dateca,"&gt;0")=0,"",SMALL(INDEX(Cmd_dateca+(((Cmd_cle&lt;&gt;AK560)+(Cmd_dateca=0))&gt;0)*1000000,0),1)))</f>
        <v/>
      </c>
      <c r="AE560" s="46">
        <f>IF(C560="","",IF(COUNTIFS(Cmd_cle,AK560,Cmd_dateca,"&gt;0")=0,"",MAX(INDEX((Cmd_cle=AK560)*Cmd_dateca,0))))</f>
        <v/>
      </c>
      <c r="AF560" s="40">
        <f>IF(C560="","",SUMIFS(Cmd_montant,Cmd_cle,AK560,Cmd_dateca,"&gt;0"))</f>
        <v/>
      </c>
      <c r="AG560" s="40">
        <f>IF(C560="","",SUMIFS(Enc_montant,Enc_cle,AK560))</f>
        <v/>
      </c>
      <c r="AH560" s="40">
        <f>IF(C560="","",AF560-AG560)</f>
        <v/>
      </c>
      <c r="AI560" s="33">
        <f>IF(C560="","",IF(D560="Perdu","",IF(AND(AB560&lt;&gt;"",N(AB560)&lt;TODAY()),"Action en retard",IF(AND(D560="Client",AE560&lt;&gt;"",TODAY()-N(AE560)&gt;P_JoursInactif),"Client inactif",IF(AND(D560="Prospect",Z560=0,O560&lt;&gt;"",TODAY()-N(O560)&gt;P_JoursNonVisite),"Jamais visité","")))))</f>
        <v/>
      </c>
      <c r="AJ560" s="33">
        <f>IF(C560="","",C560&amp;" ["&amp;TEXT(A560,"000")&amp;"]")</f>
        <v/>
      </c>
      <c r="AK560" s="33">
        <f>IF(C560="","",X560&amp;"|"&amp;A560)</f>
        <v/>
      </c>
      <c r="AL560" s="47">
        <f>IF(C560="",0,IF(COUNTIFS(VC_cle,AK560)=0,0,MAX(INDEX((VC_cle=AK560)*(VC_date+ROW(VC_date)/100000),0))))</f>
        <v/>
      </c>
      <c r="AM560" s="47">
        <f>IF(AND(C560&lt;&gt;"",N(AB560)&gt;0,D560&lt;&gt;"Perdu"),AB560+ROW()/100000,0)</f>
        <v/>
      </c>
      <c r="AN560" s="48">
        <f>IF(N(AF560)&gt;0,ROUND(AF560,0)+ROW()/1000000,0)</f>
        <v/>
      </c>
    </row>
    <row r="561" ht="18" customHeight="1">
      <c r="A561" s="39" t="n">
        <v>556</v>
      </c>
      <c r="B561" s="33">
        <f>IF(C561="","",IF(X561="À RENSEIGNER","GIC",X561)&amp;"-"&amp;TEXT(A561,"000"))</f>
        <v/>
      </c>
      <c r="C561" s="36" t="n"/>
      <c r="D561" s="34">
        <f>IF(C561="","",IF(U561="☑ Oui","Perdu",IF(AD561&lt;&gt;"","Client","Prospect")))</f>
        <v/>
      </c>
      <c r="E561" s="36" t="n"/>
      <c r="F561" s="36" t="n"/>
      <c r="G561" s="44" t="n"/>
      <c r="H561" s="44" t="n"/>
      <c r="I561" s="36" t="n"/>
      <c r="J561" s="36" t="n"/>
      <c r="K561" s="41" t="n"/>
      <c r="L561" s="41" t="n"/>
      <c r="M561" s="36" t="n"/>
      <c r="N561" s="36" t="n"/>
      <c r="O561" s="32" t="n"/>
      <c r="P561" s="36" t="n"/>
      <c r="Q561" s="36" t="n"/>
      <c r="R561" s="34">
        <f>IF(P561="","",IFERROR(VLOOKUP(P561,T_Produits,2,FALSE),""))</f>
        <v/>
      </c>
      <c r="S561" s="36" t="n"/>
      <c r="T561" s="43" t="n"/>
      <c r="U561" s="43" t="n"/>
      <c r="V561" s="36" t="n"/>
      <c r="W561" s="36" t="n"/>
      <c r="X561" s="33">
        <f>IF(C561="","",Commercial_Id)</f>
        <v/>
      </c>
      <c r="Y561" s="33">
        <f>IF(E561="","",IF(E561="Particulier / ménage","Particulier","Entreprise"))</f>
        <v/>
      </c>
      <c r="Z561" s="39">
        <f>IF(C561="","",COUNTIFS(VC_cle,AK561,VC_type,"Visite sur place"))</f>
        <v/>
      </c>
      <c r="AA561" s="46">
        <f>IF(AL561=0,"",IF(INT(AL561)=0,"",INT(AL561)))</f>
        <v/>
      </c>
      <c r="AB561" s="46">
        <f>IF(AL561=0,"",IF(INDEX(VC_actiondate,ROUND(MOD(AL561,1)*100000,0)-5)=0,"",INDEX(VC_actiondate,ROUND(MOD(AL561,1)*100000,0)-5)))</f>
        <v/>
      </c>
      <c r="AC561" s="33">
        <f>IF(AL561=0,"",INDEX(VC_actiontexte,ROUND(MOD(AL561,1)*100000,0)-5)&amp;"")</f>
        <v/>
      </c>
      <c r="AD561" s="46">
        <f>IF(C561="","",IF(COUNTIFS(Cmd_cle,AK561,Cmd_dateca,"&gt;0")=0,"",SMALL(INDEX(Cmd_dateca+(((Cmd_cle&lt;&gt;AK561)+(Cmd_dateca=0))&gt;0)*1000000,0),1)))</f>
        <v/>
      </c>
      <c r="AE561" s="46">
        <f>IF(C561="","",IF(COUNTIFS(Cmd_cle,AK561,Cmd_dateca,"&gt;0")=0,"",MAX(INDEX((Cmd_cle=AK561)*Cmd_dateca,0))))</f>
        <v/>
      </c>
      <c r="AF561" s="40">
        <f>IF(C561="","",SUMIFS(Cmd_montant,Cmd_cle,AK561,Cmd_dateca,"&gt;0"))</f>
        <v/>
      </c>
      <c r="AG561" s="40">
        <f>IF(C561="","",SUMIFS(Enc_montant,Enc_cle,AK561))</f>
        <v/>
      </c>
      <c r="AH561" s="40">
        <f>IF(C561="","",AF561-AG561)</f>
        <v/>
      </c>
      <c r="AI561" s="33">
        <f>IF(C561="","",IF(D561="Perdu","",IF(AND(AB561&lt;&gt;"",N(AB561)&lt;TODAY()),"Action en retard",IF(AND(D561="Client",AE561&lt;&gt;"",TODAY()-N(AE561)&gt;P_JoursInactif),"Client inactif",IF(AND(D561="Prospect",Z561=0,O561&lt;&gt;"",TODAY()-N(O561)&gt;P_JoursNonVisite),"Jamais visité","")))))</f>
        <v/>
      </c>
      <c r="AJ561" s="33">
        <f>IF(C561="","",C561&amp;" ["&amp;TEXT(A561,"000")&amp;"]")</f>
        <v/>
      </c>
      <c r="AK561" s="33">
        <f>IF(C561="","",X561&amp;"|"&amp;A561)</f>
        <v/>
      </c>
      <c r="AL561" s="47">
        <f>IF(C561="",0,IF(COUNTIFS(VC_cle,AK561)=0,0,MAX(INDEX((VC_cle=AK561)*(VC_date+ROW(VC_date)/100000),0))))</f>
        <v/>
      </c>
      <c r="AM561" s="47">
        <f>IF(AND(C561&lt;&gt;"",N(AB561)&gt;0,D561&lt;&gt;"Perdu"),AB561+ROW()/100000,0)</f>
        <v/>
      </c>
      <c r="AN561" s="48">
        <f>IF(N(AF561)&gt;0,ROUND(AF561,0)+ROW()/1000000,0)</f>
        <v/>
      </c>
    </row>
    <row r="562" ht="18" customHeight="1">
      <c r="A562" s="39" t="n">
        <v>557</v>
      </c>
      <c r="B562" s="33">
        <f>IF(C562="","",IF(X562="À RENSEIGNER","GIC",X562)&amp;"-"&amp;TEXT(A562,"000"))</f>
        <v/>
      </c>
      <c r="C562" s="36" t="n"/>
      <c r="D562" s="34">
        <f>IF(C562="","",IF(U562="☑ Oui","Perdu",IF(AD562&lt;&gt;"","Client","Prospect")))</f>
        <v/>
      </c>
      <c r="E562" s="36" t="n"/>
      <c r="F562" s="36" t="n"/>
      <c r="G562" s="44" t="n"/>
      <c r="H562" s="44" t="n"/>
      <c r="I562" s="36" t="n"/>
      <c r="J562" s="36" t="n"/>
      <c r="K562" s="41" t="n"/>
      <c r="L562" s="41" t="n"/>
      <c r="M562" s="36" t="n"/>
      <c r="N562" s="36" t="n"/>
      <c r="O562" s="32" t="n"/>
      <c r="P562" s="36" t="n"/>
      <c r="Q562" s="36" t="n"/>
      <c r="R562" s="34">
        <f>IF(P562="","",IFERROR(VLOOKUP(P562,T_Produits,2,FALSE),""))</f>
        <v/>
      </c>
      <c r="S562" s="36" t="n"/>
      <c r="T562" s="43" t="n"/>
      <c r="U562" s="43" t="n"/>
      <c r="V562" s="36" t="n"/>
      <c r="W562" s="36" t="n"/>
      <c r="X562" s="33">
        <f>IF(C562="","",Commercial_Id)</f>
        <v/>
      </c>
      <c r="Y562" s="33">
        <f>IF(E562="","",IF(E562="Particulier / ménage","Particulier","Entreprise"))</f>
        <v/>
      </c>
      <c r="Z562" s="39">
        <f>IF(C562="","",COUNTIFS(VC_cle,AK562,VC_type,"Visite sur place"))</f>
        <v/>
      </c>
      <c r="AA562" s="46">
        <f>IF(AL562=0,"",IF(INT(AL562)=0,"",INT(AL562)))</f>
        <v/>
      </c>
      <c r="AB562" s="46">
        <f>IF(AL562=0,"",IF(INDEX(VC_actiondate,ROUND(MOD(AL562,1)*100000,0)-5)=0,"",INDEX(VC_actiondate,ROUND(MOD(AL562,1)*100000,0)-5)))</f>
        <v/>
      </c>
      <c r="AC562" s="33">
        <f>IF(AL562=0,"",INDEX(VC_actiontexte,ROUND(MOD(AL562,1)*100000,0)-5)&amp;"")</f>
        <v/>
      </c>
      <c r="AD562" s="46">
        <f>IF(C562="","",IF(COUNTIFS(Cmd_cle,AK562,Cmd_dateca,"&gt;0")=0,"",SMALL(INDEX(Cmd_dateca+(((Cmd_cle&lt;&gt;AK562)+(Cmd_dateca=0))&gt;0)*1000000,0),1)))</f>
        <v/>
      </c>
      <c r="AE562" s="46">
        <f>IF(C562="","",IF(COUNTIFS(Cmd_cle,AK562,Cmd_dateca,"&gt;0")=0,"",MAX(INDEX((Cmd_cle=AK562)*Cmd_dateca,0))))</f>
        <v/>
      </c>
      <c r="AF562" s="40">
        <f>IF(C562="","",SUMIFS(Cmd_montant,Cmd_cle,AK562,Cmd_dateca,"&gt;0"))</f>
        <v/>
      </c>
      <c r="AG562" s="40">
        <f>IF(C562="","",SUMIFS(Enc_montant,Enc_cle,AK562))</f>
        <v/>
      </c>
      <c r="AH562" s="40">
        <f>IF(C562="","",AF562-AG562)</f>
        <v/>
      </c>
      <c r="AI562" s="33">
        <f>IF(C562="","",IF(D562="Perdu","",IF(AND(AB562&lt;&gt;"",N(AB562)&lt;TODAY()),"Action en retard",IF(AND(D562="Client",AE562&lt;&gt;"",TODAY()-N(AE562)&gt;P_JoursInactif),"Client inactif",IF(AND(D562="Prospect",Z562=0,O562&lt;&gt;"",TODAY()-N(O562)&gt;P_JoursNonVisite),"Jamais visité","")))))</f>
        <v/>
      </c>
      <c r="AJ562" s="33">
        <f>IF(C562="","",C562&amp;" ["&amp;TEXT(A562,"000")&amp;"]")</f>
        <v/>
      </c>
      <c r="AK562" s="33">
        <f>IF(C562="","",X562&amp;"|"&amp;A562)</f>
        <v/>
      </c>
      <c r="AL562" s="47">
        <f>IF(C562="",0,IF(COUNTIFS(VC_cle,AK562)=0,0,MAX(INDEX((VC_cle=AK562)*(VC_date+ROW(VC_date)/100000),0))))</f>
        <v/>
      </c>
      <c r="AM562" s="47">
        <f>IF(AND(C562&lt;&gt;"",N(AB562)&gt;0,D562&lt;&gt;"Perdu"),AB562+ROW()/100000,0)</f>
        <v/>
      </c>
      <c r="AN562" s="48">
        <f>IF(N(AF562)&gt;0,ROUND(AF562,0)+ROW()/1000000,0)</f>
        <v/>
      </c>
    </row>
    <row r="563" ht="18" customHeight="1">
      <c r="A563" s="39" t="n">
        <v>558</v>
      </c>
      <c r="B563" s="33">
        <f>IF(C563="","",IF(X563="À RENSEIGNER","GIC",X563)&amp;"-"&amp;TEXT(A563,"000"))</f>
        <v/>
      </c>
      <c r="C563" s="36" t="n"/>
      <c r="D563" s="34">
        <f>IF(C563="","",IF(U563="☑ Oui","Perdu",IF(AD563&lt;&gt;"","Client","Prospect")))</f>
        <v/>
      </c>
      <c r="E563" s="36" t="n"/>
      <c r="F563" s="36" t="n"/>
      <c r="G563" s="44" t="n"/>
      <c r="H563" s="44" t="n"/>
      <c r="I563" s="36" t="n"/>
      <c r="J563" s="36" t="n"/>
      <c r="K563" s="41" t="n"/>
      <c r="L563" s="41" t="n"/>
      <c r="M563" s="36" t="n"/>
      <c r="N563" s="36" t="n"/>
      <c r="O563" s="32" t="n"/>
      <c r="P563" s="36" t="n"/>
      <c r="Q563" s="36" t="n"/>
      <c r="R563" s="34">
        <f>IF(P563="","",IFERROR(VLOOKUP(P563,T_Produits,2,FALSE),""))</f>
        <v/>
      </c>
      <c r="S563" s="36" t="n"/>
      <c r="T563" s="43" t="n"/>
      <c r="U563" s="43" t="n"/>
      <c r="V563" s="36" t="n"/>
      <c r="W563" s="36" t="n"/>
      <c r="X563" s="33">
        <f>IF(C563="","",Commercial_Id)</f>
        <v/>
      </c>
      <c r="Y563" s="33">
        <f>IF(E563="","",IF(E563="Particulier / ménage","Particulier","Entreprise"))</f>
        <v/>
      </c>
      <c r="Z563" s="39">
        <f>IF(C563="","",COUNTIFS(VC_cle,AK563,VC_type,"Visite sur place"))</f>
        <v/>
      </c>
      <c r="AA563" s="46">
        <f>IF(AL563=0,"",IF(INT(AL563)=0,"",INT(AL563)))</f>
        <v/>
      </c>
      <c r="AB563" s="46">
        <f>IF(AL563=0,"",IF(INDEX(VC_actiondate,ROUND(MOD(AL563,1)*100000,0)-5)=0,"",INDEX(VC_actiondate,ROUND(MOD(AL563,1)*100000,0)-5)))</f>
        <v/>
      </c>
      <c r="AC563" s="33">
        <f>IF(AL563=0,"",INDEX(VC_actiontexte,ROUND(MOD(AL563,1)*100000,0)-5)&amp;"")</f>
        <v/>
      </c>
      <c r="AD563" s="46">
        <f>IF(C563="","",IF(COUNTIFS(Cmd_cle,AK563,Cmd_dateca,"&gt;0")=0,"",SMALL(INDEX(Cmd_dateca+(((Cmd_cle&lt;&gt;AK563)+(Cmd_dateca=0))&gt;0)*1000000,0),1)))</f>
        <v/>
      </c>
      <c r="AE563" s="46">
        <f>IF(C563="","",IF(COUNTIFS(Cmd_cle,AK563,Cmd_dateca,"&gt;0")=0,"",MAX(INDEX((Cmd_cle=AK563)*Cmd_dateca,0))))</f>
        <v/>
      </c>
      <c r="AF563" s="40">
        <f>IF(C563="","",SUMIFS(Cmd_montant,Cmd_cle,AK563,Cmd_dateca,"&gt;0"))</f>
        <v/>
      </c>
      <c r="AG563" s="40">
        <f>IF(C563="","",SUMIFS(Enc_montant,Enc_cle,AK563))</f>
        <v/>
      </c>
      <c r="AH563" s="40">
        <f>IF(C563="","",AF563-AG563)</f>
        <v/>
      </c>
      <c r="AI563" s="33">
        <f>IF(C563="","",IF(D563="Perdu","",IF(AND(AB563&lt;&gt;"",N(AB563)&lt;TODAY()),"Action en retard",IF(AND(D563="Client",AE563&lt;&gt;"",TODAY()-N(AE563)&gt;P_JoursInactif),"Client inactif",IF(AND(D563="Prospect",Z563=0,O563&lt;&gt;"",TODAY()-N(O563)&gt;P_JoursNonVisite),"Jamais visité","")))))</f>
        <v/>
      </c>
      <c r="AJ563" s="33">
        <f>IF(C563="","",C563&amp;" ["&amp;TEXT(A563,"000")&amp;"]")</f>
        <v/>
      </c>
      <c r="AK563" s="33">
        <f>IF(C563="","",X563&amp;"|"&amp;A563)</f>
        <v/>
      </c>
      <c r="AL563" s="47">
        <f>IF(C563="",0,IF(COUNTIFS(VC_cle,AK563)=0,0,MAX(INDEX((VC_cle=AK563)*(VC_date+ROW(VC_date)/100000),0))))</f>
        <v/>
      </c>
      <c r="AM563" s="47">
        <f>IF(AND(C563&lt;&gt;"",N(AB563)&gt;0,D563&lt;&gt;"Perdu"),AB563+ROW()/100000,0)</f>
        <v/>
      </c>
      <c r="AN563" s="48">
        <f>IF(N(AF563)&gt;0,ROUND(AF563,0)+ROW()/1000000,0)</f>
        <v/>
      </c>
    </row>
    <row r="564" ht="18" customHeight="1">
      <c r="A564" s="39" t="n">
        <v>559</v>
      </c>
      <c r="B564" s="33">
        <f>IF(C564="","",IF(X564="À RENSEIGNER","GIC",X564)&amp;"-"&amp;TEXT(A564,"000"))</f>
        <v/>
      </c>
      <c r="C564" s="36" t="n"/>
      <c r="D564" s="34">
        <f>IF(C564="","",IF(U564="☑ Oui","Perdu",IF(AD564&lt;&gt;"","Client","Prospect")))</f>
        <v/>
      </c>
      <c r="E564" s="36" t="n"/>
      <c r="F564" s="36" t="n"/>
      <c r="G564" s="44" t="n"/>
      <c r="H564" s="44" t="n"/>
      <c r="I564" s="36" t="n"/>
      <c r="J564" s="36" t="n"/>
      <c r="K564" s="41" t="n"/>
      <c r="L564" s="41" t="n"/>
      <c r="M564" s="36" t="n"/>
      <c r="N564" s="36" t="n"/>
      <c r="O564" s="32" t="n"/>
      <c r="P564" s="36" t="n"/>
      <c r="Q564" s="36" t="n"/>
      <c r="R564" s="34">
        <f>IF(P564="","",IFERROR(VLOOKUP(P564,T_Produits,2,FALSE),""))</f>
        <v/>
      </c>
      <c r="S564" s="36" t="n"/>
      <c r="T564" s="43" t="n"/>
      <c r="U564" s="43" t="n"/>
      <c r="V564" s="36" t="n"/>
      <c r="W564" s="36" t="n"/>
      <c r="X564" s="33">
        <f>IF(C564="","",Commercial_Id)</f>
        <v/>
      </c>
      <c r="Y564" s="33">
        <f>IF(E564="","",IF(E564="Particulier / ménage","Particulier","Entreprise"))</f>
        <v/>
      </c>
      <c r="Z564" s="39">
        <f>IF(C564="","",COUNTIFS(VC_cle,AK564,VC_type,"Visite sur place"))</f>
        <v/>
      </c>
      <c r="AA564" s="46">
        <f>IF(AL564=0,"",IF(INT(AL564)=0,"",INT(AL564)))</f>
        <v/>
      </c>
      <c r="AB564" s="46">
        <f>IF(AL564=0,"",IF(INDEX(VC_actiondate,ROUND(MOD(AL564,1)*100000,0)-5)=0,"",INDEX(VC_actiondate,ROUND(MOD(AL564,1)*100000,0)-5)))</f>
        <v/>
      </c>
      <c r="AC564" s="33">
        <f>IF(AL564=0,"",INDEX(VC_actiontexte,ROUND(MOD(AL564,1)*100000,0)-5)&amp;"")</f>
        <v/>
      </c>
      <c r="AD564" s="46">
        <f>IF(C564="","",IF(COUNTIFS(Cmd_cle,AK564,Cmd_dateca,"&gt;0")=0,"",SMALL(INDEX(Cmd_dateca+(((Cmd_cle&lt;&gt;AK564)+(Cmd_dateca=0))&gt;0)*1000000,0),1)))</f>
        <v/>
      </c>
      <c r="AE564" s="46">
        <f>IF(C564="","",IF(COUNTIFS(Cmd_cle,AK564,Cmd_dateca,"&gt;0")=0,"",MAX(INDEX((Cmd_cle=AK564)*Cmd_dateca,0))))</f>
        <v/>
      </c>
      <c r="AF564" s="40">
        <f>IF(C564="","",SUMIFS(Cmd_montant,Cmd_cle,AK564,Cmd_dateca,"&gt;0"))</f>
        <v/>
      </c>
      <c r="AG564" s="40">
        <f>IF(C564="","",SUMIFS(Enc_montant,Enc_cle,AK564))</f>
        <v/>
      </c>
      <c r="AH564" s="40">
        <f>IF(C564="","",AF564-AG564)</f>
        <v/>
      </c>
      <c r="AI564" s="33">
        <f>IF(C564="","",IF(D564="Perdu","",IF(AND(AB564&lt;&gt;"",N(AB564)&lt;TODAY()),"Action en retard",IF(AND(D564="Client",AE564&lt;&gt;"",TODAY()-N(AE564)&gt;P_JoursInactif),"Client inactif",IF(AND(D564="Prospect",Z564=0,O564&lt;&gt;"",TODAY()-N(O564)&gt;P_JoursNonVisite),"Jamais visité","")))))</f>
        <v/>
      </c>
      <c r="AJ564" s="33">
        <f>IF(C564="","",C564&amp;" ["&amp;TEXT(A564,"000")&amp;"]")</f>
        <v/>
      </c>
      <c r="AK564" s="33">
        <f>IF(C564="","",X564&amp;"|"&amp;A564)</f>
        <v/>
      </c>
      <c r="AL564" s="47">
        <f>IF(C564="",0,IF(COUNTIFS(VC_cle,AK564)=0,0,MAX(INDEX((VC_cle=AK564)*(VC_date+ROW(VC_date)/100000),0))))</f>
        <v/>
      </c>
      <c r="AM564" s="47">
        <f>IF(AND(C564&lt;&gt;"",N(AB564)&gt;0,D564&lt;&gt;"Perdu"),AB564+ROW()/100000,0)</f>
        <v/>
      </c>
      <c r="AN564" s="48">
        <f>IF(N(AF564)&gt;0,ROUND(AF564,0)+ROW()/1000000,0)</f>
        <v/>
      </c>
    </row>
    <row r="565" ht="18" customHeight="1">
      <c r="A565" s="39" t="n">
        <v>560</v>
      </c>
      <c r="B565" s="33">
        <f>IF(C565="","",IF(X565="À RENSEIGNER","GIC",X565)&amp;"-"&amp;TEXT(A565,"000"))</f>
        <v/>
      </c>
      <c r="C565" s="36" t="n"/>
      <c r="D565" s="34">
        <f>IF(C565="","",IF(U565="☑ Oui","Perdu",IF(AD565&lt;&gt;"","Client","Prospect")))</f>
        <v/>
      </c>
      <c r="E565" s="36" t="n"/>
      <c r="F565" s="36" t="n"/>
      <c r="G565" s="44" t="n"/>
      <c r="H565" s="44" t="n"/>
      <c r="I565" s="36" t="n"/>
      <c r="J565" s="36" t="n"/>
      <c r="K565" s="41" t="n"/>
      <c r="L565" s="41" t="n"/>
      <c r="M565" s="36" t="n"/>
      <c r="N565" s="36" t="n"/>
      <c r="O565" s="32" t="n"/>
      <c r="P565" s="36" t="n"/>
      <c r="Q565" s="36" t="n"/>
      <c r="R565" s="34">
        <f>IF(P565="","",IFERROR(VLOOKUP(P565,T_Produits,2,FALSE),""))</f>
        <v/>
      </c>
      <c r="S565" s="36" t="n"/>
      <c r="T565" s="43" t="n"/>
      <c r="U565" s="43" t="n"/>
      <c r="V565" s="36" t="n"/>
      <c r="W565" s="36" t="n"/>
      <c r="X565" s="33">
        <f>IF(C565="","",Commercial_Id)</f>
        <v/>
      </c>
      <c r="Y565" s="33">
        <f>IF(E565="","",IF(E565="Particulier / ménage","Particulier","Entreprise"))</f>
        <v/>
      </c>
      <c r="Z565" s="39">
        <f>IF(C565="","",COUNTIFS(VC_cle,AK565,VC_type,"Visite sur place"))</f>
        <v/>
      </c>
      <c r="AA565" s="46">
        <f>IF(AL565=0,"",IF(INT(AL565)=0,"",INT(AL565)))</f>
        <v/>
      </c>
      <c r="AB565" s="46">
        <f>IF(AL565=0,"",IF(INDEX(VC_actiondate,ROUND(MOD(AL565,1)*100000,0)-5)=0,"",INDEX(VC_actiondate,ROUND(MOD(AL565,1)*100000,0)-5)))</f>
        <v/>
      </c>
      <c r="AC565" s="33">
        <f>IF(AL565=0,"",INDEX(VC_actiontexte,ROUND(MOD(AL565,1)*100000,0)-5)&amp;"")</f>
        <v/>
      </c>
      <c r="AD565" s="46">
        <f>IF(C565="","",IF(COUNTIFS(Cmd_cle,AK565,Cmd_dateca,"&gt;0")=0,"",SMALL(INDEX(Cmd_dateca+(((Cmd_cle&lt;&gt;AK565)+(Cmd_dateca=0))&gt;0)*1000000,0),1)))</f>
        <v/>
      </c>
      <c r="AE565" s="46">
        <f>IF(C565="","",IF(COUNTIFS(Cmd_cle,AK565,Cmd_dateca,"&gt;0")=0,"",MAX(INDEX((Cmd_cle=AK565)*Cmd_dateca,0))))</f>
        <v/>
      </c>
      <c r="AF565" s="40">
        <f>IF(C565="","",SUMIFS(Cmd_montant,Cmd_cle,AK565,Cmd_dateca,"&gt;0"))</f>
        <v/>
      </c>
      <c r="AG565" s="40">
        <f>IF(C565="","",SUMIFS(Enc_montant,Enc_cle,AK565))</f>
        <v/>
      </c>
      <c r="AH565" s="40">
        <f>IF(C565="","",AF565-AG565)</f>
        <v/>
      </c>
      <c r="AI565" s="33">
        <f>IF(C565="","",IF(D565="Perdu","",IF(AND(AB565&lt;&gt;"",N(AB565)&lt;TODAY()),"Action en retard",IF(AND(D565="Client",AE565&lt;&gt;"",TODAY()-N(AE565)&gt;P_JoursInactif),"Client inactif",IF(AND(D565="Prospect",Z565=0,O565&lt;&gt;"",TODAY()-N(O565)&gt;P_JoursNonVisite),"Jamais visité","")))))</f>
        <v/>
      </c>
      <c r="AJ565" s="33">
        <f>IF(C565="","",C565&amp;" ["&amp;TEXT(A565,"000")&amp;"]")</f>
        <v/>
      </c>
      <c r="AK565" s="33">
        <f>IF(C565="","",X565&amp;"|"&amp;A565)</f>
        <v/>
      </c>
      <c r="AL565" s="47">
        <f>IF(C565="",0,IF(COUNTIFS(VC_cle,AK565)=0,0,MAX(INDEX((VC_cle=AK565)*(VC_date+ROW(VC_date)/100000),0))))</f>
        <v/>
      </c>
      <c r="AM565" s="47">
        <f>IF(AND(C565&lt;&gt;"",N(AB565)&gt;0,D565&lt;&gt;"Perdu"),AB565+ROW()/100000,0)</f>
        <v/>
      </c>
      <c r="AN565" s="48">
        <f>IF(N(AF565)&gt;0,ROUND(AF565,0)+ROW()/1000000,0)</f>
        <v/>
      </c>
    </row>
    <row r="566" ht="18" customHeight="1">
      <c r="A566" s="39" t="n">
        <v>561</v>
      </c>
      <c r="B566" s="33">
        <f>IF(C566="","",IF(X566="À RENSEIGNER","GIC",X566)&amp;"-"&amp;TEXT(A566,"000"))</f>
        <v/>
      </c>
      <c r="C566" s="36" t="n"/>
      <c r="D566" s="34">
        <f>IF(C566="","",IF(U566="☑ Oui","Perdu",IF(AD566&lt;&gt;"","Client","Prospect")))</f>
        <v/>
      </c>
      <c r="E566" s="36" t="n"/>
      <c r="F566" s="36" t="n"/>
      <c r="G566" s="44" t="n"/>
      <c r="H566" s="44" t="n"/>
      <c r="I566" s="36" t="n"/>
      <c r="J566" s="36" t="n"/>
      <c r="K566" s="41" t="n"/>
      <c r="L566" s="41" t="n"/>
      <c r="M566" s="36" t="n"/>
      <c r="N566" s="36" t="n"/>
      <c r="O566" s="32" t="n"/>
      <c r="P566" s="36" t="n"/>
      <c r="Q566" s="36" t="n"/>
      <c r="R566" s="34">
        <f>IF(P566="","",IFERROR(VLOOKUP(P566,T_Produits,2,FALSE),""))</f>
        <v/>
      </c>
      <c r="S566" s="36" t="n"/>
      <c r="T566" s="43" t="n"/>
      <c r="U566" s="43" t="n"/>
      <c r="V566" s="36" t="n"/>
      <c r="W566" s="36" t="n"/>
      <c r="X566" s="33">
        <f>IF(C566="","",Commercial_Id)</f>
        <v/>
      </c>
      <c r="Y566" s="33">
        <f>IF(E566="","",IF(E566="Particulier / ménage","Particulier","Entreprise"))</f>
        <v/>
      </c>
      <c r="Z566" s="39">
        <f>IF(C566="","",COUNTIFS(VC_cle,AK566,VC_type,"Visite sur place"))</f>
        <v/>
      </c>
      <c r="AA566" s="46">
        <f>IF(AL566=0,"",IF(INT(AL566)=0,"",INT(AL566)))</f>
        <v/>
      </c>
      <c r="AB566" s="46">
        <f>IF(AL566=0,"",IF(INDEX(VC_actiondate,ROUND(MOD(AL566,1)*100000,0)-5)=0,"",INDEX(VC_actiondate,ROUND(MOD(AL566,1)*100000,0)-5)))</f>
        <v/>
      </c>
      <c r="AC566" s="33">
        <f>IF(AL566=0,"",INDEX(VC_actiontexte,ROUND(MOD(AL566,1)*100000,0)-5)&amp;"")</f>
        <v/>
      </c>
      <c r="AD566" s="46">
        <f>IF(C566="","",IF(COUNTIFS(Cmd_cle,AK566,Cmd_dateca,"&gt;0")=0,"",SMALL(INDEX(Cmd_dateca+(((Cmd_cle&lt;&gt;AK566)+(Cmd_dateca=0))&gt;0)*1000000,0),1)))</f>
        <v/>
      </c>
      <c r="AE566" s="46">
        <f>IF(C566="","",IF(COUNTIFS(Cmd_cle,AK566,Cmd_dateca,"&gt;0")=0,"",MAX(INDEX((Cmd_cle=AK566)*Cmd_dateca,0))))</f>
        <v/>
      </c>
      <c r="AF566" s="40">
        <f>IF(C566="","",SUMIFS(Cmd_montant,Cmd_cle,AK566,Cmd_dateca,"&gt;0"))</f>
        <v/>
      </c>
      <c r="AG566" s="40">
        <f>IF(C566="","",SUMIFS(Enc_montant,Enc_cle,AK566))</f>
        <v/>
      </c>
      <c r="AH566" s="40">
        <f>IF(C566="","",AF566-AG566)</f>
        <v/>
      </c>
      <c r="AI566" s="33">
        <f>IF(C566="","",IF(D566="Perdu","",IF(AND(AB566&lt;&gt;"",N(AB566)&lt;TODAY()),"Action en retard",IF(AND(D566="Client",AE566&lt;&gt;"",TODAY()-N(AE566)&gt;P_JoursInactif),"Client inactif",IF(AND(D566="Prospect",Z566=0,O566&lt;&gt;"",TODAY()-N(O566)&gt;P_JoursNonVisite),"Jamais visité","")))))</f>
        <v/>
      </c>
      <c r="AJ566" s="33">
        <f>IF(C566="","",C566&amp;" ["&amp;TEXT(A566,"000")&amp;"]")</f>
        <v/>
      </c>
      <c r="AK566" s="33">
        <f>IF(C566="","",X566&amp;"|"&amp;A566)</f>
        <v/>
      </c>
      <c r="AL566" s="47">
        <f>IF(C566="",0,IF(COUNTIFS(VC_cle,AK566)=0,0,MAX(INDEX((VC_cle=AK566)*(VC_date+ROW(VC_date)/100000),0))))</f>
        <v/>
      </c>
      <c r="AM566" s="47">
        <f>IF(AND(C566&lt;&gt;"",N(AB566)&gt;0,D566&lt;&gt;"Perdu"),AB566+ROW()/100000,0)</f>
        <v/>
      </c>
      <c r="AN566" s="48">
        <f>IF(N(AF566)&gt;0,ROUND(AF566,0)+ROW()/1000000,0)</f>
        <v/>
      </c>
    </row>
    <row r="567" ht="18" customHeight="1">
      <c r="A567" s="39" t="n">
        <v>562</v>
      </c>
      <c r="B567" s="33">
        <f>IF(C567="","",IF(X567="À RENSEIGNER","GIC",X567)&amp;"-"&amp;TEXT(A567,"000"))</f>
        <v/>
      </c>
      <c r="C567" s="36" t="n"/>
      <c r="D567" s="34">
        <f>IF(C567="","",IF(U567="☑ Oui","Perdu",IF(AD567&lt;&gt;"","Client","Prospect")))</f>
        <v/>
      </c>
      <c r="E567" s="36" t="n"/>
      <c r="F567" s="36" t="n"/>
      <c r="G567" s="44" t="n"/>
      <c r="H567" s="44" t="n"/>
      <c r="I567" s="36" t="n"/>
      <c r="J567" s="36" t="n"/>
      <c r="K567" s="41" t="n"/>
      <c r="L567" s="41" t="n"/>
      <c r="M567" s="36" t="n"/>
      <c r="N567" s="36" t="n"/>
      <c r="O567" s="32" t="n"/>
      <c r="P567" s="36" t="n"/>
      <c r="Q567" s="36" t="n"/>
      <c r="R567" s="34">
        <f>IF(P567="","",IFERROR(VLOOKUP(P567,T_Produits,2,FALSE),""))</f>
        <v/>
      </c>
      <c r="S567" s="36" t="n"/>
      <c r="T567" s="43" t="n"/>
      <c r="U567" s="43" t="n"/>
      <c r="V567" s="36" t="n"/>
      <c r="W567" s="36" t="n"/>
      <c r="X567" s="33">
        <f>IF(C567="","",Commercial_Id)</f>
        <v/>
      </c>
      <c r="Y567" s="33">
        <f>IF(E567="","",IF(E567="Particulier / ménage","Particulier","Entreprise"))</f>
        <v/>
      </c>
      <c r="Z567" s="39">
        <f>IF(C567="","",COUNTIFS(VC_cle,AK567,VC_type,"Visite sur place"))</f>
        <v/>
      </c>
      <c r="AA567" s="46">
        <f>IF(AL567=0,"",IF(INT(AL567)=0,"",INT(AL567)))</f>
        <v/>
      </c>
      <c r="AB567" s="46">
        <f>IF(AL567=0,"",IF(INDEX(VC_actiondate,ROUND(MOD(AL567,1)*100000,0)-5)=0,"",INDEX(VC_actiondate,ROUND(MOD(AL567,1)*100000,0)-5)))</f>
        <v/>
      </c>
      <c r="AC567" s="33">
        <f>IF(AL567=0,"",INDEX(VC_actiontexte,ROUND(MOD(AL567,1)*100000,0)-5)&amp;"")</f>
        <v/>
      </c>
      <c r="AD567" s="46">
        <f>IF(C567="","",IF(COUNTIFS(Cmd_cle,AK567,Cmd_dateca,"&gt;0")=0,"",SMALL(INDEX(Cmd_dateca+(((Cmd_cle&lt;&gt;AK567)+(Cmd_dateca=0))&gt;0)*1000000,0),1)))</f>
        <v/>
      </c>
      <c r="AE567" s="46">
        <f>IF(C567="","",IF(COUNTIFS(Cmd_cle,AK567,Cmd_dateca,"&gt;0")=0,"",MAX(INDEX((Cmd_cle=AK567)*Cmd_dateca,0))))</f>
        <v/>
      </c>
      <c r="AF567" s="40">
        <f>IF(C567="","",SUMIFS(Cmd_montant,Cmd_cle,AK567,Cmd_dateca,"&gt;0"))</f>
        <v/>
      </c>
      <c r="AG567" s="40">
        <f>IF(C567="","",SUMIFS(Enc_montant,Enc_cle,AK567))</f>
        <v/>
      </c>
      <c r="AH567" s="40">
        <f>IF(C567="","",AF567-AG567)</f>
        <v/>
      </c>
      <c r="AI567" s="33">
        <f>IF(C567="","",IF(D567="Perdu","",IF(AND(AB567&lt;&gt;"",N(AB567)&lt;TODAY()),"Action en retard",IF(AND(D567="Client",AE567&lt;&gt;"",TODAY()-N(AE567)&gt;P_JoursInactif),"Client inactif",IF(AND(D567="Prospect",Z567=0,O567&lt;&gt;"",TODAY()-N(O567)&gt;P_JoursNonVisite),"Jamais visité","")))))</f>
        <v/>
      </c>
      <c r="AJ567" s="33">
        <f>IF(C567="","",C567&amp;" ["&amp;TEXT(A567,"000")&amp;"]")</f>
        <v/>
      </c>
      <c r="AK567" s="33">
        <f>IF(C567="","",X567&amp;"|"&amp;A567)</f>
        <v/>
      </c>
      <c r="AL567" s="47">
        <f>IF(C567="",0,IF(COUNTIFS(VC_cle,AK567)=0,0,MAX(INDEX((VC_cle=AK567)*(VC_date+ROW(VC_date)/100000),0))))</f>
        <v/>
      </c>
      <c r="AM567" s="47">
        <f>IF(AND(C567&lt;&gt;"",N(AB567)&gt;0,D567&lt;&gt;"Perdu"),AB567+ROW()/100000,0)</f>
        <v/>
      </c>
      <c r="AN567" s="48">
        <f>IF(N(AF567)&gt;0,ROUND(AF567,0)+ROW()/1000000,0)</f>
        <v/>
      </c>
    </row>
    <row r="568" ht="18" customHeight="1">
      <c r="A568" s="39" t="n">
        <v>563</v>
      </c>
      <c r="B568" s="33">
        <f>IF(C568="","",IF(X568="À RENSEIGNER","GIC",X568)&amp;"-"&amp;TEXT(A568,"000"))</f>
        <v/>
      </c>
      <c r="C568" s="36" t="n"/>
      <c r="D568" s="34">
        <f>IF(C568="","",IF(U568="☑ Oui","Perdu",IF(AD568&lt;&gt;"","Client","Prospect")))</f>
        <v/>
      </c>
      <c r="E568" s="36" t="n"/>
      <c r="F568" s="36" t="n"/>
      <c r="G568" s="44" t="n"/>
      <c r="H568" s="44" t="n"/>
      <c r="I568" s="36" t="n"/>
      <c r="J568" s="36" t="n"/>
      <c r="K568" s="41" t="n"/>
      <c r="L568" s="41" t="n"/>
      <c r="M568" s="36" t="n"/>
      <c r="N568" s="36" t="n"/>
      <c r="O568" s="32" t="n"/>
      <c r="P568" s="36" t="n"/>
      <c r="Q568" s="36" t="n"/>
      <c r="R568" s="34">
        <f>IF(P568="","",IFERROR(VLOOKUP(P568,T_Produits,2,FALSE),""))</f>
        <v/>
      </c>
      <c r="S568" s="36" t="n"/>
      <c r="T568" s="43" t="n"/>
      <c r="U568" s="43" t="n"/>
      <c r="V568" s="36" t="n"/>
      <c r="W568" s="36" t="n"/>
      <c r="X568" s="33">
        <f>IF(C568="","",Commercial_Id)</f>
        <v/>
      </c>
      <c r="Y568" s="33">
        <f>IF(E568="","",IF(E568="Particulier / ménage","Particulier","Entreprise"))</f>
        <v/>
      </c>
      <c r="Z568" s="39">
        <f>IF(C568="","",COUNTIFS(VC_cle,AK568,VC_type,"Visite sur place"))</f>
        <v/>
      </c>
      <c r="AA568" s="46">
        <f>IF(AL568=0,"",IF(INT(AL568)=0,"",INT(AL568)))</f>
        <v/>
      </c>
      <c r="AB568" s="46">
        <f>IF(AL568=0,"",IF(INDEX(VC_actiondate,ROUND(MOD(AL568,1)*100000,0)-5)=0,"",INDEX(VC_actiondate,ROUND(MOD(AL568,1)*100000,0)-5)))</f>
        <v/>
      </c>
      <c r="AC568" s="33">
        <f>IF(AL568=0,"",INDEX(VC_actiontexte,ROUND(MOD(AL568,1)*100000,0)-5)&amp;"")</f>
        <v/>
      </c>
      <c r="AD568" s="46">
        <f>IF(C568="","",IF(COUNTIFS(Cmd_cle,AK568,Cmd_dateca,"&gt;0")=0,"",SMALL(INDEX(Cmd_dateca+(((Cmd_cle&lt;&gt;AK568)+(Cmd_dateca=0))&gt;0)*1000000,0),1)))</f>
        <v/>
      </c>
      <c r="AE568" s="46">
        <f>IF(C568="","",IF(COUNTIFS(Cmd_cle,AK568,Cmd_dateca,"&gt;0")=0,"",MAX(INDEX((Cmd_cle=AK568)*Cmd_dateca,0))))</f>
        <v/>
      </c>
      <c r="AF568" s="40">
        <f>IF(C568="","",SUMIFS(Cmd_montant,Cmd_cle,AK568,Cmd_dateca,"&gt;0"))</f>
        <v/>
      </c>
      <c r="AG568" s="40">
        <f>IF(C568="","",SUMIFS(Enc_montant,Enc_cle,AK568))</f>
        <v/>
      </c>
      <c r="AH568" s="40">
        <f>IF(C568="","",AF568-AG568)</f>
        <v/>
      </c>
      <c r="AI568" s="33">
        <f>IF(C568="","",IF(D568="Perdu","",IF(AND(AB568&lt;&gt;"",N(AB568)&lt;TODAY()),"Action en retard",IF(AND(D568="Client",AE568&lt;&gt;"",TODAY()-N(AE568)&gt;P_JoursInactif),"Client inactif",IF(AND(D568="Prospect",Z568=0,O568&lt;&gt;"",TODAY()-N(O568)&gt;P_JoursNonVisite),"Jamais visité","")))))</f>
        <v/>
      </c>
      <c r="AJ568" s="33">
        <f>IF(C568="","",C568&amp;" ["&amp;TEXT(A568,"000")&amp;"]")</f>
        <v/>
      </c>
      <c r="AK568" s="33">
        <f>IF(C568="","",X568&amp;"|"&amp;A568)</f>
        <v/>
      </c>
      <c r="AL568" s="47">
        <f>IF(C568="",0,IF(COUNTIFS(VC_cle,AK568)=0,0,MAX(INDEX((VC_cle=AK568)*(VC_date+ROW(VC_date)/100000),0))))</f>
        <v/>
      </c>
      <c r="AM568" s="47">
        <f>IF(AND(C568&lt;&gt;"",N(AB568)&gt;0,D568&lt;&gt;"Perdu"),AB568+ROW()/100000,0)</f>
        <v/>
      </c>
      <c r="AN568" s="48">
        <f>IF(N(AF568)&gt;0,ROUND(AF568,0)+ROW()/1000000,0)</f>
        <v/>
      </c>
    </row>
    <row r="569" ht="18" customHeight="1">
      <c r="A569" s="39" t="n">
        <v>564</v>
      </c>
      <c r="B569" s="33">
        <f>IF(C569="","",IF(X569="À RENSEIGNER","GIC",X569)&amp;"-"&amp;TEXT(A569,"000"))</f>
        <v/>
      </c>
      <c r="C569" s="36" t="n"/>
      <c r="D569" s="34">
        <f>IF(C569="","",IF(U569="☑ Oui","Perdu",IF(AD569&lt;&gt;"","Client","Prospect")))</f>
        <v/>
      </c>
      <c r="E569" s="36" t="n"/>
      <c r="F569" s="36" t="n"/>
      <c r="G569" s="44" t="n"/>
      <c r="H569" s="44" t="n"/>
      <c r="I569" s="36" t="n"/>
      <c r="J569" s="36" t="n"/>
      <c r="K569" s="41" t="n"/>
      <c r="L569" s="41" t="n"/>
      <c r="M569" s="36" t="n"/>
      <c r="N569" s="36" t="n"/>
      <c r="O569" s="32" t="n"/>
      <c r="P569" s="36" t="n"/>
      <c r="Q569" s="36" t="n"/>
      <c r="R569" s="34">
        <f>IF(P569="","",IFERROR(VLOOKUP(P569,T_Produits,2,FALSE),""))</f>
        <v/>
      </c>
      <c r="S569" s="36" t="n"/>
      <c r="T569" s="43" t="n"/>
      <c r="U569" s="43" t="n"/>
      <c r="V569" s="36" t="n"/>
      <c r="W569" s="36" t="n"/>
      <c r="X569" s="33">
        <f>IF(C569="","",Commercial_Id)</f>
        <v/>
      </c>
      <c r="Y569" s="33">
        <f>IF(E569="","",IF(E569="Particulier / ménage","Particulier","Entreprise"))</f>
        <v/>
      </c>
      <c r="Z569" s="39">
        <f>IF(C569="","",COUNTIFS(VC_cle,AK569,VC_type,"Visite sur place"))</f>
        <v/>
      </c>
      <c r="AA569" s="46">
        <f>IF(AL569=0,"",IF(INT(AL569)=0,"",INT(AL569)))</f>
        <v/>
      </c>
      <c r="AB569" s="46">
        <f>IF(AL569=0,"",IF(INDEX(VC_actiondate,ROUND(MOD(AL569,1)*100000,0)-5)=0,"",INDEX(VC_actiondate,ROUND(MOD(AL569,1)*100000,0)-5)))</f>
        <v/>
      </c>
      <c r="AC569" s="33">
        <f>IF(AL569=0,"",INDEX(VC_actiontexte,ROUND(MOD(AL569,1)*100000,0)-5)&amp;"")</f>
        <v/>
      </c>
      <c r="AD569" s="46">
        <f>IF(C569="","",IF(COUNTIFS(Cmd_cle,AK569,Cmd_dateca,"&gt;0")=0,"",SMALL(INDEX(Cmd_dateca+(((Cmd_cle&lt;&gt;AK569)+(Cmd_dateca=0))&gt;0)*1000000,0),1)))</f>
        <v/>
      </c>
      <c r="AE569" s="46">
        <f>IF(C569="","",IF(COUNTIFS(Cmd_cle,AK569,Cmd_dateca,"&gt;0")=0,"",MAX(INDEX((Cmd_cle=AK569)*Cmd_dateca,0))))</f>
        <v/>
      </c>
      <c r="AF569" s="40">
        <f>IF(C569="","",SUMIFS(Cmd_montant,Cmd_cle,AK569,Cmd_dateca,"&gt;0"))</f>
        <v/>
      </c>
      <c r="AG569" s="40">
        <f>IF(C569="","",SUMIFS(Enc_montant,Enc_cle,AK569))</f>
        <v/>
      </c>
      <c r="AH569" s="40">
        <f>IF(C569="","",AF569-AG569)</f>
        <v/>
      </c>
      <c r="AI569" s="33">
        <f>IF(C569="","",IF(D569="Perdu","",IF(AND(AB569&lt;&gt;"",N(AB569)&lt;TODAY()),"Action en retard",IF(AND(D569="Client",AE569&lt;&gt;"",TODAY()-N(AE569)&gt;P_JoursInactif),"Client inactif",IF(AND(D569="Prospect",Z569=0,O569&lt;&gt;"",TODAY()-N(O569)&gt;P_JoursNonVisite),"Jamais visité","")))))</f>
        <v/>
      </c>
      <c r="AJ569" s="33">
        <f>IF(C569="","",C569&amp;" ["&amp;TEXT(A569,"000")&amp;"]")</f>
        <v/>
      </c>
      <c r="AK569" s="33">
        <f>IF(C569="","",X569&amp;"|"&amp;A569)</f>
        <v/>
      </c>
      <c r="AL569" s="47">
        <f>IF(C569="",0,IF(COUNTIFS(VC_cle,AK569)=0,0,MAX(INDEX((VC_cle=AK569)*(VC_date+ROW(VC_date)/100000),0))))</f>
        <v/>
      </c>
      <c r="AM569" s="47">
        <f>IF(AND(C569&lt;&gt;"",N(AB569)&gt;0,D569&lt;&gt;"Perdu"),AB569+ROW()/100000,0)</f>
        <v/>
      </c>
      <c r="AN569" s="48">
        <f>IF(N(AF569)&gt;0,ROUND(AF569,0)+ROW()/1000000,0)</f>
        <v/>
      </c>
    </row>
    <row r="570" ht="18" customHeight="1">
      <c r="A570" s="39" t="n">
        <v>565</v>
      </c>
      <c r="B570" s="33">
        <f>IF(C570="","",IF(X570="À RENSEIGNER","GIC",X570)&amp;"-"&amp;TEXT(A570,"000"))</f>
        <v/>
      </c>
      <c r="C570" s="36" t="n"/>
      <c r="D570" s="34">
        <f>IF(C570="","",IF(U570="☑ Oui","Perdu",IF(AD570&lt;&gt;"","Client","Prospect")))</f>
        <v/>
      </c>
      <c r="E570" s="36" t="n"/>
      <c r="F570" s="36" t="n"/>
      <c r="G570" s="44" t="n"/>
      <c r="H570" s="44" t="n"/>
      <c r="I570" s="36" t="n"/>
      <c r="J570" s="36" t="n"/>
      <c r="K570" s="41" t="n"/>
      <c r="L570" s="41" t="n"/>
      <c r="M570" s="36" t="n"/>
      <c r="N570" s="36" t="n"/>
      <c r="O570" s="32" t="n"/>
      <c r="P570" s="36" t="n"/>
      <c r="Q570" s="36" t="n"/>
      <c r="R570" s="34">
        <f>IF(P570="","",IFERROR(VLOOKUP(P570,T_Produits,2,FALSE),""))</f>
        <v/>
      </c>
      <c r="S570" s="36" t="n"/>
      <c r="T570" s="43" t="n"/>
      <c r="U570" s="43" t="n"/>
      <c r="V570" s="36" t="n"/>
      <c r="W570" s="36" t="n"/>
      <c r="X570" s="33">
        <f>IF(C570="","",Commercial_Id)</f>
        <v/>
      </c>
      <c r="Y570" s="33">
        <f>IF(E570="","",IF(E570="Particulier / ménage","Particulier","Entreprise"))</f>
        <v/>
      </c>
      <c r="Z570" s="39">
        <f>IF(C570="","",COUNTIFS(VC_cle,AK570,VC_type,"Visite sur place"))</f>
        <v/>
      </c>
      <c r="AA570" s="46">
        <f>IF(AL570=0,"",IF(INT(AL570)=0,"",INT(AL570)))</f>
        <v/>
      </c>
      <c r="AB570" s="46">
        <f>IF(AL570=0,"",IF(INDEX(VC_actiondate,ROUND(MOD(AL570,1)*100000,0)-5)=0,"",INDEX(VC_actiondate,ROUND(MOD(AL570,1)*100000,0)-5)))</f>
        <v/>
      </c>
      <c r="AC570" s="33">
        <f>IF(AL570=0,"",INDEX(VC_actiontexte,ROUND(MOD(AL570,1)*100000,0)-5)&amp;"")</f>
        <v/>
      </c>
      <c r="AD570" s="46">
        <f>IF(C570="","",IF(COUNTIFS(Cmd_cle,AK570,Cmd_dateca,"&gt;0")=0,"",SMALL(INDEX(Cmd_dateca+(((Cmd_cle&lt;&gt;AK570)+(Cmd_dateca=0))&gt;0)*1000000,0),1)))</f>
        <v/>
      </c>
      <c r="AE570" s="46">
        <f>IF(C570="","",IF(COUNTIFS(Cmd_cle,AK570,Cmd_dateca,"&gt;0")=0,"",MAX(INDEX((Cmd_cle=AK570)*Cmd_dateca,0))))</f>
        <v/>
      </c>
      <c r="AF570" s="40">
        <f>IF(C570="","",SUMIFS(Cmd_montant,Cmd_cle,AK570,Cmd_dateca,"&gt;0"))</f>
        <v/>
      </c>
      <c r="AG570" s="40">
        <f>IF(C570="","",SUMIFS(Enc_montant,Enc_cle,AK570))</f>
        <v/>
      </c>
      <c r="AH570" s="40">
        <f>IF(C570="","",AF570-AG570)</f>
        <v/>
      </c>
      <c r="AI570" s="33">
        <f>IF(C570="","",IF(D570="Perdu","",IF(AND(AB570&lt;&gt;"",N(AB570)&lt;TODAY()),"Action en retard",IF(AND(D570="Client",AE570&lt;&gt;"",TODAY()-N(AE570)&gt;P_JoursInactif),"Client inactif",IF(AND(D570="Prospect",Z570=0,O570&lt;&gt;"",TODAY()-N(O570)&gt;P_JoursNonVisite),"Jamais visité","")))))</f>
        <v/>
      </c>
      <c r="AJ570" s="33">
        <f>IF(C570="","",C570&amp;" ["&amp;TEXT(A570,"000")&amp;"]")</f>
        <v/>
      </c>
      <c r="AK570" s="33">
        <f>IF(C570="","",X570&amp;"|"&amp;A570)</f>
        <v/>
      </c>
      <c r="AL570" s="47">
        <f>IF(C570="",0,IF(COUNTIFS(VC_cle,AK570)=0,0,MAX(INDEX((VC_cle=AK570)*(VC_date+ROW(VC_date)/100000),0))))</f>
        <v/>
      </c>
      <c r="AM570" s="47">
        <f>IF(AND(C570&lt;&gt;"",N(AB570)&gt;0,D570&lt;&gt;"Perdu"),AB570+ROW()/100000,0)</f>
        <v/>
      </c>
      <c r="AN570" s="48">
        <f>IF(N(AF570)&gt;0,ROUND(AF570,0)+ROW()/1000000,0)</f>
        <v/>
      </c>
    </row>
    <row r="571" ht="18" customHeight="1">
      <c r="A571" s="39" t="n">
        <v>566</v>
      </c>
      <c r="B571" s="33">
        <f>IF(C571="","",IF(X571="À RENSEIGNER","GIC",X571)&amp;"-"&amp;TEXT(A571,"000"))</f>
        <v/>
      </c>
      <c r="C571" s="36" t="n"/>
      <c r="D571" s="34">
        <f>IF(C571="","",IF(U571="☑ Oui","Perdu",IF(AD571&lt;&gt;"","Client","Prospect")))</f>
        <v/>
      </c>
      <c r="E571" s="36" t="n"/>
      <c r="F571" s="36" t="n"/>
      <c r="G571" s="44" t="n"/>
      <c r="H571" s="44" t="n"/>
      <c r="I571" s="36" t="n"/>
      <c r="J571" s="36" t="n"/>
      <c r="K571" s="41" t="n"/>
      <c r="L571" s="41" t="n"/>
      <c r="M571" s="36" t="n"/>
      <c r="N571" s="36" t="n"/>
      <c r="O571" s="32" t="n"/>
      <c r="P571" s="36" t="n"/>
      <c r="Q571" s="36" t="n"/>
      <c r="R571" s="34">
        <f>IF(P571="","",IFERROR(VLOOKUP(P571,T_Produits,2,FALSE),""))</f>
        <v/>
      </c>
      <c r="S571" s="36" t="n"/>
      <c r="T571" s="43" t="n"/>
      <c r="U571" s="43" t="n"/>
      <c r="V571" s="36" t="n"/>
      <c r="W571" s="36" t="n"/>
      <c r="X571" s="33">
        <f>IF(C571="","",Commercial_Id)</f>
        <v/>
      </c>
      <c r="Y571" s="33">
        <f>IF(E571="","",IF(E571="Particulier / ménage","Particulier","Entreprise"))</f>
        <v/>
      </c>
      <c r="Z571" s="39">
        <f>IF(C571="","",COUNTIFS(VC_cle,AK571,VC_type,"Visite sur place"))</f>
        <v/>
      </c>
      <c r="AA571" s="46">
        <f>IF(AL571=0,"",IF(INT(AL571)=0,"",INT(AL571)))</f>
        <v/>
      </c>
      <c r="AB571" s="46">
        <f>IF(AL571=0,"",IF(INDEX(VC_actiondate,ROUND(MOD(AL571,1)*100000,0)-5)=0,"",INDEX(VC_actiondate,ROUND(MOD(AL571,1)*100000,0)-5)))</f>
        <v/>
      </c>
      <c r="AC571" s="33">
        <f>IF(AL571=0,"",INDEX(VC_actiontexte,ROUND(MOD(AL571,1)*100000,0)-5)&amp;"")</f>
        <v/>
      </c>
      <c r="AD571" s="46">
        <f>IF(C571="","",IF(COUNTIFS(Cmd_cle,AK571,Cmd_dateca,"&gt;0")=0,"",SMALL(INDEX(Cmd_dateca+(((Cmd_cle&lt;&gt;AK571)+(Cmd_dateca=0))&gt;0)*1000000,0),1)))</f>
        <v/>
      </c>
      <c r="AE571" s="46">
        <f>IF(C571="","",IF(COUNTIFS(Cmd_cle,AK571,Cmd_dateca,"&gt;0")=0,"",MAX(INDEX((Cmd_cle=AK571)*Cmd_dateca,0))))</f>
        <v/>
      </c>
      <c r="AF571" s="40">
        <f>IF(C571="","",SUMIFS(Cmd_montant,Cmd_cle,AK571,Cmd_dateca,"&gt;0"))</f>
        <v/>
      </c>
      <c r="AG571" s="40">
        <f>IF(C571="","",SUMIFS(Enc_montant,Enc_cle,AK571))</f>
        <v/>
      </c>
      <c r="AH571" s="40">
        <f>IF(C571="","",AF571-AG571)</f>
        <v/>
      </c>
      <c r="AI571" s="33">
        <f>IF(C571="","",IF(D571="Perdu","",IF(AND(AB571&lt;&gt;"",N(AB571)&lt;TODAY()),"Action en retard",IF(AND(D571="Client",AE571&lt;&gt;"",TODAY()-N(AE571)&gt;P_JoursInactif),"Client inactif",IF(AND(D571="Prospect",Z571=0,O571&lt;&gt;"",TODAY()-N(O571)&gt;P_JoursNonVisite),"Jamais visité","")))))</f>
        <v/>
      </c>
      <c r="AJ571" s="33">
        <f>IF(C571="","",C571&amp;" ["&amp;TEXT(A571,"000")&amp;"]")</f>
        <v/>
      </c>
      <c r="AK571" s="33">
        <f>IF(C571="","",X571&amp;"|"&amp;A571)</f>
        <v/>
      </c>
      <c r="AL571" s="47">
        <f>IF(C571="",0,IF(COUNTIFS(VC_cle,AK571)=0,0,MAX(INDEX((VC_cle=AK571)*(VC_date+ROW(VC_date)/100000),0))))</f>
        <v/>
      </c>
      <c r="AM571" s="47">
        <f>IF(AND(C571&lt;&gt;"",N(AB571)&gt;0,D571&lt;&gt;"Perdu"),AB571+ROW()/100000,0)</f>
        <v/>
      </c>
      <c r="AN571" s="48">
        <f>IF(N(AF571)&gt;0,ROUND(AF571,0)+ROW()/1000000,0)</f>
        <v/>
      </c>
    </row>
    <row r="572" ht="18" customHeight="1">
      <c r="A572" s="39" t="n">
        <v>567</v>
      </c>
      <c r="B572" s="33">
        <f>IF(C572="","",IF(X572="À RENSEIGNER","GIC",X572)&amp;"-"&amp;TEXT(A572,"000"))</f>
        <v/>
      </c>
      <c r="C572" s="36" t="n"/>
      <c r="D572" s="34">
        <f>IF(C572="","",IF(U572="☑ Oui","Perdu",IF(AD572&lt;&gt;"","Client","Prospect")))</f>
        <v/>
      </c>
      <c r="E572" s="36" t="n"/>
      <c r="F572" s="36" t="n"/>
      <c r="G572" s="44" t="n"/>
      <c r="H572" s="44" t="n"/>
      <c r="I572" s="36" t="n"/>
      <c r="J572" s="36" t="n"/>
      <c r="K572" s="41" t="n"/>
      <c r="L572" s="41" t="n"/>
      <c r="M572" s="36" t="n"/>
      <c r="N572" s="36" t="n"/>
      <c r="O572" s="32" t="n"/>
      <c r="P572" s="36" t="n"/>
      <c r="Q572" s="36" t="n"/>
      <c r="R572" s="34">
        <f>IF(P572="","",IFERROR(VLOOKUP(P572,T_Produits,2,FALSE),""))</f>
        <v/>
      </c>
      <c r="S572" s="36" t="n"/>
      <c r="T572" s="43" t="n"/>
      <c r="U572" s="43" t="n"/>
      <c r="V572" s="36" t="n"/>
      <c r="W572" s="36" t="n"/>
      <c r="X572" s="33">
        <f>IF(C572="","",Commercial_Id)</f>
        <v/>
      </c>
      <c r="Y572" s="33">
        <f>IF(E572="","",IF(E572="Particulier / ménage","Particulier","Entreprise"))</f>
        <v/>
      </c>
      <c r="Z572" s="39">
        <f>IF(C572="","",COUNTIFS(VC_cle,AK572,VC_type,"Visite sur place"))</f>
        <v/>
      </c>
      <c r="AA572" s="46">
        <f>IF(AL572=0,"",IF(INT(AL572)=0,"",INT(AL572)))</f>
        <v/>
      </c>
      <c r="AB572" s="46">
        <f>IF(AL572=0,"",IF(INDEX(VC_actiondate,ROUND(MOD(AL572,1)*100000,0)-5)=0,"",INDEX(VC_actiondate,ROUND(MOD(AL572,1)*100000,0)-5)))</f>
        <v/>
      </c>
      <c r="AC572" s="33">
        <f>IF(AL572=0,"",INDEX(VC_actiontexte,ROUND(MOD(AL572,1)*100000,0)-5)&amp;"")</f>
        <v/>
      </c>
      <c r="AD572" s="46">
        <f>IF(C572="","",IF(COUNTIFS(Cmd_cle,AK572,Cmd_dateca,"&gt;0")=0,"",SMALL(INDEX(Cmd_dateca+(((Cmd_cle&lt;&gt;AK572)+(Cmd_dateca=0))&gt;0)*1000000,0),1)))</f>
        <v/>
      </c>
      <c r="AE572" s="46">
        <f>IF(C572="","",IF(COUNTIFS(Cmd_cle,AK572,Cmd_dateca,"&gt;0")=0,"",MAX(INDEX((Cmd_cle=AK572)*Cmd_dateca,0))))</f>
        <v/>
      </c>
      <c r="AF572" s="40">
        <f>IF(C572="","",SUMIFS(Cmd_montant,Cmd_cle,AK572,Cmd_dateca,"&gt;0"))</f>
        <v/>
      </c>
      <c r="AG572" s="40">
        <f>IF(C572="","",SUMIFS(Enc_montant,Enc_cle,AK572))</f>
        <v/>
      </c>
      <c r="AH572" s="40">
        <f>IF(C572="","",AF572-AG572)</f>
        <v/>
      </c>
      <c r="AI572" s="33">
        <f>IF(C572="","",IF(D572="Perdu","",IF(AND(AB572&lt;&gt;"",N(AB572)&lt;TODAY()),"Action en retard",IF(AND(D572="Client",AE572&lt;&gt;"",TODAY()-N(AE572)&gt;P_JoursInactif),"Client inactif",IF(AND(D572="Prospect",Z572=0,O572&lt;&gt;"",TODAY()-N(O572)&gt;P_JoursNonVisite),"Jamais visité","")))))</f>
        <v/>
      </c>
      <c r="AJ572" s="33">
        <f>IF(C572="","",C572&amp;" ["&amp;TEXT(A572,"000")&amp;"]")</f>
        <v/>
      </c>
      <c r="AK572" s="33">
        <f>IF(C572="","",X572&amp;"|"&amp;A572)</f>
        <v/>
      </c>
      <c r="AL572" s="47">
        <f>IF(C572="",0,IF(COUNTIFS(VC_cle,AK572)=0,0,MAX(INDEX((VC_cle=AK572)*(VC_date+ROW(VC_date)/100000),0))))</f>
        <v/>
      </c>
      <c r="AM572" s="47">
        <f>IF(AND(C572&lt;&gt;"",N(AB572)&gt;0,D572&lt;&gt;"Perdu"),AB572+ROW()/100000,0)</f>
        <v/>
      </c>
      <c r="AN572" s="48">
        <f>IF(N(AF572)&gt;0,ROUND(AF572,0)+ROW()/1000000,0)</f>
        <v/>
      </c>
    </row>
    <row r="573" ht="18" customHeight="1">
      <c r="A573" s="39" t="n">
        <v>568</v>
      </c>
      <c r="B573" s="33">
        <f>IF(C573="","",IF(X573="À RENSEIGNER","GIC",X573)&amp;"-"&amp;TEXT(A573,"000"))</f>
        <v/>
      </c>
      <c r="C573" s="36" t="n"/>
      <c r="D573" s="34">
        <f>IF(C573="","",IF(U573="☑ Oui","Perdu",IF(AD573&lt;&gt;"","Client","Prospect")))</f>
        <v/>
      </c>
      <c r="E573" s="36" t="n"/>
      <c r="F573" s="36" t="n"/>
      <c r="G573" s="44" t="n"/>
      <c r="H573" s="44" t="n"/>
      <c r="I573" s="36" t="n"/>
      <c r="J573" s="36" t="n"/>
      <c r="K573" s="41" t="n"/>
      <c r="L573" s="41" t="n"/>
      <c r="M573" s="36" t="n"/>
      <c r="N573" s="36" t="n"/>
      <c r="O573" s="32" t="n"/>
      <c r="P573" s="36" t="n"/>
      <c r="Q573" s="36" t="n"/>
      <c r="R573" s="34">
        <f>IF(P573="","",IFERROR(VLOOKUP(P573,T_Produits,2,FALSE),""))</f>
        <v/>
      </c>
      <c r="S573" s="36" t="n"/>
      <c r="T573" s="43" t="n"/>
      <c r="U573" s="43" t="n"/>
      <c r="V573" s="36" t="n"/>
      <c r="W573" s="36" t="n"/>
      <c r="X573" s="33">
        <f>IF(C573="","",Commercial_Id)</f>
        <v/>
      </c>
      <c r="Y573" s="33">
        <f>IF(E573="","",IF(E573="Particulier / ménage","Particulier","Entreprise"))</f>
        <v/>
      </c>
      <c r="Z573" s="39">
        <f>IF(C573="","",COUNTIFS(VC_cle,AK573,VC_type,"Visite sur place"))</f>
        <v/>
      </c>
      <c r="AA573" s="46">
        <f>IF(AL573=0,"",IF(INT(AL573)=0,"",INT(AL573)))</f>
        <v/>
      </c>
      <c r="AB573" s="46">
        <f>IF(AL573=0,"",IF(INDEX(VC_actiondate,ROUND(MOD(AL573,1)*100000,0)-5)=0,"",INDEX(VC_actiondate,ROUND(MOD(AL573,1)*100000,0)-5)))</f>
        <v/>
      </c>
      <c r="AC573" s="33">
        <f>IF(AL573=0,"",INDEX(VC_actiontexte,ROUND(MOD(AL573,1)*100000,0)-5)&amp;"")</f>
        <v/>
      </c>
      <c r="AD573" s="46">
        <f>IF(C573="","",IF(COUNTIFS(Cmd_cle,AK573,Cmd_dateca,"&gt;0")=0,"",SMALL(INDEX(Cmd_dateca+(((Cmd_cle&lt;&gt;AK573)+(Cmd_dateca=0))&gt;0)*1000000,0),1)))</f>
        <v/>
      </c>
      <c r="AE573" s="46">
        <f>IF(C573="","",IF(COUNTIFS(Cmd_cle,AK573,Cmd_dateca,"&gt;0")=0,"",MAX(INDEX((Cmd_cle=AK573)*Cmd_dateca,0))))</f>
        <v/>
      </c>
      <c r="AF573" s="40">
        <f>IF(C573="","",SUMIFS(Cmd_montant,Cmd_cle,AK573,Cmd_dateca,"&gt;0"))</f>
        <v/>
      </c>
      <c r="AG573" s="40">
        <f>IF(C573="","",SUMIFS(Enc_montant,Enc_cle,AK573))</f>
        <v/>
      </c>
      <c r="AH573" s="40">
        <f>IF(C573="","",AF573-AG573)</f>
        <v/>
      </c>
      <c r="AI573" s="33">
        <f>IF(C573="","",IF(D573="Perdu","",IF(AND(AB573&lt;&gt;"",N(AB573)&lt;TODAY()),"Action en retard",IF(AND(D573="Client",AE573&lt;&gt;"",TODAY()-N(AE573)&gt;P_JoursInactif),"Client inactif",IF(AND(D573="Prospect",Z573=0,O573&lt;&gt;"",TODAY()-N(O573)&gt;P_JoursNonVisite),"Jamais visité","")))))</f>
        <v/>
      </c>
      <c r="AJ573" s="33">
        <f>IF(C573="","",C573&amp;" ["&amp;TEXT(A573,"000")&amp;"]")</f>
        <v/>
      </c>
      <c r="AK573" s="33">
        <f>IF(C573="","",X573&amp;"|"&amp;A573)</f>
        <v/>
      </c>
      <c r="AL573" s="47">
        <f>IF(C573="",0,IF(COUNTIFS(VC_cle,AK573)=0,0,MAX(INDEX((VC_cle=AK573)*(VC_date+ROW(VC_date)/100000),0))))</f>
        <v/>
      </c>
      <c r="AM573" s="47">
        <f>IF(AND(C573&lt;&gt;"",N(AB573)&gt;0,D573&lt;&gt;"Perdu"),AB573+ROW()/100000,0)</f>
        <v/>
      </c>
      <c r="AN573" s="48">
        <f>IF(N(AF573)&gt;0,ROUND(AF573,0)+ROW()/1000000,0)</f>
        <v/>
      </c>
    </row>
    <row r="574" ht="18" customHeight="1">
      <c r="A574" s="39" t="n">
        <v>569</v>
      </c>
      <c r="B574" s="33">
        <f>IF(C574="","",IF(X574="À RENSEIGNER","GIC",X574)&amp;"-"&amp;TEXT(A574,"000"))</f>
        <v/>
      </c>
      <c r="C574" s="36" t="n"/>
      <c r="D574" s="34">
        <f>IF(C574="","",IF(U574="☑ Oui","Perdu",IF(AD574&lt;&gt;"","Client","Prospect")))</f>
        <v/>
      </c>
      <c r="E574" s="36" t="n"/>
      <c r="F574" s="36" t="n"/>
      <c r="G574" s="44" t="n"/>
      <c r="H574" s="44" t="n"/>
      <c r="I574" s="36" t="n"/>
      <c r="J574" s="36" t="n"/>
      <c r="K574" s="41" t="n"/>
      <c r="L574" s="41" t="n"/>
      <c r="M574" s="36" t="n"/>
      <c r="N574" s="36" t="n"/>
      <c r="O574" s="32" t="n"/>
      <c r="P574" s="36" t="n"/>
      <c r="Q574" s="36" t="n"/>
      <c r="R574" s="34">
        <f>IF(P574="","",IFERROR(VLOOKUP(P574,T_Produits,2,FALSE),""))</f>
        <v/>
      </c>
      <c r="S574" s="36" t="n"/>
      <c r="T574" s="43" t="n"/>
      <c r="U574" s="43" t="n"/>
      <c r="V574" s="36" t="n"/>
      <c r="W574" s="36" t="n"/>
      <c r="X574" s="33">
        <f>IF(C574="","",Commercial_Id)</f>
        <v/>
      </c>
      <c r="Y574" s="33">
        <f>IF(E574="","",IF(E574="Particulier / ménage","Particulier","Entreprise"))</f>
        <v/>
      </c>
      <c r="Z574" s="39">
        <f>IF(C574="","",COUNTIFS(VC_cle,AK574,VC_type,"Visite sur place"))</f>
        <v/>
      </c>
      <c r="AA574" s="46">
        <f>IF(AL574=0,"",IF(INT(AL574)=0,"",INT(AL574)))</f>
        <v/>
      </c>
      <c r="AB574" s="46">
        <f>IF(AL574=0,"",IF(INDEX(VC_actiondate,ROUND(MOD(AL574,1)*100000,0)-5)=0,"",INDEX(VC_actiondate,ROUND(MOD(AL574,1)*100000,0)-5)))</f>
        <v/>
      </c>
      <c r="AC574" s="33">
        <f>IF(AL574=0,"",INDEX(VC_actiontexte,ROUND(MOD(AL574,1)*100000,0)-5)&amp;"")</f>
        <v/>
      </c>
      <c r="AD574" s="46">
        <f>IF(C574="","",IF(COUNTIFS(Cmd_cle,AK574,Cmd_dateca,"&gt;0")=0,"",SMALL(INDEX(Cmd_dateca+(((Cmd_cle&lt;&gt;AK574)+(Cmd_dateca=0))&gt;0)*1000000,0),1)))</f>
        <v/>
      </c>
      <c r="AE574" s="46">
        <f>IF(C574="","",IF(COUNTIFS(Cmd_cle,AK574,Cmd_dateca,"&gt;0")=0,"",MAX(INDEX((Cmd_cle=AK574)*Cmd_dateca,0))))</f>
        <v/>
      </c>
      <c r="AF574" s="40">
        <f>IF(C574="","",SUMIFS(Cmd_montant,Cmd_cle,AK574,Cmd_dateca,"&gt;0"))</f>
        <v/>
      </c>
      <c r="AG574" s="40">
        <f>IF(C574="","",SUMIFS(Enc_montant,Enc_cle,AK574))</f>
        <v/>
      </c>
      <c r="AH574" s="40">
        <f>IF(C574="","",AF574-AG574)</f>
        <v/>
      </c>
      <c r="AI574" s="33">
        <f>IF(C574="","",IF(D574="Perdu","",IF(AND(AB574&lt;&gt;"",N(AB574)&lt;TODAY()),"Action en retard",IF(AND(D574="Client",AE574&lt;&gt;"",TODAY()-N(AE574)&gt;P_JoursInactif),"Client inactif",IF(AND(D574="Prospect",Z574=0,O574&lt;&gt;"",TODAY()-N(O574)&gt;P_JoursNonVisite),"Jamais visité","")))))</f>
        <v/>
      </c>
      <c r="AJ574" s="33">
        <f>IF(C574="","",C574&amp;" ["&amp;TEXT(A574,"000")&amp;"]")</f>
        <v/>
      </c>
      <c r="AK574" s="33">
        <f>IF(C574="","",X574&amp;"|"&amp;A574)</f>
        <v/>
      </c>
      <c r="AL574" s="47">
        <f>IF(C574="",0,IF(COUNTIFS(VC_cle,AK574)=0,0,MAX(INDEX((VC_cle=AK574)*(VC_date+ROW(VC_date)/100000),0))))</f>
        <v/>
      </c>
      <c r="AM574" s="47">
        <f>IF(AND(C574&lt;&gt;"",N(AB574)&gt;0,D574&lt;&gt;"Perdu"),AB574+ROW()/100000,0)</f>
        <v/>
      </c>
      <c r="AN574" s="48">
        <f>IF(N(AF574)&gt;0,ROUND(AF574,0)+ROW()/1000000,0)</f>
        <v/>
      </c>
    </row>
    <row r="575" ht="18" customHeight="1">
      <c r="A575" s="39" t="n">
        <v>570</v>
      </c>
      <c r="B575" s="33">
        <f>IF(C575="","",IF(X575="À RENSEIGNER","GIC",X575)&amp;"-"&amp;TEXT(A575,"000"))</f>
        <v/>
      </c>
      <c r="C575" s="36" t="n"/>
      <c r="D575" s="34">
        <f>IF(C575="","",IF(U575="☑ Oui","Perdu",IF(AD575&lt;&gt;"","Client","Prospect")))</f>
        <v/>
      </c>
      <c r="E575" s="36" t="n"/>
      <c r="F575" s="36" t="n"/>
      <c r="G575" s="44" t="n"/>
      <c r="H575" s="44" t="n"/>
      <c r="I575" s="36" t="n"/>
      <c r="J575" s="36" t="n"/>
      <c r="K575" s="41" t="n"/>
      <c r="L575" s="41" t="n"/>
      <c r="M575" s="36" t="n"/>
      <c r="N575" s="36" t="n"/>
      <c r="O575" s="32" t="n"/>
      <c r="P575" s="36" t="n"/>
      <c r="Q575" s="36" t="n"/>
      <c r="R575" s="34">
        <f>IF(P575="","",IFERROR(VLOOKUP(P575,T_Produits,2,FALSE),""))</f>
        <v/>
      </c>
      <c r="S575" s="36" t="n"/>
      <c r="T575" s="43" t="n"/>
      <c r="U575" s="43" t="n"/>
      <c r="V575" s="36" t="n"/>
      <c r="W575" s="36" t="n"/>
      <c r="X575" s="33">
        <f>IF(C575="","",Commercial_Id)</f>
        <v/>
      </c>
      <c r="Y575" s="33">
        <f>IF(E575="","",IF(E575="Particulier / ménage","Particulier","Entreprise"))</f>
        <v/>
      </c>
      <c r="Z575" s="39">
        <f>IF(C575="","",COUNTIFS(VC_cle,AK575,VC_type,"Visite sur place"))</f>
        <v/>
      </c>
      <c r="AA575" s="46">
        <f>IF(AL575=0,"",IF(INT(AL575)=0,"",INT(AL575)))</f>
        <v/>
      </c>
      <c r="AB575" s="46">
        <f>IF(AL575=0,"",IF(INDEX(VC_actiondate,ROUND(MOD(AL575,1)*100000,0)-5)=0,"",INDEX(VC_actiondate,ROUND(MOD(AL575,1)*100000,0)-5)))</f>
        <v/>
      </c>
      <c r="AC575" s="33">
        <f>IF(AL575=0,"",INDEX(VC_actiontexte,ROUND(MOD(AL575,1)*100000,0)-5)&amp;"")</f>
        <v/>
      </c>
      <c r="AD575" s="46">
        <f>IF(C575="","",IF(COUNTIFS(Cmd_cle,AK575,Cmd_dateca,"&gt;0")=0,"",SMALL(INDEX(Cmd_dateca+(((Cmd_cle&lt;&gt;AK575)+(Cmd_dateca=0))&gt;0)*1000000,0),1)))</f>
        <v/>
      </c>
      <c r="AE575" s="46">
        <f>IF(C575="","",IF(COUNTIFS(Cmd_cle,AK575,Cmd_dateca,"&gt;0")=0,"",MAX(INDEX((Cmd_cle=AK575)*Cmd_dateca,0))))</f>
        <v/>
      </c>
      <c r="AF575" s="40">
        <f>IF(C575="","",SUMIFS(Cmd_montant,Cmd_cle,AK575,Cmd_dateca,"&gt;0"))</f>
        <v/>
      </c>
      <c r="AG575" s="40">
        <f>IF(C575="","",SUMIFS(Enc_montant,Enc_cle,AK575))</f>
        <v/>
      </c>
      <c r="AH575" s="40">
        <f>IF(C575="","",AF575-AG575)</f>
        <v/>
      </c>
      <c r="AI575" s="33">
        <f>IF(C575="","",IF(D575="Perdu","",IF(AND(AB575&lt;&gt;"",N(AB575)&lt;TODAY()),"Action en retard",IF(AND(D575="Client",AE575&lt;&gt;"",TODAY()-N(AE575)&gt;P_JoursInactif),"Client inactif",IF(AND(D575="Prospect",Z575=0,O575&lt;&gt;"",TODAY()-N(O575)&gt;P_JoursNonVisite),"Jamais visité","")))))</f>
        <v/>
      </c>
      <c r="AJ575" s="33">
        <f>IF(C575="","",C575&amp;" ["&amp;TEXT(A575,"000")&amp;"]")</f>
        <v/>
      </c>
      <c r="AK575" s="33">
        <f>IF(C575="","",X575&amp;"|"&amp;A575)</f>
        <v/>
      </c>
      <c r="AL575" s="47">
        <f>IF(C575="",0,IF(COUNTIFS(VC_cle,AK575)=0,0,MAX(INDEX((VC_cle=AK575)*(VC_date+ROW(VC_date)/100000),0))))</f>
        <v/>
      </c>
      <c r="AM575" s="47">
        <f>IF(AND(C575&lt;&gt;"",N(AB575)&gt;0,D575&lt;&gt;"Perdu"),AB575+ROW()/100000,0)</f>
        <v/>
      </c>
      <c r="AN575" s="48">
        <f>IF(N(AF575)&gt;0,ROUND(AF575,0)+ROW()/1000000,0)</f>
        <v/>
      </c>
    </row>
    <row r="576" ht="18" customHeight="1">
      <c r="A576" s="39" t="n">
        <v>571</v>
      </c>
      <c r="B576" s="33">
        <f>IF(C576="","",IF(X576="À RENSEIGNER","GIC",X576)&amp;"-"&amp;TEXT(A576,"000"))</f>
        <v/>
      </c>
      <c r="C576" s="36" t="n"/>
      <c r="D576" s="34">
        <f>IF(C576="","",IF(U576="☑ Oui","Perdu",IF(AD576&lt;&gt;"","Client","Prospect")))</f>
        <v/>
      </c>
      <c r="E576" s="36" t="n"/>
      <c r="F576" s="36" t="n"/>
      <c r="G576" s="44" t="n"/>
      <c r="H576" s="44" t="n"/>
      <c r="I576" s="36" t="n"/>
      <c r="J576" s="36" t="n"/>
      <c r="K576" s="41" t="n"/>
      <c r="L576" s="41" t="n"/>
      <c r="M576" s="36" t="n"/>
      <c r="N576" s="36" t="n"/>
      <c r="O576" s="32" t="n"/>
      <c r="P576" s="36" t="n"/>
      <c r="Q576" s="36" t="n"/>
      <c r="R576" s="34">
        <f>IF(P576="","",IFERROR(VLOOKUP(P576,T_Produits,2,FALSE),""))</f>
        <v/>
      </c>
      <c r="S576" s="36" t="n"/>
      <c r="T576" s="43" t="n"/>
      <c r="U576" s="43" t="n"/>
      <c r="V576" s="36" t="n"/>
      <c r="W576" s="36" t="n"/>
      <c r="X576" s="33">
        <f>IF(C576="","",Commercial_Id)</f>
        <v/>
      </c>
      <c r="Y576" s="33">
        <f>IF(E576="","",IF(E576="Particulier / ménage","Particulier","Entreprise"))</f>
        <v/>
      </c>
      <c r="Z576" s="39">
        <f>IF(C576="","",COUNTIFS(VC_cle,AK576,VC_type,"Visite sur place"))</f>
        <v/>
      </c>
      <c r="AA576" s="46">
        <f>IF(AL576=0,"",IF(INT(AL576)=0,"",INT(AL576)))</f>
        <v/>
      </c>
      <c r="AB576" s="46">
        <f>IF(AL576=0,"",IF(INDEX(VC_actiondate,ROUND(MOD(AL576,1)*100000,0)-5)=0,"",INDEX(VC_actiondate,ROUND(MOD(AL576,1)*100000,0)-5)))</f>
        <v/>
      </c>
      <c r="AC576" s="33">
        <f>IF(AL576=0,"",INDEX(VC_actiontexte,ROUND(MOD(AL576,1)*100000,0)-5)&amp;"")</f>
        <v/>
      </c>
      <c r="AD576" s="46">
        <f>IF(C576="","",IF(COUNTIFS(Cmd_cle,AK576,Cmd_dateca,"&gt;0")=0,"",SMALL(INDEX(Cmd_dateca+(((Cmd_cle&lt;&gt;AK576)+(Cmd_dateca=0))&gt;0)*1000000,0),1)))</f>
        <v/>
      </c>
      <c r="AE576" s="46">
        <f>IF(C576="","",IF(COUNTIFS(Cmd_cle,AK576,Cmd_dateca,"&gt;0")=0,"",MAX(INDEX((Cmd_cle=AK576)*Cmd_dateca,0))))</f>
        <v/>
      </c>
      <c r="AF576" s="40">
        <f>IF(C576="","",SUMIFS(Cmd_montant,Cmd_cle,AK576,Cmd_dateca,"&gt;0"))</f>
        <v/>
      </c>
      <c r="AG576" s="40">
        <f>IF(C576="","",SUMIFS(Enc_montant,Enc_cle,AK576))</f>
        <v/>
      </c>
      <c r="AH576" s="40">
        <f>IF(C576="","",AF576-AG576)</f>
        <v/>
      </c>
      <c r="AI576" s="33">
        <f>IF(C576="","",IF(D576="Perdu","",IF(AND(AB576&lt;&gt;"",N(AB576)&lt;TODAY()),"Action en retard",IF(AND(D576="Client",AE576&lt;&gt;"",TODAY()-N(AE576)&gt;P_JoursInactif),"Client inactif",IF(AND(D576="Prospect",Z576=0,O576&lt;&gt;"",TODAY()-N(O576)&gt;P_JoursNonVisite),"Jamais visité","")))))</f>
        <v/>
      </c>
      <c r="AJ576" s="33">
        <f>IF(C576="","",C576&amp;" ["&amp;TEXT(A576,"000")&amp;"]")</f>
        <v/>
      </c>
      <c r="AK576" s="33">
        <f>IF(C576="","",X576&amp;"|"&amp;A576)</f>
        <v/>
      </c>
      <c r="AL576" s="47">
        <f>IF(C576="",0,IF(COUNTIFS(VC_cle,AK576)=0,0,MAX(INDEX((VC_cle=AK576)*(VC_date+ROW(VC_date)/100000),0))))</f>
        <v/>
      </c>
      <c r="AM576" s="47">
        <f>IF(AND(C576&lt;&gt;"",N(AB576)&gt;0,D576&lt;&gt;"Perdu"),AB576+ROW()/100000,0)</f>
        <v/>
      </c>
      <c r="AN576" s="48">
        <f>IF(N(AF576)&gt;0,ROUND(AF576,0)+ROW()/1000000,0)</f>
        <v/>
      </c>
    </row>
    <row r="577" ht="18" customHeight="1">
      <c r="A577" s="39" t="n">
        <v>572</v>
      </c>
      <c r="B577" s="33">
        <f>IF(C577="","",IF(X577="À RENSEIGNER","GIC",X577)&amp;"-"&amp;TEXT(A577,"000"))</f>
        <v/>
      </c>
      <c r="C577" s="36" t="n"/>
      <c r="D577" s="34">
        <f>IF(C577="","",IF(U577="☑ Oui","Perdu",IF(AD577&lt;&gt;"","Client","Prospect")))</f>
        <v/>
      </c>
      <c r="E577" s="36" t="n"/>
      <c r="F577" s="36" t="n"/>
      <c r="G577" s="44" t="n"/>
      <c r="H577" s="44" t="n"/>
      <c r="I577" s="36" t="n"/>
      <c r="J577" s="36" t="n"/>
      <c r="K577" s="41" t="n"/>
      <c r="L577" s="41" t="n"/>
      <c r="M577" s="36" t="n"/>
      <c r="N577" s="36" t="n"/>
      <c r="O577" s="32" t="n"/>
      <c r="P577" s="36" t="n"/>
      <c r="Q577" s="36" t="n"/>
      <c r="R577" s="34">
        <f>IF(P577="","",IFERROR(VLOOKUP(P577,T_Produits,2,FALSE),""))</f>
        <v/>
      </c>
      <c r="S577" s="36" t="n"/>
      <c r="T577" s="43" t="n"/>
      <c r="U577" s="43" t="n"/>
      <c r="V577" s="36" t="n"/>
      <c r="W577" s="36" t="n"/>
      <c r="X577" s="33">
        <f>IF(C577="","",Commercial_Id)</f>
        <v/>
      </c>
      <c r="Y577" s="33">
        <f>IF(E577="","",IF(E577="Particulier / ménage","Particulier","Entreprise"))</f>
        <v/>
      </c>
      <c r="Z577" s="39">
        <f>IF(C577="","",COUNTIFS(VC_cle,AK577,VC_type,"Visite sur place"))</f>
        <v/>
      </c>
      <c r="AA577" s="46">
        <f>IF(AL577=0,"",IF(INT(AL577)=0,"",INT(AL577)))</f>
        <v/>
      </c>
      <c r="AB577" s="46">
        <f>IF(AL577=0,"",IF(INDEX(VC_actiondate,ROUND(MOD(AL577,1)*100000,0)-5)=0,"",INDEX(VC_actiondate,ROUND(MOD(AL577,1)*100000,0)-5)))</f>
        <v/>
      </c>
      <c r="AC577" s="33">
        <f>IF(AL577=0,"",INDEX(VC_actiontexte,ROUND(MOD(AL577,1)*100000,0)-5)&amp;"")</f>
        <v/>
      </c>
      <c r="AD577" s="46">
        <f>IF(C577="","",IF(COUNTIFS(Cmd_cle,AK577,Cmd_dateca,"&gt;0")=0,"",SMALL(INDEX(Cmd_dateca+(((Cmd_cle&lt;&gt;AK577)+(Cmd_dateca=0))&gt;0)*1000000,0),1)))</f>
        <v/>
      </c>
      <c r="AE577" s="46">
        <f>IF(C577="","",IF(COUNTIFS(Cmd_cle,AK577,Cmd_dateca,"&gt;0")=0,"",MAX(INDEX((Cmd_cle=AK577)*Cmd_dateca,0))))</f>
        <v/>
      </c>
      <c r="AF577" s="40">
        <f>IF(C577="","",SUMIFS(Cmd_montant,Cmd_cle,AK577,Cmd_dateca,"&gt;0"))</f>
        <v/>
      </c>
      <c r="AG577" s="40">
        <f>IF(C577="","",SUMIFS(Enc_montant,Enc_cle,AK577))</f>
        <v/>
      </c>
      <c r="AH577" s="40">
        <f>IF(C577="","",AF577-AG577)</f>
        <v/>
      </c>
      <c r="AI577" s="33">
        <f>IF(C577="","",IF(D577="Perdu","",IF(AND(AB577&lt;&gt;"",N(AB577)&lt;TODAY()),"Action en retard",IF(AND(D577="Client",AE577&lt;&gt;"",TODAY()-N(AE577)&gt;P_JoursInactif),"Client inactif",IF(AND(D577="Prospect",Z577=0,O577&lt;&gt;"",TODAY()-N(O577)&gt;P_JoursNonVisite),"Jamais visité","")))))</f>
        <v/>
      </c>
      <c r="AJ577" s="33">
        <f>IF(C577="","",C577&amp;" ["&amp;TEXT(A577,"000")&amp;"]")</f>
        <v/>
      </c>
      <c r="AK577" s="33">
        <f>IF(C577="","",X577&amp;"|"&amp;A577)</f>
        <v/>
      </c>
      <c r="AL577" s="47">
        <f>IF(C577="",0,IF(COUNTIFS(VC_cle,AK577)=0,0,MAX(INDEX((VC_cle=AK577)*(VC_date+ROW(VC_date)/100000),0))))</f>
        <v/>
      </c>
      <c r="AM577" s="47">
        <f>IF(AND(C577&lt;&gt;"",N(AB577)&gt;0,D577&lt;&gt;"Perdu"),AB577+ROW()/100000,0)</f>
        <v/>
      </c>
      <c r="AN577" s="48">
        <f>IF(N(AF577)&gt;0,ROUND(AF577,0)+ROW()/1000000,0)</f>
        <v/>
      </c>
    </row>
    <row r="578" ht="18" customHeight="1">
      <c r="A578" s="39" t="n">
        <v>573</v>
      </c>
      <c r="B578" s="33">
        <f>IF(C578="","",IF(X578="À RENSEIGNER","GIC",X578)&amp;"-"&amp;TEXT(A578,"000"))</f>
        <v/>
      </c>
      <c r="C578" s="36" t="n"/>
      <c r="D578" s="34">
        <f>IF(C578="","",IF(U578="☑ Oui","Perdu",IF(AD578&lt;&gt;"","Client","Prospect")))</f>
        <v/>
      </c>
      <c r="E578" s="36" t="n"/>
      <c r="F578" s="36" t="n"/>
      <c r="G578" s="44" t="n"/>
      <c r="H578" s="44" t="n"/>
      <c r="I578" s="36" t="n"/>
      <c r="J578" s="36" t="n"/>
      <c r="K578" s="41" t="n"/>
      <c r="L578" s="41" t="n"/>
      <c r="M578" s="36" t="n"/>
      <c r="N578" s="36" t="n"/>
      <c r="O578" s="32" t="n"/>
      <c r="P578" s="36" t="n"/>
      <c r="Q578" s="36" t="n"/>
      <c r="R578" s="34">
        <f>IF(P578="","",IFERROR(VLOOKUP(P578,T_Produits,2,FALSE),""))</f>
        <v/>
      </c>
      <c r="S578" s="36" t="n"/>
      <c r="T578" s="43" t="n"/>
      <c r="U578" s="43" t="n"/>
      <c r="V578" s="36" t="n"/>
      <c r="W578" s="36" t="n"/>
      <c r="X578" s="33">
        <f>IF(C578="","",Commercial_Id)</f>
        <v/>
      </c>
      <c r="Y578" s="33">
        <f>IF(E578="","",IF(E578="Particulier / ménage","Particulier","Entreprise"))</f>
        <v/>
      </c>
      <c r="Z578" s="39">
        <f>IF(C578="","",COUNTIFS(VC_cle,AK578,VC_type,"Visite sur place"))</f>
        <v/>
      </c>
      <c r="AA578" s="46">
        <f>IF(AL578=0,"",IF(INT(AL578)=0,"",INT(AL578)))</f>
        <v/>
      </c>
      <c r="AB578" s="46">
        <f>IF(AL578=0,"",IF(INDEX(VC_actiondate,ROUND(MOD(AL578,1)*100000,0)-5)=0,"",INDEX(VC_actiondate,ROUND(MOD(AL578,1)*100000,0)-5)))</f>
        <v/>
      </c>
      <c r="AC578" s="33">
        <f>IF(AL578=0,"",INDEX(VC_actiontexte,ROUND(MOD(AL578,1)*100000,0)-5)&amp;"")</f>
        <v/>
      </c>
      <c r="AD578" s="46">
        <f>IF(C578="","",IF(COUNTIFS(Cmd_cle,AK578,Cmd_dateca,"&gt;0")=0,"",SMALL(INDEX(Cmd_dateca+(((Cmd_cle&lt;&gt;AK578)+(Cmd_dateca=0))&gt;0)*1000000,0),1)))</f>
        <v/>
      </c>
      <c r="AE578" s="46">
        <f>IF(C578="","",IF(COUNTIFS(Cmd_cle,AK578,Cmd_dateca,"&gt;0")=0,"",MAX(INDEX((Cmd_cle=AK578)*Cmd_dateca,0))))</f>
        <v/>
      </c>
      <c r="AF578" s="40">
        <f>IF(C578="","",SUMIFS(Cmd_montant,Cmd_cle,AK578,Cmd_dateca,"&gt;0"))</f>
        <v/>
      </c>
      <c r="AG578" s="40">
        <f>IF(C578="","",SUMIFS(Enc_montant,Enc_cle,AK578))</f>
        <v/>
      </c>
      <c r="AH578" s="40">
        <f>IF(C578="","",AF578-AG578)</f>
        <v/>
      </c>
      <c r="AI578" s="33">
        <f>IF(C578="","",IF(D578="Perdu","",IF(AND(AB578&lt;&gt;"",N(AB578)&lt;TODAY()),"Action en retard",IF(AND(D578="Client",AE578&lt;&gt;"",TODAY()-N(AE578)&gt;P_JoursInactif),"Client inactif",IF(AND(D578="Prospect",Z578=0,O578&lt;&gt;"",TODAY()-N(O578)&gt;P_JoursNonVisite),"Jamais visité","")))))</f>
        <v/>
      </c>
      <c r="AJ578" s="33">
        <f>IF(C578="","",C578&amp;" ["&amp;TEXT(A578,"000")&amp;"]")</f>
        <v/>
      </c>
      <c r="AK578" s="33">
        <f>IF(C578="","",X578&amp;"|"&amp;A578)</f>
        <v/>
      </c>
      <c r="AL578" s="47">
        <f>IF(C578="",0,IF(COUNTIFS(VC_cle,AK578)=0,0,MAX(INDEX((VC_cle=AK578)*(VC_date+ROW(VC_date)/100000),0))))</f>
        <v/>
      </c>
      <c r="AM578" s="47">
        <f>IF(AND(C578&lt;&gt;"",N(AB578)&gt;0,D578&lt;&gt;"Perdu"),AB578+ROW()/100000,0)</f>
        <v/>
      </c>
      <c r="AN578" s="48">
        <f>IF(N(AF578)&gt;0,ROUND(AF578,0)+ROW()/1000000,0)</f>
        <v/>
      </c>
    </row>
    <row r="579" ht="18" customHeight="1">
      <c r="A579" s="39" t="n">
        <v>574</v>
      </c>
      <c r="B579" s="33">
        <f>IF(C579="","",IF(X579="À RENSEIGNER","GIC",X579)&amp;"-"&amp;TEXT(A579,"000"))</f>
        <v/>
      </c>
      <c r="C579" s="36" t="n"/>
      <c r="D579" s="34">
        <f>IF(C579="","",IF(U579="☑ Oui","Perdu",IF(AD579&lt;&gt;"","Client","Prospect")))</f>
        <v/>
      </c>
      <c r="E579" s="36" t="n"/>
      <c r="F579" s="36" t="n"/>
      <c r="G579" s="44" t="n"/>
      <c r="H579" s="44" t="n"/>
      <c r="I579" s="36" t="n"/>
      <c r="J579" s="36" t="n"/>
      <c r="K579" s="41" t="n"/>
      <c r="L579" s="41" t="n"/>
      <c r="M579" s="36" t="n"/>
      <c r="N579" s="36" t="n"/>
      <c r="O579" s="32" t="n"/>
      <c r="P579" s="36" t="n"/>
      <c r="Q579" s="36" t="n"/>
      <c r="R579" s="34">
        <f>IF(P579="","",IFERROR(VLOOKUP(P579,T_Produits,2,FALSE),""))</f>
        <v/>
      </c>
      <c r="S579" s="36" t="n"/>
      <c r="T579" s="43" t="n"/>
      <c r="U579" s="43" t="n"/>
      <c r="V579" s="36" t="n"/>
      <c r="W579" s="36" t="n"/>
      <c r="X579" s="33">
        <f>IF(C579="","",Commercial_Id)</f>
        <v/>
      </c>
      <c r="Y579" s="33">
        <f>IF(E579="","",IF(E579="Particulier / ménage","Particulier","Entreprise"))</f>
        <v/>
      </c>
      <c r="Z579" s="39">
        <f>IF(C579="","",COUNTIFS(VC_cle,AK579,VC_type,"Visite sur place"))</f>
        <v/>
      </c>
      <c r="AA579" s="46">
        <f>IF(AL579=0,"",IF(INT(AL579)=0,"",INT(AL579)))</f>
        <v/>
      </c>
      <c r="AB579" s="46">
        <f>IF(AL579=0,"",IF(INDEX(VC_actiondate,ROUND(MOD(AL579,1)*100000,0)-5)=0,"",INDEX(VC_actiondate,ROUND(MOD(AL579,1)*100000,0)-5)))</f>
        <v/>
      </c>
      <c r="AC579" s="33">
        <f>IF(AL579=0,"",INDEX(VC_actiontexte,ROUND(MOD(AL579,1)*100000,0)-5)&amp;"")</f>
        <v/>
      </c>
      <c r="AD579" s="46">
        <f>IF(C579="","",IF(COUNTIFS(Cmd_cle,AK579,Cmd_dateca,"&gt;0")=0,"",SMALL(INDEX(Cmd_dateca+(((Cmd_cle&lt;&gt;AK579)+(Cmd_dateca=0))&gt;0)*1000000,0),1)))</f>
        <v/>
      </c>
      <c r="AE579" s="46">
        <f>IF(C579="","",IF(COUNTIFS(Cmd_cle,AK579,Cmd_dateca,"&gt;0")=0,"",MAX(INDEX((Cmd_cle=AK579)*Cmd_dateca,0))))</f>
        <v/>
      </c>
      <c r="AF579" s="40">
        <f>IF(C579="","",SUMIFS(Cmd_montant,Cmd_cle,AK579,Cmd_dateca,"&gt;0"))</f>
        <v/>
      </c>
      <c r="AG579" s="40">
        <f>IF(C579="","",SUMIFS(Enc_montant,Enc_cle,AK579))</f>
        <v/>
      </c>
      <c r="AH579" s="40">
        <f>IF(C579="","",AF579-AG579)</f>
        <v/>
      </c>
      <c r="AI579" s="33">
        <f>IF(C579="","",IF(D579="Perdu","",IF(AND(AB579&lt;&gt;"",N(AB579)&lt;TODAY()),"Action en retard",IF(AND(D579="Client",AE579&lt;&gt;"",TODAY()-N(AE579)&gt;P_JoursInactif),"Client inactif",IF(AND(D579="Prospect",Z579=0,O579&lt;&gt;"",TODAY()-N(O579)&gt;P_JoursNonVisite),"Jamais visité","")))))</f>
        <v/>
      </c>
      <c r="AJ579" s="33">
        <f>IF(C579="","",C579&amp;" ["&amp;TEXT(A579,"000")&amp;"]")</f>
        <v/>
      </c>
      <c r="AK579" s="33">
        <f>IF(C579="","",X579&amp;"|"&amp;A579)</f>
        <v/>
      </c>
      <c r="AL579" s="47">
        <f>IF(C579="",0,IF(COUNTIFS(VC_cle,AK579)=0,0,MAX(INDEX((VC_cle=AK579)*(VC_date+ROW(VC_date)/100000),0))))</f>
        <v/>
      </c>
      <c r="AM579" s="47">
        <f>IF(AND(C579&lt;&gt;"",N(AB579)&gt;0,D579&lt;&gt;"Perdu"),AB579+ROW()/100000,0)</f>
        <v/>
      </c>
      <c r="AN579" s="48">
        <f>IF(N(AF579)&gt;0,ROUND(AF579,0)+ROW()/1000000,0)</f>
        <v/>
      </c>
    </row>
    <row r="580" ht="18" customHeight="1">
      <c r="A580" s="39" t="n">
        <v>575</v>
      </c>
      <c r="B580" s="33">
        <f>IF(C580="","",IF(X580="À RENSEIGNER","GIC",X580)&amp;"-"&amp;TEXT(A580,"000"))</f>
        <v/>
      </c>
      <c r="C580" s="36" t="n"/>
      <c r="D580" s="34">
        <f>IF(C580="","",IF(U580="☑ Oui","Perdu",IF(AD580&lt;&gt;"","Client","Prospect")))</f>
        <v/>
      </c>
      <c r="E580" s="36" t="n"/>
      <c r="F580" s="36" t="n"/>
      <c r="G580" s="44" t="n"/>
      <c r="H580" s="44" t="n"/>
      <c r="I580" s="36" t="n"/>
      <c r="J580" s="36" t="n"/>
      <c r="K580" s="41" t="n"/>
      <c r="L580" s="41" t="n"/>
      <c r="M580" s="36" t="n"/>
      <c r="N580" s="36" t="n"/>
      <c r="O580" s="32" t="n"/>
      <c r="P580" s="36" t="n"/>
      <c r="Q580" s="36" t="n"/>
      <c r="R580" s="34">
        <f>IF(P580="","",IFERROR(VLOOKUP(P580,T_Produits,2,FALSE),""))</f>
        <v/>
      </c>
      <c r="S580" s="36" t="n"/>
      <c r="T580" s="43" t="n"/>
      <c r="U580" s="43" t="n"/>
      <c r="V580" s="36" t="n"/>
      <c r="W580" s="36" t="n"/>
      <c r="X580" s="33">
        <f>IF(C580="","",Commercial_Id)</f>
        <v/>
      </c>
      <c r="Y580" s="33">
        <f>IF(E580="","",IF(E580="Particulier / ménage","Particulier","Entreprise"))</f>
        <v/>
      </c>
      <c r="Z580" s="39">
        <f>IF(C580="","",COUNTIFS(VC_cle,AK580,VC_type,"Visite sur place"))</f>
        <v/>
      </c>
      <c r="AA580" s="46">
        <f>IF(AL580=0,"",IF(INT(AL580)=0,"",INT(AL580)))</f>
        <v/>
      </c>
      <c r="AB580" s="46">
        <f>IF(AL580=0,"",IF(INDEX(VC_actiondate,ROUND(MOD(AL580,1)*100000,0)-5)=0,"",INDEX(VC_actiondate,ROUND(MOD(AL580,1)*100000,0)-5)))</f>
        <v/>
      </c>
      <c r="AC580" s="33">
        <f>IF(AL580=0,"",INDEX(VC_actiontexte,ROUND(MOD(AL580,1)*100000,0)-5)&amp;"")</f>
        <v/>
      </c>
      <c r="AD580" s="46">
        <f>IF(C580="","",IF(COUNTIFS(Cmd_cle,AK580,Cmd_dateca,"&gt;0")=0,"",SMALL(INDEX(Cmd_dateca+(((Cmd_cle&lt;&gt;AK580)+(Cmd_dateca=0))&gt;0)*1000000,0),1)))</f>
        <v/>
      </c>
      <c r="AE580" s="46">
        <f>IF(C580="","",IF(COUNTIFS(Cmd_cle,AK580,Cmd_dateca,"&gt;0")=0,"",MAX(INDEX((Cmd_cle=AK580)*Cmd_dateca,0))))</f>
        <v/>
      </c>
      <c r="AF580" s="40">
        <f>IF(C580="","",SUMIFS(Cmd_montant,Cmd_cle,AK580,Cmd_dateca,"&gt;0"))</f>
        <v/>
      </c>
      <c r="AG580" s="40">
        <f>IF(C580="","",SUMIFS(Enc_montant,Enc_cle,AK580))</f>
        <v/>
      </c>
      <c r="AH580" s="40">
        <f>IF(C580="","",AF580-AG580)</f>
        <v/>
      </c>
      <c r="AI580" s="33">
        <f>IF(C580="","",IF(D580="Perdu","",IF(AND(AB580&lt;&gt;"",N(AB580)&lt;TODAY()),"Action en retard",IF(AND(D580="Client",AE580&lt;&gt;"",TODAY()-N(AE580)&gt;P_JoursInactif),"Client inactif",IF(AND(D580="Prospect",Z580=0,O580&lt;&gt;"",TODAY()-N(O580)&gt;P_JoursNonVisite),"Jamais visité","")))))</f>
        <v/>
      </c>
      <c r="AJ580" s="33">
        <f>IF(C580="","",C580&amp;" ["&amp;TEXT(A580,"000")&amp;"]")</f>
        <v/>
      </c>
      <c r="AK580" s="33">
        <f>IF(C580="","",X580&amp;"|"&amp;A580)</f>
        <v/>
      </c>
      <c r="AL580" s="47">
        <f>IF(C580="",0,IF(COUNTIFS(VC_cle,AK580)=0,0,MAX(INDEX((VC_cle=AK580)*(VC_date+ROW(VC_date)/100000),0))))</f>
        <v/>
      </c>
      <c r="AM580" s="47">
        <f>IF(AND(C580&lt;&gt;"",N(AB580)&gt;0,D580&lt;&gt;"Perdu"),AB580+ROW()/100000,0)</f>
        <v/>
      </c>
      <c r="AN580" s="48">
        <f>IF(N(AF580)&gt;0,ROUND(AF580,0)+ROW()/1000000,0)</f>
        <v/>
      </c>
    </row>
    <row r="581" ht="18" customHeight="1">
      <c r="A581" s="39" t="n">
        <v>576</v>
      </c>
      <c r="B581" s="33">
        <f>IF(C581="","",IF(X581="À RENSEIGNER","GIC",X581)&amp;"-"&amp;TEXT(A581,"000"))</f>
        <v/>
      </c>
      <c r="C581" s="36" t="n"/>
      <c r="D581" s="34">
        <f>IF(C581="","",IF(U581="☑ Oui","Perdu",IF(AD581&lt;&gt;"","Client","Prospect")))</f>
        <v/>
      </c>
      <c r="E581" s="36" t="n"/>
      <c r="F581" s="36" t="n"/>
      <c r="G581" s="44" t="n"/>
      <c r="H581" s="44" t="n"/>
      <c r="I581" s="36" t="n"/>
      <c r="J581" s="36" t="n"/>
      <c r="K581" s="41" t="n"/>
      <c r="L581" s="41" t="n"/>
      <c r="M581" s="36" t="n"/>
      <c r="N581" s="36" t="n"/>
      <c r="O581" s="32" t="n"/>
      <c r="P581" s="36" t="n"/>
      <c r="Q581" s="36" t="n"/>
      <c r="R581" s="34">
        <f>IF(P581="","",IFERROR(VLOOKUP(P581,T_Produits,2,FALSE),""))</f>
        <v/>
      </c>
      <c r="S581" s="36" t="n"/>
      <c r="T581" s="43" t="n"/>
      <c r="U581" s="43" t="n"/>
      <c r="V581" s="36" t="n"/>
      <c r="W581" s="36" t="n"/>
      <c r="X581" s="33">
        <f>IF(C581="","",Commercial_Id)</f>
        <v/>
      </c>
      <c r="Y581" s="33">
        <f>IF(E581="","",IF(E581="Particulier / ménage","Particulier","Entreprise"))</f>
        <v/>
      </c>
      <c r="Z581" s="39">
        <f>IF(C581="","",COUNTIFS(VC_cle,AK581,VC_type,"Visite sur place"))</f>
        <v/>
      </c>
      <c r="AA581" s="46">
        <f>IF(AL581=0,"",IF(INT(AL581)=0,"",INT(AL581)))</f>
        <v/>
      </c>
      <c r="AB581" s="46">
        <f>IF(AL581=0,"",IF(INDEX(VC_actiondate,ROUND(MOD(AL581,1)*100000,0)-5)=0,"",INDEX(VC_actiondate,ROUND(MOD(AL581,1)*100000,0)-5)))</f>
        <v/>
      </c>
      <c r="AC581" s="33">
        <f>IF(AL581=0,"",INDEX(VC_actiontexte,ROUND(MOD(AL581,1)*100000,0)-5)&amp;"")</f>
        <v/>
      </c>
      <c r="AD581" s="46">
        <f>IF(C581="","",IF(COUNTIFS(Cmd_cle,AK581,Cmd_dateca,"&gt;0")=0,"",SMALL(INDEX(Cmd_dateca+(((Cmd_cle&lt;&gt;AK581)+(Cmd_dateca=0))&gt;0)*1000000,0),1)))</f>
        <v/>
      </c>
      <c r="AE581" s="46">
        <f>IF(C581="","",IF(COUNTIFS(Cmd_cle,AK581,Cmd_dateca,"&gt;0")=0,"",MAX(INDEX((Cmd_cle=AK581)*Cmd_dateca,0))))</f>
        <v/>
      </c>
      <c r="AF581" s="40">
        <f>IF(C581="","",SUMIFS(Cmd_montant,Cmd_cle,AK581,Cmd_dateca,"&gt;0"))</f>
        <v/>
      </c>
      <c r="AG581" s="40">
        <f>IF(C581="","",SUMIFS(Enc_montant,Enc_cle,AK581))</f>
        <v/>
      </c>
      <c r="AH581" s="40">
        <f>IF(C581="","",AF581-AG581)</f>
        <v/>
      </c>
      <c r="AI581" s="33">
        <f>IF(C581="","",IF(D581="Perdu","",IF(AND(AB581&lt;&gt;"",N(AB581)&lt;TODAY()),"Action en retard",IF(AND(D581="Client",AE581&lt;&gt;"",TODAY()-N(AE581)&gt;P_JoursInactif),"Client inactif",IF(AND(D581="Prospect",Z581=0,O581&lt;&gt;"",TODAY()-N(O581)&gt;P_JoursNonVisite),"Jamais visité","")))))</f>
        <v/>
      </c>
      <c r="AJ581" s="33">
        <f>IF(C581="","",C581&amp;" ["&amp;TEXT(A581,"000")&amp;"]")</f>
        <v/>
      </c>
      <c r="AK581" s="33">
        <f>IF(C581="","",X581&amp;"|"&amp;A581)</f>
        <v/>
      </c>
      <c r="AL581" s="47">
        <f>IF(C581="",0,IF(COUNTIFS(VC_cle,AK581)=0,0,MAX(INDEX((VC_cle=AK581)*(VC_date+ROW(VC_date)/100000),0))))</f>
        <v/>
      </c>
      <c r="AM581" s="47">
        <f>IF(AND(C581&lt;&gt;"",N(AB581)&gt;0,D581&lt;&gt;"Perdu"),AB581+ROW()/100000,0)</f>
        <v/>
      </c>
      <c r="AN581" s="48">
        <f>IF(N(AF581)&gt;0,ROUND(AF581,0)+ROW()/1000000,0)</f>
        <v/>
      </c>
    </row>
    <row r="582" ht="18" customHeight="1">
      <c r="A582" s="39" t="n">
        <v>577</v>
      </c>
      <c r="B582" s="33">
        <f>IF(C582="","",IF(X582="À RENSEIGNER","GIC",X582)&amp;"-"&amp;TEXT(A582,"000"))</f>
        <v/>
      </c>
      <c r="C582" s="36" t="n"/>
      <c r="D582" s="34">
        <f>IF(C582="","",IF(U582="☑ Oui","Perdu",IF(AD582&lt;&gt;"","Client","Prospect")))</f>
        <v/>
      </c>
      <c r="E582" s="36" t="n"/>
      <c r="F582" s="36" t="n"/>
      <c r="G582" s="44" t="n"/>
      <c r="H582" s="44" t="n"/>
      <c r="I582" s="36" t="n"/>
      <c r="J582" s="36" t="n"/>
      <c r="K582" s="41" t="n"/>
      <c r="L582" s="41" t="n"/>
      <c r="M582" s="36" t="n"/>
      <c r="N582" s="36" t="n"/>
      <c r="O582" s="32" t="n"/>
      <c r="P582" s="36" t="n"/>
      <c r="Q582" s="36" t="n"/>
      <c r="R582" s="34">
        <f>IF(P582="","",IFERROR(VLOOKUP(P582,T_Produits,2,FALSE),""))</f>
        <v/>
      </c>
      <c r="S582" s="36" t="n"/>
      <c r="T582" s="43" t="n"/>
      <c r="U582" s="43" t="n"/>
      <c r="V582" s="36" t="n"/>
      <c r="W582" s="36" t="n"/>
      <c r="X582" s="33">
        <f>IF(C582="","",Commercial_Id)</f>
        <v/>
      </c>
      <c r="Y582" s="33">
        <f>IF(E582="","",IF(E582="Particulier / ménage","Particulier","Entreprise"))</f>
        <v/>
      </c>
      <c r="Z582" s="39">
        <f>IF(C582="","",COUNTIFS(VC_cle,AK582,VC_type,"Visite sur place"))</f>
        <v/>
      </c>
      <c r="AA582" s="46">
        <f>IF(AL582=0,"",IF(INT(AL582)=0,"",INT(AL582)))</f>
        <v/>
      </c>
      <c r="AB582" s="46">
        <f>IF(AL582=0,"",IF(INDEX(VC_actiondate,ROUND(MOD(AL582,1)*100000,0)-5)=0,"",INDEX(VC_actiondate,ROUND(MOD(AL582,1)*100000,0)-5)))</f>
        <v/>
      </c>
      <c r="AC582" s="33">
        <f>IF(AL582=0,"",INDEX(VC_actiontexte,ROUND(MOD(AL582,1)*100000,0)-5)&amp;"")</f>
        <v/>
      </c>
      <c r="AD582" s="46">
        <f>IF(C582="","",IF(COUNTIFS(Cmd_cle,AK582,Cmd_dateca,"&gt;0")=0,"",SMALL(INDEX(Cmd_dateca+(((Cmd_cle&lt;&gt;AK582)+(Cmd_dateca=0))&gt;0)*1000000,0),1)))</f>
        <v/>
      </c>
      <c r="AE582" s="46">
        <f>IF(C582="","",IF(COUNTIFS(Cmd_cle,AK582,Cmd_dateca,"&gt;0")=0,"",MAX(INDEX((Cmd_cle=AK582)*Cmd_dateca,0))))</f>
        <v/>
      </c>
      <c r="AF582" s="40">
        <f>IF(C582="","",SUMIFS(Cmd_montant,Cmd_cle,AK582,Cmd_dateca,"&gt;0"))</f>
        <v/>
      </c>
      <c r="AG582" s="40">
        <f>IF(C582="","",SUMIFS(Enc_montant,Enc_cle,AK582))</f>
        <v/>
      </c>
      <c r="AH582" s="40">
        <f>IF(C582="","",AF582-AG582)</f>
        <v/>
      </c>
      <c r="AI582" s="33">
        <f>IF(C582="","",IF(D582="Perdu","",IF(AND(AB582&lt;&gt;"",N(AB582)&lt;TODAY()),"Action en retard",IF(AND(D582="Client",AE582&lt;&gt;"",TODAY()-N(AE582)&gt;P_JoursInactif),"Client inactif",IF(AND(D582="Prospect",Z582=0,O582&lt;&gt;"",TODAY()-N(O582)&gt;P_JoursNonVisite),"Jamais visité","")))))</f>
        <v/>
      </c>
      <c r="AJ582" s="33">
        <f>IF(C582="","",C582&amp;" ["&amp;TEXT(A582,"000")&amp;"]")</f>
        <v/>
      </c>
      <c r="AK582" s="33">
        <f>IF(C582="","",X582&amp;"|"&amp;A582)</f>
        <v/>
      </c>
      <c r="AL582" s="47">
        <f>IF(C582="",0,IF(COUNTIFS(VC_cle,AK582)=0,0,MAX(INDEX((VC_cle=AK582)*(VC_date+ROW(VC_date)/100000),0))))</f>
        <v/>
      </c>
      <c r="AM582" s="47">
        <f>IF(AND(C582&lt;&gt;"",N(AB582)&gt;0,D582&lt;&gt;"Perdu"),AB582+ROW()/100000,0)</f>
        <v/>
      </c>
      <c r="AN582" s="48">
        <f>IF(N(AF582)&gt;0,ROUND(AF582,0)+ROW()/1000000,0)</f>
        <v/>
      </c>
    </row>
    <row r="583" ht="18" customHeight="1">
      <c r="A583" s="39" t="n">
        <v>578</v>
      </c>
      <c r="B583" s="33">
        <f>IF(C583="","",IF(X583="À RENSEIGNER","GIC",X583)&amp;"-"&amp;TEXT(A583,"000"))</f>
        <v/>
      </c>
      <c r="C583" s="36" t="n"/>
      <c r="D583" s="34">
        <f>IF(C583="","",IF(U583="☑ Oui","Perdu",IF(AD583&lt;&gt;"","Client","Prospect")))</f>
        <v/>
      </c>
      <c r="E583" s="36" t="n"/>
      <c r="F583" s="36" t="n"/>
      <c r="G583" s="44" t="n"/>
      <c r="H583" s="44" t="n"/>
      <c r="I583" s="36" t="n"/>
      <c r="J583" s="36" t="n"/>
      <c r="K583" s="41" t="n"/>
      <c r="L583" s="41" t="n"/>
      <c r="M583" s="36" t="n"/>
      <c r="N583" s="36" t="n"/>
      <c r="O583" s="32" t="n"/>
      <c r="P583" s="36" t="n"/>
      <c r="Q583" s="36" t="n"/>
      <c r="R583" s="34">
        <f>IF(P583="","",IFERROR(VLOOKUP(P583,T_Produits,2,FALSE),""))</f>
        <v/>
      </c>
      <c r="S583" s="36" t="n"/>
      <c r="T583" s="43" t="n"/>
      <c r="U583" s="43" t="n"/>
      <c r="V583" s="36" t="n"/>
      <c r="W583" s="36" t="n"/>
      <c r="X583" s="33">
        <f>IF(C583="","",Commercial_Id)</f>
        <v/>
      </c>
      <c r="Y583" s="33">
        <f>IF(E583="","",IF(E583="Particulier / ménage","Particulier","Entreprise"))</f>
        <v/>
      </c>
      <c r="Z583" s="39">
        <f>IF(C583="","",COUNTIFS(VC_cle,AK583,VC_type,"Visite sur place"))</f>
        <v/>
      </c>
      <c r="AA583" s="46">
        <f>IF(AL583=0,"",IF(INT(AL583)=0,"",INT(AL583)))</f>
        <v/>
      </c>
      <c r="AB583" s="46">
        <f>IF(AL583=0,"",IF(INDEX(VC_actiondate,ROUND(MOD(AL583,1)*100000,0)-5)=0,"",INDEX(VC_actiondate,ROUND(MOD(AL583,1)*100000,0)-5)))</f>
        <v/>
      </c>
      <c r="AC583" s="33">
        <f>IF(AL583=0,"",INDEX(VC_actiontexte,ROUND(MOD(AL583,1)*100000,0)-5)&amp;"")</f>
        <v/>
      </c>
      <c r="AD583" s="46">
        <f>IF(C583="","",IF(COUNTIFS(Cmd_cle,AK583,Cmd_dateca,"&gt;0")=0,"",SMALL(INDEX(Cmd_dateca+(((Cmd_cle&lt;&gt;AK583)+(Cmd_dateca=0))&gt;0)*1000000,0),1)))</f>
        <v/>
      </c>
      <c r="AE583" s="46">
        <f>IF(C583="","",IF(COUNTIFS(Cmd_cle,AK583,Cmd_dateca,"&gt;0")=0,"",MAX(INDEX((Cmd_cle=AK583)*Cmd_dateca,0))))</f>
        <v/>
      </c>
      <c r="AF583" s="40">
        <f>IF(C583="","",SUMIFS(Cmd_montant,Cmd_cle,AK583,Cmd_dateca,"&gt;0"))</f>
        <v/>
      </c>
      <c r="AG583" s="40">
        <f>IF(C583="","",SUMIFS(Enc_montant,Enc_cle,AK583))</f>
        <v/>
      </c>
      <c r="AH583" s="40">
        <f>IF(C583="","",AF583-AG583)</f>
        <v/>
      </c>
      <c r="AI583" s="33">
        <f>IF(C583="","",IF(D583="Perdu","",IF(AND(AB583&lt;&gt;"",N(AB583)&lt;TODAY()),"Action en retard",IF(AND(D583="Client",AE583&lt;&gt;"",TODAY()-N(AE583)&gt;P_JoursInactif),"Client inactif",IF(AND(D583="Prospect",Z583=0,O583&lt;&gt;"",TODAY()-N(O583)&gt;P_JoursNonVisite),"Jamais visité","")))))</f>
        <v/>
      </c>
      <c r="AJ583" s="33">
        <f>IF(C583="","",C583&amp;" ["&amp;TEXT(A583,"000")&amp;"]")</f>
        <v/>
      </c>
      <c r="AK583" s="33">
        <f>IF(C583="","",X583&amp;"|"&amp;A583)</f>
        <v/>
      </c>
      <c r="AL583" s="47">
        <f>IF(C583="",0,IF(COUNTIFS(VC_cle,AK583)=0,0,MAX(INDEX((VC_cle=AK583)*(VC_date+ROW(VC_date)/100000),0))))</f>
        <v/>
      </c>
      <c r="AM583" s="47">
        <f>IF(AND(C583&lt;&gt;"",N(AB583)&gt;0,D583&lt;&gt;"Perdu"),AB583+ROW()/100000,0)</f>
        <v/>
      </c>
      <c r="AN583" s="48">
        <f>IF(N(AF583)&gt;0,ROUND(AF583,0)+ROW()/1000000,0)</f>
        <v/>
      </c>
    </row>
    <row r="584" ht="18" customHeight="1">
      <c r="A584" s="39" t="n">
        <v>579</v>
      </c>
      <c r="B584" s="33">
        <f>IF(C584="","",IF(X584="À RENSEIGNER","GIC",X584)&amp;"-"&amp;TEXT(A584,"000"))</f>
        <v/>
      </c>
      <c r="C584" s="36" t="n"/>
      <c r="D584" s="34">
        <f>IF(C584="","",IF(U584="☑ Oui","Perdu",IF(AD584&lt;&gt;"","Client","Prospect")))</f>
        <v/>
      </c>
      <c r="E584" s="36" t="n"/>
      <c r="F584" s="36" t="n"/>
      <c r="G584" s="44" t="n"/>
      <c r="H584" s="44" t="n"/>
      <c r="I584" s="36" t="n"/>
      <c r="J584" s="36" t="n"/>
      <c r="K584" s="41" t="n"/>
      <c r="L584" s="41" t="n"/>
      <c r="M584" s="36" t="n"/>
      <c r="N584" s="36" t="n"/>
      <c r="O584" s="32" t="n"/>
      <c r="P584" s="36" t="n"/>
      <c r="Q584" s="36" t="n"/>
      <c r="R584" s="34">
        <f>IF(P584="","",IFERROR(VLOOKUP(P584,T_Produits,2,FALSE),""))</f>
        <v/>
      </c>
      <c r="S584" s="36" t="n"/>
      <c r="T584" s="43" t="n"/>
      <c r="U584" s="43" t="n"/>
      <c r="V584" s="36" t="n"/>
      <c r="W584" s="36" t="n"/>
      <c r="X584" s="33">
        <f>IF(C584="","",Commercial_Id)</f>
        <v/>
      </c>
      <c r="Y584" s="33">
        <f>IF(E584="","",IF(E584="Particulier / ménage","Particulier","Entreprise"))</f>
        <v/>
      </c>
      <c r="Z584" s="39">
        <f>IF(C584="","",COUNTIFS(VC_cle,AK584,VC_type,"Visite sur place"))</f>
        <v/>
      </c>
      <c r="AA584" s="46">
        <f>IF(AL584=0,"",IF(INT(AL584)=0,"",INT(AL584)))</f>
        <v/>
      </c>
      <c r="AB584" s="46">
        <f>IF(AL584=0,"",IF(INDEX(VC_actiondate,ROUND(MOD(AL584,1)*100000,0)-5)=0,"",INDEX(VC_actiondate,ROUND(MOD(AL584,1)*100000,0)-5)))</f>
        <v/>
      </c>
      <c r="AC584" s="33">
        <f>IF(AL584=0,"",INDEX(VC_actiontexte,ROUND(MOD(AL584,1)*100000,0)-5)&amp;"")</f>
        <v/>
      </c>
      <c r="AD584" s="46">
        <f>IF(C584="","",IF(COUNTIFS(Cmd_cle,AK584,Cmd_dateca,"&gt;0")=0,"",SMALL(INDEX(Cmd_dateca+(((Cmd_cle&lt;&gt;AK584)+(Cmd_dateca=0))&gt;0)*1000000,0),1)))</f>
        <v/>
      </c>
      <c r="AE584" s="46">
        <f>IF(C584="","",IF(COUNTIFS(Cmd_cle,AK584,Cmd_dateca,"&gt;0")=0,"",MAX(INDEX((Cmd_cle=AK584)*Cmd_dateca,0))))</f>
        <v/>
      </c>
      <c r="AF584" s="40">
        <f>IF(C584="","",SUMIFS(Cmd_montant,Cmd_cle,AK584,Cmd_dateca,"&gt;0"))</f>
        <v/>
      </c>
      <c r="AG584" s="40">
        <f>IF(C584="","",SUMIFS(Enc_montant,Enc_cle,AK584))</f>
        <v/>
      </c>
      <c r="AH584" s="40">
        <f>IF(C584="","",AF584-AG584)</f>
        <v/>
      </c>
      <c r="AI584" s="33">
        <f>IF(C584="","",IF(D584="Perdu","",IF(AND(AB584&lt;&gt;"",N(AB584)&lt;TODAY()),"Action en retard",IF(AND(D584="Client",AE584&lt;&gt;"",TODAY()-N(AE584)&gt;P_JoursInactif),"Client inactif",IF(AND(D584="Prospect",Z584=0,O584&lt;&gt;"",TODAY()-N(O584)&gt;P_JoursNonVisite),"Jamais visité","")))))</f>
        <v/>
      </c>
      <c r="AJ584" s="33">
        <f>IF(C584="","",C584&amp;" ["&amp;TEXT(A584,"000")&amp;"]")</f>
        <v/>
      </c>
      <c r="AK584" s="33">
        <f>IF(C584="","",X584&amp;"|"&amp;A584)</f>
        <v/>
      </c>
      <c r="AL584" s="47">
        <f>IF(C584="",0,IF(COUNTIFS(VC_cle,AK584)=0,0,MAX(INDEX((VC_cle=AK584)*(VC_date+ROW(VC_date)/100000),0))))</f>
        <v/>
      </c>
      <c r="AM584" s="47">
        <f>IF(AND(C584&lt;&gt;"",N(AB584)&gt;0,D584&lt;&gt;"Perdu"),AB584+ROW()/100000,0)</f>
        <v/>
      </c>
      <c r="AN584" s="48">
        <f>IF(N(AF584)&gt;0,ROUND(AF584,0)+ROW()/1000000,0)</f>
        <v/>
      </c>
    </row>
    <row r="585" ht="18" customHeight="1">
      <c r="A585" s="39" t="n">
        <v>580</v>
      </c>
      <c r="B585" s="33">
        <f>IF(C585="","",IF(X585="À RENSEIGNER","GIC",X585)&amp;"-"&amp;TEXT(A585,"000"))</f>
        <v/>
      </c>
      <c r="C585" s="36" t="n"/>
      <c r="D585" s="34">
        <f>IF(C585="","",IF(U585="☑ Oui","Perdu",IF(AD585&lt;&gt;"","Client","Prospect")))</f>
        <v/>
      </c>
      <c r="E585" s="36" t="n"/>
      <c r="F585" s="36" t="n"/>
      <c r="G585" s="44" t="n"/>
      <c r="H585" s="44" t="n"/>
      <c r="I585" s="36" t="n"/>
      <c r="J585" s="36" t="n"/>
      <c r="K585" s="41" t="n"/>
      <c r="L585" s="41" t="n"/>
      <c r="M585" s="36" t="n"/>
      <c r="N585" s="36" t="n"/>
      <c r="O585" s="32" t="n"/>
      <c r="P585" s="36" t="n"/>
      <c r="Q585" s="36" t="n"/>
      <c r="R585" s="34">
        <f>IF(P585="","",IFERROR(VLOOKUP(P585,T_Produits,2,FALSE),""))</f>
        <v/>
      </c>
      <c r="S585" s="36" t="n"/>
      <c r="T585" s="43" t="n"/>
      <c r="U585" s="43" t="n"/>
      <c r="V585" s="36" t="n"/>
      <c r="W585" s="36" t="n"/>
      <c r="X585" s="33">
        <f>IF(C585="","",Commercial_Id)</f>
        <v/>
      </c>
      <c r="Y585" s="33">
        <f>IF(E585="","",IF(E585="Particulier / ménage","Particulier","Entreprise"))</f>
        <v/>
      </c>
      <c r="Z585" s="39">
        <f>IF(C585="","",COUNTIFS(VC_cle,AK585,VC_type,"Visite sur place"))</f>
        <v/>
      </c>
      <c r="AA585" s="46">
        <f>IF(AL585=0,"",IF(INT(AL585)=0,"",INT(AL585)))</f>
        <v/>
      </c>
      <c r="AB585" s="46">
        <f>IF(AL585=0,"",IF(INDEX(VC_actiondate,ROUND(MOD(AL585,1)*100000,0)-5)=0,"",INDEX(VC_actiondate,ROUND(MOD(AL585,1)*100000,0)-5)))</f>
        <v/>
      </c>
      <c r="AC585" s="33">
        <f>IF(AL585=0,"",INDEX(VC_actiontexte,ROUND(MOD(AL585,1)*100000,0)-5)&amp;"")</f>
        <v/>
      </c>
      <c r="AD585" s="46">
        <f>IF(C585="","",IF(COUNTIFS(Cmd_cle,AK585,Cmd_dateca,"&gt;0")=0,"",SMALL(INDEX(Cmd_dateca+(((Cmd_cle&lt;&gt;AK585)+(Cmd_dateca=0))&gt;0)*1000000,0),1)))</f>
        <v/>
      </c>
      <c r="AE585" s="46">
        <f>IF(C585="","",IF(COUNTIFS(Cmd_cle,AK585,Cmd_dateca,"&gt;0")=0,"",MAX(INDEX((Cmd_cle=AK585)*Cmd_dateca,0))))</f>
        <v/>
      </c>
      <c r="AF585" s="40">
        <f>IF(C585="","",SUMIFS(Cmd_montant,Cmd_cle,AK585,Cmd_dateca,"&gt;0"))</f>
        <v/>
      </c>
      <c r="AG585" s="40">
        <f>IF(C585="","",SUMIFS(Enc_montant,Enc_cle,AK585))</f>
        <v/>
      </c>
      <c r="AH585" s="40">
        <f>IF(C585="","",AF585-AG585)</f>
        <v/>
      </c>
      <c r="AI585" s="33">
        <f>IF(C585="","",IF(D585="Perdu","",IF(AND(AB585&lt;&gt;"",N(AB585)&lt;TODAY()),"Action en retard",IF(AND(D585="Client",AE585&lt;&gt;"",TODAY()-N(AE585)&gt;P_JoursInactif),"Client inactif",IF(AND(D585="Prospect",Z585=0,O585&lt;&gt;"",TODAY()-N(O585)&gt;P_JoursNonVisite),"Jamais visité","")))))</f>
        <v/>
      </c>
      <c r="AJ585" s="33">
        <f>IF(C585="","",C585&amp;" ["&amp;TEXT(A585,"000")&amp;"]")</f>
        <v/>
      </c>
      <c r="AK585" s="33">
        <f>IF(C585="","",X585&amp;"|"&amp;A585)</f>
        <v/>
      </c>
      <c r="AL585" s="47">
        <f>IF(C585="",0,IF(COUNTIFS(VC_cle,AK585)=0,0,MAX(INDEX((VC_cle=AK585)*(VC_date+ROW(VC_date)/100000),0))))</f>
        <v/>
      </c>
      <c r="AM585" s="47">
        <f>IF(AND(C585&lt;&gt;"",N(AB585)&gt;0,D585&lt;&gt;"Perdu"),AB585+ROW()/100000,0)</f>
        <v/>
      </c>
      <c r="AN585" s="48">
        <f>IF(N(AF585)&gt;0,ROUND(AF585,0)+ROW()/1000000,0)</f>
        <v/>
      </c>
    </row>
    <row r="586" ht="18" customHeight="1">
      <c r="A586" s="39" t="n">
        <v>581</v>
      </c>
      <c r="B586" s="33">
        <f>IF(C586="","",IF(X586="À RENSEIGNER","GIC",X586)&amp;"-"&amp;TEXT(A586,"000"))</f>
        <v/>
      </c>
      <c r="C586" s="36" t="n"/>
      <c r="D586" s="34">
        <f>IF(C586="","",IF(U586="☑ Oui","Perdu",IF(AD586&lt;&gt;"","Client","Prospect")))</f>
        <v/>
      </c>
      <c r="E586" s="36" t="n"/>
      <c r="F586" s="36" t="n"/>
      <c r="G586" s="44" t="n"/>
      <c r="H586" s="44" t="n"/>
      <c r="I586" s="36" t="n"/>
      <c r="J586" s="36" t="n"/>
      <c r="K586" s="41" t="n"/>
      <c r="L586" s="41" t="n"/>
      <c r="M586" s="36" t="n"/>
      <c r="N586" s="36" t="n"/>
      <c r="O586" s="32" t="n"/>
      <c r="P586" s="36" t="n"/>
      <c r="Q586" s="36" t="n"/>
      <c r="R586" s="34">
        <f>IF(P586="","",IFERROR(VLOOKUP(P586,T_Produits,2,FALSE),""))</f>
        <v/>
      </c>
      <c r="S586" s="36" t="n"/>
      <c r="T586" s="43" t="n"/>
      <c r="U586" s="43" t="n"/>
      <c r="V586" s="36" t="n"/>
      <c r="W586" s="36" t="n"/>
      <c r="X586" s="33">
        <f>IF(C586="","",Commercial_Id)</f>
        <v/>
      </c>
      <c r="Y586" s="33">
        <f>IF(E586="","",IF(E586="Particulier / ménage","Particulier","Entreprise"))</f>
        <v/>
      </c>
      <c r="Z586" s="39">
        <f>IF(C586="","",COUNTIFS(VC_cle,AK586,VC_type,"Visite sur place"))</f>
        <v/>
      </c>
      <c r="AA586" s="46">
        <f>IF(AL586=0,"",IF(INT(AL586)=0,"",INT(AL586)))</f>
        <v/>
      </c>
      <c r="AB586" s="46">
        <f>IF(AL586=0,"",IF(INDEX(VC_actiondate,ROUND(MOD(AL586,1)*100000,0)-5)=0,"",INDEX(VC_actiondate,ROUND(MOD(AL586,1)*100000,0)-5)))</f>
        <v/>
      </c>
      <c r="AC586" s="33">
        <f>IF(AL586=0,"",INDEX(VC_actiontexte,ROUND(MOD(AL586,1)*100000,0)-5)&amp;"")</f>
        <v/>
      </c>
      <c r="AD586" s="46">
        <f>IF(C586="","",IF(COUNTIFS(Cmd_cle,AK586,Cmd_dateca,"&gt;0")=0,"",SMALL(INDEX(Cmd_dateca+(((Cmd_cle&lt;&gt;AK586)+(Cmd_dateca=0))&gt;0)*1000000,0),1)))</f>
        <v/>
      </c>
      <c r="AE586" s="46">
        <f>IF(C586="","",IF(COUNTIFS(Cmd_cle,AK586,Cmd_dateca,"&gt;0")=0,"",MAX(INDEX((Cmd_cle=AK586)*Cmd_dateca,0))))</f>
        <v/>
      </c>
      <c r="AF586" s="40">
        <f>IF(C586="","",SUMIFS(Cmd_montant,Cmd_cle,AK586,Cmd_dateca,"&gt;0"))</f>
        <v/>
      </c>
      <c r="AG586" s="40">
        <f>IF(C586="","",SUMIFS(Enc_montant,Enc_cle,AK586))</f>
        <v/>
      </c>
      <c r="AH586" s="40">
        <f>IF(C586="","",AF586-AG586)</f>
        <v/>
      </c>
      <c r="AI586" s="33">
        <f>IF(C586="","",IF(D586="Perdu","",IF(AND(AB586&lt;&gt;"",N(AB586)&lt;TODAY()),"Action en retard",IF(AND(D586="Client",AE586&lt;&gt;"",TODAY()-N(AE586)&gt;P_JoursInactif),"Client inactif",IF(AND(D586="Prospect",Z586=0,O586&lt;&gt;"",TODAY()-N(O586)&gt;P_JoursNonVisite),"Jamais visité","")))))</f>
        <v/>
      </c>
      <c r="AJ586" s="33">
        <f>IF(C586="","",C586&amp;" ["&amp;TEXT(A586,"000")&amp;"]")</f>
        <v/>
      </c>
      <c r="AK586" s="33">
        <f>IF(C586="","",X586&amp;"|"&amp;A586)</f>
        <v/>
      </c>
      <c r="AL586" s="47">
        <f>IF(C586="",0,IF(COUNTIFS(VC_cle,AK586)=0,0,MAX(INDEX((VC_cle=AK586)*(VC_date+ROW(VC_date)/100000),0))))</f>
        <v/>
      </c>
      <c r="AM586" s="47">
        <f>IF(AND(C586&lt;&gt;"",N(AB586)&gt;0,D586&lt;&gt;"Perdu"),AB586+ROW()/100000,0)</f>
        <v/>
      </c>
      <c r="AN586" s="48">
        <f>IF(N(AF586)&gt;0,ROUND(AF586,0)+ROW()/1000000,0)</f>
        <v/>
      </c>
    </row>
    <row r="587" ht="18" customHeight="1">
      <c r="A587" s="39" t="n">
        <v>582</v>
      </c>
      <c r="B587" s="33">
        <f>IF(C587="","",IF(X587="À RENSEIGNER","GIC",X587)&amp;"-"&amp;TEXT(A587,"000"))</f>
        <v/>
      </c>
      <c r="C587" s="36" t="n"/>
      <c r="D587" s="34">
        <f>IF(C587="","",IF(U587="☑ Oui","Perdu",IF(AD587&lt;&gt;"","Client","Prospect")))</f>
        <v/>
      </c>
      <c r="E587" s="36" t="n"/>
      <c r="F587" s="36" t="n"/>
      <c r="G587" s="44" t="n"/>
      <c r="H587" s="44" t="n"/>
      <c r="I587" s="36" t="n"/>
      <c r="J587" s="36" t="n"/>
      <c r="K587" s="41" t="n"/>
      <c r="L587" s="41" t="n"/>
      <c r="M587" s="36" t="n"/>
      <c r="N587" s="36" t="n"/>
      <c r="O587" s="32" t="n"/>
      <c r="P587" s="36" t="n"/>
      <c r="Q587" s="36" t="n"/>
      <c r="R587" s="34">
        <f>IF(P587="","",IFERROR(VLOOKUP(P587,T_Produits,2,FALSE),""))</f>
        <v/>
      </c>
      <c r="S587" s="36" t="n"/>
      <c r="T587" s="43" t="n"/>
      <c r="U587" s="43" t="n"/>
      <c r="V587" s="36" t="n"/>
      <c r="W587" s="36" t="n"/>
      <c r="X587" s="33">
        <f>IF(C587="","",Commercial_Id)</f>
        <v/>
      </c>
      <c r="Y587" s="33">
        <f>IF(E587="","",IF(E587="Particulier / ménage","Particulier","Entreprise"))</f>
        <v/>
      </c>
      <c r="Z587" s="39">
        <f>IF(C587="","",COUNTIFS(VC_cle,AK587,VC_type,"Visite sur place"))</f>
        <v/>
      </c>
      <c r="AA587" s="46">
        <f>IF(AL587=0,"",IF(INT(AL587)=0,"",INT(AL587)))</f>
        <v/>
      </c>
      <c r="AB587" s="46">
        <f>IF(AL587=0,"",IF(INDEX(VC_actiondate,ROUND(MOD(AL587,1)*100000,0)-5)=0,"",INDEX(VC_actiondate,ROUND(MOD(AL587,1)*100000,0)-5)))</f>
        <v/>
      </c>
      <c r="AC587" s="33">
        <f>IF(AL587=0,"",INDEX(VC_actiontexte,ROUND(MOD(AL587,1)*100000,0)-5)&amp;"")</f>
        <v/>
      </c>
      <c r="AD587" s="46">
        <f>IF(C587="","",IF(COUNTIFS(Cmd_cle,AK587,Cmd_dateca,"&gt;0")=0,"",SMALL(INDEX(Cmd_dateca+(((Cmd_cle&lt;&gt;AK587)+(Cmd_dateca=0))&gt;0)*1000000,0),1)))</f>
        <v/>
      </c>
      <c r="AE587" s="46">
        <f>IF(C587="","",IF(COUNTIFS(Cmd_cle,AK587,Cmd_dateca,"&gt;0")=0,"",MAX(INDEX((Cmd_cle=AK587)*Cmd_dateca,0))))</f>
        <v/>
      </c>
      <c r="AF587" s="40">
        <f>IF(C587="","",SUMIFS(Cmd_montant,Cmd_cle,AK587,Cmd_dateca,"&gt;0"))</f>
        <v/>
      </c>
      <c r="AG587" s="40">
        <f>IF(C587="","",SUMIFS(Enc_montant,Enc_cle,AK587))</f>
        <v/>
      </c>
      <c r="AH587" s="40">
        <f>IF(C587="","",AF587-AG587)</f>
        <v/>
      </c>
      <c r="AI587" s="33">
        <f>IF(C587="","",IF(D587="Perdu","",IF(AND(AB587&lt;&gt;"",N(AB587)&lt;TODAY()),"Action en retard",IF(AND(D587="Client",AE587&lt;&gt;"",TODAY()-N(AE587)&gt;P_JoursInactif),"Client inactif",IF(AND(D587="Prospect",Z587=0,O587&lt;&gt;"",TODAY()-N(O587)&gt;P_JoursNonVisite),"Jamais visité","")))))</f>
        <v/>
      </c>
      <c r="AJ587" s="33">
        <f>IF(C587="","",C587&amp;" ["&amp;TEXT(A587,"000")&amp;"]")</f>
        <v/>
      </c>
      <c r="AK587" s="33">
        <f>IF(C587="","",X587&amp;"|"&amp;A587)</f>
        <v/>
      </c>
      <c r="AL587" s="47">
        <f>IF(C587="",0,IF(COUNTIFS(VC_cle,AK587)=0,0,MAX(INDEX((VC_cle=AK587)*(VC_date+ROW(VC_date)/100000),0))))</f>
        <v/>
      </c>
      <c r="AM587" s="47">
        <f>IF(AND(C587&lt;&gt;"",N(AB587)&gt;0,D587&lt;&gt;"Perdu"),AB587+ROW()/100000,0)</f>
        <v/>
      </c>
      <c r="AN587" s="48">
        <f>IF(N(AF587)&gt;0,ROUND(AF587,0)+ROW()/1000000,0)</f>
        <v/>
      </c>
    </row>
    <row r="588" ht="18" customHeight="1">
      <c r="A588" s="39" t="n">
        <v>583</v>
      </c>
      <c r="B588" s="33">
        <f>IF(C588="","",IF(X588="À RENSEIGNER","GIC",X588)&amp;"-"&amp;TEXT(A588,"000"))</f>
        <v/>
      </c>
      <c r="C588" s="36" t="n"/>
      <c r="D588" s="34">
        <f>IF(C588="","",IF(U588="☑ Oui","Perdu",IF(AD588&lt;&gt;"","Client","Prospect")))</f>
        <v/>
      </c>
      <c r="E588" s="36" t="n"/>
      <c r="F588" s="36" t="n"/>
      <c r="G588" s="44" t="n"/>
      <c r="H588" s="44" t="n"/>
      <c r="I588" s="36" t="n"/>
      <c r="J588" s="36" t="n"/>
      <c r="K588" s="41" t="n"/>
      <c r="L588" s="41" t="n"/>
      <c r="M588" s="36" t="n"/>
      <c r="N588" s="36" t="n"/>
      <c r="O588" s="32" t="n"/>
      <c r="P588" s="36" t="n"/>
      <c r="Q588" s="36" t="n"/>
      <c r="R588" s="34">
        <f>IF(P588="","",IFERROR(VLOOKUP(P588,T_Produits,2,FALSE),""))</f>
        <v/>
      </c>
      <c r="S588" s="36" t="n"/>
      <c r="T588" s="43" t="n"/>
      <c r="U588" s="43" t="n"/>
      <c r="V588" s="36" t="n"/>
      <c r="W588" s="36" t="n"/>
      <c r="X588" s="33">
        <f>IF(C588="","",Commercial_Id)</f>
        <v/>
      </c>
      <c r="Y588" s="33">
        <f>IF(E588="","",IF(E588="Particulier / ménage","Particulier","Entreprise"))</f>
        <v/>
      </c>
      <c r="Z588" s="39">
        <f>IF(C588="","",COUNTIFS(VC_cle,AK588,VC_type,"Visite sur place"))</f>
        <v/>
      </c>
      <c r="AA588" s="46">
        <f>IF(AL588=0,"",IF(INT(AL588)=0,"",INT(AL588)))</f>
        <v/>
      </c>
      <c r="AB588" s="46">
        <f>IF(AL588=0,"",IF(INDEX(VC_actiondate,ROUND(MOD(AL588,1)*100000,0)-5)=0,"",INDEX(VC_actiondate,ROUND(MOD(AL588,1)*100000,0)-5)))</f>
        <v/>
      </c>
      <c r="AC588" s="33">
        <f>IF(AL588=0,"",INDEX(VC_actiontexte,ROUND(MOD(AL588,1)*100000,0)-5)&amp;"")</f>
        <v/>
      </c>
      <c r="AD588" s="46">
        <f>IF(C588="","",IF(COUNTIFS(Cmd_cle,AK588,Cmd_dateca,"&gt;0")=0,"",SMALL(INDEX(Cmd_dateca+(((Cmd_cle&lt;&gt;AK588)+(Cmd_dateca=0))&gt;0)*1000000,0),1)))</f>
        <v/>
      </c>
      <c r="AE588" s="46">
        <f>IF(C588="","",IF(COUNTIFS(Cmd_cle,AK588,Cmd_dateca,"&gt;0")=0,"",MAX(INDEX((Cmd_cle=AK588)*Cmd_dateca,0))))</f>
        <v/>
      </c>
      <c r="AF588" s="40">
        <f>IF(C588="","",SUMIFS(Cmd_montant,Cmd_cle,AK588,Cmd_dateca,"&gt;0"))</f>
        <v/>
      </c>
      <c r="AG588" s="40">
        <f>IF(C588="","",SUMIFS(Enc_montant,Enc_cle,AK588))</f>
        <v/>
      </c>
      <c r="AH588" s="40">
        <f>IF(C588="","",AF588-AG588)</f>
        <v/>
      </c>
      <c r="AI588" s="33">
        <f>IF(C588="","",IF(D588="Perdu","",IF(AND(AB588&lt;&gt;"",N(AB588)&lt;TODAY()),"Action en retard",IF(AND(D588="Client",AE588&lt;&gt;"",TODAY()-N(AE588)&gt;P_JoursInactif),"Client inactif",IF(AND(D588="Prospect",Z588=0,O588&lt;&gt;"",TODAY()-N(O588)&gt;P_JoursNonVisite),"Jamais visité","")))))</f>
        <v/>
      </c>
      <c r="AJ588" s="33">
        <f>IF(C588="","",C588&amp;" ["&amp;TEXT(A588,"000")&amp;"]")</f>
        <v/>
      </c>
      <c r="AK588" s="33">
        <f>IF(C588="","",X588&amp;"|"&amp;A588)</f>
        <v/>
      </c>
      <c r="AL588" s="47">
        <f>IF(C588="",0,IF(COUNTIFS(VC_cle,AK588)=0,0,MAX(INDEX((VC_cle=AK588)*(VC_date+ROW(VC_date)/100000),0))))</f>
        <v/>
      </c>
      <c r="AM588" s="47">
        <f>IF(AND(C588&lt;&gt;"",N(AB588)&gt;0,D588&lt;&gt;"Perdu"),AB588+ROW()/100000,0)</f>
        <v/>
      </c>
      <c r="AN588" s="48">
        <f>IF(N(AF588)&gt;0,ROUND(AF588,0)+ROW()/1000000,0)</f>
        <v/>
      </c>
    </row>
    <row r="589" ht="18" customHeight="1">
      <c r="A589" s="39" t="n">
        <v>584</v>
      </c>
      <c r="B589" s="33">
        <f>IF(C589="","",IF(X589="À RENSEIGNER","GIC",X589)&amp;"-"&amp;TEXT(A589,"000"))</f>
        <v/>
      </c>
      <c r="C589" s="36" t="n"/>
      <c r="D589" s="34">
        <f>IF(C589="","",IF(U589="☑ Oui","Perdu",IF(AD589&lt;&gt;"","Client","Prospect")))</f>
        <v/>
      </c>
      <c r="E589" s="36" t="n"/>
      <c r="F589" s="36" t="n"/>
      <c r="G589" s="44" t="n"/>
      <c r="H589" s="44" t="n"/>
      <c r="I589" s="36" t="n"/>
      <c r="J589" s="36" t="n"/>
      <c r="K589" s="41" t="n"/>
      <c r="L589" s="41" t="n"/>
      <c r="M589" s="36" t="n"/>
      <c r="N589" s="36" t="n"/>
      <c r="O589" s="32" t="n"/>
      <c r="P589" s="36" t="n"/>
      <c r="Q589" s="36" t="n"/>
      <c r="R589" s="34">
        <f>IF(P589="","",IFERROR(VLOOKUP(P589,T_Produits,2,FALSE),""))</f>
        <v/>
      </c>
      <c r="S589" s="36" t="n"/>
      <c r="T589" s="43" t="n"/>
      <c r="U589" s="43" t="n"/>
      <c r="V589" s="36" t="n"/>
      <c r="W589" s="36" t="n"/>
      <c r="X589" s="33">
        <f>IF(C589="","",Commercial_Id)</f>
        <v/>
      </c>
      <c r="Y589" s="33">
        <f>IF(E589="","",IF(E589="Particulier / ménage","Particulier","Entreprise"))</f>
        <v/>
      </c>
      <c r="Z589" s="39">
        <f>IF(C589="","",COUNTIFS(VC_cle,AK589,VC_type,"Visite sur place"))</f>
        <v/>
      </c>
      <c r="AA589" s="46">
        <f>IF(AL589=0,"",IF(INT(AL589)=0,"",INT(AL589)))</f>
        <v/>
      </c>
      <c r="AB589" s="46">
        <f>IF(AL589=0,"",IF(INDEX(VC_actiondate,ROUND(MOD(AL589,1)*100000,0)-5)=0,"",INDEX(VC_actiondate,ROUND(MOD(AL589,1)*100000,0)-5)))</f>
        <v/>
      </c>
      <c r="AC589" s="33">
        <f>IF(AL589=0,"",INDEX(VC_actiontexte,ROUND(MOD(AL589,1)*100000,0)-5)&amp;"")</f>
        <v/>
      </c>
      <c r="AD589" s="46">
        <f>IF(C589="","",IF(COUNTIFS(Cmd_cle,AK589,Cmd_dateca,"&gt;0")=0,"",SMALL(INDEX(Cmd_dateca+(((Cmd_cle&lt;&gt;AK589)+(Cmd_dateca=0))&gt;0)*1000000,0),1)))</f>
        <v/>
      </c>
      <c r="AE589" s="46">
        <f>IF(C589="","",IF(COUNTIFS(Cmd_cle,AK589,Cmd_dateca,"&gt;0")=0,"",MAX(INDEX((Cmd_cle=AK589)*Cmd_dateca,0))))</f>
        <v/>
      </c>
      <c r="AF589" s="40">
        <f>IF(C589="","",SUMIFS(Cmd_montant,Cmd_cle,AK589,Cmd_dateca,"&gt;0"))</f>
        <v/>
      </c>
      <c r="AG589" s="40">
        <f>IF(C589="","",SUMIFS(Enc_montant,Enc_cle,AK589))</f>
        <v/>
      </c>
      <c r="AH589" s="40">
        <f>IF(C589="","",AF589-AG589)</f>
        <v/>
      </c>
      <c r="AI589" s="33">
        <f>IF(C589="","",IF(D589="Perdu","",IF(AND(AB589&lt;&gt;"",N(AB589)&lt;TODAY()),"Action en retard",IF(AND(D589="Client",AE589&lt;&gt;"",TODAY()-N(AE589)&gt;P_JoursInactif),"Client inactif",IF(AND(D589="Prospect",Z589=0,O589&lt;&gt;"",TODAY()-N(O589)&gt;P_JoursNonVisite),"Jamais visité","")))))</f>
        <v/>
      </c>
      <c r="AJ589" s="33">
        <f>IF(C589="","",C589&amp;" ["&amp;TEXT(A589,"000")&amp;"]")</f>
        <v/>
      </c>
      <c r="AK589" s="33">
        <f>IF(C589="","",X589&amp;"|"&amp;A589)</f>
        <v/>
      </c>
      <c r="AL589" s="47">
        <f>IF(C589="",0,IF(COUNTIFS(VC_cle,AK589)=0,0,MAX(INDEX((VC_cle=AK589)*(VC_date+ROW(VC_date)/100000),0))))</f>
        <v/>
      </c>
      <c r="AM589" s="47">
        <f>IF(AND(C589&lt;&gt;"",N(AB589)&gt;0,D589&lt;&gt;"Perdu"),AB589+ROW()/100000,0)</f>
        <v/>
      </c>
      <c r="AN589" s="48">
        <f>IF(N(AF589)&gt;0,ROUND(AF589,0)+ROW()/1000000,0)</f>
        <v/>
      </c>
    </row>
    <row r="590" ht="18" customHeight="1">
      <c r="A590" s="39" t="n">
        <v>585</v>
      </c>
      <c r="B590" s="33">
        <f>IF(C590="","",IF(X590="À RENSEIGNER","GIC",X590)&amp;"-"&amp;TEXT(A590,"000"))</f>
        <v/>
      </c>
      <c r="C590" s="36" t="n"/>
      <c r="D590" s="34">
        <f>IF(C590="","",IF(U590="☑ Oui","Perdu",IF(AD590&lt;&gt;"","Client","Prospect")))</f>
        <v/>
      </c>
      <c r="E590" s="36" t="n"/>
      <c r="F590" s="36" t="n"/>
      <c r="G590" s="44" t="n"/>
      <c r="H590" s="44" t="n"/>
      <c r="I590" s="36" t="n"/>
      <c r="J590" s="36" t="n"/>
      <c r="K590" s="41" t="n"/>
      <c r="L590" s="41" t="n"/>
      <c r="M590" s="36" t="n"/>
      <c r="N590" s="36" t="n"/>
      <c r="O590" s="32" t="n"/>
      <c r="P590" s="36" t="n"/>
      <c r="Q590" s="36" t="n"/>
      <c r="R590" s="34">
        <f>IF(P590="","",IFERROR(VLOOKUP(P590,T_Produits,2,FALSE),""))</f>
        <v/>
      </c>
      <c r="S590" s="36" t="n"/>
      <c r="T590" s="43" t="n"/>
      <c r="U590" s="43" t="n"/>
      <c r="V590" s="36" t="n"/>
      <c r="W590" s="36" t="n"/>
      <c r="X590" s="33">
        <f>IF(C590="","",Commercial_Id)</f>
        <v/>
      </c>
      <c r="Y590" s="33">
        <f>IF(E590="","",IF(E590="Particulier / ménage","Particulier","Entreprise"))</f>
        <v/>
      </c>
      <c r="Z590" s="39">
        <f>IF(C590="","",COUNTIFS(VC_cle,AK590,VC_type,"Visite sur place"))</f>
        <v/>
      </c>
      <c r="AA590" s="46">
        <f>IF(AL590=0,"",IF(INT(AL590)=0,"",INT(AL590)))</f>
        <v/>
      </c>
      <c r="AB590" s="46">
        <f>IF(AL590=0,"",IF(INDEX(VC_actiondate,ROUND(MOD(AL590,1)*100000,0)-5)=0,"",INDEX(VC_actiondate,ROUND(MOD(AL590,1)*100000,0)-5)))</f>
        <v/>
      </c>
      <c r="AC590" s="33">
        <f>IF(AL590=0,"",INDEX(VC_actiontexte,ROUND(MOD(AL590,1)*100000,0)-5)&amp;"")</f>
        <v/>
      </c>
      <c r="AD590" s="46">
        <f>IF(C590="","",IF(COUNTIFS(Cmd_cle,AK590,Cmd_dateca,"&gt;0")=0,"",SMALL(INDEX(Cmd_dateca+(((Cmd_cle&lt;&gt;AK590)+(Cmd_dateca=0))&gt;0)*1000000,0),1)))</f>
        <v/>
      </c>
      <c r="AE590" s="46">
        <f>IF(C590="","",IF(COUNTIFS(Cmd_cle,AK590,Cmd_dateca,"&gt;0")=0,"",MAX(INDEX((Cmd_cle=AK590)*Cmd_dateca,0))))</f>
        <v/>
      </c>
      <c r="AF590" s="40">
        <f>IF(C590="","",SUMIFS(Cmd_montant,Cmd_cle,AK590,Cmd_dateca,"&gt;0"))</f>
        <v/>
      </c>
      <c r="AG590" s="40">
        <f>IF(C590="","",SUMIFS(Enc_montant,Enc_cle,AK590))</f>
        <v/>
      </c>
      <c r="AH590" s="40">
        <f>IF(C590="","",AF590-AG590)</f>
        <v/>
      </c>
      <c r="AI590" s="33">
        <f>IF(C590="","",IF(D590="Perdu","",IF(AND(AB590&lt;&gt;"",N(AB590)&lt;TODAY()),"Action en retard",IF(AND(D590="Client",AE590&lt;&gt;"",TODAY()-N(AE590)&gt;P_JoursInactif),"Client inactif",IF(AND(D590="Prospect",Z590=0,O590&lt;&gt;"",TODAY()-N(O590)&gt;P_JoursNonVisite),"Jamais visité","")))))</f>
        <v/>
      </c>
      <c r="AJ590" s="33">
        <f>IF(C590="","",C590&amp;" ["&amp;TEXT(A590,"000")&amp;"]")</f>
        <v/>
      </c>
      <c r="AK590" s="33">
        <f>IF(C590="","",X590&amp;"|"&amp;A590)</f>
        <v/>
      </c>
      <c r="AL590" s="47">
        <f>IF(C590="",0,IF(COUNTIFS(VC_cle,AK590)=0,0,MAX(INDEX((VC_cle=AK590)*(VC_date+ROW(VC_date)/100000),0))))</f>
        <v/>
      </c>
      <c r="AM590" s="47">
        <f>IF(AND(C590&lt;&gt;"",N(AB590)&gt;0,D590&lt;&gt;"Perdu"),AB590+ROW()/100000,0)</f>
        <v/>
      </c>
      <c r="AN590" s="48">
        <f>IF(N(AF590)&gt;0,ROUND(AF590,0)+ROW()/1000000,0)</f>
        <v/>
      </c>
    </row>
    <row r="591" ht="18" customHeight="1">
      <c r="A591" s="39" t="n">
        <v>586</v>
      </c>
      <c r="B591" s="33">
        <f>IF(C591="","",IF(X591="À RENSEIGNER","GIC",X591)&amp;"-"&amp;TEXT(A591,"000"))</f>
        <v/>
      </c>
      <c r="C591" s="36" t="n"/>
      <c r="D591" s="34">
        <f>IF(C591="","",IF(U591="☑ Oui","Perdu",IF(AD591&lt;&gt;"","Client","Prospect")))</f>
        <v/>
      </c>
      <c r="E591" s="36" t="n"/>
      <c r="F591" s="36" t="n"/>
      <c r="G591" s="44" t="n"/>
      <c r="H591" s="44" t="n"/>
      <c r="I591" s="36" t="n"/>
      <c r="J591" s="36" t="n"/>
      <c r="K591" s="41" t="n"/>
      <c r="L591" s="41" t="n"/>
      <c r="M591" s="36" t="n"/>
      <c r="N591" s="36" t="n"/>
      <c r="O591" s="32" t="n"/>
      <c r="P591" s="36" t="n"/>
      <c r="Q591" s="36" t="n"/>
      <c r="R591" s="34">
        <f>IF(P591="","",IFERROR(VLOOKUP(P591,T_Produits,2,FALSE),""))</f>
        <v/>
      </c>
      <c r="S591" s="36" t="n"/>
      <c r="T591" s="43" t="n"/>
      <c r="U591" s="43" t="n"/>
      <c r="V591" s="36" t="n"/>
      <c r="W591" s="36" t="n"/>
      <c r="X591" s="33">
        <f>IF(C591="","",Commercial_Id)</f>
        <v/>
      </c>
      <c r="Y591" s="33">
        <f>IF(E591="","",IF(E591="Particulier / ménage","Particulier","Entreprise"))</f>
        <v/>
      </c>
      <c r="Z591" s="39">
        <f>IF(C591="","",COUNTIFS(VC_cle,AK591,VC_type,"Visite sur place"))</f>
        <v/>
      </c>
      <c r="AA591" s="46">
        <f>IF(AL591=0,"",IF(INT(AL591)=0,"",INT(AL591)))</f>
        <v/>
      </c>
      <c r="AB591" s="46">
        <f>IF(AL591=0,"",IF(INDEX(VC_actiondate,ROUND(MOD(AL591,1)*100000,0)-5)=0,"",INDEX(VC_actiondate,ROUND(MOD(AL591,1)*100000,0)-5)))</f>
        <v/>
      </c>
      <c r="AC591" s="33">
        <f>IF(AL591=0,"",INDEX(VC_actiontexte,ROUND(MOD(AL591,1)*100000,0)-5)&amp;"")</f>
        <v/>
      </c>
      <c r="AD591" s="46">
        <f>IF(C591="","",IF(COUNTIFS(Cmd_cle,AK591,Cmd_dateca,"&gt;0")=0,"",SMALL(INDEX(Cmd_dateca+(((Cmd_cle&lt;&gt;AK591)+(Cmd_dateca=0))&gt;0)*1000000,0),1)))</f>
        <v/>
      </c>
      <c r="AE591" s="46">
        <f>IF(C591="","",IF(COUNTIFS(Cmd_cle,AK591,Cmd_dateca,"&gt;0")=0,"",MAX(INDEX((Cmd_cle=AK591)*Cmd_dateca,0))))</f>
        <v/>
      </c>
      <c r="AF591" s="40">
        <f>IF(C591="","",SUMIFS(Cmd_montant,Cmd_cle,AK591,Cmd_dateca,"&gt;0"))</f>
        <v/>
      </c>
      <c r="AG591" s="40">
        <f>IF(C591="","",SUMIFS(Enc_montant,Enc_cle,AK591))</f>
        <v/>
      </c>
      <c r="AH591" s="40">
        <f>IF(C591="","",AF591-AG591)</f>
        <v/>
      </c>
      <c r="AI591" s="33">
        <f>IF(C591="","",IF(D591="Perdu","",IF(AND(AB591&lt;&gt;"",N(AB591)&lt;TODAY()),"Action en retard",IF(AND(D591="Client",AE591&lt;&gt;"",TODAY()-N(AE591)&gt;P_JoursInactif),"Client inactif",IF(AND(D591="Prospect",Z591=0,O591&lt;&gt;"",TODAY()-N(O591)&gt;P_JoursNonVisite),"Jamais visité","")))))</f>
        <v/>
      </c>
      <c r="AJ591" s="33">
        <f>IF(C591="","",C591&amp;" ["&amp;TEXT(A591,"000")&amp;"]")</f>
        <v/>
      </c>
      <c r="AK591" s="33">
        <f>IF(C591="","",X591&amp;"|"&amp;A591)</f>
        <v/>
      </c>
      <c r="AL591" s="47">
        <f>IF(C591="",0,IF(COUNTIFS(VC_cle,AK591)=0,0,MAX(INDEX((VC_cle=AK591)*(VC_date+ROW(VC_date)/100000),0))))</f>
        <v/>
      </c>
      <c r="AM591" s="47">
        <f>IF(AND(C591&lt;&gt;"",N(AB591)&gt;0,D591&lt;&gt;"Perdu"),AB591+ROW()/100000,0)</f>
        <v/>
      </c>
      <c r="AN591" s="48">
        <f>IF(N(AF591)&gt;0,ROUND(AF591,0)+ROW()/1000000,0)</f>
        <v/>
      </c>
    </row>
    <row r="592" ht="18" customHeight="1">
      <c r="A592" s="39" t="n">
        <v>587</v>
      </c>
      <c r="B592" s="33">
        <f>IF(C592="","",IF(X592="À RENSEIGNER","GIC",X592)&amp;"-"&amp;TEXT(A592,"000"))</f>
        <v/>
      </c>
      <c r="C592" s="36" t="n"/>
      <c r="D592" s="34">
        <f>IF(C592="","",IF(U592="☑ Oui","Perdu",IF(AD592&lt;&gt;"","Client","Prospect")))</f>
        <v/>
      </c>
      <c r="E592" s="36" t="n"/>
      <c r="F592" s="36" t="n"/>
      <c r="G592" s="44" t="n"/>
      <c r="H592" s="44" t="n"/>
      <c r="I592" s="36" t="n"/>
      <c r="J592" s="36" t="n"/>
      <c r="K592" s="41" t="n"/>
      <c r="L592" s="41" t="n"/>
      <c r="M592" s="36" t="n"/>
      <c r="N592" s="36" t="n"/>
      <c r="O592" s="32" t="n"/>
      <c r="P592" s="36" t="n"/>
      <c r="Q592" s="36" t="n"/>
      <c r="R592" s="34">
        <f>IF(P592="","",IFERROR(VLOOKUP(P592,T_Produits,2,FALSE),""))</f>
        <v/>
      </c>
      <c r="S592" s="36" t="n"/>
      <c r="T592" s="43" t="n"/>
      <c r="U592" s="43" t="n"/>
      <c r="V592" s="36" t="n"/>
      <c r="W592" s="36" t="n"/>
      <c r="X592" s="33">
        <f>IF(C592="","",Commercial_Id)</f>
        <v/>
      </c>
      <c r="Y592" s="33">
        <f>IF(E592="","",IF(E592="Particulier / ménage","Particulier","Entreprise"))</f>
        <v/>
      </c>
      <c r="Z592" s="39">
        <f>IF(C592="","",COUNTIFS(VC_cle,AK592,VC_type,"Visite sur place"))</f>
        <v/>
      </c>
      <c r="AA592" s="46">
        <f>IF(AL592=0,"",IF(INT(AL592)=0,"",INT(AL592)))</f>
        <v/>
      </c>
      <c r="AB592" s="46">
        <f>IF(AL592=0,"",IF(INDEX(VC_actiondate,ROUND(MOD(AL592,1)*100000,0)-5)=0,"",INDEX(VC_actiondate,ROUND(MOD(AL592,1)*100000,0)-5)))</f>
        <v/>
      </c>
      <c r="AC592" s="33">
        <f>IF(AL592=0,"",INDEX(VC_actiontexte,ROUND(MOD(AL592,1)*100000,0)-5)&amp;"")</f>
        <v/>
      </c>
      <c r="AD592" s="46">
        <f>IF(C592="","",IF(COUNTIFS(Cmd_cle,AK592,Cmd_dateca,"&gt;0")=0,"",SMALL(INDEX(Cmd_dateca+(((Cmd_cle&lt;&gt;AK592)+(Cmd_dateca=0))&gt;0)*1000000,0),1)))</f>
        <v/>
      </c>
      <c r="AE592" s="46">
        <f>IF(C592="","",IF(COUNTIFS(Cmd_cle,AK592,Cmd_dateca,"&gt;0")=0,"",MAX(INDEX((Cmd_cle=AK592)*Cmd_dateca,0))))</f>
        <v/>
      </c>
      <c r="AF592" s="40">
        <f>IF(C592="","",SUMIFS(Cmd_montant,Cmd_cle,AK592,Cmd_dateca,"&gt;0"))</f>
        <v/>
      </c>
      <c r="AG592" s="40">
        <f>IF(C592="","",SUMIFS(Enc_montant,Enc_cle,AK592))</f>
        <v/>
      </c>
      <c r="AH592" s="40">
        <f>IF(C592="","",AF592-AG592)</f>
        <v/>
      </c>
      <c r="AI592" s="33">
        <f>IF(C592="","",IF(D592="Perdu","",IF(AND(AB592&lt;&gt;"",N(AB592)&lt;TODAY()),"Action en retard",IF(AND(D592="Client",AE592&lt;&gt;"",TODAY()-N(AE592)&gt;P_JoursInactif),"Client inactif",IF(AND(D592="Prospect",Z592=0,O592&lt;&gt;"",TODAY()-N(O592)&gt;P_JoursNonVisite),"Jamais visité","")))))</f>
        <v/>
      </c>
      <c r="AJ592" s="33">
        <f>IF(C592="","",C592&amp;" ["&amp;TEXT(A592,"000")&amp;"]")</f>
        <v/>
      </c>
      <c r="AK592" s="33">
        <f>IF(C592="","",X592&amp;"|"&amp;A592)</f>
        <v/>
      </c>
      <c r="AL592" s="47">
        <f>IF(C592="",0,IF(COUNTIFS(VC_cle,AK592)=0,0,MAX(INDEX((VC_cle=AK592)*(VC_date+ROW(VC_date)/100000),0))))</f>
        <v/>
      </c>
      <c r="AM592" s="47">
        <f>IF(AND(C592&lt;&gt;"",N(AB592)&gt;0,D592&lt;&gt;"Perdu"),AB592+ROW()/100000,0)</f>
        <v/>
      </c>
      <c r="AN592" s="48">
        <f>IF(N(AF592)&gt;0,ROUND(AF592,0)+ROW()/1000000,0)</f>
        <v/>
      </c>
    </row>
    <row r="593" ht="18" customHeight="1">
      <c r="A593" s="39" t="n">
        <v>588</v>
      </c>
      <c r="B593" s="33">
        <f>IF(C593="","",IF(X593="À RENSEIGNER","GIC",X593)&amp;"-"&amp;TEXT(A593,"000"))</f>
        <v/>
      </c>
      <c r="C593" s="36" t="n"/>
      <c r="D593" s="34">
        <f>IF(C593="","",IF(U593="☑ Oui","Perdu",IF(AD593&lt;&gt;"","Client","Prospect")))</f>
        <v/>
      </c>
      <c r="E593" s="36" t="n"/>
      <c r="F593" s="36" t="n"/>
      <c r="G593" s="44" t="n"/>
      <c r="H593" s="44" t="n"/>
      <c r="I593" s="36" t="n"/>
      <c r="J593" s="36" t="n"/>
      <c r="K593" s="41" t="n"/>
      <c r="L593" s="41" t="n"/>
      <c r="M593" s="36" t="n"/>
      <c r="N593" s="36" t="n"/>
      <c r="O593" s="32" t="n"/>
      <c r="P593" s="36" t="n"/>
      <c r="Q593" s="36" t="n"/>
      <c r="R593" s="34">
        <f>IF(P593="","",IFERROR(VLOOKUP(P593,T_Produits,2,FALSE),""))</f>
        <v/>
      </c>
      <c r="S593" s="36" t="n"/>
      <c r="T593" s="43" t="n"/>
      <c r="U593" s="43" t="n"/>
      <c r="V593" s="36" t="n"/>
      <c r="W593" s="36" t="n"/>
      <c r="X593" s="33">
        <f>IF(C593="","",Commercial_Id)</f>
        <v/>
      </c>
      <c r="Y593" s="33">
        <f>IF(E593="","",IF(E593="Particulier / ménage","Particulier","Entreprise"))</f>
        <v/>
      </c>
      <c r="Z593" s="39">
        <f>IF(C593="","",COUNTIFS(VC_cle,AK593,VC_type,"Visite sur place"))</f>
        <v/>
      </c>
      <c r="AA593" s="46">
        <f>IF(AL593=0,"",IF(INT(AL593)=0,"",INT(AL593)))</f>
        <v/>
      </c>
      <c r="AB593" s="46">
        <f>IF(AL593=0,"",IF(INDEX(VC_actiondate,ROUND(MOD(AL593,1)*100000,0)-5)=0,"",INDEX(VC_actiondate,ROUND(MOD(AL593,1)*100000,0)-5)))</f>
        <v/>
      </c>
      <c r="AC593" s="33">
        <f>IF(AL593=0,"",INDEX(VC_actiontexte,ROUND(MOD(AL593,1)*100000,0)-5)&amp;"")</f>
        <v/>
      </c>
      <c r="AD593" s="46">
        <f>IF(C593="","",IF(COUNTIFS(Cmd_cle,AK593,Cmd_dateca,"&gt;0")=0,"",SMALL(INDEX(Cmd_dateca+(((Cmd_cle&lt;&gt;AK593)+(Cmd_dateca=0))&gt;0)*1000000,0),1)))</f>
        <v/>
      </c>
      <c r="AE593" s="46">
        <f>IF(C593="","",IF(COUNTIFS(Cmd_cle,AK593,Cmd_dateca,"&gt;0")=0,"",MAX(INDEX((Cmd_cle=AK593)*Cmd_dateca,0))))</f>
        <v/>
      </c>
      <c r="AF593" s="40">
        <f>IF(C593="","",SUMIFS(Cmd_montant,Cmd_cle,AK593,Cmd_dateca,"&gt;0"))</f>
        <v/>
      </c>
      <c r="AG593" s="40">
        <f>IF(C593="","",SUMIFS(Enc_montant,Enc_cle,AK593))</f>
        <v/>
      </c>
      <c r="AH593" s="40">
        <f>IF(C593="","",AF593-AG593)</f>
        <v/>
      </c>
      <c r="AI593" s="33">
        <f>IF(C593="","",IF(D593="Perdu","",IF(AND(AB593&lt;&gt;"",N(AB593)&lt;TODAY()),"Action en retard",IF(AND(D593="Client",AE593&lt;&gt;"",TODAY()-N(AE593)&gt;P_JoursInactif),"Client inactif",IF(AND(D593="Prospect",Z593=0,O593&lt;&gt;"",TODAY()-N(O593)&gt;P_JoursNonVisite),"Jamais visité","")))))</f>
        <v/>
      </c>
      <c r="AJ593" s="33">
        <f>IF(C593="","",C593&amp;" ["&amp;TEXT(A593,"000")&amp;"]")</f>
        <v/>
      </c>
      <c r="AK593" s="33">
        <f>IF(C593="","",X593&amp;"|"&amp;A593)</f>
        <v/>
      </c>
      <c r="AL593" s="47">
        <f>IF(C593="",0,IF(COUNTIFS(VC_cle,AK593)=0,0,MAX(INDEX((VC_cle=AK593)*(VC_date+ROW(VC_date)/100000),0))))</f>
        <v/>
      </c>
      <c r="AM593" s="47">
        <f>IF(AND(C593&lt;&gt;"",N(AB593)&gt;0,D593&lt;&gt;"Perdu"),AB593+ROW()/100000,0)</f>
        <v/>
      </c>
      <c r="AN593" s="48">
        <f>IF(N(AF593)&gt;0,ROUND(AF593,0)+ROW()/1000000,0)</f>
        <v/>
      </c>
    </row>
    <row r="594" ht="18" customHeight="1">
      <c r="A594" s="39" t="n">
        <v>589</v>
      </c>
      <c r="B594" s="33">
        <f>IF(C594="","",IF(X594="À RENSEIGNER","GIC",X594)&amp;"-"&amp;TEXT(A594,"000"))</f>
        <v/>
      </c>
      <c r="C594" s="36" t="n"/>
      <c r="D594" s="34">
        <f>IF(C594="","",IF(U594="☑ Oui","Perdu",IF(AD594&lt;&gt;"","Client","Prospect")))</f>
        <v/>
      </c>
      <c r="E594" s="36" t="n"/>
      <c r="F594" s="36" t="n"/>
      <c r="G594" s="44" t="n"/>
      <c r="H594" s="44" t="n"/>
      <c r="I594" s="36" t="n"/>
      <c r="J594" s="36" t="n"/>
      <c r="K594" s="41" t="n"/>
      <c r="L594" s="41" t="n"/>
      <c r="M594" s="36" t="n"/>
      <c r="N594" s="36" t="n"/>
      <c r="O594" s="32" t="n"/>
      <c r="P594" s="36" t="n"/>
      <c r="Q594" s="36" t="n"/>
      <c r="R594" s="34">
        <f>IF(P594="","",IFERROR(VLOOKUP(P594,T_Produits,2,FALSE),""))</f>
        <v/>
      </c>
      <c r="S594" s="36" t="n"/>
      <c r="T594" s="43" t="n"/>
      <c r="U594" s="43" t="n"/>
      <c r="V594" s="36" t="n"/>
      <c r="W594" s="36" t="n"/>
      <c r="X594" s="33">
        <f>IF(C594="","",Commercial_Id)</f>
        <v/>
      </c>
      <c r="Y594" s="33">
        <f>IF(E594="","",IF(E594="Particulier / ménage","Particulier","Entreprise"))</f>
        <v/>
      </c>
      <c r="Z594" s="39">
        <f>IF(C594="","",COUNTIFS(VC_cle,AK594,VC_type,"Visite sur place"))</f>
        <v/>
      </c>
      <c r="AA594" s="46">
        <f>IF(AL594=0,"",IF(INT(AL594)=0,"",INT(AL594)))</f>
        <v/>
      </c>
      <c r="AB594" s="46">
        <f>IF(AL594=0,"",IF(INDEX(VC_actiondate,ROUND(MOD(AL594,1)*100000,0)-5)=0,"",INDEX(VC_actiondate,ROUND(MOD(AL594,1)*100000,0)-5)))</f>
        <v/>
      </c>
      <c r="AC594" s="33">
        <f>IF(AL594=0,"",INDEX(VC_actiontexte,ROUND(MOD(AL594,1)*100000,0)-5)&amp;"")</f>
        <v/>
      </c>
      <c r="AD594" s="46">
        <f>IF(C594="","",IF(COUNTIFS(Cmd_cle,AK594,Cmd_dateca,"&gt;0")=0,"",SMALL(INDEX(Cmd_dateca+(((Cmd_cle&lt;&gt;AK594)+(Cmd_dateca=0))&gt;0)*1000000,0),1)))</f>
        <v/>
      </c>
      <c r="AE594" s="46">
        <f>IF(C594="","",IF(COUNTIFS(Cmd_cle,AK594,Cmd_dateca,"&gt;0")=0,"",MAX(INDEX((Cmd_cle=AK594)*Cmd_dateca,0))))</f>
        <v/>
      </c>
      <c r="AF594" s="40">
        <f>IF(C594="","",SUMIFS(Cmd_montant,Cmd_cle,AK594,Cmd_dateca,"&gt;0"))</f>
        <v/>
      </c>
      <c r="AG594" s="40">
        <f>IF(C594="","",SUMIFS(Enc_montant,Enc_cle,AK594))</f>
        <v/>
      </c>
      <c r="AH594" s="40">
        <f>IF(C594="","",AF594-AG594)</f>
        <v/>
      </c>
      <c r="AI594" s="33">
        <f>IF(C594="","",IF(D594="Perdu","",IF(AND(AB594&lt;&gt;"",N(AB594)&lt;TODAY()),"Action en retard",IF(AND(D594="Client",AE594&lt;&gt;"",TODAY()-N(AE594)&gt;P_JoursInactif),"Client inactif",IF(AND(D594="Prospect",Z594=0,O594&lt;&gt;"",TODAY()-N(O594)&gt;P_JoursNonVisite),"Jamais visité","")))))</f>
        <v/>
      </c>
      <c r="AJ594" s="33">
        <f>IF(C594="","",C594&amp;" ["&amp;TEXT(A594,"000")&amp;"]")</f>
        <v/>
      </c>
      <c r="AK594" s="33">
        <f>IF(C594="","",X594&amp;"|"&amp;A594)</f>
        <v/>
      </c>
      <c r="AL594" s="47">
        <f>IF(C594="",0,IF(COUNTIFS(VC_cle,AK594)=0,0,MAX(INDEX((VC_cle=AK594)*(VC_date+ROW(VC_date)/100000),0))))</f>
        <v/>
      </c>
      <c r="AM594" s="47">
        <f>IF(AND(C594&lt;&gt;"",N(AB594)&gt;0,D594&lt;&gt;"Perdu"),AB594+ROW()/100000,0)</f>
        <v/>
      </c>
      <c r="AN594" s="48">
        <f>IF(N(AF594)&gt;0,ROUND(AF594,0)+ROW()/1000000,0)</f>
        <v/>
      </c>
    </row>
    <row r="595" ht="18" customHeight="1">
      <c r="A595" s="39" t="n">
        <v>590</v>
      </c>
      <c r="B595" s="33">
        <f>IF(C595="","",IF(X595="À RENSEIGNER","GIC",X595)&amp;"-"&amp;TEXT(A595,"000"))</f>
        <v/>
      </c>
      <c r="C595" s="36" t="n"/>
      <c r="D595" s="34">
        <f>IF(C595="","",IF(U595="☑ Oui","Perdu",IF(AD595&lt;&gt;"","Client","Prospect")))</f>
        <v/>
      </c>
      <c r="E595" s="36" t="n"/>
      <c r="F595" s="36" t="n"/>
      <c r="G595" s="44" t="n"/>
      <c r="H595" s="44" t="n"/>
      <c r="I595" s="36" t="n"/>
      <c r="J595" s="36" t="n"/>
      <c r="K595" s="41" t="n"/>
      <c r="L595" s="41" t="n"/>
      <c r="M595" s="36" t="n"/>
      <c r="N595" s="36" t="n"/>
      <c r="O595" s="32" t="n"/>
      <c r="P595" s="36" t="n"/>
      <c r="Q595" s="36" t="n"/>
      <c r="R595" s="34">
        <f>IF(P595="","",IFERROR(VLOOKUP(P595,T_Produits,2,FALSE),""))</f>
        <v/>
      </c>
      <c r="S595" s="36" t="n"/>
      <c r="T595" s="43" t="n"/>
      <c r="U595" s="43" t="n"/>
      <c r="V595" s="36" t="n"/>
      <c r="W595" s="36" t="n"/>
      <c r="X595" s="33">
        <f>IF(C595="","",Commercial_Id)</f>
        <v/>
      </c>
      <c r="Y595" s="33">
        <f>IF(E595="","",IF(E595="Particulier / ménage","Particulier","Entreprise"))</f>
        <v/>
      </c>
      <c r="Z595" s="39">
        <f>IF(C595="","",COUNTIFS(VC_cle,AK595,VC_type,"Visite sur place"))</f>
        <v/>
      </c>
      <c r="AA595" s="46">
        <f>IF(AL595=0,"",IF(INT(AL595)=0,"",INT(AL595)))</f>
        <v/>
      </c>
      <c r="AB595" s="46">
        <f>IF(AL595=0,"",IF(INDEX(VC_actiondate,ROUND(MOD(AL595,1)*100000,0)-5)=0,"",INDEX(VC_actiondate,ROUND(MOD(AL595,1)*100000,0)-5)))</f>
        <v/>
      </c>
      <c r="AC595" s="33">
        <f>IF(AL595=0,"",INDEX(VC_actiontexte,ROUND(MOD(AL595,1)*100000,0)-5)&amp;"")</f>
        <v/>
      </c>
      <c r="AD595" s="46">
        <f>IF(C595="","",IF(COUNTIFS(Cmd_cle,AK595,Cmd_dateca,"&gt;0")=0,"",SMALL(INDEX(Cmd_dateca+(((Cmd_cle&lt;&gt;AK595)+(Cmd_dateca=0))&gt;0)*1000000,0),1)))</f>
        <v/>
      </c>
      <c r="AE595" s="46">
        <f>IF(C595="","",IF(COUNTIFS(Cmd_cle,AK595,Cmd_dateca,"&gt;0")=0,"",MAX(INDEX((Cmd_cle=AK595)*Cmd_dateca,0))))</f>
        <v/>
      </c>
      <c r="AF595" s="40">
        <f>IF(C595="","",SUMIFS(Cmd_montant,Cmd_cle,AK595,Cmd_dateca,"&gt;0"))</f>
        <v/>
      </c>
      <c r="AG595" s="40">
        <f>IF(C595="","",SUMIFS(Enc_montant,Enc_cle,AK595))</f>
        <v/>
      </c>
      <c r="AH595" s="40">
        <f>IF(C595="","",AF595-AG595)</f>
        <v/>
      </c>
      <c r="AI595" s="33">
        <f>IF(C595="","",IF(D595="Perdu","",IF(AND(AB595&lt;&gt;"",N(AB595)&lt;TODAY()),"Action en retard",IF(AND(D595="Client",AE595&lt;&gt;"",TODAY()-N(AE595)&gt;P_JoursInactif),"Client inactif",IF(AND(D595="Prospect",Z595=0,O595&lt;&gt;"",TODAY()-N(O595)&gt;P_JoursNonVisite),"Jamais visité","")))))</f>
        <v/>
      </c>
      <c r="AJ595" s="33">
        <f>IF(C595="","",C595&amp;" ["&amp;TEXT(A595,"000")&amp;"]")</f>
        <v/>
      </c>
      <c r="AK595" s="33">
        <f>IF(C595="","",X595&amp;"|"&amp;A595)</f>
        <v/>
      </c>
      <c r="AL595" s="47">
        <f>IF(C595="",0,IF(COUNTIFS(VC_cle,AK595)=0,0,MAX(INDEX((VC_cle=AK595)*(VC_date+ROW(VC_date)/100000),0))))</f>
        <v/>
      </c>
      <c r="AM595" s="47">
        <f>IF(AND(C595&lt;&gt;"",N(AB595)&gt;0,D595&lt;&gt;"Perdu"),AB595+ROW()/100000,0)</f>
        <v/>
      </c>
      <c r="AN595" s="48">
        <f>IF(N(AF595)&gt;0,ROUND(AF595,0)+ROW()/1000000,0)</f>
        <v/>
      </c>
    </row>
    <row r="596" ht="18" customHeight="1">
      <c r="A596" s="39" t="n">
        <v>591</v>
      </c>
      <c r="B596" s="33">
        <f>IF(C596="","",IF(X596="À RENSEIGNER","GIC",X596)&amp;"-"&amp;TEXT(A596,"000"))</f>
        <v/>
      </c>
      <c r="C596" s="36" t="n"/>
      <c r="D596" s="34">
        <f>IF(C596="","",IF(U596="☑ Oui","Perdu",IF(AD596&lt;&gt;"","Client","Prospect")))</f>
        <v/>
      </c>
      <c r="E596" s="36" t="n"/>
      <c r="F596" s="36" t="n"/>
      <c r="G596" s="44" t="n"/>
      <c r="H596" s="44" t="n"/>
      <c r="I596" s="36" t="n"/>
      <c r="J596" s="36" t="n"/>
      <c r="K596" s="41" t="n"/>
      <c r="L596" s="41" t="n"/>
      <c r="M596" s="36" t="n"/>
      <c r="N596" s="36" t="n"/>
      <c r="O596" s="32" t="n"/>
      <c r="P596" s="36" t="n"/>
      <c r="Q596" s="36" t="n"/>
      <c r="R596" s="34">
        <f>IF(P596="","",IFERROR(VLOOKUP(P596,T_Produits,2,FALSE),""))</f>
        <v/>
      </c>
      <c r="S596" s="36" t="n"/>
      <c r="T596" s="43" t="n"/>
      <c r="U596" s="43" t="n"/>
      <c r="V596" s="36" t="n"/>
      <c r="W596" s="36" t="n"/>
      <c r="X596" s="33">
        <f>IF(C596="","",Commercial_Id)</f>
        <v/>
      </c>
      <c r="Y596" s="33">
        <f>IF(E596="","",IF(E596="Particulier / ménage","Particulier","Entreprise"))</f>
        <v/>
      </c>
      <c r="Z596" s="39">
        <f>IF(C596="","",COUNTIFS(VC_cle,AK596,VC_type,"Visite sur place"))</f>
        <v/>
      </c>
      <c r="AA596" s="46">
        <f>IF(AL596=0,"",IF(INT(AL596)=0,"",INT(AL596)))</f>
        <v/>
      </c>
      <c r="AB596" s="46">
        <f>IF(AL596=0,"",IF(INDEX(VC_actiondate,ROUND(MOD(AL596,1)*100000,0)-5)=0,"",INDEX(VC_actiondate,ROUND(MOD(AL596,1)*100000,0)-5)))</f>
        <v/>
      </c>
      <c r="AC596" s="33">
        <f>IF(AL596=0,"",INDEX(VC_actiontexte,ROUND(MOD(AL596,1)*100000,0)-5)&amp;"")</f>
        <v/>
      </c>
      <c r="AD596" s="46">
        <f>IF(C596="","",IF(COUNTIFS(Cmd_cle,AK596,Cmd_dateca,"&gt;0")=0,"",SMALL(INDEX(Cmd_dateca+(((Cmd_cle&lt;&gt;AK596)+(Cmd_dateca=0))&gt;0)*1000000,0),1)))</f>
        <v/>
      </c>
      <c r="AE596" s="46">
        <f>IF(C596="","",IF(COUNTIFS(Cmd_cle,AK596,Cmd_dateca,"&gt;0")=0,"",MAX(INDEX((Cmd_cle=AK596)*Cmd_dateca,0))))</f>
        <v/>
      </c>
      <c r="AF596" s="40">
        <f>IF(C596="","",SUMIFS(Cmd_montant,Cmd_cle,AK596,Cmd_dateca,"&gt;0"))</f>
        <v/>
      </c>
      <c r="AG596" s="40">
        <f>IF(C596="","",SUMIFS(Enc_montant,Enc_cle,AK596))</f>
        <v/>
      </c>
      <c r="AH596" s="40">
        <f>IF(C596="","",AF596-AG596)</f>
        <v/>
      </c>
      <c r="AI596" s="33">
        <f>IF(C596="","",IF(D596="Perdu","",IF(AND(AB596&lt;&gt;"",N(AB596)&lt;TODAY()),"Action en retard",IF(AND(D596="Client",AE596&lt;&gt;"",TODAY()-N(AE596)&gt;P_JoursInactif),"Client inactif",IF(AND(D596="Prospect",Z596=0,O596&lt;&gt;"",TODAY()-N(O596)&gt;P_JoursNonVisite),"Jamais visité","")))))</f>
        <v/>
      </c>
      <c r="AJ596" s="33">
        <f>IF(C596="","",C596&amp;" ["&amp;TEXT(A596,"000")&amp;"]")</f>
        <v/>
      </c>
      <c r="AK596" s="33">
        <f>IF(C596="","",X596&amp;"|"&amp;A596)</f>
        <v/>
      </c>
      <c r="AL596" s="47">
        <f>IF(C596="",0,IF(COUNTIFS(VC_cle,AK596)=0,0,MAX(INDEX((VC_cle=AK596)*(VC_date+ROW(VC_date)/100000),0))))</f>
        <v/>
      </c>
      <c r="AM596" s="47">
        <f>IF(AND(C596&lt;&gt;"",N(AB596)&gt;0,D596&lt;&gt;"Perdu"),AB596+ROW()/100000,0)</f>
        <v/>
      </c>
      <c r="AN596" s="48">
        <f>IF(N(AF596)&gt;0,ROUND(AF596,0)+ROW()/1000000,0)</f>
        <v/>
      </c>
    </row>
    <row r="597" ht="18" customHeight="1">
      <c r="A597" s="39" t="n">
        <v>592</v>
      </c>
      <c r="B597" s="33">
        <f>IF(C597="","",IF(X597="À RENSEIGNER","GIC",X597)&amp;"-"&amp;TEXT(A597,"000"))</f>
        <v/>
      </c>
      <c r="C597" s="36" t="n"/>
      <c r="D597" s="34">
        <f>IF(C597="","",IF(U597="☑ Oui","Perdu",IF(AD597&lt;&gt;"","Client","Prospect")))</f>
        <v/>
      </c>
      <c r="E597" s="36" t="n"/>
      <c r="F597" s="36" t="n"/>
      <c r="G597" s="44" t="n"/>
      <c r="H597" s="44" t="n"/>
      <c r="I597" s="36" t="n"/>
      <c r="J597" s="36" t="n"/>
      <c r="K597" s="41" t="n"/>
      <c r="L597" s="41" t="n"/>
      <c r="M597" s="36" t="n"/>
      <c r="N597" s="36" t="n"/>
      <c r="O597" s="32" t="n"/>
      <c r="P597" s="36" t="n"/>
      <c r="Q597" s="36" t="n"/>
      <c r="R597" s="34">
        <f>IF(P597="","",IFERROR(VLOOKUP(P597,T_Produits,2,FALSE),""))</f>
        <v/>
      </c>
      <c r="S597" s="36" t="n"/>
      <c r="T597" s="43" t="n"/>
      <c r="U597" s="43" t="n"/>
      <c r="V597" s="36" t="n"/>
      <c r="W597" s="36" t="n"/>
      <c r="X597" s="33">
        <f>IF(C597="","",Commercial_Id)</f>
        <v/>
      </c>
      <c r="Y597" s="33">
        <f>IF(E597="","",IF(E597="Particulier / ménage","Particulier","Entreprise"))</f>
        <v/>
      </c>
      <c r="Z597" s="39">
        <f>IF(C597="","",COUNTIFS(VC_cle,AK597,VC_type,"Visite sur place"))</f>
        <v/>
      </c>
      <c r="AA597" s="46">
        <f>IF(AL597=0,"",IF(INT(AL597)=0,"",INT(AL597)))</f>
        <v/>
      </c>
      <c r="AB597" s="46">
        <f>IF(AL597=0,"",IF(INDEX(VC_actiondate,ROUND(MOD(AL597,1)*100000,0)-5)=0,"",INDEX(VC_actiondate,ROUND(MOD(AL597,1)*100000,0)-5)))</f>
        <v/>
      </c>
      <c r="AC597" s="33">
        <f>IF(AL597=0,"",INDEX(VC_actiontexte,ROUND(MOD(AL597,1)*100000,0)-5)&amp;"")</f>
        <v/>
      </c>
      <c r="AD597" s="46">
        <f>IF(C597="","",IF(COUNTIFS(Cmd_cle,AK597,Cmd_dateca,"&gt;0")=0,"",SMALL(INDEX(Cmd_dateca+(((Cmd_cle&lt;&gt;AK597)+(Cmd_dateca=0))&gt;0)*1000000,0),1)))</f>
        <v/>
      </c>
      <c r="AE597" s="46">
        <f>IF(C597="","",IF(COUNTIFS(Cmd_cle,AK597,Cmd_dateca,"&gt;0")=0,"",MAX(INDEX((Cmd_cle=AK597)*Cmd_dateca,0))))</f>
        <v/>
      </c>
      <c r="AF597" s="40">
        <f>IF(C597="","",SUMIFS(Cmd_montant,Cmd_cle,AK597,Cmd_dateca,"&gt;0"))</f>
        <v/>
      </c>
      <c r="AG597" s="40">
        <f>IF(C597="","",SUMIFS(Enc_montant,Enc_cle,AK597))</f>
        <v/>
      </c>
      <c r="AH597" s="40">
        <f>IF(C597="","",AF597-AG597)</f>
        <v/>
      </c>
      <c r="AI597" s="33">
        <f>IF(C597="","",IF(D597="Perdu","",IF(AND(AB597&lt;&gt;"",N(AB597)&lt;TODAY()),"Action en retard",IF(AND(D597="Client",AE597&lt;&gt;"",TODAY()-N(AE597)&gt;P_JoursInactif),"Client inactif",IF(AND(D597="Prospect",Z597=0,O597&lt;&gt;"",TODAY()-N(O597)&gt;P_JoursNonVisite),"Jamais visité","")))))</f>
        <v/>
      </c>
      <c r="AJ597" s="33">
        <f>IF(C597="","",C597&amp;" ["&amp;TEXT(A597,"000")&amp;"]")</f>
        <v/>
      </c>
      <c r="AK597" s="33">
        <f>IF(C597="","",X597&amp;"|"&amp;A597)</f>
        <v/>
      </c>
      <c r="AL597" s="47">
        <f>IF(C597="",0,IF(COUNTIFS(VC_cle,AK597)=0,0,MAX(INDEX((VC_cle=AK597)*(VC_date+ROW(VC_date)/100000),0))))</f>
        <v/>
      </c>
      <c r="AM597" s="47">
        <f>IF(AND(C597&lt;&gt;"",N(AB597)&gt;0,D597&lt;&gt;"Perdu"),AB597+ROW()/100000,0)</f>
        <v/>
      </c>
      <c r="AN597" s="48">
        <f>IF(N(AF597)&gt;0,ROUND(AF597,0)+ROW()/1000000,0)</f>
        <v/>
      </c>
    </row>
    <row r="598" ht="18" customHeight="1">
      <c r="A598" s="39" t="n">
        <v>593</v>
      </c>
      <c r="B598" s="33">
        <f>IF(C598="","",IF(X598="À RENSEIGNER","GIC",X598)&amp;"-"&amp;TEXT(A598,"000"))</f>
        <v/>
      </c>
      <c r="C598" s="36" t="n"/>
      <c r="D598" s="34">
        <f>IF(C598="","",IF(U598="☑ Oui","Perdu",IF(AD598&lt;&gt;"","Client","Prospect")))</f>
        <v/>
      </c>
      <c r="E598" s="36" t="n"/>
      <c r="F598" s="36" t="n"/>
      <c r="G598" s="44" t="n"/>
      <c r="H598" s="44" t="n"/>
      <c r="I598" s="36" t="n"/>
      <c r="J598" s="36" t="n"/>
      <c r="K598" s="41" t="n"/>
      <c r="L598" s="41" t="n"/>
      <c r="M598" s="36" t="n"/>
      <c r="N598" s="36" t="n"/>
      <c r="O598" s="32" t="n"/>
      <c r="P598" s="36" t="n"/>
      <c r="Q598" s="36" t="n"/>
      <c r="R598" s="34">
        <f>IF(P598="","",IFERROR(VLOOKUP(P598,T_Produits,2,FALSE),""))</f>
        <v/>
      </c>
      <c r="S598" s="36" t="n"/>
      <c r="T598" s="43" t="n"/>
      <c r="U598" s="43" t="n"/>
      <c r="V598" s="36" t="n"/>
      <c r="W598" s="36" t="n"/>
      <c r="X598" s="33">
        <f>IF(C598="","",Commercial_Id)</f>
        <v/>
      </c>
      <c r="Y598" s="33">
        <f>IF(E598="","",IF(E598="Particulier / ménage","Particulier","Entreprise"))</f>
        <v/>
      </c>
      <c r="Z598" s="39">
        <f>IF(C598="","",COUNTIFS(VC_cle,AK598,VC_type,"Visite sur place"))</f>
        <v/>
      </c>
      <c r="AA598" s="46">
        <f>IF(AL598=0,"",IF(INT(AL598)=0,"",INT(AL598)))</f>
        <v/>
      </c>
      <c r="AB598" s="46">
        <f>IF(AL598=0,"",IF(INDEX(VC_actiondate,ROUND(MOD(AL598,1)*100000,0)-5)=0,"",INDEX(VC_actiondate,ROUND(MOD(AL598,1)*100000,0)-5)))</f>
        <v/>
      </c>
      <c r="AC598" s="33">
        <f>IF(AL598=0,"",INDEX(VC_actiontexte,ROUND(MOD(AL598,1)*100000,0)-5)&amp;"")</f>
        <v/>
      </c>
      <c r="AD598" s="46">
        <f>IF(C598="","",IF(COUNTIFS(Cmd_cle,AK598,Cmd_dateca,"&gt;0")=0,"",SMALL(INDEX(Cmd_dateca+(((Cmd_cle&lt;&gt;AK598)+(Cmd_dateca=0))&gt;0)*1000000,0),1)))</f>
        <v/>
      </c>
      <c r="AE598" s="46">
        <f>IF(C598="","",IF(COUNTIFS(Cmd_cle,AK598,Cmd_dateca,"&gt;0")=0,"",MAX(INDEX((Cmd_cle=AK598)*Cmd_dateca,0))))</f>
        <v/>
      </c>
      <c r="AF598" s="40">
        <f>IF(C598="","",SUMIFS(Cmd_montant,Cmd_cle,AK598,Cmd_dateca,"&gt;0"))</f>
        <v/>
      </c>
      <c r="AG598" s="40">
        <f>IF(C598="","",SUMIFS(Enc_montant,Enc_cle,AK598))</f>
        <v/>
      </c>
      <c r="AH598" s="40">
        <f>IF(C598="","",AF598-AG598)</f>
        <v/>
      </c>
      <c r="AI598" s="33">
        <f>IF(C598="","",IF(D598="Perdu","",IF(AND(AB598&lt;&gt;"",N(AB598)&lt;TODAY()),"Action en retard",IF(AND(D598="Client",AE598&lt;&gt;"",TODAY()-N(AE598)&gt;P_JoursInactif),"Client inactif",IF(AND(D598="Prospect",Z598=0,O598&lt;&gt;"",TODAY()-N(O598)&gt;P_JoursNonVisite),"Jamais visité","")))))</f>
        <v/>
      </c>
      <c r="AJ598" s="33">
        <f>IF(C598="","",C598&amp;" ["&amp;TEXT(A598,"000")&amp;"]")</f>
        <v/>
      </c>
      <c r="AK598" s="33">
        <f>IF(C598="","",X598&amp;"|"&amp;A598)</f>
        <v/>
      </c>
      <c r="AL598" s="47">
        <f>IF(C598="",0,IF(COUNTIFS(VC_cle,AK598)=0,0,MAX(INDEX((VC_cle=AK598)*(VC_date+ROW(VC_date)/100000),0))))</f>
        <v/>
      </c>
      <c r="AM598" s="47">
        <f>IF(AND(C598&lt;&gt;"",N(AB598)&gt;0,D598&lt;&gt;"Perdu"),AB598+ROW()/100000,0)</f>
        <v/>
      </c>
      <c r="AN598" s="48">
        <f>IF(N(AF598)&gt;0,ROUND(AF598,0)+ROW()/1000000,0)</f>
        <v/>
      </c>
    </row>
    <row r="599" ht="18" customHeight="1">
      <c r="A599" s="39" t="n">
        <v>594</v>
      </c>
      <c r="B599" s="33">
        <f>IF(C599="","",IF(X599="À RENSEIGNER","GIC",X599)&amp;"-"&amp;TEXT(A599,"000"))</f>
        <v/>
      </c>
      <c r="C599" s="36" t="n"/>
      <c r="D599" s="34">
        <f>IF(C599="","",IF(U599="☑ Oui","Perdu",IF(AD599&lt;&gt;"","Client","Prospect")))</f>
        <v/>
      </c>
      <c r="E599" s="36" t="n"/>
      <c r="F599" s="36" t="n"/>
      <c r="G599" s="44" t="n"/>
      <c r="H599" s="44" t="n"/>
      <c r="I599" s="36" t="n"/>
      <c r="J599" s="36" t="n"/>
      <c r="K599" s="41" t="n"/>
      <c r="L599" s="41" t="n"/>
      <c r="M599" s="36" t="n"/>
      <c r="N599" s="36" t="n"/>
      <c r="O599" s="32" t="n"/>
      <c r="P599" s="36" t="n"/>
      <c r="Q599" s="36" t="n"/>
      <c r="R599" s="34">
        <f>IF(P599="","",IFERROR(VLOOKUP(P599,T_Produits,2,FALSE),""))</f>
        <v/>
      </c>
      <c r="S599" s="36" t="n"/>
      <c r="T599" s="43" t="n"/>
      <c r="U599" s="43" t="n"/>
      <c r="V599" s="36" t="n"/>
      <c r="W599" s="36" t="n"/>
      <c r="X599" s="33">
        <f>IF(C599="","",Commercial_Id)</f>
        <v/>
      </c>
      <c r="Y599" s="33">
        <f>IF(E599="","",IF(E599="Particulier / ménage","Particulier","Entreprise"))</f>
        <v/>
      </c>
      <c r="Z599" s="39">
        <f>IF(C599="","",COUNTIFS(VC_cle,AK599,VC_type,"Visite sur place"))</f>
        <v/>
      </c>
      <c r="AA599" s="46">
        <f>IF(AL599=0,"",IF(INT(AL599)=0,"",INT(AL599)))</f>
        <v/>
      </c>
      <c r="AB599" s="46">
        <f>IF(AL599=0,"",IF(INDEX(VC_actiondate,ROUND(MOD(AL599,1)*100000,0)-5)=0,"",INDEX(VC_actiondate,ROUND(MOD(AL599,1)*100000,0)-5)))</f>
        <v/>
      </c>
      <c r="AC599" s="33">
        <f>IF(AL599=0,"",INDEX(VC_actiontexte,ROUND(MOD(AL599,1)*100000,0)-5)&amp;"")</f>
        <v/>
      </c>
      <c r="AD599" s="46">
        <f>IF(C599="","",IF(COUNTIFS(Cmd_cle,AK599,Cmd_dateca,"&gt;0")=0,"",SMALL(INDEX(Cmd_dateca+(((Cmd_cle&lt;&gt;AK599)+(Cmd_dateca=0))&gt;0)*1000000,0),1)))</f>
        <v/>
      </c>
      <c r="AE599" s="46">
        <f>IF(C599="","",IF(COUNTIFS(Cmd_cle,AK599,Cmd_dateca,"&gt;0")=0,"",MAX(INDEX((Cmd_cle=AK599)*Cmd_dateca,0))))</f>
        <v/>
      </c>
      <c r="AF599" s="40">
        <f>IF(C599="","",SUMIFS(Cmd_montant,Cmd_cle,AK599,Cmd_dateca,"&gt;0"))</f>
        <v/>
      </c>
      <c r="AG599" s="40">
        <f>IF(C599="","",SUMIFS(Enc_montant,Enc_cle,AK599))</f>
        <v/>
      </c>
      <c r="AH599" s="40">
        <f>IF(C599="","",AF599-AG599)</f>
        <v/>
      </c>
      <c r="AI599" s="33">
        <f>IF(C599="","",IF(D599="Perdu","",IF(AND(AB599&lt;&gt;"",N(AB599)&lt;TODAY()),"Action en retard",IF(AND(D599="Client",AE599&lt;&gt;"",TODAY()-N(AE599)&gt;P_JoursInactif),"Client inactif",IF(AND(D599="Prospect",Z599=0,O599&lt;&gt;"",TODAY()-N(O599)&gt;P_JoursNonVisite),"Jamais visité","")))))</f>
        <v/>
      </c>
      <c r="AJ599" s="33">
        <f>IF(C599="","",C599&amp;" ["&amp;TEXT(A599,"000")&amp;"]")</f>
        <v/>
      </c>
      <c r="AK599" s="33">
        <f>IF(C599="","",X599&amp;"|"&amp;A599)</f>
        <v/>
      </c>
      <c r="AL599" s="47">
        <f>IF(C599="",0,IF(COUNTIFS(VC_cle,AK599)=0,0,MAX(INDEX((VC_cle=AK599)*(VC_date+ROW(VC_date)/100000),0))))</f>
        <v/>
      </c>
      <c r="AM599" s="47">
        <f>IF(AND(C599&lt;&gt;"",N(AB599)&gt;0,D599&lt;&gt;"Perdu"),AB599+ROW()/100000,0)</f>
        <v/>
      </c>
      <c r="AN599" s="48">
        <f>IF(N(AF599)&gt;0,ROUND(AF599,0)+ROW()/1000000,0)</f>
        <v/>
      </c>
    </row>
    <row r="600" ht="18" customHeight="1">
      <c r="A600" s="39" t="n">
        <v>595</v>
      </c>
      <c r="B600" s="33">
        <f>IF(C600="","",IF(X600="À RENSEIGNER","GIC",X600)&amp;"-"&amp;TEXT(A600,"000"))</f>
        <v/>
      </c>
      <c r="C600" s="36" t="n"/>
      <c r="D600" s="34">
        <f>IF(C600="","",IF(U600="☑ Oui","Perdu",IF(AD600&lt;&gt;"","Client","Prospect")))</f>
        <v/>
      </c>
      <c r="E600" s="36" t="n"/>
      <c r="F600" s="36" t="n"/>
      <c r="G600" s="44" t="n"/>
      <c r="H600" s="44" t="n"/>
      <c r="I600" s="36" t="n"/>
      <c r="J600" s="36" t="n"/>
      <c r="K600" s="41" t="n"/>
      <c r="L600" s="41" t="n"/>
      <c r="M600" s="36" t="n"/>
      <c r="N600" s="36" t="n"/>
      <c r="O600" s="32" t="n"/>
      <c r="P600" s="36" t="n"/>
      <c r="Q600" s="36" t="n"/>
      <c r="R600" s="34">
        <f>IF(P600="","",IFERROR(VLOOKUP(P600,T_Produits,2,FALSE),""))</f>
        <v/>
      </c>
      <c r="S600" s="36" t="n"/>
      <c r="T600" s="43" t="n"/>
      <c r="U600" s="43" t="n"/>
      <c r="V600" s="36" t="n"/>
      <c r="W600" s="36" t="n"/>
      <c r="X600" s="33">
        <f>IF(C600="","",Commercial_Id)</f>
        <v/>
      </c>
      <c r="Y600" s="33">
        <f>IF(E600="","",IF(E600="Particulier / ménage","Particulier","Entreprise"))</f>
        <v/>
      </c>
      <c r="Z600" s="39">
        <f>IF(C600="","",COUNTIFS(VC_cle,AK600,VC_type,"Visite sur place"))</f>
        <v/>
      </c>
      <c r="AA600" s="46">
        <f>IF(AL600=0,"",IF(INT(AL600)=0,"",INT(AL600)))</f>
        <v/>
      </c>
      <c r="AB600" s="46">
        <f>IF(AL600=0,"",IF(INDEX(VC_actiondate,ROUND(MOD(AL600,1)*100000,0)-5)=0,"",INDEX(VC_actiondate,ROUND(MOD(AL600,1)*100000,0)-5)))</f>
        <v/>
      </c>
      <c r="AC600" s="33">
        <f>IF(AL600=0,"",INDEX(VC_actiontexte,ROUND(MOD(AL600,1)*100000,0)-5)&amp;"")</f>
        <v/>
      </c>
      <c r="AD600" s="46">
        <f>IF(C600="","",IF(COUNTIFS(Cmd_cle,AK600,Cmd_dateca,"&gt;0")=0,"",SMALL(INDEX(Cmd_dateca+(((Cmd_cle&lt;&gt;AK600)+(Cmd_dateca=0))&gt;0)*1000000,0),1)))</f>
        <v/>
      </c>
      <c r="AE600" s="46">
        <f>IF(C600="","",IF(COUNTIFS(Cmd_cle,AK600,Cmd_dateca,"&gt;0")=0,"",MAX(INDEX((Cmd_cle=AK600)*Cmd_dateca,0))))</f>
        <v/>
      </c>
      <c r="AF600" s="40">
        <f>IF(C600="","",SUMIFS(Cmd_montant,Cmd_cle,AK600,Cmd_dateca,"&gt;0"))</f>
        <v/>
      </c>
      <c r="AG600" s="40">
        <f>IF(C600="","",SUMIFS(Enc_montant,Enc_cle,AK600))</f>
        <v/>
      </c>
      <c r="AH600" s="40">
        <f>IF(C600="","",AF600-AG600)</f>
        <v/>
      </c>
      <c r="AI600" s="33">
        <f>IF(C600="","",IF(D600="Perdu","",IF(AND(AB600&lt;&gt;"",N(AB600)&lt;TODAY()),"Action en retard",IF(AND(D600="Client",AE600&lt;&gt;"",TODAY()-N(AE600)&gt;P_JoursInactif),"Client inactif",IF(AND(D600="Prospect",Z600=0,O600&lt;&gt;"",TODAY()-N(O600)&gt;P_JoursNonVisite),"Jamais visité","")))))</f>
        <v/>
      </c>
      <c r="AJ600" s="33">
        <f>IF(C600="","",C600&amp;" ["&amp;TEXT(A600,"000")&amp;"]")</f>
        <v/>
      </c>
      <c r="AK600" s="33">
        <f>IF(C600="","",X600&amp;"|"&amp;A600)</f>
        <v/>
      </c>
      <c r="AL600" s="47">
        <f>IF(C600="",0,IF(COUNTIFS(VC_cle,AK600)=0,0,MAX(INDEX((VC_cle=AK600)*(VC_date+ROW(VC_date)/100000),0))))</f>
        <v/>
      </c>
      <c r="AM600" s="47">
        <f>IF(AND(C600&lt;&gt;"",N(AB600)&gt;0,D600&lt;&gt;"Perdu"),AB600+ROW()/100000,0)</f>
        <v/>
      </c>
      <c r="AN600" s="48">
        <f>IF(N(AF600)&gt;0,ROUND(AF600,0)+ROW()/1000000,0)</f>
        <v/>
      </c>
    </row>
    <row r="601" ht="18" customHeight="1">
      <c r="A601" s="39" t="n">
        <v>596</v>
      </c>
      <c r="B601" s="33">
        <f>IF(C601="","",IF(X601="À RENSEIGNER","GIC",X601)&amp;"-"&amp;TEXT(A601,"000"))</f>
        <v/>
      </c>
      <c r="C601" s="36" t="n"/>
      <c r="D601" s="34">
        <f>IF(C601="","",IF(U601="☑ Oui","Perdu",IF(AD601&lt;&gt;"","Client","Prospect")))</f>
        <v/>
      </c>
      <c r="E601" s="36" t="n"/>
      <c r="F601" s="36" t="n"/>
      <c r="G601" s="44" t="n"/>
      <c r="H601" s="44" t="n"/>
      <c r="I601" s="36" t="n"/>
      <c r="J601" s="36" t="n"/>
      <c r="K601" s="41" t="n"/>
      <c r="L601" s="41" t="n"/>
      <c r="M601" s="36" t="n"/>
      <c r="N601" s="36" t="n"/>
      <c r="O601" s="32" t="n"/>
      <c r="P601" s="36" t="n"/>
      <c r="Q601" s="36" t="n"/>
      <c r="R601" s="34">
        <f>IF(P601="","",IFERROR(VLOOKUP(P601,T_Produits,2,FALSE),""))</f>
        <v/>
      </c>
      <c r="S601" s="36" t="n"/>
      <c r="T601" s="43" t="n"/>
      <c r="U601" s="43" t="n"/>
      <c r="V601" s="36" t="n"/>
      <c r="W601" s="36" t="n"/>
      <c r="X601" s="33">
        <f>IF(C601="","",Commercial_Id)</f>
        <v/>
      </c>
      <c r="Y601" s="33">
        <f>IF(E601="","",IF(E601="Particulier / ménage","Particulier","Entreprise"))</f>
        <v/>
      </c>
      <c r="Z601" s="39">
        <f>IF(C601="","",COUNTIFS(VC_cle,AK601,VC_type,"Visite sur place"))</f>
        <v/>
      </c>
      <c r="AA601" s="46">
        <f>IF(AL601=0,"",IF(INT(AL601)=0,"",INT(AL601)))</f>
        <v/>
      </c>
      <c r="AB601" s="46">
        <f>IF(AL601=0,"",IF(INDEX(VC_actiondate,ROUND(MOD(AL601,1)*100000,0)-5)=0,"",INDEX(VC_actiondate,ROUND(MOD(AL601,1)*100000,0)-5)))</f>
        <v/>
      </c>
      <c r="AC601" s="33">
        <f>IF(AL601=0,"",INDEX(VC_actiontexte,ROUND(MOD(AL601,1)*100000,0)-5)&amp;"")</f>
        <v/>
      </c>
      <c r="AD601" s="46">
        <f>IF(C601="","",IF(COUNTIFS(Cmd_cle,AK601,Cmd_dateca,"&gt;0")=0,"",SMALL(INDEX(Cmd_dateca+(((Cmd_cle&lt;&gt;AK601)+(Cmd_dateca=0))&gt;0)*1000000,0),1)))</f>
        <v/>
      </c>
      <c r="AE601" s="46">
        <f>IF(C601="","",IF(COUNTIFS(Cmd_cle,AK601,Cmd_dateca,"&gt;0")=0,"",MAX(INDEX((Cmd_cle=AK601)*Cmd_dateca,0))))</f>
        <v/>
      </c>
      <c r="AF601" s="40">
        <f>IF(C601="","",SUMIFS(Cmd_montant,Cmd_cle,AK601,Cmd_dateca,"&gt;0"))</f>
        <v/>
      </c>
      <c r="AG601" s="40">
        <f>IF(C601="","",SUMIFS(Enc_montant,Enc_cle,AK601))</f>
        <v/>
      </c>
      <c r="AH601" s="40">
        <f>IF(C601="","",AF601-AG601)</f>
        <v/>
      </c>
      <c r="AI601" s="33">
        <f>IF(C601="","",IF(D601="Perdu","",IF(AND(AB601&lt;&gt;"",N(AB601)&lt;TODAY()),"Action en retard",IF(AND(D601="Client",AE601&lt;&gt;"",TODAY()-N(AE601)&gt;P_JoursInactif),"Client inactif",IF(AND(D601="Prospect",Z601=0,O601&lt;&gt;"",TODAY()-N(O601)&gt;P_JoursNonVisite),"Jamais visité","")))))</f>
        <v/>
      </c>
      <c r="AJ601" s="33">
        <f>IF(C601="","",C601&amp;" ["&amp;TEXT(A601,"000")&amp;"]")</f>
        <v/>
      </c>
      <c r="AK601" s="33">
        <f>IF(C601="","",X601&amp;"|"&amp;A601)</f>
        <v/>
      </c>
      <c r="AL601" s="47">
        <f>IF(C601="",0,IF(COUNTIFS(VC_cle,AK601)=0,0,MAX(INDEX((VC_cle=AK601)*(VC_date+ROW(VC_date)/100000),0))))</f>
        <v/>
      </c>
      <c r="AM601" s="47">
        <f>IF(AND(C601&lt;&gt;"",N(AB601)&gt;0,D601&lt;&gt;"Perdu"),AB601+ROW()/100000,0)</f>
        <v/>
      </c>
      <c r="AN601" s="48">
        <f>IF(N(AF601)&gt;0,ROUND(AF601,0)+ROW()/1000000,0)</f>
        <v/>
      </c>
    </row>
    <row r="602" ht="18" customHeight="1">
      <c r="A602" s="39" t="n">
        <v>597</v>
      </c>
      <c r="B602" s="33">
        <f>IF(C602="","",IF(X602="À RENSEIGNER","GIC",X602)&amp;"-"&amp;TEXT(A602,"000"))</f>
        <v/>
      </c>
      <c r="C602" s="36" t="n"/>
      <c r="D602" s="34">
        <f>IF(C602="","",IF(U602="☑ Oui","Perdu",IF(AD602&lt;&gt;"","Client","Prospect")))</f>
        <v/>
      </c>
      <c r="E602" s="36" t="n"/>
      <c r="F602" s="36" t="n"/>
      <c r="G602" s="44" t="n"/>
      <c r="H602" s="44" t="n"/>
      <c r="I602" s="36" t="n"/>
      <c r="J602" s="36" t="n"/>
      <c r="K602" s="41" t="n"/>
      <c r="L602" s="41" t="n"/>
      <c r="M602" s="36" t="n"/>
      <c r="N602" s="36" t="n"/>
      <c r="O602" s="32" t="n"/>
      <c r="P602" s="36" t="n"/>
      <c r="Q602" s="36" t="n"/>
      <c r="R602" s="34">
        <f>IF(P602="","",IFERROR(VLOOKUP(P602,T_Produits,2,FALSE),""))</f>
        <v/>
      </c>
      <c r="S602" s="36" t="n"/>
      <c r="T602" s="43" t="n"/>
      <c r="U602" s="43" t="n"/>
      <c r="V602" s="36" t="n"/>
      <c r="W602" s="36" t="n"/>
      <c r="X602" s="33">
        <f>IF(C602="","",Commercial_Id)</f>
        <v/>
      </c>
      <c r="Y602" s="33">
        <f>IF(E602="","",IF(E602="Particulier / ménage","Particulier","Entreprise"))</f>
        <v/>
      </c>
      <c r="Z602" s="39">
        <f>IF(C602="","",COUNTIFS(VC_cle,AK602,VC_type,"Visite sur place"))</f>
        <v/>
      </c>
      <c r="AA602" s="46">
        <f>IF(AL602=0,"",IF(INT(AL602)=0,"",INT(AL602)))</f>
        <v/>
      </c>
      <c r="AB602" s="46">
        <f>IF(AL602=0,"",IF(INDEX(VC_actiondate,ROUND(MOD(AL602,1)*100000,0)-5)=0,"",INDEX(VC_actiondate,ROUND(MOD(AL602,1)*100000,0)-5)))</f>
        <v/>
      </c>
      <c r="AC602" s="33">
        <f>IF(AL602=0,"",INDEX(VC_actiontexte,ROUND(MOD(AL602,1)*100000,0)-5)&amp;"")</f>
        <v/>
      </c>
      <c r="AD602" s="46">
        <f>IF(C602="","",IF(COUNTIFS(Cmd_cle,AK602,Cmd_dateca,"&gt;0")=0,"",SMALL(INDEX(Cmd_dateca+(((Cmd_cle&lt;&gt;AK602)+(Cmd_dateca=0))&gt;0)*1000000,0),1)))</f>
        <v/>
      </c>
      <c r="AE602" s="46">
        <f>IF(C602="","",IF(COUNTIFS(Cmd_cle,AK602,Cmd_dateca,"&gt;0")=0,"",MAX(INDEX((Cmd_cle=AK602)*Cmd_dateca,0))))</f>
        <v/>
      </c>
      <c r="AF602" s="40">
        <f>IF(C602="","",SUMIFS(Cmd_montant,Cmd_cle,AK602,Cmd_dateca,"&gt;0"))</f>
        <v/>
      </c>
      <c r="AG602" s="40">
        <f>IF(C602="","",SUMIFS(Enc_montant,Enc_cle,AK602))</f>
        <v/>
      </c>
      <c r="AH602" s="40">
        <f>IF(C602="","",AF602-AG602)</f>
        <v/>
      </c>
      <c r="AI602" s="33">
        <f>IF(C602="","",IF(D602="Perdu","",IF(AND(AB602&lt;&gt;"",N(AB602)&lt;TODAY()),"Action en retard",IF(AND(D602="Client",AE602&lt;&gt;"",TODAY()-N(AE602)&gt;P_JoursInactif),"Client inactif",IF(AND(D602="Prospect",Z602=0,O602&lt;&gt;"",TODAY()-N(O602)&gt;P_JoursNonVisite),"Jamais visité","")))))</f>
        <v/>
      </c>
      <c r="AJ602" s="33">
        <f>IF(C602="","",C602&amp;" ["&amp;TEXT(A602,"000")&amp;"]")</f>
        <v/>
      </c>
      <c r="AK602" s="33">
        <f>IF(C602="","",X602&amp;"|"&amp;A602)</f>
        <v/>
      </c>
      <c r="AL602" s="47">
        <f>IF(C602="",0,IF(COUNTIFS(VC_cle,AK602)=0,0,MAX(INDEX((VC_cle=AK602)*(VC_date+ROW(VC_date)/100000),0))))</f>
        <v/>
      </c>
      <c r="AM602" s="47">
        <f>IF(AND(C602&lt;&gt;"",N(AB602)&gt;0,D602&lt;&gt;"Perdu"),AB602+ROW()/100000,0)</f>
        <v/>
      </c>
      <c r="AN602" s="48">
        <f>IF(N(AF602)&gt;0,ROUND(AF602,0)+ROW()/1000000,0)</f>
        <v/>
      </c>
    </row>
    <row r="603" ht="18" customHeight="1">
      <c r="A603" s="39" t="n">
        <v>598</v>
      </c>
      <c r="B603" s="33">
        <f>IF(C603="","",IF(X603="À RENSEIGNER","GIC",X603)&amp;"-"&amp;TEXT(A603,"000"))</f>
        <v/>
      </c>
      <c r="C603" s="36" t="n"/>
      <c r="D603" s="34">
        <f>IF(C603="","",IF(U603="☑ Oui","Perdu",IF(AD603&lt;&gt;"","Client","Prospect")))</f>
        <v/>
      </c>
      <c r="E603" s="36" t="n"/>
      <c r="F603" s="36" t="n"/>
      <c r="G603" s="44" t="n"/>
      <c r="H603" s="44" t="n"/>
      <c r="I603" s="36" t="n"/>
      <c r="J603" s="36" t="n"/>
      <c r="K603" s="41" t="n"/>
      <c r="L603" s="41" t="n"/>
      <c r="M603" s="36" t="n"/>
      <c r="N603" s="36" t="n"/>
      <c r="O603" s="32" t="n"/>
      <c r="P603" s="36" t="n"/>
      <c r="Q603" s="36" t="n"/>
      <c r="R603" s="34">
        <f>IF(P603="","",IFERROR(VLOOKUP(P603,T_Produits,2,FALSE),""))</f>
        <v/>
      </c>
      <c r="S603" s="36" t="n"/>
      <c r="T603" s="43" t="n"/>
      <c r="U603" s="43" t="n"/>
      <c r="V603" s="36" t="n"/>
      <c r="W603" s="36" t="n"/>
      <c r="X603" s="33">
        <f>IF(C603="","",Commercial_Id)</f>
        <v/>
      </c>
      <c r="Y603" s="33">
        <f>IF(E603="","",IF(E603="Particulier / ménage","Particulier","Entreprise"))</f>
        <v/>
      </c>
      <c r="Z603" s="39">
        <f>IF(C603="","",COUNTIFS(VC_cle,AK603,VC_type,"Visite sur place"))</f>
        <v/>
      </c>
      <c r="AA603" s="46">
        <f>IF(AL603=0,"",IF(INT(AL603)=0,"",INT(AL603)))</f>
        <v/>
      </c>
      <c r="AB603" s="46">
        <f>IF(AL603=0,"",IF(INDEX(VC_actiondate,ROUND(MOD(AL603,1)*100000,0)-5)=0,"",INDEX(VC_actiondate,ROUND(MOD(AL603,1)*100000,0)-5)))</f>
        <v/>
      </c>
      <c r="AC603" s="33">
        <f>IF(AL603=0,"",INDEX(VC_actiontexte,ROUND(MOD(AL603,1)*100000,0)-5)&amp;"")</f>
        <v/>
      </c>
      <c r="AD603" s="46">
        <f>IF(C603="","",IF(COUNTIFS(Cmd_cle,AK603,Cmd_dateca,"&gt;0")=0,"",SMALL(INDEX(Cmd_dateca+(((Cmd_cle&lt;&gt;AK603)+(Cmd_dateca=0))&gt;0)*1000000,0),1)))</f>
        <v/>
      </c>
      <c r="AE603" s="46">
        <f>IF(C603="","",IF(COUNTIFS(Cmd_cle,AK603,Cmd_dateca,"&gt;0")=0,"",MAX(INDEX((Cmd_cle=AK603)*Cmd_dateca,0))))</f>
        <v/>
      </c>
      <c r="AF603" s="40">
        <f>IF(C603="","",SUMIFS(Cmd_montant,Cmd_cle,AK603,Cmd_dateca,"&gt;0"))</f>
        <v/>
      </c>
      <c r="AG603" s="40">
        <f>IF(C603="","",SUMIFS(Enc_montant,Enc_cle,AK603))</f>
        <v/>
      </c>
      <c r="AH603" s="40">
        <f>IF(C603="","",AF603-AG603)</f>
        <v/>
      </c>
      <c r="AI603" s="33">
        <f>IF(C603="","",IF(D603="Perdu","",IF(AND(AB603&lt;&gt;"",N(AB603)&lt;TODAY()),"Action en retard",IF(AND(D603="Client",AE603&lt;&gt;"",TODAY()-N(AE603)&gt;P_JoursInactif),"Client inactif",IF(AND(D603="Prospect",Z603=0,O603&lt;&gt;"",TODAY()-N(O603)&gt;P_JoursNonVisite),"Jamais visité","")))))</f>
        <v/>
      </c>
      <c r="AJ603" s="33">
        <f>IF(C603="","",C603&amp;" ["&amp;TEXT(A603,"000")&amp;"]")</f>
        <v/>
      </c>
      <c r="AK603" s="33">
        <f>IF(C603="","",X603&amp;"|"&amp;A603)</f>
        <v/>
      </c>
      <c r="AL603" s="47">
        <f>IF(C603="",0,IF(COUNTIFS(VC_cle,AK603)=0,0,MAX(INDEX((VC_cle=AK603)*(VC_date+ROW(VC_date)/100000),0))))</f>
        <v/>
      </c>
      <c r="AM603" s="47">
        <f>IF(AND(C603&lt;&gt;"",N(AB603)&gt;0,D603&lt;&gt;"Perdu"),AB603+ROW()/100000,0)</f>
        <v/>
      </c>
      <c r="AN603" s="48">
        <f>IF(N(AF603)&gt;0,ROUND(AF603,0)+ROW()/1000000,0)</f>
        <v/>
      </c>
    </row>
    <row r="604" ht="18" customHeight="1">
      <c r="A604" s="39" t="n">
        <v>599</v>
      </c>
      <c r="B604" s="33">
        <f>IF(C604="","",IF(X604="À RENSEIGNER","GIC",X604)&amp;"-"&amp;TEXT(A604,"000"))</f>
        <v/>
      </c>
      <c r="C604" s="36" t="n"/>
      <c r="D604" s="34">
        <f>IF(C604="","",IF(U604="☑ Oui","Perdu",IF(AD604&lt;&gt;"","Client","Prospect")))</f>
        <v/>
      </c>
      <c r="E604" s="36" t="n"/>
      <c r="F604" s="36" t="n"/>
      <c r="G604" s="44" t="n"/>
      <c r="H604" s="44" t="n"/>
      <c r="I604" s="36" t="n"/>
      <c r="J604" s="36" t="n"/>
      <c r="K604" s="41" t="n"/>
      <c r="L604" s="41" t="n"/>
      <c r="M604" s="36" t="n"/>
      <c r="N604" s="36" t="n"/>
      <c r="O604" s="32" t="n"/>
      <c r="P604" s="36" t="n"/>
      <c r="Q604" s="36" t="n"/>
      <c r="R604" s="34">
        <f>IF(P604="","",IFERROR(VLOOKUP(P604,T_Produits,2,FALSE),""))</f>
        <v/>
      </c>
      <c r="S604" s="36" t="n"/>
      <c r="T604" s="43" t="n"/>
      <c r="U604" s="43" t="n"/>
      <c r="V604" s="36" t="n"/>
      <c r="W604" s="36" t="n"/>
      <c r="X604" s="33">
        <f>IF(C604="","",Commercial_Id)</f>
        <v/>
      </c>
      <c r="Y604" s="33">
        <f>IF(E604="","",IF(E604="Particulier / ménage","Particulier","Entreprise"))</f>
        <v/>
      </c>
      <c r="Z604" s="39">
        <f>IF(C604="","",COUNTIFS(VC_cle,AK604,VC_type,"Visite sur place"))</f>
        <v/>
      </c>
      <c r="AA604" s="46">
        <f>IF(AL604=0,"",IF(INT(AL604)=0,"",INT(AL604)))</f>
        <v/>
      </c>
      <c r="AB604" s="46">
        <f>IF(AL604=0,"",IF(INDEX(VC_actiondate,ROUND(MOD(AL604,1)*100000,0)-5)=0,"",INDEX(VC_actiondate,ROUND(MOD(AL604,1)*100000,0)-5)))</f>
        <v/>
      </c>
      <c r="AC604" s="33">
        <f>IF(AL604=0,"",INDEX(VC_actiontexte,ROUND(MOD(AL604,1)*100000,0)-5)&amp;"")</f>
        <v/>
      </c>
      <c r="AD604" s="46">
        <f>IF(C604="","",IF(COUNTIFS(Cmd_cle,AK604,Cmd_dateca,"&gt;0")=0,"",SMALL(INDEX(Cmd_dateca+(((Cmd_cle&lt;&gt;AK604)+(Cmd_dateca=0))&gt;0)*1000000,0),1)))</f>
        <v/>
      </c>
      <c r="AE604" s="46">
        <f>IF(C604="","",IF(COUNTIFS(Cmd_cle,AK604,Cmd_dateca,"&gt;0")=0,"",MAX(INDEX((Cmd_cle=AK604)*Cmd_dateca,0))))</f>
        <v/>
      </c>
      <c r="AF604" s="40">
        <f>IF(C604="","",SUMIFS(Cmd_montant,Cmd_cle,AK604,Cmd_dateca,"&gt;0"))</f>
        <v/>
      </c>
      <c r="AG604" s="40">
        <f>IF(C604="","",SUMIFS(Enc_montant,Enc_cle,AK604))</f>
        <v/>
      </c>
      <c r="AH604" s="40">
        <f>IF(C604="","",AF604-AG604)</f>
        <v/>
      </c>
      <c r="AI604" s="33">
        <f>IF(C604="","",IF(D604="Perdu","",IF(AND(AB604&lt;&gt;"",N(AB604)&lt;TODAY()),"Action en retard",IF(AND(D604="Client",AE604&lt;&gt;"",TODAY()-N(AE604)&gt;P_JoursInactif),"Client inactif",IF(AND(D604="Prospect",Z604=0,O604&lt;&gt;"",TODAY()-N(O604)&gt;P_JoursNonVisite),"Jamais visité","")))))</f>
        <v/>
      </c>
      <c r="AJ604" s="33">
        <f>IF(C604="","",C604&amp;" ["&amp;TEXT(A604,"000")&amp;"]")</f>
        <v/>
      </c>
      <c r="AK604" s="33">
        <f>IF(C604="","",X604&amp;"|"&amp;A604)</f>
        <v/>
      </c>
      <c r="AL604" s="47">
        <f>IF(C604="",0,IF(COUNTIFS(VC_cle,AK604)=0,0,MAX(INDEX((VC_cle=AK604)*(VC_date+ROW(VC_date)/100000),0))))</f>
        <v/>
      </c>
      <c r="AM604" s="47">
        <f>IF(AND(C604&lt;&gt;"",N(AB604)&gt;0,D604&lt;&gt;"Perdu"),AB604+ROW()/100000,0)</f>
        <v/>
      </c>
      <c r="AN604" s="48">
        <f>IF(N(AF604)&gt;0,ROUND(AF604,0)+ROW()/1000000,0)</f>
        <v/>
      </c>
    </row>
    <row r="605" ht="18" customHeight="1">
      <c r="A605" s="39" t="n">
        <v>600</v>
      </c>
      <c r="B605" s="33">
        <f>IF(C605="","",IF(X605="À RENSEIGNER","GIC",X605)&amp;"-"&amp;TEXT(A605,"000"))</f>
        <v/>
      </c>
      <c r="C605" s="36" t="n"/>
      <c r="D605" s="34">
        <f>IF(C605="","",IF(U605="☑ Oui","Perdu",IF(AD605&lt;&gt;"","Client","Prospect")))</f>
        <v/>
      </c>
      <c r="E605" s="36" t="n"/>
      <c r="F605" s="36" t="n"/>
      <c r="G605" s="44" t="n"/>
      <c r="H605" s="44" t="n"/>
      <c r="I605" s="36" t="n"/>
      <c r="J605" s="36" t="n"/>
      <c r="K605" s="41" t="n"/>
      <c r="L605" s="41" t="n"/>
      <c r="M605" s="36" t="n"/>
      <c r="N605" s="36" t="n"/>
      <c r="O605" s="32" t="n"/>
      <c r="P605" s="36" t="n"/>
      <c r="Q605" s="36" t="n"/>
      <c r="R605" s="34">
        <f>IF(P605="","",IFERROR(VLOOKUP(P605,T_Produits,2,FALSE),""))</f>
        <v/>
      </c>
      <c r="S605" s="36" t="n"/>
      <c r="T605" s="43" t="n"/>
      <c r="U605" s="43" t="n"/>
      <c r="V605" s="36" t="n"/>
      <c r="W605" s="36" t="n"/>
      <c r="X605" s="33">
        <f>IF(C605="","",Commercial_Id)</f>
        <v/>
      </c>
      <c r="Y605" s="33">
        <f>IF(E605="","",IF(E605="Particulier / ménage","Particulier","Entreprise"))</f>
        <v/>
      </c>
      <c r="Z605" s="39">
        <f>IF(C605="","",COUNTIFS(VC_cle,AK605,VC_type,"Visite sur place"))</f>
        <v/>
      </c>
      <c r="AA605" s="46">
        <f>IF(AL605=0,"",IF(INT(AL605)=0,"",INT(AL605)))</f>
        <v/>
      </c>
      <c r="AB605" s="46">
        <f>IF(AL605=0,"",IF(INDEX(VC_actiondate,ROUND(MOD(AL605,1)*100000,0)-5)=0,"",INDEX(VC_actiondate,ROUND(MOD(AL605,1)*100000,0)-5)))</f>
        <v/>
      </c>
      <c r="AC605" s="33">
        <f>IF(AL605=0,"",INDEX(VC_actiontexte,ROUND(MOD(AL605,1)*100000,0)-5)&amp;"")</f>
        <v/>
      </c>
      <c r="AD605" s="46">
        <f>IF(C605="","",IF(COUNTIFS(Cmd_cle,AK605,Cmd_dateca,"&gt;0")=0,"",SMALL(INDEX(Cmd_dateca+(((Cmd_cle&lt;&gt;AK605)+(Cmd_dateca=0))&gt;0)*1000000,0),1)))</f>
        <v/>
      </c>
      <c r="AE605" s="46">
        <f>IF(C605="","",IF(COUNTIFS(Cmd_cle,AK605,Cmd_dateca,"&gt;0")=0,"",MAX(INDEX((Cmd_cle=AK605)*Cmd_dateca,0))))</f>
        <v/>
      </c>
      <c r="AF605" s="40">
        <f>IF(C605="","",SUMIFS(Cmd_montant,Cmd_cle,AK605,Cmd_dateca,"&gt;0"))</f>
        <v/>
      </c>
      <c r="AG605" s="40">
        <f>IF(C605="","",SUMIFS(Enc_montant,Enc_cle,AK605))</f>
        <v/>
      </c>
      <c r="AH605" s="40">
        <f>IF(C605="","",AF605-AG605)</f>
        <v/>
      </c>
      <c r="AI605" s="33">
        <f>IF(C605="","",IF(D605="Perdu","",IF(AND(AB605&lt;&gt;"",N(AB605)&lt;TODAY()),"Action en retard",IF(AND(D605="Client",AE605&lt;&gt;"",TODAY()-N(AE605)&gt;P_JoursInactif),"Client inactif",IF(AND(D605="Prospect",Z605=0,O605&lt;&gt;"",TODAY()-N(O605)&gt;P_JoursNonVisite),"Jamais visité","")))))</f>
        <v/>
      </c>
      <c r="AJ605" s="33">
        <f>IF(C605="","",C605&amp;" ["&amp;TEXT(A605,"000")&amp;"]")</f>
        <v/>
      </c>
      <c r="AK605" s="33">
        <f>IF(C605="","",X605&amp;"|"&amp;A605)</f>
        <v/>
      </c>
      <c r="AL605" s="47">
        <f>IF(C605="",0,IF(COUNTIFS(VC_cle,AK605)=0,0,MAX(INDEX((VC_cle=AK605)*(VC_date+ROW(VC_date)/100000),0))))</f>
        <v/>
      </c>
      <c r="AM605" s="47">
        <f>IF(AND(C605&lt;&gt;"",N(AB605)&gt;0,D605&lt;&gt;"Perdu"),AB605+ROW()/100000,0)</f>
        <v/>
      </c>
      <c r="AN605" s="48">
        <f>IF(N(AF605)&gt;0,ROUND(AF605,0)+ROW()/1000000,0)</f>
        <v/>
      </c>
    </row>
  </sheetData>
  <autoFilter ref="A5:AN605"/>
  <mergeCells count="1">
    <mergeCell ref="A3:B3"/>
  </mergeCells>
  <conditionalFormatting sqref="C6:C605">
    <cfRule type="expression" priority="1" dxfId="0">
      <formula>AND(COUNTA($C6:$C6,$E6:$Q6,$S6:$W6)&gt;0,C6="")</formula>
    </cfRule>
  </conditionalFormatting>
  <conditionalFormatting sqref="E6:E605">
    <cfRule type="expression" priority="2" dxfId="0">
      <formula>AND(COUNTA($C6:$C6,$E6:$Q6,$S6:$W6)&gt;0,E6="")</formula>
    </cfRule>
  </conditionalFormatting>
  <conditionalFormatting sqref="N6:N605">
    <cfRule type="expression" priority="3" dxfId="0">
      <formula>AND(D6="Prospect",N6="")</formula>
    </cfRule>
  </conditionalFormatting>
  <conditionalFormatting sqref="O6:O605">
    <cfRule type="expression" priority="4" dxfId="0">
      <formula>AND(COUNTA($C6:$C6,$E6:$Q6,$S6:$W6)&gt;0,O6="")</formula>
    </cfRule>
    <cfRule type="expression" priority="5" dxfId="0">
      <formula>AND(O6&lt;&gt;"",NOT(ISNUMBER(O6)))</formula>
    </cfRule>
  </conditionalFormatting>
  <conditionalFormatting sqref="V6:V605">
    <cfRule type="expression" priority="6" dxfId="0">
      <formula>AND(U6="☑ Oui",V6="")</formula>
    </cfRule>
  </conditionalFormatting>
  <dataValidations count="12">
    <dataValidation sqref="E6:E605" showDropDown="0" showInputMessage="0" showErrorMessage="1" allowBlank="1" errorTitle="Valeur hors liste" error="Cette valeur n'est pas dans la liste. Choisissez-la avec la flèche à droite de la cellule." type="list" errorStyle="stop">
      <formula1>=L_TypeClient</formula1>
    </dataValidation>
    <dataValidation sqref="G6:G605" showDropDown="0" showInputMessage="0" showErrorMessage="1" allowBlank="1" errorTitle="Vérifiez la valeur" error="Un numéro camerounais compte au moins 9 chiffres (ex. 677122395)." type="custom" errorStyle="warning">
      <formula1>OR(LEN(SUBSTITUTE(G6," ",""))&gt;=9,G6="")</formula1>
    </dataValidation>
    <dataValidation sqref="I6:I605" showDropDown="0" showInputMessage="0" showErrorMessage="1" allowBlank="1" errorTitle="Valeur hors liste" error="Cette valeur n'est pas dans la liste. Choisissez-la avec la flèche à droite de la cellule (vous pouvez aussi garder une autre valeur)." type="list" errorStyle="warning">
      <formula1>=L_Zone</formula1>
    </dataValidation>
    <dataValidation sqref="M6:M605" showDropDown="0" showInputMessage="0" showErrorMessage="1" allowBlank="1" errorTitle="Valeur hors liste" error="Cette valeur n'est pas dans la liste. Choisissez-la avec la flèche à droite de la cellule." type="list" errorStyle="stop">
      <formula1>=L_Source</formula1>
    </dataValidation>
    <dataValidation sqref="N6:N605" showDropDown="0" showInputMessage="0" showErrorMessage="1" allowBlank="1" errorTitle="Valeur hors liste" error="Cette valeur n'est pas dans la liste. Choisissez-la avec la flèche à droite de la cellule." type="list" errorStyle="stop">
      <formula1>=L_Etape</formula1>
    </dataValidation>
    <dataValidation sqref="O6:O6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P6:P605" showDropDown="0" showInputMessage="0" showErrorMessage="1" allowBlank="1" errorTitle="Valeur hors liste" error="Cette valeur n'est pas dans la liste. Choisissez-la avec la flèche à droite de la cellule." type="list" errorStyle="stop">
      <formula1>=L_Produit</formula1>
    </dataValidation>
    <dataValidation sqref="Q6:Q605" showDropDown="0" showInputMessage="0" showErrorMessage="1" allowBlank="1" errorTitle="Valeur hors liste" error="Choisissez une quantité dans la liste ou tapez-en une autre. Cliquez sur OK pour la garder telle quelle." type="list" errorStyle="information">
      <formula1>=L_Quantites</formula1>
    </dataValidation>
    <dataValidation sqref="S6:S605" showDropDown="0" showInputMessage="0" showErrorMessage="1" allowBlank="1" errorTitle="Valeur hors liste" error="Cette valeur n'est pas dans la liste. Choisissez-la avec la flèche à droite de la cellule." type="list" errorStyle="stop">
      <formula1>=L_Paiement</formula1>
    </dataValidation>
    <dataValidation sqref="T6:T605" showDropDown="0" showInputMessage="0" showErrorMessage="1" allowBlank="1" errorTitle="Valeur hors liste" error="Cette valeur n'est pas dans la liste. Choisissez-la avec la flèche à droite de la cellule." type="list" errorStyle="stop">
      <formula1>=L_OuiNon</formula1>
    </dataValidation>
    <dataValidation sqref="U6:U605" showDropDown="0" showInputMessage="0" showErrorMessage="1" allowBlank="1" errorTitle="Valeur hors liste" error="Cette valeur n'est pas dans la liste. Choisissez-la avec la flèche à droite de la cellule." type="list" errorStyle="stop">
      <formula1>=L_OuiNon</formula1>
    </dataValidation>
    <dataValidation sqref="V6:V605" showDropDown="0" showInputMessage="0" showErrorMessage="1" allowBlank="1" errorTitle="Valeur hors liste" error="Cette valeur n'est pas dans la liste. Choisissez-la avec la flèche à droite de la cellule." type="list" errorStyle="stop">
      <formula1>=L_MotifPerte</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8.xml><?xml version="1.0" encoding="utf-8"?>
<worksheet xmlns="http://schemas.openxmlformats.org/spreadsheetml/2006/main">
  <sheetPr>
    <tabColor rgb="001F7A8C"/>
    <outlinePr summaryBelow="1" summaryRight="1"/>
    <pageSetUpPr fitToPage="1"/>
  </sheetPr>
  <dimension ref="A1:Q605"/>
  <sheetViews>
    <sheetView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16" customWidth="1" min="4" max="4"/>
    <col width="38" customWidth="1" min="5" max="5"/>
    <col width="28" customWidth="1" min="6" max="6"/>
    <col width="34" customWidth="1" min="7" max="7"/>
    <col width="13" customWidth="1" min="8" max="8"/>
    <col width="9" customWidth="1" min="9" max="9"/>
    <col hidden="1" width="14" customWidth="1" min="10" max="10"/>
    <col width="12" customWidth="1" min="11" max="11"/>
    <col width="30" customWidth="1" min="12" max="12"/>
    <col hidden="1" width="12" customWidth="1" min="13" max="13"/>
    <col width="18" customWidth="1" min="14" max="14"/>
    <col width="14" customWidth="1" min="15" max="15"/>
    <col width="11" customWidth="1" min="16" max="16"/>
    <col width="12" customWidth="1" min="17" max="17"/>
  </cols>
  <sheetData>
    <row r="1" ht="26" customHeight="1">
      <c r="A1" s="15" t="inlineStr">
        <is>
          <t>PLANNING DES VISITES — semaine par semaine</t>
        </is>
      </c>
    </row>
    <row r="2" ht="18" customHeight="1">
      <c r="A2" s="2" t="inlineStr">
        <is>
          <t>Préparez vos tournées : une ligne par client à visiter. « Réalisé ? » se met à jour tout seul d'après vos visites saisies.</t>
        </is>
      </c>
    </row>
    <row r="3" ht="22" customHeight="1">
      <c r="A3" s="16" t="inlineStr">
        <is>
          <t>◄ Sommaire</t>
        </is>
      </c>
      <c r="C3" s="27" t="inlineStr">
        <is>
          <t>Saisie</t>
        </is>
      </c>
      <c r="D3" s="28" t="inlineStr">
        <is>
          <t>Calculé</t>
        </is>
      </c>
      <c r="E3" s="29" t="inlineStr">
        <is>
          <t>À compléter</t>
        </is>
      </c>
    </row>
    <row r="4" ht="40" customHeight="1">
      <c r="A4" s="30" t="inlineStr"/>
      <c r="B4" s="30" t="inlineStr">
        <is>
          <t>Liste des mois</t>
        </is>
      </c>
      <c r="C4" s="30" t="inlineStr">
        <is>
          <t>Liste</t>
        </is>
      </c>
      <c r="D4" s="30" t="inlineStr">
        <is>
          <t>Liste de dates</t>
        </is>
      </c>
      <c r="E4" s="30" t="inlineStr">
        <is>
          <t>Liste des clients</t>
        </is>
      </c>
      <c r="F4" s="30" t="inlineStr">
        <is>
          <t>Liste</t>
        </is>
      </c>
      <c r="G4" s="30" t="inlineStr">
        <is>
          <t>Libre</t>
        </is>
      </c>
      <c r="H4" s="30" t="inlineStr">
        <is>
          <t>Rempli seul (Paramètres) ; remplaçable</t>
        </is>
      </c>
      <c r="I4" s="30" t="inlineStr">
        <is>
          <t>Calculé</t>
        </is>
      </c>
      <c r="J4" s="30" t="inlineStr">
        <is>
          <t>Technique</t>
        </is>
      </c>
      <c r="K4" s="30" t="inlineStr">
        <is>
          <t>Calculé</t>
        </is>
      </c>
      <c r="L4" s="30" t="inlineStr">
        <is>
          <t>Calculé</t>
        </is>
      </c>
      <c r="M4" s="30" t="inlineStr">
        <is>
          <t>Technique</t>
        </is>
      </c>
      <c r="N4" s="30" t="inlineStr">
        <is>
          <t>Calculé</t>
        </is>
      </c>
      <c r="O4" s="30" t="inlineStr">
        <is>
          <t>Calculé</t>
        </is>
      </c>
      <c r="P4" s="30" t="inlineStr">
        <is>
          <t>Calculé</t>
        </is>
      </c>
      <c r="Q4" s="30" t="inlineStr">
        <is>
          <t>Selon les visites sur place saisies</t>
        </is>
      </c>
    </row>
    <row r="5" ht="44" customHeight="1">
      <c r="A5" s="7" t="inlineStr">
        <is>
          <t>N°</t>
        </is>
      </c>
      <c r="B5" s="31" t="inlineStr">
        <is>
          <t>Mois</t>
        </is>
      </c>
      <c r="C5" s="31" t="inlineStr">
        <is>
          <t>Semaine du mois (1 à 5)</t>
        </is>
      </c>
      <c r="D5" s="31" t="inlineStr">
        <is>
          <t>Jour prévu (si connu)</t>
        </is>
      </c>
      <c r="E5" s="31" t="inlineStr">
        <is>
          <t>Client / PDV à visiter</t>
        </is>
      </c>
      <c r="F5" s="31" t="inlineStr">
        <is>
          <t>Objectif de la visite</t>
        </is>
      </c>
      <c r="G5" s="31" t="inlineStr">
        <is>
          <t>Remarques</t>
        </is>
      </c>
      <c r="H5" s="7" t="inlineStr">
        <is>
          <t>Commercial</t>
        </is>
      </c>
      <c r="I5" s="7" t="inlineStr">
        <is>
          <t>N° client</t>
        </is>
      </c>
      <c r="J5" s="7" t="inlineStr">
        <is>
          <t>Clé client</t>
        </is>
      </c>
      <c r="K5" s="7" t="inlineStr">
        <is>
          <t>Code client</t>
        </is>
      </c>
      <c r="L5" s="7" t="inlineStr">
        <is>
          <t>Nom du client</t>
        </is>
      </c>
      <c r="M5" s="7" t="inlineStr">
        <is>
          <t>Mois (1er jour)</t>
        </is>
      </c>
      <c r="N5" s="7" t="inlineStr">
        <is>
          <t>Quartier</t>
        </is>
      </c>
      <c r="O5" s="7" t="inlineStr">
        <is>
          <t>Téléphone</t>
        </is>
      </c>
      <c r="P5" s="7" t="inlineStr">
        <is>
          <t>Potentiel / jour</t>
        </is>
      </c>
      <c r="Q5" s="7" t="inlineStr">
        <is>
          <t>Réalisé ?</t>
        </is>
      </c>
    </row>
    <row r="6" ht="18" customHeight="1">
      <c r="A6" s="39" t="n">
        <v>1</v>
      </c>
      <c r="B6" s="49" t="n">
        <v>46266</v>
      </c>
      <c r="C6" s="43" t="n">
        <v>1</v>
      </c>
      <c r="D6" s="32" t="n"/>
      <c r="E6" s="36" t="inlineStr">
        <is>
          <t>PDV PK12 (1) [001]</t>
        </is>
      </c>
      <c r="F6" s="36" t="inlineStr">
        <is>
          <t>Prospection / découverte</t>
        </is>
      </c>
      <c r="G6" s="36" t="inlineStr">
        <is>
          <t>Repris de la fiche de septembre 2026.</t>
        </is>
      </c>
      <c r="H6" s="33">
        <f>IF(E6="","",Commercial_Id)</f>
        <v/>
      </c>
      <c r="I6" s="39">
        <f>IF(E6="","",IFERROR(VALUE(MID(E6,LEN(E6)-3,3)),""))</f>
        <v/>
      </c>
      <c r="J6" s="33">
        <f>IF(I6="","",H6&amp;"|"&amp;I6)</f>
        <v/>
      </c>
      <c r="K6" s="33">
        <f>IF(I6="","",IF(H6="À RENSEIGNER","GIC",H6)&amp;"-"&amp;TEXT(I6,"000"))</f>
        <v/>
      </c>
      <c r="L6" s="33">
        <f>IF(J6="","",IFERROR(INDEX(Cl_nom,MATCH(J6,Cl_cle,0)),"(client introuvable)"))</f>
        <v/>
      </c>
      <c r="M6" s="46">
        <f>IF(B6="","",DATE(YEAR(B6),MONTH(B6),1))</f>
        <v/>
      </c>
      <c r="N6" s="33">
        <f>IF(J6="","",IFERROR(INDEX(Cl_quartier,MATCH(J6,Cl_cle,0))&amp;"",""))</f>
        <v/>
      </c>
      <c r="O6" s="33">
        <f>IF(J6="","",IFERROR(INDEX(Cl_tel,MATCH(J6,Cl_cle,0))&amp;"",""))</f>
        <v/>
      </c>
      <c r="P6" s="34">
        <f>IF(J6="","",IFERROR(INDEX(Cl_potentiel,MATCH(J6,Cl_cle,0)),""))</f>
        <v/>
      </c>
      <c r="Q6" s="34">
        <f>IF(J6="","",IF(D6&lt;&gt;"",IF(COUNTIFS(VC_cle,J6,VC_type,"Visite sur place",VC_date,D6)&gt;0,"Visité",IF(D6&lt;TODAY(),"Non fait","À venir")),IF(B6="","",IF(COUNTIFS(VC_cle,J6,VC_type,"Visite sur place",VC_date,"&gt;="&amp;M6,VC_date,"&lt;"&amp;DATE(YEAR(M6),MONTH(M6)+1,1))&gt;0,"Visité","À visiter"))))</f>
        <v/>
      </c>
    </row>
    <row r="7" ht="18" customHeight="1">
      <c r="A7" s="39" t="n">
        <v>2</v>
      </c>
      <c r="B7" s="49" t="n">
        <v>46266</v>
      </c>
      <c r="C7" s="43" t="n">
        <v>1</v>
      </c>
      <c r="D7" s="32" t="n"/>
      <c r="E7" s="36" t="inlineStr">
        <is>
          <t>PDV Logbessou, face UIG [002]</t>
        </is>
      </c>
      <c r="F7" s="36" t="inlineStr">
        <is>
          <t>Prospection / découverte</t>
        </is>
      </c>
      <c r="G7" s="36" t="inlineStr">
        <is>
          <t>Repris de la fiche de septembre 2026.</t>
        </is>
      </c>
      <c r="H7" s="33">
        <f>IF(E7="","",Commercial_Id)</f>
        <v/>
      </c>
      <c r="I7" s="39">
        <f>IF(E7="","",IFERROR(VALUE(MID(E7,LEN(E7)-3,3)),""))</f>
        <v/>
      </c>
      <c r="J7" s="33">
        <f>IF(I7="","",H7&amp;"|"&amp;I7)</f>
        <v/>
      </c>
      <c r="K7" s="33">
        <f>IF(I7="","",IF(H7="À RENSEIGNER","GIC",H7)&amp;"-"&amp;TEXT(I7,"000"))</f>
        <v/>
      </c>
      <c r="L7" s="33">
        <f>IF(J7="","",IFERROR(INDEX(Cl_nom,MATCH(J7,Cl_cle,0)),"(client introuvable)"))</f>
        <v/>
      </c>
      <c r="M7" s="46">
        <f>IF(B7="","",DATE(YEAR(B7),MONTH(B7),1))</f>
        <v/>
      </c>
      <c r="N7" s="33">
        <f>IF(J7="","",IFERROR(INDEX(Cl_quartier,MATCH(J7,Cl_cle,0))&amp;"",""))</f>
        <v/>
      </c>
      <c r="O7" s="33">
        <f>IF(J7="","",IFERROR(INDEX(Cl_tel,MATCH(J7,Cl_cle,0))&amp;"",""))</f>
        <v/>
      </c>
      <c r="P7" s="34">
        <f>IF(J7="","",IFERROR(INDEX(Cl_potentiel,MATCH(J7,Cl_cle,0)),""))</f>
        <v/>
      </c>
      <c r="Q7" s="34">
        <f>IF(J7="","",IF(D7&lt;&gt;"",IF(COUNTIFS(VC_cle,J7,VC_type,"Visite sur place",VC_date,D7)&gt;0,"Visité",IF(D7&lt;TODAY(),"Non fait","À venir")),IF(B7="","",IF(COUNTIFS(VC_cle,J7,VC_type,"Visite sur place",VC_date,"&gt;="&amp;M7,VC_date,"&lt;"&amp;DATE(YEAR(M7),MONTH(M7)+1,1))&gt;0,"Visité","À visiter"))))</f>
        <v/>
      </c>
    </row>
    <row r="8" ht="18" customHeight="1">
      <c r="A8" s="39" t="n">
        <v>3</v>
      </c>
      <c r="B8" s="49" t="n">
        <v>46266</v>
      </c>
      <c r="C8" s="43" t="n">
        <v>1</v>
      </c>
      <c r="D8" s="32" t="n"/>
      <c r="E8" s="36" t="inlineStr">
        <is>
          <t>Marché Logpom [003]</t>
        </is>
      </c>
      <c r="F8" s="36" t="inlineStr">
        <is>
          <t>Prospection / découverte</t>
        </is>
      </c>
      <c r="G8" s="36" t="inlineStr">
        <is>
          <t>Repris de la fiche de septembre 2026.</t>
        </is>
      </c>
      <c r="H8" s="33">
        <f>IF(E8="","",Commercial_Id)</f>
        <v/>
      </c>
      <c r="I8" s="39">
        <f>IF(E8="","",IFERROR(VALUE(MID(E8,LEN(E8)-3,3)),""))</f>
        <v/>
      </c>
      <c r="J8" s="33">
        <f>IF(I8="","",H8&amp;"|"&amp;I8)</f>
        <v/>
      </c>
      <c r="K8" s="33">
        <f>IF(I8="","",IF(H8="À RENSEIGNER","GIC",H8)&amp;"-"&amp;TEXT(I8,"000"))</f>
        <v/>
      </c>
      <c r="L8" s="33">
        <f>IF(J8="","",IFERROR(INDEX(Cl_nom,MATCH(J8,Cl_cle,0)),"(client introuvable)"))</f>
        <v/>
      </c>
      <c r="M8" s="46">
        <f>IF(B8="","",DATE(YEAR(B8),MONTH(B8),1))</f>
        <v/>
      </c>
      <c r="N8" s="33">
        <f>IF(J8="","",IFERROR(INDEX(Cl_quartier,MATCH(J8,Cl_cle,0))&amp;"",""))</f>
        <v/>
      </c>
      <c r="O8" s="33">
        <f>IF(J8="","",IFERROR(INDEX(Cl_tel,MATCH(J8,Cl_cle,0))&amp;"",""))</f>
        <v/>
      </c>
      <c r="P8" s="34">
        <f>IF(J8="","",IFERROR(INDEX(Cl_potentiel,MATCH(J8,Cl_cle,0)),""))</f>
        <v/>
      </c>
      <c r="Q8" s="34">
        <f>IF(J8="","",IF(D8&lt;&gt;"",IF(COUNTIFS(VC_cle,J8,VC_type,"Visite sur place",VC_date,D8)&gt;0,"Visité",IF(D8&lt;TODAY(),"Non fait","À venir")),IF(B8="","",IF(COUNTIFS(VC_cle,J8,VC_type,"Visite sur place",VC_date,"&gt;="&amp;M8,VC_date,"&lt;"&amp;DATE(YEAR(M8),MONTH(M8)+1,1))&gt;0,"Visité","À visiter"))))</f>
        <v/>
      </c>
    </row>
    <row r="9" ht="18" customHeight="1">
      <c r="A9" s="39" t="n">
        <v>4</v>
      </c>
      <c r="B9" s="49" t="n">
        <v>46266</v>
      </c>
      <c r="C9" s="43" t="n">
        <v>1</v>
      </c>
      <c r="D9" s="32" t="n"/>
      <c r="E9" s="36" t="inlineStr">
        <is>
          <t>PDV Logbessou, église [004]</t>
        </is>
      </c>
      <c r="F9" s="36" t="inlineStr">
        <is>
          <t>Prospection / découverte</t>
        </is>
      </c>
      <c r="G9" s="36" t="inlineStr">
        <is>
          <t>Repris de la fiche de septembre 2026.</t>
        </is>
      </c>
      <c r="H9" s="33">
        <f>IF(E9="","",Commercial_Id)</f>
        <v/>
      </c>
      <c r="I9" s="39">
        <f>IF(E9="","",IFERROR(VALUE(MID(E9,LEN(E9)-3,3)),""))</f>
        <v/>
      </c>
      <c r="J9" s="33">
        <f>IF(I9="","",H9&amp;"|"&amp;I9)</f>
        <v/>
      </c>
      <c r="K9" s="33">
        <f>IF(I9="","",IF(H9="À RENSEIGNER","GIC",H9)&amp;"-"&amp;TEXT(I9,"000"))</f>
        <v/>
      </c>
      <c r="L9" s="33">
        <f>IF(J9="","",IFERROR(INDEX(Cl_nom,MATCH(J9,Cl_cle,0)),"(client introuvable)"))</f>
        <v/>
      </c>
      <c r="M9" s="46">
        <f>IF(B9="","",DATE(YEAR(B9),MONTH(B9),1))</f>
        <v/>
      </c>
      <c r="N9" s="33">
        <f>IF(J9="","",IFERROR(INDEX(Cl_quartier,MATCH(J9,Cl_cle,0))&amp;"",""))</f>
        <v/>
      </c>
      <c r="O9" s="33">
        <f>IF(J9="","",IFERROR(INDEX(Cl_tel,MATCH(J9,Cl_cle,0))&amp;"",""))</f>
        <v/>
      </c>
      <c r="P9" s="34">
        <f>IF(J9="","",IFERROR(INDEX(Cl_potentiel,MATCH(J9,Cl_cle,0)),""))</f>
        <v/>
      </c>
      <c r="Q9" s="34">
        <f>IF(J9="","",IF(D9&lt;&gt;"",IF(COUNTIFS(VC_cle,J9,VC_type,"Visite sur place",VC_date,D9)&gt;0,"Visité",IF(D9&lt;TODAY(),"Non fait","À venir")),IF(B9="","",IF(COUNTIFS(VC_cle,J9,VC_type,"Visite sur place",VC_date,"&gt;="&amp;M9,VC_date,"&lt;"&amp;DATE(YEAR(M9),MONTH(M9)+1,1))&gt;0,"Visité","À visiter"))))</f>
        <v/>
      </c>
    </row>
    <row r="10" ht="18" customHeight="1">
      <c r="A10" s="39" t="n">
        <v>5</v>
      </c>
      <c r="B10" s="49" t="n">
        <v>46266</v>
      </c>
      <c r="C10" s="43" t="n">
        <v>1</v>
      </c>
      <c r="D10" s="32" t="n"/>
      <c r="E10" s="36" t="inlineStr">
        <is>
          <t>PDV PK12 (2) [005]</t>
        </is>
      </c>
      <c r="F10" s="36" t="inlineStr">
        <is>
          <t>Prospection / découverte</t>
        </is>
      </c>
      <c r="G10" s="36" t="inlineStr">
        <is>
          <t>Repris de la fiche de septembre 2026.</t>
        </is>
      </c>
      <c r="H10" s="33">
        <f>IF(E10="","",Commercial_Id)</f>
        <v/>
      </c>
      <c r="I10" s="39">
        <f>IF(E10="","",IFERROR(VALUE(MID(E10,LEN(E10)-3,3)),""))</f>
        <v/>
      </c>
      <c r="J10" s="33">
        <f>IF(I10="","",H10&amp;"|"&amp;I10)</f>
        <v/>
      </c>
      <c r="K10" s="33">
        <f>IF(I10="","",IF(H10="À RENSEIGNER","GIC",H10)&amp;"-"&amp;TEXT(I10,"000"))</f>
        <v/>
      </c>
      <c r="L10" s="33">
        <f>IF(J10="","",IFERROR(INDEX(Cl_nom,MATCH(J10,Cl_cle,0)),"(client introuvable)"))</f>
        <v/>
      </c>
      <c r="M10" s="46">
        <f>IF(B10="","",DATE(YEAR(B10),MONTH(B10),1))</f>
        <v/>
      </c>
      <c r="N10" s="33">
        <f>IF(J10="","",IFERROR(INDEX(Cl_quartier,MATCH(J10,Cl_cle,0))&amp;"",""))</f>
        <v/>
      </c>
      <c r="O10" s="33">
        <f>IF(J10="","",IFERROR(INDEX(Cl_tel,MATCH(J10,Cl_cle,0))&amp;"",""))</f>
        <v/>
      </c>
      <c r="P10" s="34">
        <f>IF(J10="","",IFERROR(INDEX(Cl_potentiel,MATCH(J10,Cl_cle,0)),""))</f>
        <v/>
      </c>
      <c r="Q10" s="34">
        <f>IF(J10="","",IF(D10&lt;&gt;"",IF(COUNTIFS(VC_cle,J10,VC_type,"Visite sur place",VC_date,D10)&gt;0,"Visité",IF(D10&lt;TODAY(),"Non fait","À venir")),IF(B10="","",IF(COUNTIFS(VC_cle,J10,VC_type,"Visite sur place",VC_date,"&gt;="&amp;M10,VC_date,"&lt;"&amp;DATE(YEAR(M10),MONTH(M10)+1,1))&gt;0,"Visité","À visiter"))))</f>
        <v/>
      </c>
    </row>
    <row r="11" ht="18" customHeight="1">
      <c r="A11" s="39" t="n">
        <v>6</v>
      </c>
      <c r="B11" s="49" t="n">
        <v>46266</v>
      </c>
      <c r="C11" s="43" t="n">
        <v>1</v>
      </c>
      <c r="D11" s="32" t="n"/>
      <c r="E11" s="36" t="inlineStr">
        <is>
          <t>Boulangerie La Paix [006]</t>
        </is>
      </c>
      <c r="F11" s="36" t="inlineStr">
        <is>
          <t>Prospection / découverte</t>
        </is>
      </c>
      <c r="G11" s="36" t="inlineStr">
        <is>
          <t>Repris de la fiche de septembre 2026.</t>
        </is>
      </c>
      <c r="H11" s="33">
        <f>IF(E11="","",Commercial_Id)</f>
        <v/>
      </c>
      <c r="I11" s="39">
        <f>IF(E11="","",IFERROR(VALUE(MID(E11,LEN(E11)-3,3)),""))</f>
        <v/>
      </c>
      <c r="J11" s="33">
        <f>IF(I11="","",H11&amp;"|"&amp;I11)</f>
        <v/>
      </c>
      <c r="K11" s="33">
        <f>IF(I11="","",IF(H11="À RENSEIGNER","GIC",H11)&amp;"-"&amp;TEXT(I11,"000"))</f>
        <v/>
      </c>
      <c r="L11" s="33">
        <f>IF(J11="","",IFERROR(INDEX(Cl_nom,MATCH(J11,Cl_cle,0)),"(client introuvable)"))</f>
        <v/>
      </c>
      <c r="M11" s="46">
        <f>IF(B11="","",DATE(YEAR(B11),MONTH(B11),1))</f>
        <v/>
      </c>
      <c r="N11" s="33">
        <f>IF(J11="","",IFERROR(INDEX(Cl_quartier,MATCH(J11,Cl_cle,0))&amp;"",""))</f>
        <v/>
      </c>
      <c r="O11" s="33">
        <f>IF(J11="","",IFERROR(INDEX(Cl_tel,MATCH(J11,Cl_cle,0))&amp;"",""))</f>
        <v/>
      </c>
      <c r="P11" s="34">
        <f>IF(J11="","",IFERROR(INDEX(Cl_potentiel,MATCH(J11,Cl_cle,0)),""))</f>
        <v/>
      </c>
      <c r="Q11" s="34">
        <f>IF(J11="","",IF(D11&lt;&gt;"",IF(COUNTIFS(VC_cle,J11,VC_type,"Visite sur place",VC_date,D11)&gt;0,"Visité",IF(D11&lt;TODAY(),"Non fait","À venir")),IF(B11="","",IF(COUNTIFS(VC_cle,J11,VC_type,"Visite sur place",VC_date,"&gt;="&amp;M11,VC_date,"&lt;"&amp;DATE(YEAR(M11),MONTH(M11)+1,1))&gt;0,"Visité","À visiter"))))</f>
        <v/>
      </c>
    </row>
    <row r="12" ht="18" customHeight="1">
      <c r="A12" s="39" t="n">
        <v>7</v>
      </c>
      <c r="B12" s="49" t="n">
        <v>46266</v>
      </c>
      <c r="C12" s="43" t="n">
        <v>1</v>
      </c>
      <c r="D12" s="32" t="n"/>
      <c r="E12" s="36" t="inlineStr">
        <is>
          <t>PDV Entrée UIT [007]</t>
        </is>
      </c>
      <c r="F12" s="36" t="inlineStr">
        <is>
          <t>Prospection / découverte</t>
        </is>
      </c>
      <c r="G12" s="36" t="inlineStr">
        <is>
          <t>Repris de la fiche de septembre 2026.</t>
        </is>
      </c>
      <c r="H12" s="33">
        <f>IF(E12="","",Commercial_Id)</f>
        <v/>
      </c>
      <c r="I12" s="39">
        <f>IF(E12="","",IFERROR(VALUE(MID(E12,LEN(E12)-3,3)),""))</f>
        <v/>
      </c>
      <c r="J12" s="33">
        <f>IF(I12="","",H12&amp;"|"&amp;I12)</f>
        <v/>
      </c>
      <c r="K12" s="33">
        <f>IF(I12="","",IF(H12="À RENSEIGNER","GIC",H12)&amp;"-"&amp;TEXT(I12,"000"))</f>
        <v/>
      </c>
      <c r="L12" s="33">
        <f>IF(J12="","",IFERROR(INDEX(Cl_nom,MATCH(J12,Cl_cle,0)),"(client introuvable)"))</f>
        <v/>
      </c>
      <c r="M12" s="46">
        <f>IF(B12="","",DATE(YEAR(B12),MONTH(B12),1))</f>
        <v/>
      </c>
      <c r="N12" s="33">
        <f>IF(J12="","",IFERROR(INDEX(Cl_quartier,MATCH(J12,Cl_cle,0))&amp;"",""))</f>
        <v/>
      </c>
      <c r="O12" s="33">
        <f>IF(J12="","",IFERROR(INDEX(Cl_tel,MATCH(J12,Cl_cle,0))&amp;"",""))</f>
        <v/>
      </c>
      <c r="P12" s="34">
        <f>IF(J12="","",IFERROR(INDEX(Cl_potentiel,MATCH(J12,Cl_cle,0)),""))</f>
        <v/>
      </c>
      <c r="Q12" s="34">
        <f>IF(J12="","",IF(D12&lt;&gt;"",IF(COUNTIFS(VC_cle,J12,VC_type,"Visite sur place",VC_date,D12)&gt;0,"Visité",IF(D12&lt;TODAY(),"Non fait","À venir")),IF(B12="","",IF(COUNTIFS(VC_cle,J12,VC_type,"Visite sur place",VC_date,"&gt;="&amp;M12,VC_date,"&lt;"&amp;DATE(YEAR(M12),MONTH(M12)+1,1))&gt;0,"Visité","À visiter"))))</f>
        <v/>
      </c>
    </row>
    <row r="13" ht="18" customHeight="1">
      <c r="A13" s="39" t="n">
        <v>8</v>
      </c>
      <c r="B13" s="49" t="n">
        <v>46266</v>
      </c>
      <c r="C13" s="43" t="n">
        <v>2</v>
      </c>
      <c r="D13" s="32" t="n"/>
      <c r="E13" s="36" t="inlineStr">
        <is>
          <t>PDV IPH [008]</t>
        </is>
      </c>
      <c r="F13" s="36" t="inlineStr">
        <is>
          <t>Prospection / découverte</t>
        </is>
      </c>
      <c r="G13" s="36" t="inlineStr">
        <is>
          <t>Repris de la fiche de septembre 2026.</t>
        </is>
      </c>
      <c r="H13" s="33">
        <f>IF(E13="","",Commercial_Id)</f>
        <v/>
      </c>
      <c r="I13" s="39">
        <f>IF(E13="","",IFERROR(VALUE(MID(E13,LEN(E13)-3,3)),""))</f>
        <v/>
      </c>
      <c r="J13" s="33">
        <f>IF(I13="","",H13&amp;"|"&amp;I13)</f>
        <v/>
      </c>
      <c r="K13" s="33">
        <f>IF(I13="","",IF(H13="À RENSEIGNER","GIC",H13)&amp;"-"&amp;TEXT(I13,"000"))</f>
        <v/>
      </c>
      <c r="L13" s="33">
        <f>IF(J13="","",IFERROR(INDEX(Cl_nom,MATCH(J13,Cl_cle,0)),"(client introuvable)"))</f>
        <v/>
      </c>
      <c r="M13" s="46">
        <f>IF(B13="","",DATE(YEAR(B13),MONTH(B13),1))</f>
        <v/>
      </c>
      <c r="N13" s="33">
        <f>IF(J13="","",IFERROR(INDEX(Cl_quartier,MATCH(J13,Cl_cle,0))&amp;"",""))</f>
        <v/>
      </c>
      <c r="O13" s="33">
        <f>IF(J13="","",IFERROR(INDEX(Cl_tel,MATCH(J13,Cl_cle,0))&amp;"",""))</f>
        <v/>
      </c>
      <c r="P13" s="34">
        <f>IF(J13="","",IFERROR(INDEX(Cl_potentiel,MATCH(J13,Cl_cle,0)),""))</f>
        <v/>
      </c>
      <c r="Q13" s="34">
        <f>IF(J13="","",IF(D13&lt;&gt;"",IF(COUNTIFS(VC_cle,J13,VC_type,"Visite sur place",VC_date,D13)&gt;0,"Visité",IF(D13&lt;TODAY(),"Non fait","À venir")),IF(B13="","",IF(COUNTIFS(VC_cle,J13,VC_type,"Visite sur place",VC_date,"&gt;="&amp;M13,VC_date,"&lt;"&amp;DATE(YEAR(M13),MONTH(M13)+1,1))&gt;0,"Visité","À visiter"))))</f>
        <v/>
      </c>
    </row>
    <row r="14" ht="18" customHeight="1">
      <c r="A14" s="39" t="n">
        <v>9</v>
      </c>
      <c r="B14" s="49" t="n">
        <v>46266</v>
      </c>
      <c r="C14" s="43" t="n">
        <v>2</v>
      </c>
      <c r="D14" s="32" t="n"/>
      <c r="E14" s="36" t="inlineStr">
        <is>
          <t>PDV Scierie Ndogbong [009]</t>
        </is>
      </c>
      <c r="F14" s="36" t="inlineStr">
        <is>
          <t>Prospection / découverte</t>
        </is>
      </c>
      <c r="G14" s="36" t="inlineStr">
        <is>
          <t>Repris de la fiche de septembre 2026.</t>
        </is>
      </c>
      <c r="H14" s="33">
        <f>IF(E14="","",Commercial_Id)</f>
        <v/>
      </c>
      <c r="I14" s="39">
        <f>IF(E14="","",IFERROR(VALUE(MID(E14,LEN(E14)-3,3)),""))</f>
        <v/>
      </c>
      <c r="J14" s="33">
        <f>IF(I14="","",H14&amp;"|"&amp;I14)</f>
        <v/>
      </c>
      <c r="K14" s="33">
        <f>IF(I14="","",IF(H14="À RENSEIGNER","GIC",H14)&amp;"-"&amp;TEXT(I14,"000"))</f>
        <v/>
      </c>
      <c r="L14" s="33">
        <f>IF(J14="","",IFERROR(INDEX(Cl_nom,MATCH(J14,Cl_cle,0)),"(client introuvable)"))</f>
        <v/>
      </c>
      <c r="M14" s="46">
        <f>IF(B14="","",DATE(YEAR(B14),MONTH(B14),1))</f>
        <v/>
      </c>
      <c r="N14" s="33">
        <f>IF(J14="","",IFERROR(INDEX(Cl_quartier,MATCH(J14,Cl_cle,0))&amp;"",""))</f>
        <v/>
      </c>
      <c r="O14" s="33">
        <f>IF(J14="","",IFERROR(INDEX(Cl_tel,MATCH(J14,Cl_cle,0))&amp;"",""))</f>
        <v/>
      </c>
      <c r="P14" s="34">
        <f>IF(J14="","",IFERROR(INDEX(Cl_potentiel,MATCH(J14,Cl_cle,0)),""))</f>
        <v/>
      </c>
      <c r="Q14" s="34">
        <f>IF(J14="","",IF(D14&lt;&gt;"",IF(COUNTIFS(VC_cle,J14,VC_type,"Visite sur place",VC_date,D14)&gt;0,"Visité",IF(D14&lt;TODAY(),"Non fait","À venir")),IF(B14="","",IF(COUNTIFS(VC_cle,J14,VC_type,"Visite sur place",VC_date,"&gt;="&amp;M14,VC_date,"&lt;"&amp;DATE(YEAR(M14),MONTH(M14)+1,1))&gt;0,"Visité","À visiter"))))</f>
        <v/>
      </c>
    </row>
    <row r="15" ht="18" customHeight="1">
      <c r="A15" s="39" t="n">
        <v>10</v>
      </c>
      <c r="B15" s="49" t="n">
        <v>46266</v>
      </c>
      <c r="C15" s="43" t="n">
        <v>2</v>
      </c>
      <c r="D15" s="32" t="n"/>
      <c r="E15" s="36" t="inlineStr">
        <is>
          <t>Hôtel Dovil [010]</t>
        </is>
      </c>
      <c r="F15" s="36" t="inlineStr">
        <is>
          <t>Prospection / découverte</t>
        </is>
      </c>
      <c r="G15" s="36" t="inlineStr">
        <is>
          <t>Repris de la fiche de septembre 2026.</t>
        </is>
      </c>
      <c r="H15" s="33">
        <f>IF(E15="","",Commercial_Id)</f>
        <v/>
      </c>
      <c r="I15" s="39">
        <f>IF(E15="","",IFERROR(VALUE(MID(E15,LEN(E15)-3,3)),""))</f>
        <v/>
      </c>
      <c r="J15" s="33">
        <f>IF(I15="","",H15&amp;"|"&amp;I15)</f>
        <v/>
      </c>
      <c r="K15" s="33">
        <f>IF(I15="","",IF(H15="À RENSEIGNER","GIC",H15)&amp;"-"&amp;TEXT(I15,"000"))</f>
        <v/>
      </c>
      <c r="L15" s="33">
        <f>IF(J15="","",IFERROR(INDEX(Cl_nom,MATCH(J15,Cl_cle,0)),"(client introuvable)"))</f>
        <v/>
      </c>
      <c r="M15" s="46">
        <f>IF(B15="","",DATE(YEAR(B15),MONTH(B15),1))</f>
        <v/>
      </c>
      <c r="N15" s="33">
        <f>IF(J15="","",IFERROR(INDEX(Cl_quartier,MATCH(J15,Cl_cle,0))&amp;"",""))</f>
        <v/>
      </c>
      <c r="O15" s="33">
        <f>IF(J15="","",IFERROR(INDEX(Cl_tel,MATCH(J15,Cl_cle,0))&amp;"",""))</f>
        <v/>
      </c>
      <c r="P15" s="34">
        <f>IF(J15="","",IFERROR(INDEX(Cl_potentiel,MATCH(J15,Cl_cle,0)),""))</f>
        <v/>
      </c>
      <c r="Q15" s="34">
        <f>IF(J15="","",IF(D15&lt;&gt;"",IF(COUNTIFS(VC_cle,J15,VC_type,"Visite sur place",VC_date,D15)&gt;0,"Visité",IF(D15&lt;TODAY(),"Non fait","À venir")),IF(B15="","",IF(COUNTIFS(VC_cle,J15,VC_type,"Visite sur place",VC_date,"&gt;="&amp;M15,VC_date,"&lt;"&amp;DATE(YEAR(M15),MONTH(M15)+1,1))&gt;0,"Visité","À visiter"))))</f>
        <v/>
      </c>
    </row>
    <row r="16" ht="18" customHeight="1">
      <c r="A16" s="39" t="n">
        <v>11</v>
      </c>
      <c r="B16" s="49" t="n">
        <v>46266</v>
      </c>
      <c r="C16" s="43" t="n">
        <v>2</v>
      </c>
      <c r="D16" s="32" t="n"/>
      <c r="E16" s="36" t="inlineStr">
        <is>
          <t>PDV Face 10e [011]</t>
        </is>
      </c>
      <c r="F16" s="36" t="inlineStr">
        <is>
          <t>Prospection / découverte</t>
        </is>
      </c>
      <c r="G16" s="36" t="inlineStr">
        <is>
          <t>Repris de la fiche de septembre 2026.</t>
        </is>
      </c>
      <c r="H16" s="33">
        <f>IF(E16="","",Commercial_Id)</f>
        <v/>
      </c>
      <c r="I16" s="39">
        <f>IF(E16="","",IFERROR(VALUE(MID(E16,LEN(E16)-3,3)),""))</f>
        <v/>
      </c>
      <c r="J16" s="33">
        <f>IF(I16="","",H16&amp;"|"&amp;I16)</f>
        <v/>
      </c>
      <c r="K16" s="33">
        <f>IF(I16="","",IF(H16="À RENSEIGNER","GIC",H16)&amp;"-"&amp;TEXT(I16,"000"))</f>
        <v/>
      </c>
      <c r="L16" s="33">
        <f>IF(J16="","",IFERROR(INDEX(Cl_nom,MATCH(J16,Cl_cle,0)),"(client introuvable)"))</f>
        <v/>
      </c>
      <c r="M16" s="46">
        <f>IF(B16="","",DATE(YEAR(B16),MONTH(B16),1))</f>
        <v/>
      </c>
      <c r="N16" s="33">
        <f>IF(J16="","",IFERROR(INDEX(Cl_quartier,MATCH(J16,Cl_cle,0))&amp;"",""))</f>
        <v/>
      </c>
      <c r="O16" s="33">
        <f>IF(J16="","",IFERROR(INDEX(Cl_tel,MATCH(J16,Cl_cle,0))&amp;"",""))</f>
        <v/>
      </c>
      <c r="P16" s="34">
        <f>IF(J16="","",IFERROR(INDEX(Cl_potentiel,MATCH(J16,Cl_cle,0)),""))</f>
        <v/>
      </c>
      <c r="Q16" s="34">
        <f>IF(J16="","",IF(D16&lt;&gt;"",IF(COUNTIFS(VC_cle,J16,VC_type,"Visite sur place",VC_date,D16)&gt;0,"Visité",IF(D16&lt;TODAY(),"Non fait","À venir")),IF(B16="","",IF(COUNTIFS(VC_cle,J16,VC_type,"Visite sur place",VC_date,"&gt;="&amp;M16,VC_date,"&lt;"&amp;DATE(YEAR(M16),MONTH(M16)+1,1))&gt;0,"Visité","À visiter"))))</f>
        <v/>
      </c>
    </row>
    <row r="17" ht="18" customHeight="1">
      <c r="A17" s="39" t="n">
        <v>12</v>
      </c>
      <c r="B17" s="49" t="n">
        <v>46266</v>
      </c>
      <c r="C17" s="43" t="n">
        <v>2</v>
      </c>
      <c r="D17" s="32" t="n"/>
      <c r="E17" s="36" t="inlineStr">
        <is>
          <t>Hôtel Dovil, entrée [012]</t>
        </is>
      </c>
      <c r="F17" s="36" t="inlineStr">
        <is>
          <t>Prospection / découverte</t>
        </is>
      </c>
      <c r="G17" s="36" t="inlineStr">
        <is>
          <t>Repris de la fiche de septembre 2026.</t>
        </is>
      </c>
      <c r="H17" s="33">
        <f>IF(E17="","",Commercial_Id)</f>
        <v/>
      </c>
      <c r="I17" s="39">
        <f>IF(E17="","",IFERROR(VALUE(MID(E17,LEN(E17)-3,3)),""))</f>
        <v/>
      </c>
      <c r="J17" s="33">
        <f>IF(I17="","",H17&amp;"|"&amp;I17)</f>
        <v/>
      </c>
      <c r="K17" s="33">
        <f>IF(I17="","",IF(H17="À RENSEIGNER","GIC",H17)&amp;"-"&amp;TEXT(I17,"000"))</f>
        <v/>
      </c>
      <c r="L17" s="33">
        <f>IF(J17="","",IFERROR(INDEX(Cl_nom,MATCH(J17,Cl_cle,0)),"(client introuvable)"))</f>
        <v/>
      </c>
      <c r="M17" s="46">
        <f>IF(B17="","",DATE(YEAR(B17),MONTH(B17),1))</f>
        <v/>
      </c>
      <c r="N17" s="33">
        <f>IF(J17="","",IFERROR(INDEX(Cl_quartier,MATCH(J17,Cl_cle,0))&amp;"",""))</f>
        <v/>
      </c>
      <c r="O17" s="33">
        <f>IF(J17="","",IFERROR(INDEX(Cl_tel,MATCH(J17,Cl_cle,0))&amp;"",""))</f>
        <v/>
      </c>
      <c r="P17" s="34">
        <f>IF(J17="","",IFERROR(INDEX(Cl_potentiel,MATCH(J17,Cl_cle,0)),""))</f>
        <v/>
      </c>
      <c r="Q17" s="34">
        <f>IF(J17="","",IF(D17&lt;&gt;"",IF(COUNTIFS(VC_cle,J17,VC_type,"Visite sur place",VC_date,D17)&gt;0,"Visité",IF(D17&lt;TODAY(),"Non fait","À venir")),IF(B17="","",IF(COUNTIFS(VC_cle,J17,VC_type,"Visite sur place",VC_date,"&gt;="&amp;M17,VC_date,"&lt;"&amp;DATE(YEAR(M17),MONTH(M17)+1,1))&gt;0,"Visité","À visiter"))))</f>
        <v/>
      </c>
    </row>
    <row r="18" ht="18" customHeight="1">
      <c r="A18" s="39" t="n">
        <v>13</v>
      </c>
      <c r="B18" s="49" t="n">
        <v>46266</v>
      </c>
      <c r="C18" s="43" t="n">
        <v>2</v>
      </c>
      <c r="D18" s="32" t="n"/>
      <c r="E18" s="36" t="inlineStr">
        <is>
          <t>PDV Camlait [013]</t>
        </is>
      </c>
      <c r="F18" s="36" t="inlineStr">
        <is>
          <t>Prospection / découverte</t>
        </is>
      </c>
      <c r="G18" s="36" t="inlineStr">
        <is>
          <t>Repris de la fiche de septembre 2026.</t>
        </is>
      </c>
      <c r="H18" s="33">
        <f>IF(E18="","",Commercial_Id)</f>
        <v/>
      </c>
      <c r="I18" s="39">
        <f>IF(E18="","",IFERROR(VALUE(MID(E18,LEN(E18)-3,3)),""))</f>
        <v/>
      </c>
      <c r="J18" s="33">
        <f>IF(I18="","",H18&amp;"|"&amp;I18)</f>
        <v/>
      </c>
      <c r="K18" s="33">
        <f>IF(I18="","",IF(H18="À RENSEIGNER","GIC",H18)&amp;"-"&amp;TEXT(I18,"000"))</f>
        <v/>
      </c>
      <c r="L18" s="33">
        <f>IF(J18="","",IFERROR(INDEX(Cl_nom,MATCH(J18,Cl_cle,0)),"(client introuvable)"))</f>
        <v/>
      </c>
      <c r="M18" s="46">
        <f>IF(B18="","",DATE(YEAR(B18),MONTH(B18),1))</f>
        <v/>
      </c>
      <c r="N18" s="33">
        <f>IF(J18="","",IFERROR(INDEX(Cl_quartier,MATCH(J18,Cl_cle,0))&amp;"",""))</f>
        <v/>
      </c>
      <c r="O18" s="33">
        <f>IF(J18="","",IFERROR(INDEX(Cl_tel,MATCH(J18,Cl_cle,0))&amp;"",""))</f>
        <v/>
      </c>
      <c r="P18" s="34">
        <f>IF(J18="","",IFERROR(INDEX(Cl_potentiel,MATCH(J18,Cl_cle,0)),""))</f>
        <v/>
      </c>
      <c r="Q18" s="34">
        <f>IF(J18="","",IF(D18&lt;&gt;"",IF(COUNTIFS(VC_cle,J18,VC_type,"Visite sur place",VC_date,D18)&gt;0,"Visité",IF(D18&lt;TODAY(),"Non fait","À venir")),IF(B18="","",IF(COUNTIFS(VC_cle,J18,VC_type,"Visite sur place",VC_date,"&gt;="&amp;M18,VC_date,"&lt;"&amp;DATE(YEAR(M18),MONTH(M18)+1,1))&gt;0,"Visité","À visiter"))))</f>
        <v/>
      </c>
    </row>
    <row r="19" ht="18" customHeight="1">
      <c r="A19" s="39" t="n">
        <v>14</v>
      </c>
      <c r="B19" s="49" t="n">
        <v>46266</v>
      </c>
      <c r="C19" s="43" t="n">
        <v>2</v>
      </c>
      <c r="D19" s="32" t="n"/>
      <c r="E19" s="36" t="inlineStr">
        <is>
          <t>Hôtel Dovil II [014]</t>
        </is>
      </c>
      <c r="F19" s="36" t="inlineStr">
        <is>
          <t>Prospection / découverte</t>
        </is>
      </c>
      <c r="G19" s="36" t="inlineStr">
        <is>
          <t>Repris de la fiche de septembre 2026.</t>
        </is>
      </c>
      <c r="H19" s="33">
        <f>IF(E19="","",Commercial_Id)</f>
        <v/>
      </c>
      <c r="I19" s="39">
        <f>IF(E19="","",IFERROR(VALUE(MID(E19,LEN(E19)-3,3)),""))</f>
        <v/>
      </c>
      <c r="J19" s="33">
        <f>IF(I19="","",H19&amp;"|"&amp;I19)</f>
        <v/>
      </c>
      <c r="K19" s="33">
        <f>IF(I19="","",IF(H19="À RENSEIGNER","GIC",H19)&amp;"-"&amp;TEXT(I19,"000"))</f>
        <v/>
      </c>
      <c r="L19" s="33">
        <f>IF(J19="","",IFERROR(INDEX(Cl_nom,MATCH(J19,Cl_cle,0)),"(client introuvable)"))</f>
        <v/>
      </c>
      <c r="M19" s="46">
        <f>IF(B19="","",DATE(YEAR(B19),MONTH(B19),1))</f>
        <v/>
      </c>
      <c r="N19" s="33">
        <f>IF(J19="","",IFERROR(INDEX(Cl_quartier,MATCH(J19,Cl_cle,0))&amp;"",""))</f>
        <v/>
      </c>
      <c r="O19" s="33">
        <f>IF(J19="","",IFERROR(INDEX(Cl_tel,MATCH(J19,Cl_cle,0))&amp;"",""))</f>
        <v/>
      </c>
      <c r="P19" s="34">
        <f>IF(J19="","",IFERROR(INDEX(Cl_potentiel,MATCH(J19,Cl_cle,0)),""))</f>
        <v/>
      </c>
      <c r="Q19" s="34">
        <f>IF(J19="","",IF(D19&lt;&gt;"",IF(COUNTIFS(VC_cle,J19,VC_type,"Visite sur place",VC_date,D19)&gt;0,"Visité",IF(D19&lt;TODAY(),"Non fait","À venir")),IF(B19="","",IF(COUNTIFS(VC_cle,J19,VC_type,"Visite sur place",VC_date,"&gt;="&amp;M19,VC_date,"&lt;"&amp;DATE(YEAR(M19),MONTH(M19)+1,1))&gt;0,"Visité","À visiter"))))</f>
        <v/>
      </c>
    </row>
    <row r="20" ht="18" customHeight="1">
      <c r="A20" s="39" t="n">
        <v>15</v>
      </c>
      <c r="B20" s="49" t="n">
        <v>46266</v>
      </c>
      <c r="C20" s="43" t="n">
        <v>4</v>
      </c>
      <c r="D20" s="32" t="n"/>
      <c r="E20" s="36" t="inlineStr">
        <is>
          <t>Resto Beedi, entrée Maalam (1) [015]</t>
        </is>
      </c>
      <c r="F20" s="36" t="inlineStr">
        <is>
          <t>Prospection / découverte</t>
        </is>
      </c>
      <c r="G20" s="36" t="inlineStr">
        <is>
          <t>Repris de la fiche de septembre 2026.</t>
        </is>
      </c>
      <c r="H20" s="33">
        <f>IF(E20="","",Commercial_Id)</f>
        <v/>
      </c>
      <c r="I20" s="39">
        <f>IF(E20="","",IFERROR(VALUE(MID(E20,LEN(E20)-3,3)),""))</f>
        <v/>
      </c>
      <c r="J20" s="33">
        <f>IF(I20="","",H20&amp;"|"&amp;I20)</f>
        <v/>
      </c>
      <c r="K20" s="33">
        <f>IF(I20="","",IF(H20="À RENSEIGNER","GIC",H20)&amp;"-"&amp;TEXT(I20,"000"))</f>
        <v/>
      </c>
      <c r="L20" s="33">
        <f>IF(J20="","",IFERROR(INDEX(Cl_nom,MATCH(J20,Cl_cle,0)),"(client introuvable)"))</f>
        <v/>
      </c>
      <c r="M20" s="46">
        <f>IF(B20="","",DATE(YEAR(B20),MONTH(B20),1))</f>
        <v/>
      </c>
      <c r="N20" s="33">
        <f>IF(J20="","",IFERROR(INDEX(Cl_quartier,MATCH(J20,Cl_cle,0))&amp;"",""))</f>
        <v/>
      </c>
      <c r="O20" s="33">
        <f>IF(J20="","",IFERROR(INDEX(Cl_tel,MATCH(J20,Cl_cle,0))&amp;"",""))</f>
        <v/>
      </c>
      <c r="P20" s="34">
        <f>IF(J20="","",IFERROR(INDEX(Cl_potentiel,MATCH(J20,Cl_cle,0)),""))</f>
        <v/>
      </c>
      <c r="Q20" s="34">
        <f>IF(J20="","",IF(D20&lt;&gt;"",IF(COUNTIFS(VC_cle,J20,VC_type,"Visite sur place",VC_date,D20)&gt;0,"Visité",IF(D20&lt;TODAY(),"Non fait","À venir")),IF(B20="","",IF(COUNTIFS(VC_cle,J20,VC_type,"Visite sur place",VC_date,"&gt;="&amp;M20,VC_date,"&lt;"&amp;DATE(YEAR(M20),MONTH(M20)+1,1))&gt;0,"Visité","À visiter"))))</f>
        <v/>
      </c>
    </row>
    <row r="21" ht="18" customHeight="1">
      <c r="A21" s="39" t="n">
        <v>16</v>
      </c>
      <c r="B21" s="49" t="n">
        <v>46266</v>
      </c>
      <c r="C21" s="43" t="n">
        <v>4</v>
      </c>
      <c r="D21" s="32" t="n"/>
      <c r="E21" s="36" t="inlineStr">
        <is>
          <t>Resto Toiture Verte [016]</t>
        </is>
      </c>
      <c r="F21" s="36" t="inlineStr">
        <is>
          <t>Prospection / découverte</t>
        </is>
      </c>
      <c r="G21" s="36" t="inlineStr">
        <is>
          <t>Repris de la fiche de septembre 2026.</t>
        </is>
      </c>
      <c r="H21" s="33">
        <f>IF(E21="","",Commercial_Id)</f>
        <v/>
      </c>
      <c r="I21" s="39">
        <f>IF(E21="","",IFERROR(VALUE(MID(E21,LEN(E21)-3,3)),""))</f>
        <v/>
      </c>
      <c r="J21" s="33">
        <f>IF(I21="","",H21&amp;"|"&amp;I21)</f>
        <v/>
      </c>
      <c r="K21" s="33">
        <f>IF(I21="","",IF(H21="À RENSEIGNER","GIC",H21)&amp;"-"&amp;TEXT(I21,"000"))</f>
        <v/>
      </c>
      <c r="L21" s="33">
        <f>IF(J21="","",IFERROR(INDEX(Cl_nom,MATCH(J21,Cl_cle,0)),"(client introuvable)"))</f>
        <v/>
      </c>
      <c r="M21" s="46">
        <f>IF(B21="","",DATE(YEAR(B21),MONTH(B21),1))</f>
        <v/>
      </c>
      <c r="N21" s="33">
        <f>IF(J21="","",IFERROR(INDEX(Cl_quartier,MATCH(J21,Cl_cle,0))&amp;"",""))</f>
        <v/>
      </c>
      <c r="O21" s="33">
        <f>IF(J21="","",IFERROR(INDEX(Cl_tel,MATCH(J21,Cl_cle,0))&amp;"",""))</f>
        <v/>
      </c>
      <c r="P21" s="34">
        <f>IF(J21="","",IFERROR(INDEX(Cl_potentiel,MATCH(J21,Cl_cle,0)),""))</f>
        <v/>
      </c>
      <c r="Q21" s="34">
        <f>IF(J21="","",IF(D21&lt;&gt;"",IF(COUNTIFS(VC_cle,J21,VC_type,"Visite sur place",VC_date,D21)&gt;0,"Visité",IF(D21&lt;TODAY(),"Non fait","À venir")),IF(B21="","",IF(COUNTIFS(VC_cle,J21,VC_type,"Visite sur place",VC_date,"&gt;="&amp;M21,VC_date,"&lt;"&amp;DATE(YEAR(M21),MONTH(M21)+1,1))&gt;0,"Visité","À visiter"))))</f>
        <v/>
      </c>
    </row>
    <row r="22" ht="18" customHeight="1">
      <c r="A22" s="39" t="n">
        <v>17</v>
      </c>
      <c r="B22" s="49" t="n">
        <v>46266</v>
      </c>
      <c r="C22" s="43" t="n">
        <v>4</v>
      </c>
      <c r="D22" s="32" t="n"/>
      <c r="E22" s="36" t="inlineStr">
        <is>
          <t>Resto Beedi, entrée Maalam (2) [017]</t>
        </is>
      </c>
      <c r="F22" s="36" t="inlineStr">
        <is>
          <t>Prospection / découverte</t>
        </is>
      </c>
      <c r="G22" s="36" t="inlineStr">
        <is>
          <t>Repris de la fiche de septembre 2026.</t>
        </is>
      </c>
      <c r="H22" s="33">
        <f>IF(E22="","",Commercial_Id)</f>
        <v/>
      </c>
      <c r="I22" s="39">
        <f>IF(E22="","",IFERROR(VALUE(MID(E22,LEN(E22)-3,3)),""))</f>
        <v/>
      </c>
      <c r="J22" s="33">
        <f>IF(I22="","",H22&amp;"|"&amp;I22)</f>
        <v/>
      </c>
      <c r="K22" s="33">
        <f>IF(I22="","",IF(H22="À RENSEIGNER","GIC",H22)&amp;"-"&amp;TEXT(I22,"000"))</f>
        <v/>
      </c>
      <c r="L22" s="33">
        <f>IF(J22="","",IFERROR(INDEX(Cl_nom,MATCH(J22,Cl_cle,0)),"(client introuvable)"))</f>
        <v/>
      </c>
      <c r="M22" s="46">
        <f>IF(B22="","",DATE(YEAR(B22),MONTH(B22),1))</f>
        <v/>
      </c>
      <c r="N22" s="33">
        <f>IF(J22="","",IFERROR(INDEX(Cl_quartier,MATCH(J22,Cl_cle,0))&amp;"",""))</f>
        <v/>
      </c>
      <c r="O22" s="33">
        <f>IF(J22="","",IFERROR(INDEX(Cl_tel,MATCH(J22,Cl_cle,0))&amp;"",""))</f>
        <v/>
      </c>
      <c r="P22" s="34">
        <f>IF(J22="","",IFERROR(INDEX(Cl_potentiel,MATCH(J22,Cl_cle,0)),""))</f>
        <v/>
      </c>
      <c r="Q22" s="34">
        <f>IF(J22="","",IF(D22&lt;&gt;"",IF(COUNTIFS(VC_cle,J22,VC_type,"Visite sur place",VC_date,D22)&gt;0,"Visité",IF(D22&lt;TODAY(),"Non fait","À venir")),IF(B22="","",IF(COUNTIFS(VC_cle,J22,VC_type,"Visite sur place",VC_date,"&gt;="&amp;M22,VC_date,"&lt;"&amp;DATE(YEAR(M22),MONTH(M22)+1,1))&gt;0,"Visité","À visiter"))))</f>
        <v/>
      </c>
    </row>
    <row r="23" ht="18" customHeight="1">
      <c r="A23" s="39" t="n">
        <v>18</v>
      </c>
      <c r="B23" s="49" t="n">
        <v>46266</v>
      </c>
      <c r="C23" s="43" t="n">
        <v>4</v>
      </c>
      <c r="D23" s="32" t="n"/>
      <c r="E23" s="36" t="inlineStr">
        <is>
          <t>Particulier Mosquée, Cité des Palmiers [018]</t>
        </is>
      </c>
      <c r="F23" s="36" t="inlineStr">
        <is>
          <t>Prospection / découverte</t>
        </is>
      </c>
      <c r="G23" s="36" t="inlineStr">
        <is>
          <t>Repris de la fiche de septembre 2026.</t>
        </is>
      </c>
      <c r="H23" s="33">
        <f>IF(E23="","",Commercial_Id)</f>
        <v/>
      </c>
      <c r="I23" s="39">
        <f>IF(E23="","",IFERROR(VALUE(MID(E23,LEN(E23)-3,3)),""))</f>
        <v/>
      </c>
      <c r="J23" s="33">
        <f>IF(I23="","",H23&amp;"|"&amp;I23)</f>
        <v/>
      </c>
      <c r="K23" s="33">
        <f>IF(I23="","",IF(H23="À RENSEIGNER","GIC",H23)&amp;"-"&amp;TEXT(I23,"000"))</f>
        <v/>
      </c>
      <c r="L23" s="33">
        <f>IF(J23="","",IFERROR(INDEX(Cl_nom,MATCH(J23,Cl_cle,0)),"(client introuvable)"))</f>
        <v/>
      </c>
      <c r="M23" s="46">
        <f>IF(B23="","",DATE(YEAR(B23),MONTH(B23),1))</f>
        <v/>
      </c>
      <c r="N23" s="33">
        <f>IF(J23="","",IFERROR(INDEX(Cl_quartier,MATCH(J23,Cl_cle,0))&amp;"",""))</f>
        <v/>
      </c>
      <c r="O23" s="33">
        <f>IF(J23="","",IFERROR(INDEX(Cl_tel,MATCH(J23,Cl_cle,0))&amp;"",""))</f>
        <v/>
      </c>
      <c r="P23" s="34">
        <f>IF(J23="","",IFERROR(INDEX(Cl_potentiel,MATCH(J23,Cl_cle,0)),""))</f>
        <v/>
      </c>
      <c r="Q23" s="34">
        <f>IF(J23="","",IF(D23&lt;&gt;"",IF(COUNTIFS(VC_cle,J23,VC_type,"Visite sur place",VC_date,D23)&gt;0,"Visité",IF(D23&lt;TODAY(),"Non fait","À venir")),IF(B23="","",IF(COUNTIFS(VC_cle,J23,VC_type,"Visite sur place",VC_date,"&gt;="&amp;M23,VC_date,"&lt;"&amp;DATE(YEAR(M23),MONTH(M23)+1,1))&gt;0,"Visité","À visiter"))))</f>
        <v/>
      </c>
    </row>
    <row r="24" ht="18" customHeight="1">
      <c r="A24" s="39" t="n">
        <v>19</v>
      </c>
      <c r="B24" s="49" t="n">
        <v>46266</v>
      </c>
      <c r="C24" s="43" t="n">
        <v>4</v>
      </c>
      <c r="D24" s="32" t="n"/>
      <c r="E24" s="36" t="inlineStr">
        <is>
          <t>Particulier PK10 [019]</t>
        </is>
      </c>
      <c r="F24" s="36" t="inlineStr">
        <is>
          <t>Prospection / découverte</t>
        </is>
      </c>
      <c r="G24" s="36" t="inlineStr">
        <is>
          <t>Repris de la fiche de septembre 2026.</t>
        </is>
      </c>
      <c r="H24" s="33">
        <f>IF(E24="","",Commercial_Id)</f>
        <v/>
      </c>
      <c r="I24" s="39">
        <f>IF(E24="","",IFERROR(VALUE(MID(E24,LEN(E24)-3,3)),""))</f>
        <v/>
      </c>
      <c r="J24" s="33">
        <f>IF(I24="","",H24&amp;"|"&amp;I24)</f>
        <v/>
      </c>
      <c r="K24" s="33">
        <f>IF(I24="","",IF(H24="À RENSEIGNER","GIC",H24)&amp;"-"&amp;TEXT(I24,"000"))</f>
        <v/>
      </c>
      <c r="L24" s="33">
        <f>IF(J24="","",IFERROR(INDEX(Cl_nom,MATCH(J24,Cl_cle,0)),"(client introuvable)"))</f>
        <v/>
      </c>
      <c r="M24" s="46">
        <f>IF(B24="","",DATE(YEAR(B24),MONTH(B24),1))</f>
        <v/>
      </c>
      <c r="N24" s="33">
        <f>IF(J24="","",IFERROR(INDEX(Cl_quartier,MATCH(J24,Cl_cle,0))&amp;"",""))</f>
        <v/>
      </c>
      <c r="O24" s="33">
        <f>IF(J24="","",IFERROR(INDEX(Cl_tel,MATCH(J24,Cl_cle,0))&amp;"",""))</f>
        <v/>
      </c>
      <c r="P24" s="34">
        <f>IF(J24="","",IFERROR(INDEX(Cl_potentiel,MATCH(J24,Cl_cle,0)),""))</f>
        <v/>
      </c>
      <c r="Q24" s="34">
        <f>IF(J24="","",IF(D24&lt;&gt;"",IF(COUNTIFS(VC_cle,J24,VC_type,"Visite sur place",VC_date,D24)&gt;0,"Visité",IF(D24&lt;TODAY(),"Non fait","À venir")),IF(B24="","",IF(COUNTIFS(VC_cle,J24,VC_type,"Visite sur place",VC_date,"&gt;="&amp;M24,VC_date,"&lt;"&amp;DATE(YEAR(M24),MONTH(M24)+1,1))&gt;0,"Visité","À visiter"))))</f>
        <v/>
      </c>
    </row>
    <row r="25" ht="18" customHeight="1">
      <c r="A25" s="39" t="n">
        <v>20</v>
      </c>
      <c r="B25" s="49" t="n">
        <v>46266</v>
      </c>
      <c r="C25" s="43" t="n">
        <v>4</v>
      </c>
      <c r="D25" s="32" t="n"/>
      <c r="E25" s="36" t="inlineStr">
        <is>
          <t>Resto Hôpital Général, Beedi [020]</t>
        </is>
      </c>
      <c r="F25" s="36" t="inlineStr">
        <is>
          <t>Prospection / découverte</t>
        </is>
      </c>
      <c r="G25" s="36" t="inlineStr">
        <is>
          <t>Repris de la fiche de septembre 2026.</t>
        </is>
      </c>
      <c r="H25" s="33">
        <f>IF(E25="","",Commercial_Id)</f>
        <v/>
      </c>
      <c r="I25" s="39">
        <f>IF(E25="","",IFERROR(VALUE(MID(E25,LEN(E25)-3,3)),""))</f>
        <v/>
      </c>
      <c r="J25" s="33">
        <f>IF(I25="","",H25&amp;"|"&amp;I25)</f>
        <v/>
      </c>
      <c r="K25" s="33">
        <f>IF(I25="","",IF(H25="À RENSEIGNER","GIC",H25)&amp;"-"&amp;TEXT(I25,"000"))</f>
        <v/>
      </c>
      <c r="L25" s="33">
        <f>IF(J25="","",IFERROR(INDEX(Cl_nom,MATCH(J25,Cl_cle,0)),"(client introuvable)"))</f>
        <v/>
      </c>
      <c r="M25" s="46">
        <f>IF(B25="","",DATE(YEAR(B25),MONTH(B25),1))</f>
        <v/>
      </c>
      <c r="N25" s="33">
        <f>IF(J25="","",IFERROR(INDEX(Cl_quartier,MATCH(J25,Cl_cle,0))&amp;"",""))</f>
        <v/>
      </c>
      <c r="O25" s="33">
        <f>IF(J25="","",IFERROR(INDEX(Cl_tel,MATCH(J25,Cl_cle,0))&amp;"",""))</f>
        <v/>
      </c>
      <c r="P25" s="34">
        <f>IF(J25="","",IFERROR(INDEX(Cl_potentiel,MATCH(J25,Cl_cle,0)),""))</f>
        <v/>
      </c>
      <c r="Q25" s="34">
        <f>IF(J25="","",IF(D25&lt;&gt;"",IF(COUNTIFS(VC_cle,J25,VC_type,"Visite sur place",VC_date,D25)&gt;0,"Visité",IF(D25&lt;TODAY(),"Non fait","À venir")),IF(B25="","",IF(COUNTIFS(VC_cle,J25,VC_type,"Visite sur place",VC_date,"&gt;="&amp;M25,VC_date,"&lt;"&amp;DATE(YEAR(M25),MONTH(M25)+1,1))&gt;0,"Visité","À visiter"))))</f>
        <v/>
      </c>
    </row>
    <row r="26" ht="18" customHeight="1">
      <c r="A26" s="39" t="n">
        <v>21</v>
      </c>
      <c r="B26" s="49" t="n">
        <v>46266</v>
      </c>
      <c r="C26" s="43" t="n">
        <v>4</v>
      </c>
      <c r="D26" s="32" t="n"/>
      <c r="E26" s="36" t="inlineStr">
        <is>
          <t>Resto Beedi Total [021]</t>
        </is>
      </c>
      <c r="F26" s="36" t="inlineStr">
        <is>
          <t>Prospection / découverte</t>
        </is>
      </c>
      <c r="G26" s="36" t="inlineStr">
        <is>
          <t>Repris de la fiche de septembre 2026.</t>
        </is>
      </c>
      <c r="H26" s="33">
        <f>IF(E26="","",Commercial_Id)</f>
        <v/>
      </c>
      <c r="I26" s="39">
        <f>IF(E26="","",IFERROR(VALUE(MID(E26,LEN(E26)-3,3)),""))</f>
        <v/>
      </c>
      <c r="J26" s="33">
        <f>IF(I26="","",H26&amp;"|"&amp;I26)</f>
        <v/>
      </c>
      <c r="K26" s="33">
        <f>IF(I26="","",IF(H26="À RENSEIGNER","GIC",H26)&amp;"-"&amp;TEXT(I26,"000"))</f>
        <v/>
      </c>
      <c r="L26" s="33">
        <f>IF(J26="","",IFERROR(INDEX(Cl_nom,MATCH(J26,Cl_cle,0)),"(client introuvable)"))</f>
        <v/>
      </c>
      <c r="M26" s="46">
        <f>IF(B26="","",DATE(YEAR(B26),MONTH(B26),1))</f>
        <v/>
      </c>
      <c r="N26" s="33">
        <f>IF(J26="","",IFERROR(INDEX(Cl_quartier,MATCH(J26,Cl_cle,0))&amp;"",""))</f>
        <v/>
      </c>
      <c r="O26" s="33">
        <f>IF(J26="","",IFERROR(INDEX(Cl_tel,MATCH(J26,Cl_cle,0))&amp;"",""))</f>
        <v/>
      </c>
      <c r="P26" s="34">
        <f>IF(J26="","",IFERROR(INDEX(Cl_potentiel,MATCH(J26,Cl_cle,0)),""))</f>
        <v/>
      </c>
      <c r="Q26" s="34">
        <f>IF(J26="","",IF(D26&lt;&gt;"",IF(COUNTIFS(VC_cle,J26,VC_type,"Visite sur place",VC_date,D26)&gt;0,"Visité",IF(D26&lt;TODAY(),"Non fait","À venir")),IF(B26="","",IF(COUNTIFS(VC_cle,J26,VC_type,"Visite sur place",VC_date,"&gt;="&amp;M26,VC_date,"&lt;"&amp;DATE(YEAR(M26),MONTH(M26)+1,1))&gt;0,"Visité","À visiter"))))</f>
        <v/>
      </c>
    </row>
    <row r="27" ht="18" customHeight="1">
      <c r="A27" s="39" t="n">
        <v>22</v>
      </c>
      <c r="B27" s="49" t="n">
        <v>46266</v>
      </c>
      <c r="C27" s="43" t="n">
        <v>4</v>
      </c>
      <c r="D27" s="32" t="n"/>
      <c r="E27" s="36" t="inlineStr">
        <is>
          <t>Revendeur Cité des Palmiers [022]</t>
        </is>
      </c>
      <c r="F27" s="36" t="inlineStr">
        <is>
          <t>Prospection / découverte</t>
        </is>
      </c>
      <c r="G27" s="36" t="inlineStr">
        <is>
          <t>Repris de la fiche de septembre 2026.</t>
        </is>
      </c>
      <c r="H27" s="33">
        <f>IF(E27="","",Commercial_Id)</f>
        <v/>
      </c>
      <c r="I27" s="39">
        <f>IF(E27="","",IFERROR(VALUE(MID(E27,LEN(E27)-3,3)),""))</f>
        <v/>
      </c>
      <c r="J27" s="33">
        <f>IF(I27="","",H27&amp;"|"&amp;I27)</f>
        <v/>
      </c>
      <c r="K27" s="33">
        <f>IF(I27="","",IF(H27="À RENSEIGNER","GIC",H27)&amp;"-"&amp;TEXT(I27,"000"))</f>
        <v/>
      </c>
      <c r="L27" s="33">
        <f>IF(J27="","",IFERROR(INDEX(Cl_nom,MATCH(J27,Cl_cle,0)),"(client introuvable)"))</f>
        <v/>
      </c>
      <c r="M27" s="46">
        <f>IF(B27="","",DATE(YEAR(B27),MONTH(B27),1))</f>
        <v/>
      </c>
      <c r="N27" s="33">
        <f>IF(J27="","",IFERROR(INDEX(Cl_quartier,MATCH(J27,Cl_cle,0))&amp;"",""))</f>
        <v/>
      </c>
      <c r="O27" s="33">
        <f>IF(J27="","",IFERROR(INDEX(Cl_tel,MATCH(J27,Cl_cle,0))&amp;"",""))</f>
        <v/>
      </c>
      <c r="P27" s="34">
        <f>IF(J27="","",IFERROR(INDEX(Cl_potentiel,MATCH(J27,Cl_cle,0)),""))</f>
        <v/>
      </c>
      <c r="Q27" s="34">
        <f>IF(J27="","",IF(D27&lt;&gt;"",IF(COUNTIFS(VC_cle,J27,VC_type,"Visite sur place",VC_date,D27)&gt;0,"Visité",IF(D27&lt;TODAY(),"Non fait","À venir")),IF(B27="","",IF(COUNTIFS(VC_cle,J27,VC_type,"Visite sur place",VC_date,"&gt;="&amp;M27,VC_date,"&lt;"&amp;DATE(YEAR(M27),MONTH(M27)+1,1))&gt;0,"Visité","À visiter"))))</f>
        <v/>
      </c>
    </row>
    <row r="28" ht="18" customHeight="1">
      <c r="A28" s="39" t="n">
        <v>23</v>
      </c>
      <c r="B28" s="49" t="n">
        <v>46266</v>
      </c>
      <c r="C28" s="43" t="n">
        <v>4</v>
      </c>
      <c r="D28" s="32" t="n"/>
      <c r="E28" s="36" t="inlineStr">
        <is>
          <t>Revendeur PK13 [023]</t>
        </is>
      </c>
      <c r="F28" s="36" t="inlineStr">
        <is>
          <t>Prospection / découverte</t>
        </is>
      </c>
      <c r="G28" s="36" t="inlineStr">
        <is>
          <t>Repris de la fiche de septembre 2026.</t>
        </is>
      </c>
      <c r="H28" s="33">
        <f>IF(E28="","",Commercial_Id)</f>
        <v/>
      </c>
      <c r="I28" s="39">
        <f>IF(E28="","",IFERROR(VALUE(MID(E28,LEN(E28)-3,3)),""))</f>
        <v/>
      </c>
      <c r="J28" s="33">
        <f>IF(I28="","",H28&amp;"|"&amp;I28)</f>
        <v/>
      </c>
      <c r="K28" s="33">
        <f>IF(I28="","",IF(H28="À RENSEIGNER","GIC",H28)&amp;"-"&amp;TEXT(I28,"000"))</f>
        <v/>
      </c>
      <c r="L28" s="33">
        <f>IF(J28="","",IFERROR(INDEX(Cl_nom,MATCH(J28,Cl_cle,0)),"(client introuvable)"))</f>
        <v/>
      </c>
      <c r="M28" s="46">
        <f>IF(B28="","",DATE(YEAR(B28),MONTH(B28),1))</f>
        <v/>
      </c>
      <c r="N28" s="33">
        <f>IF(J28="","",IFERROR(INDEX(Cl_quartier,MATCH(J28,Cl_cle,0))&amp;"",""))</f>
        <v/>
      </c>
      <c r="O28" s="33">
        <f>IF(J28="","",IFERROR(INDEX(Cl_tel,MATCH(J28,Cl_cle,0))&amp;"",""))</f>
        <v/>
      </c>
      <c r="P28" s="34">
        <f>IF(J28="","",IFERROR(INDEX(Cl_potentiel,MATCH(J28,Cl_cle,0)),""))</f>
        <v/>
      </c>
      <c r="Q28" s="34">
        <f>IF(J28="","",IF(D28&lt;&gt;"",IF(COUNTIFS(VC_cle,J28,VC_type,"Visite sur place",VC_date,D28)&gt;0,"Visité",IF(D28&lt;TODAY(),"Non fait","À venir")),IF(B28="","",IF(COUNTIFS(VC_cle,J28,VC_type,"Visite sur place",VC_date,"&gt;="&amp;M28,VC_date,"&lt;"&amp;DATE(YEAR(M28),MONTH(M28)+1,1))&gt;0,"Visité","À visiter"))))</f>
        <v/>
      </c>
    </row>
    <row r="29" ht="18" customHeight="1">
      <c r="A29" s="39" t="n">
        <v>24</v>
      </c>
      <c r="B29" s="49" t="n">
        <v>46266</v>
      </c>
      <c r="C29" s="43" t="n">
        <v>4</v>
      </c>
      <c r="D29" s="32" t="n"/>
      <c r="E29" s="36" t="inlineStr">
        <is>
          <t>Particulier PK9 [024]</t>
        </is>
      </c>
      <c r="F29" s="36" t="inlineStr">
        <is>
          <t>Prospection / découverte</t>
        </is>
      </c>
      <c r="G29" s="36" t="inlineStr">
        <is>
          <t>Repris de la fiche de septembre 2026.</t>
        </is>
      </c>
      <c r="H29" s="33">
        <f>IF(E29="","",Commercial_Id)</f>
        <v/>
      </c>
      <c r="I29" s="39">
        <f>IF(E29="","",IFERROR(VALUE(MID(E29,LEN(E29)-3,3)),""))</f>
        <v/>
      </c>
      <c r="J29" s="33">
        <f>IF(I29="","",H29&amp;"|"&amp;I29)</f>
        <v/>
      </c>
      <c r="K29" s="33">
        <f>IF(I29="","",IF(H29="À RENSEIGNER","GIC",H29)&amp;"-"&amp;TEXT(I29,"000"))</f>
        <v/>
      </c>
      <c r="L29" s="33">
        <f>IF(J29="","",IFERROR(INDEX(Cl_nom,MATCH(J29,Cl_cle,0)),"(client introuvable)"))</f>
        <v/>
      </c>
      <c r="M29" s="46">
        <f>IF(B29="","",DATE(YEAR(B29),MONTH(B29),1))</f>
        <v/>
      </c>
      <c r="N29" s="33">
        <f>IF(J29="","",IFERROR(INDEX(Cl_quartier,MATCH(J29,Cl_cle,0))&amp;"",""))</f>
        <v/>
      </c>
      <c r="O29" s="33">
        <f>IF(J29="","",IFERROR(INDEX(Cl_tel,MATCH(J29,Cl_cle,0))&amp;"",""))</f>
        <v/>
      </c>
      <c r="P29" s="34">
        <f>IF(J29="","",IFERROR(INDEX(Cl_potentiel,MATCH(J29,Cl_cle,0)),""))</f>
        <v/>
      </c>
      <c r="Q29" s="34">
        <f>IF(J29="","",IF(D29&lt;&gt;"",IF(COUNTIFS(VC_cle,J29,VC_type,"Visite sur place",VC_date,D29)&gt;0,"Visité",IF(D29&lt;TODAY(),"Non fait","À venir")),IF(B29="","",IF(COUNTIFS(VC_cle,J29,VC_type,"Visite sur place",VC_date,"&gt;="&amp;M29,VC_date,"&lt;"&amp;DATE(YEAR(M29),MONTH(M29)+1,1))&gt;0,"Visité","À visiter"))))</f>
        <v/>
      </c>
    </row>
    <row r="30" ht="18" customHeight="1">
      <c r="A30" s="39" t="n">
        <v>25</v>
      </c>
      <c r="B30" s="49" t="n">
        <v>46266</v>
      </c>
      <c r="C30" s="43" t="n">
        <v>4</v>
      </c>
      <c r="D30" s="32" t="n"/>
      <c r="E30" s="36" t="inlineStr">
        <is>
          <t>Revendeur Beedi, entrée Charli [025]</t>
        </is>
      </c>
      <c r="F30" s="36" t="inlineStr">
        <is>
          <t>Prospection / découverte</t>
        </is>
      </c>
      <c r="G30" s="36" t="inlineStr">
        <is>
          <t>Repris de la fiche de septembre 2026.</t>
        </is>
      </c>
      <c r="H30" s="33">
        <f>IF(E30="","",Commercial_Id)</f>
        <v/>
      </c>
      <c r="I30" s="39">
        <f>IF(E30="","",IFERROR(VALUE(MID(E30,LEN(E30)-3,3)),""))</f>
        <v/>
      </c>
      <c r="J30" s="33">
        <f>IF(I30="","",H30&amp;"|"&amp;I30)</f>
        <v/>
      </c>
      <c r="K30" s="33">
        <f>IF(I30="","",IF(H30="À RENSEIGNER","GIC",H30)&amp;"-"&amp;TEXT(I30,"000"))</f>
        <v/>
      </c>
      <c r="L30" s="33">
        <f>IF(J30="","",IFERROR(INDEX(Cl_nom,MATCH(J30,Cl_cle,0)),"(client introuvable)"))</f>
        <v/>
      </c>
      <c r="M30" s="46">
        <f>IF(B30="","",DATE(YEAR(B30),MONTH(B30),1))</f>
        <v/>
      </c>
      <c r="N30" s="33">
        <f>IF(J30="","",IFERROR(INDEX(Cl_quartier,MATCH(J30,Cl_cle,0))&amp;"",""))</f>
        <v/>
      </c>
      <c r="O30" s="33">
        <f>IF(J30="","",IFERROR(INDEX(Cl_tel,MATCH(J30,Cl_cle,0))&amp;"",""))</f>
        <v/>
      </c>
      <c r="P30" s="34">
        <f>IF(J30="","",IFERROR(INDEX(Cl_potentiel,MATCH(J30,Cl_cle,0)),""))</f>
        <v/>
      </c>
      <c r="Q30" s="34">
        <f>IF(J30="","",IF(D30&lt;&gt;"",IF(COUNTIFS(VC_cle,J30,VC_type,"Visite sur place",VC_date,D30)&gt;0,"Visité",IF(D30&lt;TODAY(),"Non fait","À venir")),IF(B30="","",IF(COUNTIFS(VC_cle,J30,VC_type,"Visite sur place",VC_date,"&gt;="&amp;M30,VC_date,"&lt;"&amp;DATE(YEAR(M30),MONTH(M30)+1,1))&gt;0,"Visité","À visiter"))))</f>
        <v/>
      </c>
    </row>
    <row r="31" ht="18" customHeight="1">
      <c r="A31" s="39" t="n">
        <v>26</v>
      </c>
      <c r="B31" s="49" t="n">
        <v>46266</v>
      </c>
      <c r="C31" s="43" t="n">
        <v>4</v>
      </c>
      <c r="D31" s="32" t="n"/>
      <c r="E31" s="36" t="inlineStr">
        <is>
          <t>Revendeur Carrefour Conquête [026]</t>
        </is>
      </c>
      <c r="F31" s="36" t="inlineStr">
        <is>
          <t>Prospection / découverte</t>
        </is>
      </c>
      <c r="G31" s="36" t="inlineStr">
        <is>
          <t>Repris de la fiche de septembre 2026.</t>
        </is>
      </c>
      <c r="H31" s="33">
        <f>IF(E31="","",Commercial_Id)</f>
        <v/>
      </c>
      <c r="I31" s="39">
        <f>IF(E31="","",IFERROR(VALUE(MID(E31,LEN(E31)-3,3)),""))</f>
        <v/>
      </c>
      <c r="J31" s="33">
        <f>IF(I31="","",H31&amp;"|"&amp;I31)</f>
        <v/>
      </c>
      <c r="K31" s="33">
        <f>IF(I31="","",IF(H31="À RENSEIGNER","GIC",H31)&amp;"-"&amp;TEXT(I31,"000"))</f>
        <v/>
      </c>
      <c r="L31" s="33">
        <f>IF(J31="","",IFERROR(INDEX(Cl_nom,MATCH(J31,Cl_cle,0)),"(client introuvable)"))</f>
        <v/>
      </c>
      <c r="M31" s="46">
        <f>IF(B31="","",DATE(YEAR(B31),MONTH(B31),1))</f>
        <v/>
      </c>
      <c r="N31" s="33">
        <f>IF(J31="","",IFERROR(INDEX(Cl_quartier,MATCH(J31,Cl_cle,0))&amp;"",""))</f>
        <v/>
      </c>
      <c r="O31" s="33">
        <f>IF(J31="","",IFERROR(INDEX(Cl_tel,MATCH(J31,Cl_cle,0))&amp;"",""))</f>
        <v/>
      </c>
      <c r="P31" s="34">
        <f>IF(J31="","",IFERROR(INDEX(Cl_potentiel,MATCH(J31,Cl_cle,0)),""))</f>
        <v/>
      </c>
      <c r="Q31" s="34">
        <f>IF(J31="","",IF(D31&lt;&gt;"",IF(COUNTIFS(VC_cle,J31,VC_type,"Visite sur place",VC_date,D31)&gt;0,"Visité",IF(D31&lt;TODAY(),"Non fait","À venir")),IF(B31="","",IF(COUNTIFS(VC_cle,J31,VC_type,"Visite sur place",VC_date,"&gt;="&amp;M31,VC_date,"&lt;"&amp;DATE(YEAR(M31),MONTH(M31)+1,1))&gt;0,"Visité","À visiter"))))</f>
        <v/>
      </c>
    </row>
    <row r="32" ht="18" customHeight="1">
      <c r="A32" s="39" t="n">
        <v>27</v>
      </c>
      <c r="B32" s="49" t="n"/>
      <c r="C32" s="43" t="n"/>
      <c r="D32" s="32" t="n"/>
      <c r="E32" s="36" t="n"/>
      <c r="F32" s="36" t="n"/>
      <c r="G32" s="36" t="n"/>
      <c r="H32" s="33">
        <f>IF(E32="","",Commercial_Id)</f>
        <v/>
      </c>
      <c r="I32" s="39">
        <f>IF(E32="","",IFERROR(VALUE(MID(E32,LEN(E32)-3,3)),""))</f>
        <v/>
      </c>
      <c r="J32" s="33">
        <f>IF(I32="","",H32&amp;"|"&amp;I32)</f>
        <v/>
      </c>
      <c r="K32" s="33">
        <f>IF(I32="","",IF(H32="À RENSEIGNER","GIC",H32)&amp;"-"&amp;TEXT(I32,"000"))</f>
        <v/>
      </c>
      <c r="L32" s="33">
        <f>IF(J32="","",IFERROR(INDEX(Cl_nom,MATCH(J32,Cl_cle,0)),"(client introuvable)"))</f>
        <v/>
      </c>
      <c r="M32" s="46">
        <f>IF(B32="","",DATE(YEAR(B32),MONTH(B32),1))</f>
        <v/>
      </c>
      <c r="N32" s="33">
        <f>IF(J32="","",IFERROR(INDEX(Cl_quartier,MATCH(J32,Cl_cle,0))&amp;"",""))</f>
        <v/>
      </c>
      <c r="O32" s="33">
        <f>IF(J32="","",IFERROR(INDEX(Cl_tel,MATCH(J32,Cl_cle,0))&amp;"",""))</f>
        <v/>
      </c>
      <c r="P32" s="34">
        <f>IF(J32="","",IFERROR(INDEX(Cl_potentiel,MATCH(J32,Cl_cle,0)),""))</f>
        <v/>
      </c>
      <c r="Q32" s="34">
        <f>IF(J32="","",IF(D32&lt;&gt;"",IF(COUNTIFS(VC_cle,J32,VC_type,"Visite sur place",VC_date,D32)&gt;0,"Visité",IF(D32&lt;TODAY(),"Non fait","À venir")),IF(B32="","",IF(COUNTIFS(VC_cle,J32,VC_type,"Visite sur place",VC_date,"&gt;="&amp;M32,VC_date,"&lt;"&amp;DATE(YEAR(M32),MONTH(M32)+1,1))&gt;0,"Visité","À visiter"))))</f>
        <v/>
      </c>
    </row>
    <row r="33" ht="18" customHeight="1">
      <c r="A33" s="39" t="n">
        <v>28</v>
      </c>
      <c r="B33" s="49" t="n"/>
      <c r="C33" s="43" t="n"/>
      <c r="D33" s="32" t="n"/>
      <c r="E33" s="36" t="n"/>
      <c r="F33" s="36" t="n"/>
      <c r="G33" s="36" t="n"/>
      <c r="H33" s="33">
        <f>IF(E33="","",Commercial_Id)</f>
        <v/>
      </c>
      <c r="I33" s="39">
        <f>IF(E33="","",IFERROR(VALUE(MID(E33,LEN(E33)-3,3)),""))</f>
        <v/>
      </c>
      <c r="J33" s="33">
        <f>IF(I33="","",H33&amp;"|"&amp;I33)</f>
        <v/>
      </c>
      <c r="K33" s="33">
        <f>IF(I33="","",IF(H33="À RENSEIGNER","GIC",H33)&amp;"-"&amp;TEXT(I33,"000"))</f>
        <v/>
      </c>
      <c r="L33" s="33">
        <f>IF(J33="","",IFERROR(INDEX(Cl_nom,MATCH(J33,Cl_cle,0)),"(client introuvable)"))</f>
        <v/>
      </c>
      <c r="M33" s="46">
        <f>IF(B33="","",DATE(YEAR(B33),MONTH(B33),1))</f>
        <v/>
      </c>
      <c r="N33" s="33">
        <f>IF(J33="","",IFERROR(INDEX(Cl_quartier,MATCH(J33,Cl_cle,0))&amp;"",""))</f>
        <v/>
      </c>
      <c r="O33" s="33">
        <f>IF(J33="","",IFERROR(INDEX(Cl_tel,MATCH(J33,Cl_cle,0))&amp;"",""))</f>
        <v/>
      </c>
      <c r="P33" s="34">
        <f>IF(J33="","",IFERROR(INDEX(Cl_potentiel,MATCH(J33,Cl_cle,0)),""))</f>
        <v/>
      </c>
      <c r="Q33" s="34">
        <f>IF(J33="","",IF(D33&lt;&gt;"",IF(COUNTIFS(VC_cle,J33,VC_type,"Visite sur place",VC_date,D33)&gt;0,"Visité",IF(D33&lt;TODAY(),"Non fait","À venir")),IF(B33="","",IF(COUNTIFS(VC_cle,J33,VC_type,"Visite sur place",VC_date,"&gt;="&amp;M33,VC_date,"&lt;"&amp;DATE(YEAR(M33),MONTH(M33)+1,1))&gt;0,"Visité","À visiter"))))</f>
        <v/>
      </c>
    </row>
    <row r="34" ht="18" customHeight="1">
      <c r="A34" s="39" t="n">
        <v>29</v>
      </c>
      <c r="B34" s="49" t="n"/>
      <c r="C34" s="43" t="n"/>
      <c r="D34" s="32" t="n"/>
      <c r="E34" s="36" t="n"/>
      <c r="F34" s="36" t="n"/>
      <c r="G34" s="36" t="n"/>
      <c r="H34" s="33">
        <f>IF(E34="","",Commercial_Id)</f>
        <v/>
      </c>
      <c r="I34" s="39">
        <f>IF(E34="","",IFERROR(VALUE(MID(E34,LEN(E34)-3,3)),""))</f>
        <v/>
      </c>
      <c r="J34" s="33">
        <f>IF(I34="","",H34&amp;"|"&amp;I34)</f>
        <v/>
      </c>
      <c r="K34" s="33">
        <f>IF(I34="","",IF(H34="À RENSEIGNER","GIC",H34)&amp;"-"&amp;TEXT(I34,"000"))</f>
        <v/>
      </c>
      <c r="L34" s="33">
        <f>IF(J34="","",IFERROR(INDEX(Cl_nom,MATCH(J34,Cl_cle,0)),"(client introuvable)"))</f>
        <v/>
      </c>
      <c r="M34" s="46">
        <f>IF(B34="","",DATE(YEAR(B34),MONTH(B34),1))</f>
        <v/>
      </c>
      <c r="N34" s="33">
        <f>IF(J34="","",IFERROR(INDEX(Cl_quartier,MATCH(J34,Cl_cle,0))&amp;"",""))</f>
        <v/>
      </c>
      <c r="O34" s="33">
        <f>IF(J34="","",IFERROR(INDEX(Cl_tel,MATCH(J34,Cl_cle,0))&amp;"",""))</f>
        <v/>
      </c>
      <c r="P34" s="34">
        <f>IF(J34="","",IFERROR(INDEX(Cl_potentiel,MATCH(J34,Cl_cle,0)),""))</f>
        <v/>
      </c>
      <c r="Q34" s="34">
        <f>IF(J34="","",IF(D34&lt;&gt;"",IF(COUNTIFS(VC_cle,J34,VC_type,"Visite sur place",VC_date,D34)&gt;0,"Visité",IF(D34&lt;TODAY(),"Non fait","À venir")),IF(B34="","",IF(COUNTIFS(VC_cle,J34,VC_type,"Visite sur place",VC_date,"&gt;="&amp;M34,VC_date,"&lt;"&amp;DATE(YEAR(M34),MONTH(M34)+1,1))&gt;0,"Visité","À visiter"))))</f>
        <v/>
      </c>
    </row>
    <row r="35" ht="18" customHeight="1">
      <c r="A35" s="39" t="n">
        <v>30</v>
      </c>
      <c r="B35" s="49" t="n"/>
      <c r="C35" s="43" t="n"/>
      <c r="D35" s="32" t="n"/>
      <c r="E35" s="36" t="n"/>
      <c r="F35" s="36" t="n"/>
      <c r="G35" s="36" t="n"/>
      <c r="H35" s="33">
        <f>IF(E35="","",Commercial_Id)</f>
        <v/>
      </c>
      <c r="I35" s="39">
        <f>IF(E35="","",IFERROR(VALUE(MID(E35,LEN(E35)-3,3)),""))</f>
        <v/>
      </c>
      <c r="J35" s="33">
        <f>IF(I35="","",H35&amp;"|"&amp;I35)</f>
        <v/>
      </c>
      <c r="K35" s="33">
        <f>IF(I35="","",IF(H35="À RENSEIGNER","GIC",H35)&amp;"-"&amp;TEXT(I35,"000"))</f>
        <v/>
      </c>
      <c r="L35" s="33">
        <f>IF(J35="","",IFERROR(INDEX(Cl_nom,MATCH(J35,Cl_cle,0)),"(client introuvable)"))</f>
        <v/>
      </c>
      <c r="M35" s="46">
        <f>IF(B35="","",DATE(YEAR(B35),MONTH(B35),1))</f>
        <v/>
      </c>
      <c r="N35" s="33">
        <f>IF(J35="","",IFERROR(INDEX(Cl_quartier,MATCH(J35,Cl_cle,0))&amp;"",""))</f>
        <v/>
      </c>
      <c r="O35" s="33">
        <f>IF(J35="","",IFERROR(INDEX(Cl_tel,MATCH(J35,Cl_cle,0))&amp;"",""))</f>
        <v/>
      </c>
      <c r="P35" s="34">
        <f>IF(J35="","",IFERROR(INDEX(Cl_potentiel,MATCH(J35,Cl_cle,0)),""))</f>
        <v/>
      </c>
      <c r="Q35" s="34">
        <f>IF(J35="","",IF(D35&lt;&gt;"",IF(COUNTIFS(VC_cle,J35,VC_type,"Visite sur place",VC_date,D35)&gt;0,"Visité",IF(D35&lt;TODAY(),"Non fait","À venir")),IF(B35="","",IF(COUNTIFS(VC_cle,J35,VC_type,"Visite sur place",VC_date,"&gt;="&amp;M35,VC_date,"&lt;"&amp;DATE(YEAR(M35),MONTH(M35)+1,1))&gt;0,"Visité","À visiter"))))</f>
        <v/>
      </c>
    </row>
    <row r="36" ht="18" customHeight="1">
      <c r="A36" s="39" t="n">
        <v>31</v>
      </c>
      <c r="B36" s="49" t="n"/>
      <c r="C36" s="43" t="n"/>
      <c r="D36" s="32" t="n"/>
      <c r="E36" s="36" t="n"/>
      <c r="F36" s="36" t="n"/>
      <c r="G36" s="36" t="n"/>
      <c r="H36" s="33">
        <f>IF(E36="","",Commercial_Id)</f>
        <v/>
      </c>
      <c r="I36" s="39">
        <f>IF(E36="","",IFERROR(VALUE(MID(E36,LEN(E36)-3,3)),""))</f>
        <v/>
      </c>
      <c r="J36" s="33">
        <f>IF(I36="","",H36&amp;"|"&amp;I36)</f>
        <v/>
      </c>
      <c r="K36" s="33">
        <f>IF(I36="","",IF(H36="À RENSEIGNER","GIC",H36)&amp;"-"&amp;TEXT(I36,"000"))</f>
        <v/>
      </c>
      <c r="L36" s="33">
        <f>IF(J36="","",IFERROR(INDEX(Cl_nom,MATCH(J36,Cl_cle,0)),"(client introuvable)"))</f>
        <v/>
      </c>
      <c r="M36" s="46">
        <f>IF(B36="","",DATE(YEAR(B36),MONTH(B36),1))</f>
        <v/>
      </c>
      <c r="N36" s="33">
        <f>IF(J36="","",IFERROR(INDEX(Cl_quartier,MATCH(J36,Cl_cle,0))&amp;"",""))</f>
        <v/>
      </c>
      <c r="O36" s="33">
        <f>IF(J36="","",IFERROR(INDEX(Cl_tel,MATCH(J36,Cl_cle,0))&amp;"",""))</f>
        <v/>
      </c>
      <c r="P36" s="34">
        <f>IF(J36="","",IFERROR(INDEX(Cl_potentiel,MATCH(J36,Cl_cle,0)),""))</f>
        <v/>
      </c>
      <c r="Q36" s="34">
        <f>IF(J36="","",IF(D36&lt;&gt;"",IF(COUNTIFS(VC_cle,J36,VC_type,"Visite sur place",VC_date,D36)&gt;0,"Visité",IF(D36&lt;TODAY(),"Non fait","À venir")),IF(B36="","",IF(COUNTIFS(VC_cle,J36,VC_type,"Visite sur place",VC_date,"&gt;="&amp;M36,VC_date,"&lt;"&amp;DATE(YEAR(M36),MONTH(M36)+1,1))&gt;0,"Visité","À visiter"))))</f>
        <v/>
      </c>
    </row>
    <row r="37" ht="18" customHeight="1">
      <c r="A37" s="39" t="n">
        <v>32</v>
      </c>
      <c r="B37" s="49" t="n"/>
      <c r="C37" s="43" t="n"/>
      <c r="D37" s="32" t="n"/>
      <c r="E37" s="36" t="n"/>
      <c r="F37" s="36" t="n"/>
      <c r="G37" s="36" t="n"/>
      <c r="H37" s="33">
        <f>IF(E37="","",Commercial_Id)</f>
        <v/>
      </c>
      <c r="I37" s="39">
        <f>IF(E37="","",IFERROR(VALUE(MID(E37,LEN(E37)-3,3)),""))</f>
        <v/>
      </c>
      <c r="J37" s="33">
        <f>IF(I37="","",H37&amp;"|"&amp;I37)</f>
        <v/>
      </c>
      <c r="K37" s="33">
        <f>IF(I37="","",IF(H37="À RENSEIGNER","GIC",H37)&amp;"-"&amp;TEXT(I37,"000"))</f>
        <v/>
      </c>
      <c r="L37" s="33">
        <f>IF(J37="","",IFERROR(INDEX(Cl_nom,MATCH(J37,Cl_cle,0)),"(client introuvable)"))</f>
        <v/>
      </c>
      <c r="M37" s="46">
        <f>IF(B37="","",DATE(YEAR(B37),MONTH(B37),1))</f>
        <v/>
      </c>
      <c r="N37" s="33">
        <f>IF(J37="","",IFERROR(INDEX(Cl_quartier,MATCH(J37,Cl_cle,0))&amp;"",""))</f>
        <v/>
      </c>
      <c r="O37" s="33">
        <f>IF(J37="","",IFERROR(INDEX(Cl_tel,MATCH(J37,Cl_cle,0))&amp;"",""))</f>
        <v/>
      </c>
      <c r="P37" s="34">
        <f>IF(J37="","",IFERROR(INDEX(Cl_potentiel,MATCH(J37,Cl_cle,0)),""))</f>
        <v/>
      </c>
      <c r="Q37" s="34">
        <f>IF(J37="","",IF(D37&lt;&gt;"",IF(COUNTIFS(VC_cle,J37,VC_type,"Visite sur place",VC_date,D37)&gt;0,"Visité",IF(D37&lt;TODAY(),"Non fait","À venir")),IF(B37="","",IF(COUNTIFS(VC_cle,J37,VC_type,"Visite sur place",VC_date,"&gt;="&amp;M37,VC_date,"&lt;"&amp;DATE(YEAR(M37),MONTH(M37)+1,1))&gt;0,"Visité","À visiter"))))</f>
        <v/>
      </c>
    </row>
    <row r="38" ht="18" customHeight="1">
      <c r="A38" s="39" t="n">
        <v>33</v>
      </c>
      <c r="B38" s="49" t="n"/>
      <c r="C38" s="43" t="n"/>
      <c r="D38" s="32" t="n"/>
      <c r="E38" s="36" t="n"/>
      <c r="F38" s="36" t="n"/>
      <c r="G38" s="36" t="n"/>
      <c r="H38" s="33">
        <f>IF(E38="","",Commercial_Id)</f>
        <v/>
      </c>
      <c r="I38" s="39">
        <f>IF(E38="","",IFERROR(VALUE(MID(E38,LEN(E38)-3,3)),""))</f>
        <v/>
      </c>
      <c r="J38" s="33">
        <f>IF(I38="","",H38&amp;"|"&amp;I38)</f>
        <v/>
      </c>
      <c r="K38" s="33">
        <f>IF(I38="","",IF(H38="À RENSEIGNER","GIC",H38)&amp;"-"&amp;TEXT(I38,"000"))</f>
        <v/>
      </c>
      <c r="L38" s="33">
        <f>IF(J38="","",IFERROR(INDEX(Cl_nom,MATCH(J38,Cl_cle,0)),"(client introuvable)"))</f>
        <v/>
      </c>
      <c r="M38" s="46">
        <f>IF(B38="","",DATE(YEAR(B38),MONTH(B38),1))</f>
        <v/>
      </c>
      <c r="N38" s="33">
        <f>IF(J38="","",IFERROR(INDEX(Cl_quartier,MATCH(J38,Cl_cle,0))&amp;"",""))</f>
        <v/>
      </c>
      <c r="O38" s="33">
        <f>IF(J38="","",IFERROR(INDEX(Cl_tel,MATCH(J38,Cl_cle,0))&amp;"",""))</f>
        <v/>
      </c>
      <c r="P38" s="34">
        <f>IF(J38="","",IFERROR(INDEX(Cl_potentiel,MATCH(J38,Cl_cle,0)),""))</f>
        <v/>
      </c>
      <c r="Q38" s="34">
        <f>IF(J38="","",IF(D38&lt;&gt;"",IF(COUNTIFS(VC_cle,J38,VC_type,"Visite sur place",VC_date,D38)&gt;0,"Visité",IF(D38&lt;TODAY(),"Non fait","À venir")),IF(B38="","",IF(COUNTIFS(VC_cle,J38,VC_type,"Visite sur place",VC_date,"&gt;="&amp;M38,VC_date,"&lt;"&amp;DATE(YEAR(M38),MONTH(M38)+1,1))&gt;0,"Visité","À visiter"))))</f>
        <v/>
      </c>
    </row>
    <row r="39" ht="18" customHeight="1">
      <c r="A39" s="39" t="n">
        <v>34</v>
      </c>
      <c r="B39" s="49" t="n"/>
      <c r="C39" s="43" t="n"/>
      <c r="D39" s="32" t="n"/>
      <c r="E39" s="36" t="n"/>
      <c r="F39" s="36" t="n"/>
      <c r="G39" s="36" t="n"/>
      <c r="H39" s="33">
        <f>IF(E39="","",Commercial_Id)</f>
        <v/>
      </c>
      <c r="I39" s="39">
        <f>IF(E39="","",IFERROR(VALUE(MID(E39,LEN(E39)-3,3)),""))</f>
        <v/>
      </c>
      <c r="J39" s="33">
        <f>IF(I39="","",H39&amp;"|"&amp;I39)</f>
        <v/>
      </c>
      <c r="K39" s="33">
        <f>IF(I39="","",IF(H39="À RENSEIGNER","GIC",H39)&amp;"-"&amp;TEXT(I39,"000"))</f>
        <v/>
      </c>
      <c r="L39" s="33">
        <f>IF(J39="","",IFERROR(INDEX(Cl_nom,MATCH(J39,Cl_cle,0)),"(client introuvable)"))</f>
        <v/>
      </c>
      <c r="M39" s="46">
        <f>IF(B39="","",DATE(YEAR(B39),MONTH(B39),1))</f>
        <v/>
      </c>
      <c r="N39" s="33">
        <f>IF(J39="","",IFERROR(INDEX(Cl_quartier,MATCH(J39,Cl_cle,0))&amp;"",""))</f>
        <v/>
      </c>
      <c r="O39" s="33">
        <f>IF(J39="","",IFERROR(INDEX(Cl_tel,MATCH(J39,Cl_cle,0))&amp;"",""))</f>
        <v/>
      </c>
      <c r="P39" s="34">
        <f>IF(J39="","",IFERROR(INDEX(Cl_potentiel,MATCH(J39,Cl_cle,0)),""))</f>
        <v/>
      </c>
      <c r="Q39" s="34">
        <f>IF(J39="","",IF(D39&lt;&gt;"",IF(COUNTIFS(VC_cle,J39,VC_type,"Visite sur place",VC_date,D39)&gt;0,"Visité",IF(D39&lt;TODAY(),"Non fait","À venir")),IF(B39="","",IF(COUNTIFS(VC_cle,J39,VC_type,"Visite sur place",VC_date,"&gt;="&amp;M39,VC_date,"&lt;"&amp;DATE(YEAR(M39),MONTH(M39)+1,1))&gt;0,"Visité","À visiter"))))</f>
        <v/>
      </c>
    </row>
    <row r="40" ht="18" customHeight="1">
      <c r="A40" s="39" t="n">
        <v>35</v>
      </c>
      <c r="B40" s="49" t="n"/>
      <c r="C40" s="43" t="n"/>
      <c r="D40" s="32" t="n"/>
      <c r="E40" s="36" t="n"/>
      <c r="F40" s="36" t="n"/>
      <c r="G40" s="36" t="n"/>
      <c r="H40" s="33">
        <f>IF(E40="","",Commercial_Id)</f>
        <v/>
      </c>
      <c r="I40" s="39">
        <f>IF(E40="","",IFERROR(VALUE(MID(E40,LEN(E40)-3,3)),""))</f>
        <v/>
      </c>
      <c r="J40" s="33">
        <f>IF(I40="","",H40&amp;"|"&amp;I40)</f>
        <v/>
      </c>
      <c r="K40" s="33">
        <f>IF(I40="","",IF(H40="À RENSEIGNER","GIC",H40)&amp;"-"&amp;TEXT(I40,"000"))</f>
        <v/>
      </c>
      <c r="L40" s="33">
        <f>IF(J40="","",IFERROR(INDEX(Cl_nom,MATCH(J40,Cl_cle,0)),"(client introuvable)"))</f>
        <v/>
      </c>
      <c r="M40" s="46">
        <f>IF(B40="","",DATE(YEAR(B40),MONTH(B40),1))</f>
        <v/>
      </c>
      <c r="N40" s="33">
        <f>IF(J40="","",IFERROR(INDEX(Cl_quartier,MATCH(J40,Cl_cle,0))&amp;"",""))</f>
        <v/>
      </c>
      <c r="O40" s="33">
        <f>IF(J40="","",IFERROR(INDEX(Cl_tel,MATCH(J40,Cl_cle,0))&amp;"",""))</f>
        <v/>
      </c>
      <c r="P40" s="34">
        <f>IF(J40="","",IFERROR(INDEX(Cl_potentiel,MATCH(J40,Cl_cle,0)),""))</f>
        <v/>
      </c>
      <c r="Q40" s="34">
        <f>IF(J40="","",IF(D40&lt;&gt;"",IF(COUNTIFS(VC_cle,J40,VC_type,"Visite sur place",VC_date,D40)&gt;0,"Visité",IF(D40&lt;TODAY(),"Non fait","À venir")),IF(B40="","",IF(COUNTIFS(VC_cle,J40,VC_type,"Visite sur place",VC_date,"&gt;="&amp;M40,VC_date,"&lt;"&amp;DATE(YEAR(M40),MONTH(M40)+1,1))&gt;0,"Visité","À visiter"))))</f>
        <v/>
      </c>
    </row>
    <row r="41" ht="18" customHeight="1">
      <c r="A41" s="39" t="n">
        <v>36</v>
      </c>
      <c r="B41" s="49" t="n"/>
      <c r="C41" s="43" t="n"/>
      <c r="D41" s="32" t="n"/>
      <c r="E41" s="36" t="n"/>
      <c r="F41" s="36" t="n"/>
      <c r="G41" s="36" t="n"/>
      <c r="H41" s="33">
        <f>IF(E41="","",Commercial_Id)</f>
        <v/>
      </c>
      <c r="I41" s="39">
        <f>IF(E41="","",IFERROR(VALUE(MID(E41,LEN(E41)-3,3)),""))</f>
        <v/>
      </c>
      <c r="J41" s="33">
        <f>IF(I41="","",H41&amp;"|"&amp;I41)</f>
        <v/>
      </c>
      <c r="K41" s="33">
        <f>IF(I41="","",IF(H41="À RENSEIGNER","GIC",H41)&amp;"-"&amp;TEXT(I41,"000"))</f>
        <v/>
      </c>
      <c r="L41" s="33">
        <f>IF(J41="","",IFERROR(INDEX(Cl_nom,MATCH(J41,Cl_cle,0)),"(client introuvable)"))</f>
        <v/>
      </c>
      <c r="M41" s="46">
        <f>IF(B41="","",DATE(YEAR(B41),MONTH(B41),1))</f>
        <v/>
      </c>
      <c r="N41" s="33">
        <f>IF(J41="","",IFERROR(INDEX(Cl_quartier,MATCH(J41,Cl_cle,0))&amp;"",""))</f>
        <v/>
      </c>
      <c r="O41" s="33">
        <f>IF(J41="","",IFERROR(INDEX(Cl_tel,MATCH(J41,Cl_cle,0))&amp;"",""))</f>
        <v/>
      </c>
      <c r="P41" s="34">
        <f>IF(J41="","",IFERROR(INDEX(Cl_potentiel,MATCH(J41,Cl_cle,0)),""))</f>
        <v/>
      </c>
      <c r="Q41" s="34">
        <f>IF(J41="","",IF(D41&lt;&gt;"",IF(COUNTIFS(VC_cle,J41,VC_type,"Visite sur place",VC_date,D41)&gt;0,"Visité",IF(D41&lt;TODAY(),"Non fait","À venir")),IF(B41="","",IF(COUNTIFS(VC_cle,J41,VC_type,"Visite sur place",VC_date,"&gt;="&amp;M41,VC_date,"&lt;"&amp;DATE(YEAR(M41),MONTH(M41)+1,1))&gt;0,"Visité","À visiter"))))</f>
        <v/>
      </c>
    </row>
    <row r="42" ht="18" customHeight="1">
      <c r="A42" s="39" t="n">
        <v>37</v>
      </c>
      <c r="B42" s="49" t="n"/>
      <c r="C42" s="43" t="n"/>
      <c r="D42" s="32" t="n"/>
      <c r="E42" s="36" t="n"/>
      <c r="F42" s="36" t="n"/>
      <c r="G42" s="36" t="n"/>
      <c r="H42" s="33">
        <f>IF(E42="","",Commercial_Id)</f>
        <v/>
      </c>
      <c r="I42" s="39">
        <f>IF(E42="","",IFERROR(VALUE(MID(E42,LEN(E42)-3,3)),""))</f>
        <v/>
      </c>
      <c r="J42" s="33">
        <f>IF(I42="","",H42&amp;"|"&amp;I42)</f>
        <v/>
      </c>
      <c r="K42" s="33">
        <f>IF(I42="","",IF(H42="À RENSEIGNER","GIC",H42)&amp;"-"&amp;TEXT(I42,"000"))</f>
        <v/>
      </c>
      <c r="L42" s="33">
        <f>IF(J42="","",IFERROR(INDEX(Cl_nom,MATCH(J42,Cl_cle,0)),"(client introuvable)"))</f>
        <v/>
      </c>
      <c r="M42" s="46">
        <f>IF(B42="","",DATE(YEAR(B42),MONTH(B42),1))</f>
        <v/>
      </c>
      <c r="N42" s="33">
        <f>IF(J42="","",IFERROR(INDEX(Cl_quartier,MATCH(J42,Cl_cle,0))&amp;"",""))</f>
        <v/>
      </c>
      <c r="O42" s="33">
        <f>IF(J42="","",IFERROR(INDEX(Cl_tel,MATCH(J42,Cl_cle,0))&amp;"",""))</f>
        <v/>
      </c>
      <c r="P42" s="34">
        <f>IF(J42="","",IFERROR(INDEX(Cl_potentiel,MATCH(J42,Cl_cle,0)),""))</f>
        <v/>
      </c>
      <c r="Q42" s="34">
        <f>IF(J42="","",IF(D42&lt;&gt;"",IF(COUNTIFS(VC_cle,J42,VC_type,"Visite sur place",VC_date,D42)&gt;0,"Visité",IF(D42&lt;TODAY(),"Non fait","À venir")),IF(B42="","",IF(COUNTIFS(VC_cle,J42,VC_type,"Visite sur place",VC_date,"&gt;="&amp;M42,VC_date,"&lt;"&amp;DATE(YEAR(M42),MONTH(M42)+1,1))&gt;0,"Visité","À visiter"))))</f>
        <v/>
      </c>
    </row>
    <row r="43" ht="18" customHeight="1">
      <c r="A43" s="39" t="n">
        <v>38</v>
      </c>
      <c r="B43" s="49" t="n"/>
      <c r="C43" s="43" t="n"/>
      <c r="D43" s="32" t="n"/>
      <c r="E43" s="36" t="n"/>
      <c r="F43" s="36" t="n"/>
      <c r="G43" s="36" t="n"/>
      <c r="H43" s="33">
        <f>IF(E43="","",Commercial_Id)</f>
        <v/>
      </c>
      <c r="I43" s="39">
        <f>IF(E43="","",IFERROR(VALUE(MID(E43,LEN(E43)-3,3)),""))</f>
        <v/>
      </c>
      <c r="J43" s="33">
        <f>IF(I43="","",H43&amp;"|"&amp;I43)</f>
        <v/>
      </c>
      <c r="K43" s="33">
        <f>IF(I43="","",IF(H43="À RENSEIGNER","GIC",H43)&amp;"-"&amp;TEXT(I43,"000"))</f>
        <v/>
      </c>
      <c r="L43" s="33">
        <f>IF(J43="","",IFERROR(INDEX(Cl_nom,MATCH(J43,Cl_cle,0)),"(client introuvable)"))</f>
        <v/>
      </c>
      <c r="M43" s="46">
        <f>IF(B43="","",DATE(YEAR(B43),MONTH(B43),1))</f>
        <v/>
      </c>
      <c r="N43" s="33">
        <f>IF(J43="","",IFERROR(INDEX(Cl_quartier,MATCH(J43,Cl_cle,0))&amp;"",""))</f>
        <v/>
      </c>
      <c r="O43" s="33">
        <f>IF(J43="","",IFERROR(INDEX(Cl_tel,MATCH(J43,Cl_cle,0))&amp;"",""))</f>
        <v/>
      </c>
      <c r="P43" s="34">
        <f>IF(J43="","",IFERROR(INDEX(Cl_potentiel,MATCH(J43,Cl_cle,0)),""))</f>
        <v/>
      </c>
      <c r="Q43" s="34">
        <f>IF(J43="","",IF(D43&lt;&gt;"",IF(COUNTIFS(VC_cle,J43,VC_type,"Visite sur place",VC_date,D43)&gt;0,"Visité",IF(D43&lt;TODAY(),"Non fait","À venir")),IF(B43="","",IF(COUNTIFS(VC_cle,J43,VC_type,"Visite sur place",VC_date,"&gt;="&amp;M43,VC_date,"&lt;"&amp;DATE(YEAR(M43),MONTH(M43)+1,1))&gt;0,"Visité","À visiter"))))</f>
        <v/>
      </c>
    </row>
    <row r="44" ht="18" customHeight="1">
      <c r="A44" s="39" t="n">
        <v>39</v>
      </c>
      <c r="B44" s="49" t="n"/>
      <c r="C44" s="43" t="n"/>
      <c r="D44" s="32" t="n"/>
      <c r="E44" s="36" t="n"/>
      <c r="F44" s="36" t="n"/>
      <c r="G44" s="36" t="n"/>
      <c r="H44" s="33">
        <f>IF(E44="","",Commercial_Id)</f>
        <v/>
      </c>
      <c r="I44" s="39">
        <f>IF(E44="","",IFERROR(VALUE(MID(E44,LEN(E44)-3,3)),""))</f>
        <v/>
      </c>
      <c r="J44" s="33">
        <f>IF(I44="","",H44&amp;"|"&amp;I44)</f>
        <v/>
      </c>
      <c r="K44" s="33">
        <f>IF(I44="","",IF(H44="À RENSEIGNER","GIC",H44)&amp;"-"&amp;TEXT(I44,"000"))</f>
        <v/>
      </c>
      <c r="L44" s="33">
        <f>IF(J44="","",IFERROR(INDEX(Cl_nom,MATCH(J44,Cl_cle,0)),"(client introuvable)"))</f>
        <v/>
      </c>
      <c r="M44" s="46">
        <f>IF(B44="","",DATE(YEAR(B44),MONTH(B44),1))</f>
        <v/>
      </c>
      <c r="N44" s="33">
        <f>IF(J44="","",IFERROR(INDEX(Cl_quartier,MATCH(J44,Cl_cle,0))&amp;"",""))</f>
        <v/>
      </c>
      <c r="O44" s="33">
        <f>IF(J44="","",IFERROR(INDEX(Cl_tel,MATCH(J44,Cl_cle,0))&amp;"",""))</f>
        <v/>
      </c>
      <c r="P44" s="34">
        <f>IF(J44="","",IFERROR(INDEX(Cl_potentiel,MATCH(J44,Cl_cle,0)),""))</f>
        <v/>
      </c>
      <c r="Q44" s="34">
        <f>IF(J44="","",IF(D44&lt;&gt;"",IF(COUNTIFS(VC_cle,J44,VC_type,"Visite sur place",VC_date,D44)&gt;0,"Visité",IF(D44&lt;TODAY(),"Non fait","À venir")),IF(B44="","",IF(COUNTIFS(VC_cle,J44,VC_type,"Visite sur place",VC_date,"&gt;="&amp;M44,VC_date,"&lt;"&amp;DATE(YEAR(M44),MONTH(M44)+1,1))&gt;0,"Visité","À visiter"))))</f>
        <v/>
      </c>
    </row>
    <row r="45" ht="18" customHeight="1">
      <c r="A45" s="39" t="n">
        <v>40</v>
      </c>
      <c r="B45" s="49" t="n"/>
      <c r="C45" s="43" t="n"/>
      <c r="D45" s="32" t="n"/>
      <c r="E45" s="36" t="n"/>
      <c r="F45" s="36" t="n"/>
      <c r="G45" s="36" t="n"/>
      <c r="H45" s="33">
        <f>IF(E45="","",Commercial_Id)</f>
        <v/>
      </c>
      <c r="I45" s="39">
        <f>IF(E45="","",IFERROR(VALUE(MID(E45,LEN(E45)-3,3)),""))</f>
        <v/>
      </c>
      <c r="J45" s="33">
        <f>IF(I45="","",H45&amp;"|"&amp;I45)</f>
        <v/>
      </c>
      <c r="K45" s="33">
        <f>IF(I45="","",IF(H45="À RENSEIGNER","GIC",H45)&amp;"-"&amp;TEXT(I45,"000"))</f>
        <v/>
      </c>
      <c r="L45" s="33">
        <f>IF(J45="","",IFERROR(INDEX(Cl_nom,MATCH(J45,Cl_cle,0)),"(client introuvable)"))</f>
        <v/>
      </c>
      <c r="M45" s="46">
        <f>IF(B45="","",DATE(YEAR(B45),MONTH(B45),1))</f>
        <v/>
      </c>
      <c r="N45" s="33">
        <f>IF(J45="","",IFERROR(INDEX(Cl_quartier,MATCH(J45,Cl_cle,0))&amp;"",""))</f>
        <v/>
      </c>
      <c r="O45" s="33">
        <f>IF(J45="","",IFERROR(INDEX(Cl_tel,MATCH(J45,Cl_cle,0))&amp;"",""))</f>
        <v/>
      </c>
      <c r="P45" s="34">
        <f>IF(J45="","",IFERROR(INDEX(Cl_potentiel,MATCH(J45,Cl_cle,0)),""))</f>
        <v/>
      </c>
      <c r="Q45" s="34">
        <f>IF(J45="","",IF(D45&lt;&gt;"",IF(COUNTIFS(VC_cle,J45,VC_type,"Visite sur place",VC_date,D45)&gt;0,"Visité",IF(D45&lt;TODAY(),"Non fait","À venir")),IF(B45="","",IF(COUNTIFS(VC_cle,J45,VC_type,"Visite sur place",VC_date,"&gt;="&amp;M45,VC_date,"&lt;"&amp;DATE(YEAR(M45),MONTH(M45)+1,1))&gt;0,"Visité","À visiter"))))</f>
        <v/>
      </c>
    </row>
    <row r="46" ht="18" customHeight="1">
      <c r="A46" s="39" t="n">
        <v>41</v>
      </c>
      <c r="B46" s="49" t="n"/>
      <c r="C46" s="43" t="n"/>
      <c r="D46" s="32" t="n"/>
      <c r="E46" s="36" t="n"/>
      <c r="F46" s="36" t="n"/>
      <c r="G46" s="36" t="n"/>
      <c r="H46" s="33">
        <f>IF(E46="","",Commercial_Id)</f>
        <v/>
      </c>
      <c r="I46" s="39">
        <f>IF(E46="","",IFERROR(VALUE(MID(E46,LEN(E46)-3,3)),""))</f>
        <v/>
      </c>
      <c r="J46" s="33">
        <f>IF(I46="","",H46&amp;"|"&amp;I46)</f>
        <v/>
      </c>
      <c r="K46" s="33">
        <f>IF(I46="","",IF(H46="À RENSEIGNER","GIC",H46)&amp;"-"&amp;TEXT(I46,"000"))</f>
        <v/>
      </c>
      <c r="L46" s="33">
        <f>IF(J46="","",IFERROR(INDEX(Cl_nom,MATCH(J46,Cl_cle,0)),"(client introuvable)"))</f>
        <v/>
      </c>
      <c r="M46" s="46">
        <f>IF(B46="","",DATE(YEAR(B46),MONTH(B46),1))</f>
        <v/>
      </c>
      <c r="N46" s="33">
        <f>IF(J46="","",IFERROR(INDEX(Cl_quartier,MATCH(J46,Cl_cle,0))&amp;"",""))</f>
        <v/>
      </c>
      <c r="O46" s="33">
        <f>IF(J46="","",IFERROR(INDEX(Cl_tel,MATCH(J46,Cl_cle,0))&amp;"",""))</f>
        <v/>
      </c>
      <c r="P46" s="34">
        <f>IF(J46="","",IFERROR(INDEX(Cl_potentiel,MATCH(J46,Cl_cle,0)),""))</f>
        <v/>
      </c>
      <c r="Q46" s="34">
        <f>IF(J46="","",IF(D46&lt;&gt;"",IF(COUNTIFS(VC_cle,J46,VC_type,"Visite sur place",VC_date,D46)&gt;0,"Visité",IF(D46&lt;TODAY(),"Non fait","À venir")),IF(B46="","",IF(COUNTIFS(VC_cle,J46,VC_type,"Visite sur place",VC_date,"&gt;="&amp;M46,VC_date,"&lt;"&amp;DATE(YEAR(M46),MONTH(M46)+1,1))&gt;0,"Visité","À visiter"))))</f>
        <v/>
      </c>
    </row>
    <row r="47" ht="18" customHeight="1">
      <c r="A47" s="39" t="n">
        <v>42</v>
      </c>
      <c r="B47" s="49" t="n"/>
      <c r="C47" s="43" t="n"/>
      <c r="D47" s="32" t="n"/>
      <c r="E47" s="36" t="n"/>
      <c r="F47" s="36" t="n"/>
      <c r="G47" s="36" t="n"/>
      <c r="H47" s="33">
        <f>IF(E47="","",Commercial_Id)</f>
        <v/>
      </c>
      <c r="I47" s="39">
        <f>IF(E47="","",IFERROR(VALUE(MID(E47,LEN(E47)-3,3)),""))</f>
        <v/>
      </c>
      <c r="J47" s="33">
        <f>IF(I47="","",H47&amp;"|"&amp;I47)</f>
        <v/>
      </c>
      <c r="K47" s="33">
        <f>IF(I47="","",IF(H47="À RENSEIGNER","GIC",H47)&amp;"-"&amp;TEXT(I47,"000"))</f>
        <v/>
      </c>
      <c r="L47" s="33">
        <f>IF(J47="","",IFERROR(INDEX(Cl_nom,MATCH(J47,Cl_cle,0)),"(client introuvable)"))</f>
        <v/>
      </c>
      <c r="M47" s="46">
        <f>IF(B47="","",DATE(YEAR(B47),MONTH(B47),1))</f>
        <v/>
      </c>
      <c r="N47" s="33">
        <f>IF(J47="","",IFERROR(INDEX(Cl_quartier,MATCH(J47,Cl_cle,0))&amp;"",""))</f>
        <v/>
      </c>
      <c r="O47" s="33">
        <f>IF(J47="","",IFERROR(INDEX(Cl_tel,MATCH(J47,Cl_cle,0))&amp;"",""))</f>
        <v/>
      </c>
      <c r="P47" s="34">
        <f>IF(J47="","",IFERROR(INDEX(Cl_potentiel,MATCH(J47,Cl_cle,0)),""))</f>
        <v/>
      </c>
      <c r="Q47" s="34">
        <f>IF(J47="","",IF(D47&lt;&gt;"",IF(COUNTIFS(VC_cle,J47,VC_type,"Visite sur place",VC_date,D47)&gt;0,"Visité",IF(D47&lt;TODAY(),"Non fait","À venir")),IF(B47="","",IF(COUNTIFS(VC_cle,J47,VC_type,"Visite sur place",VC_date,"&gt;="&amp;M47,VC_date,"&lt;"&amp;DATE(YEAR(M47),MONTH(M47)+1,1))&gt;0,"Visité","À visiter"))))</f>
        <v/>
      </c>
    </row>
    <row r="48" ht="18" customHeight="1">
      <c r="A48" s="39" t="n">
        <v>43</v>
      </c>
      <c r="B48" s="49" t="n"/>
      <c r="C48" s="43" t="n"/>
      <c r="D48" s="32" t="n"/>
      <c r="E48" s="36" t="n"/>
      <c r="F48" s="36" t="n"/>
      <c r="G48" s="36" t="n"/>
      <c r="H48" s="33">
        <f>IF(E48="","",Commercial_Id)</f>
        <v/>
      </c>
      <c r="I48" s="39">
        <f>IF(E48="","",IFERROR(VALUE(MID(E48,LEN(E48)-3,3)),""))</f>
        <v/>
      </c>
      <c r="J48" s="33">
        <f>IF(I48="","",H48&amp;"|"&amp;I48)</f>
        <v/>
      </c>
      <c r="K48" s="33">
        <f>IF(I48="","",IF(H48="À RENSEIGNER","GIC",H48)&amp;"-"&amp;TEXT(I48,"000"))</f>
        <v/>
      </c>
      <c r="L48" s="33">
        <f>IF(J48="","",IFERROR(INDEX(Cl_nom,MATCH(J48,Cl_cle,0)),"(client introuvable)"))</f>
        <v/>
      </c>
      <c r="M48" s="46">
        <f>IF(B48="","",DATE(YEAR(B48),MONTH(B48),1))</f>
        <v/>
      </c>
      <c r="N48" s="33">
        <f>IF(J48="","",IFERROR(INDEX(Cl_quartier,MATCH(J48,Cl_cle,0))&amp;"",""))</f>
        <v/>
      </c>
      <c r="O48" s="33">
        <f>IF(J48="","",IFERROR(INDEX(Cl_tel,MATCH(J48,Cl_cle,0))&amp;"",""))</f>
        <v/>
      </c>
      <c r="P48" s="34">
        <f>IF(J48="","",IFERROR(INDEX(Cl_potentiel,MATCH(J48,Cl_cle,0)),""))</f>
        <v/>
      </c>
      <c r="Q48" s="34">
        <f>IF(J48="","",IF(D48&lt;&gt;"",IF(COUNTIFS(VC_cle,J48,VC_type,"Visite sur place",VC_date,D48)&gt;0,"Visité",IF(D48&lt;TODAY(),"Non fait","À venir")),IF(B48="","",IF(COUNTIFS(VC_cle,J48,VC_type,"Visite sur place",VC_date,"&gt;="&amp;M48,VC_date,"&lt;"&amp;DATE(YEAR(M48),MONTH(M48)+1,1))&gt;0,"Visité","À visiter"))))</f>
        <v/>
      </c>
    </row>
    <row r="49" ht="18" customHeight="1">
      <c r="A49" s="39" t="n">
        <v>44</v>
      </c>
      <c r="B49" s="49" t="n"/>
      <c r="C49" s="43" t="n"/>
      <c r="D49" s="32" t="n"/>
      <c r="E49" s="36" t="n"/>
      <c r="F49" s="36" t="n"/>
      <c r="G49" s="36" t="n"/>
      <c r="H49" s="33">
        <f>IF(E49="","",Commercial_Id)</f>
        <v/>
      </c>
      <c r="I49" s="39">
        <f>IF(E49="","",IFERROR(VALUE(MID(E49,LEN(E49)-3,3)),""))</f>
        <v/>
      </c>
      <c r="J49" s="33">
        <f>IF(I49="","",H49&amp;"|"&amp;I49)</f>
        <v/>
      </c>
      <c r="K49" s="33">
        <f>IF(I49="","",IF(H49="À RENSEIGNER","GIC",H49)&amp;"-"&amp;TEXT(I49,"000"))</f>
        <v/>
      </c>
      <c r="L49" s="33">
        <f>IF(J49="","",IFERROR(INDEX(Cl_nom,MATCH(J49,Cl_cle,0)),"(client introuvable)"))</f>
        <v/>
      </c>
      <c r="M49" s="46">
        <f>IF(B49="","",DATE(YEAR(B49),MONTH(B49),1))</f>
        <v/>
      </c>
      <c r="N49" s="33">
        <f>IF(J49="","",IFERROR(INDEX(Cl_quartier,MATCH(J49,Cl_cle,0))&amp;"",""))</f>
        <v/>
      </c>
      <c r="O49" s="33">
        <f>IF(J49="","",IFERROR(INDEX(Cl_tel,MATCH(J49,Cl_cle,0))&amp;"",""))</f>
        <v/>
      </c>
      <c r="P49" s="34">
        <f>IF(J49="","",IFERROR(INDEX(Cl_potentiel,MATCH(J49,Cl_cle,0)),""))</f>
        <v/>
      </c>
      <c r="Q49" s="34">
        <f>IF(J49="","",IF(D49&lt;&gt;"",IF(COUNTIFS(VC_cle,J49,VC_type,"Visite sur place",VC_date,D49)&gt;0,"Visité",IF(D49&lt;TODAY(),"Non fait","À venir")),IF(B49="","",IF(COUNTIFS(VC_cle,J49,VC_type,"Visite sur place",VC_date,"&gt;="&amp;M49,VC_date,"&lt;"&amp;DATE(YEAR(M49),MONTH(M49)+1,1))&gt;0,"Visité","À visiter"))))</f>
        <v/>
      </c>
    </row>
    <row r="50" ht="18" customHeight="1">
      <c r="A50" s="39" t="n">
        <v>45</v>
      </c>
      <c r="B50" s="49" t="n"/>
      <c r="C50" s="43" t="n"/>
      <c r="D50" s="32" t="n"/>
      <c r="E50" s="36" t="n"/>
      <c r="F50" s="36" t="n"/>
      <c r="G50" s="36" t="n"/>
      <c r="H50" s="33">
        <f>IF(E50="","",Commercial_Id)</f>
        <v/>
      </c>
      <c r="I50" s="39">
        <f>IF(E50="","",IFERROR(VALUE(MID(E50,LEN(E50)-3,3)),""))</f>
        <v/>
      </c>
      <c r="J50" s="33">
        <f>IF(I50="","",H50&amp;"|"&amp;I50)</f>
        <v/>
      </c>
      <c r="K50" s="33">
        <f>IF(I50="","",IF(H50="À RENSEIGNER","GIC",H50)&amp;"-"&amp;TEXT(I50,"000"))</f>
        <v/>
      </c>
      <c r="L50" s="33">
        <f>IF(J50="","",IFERROR(INDEX(Cl_nom,MATCH(J50,Cl_cle,0)),"(client introuvable)"))</f>
        <v/>
      </c>
      <c r="M50" s="46">
        <f>IF(B50="","",DATE(YEAR(B50),MONTH(B50),1))</f>
        <v/>
      </c>
      <c r="N50" s="33">
        <f>IF(J50="","",IFERROR(INDEX(Cl_quartier,MATCH(J50,Cl_cle,0))&amp;"",""))</f>
        <v/>
      </c>
      <c r="O50" s="33">
        <f>IF(J50="","",IFERROR(INDEX(Cl_tel,MATCH(J50,Cl_cle,0))&amp;"",""))</f>
        <v/>
      </c>
      <c r="P50" s="34">
        <f>IF(J50="","",IFERROR(INDEX(Cl_potentiel,MATCH(J50,Cl_cle,0)),""))</f>
        <v/>
      </c>
      <c r="Q50" s="34">
        <f>IF(J50="","",IF(D50&lt;&gt;"",IF(COUNTIFS(VC_cle,J50,VC_type,"Visite sur place",VC_date,D50)&gt;0,"Visité",IF(D50&lt;TODAY(),"Non fait","À venir")),IF(B50="","",IF(COUNTIFS(VC_cle,J50,VC_type,"Visite sur place",VC_date,"&gt;="&amp;M50,VC_date,"&lt;"&amp;DATE(YEAR(M50),MONTH(M50)+1,1))&gt;0,"Visité","À visiter"))))</f>
        <v/>
      </c>
    </row>
    <row r="51" ht="18" customHeight="1">
      <c r="A51" s="39" t="n">
        <v>46</v>
      </c>
      <c r="B51" s="49" t="n"/>
      <c r="C51" s="43" t="n"/>
      <c r="D51" s="32" t="n"/>
      <c r="E51" s="36" t="n"/>
      <c r="F51" s="36" t="n"/>
      <c r="G51" s="36" t="n"/>
      <c r="H51" s="33">
        <f>IF(E51="","",Commercial_Id)</f>
        <v/>
      </c>
      <c r="I51" s="39">
        <f>IF(E51="","",IFERROR(VALUE(MID(E51,LEN(E51)-3,3)),""))</f>
        <v/>
      </c>
      <c r="J51" s="33">
        <f>IF(I51="","",H51&amp;"|"&amp;I51)</f>
        <v/>
      </c>
      <c r="K51" s="33">
        <f>IF(I51="","",IF(H51="À RENSEIGNER","GIC",H51)&amp;"-"&amp;TEXT(I51,"000"))</f>
        <v/>
      </c>
      <c r="L51" s="33">
        <f>IF(J51="","",IFERROR(INDEX(Cl_nom,MATCH(J51,Cl_cle,0)),"(client introuvable)"))</f>
        <v/>
      </c>
      <c r="M51" s="46">
        <f>IF(B51="","",DATE(YEAR(B51),MONTH(B51),1))</f>
        <v/>
      </c>
      <c r="N51" s="33">
        <f>IF(J51="","",IFERROR(INDEX(Cl_quartier,MATCH(J51,Cl_cle,0))&amp;"",""))</f>
        <v/>
      </c>
      <c r="O51" s="33">
        <f>IF(J51="","",IFERROR(INDEX(Cl_tel,MATCH(J51,Cl_cle,0))&amp;"",""))</f>
        <v/>
      </c>
      <c r="P51" s="34">
        <f>IF(J51="","",IFERROR(INDEX(Cl_potentiel,MATCH(J51,Cl_cle,0)),""))</f>
        <v/>
      </c>
      <c r="Q51" s="34">
        <f>IF(J51="","",IF(D51&lt;&gt;"",IF(COUNTIFS(VC_cle,J51,VC_type,"Visite sur place",VC_date,D51)&gt;0,"Visité",IF(D51&lt;TODAY(),"Non fait","À venir")),IF(B51="","",IF(COUNTIFS(VC_cle,J51,VC_type,"Visite sur place",VC_date,"&gt;="&amp;M51,VC_date,"&lt;"&amp;DATE(YEAR(M51),MONTH(M51)+1,1))&gt;0,"Visité","À visiter"))))</f>
        <v/>
      </c>
    </row>
    <row r="52" ht="18" customHeight="1">
      <c r="A52" s="39" t="n">
        <v>47</v>
      </c>
      <c r="B52" s="49" t="n"/>
      <c r="C52" s="43" t="n"/>
      <c r="D52" s="32" t="n"/>
      <c r="E52" s="36" t="n"/>
      <c r="F52" s="36" t="n"/>
      <c r="G52" s="36" t="n"/>
      <c r="H52" s="33">
        <f>IF(E52="","",Commercial_Id)</f>
        <v/>
      </c>
      <c r="I52" s="39">
        <f>IF(E52="","",IFERROR(VALUE(MID(E52,LEN(E52)-3,3)),""))</f>
        <v/>
      </c>
      <c r="J52" s="33">
        <f>IF(I52="","",H52&amp;"|"&amp;I52)</f>
        <v/>
      </c>
      <c r="K52" s="33">
        <f>IF(I52="","",IF(H52="À RENSEIGNER","GIC",H52)&amp;"-"&amp;TEXT(I52,"000"))</f>
        <v/>
      </c>
      <c r="L52" s="33">
        <f>IF(J52="","",IFERROR(INDEX(Cl_nom,MATCH(J52,Cl_cle,0)),"(client introuvable)"))</f>
        <v/>
      </c>
      <c r="M52" s="46">
        <f>IF(B52="","",DATE(YEAR(B52),MONTH(B52),1))</f>
        <v/>
      </c>
      <c r="N52" s="33">
        <f>IF(J52="","",IFERROR(INDEX(Cl_quartier,MATCH(J52,Cl_cle,0))&amp;"",""))</f>
        <v/>
      </c>
      <c r="O52" s="33">
        <f>IF(J52="","",IFERROR(INDEX(Cl_tel,MATCH(J52,Cl_cle,0))&amp;"",""))</f>
        <v/>
      </c>
      <c r="P52" s="34">
        <f>IF(J52="","",IFERROR(INDEX(Cl_potentiel,MATCH(J52,Cl_cle,0)),""))</f>
        <v/>
      </c>
      <c r="Q52" s="34">
        <f>IF(J52="","",IF(D52&lt;&gt;"",IF(COUNTIFS(VC_cle,J52,VC_type,"Visite sur place",VC_date,D52)&gt;0,"Visité",IF(D52&lt;TODAY(),"Non fait","À venir")),IF(B52="","",IF(COUNTIFS(VC_cle,J52,VC_type,"Visite sur place",VC_date,"&gt;="&amp;M52,VC_date,"&lt;"&amp;DATE(YEAR(M52),MONTH(M52)+1,1))&gt;0,"Visité","À visiter"))))</f>
        <v/>
      </c>
    </row>
    <row r="53" ht="18" customHeight="1">
      <c r="A53" s="39" t="n">
        <v>48</v>
      </c>
      <c r="B53" s="49" t="n"/>
      <c r="C53" s="43" t="n"/>
      <c r="D53" s="32" t="n"/>
      <c r="E53" s="36" t="n"/>
      <c r="F53" s="36" t="n"/>
      <c r="G53" s="36" t="n"/>
      <c r="H53" s="33">
        <f>IF(E53="","",Commercial_Id)</f>
        <v/>
      </c>
      <c r="I53" s="39">
        <f>IF(E53="","",IFERROR(VALUE(MID(E53,LEN(E53)-3,3)),""))</f>
        <v/>
      </c>
      <c r="J53" s="33">
        <f>IF(I53="","",H53&amp;"|"&amp;I53)</f>
        <v/>
      </c>
      <c r="K53" s="33">
        <f>IF(I53="","",IF(H53="À RENSEIGNER","GIC",H53)&amp;"-"&amp;TEXT(I53,"000"))</f>
        <v/>
      </c>
      <c r="L53" s="33">
        <f>IF(J53="","",IFERROR(INDEX(Cl_nom,MATCH(J53,Cl_cle,0)),"(client introuvable)"))</f>
        <v/>
      </c>
      <c r="M53" s="46">
        <f>IF(B53="","",DATE(YEAR(B53),MONTH(B53),1))</f>
        <v/>
      </c>
      <c r="N53" s="33">
        <f>IF(J53="","",IFERROR(INDEX(Cl_quartier,MATCH(J53,Cl_cle,0))&amp;"",""))</f>
        <v/>
      </c>
      <c r="O53" s="33">
        <f>IF(J53="","",IFERROR(INDEX(Cl_tel,MATCH(J53,Cl_cle,0))&amp;"",""))</f>
        <v/>
      </c>
      <c r="P53" s="34">
        <f>IF(J53="","",IFERROR(INDEX(Cl_potentiel,MATCH(J53,Cl_cle,0)),""))</f>
        <v/>
      </c>
      <c r="Q53" s="34">
        <f>IF(J53="","",IF(D53&lt;&gt;"",IF(COUNTIFS(VC_cle,J53,VC_type,"Visite sur place",VC_date,D53)&gt;0,"Visité",IF(D53&lt;TODAY(),"Non fait","À venir")),IF(B53="","",IF(COUNTIFS(VC_cle,J53,VC_type,"Visite sur place",VC_date,"&gt;="&amp;M53,VC_date,"&lt;"&amp;DATE(YEAR(M53),MONTH(M53)+1,1))&gt;0,"Visité","À visiter"))))</f>
        <v/>
      </c>
    </row>
    <row r="54" ht="18" customHeight="1">
      <c r="A54" s="39" t="n">
        <v>49</v>
      </c>
      <c r="B54" s="49" t="n"/>
      <c r="C54" s="43" t="n"/>
      <c r="D54" s="32" t="n"/>
      <c r="E54" s="36" t="n"/>
      <c r="F54" s="36" t="n"/>
      <c r="G54" s="36" t="n"/>
      <c r="H54" s="33">
        <f>IF(E54="","",Commercial_Id)</f>
        <v/>
      </c>
      <c r="I54" s="39">
        <f>IF(E54="","",IFERROR(VALUE(MID(E54,LEN(E54)-3,3)),""))</f>
        <v/>
      </c>
      <c r="J54" s="33">
        <f>IF(I54="","",H54&amp;"|"&amp;I54)</f>
        <v/>
      </c>
      <c r="K54" s="33">
        <f>IF(I54="","",IF(H54="À RENSEIGNER","GIC",H54)&amp;"-"&amp;TEXT(I54,"000"))</f>
        <v/>
      </c>
      <c r="L54" s="33">
        <f>IF(J54="","",IFERROR(INDEX(Cl_nom,MATCH(J54,Cl_cle,0)),"(client introuvable)"))</f>
        <v/>
      </c>
      <c r="M54" s="46">
        <f>IF(B54="","",DATE(YEAR(B54),MONTH(B54),1))</f>
        <v/>
      </c>
      <c r="N54" s="33">
        <f>IF(J54="","",IFERROR(INDEX(Cl_quartier,MATCH(J54,Cl_cle,0))&amp;"",""))</f>
        <v/>
      </c>
      <c r="O54" s="33">
        <f>IF(J54="","",IFERROR(INDEX(Cl_tel,MATCH(J54,Cl_cle,0))&amp;"",""))</f>
        <v/>
      </c>
      <c r="P54" s="34">
        <f>IF(J54="","",IFERROR(INDEX(Cl_potentiel,MATCH(J54,Cl_cle,0)),""))</f>
        <v/>
      </c>
      <c r="Q54" s="34">
        <f>IF(J54="","",IF(D54&lt;&gt;"",IF(COUNTIFS(VC_cle,J54,VC_type,"Visite sur place",VC_date,D54)&gt;0,"Visité",IF(D54&lt;TODAY(),"Non fait","À venir")),IF(B54="","",IF(COUNTIFS(VC_cle,J54,VC_type,"Visite sur place",VC_date,"&gt;="&amp;M54,VC_date,"&lt;"&amp;DATE(YEAR(M54),MONTH(M54)+1,1))&gt;0,"Visité","À visiter"))))</f>
        <v/>
      </c>
    </row>
    <row r="55" ht="18" customHeight="1">
      <c r="A55" s="39" t="n">
        <v>50</v>
      </c>
      <c r="B55" s="49" t="n"/>
      <c r="C55" s="43" t="n"/>
      <c r="D55" s="32" t="n"/>
      <c r="E55" s="36" t="n"/>
      <c r="F55" s="36" t="n"/>
      <c r="G55" s="36" t="n"/>
      <c r="H55" s="33">
        <f>IF(E55="","",Commercial_Id)</f>
        <v/>
      </c>
      <c r="I55" s="39">
        <f>IF(E55="","",IFERROR(VALUE(MID(E55,LEN(E55)-3,3)),""))</f>
        <v/>
      </c>
      <c r="J55" s="33">
        <f>IF(I55="","",H55&amp;"|"&amp;I55)</f>
        <v/>
      </c>
      <c r="K55" s="33">
        <f>IF(I55="","",IF(H55="À RENSEIGNER","GIC",H55)&amp;"-"&amp;TEXT(I55,"000"))</f>
        <v/>
      </c>
      <c r="L55" s="33">
        <f>IF(J55="","",IFERROR(INDEX(Cl_nom,MATCH(J55,Cl_cle,0)),"(client introuvable)"))</f>
        <v/>
      </c>
      <c r="M55" s="46">
        <f>IF(B55="","",DATE(YEAR(B55),MONTH(B55),1))</f>
        <v/>
      </c>
      <c r="N55" s="33">
        <f>IF(J55="","",IFERROR(INDEX(Cl_quartier,MATCH(J55,Cl_cle,0))&amp;"",""))</f>
        <v/>
      </c>
      <c r="O55" s="33">
        <f>IF(J55="","",IFERROR(INDEX(Cl_tel,MATCH(J55,Cl_cle,0))&amp;"",""))</f>
        <v/>
      </c>
      <c r="P55" s="34">
        <f>IF(J55="","",IFERROR(INDEX(Cl_potentiel,MATCH(J55,Cl_cle,0)),""))</f>
        <v/>
      </c>
      <c r="Q55" s="34">
        <f>IF(J55="","",IF(D55&lt;&gt;"",IF(COUNTIFS(VC_cle,J55,VC_type,"Visite sur place",VC_date,D55)&gt;0,"Visité",IF(D55&lt;TODAY(),"Non fait","À venir")),IF(B55="","",IF(COUNTIFS(VC_cle,J55,VC_type,"Visite sur place",VC_date,"&gt;="&amp;M55,VC_date,"&lt;"&amp;DATE(YEAR(M55),MONTH(M55)+1,1))&gt;0,"Visité","À visiter"))))</f>
        <v/>
      </c>
    </row>
    <row r="56" ht="18" customHeight="1">
      <c r="A56" s="39" t="n">
        <v>51</v>
      </c>
      <c r="B56" s="49" t="n"/>
      <c r="C56" s="43" t="n"/>
      <c r="D56" s="32" t="n"/>
      <c r="E56" s="36" t="n"/>
      <c r="F56" s="36" t="n"/>
      <c r="G56" s="36" t="n"/>
      <c r="H56" s="33">
        <f>IF(E56="","",Commercial_Id)</f>
        <v/>
      </c>
      <c r="I56" s="39">
        <f>IF(E56="","",IFERROR(VALUE(MID(E56,LEN(E56)-3,3)),""))</f>
        <v/>
      </c>
      <c r="J56" s="33">
        <f>IF(I56="","",H56&amp;"|"&amp;I56)</f>
        <v/>
      </c>
      <c r="K56" s="33">
        <f>IF(I56="","",IF(H56="À RENSEIGNER","GIC",H56)&amp;"-"&amp;TEXT(I56,"000"))</f>
        <v/>
      </c>
      <c r="L56" s="33">
        <f>IF(J56="","",IFERROR(INDEX(Cl_nom,MATCH(J56,Cl_cle,0)),"(client introuvable)"))</f>
        <v/>
      </c>
      <c r="M56" s="46">
        <f>IF(B56="","",DATE(YEAR(B56),MONTH(B56),1))</f>
        <v/>
      </c>
      <c r="N56" s="33">
        <f>IF(J56="","",IFERROR(INDEX(Cl_quartier,MATCH(J56,Cl_cle,0))&amp;"",""))</f>
        <v/>
      </c>
      <c r="O56" s="33">
        <f>IF(J56="","",IFERROR(INDEX(Cl_tel,MATCH(J56,Cl_cle,0))&amp;"",""))</f>
        <v/>
      </c>
      <c r="P56" s="34">
        <f>IF(J56="","",IFERROR(INDEX(Cl_potentiel,MATCH(J56,Cl_cle,0)),""))</f>
        <v/>
      </c>
      <c r="Q56" s="34">
        <f>IF(J56="","",IF(D56&lt;&gt;"",IF(COUNTIFS(VC_cle,J56,VC_type,"Visite sur place",VC_date,D56)&gt;0,"Visité",IF(D56&lt;TODAY(),"Non fait","À venir")),IF(B56="","",IF(COUNTIFS(VC_cle,J56,VC_type,"Visite sur place",VC_date,"&gt;="&amp;M56,VC_date,"&lt;"&amp;DATE(YEAR(M56),MONTH(M56)+1,1))&gt;0,"Visité","À visiter"))))</f>
        <v/>
      </c>
    </row>
    <row r="57" ht="18" customHeight="1">
      <c r="A57" s="39" t="n">
        <v>52</v>
      </c>
      <c r="B57" s="49" t="n"/>
      <c r="C57" s="43" t="n"/>
      <c r="D57" s="32" t="n"/>
      <c r="E57" s="36" t="n"/>
      <c r="F57" s="36" t="n"/>
      <c r="G57" s="36" t="n"/>
      <c r="H57" s="33">
        <f>IF(E57="","",Commercial_Id)</f>
        <v/>
      </c>
      <c r="I57" s="39">
        <f>IF(E57="","",IFERROR(VALUE(MID(E57,LEN(E57)-3,3)),""))</f>
        <v/>
      </c>
      <c r="J57" s="33">
        <f>IF(I57="","",H57&amp;"|"&amp;I57)</f>
        <v/>
      </c>
      <c r="K57" s="33">
        <f>IF(I57="","",IF(H57="À RENSEIGNER","GIC",H57)&amp;"-"&amp;TEXT(I57,"000"))</f>
        <v/>
      </c>
      <c r="L57" s="33">
        <f>IF(J57="","",IFERROR(INDEX(Cl_nom,MATCH(J57,Cl_cle,0)),"(client introuvable)"))</f>
        <v/>
      </c>
      <c r="M57" s="46">
        <f>IF(B57="","",DATE(YEAR(B57),MONTH(B57),1))</f>
        <v/>
      </c>
      <c r="N57" s="33">
        <f>IF(J57="","",IFERROR(INDEX(Cl_quartier,MATCH(J57,Cl_cle,0))&amp;"",""))</f>
        <v/>
      </c>
      <c r="O57" s="33">
        <f>IF(J57="","",IFERROR(INDEX(Cl_tel,MATCH(J57,Cl_cle,0))&amp;"",""))</f>
        <v/>
      </c>
      <c r="P57" s="34">
        <f>IF(J57="","",IFERROR(INDEX(Cl_potentiel,MATCH(J57,Cl_cle,0)),""))</f>
        <v/>
      </c>
      <c r="Q57" s="34">
        <f>IF(J57="","",IF(D57&lt;&gt;"",IF(COUNTIFS(VC_cle,J57,VC_type,"Visite sur place",VC_date,D57)&gt;0,"Visité",IF(D57&lt;TODAY(),"Non fait","À venir")),IF(B57="","",IF(COUNTIFS(VC_cle,J57,VC_type,"Visite sur place",VC_date,"&gt;="&amp;M57,VC_date,"&lt;"&amp;DATE(YEAR(M57),MONTH(M57)+1,1))&gt;0,"Visité","À visiter"))))</f>
        <v/>
      </c>
    </row>
    <row r="58" ht="18" customHeight="1">
      <c r="A58" s="39" t="n">
        <v>53</v>
      </c>
      <c r="B58" s="49" t="n"/>
      <c r="C58" s="43" t="n"/>
      <c r="D58" s="32" t="n"/>
      <c r="E58" s="36" t="n"/>
      <c r="F58" s="36" t="n"/>
      <c r="G58" s="36" t="n"/>
      <c r="H58" s="33">
        <f>IF(E58="","",Commercial_Id)</f>
        <v/>
      </c>
      <c r="I58" s="39">
        <f>IF(E58="","",IFERROR(VALUE(MID(E58,LEN(E58)-3,3)),""))</f>
        <v/>
      </c>
      <c r="J58" s="33">
        <f>IF(I58="","",H58&amp;"|"&amp;I58)</f>
        <v/>
      </c>
      <c r="K58" s="33">
        <f>IF(I58="","",IF(H58="À RENSEIGNER","GIC",H58)&amp;"-"&amp;TEXT(I58,"000"))</f>
        <v/>
      </c>
      <c r="L58" s="33">
        <f>IF(J58="","",IFERROR(INDEX(Cl_nom,MATCH(J58,Cl_cle,0)),"(client introuvable)"))</f>
        <v/>
      </c>
      <c r="M58" s="46">
        <f>IF(B58="","",DATE(YEAR(B58),MONTH(B58),1))</f>
        <v/>
      </c>
      <c r="N58" s="33">
        <f>IF(J58="","",IFERROR(INDEX(Cl_quartier,MATCH(J58,Cl_cle,0))&amp;"",""))</f>
        <v/>
      </c>
      <c r="O58" s="33">
        <f>IF(J58="","",IFERROR(INDEX(Cl_tel,MATCH(J58,Cl_cle,0))&amp;"",""))</f>
        <v/>
      </c>
      <c r="P58" s="34">
        <f>IF(J58="","",IFERROR(INDEX(Cl_potentiel,MATCH(J58,Cl_cle,0)),""))</f>
        <v/>
      </c>
      <c r="Q58" s="34">
        <f>IF(J58="","",IF(D58&lt;&gt;"",IF(COUNTIFS(VC_cle,J58,VC_type,"Visite sur place",VC_date,D58)&gt;0,"Visité",IF(D58&lt;TODAY(),"Non fait","À venir")),IF(B58="","",IF(COUNTIFS(VC_cle,J58,VC_type,"Visite sur place",VC_date,"&gt;="&amp;M58,VC_date,"&lt;"&amp;DATE(YEAR(M58),MONTH(M58)+1,1))&gt;0,"Visité","À visiter"))))</f>
        <v/>
      </c>
    </row>
    <row r="59" ht="18" customHeight="1">
      <c r="A59" s="39" t="n">
        <v>54</v>
      </c>
      <c r="B59" s="49" t="n"/>
      <c r="C59" s="43" t="n"/>
      <c r="D59" s="32" t="n"/>
      <c r="E59" s="36" t="n"/>
      <c r="F59" s="36" t="n"/>
      <c r="G59" s="36" t="n"/>
      <c r="H59" s="33">
        <f>IF(E59="","",Commercial_Id)</f>
        <v/>
      </c>
      <c r="I59" s="39">
        <f>IF(E59="","",IFERROR(VALUE(MID(E59,LEN(E59)-3,3)),""))</f>
        <v/>
      </c>
      <c r="J59" s="33">
        <f>IF(I59="","",H59&amp;"|"&amp;I59)</f>
        <v/>
      </c>
      <c r="K59" s="33">
        <f>IF(I59="","",IF(H59="À RENSEIGNER","GIC",H59)&amp;"-"&amp;TEXT(I59,"000"))</f>
        <v/>
      </c>
      <c r="L59" s="33">
        <f>IF(J59="","",IFERROR(INDEX(Cl_nom,MATCH(J59,Cl_cle,0)),"(client introuvable)"))</f>
        <v/>
      </c>
      <c r="M59" s="46">
        <f>IF(B59="","",DATE(YEAR(B59),MONTH(B59),1))</f>
        <v/>
      </c>
      <c r="N59" s="33">
        <f>IF(J59="","",IFERROR(INDEX(Cl_quartier,MATCH(J59,Cl_cle,0))&amp;"",""))</f>
        <v/>
      </c>
      <c r="O59" s="33">
        <f>IF(J59="","",IFERROR(INDEX(Cl_tel,MATCH(J59,Cl_cle,0))&amp;"",""))</f>
        <v/>
      </c>
      <c r="P59" s="34">
        <f>IF(J59="","",IFERROR(INDEX(Cl_potentiel,MATCH(J59,Cl_cle,0)),""))</f>
        <v/>
      </c>
      <c r="Q59" s="34">
        <f>IF(J59="","",IF(D59&lt;&gt;"",IF(COUNTIFS(VC_cle,J59,VC_type,"Visite sur place",VC_date,D59)&gt;0,"Visité",IF(D59&lt;TODAY(),"Non fait","À venir")),IF(B59="","",IF(COUNTIFS(VC_cle,J59,VC_type,"Visite sur place",VC_date,"&gt;="&amp;M59,VC_date,"&lt;"&amp;DATE(YEAR(M59),MONTH(M59)+1,1))&gt;0,"Visité","À visiter"))))</f>
        <v/>
      </c>
    </row>
    <row r="60" ht="18" customHeight="1">
      <c r="A60" s="39" t="n">
        <v>55</v>
      </c>
      <c r="B60" s="49" t="n"/>
      <c r="C60" s="43" t="n"/>
      <c r="D60" s="32" t="n"/>
      <c r="E60" s="36" t="n"/>
      <c r="F60" s="36" t="n"/>
      <c r="G60" s="36" t="n"/>
      <c r="H60" s="33">
        <f>IF(E60="","",Commercial_Id)</f>
        <v/>
      </c>
      <c r="I60" s="39">
        <f>IF(E60="","",IFERROR(VALUE(MID(E60,LEN(E60)-3,3)),""))</f>
        <v/>
      </c>
      <c r="J60" s="33">
        <f>IF(I60="","",H60&amp;"|"&amp;I60)</f>
        <v/>
      </c>
      <c r="K60" s="33">
        <f>IF(I60="","",IF(H60="À RENSEIGNER","GIC",H60)&amp;"-"&amp;TEXT(I60,"000"))</f>
        <v/>
      </c>
      <c r="L60" s="33">
        <f>IF(J60="","",IFERROR(INDEX(Cl_nom,MATCH(J60,Cl_cle,0)),"(client introuvable)"))</f>
        <v/>
      </c>
      <c r="M60" s="46">
        <f>IF(B60="","",DATE(YEAR(B60),MONTH(B60),1))</f>
        <v/>
      </c>
      <c r="N60" s="33">
        <f>IF(J60="","",IFERROR(INDEX(Cl_quartier,MATCH(J60,Cl_cle,0))&amp;"",""))</f>
        <v/>
      </c>
      <c r="O60" s="33">
        <f>IF(J60="","",IFERROR(INDEX(Cl_tel,MATCH(J60,Cl_cle,0))&amp;"",""))</f>
        <v/>
      </c>
      <c r="P60" s="34">
        <f>IF(J60="","",IFERROR(INDEX(Cl_potentiel,MATCH(J60,Cl_cle,0)),""))</f>
        <v/>
      </c>
      <c r="Q60" s="34">
        <f>IF(J60="","",IF(D60&lt;&gt;"",IF(COUNTIFS(VC_cle,J60,VC_type,"Visite sur place",VC_date,D60)&gt;0,"Visité",IF(D60&lt;TODAY(),"Non fait","À venir")),IF(B60="","",IF(COUNTIFS(VC_cle,J60,VC_type,"Visite sur place",VC_date,"&gt;="&amp;M60,VC_date,"&lt;"&amp;DATE(YEAR(M60),MONTH(M60)+1,1))&gt;0,"Visité","À visiter"))))</f>
        <v/>
      </c>
    </row>
    <row r="61" ht="18" customHeight="1">
      <c r="A61" s="39" t="n">
        <v>56</v>
      </c>
      <c r="B61" s="49" t="n"/>
      <c r="C61" s="43" t="n"/>
      <c r="D61" s="32" t="n"/>
      <c r="E61" s="36" t="n"/>
      <c r="F61" s="36" t="n"/>
      <c r="G61" s="36" t="n"/>
      <c r="H61" s="33">
        <f>IF(E61="","",Commercial_Id)</f>
        <v/>
      </c>
      <c r="I61" s="39">
        <f>IF(E61="","",IFERROR(VALUE(MID(E61,LEN(E61)-3,3)),""))</f>
        <v/>
      </c>
      <c r="J61" s="33">
        <f>IF(I61="","",H61&amp;"|"&amp;I61)</f>
        <v/>
      </c>
      <c r="K61" s="33">
        <f>IF(I61="","",IF(H61="À RENSEIGNER","GIC",H61)&amp;"-"&amp;TEXT(I61,"000"))</f>
        <v/>
      </c>
      <c r="L61" s="33">
        <f>IF(J61="","",IFERROR(INDEX(Cl_nom,MATCH(J61,Cl_cle,0)),"(client introuvable)"))</f>
        <v/>
      </c>
      <c r="M61" s="46">
        <f>IF(B61="","",DATE(YEAR(B61),MONTH(B61),1))</f>
        <v/>
      </c>
      <c r="N61" s="33">
        <f>IF(J61="","",IFERROR(INDEX(Cl_quartier,MATCH(J61,Cl_cle,0))&amp;"",""))</f>
        <v/>
      </c>
      <c r="O61" s="33">
        <f>IF(J61="","",IFERROR(INDEX(Cl_tel,MATCH(J61,Cl_cle,0))&amp;"",""))</f>
        <v/>
      </c>
      <c r="P61" s="34">
        <f>IF(J61="","",IFERROR(INDEX(Cl_potentiel,MATCH(J61,Cl_cle,0)),""))</f>
        <v/>
      </c>
      <c r="Q61" s="34">
        <f>IF(J61="","",IF(D61&lt;&gt;"",IF(COUNTIFS(VC_cle,J61,VC_type,"Visite sur place",VC_date,D61)&gt;0,"Visité",IF(D61&lt;TODAY(),"Non fait","À venir")),IF(B61="","",IF(COUNTIFS(VC_cle,J61,VC_type,"Visite sur place",VC_date,"&gt;="&amp;M61,VC_date,"&lt;"&amp;DATE(YEAR(M61),MONTH(M61)+1,1))&gt;0,"Visité","À visiter"))))</f>
        <v/>
      </c>
    </row>
    <row r="62" ht="18" customHeight="1">
      <c r="A62" s="39" t="n">
        <v>57</v>
      </c>
      <c r="B62" s="49" t="n"/>
      <c r="C62" s="43" t="n"/>
      <c r="D62" s="32" t="n"/>
      <c r="E62" s="36" t="n"/>
      <c r="F62" s="36" t="n"/>
      <c r="G62" s="36" t="n"/>
      <c r="H62" s="33">
        <f>IF(E62="","",Commercial_Id)</f>
        <v/>
      </c>
      <c r="I62" s="39">
        <f>IF(E62="","",IFERROR(VALUE(MID(E62,LEN(E62)-3,3)),""))</f>
        <v/>
      </c>
      <c r="J62" s="33">
        <f>IF(I62="","",H62&amp;"|"&amp;I62)</f>
        <v/>
      </c>
      <c r="K62" s="33">
        <f>IF(I62="","",IF(H62="À RENSEIGNER","GIC",H62)&amp;"-"&amp;TEXT(I62,"000"))</f>
        <v/>
      </c>
      <c r="L62" s="33">
        <f>IF(J62="","",IFERROR(INDEX(Cl_nom,MATCH(J62,Cl_cle,0)),"(client introuvable)"))</f>
        <v/>
      </c>
      <c r="M62" s="46">
        <f>IF(B62="","",DATE(YEAR(B62),MONTH(B62),1))</f>
        <v/>
      </c>
      <c r="N62" s="33">
        <f>IF(J62="","",IFERROR(INDEX(Cl_quartier,MATCH(J62,Cl_cle,0))&amp;"",""))</f>
        <v/>
      </c>
      <c r="O62" s="33">
        <f>IF(J62="","",IFERROR(INDEX(Cl_tel,MATCH(J62,Cl_cle,0))&amp;"",""))</f>
        <v/>
      </c>
      <c r="P62" s="34">
        <f>IF(J62="","",IFERROR(INDEX(Cl_potentiel,MATCH(J62,Cl_cle,0)),""))</f>
        <v/>
      </c>
      <c r="Q62" s="34">
        <f>IF(J62="","",IF(D62&lt;&gt;"",IF(COUNTIFS(VC_cle,J62,VC_type,"Visite sur place",VC_date,D62)&gt;0,"Visité",IF(D62&lt;TODAY(),"Non fait","À venir")),IF(B62="","",IF(COUNTIFS(VC_cle,J62,VC_type,"Visite sur place",VC_date,"&gt;="&amp;M62,VC_date,"&lt;"&amp;DATE(YEAR(M62),MONTH(M62)+1,1))&gt;0,"Visité","À visiter"))))</f>
        <v/>
      </c>
    </row>
    <row r="63" ht="18" customHeight="1">
      <c r="A63" s="39" t="n">
        <v>58</v>
      </c>
      <c r="B63" s="49" t="n"/>
      <c r="C63" s="43" t="n"/>
      <c r="D63" s="32" t="n"/>
      <c r="E63" s="36" t="n"/>
      <c r="F63" s="36" t="n"/>
      <c r="G63" s="36" t="n"/>
      <c r="H63" s="33">
        <f>IF(E63="","",Commercial_Id)</f>
        <v/>
      </c>
      <c r="I63" s="39">
        <f>IF(E63="","",IFERROR(VALUE(MID(E63,LEN(E63)-3,3)),""))</f>
        <v/>
      </c>
      <c r="J63" s="33">
        <f>IF(I63="","",H63&amp;"|"&amp;I63)</f>
        <v/>
      </c>
      <c r="K63" s="33">
        <f>IF(I63="","",IF(H63="À RENSEIGNER","GIC",H63)&amp;"-"&amp;TEXT(I63,"000"))</f>
        <v/>
      </c>
      <c r="L63" s="33">
        <f>IF(J63="","",IFERROR(INDEX(Cl_nom,MATCH(J63,Cl_cle,0)),"(client introuvable)"))</f>
        <v/>
      </c>
      <c r="M63" s="46">
        <f>IF(B63="","",DATE(YEAR(B63),MONTH(B63),1))</f>
        <v/>
      </c>
      <c r="N63" s="33">
        <f>IF(J63="","",IFERROR(INDEX(Cl_quartier,MATCH(J63,Cl_cle,0))&amp;"",""))</f>
        <v/>
      </c>
      <c r="O63" s="33">
        <f>IF(J63="","",IFERROR(INDEX(Cl_tel,MATCH(J63,Cl_cle,0))&amp;"",""))</f>
        <v/>
      </c>
      <c r="P63" s="34">
        <f>IF(J63="","",IFERROR(INDEX(Cl_potentiel,MATCH(J63,Cl_cle,0)),""))</f>
        <v/>
      </c>
      <c r="Q63" s="34">
        <f>IF(J63="","",IF(D63&lt;&gt;"",IF(COUNTIFS(VC_cle,J63,VC_type,"Visite sur place",VC_date,D63)&gt;0,"Visité",IF(D63&lt;TODAY(),"Non fait","À venir")),IF(B63="","",IF(COUNTIFS(VC_cle,J63,VC_type,"Visite sur place",VC_date,"&gt;="&amp;M63,VC_date,"&lt;"&amp;DATE(YEAR(M63),MONTH(M63)+1,1))&gt;0,"Visité","À visiter"))))</f>
        <v/>
      </c>
    </row>
    <row r="64" ht="18" customHeight="1">
      <c r="A64" s="39" t="n">
        <v>59</v>
      </c>
      <c r="B64" s="49" t="n"/>
      <c r="C64" s="43" t="n"/>
      <c r="D64" s="32" t="n"/>
      <c r="E64" s="36" t="n"/>
      <c r="F64" s="36" t="n"/>
      <c r="G64" s="36" t="n"/>
      <c r="H64" s="33">
        <f>IF(E64="","",Commercial_Id)</f>
        <v/>
      </c>
      <c r="I64" s="39">
        <f>IF(E64="","",IFERROR(VALUE(MID(E64,LEN(E64)-3,3)),""))</f>
        <v/>
      </c>
      <c r="J64" s="33">
        <f>IF(I64="","",H64&amp;"|"&amp;I64)</f>
        <v/>
      </c>
      <c r="K64" s="33">
        <f>IF(I64="","",IF(H64="À RENSEIGNER","GIC",H64)&amp;"-"&amp;TEXT(I64,"000"))</f>
        <v/>
      </c>
      <c r="L64" s="33">
        <f>IF(J64="","",IFERROR(INDEX(Cl_nom,MATCH(J64,Cl_cle,0)),"(client introuvable)"))</f>
        <v/>
      </c>
      <c r="M64" s="46">
        <f>IF(B64="","",DATE(YEAR(B64),MONTH(B64),1))</f>
        <v/>
      </c>
      <c r="N64" s="33">
        <f>IF(J64="","",IFERROR(INDEX(Cl_quartier,MATCH(J64,Cl_cle,0))&amp;"",""))</f>
        <v/>
      </c>
      <c r="O64" s="33">
        <f>IF(J64="","",IFERROR(INDEX(Cl_tel,MATCH(J64,Cl_cle,0))&amp;"",""))</f>
        <v/>
      </c>
      <c r="P64" s="34">
        <f>IF(J64="","",IFERROR(INDEX(Cl_potentiel,MATCH(J64,Cl_cle,0)),""))</f>
        <v/>
      </c>
      <c r="Q64" s="34">
        <f>IF(J64="","",IF(D64&lt;&gt;"",IF(COUNTIFS(VC_cle,J64,VC_type,"Visite sur place",VC_date,D64)&gt;0,"Visité",IF(D64&lt;TODAY(),"Non fait","À venir")),IF(B64="","",IF(COUNTIFS(VC_cle,J64,VC_type,"Visite sur place",VC_date,"&gt;="&amp;M64,VC_date,"&lt;"&amp;DATE(YEAR(M64),MONTH(M64)+1,1))&gt;0,"Visité","À visiter"))))</f>
        <v/>
      </c>
    </row>
    <row r="65" ht="18" customHeight="1">
      <c r="A65" s="39" t="n">
        <v>60</v>
      </c>
      <c r="B65" s="49" t="n"/>
      <c r="C65" s="43" t="n"/>
      <c r="D65" s="32" t="n"/>
      <c r="E65" s="36" t="n"/>
      <c r="F65" s="36" t="n"/>
      <c r="G65" s="36" t="n"/>
      <c r="H65" s="33">
        <f>IF(E65="","",Commercial_Id)</f>
        <v/>
      </c>
      <c r="I65" s="39">
        <f>IF(E65="","",IFERROR(VALUE(MID(E65,LEN(E65)-3,3)),""))</f>
        <v/>
      </c>
      <c r="J65" s="33">
        <f>IF(I65="","",H65&amp;"|"&amp;I65)</f>
        <v/>
      </c>
      <c r="K65" s="33">
        <f>IF(I65="","",IF(H65="À RENSEIGNER","GIC",H65)&amp;"-"&amp;TEXT(I65,"000"))</f>
        <v/>
      </c>
      <c r="L65" s="33">
        <f>IF(J65="","",IFERROR(INDEX(Cl_nom,MATCH(J65,Cl_cle,0)),"(client introuvable)"))</f>
        <v/>
      </c>
      <c r="M65" s="46">
        <f>IF(B65="","",DATE(YEAR(B65),MONTH(B65),1))</f>
        <v/>
      </c>
      <c r="N65" s="33">
        <f>IF(J65="","",IFERROR(INDEX(Cl_quartier,MATCH(J65,Cl_cle,0))&amp;"",""))</f>
        <v/>
      </c>
      <c r="O65" s="33">
        <f>IF(J65="","",IFERROR(INDEX(Cl_tel,MATCH(J65,Cl_cle,0))&amp;"",""))</f>
        <v/>
      </c>
      <c r="P65" s="34">
        <f>IF(J65="","",IFERROR(INDEX(Cl_potentiel,MATCH(J65,Cl_cle,0)),""))</f>
        <v/>
      </c>
      <c r="Q65" s="34">
        <f>IF(J65="","",IF(D65&lt;&gt;"",IF(COUNTIFS(VC_cle,J65,VC_type,"Visite sur place",VC_date,D65)&gt;0,"Visité",IF(D65&lt;TODAY(),"Non fait","À venir")),IF(B65="","",IF(COUNTIFS(VC_cle,J65,VC_type,"Visite sur place",VC_date,"&gt;="&amp;M65,VC_date,"&lt;"&amp;DATE(YEAR(M65),MONTH(M65)+1,1))&gt;0,"Visité","À visiter"))))</f>
        <v/>
      </c>
    </row>
    <row r="66" ht="18" customHeight="1">
      <c r="A66" s="39" t="n">
        <v>61</v>
      </c>
      <c r="B66" s="49" t="n"/>
      <c r="C66" s="43" t="n"/>
      <c r="D66" s="32" t="n"/>
      <c r="E66" s="36" t="n"/>
      <c r="F66" s="36" t="n"/>
      <c r="G66" s="36" t="n"/>
      <c r="H66" s="33">
        <f>IF(E66="","",Commercial_Id)</f>
        <v/>
      </c>
      <c r="I66" s="39">
        <f>IF(E66="","",IFERROR(VALUE(MID(E66,LEN(E66)-3,3)),""))</f>
        <v/>
      </c>
      <c r="J66" s="33">
        <f>IF(I66="","",H66&amp;"|"&amp;I66)</f>
        <v/>
      </c>
      <c r="K66" s="33">
        <f>IF(I66="","",IF(H66="À RENSEIGNER","GIC",H66)&amp;"-"&amp;TEXT(I66,"000"))</f>
        <v/>
      </c>
      <c r="L66" s="33">
        <f>IF(J66="","",IFERROR(INDEX(Cl_nom,MATCH(J66,Cl_cle,0)),"(client introuvable)"))</f>
        <v/>
      </c>
      <c r="M66" s="46">
        <f>IF(B66="","",DATE(YEAR(B66),MONTH(B66),1))</f>
        <v/>
      </c>
      <c r="N66" s="33">
        <f>IF(J66="","",IFERROR(INDEX(Cl_quartier,MATCH(J66,Cl_cle,0))&amp;"",""))</f>
        <v/>
      </c>
      <c r="O66" s="33">
        <f>IF(J66="","",IFERROR(INDEX(Cl_tel,MATCH(J66,Cl_cle,0))&amp;"",""))</f>
        <v/>
      </c>
      <c r="P66" s="34">
        <f>IF(J66="","",IFERROR(INDEX(Cl_potentiel,MATCH(J66,Cl_cle,0)),""))</f>
        <v/>
      </c>
      <c r="Q66" s="34">
        <f>IF(J66="","",IF(D66&lt;&gt;"",IF(COUNTIFS(VC_cle,J66,VC_type,"Visite sur place",VC_date,D66)&gt;0,"Visité",IF(D66&lt;TODAY(),"Non fait","À venir")),IF(B66="","",IF(COUNTIFS(VC_cle,J66,VC_type,"Visite sur place",VC_date,"&gt;="&amp;M66,VC_date,"&lt;"&amp;DATE(YEAR(M66),MONTH(M66)+1,1))&gt;0,"Visité","À visiter"))))</f>
        <v/>
      </c>
    </row>
    <row r="67" ht="18" customHeight="1">
      <c r="A67" s="39" t="n">
        <v>62</v>
      </c>
      <c r="B67" s="49" t="n"/>
      <c r="C67" s="43" t="n"/>
      <c r="D67" s="32" t="n"/>
      <c r="E67" s="36" t="n"/>
      <c r="F67" s="36" t="n"/>
      <c r="G67" s="36" t="n"/>
      <c r="H67" s="33">
        <f>IF(E67="","",Commercial_Id)</f>
        <v/>
      </c>
      <c r="I67" s="39">
        <f>IF(E67="","",IFERROR(VALUE(MID(E67,LEN(E67)-3,3)),""))</f>
        <v/>
      </c>
      <c r="J67" s="33">
        <f>IF(I67="","",H67&amp;"|"&amp;I67)</f>
        <v/>
      </c>
      <c r="K67" s="33">
        <f>IF(I67="","",IF(H67="À RENSEIGNER","GIC",H67)&amp;"-"&amp;TEXT(I67,"000"))</f>
        <v/>
      </c>
      <c r="L67" s="33">
        <f>IF(J67="","",IFERROR(INDEX(Cl_nom,MATCH(J67,Cl_cle,0)),"(client introuvable)"))</f>
        <v/>
      </c>
      <c r="M67" s="46">
        <f>IF(B67="","",DATE(YEAR(B67),MONTH(B67),1))</f>
        <v/>
      </c>
      <c r="N67" s="33">
        <f>IF(J67="","",IFERROR(INDEX(Cl_quartier,MATCH(J67,Cl_cle,0))&amp;"",""))</f>
        <v/>
      </c>
      <c r="O67" s="33">
        <f>IF(J67="","",IFERROR(INDEX(Cl_tel,MATCH(J67,Cl_cle,0))&amp;"",""))</f>
        <v/>
      </c>
      <c r="P67" s="34">
        <f>IF(J67="","",IFERROR(INDEX(Cl_potentiel,MATCH(J67,Cl_cle,0)),""))</f>
        <v/>
      </c>
      <c r="Q67" s="34">
        <f>IF(J67="","",IF(D67&lt;&gt;"",IF(COUNTIFS(VC_cle,J67,VC_type,"Visite sur place",VC_date,D67)&gt;0,"Visité",IF(D67&lt;TODAY(),"Non fait","À venir")),IF(B67="","",IF(COUNTIFS(VC_cle,J67,VC_type,"Visite sur place",VC_date,"&gt;="&amp;M67,VC_date,"&lt;"&amp;DATE(YEAR(M67),MONTH(M67)+1,1))&gt;0,"Visité","À visiter"))))</f>
        <v/>
      </c>
    </row>
    <row r="68" ht="18" customHeight="1">
      <c r="A68" s="39" t="n">
        <v>63</v>
      </c>
      <c r="B68" s="49" t="n"/>
      <c r="C68" s="43" t="n"/>
      <c r="D68" s="32" t="n"/>
      <c r="E68" s="36" t="n"/>
      <c r="F68" s="36" t="n"/>
      <c r="G68" s="36" t="n"/>
      <c r="H68" s="33">
        <f>IF(E68="","",Commercial_Id)</f>
        <v/>
      </c>
      <c r="I68" s="39">
        <f>IF(E68="","",IFERROR(VALUE(MID(E68,LEN(E68)-3,3)),""))</f>
        <v/>
      </c>
      <c r="J68" s="33">
        <f>IF(I68="","",H68&amp;"|"&amp;I68)</f>
        <v/>
      </c>
      <c r="K68" s="33">
        <f>IF(I68="","",IF(H68="À RENSEIGNER","GIC",H68)&amp;"-"&amp;TEXT(I68,"000"))</f>
        <v/>
      </c>
      <c r="L68" s="33">
        <f>IF(J68="","",IFERROR(INDEX(Cl_nom,MATCH(J68,Cl_cle,0)),"(client introuvable)"))</f>
        <v/>
      </c>
      <c r="M68" s="46">
        <f>IF(B68="","",DATE(YEAR(B68),MONTH(B68),1))</f>
        <v/>
      </c>
      <c r="N68" s="33">
        <f>IF(J68="","",IFERROR(INDEX(Cl_quartier,MATCH(J68,Cl_cle,0))&amp;"",""))</f>
        <v/>
      </c>
      <c r="O68" s="33">
        <f>IF(J68="","",IFERROR(INDEX(Cl_tel,MATCH(J68,Cl_cle,0))&amp;"",""))</f>
        <v/>
      </c>
      <c r="P68" s="34">
        <f>IF(J68="","",IFERROR(INDEX(Cl_potentiel,MATCH(J68,Cl_cle,0)),""))</f>
        <v/>
      </c>
      <c r="Q68" s="34">
        <f>IF(J68="","",IF(D68&lt;&gt;"",IF(COUNTIFS(VC_cle,J68,VC_type,"Visite sur place",VC_date,D68)&gt;0,"Visité",IF(D68&lt;TODAY(),"Non fait","À venir")),IF(B68="","",IF(COUNTIFS(VC_cle,J68,VC_type,"Visite sur place",VC_date,"&gt;="&amp;M68,VC_date,"&lt;"&amp;DATE(YEAR(M68),MONTH(M68)+1,1))&gt;0,"Visité","À visiter"))))</f>
        <v/>
      </c>
    </row>
    <row r="69" ht="18" customHeight="1">
      <c r="A69" s="39" t="n">
        <v>64</v>
      </c>
      <c r="B69" s="49" t="n"/>
      <c r="C69" s="43" t="n"/>
      <c r="D69" s="32" t="n"/>
      <c r="E69" s="36" t="n"/>
      <c r="F69" s="36" t="n"/>
      <c r="G69" s="36" t="n"/>
      <c r="H69" s="33">
        <f>IF(E69="","",Commercial_Id)</f>
        <v/>
      </c>
      <c r="I69" s="39">
        <f>IF(E69="","",IFERROR(VALUE(MID(E69,LEN(E69)-3,3)),""))</f>
        <v/>
      </c>
      <c r="J69" s="33">
        <f>IF(I69="","",H69&amp;"|"&amp;I69)</f>
        <v/>
      </c>
      <c r="K69" s="33">
        <f>IF(I69="","",IF(H69="À RENSEIGNER","GIC",H69)&amp;"-"&amp;TEXT(I69,"000"))</f>
        <v/>
      </c>
      <c r="L69" s="33">
        <f>IF(J69="","",IFERROR(INDEX(Cl_nom,MATCH(J69,Cl_cle,0)),"(client introuvable)"))</f>
        <v/>
      </c>
      <c r="M69" s="46">
        <f>IF(B69="","",DATE(YEAR(B69),MONTH(B69),1))</f>
        <v/>
      </c>
      <c r="N69" s="33">
        <f>IF(J69="","",IFERROR(INDEX(Cl_quartier,MATCH(J69,Cl_cle,0))&amp;"",""))</f>
        <v/>
      </c>
      <c r="O69" s="33">
        <f>IF(J69="","",IFERROR(INDEX(Cl_tel,MATCH(J69,Cl_cle,0))&amp;"",""))</f>
        <v/>
      </c>
      <c r="P69" s="34">
        <f>IF(J69="","",IFERROR(INDEX(Cl_potentiel,MATCH(J69,Cl_cle,0)),""))</f>
        <v/>
      </c>
      <c r="Q69" s="34">
        <f>IF(J69="","",IF(D69&lt;&gt;"",IF(COUNTIFS(VC_cle,J69,VC_type,"Visite sur place",VC_date,D69)&gt;0,"Visité",IF(D69&lt;TODAY(),"Non fait","À venir")),IF(B69="","",IF(COUNTIFS(VC_cle,J69,VC_type,"Visite sur place",VC_date,"&gt;="&amp;M69,VC_date,"&lt;"&amp;DATE(YEAR(M69),MONTH(M69)+1,1))&gt;0,"Visité","À visiter"))))</f>
        <v/>
      </c>
    </row>
    <row r="70" ht="18" customHeight="1">
      <c r="A70" s="39" t="n">
        <v>65</v>
      </c>
      <c r="B70" s="49" t="n"/>
      <c r="C70" s="43" t="n"/>
      <c r="D70" s="32" t="n"/>
      <c r="E70" s="36" t="n"/>
      <c r="F70" s="36" t="n"/>
      <c r="G70" s="36" t="n"/>
      <c r="H70" s="33">
        <f>IF(E70="","",Commercial_Id)</f>
        <v/>
      </c>
      <c r="I70" s="39">
        <f>IF(E70="","",IFERROR(VALUE(MID(E70,LEN(E70)-3,3)),""))</f>
        <v/>
      </c>
      <c r="J70" s="33">
        <f>IF(I70="","",H70&amp;"|"&amp;I70)</f>
        <v/>
      </c>
      <c r="K70" s="33">
        <f>IF(I70="","",IF(H70="À RENSEIGNER","GIC",H70)&amp;"-"&amp;TEXT(I70,"000"))</f>
        <v/>
      </c>
      <c r="L70" s="33">
        <f>IF(J70="","",IFERROR(INDEX(Cl_nom,MATCH(J70,Cl_cle,0)),"(client introuvable)"))</f>
        <v/>
      </c>
      <c r="M70" s="46">
        <f>IF(B70="","",DATE(YEAR(B70),MONTH(B70),1))</f>
        <v/>
      </c>
      <c r="N70" s="33">
        <f>IF(J70="","",IFERROR(INDEX(Cl_quartier,MATCH(J70,Cl_cle,0))&amp;"",""))</f>
        <v/>
      </c>
      <c r="O70" s="33">
        <f>IF(J70="","",IFERROR(INDEX(Cl_tel,MATCH(J70,Cl_cle,0))&amp;"",""))</f>
        <v/>
      </c>
      <c r="P70" s="34">
        <f>IF(J70="","",IFERROR(INDEX(Cl_potentiel,MATCH(J70,Cl_cle,0)),""))</f>
        <v/>
      </c>
      <c r="Q70" s="34">
        <f>IF(J70="","",IF(D70&lt;&gt;"",IF(COUNTIFS(VC_cle,J70,VC_type,"Visite sur place",VC_date,D70)&gt;0,"Visité",IF(D70&lt;TODAY(),"Non fait","À venir")),IF(B70="","",IF(COUNTIFS(VC_cle,J70,VC_type,"Visite sur place",VC_date,"&gt;="&amp;M70,VC_date,"&lt;"&amp;DATE(YEAR(M70),MONTH(M70)+1,1))&gt;0,"Visité","À visiter"))))</f>
        <v/>
      </c>
    </row>
    <row r="71" ht="18" customHeight="1">
      <c r="A71" s="39" t="n">
        <v>66</v>
      </c>
      <c r="B71" s="49" t="n"/>
      <c r="C71" s="43" t="n"/>
      <c r="D71" s="32" t="n"/>
      <c r="E71" s="36" t="n"/>
      <c r="F71" s="36" t="n"/>
      <c r="G71" s="36" t="n"/>
      <c r="H71" s="33">
        <f>IF(E71="","",Commercial_Id)</f>
        <v/>
      </c>
      <c r="I71" s="39">
        <f>IF(E71="","",IFERROR(VALUE(MID(E71,LEN(E71)-3,3)),""))</f>
        <v/>
      </c>
      <c r="J71" s="33">
        <f>IF(I71="","",H71&amp;"|"&amp;I71)</f>
        <v/>
      </c>
      <c r="K71" s="33">
        <f>IF(I71="","",IF(H71="À RENSEIGNER","GIC",H71)&amp;"-"&amp;TEXT(I71,"000"))</f>
        <v/>
      </c>
      <c r="L71" s="33">
        <f>IF(J71="","",IFERROR(INDEX(Cl_nom,MATCH(J71,Cl_cle,0)),"(client introuvable)"))</f>
        <v/>
      </c>
      <c r="M71" s="46">
        <f>IF(B71="","",DATE(YEAR(B71),MONTH(B71),1))</f>
        <v/>
      </c>
      <c r="N71" s="33">
        <f>IF(J71="","",IFERROR(INDEX(Cl_quartier,MATCH(J71,Cl_cle,0))&amp;"",""))</f>
        <v/>
      </c>
      <c r="O71" s="33">
        <f>IF(J71="","",IFERROR(INDEX(Cl_tel,MATCH(J71,Cl_cle,0))&amp;"",""))</f>
        <v/>
      </c>
      <c r="P71" s="34">
        <f>IF(J71="","",IFERROR(INDEX(Cl_potentiel,MATCH(J71,Cl_cle,0)),""))</f>
        <v/>
      </c>
      <c r="Q71" s="34">
        <f>IF(J71="","",IF(D71&lt;&gt;"",IF(COUNTIFS(VC_cle,J71,VC_type,"Visite sur place",VC_date,D71)&gt;0,"Visité",IF(D71&lt;TODAY(),"Non fait","À venir")),IF(B71="","",IF(COUNTIFS(VC_cle,J71,VC_type,"Visite sur place",VC_date,"&gt;="&amp;M71,VC_date,"&lt;"&amp;DATE(YEAR(M71),MONTH(M71)+1,1))&gt;0,"Visité","À visiter"))))</f>
        <v/>
      </c>
    </row>
    <row r="72" ht="18" customHeight="1">
      <c r="A72" s="39" t="n">
        <v>67</v>
      </c>
      <c r="B72" s="49" t="n"/>
      <c r="C72" s="43" t="n"/>
      <c r="D72" s="32" t="n"/>
      <c r="E72" s="36" t="n"/>
      <c r="F72" s="36" t="n"/>
      <c r="G72" s="36" t="n"/>
      <c r="H72" s="33">
        <f>IF(E72="","",Commercial_Id)</f>
        <v/>
      </c>
      <c r="I72" s="39">
        <f>IF(E72="","",IFERROR(VALUE(MID(E72,LEN(E72)-3,3)),""))</f>
        <v/>
      </c>
      <c r="J72" s="33">
        <f>IF(I72="","",H72&amp;"|"&amp;I72)</f>
        <v/>
      </c>
      <c r="K72" s="33">
        <f>IF(I72="","",IF(H72="À RENSEIGNER","GIC",H72)&amp;"-"&amp;TEXT(I72,"000"))</f>
        <v/>
      </c>
      <c r="L72" s="33">
        <f>IF(J72="","",IFERROR(INDEX(Cl_nom,MATCH(J72,Cl_cle,0)),"(client introuvable)"))</f>
        <v/>
      </c>
      <c r="M72" s="46">
        <f>IF(B72="","",DATE(YEAR(B72),MONTH(B72),1))</f>
        <v/>
      </c>
      <c r="N72" s="33">
        <f>IF(J72="","",IFERROR(INDEX(Cl_quartier,MATCH(J72,Cl_cle,0))&amp;"",""))</f>
        <v/>
      </c>
      <c r="O72" s="33">
        <f>IF(J72="","",IFERROR(INDEX(Cl_tel,MATCH(J72,Cl_cle,0))&amp;"",""))</f>
        <v/>
      </c>
      <c r="P72" s="34">
        <f>IF(J72="","",IFERROR(INDEX(Cl_potentiel,MATCH(J72,Cl_cle,0)),""))</f>
        <v/>
      </c>
      <c r="Q72" s="34">
        <f>IF(J72="","",IF(D72&lt;&gt;"",IF(COUNTIFS(VC_cle,J72,VC_type,"Visite sur place",VC_date,D72)&gt;0,"Visité",IF(D72&lt;TODAY(),"Non fait","À venir")),IF(B72="","",IF(COUNTIFS(VC_cle,J72,VC_type,"Visite sur place",VC_date,"&gt;="&amp;M72,VC_date,"&lt;"&amp;DATE(YEAR(M72),MONTH(M72)+1,1))&gt;0,"Visité","À visiter"))))</f>
        <v/>
      </c>
    </row>
    <row r="73" ht="18" customHeight="1">
      <c r="A73" s="39" t="n">
        <v>68</v>
      </c>
      <c r="B73" s="49" t="n"/>
      <c r="C73" s="43" t="n"/>
      <c r="D73" s="32" t="n"/>
      <c r="E73" s="36" t="n"/>
      <c r="F73" s="36" t="n"/>
      <c r="G73" s="36" t="n"/>
      <c r="H73" s="33">
        <f>IF(E73="","",Commercial_Id)</f>
        <v/>
      </c>
      <c r="I73" s="39">
        <f>IF(E73="","",IFERROR(VALUE(MID(E73,LEN(E73)-3,3)),""))</f>
        <v/>
      </c>
      <c r="J73" s="33">
        <f>IF(I73="","",H73&amp;"|"&amp;I73)</f>
        <v/>
      </c>
      <c r="K73" s="33">
        <f>IF(I73="","",IF(H73="À RENSEIGNER","GIC",H73)&amp;"-"&amp;TEXT(I73,"000"))</f>
        <v/>
      </c>
      <c r="L73" s="33">
        <f>IF(J73="","",IFERROR(INDEX(Cl_nom,MATCH(J73,Cl_cle,0)),"(client introuvable)"))</f>
        <v/>
      </c>
      <c r="M73" s="46">
        <f>IF(B73="","",DATE(YEAR(B73),MONTH(B73),1))</f>
        <v/>
      </c>
      <c r="N73" s="33">
        <f>IF(J73="","",IFERROR(INDEX(Cl_quartier,MATCH(J73,Cl_cle,0))&amp;"",""))</f>
        <v/>
      </c>
      <c r="O73" s="33">
        <f>IF(J73="","",IFERROR(INDEX(Cl_tel,MATCH(J73,Cl_cle,0))&amp;"",""))</f>
        <v/>
      </c>
      <c r="P73" s="34">
        <f>IF(J73="","",IFERROR(INDEX(Cl_potentiel,MATCH(J73,Cl_cle,0)),""))</f>
        <v/>
      </c>
      <c r="Q73" s="34">
        <f>IF(J73="","",IF(D73&lt;&gt;"",IF(COUNTIFS(VC_cle,J73,VC_type,"Visite sur place",VC_date,D73)&gt;0,"Visité",IF(D73&lt;TODAY(),"Non fait","À venir")),IF(B73="","",IF(COUNTIFS(VC_cle,J73,VC_type,"Visite sur place",VC_date,"&gt;="&amp;M73,VC_date,"&lt;"&amp;DATE(YEAR(M73),MONTH(M73)+1,1))&gt;0,"Visité","À visiter"))))</f>
        <v/>
      </c>
    </row>
    <row r="74" ht="18" customHeight="1">
      <c r="A74" s="39" t="n">
        <v>69</v>
      </c>
      <c r="B74" s="49" t="n"/>
      <c r="C74" s="43" t="n"/>
      <c r="D74" s="32" t="n"/>
      <c r="E74" s="36" t="n"/>
      <c r="F74" s="36" t="n"/>
      <c r="G74" s="36" t="n"/>
      <c r="H74" s="33">
        <f>IF(E74="","",Commercial_Id)</f>
        <v/>
      </c>
      <c r="I74" s="39">
        <f>IF(E74="","",IFERROR(VALUE(MID(E74,LEN(E74)-3,3)),""))</f>
        <v/>
      </c>
      <c r="J74" s="33">
        <f>IF(I74="","",H74&amp;"|"&amp;I74)</f>
        <v/>
      </c>
      <c r="K74" s="33">
        <f>IF(I74="","",IF(H74="À RENSEIGNER","GIC",H74)&amp;"-"&amp;TEXT(I74,"000"))</f>
        <v/>
      </c>
      <c r="L74" s="33">
        <f>IF(J74="","",IFERROR(INDEX(Cl_nom,MATCH(J74,Cl_cle,0)),"(client introuvable)"))</f>
        <v/>
      </c>
      <c r="M74" s="46">
        <f>IF(B74="","",DATE(YEAR(B74),MONTH(B74),1))</f>
        <v/>
      </c>
      <c r="N74" s="33">
        <f>IF(J74="","",IFERROR(INDEX(Cl_quartier,MATCH(J74,Cl_cle,0))&amp;"",""))</f>
        <v/>
      </c>
      <c r="O74" s="33">
        <f>IF(J74="","",IFERROR(INDEX(Cl_tel,MATCH(J74,Cl_cle,0))&amp;"",""))</f>
        <v/>
      </c>
      <c r="P74" s="34">
        <f>IF(J74="","",IFERROR(INDEX(Cl_potentiel,MATCH(J74,Cl_cle,0)),""))</f>
        <v/>
      </c>
      <c r="Q74" s="34">
        <f>IF(J74="","",IF(D74&lt;&gt;"",IF(COUNTIFS(VC_cle,J74,VC_type,"Visite sur place",VC_date,D74)&gt;0,"Visité",IF(D74&lt;TODAY(),"Non fait","À venir")),IF(B74="","",IF(COUNTIFS(VC_cle,J74,VC_type,"Visite sur place",VC_date,"&gt;="&amp;M74,VC_date,"&lt;"&amp;DATE(YEAR(M74),MONTH(M74)+1,1))&gt;0,"Visité","À visiter"))))</f>
        <v/>
      </c>
    </row>
    <row r="75" ht="18" customHeight="1">
      <c r="A75" s="39" t="n">
        <v>70</v>
      </c>
      <c r="B75" s="49" t="n"/>
      <c r="C75" s="43" t="n"/>
      <c r="D75" s="32" t="n"/>
      <c r="E75" s="36" t="n"/>
      <c r="F75" s="36" t="n"/>
      <c r="G75" s="36" t="n"/>
      <c r="H75" s="33">
        <f>IF(E75="","",Commercial_Id)</f>
        <v/>
      </c>
      <c r="I75" s="39">
        <f>IF(E75="","",IFERROR(VALUE(MID(E75,LEN(E75)-3,3)),""))</f>
        <v/>
      </c>
      <c r="J75" s="33">
        <f>IF(I75="","",H75&amp;"|"&amp;I75)</f>
        <v/>
      </c>
      <c r="K75" s="33">
        <f>IF(I75="","",IF(H75="À RENSEIGNER","GIC",H75)&amp;"-"&amp;TEXT(I75,"000"))</f>
        <v/>
      </c>
      <c r="L75" s="33">
        <f>IF(J75="","",IFERROR(INDEX(Cl_nom,MATCH(J75,Cl_cle,0)),"(client introuvable)"))</f>
        <v/>
      </c>
      <c r="M75" s="46">
        <f>IF(B75="","",DATE(YEAR(B75),MONTH(B75),1))</f>
        <v/>
      </c>
      <c r="N75" s="33">
        <f>IF(J75="","",IFERROR(INDEX(Cl_quartier,MATCH(J75,Cl_cle,0))&amp;"",""))</f>
        <v/>
      </c>
      <c r="O75" s="33">
        <f>IF(J75="","",IFERROR(INDEX(Cl_tel,MATCH(J75,Cl_cle,0))&amp;"",""))</f>
        <v/>
      </c>
      <c r="P75" s="34">
        <f>IF(J75="","",IFERROR(INDEX(Cl_potentiel,MATCH(J75,Cl_cle,0)),""))</f>
        <v/>
      </c>
      <c r="Q75" s="34">
        <f>IF(J75="","",IF(D75&lt;&gt;"",IF(COUNTIFS(VC_cle,J75,VC_type,"Visite sur place",VC_date,D75)&gt;0,"Visité",IF(D75&lt;TODAY(),"Non fait","À venir")),IF(B75="","",IF(COUNTIFS(VC_cle,J75,VC_type,"Visite sur place",VC_date,"&gt;="&amp;M75,VC_date,"&lt;"&amp;DATE(YEAR(M75),MONTH(M75)+1,1))&gt;0,"Visité","À visiter"))))</f>
        <v/>
      </c>
    </row>
    <row r="76" ht="18" customHeight="1">
      <c r="A76" s="39" t="n">
        <v>71</v>
      </c>
      <c r="B76" s="49" t="n"/>
      <c r="C76" s="43" t="n"/>
      <c r="D76" s="32" t="n"/>
      <c r="E76" s="36" t="n"/>
      <c r="F76" s="36" t="n"/>
      <c r="G76" s="36" t="n"/>
      <c r="H76" s="33">
        <f>IF(E76="","",Commercial_Id)</f>
        <v/>
      </c>
      <c r="I76" s="39">
        <f>IF(E76="","",IFERROR(VALUE(MID(E76,LEN(E76)-3,3)),""))</f>
        <v/>
      </c>
      <c r="J76" s="33">
        <f>IF(I76="","",H76&amp;"|"&amp;I76)</f>
        <v/>
      </c>
      <c r="K76" s="33">
        <f>IF(I76="","",IF(H76="À RENSEIGNER","GIC",H76)&amp;"-"&amp;TEXT(I76,"000"))</f>
        <v/>
      </c>
      <c r="L76" s="33">
        <f>IF(J76="","",IFERROR(INDEX(Cl_nom,MATCH(J76,Cl_cle,0)),"(client introuvable)"))</f>
        <v/>
      </c>
      <c r="M76" s="46">
        <f>IF(B76="","",DATE(YEAR(B76),MONTH(B76),1))</f>
        <v/>
      </c>
      <c r="N76" s="33">
        <f>IF(J76="","",IFERROR(INDEX(Cl_quartier,MATCH(J76,Cl_cle,0))&amp;"",""))</f>
        <v/>
      </c>
      <c r="O76" s="33">
        <f>IF(J76="","",IFERROR(INDEX(Cl_tel,MATCH(J76,Cl_cle,0))&amp;"",""))</f>
        <v/>
      </c>
      <c r="P76" s="34">
        <f>IF(J76="","",IFERROR(INDEX(Cl_potentiel,MATCH(J76,Cl_cle,0)),""))</f>
        <v/>
      </c>
      <c r="Q76" s="34">
        <f>IF(J76="","",IF(D76&lt;&gt;"",IF(COUNTIFS(VC_cle,J76,VC_type,"Visite sur place",VC_date,D76)&gt;0,"Visité",IF(D76&lt;TODAY(),"Non fait","À venir")),IF(B76="","",IF(COUNTIFS(VC_cle,J76,VC_type,"Visite sur place",VC_date,"&gt;="&amp;M76,VC_date,"&lt;"&amp;DATE(YEAR(M76),MONTH(M76)+1,1))&gt;0,"Visité","À visiter"))))</f>
        <v/>
      </c>
    </row>
    <row r="77" ht="18" customHeight="1">
      <c r="A77" s="39" t="n">
        <v>72</v>
      </c>
      <c r="B77" s="49" t="n"/>
      <c r="C77" s="43" t="n"/>
      <c r="D77" s="32" t="n"/>
      <c r="E77" s="36" t="n"/>
      <c r="F77" s="36" t="n"/>
      <c r="G77" s="36" t="n"/>
      <c r="H77" s="33">
        <f>IF(E77="","",Commercial_Id)</f>
        <v/>
      </c>
      <c r="I77" s="39">
        <f>IF(E77="","",IFERROR(VALUE(MID(E77,LEN(E77)-3,3)),""))</f>
        <v/>
      </c>
      <c r="J77" s="33">
        <f>IF(I77="","",H77&amp;"|"&amp;I77)</f>
        <v/>
      </c>
      <c r="K77" s="33">
        <f>IF(I77="","",IF(H77="À RENSEIGNER","GIC",H77)&amp;"-"&amp;TEXT(I77,"000"))</f>
        <v/>
      </c>
      <c r="L77" s="33">
        <f>IF(J77="","",IFERROR(INDEX(Cl_nom,MATCH(J77,Cl_cle,0)),"(client introuvable)"))</f>
        <v/>
      </c>
      <c r="M77" s="46">
        <f>IF(B77="","",DATE(YEAR(B77),MONTH(B77),1))</f>
        <v/>
      </c>
      <c r="N77" s="33">
        <f>IF(J77="","",IFERROR(INDEX(Cl_quartier,MATCH(J77,Cl_cle,0))&amp;"",""))</f>
        <v/>
      </c>
      <c r="O77" s="33">
        <f>IF(J77="","",IFERROR(INDEX(Cl_tel,MATCH(J77,Cl_cle,0))&amp;"",""))</f>
        <v/>
      </c>
      <c r="P77" s="34">
        <f>IF(J77="","",IFERROR(INDEX(Cl_potentiel,MATCH(J77,Cl_cle,0)),""))</f>
        <v/>
      </c>
      <c r="Q77" s="34">
        <f>IF(J77="","",IF(D77&lt;&gt;"",IF(COUNTIFS(VC_cle,J77,VC_type,"Visite sur place",VC_date,D77)&gt;0,"Visité",IF(D77&lt;TODAY(),"Non fait","À venir")),IF(B77="","",IF(COUNTIFS(VC_cle,J77,VC_type,"Visite sur place",VC_date,"&gt;="&amp;M77,VC_date,"&lt;"&amp;DATE(YEAR(M77),MONTH(M77)+1,1))&gt;0,"Visité","À visiter"))))</f>
        <v/>
      </c>
    </row>
    <row r="78" ht="18" customHeight="1">
      <c r="A78" s="39" t="n">
        <v>73</v>
      </c>
      <c r="B78" s="49" t="n"/>
      <c r="C78" s="43" t="n"/>
      <c r="D78" s="32" t="n"/>
      <c r="E78" s="36" t="n"/>
      <c r="F78" s="36" t="n"/>
      <c r="G78" s="36" t="n"/>
      <c r="H78" s="33">
        <f>IF(E78="","",Commercial_Id)</f>
        <v/>
      </c>
      <c r="I78" s="39">
        <f>IF(E78="","",IFERROR(VALUE(MID(E78,LEN(E78)-3,3)),""))</f>
        <v/>
      </c>
      <c r="J78" s="33">
        <f>IF(I78="","",H78&amp;"|"&amp;I78)</f>
        <v/>
      </c>
      <c r="K78" s="33">
        <f>IF(I78="","",IF(H78="À RENSEIGNER","GIC",H78)&amp;"-"&amp;TEXT(I78,"000"))</f>
        <v/>
      </c>
      <c r="L78" s="33">
        <f>IF(J78="","",IFERROR(INDEX(Cl_nom,MATCH(J78,Cl_cle,0)),"(client introuvable)"))</f>
        <v/>
      </c>
      <c r="M78" s="46">
        <f>IF(B78="","",DATE(YEAR(B78),MONTH(B78),1))</f>
        <v/>
      </c>
      <c r="N78" s="33">
        <f>IF(J78="","",IFERROR(INDEX(Cl_quartier,MATCH(J78,Cl_cle,0))&amp;"",""))</f>
        <v/>
      </c>
      <c r="O78" s="33">
        <f>IF(J78="","",IFERROR(INDEX(Cl_tel,MATCH(J78,Cl_cle,0))&amp;"",""))</f>
        <v/>
      </c>
      <c r="P78" s="34">
        <f>IF(J78="","",IFERROR(INDEX(Cl_potentiel,MATCH(J78,Cl_cle,0)),""))</f>
        <v/>
      </c>
      <c r="Q78" s="34">
        <f>IF(J78="","",IF(D78&lt;&gt;"",IF(COUNTIFS(VC_cle,J78,VC_type,"Visite sur place",VC_date,D78)&gt;0,"Visité",IF(D78&lt;TODAY(),"Non fait","À venir")),IF(B78="","",IF(COUNTIFS(VC_cle,J78,VC_type,"Visite sur place",VC_date,"&gt;="&amp;M78,VC_date,"&lt;"&amp;DATE(YEAR(M78),MONTH(M78)+1,1))&gt;0,"Visité","À visiter"))))</f>
        <v/>
      </c>
    </row>
    <row r="79" ht="18" customHeight="1">
      <c r="A79" s="39" t="n">
        <v>74</v>
      </c>
      <c r="B79" s="49" t="n"/>
      <c r="C79" s="43" t="n"/>
      <c r="D79" s="32" t="n"/>
      <c r="E79" s="36" t="n"/>
      <c r="F79" s="36" t="n"/>
      <c r="G79" s="36" t="n"/>
      <c r="H79" s="33">
        <f>IF(E79="","",Commercial_Id)</f>
        <v/>
      </c>
      <c r="I79" s="39">
        <f>IF(E79="","",IFERROR(VALUE(MID(E79,LEN(E79)-3,3)),""))</f>
        <v/>
      </c>
      <c r="J79" s="33">
        <f>IF(I79="","",H79&amp;"|"&amp;I79)</f>
        <v/>
      </c>
      <c r="K79" s="33">
        <f>IF(I79="","",IF(H79="À RENSEIGNER","GIC",H79)&amp;"-"&amp;TEXT(I79,"000"))</f>
        <v/>
      </c>
      <c r="L79" s="33">
        <f>IF(J79="","",IFERROR(INDEX(Cl_nom,MATCH(J79,Cl_cle,0)),"(client introuvable)"))</f>
        <v/>
      </c>
      <c r="M79" s="46">
        <f>IF(B79="","",DATE(YEAR(B79),MONTH(B79),1))</f>
        <v/>
      </c>
      <c r="N79" s="33">
        <f>IF(J79="","",IFERROR(INDEX(Cl_quartier,MATCH(J79,Cl_cle,0))&amp;"",""))</f>
        <v/>
      </c>
      <c r="O79" s="33">
        <f>IF(J79="","",IFERROR(INDEX(Cl_tel,MATCH(J79,Cl_cle,0))&amp;"",""))</f>
        <v/>
      </c>
      <c r="P79" s="34">
        <f>IF(J79="","",IFERROR(INDEX(Cl_potentiel,MATCH(J79,Cl_cle,0)),""))</f>
        <v/>
      </c>
      <c r="Q79" s="34">
        <f>IF(J79="","",IF(D79&lt;&gt;"",IF(COUNTIFS(VC_cle,J79,VC_type,"Visite sur place",VC_date,D79)&gt;0,"Visité",IF(D79&lt;TODAY(),"Non fait","À venir")),IF(B79="","",IF(COUNTIFS(VC_cle,J79,VC_type,"Visite sur place",VC_date,"&gt;="&amp;M79,VC_date,"&lt;"&amp;DATE(YEAR(M79),MONTH(M79)+1,1))&gt;0,"Visité","À visiter"))))</f>
        <v/>
      </c>
    </row>
    <row r="80" ht="18" customHeight="1">
      <c r="A80" s="39" t="n">
        <v>75</v>
      </c>
      <c r="B80" s="49" t="n"/>
      <c r="C80" s="43" t="n"/>
      <c r="D80" s="32" t="n"/>
      <c r="E80" s="36" t="n"/>
      <c r="F80" s="36" t="n"/>
      <c r="G80" s="36" t="n"/>
      <c r="H80" s="33">
        <f>IF(E80="","",Commercial_Id)</f>
        <v/>
      </c>
      <c r="I80" s="39">
        <f>IF(E80="","",IFERROR(VALUE(MID(E80,LEN(E80)-3,3)),""))</f>
        <v/>
      </c>
      <c r="J80" s="33">
        <f>IF(I80="","",H80&amp;"|"&amp;I80)</f>
        <v/>
      </c>
      <c r="K80" s="33">
        <f>IF(I80="","",IF(H80="À RENSEIGNER","GIC",H80)&amp;"-"&amp;TEXT(I80,"000"))</f>
        <v/>
      </c>
      <c r="L80" s="33">
        <f>IF(J80="","",IFERROR(INDEX(Cl_nom,MATCH(J80,Cl_cle,0)),"(client introuvable)"))</f>
        <v/>
      </c>
      <c r="M80" s="46">
        <f>IF(B80="","",DATE(YEAR(B80),MONTH(B80),1))</f>
        <v/>
      </c>
      <c r="N80" s="33">
        <f>IF(J80="","",IFERROR(INDEX(Cl_quartier,MATCH(J80,Cl_cle,0))&amp;"",""))</f>
        <v/>
      </c>
      <c r="O80" s="33">
        <f>IF(J80="","",IFERROR(INDEX(Cl_tel,MATCH(J80,Cl_cle,0))&amp;"",""))</f>
        <v/>
      </c>
      <c r="P80" s="34">
        <f>IF(J80="","",IFERROR(INDEX(Cl_potentiel,MATCH(J80,Cl_cle,0)),""))</f>
        <v/>
      </c>
      <c r="Q80" s="34">
        <f>IF(J80="","",IF(D80&lt;&gt;"",IF(COUNTIFS(VC_cle,J80,VC_type,"Visite sur place",VC_date,D80)&gt;0,"Visité",IF(D80&lt;TODAY(),"Non fait","À venir")),IF(B80="","",IF(COUNTIFS(VC_cle,J80,VC_type,"Visite sur place",VC_date,"&gt;="&amp;M80,VC_date,"&lt;"&amp;DATE(YEAR(M80),MONTH(M80)+1,1))&gt;0,"Visité","À visiter"))))</f>
        <v/>
      </c>
    </row>
    <row r="81" ht="18" customHeight="1">
      <c r="A81" s="39" t="n">
        <v>76</v>
      </c>
      <c r="B81" s="49" t="n"/>
      <c r="C81" s="43" t="n"/>
      <c r="D81" s="32" t="n"/>
      <c r="E81" s="36" t="n"/>
      <c r="F81" s="36" t="n"/>
      <c r="G81" s="36" t="n"/>
      <c r="H81" s="33">
        <f>IF(E81="","",Commercial_Id)</f>
        <v/>
      </c>
      <c r="I81" s="39">
        <f>IF(E81="","",IFERROR(VALUE(MID(E81,LEN(E81)-3,3)),""))</f>
        <v/>
      </c>
      <c r="J81" s="33">
        <f>IF(I81="","",H81&amp;"|"&amp;I81)</f>
        <v/>
      </c>
      <c r="K81" s="33">
        <f>IF(I81="","",IF(H81="À RENSEIGNER","GIC",H81)&amp;"-"&amp;TEXT(I81,"000"))</f>
        <v/>
      </c>
      <c r="L81" s="33">
        <f>IF(J81="","",IFERROR(INDEX(Cl_nom,MATCH(J81,Cl_cle,0)),"(client introuvable)"))</f>
        <v/>
      </c>
      <c r="M81" s="46">
        <f>IF(B81="","",DATE(YEAR(B81),MONTH(B81),1))</f>
        <v/>
      </c>
      <c r="N81" s="33">
        <f>IF(J81="","",IFERROR(INDEX(Cl_quartier,MATCH(J81,Cl_cle,0))&amp;"",""))</f>
        <v/>
      </c>
      <c r="O81" s="33">
        <f>IF(J81="","",IFERROR(INDEX(Cl_tel,MATCH(J81,Cl_cle,0))&amp;"",""))</f>
        <v/>
      </c>
      <c r="P81" s="34">
        <f>IF(J81="","",IFERROR(INDEX(Cl_potentiel,MATCH(J81,Cl_cle,0)),""))</f>
        <v/>
      </c>
      <c r="Q81" s="34">
        <f>IF(J81="","",IF(D81&lt;&gt;"",IF(COUNTIFS(VC_cle,J81,VC_type,"Visite sur place",VC_date,D81)&gt;0,"Visité",IF(D81&lt;TODAY(),"Non fait","À venir")),IF(B81="","",IF(COUNTIFS(VC_cle,J81,VC_type,"Visite sur place",VC_date,"&gt;="&amp;M81,VC_date,"&lt;"&amp;DATE(YEAR(M81),MONTH(M81)+1,1))&gt;0,"Visité","À visiter"))))</f>
        <v/>
      </c>
    </row>
    <row r="82" ht="18" customHeight="1">
      <c r="A82" s="39" t="n">
        <v>77</v>
      </c>
      <c r="B82" s="49" t="n"/>
      <c r="C82" s="43" t="n"/>
      <c r="D82" s="32" t="n"/>
      <c r="E82" s="36" t="n"/>
      <c r="F82" s="36" t="n"/>
      <c r="G82" s="36" t="n"/>
      <c r="H82" s="33">
        <f>IF(E82="","",Commercial_Id)</f>
        <v/>
      </c>
      <c r="I82" s="39">
        <f>IF(E82="","",IFERROR(VALUE(MID(E82,LEN(E82)-3,3)),""))</f>
        <v/>
      </c>
      <c r="J82" s="33">
        <f>IF(I82="","",H82&amp;"|"&amp;I82)</f>
        <v/>
      </c>
      <c r="K82" s="33">
        <f>IF(I82="","",IF(H82="À RENSEIGNER","GIC",H82)&amp;"-"&amp;TEXT(I82,"000"))</f>
        <v/>
      </c>
      <c r="L82" s="33">
        <f>IF(J82="","",IFERROR(INDEX(Cl_nom,MATCH(J82,Cl_cle,0)),"(client introuvable)"))</f>
        <v/>
      </c>
      <c r="M82" s="46">
        <f>IF(B82="","",DATE(YEAR(B82),MONTH(B82),1))</f>
        <v/>
      </c>
      <c r="N82" s="33">
        <f>IF(J82="","",IFERROR(INDEX(Cl_quartier,MATCH(J82,Cl_cle,0))&amp;"",""))</f>
        <v/>
      </c>
      <c r="O82" s="33">
        <f>IF(J82="","",IFERROR(INDEX(Cl_tel,MATCH(J82,Cl_cle,0))&amp;"",""))</f>
        <v/>
      </c>
      <c r="P82" s="34">
        <f>IF(J82="","",IFERROR(INDEX(Cl_potentiel,MATCH(J82,Cl_cle,0)),""))</f>
        <v/>
      </c>
      <c r="Q82" s="34">
        <f>IF(J82="","",IF(D82&lt;&gt;"",IF(COUNTIFS(VC_cle,J82,VC_type,"Visite sur place",VC_date,D82)&gt;0,"Visité",IF(D82&lt;TODAY(),"Non fait","À venir")),IF(B82="","",IF(COUNTIFS(VC_cle,J82,VC_type,"Visite sur place",VC_date,"&gt;="&amp;M82,VC_date,"&lt;"&amp;DATE(YEAR(M82),MONTH(M82)+1,1))&gt;0,"Visité","À visiter"))))</f>
        <v/>
      </c>
    </row>
    <row r="83" ht="18" customHeight="1">
      <c r="A83" s="39" t="n">
        <v>78</v>
      </c>
      <c r="B83" s="49" t="n"/>
      <c r="C83" s="43" t="n"/>
      <c r="D83" s="32" t="n"/>
      <c r="E83" s="36" t="n"/>
      <c r="F83" s="36" t="n"/>
      <c r="G83" s="36" t="n"/>
      <c r="H83" s="33">
        <f>IF(E83="","",Commercial_Id)</f>
        <v/>
      </c>
      <c r="I83" s="39">
        <f>IF(E83="","",IFERROR(VALUE(MID(E83,LEN(E83)-3,3)),""))</f>
        <v/>
      </c>
      <c r="J83" s="33">
        <f>IF(I83="","",H83&amp;"|"&amp;I83)</f>
        <v/>
      </c>
      <c r="K83" s="33">
        <f>IF(I83="","",IF(H83="À RENSEIGNER","GIC",H83)&amp;"-"&amp;TEXT(I83,"000"))</f>
        <v/>
      </c>
      <c r="L83" s="33">
        <f>IF(J83="","",IFERROR(INDEX(Cl_nom,MATCH(J83,Cl_cle,0)),"(client introuvable)"))</f>
        <v/>
      </c>
      <c r="M83" s="46">
        <f>IF(B83="","",DATE(YEAR(B83),MONTH(B83),1))</f>
        <v/>
      </c>
      <c r="N83" s="33">
        <f>IF(J83="","",IFERROR(INDEX(Cl_quartier,MATCH(J83,Cl_cle,0))&amp;"",""))</f>
        <v/>
      </c>
      <c r="O83" s="33">
        <f>IF(J83="","",IFERROR(INDEX(Cl_tel,MATCH(J83,Cl_cle,0))&amp;"",""))</f>
        <v/>
      </c>
      <c r="P83" s="34">
        <f>IF(J83="","",IFERROR(INDEX(Cl_potentiel,MATCH(J83,Cl_cle,0)),""))</f>
        <v/>
      </c>
      <c r="Q83" s="34">
        <f>IF(J83="","",IF(D83&lt;&gt;"",IF(COUNTIFS(VC_cle,J83,VC_type,"Visite sur place",VC_date,D83)&gt;0,"Visité",IF(D83&lt;TODAY(),"Non fait","À venir")),IF(B83="","",IF(COUNTIFS(VC_cle,J83,VC_type,"Visite sur place",VC_date,"&gt;="&amp;M83,VC_date,"&lt;"&amp;DATE(YEAR(M83),MONTH(M83)+1,1))&gt;0,"Visité","À visiter"))))</f>
        <v/>
      </c>
    </row>
    <row r="84" ht="18" customHeight="1">
      <c r="A84" s="39" t="n">
        <v>79</v>
      </c>
      <c r="B84" s="49" t="n"/>
      <c r="C84" s="43" t="n"/>
      <c r="D84" s="32" t="n"/>
      <c r="E84" s="36" t="n"/>
      <c r="F84" s="36" t="n"/>
      <c r="G84" s="36" t="n"/>
      <c r="H84" s="33">
        <f>IF(E84="","",Commercial_Id)</f>
        <v/>
      </c>
      <c r="I84" s="39">
        <f>IF(E84="","",IFERROR(VALUE(MID(E84,LEN(E84)-3,3)),""))</f>
        <v/>
      </c>
      <c r="J84" s="33">
        <f>IF(I84="","",H84&amp;"|"&amp;I84)</f>
        <v/>
      </c>
      <c r="K84" s="33">
        <f>IF(I84="","",IF(H84="À RENSEIGNER","GIC",H84)&amp;"-"&amp;TEXT(I84,"000"))</f>
        <v/>
      </c>
      <c r="L84" s="33">
        <f>IF(J84="","",IFERROR(INDEX(Cl_nom,MATCH(J84,Cl_cle,0)),"(client introuvable)"))</f>
        <v/>
      </c>
      <c r="M84" s="46">
        <f>IF(B84="","",DATE(YEAR(B84),MONTH(B84),1))</f>
        <v/>
      </c>
      <c r="N84" s="33">
        <f>IF(J84="","",IFERROR(INDEX(Cl_quartier,MATCH(J84,Cl_cle,0))&amp;"",""))</f>
        <v/>
      </c>
      <c r="O84" s="33">
        <f>IF(J84="","",IFERROR(INDEX(Cl_tel,MATCH(J84,Cl_cle,0))&amp;"",""))</f>
        <v/>
      </c>
      <c r="P84" s="34">
        <f>IF(J84="","",IFERROR(INDEX(Cl_potentiel,MATCH(J84,Cl_cle,0)),""))</f>
        <v/>
      </c>
      <c r="Q84" s="34">
        <f>IF(J84="","",IF(D84&lt;&gt;"",IF(COUNTIFS(VC_cle,J84,VC_type,"Visite sur place",VC_date,D84)&gt;0,"Visité",IF(D84&lt;TODAY(),"Non fait","À venir")),IF(B84="","",IF(COUNTIFS(VC_cle,J84,VC_type,"Visite sur place",VC_date,"&gt;="&amp;M84,VC_date,"&lt;"&amp;DATE(YEAR(M84),MONTH(M84)+1,1))&gt;0,"Visité","À visiter"))))</f>
        <v/>
      </c>
    </row>
    <row r="85" ht="18" customHeight="1">
      <c r="A85" s="39" t="n">
        <v>80</v>
      </c>
      <c r="B85" s="49" t="n"/>
      <c r="C85" s="43" t="n"/>
      <c r="D85" s="32" t="n"/>
      <c r="E85" s="36" t="n"/>
      <c r="F85" s="36" t="n"/>
      <c r="G85" s="36" t="n"/>
      <c r="H85" s="33">
        <f>IF(E85="","",Commercial_Id)</f>
        <v/>
      </c>
      <c r="I85" s="39">
        <f>IF(E85="","",IFERROR(VALUE(MID(E85,LEN(E85)-3,3)),""))</f>
        <v/>
      </c>
      <c r="J85" s="33">
        <f>IF(I85="","",H85&amp;"|"&amp;I85)</f>
        <v/>
      </c>
      <c r="K85" s="33">
        <f>IF(I85="","",IF(H85="À RENSEIGNER","GIC",H85)&amp;"-"&amp;TEXT(I85,"000"))</f>
        <v/>
      </c>
      <c r="L85" s="33">
        <f>IF(J85="","",IFERROR(INDEX(Cl_nom,MATCH(J85,Cl_cle,0)),"(client introuvable)"))</f>
        <v/>
      </c>
      <c r="M85" s="46">
        <f>IF(B85="","",DATE(YEAR(B85),MONTH(B85),1))</f>
        <v/>
      </c>
      <c r="N85" s="33">
        <f>IF(J85="","",IFERROR(INDEX(Cl_quartier,MATCH(J85,Cl_cle,0))&amp;"",""))</f>
        <v/>
      </c>
      <c r="O85" s="33">
        <f>IF(J85="","",IFERROR(INDEX(Cl_tel,MATCH(J85,Cl_cle,0))&amp;"",""))</f>
        <v/>
      </c>
      <c r="P85" s="34">
        <f>IF(J85="","",IFERROR(INDEX(Cl_potentiel,MATCH(J85,Cl_cle,0)),""))</f>
        <v/>
      </c>
      <c r="Q85" s="34">
        <f>IF(J85="","",IF(D85&lt;&gt;"",IF(COUNTIFS(VC_cle,J85,VC_type,"Visite sur place",VC_date,D85)&gt;0,"Visité",IF(D85&lt;TODAY(),"Non fait","À venir")),IF(B85="","",IF(COUNTIFS(VC_cle,J85,VC_type,"Visite sur place",VC_date,"&gt;="&amp;M85,VC_date,"&lt;"&amp;DATE(YEAR(M85),MONTH(M85)+1,1))&gt;0,"Visité","À visiter"))))</f>
        <v/>
      </c>
    </row>
    <row r="86" ht="18" customHeight="1">
      <c r="A86" s="39" t="n">
        <v>81</v>
      </c>
      <c r="B86" s="49" t="n"/>
      <c r="C86" s="43" t="n"/>
      <c r="D86" s="32" t="n"/>
      <c r="E86" s="36" t="n"/>
      <c r="F86" s="36" t="n"/>
      <c r="G86" s="36" t="n"/>
      <c r="H86" s="33">
        <f>IF(E86="","",Commercial_Id)</f>
        <v/>
      </c>
      <c r="I86" s="39">
        <f>IF(E86="","",IFERROR(VALUE(MID(E86,LEN(E86)-3,3)),""))</f>
        <v/>
      </c>
      <c r="J86" s="33">
        <f>IF(I86="","",H86&amp;"|"&amp;I86)</f>
        <v/>
      </c>
      <c r="K86" s="33">
        <f>IF(I86="","",IF(H86="À RENSEIGNER","GIC",H86)&amp;"-"&amp;TEXT(I86,"000"))</f>
        <v/>
      </c>
      <c r="L86" s="33">
        <f>IF(J86="","",IFERROR(INDEX(Cl_nom,MATCH(J86,Cl_cle,0)),"(client introuvable)"))</f>
        <v/>
      </c>
      <c r="M86" s="46">
        <f>IF(B86="","",DATE(YEAR(B86),MONTH(B86),1))</f>
        <v/>
      </c>
      <c r="N86" s="33">
        <f>IF(J86="","",IFERROR(INDEX(Cl_quartier,MATCH(J86,Cl_cle,0))&amp;"",""))</f>
        <v/>
      </c>
      <c r="O86" s="33">
        <f>IF(J86="","",IFERROR(INDEX(Cl_tel,MATCH(J86,Cl_cle,0))&amp;"",""))</f>
        <v/>
      </c>
      <c r="P86" s="34">
        <f>IF(J86="","",IFERROR(INDEX(Cl_potentiel,MATCH(J86,Cl_cle,0)),""))</f>
        <v/>
      </c>
      <c r="Q86" s="34">
        <f>IF(J86="","",IF(D86&lt;&gt;"",IF(COUNTIFS(VC_cle,J86,VC_type,"Visite sur place",VC_date,D86)&gt;0,"Visité",IF(D86&lt;TODAY(),"Non fait","À venir")),IF(B86="","",IF(COUNTIFS(VC_cle,J86,VC_type,"Visite sur place",VC_date,"&gt;="&amp;M86,VC_date,"&lt;"&amp;DATE(YEAR(M86),MONTH(M86)+1,1))&gt;0,"Visité","À visiter"))))</f>
        <v/>
      </c>
    </row>
    <row r="87" ht="18" customHeight="1">
      <c r="A87" s="39" t="n">
        <v>82</v>
      </c>
      <c r="B87" s="49" t="n"/>
      <c r="C87" s="43" t="n"/>
      <c r="D87" s="32" t="n"/>
      <c r="E87" s="36" t="n"/>
      <c r="F87" s="36" t="n"/>
      <c r="G87" s="36" t="n"/>
      <c r="H87" s="33">
        <f>IF(E87="","",Commercial_Id)</f>
        <v/>
      </c>
      <c r="I87" s="39">
        <f>IF(E87="","",IFERROR(VALUE(MID(E87,LEN(E87)-3,3)),""))</f>
        <v/>
      </c>
      <c r="J87" s="33">
        <f>IF(I87="","",H87&amp;"|"&amp;I87)</f>
        <v/>
      </c>
      <c r="K87" s="33">
        <f>IF(I87="","",IF(H87="À RENSEIGNER","GIC",H87)&amp;"-"&amp;TEXT(I87,"000"))</f>
        <v/>
      </c>
      <c r="L87" s="33">
        <f>IF(J87="","",IFERROR(INDEX(Cl_nom,MATCH(J87,Cl_cle,0)),"(client introuvable)"))</f>
        <v/>
      </c>
      <c r="M87" s="46">
        <f>IF(B87="","",DATE(YEAR(B87),MONTH(B87),1))</f>
        <v/>
      </c>
      <c r="N87" s="33">
        <f>IF(J87="","",IFERROR(INDEX(Cl_quartier,MATCH(J87,Cl_cle,0))&amp;"",""))</f>
        <v/>
      </c>
      <c r="O87" s="33">
        <f>IF(J87="","",IFERROR(INDEX(Cl_tel,MATCH(J87,Cl_cle,0))&amp;"",""))</f>
        <v/>
      </c>
      <c r="P87" s="34">
        <f>IF(J87="","",IFERROR(INDEX(Cl_potentiel,MATCH(J87,Cl_cle,0)),""))</f>
        <v/>
      </c>
      <c r="Q87" s="34">
        <f>IF(J87="","",IF(D87&lt;&gt;"",IF(COUNTIFS(VC_cle,J87,VC_type,"Visite sur place",VC_date,D87)&gt;0,"Visité",IF(D87&lt;TODAY(),"Non fait","À venir")),IF(B87="","",IF(COUNTIFS(VC_cle,J87,VC_type,"Visite sur place",VC_date,"&gt;="&amp;M87,VC_date,"&lt;"&amp;DATE(YEAR(M87),MONTH(M87)+1,1))&gt;0,"Visité","À visiter"))))</f>
        <v/>
      </c>
    </row>
    <row r="88" ht="18" customHeight="1">
      <c r="A88" s="39" t="n">
        <v>83</v>
      </c>
      <c r="B88" s="49" t="n"/>
      <c r="C88" s="43" t="n"/>
      <c r="D88" s="32" t="n"/>
      <c r="E88" s="36" t="n"/>
      <c r="F88" s="36" t="n"/>
      <c r="G88" s="36" t="n"/>
      <c r="H88" s="33">
        <f>IF(E88="","",Commercial_Id)</f>
        <v/>
      </c>
      <c r="I88" s="39">
        <f>IF(E88="","",IFERROR(VALUE(MID(E88,LEN(E88)-3,3)),""))</f>
        <v/>
      </c>
      <c r="J88" s="33">
        <f>IF(I88="","",H88&amp;"|"&amp;I88)</f>
        <v/>
      </c>
      <c r="K88" s="33">
        <f>IF(I88="","",IF(H88="À RENSEIGNER","GIC",H88)&amp;"-"&amp;TEXT(I88,"000"))</f>
        <v/>
      </c>
      <c r="L88" s="33">
        <f>IF(J88="","",IFERROR(INDEX(Cl_nom,MATCH(J88,Cl_cle,0)),"(client introuvable)"))</f>
        <v/>
      </c>
      <c r="M88" s="46">
        <f>IF(B88="","",DATE(YEAR(B88),MONTH(B88),1))</f>
        <v/>
      </c>
      <c r="N88" s="33">
        <f>IF(J88="","",IFERROR(INDEX(Cl_quartier,MATCH(J88,Cl_cle,0))&amp;"",""))</f>
        <v/>
      </c>
      <c r="O88" s="33">
        <f>IF(J88="","",IFERROR(INDEX(Cl_tel,MATCH(J88,Cl_cle,0))&amp;"",""))</f>
        <v/>
      </c>
      <c r="P88" s="34">
        <f>IF(J88="","",IFERROR(INDEX(Cl_potentiel,MATCH(J88,Cl_cle,0)),""))</f>
        <v/>
      </c>
      <c r="Q88" s="34">
        <f>IF(J88="","",IF(D88&lt;&gt;"",IF(COUNTIFS(VC_cle,J88,VC_type,"Visite sur place",VC_date,D88)&gt;0,"Visité",IF(D88&lt;TODAY(),"Non fait","À venir")),IF(B88="","",IF(COUNTIFS(VC_cle,J88,VC_type,"Visite sur place",VC_date,"&gt;="&amp;M88,VC_date,"&lt;"&amp;DATE(YEAR(M88),MONTH(M88)+1,1))&gt;0,"Visité","À visiter"))))</f>
        <v/>
      </c>
    </row>
    <row r="89" ht="18" customHeight="1">
      <c r="A89" s="39" t="n">
        <v>84</v>
      </c>
      <c r="B89" s="49" t="n"/>
      <c r="C89" s="43" t="n"/>
      <c r="D89" s="32" t="n"/>
      <c r="E89" s="36" t="n"/>
      <c r="F89" s="36" t="n"/>
      <c r="G89" s="36" t="n"/>
      <c r="H89" s="33">
        <f>IF(E89="","",Commercial_Id)</f>
        <v/>
      </c>
      <c r="I89" s="39">
        <f>IF(E89="","",IFERROR(VALUE(MID(E89,LEN(E89)-3,3)),""))</f>
        <v/>
      </c>
      <c r="J89" s="33">
        <f>IF(I89="","",H89&amp;"|"&amp;I89)</f>
        <v/>
      </c>
      <c r="K89" s="33">
        <f>IF(I89="","",IF(H89="À RENSEIGNER","GIC",H89)&amp;"-"&amp;TEXT(I89,"000"))</f>
        <v/>
      </c>
      <c r="L89" s="33">
        <f>IF(J89="","",IFERROR(INDEX(Cl_nom,MATCH(J89,Cl_cle,0)),"(client introuvable)"))</f>
        <v/>
      </c>
      <c r="M89" s="46">
        <f>IF(B89="","",DATE(YEAR(B89),MONTH(B89),1))</f>
        <v/>
      </c>
      <c r="N89" s="33">
        <f>IF(J89="","",IFERROR(INDEX(Cl_quartier,MATCH(J89,Cl_cle,0))&amp;"",""))</f>
        <v/>
      </c>
      <c r="O89" s="33">
        <f>IF(J89="","",IFERROR(INDEX(Cl_tel,MATCH(J89,Cl_cle,0))&amp;"",""))</f>
        <v/>
      </c>
      <c r="P89" s="34">
        <f>IF(J89="","",IFERROR(INDEX(Cl_potentiel,MATCH(J89,Cl_cle,0)),""))</f>
        <v/>
      </c>
      <c r="Q89" s="34">
        <f>IF(J89="","",IF(D89&lt;&gt;"",IF(COUNTIFS(VC_cle,J89,VC_type,"Visite sur place",VC_date,D89)&gt;0,"Visité",IF(D89&lt;TODAY(),"Non fait","À venir")),IF(B89="","",IF(COUNTIFS(VC_cle,J89,VC_type,"Visite sur place",VC_date,"&gt;="&amp;M89,VC_date,"&lt;"&amp;DATE(YEAR(M89),MONTH(M89)+1,1))&gt;0,"Visité","À visiter"))))</f>
        <v/>
      </c>
    </row>
    <row r="90" ht="18" customHeight="1">
      <c r="A90" s="39" t="n">
        <v>85</v>
      </c>
      <c r="B90" s="49" t="n"/>
      <c r="C90" s="43" t="n"/>
      <c r="D90" s="32" t="n"/>
      <c r="E90" s="36" t="n"/>
      <c r="F90" s="36" t="n"/>
      <c r="G90" s="36" t="n"/>
      <c r="H90" s="33">
        <f>IF(E90="","",Commercial_Id)</f>
        <v/>
      </c>
      <c r="I90" s="39">
        <f>IF(E90="","",IFERROR(VALUE(MID(E90,LEN(E90)-3,3)),""))</f>
        <v/>
      </c>
      <c r="J90" s="33">
        <f>IF(I90="","",H90&amp;"|"&amp;I90)</f>
        <v/>
      </c>
      <c r="K90" s="33">
        <f>IF(I90="","",IF(H90="À RENSEIGNER","GIC",H90)&amp;"-"&amp;TEXT(I90,"000"))</f>
        <v/>
      </c>
      <c r="L90" s="33">
        <f>IF(J90="","",IFERROR(INDEX(Cl_nom,MATCH(J90,Cl_cle,0)),"(client introuvable)"))</f>
        <v/>
      </c>
      <c r="M90" s="46">
        <f>IF(B90="","",DATE(YEAR(B90),MONTH(B90),1))</f>
        <v/>
      </c>
      <c r="N90" s="33">
        <f>IF(J90="","",IFERROR(INDEX(Cl_quartier,MATCH(J90,Cl_cle,0))&amp;"",""))</f>
        <v/>
      </c>
      <c r="O90" s="33">
        <f>IF(J90="","",IFERROR(INDEX(Cl_tel,MATCH(J90,Cl_cle,0))&amp;"",""))</f>
        <v/>
      </c>
      <c r="P90" s="34">
        <f>IF(J90="","",IFERROR(INDEX(Cl_potentiel,MATCH(J90,Cl_cle,0)),""))</f>
        <v/>
      </c>
      <c r="Q90" s="34">
        <f>IF(J90="","",IF(D90&lt;&gt;"",IF(COUNTIFS(VC_cle,J90,VC_type,"Visite sur place",VC_date,D90)&gt;0,"Visité",IF(D90&lt;TODAY(),"Non fait","À venir")),IF(B90="","",IF(COUNTIFS(VC_cle,J90,VC_type,"Visite sur place",VC_date,"&gt;="&amp;M90,VC_date,"&lt;"&amp;DATE(YEAR(M90),MONTH(M90)+1,1))&gt;0,"Visité","À visiter"))))</f>
        <v/>
      </c>
    </row>
    <row r="91" ht="18" customHeight="1">
      <c r="A91" s="39" t="n">
        <v>86</v>
      </c>
      <c r="B91" s="49" t="n"/>
      <c r="C91" s="43" t="n"/>
      <c r="D91" s="32" t="n"/>
      <c r="E91" s="36" t="n"/>
      <c r="F91" s="36" t="n"/>
      <c r="G91" s="36" t="n"/>
      <c r="H91" s="33">
        <f>IF(E91="","",Commercial_Id)</f>
        <v/>
      </c>
      <c r="I91" s="39">
        <f>IF(E91="","",IFERROR(VALUE(MID(E91,LEN(E91)-3,3)),""))</f>
        <v/>
      </c>
      <c r="J91" s="33">
        <f>IF(I91="","",H91&amp;"|"&amp;I91)</f>
        <v/>
      </c>
      <c r="K91" s="33">
        <f>IF(I91="","",IF(H91="À RENSEIGNER","GIC",H91)&amp;"-"&amp;TEXT(I91,"000"))</f>
        <v/>
      </c>
      <c r="L91" s="33">
        <f>IF(J91="","",IFERROR(INDEX(Cl_nom,MATCH(J91,Cl_cle,0)),"(client introuvable)"))</f>
        <v/>
      </c>
      <c r="M91" s="46">
        <f>IF(B91="","",DATE(YEAR(B91),MONTH(B91),1))</f>
        <v/>
      </c>
      <c r="N91" s="33">
        <f>IF(J91="","",IFERROR(INDEX(Cl_quartier,MATCH(J91,Cl_cle,0))&amp;"",""))</f>
        <v/>
      </c>
      <c r="O91" s="33">
        <f>IF(J91="","",IFERROR(INDEX(Cl_tel,MATCH(J91,Cl_cle,0))&amp;"",""))</f>
        <v/>
      </c>
      <c r="P91" s="34">
        <f>IF(J91="","",IFERROR(INDEX(Cl_potentiel,MATCH(J91,Cl_cle,0)),""))</f>
        <v/>
      </c>
      <c r="Q91" s="34">
        <f>IF(J91="","",IF(D91&lt;&gt;"",IF(COUNTIFS(VC_cle,J91,VC_type,"Visite sur place",VC_date,D91)&gt;0,"Visité",IF(D91&lt;TODAY(),"Non fait","À venir")),IF(B91="","",IF(COUNTIFS(VC_cle,J91,VC_type,"Visite sur place",VC_date,"&gt;="&amp;M91,VC_date,"&lt;"&amp;DATE(YEAR(M91),MONTH(M91)+1,1))&gt;0,"Visité","À visiter"))))</f>
        <v/>
      </c>
    </row>
    <row r="92" ht="18" customHeight="1">
      <c r="A92" s="39" t="n">
        <v>87</v>
      </c>
      <c r="B92" s="49" t="n"/>
      <c r="C92" s="43" t="n"/>
      <c r="D92" s="32" t="n"/>
      <c r="E92" s="36" t="n"/>
      <c r="F92" s="36" t="n"/>
      <c r="G92" s="36" t="n"/>
      <c r="H92" s="33">
        <f>IF(E92="","",Commercial_Id)</f>
        <v/>
      </c>
      <c r="I92" s="39">
        <f>IF(E92="","",IFERROR(VALUE(MID(E92,LEN(E92)-3,3)),""))</f>
        <v/>
      </c>
      <c r="J92" s="33">
        <f>IF(I92="","",H92&amp;"|"&amp;I92)</f>
        <v/>
      </c>
      <c r="K92" s="33">
        <f>IF(I92="","",IF(H92="À RENSEIGNER","GIC",H92)&amp;"-"&amp;TEXT(I92,"000"))</f>
        <v/>
      </c>
      <c r="L92" s="33">
        <f>IF(J92="","",IFERROR(INDEX(Cl_nom,MATCH(J92,Cl_cle,0)),"(client introuvable)"))</f>
        <v/>
      </c>
      <c r="M92" s="46">
        <f>IF(B92="","",DATE(YEAR(B92),MONTH(B92),1))</f>
        <v/>
      </c>
      <c r="N92" s="33">
        <f>IF(J92="","",IFERROR(INDEX(Cl_quartier,MATCH(J92,Cl_cle,0))&amp;"",""))</f>
        <v/>
      </c>
      <c r="O92" s="33">
        <f>IF(J92="","",IFERROR(INDEX(Cl_tel,MATCH(J92,Cl_cle,0))&amp;"",""))</f>
        <v/>
      </c>
      <c r="P92" s="34">
        <f>IF(J92="","",IFERROR(INDEX(Cl_potentiel,MATCH(J92,Cl_cle,0)),""))</f>
        <v/>
      </c>
      <c r="Q92" s="34">
        <f>IF(J92="","",IF(D92&lt;&gt;"",IF(COUNTIFS(VC_cle,J92,VC_type,"Visite sur place",VC_date,D92)&gt;0,"Visité",IF(D92&lt;TODAY(),"Non fait","À venir")),IF(B92="","",IF(COUNTIFS(VC_cle,J92,VC_type,"Visite sur place",VC_date,"&gt;="&amp;M92,VC_date,"&lt;"&amp;DATE(YEAR(M92),MONTH(M92)+1,1))&gt;0,"Visité","À visiter"))))</f>
        <v/>
      </c>
    </row>
    <row r="93" ht="18" customHeight="1">
      <c r="A93" s="39" t="n">
        <v>88</v>
      </c>
      <c r="B93" s="49" t="n"/>
      <c r="C93" s="43" t="n"/>
      <c r="D93" s="32" t="n"/>
      <c r="E93" s="36" t="n"/>
      <c r="F93" s="36" t="n"/>
      <c r="G93" s="36" t="n"/>
      <c r="H93" s="33">
        <f>IF(E93="","",Commercial_Id)</f>
        <v/>
      </c>
      <c r="I93" s="39">
        <f>IF(E93="","",IFERROR(VALUE(MID(E93,LEN(E93)-3,3)),""))</f>
        <v/>
      </c>
      <c r="J93" s="33">
        <f>IF(I93="","",H93&amp;"|"&amp;I93)</f>
        <v/>
      </c>
      <c r="K93" s="33">
        <f>IF(I93="","",IF(H93="À RENSEIGNER","GIC",H93)&amp;"-"&amp;TEXT(I93,"000"))</f>
        <v/>
      </c>
      <c r="L93" s="33">
        <f>IF(J93="","",IFERROR(INDEX(Cl_nom,MATCH(J93,Cl_cle,0)),"(client introuvable)"))</f>
        <v/>
      </c>
      <c r="M93" s="46">
        <f>IF(B93="","",DATE(YEAR(B93),MONTH(B93),1))</f>
        <v/>
      </c>
      <c r="N93" s="33">
        <f>IF(J93="","",IFERROR(INDEX(Cl_quartier,MATCH(J93,Cl_cle,0))&amp;"",""))</f>
        <v/>
      </c>
      <c r="O93" s="33">
        <f>IF(J93="","",IFERROR(INDEX(Cl_tel,MATCH(J93,Cl_cle,0))&amp;"",""))</f>
        <v/>
      </c>
      <c r="P93" s="34">
        <f>IF(J93="","",IFERROR(INDEX(Cl_potentiel,MATCH(J93,Cl_cle,0)),""))</f>
        <v/>
      </c>
      <c r="Q93" s="34">
        <f>IF(J93="","",IF(D93&lt;&gt;"",IF(COUNTIFS(VC_cle,J93,VC_type,"Visite sur place",VC_date,D93)&gt;0,"Visité",IF(D93&lt;TODAY(),"Non fait","À venir")),IF(B93="","",IF(COUNTIFS(VC_cle,J93,VC_type,"Visite sur place",VC_date,"&gt;="&amp;M93,VC_date,"&lt;"&amp;DATE(YEAR(M93),MONTH(M93)+1,1))&gt;0,"Visité","À visiter"))))</f>
        <v/>
      </c>
    </row>
    <row r="94" ht="18" customHeight="1">
      <c r="A94" s="39" t="n">
        <v>89</v>
      </c>
      <c r="B94" s="49" t="n"/>
      <c r="C94" s="43" t="n"/>
      <c r="D94" s="32" t="n"/>
      <c r="E94" s="36" t="n"/>
      <c r="F94" s="36" t="n"/>
      <c r="G94" s="36" t="n"/>
      <c r="H94" s="33">
        <f>IF(E94="","",Commercial_Id)</f>
        <v/>
      </c>
      <c r="I94" s="39">
        <f>IF(E94="","",IFERROR(VALUE(MID(E94,LEN(E94)-3,3)),""))</f>
        <v/>
      </c>
      <c r="J94" s="33">
        <f>IF(I94="","",H94&amp;"|"&amp;I94)</f>
        <v/>
      </c>
      <c r="K94" s="33">
        <f>IF(I94="","",IF(H94="À RENSEIGNER","GIC",H94)&amp;"-"&amp;TEXT(I94,"000"))</f>
        <v/>
      </c>
      <c r="L94" s="33">
        <f>IF(J94="","",IFERROR(INDEX(Cl_nom,MATCH(J94,Cl_cle,0)),"(client introuvable)"))</f>
        <v/>
      </c>
      <c r="M94" s="46">
        <f>IF(B94="","",DATE(YEAR(B94),MONTH(B94),1))</f>
        <v/>
      </c>
      <c r="N94" s="33">
        <f>IF(J94="","",IFERROR(INDEX(Cl_quartier,MATCH(J94,Cl_cle,0))&amp;"",""))</f>
        <v/>
      </c>
      <c r="O94" s="33">
        <f>IF(J94="","",IFERROR(INDEX(Cl_tel,MATCH(J94,Cl_cle,0))&amp;"",""))</f>
        <v/>
      </c>
      <c r="P94" s="34">
        <f>IF(J94="","",IFERROR(INDEX(Cl_potentiel,MATCH(J94,Cl_cle,0)),""))</f>
        <v/>
      </c>
      <c r="Q94" s="34">
        <f>IF(J94="","",IF(D94&lt;&gt;"",IF(COUNTIFS(VC_cle,J94,VC_type,"Visite sur place",VC_date,D94)&gt;0,"Visité",IF(D94&lt;TODAY(),"Non fait","À venir")),IF(B94="","",IF(COUNTIFS(VC_cle,J94,VC_type,"Visite sur place",VC_date,"&gt;="&amp;M94,VC_date,"&lt;"&amp;DATE(YEAR(M94),MONTH(M94)+1,1))&gt;0,"Visité","À visiter"))))</f>
        <v/>
      </c>
    </row>
    <row r="95" ht="18" customHeight="1">
      <c r="A95" s="39" t="n">
        <v>90</v>
      </c>
      <c r="B95" s="49" t="n"/>
      <c r="C95" s="43" t="n"/>
      <c r="D95" s="32" t="n"/>
      <c r="E95" s="36" t="n"/>
      <c r="F95" s="36" t="n"/>
      <c r="G95" s="36" t="n"/>
      <c r="H95" s="33">
        <f>IF(E95="","",Commercial_Id)</f>
        <v/>
      </c>
      <c r="I95" s="39">
        <f>IF(E95="","",IFERROR(VALUE(MID(E95,LEN(E95)-3,3)),""))</f>
        <v/>
      </c>
      <c r="J95" s="33">
        <f>IF(I95="","",H95&amp;"|"&amp;I95)</f>
        <v/>
      </c>
      <c r="K95" s="33">
        <f>IF(I95="","",IF(H95="À RENSEIGNER","GIC",H95)&amp;"-"&amp;TEXT(I95,"000"))</f>
        <v/>
      </c>
      <c r="L95" s="33">
        <f>IF(J95="","",IFERROR(INDEX(Cl_nom,MATCH(J95,Cl_cle,0)),"(client introuvable)"))</f>
        <v/>
      </c>
      <c r="M95" s="46">
        <f>IF(B95="","",DATE(YEAR(B95),MONTH(B95),1))</f>
        <v/>
      </c>
      <c r="N95" s="33">
        <f>IF(J95="","",IFERROR(INDEX(Cl_quartier,MATCH(J95,Cl_cle,0))&amp;"",""))</f>
        <v/>
      </c>
      <c r="O95" s="33">
        <f>IF(J95="","",IFERROR(INDEX(Cl_tel,MATCH(J95,Cl_cle,0))&amp;"",""))</f>
        <v/>
      </c>
      <c r="P95" s="34">
        <f>IF(J95="","",IFERROR(INDEX(Cl_potentiel,MATCH(J95,Cl_cle,0)),""))</f>
        <v/>
      </c>
      <c r="Q95" s="34">
        <f>IF(J95="","",IF(D95&lt;&gt;"",IF(COUNTIFS(VC_cle,J95,VC_type,"Visite sur place",VC_date,D95)&gt;0,"Visité",IF(D95&lt;TODAY(),"Non fait","À venir")),IF(B95="","",IF(COUNTIFS(VC_cle,J95,VC_type,"Visite sur place",VC_date,"&gt;="&amp;M95,VC_date,"&lt;"&amp;DATE(YEAR(M95),MONTH(M95)+1,1))&gt;0,"Visité","À visiter"))))</f>
        <v/>
      </c>
    </row>
    <row r="96" ht="18" customHeight="1">
      <c r="A96" s="39" t="n">
        <v>91</v>
      </c>
      <c r="B96" s="49" t="n"/>
      <c r="C96" s="43" t="n"/>
      <c r="D96" s="32" t="n"/>
      <c r="E96" s="36" t="n"/>
      <c r="F96" s="36" t="n"/>
      <c r="G96" s="36" t="n"/>
      <c r="H96" s="33">
        <f>IF(E96="","",Commercial_Id)</f>
        <v/>
      </c>
      <c r="I96" s="39">
        <f>IF(E96="","",IFERROR(VALUE(MID(E96,LEN(E96)-3,3)),""))</f>
        <v/>
      </c>
      <c r="J96" s="33">
        <f>IF(I96="","",H96&amp;"|"&amp;I96)</f>
        <v/>
      </c>
      <c r="K96" s="33">
        <f>IF(I96="","",IF(H96="À RENSEIGNER","GIC",H96)&amp;"-"&amp;TEXT(I96,"000"))</f>
        <v/>
      </c>
      <c r="L96" s="33">
        <f>IF(J96="","",IFERROR(INDEX(Cl_nom,MATCH(J96,Cl_cle,0)),"(client introuvable)"))</f>
        <v/>
      </c>
      <c r="M96" s="46">
        <f>IF(B96="","",DATE(YEAR(B96),MONTH(B96),1))</f>
        <v/>
      </c>
      <c r="N96" s="33">
        <f>IF(J96="","",IFERROR(INDEX(Cl_quartier,MATCH(J96,Cl_cle,0))&amp;"",""))</f>
        <v/>
      </c>
      <c r="O96" s="33">
        <f>IF(J96="","",IFERROR(INDEX(Cl_tel,MATCH(J96,Cl_cle,0))&amp;"",""))</f>
        <v/>
      </c>
      <c r="P96" s="34">
        <f>IF(J96="","",IFERROR(INDEX(Cl_potentiel,MATCH(J96,Cl_cle,0)),""))</f>
        <v/>
      </c>
      <c r="Q96" s="34">
        <f>IF(J96="","",IF(D96&lt;&gt;"",IF(COUNTIFS(VC_cle,J96,VC_type,"Visite sur place",VC_date,D96)&gt;0,"Visité",IF(D96&lt;TODAY(),"Non fait","À venir")),IF(B96="","",IF(COUNTIFS(VC_cle,J96,VC_type,"Visite sur place",VC_date,"&gt;="&amp;M96,VC_date,"&lt;"&amp;DATE(YEAR(M96),MONTH(M96)+1,1))&gt;0,"Visité","À visiter"))))</f>
        <v/>
      </c>
    </row>
    <row r="97" ht="18" customHeight="1">
      <c r="A97" s="39" t="n">
        <v>92</v>
      </c>
      <c r="B97" s="49" t="n"/>
      <c r="C97" s="43" t="n"/>
      <c r="D97" s="32" t="n"/>
      <c r="E97" s="36" t="n"/>
      <c r="F97" s="36" t="n"/>
      <c r="G97" s="36" t="n"/>
      <c r="H97" s="33">
        <f>IF(E97="","",Commercial_Id)</f>
        <v/>
      </c>
      <c r="I97" s="39">
        <f>IF(E97="","",IFERROR(VALUE(MID(E97,LEN(E97)-3,3)),""))</f>
        <v/>
      </c>
      <c r="J97" s="33">
        <f>IF(I97="","",H97&amp;"|"&amp;I97)</f>
        <v/>
      </c>
      <c r="K97" s="33">
        <f>IF(I97="","",IF(H97="À RENSEIGNER","GIC",H97)&amp;"-"&amp;TEXT(I97,"000"))</f>
        <v/>
      </c>
      <c r="L97" s="33">
        <f>IF(J97="","",IFERROR(INDEX(Cl_nom,MATCH(J97,Cl_cle,0)),"(client introuvable)"))</f>
        <v/>
      </c>
      <c r="M97" s="46">
        <f>IF(B97="","",DATE(YEAR(B97),MONTH(B97),1))</f>
        <v/>
      </c>
      <c r="N97" s="33">
        <f>IF(J97="","",IFERROR(INDEX(Cl_quartier,MATCH(J97,Cl_cle,0))&amp;"",""))</f>
        <v/>
      </c>
      <c r="O97" s="33">
        <f>IF(J97="","",IFERROR(INDEX(Cl_tel,MATCH(J97,Cl_cle,0))&amp;"",""))</f>
        <v/>
      </c>
      <c r="P97" s="34">
        <f>IF(J97="","",IFERROR(INDEX(Cl_potentiel,MATCH(J97,Cl_cle,0)),""))</f>
        <v/>
      </c>
      <c r="Q97" s="34">
        <f>IF(J97="","",IF(D97&lt;&gt;"",IF(COUNTIFS(VC_cle,J97,VC_type,"Visite sur place",VC_date,D97)&gt;0,"Visité",IF(D97&lt;TODAY(),"Non fait","À venir")),IF(B97="","",IF(COUNTIFS(VC_cle,J97,VC_type,"Visite sur place",VC_date,"&gt;="&amp;M97,VC_date,"&lt;"&amp;DATE(YEAR(M97),MONTH(M97)+1,1))&gt;0,"Visité","À visiter"))))</f>
        <v/>
      </c>
    </row>
    <row r="98" ht="18" customHeight="1">
      <c r="A98" s="39" t="n">
        <v>93</v>
      </c>
      <c r="B98" s="49" t="n"/>
      <c r="C98" s="43" t="n"/>
      <c r="D98" s="32" t="n"/>
      <c r="E98" s="36" t="n"/>
      <c r="F98" s="36" t="n"/>
      <c r="G98" s="36" t="n"/>
      <c r="H98" s="33">
        <f>IF(E98="","",Commercial_Id)</f>
        <v/>
      </c>
      <c r="I98" s="39">
        <f>IF(E98="","",IFERROR(VALUE(MID(E98,LEN(E98)-3,3)),""))</f>
        <v/>
      </c>
      <c r="J98" s="33">
        <f>IF(I98="","",H98&amp;"|"&amp;I98)</f>
        <v/>
      </c>
      <c r="K98" s="33">
        <f>IF(I98="","",IF(H98="À RENSEIGNER","GIC",H98)&amp;"-"&amp;TEXT(I98,"000"))</f>
        <v/>
      </c>
      <c r="L98" s="33">
        <f>IF(J98="","",IFERROR(INDEX(Cl_nom,MATCH(J98,Cl_cle,0)),"(client introuvable)"))</f>
        <v/>
      </c>
      <c r="M98" s="46">
        <f>IF(B98="","",DATE(YEAR(B98),MONTH(B98),1))</f>
        <v/>
      </c>
      <c r="N98" s="33">
        <f>IF(J98="","",IFERROR(INDEX(Cl_quartier,MATCH(J98,Cl_cle,0))&amp;"",""))</f>
        <v/>
      </c>
      <c r="O98" s="33">
        <f>IF(J98="","",IFERROR(INDEX(Cl_tel,MATCH(J98,Cl_cle,0))&amp;"",""))</f>
        <v/>
      </c>
      <c r="P98" s="34">
        <f>IF(J98="","",IFERROR(INDEX(Cl_potentiel,MATCH(J98,Cl_cle,0)),""))</f>
        <v/>
      </c>
      <c r="Q98" s="34">
        <f>IF(J98="","",IF(D98&lt;&gt;"",IF(COUNTIFS(VC_cle,J98,VC_type,"Visite sur place",VC_date,D98)&gt;0,"Visité",IF(D98&lt;TODAY(),"Non fait","À venir")),IF(B98="","",IF(COUNTIFS(VC_cle,J98,VC_type,"Visite sur place",VC_date,"&gt;="&amp;M98,VC_date,"&lt;"&amp;DATE(YEAR(M98),MONTH(M98)+1,1))&gt;0,"Visité","À visiter"))))</f>
        <v/>
      </c>
    </row>
    <row r="99" ht="18" customHeight="1">
      <c r="A99" s="39" t="n">
        <v>94</v>
      </c>
      <c r="B99" s="49" t="n"/>
      <c r="C99" s="43" t="n"/>
      <c r="D99" s="32" t="n"/>
      <c r="E99" s="36" t="n"/>
      <c r="F99" s="36" t="n"/>
      <c r="G99" s="36" t="n"/>
      <c r="H99" s="33">
        <f>IF(E99="","",Commercial_Id)</f>
        <v/>
      </c>
      <c r="I99" s="39">
        <f>IF(E99="","",IFERROR(VALUE(MID(E99,LEN(E99)-3,3)),""))</f>
        <v/>
      </c>
      <c r="J99" s="33">
        <f>IF(I99="","",H99&amp;"|"&amp;I99)</f>
        <v/>
      </c>
      <c r="K99" s="33">
        <f>IF(I99="","",IF(H99="À RENSEIGNER","GIC",H99)&amp;"-"&amp;TEXT(I99,"000"))</f>
        <v/>
      </c>
      <c r="L99" s="33">
        <f>IF(J99="","",IFERROR(INDEX(Cl_nom,MATCH(J99,Cl_cle,0)),"(client introuvable)"))</f>
        <v/>
      </c>
      <c r="M99" s="46">
        <f>IF(B99="","",DATE(YEAR(B99),MONTH(B99),1))</f>
        <v/>
      </c>
      <c r="N99" s="33">
        <f>IF(J99="","",IFERROR(INDEX(Cl_quartier,MATCH(J99,Cl_cle,0))&amp;"",""))</f>
        <v/>
      </c>
      <c r="O99" s="33">
        <f>IF(J99="","",IFERROR(INDEX(Cl_tel,MATCH(J99,Cl_cle,0))&amp;"",""))</f>
        <v/>
      </c>
      <c r="P99" s="34">
        <f>IF(J99="","",IFERROR(INDEX(Cl_potentiel,MATCH(J99,Cl_cle,0)),""))</f>
        <v/>
      </c>
      <c r="Q99" s="34">
        <f>IF(J99="","",IF(D99&lt;&gt;"",IF(COUNTIFS(VC_cle,J99,VC_type,"Visite sur place",VC_date,D99)&gt;0,"Visité",IF(D99&lt;TODAY(),"Non fait","À venir")),IF(B99="","",IF(COUNTIFS(VC_cle,J99,VC_type,"Visite sur place",VC_date,"&gt;="&amp;M99,VC_date,"&lt;"&amp;DATE(YEAR(M99),MONTH(M99)+1,1))&gt;0,"Visité","À visiter"))))</f>
        <v/>
      </c>
    </row>
    <row r="100" ht="18" customHeight="1">
      <c r="A100" s="39" t="n">
        <v>95</v>
      </c>
      <c r="B100" s="49" t="n"/>
      <c r="C100" s="43" t="n"/>
      <c r="D100" s="32" t="n"/>
      <c r="E100" s="36" t="n"/>
      <c r="F100" s="36" t="n"/>
      <c r="G100" s="36" t="n"/>
      <c r="H100" s="33">
        <f>IF(E100="","",Commercial_Id)</f>
        <v/>
      </c>
      <c r="I100" s="39">
        <f>IF(E100="","",IFERROR(VALUE(MID(E100,LEN(E100)-3,3)),""))</f>
        <v/>
      </c>
      <c r="J100" s="33">
        <f>IF(I100="","",H100&amp;"|"&amp;I100)</f>
        <v/>
      </c>
      <c r="K100" s="33">
        <f>IF(I100="","",IF(H100="À RENSEIGNER","GIC",H100)&amp;"-"&amp;TEXT(I100,"000"))</f>
        <v/>
      </c>
      <c r="L100" s="33">
        <f>IF(J100="","",IFERROR(INDEX(Cl_nom,MATCH(J100,Cl_cle,0)),"(client introuvable)"))</f>
        <v/>
      </c>
      <c r="M100" s="46">
        <f>IF(B100="","",DATE(YEAR(B100),MONTH(B100),1))</f>
        <v/>
      </c>
      <c r="N100" s="33">
        <f>IF(J100="","",IFERROR(INDEX(Cl_quartier,MATCH(J100,Cl_cle,0))&amp;"",""))</f>
        <v/>
      </c>
      <c r="O100" s="33">
        <f>IF(J100="","",IFERROR(INDEX(Cl_tel,MATCH(J100,Cl_cle,0))&amp;"",""))</f>
        <v/>
      </c>
      <c r="P100" s="34">
        <f>IF(J100="","",IFERROR(INDEX(Cl_potentiel,MATCH(J100,Cl_cle,0)),""))</f>
        <v/>
      </c>
      <c r="Q100" s="34">
        <f>IF(J100="","",IF(D100&lt;&gt;"",IF(COUNTIFS(VC_cle,J100,VC_type,"Visite sur place",VC_date,D100)&gt;0,"Visité",IF(D100&lt;TODAY(),"Non fait","À venir")),IF(B100="","",IF(COUNTIFS(VC_cle,J100,VC_type,"Visite sur place",VC_date,"&gt;="&amp;M100,VC_date,"&lt;"&amp;DATE(YEAR(M100),MONTH(M100)+1,1))&gt;0,"Visité","À visiter"))))</f>
        <v/>
      </c>
    </row>
    <row r="101" ht="18" customHeight="1">
      <c r="A101" s="39" t="n">
        <v>96</v>
      </c>
      <c r="B101" s="49" t="n"/>
      <c r="C101" s="43" t="n"/>
      <c r="D101" s="32" t="n"/>
      <c r="E101" s="36" t="n"/>
      <c r="F101" s="36" t="n"/>
      <c r="G101" s="36" t="n"/>
      <c r="H101" s="33">
        <f>IF(E101="","",Commercial_Id)</f>
        <v/>
      </c>
      <c r="I101" s="39">
        <f>IF(E101="","",IFERROR(VALUE(MID(E101,LEN(E101)-3,3)),""))</f>
        <v/>
      </c>
      <c r="J101" s="33">
        <f>IF(I101="","",H101&amp;"|"&amp;I101)</f>
        <v/>
      </c>
      <c r="K101" s="33">
        <f>IF(I101="","",IF(H101="À RENSEIGNER","GIC",H101)&amp;"-"&amp;TEXT(I101,"000"))</f>
        <v/>
      </c>
      <c r="L101" s="33">
        <f>IF(J101="","",IFERROR(INDEX(Cl_nom,MATCH(J101,Cl_cle,0)),"(client introuvable)"))</f>
        <v/>
      </c>
      <c r="M101" s="46">
        <f>IF(B101="","",DATE(YEAR(B101),MONTH(B101),1))</f>
        <v/>
      </c>
      <c r="N101" s="33">
        <f>IF(J101="","",IFERROR(INDEX(Cl_quartier,MATCH(J101,Cl_cle,0))&amp;"",""))</f>
        <v/>
      </c>
      <c r="O101" s="33">
        <f>IF(J101="","",IFERROR(INDEX(Cl_tel,MATCH(J101,Cl_cle,0))&amp;"",""))</f>
        <v/>
      </c>
      <c r="P101" s="34">
        <f>IF(J101="","",IFERROR(INDEX(Cl_potentiel,MATCH(J101,Cl_cle,0)),""))</f>
        <v/>
      </c>
      <c r="Q101" s="34">
        <f>IF(J101="","",IF(D101&lt;&gt;"",IF(COUNTIFS(VC_cle,J101,VC_type,"Visite sur place",VC_date,D101)&gt;0,"Visité",IF(D101&lt;TODAY(),"Non fait","À venir")),IF(B101="","",IF(COUNTIFS(VC_cle,J101,VC_type,"Visite sur place",VC_date,"&gt;="&amp;M101,VC_date,"&lt;"&amp;DATE(YEAR(M101),MONTH(M101)+1,1))&gt;0,"Visité","À visiter"))))</f>
        <v/>
      </c>
    </row>
    <row r="102" ht="18" customHeight="1">
      <c r="A102" s="39" t="n">
        <v>97</v>
      </c>
      <c r="B102" s="49" t="n"/>
      <c r="C102" s="43" t="n"/>
      <c r="D102" s="32" t="n"/>
      <c r="E102" s="36" t="n"/>
      <c r="F102" s="36" t="n"/>
      <c r="G102" s="36" t="n"/>
      <c r="H102" s="33">
        <f>IF(E102="","",Commercial_Id)</f>
        <v/>
      </c>
      <c r="I102" s="39">
        <f>IF(E102="","",IFERROR(VALUE(MID(E102,LEN(E102)-3,3)),""))</f>
        <v/>
      </c>
      <c r="J102" s="33">
        <f>IF(I102="","",H102&amp;"|"&amp;I102)</f>
        <v/>
      </c>
      <c r="K102" s="33">
        <f>IF(I102="","",IF(H102="À RENSEIGNER","GIC",H102)&amp;"-"&amp;TEXT(I102,"000"))</f>
        <v/>
      </c>
      <c r="L102" s="33">
        <f>IF(J102="","",IFERROR(INDEX(Cl_nom,MATCH(J102,Cl_cle,0)),"(client introuvable)"))</f>
        <v/>
      </c>
      <c r="M102" s="46">
        <f>IF(B102="","",DATE(YEAR(B102),MONTH(B102),1))</f>
        <v/>
      </c>
      <c r="N102" s="33">
        <f>IF(J102="","",IFERROR(INDEX(Cl_quartier,MATCH(J102,Cl_cle,0))&amp;"",""))</f>
        <v/>
      </c>
      <c r="O102" s="33">
        <f>IF(J102="","",IFERROR(INDEX(Cl_tel,MATCH(J102,Cl_cle,0))&amp;"",""))</f>
        <v/>
      </c>
      <c r="P102" s="34">
        <f>IF(J102="","",IFERROR(INDEX(Cl_potentiel,MATCH(J102,Cl_cle,0)),""))</f>
        <v/>
      </c>
      <c r="Q102" s="34">
        <f>IF(J102="","",IF(D102&lt;&gt;"",IF(COUNTIFS(VC_cle,J102,VC_type,"Visite sur place",VC_date,D102)&gt;0,"Visité",IF(D102&lt;TODAY(),"Non fait","À venir")),IF(B102="","",IF(COUNTIFS(VC_cle,J102,VC_type,"Visite sur place",VC_date,"&gt;="&amp;M102,VC_date,"&lt;"&amp;DATE(YEAR(M102),MONTH(M102)+1,1))&gt;0,"Visité","À visiter"))))</f>
        <v/>
      </c>
    </row>
    <row r="103" ht="18" customHeight="1">
      <c r="A103" s="39" t="n">
        <v>98</v>
      </c>
      <c r="B103" s="49" t="n"/>
      <c r="C103" s="43" t="n"/>
      <c r="D103" s="32" t="n"/>
      <c r="E103" s="36" t="n"/>
      <c r="F103" s="36" t="n"/>
      <c r="G103" s="36" t="n"/>
      <c r="H103" s="33">
        <f>IF(E103="","",Commercial_Id)</f>
        <v/>
      </c>
      <c r="I103" s="39">
        <f>IF(E103="","",IFERROR(VALUE(MID(E103,LEN(E103)-3,3)),""))</f>
        <v/>
      </c>
      <c r="J103" s="33">
        <f>IF(I103="","",H103&amp;"|"&amp;I103)</f>
        <v/>
      </c>
      <c r="K103" s="33">
        <f>IF(I103="","",IF(H103="À RENSEIGNER","GIC",H103)&amp;"-"&amp;TEXT(I103,"000"))</f>
        <v/>
      </c>
      <c r="L103" s="33">
        <f>IF(J103="","",IFERROR(INDEX(Cl_nom,MATCH(J103,Cl_cle,0)),"(client introuvable)"))</f>
        <v/>
      </c>
      <c r="M103" s="46">
        <f>IF(B103="","",DATE(YEAR(B103),MONTH(B103),1))</f>
        <v/>
      </c>
      <c r="N103" s="33">
        <f>IF(J103="","",IFERROR(INDEX(Cl_quartier,MATCH(J103,Cl_cle,0))&amp;"",""))</f>
        <v/>
      </c>
      <c r="O103" s="33">
        <f>IF(J103="","",IFERROR(INDEX(Cl_tel,MATCH(J103,Cl_cle,0))&amp;"",""))</f>
        <v/>
      </c>
      <c r="P103" s="34">
        <f>IF(J103="","",IFERROR(INDEX(Cl_potentiel,MATCH(J103,Cl_cle,0)),""))</f>
        <v/>
      </c>
      <c r="Q103" s="34">
        <f>IF(J103="","",IF(D103&lt;&gt;"",IF(COUNTIFS(VC_cle,J103,VC_type,"Visite sur place",VC_date,D103)&gt;0,"Visité",IF(D103&lt;TODAY(),"Non fait","À venir")),IF(B103="","",IF(COUNTIFS(VC_cle,J103,VC_type,"Visite sur place",VC_date,"&gt;="&amp;M103,VC_date,"&lt;"&amp;DATE(YEAR(M103),MONTH(M103)+1,1))&gt;0,"Visité","À visiter"))))</f>
        <v/>
      </c>
    </row>
    <row r="104" ht="18" customHeight="1">
      <c r="A104" s="39" t="n">
        <v>99</v>
      </c>
      <c r="B104" s="49" t="n"/>
      <c r="C104" s="43" t="n"/>
      <c r="D104" s="32" t="n"/>
      <c r="E104" s="36" t="n"/>
      <c r="F104" s="36" t="n"/>
      <c r="G104" s="36" t="n"/>
      <c r="H104" s="33">
        <f>IF(E104="","",Commercial_Id)</f>
        <v/>
      </c>
      <c r="I104" s="39">
        <f>IF(E104="","",IFERROR(VALUE(MID(E104,LEN(E104)-3,3)),""))</f>
        <v/>
      </c>
      <c r="J104" s="33">
        <f>IF(I104="","",H104&amp;"|"&amp;I104)</f>
        <v/>
      </c>
      <c r="K104" s="33">
        <f>IF(I104="","",IF(H104="À RENSEIGNER","GIC",H104)&amp;"-"&amp;TEXT(I104,"000"))</f>
        <v/>
      </c>
      <c r="L104" s="33">
        <f>IF(J104="","",IFERROR(INDEX(Cl_nom,MATCH(J104,Cl_cle,0)),"(client introuvable)"))</f>
        <v/>
      </c>
      <c r="M104" s="46">
        <f>IF(B104="","",DATE(YEAR(B104),MONTH(B104),1))</f>
        <v/>
      </c>
      <c r="N104" s="33">
        <f>IF(J104="","",IFERROR(INDEX(Cl_quartier,MATCH(J104,Cl_cle,0))&amp;"",""))</f>
        <v/>
      </c>
      <c r="O104" s="33">
        <f>IF(J104="","",IFERROR(INDEX(Cl_tel,MATCH(J104,Cl_cle,0))&amp;"",""))</f>
        <v/>
      </c>
      <c r="P104" s="34">
        <f>IF(J104="","",IFERROR(INDEX(Cl_potentiel,MATCH(J104,Cl_cle,0)),""))</f>
        <v/>
      </c>
      <c r="Q104" s="34">
        <f>IF(J104="","",IF(D104&lt;&gt;"",IF(COUNTIFS(VC_cle,J104,VC_type,"Visite sur place",VC_date,D104)&gt;0,"Visité",IF(D104&lt;TODAY(),"Non fait","À venir")),IF(B104="","",IF(COUNTIFS(VC_cle,J104,VC_type,"Visite sur place",VC_date,"&gt;="&amp;M104,VC_date,"&lt;"&amp;DATE(YEAR(M104),MONTH(M104)+1,1))&gt;0,"Visité","À visiter"))))</f>
        <v/>
      </c>
    </row>
    <row r="105" ht="18" customHeight="1">
      <c r="A105" s="39" t="n">
        <v>100</v>
      </c>
      <c r="B105" s="49" t="n"/>
      <c r="C105" s="43" t="n"/>
      <c r="D105" s="32" t="n"/>
      <c r="E105" s="36" t="n"/>
      <c r="F105" s="36" t="n"/>
      <c r="G105" s="36" t="n"/>
      <c r="H105" s="33">
        <f>IF(E105="","",Commercial_Id)</f>
        <v/>
      </c>
      <c r="I105" s="39">
        <f>IF(E105="","",IFERROR(VALUE(MID(E105,LEN(E105)-3,3)),""))</f>
        <v/>
      </c>
      <c r="J105" s="33">
        <f>IF(I105="","",H105&amp;"|"&amp;I105)</f>
        <v/>
      </c>
      <c r="K105" s="33">
        <f>IF(I105="","",IF(H105="À RENSEIGNER","GIC",H105)&amp;"-"&amp;TEXT(I105,"000"))</f>
        <v/>
      </c>
      <c r="L105" s="33">
        <f>IF(J105="","",IFERROR(INDEX(Cl_nom,MATCH(J105,Cl_cle,0)),"(client introuvable)"))</f>
        <v/>
      </c>
      <c r="M105" s="46">
        <f>IF(B105="","",DATE(YEAR(B105),MONTH(B105),1))</f>
        <v/>
      </c>
      <c r="N105" s="33">
        <f>IF(J105="","",IFERROR(INDEX(Cl_quartier,MATCH(J105,Cl_cle,0))&amp;"",""))</f>
        <v/>
      </c>
      <c r="O105" s="33">
        <f>IF(J105="","",IFERROR(INDEX(Cl_tel,MATCH(J105,Cl_cle,0))&amp;"",""))</f>
        <v/>
      </c>
      <c r="P105" s="34">
        <f>IF(J105="","",IFERROR(INDEX(Cl_potentiel,MATCH(J105,Cl_cle,0)),""))</f>
        <v/>
      </c>
      <c r="Q105" s="34">
        <f>IF(J105="","",IF(D105&lt;&gt;"",IF(COUNTIFS(VC_cle,J105,VC_type,"Visite sur place",VC_date,D105)&gt;0,"Visité",IF(D105&lt;TODAY(),"Non fait","À venir")),IF(B105="","",IF(COUNTIFS(VC_cle,J105,VC_type,"Visite sur place",VC_date,"&gt;="&amp;M105,VC_date,"&lt;"&amp;DATE(YEAR(M105),MONTH(M105)+1,1))&gt;0,"Visité","À visiter"))))</f>
        <v/>
      </c>
    </row>
    <row r="106" ht="18" customHeight="1">
      <c r="A106" s="39" t="n">
        <v>101</v>
      </c>
      <c r="B106" s="49" t="n"/>
      <c r="C106" s="43" t="n"/>
      <c r="D106" s="32" t="n"/>
      <c r="E106" s="36" t="n"/>
      <c r="F106" s="36" t="n"/>
      <c r="G106" s="36" t="n"/>
      <c r="H106" s="33">
        <f>IF(E106="","",Commercial_Id)</f>
        <v/>
      </c>
      <c r="I106" s="39">
        <f>IF(E106="","",IFERROR(VALUE(MID(E106,LEN(E106)-3,3)),""))</f>
        <v/>
      </c>
      <c r="J106" s="33">
        <f>IF(I106="","",H106&amp;"|"&amp;I106)</f>
        <v/>
      </c>
      <c r="K106" s="33">
        <f>IF(I106="","",IF(H106="À RENSEIGNER","GIC",H106)&amp;"-"&amp;TEXT(I106,"000"))</f>
        <v/>
      </c>
      <c r="L106" s="33">
        <f>IF(J106="","",IFERROR(INDEX(Cl_nom,MATCH(J106,Cl_cle,0)),"(client introuvable)"))</f>
        <v/>
      </c>
      <c r="M106" s="46">
        <f>IF(B106="","",DATE(YEAR(B106),MONTH(B106),1))</f>
        <v/>
      </c>
      <c r="N106" s="33">
        <f>IF(J106="","",IFERROR(INDEX(Cl_quartier,MATCH(J106,Cl_cle,0))&amp;"",""))</f>
        <v/>
      </c>
      <c r="O106" s="33">
        <f>IF(J106="","",IFERROR(INDEX(Cl_tel,MATCH(J106,Cl_cle,0))&amp;"",""))</f>
        <v/>
      </c>
      <c r="P106" s="34">
        <f>IF(J106="","",IFERROR(INDEX(Cl_potentiel,MATCH(J106,Cl_cle,0)),""))</f>
        <v/>
      </c>
      <c r="Q106" s="34">
        <f>IF(J106="","",IF(D106&lt;&gt;"",IF(COUNTIFS(VC_cle,J106,VC_type,"Visite sur place",VC_date,D106)&gt;0,"Visité",IF(D106&lt;TODAY(),"Non fait","À venir")),IF(B106="","",IF(COUNTIFS(VC_cle,J106,VC_type,"Visite sur place",VC_date,"&gt;="&amp;M106,VC_date,"&lt;"&amp;DATE(YEAR(M106),MONTH(M106)+1,1))&gt;0,"Visité","À visiter"))))</f>
        <v/>
      </c>
    </row>
    <row r="107" ht="18" customHeight="1">
      <c r="A107" s="39" t="n">
        <v>102</v>
      </c>
      <c r="B107" s="49" t="n"/>
      <c r="C107" s="43" t="n"/>
      <c r="D107" s="32" t="n"/>
      <c r="E107" s="36" t="n"/>
      <c r="F107" s="36" t="n"/>
      <c r="G107" s="36" t="n"/>
      <c r="H107" s="33">
        <f>IF(E107="","",Commercial_Id)</f>
        <v/>
      </c>
      <c r="I107" s="39">
        <f>IF(E107="","",IFERROR(VALUE(MID(E107,LEN(E107)-3,3)),""))</f>
        <v/>
      </c>
      <c r="J107" s="33">
        <f>IF(I107="","",H107&amp;"|"&amp;I107)</f>
        <v/>
      </c>
      <c r="K107" s="33">
        <f>IF(I107="","",IF(H107="À RENSEIGNER","GIC",H107)&amp;"-"&amp;TEXT(I107,"000"))</f>
        <v/>
      </c>
      <c r="L107" s="33">
        <f>IF(J107="","",IFERROR(INDEX(Cl_nom,MATCH(J107,Cl_cle,0)),"(client introuvable)"))</f>
        <v/>
      </c>
      <c r="M107" s="46">
        <f>IF(B107="","",DATE(YEAR(B107),MONTH(B107),1))</f>
        <v/>
      </c>
      <c r="N107" s="33">
        <f>IF(J107="","",IFERROR(INDEX(Cl_quartier,MATCH(J107,Cl_cle,0))&amp;"",""))</f>
        <v/>
      </c>
      <c r="O107" s="33">
        <f>IF(J107="","",IFERROR(INDEX(Cl_tel,MATCH(J107,Cl_cle,0))&amp;"",""))</f>
        <v/>
      </c>
      <c r="P107" s="34">
        <f>IF(J107="","",IFERROR(INDEX(Cl_potentiel,MATCH(J107,Cl_cle,0)),""))</f>
        <v/>
      </c>
      <c r="Q107" s="34">
        <f>IF(J107="","",IF(D107&lt;&gt;"",IF(COUNTIFS(VC_cle,J107,VC_type,"Visite sur place",VC_date,D107)&gt;0,"Visité",IF(D107&lt;TODAY(),"Non fait","À venir")),IF(B107="","",IF(COUNTIFS(VC_cle,J107,VC_type,"Visite sur place",VC_date,"&gt;="&amp;M107,VC_date,"&lt;"&amp;DATE(YEAR(M107),MONTH(M107)+1,1))&gt;0,"Visité","À visiter"))))</f>
        <v/>
      </c>
    </row>
    <row r="108" ht="18" customHeight="1">
      <c r="A108" s="39" t="n">
        <v>103</v>
      </c>
      <c r="B108" s="49" t="n"/>
      <c r="C108" s="43" t="n"/>
      <c r="D108" s="32" t="n"/>
      <c r="E108" s="36" t="n"/>
      <c r="F108" s="36" t="n"/>
      <c r="G108" s="36" t="n"/>
      <c r="H108" s="33">
        <f>IF(E108="","",Commercial_Id)</f>
        <v/>
      </c>
      <c r="I108" s="39">
        <f>IF(E108="","",IFERROR(VALUE(MID(E108,LEN(E108)-3,3)),""))</f>
        <v/>
      </c>
      <c r="J108" s="33">
        <f>IF(I108="","",H108&amp;"|"&amp;I108)</f>
        <v/>
      </c>
      <c r="K108" s="33">
        <f>IF(I108="","",IF(H108="À RENSEIGNER","GIC",H108)&amp;"-"&amp;TEXT(I108,"000"))</f>
        <v/>
      </c>
      <c r="L108" s="33">
        <f>IF(J108="","",IFERROR(INDEX(Cl_nom,MATCH(J108,Cl_cle,0)),"(client introuvable)"))</f>
        <v/>
      </c>
      <c r="M108" s="46">
        <f>IF(B108="","",DATE(YEAR(B108),MONTH(B108),1))</f>
        <v/>
      </c>
      <c r="N108" s="33">
        <f>IF(J108="","",IFERROR(INDEX(Cl_quartier,MATCH(J108,Cl_cle,0))&amp;"",""))</f>
        <v/>
      </c>
      <c r="O108" s="33">
        <f>IF(J108="","",IFERROR(INDEX(Cl_tel,MATCH(J108,Cl_cle,0))&amp;"",""))</f>
        <v/>
      </c>
      <c r="P108" s="34">
        <f>IF(J108="","",IFERROR(INDEX(Cl_potentiel,MATCH(J108,Cl_cle,0)),""))</f>
        <v/>
      </c>
      <c r="Q108" s="34">
        <f>IF(J108="","",IF(D108&lt;&gt;"",IF(COUNTIFS(VC_cle,J108,VC_type,"Visite sur place",VC_date,D108)&gt;0,"Visité",IF(D108&lt;TODAY(),"Non fait","À venir")),IF(B108="","",IF(COUNTIFS(VC_cle,J108,VC_type,"Visite sur place",VC_date,"&gt;="&amp;M108,VC_date,"&lt;"&amp;DATE(YEAR(M108),MONTH(M108)+1,1))&gt;0,"Visité","À visiter"))))</f>
        <v/>
      </c>
    </row>
    <row r="109" ht="18" customHeight="1">
      <c r="A109" s="39" t="n">
        <v>104</v>
      </c>
      <c r="B109" s="49" t="n"/>
      <c r="C109" s="43" t="n"/>
      <c r="D109" s="32" t="n"/>
      <c r="E109" s="36" t="n"/>
      <c r="F109" s="36" t="n"/>
      <c r="G109" s="36" t="n"/>
      <c r="H109" s="33">
        <f>IF(E109="","",Commercial_Id)</f>
        <v/>
      </c>
      <c r="I109" s="39">
        <f>IF(E109="","",IFERROR(VALUE(MID(E109,LEN(E109)-3,3)),""))</f>
        <v/>
      </c>
      <c r="J109" s="33">
        <f>IF(I109="","",H109&amp;"|"&amp;I109)</f>
        <v/>
      </c>
      <c r="K109" s="33">
        <f>IF(I109="","",IF(H109="À RENSEIGNER","GIC",H109)&amp;"-"&amp;TEXT(I109,"000"))</f>
        <v/>
      </c>
      <c r="L109" s="33">
        <f>IF(J109="","",IFERROR(INDEX(Cl_nom,MATCH(J109,Cl_cle,0)),"(client introuvable)"))</f>
        <v/>
      </c>
      <c r="M109" s="46">
        <f>IF(B109="","",DATE(YEAR(B109),MONTH(B109),1))</f>
        <v/>
      </c>
      <c r="N109" s="33">
        <f>IF(J109="","",IFERROR(INDEX(Cl_quartier,MATCH(J109,Cl_cle,0))&amp;"",""))</f>
        <v/>
      </c>
      <c r="O109" s="33">
        <f>IF(J109="","",IFERROR(INDEX(Cl_tel,MATCH(J109,Cl_cle,0))&amp;"",""))</f>
        <v/>
      </c>
      <c r="P109" s="34">
        <f>IF(J109="","",IFERROR(INDEX(Cl_potentiel,MATCH(J109,Cl_cle,0)),""))</f>
        <v/>
      </c>
      <c r="Q109" s="34">
        <f>IF(J109="","",IF(D109&lt;&gt;"",IF(COUNTIFS(VC_cle,J109,VC_type,"Visite sur place",VC_date,D109)&gt;0,"Visité",IF(D109&lt;TODAY(),"Non fait","À venir")),IF(B109="","",IF(COUNTIFS(VC_cle,J109,VC_type,"Visite sur place",VC_date,"&gt;="&amp;M109,VC_date,"&lt;"&amp;DATE(YEAR(M109),MONTH(M109)+1,1))&gt;0,"Visité","À visiter"))))</f>
        <v/>
      </c>
    </row>
    <row r="110" ht="18" customHeight="1">
      <c r="A110" s="39" t="n">
        <v>105</v>
      </c>
      <c r="B110" s="49" t="n"/>
      <c r="C110" s="43" t="n"/>
      <c r="D110" s="32" t="n"/>
      <c r="E110" s="36" t="n"/>
      <c r="F110" s="36" t="n"/>
      <c r="G110" s="36" t="n"/>
      <c r="H110" s="33">
        <f>IF(E110="","",Commercial_Id)</f>
        <v/>
      </c>
      <c r="I110" s="39">
        <f>IF(E110="","",IFERROR(VALUE(MID(E110,LEN(E110)-3,3)),""))</f>
        <v/>
      </c>
      <c r="J110" s="33">
        <f>IF(I110="","",H110&amp;"|"&amp;I110)</f>
        <v/>
      </c>
      <c r="K110" s="33">
        <f>IF(I110="","",IF(H110="À RENSEIGNER","GIC",H110)&amp;"-"&amp;TEXT(I110,"000"))</f>
        <v/>
      </c>
      <c r="L110" s="33">
        <f>IF(J110="","",IFERROR(INDEX(Cl_nom,MATCH(J110,Cl_cle,0)),"(client introuvable)"))</f>
        <v/>
      </c>
      <c r="M110" s="46">
        <f>IF(B110="","",DATE(YEAR(B110),MONTH(B110),1))</f>
        <v/>
      </c>
      <c r="N110" s="33">
        <f>IF(J110="","",IFERROR(INDEX(Cl_quartier,MATCH(J110,Cl_cle,0))&amp;"",""))</f>
        <v/>
      </c>
      <c r="O110" s="33">
        <f>IF(J110="","",IFERROR(INDEX(Cl_tel,MATCH(J110,Cl_cle,0))&amp;"",""))</f>
        <v/>
      </c>
      <c r="P110" s="34">
        <f>IF(J110="","",IFERROR(INDEX(Cl_potentiel,MATCH(J110,Cl_cle,0)),""))</f>
        <v/>
      </c>
      <c r="Q110" s="34">
        <f>IF(J110="","",IF(D110&lt;&gt;"",IF(COUNTIFS(VC_cle,J110,VC_type,"Visite sur place",VC_date,D110)&gt;0,"Visité",IF(D110&lt;TODAY(),"Non fait","À venir")),IF(B110="","",IF(COUNTIFS(VC_cle,J110,VC_type,"Visite sur place",VC_date,"&gt;="&amp;M110,VC_date,"&lt;"&amp;DATE(YEAR(M110),MONTH(M110)+1,1))&gt;0,"Visité","À visiter"))))</f>
        <v/>
      </c>
    </row>
    <row r="111" ht="18" customHeight="1">
      <c r="A111" s="39" t="n">
        <v>106</v>
      </c>
      <c r="B111" s="49" t="n"/>
      <c r="C111" s="43" t="n"/>
      <c r="D111" s="32" t="n"/>
      <c r="E111" s="36" t="n"/>
      <c r="F111" s="36" t="n"/>
      <c r="G111" s="36" t="n"/>
      <c r="H111" s="33">
        <f>IF(E111="","",Commercial_Id)</f>
        <v/>
      </c>
      <c r="I111" s="39">
        <f>IF(E111="","",IFERROR(VALUE(MID(E111,LEN(E111)-3,3)),""))</f>
        <v/>
      </c>
      <c r="J111" s="33">
        <f>IF(I111="","",H111&amp;"|"&amp;I111)</f>
        <v/>
      </c>
      <c r="K111" s="33">
        <f>IF(I111="","",IF(H111="À RENSEIGNER","GIC",H111)&amp;"-"&amp;TEXT(I111,"000"))</f>
        <v/>
      </c>
      <c r="L111" s="33">
        <f>IF(J111="","",IFERROR(INDEX(Cl_nom,MATCH(J111,Cl_cle,0)),"(client introuvable)"))</f>
        <v/>
      </c>
      <c r="M111" s="46">
        <f>IF(B111="","",DATE(YEAR(B111),MONTH(B111),1))</f>
        <v/>
      </c>
      <c r="N111" s="33">
        <f>IF(J111="","",IFERROR(INDEX(Cl_quartier,MATCH(J111,Cl_cle,0))&amp;"",""))</f>
        <v/>
      </c>
      <c r="O111" s="33">
        <f>IF(J111="","",IFERROR(INDEX(Cl_tel,MATCH(J111,Cl_cle,0))&amp;"",""))</f>
        <v/>
      </c>
      <c r="P111" s="34">
        <f>IF(J111="","",IFERROR(INDEX(Cl_potentiel,MATCH(J111,Cl_cle,0)),""))</f>
        <v/>
      </c>
      <c r="Q111" s="34">
        <f>IF(J111="","",IF(D111&lt;&gt;"",IF(COUNTIFS(VC_cle,J111,VC_type,"Visite sur place",VC_date,D111)&gt;0,"Visité",IF(D111&lt;TODAY(),"Non fait","À venir")),IF(B111="","",IF(COUNTIFS(VC_cle,J111,VC_type,"Visite sur place",VC_date,"&gt;="&amp;M111,VC_date,"&lt;"&amp;DATE(YEAR(M111),MONTH(M111)+1,1))&gt;0,"Visité","À visiter"))))</f>
        <v/>
      </c>
    </row>
    <row r="112" ht="18" customHeight="1">
      <c r="A112" s="39" t="n">
        <v>107</v>
      </c>
      <c r="B112" s="49" t="n"/>
      <c r="C112" s="43" t="n"/>
      <c r="D112" s="32" t="n"/>
      <c r="E112" s="36" t="n"/>
      <c r="F112" s="36" t="n"/>
      <c r="G112" s="36" t="n"/>
      <c r="H112" s="33">
        <f>IF(E112="","",Commercial_Id)</f>
        <v/>
      </c>
      <c r="I112" s="39">
        <f>IF(E112="","",IFERROR(VALUE(MID(E112,LEN(E112)-3,3)),""))</f>
        <v/>
      </c>
      <c r="J112" s="33">
        <f>IF(I112="","",H112&amp;"|"&amp;I112)</f>
        <v/>
      </c>
      <c r="K112" s="33">
        <f>IF(I112="","",IF(H112="À RENSEIGNER","GIC",H112)&amp;"-"&amp;TEXT(I112,"000"))</f>
        <v/>
      </c>
      <c r="L112" s="33">
        <f>IF(J112="","",IFERROR(INDEX(Cl_nom,MATCH(J112,Cl_cle,0)),"(client introuvable)"))</f>
        <v/>
      </c>
      <c r="M112" s="46">
        <f>IF(B112="","",DATE(YEAR(B112),MONTH(B112),1))</f>
        <v/>
      </c>
      <c r="N112" s="33">
        <f>IF(J112="","",IFERROR(INDEX(Cl_quartier,MATCH(J112,Cl_cle,0))&amp;"",""))</f>
        <v/>
      </c>
      <c r="O112" s="33">
        <f>IF(J112="","",IFERROR(INDEX(Cl_tel,MATCH(J112,Cl_cle,0))&amp;"",""))</f>
        <v/>
      </c>
      <c r="P112" s="34">
        <f>IF(J112="","",IFERROR(INDEX(Cl_potentiel,MATCH(J112,Cl_cle,0)),""))</f>
        <v/>
      </c>
      <c r="Q112" s="34">
        <f>IF(J112="","",IF(D112&lt;&gt;"",IF(COUNTIFS(VC_cle,J112,VC_type,"Visite sur place",VC_date,D112)&gt;0,"Visité",IF(D112&lt;TODAY(),"Non fait","À venir")),IF(B112="","",IF(COUNTIFS(VC_cle,J112,VC_type,"Visite sur place",VC_date,"&gt;="&amp;M112,VC_date,"&lt;"&amp;DATE(YEAR(M112),MONTH(M112)+1,1))&gt;0,"Visité","À visiter"))))</f>
        <v/>
      </c>
    </row>
    <row r="113" ht="18" customHeight="1">
      <c r="A113" s="39" t="n">
        <v>108</v>
      </c>
      <c r="B113" s="49" t="n"/>
      <c r="C113" s="43" t="n"/>
      <c r="D113" s="32" t="n"/>
      <c r="E113" s="36" t="n"/>
      <c r="F113" s="36" t="n"/>
      <c r="G113" s="36" t="n"/>
      <c r="H113" s="33">
        <f>IF(E113="","",Commercial_Id)</f>
        <v/>
      </c>
      <c r="I113" s="39">
        <f>IF(E113="","",IFERROR(VALUE(MID(E113,LEN(E113)-3,3)),""))</f>
        <v/>
      </c>
      <c r="J113" s="33">
        <f>IF(I113="","",H113&amp;"|"&amp;I113)</f>
        <v/>
      </c>
      <c r="K113" s="33">
        <f>IF(I113="","",IF(H113="À RENSEIGNER","GIC",H113)&amp;"-"&amp;TEXT(I113,"000"))</f>
        <v/>
      </c>
      <c r="L113" s="33">
        <f>IF(J113="","",IFERROR(INDEX(Cl_nom,MATCH(J113,Cl_cle,0)),"(client introuvable)"))</f>
        <v/>
      </c>
      <c r="M113" s="46">
        <f>IF(B113="","",DATE(YEAR(B113),MONTH(B113),1))</f>
        <v/>
      </c>
      <c r="N113" s="33">
        <f>IF(J113="","",IFERROR(INDEX(Cl_quartier,MATCH(J113,Cl_cle,0))&amp;"",""))</f>
        <v/>
      </c>
      <c r="O113" s="33">
        <f>IF(J113="","",IFERROR(INDEX(Cl_tel,MATCH(J113,Cl_cle,0))&amp;"",""))</f>
        <v/>
      </c>
      <c r="P113" s="34">
        <f>IF(J113="","",IFERROR(INDEX(Cl_potentiel,MATCH(J113,Cl_cle,0)),""))</f>
        <v/>
      </c>
      <c r="Q113" s="34">
        <f>IF(J113="","",IF(D113&lt;&gt;"",IF(COUNTIFS(VC_cle,J113,VC_type,"Visite sur place",VC_date,D113)&gt;0,"Visité",IF(D113&lt;TODAY(),"Non fait","À venir")),IF(B113="","",IF(COUNTIFS(VC_cle,J113,VC_type,"Visite sur place",VC_date,"&gt;="&amp;M113,VC_date,"&lt;"&amp;DATE(YEAR(M113),MONTH(M113)+1,1))&gt;0,"Visité","À visiter"))))</f>
        <v/>
      </c>
    </row>
    <row r="114" ht="18" customHeight="1">
      <c r="A114" s="39" t="n">
        <v>109</v>
      </c>
      <c r="B114" s="49" t="n"/>
      <c r="C114" s="43" t="n"/>
      <c r="D114" s="32" t="n"/>
      <c r="E114" s="36" t="n"/>
      <c r="F114" s="36" t="n"/>
      <c r="G114" s="36" t="n"/>
      <c r="H114" s="33">
        <f>IF(E114="","",Commercial_Id)</f>
        <v/>
      </c>
      <c r="I114" s="39">
        <f>IF(E114="","",IFERROR(VALUE(MID(E114,LEN(E114)-3,3)),""))</f>
        <v/>
      </c>
      <c r="J114" s="33">
        <f>IF(I114="","",H114&amp;"|"&amp;I114)</f>
        <v/>
      </c>
      <c r="K114" s="33">
        <f>IF(I114="","",IF(H114="À RENSEIGNER","GIC",H114)&amp;"-"&amp;TEXT(I114,"000"))</f>
        <v/>
      </c>
      <c r="L114" s="33">
        <f>IF(J114="","",IFERROR(INDEX(Cl_nom,MATCH(J114,Cl_cle,0)),"(client introuvable)"))</f>
        <v/>
      </c>
      <c r="M114" s="46">
        <f>IF(B114="","",DATE(YEAR(B114),MONTH(B114),1))</f>
        <v/>
      </c>
      <c r="N114" s="33">
        <f>IF(J114="","",IFERROR(INDEX(Cl_quartier,MATCH(J114,Cl_cle,0))&amp;"",""))</f>
        <v/>
      </c>
      <c r="O114" s="33">
        <f>IF(J114="","",IFERROR(INDEX(Cl_tel,MATCH(J114,Cl_cle,0))&amp;"",""))</f>
        <v/>
      </c>
      <c r="P114" s="34">
        <f>IF(J114="","",IFERROR(INDEX(Cl_potentiel,MATCH(J114,Cl_cle,0)),""))</f>
        <v/>
      </c>
      <c r="Q114" s="34">
        <f>IF(J114="","",IF(D114&lt;&gt;"",IF(COUNTIFS(VC_cle,J114,VC_type,"Visite sur place",VC_date,D114)&gt;0,"Visité",IF(D114&lt;TODAY(),"Non fait","À venir")),IF(B114="","",IF(COUNTIFS(VC_cle,J114,VC_type,"Visite sur place",VC_date,"&gt;="&amp;M114,VC_date,"&lt;"&amp;DATE(YEAR(M114),MONTH(M114)+1,1))&gt;0,"Visité","À visiter"))))</f>
        <v/>
      </c>
    </row>
    <row r="115" ht="18" customHeight="1">
      <c r="A115" s="39" t="n">
        <v>110</v>
      </c>
      <c r="B115" s="49" t="n"/>
      <c r="C115" s="43" t="n"/>
      <c r="D115" s="32" t="n"/>
      <c r="E115" s="36" t="n"/>
      <c r="F115" s="36" t="n"/>
      <c r="G115" s="36" t="n"/>
      <c r="H115" s="33">
        <f>IF(E115="","",Commercial_Id)</f>
        <v/>
      </c>
      <c r="I115" s="39">
        <f>IF(E115="","",IFERROR(VALUE(MID(E115,LEN(E115)-3,3)),""))</f>
        <v/>
      </c>
      <c r="J115" s="33">
        <f>IF(I115="","",H115&amp;"|"&amp;I115)</f>
        <v/>
      </c>
      <c r="K115" s="33">
        <f>IF(I115="","",IF(H115="À RENSEIGNER","GIC",H115)&amp;"-"&amp;TEXT(I115,"000"))</f>
        <v/>
      </c>
      <c r="L115" s="33">
        <f>IF(J115="","",IFERROR(INDEX(Cl_nom,MATCH(J115,Cl_cle,0)),"(client introuvable)"))</f>
        <v/>
      </c>
      <c r="M115" s="46">
        <f>IF(B115="","",DATE(YEAR(B115),MONTH(B115),1))</f>
        <v/>
      </c>
      <c r="N115" s="33">
        <f>IF(J115="","",IFERROR(INDEX(Cl_quartier,MATCH(J115,Cl_cle,0))&amp;"",""))</f>
        <v/>
      </c>
      <c r="O115" s="33">
        <f>IF(J115="","",IFERROR(INDEX(Cl_tel,MATCH(J115,Cl_cle,0))&amp;"",""))</f>
        <v/>
      </c>
      <c r="P115" s="34">
        <f>IF(J115="","",IFERROR(INDEX(Cl_potentiel,MATCH(J115,Cl_cle,0)),""))</f>
        <v/>
      </c>
      <c r="Q115" s="34">
        <f>IF(J115="","",IF(D115&lt;&gt;"",IF(COUNTIFS(VC_cle,J115,VC_type,"Visite sur place",VC_date,D115)&gt;0,"Visité",IF(D115&lt;TODAY(),"Non fait","À venir")),IF(B115="","",IF(COUNTIFS(VC_cle,J115,VC_type,"Visite sur place",VC_date,"&gt;="&amp;M115,VC_date,"&lt;"&amp;DATE(YEAR(M115),MONTH(M115)+1,1))&gt;0,"Visité","À visiter"))))</f>
        <v/>
      </c>
    </row>
    <row r="116" ht="18" customHeight="1">
      <c r="A116" s="39" t="n">
        <v>111</v>
      </c>
      <c r="B116" s="49" t="n"/>
      <c r="C116" s="43" t="n"/>
      <c r="D116" s="32" t="n"/>
      <c r="E116" s="36" t="n"/>
      <c r="F116" s="36" t="n"/>
      <c r="G116" s="36" t="n"/>
      <c r="H116" s="33">
        <f>IF(E116="","",Commercial_Id)</f>
        <v/>
      </c>
      <c r="I116" s="39">
        <f>IF(E116="","",IFERROR(VALUE(MID(E116,LEN(E116)-3,3)),""))</f>
        <v/>
      </c>
      <c r="J116" s="33">
        <f>IF(I116="","",H116&amp;"|"&amp;I116)</f>
        <v/>
      </c>
      <c r="K116" s="33">
        <f>IF(I116="","",IF(H116="À RENSEIGNER","GIC",H116)&amp;"-"&amp;TEXT(I116,"000"))</f>
        <v/>
      </c>
      <c r="L116" s="33">
        <f>IF(J116="","",IFERROR(INDEX(Cl_nom,MATCH(J116,Cl_cle,0)),"(client introuvable)"))</f>
        <v/>
      </c>
      <c r="M116" s="46">
        <f>IF(B116="","",DATE(YEAR(B116),MONTH(B116),1))</f>
        <v/>
      </c>
      <c r="N116" s="33">
        <f>IF(J116="","",IFERROR(INDEX(Cl_quartier,MATCH(J116,Cl_cle,0))&amp;"",""))</f>
        <v/>
      </c>
      <c r="O116" s="33">
        <f>IF(J116="","",IFERROR(INDEX(Cl_tel,MATCH(J116,Cl_cle,0))&amp;"",""))</f>
        <v/>
      </c>
      <c r="P116" s="34">
        <f>IF(J116="","",IFERROR(INDEX(Cl_potentiel,MATCH(J116,Cl_cle,0)),""))</f>
        <v/>
      </c>
      <c r="Q116" s="34">
        <f>IF(J116="","",IF(D116&lt;&gt;"",IF(COUNTIFS(VC_cle,J116,VC_type,"Visite sur place",VC_date,D116)&gt;0,"Visité",IF(D116&lt;TODAY(),"Non fait","À venir")),IF(B116="","",IF(COUNTIFS(VC_cle,J116,VC_type,"Visite sur place",VC_date,"&gt;="&amp;M116,VC_date,"&lt;"&amp;DATE(YEAR(M116),MONTH(M116)+1,1))&gt;0,"Visité","À visiter"))))</f>
        <v/>
      </c>
    </row>
    <row r="117" ht="18" customHeight="1">
      <c r="A117" s="39" t="n">
        <v>112</v>
      </c>
      <c r="B117" s="49" t="n"/>
      <c r="C117" s="43" t="n"/>
      <c r="D117" s="32" t="n"/>
      <c r="E117" s="36" t="n"/>
      <c r="F117" s="36" t="n"/>
      <c r="G117" s="36" t="n"/>
      <c r="H117" s="33">
        <f>IF(E117="","",Commercial_Id)</f>
        <v/>
      </c>
      <c r="I117" s="39">
        <f>IF(E117="","",IFERROR(VALUE(MID(E117,LEN(E117)-3,3)),""))</f>
        <v/>
      </c>
      <c r="J117" s="33">
        <f>IF(I117="","",H117&amp;"|"&amp;I117)</f>
        <v/>
      </c>
      <c r="K117" s="33">
        <f>IF(I117="","",IF(H117="À RENSEIGNER","GIC",H117)&amp;"-"&amp;TEXT(I117,"000"))</f>
        <v/>
      </c>
      <c r="L117" s="33">
        <f>IF(J117="","",IFERROR(INDEX(Cl_nom,MATCH(J117,Cl_cle,0)),"(client introuvable)"))</f>
        <v/>
      </c>
      <c r="M117" s="46">
        <f>IF(B117="","",DATE(YEAR(B117),MONTH(B117),1))</f>
        <v/>
      </c>
      <c r="N117" s="33">
        <f>IF(J117="","",IFERROR(INDEX(Cl_quartier,MATCH(J117,Cl_cle,0))&amp;"",""))</f>
        <v/>
      </c>
      <c r="O117" s="33">
        <f>IF(J117="","",IFERROR(INDEX(Cl_tel,MATCH(J117,Cl_cle,0))&amp;"",""))</f>
        <v/>
      </c>
      <c r="P117" s="34">
        <f>IF(J117="","",IFERROR(INDEX(Cl_potentiel,MATCH(J117,Cl_cle,0)),""))</f>
        <v/>
      </c>
      <c r="Q117" s="34">
        <f>IF(J117="","",IF(D117&lt;&gt;"",IF(COUNTIFS(VC_cle,J117,VC_type,"Visite sur place",VC_date,D117)&gt;0,"Visité",IF(D117&lt;TODAY(),"Non fait","À venir")),IF(B117="","",IF(COUNTIFS(VC_cle,J117,VC_type,"Visite sur place",VC_date,"&gt;="&amp;M117,VC_date,"&lt;"&amp;DATE(YEAR(M117),MONTH(M117)+1,1))&gt;0,"Visité","À visiter"))))</f>
        <v/>
      </c>
    </row>
    <row r="118" ht="18" customHeight="1">
      <c r="A118" s="39" t="n">
        <v>113</v>
      </c>
      <c r="B118" s="49" t="n"/>
      <c r="C118" s="43" t="n"/>
      <c r="D118" s="32" t="n"/>
      <c r="E118" s="36" t="n"/>
      <c r="F118" s="36" t="n"/>
      <c r="G118" s="36" t="n"/>
      <c r="H118" s="33">
        <f>IF(E118="","",Commercial_Id)</f>
        <v/>
      </c>
      <c r="I118" s="39">
        <f>IF(E118="","",IFERROR(VALUE(MID(E118,LEN(E118)-3,3)),""))</f>
        <v/>
      </c>
      <c r="J118" s="33">
        <f>IF(I118="","",H118&amp;"|"&amp;I118)</f>
        <v/>
      </c>
      <c r="K118" s="33">
        <f>IF(I118="","",IF(H118="À RENSEIGNER","GIC",H118)&amp;"-"&amp;TEXT(I118,"000"))</f>
        <v/>
      </c>
      <c r="L118" s="33">
        <f>IF(J118="","",IFERROR(INDEX(Cl_nom,MATCH(J118,Cl_cle,0)),"(client introuvable)"))</f>
        <v/>
      </c>
      <c r="M118" s="46">
        <f>IF(B118="","",DATE(YEAR(B118),MONTH(B118),1))</f>
        <v/>
      </c>
      <c r="N118" s="33">
        <f>IF(J118="","",IFERROR(INDEX(Cl_quartier,MATCH(J118,Cl_cle,0))&amp;"",""))</f>
        <v/>
      </c>
      <c r="O118" s="33">
        <f>IF(J118="","",IFERROR(INDEX(Cl_tel,MATCH(J118,Cl_cle,0))&amp;"",""))</f>
        <v/>
      </c>
      <c r="P118" s="34">
        <f>IF(J118="","",IFERROR(INDEX(Cl_potentiel,MATCH(J118,Cl_cle,0)),""))</f>
        <v/>
      </c>
      <c r="Q118" s="34">
        <f>IF(J118="","",IF(D118&lt;&gt;"",IF(COUNTIFS(VC_cle,J118,VC_type,"Visite sur place",VC_date,D118)&gt;0,"Visité",IF(D118&lt;TODAY(),"Non fait","À venir")),IF(B118="","",IF(COUNTIFS(VC_cle,J118,VC_type,"Visite sur place",VC_date,"&gt;="&amp;M118,VC_date,"&lt;"&amp;DATE(YEAR(M118),MONTH(M118)+1,1))&gt;0,"Visité","À visiter"))))</f>
        <v/>
      </c>
    </row>
    <row r="119" ht="18" customHeight="1">
      <c r="A119" s="39" t="n">
        <v>114</v>
      </c>
      <c r="B119" s="49" t="n"/>
      <c r="C119" s="43" t="n"/>
      <c r="D119" s="32" t="n"/>
      <c r="E119" s="36" t="n"/>
      <c r="F119" s="36" t="n"/>
      <c r="G119" s="36" t="n"/>
      <c r="H119" s="33">
        <f>IF(E119="","",Commercial_Id)</f>
        <v/>
      </c>
      <c r="I119" s="39">
        <f>IF(E119="","",IFERROR(VALUE(MID(E119,LEN(E119)-3,3)),""))</f>
        <v/>
      </c>
      <c r="J119" s="33">
        <f>IF(I119="","",H119&amp;"|"&amp;I119)</f>
        <v/>
      </c>
      <c r="K119" s="33">
        <f>IF(I119="","",IF(H119="À RENSEIGNER","GIC",H119)&amp;"-"&amp;TEXT(I119,"000"))</f>
        <v/>
      </c>
      <c r="L119" s="33">
        <f>IF(J119="","",IFERROR(INDEX(Cl_nom,MATCH(J119,Cl_cle,0)),"(client introuvable)"))</f>
        <v/>
      </c>
      <c r="M119" s="46">
        <f>IF(B119="","",DATE(YEAR(B119),MONTH(B119),1))</f>
        <v/>
      </c>
      <c r="N119" s="33">
        <f>IF(J119="","",IFERROR(INDEX(Cl_quartier,MATCH(J119,Cl_cle,0))&amp;"",""))</f>
        <v/>
      </c>
      <c r="O119" s="33">
        <f>IF(J119="","",IFERROR(INDEX(Cl_tel,MATCH(J119,Cl_cle,0))&amp;"",""))</f>
        <v/>
      </c>
      <c r="P119" s="34">
        <f>IF(J119="","",IFERROR(INDEX(Cl_potentiel,MATCH(J119,Cl_cle,0)),""))</f>
        <v/>
      </c>
      <c r="Q119" s="34">
        <f>IF(J119="","",IF(D119&lt;&gt;"",IF(COUNTIFS(VC_cle,J119,VC_type,"Visite sur place",VC_date,D119)&gt;0,"Visité",IF(D119&lt;TODAY(),"Non fait","À venir")),IF(B119="","",IF(COUNTIFS(VC_cle,J119,VC_type,"Visite sur place",VC_date,"&gt;="&amp;M119,VC_date,"&lt;"&amp;DATE(YEAR(M119),MONTH(M119)+1,1))&gt;0,"Visité","À visiter"))))</f>
        <v/>
      </c>
    </row>
    <row r="120" ht="18" customHeight="1">
      <c r="A120" s="39" t="n">
        <v>115</v>
      </c>
      <c r="B120" s="49" t="n"/>
      <c r="C120" s="43" t="n"/>
      <c r="D120" s="32" t="n"/>
      <c r="E120" s="36" t="n"/>
      <c r="F120" s="36" t="n"/>
      <c r="G120" s="36" t="n"/>
      <c r="H120" s="33">
        <f>IF(E120="","",Commercial_Id)</f>
        <v/>
      </c>
      <c r="I120" s="39">
        <f>IF(E120="","",IFERROR(VALUE(MID(E120,LEN(E120)-3,3)),""))</f>
        <v/>
      </c>
      <c r="J120" s="33">
        <f>IF(I120="","",H120&amp;"|"&amp;I120)</f>
        <v/>
      </c>
      <c r="K120" s="33">
        <f>IF(I120="","",IF(H120="À RENSEIGNER","GIC",H120)&amp;"-"&amp;TEXT(I120,"000"))</f>
        <v/>
      </c>
      <c r="L120" s="33">
        <f>IF(J120="","",IFERROR(INDEX(Cl_nom,MATCH(J120,Cl_cle,0)),"(client introuvable)"))</f>
        <v/>
      </c>
      <c r="M120" s="46">
        <f>IF(B120="","",DATE(YEAR(B120),MONTH(B120),1))</f>
        <v/>
      </c>
      <c r="N120" s="33">
        <f>IF(J120="","",IFERROR(INDEX(Cl_quartier,MATCH(J120,Cl_cle,0))&amp;"",""))</f>
        <v/>
      </c>
      <c r="O120" s="33">
        <f>IF(J120="","",IFERROR(INDEX(Cl_tel,MATCH(J120,Cl_cle,0))&amp;"",""))</f>
        <v/>
      </c>
      <c r="P120" s="34">
        <f>IF(J120="","",IFERROR(INDEX(Cl_potentiel,MATCH(J120,Cl_cle,0)),""))</f>
        <v/>
      </c>
      <c r="Q120" s="34">
        <f>IF(J120="","",IF(D120&lt;&gt;"",IF(COUNTIFS(VC_cle,J120,VC_type,"Visite sur place",VC_date,D120)&gt;0,"Visité",IF(D120&lt;TODAY(),"Non fait","À venir")),IF(B120="","",IF(COUNTIFS(VC_cle,J120,VC_type,"Visite sur place",VC_date,"&gt;="&amp;M120,VC_date,"&lt;"&amp;DATE(YEAR(M120),MONTH(M120)+1,1))&gt;0,"Visité","À visiter"))))</f>
        <v/>
      </c>
    </row>
    <row r="121" ht="18" customHeight="1">
      <c r="A121" s="39" t="n">
        <v>116</v>
      </c>
      <c r="B121" s="49" t="n"/>
      <c r="C121" s="43" t="n"/>
      <c r="D121" s="32" t="n"/>
      <c r="E121" s="36" t="n"/>
      <c r="F121" s="36" t="n"/>
      <c r="G121" s="36" t="n"/>
      <c r="H121" s="33">
        <f>IF(E121="","",Commercial_Id)</f>
        <v/>
      </c>
      <c r="I121" s="39">
        <f>IF(E121="","",IFERROR(VALUE(MID(E121,LEN(E121)-3,3)),""))</f>
        <v/>
      </c>
      <c r="J121" s="33">
        <f>IF(I121="","",H121&amp;"|"&amp;I121)</f>
        <v/>
      </c>
      <c r="K121" s="33">
        <f>IF(I121="","",IF(H121="À RENSEIGNER","GIC",H121)&amp;"-"&amp;TEXT(I121,"000"))</f>
        <v/>
      </c>
      <c r="L121" s="33">
        <f>IF(J121="","",IFERROR(INDEX(Cl_nom,MATCH(J121,Cl_cle,0)),"(client introuvable)"))</f>
        <v/>
      </c>
      <c r="M121" s="46">
        <f>IF(B121="","",DATE(YEAR(B121),MONTH(B121),1))</f>
        <v/>
      </c>
      <c r="N121" s="33">
        <f>IF(J121="","",IFERROR(INDEX(Cl_quartier,MATCH(J121,Cl_cle,0))&amp;"",""))</f>
        <v/>
      </c>
      <c r="O121" s="33">
        <f>IF(J121="","",IFERROR(INDEX(Cl_tel,MATCH(J121,Cl_cle,0))&amp;"",""))</f>
        <v/>
      </c>
      <c r="P121" s="34">
        <f>IF(J121="","",IFERROR(INDEX(Cl_potentiel,MATCH(J121,Cl_cle,0)),""))</f>
        <v/>
      </c>
      <c r="Q121" s="34">
        <f>IF(J121="","",IF(D121&lt;&gt;"",IF(COUNTIFS(VC_cle,J121,VC_type,"Visite sur place",VC_date,D121)&gt;0,"Visité",IF(D121&lt;TODAY(),"Non fait","À venir")),IF(B121="","",IF(COUNTIFS(VC_cle,J121,VC_type,"Visite sur place",VC_date,"&gt;="&amp;M121,VC_date,"&lt;"&amp;DATE(YEAR(M121),MONTH(M121)+1,1))&gt;0,"Visité","À visiter"))))</f>
        <v/>
      </c>
    </row>
    <row r="122" ht="18" customHeight="1">
      <c r="A122" s="39" t="n">
        <v>117</v>
      </c>
      <c r="B122" s="49" t="n"/>
      <c r="C122" s="43" t="n"/>
      <c r="D122" s="32" t="n"/>
      <c r="E122" s="36" t="n"/>
      <c r="F122" s="36" t="n"/>
      <c r="G122" s="36" t="n"/>
      <c r="H122" s="33">
        <f>IF(E122="","",Commercial_Id)</f>
        <v/>
      </c>
      <c r="I122" s="39">
        <f>IF(E122="","",IFERROR(VALUE(MID(E122,LEN(E122)-3,3)),""))</f>
        <v/>
      </c>
      <c r="J122" s="33">
        <f>IF(I122="","",H122&amp;"|"&amp;I122)</f>
        <v/>
      </c>
      <c r="K122" s="33">
        <f>IF(I122="","",IF(H122="À RENSEIGNER","GIC",H122)&amp;"-"&amp;TEXT(I122,"000"))</f>
        <v/>
      </c>
      <c r="L122" s="33">
        <f>IF(J122="","",IFERROR(INDEX(Cl_nom,MATCH(J122,Cl_cle,0)),"(client introuvable)"))</f>
        <v/>
      </c>
      <c r="M122" s="46">
        <f>IF(B122="","",DATE(YEAR(B122),MONTH(B122),1))</f>
        <v/>
      </c>
      <c r="N122" s="33">
        <f>IF(J122="","",IFERROR(INDEX(Cl_quartier,MATCH(J122,Cl_cle,0))&amp;"",""))</f>
        <v/>
      </c>
      <c r="O122" s="33">
        <f>IF(J122="","",IFERROR(INDEX(Cl_tel,MATCH(J122,Cl_cle,0))&amp;"",""))</f>
        <v/>
      </c>
      <c r="P122" s="34">
        <f>IF(J122="","",IFERROR(INDEX(Cl_potentiel,MATCH(J122,Cl_cle,0)),""))</f>
        <v/>
      </c>
      <c r="Q122" s="34">
        <f>IF(J122="","",IF(D122&lt;&gt;"",IF(COUNTIFS(VC_cle,J122,VC_type,"Visite sur place",VC_date,D122)&gt;0,"Visité",IF(D122&lt;TODAY(),"Non fait","À venir")),IF(B122="","",IF(COUNTIFS(VC_cle,J122,VC_type,"Visite sur place",VC_date,"&gt;="&amp;M122,VC_date,"&lt;"&amp;DATE(YEAR(M122),MONTH(M122)+1,1))&gt;0,"Visité","À visiter"))))</f>
        <v/>
      </c>
    </row>
    <row r="123" ht="18" customHeight="1">
      <c r="A123" s="39" t="n">
        <v>118</v>
      </c>
      <c r="B123" s="49" t="n"/>
      <c r="C123" s="43" t="n"/>
      <c r="D123" s="32" t="n"/>
      <c r="E123" s="36" t="n"/>
      <c r="F123" s="36" t="n"/>
      <c r="G123" s="36" t="n"/>
      <c r="H123" s="33">
        <f>IF(E123="","",Commercial_Id)</f>
        <v/>
      </c>
      <c r="I123" s="39">
        <f>IF(E123="","",IFERROR(VALUE(MID(E123,LEN(E123)-3,3)),""))</f>
        <v/>
      </c>
      <c r="J123" s="33">
        <f>IF(I123="","",H123&amp;"|"&amp;I123)</f>
        <v/>
      </c>
      <c r="K123" s="33">
        <f>IF(I123="","",IF(H123="À RENSEIGNER","GIC",H123)&amp;"-"&amp;TEXT(I123,"000"))</f>
        <v/>
      </c>
      <c r="L123" s="33">
        <f>IF(J123="","",IFERROR(INDEX(Cl_nom,MATCH(J123,Cl_cle,0)),"(client introuvable)"))</f>
        <v/>
      </c>
      <c r="M123" s="46">
        <f>IF(B123="","",DATE(YEAR(B123),MONTH(B123),1))</f>
        <v/>
      </c>
      <c r="N123" s="33">
        <f>IF(J123="","",IFERROR(INDEX(Cl_quartier,MATCH(J123,Cl_cle,0))&amp;"",""))</f>
        <v/>
      </c>
      <c r="O123" s="33">
        <f>IF(J123="","",IFERROR(INDEX(Cl_tel,MATCH(J123,Cl_cle,0))&amp;"",""))</f>
        <v/>
      </c>
      <c r="P123" s="34">
        <f>IF(J123="","",IFERROR(INDEX(Cl_potentiel,MATCH(J123,Cl_cle,0)),""))</f>
        <v/>
      </c>
      <c r="Q123" s="34">
        <f>IF(J123="","",IF(D123&lt;&gt;"",IF(COUNTIFS(VC_cle,J123,VC_type,"Visite sur place",VC_date,D123)&gt;0,"Visité",IF(D123&lt;TODAY(),"Non fait","À venir")),IF(B123="","",IF(COUNTIFS(VC_cle,J123,VC_type,"Visite sur place",VC_date,"&gt;="&amp;M123,VC_date,"&lt;"&amp;DATE(YEAR(M123),MONTH(M123)+1,1))&gt;0,"Visité","À visiter"))))</f>
        <v/>
      </c>
    </row>
    <row r="124" ht="18" customHeight="1">
      <c r="A124" s="39" t="n">
        <v>119</v>
      </c>
      <c r="B124" s="49" t="n"/>
      <c r="C124" s="43" t="n"/>
      <c r="D124" s="32" t="n"/>
      <c r="E124" s="36" t="n"/>
      <c r="F124" s="36" t="n"/>
      <c r="G124" s="36" t="n"/>
      <c r="H124" s="33">
        <f>IF(E124="","",Commercial_Id)</f>
        <v/>
      </c>
      <c r="I124" s="39">
        <f>IF(E124="","",IFERROR(VALUE(MID(E124,LEN(E124)-3,3)),""))</f>
        <v/>
      </c>
      <c r="J124" s="33">
        <f>IF(I124="","",H124&amp;"|"&amp;I124)</f>
        <v/>
      </c>
      <c r="K124" s="33">
        <f>IF(I124="","",IF(H124="À RENSEIGNER","GIC",H124)&amp;"-"&amp;TEXT(I124,"000"))</f>
        <v/>
      </c>
      <c r="L124" s="33">
        <f>IF(J124="","",IFERROR(INDEX(Cl_nom,MATCH(J124,Cl_cle,0)),"(client introuvable)"))</f>
        <v/>
      </c>
      <c r="M124" s="46">
        <f>IF(B124="","",DATE(YEAR(B124),MONTH(B124),1))</f>
        <v/>
      </c>
      <c r="N124" s="33">
        <f>IF(J124="","",IFERROR(INDEX(Cl_quartier,MATCH(J124,Cl_cle,0))&amp;"",""))</f>
        <v/>
      </c>
      <c r="O124" s="33">
        <f>IF(J124="","",IFERROR(INDEX(Cl_tel,MATCH(J124,Cl_cle,0))&amp;"",""))</f>
        <v/>
      </c>
      <c r="P124" s="34">
        <f>IF(J124="","",IFERROR(INDEX(Cl_potentiel,MATCH(J124,Cl_cle,0)),""))</f>
        <v/>
      </c>
      <c r="Q124" s="34">
        <f>IF(J124="","",IF(D124&lt;&gt;"",IF(COUNTIFS(VC_cle,J124,VC_type,"Visite sur place",VC_date,D124)&gt;0,"Visité",IF(D124&lt;TODAY(),"Non fait","À venir")),IF(B124="","",IF(COUNTIFS(VC_cle,J124,VC_type,"Visite sur place",VC_date,"&gt;="&amp;M124,VC_date,"&lt;"&amp;DATE(YEAR(M124),MONTH(M124)+1,1))&gt;0,"Visité","À visiter"))))</f>
        <v/>
      </c>
    </row>
    <row r="125" ht="18" customHeight="1">
      <c r="A125" s="39" t="n">
        <v>120</v>
      </c>
      <c r="B125" s="49" t="n"/>
      <c r="C125" s="43" t="n"/>
      <c r="D125" s="32" t="n"/>
      <c r="E125" s="36" t="n"/>
      <c r="F125" s="36" t="n"/>
      <c r="G125" s="36" t="n"/>
      <c r="H125" s="33">
        <f>IF(E125="","",Commercial_Id)</f>
        <v/>
      </c>
      <c r="I125" s="39">
        <f>IF(E125="","",IFERROR(VALUE(MID(E125,LEN(E125)-3,3)),""))</f>
        <v/>
      </c>
      <c r="J125" s="33">
        <f>IF(I125="","",H125&amp;"|"&amp;I125)</f>
        <v/>
      </c>
      <c r="K125" s="33">
        <f>IF(I125="","",IF(H125="À RENSEIGNER","GIC",H125)&amp;"-"&amp;TEXT(I125,"000"))</f>
        <v/>
      </c>
      <c r="L125" s="33">
        <f>IF(J125="","",IFERROR(INDEX(Cl_nom,MATCH(J125,Cl_cle,0)),"(client introuvable)"))</f>
        <v/>
      </c>
      <c r="M125" s="46">
        <f>IF(B125="","",DATE(YEAR(B125),MONTH(B125),1))</f>
        <v/>
      </c>
      <c r="N125" s="33">
        <f>IF(J125="","",IFERROR(INDEX(Cl_quartier,MATCH(J125,Cl_cle,0))&amp;"",""))</f>
        <v/>
      </c>
      <c r="O125" s="33">
        <f>IF(J125="","",IFERROR(INDEX(Cl_tel,MATCH(J125,Cl_cle,0))&amp;"",""))</f>
        <v/>
      </c>
      <c r="P125" s="34">
        <f>IF(J125="","",IFERROR(INDEX(Cl_potentiel,MATCH(J125,Cl_cle,0)),""))</f>
        <v/>
      </c>
      <c r="Q125" s="34">
        <f>IF(J125="","",IF(D125&lt;&gt;"",IF(COUNTIFS(VC_cle,J125,VC_type,"Visite sur place",VC_date,D125)&gt;0,"Visité",IF(D125&lt;TODAY(),"Non fait","À venir")),IF(B125="","",IF(COUNTIFS(VC_cle,J125,VC_type,"Visite sur place",VC_date,"&gt;="&amp;M125,VC_date,"&lt;"&amp;DATE(YEAR(M125),MONTH(M125)+1,1))&gt;0,"Visité","À visiter"))))</f>
        <v/>
      </c>
    </row>
    <row r="126" ht="18" customHeight="1">
      <c r="A126" s="39" t="n">
        <v>121</v>
      </c>
      <c r="B126" s="49" t="n"/>
      <c r="C126" s="43" t="n"/>
      <c r="D126" s="32" t="n"/>
      <c r="E126" s="36" t="n"/>
      <c r="F126" s="36" t="n"/>
      <c r="G126" s="36" t="n"/>
      <c r="H126" s="33">
        <f>IF(E126="","",Commercial_Id)</f>
        <v/>
      </c>
      <c r="I126" s="39">
        <f>IF(E126="","",IFERROR(VALUE(MID(E126,LEN(E126)-3,3)),""))</f>
        <v/>
      </c>
      <c r="J126" s="33">
        <f>IF(I126="","",H126&amp;"|"&amp;I126)</f>
        <v/>
      </c>
      <c r="K126" s="33">
        <f>IF(I126="","",IF(H126="À RENSEIGNER","GIC",H126)&amp;"-"&amp;TEXT(I126,"000"))</f>
        <v/>
      </c>
      <c r="L126" s="33">
        <f>IF(J126="","",IFERROR(INDEX(Cl_nom,MATCH(J126,Cl_cle,0)),"(client introuvable)"))</f>
        <v/>
      </c>
      <c r="M126" s="46">
        <f>IF(B126="","",DATE(YEAR(B126),MONTH(B126),1))</f>
        <v/>
      </c>
      <c r="N126" s="33">
        <f>IF(J126="","",IFERROR(INDEX(Cl_quartier,MATCH(J126,Cl_cle,0))&amp;"",""))</f>
        <v/>
      </c>
      <c r="O126" s="33">
        <f>IF(J126="","",IFERROR(INDEX(Cl_tel,MATCH(J126,Cl_cle,0))&amp;"",""))</f>
        <v/>
      </c>
      <c r="P126" s="34">
        <f>IF(J126="","",IFERROR(INDEX(Cl_potentiel,MATCH(J126,Cl_cle,0)),""))</f>
        <v/>
      </c>
      <c r="Q126" s="34">
        <f>IF(J126="","",IF(D126&lt;&gt;"",IF(COUNTIFS(VC_cle,J126,VC_type,"Visite sur place",VC_date,D126)&gt;0,"Visité",IF(D126&lt;TODAY(),"Non fait","À venir")),IF(B126="","",IF(COUNTIFS(VC_cle,J126,VC_type,"Visite sur place",VC_date,"&gt;="&amp;M126,VC_date,"&lt;"&amp;DATE(YEAR(M126),MONTH(M126)+1,1))&gt;0,"Visité","À visiter"))))</f>
        <v/>
      </c>
    </row>
    <row r="127" ht="18" customHeight="1">
      <c r="A127" s="39" t="n">
        <v>122</v>
      </c>
      <c r="B127" s="49" t="n"/>
      <c r="C127" s="43" t="n"/>
      <c r="D127" s="32" t="n"/>
      <c r="E127" s="36" t="n"/>
      <c r="F127" s="36" t="n"/>
      <c r="G127" s="36" t="n"/>
      <c r="H127" s="33">
        <f>IF(E127="","",Commercial_Id)</f>
        <v/>
      </c>
      <c r="I127" s="39">
        <f>IF(E127="","",IFERROR(VALUE(MID(E127,LEN(E127)-3,3)),""))</f>
        <v/>
      </c>
      <c r="J127" s="33">
        <f>IF(I127="","",H127&amp;"|"&amp;I127)</f>
        <v/>
      </c>
      <c r="K127" s="33">
        <f>IF(I127="","",IF(H127="À RENSEIGNER","GIC",H127)&amp;"-"&amp;TEXT(I127,"000"))</f>
        <v/>
      </c>
      <c r="L127" s="33">
        <f>IF(J127="","",IFERROR(INDEX(Cl_nom,MATCH(J127,Cl_cle,0)),"(client introuvable)"))</f>
        <v/>
      </c>
      <c r="M127" s="46">
        <f>IF(B127="","",DATE(YEAR(B127),MONTH(B127),1))</f>
        <v/>
      </c>
      <c r="N127" s="33">
        <f>IF(J127="","",IFERROR(INDEX(Cl_quartier,MATCH(J127,Cl_cle,0))&amp;"",""))</f>
        <v/>
      </c>
      <c r="O127" s="33">
        <f>IF(J127="","",IFERROR(INDEX(Cl_tel,MATCH(J127,Cl_cle,0))&amp;"",""))</f>
        <v/>
      </c>
      <c r="P127" s="34">
        <f>IF(J127="","",IFERROR(INDEX(Cl_potentiel,MATCH(J127,Cl_cle,0)),""))</f>
        <v/>
      </c>
      <c r="Q127" s="34">
        <f>IF(J127="","",IF(D127&lt;&gt;"",IF(COUNTIFS(VC_cle,J127,VC_type,"Visite sur place",VC_date,D127)&gt;0,"Visité",IF(D127&lt;TODAY(),"Non fait","À venir")),IF(B127="","",IF(COUNTIFS(VC_cle,J127,VC_type,"Visite sur place",VC_date,"&gt;="&amp;M127,VC_date,"&lt;"&amp;DATE(YEAR(M127),MONTH(M127)+1,1))&gt;0,"Visité","À visiter"))))</f>
        <v/>
      </c>
    </row>
    <row r="128" ht="18" customHeight="1">
      <c r="A128" s="39" t="n">
        <v>123</v>
      </c>
      <c r="B128" s="49" t="n"/>
      <c r="C128" s="43" t="n"/>
      <c r="D128" s="32" t="n"/>
      <c r="E128" s="36" t="n"/>
      <c r="F128" s="36" t="n"/>
      <c r="G128" s="36" t="n"/>
      <c r="H128" s="33">
        <f>IF(E128="","",Commercial_Id)</f>
        <v/>
      </c>
      <c r="I128" s="39">
        <f>IF(E128="","",IFERROR(VALUE(MID(E128,LEN(E128)-3,3)),""))</f>
        <v/>
      </c>
      <c r="J128" s="33">
        <f>IF(I128="","",H128&amp;"|"&amp;I128)</f>
        <v/>
      </c>
      <c r="K128" s="33">
        <f>IF(I128="","",IF(H128="À RENSEIGNER","GIC",H128)&amp;"-"&amp;TEXT(I128,"000"))</f>
        <v/>
      </c>
      <c r="L128" s="33">
        <f>IF(J128="","",IFERROR(INDEX(Cl_nom,MATCH(J128,Cl_cle,0)),"(client introuvable)"))</f>
        <v/>
      </c>
      <c r="M128" s="46">
        <f>IF(B128="","",DATE(YEAR(B128),MONTH(B128),1))</f>
        <v/>
      </c>
      <c r="N128" s="33">
        <f>IF(J128="","",IFERROR(INDEX(Cl_quartier,MATCH(J128,Cl_cle,0))&amp;"",""))</f>
        <v/>
      </c>
      <c r="O128" s="33">
        <f>IF(J128="","",IFERROR(INDEX(Cl_tel,MATCH(J128,Cl_cle,0))&amp;"",""))</f>
        <v/>
      </c>
      <c r="P128" s="34">
        <f>IF(J128="","",IFERROR(INDEX(Cl_potentiel,MATCH(J128,Cl_cle,0)),""))</f>
        <v/>
      </c>
      <c r="Q128" s="34">
        <f>IF(J128="","",IF(D128&lt;&gt;"",IF(COUNTIFS(VC_cle,J128,VC_type,"Visite sur place",VC_date,D128)&gt;0,"Visité",IF(D128&lt;TODAY(),"Non fait","À venir")),IF(B128="","",IF(COUNTIFS(VC_cle,J128,VC_type,"Visite sur place",VC_date,"&gt;="&amp;M128,VC_date,"&lt;"&amp;DATE(YEAR(M128),MONTH(M128)+1,1))&gt;0,"Visité","À visiter"))))</f>
        <v/>
      </c>
    </row>
    <row r="129" ht="18" customHeight="1">
      <c r="A129" s="39" t="n">
        <v>124</v>
      </c>
      <c r="B129" s="49" t="n"/>
      <c r="C129" s="43" t="n"/>
      <c r="D129" s="32" t="n"/>
      <c r="E129" s="36" t="n"/>
      <c r="F129" s="36" t="n"/>
      <c r="G129" s="36" t="n"/>
      <c r="H129" s="33">
        <f>IF(E129="","",Commercial_Id)</f>
        <v/>
      </c>
      <c r="I129" s="39">
        <f>IF(E129="","",IFERROR(VALUE(MID(E129,LEN(E129)-3,3)),""))</f>
        <v/>
      </c>
      <c r="J129" s="33">
        <f>IF(I129="","",H129&amp;"|"&amp;I129)</f>
        <v/>
      </c>
      <c r="K129" s="33">
        <f>IF(I129="","",IF(H129="À RENSEIGNER","GIC",H129)&amp;"-"&amp;TEXT(I129,"000"))</f>
        <v/>
      </c>
      <c r="L129" s="33">
        <f>IF(J129="","",IFERROR(INDEX(Cl_nom,MATCH(J129,Cl_cle,0)),"(client introuvable)"))</f>
        <v/>
      </c>
      <c r="M129" s="46">
        <f>IF(B129="","",DATE(YEAR(B129),MONTH(B129),1))</f>
        <v/>
      </c>
      <c r="N129" s="33">
        <f>IF(J129="","",IFERROR(INDEX(Cl_quartier,MATCH(J129,Cl_cle,0))&amp;"",""))</f>
        <v/>
      </c>
      <c r="O129" s="33">
        <f>IF(J129="","",IFERROR(INDEX(Cl_tel,MATCH(J129,Cl_cle,0))&amp;"",""))</f>
        <v/>
      </c>
      <c r="P129" s="34">
        <f>IF(J129="","",IFERROR(INDEX(Cl_potentiel,MATCH(J129,Cl_cle,0)),""))</f>
        <v/>
      </c>
      <c r="Q129" s="34">
        <f>IF(J129="","",IF(D129&lt;&gt;"",IF(COUNTIFS(VC_cle,J129,VC_type,"Visite sur place",VC_date,D129)&gt;0,"Visité",IF(D129&lt;TODAY(),"Non fait","À venir")),IF(B129="","",IF(COUNTIFS(VC_cle,J129,VC_type,"Visite sur place",VC_date,"&gt;="&amp;M129,VC_date,"&lt;"&amp;DATE(YEAR(M129),MONTH(M129)+1,1))&gt;0,"Visité","À visiter"))))</f>
        <v/>
      </c>
    </row>
    <row r="130" ht="18" customHeight="1">
      <c r="A130" s="39" t="n">
        <v>125</v>
      </c>
      <c r="B130" s="49" t="n"/>
      <c r="C130" s="43" t="n"/>
      <c r="D130" s="32" t="n"/>
      <c r="E130" s="36" t="n"/>
      <c r="F130" s="36" t="n"/>
      <c r="G130" s="36" t="n"/>
      <c r="H130" s="33">
        <f>IF(E130="","",Commercial_Id)</f>
        <v/>
      </c>
      <c r="I130" s="39">
        <f>IF(E130="","",IFERROR(VALUE(MID(E130,LEN(E130)-3,3)),""))</f>
        <v/>
      </c>
      <c r="J130" s="33">
        <f>IF(I130="","",H130&amp;"|"&amp;I130)</f>
        <v/>
      </c>
      <c r="K130" s="33">
        <f>IF(I130="","",IF(H130="À RENSEIGNER","GIC",H130)&amp;"-"&amp;TEXT(I130,"000"))</f>
        <v/>
      </c>
      <c r="L130" s="33">
        <f>IF(J130="","",IFERROR(INDEX(Cl_nom,MATCH(J130,Cl_cle,0)),"(client introuvable)"))</f>
        <v/>
      </c>
      <c r="M130" s="46">
        <f>IF(B130="","",DATE(YEAR(B130),MONTH(B130),1))</f>
        <v/>
      </c>
      <c r="N130" s="33">
        <f>IF(J130="","",IFERROR(INDEX(Cl_quartier,MATCH(J130,Cl_cle,0))&amp;"",""))</f>
        <v/>
      </c>
      <c r="O130" s="33">
        <f>IF(J130="","",IFERROR(INDEX(Cl_tel,MATCH(J130,Cl_cle,0))&amp;"",""))</f>
        <v/>
      </c>
      <c r="P130" s="34">
        <f>IF(J130="","",IFERROR(INDEX(Cl_potentiel,MATCH(J130,Cl_cle,0)),""))</f>
        <v/>
      </c>
      <c r="Q130" s="34">
        <f>IF(J130="","",IF(D130&lt;&gt;"",IF(COUNTIFS(VC_cle,J130,VC_type,"Visite sur place",VC_date,D130)&gt;0,"Visité",IF(D130&lt;TODAY(),"Non fait","À venir")),IF(B130="","",IF(COUNTIFS(VC_cle,J130,VC_type,"Visite sur place",VC_date,"&gt;="&amp;M130,VC_date,"&lt;"&amp;DATE(YEAR(M130),MONTH(M130)+1,1))&gt;0,"Visité","À visiter"))))</f>
        <v/>
      </c>
    </row>
    <row r="131" ht="18" customHeight="1">
      <c r="A131" s="39" t="n">
        <v>126</v>
      </c>
      <c r="B131" s="49" t="n"/>
      <c r="C131" s="43" t="n"/>
      <c r="D131" s="32" t="n"/>
      <c r="E131" s="36" t="n"/>
      <c r="F131" s="36" t="n"/>
      <c r="G131" s="36" t="n"/>
      <c r="H131" s="33">
        <f>IF(E131="","",Commercial_Id)</f>
        <v/>
      </c>
      <c r="I131" s="39">
        <f>IF(E131="","",IFERROR(VALUE(MID(E131,LEN(E131)-3,3)),""))</f>
        <v/>
      </c>
      <c r="J131" s="33">
        <f>IF(I131="","",H131&amp;"|"&amp;I131)</f>
        <v/>
      </c>
      <c r="K131" s="33">
        <f>IF(I131="","",IF(H131="À RENSEIGNER","GIC",H131)&amp;"-"&amp;TEXT(I131,"000"))</f>
        <v/>
      </c>
      <c r="L131" s="33">
        <f>IF(J131="","",IFERROR(INDEX(Cl_nom,MATCH(J131,Cl_cle,0)),"(client introuvable)"))</f>
        <v/>
      </c>
      <c r="M131" s="46">
        <f>IF(B131="","",DATE(YEAR(B131),MONTH(B131),1))</f>
        <v/>
      </c>
      <c r="N131" s="33">
        <f>IF(J131="","",IFERROR(INDEX(Cl_quartier,MATCH(J131,Cl_cle,0))&amp;"",""))</f>
        <v/>
      </c>
      <c r="O131" s="33">
        <f>IF(J131="","",IFERROR(INDEX(Cl_tel,MATCH(J131,Cl_cle,0))&amp;"",""))</f>
        <v/>
      </c>
      <c r="P131" s="34">
        <f>IF(J131="","",IFERROR(INDEX(Cl_potentiel,MATCH(J131,Cl_cle,0)),""))</f>
        <v/>
      </c>
      <c r="Q131" s="34">
        <f>IF(J131="","",IF(D131&lt;&gt;"",IF(COUNTIFS(VC_cle,J131,VC_type,"Visite sur place",VC_date,D131)&gt;0,"Visité",IF(D131&lt;TODAY(),"Non fait","À venir")),IF(B131="","",IF(COUNTIFS(VC_cle,J131,VC_type,"Visite sur place",VC_date,"&gt;="&amp;M131,VC_date,"&lt;"&amp;DATE(YEAR(M131),MONTH(M131)+1,1))&gt;0,"Visité","À visiter"))))</f>
        <v/>
      </c>
    </row>
    <row r="132" ht="18" customHeight="1">
      <c r="A132" s="39" t="n">
        <v>127</v>
      </c>
      <c r="B132" s="49" t="n"/>
      <c r="C132" s="43" t="n"/>
      <c r="D132" s="32" t="n"/>
      <c r="E132" s="36" t="n"/>
      <c r="F132" s="36" t="n"/>
      <c r="G132" s="36" t="n"/>
      <c r="H132" s="33">
        <f>IF(E132="","",Commercial_Id)</f>
        <v/>
      </c>
      <c r="I132" s="39">
        <f>IF(E132="","",IFERROR(VALUE(MID(E132,LEN(E132)-3,3)),""))</f>
        <v/>
      </c>
      <c r="J132" s="33">
        <f>IF(I132="","",H132&amp;"|"&amp;I132)</f>
        <v/>
      </c>
      <c r="K132" s="33">
        <f>IF(I132="","",IF(H132="À RENSEIGNER","GIC",H132)&amp;"-"&amp;TEXT(I132,"000"))</f>
        <v/>
      </c>
      <c r="L132" s="33">
        <f>IF(J132="","",IFERROR(INDEX(Cl_nom,MATCH(J132,Cl_cle,0)),"(client introuvable)"))</f>
        <v/>
      </c>
      <c r="M132" s="46">
        <f>IF(B132="","",DATE(YEAR(B132),MONTH(B132),1))</f>
        <v/>
      </c>
      <c r="N132" s="33">
        <f>IF(J132="","",IFERROR(INDEX(Cl_quartier,MATCH(J132,Cl_cle,0))&amp;"",""))</f>
        <v/>
      </c>
      <c r="O132" s="33">
        <f>IF(J132="","",IFERROR(INDEX(Cl_tel,MATCH(J132,Cl_cle,0))&amp;"",""))</f>
        <v/>
      </c>
      <c r="P132" s="34">
        <f>IF(J132="","",IFERROR(INDEX(Cl_potentiel,MATCH(J132,Cl_cle,0)),""))</f>
        <v/>
      </c>
      <c r="Q132" s="34">
        <f>IF(J132="","",IF(D132&lt;&gt;"",IF(COUNTIFS(VC_cle,J132,VC_type,"Visite sur place",VC_date,D132)&gt;0,"Visité",IF(D132&lt;TODAY(),"Non fait","À venir")),IF(B132="","",IF(COUNTIFS(VC_cle,J132,VC_type,"Visite sur place",VC_date,"&gt;="&amp;M132,VC_date,"&lt;"&amp;DATE(YEAR(M132),MONTH(M132)+1,1))&gt;0,"Visité","À visiter"))))</f>
        <v/>
      </c>
    </row>
    <row r="133" ht="18" customHeight="1">
      <c r="A133" s="39" t="n">
        <v>128</v>
      </c>
      <c r="B133" s="49" t="n"/>
      <c r="C133" s="43" t="n"/>
      <c r="D133" s="32" t="n"/>
      <c r="E133" s="36" t="n"/>
      <c r="F133" s="36" t="n"/>
      <c r="G133" s="36" t="n"/>
      <c r="H133" s="33">
        <f>IF(E133="","",Commercial_Id)</f>
        <v/>
      </c>
      <c r="I133" s="39">
        <f>IF(E133="","",IFERROR(VALUE(MID(E133,LEN(E133)-3,3)),""))</f>
        <v/>
      </c>
      <c r="J133" s="33">
        <f>IF(I133="","",H133&amp;"|"&amp;I133)</f>
        <v/>
      </c>
      <c r="K133" s="33">
        <f>IF(I133="","",IF(H133="À RENSEIGNER","GIC",H133)&amp;"-"&amp;TEXT(I133,"000"))</f>
        <v/>
      </c>
      <c r="L133" s="33">
        <f>IF(J133="","",IFERROR(INDEX(Cl_nom,MATCH(J133,Cl_cle,0)),"(client introuvable)"))</f>
        <v/>
      </c>
      <c r="M133" s="46">
        <f>IF(B133="","",DATE(YEAR(B133),MONTH(B133),1))</f>
        <v/>
      </c>
      <c r="N133" s="33">
        <f>IF(J133="","",IFERROR(INDEX(Cl_quartier,MATCH(J133,Cl_cle,0))&amp;"",""))</f>
        <v/>
      </c>
      <c r="O133" s="33">
        <f>IF(J133="","",IFERROR(INDEX(Cl_tel,MATCH(J133,Cl_cle,0))&amp;"",""))</f>
        <v/>
      </c>
      <c r="P133" s="34">
        <f>IF(J133="","",IFERROR(INDEX(Cl_potentiel,MATCH(J133,Cl_cle,0)),""))</f>
        <v/>
      </c>
      <c r="Q133" s="34">
        <f>IF(J133="","",IF(D133&lt;&gt;"",IF(COUNTIFS(VC_cle,J133,VC_type,"Visite sur place",VC_date,D133)&gt;0,"Visité",IF(D133&lt;TODAY(),"Non fait","À venir")),IF(B133="","",IF(COUNTIFS(VC_cle,J133,VC_type,"Visite sur place",VC_date,"&gt;="&amp;M133,VC_date,"&lt;"&amp;DATE(YEAR(M133),MONTH(M133)+1,1))&gt;0,"Visité","À visiter"))))</f>
        <v/>
      </c>
    </row>
    <row r="134" ht="18" customHeight="1">
      <c r="A134" s="39" t="n">
        <v>129</v>
      </c>
      <c r="B134" s="49" t="n"/>
      <c r="C134" s="43" t="n"/>
      <c r="D134" s="32" t="n"/>
      <c r="E134" s="36" t="n"/>
      <c r="F134" s="36" t="n"/>
      <c r="G134" s="36" t="n"/>
      <c r="H134" s="33">
        <f>IF(E134="","",Commercial_Id)</f>
        <v/>
      </c>
      <c r="I134" s="39">
        <f>IF(E134="","",IFERROR(VALUE(MID(E134,LEN(E134)-3,3)),""))</f>
        <v/>
      </c>
      <c r="J134" s="33">
        <f>IF(I134="","",H134&amp;"|"&amp;I134)</f>
        <v/>
      </c>
      <c r="K134" s="33">
        <f>IF(I134="","",IF(H134="À RENSEIGNER","GIC",H134)&amp;"-"&amp;TEXT(I134,"000"))</f>
        <v/>
      </c>
      <c r="L134" s="33">
        <f>IF(J134="","",IFERROR(INDEX(Cl_nom,MATCH(J134,Cl_cle,0)),"(client introuvable)"))</f>
        <v/>
      </c>
      <c r="M134" s="46">
        <f>IF(B134="","",DATE(YEAR(B134),MONTH(B134),1))</f>
        <v/>
      </c>
      <c r="N134" s="33">
        <f>IF(J134="","",IFERROR(INDEX(Cl_quartier,MATCH(J134,Cl_cle,0))&amp;"",""))</f>
        <v/>
      </c>
      <c r="O134" s="33">
        <f>IF(J134="","",IFERROR(INDEX(Cl_tel,MATCH(J134,Cl_cle,0))&amp;"",""))</f>
        <v/>
      </c>
      <c r="P134" s="34">
        <f>IF(J134="","",IFERROR(INDEX(Cl_potentiel,MATCH(J134,Cl_cle,0)),""))</f>
        <v/>
      </c>
      <c r="Q134" s="34">
        <f>IF(J134="","",IF(D134&lt;&gt;"",IF(COUNTIFS(VC_cle,J134,VC_type,"Visite sur place",VC_date,D134)&gt;0,"Visité",IF(D134&lt;TODAY(),"Non fait","À venir")),IF(B134="","",IF(COUNTIFS(VC_cle,J134,VC_type,"Visite sur place",VC_date,"&gt;="&amp;M134,VC_date,"&lt;"&amp;DATE(YEAR(M134),MONTH(M134)+1,1))&gt;0,"Visité","À visiter"))))</f>
        <v/>
      </c>
    </row>
    <row r="135" ht="18" customHeight="1">
      <c r="A135" s="39" t="n">
        <v>130</v>
      </c>
      <c r="B135" s="49" t="n"/>
      <c r="C135" s="43" t="n"/>
      <c r="D135" s="32" t="n"/>
      <c r="E135" s="36" t="n"/>
      <c r="F135" s="36" t="n"/>
      <c r="G135" s="36" t="n"/>
      <c r="H135" s="33">
        <f>IF(E135="","",Commercial_Id)</f>
        <v/>
      </c>
      <c r="I135" s="39">
        <f>IF(E135="","",IFERROR(VALUE(MID(E135,LEN(E135)-3,3)),""))</f>
        <v/>
      </c>
      <c r="J135" s="33">
        <f>IF(I135="","",H135&amp;"|"&amp;I135)</f>
        <v/>
      </c>
      <c r="K135" s="33">
        <f>IF(I135="","",IF(H135="À RENSEIGNER","GIC",H135)&amp;"-"&amp;TEXT(I135,"000"))</f>
        <v/>
      </c>
      <c r="L135" s="33">
        <f>IF(J135="","",IFERROR(INDEX(Cl_nom,MATCH(J135,Cl_cle,0)),"(client introuvable)"))</f>
        <v/>
      </c>
      <c r="M135" s="46">
        <f>IF(B135="","",DATE(YEAR(B135),MONTH(B135),1))</f>
        <v/>
      </c>
      <c r="N135" s="33">
        <f>IF(J135="","",IFERROR(INDEX(Cl_quartier,MATCH(J135,Cl_cle,0))&amp;"",""))</f>
        <v/>
      </c>
      <c r="O135" s="33">
        <f>IF(J135="","",IFERROR(INDEX(Cl_tel,MATCH(J135,Cl_cle,0))&amp;"",""))</f>
        <v/>
      </c>
      <c r="P135" s="34">
        <f>IF(J135="","",IFERROR(INDEX(Cl_potentiel,MATCH(J135,Cl_cle,0)),""))</f>
        <v/>
      </c>
      <c r="Q135" s="34">
        <f>IF(J135="","",IF(D135&lt;&gt;"",IF(COUNTIFS(VC_cle,J135,VC_type,"Visite sur place",VC_date,D135)&gt;0,"Visité",IF(D135&lt;TODAY(),"Non fait","À venir")),IF(B135="","",IF(COUNTIFS(VC_cle,J135,VC_type,"Visite sur place",VC_date,"&gt;="&amp;M135,VC_date,"&lt;"&amp;DATE(YEAR(M135),MONTH(M135)+1,1))&gt;0,"Visité","À visiter"))))</f>
        <v/>
      </c>
    </row>
    <row r="136" ht="18" customHeight="1">
      <c r="A136" s="39" t="n">
        <v>131</v>
      </c>
      <c r="B136" s="49" t="n"/>
      <c r="C136" s="43" t="n"/>
      <c r="D136" s="32" t="n"/>
      <c r="E136" s="36" t="n"/>
      <c r="F136" s="36" t="n"/>
      <c r="G136" s="36" t="n"/>
      <c r="H136" s="33">
        <f>IF(E136="","",Commercial_Id)</f>
        <v/>
      </c>
      <c r="I136" s="39">
        <f>IF(E136="","",IFERROR(VALUE(MID(E136,LEN(E136)-3,3)),""))</f>
        <v/>
      </c>
      <c r="J136" s="33">
        <f>IF(I136="","",H136&amp;"|"&amp;I136)</f>
        <v/>
      </c>
      <c r="K136" s="33">
        <f>IF(I136="","",IF(H136="À RENSEIGNER","GIC",H136)&amp;"-"&amp;TEXT(I136,"000"))</f>
        <v/>
      </c>
      <c r="L136" s="33">
        <f>IF(J136="","",IFERROR(INDEX(Cl_nom,MATCH(J136,Cl_cle,0)),"(client introuvable)"))</f>
        <v/>
      </c>
      <c r="M136" s="46">
        <f>IF(B136="","",DATE(YEAR(B136),MONTH(B136),1))</f>
        <v/>
      </c>
      <c r="N136" s="33">
        <f>IF(J136="","",IFERROR(INDEX(Cl_quartier,MATCH(J136,Cl_cle,0))&amp;"",""))</f>
        <v/>
      </c>
      <c r="O136" s="33">
        <f>IF(J136="","",IFERROR(INDEX(Cl_tel,MATCH(J136,Cl_cle,0))&amp;"",""))</f>
        <v/>
      </c>
      <c r="P136" s="34">
        <f>IF(J136="","",IFERROR(INDEX(Cl_potentiel,MATCH(J136,Cl_cle,0)),""))</f>
        <v/>
      </c>
      <c r="Q136" s="34">
        <f>IF(J136="","",IF(D136&lt;&gt;"",IF(COUNTIFS(VC_cle,J136,VC_type,"Visite sur place",VC_date,D136)&gt;0,"Visité",IF(D136&lt;TODAY(),"Non fait","À venir")),IF(B136="","",IF(COUNTIFS(VC_cle,J136,VC_type,"Visite sur place",VC_date,"&gt;="&amp;M136,VC_date,"&lt;"&amp;DATE(YEAR(M136),MONTH(M136)+1,1))&gt;0,"Visité","À visiter"))))</f>
        <v/>
      </c>
    </row>
    <row r="137" ht="18" customHeight="1">
      <c r="A137" s="39" t="n">
        <v>132</v>
      </c>
      <c r="B137" s="49" t="n"/>
      <c r="C137" s="43" t="n"/>
      <c r="D137" s="32" t="n"/>
      <c r="E137" s="36" t="n"/>
      <c r="F137" s="36" t="n"/>
      <c r="G137" s="36" t="n"/>
      <c r="H137" s="33">
        <f>IF(E137="","",Commercial_Id)</f>
        <v/>
      </c>
      <c r="I137" s="39">
        <f>IF(E137="","",IFERROR(VALUE(MID(E137,LEN(E137)-3,3)),""))</f>
        <v/>
      </c>
      <c r="J137" s="33">
        <f>IF(I137="","",H137&amp;"|"&amp;I137)</f>
        <v/>
      </c>
      <c r="K137" s="33">
        <f>IF(I137="","",IF(H137="À RENSEIGNER","GIC",H137)&amp;"-"&amp;TEXT(I137,"000"))</f>
        <v/>
      </c>
      <c r="L137" s="33">
        <f>IF(J137="","",IFERROR(INDEX(Cl_nom,MATCH(J137,Cl_cle,0)),"(client introuvable)"))</f>
        <v/>
      </c>
      <c r="M137" s="46">
        <f>IF(B137="","",DATE(YEAR(B137),MONTH(B137),1))</f>
        <v/>
      </c>
      <c r="N137" s="33">
        <f>IF(J137="","",IFERROR(INDEX(Cl_quartier,MATCH(J137,Cl_cle,0))&amp;"",""))</f>
        <v/>
      </c>
      <c r="O137" s="33">
        <f>IF(J137="","",IFERROR(INDEX(Cl_tel,MATCH(J137,Cl_cle,0))&amp;"",""))</f>
        <v/>
      </c>
      <c r="P137" s="34">
        <f>IF(J137="","",IFERROR(INDEX(Cl_potentiel,MATCH(J137,Cl_cle,0)),""))</f>
        <v/>
      </c>
      <c r="Q137" s="34">
        <f>IF(J137="","",IF(D137&lt;&gt;"",IF(COUNTIFS(VC_cle,J137,VC_type,"Visite sur place",VC_date,D137)&gt;0,"Visité",IF(D137&lt;TODAY(),"Non fait","À venir")),IF(B137="","",IF(COUNTIFS(VC_cle,J137,VC_type,"Visite sur place",VC_date,"&gt;="&amp;M137,VC_date,"&lt;"&amp;DATE(YEAR(M137),MONTH(M137)+1,1))&gt;0,"Visité","À visiter"))))</f>
        <v/>
      </c>
    </row>
    <row r="138" ht="18" customHeight="1">
      <c r="A138" s="39" t="n">
        <v>133</v>
      </c>
      <c r="B138" s="49" t="n"/>
      <c r="C138" s="43" t="n"/>
      <c r="D138" s="32" t="n"/>
      <c r="E138" s="36" t="n"/>
      <c r="F138" s="36" t="n"/>
      <c r="G138" s="36" t="n"/>
      <c r="H138" s="33">
        <f>IF(E138="","",Commercial_Id)</f>
        <v/>
      </c>
      <c r="I138" s="39">
        <f>IF(E138="","",IFERROR(VALUE(MID(E138,LEN(E138)-3,3)),""))</f>
        <v/>
      </c>
      <c r="J138" s="33">
        <f>IF(I138="","",H138&amp;"|"&amp;I138)</f>
        <v/>
      </c>
      <c r="K138" s="33">
        <f>IF(I138="","",IF(H138="À RENSEIGNER","GIC",H138)&amp;"-"&amp;TEXT(I138,"000"))</f>
        <v/>
      </c>
      <c r="L138" s="33">
        <f>IF(J138="","",IFERROR(INDEX(Cl_nom,MATCH(J138,Cl_cle,0)),"(client introuvable)"))</f>
        <v/>
      </c>
      <c r="M138" s="46">
        <f>IF(B138="","",DATE(YEAR(B138),MONTH(B138),1))</f>
        <v/>
      </c>
      <c r="N138" s="33">
        <f>IF(J138="","",IFERROR(INDEX(Cl_quartier,MATCH(J138,Cl_cle,0))&amp;"",""))</f>
        <v/>
      </c>
      <c r="O138" s="33">
        <f>IF(J138="","",IFERROR(INDEX(Cl_tel,MATCH(J138,Cl_cle,0))&amp;"",""))</f>
        <v/>
      </c>
      <c r="P138" s="34">
        <f>IF(J138="","",IFERROR(INDEX(Cl_potentiel,MATCH(J138,Cl_cle,0)),""))</f>
        <v/>
      </c>
      <c r="Q138" s="34">
        <f>IF(J138="","",IF(D138&lt;&gt;"",IF(COUNTIFS(VC_cle,J138,VC_type,"Visite sur place",VC_date,D138)&gt;0,"Visité",IF(D138&lt;TODAY(),"Non fait","À venir")),IF(B138="","",IF(COUNTIFS(VC_cle,J138,VC_type,"Visite sur place",VC_date,"&gt;="&amp;M138,VC_date,"&lt;"&amp;DATE(YEAR(M138),MONTH(M138)+1,1))&gt;0,"Visité","À visiter"))))</f>
        <v/>
      </c>
    </row>
    <row r="139" ht="18" customHeight="1">
      <c r="A139" s="39" t="n">
        <v>134</v>
      </c>
      <c r="B139" s="49" t="n"/>
      <c r="C139" s="43" t="n"/>
      <c r="D139" s="32" t="n"/>
      <c r="E139" s="36" t="n"/>
      <c r="F139" s="36" t="n"/>
      <c r="G139" s="36" t="n"/>
      <c r="H139" s="33">
        <f>IF(E139="","",Commercial_Id)</f>
        <v/>
      </c>
      <c r="I139" s="39">
        <f>IF(E139="","",IFERROR(VALUE(MID(E139,LEN(E139)-3,3)),""))</f>
        <v/>
      </c>
      <c r="J139" s="33">
        <f>IF(I139="","",H139&amp;"|"&amp;I139)</f>
        <v/>
      </c>
      <c r="K139" s="33">
        <f>IF(I139="","",IF(H139="À RENSEIGNER","GIC",H139)&amp;"-"&amp;TEXT(I139,"000"))</f>
        <v/>
      </c>
      <c r="L139" s="33">
        <f>IF(J139="","",IFERROR(INDEX(Cl_nom,MATCH(J139,Cl_cle,0)),"(client introuvable)"))</f>
        <v/>
      </c>
      <c r="M139" s="46">
        <f>IF(B139="","",DATE(YEAR(B139),MONTH(B139),1))</f>
        <v/>
      </c>
      <c r="N139" s="33">
        <f>IF(J139="","",IFERROR(INDEX(Cl_quartier,MATCH(J139,Cl_cle,0))&amp;"",""))</f>
        <v/>
      </c>
      <c r="O139" s="33">
        <f>IF(J139="","",IFERROR(INDEX(Cl_tel,MATCH(J139,Cl_cle,0))&amp;"",""))</f>
        <v/>
      </c>
      <c r="P139" s="34">
        <f>IF(J139="","",IFERROR(INDEX(Cl_potentiel,MATCH(J139,Cl_cle,0)),""))</f>
        <v/>
      </c>
      <c r="Q139" s="34">
        <f>IF(J139="","",IF(D139&lt;&gt;"",IF(COUNTIFS(VC_cle,J139,VC_type,"Visite sur place",VC_date,D139)&gt;0,"Visité",IF(D139&lt;TODAY(),"Non fait","À venir")),IF(B139="","",IF(COUNTIFS(VC_cle,J139,VC_type,"Visite sur place",VC_date,"&gt;="&amp;M139,VC_date,"&lt;"&amp;DATE(YEAR(M139),MONTH(M139)+1,1))&gt;0,"Visité","À visiter"))))</f>
        <v/>
      </c>
    </row>
    <row r="140" ht="18" customHeight="1">
      <c r="A140" s="39" t="n">
        <v>135</v>
      </c>
      <c r="B140" s="49" t="n"/>
      <c r="C140" s="43" t="n"/>
      <c r="D140" s="32" t="n"/>
      <c r="E140" s="36" t="n"/>
      <c r="F140" s="36" t="n"/>
      <c r="G140" s="36" t="n"/>
      <c r="H140" s="33">
        <f>IF(E140="","",Commercial_Id)</f>
        <v/>
      </c>
      <c r="I140" s="39">
        <f>IF(E140="","",IFERROR(VALUE(MID(E140,LEN(E140)-3,3)),""))</f>
        <v/>
      </c>
      <c r="J140" s="33">
        <f>IF(I140="","",H140&amp;"|"&amp;I140)</f>
        <v/>
      </c>
      <c r="K140" s="33">
        <f>IF(I140="","",IF(H140="À RENSEIGNER","GIC",H140)&amp;"-"&amp;TEXT(I140,"000"))</f>
        <v/>
      </c>
      <c r="L140" s="33">
        <f>IF(J140="","",IFERROR(INDEX(Cl_nom,MATCH(J140,Cl_cle,0)),"(client introuvable)"))</f>
        <v/>
      </c>
      <c r="M140" s="46">
        <f>IF(B140="","",DATE(YEAR(B140),MONTH(B140),1))</f>
        <v/>
      </c>
      <c r="N140" s="33">
        <f>IF(J140="","",IFERROR(INDEX(Cl_quartier,MATCH(J140,Cl_cle,0))&amp;"",""))</f>
        <v/>
      </c>
      <c r="O140" s="33">
        <f>IF(J140="","",IFERROR(INDEX(Cl_tel,MATCH(J140,Cl_cle,0))&amp;"",""))</f>
        <v/>
      </c>
      <c r="P140" s="34">
        <f>IF(J140="","",IFERROR(INDEX(Cl_potentiel,MATCH(J140,Cl_cle,0)),""))</f>
        <v/>
      </c>
      <c r="Q140" s="34">
        <f>IF(J140="","",IF(D140&lt;&gt;"",IF(COUNTIFS(VC_cle,J140,VC_type,"Visite sur place",VC_date,D140)&gt;0,"Visité",IF(D140&lt;TODAY(),"Non fait","À venir")),IF(B140="","",IF(COUNTIFS(VC_cle,J140,VC_type,"Visite sur place",VC_date,"&gt;="&amp;M140,VC_date,"&lt;"&amp;DATE(YEAR(M140),MONTH(M140)+1,1))&gt;0,"Visité","À visiter"))))</f>
        <v/>
      </c>
    </row>
    <row r="141" ht="18" customHeight="1">
      <c r="A141" s="39" t="n">
        <v>136</v>
      </c>
      <c r="B141" s="49" t="n"/>
      <c r="C141" s="43" t="n"/>
      <c r="D141" s="32" t="n"/>
      <c r="E141" s="36" t="n"/>
      <c r="F141" s="36" t="n"/>
      <c r="G141" s="36" t="n"/>
      <c r="H141" s="33">
        <f>IF(E141="","",Commercial_Id)</f>
        <v/>
      </c>
      <c r="I141" s="39">
        <f>IF(E141="","",IFERROR(VALUE(MID(E141,LEN(E141)-3,3)),""))</f>
        <v/>
      </c>
      <c r="J141" s="33">
        <f>IF(I141="","",H141&amp;"|"&amp;I141)</f>
        <v/>
      </c>
      <c r="K141" s="33">
        <f>IF(I141="","",IF(H141="À RENSEIGNER","GIC",H141)&amp;"-"&amp;TEXT(I141,"000"))</f>
        <v/>
      </c>
      <c r="L141" s="33">
        <f>IF(J141="","",IFERROR(INDEX(Cl_nom,MATCH(J141,Cl_cle,0)),"(client introuvable)"))</f>
        <v/>
      </c>
      <c r="M141" s="46">
        <f>IF(B141="","",DATE(YEAR(B141),MONTH(B141),1))</f>
        <v/>
      </c>
      <c r="N141" s="33">
        <f>IF(J141="","",IFERROR(INDEX(Cl_quartier,MATCH(J141,Cl_cle,0))&amp;"",""))</f>
        <v/>
      </c>
      <c r="O141" s="33">
        <f>IF(J141="","",IFERROR(INDEX(Cl_tel,MATCH(J141,Cl_cle,0))&amp;"",""))</f>
        <v/>
      </c>
      <c r="P141" s="34">
        <f>IF(J141="","",IFERROR(INDEX(Cl_potentiel,MATCH(J141,Cl_cle,0)),""))</f>
        <v/>
      </c>
      <c r="Q141" s="34">
        <f>IF(J141="","",IF(D141&lt;&gt;"",IF(COUNTIFS(VC_cle,J141,VC_type,"Visite sur place",VC_date,D141)&gt;0,"Visité",IF(D141&lt;TODAY(),"Non fait","À venir")),IF(B141="","",IF(COUNTIFS(VC_cle,J141,VC_type,"Visite sur place",VC_date,"&gt;="&amp;M141,VC_date,"&lt;"&amp;DATE(YEAR(M141),MONTH(M141)+1,1))&gt;0,"Visité","À visiter"))))</f>
        <v/>
      </c>
    </row>
    <row r="142" ht="18" customHeight="1">
      <c r="A142" s="39" t="n">
        <v>137</v>
      </c>
      <c r="B142" s="49" t="n"/>
      <c r="C142" s="43" t="n"/>
      <c r="D142" s="32" t="n"/>
      <c r="E142" s="36" t="n"/>
      <c r="F142" s="36" t="n"/>
      <c r="G142" s="36" t="n"/>
      <c r="H142" s="33">
        <f>IF(E142="","",Commercial_Id)</f>
        <v/>
      </c>
      <c r="I142" s="39">
        <f>IF(E142="","",IFERROR(VALUE(MID(E142,LEN(E142)-3,3)),""))</f>
        <v/>
      </c>
      <c r="J142" s="33">
        <f>IF(I142="","",H142&amp;"|"&amp;I142)</f>
        <v/>
      </c>
      <c r="K142" s="33">
        <f>IF(I142="","",IF(H142="À RENSEIGNER","GIC",H142)&amp;"-"&amp;TEXT(I142,"000"))</f>
        <v/>
      </c>
      <c r="L142" s="33">
        <f>IF(J142="","",IFERROR(INDEX(Cl_nom,MATCH(J142,Cl_cle,0)),"(client introuvable)"))</f>
        <v/>
      </c>
      <c r="M142" s="46">
        <f>IF(B142="","",DATE(YEAR(B142),MONTH(B142),1))</f>
        <v/>
      </c>
      <c r="N142" s="33">
        <f>IF(J142="","",IFERROR(INDEX(Cl_quartier,MATCH(J142,Cl_cle,0))&amp;"",""))</f>
        <v/>
      </c>
      <c r="O142" s="33">
        <f>IF(J142="","",IFERROR(INDEX(Cl_tel,MATCH(J142,Cl_cle,0))&amp;"",""))</f>
        <v/>
      </c>
      <c r="P142" s="34">
        <f>IF(J142="","",IFERROR(INDEX(Cl_potentiel,MATCH(J142,Cl_cle,0)),""))</f>
        <v/>
      </c>
      <c r="Q142" s="34">
        <f>IF(J142="","",IF(D142&lt;&gt;"",IF(COUNTIFS(VC_cle,J142,VC_type,"Visite sur place",VC_date,D142)&gt;0,"Visité",IF(D142&lt;TODAY(),"Non fait","À venir")),IF(B142="","",IF(COUNTIFS(VC_cle,J142,VC_type,"Visite sur place",VC_date,"&gt;="&amp;M142,VC_date,"&lt;"&amp;DATE(YEAR(M142),MONTH(M142)+1,1))&gt;0,"Visité","À visiter"))))</f>
        <v/>
      </c>
    </row>
    <row r="143" ht="18" customHeight="1">
      <c r="A143" s="39" t="n">
        <v>138</v>
      </c>
      <c r="B143" s="49" t="n"/>
      <c r="C143" s="43" t="n"/>
      <c r="D143" s="32" t="n"/>
      <c r="E143" s="36" t="n"/>
      <c r="F143" s="36" t="n"/>
      <c r="G143" s="36" t="n"/>
      <c r="H143" s="33">
        <f>IF(E143="","",Commercial_Id)</f>
        <v/>
      </c>
      <c r="I143" s="39">
        <f>IF(E143="","",IFERROR(VALUE(MID(E143,LEN(E143)-3,3)),""))</f>
        <v/>
      </c>
      <c r="J143" s="33">
        <f>IF(I143="","",H143&amp;"|"&amp;I143)</f>
        <v/>
      </c>
      <c r="K143" s="33">
        <f>IF(I143="","",IF(H143="À RENSEIGNER","GIC",H143)&amp;"-"&amp;TEXT(I143,"000"))</f>
        <v/>
      </c>
      <c r="L143" s="33">
        <f>IF(J143="","",IFERROR(INDEX(Cl_nom,MATCH(J143,Cl_cle,0)),"(client introuvable)"))</f>
        <v/>
      </c>
      <c r="M143" s="46">
        <f>IF(B143="","",DATE(YEAR(B143),MONTH(B143),1))</f>
        <v/>
      </c>
      <c r="N143" s="33">
        <f>IF(J143="","",IFERROR(INDEX(Cl_quartier,MATCH(J143,Cl_cle,0))&amp;"",""))</f>
        <v/>
      </c>
      <c r="O143" s="33">
        <f>IF(J143="","",IFERROR(INDEX(Cl_tel,MATCH(J143,Cl_cle,0))&amp;"",""))</f>
        <v/>
      </c>
      <c r="P143" s="34">
        <f>IF(J143="","",IFERROR(INDEX(Cl_potentiel,MATCH(J143,Cl_cle,0)),""))</f>
        <v/>
      </c>
      <c r="Q143" s="34">
        <f>IF(J143="","",IF(D143&lt;&gt;"",IF(COUNTIFS(VC_cle,J143,VC_type,"Visite sur place",VC_date,D143)&gt;0,"Visité",IF(D143&lt;TODAY(),"Non fait","À venir")),IF(B143="","",IF(COUNTIFS(VC_cle,J143,VC_type,"Visite sur place",VC_date,"&gt;="&amp;M143,VC_date,"&lt;"&amp;DATE(YEAR(M143),MONTH(M143)+1,1))&gt;0,"Visité","À visiter"))))</f>
        <v/>
      </c>
    </row>
    <row r="144" ht="18" customHeight="1">
      <c r="A144" s="39" t="n">
        <v>139</v>
      </c>
      <c r="B144" s="49" t="n"/>
      <c r="C144" s="43" t="n"/>
      <c r="D144" s="32" t="n"/>
      <c r="E144" s="36" t="n"/>
      <c r="F144" s="36" t="n"/>
      <c r="G144" s="36" t="n"/>
      <c r="H144" s="33">
        <f>IF(E144="","",Commercial_Id)</f>
        <v/>
      </c>
      <c r="I144" s="39">
        <f>IF(E144="","",IFERROR(VALUE(MID(E144,LEN(E144)-3,3)),""))</f>
        <v/>
      </c>
      <c r="J144" s="33">
        <f>IF(I144="","",H144&amp;"|"&amp;I144)</f>
        <v/>
      </c>
      <c r="K144" s="33">
        <f>IF(I144="","",IF(H144="À RENSEIGNER","GIC",H144)&amp;"-"&amp;TEXT(I144,"000"))</f>
        <v/>
      </c>
      <c r="L144" s="33">
        <f>IF(J144="","",IFERROR(INDEX(Cl_nom,MATCH(J144,Cl_cle,0)),"(client introuvable)"))</f>
        <v/>
      </c>
      <c r="M144" s="46">
        <f>IF(B144="","",DATE(YEAR(B144),MONTH(B144),1))</f>
        <v/>
      </c>
      <c r="N144" s="33">
        <f>IF(J144="","",IFERROR(INDEX(Cl_quartier,MATCH(J144,Cl_cle,0))&amp;"",""))</f>
        <v/>
      </c>
      <c r="O144" s="33">
        <f>IF(J144="","",IFERROR(INDEX(Cl_tel,MATCH(J144,Cl_cle,0))&amp;"",""))</f>
        <v/>
      </c>
      <c r="P144" s="34">
        <f>IF(J144="","",IFERROR(INDEX(Cl_potentiel,MATCH(J144,Cl_cle,0)),""))</f>
        <v/>
      </c>
      <c r="Q144" s="34">
        <f>IF(J144="","",IF(D144&lt;&gt;"",IF(COUNTIFS(VC_cle,J144,VC_type,"Visite sur place",VC_date,D144)&gt;0,"Visité",IF(D144&lt;TODAY(),"Non fait","À venir")),IF(B144="","",IF(COUNTIFS(VC_cle,J144,VC_type,"Visite sur place",VC_date,"&gt;="&amp;M144,VC_date,"&lt;"&amp;DATE(YEAR(M144),MONTH(M144)+1,1))&gt;0,"Visité","À visiter"))))</f>
        <v/>
      </c>
    </row>
    <row r="145" ht="18" customHeight="1">
      <c r="A145" s="39" t="n">
        <v>140</v>
      </c>
      <c r="B145" s="49" t="n"/>
      <c r="C145" s="43" t="n"/>
      <c r="D145" s="32" t="n"/>
      <c r="E145" s="36" t="n"/>
      <c r="F145" s="36" t="n"/>
      <c r="G145" s="36" t="n"/>
      <c r="H145" s="33">
        <f>IF(E145="","",Commercial_Id)</f>
        <v/>
      </c>
      <c r="I145" s="39">
        <f>IF(E145="","",IFERROR(VALUE(MID(E145,LEN(E145)-3,3)),""))</f>
        <v/>
      </c>
      <c r="J145" s="33">
        <f>IF(I145="","",H145&amp;"|"&amp;I145)</f>
        <v/>
      </c>
      <c r="K145" s="33">
        <f>IF(I145="","",IF(H145="À RENSEIGNER","GIC",H145)&amp;"-"&amp;TEXT(I145,"000"))</f>
        <v/>
      </c>
      <c r="L145" s="33">
        <f>IF(J145="","",IFERROR(INDEX(Cl_nom,MATCH(J145,Cl_cle,0)),"(client introuvable)"))</f>
        <v/>
      </c>
      <c r="M145" s="46">
        <f>IF(B145="","",DATE(YEAR(B145),MONTH(B145),1))</f>
        <v/>
      </c>
      <c r="N145" s="33">
        <f>IF(J145="","",IFERROR(INDEX(Cl_quartier,MATCH(J145,Cl_cle,0))&amp;"",""))</f>
        <v/>
      </c>
      <c r="O145" s="33">
        <f>IF(J145="","",IFERROR(INDEX(Cl_tel,MATCH(J145,Cl_cle,0))&amp;"",""))</f>
        <v/>
      </c>
      <c r="P145" s="34">
        <f>IF(J145="","",IFERROR(INDEX(Cl_potentiel,MATCH(J145,Cl_cle,0)),""))</f>
        <v/>
      </c>
      <c r="Q145" s="34">
        <f>IF(J145="","",IF(D145&lt;&gt;"",IF(COUNTIFS(VC_cle,J145,VC_type,"Visite sur place",VC_date,D145)&gt;0,"Visité",IF(D145&lt;TODAY(),"Non fait","À venir")),IF(B145="","",IF(COUNTIFS(VC_cle,J145,VC_type,"Visite sur place",VC_date,"&gt;="&amp;M145,VC_date,"&lt;"&amp;DATE(YEAR(M145),MONTH(M145)+1,1))&gt;0,"Visité","À visiter"))))</f>
        <v/>
      </c>
    </row>
    <row r="146" ht="18" customHeight="1">
      <c r="A146" s="39" t="n">
        <v>141</v>
      </c>
      <c r="B146" s="49" t="n"/>
      <c r="C146" s="43" t="n"/>
      <c r="D146" s="32" t="n"/>
      <c r="E146" s="36" t="n"/>
      <c r="F146" s="36" t="n"/>
      <c r="G146" s="36" t="n"/>
      <c r="H146" s="33">
        <f>IF(E146="","",Commercial_Id)</f>
        <v/>
      </c>
      <c r="I146" s="39">
        <f>IF(E146="","",IFERROR(VALUE(MID(E146,LEN(E146)-3,3)),""))</f>
        <v/>
      </c>
      <c r="J146" s="33">
        <f>IF(I146="","",H146&amp;"|"&amp;I146)</f>
        <v/>
      </c>
      <c r="K146" s="33">
        <f>IF(I146="","",IF(H146="À RENSEIGNER","GIC",H146)&amp;"-"&amp;TEXT(I146,"000"))</f>
        <v/>
      </c>
      <c r="L146" s="33">
        <f>IF(J146="","",IFERROR(INDEX(Cl_nom,MATCH(J146,Cl_cle,0)),"(client introuvable)"))</f>
        <v/>
      </c>
      <c r="M146" s="46">
        <f>IF(B146="","",DATE(YEAR(B146),MONTH(B146),1))</f>
        <v/>
      </c>
      <c r="N146" s="33">
        <f>IF(J146="","",IFERROR(INDEX(Cl_quartier,MATCH(J146,Cl_cle,0))&amp;"",""))</f>
        <v/>
      </c>
      <c r="O146" s="33">
        <f>IF(J146="","",IFERROR(INDEX(Cl_tel,MATCH(J146,Cl_cle,0))&amp;"",""))</f>
        <v/>
      </c>
      <c r="P146" s="34">
        <f>IF(J146="","",IFERROR(INDEX(Cl_potentiel,MATCH(J146,Cl_cle,0)),""))</f>
        <v/>
      </c>
      <c r="Q146" s="34">
        <f>IF(J146="","",IF(D146&lt;&gt;"",IF(COUNTIFS(VC_cle,J146,VC_type,"Visite sur place",VC_date,D146)&gt;0,"Visité",IF(D146&lt;TODAY(),"Non fait","À venir")),IF(B146="","",IF(COUNTIFS(VC_cle,J146,VC_type,"Visite sur place",VC_date,"&gt;="&amp;M146,VC_date,"&lt;"&amp;DATE(YEAR(M146),MONTH(M146)+1,1))&gt;0,"Visité","À visiter"))))</f>
        <v/>
      </c>
    </row>
    <row r="147" ht="18" customHeight="1">
      <c r="A147" s="39" t="n">
        <v>142</v>
      </c>
      <c r="B147" s="49" t="n"/>
      <c r="C147" s="43" t="n"/>
      <c r="D147" s="32" t="n"/>
      <c r="E147" s="36" t="n"/>
      <c r="F147" s="36" t="n"/>
      <c r="G147" s="36" t="n"/>
      <c r="H147" s="33">
        <f>IF(E147="","",Commercial_Id)</f>
        <v/>
      </c>
      <c r="I147" s="39">
        <f>IF(E147="","",IFERROR(VALUE(MID(E147,LEN(E147)-3,3)),""))</f>
        <v/>
      </c>
      <c r="J147" s="33">
        <f>IF(I147="","",H147&amp;"|"&amp;I147)</f>
        <v/>
      </c>
      <c r="K147" s="33">
        <f>IF(I147="","",IF(H147="À RENSEIGNER","GIC",H147)&amp;"-"&amp;TEXT(I147,"000"))</f>
        <v/>
      </c>
      <c r="L147" s="33">
        <f>IF(J147="","",IFERROR(INDEX(Cl_nom,MATCH(J147,Cl_cle,0)),"(client introuvable)"))</f>
        <v/>
      </c>
      <c r="M147" s="46">
        <f>IF(B147="","",DATE(YEAR(B147),MONTH(B147),1))</f>
        <v/>
      </c>
      <c r="N147" s="33">
        <f>IF(J147="","",IFERROR(INDEX(Cl_quartier,MATCH(J147,Cl_cle,0))&amp;"",""))</f>
        <v/>
      </c>
      <c r="O147" s="33">
        <f>IF(J147="","",IFERROR(INDEX(Cl_tel,MATCH(J147,Cl_cle,0))&amp;"",""))</f>
        <v/>
      </c>
      <c r="P147" s="34">
        <f>IF(J147="","",IFERROR(INDEX(Cl_potentiel,MATCH(J147,Cl_cle,0)),""))</f>
        <v/>
      </c>
      <c r="Q147" s="34">
        <f>IF(J147="","",IF(D147&lt;&gt;"",IF(COUNTIFS(VC_cle,J147,VC_type,"Visite sur place",VC_date,D147)&gt;0,"Visité",IF(D147&lt;TODAY(),"Non fait","À venir")),IF(B147="","",IF(COUNTIFS(VC_cle,J147,VC_type,"Visite sur place",VC_date,"&gt;="&amp;M147,VC_date,"&lt;"&amp;DATE(YEAR(M147),MONTH(M147)+1,1))&gt;0,"Visité","À visiter"))))</f>
        <v/>
      </c>
    </row>
    <row r="148" ht="18" customHeight="1">
      <c r="A148" s="39" t="n">
        <v>143</v>
      </c>
      <c r="B148" s="49" t="n"/>
      <c r="C148" s="43" t="n"/>
      <c r="D148" s="32" t="n"/>
      <c r="E148" s="36" t="n"/>
      <c r="F148" s="36" t="n"/>
      <c r="G148" s="36" t="n"/>
      <c r="H148" s="33">
        <f>IF(E148="","",Commercial_Id)</f>
        <v/>
      </c>
      <c r="I148" s="39">
        <f>IF(E148="","",IFERROR(VALUE(MID(E148,LEN(E148)-3,3)),""))</f>
        <v/>
      </c>
      <c r="J148" s="33">
        <f>IF(I148="","",H148&amp;"|"&amp;I148)</f>
        <v/>
      </c>
      <c r="K148" s="33">
        <f>IF(I148="","",IF(H148="À RENSEIGNER","GIC",H148)&amp;"-"&amp;TEXT(I148,"000"))</f>
        <v/>
      </c>
      <c r="L148" s="33">
        <f>IF(J148="","",IFERROR(INDEX(Cl_nom,MATCH(J148,Cl_cle,0)),"(client introuvable)"))</f>
        <v/>
      </c>
      <c r="M148" s="46">
        <f>IF(B148="","",DATE(YEAR(B148),MONTH(B148),1))</f>
        <v/>
      </c>
      <c r="N148" s="33">
        <f>IF(J148="","",IFERROR(INDEX(Cl_quartier,MATCH(J148,Cl_cle,0))&amp;"",""))</f>
        <v/>
      </c>
      <c r="O148" s="33">
        <f>IF(J148="","",IFERROR(INDEX(Cl_tel,MATCH(J148,Cl_cle,0))&amp;"",""))</f>
        <v/>
      </c>
      <c r="P148" s="34">
        <f>IF(J148="","",IFERROR(INDEX(Cl_potentiel,MATCH(J148,Cl_cle,0)),""))</f>
        <v/>
      </c>
      <c r="Q148" s="34">
        <f>IF(J148="","",IF(D148&lt;&gt;"",IF(COUNTIFS(VC_cle,J148,VC_type,"Visite sur place",VC_date,D148)&gt;0,"Visité",IF(D148&lt;TODAY(),"Non fait","À venir")),IF(B148="","",IF(COUNTIFS(VC_cle,J148,VC_type,"Visite sur place",VC_date,"&gt;="&amp;M148,VC_date,"&lt;"&amp;DATE(YEAR(M148),MONTH(M148)+1,1))&gt;0,"Visité","À visiter"))))</f>
        <v/>
      </c>
    </row>
    <row r="149" ht="18" customHeight="1">
      <c r="A149" s="39" t="n">
        <v>144</v>
      </c>
      <c r="B149" s="49" t="n"/>
      <c r="C149" s="43" t="n"/>
      <c r="D149" s="32" t="n"/>
      <c r="E149" s="36" t="n"/>
      <c r="F149" s="36" t="n"/>
      <c r="G149" s="36" t="n"/>
      <c r="H149" s="33">
        <f>IF(E149="","",Commercial_Id)</f>
        <v/>
      </c>
      <c r="I149" s="39">
        <f>IF(E149="","",IFERROR(VALUE(MID(E149,LEN(E149)-3,3)),""))</f>
        <v/>
      </c>
      <c r="J149" s="33">
        <f>IF(I149="","",H149&amp;"|"&amp;I149)</f>
        <v/>
      </c>
      <c r="K149" s="33">
        <f>IF(I149="","",IF(H149="À RENSEIGNER","GIC",H149)&amp;"-"&amp;TEXT(I149,"000"))</f>
        <v/>
      </c>
      <c r="L149" s="33">
        <f>IF(J149="","",IFERROR(INDEX(Cl_nom,MATCH(J149,Cl_cle,0)),"(client introuvable)"))</f>
        <v/>
      </c>
      <c r="M149" s="46">
        <f>IF(B149="","",DATE(YEAR(B149),MONTH(B149),1))</f>
        <v/>
      </c>
      <c r="N149" s="33">
        <f>IF(J149="","",IFERROR(INDEX(Cl_quartier,MATCH(J149,Cl_cle,0))&amp;"",""))</f>
        <v/>
      </c>
      <c r="O149" s="33">
        <f>IF(J149="","",IFERROR(INDEX(Cl_tel,MATCH(J149,Cl_cle,0))&amp;"",""))</f>
        <v/>
      </c>
      <c r="P149" s="34">
        <f>IF(J149="","",IFERROR(INDEX(Cl_potentiel,MATCH(J149,Cl_cle,0)),""))</f>
        <v/>
      </c>
      <c r="Q149" s="34">
        <f>IF(J149="","",IF(D149&lt;&gt;"",IF(COUNTIFS(VC_cle,J149,VC_type,"Visite sur place",VC_date,D149)&gt;0,"Visité",IF(D149&lt;TODAY(),"Non fait","À venir")),IF(B149="","",IF(COUNTIFS(VC_cle,J149,VC_type,"Visite sur place",VC_date,"&gt;="&amp;M149,VC_date,"&lt;"&amp;DATE(YEAR(M149),MONTH(M149)+1,1))&gt;0,"Visité","À visiter"))))</f>
        <v/>
      </c>
    </row>
    <row r="150" ht="18" customHeight="1">
      <c r="A150" s="39" t="n">
        <v>145</v>
      </c>
      <c r="B150" s="49" t="n"/>
      <c r="C150" s="43" t="n"/>
      <c r="D150" s="32" t="n"/>
      <c r="E150" s="36" t="n"/>
      <c r="F150" s="36" t="n"/>
      <c r="G150" s="36" t="n"/>
      <c r="H150" s="33">
        <f>IF(E150="","",Commercial_Id)</f>
        <v/>
      </c>
      <c r="I150" s="39">
        <f>IF(E150="","",IFERROR(VALUE(MID(E150,LEN(E150)-3,3)),""))</f>
        <v/>
      </c>
      <c r="J150" s="33">
        <f>IF(I150="","",H150&amp;"|"&amp;I150)</f>
        <v/>
      </c>
      <c r="K150" s="33">
        <f>IF(I150="","",IF(H150="À RENSEIGNER","GIC",H150)&amp;"-"&amp;TEXT(I150,"000"))</f>
        <v/>
      </c>
      <c r="L150" s="33">
        <f>IF(J150="","",IFERROR(INDEX(Cl_nom,MATCH(J150,Cl_cle,0)),"(client introuvable)"))</f>
        <v/>
      </c>
      <c r="M150" s="46">
        <f>IF(B150="","",DATE(YEAR(B150),MONTH(B150),1))</f>
        <v/>
      </c>
      <c r="N150" s="33">
        <f>IF(J150="","",IFERROR(INDEX(Cl_quartier,MATCH(J150,Cl_cle,0))&amp;"",""))</f>
        <v/>
      </c>
      <c r="O150" s="33">
        <f>IF(J150="","",IFERROR(INDEX(Cl_tel,MATCH(J150,Cl_cle,0))&amp;"",""))</f>
        <v/>
      </c>
      <c r="P150" s="34">
        <f>IF(J150="","",IFERROR(INDEX(Cl_potentiel,MATCH(J150,Cl_cle,0)),""))</f>
        <v/>
      </c>
      <c r="Q150" s="34">
        <f>IF(J150="","",IF(D150&lt;&gt;"",IF(COUNTIFS(VC_cle,J150,VC_type,"Visite sur place",VC_date,D150)&gt;0,"Visité",IF(D150&lt;TODAY(),"Non fait","À venir")),IF(B150="","",IF(COUNTIFS(VC_cle,J150,VC_type,"Visite sur place",VC_date,"&gt;="&amp;M150,VC_date,"&lt;"&amp;DATE(YEAR(M150),MONTH(M150)+1,1))&gt;0,"Visité","À visiter"))))</f>
        <v/>
      </c>
    </row>
    <row r="151" ht="18" customHeight="1">
      <c r="A151" s="39" t="n">
        <v>146</v>
      </c>
      <c r="B151" s="49" t="n"/>
      <c r="C151" s="43" t="n"/>
      <c r="D151" s="32" t="n"/>
      <c r="E151" s="36" t="n"/>
      <c r="F151" s="36" t="n"/>
      <c r="G151" s="36" t="n"/>
      <c r="H151" s="33">
        <f>IF(E151="","",Commercial_Id)</f>
        <v/>
      </c>
      <c r="I151" s="39">
        <f>IF(E151="","",IFERROR(VALUE(MID(E151,LEN(E151)-3,3)),""))</f>
        <v/>
      </c>
      <c r="J151" s="33">
        <f>IF(I151="","",H151&amp;"|"&amp;I151)</f>
        <v/>
      </c>
      <c r="K151" s="33">
        <f>IF(I151="","",IF(H151="À RENSEIGNER","GIC",H151)&amp;"-"&amp;TEXT(I151,"000"))</f>
        <v/>
      </c>
      <c r="L151" s="33">
        <f>IF(J151="","",IFERROR(INDEX(Cl_nom,MATCH(J151,Cl_cle,0)),"(client introuvable)"))</f>
        <v/>
      </c>
      <c r="M151" s="46">
        <f>IF(B151="","",DATE(YEAR(B151),MONTH(B151),1))</f>
        <v/>
      </c>
      <c r="N151" s="33">
        <f>IF(J151="","",IFERROR(INDEX(Cl_quartier,MATCH(J151,Cl_cle,0))&amp;"",""))</f>
        <v/>
      </c>
      <c r="O151" s="33">
        <f>IF(J151="","",IFERROR(INDEX(Cl_tel,MATCH(J151,Cl_cle,0))&amp;"",""))</f>
        <v/>
      </c>
      <c r="P151" s="34">
        <f>IF(J151="","",IFERROR(INDEX(Cl_potentiel,MATCH(J151,Cl_cle,0)),""))</f>
        <v/>
      </c>
      <c r="Q151" s="34">
        <f>IF(J151="","",IF(D151&lt;&gt;"",IF(COUNTIFS(VC_cle,J151,VC_type,"Visite sur place",VC_date,D151)&gt;0,"Visité",IF(D151&lt;TODAY(),"Non fait","À venir")),IF(B151="","",IF(COUNTIFS(VC_cle,J151,VC_type,"Visite sur place",VC_date,"&gt;="&amp;M151,VC_date,"&lt;"&amp;DATE(YEAR(M151),MONTH(M151)+1,1))&gt;0,"Visité","À visiter"))))</f>
        <v/>
      </c>
    </row>
    <row r="152" ht="18" customHeight="1">
      <c r="A152" s="39" t="n">
        <v>147</v>
      </c>
      <c r="B152" s="49" t="n"/>
      <c r="C152" s="43" t="n"/>
      <c r="D152" s="32" t="n"/>
      <c r="E152" s="36" t="n"/>
      <c r="F152" s="36" t="n"/>
      <c r="G152" s="36" t="n"/>
      <c r="H152" s="33">
        <f>IF(E152="","",Commercial_Id)</f>
        <v/>
      </c>
      <c r="I152" s="39">
        <f>IF(E152="","",IFERROR(VALUE(MID(E152,LEN(E152)-3,3)),""))</f>
        <v/>
      </c>
      <c r="J152" s="33">
        <f>IF(I152="","",H152&amp;"|"&amp;I152)</f>
        <v/>
      </c>
      <c r="K152" s="33">
        <f>IF(I152="","",IF(H152="À RENSEIGNER","GIC",H152)&amp;"-"&amp;TEXT(I152,"000"))</f>
        <v/>
      </c>
      <c r="L152" s="33">
        <f>IF(J152="","",IFERROR(INDEX(Cl_nom,MATCH(J152,Cl_cle,0)),"(client introuvable)"))</f>
        <v/>
      </c>
      <c r="M152" s="46">
        <f>IF(B152="","",DATE(YEAR(B152),MONTH(B152),1))</f>
        <v/>
      </c>
      <c r="N152" s="33">
        <f>IF(J152="","",IFERROR(INDEX(Cl_quartier,MATCH(J152,Cl_cle,0))&amp;"",""))</f>
        <v/>
      </c>
      <c r="O152" s="33">
        <f>IF(J152="","",IFERROR(INDEX(Cl_tel,MATCH(J152,Cl_cle,0))&amp;"",""))</f>
        <v/>
      </c>
      <c r="P152" s="34">
        <f>IF(J152="","",IFERROR(INDEX(Cl_potentiel,MATCH(J152,Cl_cle,0)),""))</f>
        <v/>
      </c>
      <c r="Q152" s="34">
        <f>IF(J152="","",IF(D152&lt;&gt;"",IF(COUNTIFS(VC_cle,J152,VC_type,"Visite sur place",VC_date,D152)&gt;0,"Visité",IF(D152&lt;TODAY(),"Non fait","À venir")),IF(B152="","",IF(COUNTIFS(VC_cle,J152,VC_type,"Visite sur place",VC_date,"&gt;="&amp;M152,VC_date,"&lt;"&amp;DATE(YEAR(M152),MONTH(M152)+1,1))&gt;0,"Visité","À visiter"))))</f>
        <v/>
      </c>
    </row>
    <row r="153" ht="18" customHeight="1">
      <c r="A153" s="39" t="n">
        <v>148</v>
      </c>
      <c r="B153" s="49" t="n"/>
      <c r="C153" s="43" t="n"/>
      <c r="D153" s="32" t="n"/>
      <c r="E153" s="36" t="n"/>
      <c r="F153" s="36" t="n"/>
      <c r="G153" s="36" t="n"/>
      <c r="H153" s="33">
        <f>IF(E153="","",Commercial_Id)</f>
        <v/>
      </c>
      <c r="I153" s="39">
        <f>IF(E153="","",IFERROR(VALUE(MID(E153,LEN(E153)-3,3)),""))</f>
        <v/>
      </c>
      <c r="J153" s="33">
        <f>IF(I153="","",H153&amp;"|"&amp;I153)</f>
        <v/>
      </c>
      <c r="K153" s="33">
        <f>IF(I153="","",IF(H153="À RENSEIGNER","GIC",H153)&amp;"-"&amp;TEXT(I153,"000"))</f>
        <v/>
      </c>
      <c r="L153" s="33">
        <f>IF(J153="","",IFERROR(INDEX(Cl_nom,MATCH(J153,Cl_cle,0)),"(client introuvable)"))</f>
        <v/>
      </c>
      <c r="M153" s="46">
        <f>IF(B153="","",DATE(YEAR(B153),MONTH(B153),1))</f>
        <v/>
      </c>
      <c r="N153" s="33">
        <f>IF(J153="","",IFERROR(INDEX(Cl_quartier,MATCH(J153,Cl_cle,0))&amp;"",""))</f>
        <v/>
      </c>
      <c r="O153" s="33">
        <f>IF(J153="","",IFERROR(INDEX(Cl_tel,MATCH(J153,Cl_cle,0))&amp;"",""))</f>
        <v/>
      </c>
      <c r="P153" s="34">
        <f>IF(J153="","",IFERROR(INDEX(Cl_potentiel,MATCH(J153,Cl_cle,0)),""))</f>
        <v/>
      </c>
      <c r="Q153" s="34">
        <f>IF(J153="","",IF(D153&lt;&gt;"",IF(COUNTIFS(VC_cle,J153,VC_type,"Visite sur place",VC_date,D153)&gt;0,"Visité",IF(D153&lt;TODAY(),"Non fait","À venir")),IF(B153="","",IF(COUNTIFS(VC_cle,J153,VC_type,"Visite sur place",VC_date,"&gt;="&amp;M153,VC_date,"&lt;"&amp;DATE(YEAR(M153),MONTH(M153)+1,1))&gt;0,"Visité","À visiter"))))</f>
        <v/>
      </c>
    </row>
    <row r="154" ht="18" customHeight="1">
      <c r="A154" s="39" t="n">
        <v>149</v>
      </c>
      <c r="B154" s="49" t="n"/>
      <c r="C154" s="43" t="n"/>
      <c r="D154" s="32" t="n"/>
      <c r="E154" s="36" t="n"/>
      <c r="F154" s="36" t="n"/>
      <c r="G154" s="36" t="n"/>
      <c r="H154" s="33">
        <f>IF(E154="","",Commercial_Id)</f>
        <v/>
      </c>
      <c r="I154" s="39">
        <f>IF(E154="","",IFERROR(VALUE(MID(E154,LEN(E154)-3,3)),""))</f>
        <v/>
      </c>
      <c r="J154" s="33">
        <f>IF(I154="","",H154&amp;"|"&amp;I154)</f>
        <v/>
      </c>
      <c r="K154" s="33">
        <f>IF(I154="","",IF(H154="À RENSEIGNER","GIC",H154)&amp;"-"&amp;TEXT(I154,"000"))</f>
        <v/>
      </c>
      <c r="L154" s="33">
        <f>IF(J154="","",IFERROR(INDEX(Cl_nom,MATCH(J154,Cl_cle,0)),"(client introuvable)"))</f>
        <v/>
      </c>
      <c r="M154" s="46">
        <f>IF(B154="","",DATE(YEAR(B154),MONTH(B154),1))</f>
        <v/>
      </c>
      <c r="N154" s="33">
        <f>IF(J154="","",IFERROR(INDEX(Cl_quartier,MATCH(J154,Cl_cle,0))&amp;"",""))</f>
        <v/>
      </c>
      <c r="O154" s="33">
        <f>IF(J154="","",IFERROR(INDEX(Cl_tel,MATCH(J154,Cl_cle,0))&amp;"",""))</f>
        <v/>
      </c>
      <c r="P154" s="34">
        <f>IF(J154="","",IFERROR(INDEX(Cl_potentiel,MATCH(J154,Cl_cle,0)),""))</f>
        <v/>
      </c>
      <c r="Q154" s="34">
        <f>IF(J154="","",IF(D154&lt;&gt;"",IF(COUNTIFS(VC_cle,J154,VC_type,"Visite sur place",VC_date,D154)&gt;0,"Visité",IF(D154&lt;TODAY(),"Non fait","À venir")),IF(B154="","",IF(COUNTIFS(VC_cle,J154,VC_type,"Visite sur place",VC_date,"&gt;="&amp;M154,VC_date,"&lt;"&amp;DATE(YEAR(M154),MONTH(M154)+1,1))&gt;0,"Visité","À visiter"))))</f>
        <v/>
      </c>
    </row>
    <row r="155" ht="18" customHeight="1">
      <c r="A155" s="39" t="n">
        <v>150</v>
      </c>
      <c r="B155" s="49" t="n"/>
      <c r="C155" s="43" t="n"/>
      <c r="D155" s="32" t="n"/>
      <c r="E155" s="36" t="n"/>
      <c r="F155" s="36" t="n"/>
      <c r="G155" s="36" t="n"/>
      <c r="H155" s="33">
        <f>IF(E155="","",Commercial_Id)</f>
        <v/>
      </c>
      <c r="I155" s="39">
        <f>IF(E155="","",IFERROR(VALUE(MID(E155,LEN(E155)-3,3)),""))</f>
        <v/>
      </c>
      <c r="J155" s="33">
        <f>IF(I155="","",H155&amp;"|"&amp;I155)</f>
        <v/>
      </c>
      <c r="K155" s="33">
        <f>IF(I155="","",IF(H155="À RENSEIGNER","GIC",H155)&amp;"-"&amp;TEXT(I155,"000"))</f>
        <v/>
      </c>
      <c r="L155" s="33">
        <f>IF(J155="","",IFERROR(INDEX(Cl_nom,MATCH(J155,Cl_cle,0)),"(client introuvable)"))</f>
        <v/>
      </c>
      <c r="M155" s="46">
        <f>IF(B155="","",DATE(YEAR(B155),MONTH(B155),1))</f>
        <v/>
      </c>
      <c r="N155" s="33">
        <f>IF(J155="","",IFERROR(INDEX(Cl_quartier,MATCH(J155,Cl_cle,0))&amp;"",""))</f>
        <v/>
      </c>
      <c r="O155" s="33">
        <f>IF(J155="","",IFERROR(INDEX(Cl_tel,MATCH(J155,Cl_cle,0))&amp;"",""))</f>
        <v/>
      </c>
      <c r="P155" s="34">
        <f>IF(J155="","",IFERROR(INDEX(Cl_potentiel,MATCH(J155,Cl_cle,0)),""))</f>
        <v/>
      </c>
      <c r="Q155" s="34">
        <f>IF(J155="","",IF(D155&lt;&gt;"",IF(COUNTIFS(VC_cle,J155,VC_type,"Visite sur place",VC_date,D155)&gt;0,"Visité",IF(D155&lt;TODAY(),"Non fait","À venir")),IF(B155="","",IF(COUNTIFS(VC_cle,J155,VC_type,"Visite sur place",VC_date,"&gt;="&amp;M155,VC_date,"&lt;"&amp;DATE(YEAR(M155),MONTH(M155)+1,1))&gt;0,"Visité","À visiter"))))</f>
        <v/>
      </c>
    </row>
    <row r="156" ht="18" customHeight="1">
      <c r="A156" s="39" t="n">
        <v>151</v>
      </c>
      <c r="B156" s="49" t="n"/>
      <c r="C156" s="43" t="n"/>
      <c r="D156" s="32" t="n"/>
      <c r="E156" s="36" t="n"/>
      <c r="F156" s="36" t="n"/>
      <c r="G156" s="36" t="n"/>
      <c r="H156" s="33">
        <f>IF(E156="","",Commercial_Id)</f>
        <v/>
      </c>
      <c r="I156" s="39">
        <f>IF(E156="","",IFERROR(VALUE(MID(E156,LEN(E156)-3,3)),""))</f>
        <v/>
      </c>
      <c r="J156" s="33">
        <f>IF(I156="","",H156&amp;"|"&amp;I156)</f>
        <v/>
      </c>
      <c r="K156" s="33">
        <f>IF(I156="","",IF(H156="À RENSEIGNER","GIC",H156)&amp;"-"&amp;TEXT(I156,"000"))</f>
        <v/>
      </c>
      <c r="L156" s="33">
        <f>IF(J156="","",IFERROR(INDEX(Cl_nom,MATCH(J156,Cl_cle,0)),"(client introuvable)"))</f>
        <v/>
      </c>
      <c r="M156" s="46">
        <f>IF(B156="","",DATE(YEAR(B156),MONTH(B156),1))</f>
        <v/>
      </c>
      <c r="N156" s="33">
        <f>IF(J156="","",IFERROR(INDEX(Cl_quartier,MATCH(J156,Cl_cle,0))&amp;"",""))</f>
        <v/>
      </c>
      <c r="O156" s="33">
        <f>IF(J156="","",IFERROR(INDEX(Cl_tel,MATCH(J156,Cl_cle,0))&amp;"",""))</f>
        <v/>
      </c>
      <c r="P156" s="34">
        <f>IF(J156="","",IFERROR(INDEX(Cl_potentiel,MATCH(J156,Cl_cle,0)),""))</f>
        <v/>
      </c>
      <c r="Q156" s="34">
        <f>IF(J156="","",IF(D156&lt;&gt;"",IF(COUNTIFS(VC_cle,J156,VC_type,"Visite sur place",VC_date,D156)&gt;0,"Visité",IF(D156&lt;TODAY(),"Non fait","À venir")),IF(B156="","",IF(COUNTIFS(VC_cle,J156,VC_type,"Visite sur place",VC_date,"&gt;="&amp;M156,VC_date,"&lt;"&amp;DATE(YEAR(M156),MONTH(M156)+1,1))&gt;0,"Visité","À visiter"))))</f>
        <v/>
      </c>
    </row>
    <row r="157" ht="18" customHeight="1">
      <c r="A157" s="39" t="n">
        <v>152</v>
      </c>
      <c r="B157" s="49" t="n"/>
      <c r="C157" s="43" t="n"/>
      <c r="D157" s="32" t="n"/>
      <c r="E157" s="36" t="n"/>
      <c r="F157" s="36" t="n"/>
      <c r="G157" s="36" t="n"/>
      <c r="H157" s="33">
        <f>IF(E157="","",Commercial_Id)</f>
        <v/>
      </c>
      <c r="I157" s="39">
        <f>IF(E157="","",IFERROR(VALUE(MID(E157,LEN(E157)-3,3)),""))</f>
        <v/>
      </c>
      <c r="J157" s="33">
        <f>IF(I157="","",H157&amp;"|"&amp;I157)</f>
        <v/>
      </c>
      <c r="K157" s="33">
        <f>IF(I157="","",IF(H157="À RENSEIGNER","GIC",H157)&amp;"-"&amp;TEXT(I157,"000"))</f>
        <v/>
      </c>
      <c r="L157" s="33">
        <f>IF(J157="","",IFERROR(INDEX(Cl_nom,MATCH(J157,Cl_cle,0)),"(client introuvable)"))</f>
        <v/>
      </c>
      <c r="M157" s="46">
        <f>IF(B157="","",DATE(YEAR(B157),MONTH(B157),1))</f>
        <v/>
      </c>
      <c r="N157" s="33">
        <f>IF(J157="","",IFERROR(INDEX(Cl_quartier,MATCH(J157,Cl_cle,0))&amp;"",""))</f>
        <v/>
      </c>
      <c r="O157" s="33">
        <f>IF(J157="","",IFERROR(INDEX(Cl_tel,MATCH(J157,Cl_cle,0))&amp;"",""))</f>
        <v/>
      </c>
      <c r="P157" s="34">
        <f>IF(J157="","",IFERROR(INDEX(Cl_potentiel,MATCH(J157,Cl_cle,0)),""))</f>
        <v/>
      </c>
      <c r="Q157" s="34">
        <f>IF(J157="","",IF(D157&lt;&gt;"",IF(COUNTIFS(VC_cle,J157,VC_type,"Visite sur place",VC_date,D157)&gt;0,"Visité",IF(D157&lt;TODAY(),"Non fait","À venir")),IF(B157="","",IF(COUNTIFS(VC_cle,J157,VC_type,"Visite sur place",VC_date,"&gt;="&amp;M157,VC_date,"&lt;"&amp;DATE(YEAR(M157),MONTH(M157)+1,1))&gt;0,"Visité","À visiter"))))</f>
        <v/>
      </c>
    </row>
    <row r="158" ht="18" customHeight="1">
      <c r="A158" s="39" t="n">
        <v>153</v>
      </c>
      <c r="B158" s="49" t="n"/>
      <c r="C158" s="43" t="n"/>
      <c r="D158" s="32" t="n"/>
      <c r="E158" s="36" t="n"/>
      <c r="F158" s="36" t="n"/>
      <c r="G158" s="36" t="n"/>
      <c r="H158" s="33">
        <f>IF(E158="","",Commercial_Id)</f>
        <v/>
      </c>
      <c r="I158" s="39">
        <f>IF(E158="","",IFERROR(VALUE(MID(E158,LEN(E158)-3,3)),""))</f>
        <v/>
      </c>
      <c r="J158" s="33">
        <f>IF(I158="","",H158&amp;"|"&amp;I158)</f>
        <v/>
      </c>
      <c r="K158" s="33">
        <f>IF(I158="","",IF(H158="À RENSEIGNER","GIC",H158)&amp;"-"&amp;TEXT(I158,"000"))</f>
        <v/>
      </c>
      <c r="L158" s="33">
        <f>IF(J158="","",IFERROR(INDEX(Cl_nom,MATCH(J158,Cl_cle,0)),"(client introuvable)"))</f>
        <v/>
      </c>
      <c r="M158" s="46">
        <f>IF(B158="","",DATE(YEAR(B158),MONTH(B158),1))</f>
        <v/>
      </c>
      <c r="N158" s="33">
        <f>IF(J158="","",IFERROR(INDEX(Cl_quartier,MATCH(J158,Cl_cle,0))&amp;"",""))</f>
        <v/>
      </c>
      <c r="O158" s="33">
        <f>IF(J158="","",IFERROR(INDEX(Cl_tel,MATCH(J158,Cl_cle,0))&amp;"",""))</f>
        <v/>
      </c>
      <c r="P158" s="34">
        <f>IF(J158="","",IFERROR(INDEX(Cl_potentiel,MATCH(J158,Cl_cle,0)),""))</f>
        <v/>
      </c>
      <c r="Q158" s="34">
        <f>IF(J158="","",IF(D158&lt;&gt;"",IF(COUNTIFS(VC_cle,J158,VC_type,"Visite sur place",VC_date,D158)&gt;0,"Visité",IF(D158&lt;TODAY(),"Non fait","À venir")),IF(B158="","",IF(COUNTIFS(VC_cle,J158,VC_type,"Visite sur place",VC_date,"&gt;="&amp;M158,VC_date,"&lt;"&amp;DATE(YEAR(M158),MONTH(M158)+1,1))&gt;0,"Visité","À visiter"))))</f>
        <v/>
      </c>
    </row>
    <row r="159" ht="18" customHeight="1">
      <c r="A159" s="39" t="n">
        <v>154</v>
      </c>
      <c r="B159" s="49" t="n"/>
      <c r="C159" s="43" t="n"/>
      <c r="D159" s="32" t="n"/>
      <c r="E159" s="36" t="n"/>
      <c r="F159" s="36" t="n"/>
      <c r="G159" s="36" t="n"/>
      <c r="H159" s="33">
        <f>IF(E159="","",Commercial_Id)</f>
        <v/>
      </c>
      <c r="I159" s="39">
        <f>IF(E159="","",IFERROR(VALUE(MID(E159,LEN(E159)-3,3)),""))</f>
        <v/>
      </c>
      <c r="J159" s="33">
        <f>IF(I159="","",H159&amp;"|"&amp;I159)</f>
        <v/>
      </c>
      <c r="K159" s="33">
        <f>IF(I159="","",IF(H159="À RENSEIGNER","GIC",H159)&amp;"-"&amp;TEXT(I159,"000"))</f>
        <v/>
      </c>
      <c r="L159" s="33">
        <f>IF(J159="","",IFERROR(INDEX(Cl_nom,MATCH(J159,Cl_cle,0)),"(client introuvable)"))</f>
        <v/>
      </c>
      <c r="M159" s="46">
        <f>IF(B159="","",DATE(YEAR(B159),MONTH(B159),1))</f>
        <v/>
      </c>
      <c r="N159" s="33">
        <f>IF(J159="","",IFERROR(INDEX(Cl_quartier,MATCH(J159,Cl_cle,0))&amp;"",""))</f>
        <v/>
      </c>
      <c r="O159" s="33">
        <f>IF(J159="","",IFERROR(INDEX(Cl_tel,MATCH(J159,Cl_cle,0))&amp;"",""))</f>
        <v/>
      </c>
      <c r="P159" s="34">
        <f>IF(J159="","",IFERROR(INDEX(Cl_potentiel,MATCH(J159,Cl_cle,0)),""))</f>
        <v/>
      </c>
      <c r="Q159" s="34">
        <f>IF(J159="","",IF(D159&lt;&gt;"",IF(COUNTIFS(VC_cle,J159,VC_type,"Visite sur place",VC_date,D159)&gt;0,"Visité",IF(D159&lt;TODAY(),"Non fait","À venir")),IF(B159="","",IF(COUNTIFS(VC_cle,J159,VC_type,"Visite sur place",VC_date,"&gt;="&amp;M159,VC_date,"&lt;"&amp;DATE(YEAR(M159),MONTH(M159)+1,1))&gt;0,"Visité","À visiter"))))</f>
        <v/>
      </c>
    </row>
    <row r="160" ht="18" customHeight="1">
      <c r="A160" s="39" t="n">
        <v>155</v>
      </c>
      <c r="B160" s="49" t="n"/>
      <c r="C160" s="43" t="n"/>
      <c r="D160" s="32" t="n"/>
      <c r="E160" s="36" t="n"/>
      <c r="F160" s="36" t="n"/>
      <c r="G160" s="36" t="n"/>
      <c r="H160" s="33">
        <f>IF(E160="","",Commercial_Id)</f>
        <v/>
      </c>
      <c r="I160" s="39">
        <f>IF(E160="","",IFERROR(VALUE(MID(E160,LEN(E160)-3,3)),""))</f>
        <v/>
      </c>
      <c r="J160" s="33">
        <f>IF(I160="","",H160&amp;"|"&amp;I160)</f>
        <v/>
      </c>
      <c r="K160" s="33">
        <f>IF(I160="","",IF(H160="À RENSEIGNER","GIC",H160)&amp;"-"&amp;TEXT(I160,"000"))</f>
        <v/>
      </c>
      <c r="L160" s="33">
        <f>IF(J160="","",IFERROR(INDEX(Cl_nom,MATCH(J160,Cl_cle,0)),"(client introuvable)"))</f>
        <v/>
      </c>
      <c r="M160" s="46">
        <f>IF(B160="","",DATE(YEAR(B160),MONTH(B160),1))</f>
        <v/>
      </c>
      <c r="N160" s="33">
        <f>IF(J160="","",IFERROR(INDEX(Cl_quartier,MATCH(J160,Cl_cle,0))&amp;"",""))</f>
        <v/>
      </c>
      <c r="O160" s="33">
        <f>IF(J160="","",IFERROR(INDEX(Cl_tel,MATCH(J160,Cl_cle,0))&amp;"",""))</f>
        <v/>
      </c>
      <c r="P160" s="34">
        <f>IF(J160="","",IFERROR(INDEX(Cl_potentiel,MATCH(J160,Cl_cle,0)),""))</f>
        <v/>
      </c>
      <c r="Q160" s="34">
        <f>IF(J160="","",IF(D160&lt;&gt;"",IF(COUNTIFS(VC_cle,J160,VC_type,"Visite sur place",VC_date,D160)&gt;0,"Visité",IF(D160&lt;TODAY(),"Non fait","À venir")),IF(B160="","",IF(COUNTIFS(VC_cle,J160,VC_type,"Visite sur place",VC_date,"&gt;="&amp;M160,VC_date,"&lt;"&amp;DATE(YEAR(M160),MONTH(M160)+1,1))&gt;0,"Visité","À visiter"))))</f>
        <v/>
      </c>
    </row>
    <row r="161" ht="18" customHeight="1">
      <c r="A161" s="39" t="n">
        <v>156</v>
      </c>
      <c r="B161" s="49" t="n"/>
      <c r="C161" s="43" t="n"/>
      <c r="D161" s="32" t="n"/>
      <c r="E161" s="36" t="n"/>
      <c r="F161" s="36" t="n"/>
      <c r="G161" s="36" t="n"/>
      <c r="H161" s="33">
        <f>IF(E161="","",Commercial_Id)</f>
        <v/>
      </c>
      <c r="I161" s="39">
        <f>IF(E161="","",IFERROR(VALUE(MID(E161,LEN(E161)-3,3)),""))</f>
        <v/>
      </c>
      <c r="J161" s="33">
        <f>IF(I161="","",H161&amp;"|"&amp;I161)</f>
        <v/>
      </c>
      <c r="K161" s="33">
        <f>IF(I161="","",IF(H161="À RENSEIGNER","GIC",H161)&amp;"-"&amp;TEXT(I161,"000"))</f>
        <v/>
      </c>
      <c r="L161" s="33">
        <f>IF(J161="","",IFERROR(INDEX(Cl_nom,MATCH(J161,Cl_cle,0)),"(client introuvable)"))</f>
        <v/>
      </c>
      <c r="M161" s="46">
        <f>IF(B161="","",DATE(YEAR(B161),MONTH(B161),1))</f>
        <v/>
      </c>
      <c r="N161" s="33">
        <f>IF(J161="","",IFERROR(INDEX(Cl_quartier,MATCH(J161,Cl_cle,0))&amp;"",""))</f>
        <v/>
      </c>
      <c r="O161" s="33">
        <f>IF(J161="","",IFERROR(INDEX(Cl_tel,MATCH(J161,Cl_cle,0))&amp;"",""))</f>
        <v/>
      </c>
      <c r="P161" s="34">
        <f>IF(J161="","",IFERROR(INDEX(Cl_potentiel,MATCH(J161,Cl_cle,0)),""))</f>
        <v/>
      </c>
      <c r="Q161" s="34">
        <f>IF(J161="","",IF(D161&lt;&gt;"",IF(COUNTIFS(VC_cle,J161,VC_type,"Visite sur place",VC_date,D161)&gt;0,"Visité",IF(D161&lt;TODAY(),"Non fait","À venir")),IF(B161="","",IF(COUNTIFS(VC_cle,J161,VC_type,"Visite sur place",VC_date,"&gt;="&amp;M161,VC_date,"&lt;"&amp;DATE(YEAR(M161),MONTH(M161)+1,1))&gt;0,"Visité","À visiter"))))</f>
        <v/>
      </c>
    </row>
    <row r="162" ht="18" customHeight="1">
      <c r="A162" s="39" t="n">
        <v>157</v>
      </c>
      <c r="B162" s="49" t="n"/>
      <c r="C162" s="43" t="n"/>
      <c r="D162" s="32" t="n"/>
      <c r="E162" s="36" t="n"/>
      <c r="F162" s="36" t="n"/>
      <c r="G162" s="36" t="n"/>
      <c r="H162" s="33">
        <f>IF(E162="","",Commercial_Id)</f>
        <v/>
      </c>
      <c r="I162" s="39">
        <f>IF(E162="","",IFERROR(VALUE(MID(E162,LEN(E162)-3,3)),""))</f>
        <v/>
      </c>
      <c r="J162" s="33">
        <f>IF(I162="","",H162&amp;"|"&amp;I162)</f>
        <v/>
      </c>
      <c r="K162" s="33">
        <f>IF(I162="","",IF(H162="À RENSEIGNER","GIC",H162)&amp;"-"&amp;TEXT(I162,"000"))</f>
        <v/>
      </c>
      <c r="L162" s="33">
        <f>IF(J162="","",IFERROR(INDEX(Cl_nom,MATCH(J162,Cl_cle,0)),"(client introuvable)"))</f>
        <v/>
      </c>
      <c r="M162" s="46">
        <f>IF(B162="","",DATE(YEAR(B162),MONTH(B162),1))</f>
        <v/>
      </c>
      <c r="N162" s="33">
        <f>IF(J162="","",IFERROR(INDEX(Cl_quartier,MATCH(J162,Cl_cle,0))&amp;"",""))</f>
        <v/>
      </c>
      <c r="O162" s="33">
        <f>IF(J162="","",IFERROR(INDEX(Cl_tel,MATCH(J162,Cl_cle,0))&amp;"",""))</f>
        <v/>
      </c>
      <c r="P162" s="34">
        <f>IF(J162="","",IFERROR(INDEX(Cl_potentiel,MATCH(J162,Cl_cle,0)),""))</f>
        <v/>
      </c>
      <c r="Q162" s="34">
        <f>IF(J162="","",IF(D162&lt;&gt;"",IF(COUNTIFS(VC_cle,J162,VC_type,"Visite sur place",VC_date,D162)&gt;0,"Visité",IF(D162&lt;TODAY(),"Non fait","À venir")),IF(B162="","",IF(COUNTIFS(VC_cle,J162,VC_type,"Visite sur place",VC_date,"&gt;="&amp;M162,VC_date,"&lt;"&amp;DATE(YEAR(M162),MONTH(M162)+1,1))&gt;0,"Visité","À visiter"))))</f>
        <v/>
      </c>
    </row>
    <row r="163" ht="18" customHeight="1">
      <c r="A163" s="39" t="n">
        <v>158</v>
      </c>
      <c r="B163" s="49" t="n"/>
      <c r="C163" s="43" t="n"/>
      <c r="D163" s="32" t="n"/>
      <c r="E163" s="36" t="n"/>
      <c r="F163" s="36" t="n"/>
      <c r="G163" s="36" t="n"/>
      <c r="H163" s="33">
        <f>IF(E163="","",Commercial_Id)</f>
        <v/>
      </c>
      <c r="I163" s="39">
        <f>IF(E163="","",IFERROR(VALUE(MID(E163,LEN(E163)-3,3)),""))</f>
        <v/>
      </c>
      <c r="J163" s="33">
        <f>IF(I163="","",H163&amp;"|"&amp;I163)</f>
        <v/>
      </c>
      <c r="K163" s="33">
        <f>IF(I163="","",IF(H163="À RENSEIGNER","GIC",H163)&amp;"-"&amp;TEXT(I163,"000"))</f>
        <v/>
      </c>
      <c r="L163" s="33">
        <f>IF(J163="","",IFERROR(INDEX(Cl_nom,MATCH(J163,Cl_cle,0)),"(client introuvable)"))</f>
        <v/>
      </c>
      <c r="M163" s="46">
        <f>IF(B163="","",DATE(YEAR(B163),MONTH(B163),1))</f>
        <v/>
      </c>
      <c r="N163" s="33">
        <f>IF(J163="","",IFERROR(INDEX(Cl_quartier,MATCH(J163,Cl_cle,0))&amp;"",""))</f>
        <v/>
      </c>
      <c r="O163" s="33">
        <f>IF(J163="","",IFERROR(INDEX(Cl_tel,MATCH(J163,Cl_cle,0))&amp;"",""))</f>
        <v/>
      </c>
      <c r="P163" s="34">
        <f>IF(J163="","",IFERROR(INDEX(Cl_potentiel,MATCH(J163,Cl_cle,0)),""))</f>
        <v/>
      </c>
      <c r="Q163" s="34">
        <f>IF(J163="","",IF(D163&lt;&gt;"",IF(COUNTIFS(VC_cle,J163,VC_type,"Visite sur place",VC_date,D163)&gt;0,"Visité",IF(D163&lt;TODAY(),"Non fait","À venir")),IF(B163="","",IF(COUNTIFS(VC_cle,J163,VC_type,"Visite sur place",VC_date,"&gt;="&amp;M163,VC_date,"&lt;"&amp;DATE(YEAR(M163),MONTH(M163)+1,1))&gt;0,"Visité","À visiter"))))</f>
        <v/>
      </c>
    </row>
    <row r="164" ht="18" customHeight="1">
      <c r="A164" s="39" t="n">
        <v>159</v>
      </c>
      <c r="B164" s="49" t="n"/>
      <c r="C164" s="43" t="n"/>
      <c r="D164" s="32" t="n"/>
      <c r="E164" s="36" t="n"/>
      <c r="F164" s="36" t="n"/>
      <c r="G164" s="36" t="n"/>
      <c r="H164" s="33">
        <f>IF(E164="","",Commercial_Id)</f>
        <v/>
      </c>
      <c r="I164" s="39">
        <f>IF(E164="","",IFERROR(VALUE(MID(E164,LEN(E164)-3,3)),""))</f>
        <v/>
      </c>
      <c r="J164" s="33">
        <f>IF(I164="","",H164&amp;"|"&amp;I164)</f>
        <v/>
      </c>
      <c r="K164" s="33">
        <f>IF(I164="","",IF(H164="À RENSEIGNER","GIC",H164)&amp;"-"&amp;TEXT(I164,"000"))</f>
        <v/>
      </c>
      <c r="L164" s="33">
        <f>IF(J164="","",IFERROR(INDEX(Cl_nom,MATCH(J164,Cl_cle,0)),"(client introuvable)"))</f>
        <v/>
      </c>
      <c r="M164" s="46">
        <f>IF(B164="","",DATE(YEAR(B164),MONTH(B164),1))</f>
        <v/>
      </c>
      <c r="N164" s="33">
        <f>IF(J164="","",IFERROR(INDEX(Cl_quartier,MATCH(J164,Cl_cle,0))&amp;"",""))</f>
        <v/>
      </c>
      <c r="O164" s="33">
        <f>IF(J164="","",IFERROR(INDEX(Cl_tel,MATCH(J164,Cl_cle,0))&amp;"",""))</f>
        <v/>
      </c>
      <c r="P164" s="34">
        <f>IF(J164="","",IFERROR(INDEX(Cl_potentiel,MATCH(J164,Cl_cle,0)),""))</f>
        <v/>
      </c>
      <c r="Q164" s="34">
        <f>IF(J164="","",IF(D164&lt;&gt;"",IF(COUNTIFS(VC_cle,J164,VC_type,"Visite sur place",VC_date,D164)&gt;0,"Visité",IF(D164&lt;TODAY(),"Non fait","À venir")),IF(B164="","",IF(COUNTIFS(VC_cle,J164,VC_type,"Visite sur place",VC_date,"&gt;="&amp;M164,VC_date,"&lt;"&amp;DATE(YEAR(M164),MONTH(M164)+1,1))&gt;0,"Visité","À visiter"))))</f>
        <v/>
      </c>
    </row>
    <row r="165" ht="18" customHeight="1">
      <c r="A165" s="39" t="n">
        <v>160</v>
      </c>
      <c r="B165" s="49" t="n"/>
      <c r="C165" s="43" t="n"/>
      <c r="D165" s="32" t="n"/>
      <c r="E165" s="36" t="n"/>
      <c r="F165" s="36" t="n"/>
      <c r="G165" s="36" t="n"/>
      <c r="H165" s="33">
        <f>IF(E165="","",Commercial_Id)</f>
        <v/>
      </c>
      <c r="I165" s="39">
        <f>IF(E165="","",IFERROR(VALUE(MID(E165,LEN(E165)-3,3)),""))</f>
        <v/>
      </c>
      <c r="J165" s="33">
        <f>IF(I165="","",H165&amp;"|"&amp;I165)</f>
        <v/>
      </c>
      <c r="K165" s="33">
        <f>IF(I165="","",IF(H165="À RENSEIGNER","GIC",H165)&amp;"-"&amp;TEXT(I165,"000"))</f>
        <v/>
      </c>
      <c r="L165" s="33">
        <f>IF(J165="","",IFERROR(INDEX(Cl_nom,MATCH(J165,Cl_cle,0)),"(client introuvable)"))</f>
        <v/>
      </c>
      <c r="M165" s="46">
        <f>IF(B165="","",DATE(YEAR(B165),MONTH(B165),1))</f>
        <v/>
      </c>
      <c r="N165" s="33">
        <f>IF(J165="","",IFERROR(INDEX(Cl_quartier,MATCH(J165,Cl_cle,0))&amp;"",""))</f>
        <v/>
      </c>
      <c r="O165" s="33">
        <f>IF(J165="","",IFERROR(INDEX(Cl_tel,MATCH(J165,Cl_cle,0))&amp;"",""))</f>
        <v/>
      </c>
      <c r="P165" s="34">
        <f>IF(J165="","",IFERROR(INDEX(Cl_potentiel,MATCH(J165,Cl_cle,0)),""))</f>
        <v/>
      </c>
      <c r="Q165" s="34">
        <f>IF(J165="","",IF(D165&lt;&gt;"",IF(COUNTIFS(VC_cle,J165,VC_type,"Visite sur place",VC_date,D165)&gt;0,"Visité",IF(D165&lt;TODAY(),"Non fait","À venir")),IF(B165="","",IF(COUNTIFS(VC_cle,J165,VC_type,"Visite sur place",VC_date,"&gt;="&amp;M165,VC_date,"&lt;"&amp;DATE(YEAR(M165),MONTH(M165)+1,1))&gt;0,"Visité","À visiter"))))</f>
        <v/>
      </c>
    </row>
    <row r="166" ht="18" customHeight="1">
      <c r="A166" s="39" t="n">
        <v>161</v>
      </c>
      <c r="B166" s="49" t="n"/>
      <c r="C166" s="43" t="n"/>
      <c r="D166" s="32" t="n"/>
      <c r="E166" s="36" t="n"/>
      <c r="F166" s="36" t="n"/>
      <c r="G166" s="36" t="n"/>
      <c r="H166" s="33">
        <f>IF(E166="","",Commercial_Id)</f>
        <v/>
      </c>
      <c r="I166" s="39">
        <f>IF(E166="","",IFERROR(VALUE(MID(E166,LEN(E166)-3,3)),""))</f>
        <v/>
      </c>
      <c r="J166" s="33">
        <f>IF(I166="","",H166&amp;"|"&amp;I166)</f>
        <v/>
      </c>
      <c r="K166" s="33">
        <f>IF(I166="","",IF(H166="À RENSEIGNER","GIC",H166)&amp;"-"&amp;TEXT(I166,"000"))</f>
        <v/>
      </c>
      <c r="L166" s="33">
        <f>IF(J166="","",IFERROR(INDEX(Cl_nom,MATCH(J166,Cl_cle,0)),"(client introuvable)"))</f>
        <v/>
      </c>
      <c r="M166" s="46">
        <f>IF(B166="","",DATE(YEAR(B166),MONTH(B166),1))</f>
        <v/>
      </c>
      <c r="N166" s="33">
        <f>IF(J166="","",IFERROR(INDEX(Cl_quartier,MATCH(J166,Cl_cle,0))&amp;"",""))</f>
        <v/>
      </c>
      <c r="O166" s="33">
        <f>IF(J166="","",IFERROR(INDEX(Cl_tel,MATCH(J166,Cl_cle,0))&amp;"",""))</f>
        <v/>
      </c>
      <c r="P166" s="34">
        <f>IF(J166="","",IFERROR(INDEX(Cl_potentiel,MATCH(J166,Cl_cle,0)),""))</f>
        <v/>
      </c>
      <c r="Q166" s="34">
        <f>IF(J166="","",IF(D166&lt;&gt;"",IF(COUNTIFS(VC_cle,J166,VC_type,"Visite sur place",VC_date,D166)&gt;0,"Visité",IF(D166&lt;TODAY(),"Non fait","À venir")),IF(B166="","",IF(COUNTIFS(VC_cle,J166,VC_type,"Visite sur place",VC_date,"&gt;="&amp;M166,VC_date,"&lt;"&amp;DATE(YEAR(M166),MONTH(M166)+1,1))&gt;0,"Visité","À visiter"))))</f>
        <v/>
      </c>
    </row>
    <row r="167" ht="18" customHeight="1">
      <c r="A167" s="39" t="n">
        <v>162</v>
      </c>
      <c r="B167" s="49" t="n"/>
      <c r="C167" s="43" t="n"/>
      <c r="D167" s="32" t="n"/>
      <c r="E167" s="36" t="n"/>
      <c r="F167" s="36" t="n"/>
      <c r="G167" s="36" t="n"/>
      <c r="H167" s="33">
        <f>IF(E167="","",Commercial_Id)</f>
        <v/>
      </c>
      <c r="I167" s="39">
        <f>IF(E167="","",IFERROR(VALUE(MID(E167,LEN(E167)-3,3)),""))</f>
        <v/>
      </c>
      <c r="J167" s="33">
        <f>IF(I167="","",H167&amp;"|"&amp;I167)</f>
        <v/>
      </c>
      <c r="K167" s="33">
        <f>IF(I167="","",IF(H167="À RENSEIGNER","GIC",H167)&amp;"-"&amp;TEXT(I167,"000"))</f>
        <v/>
      </c>
      <c r="L167" s="33">
        <f>IF(J167="","",IFERROR(INDEX(Cl_nom,MATCH(J167,Cl_cle,0)),"(client introuvable)"))</f>
        <v/>
      </c>
      <c r="M167" s="46">
        <f>IF(B167="","",DATE(YEAR(B167),MONTH(B167),1))</f>
        <v/>
      </c>
      <c r="N167" s="33">
        <f>IF(J167="","",IFERROR(INDEX(Cl_quartier,MATCH(J167,Cl_cle,0))&amp;"",""))</f>
        <v/>
      </c>
      <c r="O167" s="33">
        <f>IF(J167="","",IFERROR(INDEX(Cl_tel,MATCH(J167,Cl_cle,0))&amp;"",""))</f>
        <v/>
      </c>
      <c r="P167" s="34">
        <f>IF(J167="","",IFERROR(INDEX(Cl_potentiel,MATCH(J167,Cl_cle,0)),""))</f>
        <v/>
      </c>
      <c r="Q167" s="34">
        <f>IF(J167="","",IF(D167&lt;&gt;"",IF(COUNTIFS(VC_cle,J167,VC_type,"Visite sur place",VC_date,D167)&gt;0,"Visité",IF(D167&lt;TODAY(),"Non fait","À venir")),IF(B167="","",IF(COUNTIFS(VC_cle,J167,VC_type,"Visite sur place",VC_date,"&gt;="&amp;M167,VC_date,"&lt;"&amp;DATE(YEAR(M167),MONTH(M167)+1,1))&gt;0,"Visité","À visiter"))))</f>
        <v/>
      </c>
    </row>
    <row r="168" ht="18" customHeight="1">
      <c r="A168" s="39" t="n">
        <v>163</v>
      </c>
      <c r="B168" s="49" t="n"/>
      <c r="C168" s="43" t="n"/>
      <c r="D168" s="32" t="n"/>
      <c r="E168" s="36" t="n"/>
      <c r="F168" s="36" t="n"/>
      <c r="G168" s="36" t="n"/>
      <c r="H168" s="33">
        <f>IF(E168="","",Commercial_Id)</f>
        <v/>
      </c>
      <c r="I168" s="39">
        <f>IF(E168="","",IFERROR(VALUE(MID(E168,LEN(E168)-3,3)),""))</f>
        <v/>
      </c>
      <c r="J168" s="33">
        <f>IF(I168="","",H168&amp;"|"&amp;I168)</f>
        <v/>
      </c>
      <c r="K168" s="33">
        <f>IF(I168="","",IF(H168="À RENSEIGNER","GIC",H168)&amp;"-"&amp;TEXT(I168,"000"))</f>
        <v/>
      </c>
      <c r="L168" s="33">
        <f>IF(J168="","",IFERROR(INDEX(Cl_nom,MATCH(J168,Cl_cle,0)),"(client introuvable)"))</f>
        <v/>
      </c>
      <c r="M168" s="46">
        <f>IF(B168="","",DATE(YEAR(B168),MONTH(B168),1))</f>
        <v/>
      </c>
      <c r="N168" s="33">
        <f>IF(J168="","",IFERROR(INDEX(Cl_quartier,MATCH(J168,Cl_cle,0))&amp;"",""))</f>
        <v/>
      </c>
      <c r="O168" s="33">
        <f>IF(J168="","",IFERROR(INDEX(Cl_tel,MATCH(J168,Cl_cle,0))&amp;"",""))</f>
        <v/>
      </c>
      <c r="P168" s="34">
        <f>IF(J168="","",IFERROR(INDEX(Cl_potentiel,MATCH(J168,Cl_cle,0)),""))</f>
        <v/>
      </c>
      <c r="Q168" s="34">
        <f>IF(J168="","",IF(D168&lt;&gt;"",IF(COUNTIFS(VC_cle,J168,VC_type,"Visite sur place",VC_date,D168)&gt;0,"Visité",IF(D168&lt;TODAY(),"Non fait","À venir")),IF(B168="","",IF(COUNTIFS(VC_cle,J168,VC_type,"Visite sur place",VC_date,"&gt;="&amp;M168,VC_date,"&lt;"&amp;DATE(YEAR(M168),MONTH(M168)+1,1))&gt;0,"Visité","À visiter"))))</f>
        <v/>
      </c>
    </row>
    <row r="169" ht="18" customHeight="1">
      <c r="A169" s="39" t="n">
        <v>164</v>
      </c>
      <c r="B169" s="49" t="n"/>
      <c r="C169" s="43" t="n"/>
      <c r="D169" s="32" t="n"/>
      <c r="E169" s="36" t="n"/>
      <c r="F169" s="36" t="n"/>
      <c r="G169" s="36" t="n"/>
      <c r="H169" s="33">
        <f>IF(E169="","",Commercial_Id)</f>
        <v/>
      </c>
      <c r="I169" s="39">
        <f>IF(E169="","",IFERROR(VALUE(MID(E169,LEN(E169)-3,3)),""))</f>
        <v/>
      </c>
      <c r="J169" s="33">
        <f>IF(I169="","",H169&amp;"|"&amp;I169)</f>
        <v/>
      </c>
      <c r="K169" s="33">
        <f>IF(I169="","",IF(H169="À RENSEIGNER","GIC",H169)&amp;"-"&amp;TEXT(I169,"000"))</f>
        <v/>
      </c>
      <c r="L169" s="33">
        <f>IF(J169="","",IFERROR(INDEX(Cl_nom,MATCH(J169,Cl_cle,0)),"(client introuvable)"))</f>
        <v/>
      </c>
      <c r="M169" s="46">
        <f>IF(B169="","",DATE(YEAR(B169),MONTH(B169),1))</f>
        <v/>
      </c>
      <c r="N169" s="33">
        <f>IF(J169="","",IFERROR(INDEX(Cl_quartier,MATCH(J169,Cl_cle,0))&amp;"",""))</f>
        <v/>
      </c>
      <c r="O169" s="33">
        <f>IF(J169="","",IFERROR(INDEX(Cl_tel,MATCH(J169,Cl_cle,0))&amp;"",""))</f>
        <v/>
      </c>
      <c r="P169" s="34">
        <f>IF(J169="","",IFERROR(INDEX(Cl_potentiel,MATCH(J169,Cl_cle,0)),""))</f>
        <v/>
      </c>
      <c r="Q169" s="34">
        <f>IF(J169="","",IF(D169&lt;&gt;"",IF(COUNTIFS(VC_cle,J169,VC_type,"Visite sur place",VC_date,D169)&gt;0,"Visité",IF(D169&lt;TODAY(),"Non fait","À venir")),IF(B169="","",IF(COUNTIFS(VC_cle,J169,VC_type,"Visite sur place",VC_date,"&gt;="&amp;M169,VC_date,"&lt;"&amp;DATE(YEAR(M169),MONTH(M169)+1,1))&gt;0,"Visité","À visiter"))))</f>
        <v/>
      </c>
    </row>
    <row r="170" ht="18" customHeight="1">
      <c r="A170" s="39" t="n">
        <v>165</v>
      </c>
      <c r="B170" s="49" t="n"/>
      <c r="C170" s="43" t="n"/>
      <c r="D170" s="32" t="n"/>
      <c r="E170" s="36" t="n"/>
      <c r="F170" s="36" t="n"/>
      <c r="G170" s="36" t="n"/>
      <c r="H170" s="33">
        <f>IF(E170="","",Commercial_Id)</f>
        <v/>
      </c>
      <c r="I170" s="39">
        <f>IF(E170="","",IFERROR(VALUE(MID(E170,LEN(E170)-3,3)),""))</f>
        <v/>
      </c>
      <c r="J170" s="33">
        <f>IF(I170="","",H170&amp;"|"&amp;I170)</f>
        <v/>
      </c>
      <c r="K170" s="33">
        <f>IF(I170="","",IF(H170="À RENSEIGNER","GIC",H170)&amp;"-"&amp;TEXT(I170,"000"))</f>
        <v/>
      </c>
      <c r="L170" s="33">
        <f>IF(J170="","",IFERROR(INDEX(Cl_nom,MATCH(J170,Cl_cle,0)),"(client introuvable)"))</f>
        <v/>
      </c>
      <c r="M170" s="46">
        <f>IF(B170="","",DATE(YEAR(B170),MONTH(B170),1))</f>
        <v/>
      </c>
      <c r="N170" s="33">
        <f>IF(J170="","",IFERROR(INDEX(Cl_quartier,MATCH(J170,Cl_cle,0))&amp;"",""))</f>
        <v/>
      </c>
      <c r="O170" s="33">
        <f>IF(J170="","",IFERROR(INDEX(Cl_tel,MATCH(J170,Cl_cle,0))&amp;"",""))</f>
        <v/>
      </c>
      <c r="P170" s="34">
        <f>IF(J170="","",IFERROR(INDEX(Cl_potentiel,MATCH(J170,Cl_cle,0)),""))</f>
        <v/>
      </c>
      <c r="Q170" s="34">
        <f>IF(J170="","",IF(D170&lt;&gt;"",IF(COUNTIFS(VC_cle,J170,VC_type,"Visite sur place",VC_date,D170)&gt;0,"Visité",IF(D170&lt;TODAY(),"Non fait","À venir")),IF(B170="","",IF(COUNTIFS(VC_cle,J170,VC_type,"Visite sur place",VC_date,"&gt;="&amp;M170,VC_date,"&lt;"&amp;DATE(YEAR(M170),MONTH(M170)+1,1))&gt;0,"Visité","À visiter"))))</f>
        <v/>
      </c>
    </row>
    <row r="171" ht="18" customHeight="1">
      <c r="A171" s="39" t="n">
        <v>166</v>
      </c>
      <c r="B171" s="49" t="n"/>
      <c r="C171" s="43" t="n"/>
      <c r="D171" s="32" t="n"/>
      <c r="E171" s="36" t="n"/>
      <c r="F171" s="36" t="n"/>
      <c r="G171" s="36" t="n"/>
      <c r="H171" s="33">
        <f>IF(E171="","",Commercial_Id)</f>
        <v/>
      </c>
      <c r="I171" s="39">
        <f>IF(E171="","",IFERROR(VALUE(MID(E171,LEN(E171)-3,3)),""))</f>
        <v/>
      </c>
      <c r="J171" s="33">
        <f>IF(I171="","",H171&amp;"|"&amp;I171)</f>
        <v/>
      </c>
      <c r="K171" s="33">
        <f>IF(I171="","",IF(H171="À RENSEIGNER","GIC",H171)&amp;"-"&amp;TEXT(I171,"000"))</f>
        <v/>
      </c>
      <c r="L171" s="33">
        <f>IF(J171="","",IFERROR(INDEX(Cl_nom,MATCH(J171,Cl_cle,0)),"(client introuvable)"))</f>
        <v/>
      </c>
      <c r="M171" s="46">
        <f>IF(B171="","",DATE(YEAR(B171),MONTH(B171),1))</f>
        <v/>
      </c>
      <c r="N171" s="33">
        <f>IF(J171="","",IFERROR(INDEX(Cl_quartier,MATCH(J171,Cl_cle,0))&amp;"",""))</f>
        <v/>
      </c>
      <c r="O171" s="33">
        <f>IF(J171="","",IFERROR(INDEX(Cl_tel,MATCH(J171,Cl_cle,0))&amp;"",""))</f>
        <v/>
      </c>
      <c r="P171" s="34">
        <f>IF(J171="","",IFERROR(INDEX(Cl_potentiel,MATCH(J171,Cl_cle,0)),""))</f>
        <v/>
      </c>
      <c r="Q171" s="34">
        <f>IF(J171="","",IF(D171&lt;&gt;"",IF(COUNTIFS(VC_cle,J171,VC_type,"Visite sur place",VC_date,D171)&gt;0,"Visité",IF(D171&lt;TODAY(),"Non fait","À venir")),IF(B171="","",IF(COUNTIFS(VC_cle,J171,VC_type,"Visite sur place",VC_date,"&gt;="&amp;M171,VC_date,"&lt;"&amp;DATE(YEAR(M171),MONTH(M171)+1,1))&gt;0,"Visité","À visiter"))))</f>
        <v/>
      </c>
    </row>
    <row r="172" ht="18" customHeight="1">
      <c r="A172" s="39" t="n">
        <v>167</v>
      </c>
      <c r="B172" s="49" t="n"/>
      <c r="C172" s="43" t="n"/>
      <c r="D172" s="32" t="n"/>
      <c r="E172" s="36" t="n"/>
      <c r="F172" s="36" t="n"/>
      <c r="G172" s="36" t="n"/>
      <c r="H172" s="33">
        <f>IF(E172="","",Commercial_Id)</f>
        <v/>
      </c>
      <c r="I172" s="39">
        <f>IF(E172="","",IFERROR(VALUE(MID(E172,LEN(E172)-3,3)),""))</f>
        <v/>
      </c>
      <c r="J172" s="33">
        <f>IF(I172="","",H172&amp;"|"&amp;I172)</f>
        <v/>
      </c>
      <c r="K172" s="33">
        <f>IF(I172="","",IF(H172="À RENSEIGNER","GIC",H172)&amp;"-"&amp;TEXT(I172,"000"))</f>
        <v/>
      </c>
      <c r="L172" s="33">
        <f>IF(J172="","",IFERROR(INDEX(Cl_nom,MATCH(J172,Cl_cle,0)),"(client introuvable)"))</f>
        <v/>
      </c>
      <c r="M172" s="46">
        <f>IF(B172="","",DATE(YEAR(B172),MONTH(B172),1))</f>
        <v/>
      </c>
      <c r="N172" s="33">
        <f>IF(J172="","",IFERROR(INDEX(Cl_quartier,MATCH(J172,Cl_cle,0))&amp;"",""))</f>
        <v/>
      </c>
      <c r="O172" s="33">
        <f>IF(J172="","",IFERROR(INDEX(Cl_tel,MATCH(J172,Cl_cle,0))&amp;"",""))</f>
        <v/>
      </c>
      <c r="P172" s="34">
        <f>IF(J172="","",IFERROR(INDEX(Cl_potentiel,MATCH(J172,Cl_cle,0)),""))</f>
        <v/>
      </c>
      <c r="Q172" s="34">
        <f>IF(J172="","",IF(D172&lt;&gt;"",IF(COUNTIFS(VC_cle,J172,VC_type,"Visite sur place",VC_date,D172)&gt;0,"Visité",IF(D172&lt;TODAY(),"Non fait","À venir")),IF(B172="","",IF(COUNTIFS(VC_cle,J172,VC_type,"Visite sur place",VC_date,"&gt;="&amp;M172,VC_date,"&lt;"&amp;DATE(YEAR(M172),MONTH(M172)+1,1))&gt;0,"Visité","À visiter"))))</f>
        <v/>
      </c>
    </row>
    <row r="173" ht="18" customHeight="1">
      <c r="A173" s="39" t="n">
        <v>168</v>
      </c>
      <c r="B173" s="49" t="n"/>
      <c r="C173" s="43" t="n"/>
      <c r="D173" s="32" t="n"/>
      <c r="E173" s="36" t="n"/>
      <c r="F173" s="36" t="n"/>
      <c r="G173" s="36" t="n"/>
      <c r="H173" s="33">
        <f>IF(E173="","",Commercial_Id)</f>
        <v/>
      </c>
      <c r="I173" s="39">
        <f>IF(E173="","",IFERROR(VALUE(MID(E173,LEN(E173)-3,3)),""))</f>
        <v/>
      </c>
      <c r="J173" s="33">
        <f>IF(I173="","",H173&amp;"|"&amp;I173)</f>
        <v/>
      </c>
      <c r="K173" s="33">
        <f>IF(I173="","",IF(H173="À RENSEIGNER","GIC",H173)&amp;"-"&amp;TEXT(I173,"000"))</f>
        <v/>
      </c>
      <c r="L173" s="33">
        <f>IF(J173="","",IFERROR(INDEX(Cl_nom,MATCH(J173,Cl_cle,0)),"(client introuvable)"))</f>
        <v/>
      </c>
      <c r="M173" s="46">
        <f>IF(B173="","",DATE(YEAR(B173),MONTH(B173),1))</f>
        <v/>
      </c>
      <c r="N173" s="33">
        <f>IF(J173="","",IFERROR(INDEX(Cl_quartier,MATCH(J173,Cl_cle,0))&amp;"",""))</f>
        <v/>
      </c>
      <c r="O173" s="33">
        <f>IF(J173="","",IFERROR(INDEX(Cl_tel,MATCH(J173,Cl_cle,0))&amp;"",""))</f>
        <v/>
      </c>
      <c r="P173" s="34">
        <f>IF(J173="","",IFERROR(INDEX(Cl_potentiel,MATCH(J173,Cl_cle,0)),""))</f>
        <v/>
      </c>
      <c r="Q173" s="34">
        <f>IF(J173="","",IF(D173&lt;&gt;"",IF(COUNTIFS(VC_cle,J173,VC_type,"Visite sur place",VC_date,D173)&gt;0,"Visité",IF(D173&lt;TODAY(),"Non fait","À venir")),IF(B173="","",IF(COUNTIFS(VC_cle,J173,VC_type,"Visite sur place",VC_date,"&gt;="&amp;M173,VC_date,"&lt;"&amp;DATE(YEAR(M173),MONTH(M173)+1,1))&gt;0,"Visité","À visiter"))))</f>
        <v/>
      </c>
    </row>
    <row r="174" ht="18" customHeight="1">
      <c r="A174" s="39" t="n">
        <v>169</v>
      </c>
      <c r="B174" s="49" t="n"/>
      <c r="C174" s="43" t="n"/>
      <c r="D174" s="32" t="n"/>
      <c r="E174" s="36" t="n"/>
      <c r="F174" s="36" t="n"/>
      <c r="G174" s="36" t="n"/>
      <c r="H174" s="33">
        <f>IF(E174="","",Commercial_Id)</f>
        <v/>
      </c>
      <c r="I174" s="39">
        <f>IF(E174="","",IFERROR(VALUE(MID(E174,LEN(E174)-3,3)),""))</f>
        <v/>
      </c>
      <c r="J174" s="33">
        <f>IF(I174="","",H174&amp;"|"&amp;I174)</f>
        <v/>
      </c>
      <c r="K174" s="33">
        <f>IF(I174="","",IF(H174="À RENSEIGNER","GIC",H174)&amp;"-"&amp;TEXT(I174,"000"))</f>
        <v/>
      </c>
      <c r="L174" s="33">
        <f>IF(J174="","",IFERROR(INDEX(Cl_nom,MATCH(J174,Cl_cle,0)),"(client introuvable)"))</f>
        <v/>
      </c>
      <c r="M174" s="46">
        <f>IF(B174="","",DATE(YEAR(B174),MONTH(B174),1))</f>
        <v/>
      </c>
      <c r="N174" s="33">
        <f>IF(J174="","",IFERROR(INDEX(Cl_quartier,MATCH(J174,Cl_cle,0))&amp;"",""))</f>
        <v/>
      </c>
      <c r="O174" s="33">
        <f>IF(J174="","",IFERROR(INDEX(Cl_tel,MATCH(J174,Cl_cle,0))&amp;"",""))</f>
        <v/>
      </c>
      <c r="P174" s="34">
        <f>IF(J174="","",IFERROR(INDEX(Cl_potentiel,MATCH(J174,Cl_cle,0)),""))</f>
        <v/>
      </c>
      <c r="Q174" s="34">
        <f>IF(J174="","",IF(D174&lt;&gt;"",IF(COUNTIFS(VC_cle,J174,VC_type,"Visite sur place",VC_date,D174)&gt;0,"Visité",IF(D174&lt;TODAY(),"Non fait","À venir")),IF(B174="","",IF(COUNTIFS(VC_cle,J174,VC_type,"Visite sur place",VC_date,"&gt;="&amp;M174,VC_date,"&lt;"&amp;DATE(YEAR(M174),MONTH(M174)+1,1))&gt;0,"Visité","À visiter"))))</f>
        <v/>
      </c>
    </row>
    <row r="175" ht="18" customHeight="1">
      <c r="A175" s="39" t="n">
        <v>170</v>
      </c>
      <c r="B175" s="49" t="n"/>
      <c r="C175" s="43" t="n"/>
      <c r="D175" s="32" t="n"/>
      <c r="E175" s="36" t="n"/>
      <c r="F175" s="36" t="n"/>
      <c r="G175" s="36" t="n"/>
      <c r="H175" s="33">
        <f>IF(E175="","",Commercial_Id)</f>
        <v/>
      </c>
      <c r="I175" s="39">
        <f>IF(E175="","",IFERROR(VALUE(MID(E175,LEN(E175)-3,3)),""))</f>
        <v/>
      </c>
      <c r="J175" s="33">
        <f>IF(I175="","",H175&amp;"|"&amp;I175)</f>
        <v/>
      </c>
      <c r="K175" s="33">
        <f>IF(I175="","",IF(H175="À RENSEIGNER","GIC",H175)&amp;"-"&amp;TEXT(I175,"000"))</f>
        <v/>
      </c>
      <c r="L175" s="33">
        <f>IF(J175="","",IFERROR(INDEX(Cl_nom,MATCH(J175,Cl_cle,0)),"(client introuvable)"))</f>
        <v/>
      </c>
      <c r="M175" s="46">
        <f>IF(B175="","",DATE(YEAR(B175),MONTH(B175),1))</f>
        <v/>
      </c>
      <c r="N175" s="33">
        <f>IF(J175="","",IFERROR(INDEX(Cl_quartier,MATCH(J175,Cl_cle,0))&amp;"",""))</f>
        <v/>
      </c>
      <c r="O175" s="33">
        <f>IF(J175="","",IFERROR(INDEX(Cl_tel,MATCH(J175,Cl_cle,0))&amp;"",""))</f>
        <v/>
      </c>
      <c r="P175" s="34">
        <f>IF(J175="","",IFERROR(INDEX(Cl_potentiel,MATCH(J175,Cl_cle,0)),""))</f>
        <v/>
      </c>
      <c r="Q175" s="34">
        <f>IF(J175="","",IF(D175&lt;&gt;"",IF(COUNTIFS(VC_cle,J175,VC_type,"Visite sur place",VC_date,D175)&gt;0,"Visité",IF(D175&lt;TODAY(),"Non fait","À venir")),IF(B175="","",IF(COUNTIFS(VC_cle,J175,VC_type,"Visite sur place",VC_date,"&gt;="&amp;M175,VC_date,"&lt;"&amp;DATE(YEAR(M175),MONTH(M175)+1,1))&gt;0,"Visité","À visiter"))))</f>
        <v/>
      </c>
    </row>
    <row r="176" ht="18" customHeight="1">
      <c r="A176" s="39" t="n">
        <v>171</v>
      </c>
      <c r="B176" s="49" t="n"/>
      <c r="C176" s="43" t="n"/>
      <c r="D176" s="32" t="n"/>
      <c r="E176" s="36" t="n"/>
      <c r="F176" s="36" t="n"/>
      <c r="G176" s="36" t="n"/>
      <c r="H176" s="33">
        <f>IF(E176="","",Commercial_Id)</f>
        <v/>
      </c>
      <c r="I176" s="39">
        <f>IF(E176="","",IFERROR(VALUE(MID(E176,LEN(E176)-3,3)),""))</f>
        <v/>
      </c>
      <c r="J176" s="33">
        <f>IF(I176="","",H176&amp;"|"&amp;I176)</f>
        <v/>
      </c>
      <c r="K176" s="33">
        <f>IF(I176="","",IF(H176="À RENSEIGNER","GIC",H176)&amp;"-"&amp;TEXT(I176,"000"))</f>
        <v/>
      </c>
      <c r="L176" s="33">
        <f>IF(J176="","",IFERROR(INDEX(Cl_nom,MATCH(J176,Cl_cle,0)),"(client introuvable)"))</f>
        <v/>
      </c>
      <c r="M176" s="46">
        <f>IF(B176="","",DATE(YEAR(B176),MONTH(B176),1))</f>
        <v/>
      </c>
      <c r="N176" s="33">
        <f>IF(J176="","",IFERROR(INDEX(Cl_quartier,MATCH(J176,Cl_cle,0))&amp;"",""))</f>
        <v/>
      </c>
      <c r="O176" s="33">
        <f>IF(J176="","",IFERROR(INDEX(Cl_tel,MATCH(J176,Cl_cle,0))&amp;"",""))</f>
        <v/>
      </c>
      <c r="P176" s="34">
        <f>IF(J176="","",IFERROR(INDEX(Cl_potentiel,MATCH(J176,Cl_cle,0)),""))</f>
        <v/>
      </c>
      <c r="Q176" s="34">
        <f>IF(J176="","",IF(D176&lt;&gt;"",IF(COUNTIFS(VC_cle,J176,VC_type,"Visite sur place",VC_date,D176)&gt;0,"Visité",IF(D176&lt;TODAY(),"Non fait","À venir")),IF(B176="","",IF(COUNTIFS(VC_cle,J176,VC_type,"Visite sur place",VC_date,"&gt;="&amp;M176,VC_date,"&lt;"&amp;DATE(YEAR(M176),MONTH(M176)+1,1))&gt;0,"Visité","À visiter"))))</f>
        <v/>
      </c>
    </row>
    <row r="177" ht="18" customHeight="1">
      <c r="A177" s="39" t="n">
        <v>172</v>
      </c>
      <c r="B177" s="49" t="n"/>
      <c r="C177" s="43" t="n"/>
      <c r="D177" s="32" t="n"/>
      <c r="E177" s="36" t="n"/>
      <c r="F177" s="36" t="n"/>
      <c r="G177" s="36" t="n"/>
      <c r="H177" s="33">
        <f>IF(E177="","",Commercial_Id)</f>
        <v/>
      </c>
      <c r="I177" s="39">
        <f>IF(E177="","",IFERROR(VALUE(MID(E177,LEN(E177)-3,3)),""))</f>
        <v/>
      </c>
      <c r="J177" s="33">
        <f>IF(I177="","",H177&amp;"|"&amp;I177)</f>
        <v/>
      </c>
      <c r="K177" s="33">
        <f>IF(I177="","",IF(H177="À RENSEIGNER","GIC",H177)&amp;"-"&amp;TEXT(I177,"000"))</f>
        <v/>
      </c>
      <c r="L177" s="33">
        <f>IF(J177="","",IFERROR(INDEX(Cl_nom,MATCH(J177,Cl_cle,0)),"(client introuvable)"))</f>
        <v/>
      </c>
      <c r="M177" s="46">
        <f>IF(B177="","",DATE(YEAR(B177),MONTH(B177),1))</f>
        <v/>
      </c>
      <c r="N177" s="33">
        <f>IF(J177="","",IFERROR(INDEX(Cl_quartier,MATCH(J177,Cl_cle,0))&amp;"",""))</f>
        <v/>
      </c>
      <c r="O177" s="33">
        <f>IF(J177="","",IFERROR(INDEX(Cl_tel,MATCH(J177,Cl_cle,0))&amp;"",""))</f>
        <v/>
      </c>
      <c r="P177" s="34">
        <f>IF(J177="","",IFERROR(INDEX(Cl_potentiel,MATCH(J177,Cl_cle,0)),""))</f>
        <v/>
      </c>
      <c r="Q177" s="34">
        <f>IF(J177="","",IF(D177&lt;&gt;"",IF(COUNTIFS(VC_cle,J177,VC_type,"Visite sur place",VC_date,D177)&gt;0,"Visité",IF(D177&lt;TODAY(),"Non fait","À venir")),IF(B177="","",IF(COUNTIFS(VC_cle,J177,VC_type,"Visite sur place",VC_date,"&gt;="&amp;M177,VC_date,"&lt;"&amp;DATE(YEAR(M177),MONTH(M177)+1,1))&gt;0,"Visité","À visiter"))))</f>
        <v/>
      </c>
    </row>
    <row r="178" ht="18" customHeight="1">
      <c r="A178" s="39" t="n">
        <v>173</v>
      </c>
      <c r="B178" s="49" t="n"/>
      <c r="C178" s="43" t="n"/>
      <c r="D178" s="32" t="n"/>
      <c r="E178" s="36" t="n"/>
      <c r="F178" s="36" t="n"/>
      <c r="G178" s="36" t="n"/>
      <c r="H178" s="33">
        <f>IF(E178="","",Commercial_Id)</f>
        <v/>
      </c>
      <c r="I178" s="39">
        <f>IF(E178="","",IFERROR(VALUE(MID(E178,LEN(E178)-3,3)),""))</f>
        <v/>
      </c>
      <c r="J178" s="33">
        <f>IF(I178="","",H178&amp;"|"&amp;I178)</f>
        <v/>
      </c>
      <c r="K178" s="33">
        <f>IF(I178="","",IF(H178="À RENSEIGNER","GIC",H178)&amp;"-"&amp;TEXT(I178,"000"))</f>
        <v/>
      </c>
      <c r="L178" s="33">
        <f>IF(J178="","",IFERROR(INDEX(Cl_nom,MATCH(J178,Cl_cle,0)),"(client introuvable)"))</f>
        <v/>
      </c>
      <c r="M178" s="46">
        <f>IF(B178="","",DATE(YEAR(B178),MONTH(B178),1))</f>
        <v/>
      </c>
      <c r="N178" s="33">
        <f>IF(J178="","",IFERROR(INDEX(Cl_quartier,MATCH(J178,Cl_cle,0))&amp;"",""))</f>
        <v/>
      </c>
      <c r="O178" s="33">
        <f>IF(J178="","",IFERROR(INDEX(Cl_tel,MATCH(J178,Cl_cle,0))&amp;"",""))</f>
        <v/>
      </c>
      <c r="P178" s="34">
        <f>IF(J178="","",IFERROR(INDEX(Cl_potentiel,MATCH(J178,Cl_cle,0)),""))</f>
        <v/>
      </c>
      <c r="Q178" s="34">
        <f>IF(J178="","",IF(D178&lt;&gt;"",IF(COUNTIFS(VC_cle,J178,VC_type,"Visite sur place",VC_date,D178)&gt;0,"Visité",IF(D178&lt;TODAY(),"Non fait","À venir")),IF(B178="","",IF(COUNTIFS(VC_cle,J178,VC_type,"Visite sur place",VC_date,"&gt;="&amp;M178,VC_date,"&lt;"&amp;DATE(YEAR(M178),MONTH(M178)+1,1))&gt;0,"Visité","À visiter"))))</f>
        <v/>
      </c>
    </row>
    <row r="179" ht="18" customHeight="1">
      <c r="A179" s="39" t="n">
        <v>174</v>
      </c>
      <c r="B179" s="49" t="n"/>
      <c r="C179" s="43" t="n"/>
      <c r="D179" s="32" t="n"/>
      <c r="E179" s="36" t="n"/>
      <c r="F179" s="36" t="n"/>
      <c r="G179" s="36" t="n"/>
      <c r="H179" s="33">
        <f>IF(E179="","",Commercial_Id)</f>
        <v/>
      </c>
      <c r="I179" s="39">
        <f>IF(E179="","",IFERROR(VALUE(MID(E179,LEN(E179)-3,3)),""))</f>
        <v/>
      </c>
      <c r="J179" s="33">
        <f>IF(I179="","",H179&amp;"|"&amp;I179)</f>
        <v/>
      </c>
      <c r="K179" s="33">
        <f>IF(I179="","",IF(H179="À RENSEIGNER","GIC",H179)&amp;"-"&amp;TEXT(I179,"000"))</f>
        <v/>
      </c>
      <c r="L179" s="33">
        <f>IF(J179="","",IFERROR(INDEX(Cl_nom,MATCH(J179,Cl_cle,0)),"(client introuvable)"))</f>
        <v/>
      </c>
      <c r="M179" s="46">
        <f>IF(B179="","",DATE(YEAR(B179),MONTH(B179),1))</f>
        <v/>
      </c>
      <c r="N179" s="33">
        <f>IF(J179="","",IFERROR(INDEX(Cl_quartier,MATCH(J179,Cl_cle,0))&amp;"",""))</f>
        <v/>
      </c>
      <c r="O179" s="33">
        <f>IF(J179="","",IFERROR(INDEX(Cl_tel,MATCH(J179,Cl_cle,0))&amp;"",""))</f>
        <v/>
      </c>
      <c r="P179" s="34">
        <f>IF(J179="","",IFERROR(INDEX(Cl_potentiel,MATCH(J179,Cl_cle,0)),""))</f>
        <v/>
      </c>
      <c r="Q179" s="34">
        <f>IF(J179="","",IF(D179&lt;&gt;"",IF(COUNTIFS(VC_cle,J179,VC_type,"Visite sur place",VC_date,D179)&gt;0,"Visité",IF(D179&lt;TODAY(),"Non fait","À venir")),IF(B179="","",IF(COUNTIFS(VC_cle,J179,VC_type,"Visite sur place",VC_date,"&gt;="&amp;M179,VC_date,"&lt;"&amp;DATE(YEAR(M179),MONTH(M179)+1,1))&gt;0,"Visité","À visiter"))))</f>
        <v/>
      </c>
    </row>
    <row r="180" ht="18" customHeight="1">
      <c r="A180" s="39" t="n">
        <v>175</v>
      </c>
      <c r="B180" s="49" t="n"/>
      <c r="C180" s="43" t="n"/>
      <c r="D180" s="32" t="n"/>
      <c r="E180" s="36" t="n"/>
      <c r="F180" s="36" t="n"/>
      <c r="G180" s="36" t="n"/>
      <c r="H180" s="33">
        <f>IF(E180="","",Commercial_Id)</f>
        <v/>
      </c>
      <c r="I180" s="39">
        <f>IF(E180="","",IFERROR(VALUE(MID(E180,LEN(E180)-3,3)),""))</f>
        <v/>
      </c>
      <c r="J180" s="33">
        <f>IF(I180="","",H180&amp;"|"&amp;I180)</f>
        <v/>
      </c>
      <c r="K180" s="33">
        <f>IF(I180="","",IF(H180="À RENSEIGNER","GIC",H180)&amp;"-"&amp;TEXT(I180,"000"))</f>
        <v/>
      </c>
      <c r="L180" s="33">
        <f>IF(J180="","",IFERROR(INDEX(Cl_nom,MATCH(J180,Cl_cle,0)),"(client introuvable)"))</f>
        <v/>
      </c>
      <c r="M180" s="46">
        <f>IF(B180="","",DATE(YEAR(B180),MONTH(B180),1))</f>
        <v/>
      </c>
      <c r="N180" s="33">
        <f>IF(J180="","",IFERROR(INDEX(Cl_quartier,MATCH(J180,Cl_cle,0))&amp;"",""))</f>
        <v/>
      </c>
      <c r="O180" s="33">
        <f>IF(J180="","",IFERROR(INDEX(Cl_tel,MATCH(J180,Cl_cle,0))&amp;"",""))</f>
        <v/>
      </c>
      <c r="P180" s="34">
        <f>IF(J180="","",IFERROR(INDEX(Cl_potentiel,MATCH(J180,Cl_cle,0)),""))</f>
        <v/>
      </c>
      <c r="Q180" s="34">
        <f>IF(J180="","",IF(D180&lt;&gt;"",IF(COUNTIFS(VC_cle,J180,VC_type,"Visite sur place",VC_date,D180)&gt;0,"Visité",IF(D180&lt;TODAY(),"Non fait","À venir")),IF(B180="","",IF(COUNTIFS(VC_cle,J180,VC_type,"Visite sur place",VC_date,"&gt;="&amp;M180,VC_date,"&lt;"&amp;DATE(YEAR(M180),MONTH(M180)+1,1))&gt;0,"Visité","À visiter"))))</f>
        <v/>
      </c>
    </row>
    <row r="181" ht="18" customHeight="1">
      <c r="A181" s="39" t="n">
        <v>176</v>
      </c>
      <c r="B181" s="49" t="n"/>
      <c r="C181" s="43" t="n"/>
      <c r="D181" s="32" t="n"/>
      <c r="E181" s="36" t="n"/>
      <c r="F181" s="36" t="n"/>
      <c r="G181" s="36" t="n"/>
      <c r="H181" s="33">
        <f>IF(E181="","",Commercial_Id)</f>
        <v/>
      </c>
      <c r="I181" s="39">
        <f>IF(E181="","",IFERROR(VALUE(MID(E181,LEN(E181)-3,3)),""))</f>
        <v/>
      </c>
      <c r="J181" s="33">
        <f>IF(I181="","",H181&amp;"|"&amp;I181)</f>
        <v/>
      </c>
      <c r="K181" s="33">
        <f>IF(I181="","",IF(H181="À RENSEIGNER","GIC",H181)&amp;"-"&amp;TEXT(I181,"000"))</f>
        <v/>
      </c>
      <c r="L181" s="33">
        <f>IF(J181="","",IFERROR(INDEX(Cl_nom,MATCH(J181,Cl_cle,0)),"(client introuvable)"))</f>
        <v/>
      </c>
      <c r="M181" s="46">
        <f>IF(B181="","",DATE(YEAR(B181),MONTH(B181),1))</f>
        <v/>
      </c>
      <c r="N181" s="33">
        <f>IF(J181="","",IFERROR(INDEX(Cl_quartier,MATCH(J181,Cl_cle,0))&amp;"",""))</f>
        <v/>
      </c>
      <c r="O181" s="33">
        <f>IF(J181="","",IFERROR(INDEX(Cl_tel,MATCH(J181,Cl_cle,0))&amp;"",""))</f>
        <v/>
      </c>
      <c r="P181" s="34">
        <f>IF(J181="","",IFERROR(INDEX(Cl_potentiel,MATCH(J181,Cl_cle,0)),""))</f>
        <v/>
      </c>
      <c r="Q181" s="34">
        <f>IF(J181="","",IF(D181&lt;&gt;"",IF(COUNTIFS(VC_cle,J181,VC_type,"Visite sur place",VC_date,D181)&gt;0,"Visité",IF(D181&lt;TODAY(),"Non fait","À venir")),IF(B181="","",IF(COUNTIFS(VC_cle,J181,VC_type,"Visite sur place",VC_date,"&gt;="&amp;M181,VC_date,"&lt;"&amp;DATE(YEAR(M181),MONTH(M181)+1,1))&gt;0,"Visité","À visiter"))))</f>
        <v/>
      </c>
    </row>
    <row r="182" ht="18" customHeight="1">
      <c r="A182" s="39" t="n">
        <v>177</v>
      </c>
      <c r="B182" s="49" t="n"/>
      <c r="C182" s="43" t="n"/>
      <c r="D182" s="32" t="n"/>
      <c r="E182" s="36" t="n"/>
      <c r="F182" s="36" t="n"/>
      <c r="G182" s="36" t="n"/>
      <c r="H182" s="33">
        <f>IF(E182="","",Commercial_Id)</f>
        <v/>
      </c>
      <c r="I182" s="39">
        <f>IF(E182="","",IFERROR(VALUE(MID(E182,LEN(E182)-3,3)),""))</f>
        <v/>
      </c>
      <c r="J182" s="33">
        <f>IF(I182="","",H182&amp;"|"&amp;I182)</f>
        <v/>
      </c>
      <c r="K182" s="33">
        <f>IF(I182="","",IF(H182="À RENSEIGNER","GIC",H182)&amp;"-"&amp;TEXT(I182,"000"))</f>
        <v/>
      </c>
      <c r="L182" s="33">
        <f>IF(J182="","",IFERROR(INDEX(Cl_nom,MATCH(J182,Cl_cle,0)),"(client introuvable)"))</f>
        <v/>
      </c>
      <c r="M182" s="46">
        <f>IF(B182="","",DATE(YEAR(B182),MONTH(B182),1))</f>
        <v/>
      </c>
      <c r="N182" s="33">
        <f>IF(J182="","",IFERROR(INDEX(Cl_quartier,MATCH(J182,Cl_cle,0))&amp;"",""))</f>
        <v/>
      </c>
      <c r="O182" s="33">
        <f>IF(J182="","",IFERROR(INDEX(Cl_tel,MATCH(J182,Cl_cle,0))&amp;"",""))</f>
        <v/>
      </c>
      <c r="P182" s="34">
        <f>IF(J182="","",IFERROR(INDEX(Cl_potentiel,MATCH(J182,Cl_cle,0)),""))</f>
        <v/>
      </c>
      <c r="Q182" s="34">
        <f>IF(J182="","",IF(D182&lt;&gt;"",IF(COUNTIFS(VC_cle,J182,VC_type,"Visite sur place",VC_date,D182)&gt;0,"Visité",IF(D182&lt;TODAY(),"Non fait","À venir")),IF(B182="","",IF(COUNTIFS(VC_cle,J182,VC_type,"Visite sur place",VC_date,"&gt;="&amp;M182,VC_date,"&lt;"&amp;DATE(YEAR(M182),MONTH(M182)+1,1))&gt;0,"Visité","À visiter"))))</f>
        <v/>
      </c>
    </row>
    <row r="183" ht="18" customHeight="1">
      <c r="A183" s="39" t="n">
        <v>178</v>
      </c>
      <c r="B183" s="49" t="n"/>
      <c r="C183" s="43" t="n"/>
      <c r="D183" s="32" t="n"/>
      <c r="E183" s="36" t="n"/>
      <c r="F183" s="36" t="n"/>
      <c r="G183" s="36" t="n"/>
      <c r="H183" s="33">
        <f>IF(E183="","",Commercial_Id)</f>
        <v/>
      </c>
      <c r="I183" s="39">
        <f>IF(E183="","",IFERROR(VALUE(MID(E183,LEN(E183)-3,3)),""))</f>
        <v/>
      </c>
      <c r="J183" s="33">
        <f>IF(I183="","",H183&amp;"|"&amp;I183)</f>
        <v/>
      </c>
      <c r="K183" s="33">
        <f>IF(I183="","",IF(H183="À RENSEIGNER","GIC",H183)&amp;"-"&amp;TEXT(I183,"000"))</f>
        <v/>
      </c>
      <c r="L183" s="33">
        <f>IF(J183="","",IFERROR(INDEX(Cl_nom,MATCH(J183,Cl_cle,0)),"(client introuvable)"))</f>
        <v/>
      </c>
      <c r="M183" s="46">
        <f>IF(B183="","",DATE(YEAR(B183),MONTH(B183),1))</f>
        <v/>
      </c>
      <c r="N183" s="33">
        <f>IF(J183="","",IFERROR(INDEX(Cl_quartier,MATCH(J183,Cl_cle,0))&amp;"",""))</f>
        <v/>
      </c>
      <c r="O183" s="33">
        <f>IF(J183="","",IFERROR(INDEX(Cl_tel,MATCH(J183,Cl_cle,0))&amp;"",""))</f>
        <v/>
      </c>
      <c r="P183" s="34">
        <f>IF(J183="","",IFERROR(INDEX(Cl_potentiel,MATCH(J183,Cl_cle,0)),""))</f>
        <v/>
      </c>
      <c r="Q183" s="34">
        <f>IF(J183="","",IF(D183&lt;&gt;"",IF(COUNTIFS(VC_cle,J183,VC_type,"Visite sur place",VC_date,D183)&gt;0,"Visité",IF(D183&lt;TODAY(),"Non fait","À venir")),IF(B183="","",IF(COUNTIFS(VC_cle,J183,VC_type,"Visite sur place",VC_date,"&gt;="&amp;M183,VC_date,"&lt;"&amp;DATE(YEAR(M183),MONTH(M183)+1,1))&gt;0,"Visité","À visiter"))))</f>
        <v/>
      </c>
    </row>
    <row r="184" ht="18" customHeight="1">
      <c r="A184" s="39" t="n">
        <v>179</v>
      </c>
      <c r="B184" s="49" t="n"/>
      <c r="C184" s="43" t="n"/>
      <c r="D184" s="32" t="n"/>
      <c r="E184" s="36" t="n"/>
      <c r="F184" s="36" t="n"/>
      <c r="G184" s="36" t="n"/>
      <c r="H184" s="33">
        <f>IF(E184="","",Commercial_Id)</f>
        <v/>
      </c>
      <c r="I184" s="39">
        <f>IF(E184="","",IFERROR(VALUE(MID(E184,LEN(E184)-3,3)),""))</f>
        <v/>
      </c>
      <c r="J184" s="33">
        <f>IF(I184="","",H184&amp;"|"&amp;I184)</f>
        <v/>
      </c>
      <c r="K184" s="33">
        <f>IF(I184="","",IF(H184="À RENSEIGNER","GIC",H184)&amp;"-"&amp;TEXT(I184,"000"))</f>
        <v/>
      </c>
      <c r="L184" s="33">
        <f>IF(J184="","",IFERROR(INDEX(Cl_nom,MATCH(J184,Cl_cle,0)),"(client introuvable)"))</f>
        <v/>
      </c>
      <c r="M184" s="46">
        <f>IF(B184="","",DATE(YEAR(B184),MONTH(B184),1))</f>
        <v/>
      </c>
      <c r="N184" s="33">
        <f>IF(J184="","",IFERROR(INDEX(Cl_quartier,MATCH(J184,Cl_cle,0))&amp;"",""))</f>
        <v/>
      </c>
      <c r="O184" s="33">
        <f>IF(J184="","",IFERROR(INDEX(Cl_tel,MATCH(J184,Cl_cle,0))&amp;"",""))</f>
        <v/>
      </c>
      <c r="P184" s="34">
        <f>IF(J184="","",IFERROR(INDEX(Cl_potentiel,MATCH(J184,Cl_cle,0)),""))</f>
        <v/>
      </c>
      <c r="Q184" s="34">
        <f>IF(J184="","",IF(D184&lt;&gt;"",IF(COUNTIFS(VC_cle,J184,VC_type,"Visite sur place",VC_date,D184)&gt;0,"Visité",IF(D184&lt;TODAY(),"Non fait","À venir")),IF(B184="","",IF(COUNTIFS(VC_cle,J184,VC_type,"Visite sur place",VC_date,"&gt;="&amp;M184,VC_date,"&lt;"&amp;DATE(YEAR(M184),MONTH(M184)+1,1))&gt;0,"Visité","À visiter"))))</f>
        <v/>
      </c>
    </row>
    <row r="185" ht="18" customHeight="1">
      <c r="A185" s="39" t="n">
        <v>180</v>
      </c>
      <c r="B185" s="49" t="n"/>
      <c r="C185" s="43" t="n"/>
      <c r="D185" s="32" t="n"/>
      <c r="E185" s="36" t="n"/>
      <c r="F185" s="36" t="n"/>
      <c r="G185" s="36" t="n"/>
      <c r="H185" s="33">
        <f>IF(E185="","",Commercial_Id)</f>
        <v/>
      </c>
      <c r="I185" s="39">
        <f>IF(E185="","",IFERROR(VALUE(MID(E185,LEN(E185)-3,3)),""))</f>
        <v/>
      </c>
      <c r="J185" s="33">
        <f>IF(I185="","",H185&amp;"|"&amp;I185)</f>
        <v/>
      </c>
      <c r="K185" s="33">
        <f>IF(I185="","",IF(H185="À RENSEIGNER","GIC",H185)&amp;"-"&amp;TEXT(I185,"000"))</f>
        <v/>
      </c>
      <c r="L185" s="33">
        <f>IF(J185="","",IFERROR(INDEX(Cl_nom,MATCH(J185,Cl_cle,0)),"(client introuvable)"))</f>
        <v/>
      </c>
      <c r="M185" s="46">
        <f>IF(B185="","",DATE(YEAR(B185),MONTH(B185),1))</f>
        <v/>
      </c>
      <c r="N185" s="33">
        <f>IF(J185="","",IFERROR(INDEX(Cl_quartier,MATCH(J185,Cl_cle,0))&amp;"",""))</f>
        <v/>
      </c>
      <c r="O185" s="33">
        <f>IF(J185="","",IFERROR(INDEX(Cl_tel,MATCH(J185,Cl_cle,0))&amp;"",""))</f>
        <v/>
      </c>
      <c r="P185" s="34">
        <f>IF(J185="","",IFERROR(INDEX(Cl_potentiel,MATCH(J185,Cl_cle,0)),""))</f>
        <v/>
      </c>
      <c r="Q185" s="34">
        <f>IF(J185="","",IF(D185&lt;&gt;"",IF(COUNTIFS(VC_cle,J185,VC_type,"Visite sur place",VC_date,D185)&gt;0,"Visité",IF(D185&lt;TODAY(),"Non fait","À venir")),IF(B185="","",IF(COUNTIFS(VC_cle,J185,VC_type,"Visite sur place",VC_date,"&gt;="&amp;M185,VC_date,"&lt;"&amp;DATE(YEAR(M185),MONTH(M185)+1,1))&gt;0,"Visité","À visiter"))))</f>
        <v/>
      </c>
    </row>
    <row r="186" ht="18" customHeight="1">
      <c r="A186" s="39" t="n">
        <v>181</v>
      </c>
      <c r="B186" s="49" t="n"/>
      <c r="C186" s="43" t="n"/>
      <c r="D186" s="32" t="n"/>
      <c r="E186" s="36" t="n"/>
      <c r="F186" s="36" t="n"/>
      <c r="G186" s="36" t="n"/>
      <c r="H186" s="33">
        <f>IF(E186="","",Commercial_Id)</f>
        <v/>
      </c>
      <c r="I186" s="39">
        <f>IF(E186="","",IFERROR(VALUE(MID(E186,LEN(E186)-3,3)),""))</f>
        <v/>
      </c>
      <c r="J186" s="33">
        <f>IF(I186="","",H186&amp;"|"&amp;I186)</f>
        <v/>
      </c>
      <c r="K186" s="33">
        <f>IF(I186="","",IF(H186="À RENSEIGNER","GIC",H186)&amp;"-"&amp;TEXT(I186,"000"))</f>
        <v/>
      </c>
      <c r="L186" s="33">
        <f>IF(J186="","",IFERROR(INDEX(Cl_nom,MATCH(J186,Cl_cle,0)),"(client introuvable)"))</f>
        <v/>
      </c>
      <c r="M186" s="46">
        <f>IF(B186="","",DATE(YEAR(B186),MONTH(B186),1))</f>
        <v/>
      </c>
      <c r="N186" s="33">
        <f>IF(J186="","",IFERROR(INDEX(Cl_quartier,MATCH(J186,Cl_cle,0))&amp;"",""))</f>
        <v/>
      </c>
      <c r="O186" s="33">
        <f>IF(J186="","",IFERROR(INDEX(Cl_tel,MATCH(J186,Cl_cle,0))&amp;"",""))</f>
        <v/>
      </c>
      <c r="P186" s="34">
        <f>IF(J186="","",IFERROR(INDEX(Cl_potentiel,MATCH(J186,Cl_cle,0)),""))</f>
        <v/>
      </c>
      <c r="Q186" s="34">
        <f>IF(J186="","",IF(D186&lt;&gt;"",IF(COUNTIFS(VC_cle,J186,VC_type,"Visite sur place",VC_date,D186)&gt;0,"Visité",IF(D186&lt;TODAY(),"Non fait","À venir")),IF(B186="","",IF(COUNTIFS(VC_cle,J186,VC_type,"Visite sur place",VC_date,"&gt;="&amp;M186,VC_date,"&lt;"&amp;DATE(YEAR(M186),MONTH(M186)+1,1))&gt;0,"Visité","À visiter"))))</f>
        <v/>
      </c>
    </row>
    <row r="187" ht="18" customHeight="1">
      <c r="A187" s="39" t="n">
        <v>182</v>
      </c>
      <c r="B187" s="49" t="n"/>
      <c r="C187" s="43" t="n"/>
      <c r="D187" s="32" t="n"/>
      <c r="E187" s="36" t="n"/>
      <c r="F187" s="36" t="n"/>
      <c r="G187" s="36" t="n"/>
      <c r="H187" s="33">
        <f>IF(E187="","",Commercial_Id)</f>
        <v/>
      </c>
      <c r="I187" s="39">
        <f>IF(E187="","",IFERROR(VALUE(MID(E187,LEN(E187)-3,3)),""))</f>
        <v/>
      </c>
      <c r="J187" s="33">
        <f>IF(I187="","",H187&amp;"|"&amp;I187)</f>
        <v/>
      </c>
      <c r="K187" s="33">
        <f>IF(I187="","",IF(H187="À RENSEIGNER","GIC",H187)&amp;"-"&amp;TEXT(I187,"000"))</f>
        <v/>
      </c>
      <c r="L187" s="33">
        <f>IF(J187="","",IFERROR(INDEX(Cl_nom,MATCH(J187,Cl_cle,0)),"(client introuvable)"))</f>
        <v/>
      </c>
      <c r="M187" s="46">
        <f>IF(B187="","",DATE(YEAR(B187),MONTH(B187),1))</f>
        <v/>
      </c>
      <c r="N187" s="33">
        <f>IF(J187="","",IFERROR(INDEX(Cl_quartier,MATCH(J187,Cl_cle,0))&amp;"",""))</f>
        <v/>
      </c>
      <c r="O187" s="33">
        <f>IF(J187="","",IFERROR(INDEX(Cl_tel,MATCH(J187,Cl_cle,0))&amp;"",""))</f>
        <v/>
      </c>
      <c r="P187" s="34">
        <f>IF(J187="","",IFERROR(INDEX(Cl_potentiel,MATCH(J187,Cl_cle,0)),""))</f>
        <v/>
      </c>
      <c r="Q187" s="34">
        <f>IF(J187="","",IF(D187&lt;&gt;"",IF(COUNTIFS(VC_cle,J187,VC_type,"Visite sur place",VC_date,D187)&gt;0,"Visité",IF(D187&lt;TODAY(),"Non fait","À venir")),IF(B187="","",IF(COUNTIFS(VC_cle,J187,VC_type,"Visite sur place",VC_date,"&gt;="&amp;M187,VC_date,"&lt;"&amp;DATE(YEAR(M187),MONTH(M187)+1,1))&gt;0,"Visité","À visiter"))))</f>
        <v/>
      </c>
    </row>
    <row r="188" ht="18" customHeight="1">
      <c r="A188" s="39" t="n">
        <v>183</v>
      </c>
      <c r="B188" s="49" t="n"/>
      <c r="C188" s="43" t="n"/>
      <c r="D188" s="32" t="n"/>
      <c r="E188" s="36" t="n"/>
      <c r="F188" s="36" t="n"/>
      <c r="G188" s="36" t="n"/>
      <c r="H188" s="33">
        <f>IF(E188="","",Commercial_Id)</f>
        <v/>
      </c>
      <c r="I188" s="39">
        <f>IF(E188="","",IFERROR(VALUE(MID(E188,LEN(E188)-3,3)),""))</f>
        <v/>
      </c>
      <c r="J188" s="33">
        <f>IF(I188="","",H188&amp;"|"&amp;I188)</f>
        <v/>
      </c>
      <c r="K188" s="33">
        <f>IF(I188="","",IF(H188="À RENSEIGNER","GIC",H188)&amp;"-"&amp;TEXT(I188,"000"))</f>
        <v/>
      </c>
      <c r="L188" s="33">
        <f>IF(J188="","",IFERROR(INDEX(Cl_nom,MATCH(J188,Cl_cle,0)),"(client introuvable)"))</f>
        <v/>
      </c>
      <c r="M188" s="46">
        <f>IF(B188="","",DATE(YEAR(B188),MONTH(B188),1))</f>
        <v/>
      </c>
      <c r="N188" s="33">
        <f>IF(J188="","",IFERROR(INDEX(Cl_quartier,MATCH(J188,Cl_cle,0))&amp;"",""))</f>
        <v/>
      </c>
      <c r="O188" s="33">
        <f>IF(J188="","",IFERROR(INDEX(Cl_tel,MATCH(J188,Cl_cle,0))&amp;"",""))</f>
        <v/>
      </c>
      <c r="P188" s="34">
        <f>IF(J188="","",IFERROR(INDEX(Cl_potentiel,MATCH(J188,Cl_cle,0)),""))</f>
        <v/>
      </c>
      <c r="Q188" s="34">
        <f>IF(J188="","",IF(D188&lt;&gt;"",IF(COUNTIFS(VC_cle,J188,VC_type,"Visite sur place",VC_date,D188)&gt;0,"Visité",IF(D188&lt;TODAY(),"Non fait","À venir")),IF(B188="","",IF(COUNTIFS(VC_cle,J188,VC_type,"Visite sur place",VC_date,"&gt;="&amp;M188,VC_date,"&lt;"&amp;DATE(YEAR(M188),MONTH(M188)+1,1))&gt;0,"Visité","À visiter"))))</f>
        <v/>
      </c>
    </row>
    <row r="189" ht="18" customHeight="1">
      <c r="A189" s="39" t="n">
        <v>184</v>
      </c>
      <c r="B189" s="49" t="n"/>
      <c r="C189" s="43" t="n"/>
      <c r="D189" s="32" t="n"/>
      <c r="E189" s="36" t="n"/>
      <c r="F189" s="36" t="n"/>
      <c r="G189" s="36" t="n"/>
      <c r="H189" s="33">
        <f>IF(E189="","",Commercial_Id)</f>
        <v/>
      </c>
      <c r="I189" s="39">
        <f>IF(E189="","",IFERROR(VALUE(MID(E189,LEN(E189)-3,3)),""))</f>
        <v/>
      </c>
      <c r="J189" s="33">
        <f>IF(I189="","",H189&amp;"|"&amp;I189)</f>
        <v/>
      </c>
      <c r="K189" s="33">
        <f>IF(I189="","",IF(H189="À RENSEIGNER","GIC",H189)&amp;"-"&amp;TEXT(I189,"000"))</f>
        <v/>
      </c>
      <c r="L189" s="33">
        <f>IF(J189="","",IFERROR(INDEX(Cl_nom,MATCH(J189,Cl_cle,0)),"(client introuvable)"))</f>
        <v/>
      </c>
      <c r="M189" s="46">
        <f>IF(B189="","",DATE(YEAR(B189),MONTH(B189),1))</f>
        <v/>
      </c>
      <c r="N189" s="33">
        <f>IF(J189="","",IFERROR(INDEX(Cl_quartier,MATCH(J189,Cl_cle,0))&amp;"",""))</f>
        <v/>
      </c>
      <c r="O189" s="33">
        <f>IF(J189="","",IFERROR(INDEX(Cl_tel,MATCH(J189,Cl_cle,0))&amp;"",""))</f>
        <v/>
      </c>
      <c r="P189" s="34">
        <f>IF(J189="","",IFERROR(INDEX(Cl_potentiel,MATCH(J189,Cl_cle,0)),""))</f>
        <v/>
      </c>
      <c r="Q189" s="34">
        <f>IF(J189="","",IF(D189&lt;&gt;"",IF(COUNTIFS(VC_cle,J189,VC_type,"Visite sur place",VC_date,D189)&gt;0,"Visité",IF(D189&lt;TODAY(),"Non fait","À venir")),IF(B189="","",IF(COUNTIFS(VC_cle,J189,VC_type,"Visite sur place",VC_date,"&gt;="&amp;M189,VC_date,"&lt;"&amp;DATE(YEAR(M189),MONTH(M189)+1,1))&gt;0,"Visité","À visiter"))))</f>
        <v/>
      </c>
    </row>
    <row r="190" ht="18" customHeight="1">
      <c r="A190" s="39" t="n">
        <v>185</v>
      </c>
      <c r="B190" s="49" t="n"/>
      <c r="C190" s="43" t="n"/>
      <c r="D190" s="32" t="n"/>
      <c r="E190" s="36" t="n"/>
      <c r="F190" s="36" t="n"/>
      <c r="G190" s="36" t="n"/>
      <c r="H190" s="33">
        <f>IF(E190="","",Commercial_Id)</f>
        <v/>
      </c>
      <c r="I190" s="39">
        <f>IF(E190="","",IFERROR(VALUE(MID(E190,LEN(E190)-3,3)),""))</f>
        <v/>
      </c>
      <c r="J190" s="33">
        <f>IF(I190="","",H190&amp;"|"&amp;I190)</f>
        <v/>
      </c>
      <c r="K190" s="33">
        <f>IF(I190="","",IF(H190="À RENSEIGNER","GIC",H190)&amp;"-"&amp;TEXT(I190,"000"))</f>
        <v/>
      </c>
      <c r="L190" s="33">
        <f>IF(J190="","",IFERROR(INDEX(Cl_nom,MATCH(J190,Cl_cle,0)),"(client introuvable)"))</f>
        <v/>
      </c>
      <c r="M190" s="46">
        <f>IF(B190="","",DATE(YEAR(B190),MONTH(B190),1))</f>
        <v/>
      </c>
      <c r="N190" s="33">
        <f>IF(J190="","",IFERROR(INDEX(Cl_quartier,MATCH(J190,Cl_cle,0))&amp;"",""))</f>
        <v/>
      </c>
      <c r="O190" s="33">
        <f>IF(J190="","",IFERROR(INDEX(Cl_tel,MATCH(J190,Cl_cle,0))&amp;"",""))</f>
        <v/>
      </c>
      <c r="P190" s="34">
        <f>IF(J190="","",IFERROR(INDEX(Cl_potentiel,MATCH(J190,Cl_cle,0)),""))</f>
        <v/>
      </c>
      <c r="Q190" s="34">
        <f>IF(J190="","",IF(D190&lt;&gt;"",IF(COUNTIFS(VC_cle,J190,VC_type,"Visite sur place",VC_date,D190)&gt;0,"Visité",IF(D190&lt;TODAY(),"Non fait","À venir")),IF(B190="","",IF(COUNTIFS(VC_cle,J190,VC_type,"Visite sur place",VC_date,"&gt;="&amp;M190,VC_date,"&lt;"&amp;DATE(YEAR(M190),MONTH(M190)+1,1))&gt;0,"Visité","À visiter"))))</f>
        <v/>
      </c>
    </row>
    <row r="191" ht="18" customHeight="1">
      <c r="A191" s="39" t="n">
        <v>186</v>
      </c>
      <c r="B191" s="49" t="n"/>
      <c r="C191" s="43" t="n"/>
      <c r="D191" s="32" t="n"/>
      <c r="E191" s="36" t="n"/>
      <c r="F191" s="36" t="n"/>
      <c r="G191" s="36" t="n"/>
      <c r="H191" s="33">
        <f>IF(E191="","",Commercial_Id)</f>
        <v/>
      </c>
      <c r="I191" s="39">
        <f>IF(E191="","",IFERROR(VALUE(MID(E191,LEN(E191)-3,3)),""))</f>
        <v/>
      </c>
      <c r="J191" s="33">
        <f>IF(I191="","",H191&amp;"|"&amp;I191)</f>
        <v/>
      </c>
      <c r="K191" s="33">
        <f>IF(I191="","",IF(H191="À RENSEIGNER","GIC",H191)&amp;"-"&amp;TEXT(I191,"000"))</f>
        <v/>
      </c>
      <c r="L191" s="33">
        <f>IF(J191="","",IFERROR(INDEX(Cl_nom,MATCH(J191,Cl_cle,0)),"(client introuvable)"))</f>
        <v/>
      </c>
      <c r="M191" s="46">
        <f>IF(B191="","",DATE(YEAR(B191),MONTH(B191),1))</f>
        <v/>
      </c>
      <c r="N191" s="33">
        <f>IF(J191="","",IFERROR(INDEX(Cl_quartier,MATCH(J191,Cl_cle,0))&amp;"",""))</f>
        <v/>
      </c>
      <c r="O191" s="33">
        <f>IF(J191="","",IFERROR(INDEX(Cl_tel,MATCH(J191,Cl_cle,0))&amp;"",""))</f>
        <v/>
      </c>
      <c r="P191" s="34">
        <f>IF(J191="","",IFERROR(INDEX(Cl_potentiel,MATCH(J191,Cl_cle,0)),""))</f>
        <v/>
      </c>
      <c r="Q191" s="34">
        <f>IF(J191="","",IF(D191&lt;&gt;"",IF(COUNTIFS(VC_cle,J191,VC_type,"Visite sur place",VC_date,D191)&gt;0,"Visité",IF(D191&lt;TODAY(),"Non fait","À venir")),IF(B191="","",IF(COUNTIFS(VC_cle,J191,VC_type,"Visite sur place",VC_date,"&gt;="&amp;M191,VC_date,"&lt;"&amp;DATE(YEAR(M191),MONTH(M191)+1,1))&gt;0,"Visité","À visiter"))))</f>
        <v/>
      </c>
    </row>
    <row r="192" ht="18" customHeight="1">
      <c r="A192" s="39" t="n">
        <v>187</v>
      </c>
      <c r="B192" s="49" t="n"/>
      <c r="C192" s="43" t="n"/>
      <c r="D192" s="32" t="n"/>
      <c r="E192" s="36" t="n"/>
      <c r="F192" s="36" t="n"/>
      <c r="G192" s="36" t="n"/>
      <c r="H192" s="33">
        <f>IF(E192="","",Commercial_Id)</f>
        <v/>
      </c>
      <c r="I192" s="39">
        <f>IF(E192="","",IFERROR(VALUE(MID(E192,LEN(E192)-3,3)),""))</f>
        <v/>
      </c>
      <c r="J192" s="33">
        <f>IF(I192="","",H192&amp;"|"&amp;I192)</f>
        <v/>
      </c>
      <c r="K192" s="33">
        <f>IF(I192="","",IF(H192="À RENSEIGNER","GIC",H192)&amp;"-"&amp;TEXT(I192,"000"))</f>
        <v/>
      </c>
      <c r="L192" s="33">
        <f>IF(J192="","",IFERROR(INDEX(Cl_nom,MATCH(J192,Cl_cle,0)),"(client introuvable)"))</f>
        <v/>
      </c>
      <c r="M192" s="46">
        <f>IF(B192="","",DATE(YEAR(B192),MONTH(B192),1))</f>
        <v/>
      </c>
      <c r="N192" s="33">
        <f>IF(J192="","",IFERROR(INDEX(Cl_quartier,MATCH(J192,Cl_cle,0))&amp;"",""))</f>
        <v/>
      </c>
      <c r="O192" s="33">
        <f>IF(J192="","",IFERROR(INDEX(Cl_tel,MATCH(J192,Cl_cle,0))&amp;"",""))</f>
        <v/>
      </c>
      <c r="P192" s="34">
        <f>IF(J192="","",IFERROR(INDEX(Cl_potentiel,MATCH(J192,Cl_cle,0)),""))</f>
        <v/>
      </c>
      <c r="Q192" s="34">
        <f>IF(J192="","",IF(D192&lt;&gt;"",IF(COUNTIFS(VC_cle,J192,VC_type,"Visite sur place",VC_date,D192)&gt;0,"Visité",IF(D192&lt;TODAY(),"Non fait","À venir")),IF(B192="","",IF(COUNTIFS(VC_cle,J192,VC_type,"Visite sur place",VC_date,"&gt;="&amp;M192,VC_date,"&lt;"&amp;DATE(YEAR(M192),MONTH(M192)+1,1))&gt;0,"Visité","À visiter"))))</f>
        <v/>
      </c>
    </row>
    <row r="193" ht="18" customHeight="1">
      <c r="A193" s="39" t="n">
        <v>188</v>
      </c>
      <c r="B193" s="49" t="n"/>
      <c r="C193" s="43" t="n"/>
      <c r="D193" s="32" t="n"/>
      <c r="E193" s="36" t="n"/>
      <c r="F193" s="36" t="n"/>
      <c r="G193" s="36" t="n"/>
      <c r="H193" s="33">
        <f>IF(E193="","",Commercial_Id)</f>
        <v/>
      </c>
      <c r="I193" s="39">
        <f>IF(E193="","",IFERROR(VALUE(MID(E193,LEN(E193)-3,3)),""))</f>
        <v/>
      </c>
      <c r="J193" s="33">
        <f>IF(I193="","",H193&amp;"|"&amp;I193)</f>
        <v/>
      </c>
      <c r="K193" s="33">
        <f>IF(I193="","",IF(H193="À RENSEIGNER","GIC",H193)&amp;"-"&amp;TEXT(I193,"000"))</f>
        <v/>
      </c>
      <c r="L193" s="33">
        <f>IF(J193="","",IFERROR(INDEX(Cl_nom,MATCH(J193,Cl_cle,0)),"(client introuvable)"))</f>
        <v/>
      </c>
      <c r="M193" s="46">
        <f>IF(B193="","",DATE(YEAR(B193),MONTH(B193),1))</f>
        <v/>
      </c>
      <c r="N193" s="33">
        <f>IF(J193="","",IFERROR(INDEX(Cl_quartier,MATCH(J193,Cl_cle,0))&amp;"",""))</f>
        <v/>
      </c>
      <c r="O193" s="33">
        <f>IF(J193="","",IFERROR(INDEX(Cl_tel,MATCH(J193,Cl_cle,0))&amp;"",""))</f>
        <v/>
      </c>
      <c r="P193" s="34">
        <f>IF(J193="","",IFERROR(INDEX(Cl_potentiel,MATCH(J193,Cl_cle,0)),""))</f>
        <v/>
      </c>
      <c r="Q193" s="34">
        <f>IF(J193="","",IF(D193&lt;&gt;"",IF(COUNTIFS(VC_cle,J193,VC_type,"Visite sur place",VC_date,D193)&gt;0,"Visité",IF(D193&lt;TODAY(),"Non fait","À venir")),IF(B193="","",IF(COUNTIFS(VC_cle,J193,VC_type,"Visite sur place",VC_date,"&gt;="&amp;M193,VC_date,"&lt;"&amp;DATE(YEAR(M193),MONTH(M193)+1,1))&gt;0,"Visité","À visiter"))))</f>
        <v/>
      </c>
    </row>
    <row r="194" ht="18" customHeight="1">
      <c r="A194" s="39" t="n">
        <v>189</v>
      </c>
      <c r="B194" s="49" t="n"/>
      <c r="C194" s="43" t="n"/>
      <c r="D194" s="32" t="n"/>
      <c r="E194" s="36" t="n"/>
      <c r="F194" s="36" t="n"/>
      <c r="G194" s="36" t="n"/>
      <c r="H194" s="33">
        <f>IF(E194="","",Commercial_Id)</f>
        <v/>
      </c>
      <c r="I194" s="39">
        <f>IF(E194="","",IFERROR(VALUE(MID(E194,LEN(E194)-3,3)),""))</f>
        <v/>
      </c>
      <c r="J194" s="33">
        <f>IF(I194="","",H194&amp;"|"&amp;I194)</f>
        <v/>
      </c>
      <c r="K194" s="33">
        <f>IF(I194="","",IF(H194="À RENSEIGNER","GIC",H194)&amp;"-"&amp;TEXT(I194,"000"))</f>
        <v/>
      </c>
      <c r="L194" s="33">
        <f>IF(J194="","",IFERROR(INDEX(Cl_nom,MATCH(J194,Cl_cle,0)),"(client introuvable)"))</f>
        <v/>
      </c>
      <c r="M194" s="46">
        <f>IF(B194="","",DATE(YEAR(B194),MONTH(B194),1))</f>
        <v/>
      </c>
      <c r="N194" s="33">
        <f>IF(J194="","",IFERROR(INDEX(Cl_quartier,MATCH(J194,Cl_cle,0))&amp;"",""))</f>
        <v/>
      </c>
      <c r="O194" s="33">
        <f>IF(J194="","",IFERROR(INDEX(Cl_tel,MATCH(J194,Cl_cle,0))&amp;"",""))</f>
        <v/>
      </c>
      <c r="P194" s="34">
        <f>IF(J194="","",IFERROR(INDEX(Cl_potentiel,MATCH(J194,Cl_cle,0)),""))</f>
        <v/>
      </c>
      <c r="Q194" s="34">
        <f>IF(J194="","",IF(D194&lt;&gt;"",IF(COUNTIFS(VC_cle,J194,VC_type,"Visite sur place",VC_date,D194)&gt;0,"Visité",IF(D194&lt;TODAY(),"Non fait","À venir")),IF(B194="","",IF(COUNTIFS(VC_cle,J194,VC_type,"Visite sur place",VC_date,"&gt;="&amp;M194,VC_date,"&lt;"&amp;DATE(YEAR(M194),MONTH(M194)+1,1))&gt;0,"Visité","À visiter"))))</f>
        <v/>
      </c>
    </row>
    <row r="195" ht="18" customHeight="1">
      <c r="A195" s="39" t="n">
        <v>190</v>
      </c>
      <c r="B195" s="49" t="n"/>
      <c r="C195" s="43" t="n"/>
      <c r="D195" s="32" t="n"/>
      <c r="E195" s="36" t="n"/>
      <c r="F195" s="36" t="n"/>
      <c r="G195" s="36" t="n"/>
      <c r="H195" s="33">
        <f>IF(E195="","",Commercial_Id)</f>
        <v/>
      </c>
      <c r="I195" s="39">
        <f>IF(E195="","",IFERROR(VALUE(MID(E195,LEN(E195)-3,3)),""))</f>
        <v/>
      </c>
      <c r="J195" s="33">
        <f>IF(I195="","",H195&amp;"|"&amp;I195)</f>
        <v/>
      </c>
      <c r="K195" s="33">
        <f>IF(I195="","",IF(H195="À RENSEIGNER","GIC",H195)&amp;"-"&amp;TEXT(I195,"000"))</f>
        <v/>
      </c>
      <c r="L195" s="33">
        <f>IF(J195="","",IFERROR(INDEX(Cl_nom,MATCH(J195,Cl_cle,0)),"(client introuvable)"))</f>
        <v/>
      </c>
      <c r="M195" s="46">
        <f>IF(B195="","",DATE(YEAR(B195),MONTH(B195),1))</f>
        <v/>
      </c>
      <c r="N195" s="33">
        <f>IF(J195="","",IFERROR(INDEX(Cl_quartier,MATCH(J195,Cl_cle,0))&amp;"",""))</f>
        <v/>
      </c>
      <c r="O195" s="33">
        <f>IF(J195="","",IFERROR(INDEX(Cl_tel,MATCH(J195,Cl_cle,0))&amp;"",""))</f>
        <v/>
      </c>
      <c r="P195" s="34">
        <f>IF(J195="","",IFERROR(INDEX(Cl_potentiel,MATCH(J195,Cl_cle,0)),""))</f>
        <v/>
      </c>
      <c r="Q195" s="34">
        <f>IF(J195="","",IF(D195&lt;&gt;"",IF(COUNTIFS(VC_cle,J195,VC_type,"Visite sur place",VC_date,D195)&gt;0,"Visité",IF(D195&lt;TODAY(),"Non fait","À venir")),IF(B195="","",IF(COUNTIFS(VC_cle,J195,VC_type,"Visite sur place",VC_date,"&gt;="&amp;M195,VC_date,"&lt;"&amp;DATE(YEAR(M195),MONTH(M195)+1,1))&gt;0,"Visité","À visiter"))))</f>
        <v/>
      </c>
    </row>
    <row r="196" ht="18" customHeight="1">
      <c r="A196" s="39" t="n">
        <v>191</v>
      </c>
      <c r="B196" s="49" t="n"/>
      <c r="C196" s="43" t="n"/>
      <c r="D196" s="32" t="n"/>
      <c r="E196" s="36" t="n"/>
      <c r="F196" s="36" t="n"/>
      <c r="G196" s="36" t="n"/>
      <c r="H196" s="33">
        <f>IF(E196="","",Commercial_Id)</f>
        <v/>
      </c>
      <c r="I196" s="39">
        <f>IF(E196="","",IFERROR(VALUE(MID(E196,LEN(E196)-3,3)),""))</f>
        <v/>
      </c>
      <c r="J196" s="33">
        <f>IF(I196="","",H196&amp;"|"&amp;I196)</f>
        <v/>
      </c>
      <c r="K196" s="33">
        <f>IF(I196="","",IF(H196="À RENSEIGNER","GIC",H196)&amp;"-"&amp;TEXT(I196,"000"))</f>
        <v/>
      </c>
      <c r="L196" s="33">
        <f>IF(J196="","",IFERROR(INDEX(Cl_nom,MATCH(J196,Cl_cle,0)),"(client introuvable)"))</f>
        <v/>
      </c>
      <c r="M196" s="46">
        <f>IF(B196="","",DATE(YEAR(B196),MONTH(B196),1))</f>
        <v/>
      </c>
      <c r="N196" s="33">
        <f>IF(J196="","",IFERROR(INDEX(Cl_quartier,MATCH(J196,Cl_cle,0))&amp;"",""))</f>
        <v/>
      </c>
      <c r="O196" s="33">
        <f>IF(J196="","",IFERROR(INDEX(Cl_tel,MATCH(J196,Cl_cle,0))&amp;"",""))</f>
        <v/>
      </c>
      <c r="P196" s="34">
        <f>IF(J196="","",IFERROR(INDEX(Cl_potentiel,MATCH(J196,Cl_cle,0)),""))</f>
        <v/>
      </c>
      <c r="Q196" s="34">
        <f>IF(J196="","",IF(D196&lt;&gt;"",IF(COUNTIFS(VC_cle,J196,VC_type,"Visite sur place",VC_date,D196)&gt;0,"Visité",IF(D196&lt;TODAY(),"Non fait","À venir")),IF(B196="","",IF(COUNTIFS(VC_cle,J196,VC_type,"Visite sur place",VC_date,"&gt;="&amp;M196,VC_date,"&lt;"&amp;DATE(YEAR(M196),MONTH(M196)+1,1))&gt;0,"Visité","À visiter"))))</f>
        <v/>
      </c>
    </row>
    <row r="197" ht="18" customHeight="1">
      <c r="A197" s="39" t="n">
        <v>192</v>
      </c>
      <c r="B197" s="49" t="n"/>
      <c r="C197" s="43" t="n"/>
      <c r="D197" s="32" t="n"/>
      <c r="E197" s="36" t="n"/>
      <c r="F197" s="36" t="n"/>
      <c r="G197" s="36" t="n"/>
      <c r="H197" s="33">
        <f>IF(E197="","",Commercial_Id)</f>
        <v/>
      </c>
      <c r="I197" s="39">
        <f>IF(E197="","",IFERROR(VALUE(MID(E197,LEN(E197)-3,3)),""))</f>
        <v/>
      </c>
      <c r="J197" s="33">
        <f>IF(I197="","",H197&amp;"|"&amp;I197)</f>
        <v/>
      </c>
      <c r="K197" s="33">
        <f>IF(I197="","",IF(H197="À RENSEIGNER","GIC",H197)&amp;"-"&amp;TEXT(I197,"000"))</f>
        <v/>
      </c>
      <c r="L197" s="33">
        <f>IF(J197="","",IFERROR(INDEX(Cl_nom,MATCH(J197,Cl_cle,0)),"(client introuvable)"))</f>
        <v/>
      </c>
      <c r="M197" s="46">
        <f>IF(B197="","",DATE(YEAR(B197),MONTH(B197),1))</f>
        <v/>
      </c>
      <c r="N197" s="33">
        <f>IF(J197="","",IFERROR(INDEX(Cl_quartier,MATCH(J197,Cl_cle,0))&amp;"",""))</f>
        <v/>
      </c>
      <c r="O197" s="33">
        <f>IF(J197="","",IFERROR(INDEX(Cl_tel,MATCH(J197,Cl_cle,0))&amp;"",""))</f>
        <v/>
      </c>
      <c r="P197" s="34">
        <f>IF(J197="","",IFERROR(INDEX(Cl_potentiel,MATCH(J197,Cl_cle,0)),""))</f>
        <v/>
      </c>
      <c r="Q197" s="34">
        <f>IF(J197="","",IF(D197&lt;&gt;"",IF(COUNTIFS(VC_cle,J197,VC_type,"Visite sur place",VC_date,D197)&gt;0,"Visité",IF(D197&lt;TODAY(),"Non fait","À venir")),IF(B197="","",IF(COUNTIFS(VC_cle,J197,VC_type,"Visite sur place",VC_date,"&gt;="&amp;M197,VC_date,"&lt;"&amp;DATE(YEAR(M197),MONTH(M197)+1,1))&gt;0,"Visité","À visiter"))))</f>
        <v/>
      </c>
    </row>
    <row r="198" ht="18" customHeight="1">
      <c r="A198" s="39" t="n">
        <v>193</v>
      </c>
      <c r="B198" s="49" t="n"/>
      <c r="C198" s="43" t="n"/>
      <c r="D198" s="32" t="n"/>
      <c r="E198" s="36" t="n"/>
      <c r="F198" s="36" t="n"/>
      <c r="G198" s="36" t="n"/>
      <c r="H198" s="33">
        <f>IF(E198="","",Commercial_Id)</f>
        <v/>
      </c>
      <c r="I198" s="39">
        <f>IF(E198="","",IFERROR(VALUE(MID(E198,LEN(E198)-3,3)),""))</f>
        <v/>
      </c>
      <c r="J198" s="33">
        <f>IF(I198="","",H198&amp;"|"&amp;I198)</f>
        <v/>
      </c>
      <c r="K198" s="33">
        <f>IF(I198="","",IF(H198="À RENSEIGNER","GIC",H198)&amp;"-"&amp;TEXT(I198,"000"))</f>
        <v/>
      </c>
      <c r="L198" s="33">
        <f>IF(J198="","",IFERROR(INDEX(Cl_nom,MATCH(J198,Cl_cle,0)),"(client introuvable)"))</f>
        <v/>
      </c>
      <c r="M198" s="46">
        <f>IF(B198="","",DATE(YEAR(B198),MONTH(B198),1))</f>
        <v/>
      </c>
      <c r="N198" s="33">
        <f>IF(J198="","",IFERROR(INDEX(Cl_quartier,MATCH(J198,Cl_cle,0))&amp;"",""))</f>
        <v/>
      </c>
      <c r="O198" s="33">
        <f>IF(J198="","",IFERROR(INDEX(Cl_tel,MATCH(J198,Cl_cle,0))&amp;"",""))</f>
        <v/>
      </c>
      <c r="P198" s="34">
        <f>IF(J198="","",IFERROR(INDEX(Cl_potentiel,MATCH(J198,Cl_cle,0)),""))</f>
        <v/>
      </c>
      <c r="Q198" s="34">
        <f>IF(J198="","",IF(D198&lt;&gt;"",IF(COUNTIFS(VC_cle,J198,VC_type,"Visite sur place",VC_date,D198)&gt;0,"Visité",IF(D198&lt;TODAY(),"Non fait","À venir")),IF(B198="","",IF(COUNTIFS(VC_cle,J198,VC_type,"Visite sur place",VC_date,"&gt;="&amp;M198,VC_date,"&lt;"&amp;DATE(YEAR(M198),MONTH(M198)+1,1))&gt;0,"Visité","À visiter"))))</f>
        <v/>
      </c>
    </row>
    <row r="199" ht="18" customHeight="1">
      <c r="A199" s="39" t="n">
        <v>194</v>
      </c>
      <c r="B199" s="49" t="n"/>
      <c r="C199" s="43" t="n"/>
      <c r="D199" s="32" t="n"/>
      <c r="E199" s="36" t="n"/>
      <c r="F199" s="36" t="n"/>
      <c r="G199" s="36" t="n"/>
      <c r="H199" s="33">
        <f>IF(E199="","",Commercial_Id)</f>
        <v/>
      </c>
      <c r="I199" s="39">
        <f>IF(E199="","",IFERROR(VALUE(MID(E199,LEN(E199)-3,3)),""))</f>
        <v/>
      </c>
      <c r="J199" s="33">
        <f>IF(I199="","",H199&amp;"|"&amp;I199)</f>
        <v/>
      </c>
      <c r="K199" s="33">
        <f>IF(I199="","",IF(H199="À RENSEIGNER","GIC",H199)&amp;"-"&amp;TEXT(I199,"000"))</f>
        <v/>
      </c>
      <c r="L199" s="33">
        <f>IF(J199="","",IFERROR(INDEX(Cl_nom,MATCH(J199,Cl_cle,0)),"(client introuvable)"))</f>
        <v/>
      </c>
      <c r="M199" s="46">
        <f>IF(B199="","",DATE(YEAR(B199),MONTH(B199),1))</f>
        <v/>
      </c>
      <c r="N199" s="33">
        <f>IF(J199="","",IFERROR(INDEX(Cl_quartier,MATCH(J199,Cl_cle,0))&amp;"",""))</f>
        <v/>
      </c>
      <c r="O199" s="33">
        <f>IF(J199="","",IFERROR(INDEX(Cl_tel,MATCH(J199,Cl_cle,0))&amp;"",""))</f>
        <v/>
      </c>
      <c r="P199" s="34">
        <f>IF(J199="","",IFERROR(INDEX(Cl_potentiel,MATCH(J199,Cl_cle,0)),""))</f>
        <v/>
      </c>
      <c r="Q199" s="34">
        <f>IF(J199="","",IF(D199&lt;&gt;"",IF(COUNTIFS(VC_cle,J199,VC_type,"Visite sur place",VC_date,D199)&gt;0,"Visité",IF(D199&lt;TODAY(),"Non fait","À venir")),IF(B199="","",IF(COUNTIFS(VC_cle,J199,VC_type,"Visite sur place",VC_date,"&gt;="&amp;M199,VC_date,"&lt;"&amp;DATE(YEAR(M199),MONTH(M199)+1,1))&gt;0,"Visité","À visiter"))))</f>
        <v/>
      </c>
    </row>
    <row r="200" ht="18" customHeight="1">
      <c r="A200" s="39" t="n">
        <v>195</v>
      </c>
      <c r="B200" s="49" t="n"/>
      <c r="C200" s="43" t="n"/>
      <c r="D200" s="32" t="n"/>
      <c r="E200" s="36" t="n"/>
      <c r="F200" s="36" t="n"/>
      <c r="G200" s="36" t="n"/>
      <c r="H200" s="33">
        <f>IF(E200="","",Commercial_Id)</f>
        <v/>
      </c>
      <c r="I200" s="39">
        <f>IF(E200="","",IFERROR(VALUE(MID(E200,LEN(E200)-3,3)),""))</f>
        <v/>
      </c>
      <c r="J200" s="33">
        <f>IF(I200="","",H200&amp;"|"&amp;I200)</f>
        <v/>
      </c>
      <c r="K200" s="33">
        <f>IF(I200="","",IF(H200="À RENSEIGNER","GIC",H200)&amp;"-"&amp;TEXT(I200,"000"))</f>
        <v/>
      </c>
      <c r="L200" s="33">
        <f>IF(J200="","",IFERROR(INDEX(Cl_nom,MATCH(J200,Cl_cle,0)),"(client introuvable)"))</f>
        <v/>
      </c>
      <c r="M200" s="46">
        <f>IF(B200="","",DATE(YEAR(B200),MONTH(B200),1))</f>
        <v/>
      </c>
      <c r="N200" s="33">
        <f>IF(J200="","",IFERROR(INDEX(Cl_quartier,MATCH(J200,Cl_cle,0))&amp;"",""))</f>
        <v/>
      </c>
      <c r="O200" s="33">
        <f>IF(J200="","",IFERROR(INDEX(Cl_tel,MATCH(J200,Cl_cle,0))&amp;"",""))</f>
        <v/>
      </c>
      <c r="P200" s="34">
        <f>IF(J200="","",IFERROR(INDEX(Cl_potentiel,MATCH(J200,Cl_cle,0)),""))</f>
        <v/>
      </c>
      <c r="Q200" s="34">
        <f>IF(J200="","",IF(D200&lt;&gt;"",IF(COUNTIFS(VC_cle,J200,VC_type,"Visite sur place",VC_date,D200)&gt;0,"Visité",IF(D200&lt;TODAY(),"Non fait","À venir")),IF(B200="","",IF(COUNTIFS(VC_cle,J200,VC_type,"Visite sur place",VC_date,"&gt;="&amp;M200,VC_date,"&lt;"&amp;DATE(YEAR(M200),MONTH(M200)+1,1))&gt;0,"Visité","À visiter"))))</f>
        <v/>
      </c>
    </row>
    <row r="201" ht="18" customHeight="1">
      <c r="A201" s="39" t="n">
        <v>196</v>
      </c>
      <c r="B201" s="49" t="n"/>
      <c r="C201" s="43" t="n"/>
      <c r="D201" s="32" t="n"/>
      <c r="E201" s="36" t="n"/>
      <c r="F201" s="36" t="n"/>
      <c r="G201" s="36" t="n"/>
      <c r="H201" s="33">
        <f>IF(E201="","",Commercial_Id)</f>
        <v/>
      </c>
      <c r="I201" s="39">
        <f>IF(E201="","",IFERROR(VALUE(MID(E201,LEN(E201)-3,3)),""))</f>
        <v/>
      </c>
      <c r="J201" s="33">
        <f>IF(I201="","",H201&amp;"|"&amp;I201)</f>
        <v/>
      </c>
      <c r="K201" s="33">
        <f>IF(I201="","",IF(H201="À RENSEIGNER","GIC",H201)&amp;"-"&amp;TEXT(I201,"000"))</f>
        <v/>
      </c>
      <c r="L201" s="33">
        <f>IF(J201="","",IFERROR(INDEX(Cl_nom,MATCH(J201,Cl_cle,0)),"(client introuvable)"))</f>
        <v/>
      </c>
      <c r="M201" s="46">
        <f>IF(B201="","",DATE(YEAR(B201),MONTH(B201),1))</f>
        <v/>
      </c>
      <c r="N201" s="33">
        <f>IF(J201="","",IFERROR(INDEX(Cl_quartier,MATCH(J201,Cl_cle,0))&amp;"",""))</f>
        <v/>
      </c>
      <c r="O201" s="33">
        <f>IF(J201="","",IFERROR(INDEX(Cl_tel,MATCH(J201,Cl_cle,0))&amp;"",""))</f>
        <v/>
      </c>
      <c r="P201" s="34">
        <f>IF(J201="","",IFERROR(INDEX(Cl_potentiel,MATCH(J201,Cl_cle,0)),""))</f>
        <v/>
      </c>
      <c r="Q201" s="34">
        <f>IF(J201="","",IF(D201&lt;&gt;"",IF(COUNTIFS(VC_cle,J201,VC_type,"Visite sur place",VC_date,D201)&gt;0,"Visité",IF(D201&lt;TODAY(),"Non fait","À venir")),IF(B201="","",IF(COUNTIFS(VC_cle,J201,VC_type,"Visite sur place",VC_date,"&gt;="&amp;M201,VC_date,"&lt;"&amp;DATE(YEAR(M201),MONTH(M201)+1,1))&gt;0,"Visité","À visiter"))))</f>
        <v/>
      </c>
    </row>
    <row r="202" ht="18" customHeight="1">
      <c r="A202" s="39" t="n">
        <v>197</v>
      </c>
      <c r="B202" s="49" t="n"/>
      <c r="C202" s="43" t="n"/>
      <c r="D202" s="32" t="n"/>
      <c r="E202" s="36" t="n"/>
      <c r="F202" s="36" t="n"/>
      <c r="G202" s="36" t="n"/>
      <c r="H202" s="33">
        <f>IF(E202="","",Commercial_Id)</f>
        <v/>
      </c>
      <c r="I202" s="39">
        <f>IF(E202="","",IFERROR(VALUE(MID(E202,LEN(E202)-3,3)),""))</f>
        <v/>
      </c>
      <c r="J202" s="33">
        <f>IF(I202="","",H202&amp;"|"&amp;I202)</f>
        <v/>
      </c>
      <c r="K202" s="33">
        <f>IF(I202="","",IF(H202="À RENSEIGNER","GIC",H202)&amp;"-"&amp;TEXT(I202,"000"))</f>
        <v/>
      </c>
      <c r="L202" s="33">
        <f>IF(J202="","",IFERROR(INDEX(Cl_nom,MATCH(J202,Cl_cle,0)),"(client introuvable)"))</f>
        <v/>
      </c>
      <c r="M202" s="46">
        <f>IF(B202="","",DATE(YEAR(B202),MONTH(B202),1))</f>
        <v/>
      </c>
      <c r="N202" s="33">
        <f>IF(J202="","",IFERROR(INDEX(Cl_quartier,MATCH(J202,Cl_cle,0))&amp;"",""))</f>
        <v/>
      </c>
      <c r="O202" s="33">
        <f>IF(J202="","",IFERROR(INDEX(Cl_tel,MATCH(J202,Cl_cle,0))&amp;"",""))</f>
        <v/>
      </c>
      <c r="P202" s="34">
        <f>IF(J202="","",IFERROR(INDEX(Cl_potentiel,MATCH(J202,Cl_cle,0)),""))</f>
        <v/>
      </c>
      <c r="Q202" s="34">
        <f>IF(J202="","",IF(D202&lt;&gt;"",IF(COUNTIFS(VC_cle,J202,VC_type,"Visite sur place",VC_date,D202)&gt;0,"Visité",IF(D202&lt;TODAY(),"Non fait","À venir")),IF(B202="","",IF(COUNTIFS(VC_cle,J202,VC_type,"Visite sur place",VC_date,"&gt;="&amp;M202,VC_date,"&lt;"&amp;DATE(YEAR(M202),MONTH(M202)+1,1))&gt;0,"Visité","À visiter"))))</f>
        <v/>
      </c>
    </row>
    <row r="203" ht="18" customHeight="1">
      <c r="A203" s="39" t="n">
        <v>198</v>
      </c>
      <c r="B203" s="49" t="n"/>
      <c r="C203" s="43" t="n"/>
      <c r="D203" s="32" t="n"/>
      <c r="E203" s="36" t="n"/>
      <c r="F203" s="36" t="n"/>
      <c r="G203" s="36" t="n"/>
      <c r="H203" s="33">
        <f>IF(E203="","",Commercial_Id)</f>
        <v/>
      </c>
      <c r="I203" s="39">
        <f>IF(E203="","",IFERROR(VALUE(MID(E203,LEN(E203)-3,3)),""))</f>
        <v/>
      </c>
      <c r="J203" s="33">
        <f>IF(I203="","",H203&amp;"|"&amp;I203)</f>
        <v/>
      </c>
      <c r="K203" s="33">
        <f>IF(I203="","",IF(H203="À RENSEIGNER","GIC",H203)&amp;"-"&amp;TEXT(I203,"000"))</f>
        <v/>
      </c>
      <c r="L203" s="33">
        <f>IF(J203="","",IFERROR(INDEX(Cl_nom,MATCH(J203,Cl_cle,0)),"(client introuvable)"))</f>
        <v/>
      </c>
      <c r="M203" s="46">
        <f>IF(B203="","",DATE(YEAR(B203),MONTH(B203),1))</f>
        <v/>
      </c>
      <c r="N203" s="33">
        <f>IF(J203="","",IFERROR(INDEX(Cl_quartier,MATCH(J203,Cl_cle,0))&amp;"",""))</f>
        <v/>
      </c>
      <c r="O203" s="33">
        <f>IF(J203="","",IFERROR(INDEX(Cl_tel,MATCH(J203,Cl_cle,0))&amp;"",""))</f>
        <v/>
      </c>
      <c r="P203" s="34">
        <f>IF(J203="","",IFERROR(INDEX(Cl_potentiel,MATCH(J203,Cl_cle,0)),""))</f>
        <v/>
      </c>
      <c r="Q203" s="34">
        <f>IF(J203="","",IF(D203&lt;&gt;"",IF(COUNTIFS(VC_cle,J203,VC_type,"Visite sur place",VC_date,D203)&gt;0,"Visité",IF(D203&lt;TODAY(),"Non fait","À venir")),IF(B203="","",IF(COUNTIFS(VC_cle,J203,VC_type,"Visite sur place",VC_date,"&gt;="&amp;M203,VC_date,"&lt;"&amp;DATE(YEAR(M203),MONTH(M203)+1,1))&gt;0,"Visité","À visiter"))))</f>
        <v/>
      </c>
    </row>
    <row r="204" ht="18" customHeight="1">
      <c r="A204" s="39" t="n">
        <v>199</v>
      </c>
      <c r="B204" s="49" t="n"/>
      <c r="C204" s="43" t="n"/>
      <c r="D204" s="32" t="n"/>
      <c r="E204" s="36" t="n"/>
      <c r="F204" s="36" t="n"/>
      <c r="G204" s="36" t="n"/>
      <c r="H204" s="33">
        <f>IF(E204="","",Commercial_Id)</f>
        <v/>
      </c>
      <c r="I204" s="39">
        <f>IF(E204="","",IFERROR(VALUE(MID(E204,LEN(E204)-3,3)),""))</f>
        <v/>
      </c>
      <c r="J204" s="33">
        <f>IF(I204="","",H204&amp;"|"&amp;I204)</f>
        <v/>
      </c>
      <c r="K204" s="33">
        <f>IF(I204="","",IF(H204="À RENSEIGNER","GIC",H204)&amp;"-"&amp;TEXT(I204,"000"))</f>
        <v/>
      </c>
      <c r="L204" s="33">
        <f>IF(J204="","",IFERROR(INDEX(Cl_nom,MATCH(J204,Cl_cle,0)),"(client introuvable)"))</f>
        <v/>
      </c>
      <c r="M204" s="46">
        <f>IF(B204="","",DATE(YEAR(B204),MONTH(B204),1))</f>
        <v/>
      </c>
      <c r="N204" s="33">
        <f>IF(J204="","",IFERROR(INDEX(Cl_quartier,MATCH(J204,Cl_cle,0))&amp;"",""))</f>
        <v/>
      </c>
      <c r="O204" s="33">
        <f>IF(J204="","",IFERROR(INDEX(Cl_tel,MATCH(J204,Cl_cle,0))&amp;"",""))</f>
        <v/>
      </c>
      <c r="P204" s="34">
        <f>IF(J204="","",IFERROR(INDEX(Cl_potentiel,MATCH(J204,Cl_cle,0)),""))</f>
        <v/>
      </c>
      <c r="Q204" s="34">
        <f>IF(J204="","",IF(D204&lt;&gt;"",IF(COUNTIFS(VC_cle,J204,VC_type,"Visite sur place",VC_date,D204)&gt;0,"Visité",IF(D204&lt;TODAY(),"Non fait","À venir")),IF(B204="","",IF(COUNTIFS(VC_cle,J204,VC_type,"Visite sur place",VC_date,"&gt;="&amp;M204,VC_date,"&lt;"&amp;DATE(YEAR(M204),MONTH(M204)+1,1))&gt;0,"Visité","À visiter"))))</f>
        <v/>
      </c>
    </row>
    <row r="205" ht="18" customHeight="1">
      <c r="A205" s="39" t="n">
        <v>200</v>
      </c>
      <c r="B205" s="49" t="n"/>
      <c r="C205" s="43" t="n"/>
      <c r="D205" s="32" t="n"/>
      <c r="E205" s="36" t="n"/>
      <c r="F205" s="36" t="n"/>
      <c r="G205" s="36" t="n"/>
      <c r="H205" s="33">
        <f>IF(E205="","",Commercial_Id)</f>
        <v/>
      </c>
      <c r="I205" s="39">
        <f>IF(E205="","",IFERROR(VALUE(MID(E205,LEN(E205)-3,3)),""))</f>
        <v/>
      </c>
      <c r="J205" s="33">
        <f>IF(I205="","",H205&amp;"|"&amp;I205)</f>
        <v/>
      </c>
      <c r="K205" s="33">
        <f>IF(I205="","",IF(H205="À RENSEIGNER","GIC",H205)&amp;"-"&amp;TEXT(I205,"000"))</f>
        <v/>
      </c>
      <c r="L205" s="33">
        <f>IF(J205="","",IFERROR(INDEX(Cl_nom,MATCH(J205,Cl_cle,0)),"(client introuvable)"))</f>
        <v/>
      </c>
      <c r="M205" s="46">
        <f>IF(B205="","",DATE(YEAR(B205),MONTH(B205),1))</f>
        <v/>
      </c>
      <c r="N205" s="33">
        <f>IF(J205="","",IFERROR(INDEX(Cl_quartier,MATCH(J205,Cl_cle,0))&amp;"",""))</f>
        <v/>
      </c>
      <c r="O205" s="33">
        <f>IF(J205="","",IFERROR(INDEX(Cl_tel,MATCH(J205,Cl_cle,0))&amp;"",""))</f>
        <v/>
      </c>
      <c r="P205" s="34">
        <f>IF(J205="","",IFERROR(INDEX(Cl_potentiel,MATCH(J205,Cl_cle,0)),""))</f>
        <v/>
      </c>
      <c r="Q205" s="34">
        <f>IF(J205="","",IF(D205&lt;&gt;"",IF(COUNTIFS(VC_cle,J205,VC_type,"Visite sur place",VC_date,D205)&gt;0,"Visité",IF(D205&lt;TODAY(),"Non fait","À venir")),IF(B205="","",IF(COUNTIFS(VC_cle,J205,VC_type,"Visite sur place",VC_date,"&gt;="&amp;M205,VC_date,"&lt;"&amp;DATE(YEAR(M205),MONTH(M205)+1,1))&gt;0,"Visité","À visiter"))))</f>
        <v/>
      </c>
    </row>
    <row r="206" ht="18" customHeight="1">
      <c r="A206" s="39" t="n">
        <v>201</v>
      </c>
      <c r="B206" s="49" t="n"/>
      <c r="C206" s="43" t="n"/>
      <c r="D206" s="32" t="n"/>
      <c r="E206" s="36" t="n"/>
      <c r="F206" s="36" t="n"/>
      <c r="G206" s="36" t="n"/>
      <c r="H206" s="33">
        <f>IF(E206="","",Commercial_Id)</f>
        <v/>
      </c>
      <c r="I206" s="39">
        <f>IF(E206="","",IFERROR(VALUE(MID(E206,LEN(E206)-3,3)),""))</f>
        <v/>
      </c>
      <c r="J206" s="33">
        <f>IF(I206="","",H206&amp;"|"&amp;I206)</f>
        <v/>
      </c>
      <c r="K206" s="33">
        <f>IF(I206="","",IF(H206="À RENSEIGNER","GIC",H206)&amp;"-"&amp;TEXT(I206,"000"))</f>
        <v/>
      </c>
      <c r="L206" s="33">
        <f>IF(J206="","",IFERROR(INDEX(Cl_nom,MATCH(J206,Cl_cle,0)),"(client introuvable)"))</f>
        <v/>
      </c>
      <c r="M206" s="46">
        <f>IF(B206="","",DATE(YEAR(B206),MONTH(B206),1))</f>
        <v/>
      </c>
      <c r="N206" s="33">
        <f>IF(J206="","",IFERROR(INDEX(Cl_quartier,MATCH(J206,Cl_cle,0))&amp;"",""))</f>
        <v/>
      </c>
      <c r="O206" s="33">
        <f>IF(J206="","",IFERROR(INDEX(Cl_tel,MATCH(J206,Cl_cle,0))&amp;"",""))</f>
        <v/>
      </c>
      <c r="P206" s="34">
        <f>IF(J206="","",IFERROR(INDEX(Cl_potentiel,MATCH(J206,Cl_cle,0)),""))</f>
        <v/>
      </c>
      <c r="Q206" s="34">
        <f>IF(J206="","",IF(D206&lt;&gt;"",IF(COUNTIFS(VC_cle,J206,VC_type,"Visite sur place",VC_date,D206)&gt;0,"Visité",IF(D206&lt;TODAY(),"Non fait","À venir")),IF(B206="","",IF(COUNTIFS(VC_cle,J206,VC_type,"Visite sur place",VC_date,"&gt;="&amp;M206,VC_date,"&lt;"&amp;DATE(YEAR(M206),MONTH(M206)+1,1))&gt;0,"Visité","À visiter"))))</f>
        <v/>
      </c>
    </row>
    <row r="207" ht="18" customHeight="1">
      <c r="A207" s="39" t="n">
        <v>202</v>
      </c>
      <c r="B207" s="49" t="n"/>
      <c r="C207" s="43" t="n"/>
      <c r="D207" s="32" t="n"/>
      <c r="E207" s="36" t="n"/>
      <c r="F207" s="36" t="n"/>
      <c r="G207" s="36" t="n"/>
      <c r="H207" s="33">
        <f>IF(E207="","",Commercial_Id)</f>
        <v/>
      </c>
      <c r="I207" s="39">
        <f>IF(E207="","",IFERROR(VALUE(MID(E207,LEN(E207)-3,3)),""))</f>
        <v/>
      </c>
      <c r="J207" s="33">
        <f>IF(I207="","",H207&amp;"|"&amp;I207)</f>
        <v/>
      </c>
      <c r="K207" s="33">
        <f>IF(I207="","",IF(H207="À RENSEIGNER","GIC",H207)&amp;"-"&amp;TEXT(I207,"000"))</f>
        <v/>
      </c>
      <c r="L207" s="33">
        <f>IF(J207="","",IFERROR(INDEX(Cl_nom,MATCH(J207,Cl_cle,0)),"(client introuvable)"))</f>
        <v/>
      </c>
      <c r="M207" s="46">
        <f>IF(B207="","",DATE(YEAR(B207),MONTH(B207),1))</f>
        <v/>
      </c>
      <c r="N207" s="33">
        <f>IF(J207="","",IFERROR(INDEX(Cl_quartier,MATCH(J207,Cl_cle,0))&amp;"",""))</f>
        <v/>
      </c>
      <c r="O207" s="33">
        <f>IF(J207="","",IFERROR(INDEX(Cl_tel,MATCH(J207,Cl_cle,0))&amp;"",""))</f>
        <v/>
      </c>
      <c r="P207" s="34">
        <f>IF(J207="","",IFERROR(INDEX(Cl_potentiel,MATCH(J207,Cl_cle,0)),""))</f>
        <v/>
      </c>
      <c r="Q207" s="34">
        <f>IF(J207="","",IF(D207&lt;&gt;"",IF(COUNTIFS(VC_cle,J207,VC_type,"Visite sur place",VC_date,D207)&gt;0,"Visité",IF(D207&lt;TODAY(),"Non fait","À venir")),IF(B207="","",IF(COUNTIFS(VC_cle,J207,VC_type,"Visite sur place",VC_date,"&gt;="&amp;M207,VC_date,"&lt;"&amp;DATE(YEAR(M207),MONTH(M207)+1,1))&gt;0,"Visité","À visiter"))))</f>
        <v/>
      </c>
    </row>
    <row r="208" ht="18" customHeight="1">
      <c r="A208" s="39" t="n">
        <v>203</v>
      </c>
      <c r="B208" s="49" t="n"/>
      <c r="C208" s="43" t="n"/>
      <c r="D208" s="32" t="n"/>
      <c r="E208" s="36" t="n"/>
      <c r="F208" s="36" t="n"/>
      <c r="G208" s="36" t="n"/>
      <c r="H208" s="33">
        <f>IF(E208="","",Commercial_Id)</f>
        <v/>
      </c>
      <c r="I208" s="39">
        <f>IF(E208="","",IFERROR(VALUE(MID(E208,LEN(E208)-3,3)),""))</f>
        <v/>
      </c>
      <c r="J208" s="33">
        <f>IF(I208="","",H208&amp;"|"&amp;I208)</f>
        <v/>
      </c>
      <c r="K208" s="33">
        <f>IF(I208="","",IF(H208="À RENSEIGNER","GIC",H208)&amp;"-"&amp;TEXT(I208,"000"))</f>
        <v/>
      </c>
      <c r="L208" s="33">
        <f>IF(J208="","",IFERROR(INDEX(Cl_nom,MATCH(J208,Cl_cle,0)),"(client introuvable)"))</f>
        <v/>
      </c>
      <c r="M208" s="46">
        <f>IF(B208="","",DATE(YEAR(B208),MONTH(B208),1))</f>
        <v/>
      </c>
      <c r="N208" s="33">
        <f>IF(J208="","",IFERROR(INDEX(Cl_quartier,MATCH(J208,Cl_cle,0))&amp;"",""))</f>
        <v/>
      </c>
      <c r="O208" s="33">
        <f>IF(J208="","",IFERROR(INDEX(Cl_tel,MATCH(J208,Cl_cle,0))&amp;"",""))</f>
        <v/>
      </c>
      <c r="P208" s="34">
        <f>IF(J208="","",IFERROR(INDEX(Cl_potentiel,MATCH(J208,Cl_cle,0)),""))</f>
        <v/>
      </c>
      <c r="Q208" s="34">
        <f>IF(J208="","",IF(D208&lt;&gt;"",IF(COUNTIFS(VC_cle,J208,VC_type,"Visite sur place",VC_date,D208)&gt;0,"Visité",IF(D208&lt;TODAY(),"Non fait","À venir")),IF(B208="","",IF(COUNTIFS(VC_cle,J208,VC_type,"Visite sur place",VC_date,"&gt;="&amp;M208,VC_date,"&lt;"&amp;DATE(YEAR(M208),MONTH(M208)+1,1))&gt;0,"Visité","À visiter"))))</f>
        <v/>
      </c>
    </row>
    <row r="209" ht="18" customHeight="1">
      <c r="A209" s="39" t="n">
        <v>204</v>
      </c>
      <c r="B209" s="49" t="n"/>
      <c r="C209" s="43" t="n"/>
      <c r="D209" s="32" t="n"/>
      <c r="E209" s="36" t="n"/>
      <c r="F209" s="36" t="n"/>
      <c r="G209" s="36" t="n"/>
      <c r="H209" s="33">
        <f>IF(E209="","",Commercial_Id)</f>
        <v/>
      </c>
      <c r="I209" s="39">
        <f>IF(E209="","",IFERROR(VALUE(MID(E209,LEN(E209)-3,3)),""))</f>
        <v/>
      </c>
      <c r="J209" s="33">
        <f>IF(I209="","",H209&amp;"|"&amp;I209)</f>
        <v/>
      </c>
      <c r="K209" s="33">
        <f>IF(I209="","",IF(H209="À RENSEIGNER","GIC",H209)&amp;"-"&amp;TEXT(I209,"000"))</f>
        <v/>
      </c>
      <c r="L209" s="33">
        <f>IF(J209="","",IFERROR(INDEX(Cl_nom,MATCH(J209,Cl_cle,0)),"(client introuvable)"))</f>
        <v/>
      </c>
      <c r="M209" s="46">
        <f>IF(B209="","",DATE(YEAR(B209),MONTH(B209),1))</f>
        <v/>
      </c>
      <c r="N209" s="33">
        <f>IF(J209="","",IFERROR(INDEX(Cl_quartier,MATCH(J209,Cl_cle,0))&amp;"",""))</f>
        <v/>
      </c>
      <c r="O209" s="33">
        <f>IF(J209="","",IFERROR(INDEX(Cl_tel,MATCH(J209,Cl_cle,0))&amp;"",""))</f>
        <v/>
      </c>
      <c r="P209" s="34">
        <f>IF(J209="","",IFERROR(INDEX(Cl_potentiel,MATCH(J209,Cl_cle,0)),""))</f>
        <v/>
      </c>
      <c r="Q209" s="34">
        <f>IF(J209="","",IF(D209&lt;&gt;"",IF(COUNTIFS(VC_cle,J209,VC_type,"Visite sur place",VC_date,D209)&gt;0,"Visité",IF(D209&lt;TODAY(),"Non fait","À venir")),IF(B209="","",IF(COUNTIFS(VC_cle,J209,VC_type,"Visite sur place",VC_date,"&gt;="&amp;M209,VC_date,"&lt;"&amp;DATE(YEAR(M209),MONTH(M209)+1,1))&gt;0,"Visité","À visiter"))))</f>
        <v/>
      </c>
    </row>
    <row r="210" ht="18" customHeight="1">
      <c r="A210" s="39" t="n">
        <v>205</v>
      </c>
      <c r="B210" s="49" t="n"/>
      <c r="C210" s="43" t="n"/>
      <c r="D210" s="32" t="n"/>
      <c r="E210" s="36" t="n"/>
      <c r="F210" s="36" t="n"/>
      <c r="G210" s="36" t="n"/>
      <c r="H210" s="33">
        <f>IF(E210="","",Commercial_Id)</f>
        <v/>
      </c>
      <c r="I210" s="39">
        <f>IF(E210="","",IFERROR(VALUE(MID(E210,LEN(E210)-3,3)),""))</f>
        <v/>
      </c>
      <c r="J210" s="33">
        <f>IF(I210="","",H210&amp;"|"&amp;I210)</f>
        <v/>
      </c>
      <c r="K210" s="33">
        <f>IF(I210="","",IF(H210="À RENSEIGNER","GIC",H210)&amp;"-"&amp;TEXT(I210,"000"))</f>
        <v/>
      </c>
      <c r="L210" s="33">
        <f>IF(J210="","",IFERROR(INDEX(Cl_nom,MATCH(J210,Cl_cle,0)),"(client introuvable)"))</f>
        <v/>
      </c>
      <c r="M210" s="46">
        <f>IF(B210="","",DATE(YEAR(B210),MONTH(B210),1))</f>
        <v/>
      </c>
      <c r="N210" s="33">
        <f>IF(J210="","",IFERROR(INDEX(Cl_quartier,MATCH(J210,Cl_cle,0))&amp;"",""))</f>
        <v/>
      </c>
      <c r="O210" s="33">
        <f>IF(J210="","",IFERROR(INDEX(Cl_tel,MATCH(J210,Cl_cle,0))&amp;"",""))</f>
        <v/>
      </c>
      <c r="P210" s="34">
        <f>IF(J210="","",IFERROR(INDEX(Cl_potentiel,MATCH(J210,Cl_cle,0)),""))</f>
        <v/>
      </c>
      <c r="Q210" s="34">
        <f>IF(J210="","",IF(D210&lt;&gt;"",IF(COUNTIFS(VC_cle,J210,VC_type,"Visite sur place",VC_date,D210)&gt;0,"Visité",IF(D210&lt;TODAY(),"Non fait","À venir")),IF(B210="","",IF(COUNTIFS(VC_cle,J210,VC_type,"Visite sur place",VC_date,"&gt;="&amp;M210,VC_date,"&lt;"&amp;DATE(YEAR(M210),MONTH(M210)+1,1))&gt;0,"Visité","À visiter"))))</f>
        <v/>
      </c>
    </row>
    <row r="211" ht="18" customHeight="1">
      <c r="A211" s="39" t="n">
        <v>206</v>
      </c>
      <c r="B211" s="49" t="n"/>
      <c r="C211" s="43" t="n"/>
      <c r="D211" s="32" t="n"/>
      <c r="E211" s="36" t="n"/>
      <c r="F211" s="36" t="n"/>
      <c r="G211" s="36" t="n"/>
      <c r="H211" s="33">
        <f>IF(E211="","",Commercial_Id)</f>
        <v/>
      </c>
      <c r="I211" s="39">
        <f>IF(E211="","",IFERROR(VALUE(MID(E211,LEN(E211)-3,3)),""))</f>
        <v/>
      </c>
      <c r="J211" s="33">
        <f>IF(I211="","",H211&amp;"|"&amp;I211)</f>
        <v/>
      </c>
      <c r="K211" s="33">
        <f>IF(I211="","",IF(H211="À RENSEIGNER","GIC",H211)&amp;"-"&amp;TEXT(I211,"000"))</f>
        <v/>
      </c>
      <c r="L211" s="33">
        <f>IF(J211="","",IFERROR(INDEX(Cl_nom,MATCH(J211,Cl_cle,0)),"(client introuvable)"))</f>
        <v/>
      </c>
      <c r="M211" s="46">
        <f>IF(B211="","",DATE(YEAR(B211),MONTH(B211),1))</f>
        <v/>
      </c>
      <c r="N211" s="33">
        <f>IF(J211="","",IFERROR(INDEX(Cl_quartier,MATCH(J211,Cl_cle,0))&amp;"",""))</f>
        <v/>
      </c>
      <c r="O211" s="33">
        <f>IF(J211="","",IFERROR(INDEX(Cl_tel,MATCH(J211,Cl_cle,0))&amp;"",""))</f>
        <v/>
      </c>
      <c r="P211" s="34">
        <f>IF(J211="","",IFERROR(INDEX(Cl_potentiel,MATCH(J211,Cl_cle,0)),""))</f>
        <v/>
      </c>
      <c r="Q211" s="34">
        <f>IF(J211="","",IF(D211&lt;&gt;"",IF(COUNTIFS(VC_cle,J211,VC_type,"Visite sur place",VC_date,D211)&gt;0,"Visité",IF(D211&lt;TODAY(),"Non fait","À venir")),IF(B211="","",IF(COUNTIFS(VC_cle,J211,VC_type,"Visite sur place",VC_date,"&gt;="&amp;M211,VC_date,"&lt;"&amp;DATE(YEAR(M211),MONTH(M211)+1,1))&gt;0,"Visité","À visiter"))))</f>
        <v/>
      </c>
    </row>
    <row r="212" ht="18" customHeight="1">
      <c r="A212" s="39" t="n">
        <v>207</v>
      </c>
      <c r="B212" s="49" t="n"/>
      <c r="C212" s="43" t="n"/>
      <c r="D212" s="32" t="n"/>
      <c r="E212" s="36" t="n"/>
      <c r="F212" s="36" t="n"/>
      <c r="G212" s="36" t="n"/>
      <c r="H212" s="33">
        <f>IF(E212="","",Commercial_Id)</f>
        <v/>
      </c>
      <c r="I212" s="39">
        <f>IF(E212="","",IFERROR(VALUE(MID(E212,LEN(E212)-3,3)),""))</f>
        <v/>
      </c>
      <c r="J212" s="33">
        <f>IF(I212="","",H212&amp;"|"&amp;I212)</f>
        <v/>
      </c>
      <c r="K212" s="33">
        <f>IF(I212="","",IF(H212="À RENSEIGNER","GIC",H212)&amp;"-"&amp;TEXT(I212,"000"))</f>
        <v/>
      </c>
      <c r="L212" s="33">
        <f>IF(J212="","",IFERROR(INDEX(Cl_nom,MATCH(J212,Cl_cle,0)),"(client introuvable)"))</f>
        <v/>
      </c>
      <c r="M212" s="46">
        <f>IF(B212="","",DATE(YEAR(B212),MONTH(B212),1))</f>
        <v/>
      </c>
      <c r="N212" s="33">
        <f>IF(J212="","",IFERROR(INDEX(Cl_quartier,MATCH(J212,Cl_cle,0))&amp;"",""))</f>
        <v/>
      </c>
      <c r="O212" s="33">
        <f>IF(J212="","",IFERROR(INDEX(Cl_tel,MATCH(J212,Cl_cle,0))&amp;"",""))</f>
        <v/>
      </c>
      <c r="P212" s="34">
        <f>IF(J212="","",IFERROR(INDEX(Cl_potentiel,MATCH(J212,Cl_cle,0)),""))</f>
        <v/>
      </c>
      <c r="Q212" s="34">
        <f>IF(J212="","",IF(D212&lt;&gt;"",IF(COUNTIFS(VC_cle,J212,VC_type,"Visite sur place",VC_date,D212)&gt;0,"Visité",IF(D212&lt;TODAY(),"Non fait","À venir")),IF(B212="","",IF(COUNTIFS(VC_cle,J212,VC_type,"Visite sur place",VC_date,"&gt;="&amp;M212,VC_date,"&lt;"&amp;DATE(YEAR(M212),MONTH(M212)+1,1))&gt;0,"Visité","À visiter"))))</f>
        <v/>
      </c>
    </row>
    <row r="213" ht="18" customHeight="1">
      <c r="A213" s="39" t="n">
        <v>208</v>
      </c>
      <c r="B213" s="49" t="n"/>
      <c r="C213" s="43" t="n"/>
      <c r="D213" s="32" t="n"/>
      <c r="E213" s="36" t="n"/>
      <c r="F213" s="36" t="n"/>
      <c r="G213" s="36" t="n"/>
      <c r="H213" s="33">
        <f>IF(E213="","",Commercial_Id)</f>
        <v/>
      </c>
      <c r="I213" s="39">
        <f>IF(E213="","",IFERROR(VALUE(MID(E213,LEN(E213)-3,3)),""))</f>
        <v/>
      </c>
      <c r="J213" s="33">
        <f>IF(I213="","",H213&amp;"|"&amp;I213)</f>
        <v/>
      </c>
      <c r="K213" s="33">
        <f>IF(I213="","",IF(H213="À RENSEIGNER","GIC",H213)&amp;"-"&amp;TEXT(I213,"000"))</f>
        <v/>
      </c>
      <c r="L213" s="33">
        <f>IF(J213="","",IFERROR(INDEX(Cl_nom,MATCH(J213,Cl_cle,0)),"(client introuvable)"))</f>
        <v/>
      </c>
      <c r="M213" s="46">
        <f>IF(B213="","",DATE(YEAR(B213),MONTH(B213),1))</f>
        <v/>
      </c>
      <c r="N213" s="33">
        <f>IF(J213="","",IFERROR(INDEX(Cl_quartier,MATCH(J213,Cl_cle,0))&amp;"",""))</f>
        <v/>
      </c>
      <c r="O213" s="33">
        <f>IF(J213="","",IFERROR(INDEX(Cl_tel,MATCH(J213,Cl_cle,0))&amp;"",""))</f>
        <v/>
      </c>
      <c r="P213" s="34">
        <f>IF(J213="","",IFERROR(INDEX(Cl_potentiel,MATCH(J213,Cl_cle,0)),""))</f>
        <v/>
      </c>
      <c r="Q213" s="34">
        <f>IF(J213="","",IF(D213&lt;&gt;"",IF(COUNTIFS(VC_cle,J213,VC_type,"Visite sur place",VC_date,D213)&gt;0,"Visité",IF(D213&lt;TODAY(),"Non fait","À venir")),IF(B213="","",IF(COUNTIFS(VC_cle,J213,VC_type,"Visite sur place",VC_date,"&gt;="&amp;M213,VC_date,"&lt;"&amp;DATE(YEAR(M213),MONTH(M213)+1,1))&gt;0,"Visité","À visiter"))))</f>
        <v/>
      </c>
    </row>
    <row r="214" ht="18" customHeight="1">
      <c r="A214" s="39" t="n">
        <v>209</v>
      </c>
      <c r="B214" s="49" t="n"/>
      <c r="C214" s="43" t="n"/>
      <c r="D214" s="32" t="n"/>
      <c r="E214" s="36" t="n"/>
      <c r="F214" s="36" t="n"/>
      <c r="G214" s="36" t="n"/>
      <c r="H214" s="33">
        <f>IF(E214="","",Commercial_Id)</f>
        <v/>
      </c>
      <c r="I214" s="39">
        <f>IF(E214="","",IFERROR(VALUE(MID(E214,LEN(E214)-3,3)),""))</f>
        <v/>
      </c>
      <c r="J214" s="33">
        <f>IF(I214="","",H214&amp;"|"&amp;I214)</f>
        <v/>
      </c>
      <c r="K214" s="33">
        <f>IF(I214="","",IF(H214="À RENSEIGNER","GIC",H214)&amp;"-"&amp;TEXT(I214,"000"))</f>
        <v/>
      </c>
      <c r="L214" s="33">
        <f>IF(J214="","",IFERROR(INDEX(Cl_nom,MATCH(J214,Cl_cle,0)),"(client introuvable)"))</f>
        <v/>
      </c>
      <c r="M214" s="46">
        <f>IF(B214="","",DATE(YEAR(B214),MONTH(B214),1))</f>
        <v/>
      </c>
      <c r="N214" s="33">
        <f>IF(J214="","",IFERROR(INDEX(Cl_quartier,MATCH(J214,Cl_cle,0))&amp;"",""))</f>
        <v/>
      </c>
      <c r="O214" s="33">
        <f>IF(J214="","",IFERROR(INDEX(Cl_tel,MATCH(J214,Cl_cle,0))&amp;"",""))</f>
        <v/>
      </c>
      <c r="P214" s="34">
        <f>IF(J214="","",IFERROR(INDEX(Cl_potentiel,MATCH(J214,Cl_cle,0)),""))</f>
        <v/>
      </c>
      <c r="Q214" s="34">
        <f>IF(J214="","",IF(D214&lt;&gt;"",IF(COUNTIFS(VC_cle,J214,VC_type,"Visite sur place",VC_date,D214)&gt;0,"Visité",IF(D214&lt;TODAY(),"Non fait","À venir")),IF(B214="","",IF(COUNTIFS(VC_cle,J214,VC_type,"Visite sur place",VC_date,"&gt;="&amp;M214,VC_date,"&lt;"&amp;DATE(YEAR(M214),MONTH(M214)+1,1))&gt;0,"Visité","À visiter"))))</f>
        <v/>
      </c>
    </row>
    <row r="215" ht="18" customHeight="1">
      <c r="A215" s="39" t="n">
        <v>210</v>
      </c>
      <c r="B215" s="49" t="n"/>
      <c r="C215" s="43" t="n"/>
      <c r="D215" s="32" t="n"/>
      <c r="E215" s="36" t="n"/>
      <c r="F215" s="36" t="n"/>
      <c r="G215" s="36" t="n"/>
      <c r="H215" s="33">
        <f>IF(E215="","",Commercial_Id)</f>
        <v/>
      </c>
      <c r="I215" s="39">
        <f>IF(E215="","",IFERROR(VALUE(MID(E215,LEN(E215)-3,3)),""))</f>
        <v/>
      </c>
      <c r="J215" s="33">
        <f>IF(I215="","",H215&amp;"|"&amp;I215)</f>
        <v/>
      </c>
      <c r="K215" s="33">
        <f>IF(I215="","",IF(H215="À RENSEIGNER","GIC",H215)&amp;"-"&amp;TEXT(I215,"000"))</f>
        <v/>
      </c>
      <c r="L215" s="33">
        <f>IF(J215="","",IFERROR(INDEX(Cl_nom,MATCH(J215,Cl_cle,0)),"(client introuvable)"))</f>
        <v/>
      </c>
      <c r="M215" s="46">
        <f>IF(B215="","",DATE(YEAR(B215),MONTH(B215),1))</f>
        <v/>
      </c>
      <c r="N215" s="33">
        <f>IF(J215="","",IFERROR(INDEX(Cl_quartier,MATCH(J215,Cl_cle,0))&amp;"",""))</f>
        <v/>
      </c>
      <c r="O215" s="33">
        <f>IF(J215="","",IFERROR(INDEX(Cl_tel,MATCH(J215,Cl_cle,0))&amp;"",""))</f>
        <v/>
      </c>
      <c r="P215" s="34">
        <f>IF(J215="","",IFERROR(INDEX(Cl_potentiel,MATCH(J215,Cl_cle,0)),""))</f>
        <v/>
      </c>
      <c r="Q215" s="34">
        <f>IF(J215="","",IF(D215&lt;&gt;"",IF(COUNTIFS(VC_cle,J215,VC_type,"Visite sur place",VC_date,D215)&gt;0,"Visité",IF(D215&lt;TODAY(),"Non fait","À venir")),IF(B215="","",IF(COUNTIFS(VC_cle,J215,VC_type,"Visite sur place",VC_date,"&gt;="&amp;M215,VC_date,"&lt;"&amp;DATE(YEAR(M215),MONTH(M215)+1,1))&gt;0,"Visité","À visiter"))))</f>
        <v/>
      </c>
    </row>
    <row r="216" ht="18" customHeight="1">
      <c r="A216" s="39" t="n">
        <v>211</v>
      </c>
      <c r="B216" s="49" t="n"/>
      <c r="C216" s="43" t="n"/>
      <c r="D216" s="32" t="n"/>
      <c r="E216" s="36" t="n"/>
      <c r="F216" s="36" t="n"/>
      <c r="G216" s="36" t="n"/>
      <c r="H216" s="33">
        <f>IF(E216="","",Commercial_Id)</f>
        <v/>
      </c>
      <c r="I216" s="39">
        <f>IF(E216="","",IFERROR(VALUE(MID(E216,LEN(E216)-3,3)),""))</f>
        <v/>
      </c>
      <c r="J216" s="33">
        <f>IF(I216="","",H216&amp;"|"&amp;I216)</f>
        <v/>
      </c>
      <c r="K216" s="33">
        <f>IF(I216="","",IF(H216="À RENSEIGNER","GIC",H216)&amp;"-"&amp;TEXT(I216,"000"))</f>
        <v/>
      </c>
      <c r="L216" s="33">
        <f>IF(J216="","",IFERROR(INDEX(Cl_nom,MATCH(J216,Cl_cle,0)),"(client introuvable)"))</f>
        <v/>
      </c>
      <c r="M216" s="46">
        <f>IF(B216="","",DATE(YEAR(B216),MONTH(B216),1))</f>
        <v/>
      </c>
      <c r="N216" s="33">
        <f>IF(J216="","",IFERROR(INDEX(Cl_quartier,MATCH(J216,Cl_cle,0))&amp;"",""))</f>
        <v/>
      </c>
      <c r="O216" s="33">
        <f>IF(J216="","",IFERROR(INDEX(Cl_tel,MATCH(J216,Cl_cle,0))&amp;"",""))</f>
        <v/>
      </c>
      <c r="P216" s="34">
        <f>IF(J216="","",IFERROR(INDEX(Cl_potentiel,MATCH(J216,Cl_cle,0)),""))</f>
        <v/>
      </c>
      <c r="Q216" s="34">
        <f>IF(J216="","",IF(D216&lt;&gt;"",IF(COUNTIFS(VC_cle,J216,VC_type,"Visite sur place",VC_date,D216)&gt;0,"Visité",IF(D216&lt;TODAY(),"Non fait","À venir")),IF(B216="","",IF(COUNTIFS(VC_cle,J216,VC_type,"Visite sur place",VC_date,"&gt;="&amp;M216,VC_date,"&lt;"&amp;DATE(YEAR(M216),MONTH(M216)+1,1))&gt;0,"Visité","À visiter"))))</f>
        <v/>
      </c>
    </row>
    <row r="217" ht="18" customHeight="1">
      <c r="A217" s="39" t="n">
        <v>212</v>
      </c>
      <c r="B217" s="49" t="n"/>
      <c r="C217" s="43" t="n"/>
      <c r="D217" s="32" t="n"/>
      <c r="E217" s="36" t="n"/>
      <c r="F217" s="36" t="n"/>
      <c r="G217" s="36" t="n"/>
      <c r="H217" s="33">
        <f>IF(E217="","",Commercial_Id)</f>
        <v/>
      </c>
      <c r="I217" s="39">
        <f>IF(E217="","",IFERROR(VALUE(MID(E217,LEN(E217)-3,3)),""))</f>
        <v/>
      </c>
      <c r="J217" s="33">
        <f>IF(I217="","",H217&amp;"|"&amp;I217)</f>
        <v/>
      </c>
      <c r="K217" s="33">
        <f>IF(I217="","",IF(H217="À RENSEIGNER","GIC",H217)&amp;"-"&amp;TEXT(I217,"000"))</f>
        <v/>
      </c>
      <c r="L217" s="33">
        <f>IF(J217="","",IFERROR(INDEX(Cl_nom,MATCH(J217,Cl_cle,0)),"(client introuvable)"))</f>
        <v/>
      </c>
      <c r="M217" s="46">
        <f>IF(B217="","",DATE(YEAR(B217),MONTH(B217),1))</f>
        <v/>
      </c>
      <c r="N217" s="33">
        <f>IF(J217="","",IFERROR(INDEX(Cl_quartier,MATCH(J217,Cl_cle,0))&amp;"",""))</f>
        <v/>
      </c>
      <c r="O217" s="33">
        <f>IF(J217="","",IFERROR(INDEX(Cl_tel,MATCH(J217,Cl_cle,0))&amp;"",""))</f>
        <v/>
      </c>
      <c r="P217" s="34">
        <f>IF(J217="","",IFERROR(INDEX(Cl_potentiel,MATCH(J217,Cl_cle,0)),""))</f>
        <v/>
      </c>
      <c r="Q217" s="34">
        <f>IF(J217="","",IF(D217&lt;&gt;"",IF(COUNTIFS(VC_cle,J217,VC_type,"Visite sur place",VC_date,D217)&gt;0,"Visité",IF(D217&lt;TODAY(),"Non fait","À venir")),IF(B217="","",IF(COUNTIFS(VC_cle,J217,VC_type,"Visite sur place",VC_date,"&gt;="&amp;M217,VC_date,"&lt;"&amp;DATE(YEAR(M217),MONTH(M217)+1,1))&gt;0,"Visité","À visiter"))))</f>
        <v/>
      </c>
    </row>
    <row r="218" ht="18" customHeight="1">
      <c r="A218" s="39" t="n">
        <v>213</v>
      </c>
      <c r="B218" s="49" t="n"/>
      <c r="C218" s="43" t="n"/>
      <c r="D218" s="32" t="n"/>
      <c r="E218" s="36" t="n"/>
      <c r="F218" s="36" t="n"/>
      <c r="G218" s="36" t="n"/>
      <c r="H218" s="33">
        <f>IF(E218="","",Commercial_Id)</f>
        <v/>
      </c>
      <c r="I218" s="39">
        <f>IF(E218="","",IFERROR(VALUE(MID(E218,LEN(E218)-3,3)),""))</f>
        <v/>
      </c>
      <c r="J218" s="33">
        <f>IF(I218="","",H218&amp;"|"&amp;I218)</f>
        <v/>
      </c>
      <c r="K218" s="33">
        <f>IF(I218="","",IF(H218="À RENSEIGNER","GIC",H218)&amp;"-"&amp;TEXT(I218,"000"))</f>
        <v/>
      </c>
      <c r="L218" s="33">
        <f>IF(J218="","",IFERROR(INDEX(Cl_nom,MATCH(J218,Cl_cle,0)),"(client introuvable)"))</f>
        <v/>
      </c>
      <c r="M218" s="46">
        <f>IF(B218="","",DATE(YEAR(B218),MONTH(B218),1))</f>
        <v/>
      </c>
      <c r="N218" s="33">
        <f>IF(J218="","",IFERROR(INDEX(Cl_quartier,MATCH(J218,Cl_cle,0))&amp;"",""))</f>
        <v/>
      </c>
      <c r="O218" s="33">
        <f>IF(J218="","",IFERROR(INDEX(Cl_tel,MATCH(J218,Cl_cle,0))&amp;"",""))</f>
        <v/>
      </c>
      <c r="P218" s="34">
        <f>IF(J218="","",IFERROR(INDEX(Cl_potentiel,MATCH(J218,Cl_cle,0)),""))</f>
        <v/>
      </c>
      <c r="Q218" s="34">
        <f>IF(J218="","",IF(D218&lt;&gt;"",IF(COUNTIFS(VC_cle,J218,VC_type,"Visite sur place",VC_date,D218)&gt;0,"Visité",IF(D218&lt;TODAY(),"Non fait","À venir")),IF(B218="","",IF(COUNTIFS(VC_cle,J218,VC_type,"Visite sur place",VC_date,"&gt;="&amp;M218,VC_date,"&lt;"&amp;DATE(YEAR(M218),MONTH(M218)+1,1))&gt;0,"Visité","À visiter"))))</f>
        <v/>
      </c>
    </row>
    <row r="219" ht="18" customHeight="1">
      <c r="A219" s="39" t="n">
        <v>214</v>
      </c>
      <c r="B219" s="49" t="n"/>
      <c r="C219" s="43" t="n"/>
      <c r="D219" s="32" t="n"/>
      <c r="E219" s="36" t="n"/>
      <c r="F219" s="36" t="n"/>
      <c r="G219" s="36" t="n"/>
      <c r="H219" s="33">
        <f>IF(E219="","",Commercial_Id)</f>
        <v/>
      </c>
      <c r="I219" s="39">
        <f>IF(E219="","",IFERROR(VALUE(MID(E219,LEN(E219)-3,3)),""))</f>
        <v/>
      </c>
      <c r="J219" s="33">
        <f>IF(I219="","",H219&amp;"|"&amp;I219)</f>
        <v/>
      </c>
      <c r="K219" s="33">
        <f>IF(I219="","",IF(H219="À RENSEIGNER","GIC",H219)&amp;"-"&amp;TEXT(I219,"000"))</f>
        <v/>
      </c>
      <c r="L219" s="33">
        <f>IF(J219="","",IFERROR(INDEX(Cl_nom,MATCH(J219,Cl_cle,0)),"(client introuvable)"))</f>
        <v/>
      </c>
      <c r="M219" s="46">
        <f>IF(B219="","",DATE(YEAR(B219),MONTH(B219),1))</f>
        <v/>
      </c>
      <c r="N219" s="33">
        <f>IF(J219="","",IFERROR(INDEX(Cl_quartier,MATCH(J219,Cl_cle,0))&amp;"",""))</f>
        <v/>
      </c>
      <c r="O219" s="33">
        <f>IF(J219="","",IFERROR(INDEX(Cl_tel,MATCH(J219,Cl_cle,0))&amp;"",""))</f>
        <v/>
      </c>
      <c r="P219" s="34">
        <f>IF(J219="","",IFERROR(INDEX(Cl_potentiel,MATCH(J219,Cl_cle,0)),""))</f>
        <v/>
      </c>
      <c r="Q219" s="34">
        <f>IF(J219="","",IF(D219&lt;&gt;"",IF(COUNTIFS(VC_cle,J219,VC_type,"Visite sur place",VC_date,D219)&gt;0,"Visité",IF(D219&lt;TODAY(),"Non fait","À venir")),IF(B219="","",IF(COUNTIFS(VC_cle,J219,VC_type,"Visite sur place",VC_date,"&gt;="&amp;M219,VC_date,"&lt;"&amp;DATE(YEAR(M219),MONTH(M219)+1,1))&gt;0,"Visité","À visiter"))))</f>
        <v/>
      </c>
    </row>
    <row r="220" ht="18" customHeight="1">
      <c r="A220" s="39" t="n">
        <v>215</v>
      </c>
      <c r="B220" s="49" t="n"/>
      <c r="C220" s="43" t="n"/>
      <c r="D220" s="32" t="n"/>
      <c r="E220" s="36" t="n"/>
      <c r="F220" s="36" t="n"/>
      <c r="G220" s="36" t="n"/>
      <c r="H220" s="33">
        <f>IF(E220="","",Commercial_Id)</f>
        <v/>
      </c>
      <c r="I220" s="39">
        <f>IF(E220="","",IFERROR(VALUE(MID(E220,LEN(E220)-3,3)),""))</f>
        <v/>
      </c>
      <c r="J220" s="33">
        <f>IF(I220="","",H220&amp;"|"&amp;I220)</f>
        <v/>
      </c>
      <c r="K220" s="33">
        <f>IF(I220="","",IF(H220="À RENSEIGNER","GIC",H220)&amp;"-"&amp;TEXT(I220,"000"))</f>
        <v/>
      </c>
      <c r="L220" s="33">
        <f>IF(J220="","",IFERROR(INDEX(Cl_nom,MATCH(J220,Cl_cle,0)),"(client introuvable)"))</f>
        <v/>
      </c>
      <c r="M220" s="46">
        <f>IF(B220="","",DATE(YEAR(B220),MONTH(B220),1))</f>
        <v/>
      </c>
      <c r="N220" s="33">
        <f>IF(J220="","",IFERROR(INDEX(Cl_quartier,MATCH(J220,Cl_cle,0))&amp;"",""))</f>
        <v/>
      </c>
      <c r="O220" s="33">
        <f>IF(J220="","",IFERROR(INDEX(Cl_tel,MATCH(J220,Cl_cle,0))&amp;"",""))</f>
        <v/>
      </c>
      <c r="P220" s="34">
        <f>IF(J220="","",IFERROR(INDEX(Cl_potentiel,MATCH(J220,Cl_cle,0)),""))</f>
        <v/>
      </c>
      <c r="Q220" s="34">
        <f>IF(J220="","",IF(D220&lt;&gt;"",IF(COUNTIFS(VC_cle,J220,VC_type,"Visite sur place",VC_date,D220)&gt;0,"Visité",IF(D220&lt;TODAY(),"Non fait","À venir")),IF(B220="","",IF(COUNTIFS(VC_cle,J220,VC_type,"Visite sur place",VC_date,"&gt;="&amp;M220,VC_date,"&lt;"&amp;DATE(YEAR(M220),MONTH(M220)+1,1))&gt;0,"Visité","À visiter"))))</f>
        <v/>
      </c>
    </row>
    <row r="221" ht="18" customHeight="1">
      <c r="A221" s="39" t="n">
        <v>216</v>
      </c>
      <c r="B221" s="49" t="n"/>
      <c r="C221" s="43" t="n"/>
      <c r="D221" s="32" t="n"/>
      <c r="E221" s="36" t="n"/>
      <c r="F221" s="36" t="n"/>
      <c r="G221" s="36" t="n"/>
      <c r="H221" s="33">
        <f>IF(E221="","",Commercial_Id)</f>
        <v/>
      </c>
      <c r="I221" s="39">
        <f>IF(E221="","",IFERROR(VALUE(MID(E221,LEN(E221)-3,3)),""))</f>
        <v/>
      </c>
      <c r="J221" s="33">
        <f>IF(I221="","",H221&amp;"|"&amp;I221)</f>
        <v/>
      </c>
      <c r="K221" s="33">
        <f>IF(I221="","",IF(H221="À RENSEIGNER","GIC",H221)&amp;"-"&amp;TEXT(I221,"000"))</f>
        <v/>
      </c>
      <c r="L221" s="33">
        <f>IF(J221="","",IFERROR(INDEX(Cl_nom,MATCH(J221,Cl_cle,0)),"(client introuvable)"))</f>
        <v/>
      </c>
      <c r="M221" s="46">
        <f>IF(B221="","",DATE(YEAR(B221),MONTH(B221),1))</f>
        <v/>
      </c>
      <c r="N221" s="33">
        <f>IF(J221="","",IFERROR(INDEX(Cl_quartier,MATCH(J221,Cl_cle,0))&amp;"",""))</f>
        <v/>
      </c>
      <c r="O221" s="33">
        <f>IF(J221="","",IFERROR(INDEX(Cl_tel,MATCH(J221,Cl_cle,0))&amp;"",""))</f>
        <v/>
      </c>
      <c r="P221" s="34">
        <f>IF(J221="","",IFERROR(INDEX(Cl_potentiel,MATCH(J221,Cl_cle,0)),""))</f>
        <v/>
      </c>
      <c r="Q221" s="34">
        <f>IF(J221="","",IF(D221&lt;&gt;"",IF(COUNTIFS(VC_cle,J221,VC_type,"Visite sur place",VC_date,D221)&gt;0,"Visité",IF(D221&lt;TODAY(),"Non fait","À venir")),IF(B221="","",IF(COUNTIFS(VC_cle,J221,VC_type,"Visite sur place",VC_date,"&gt;="&amp;M221,VC_date,"&lt;"&amp;DATE(YEAR(M221),MONTH(M221)+1,1))&gt;0,"Visité","À visiter"))))</f>
        <v/>
      </c>
    </row>
    <row r="222" ht="18" customHeight="1">
      <c r="A222" s="39" t="n">
        <v>217</v>
      </c>
      <c r="B222" s="49" t="n"/>
      <c r="C222" s="43" t="n"/>
      <c r="D222" s="32" t="n"/>
      <c r="E222" s="36" t="n"/>
      <c r="F222" s="36" t="n"/>
      <c r="G222" s="36" t="n"/>
      <c r="H222" s="33">
        <f>IF(E222="","",Commercial_Id)</f>
        <v/>
      </c>
      <c r="I222" s="39">
        <f>IF(E222="","",IFERROR(VALUE(MID(E222,LEN(E222)-3,3)),""))</f>
        <v/>
      </c>
      <c r="J222" s="33">
        <f>IF(I222="","",H222&amp;"|"&amp;I222)</f>
        <v/>
      </c>
      <c r="K222" s="33">
        <f>IF(I222="","",IF(H222="À RENSEIGNER","GIC",H222)&amp;"-"&amp;TEXT(I222,"000"))</f>
        <v/>
      </c>
      <c r="L222" s="33">
        <f>IF(J222="","",IFERROR(INDEX(Cl_nom,MATCH(J222,Cl_cle,0)),"(client introuvable)"))</f>
        <v/>
      </c>
      <c r="M222" s="46">
        <f>IF(B222="","",DATE(YEAR(B222),MONTH(B222),1))</f>
        <v/>
      </c>
      <c r="N222" s="33">
        <f>IF(J222="","",IFERROR(INDEX(Cl_quartier,MATCH(J222,Cl_cle,0))&amp;"",""))</f>
        <v/>
      </c>
      <c r="O222" s="33">
        <f>IF(J222="","",IFERROR(INDEX(Cl_tel,MATCH(J222,Cl_cle,0))&amp;"",""))</f>
        <v/>
      </c>
      <c r="P222" s="34">
        <f>IF(J222="","",IFERROR(INDEX(Cl_potentiel,MATCH(J222,Cl_cle,0)),""))</f>
        <v/>
      </c>
      <c r="Q222" s="34">
        <f>IF(J222="","",IF(D222&lt;&gt;"",IF(COUNTIFS(VC_cle,J222,VC_type,"Visite sur place",VC_date,D222)&gt;0,"Visité",IF(D222&lt;TODAY(),"Non fait","À venir")),IF(B222="","",IF(COUNTIFS(VC_cle,J222,VC_type,"Visite sur place",VC_date,"&gt;="&amp;M222,VC_date,"&lt;"&amp;DATE(YEAR(M222),MONTH(M222)+1,1))&gt;0,"Visité","À visiter"))))</f>
        <v/>
      </c>
    </row>
    <row r="223" ht="18" customHeight="1">
      <c r="A223" s="39" t="n">
        <v>218</v>
      </c>
      <c r="B223" s="49" t="n"/>
      <c r="C223" s="43" t="n"/>
      <c r="D223" s="32" t="n"/>
      <c r="E223" s="36" t="n"/>
      <c r="F223" s="36" t="n"/>
      <c r="G223" s="36" t="n"/>
      <c r="H223" s="33">
        <f>IF(E223="","",Commercial_Id)</f>
        <v/>
      </c>
      <c r="I223" s="39">
        <f>IF(E223="","",IFERROR(VALUE(MID(E223,LEN(E223)-3,3)),""))</f>
        <v/>
      </c>
      <c r="J223" s="33">
        <f>IF(I223="","",H223&amp;"|"&amp;I223)</f>
        <v/>
      </c>
      <c r="K223" s="33">
        <f>IF(I223="","",IF(H223="À RENSEIGNER","GIC",H223)&amp;"-"&amp;TEXT(I223,"000"))</f>
        <v/>
      </c>
      <c r="L223" s="33">
        <f>IF(J223="","",IFERROR(INDEX(Cl_nom,MATCH(J223,Cl_cle,0)),"(client introuvable)"))</f>
        <v/>
      </c>
      <c r="M223" s="46">
        <f>IF(B223="","",DATE(YEAR(B223),MONTH(B223),1))</f>
        <v/>
      </c>
      <c r="N223" s="33">
        <f>IF(J223="","",IFERROR(INDEX(Cl_quartier,MATCH(J223,Cl_cle,0))&amp;"",""))</f>
        <v/>
      </c>
      <c r="O223" s="33">
        <f>IF(J223="","",IFERROR(INDEX(Cl_tel,MATCH(J223,Cl_cle,0))&amp;"",""))</f>
        <v/>
      </c>
      <c r="P223" s="34">
        <f>IF(J223="","",IFERROR(INDEX(Cl_potentiel,MATCH(J223,Cl_cle,0)),""))</f>
        <v/>
      </c>
      <c r="Q223" s="34">
        <f>IF(J223="","",IF(D223&lt;&gt;"",IF(COUNTIFS(VC_cle,J223,VC_type,"Visite sur place",VC_date,D223)&gt;0,"Visité",IF(D223&lt;TODAY(),"Non fait","À venir")),IF(B223="","",IF(COUNTIFS(VC_cle,J223,VC_type,"Visite sur place",VC_date,"&gt;="&amp;M223,VC_date,"&lt;"&amp;DATE(YEAR(M223),MONTH(M223)+1,1))&gt;0,"Visité","À visiter"))))</f>
        <v/>
      </c>
    </row>
    <row r="224" ht="18" customHeight="1">
      <c r="A224" s="39" t="n">
        <v>219</v>
      </c>
      <c r="B224" s="49" t="n"/>
      <c r="C224" s="43" t="n"/>
      <c r="D224" s="32" t="n"/>
      <c r="E224" s="36" t="n"/>
      <c r="F224" s="36" t="n"/>
      <c r="G224" s="36" t="n"/>
      <c r="H224" s="33">
        <f>IF(E224="","",Commercial_Id)</f>
        <v/>
      </c>
      <c r="I224" s="39">
        <f>IF(E224="","",IFERROR(VALUE(MID(E224,LEN(E224)-3,3)),""))</f>
        <v/>
      </c>
      <c r="J224" s="33">
        <f>IF(I224="","",H224&amp;"|"&amp;I224)</f>
        <v/>
      </c>
      <c r="K224" s="33">
        <f>IF(I224="","",IF(H224="À RENSEIGNER","GIC",H224)&amp;"-"&amp;TEXT(I224,"000"))</f>
        <v/>
      </c>
      <c r="L224" s="33">
        <f>IF(J224="","",IFERROR(INDEX(Cl_nom,MATCH(J224,Cl_cle,0)),"(client introuvable)"))</f>
        <v/>
      </c>
      <c r="M224" s="46">
        <f>IF(B224="","",DATE(YEAR(B224),MONTH(B224),1))</f>
        <v/>
      </c>
      <c r="N224" s="33">
        <f>IF(J224="","",IFERROR(INDEX(Cl_quartier,MATCH(J224,Cl_cle,0))&amp;"",""))</f>
        <v/>
      </c>
      <c r="O224" s="33">
        <f>IF(J224="","",IFERROR(INDEX(Cl_tel,MATCH(J224,Cl_cle,0))&amp;"",""))</f>
        <v/>
      </c>
      <c r="P224" s="34">
        <f>IF(J224="","",IFERROR(INDEX(Cl_potentiel,MATCH(J224,Cl_cle,0)),""))</f>
        <v/>
      </c>
      <c r="Q224" s="34">
        <f>IF(J224="","",IF(D224&lt;&gt;"",IF(COUNTIFS(VC_cle,J224,VC_type,"Visite sur place",VC_date,D224)&gt;0,"Visité",IF(D224&lt;TODAY(),"Non fait","À venir")),IF(B224="","",IF(COUNTIFS(VC_cle,J224,VC_type,"Visite sur place",VC_date,"&gt;="&amp;M224,VC_date,"&lt;"&amp;DATE(YEAR(M224),MONTH(M224)+1,1))&gt;0,"Visité","À visiter"))))</f>
        <v/>
      </c>
    </row>
    <row r="225" ht="18" customHeight="1">
      <c r="A225" s="39" t="n">
        <v>220</v>
      </c>
      <c r="B225" s="49" t="n"/>
      <c r="C225" s="43" t="n"/>
      <c r="D225" s="32" t="n"/>
      <c r="E225" s="36" t="n"/>
      <c r="F225" s="36" t="n"/>
      <c r="G225" s="36" t="n"/>
      <c r="H225" s="33">
        <f>IF(E225="","",Commercial_Id)</f>
        <v/>
      </c>
      <c r="I225" s="39">
        <f>IF(E225="","",IFERROR(VALUE(MID(E225,LEN(E225)-3,3)),""))</f>
        <v/>
      </c>
      <c r="J225" s="33">
        <f>IF(I225="","",H225&amp;"|"&amp;I225)</f>
        <v/>
      </c>
      <c r="K225" s="33">
        <f>IF(I225="","",IF(H225="À RENSEIGNER","GIC",H225)&amp;"-"&amp;TEXT(I225,"000"))</f>
        <v/>
      </c>
      <c r="L225" s="33">
        <f>IF(J225="","",IFERROR(INDEX(Cl_nom,MATCH(J225,Cl_cle,0)),"(client introuvable)"))</f>
        <v/>
      </c>
      <c r="M225" s="46">
        <f>IF(B225="","",DATE(YEAR(B225),MONTH(B225),1))</f>
        <v/>
      </c>
      <c r="N225" s="33">
        <f>IF(J225="","",IFERROR(INDEX(Cl_quartier,MATCH(J225,Cl_cle,0))&amp;"",""))</f>
        <v/>
      </c>
      <c r="O225" s="33">
        <f>IF(J225="","",IFERROR(INDEX(Cl_tel,MATCH(J225,Cl_cle,0))&amp;"",""))</f>
        <v/>
      </c>
      <c r="P225" s="34">
        <f>IF(J225="","",IFERROR(INDEX(Cl_potentiel,MATCH(J225,Cl_cle,0)),""))</f>
        <v/>
      </c>
      <c r="Q225" s="34">
        <f>IF(J225="","",IF(D225&lt;&gt;"",IF(COUNTIFS(VC_cle,J225,VC_type,"Visite sur place",VC_date,D225)&gt;0,"Visité",IF(D225&lt;TODAY(),"Non fait","À venir")),IF(B225="","",IF(COUNTIFS(VC_cle,J225,VC_type,"Visite sur place",VC_date,"&gt;="&amp;M225,VC_date,"&lt;"&amp;DATE(YEAR(M225),MONTH(M225)+1,1))&gt;0,"Visité","À visiter"))))</f>
        <v/>
      </c>
    </row>
    <row r="226" ht="18" customHeight="1">
      <c r="A226" s="39" t="n">
        <v>221</v>
      </c>
      <c r="B226" s="49" t="n"/>
      <c r="C226" s="43" t="n"/>
      <c r="D226" s="32" t="n"/>
      <c r="E226" s="36" t="n"/>
      <c r="F226" s="36" t="n"/>
      <c r="G226" s="36" t="n"/>
      <c r="H226" s="33">
        <f>IF(E226="","",Commercial_Id)</f>
        <v/>
      </c>
      <c r="I226" s="39">
        <f>IF(E226="","",IFERROR(VALUE(MID(E226,LEN(E226)-3,3)),""))</f>
        <v/>
      </c>
      <c r="J226" s="33">
        <f>IF(I226="","",H226&amp;"|"&amp;I226)</f>
        <v/>
      </c>
      <c r="K226" s="33">
        <f>IF(I226="","",IF(H226="À RENSEIGNER","GIC",H226)&amp;"-"&amp;TEXT(I226,"000"))</f>
        <v/>
      </c>
      <c r="L226" s="33">
        <f>IF(J226="","",IFERROR(INDEX(Cl_nom,MATCH(J226,Cl_cle,0)),"(client introuvable)"))</f>
        <v/>
      </c>
      <c r="M226" s="46">
        <f>IF(B226="","",DATE(YEAR(B226),MONTH(B226),1))</f>
        <v/>
      </c>
      <c r="N226" s="33">
        <f>IF(J226="","",IFERROR(INDEX(Cl_quartier,MATCH(J226,Cl_cle,0))&amp;"",""))</f>
        <v/>
      </c>
      <c r="O226" s="33">
        <f>IF(J226="","",IFERROR(INDEX(Cl_tel,MATCH(J226,Cl_cle,0))&amp;"",""))</f>
        <v/>
      </c>
      <c r="P226" s="34">
        <f>IF(J226="","",IFERROR(INDEX(Cl_potentiel,MATCH(J226,Cl_cle,0)),""))</f>
        <v/>
      </c>
      <c r="Q226" s="34">
        <f>IF(J226="","",IF(D226&lt;&gt;"",IF(COUNTIFS(VC_cle,J226,VC_type,"Visite sur place",VC_date,D226)&gt;0,"Visité",IF(D226&lt;TODAY(),"Non fait","À venir")),IF(B226="","",IF(COUNTIFS(VC_cle,J226,VC_type,"Visite sur place",VC_date,"&gt;="&amp;M226,VC_date,"&lt;"&amp;DATE(YEAR(M226),MONTH(M226)+1,1))&gt;0,"Visité","À visiter"))))</f>
        <v/>
      </c>
    </row>
    <row r="227" ht="18" customHeight="1">
      <c r="A227" s="39" t="n">
        <v>222</v>
      </c>
      <c r="B227" s="49" t="n"/>
      <c r="C227" s="43" t="n"/>
      <c r="D227" s="32" t="n"/>
      <c r="E227" s="36" t="n"/>
      <c r="F227" s="36" t="n"/>
      <c r="G227" s="36" t="n"/>
      <c r="H227" s="33">
        <f>IF(E227="","",Commercial_Id)</f>
        <v/>
      </c>
      <c r="I227" s="39">
        <f>IF(E227="","",IFERROR(VALUE(MID(E227,LEN(E227)-3,3)),""))</f>
        <v/>
      </c>
      <c r="J227" s="33">
        <f>IF(I227="","",H227&amp;"|"&amp;I227)</f>
        <v/>
      </c>
      <c r="K227" s="33">
        <f>IF(I227="","",IF(H227="À RENSEIGNER","GIC",H227)&amp;"-"&amp;TEXT(I227,"000"))</f>
        <v/>
      </c>
      <c r="L227" s="33">
        <f>IF(J227="","",IFERROR(INDEX(Cl_nom,MATCH(J227,Cl_cle,0)),"(client introuvable)"))</f>
        <v/>
      </c>
      <c r="M227" s="46">
        <f>IF(B227="","",DATE(YEAR(B227),MONTH(B227),1))</f>
        <v/>
      </c>
      <c r="N227" s="33">
        <f>IF(J227="","",IFERROR(INDEX(Cl_quartier,MATCH(J227,Cl_cle,0))&amp;"",""))</f>
        <v/>
      </c>
      <c r="O227" s="33">
        <f>IF(J227="","",IFERROR(INDEX(Cl_tel,MATCH(J227,Cl_cle,0))&amp;"",""))</f>
        <v/>
      </c>
      <c r="P227" s="34">
        <f>IF(J227="","",IFERROR(INDEX(Cl_potentiel,MATCH(J227,Cl_cle,0)),""))</f>
        <v/>
      </c>
      <c r="Q227" s="34">
        <f>IF(J227="","",IF(D227&lt;&gt;"",IF(COUNTIFS(VC_cle,J227,VC_type,"Visite sur place",VC_date,D227)&gt;0,"Visité",IF(D227&lt;TODAY(),"Non fait","À venir")),IF(B227="","",IF(COUNTIFS(VC_cle,J227,VC_type,"Visite sur place",VC_date,"&gt;="&amp;M227,VC_date,"&lt;"&amp;DATE(YEAR(M227),MONTH(M227)+1,1))&gt;0,"Visité","À visiter"))))</f>
        <v/>
      </c>
    </row>
    <row r="228" ht="18" customHeight="1">
      <c r="A228" s="39" t="n">
        <v>223</v>
      </c>
      <c r="B228" s="49" t="n"/>
      <c r="C228" s="43" t="n"/>
      <c r="D228" s="32" t="n"/>
      <c r="E228" s="36" t="n"/>
      <c r="F228" s="36" t="n"/>
      <c r="G228" s="36" t="n"/>
      <c r="H228" s="33">
        <f>IF(E228="","",Commercial_Id)</f>
        <v/>
      </c>
      <c r="I228" s="39">
        <f>IF(E228="","",IFERROR(VALUE(MID(E228,LEN(E228)-3,3)),""))</f>
        <v/>
      </c>
      <c r="J228" s="33">
        <f>IF(I228="","",H228&amp;"|"&amp;I228)</f>
        <v/>
      </c>
      <c r="K228" s="33">
        <f>IF(I228="","",IF(H228="À RENSEIGNER","GIC",H228)&amp;"-"&amp;TEXT(I228,"000"))</f>
        <v/>
      </c>
      <c r="L228" s="33">
        <f>IF(J228="","",IFERROR(INDEX(Cl_nom,MATCH(J228,Cl_cle,0)),"(client introuvable)"))</f>
        <v/>
      </c>
      <c r="M228" s="46">
        <f>IF(B228="","",DATE(YEAR(B228),MONTH(B228),1))</f>
        <v/>
      </c>
      <c r="N228" s="33">
        <f>IF(J228="","",IFERROR(INDEX(Cl_quartier,MATCH(J228,Cl_cle,0))&amp;"",""))</f>
        <v/>
      </c>
      <c r="O228" s="33">
        <f>IF(J228="","",IFERROR(INDEX(Cl_tel,MATCH(J228,Cl_cle,0))&amp;"",""))</f>
        <v/>
      </c>
      <c r="P228" s="34">
        <f>IF(J228="","",IFERROR(INDEX(Cl_potentiel,MATCH(J228,Cl_cle,0)),""))</f>
        <v/>
      </c>
      <c r="Q228" s="34">
        <f>IF(J228="","",IF(D228&lt;&gt;"",IF(COUNTIFS(VC_cle,J228,VC_type,"Visite sur place",VC_date,D228)&gt;0,"Visité",IF(D228&lt;TODAY(),"Non fait","À venir")),IF(B228="","",IF(COUNTIFS(VC_cle,J228,VC_type,"Visite sur place",VC_date,"&gt;="&amp;M228,VC_date,"&lt;"&amp;DATE(YEAR(M228),MONTH(M228)+1,1))&gt;0,"Visité","À visiter"))))</f>
        <v/>
      </c>
    </row>
    <row r="229" ht="18" customHeight="1">
      <c r="A229" s="39" t="n">
        <v>224</v>
      </c>
      <c r="B229" s="49" t="n"/>
      <c r="C229" s="43" t="n"/>
      <c r="D229" s="32" t="n"/>
      <c r="E229" s="36" t="n"/>
      <c r="F229" s="36" t="n"/>
      <c r="G229" s="36" t="n"/>
      <c r="H229" s="33">
        <f>IF(E229="","",Commercial_Id)</f>
        <v/>
      </c>
      <c r="I229" s="39">
        <f>IF(E229="","",IFERROR(VALUE(MID(E229,LEN(E229)-3,3)),""))</f>
        <v/>
      </c>
      <c r="J229" s="33">
        <f>IF(I229="","",H229&amp;"|"&amp;I229)</f>
        <v/>
      </c>
      <c r="K229" s="33">
        <f>IF(I229="","",IF(H229="À RENSEIGNER","GIC",H229)&amp;"-"&amp;TEXT(I229,"000"))</f>
        <v/>
      </c>
      <c r="L229" s="33">
        <f>IF(J229="","",IFERROR(INDEX(Cl_nom,MATCH(J229,Cl_cle,0)),"(client introuvable)"))</f>
        <v/>
      </c>
      <c r="M229" s="46">
        <f>IF(B229="","",DATE(YEAR(B229),MONTH(B229),1))</f>
        <v/>
      </c>
      <c r="N229" s="33">
        <f>IF(J229="","",IFERROR(INDEX(Cl_quartier,MATCH(J229,Cl_cle,0))&amp;"",""))</f>
        <v/>
      </c>
      <c r="O229" s="33">
        <f>IF(J229="","",IFERROR(INDEX(Cl_tel,MATCH(J229,Cl_cle,0))&amp;"",""))</f>
        <v/>
      </c>
      <c r="P229" s="34">
        <f>IF(J229="","",IFERROR(INDEX(Cl_potentiel,MATCH(J229,Cl_cle,0)),""))</f>
        <v/>
      </c>
      <c r="Q229" s="34">
        <f>IF(J229="","",IF(D229&lt;&gt;"",IF(COUNTIFS(VC_cle,J229,VC_type,"Visite sur place",VC_date,D229)&gt;0,"Visité",IF(D229&lt;TODAY(),"Non fait","À venir")),IF(B229="","",IF(COUNTIFS(VC_cle,J229,VC_type,"Visite sur place",VC_date,"&gt;="&amp;M229,VC_date,"&lt;"&amp;DATE(YEAR(M229),MONTH(M229)+1,1))&gt;0,"Visité","À visiter"))))</f>
        <v/>
      </c>
    </row>
    <row r="230" ht="18" customHeight="1">
      <c r="A230" s="39" t="n">
        <v>225</v>
      </c>
      <c r="B230" s="49" t="n"/>
      <c r="C230" s="43" t="n"/>
      <c r="D230" s="32" t="n"/>
      <c r="E230" s="36" t="n"/>
      <c r="F230" s="36" t="n"/>
      <c r="G230" s="36" t="n"/>
      <c r="H230" s="33">
        <f>IF(E230="","",Commercial_Id)</f>
        <v/>
      </c>
      <c r="I230" s="39">
        <f>IF(E230="","",IFERROR(VALUE(MID(E230,LEN(E230)-3,3)),""))</f>
        <v/>
      </c>
      <c r="J230" s="33">
        <f>IF(I230="","",H230&amp;"|"&amp;I230)</f>
        <v/>
      </c>
      <c r="K230" s="33">
        <f>IF(I230="","",IF(H230="À RENSEIGNER","GIC",H230)&amp;"-"&amp;TEXT(I230,"000"))</f>
        <v/>
      </c>
      <c r="L230" s="33">
        <f>IF(J230="","",IFERROR(INDEX(Cl_nom,MATCH(J230,Cl_cle,0)),"(client introuvable)"))</f>
        <v/>
      </c>
      <c r="M230" s="46">
        <f>IF(B230="","",DATE(YEAR(B230),MONTH(B230),1))</f>
        <v/>
      </c>
      <c r="N230" s="33">
        <f>IF(J230="","",IFERROR(INDEX(Cl_quartier,MATCH(J230,Cl_cle,0))&amp;"",""))</f>
        <v/>
      </c>
      <c r="O230" s="33">
        <f>IF(J230="","",IFERROR(INDEX(Cl_tel,MATCH(J230,Cl_cle,0))&amp;"",""))</f>
        <v/>
      </c>
      <c r="P230" s="34">
        <f>IF(J230="","",IFERROR(INDEX(Cl_potentiel,MATCH(J230,Cl_cle,0)),""))</f>
        <v/>
      </c>
      <c r="Q230" s="34">
        <f>IF(J230="","",IF(D230&lt;&gt;"",IF(COUNTIFS(VC_cle,J230,VC_type,"Visite sur place",VC_date,D230)&gt;0,"Visité",IF(D230&lt;TODAY(),"Non fait","À venir")),IF(B230="","",IF(COUNTIFS(VC_cle,J230,VC_type,"Visite sur place",VC_date,"&gt;="&amp;M230,VC_date,"&lt;"&amp;DATE(YEAR(M230),MONTH(M230)+1,1))&gt;0,"Visité","À visiter"))))</f>
        <v/>
      </c>
    </row>
    <row r="231" ht="18" customHeight="1">
      <c r="A231" s="39" t="n">
        <v>226</v>
      </c>
      <c r="B231" s="49" t="n"/>
      <c r="C231" s="43" t="n"/>
      <c r="D231" s="32" t="n"/>
      <c r="E231" s="36" t="n"/>
      <c r="F231" s="36" t="n"/>
      <c r="G231" s="36" t="n"/>
      <c r="H231" s="33">
        <f>IF(E231="","",Commercial_Id)</f>
        <v/>
      </c>
      <c r="I231" s="39">
        <f>IF(E231="","",IFERROR(VALUE(MID(E231,LEN(E231)-3,3)),""))</f>
        <v/>
      </c>
      <c r="J231" s="33">
        <f>IF(I231="","",H231&amp;"|"&amp;I231)</f>
        <v/>
      </c>
      <c r="K231" s="33">
        <f>IF(I231="","",IF(H231="À RENSEIGNER","GIC",H231)&amp;"-"&amp;TEXT(I231,"000"))</f>
        <v/>
      </c>
      <c r="L231" s="33">
        <f>IF(J231="","",IFERROR(INDEX(Cl_nom,MATCH(J231,Cl_cle,0)),"(client introuvable)"))</f>
        <v/>
      </c>
      <c r="M231" s="46">
        <f>IF(B231="","",DATE(YEAR(B231),MONTH(B231),1))</f>
        <v/>
      </c>
      <c r="N231" s="33">
        <f>IF(J231="","",IFERROR(INDEX(Cl_quartier,MATCH(J231,Cl_cle,0))&amp;"",""))</f>
        <v/>
      </c>
      <c r="O231" s="33">
        <f>IF(J231="","",IFERROR(INDEX(Cl_tel,MATCH(J231,Cl_cle,0))&amp;"",""))</f>
        <v/>
      </c>
      <c r="P231" s="34">
        <f>IF(J231="","",IFERROR(INDEX(Cl_potentiel,MATCH(J231,Cl_cle,0)),""))</f>
        <v/>
      </c>
      <c r="Q231" s="34">
        <f>IF(J231="","",IF(D231&lt;&gt;"",IF(COUNTIFS(VC_cle,J231,VC_type,"Visite sur place",VC_date,D231)&gt;0,"Visité",IF(D231&lt;TODAY(),"Non fait","À venir")),IF(B231="","",IF(COUNTIFS(VC_cle,J231,VC_type,"Visite sur place",VC_date,"&gt;="&amp;M231,VC_date,"&lt;"&amp;DATE(YEAR(M231),MONTH(M231)+1,1))&gt;0,"Visité","À visiter"))))</f>
        <v/>
      </c>
    </row>
    <row r="232" ht="18" customHeight="1">
      <c r="A232" s="39" t="n">
        <v>227</v>
      </c>
      <c r="B232" s="49" t="n"/>
      <c r="C232" s="43" t="n"/>
      <c r="D232" s="32" t="n"/>
      <c r="E232" s="36" t="n"/>
      <c r="F232" s="36" t="n"/>
      <c r="G232" s="36" t="n"/>
      <c r="H232" s="33">
        <f>IF(E232="","",Commercial_Id)</f>
        <v/>
      </c>
      <c r="I232" s="39">
        <f>IF(E232="","",IFERROR(VALUE(MID(E232,LEN(E232)-3,3)),""))</f>
        <v/>
      </c>
      <c r="J232" s="33">
        <f>IF(I232="","",H232&amp;"|"&amp;I232)</f>
        <v/>
      </c>
      <c r="K232" s="33">
        <f>IF(I232="","",IF(H232="À RENSEIGNER","GIC",H232)&amp;"-"&amp;TEXT(I232,"000"))</f>
        <v/>
      </c>
      <c r="L232" s="33">
        <f>IF(J232="","",IFERROR(INDEX(Cl_nom,MATCH(J232,Cl_cle,0)),"(client introuvable)"))</f>
        <v/>
      </c>
      <c r="M232" s="46">
        <f>IF(B232="","",DATE(YEAR(B232),MONTH(B232),1))</f>
        <v/>
      </c>
      <c r="N232" s="33">
        <f>IF(J232="","",IFERROR(INDEX(Cl_quartier,MATCH(J232,Cl_cle,0))&amp;"",""))</f>
        <v/>
      </c>
      <c r="O232" s="33">
        <f>IF(J232="","",IFERROR(INDEX(Cl_tel,MATCH(J232,Cl_cle,0))&amp;"",""))</f>
        <v/>
      </c>
      <c r="P232" s="34">
        <f>IF(J232="","",IFERROR(INDEX(Cl_potentiel,MATCH(J232,Cl_cle,0)),""))</f>
        <v/>
      </c>
      <c r="Q232" s="34">
        <f>IF(J232="","",IF(D232&lt;&gt;"",IF(COUNTIFS(VC_cle,J232,VC_type,"Visite sur place",VC_date,D232)&gt;0,"Visité",IF(D232&lt;TODAY(),"Non fait","À venir")),IF(B232="","",IF(COUNTIFS(VC_cle,J232,VC_type,"Visite sur place",VC_date,"&gt;="&amp;M232,VC_date,"&lt;"&amp;DATE(YEAR(M232),MONTH(M232)+1,1))&gt;0,"Visité","À visiter"))))</f>
        <v/>
      </c>
    </row>
    <row r="233" ht="18" customHeight="1">
      <c r="A233" s="39" t="n">
        <v>228</v>
      </c>
      <c r="B233" s="49" t="n"/>
      <c r="C233" s="43" t="n"/>
      <c r="D233" s="32" t="n"/>
      <c r="E233" s="36" t="n"/>
      <c r="F233" s="36" t="n"/>
      <c r="G233" s="36" t="n"/>
      <c r="H233" s="33">
        <f>IF(E233="","",Commercial_Id)</f>
        <v/>
      </c>
      <c r="I233" s="39">
        <f>IF(E233="","",IFERROR(VALUE(MID(E233,LEN(E233)-3,3)),""))</f>
        <v/>
      </c>
      <c r="J233" s="33">
        <f>IF(I233="","",H233&amp;"|"&amp;I233)</f>
        <v/>
      </c>
      <c r="K233" s="33">
        <f>IF(I233="","",IF(H233="À RENSEIGNER","GIC",H233)&amp;"-"&amp;TEXT(I233,"000"))</f>
        <v/>
      </c>
      <c r="L233" s="33">
        <f>IF(J233="","",IFERROR(INDEX(Cl_nom,MATCH(J233,Cl_cle,0)),"(client introuvable)"))</f>
        <v/>
      </c>
      <c r="M233" s="46">
        <f>IF(B233="","",DATE(YEAR(B233),MONTH(B233),1))</f>
        <v/>
      </c>
      <c r="N233" s="33">
        <f>IF(J233="","",IFERROR(INDEX(Cl_quartier,MATCH(J233,Cl_cle,0))&amp;"",""))</f>
        <v/>
      </c>
      <c r="O233" s="33">
        <f>IF(J233="","",IFERROR(INDEX(Cl_tel,MATCH(J233,Cl_cle,0))&amp;"",""))</f>
        <v/>
      </c>
      <c r="P233" s="34">
        <f>IF(J233="","",IFERROR(INDEX(Cl_potentiel,MATCH(J233,Cl_cle,0)),""))</f>
        <v/>
      </c>
      <c r="Q233" s="34">
        <f>IF(J233="","",IF(D233&lt;&gt;"",IF(COUNTIFS(VC_cle,J233,VC_type,"Visite sur place",VC_date,D233)&gt;0,"Visité",IF(D233&lt;TODAY(),"Non fait","À venir")),IF(B233="","",IF(COUNTIFS(VC_cle,J233,VC_type,"Visite sur place",VC_date,"&gt;="&amp;M233,VC_date,"&lt;"&amp;DATE(YEAR(M233),MONTH(M233)+1,1))&gt;0,"Visité","À visiter"))))</f>
        <v/>
      </c>
    </row>
    <row r="234" ht="18" customHeight="1">
      <c r="A234" s="39" t="n">
        <v>229</v>
      </c>
      <c r="B234" s="49" t="n"/>
      <c r="C234" s="43" t="n"/>
      <c r="D234" s="32" t="n"/>
      <c r="E234" s="36" t="n"/>
      <c r="F234" s="36" t="n"/>
      <c r="G234" s="36" t="n"/>
      <c r="H234" s="33">
        <f>IF(E234="","",Commercial_Id)</f>
        <v/>
      </c>
      <c r="I234" s="39">
        <f>IF(E234="","",IFERROR(VALUE(MID(E234,LEN(E234)-3,3)),""))</f>
        <v/>
      </c>
      <c r="J234" s="33">
        <f>IF(I234="","",H234&amp;"|"&amp;I234)</f>
        <v/>
      </c>
      <c r="K234" s="33">
        <f>IF(I234="","",IF(H234="À RENSEIGNER","GIC",H234)&amp;"-"&amp;TEXT(I234,"000"))</f>
        <v/>
      </c>
      <c r="L234" s="33">
        <f>IF(J234="","",IFERROR(INDEX(Cl_nom,MATCH(J234,Cl_cle,0)),"(client introuvable)"))</f>
        <v/>
      </c>
      <c r="M234" s="46">
        <f>IF(B234="","",DATE(YEAR(B234),MONTH(B234),1))</f>
        <v/>
      </c>
      <c r="N234" s="33">
        <f>IF(J234="","",IFERROR(INDEX(Cl_quartier,MATCH(J234,Cl_cle,0))&amp;"",""))</f>
        <v/>
      </c>
      <c r="O234" s="33">
        <f>IF(J234="","",IFERROR(INDEX(Cl_tel,MATCH(J234,Cl_cle,0))&amp;"",""))</f>
        <v/>
      </c>
      <c r="P234" s="34">
        <f>IF(J234="","",IFERROR(INDEX(Cl_potentiel,MATCH(J234,Cl_cle,0)),""))</f>
        <v/>
      </c>
      <c r="Q234" s="34">
        <f>IF(J234="","",IF(D234&lt;&gt;"",IF(COUNTIFS(VC_cle,J234,VC_type,"Visite sur place",VC_date,D234)&gt;0,"Visité",IF(D234&lt;TODAY(),"Non fait","À venir")),IF(B234="","",IF(COUNTIFS(VC_cle,J234,VC_type,"Visite sur place",VC_date,"&gt;="&amp;M234,VC_date,"&lt;"&amp;DATE(YEAR(M234),MONTH(M234)+1,1))&gt;0,"Visité","À visiter"))))</f>
        <v/>
      </c>
    </row>
    <row r="235" ht="18" customHeight="1">
      <c r="A235" s="39" t="n">
        <v>230</v>
      </c>
      <c r="B235" s="49" t="n"/>
      <c r="C235" s="43" t="n"/>
      <c r="D235" s="32" t="n"/>
      <c r="E235" s="36" t="n"/>
      <c r="F235" s="36" t="n"/>
      <c r="G235" s="36" t="n"/>
      <c r="H235" s="33">
        <f>IF(E235="","",Commercial_Id)</f>
        <v/>
      </c>
      <c r="I235" s="39">
        <f>IF(E235="","",IFERROR(VALUE(MID(E235,LEN(E235)-3,3)),""))</f>
        <v/>
      </c>
      <c r="J235" s="33">
        <f>IF(I235="","",H235&amp;"|"&amp;I235)</f>
        <v/>
      </c>
      <c r="K235" s="33">
        <f>IF(I235="","",IF(H235="À RENSEIGNER","GIC",H235)&amp;"-"&amp;TEXT(I235,"000"))</f>
        <v/>
      </c>
      <c r="L235" s="33">
        <f>IF(J235="","",IFERROR(INDEX(Cl_nom,MATCH(J235,Cl_cle,0)),"(client introuvable)"))</f>
        <v/>
      </c>
      <c r="M235" s="46">
        <f>IF(B235="","",DATE(YEAR(B235),MONTH(B235),1))</f>
        <v/>
      </c>
      <c r="N235" s="33">
        <f>IF(J235="","",IFERROR(INDEX(Cl_quartier,MATCH(J235,Cl_cle,0))&amp;"",""))</f>
        <v/>
      </c>
      <c r="O235" s="33">
        <f>IF(J235="","",IFERROR(INDEX(Cl_tel,MATCH(J235,Cl_cle,0))&amp;"",""))</f>
        <v/>
      </c>
      <c r="P235" s="34">
        <f>IF(J235="","",IFERROR(INDEX(Cl_potentiel,MATCH(J235,Cl_cle,0)),""))</f>
        <v/>
      </c>
      <c r="Q235" s="34">
        <f>IF(J235="","",IF(D235&lt;&gt;"",IF(COUNTIFS(VC_cle,J235,VC_type,"Visite sur place",VC_date,D235)&gt;0,"Visité",IF(D235&lt;TODAY(),"Non fait","À venir")),IF(B235="","",IF(COUNTIFS(VC_cle,J235,VC_type,"Visite sur place",VC_date,"&gt;="&amp;M235,VC_date,"&lt;"&amp;DATE(YEAR(M235),MONTH(M235)+1,1))&gt;0,"Visité","À visiter"))))</f>
        <v/>
      </c>
    </row>
    <row r="236" ht="18" customHeight="1">
      <c r="A236" s="39" t="n">
        <v>231</v>
      </c>
      <c r="B236" s="49" t="n"/>
      <c r="C236" s="43" t="n"/>
      <c r="D236" s="32" t="n"/>
      <c r="E236" s="36" t="n"/>
      <c r="F236" s="36" t="n"/>
      <c r="G236" s="36" t="n"/>
      <c r="H236" s="33">
        <f>IF(E236="","",Commercial_Id)</f>
        <v/>
      </c>
      <c r="I236" s="39">
        <f>IF(E236="","",IFERROR(VALUE(MID(E236,LEN(E236)-3,3)),""))</f>
        <v/>
      </c>
      <c r="J236" s="33">
        <f>IF(I236="","",H236&amp;"|"&amp;I236)</f>
        <v/>
      </c>
      <c r="K236" s="33">
        <f>IF(I236="","",IF(H236="À RENSEIGNER","GIC",H236)&amp;"-"&amp;TEXT(I236,"000"))</f>
        <v/>
      </c>
      <c r="L236" s="33">
        <f>IF(J236="","",IFERROR(INDEX(Cl_nom,MATCH(J236,Cl_cle,0)),"(client introuvable)"))</f>
        <v/>
      </c>
      <c r="M236" s="46">
        <f>IF(B236="","",DATE(YEAR(B236),MONTH(B236),1))</f>
        <v/>
      </c>
      <c r="N236" s="33">
        <f>IF(J236="","",IFERROR(INDEX(Cl_quartier,MATCH(J236,Cl_cle,0))&amp;"",""))</f>
        <v/>
      </c>
      <c r="O236" s="33">
        <f>IF(J236="","",IFERROR(INDEX(Cl_tel,MATCH(J236,Cl_cle,0))&amp;"",""))</f>
        <v/>
      </c>
      <c r="P236" s="34">
        <f>IF(J236="","",IFERROR(INDEX(Cl_potentiel,MATCH(J236,Cl_cle,0)),""))</f>
        <v/>
      </c>
      <c r="Q236" s="34">
        <f>IF(J236="","",IF(D236&lt;&gt;"",IF(COUNTIFS(VC_cle,J236,VC_type,"Visite sur place",VC_date,D236)&gt;0,"Visité",IF(D236&lt;TODAY(),"Non fait","À venir")),IF(B236="","",IF(COUNTIFS(VC_cle,J236,VC_type,"Visite sur place",VC_date,"&gt;="&amp;M236,VC_date,"&lt;"&amp;DATE(YEAR(M236),MONTH(M236)+1,1))&gt;0,"Visité","À visiter"))))</f>
        <v/>
      </c>
    </row>
    <row r="237" ht="18" customHeight="1">
      <c r="A237" s="39" t="n">
        <v>232</v>
      </c>
      <c r="B237" s="49" t="n"/>
      <c r="C237" s="43" t="n"/>
      <c r="D237" s="32" t="n"/>
      <c r="E237" s="36" t="n"/>
      <c r="F237" s="36" t="n"/>
      <c r="G237" s="36" t="n"/>
      <c r="H237" s="33">
        <f>IF(E237="","",Commercial_Id)</f>
        <v/>
      </c>
      <c r="I237" s="39">
        <f>IF(E237="","",IFERROR(VALUE(MID(E237,LEN(E237)-3,3)),""))</f>
        <v/>
      </c>
      <c r="J237" s="33">
        <f>IF(I237="","",H237&amp;"|"&amp;I237)</f>
        <v/>
      </c>
      <c r="K237" s="33">
        <f>IF(I237="","",IF(H237="À RENSEIGNER","GIC",H237)&amp;"-"&amp;TEXT(I237,"000"))</f>
        <v/>
      </c>
      <c r="L237" s="33">
        <f>IF(J237="","",IFERROR(INDEX(Cl_nom,MATCH(J237,Cl_cle,0)),"(client introuvable)"))</f>
        <v/>
      </c>
      <c r="M237" s="46">
        <f>IF(B237="","",DATE(YEAR(B237),MONTH(B237),1))</f>
        <v/>
      </c>
      <c r="N237" s="33">
        <f>IF(J237="","",IFERROR(INDEX(Cl_quartier,MATCH(J237,Cl_cle,0))&amp;"",""))</f>
        <v/>
      </c>
      <c r="O237" s="33">
        <f>IF(J237="","",IFERROR(INDEX(Cl_tel,MATCH(J237,Cl_cle,0))&amp;"",""))</f>
        <v/>
      </c>
      <c r="P237" s="34">
        <f>IF(J237="","",IFERROR(INDEX(Cl_potentiel,MATCH(J237,Cl_cle,0)),""))</f>
        <v/>
      </c>
      <c r="Q237" s="34">
        <f>IF(J237="","",IF(D237&lt;&gt;"",IF(COUNTIFS(VC_cle,J237,VC_type,"Visite sur place",VC_date,D237)&gt;0,"Visité",IF(D237&lt;TODAY(),"Non fait","À venir")),IF(B237="","",IF(COUNTIFS(VC_cle,J237,VC_type,"Visite sur place",VC_date,"&gt;="&amp;M237,VC_date,"&lt;"&amp;DATE(YEAR(M237),MONTH(M237)+1,1))&gt;0,"Visité","À visiter"))))</f>
        <v/>
      </c>
    </row>
    <row r="238" ht="18" customHeight="1">
      <c r="A238" s="39" t="n">
        <v>233</v>
      </c>
      <c r="B238" s="49" t="n"/>
      <c r="C238" s="43" t="n"/>
      <c r="D238" s="32" t="n"/>
      <c r="E238" s="36" t="n"/>
      <c r="F238" s="36" t="n"/>
      <c r="G238" s="36" t="n"/>
      <c r="H238" s="33">
        <f>IF(E238="","",Commercial_Id)</f>
        <v/>
      </c>
      <c r="I238" s="39">
        <f>IF(E238="","",IFERROR(VALUE(MID(E238,LEN(E238)-3,3)),""))</f>
        <v/>
      </c>
      <c r="J238" s="33">
        <f>IF(I238="","",H238&amp;"|"&amp;I238)</f>
        <v/>
      </c>
      <c r="K238" s="33">
        <f>IF(I238="","",IF(H238="À RENSEIGNER","GIC",H238)&amp;"-"&amp;TEXT(I238,"000"))</f>
        <v/>
      </c>
      <c r="L238" s="33">
        <f>IF(J238="","",IFERROR(INDEX(Cl_nom,MATCH(J238,Cl_cle,0)),"(client introuvable)"))</f>
        <v/>
      </c>
      <c r="M238" s="46">
        <f>IF(B238="","",DATE(YEAR(B238),MONTH(B238),1))</f>
        <v/>
      </c>
      <c r="N238" s="33">
        <f>IF(J238="","",IFERROR(INDEX(Cl_quartier,MATCH(J238,Cl_cle,0))&amp;"",""))</f>
        <v/>
      </c>
      <c r="O238" s="33">
        <f>IF(J238="","",IFERROR(INDEX(Cl_tel,MATCH(J238,Cl_cle,0))&amp;"",""))</f>
        <v/>
      </c>
      <c r="P238" s="34">
        <f>IF(J238="","",IFERROR(INDEX(Cl_potentiel,MATCH(J238,Cl_cle,0)),""))</f>
        <v/>
      </c>
      <c r="Q238" s="34">
        <f>IF(J238="","",IF(D238&lt;&gt;"",IF(COUNTIFS(VC_cle,J238,VC_type,"Visite sur place",VC_date,D238)&gt;0,"Visité",IF(D238&lt;TODAY(),"Non fait","À venir")),IF(B238="","",IF(COUNTIFS(VC_cle,J238,VC_type,"Visite sur place",VC_date,"&gt;="&amp;M238,VC_date,"&lt;"&amp;DATE(YEAR(M238),MONTH(M238)+1,1))&gt;0,"Visité","À visiter"))))</f>
        <v/>
      </c>
    </row>
    <row r="239" ht="18" customHeight="1">
      <c r="A239" s="39" t="n">
        <v>234</v>
      </c>
      <c r="B239" s="49" t="n"/>
      <c r="C239" s="43" t="n"/>
      <c r="D239" s="32" t="n"/>
      <c r="E239" s="36" t="n"/>
      <c r="F239" s="36" t="n"/>
      <c r="G239" s="36" t="n"/>
      <c r="H239" s="33">
        <f>IF(E239="","",Commercial_Id)</f>
        <v/>
      </c>
      <c r="I239" s="39">
        <f>IF(E239="","",IFERROR(VALUE(MID(E239,LEN(E239)-3,3)),""))</f>
        <v/>
      </c>
      <c r="J239" s="33">
        <f>IF(I239="","",H239&amp;"|"&amp;I239)</f>
        <v/>
      </c>
      <c r="K239" s="33">
        <f>IF(I239="","",IF(H239="À RENSEIGNER","GIC",H239)&amp;"-"&amp;TEXT(I239,"000"))</f>
        <v/>
      </c>
      <c r="L239" s="33">
        <f>IF(J239="","",IFERROR(INDEX(Cl_nom,MATCH(J239,Cl_cle,0)),"(client introuvable)"))</f>
        <v/>
      </c>
      <c r="M239" s="46">
        <f>IF(B239="","",DATE(YEAR(B239),MONTH(B239),1))</f>
        <v/>
      </c>
      <c r="N239" s="33">
        <f>IF(J239="","",IFERROR(INDEX(Cl_quartier,MATCH(J239,Cl_cle,0))&amp;"",""))</f>
        <v/>
      </c>
      <c r="O239" s="33">
        <f>IF(J239="","",IFERROR(INDEX(Cl_tel,MATCH(J239,Cl_cle,0))&amp;"",""))</f>
        <v/>
      </c>
      <c r="P239" s="34">
        <f>IF(J239="","",IFERROR(INDEX(Cl_potentiel,MATCH(J239,Cl_cle,0)),""))</f>
        <v/>
      </c>
      <c r="Q239" s="34">
        <f>IF(J239="","",IF(D239&lt;&gt;"",IF(COUNTIFS(VC_cle,J239,VC_type,"Visite sur place",VC_date,D239)&gt;0,"Visité",IF(D239&lt;TODAY(),"Non fait","À venir")),IF(B239="","",IF(COUNTIFS(VC_cle,J239,VC_type,"Visite sur place",VC_date,"&gt;="&amp;M239,VC_date,"&lt;"&amp;DATE(YEAR(M239),MONTH(M239)+1,1))&gt;0,"Visité","À visiter"))))</f>
        <v/>
      </c>
    </row>
    <row r="240" ht="18" customHeight="1">
      <c r="A240" s="39" t="n">
        <v>235</v>
      </c>
      <c r="B240" s="49" t="n"/>
      <c r="C240" s="43" t="n"/>
      <c r="D240" s="32" t="n"/>
      <c r="E240" s="36" t="n"/>
      <c r="F240" s="36" t="n"/>
      <c r="G240" s="36" t="n"/>
      <c r="H240" s="33">
        <f>IF(E240="","",Commercial_Id)</f>
        <v/>
      </c>
      <c r="I240" s="39">
        <f>IF(E240="","",IFERROR(VALUE(MID(E240,LEN(E240)-3,3)),""))</f>
        <v/>
      </c>
      <c r="J240" s="33">
        <f>IF(I240="","",H240&amp;"|"&amp;I240)</f>
        <v/>
      </c>
      <c r="K240" s="33">
        <f>IF(I240="","",IF(H240="À RENSEIGNER","GIC",H240)&amp;"-"&amp;TEXT(I240,"000"))</f>
        <v/>
      </c>
      <c r="L240" s="33">
        <f>IF(J240="","",IFERROR(INDEX(Cl_nom,MATCH(J240,Cl_cle,0)),"(client introuvable)"))</f>
        <v/>
      </c>
      <c r="M240" s="46">
        <f>IF(B240="","",DATE(YEAR(B240),MONTH(B240),1))</f>
        <v/>
      </c>
      <c r="N240" s="33">
        <f>IF(J240="","",IFERROR(INDEX(Cl_quartier,MATCH(J240,Cl_cle,0))&amp;"",""))</f>
        <v/>
      </c>
      <c r="O240" s="33">
        <f>IF(J240="","",IFERROR(INDEX(Cl_tel,MATCH(J240,Cl_cle,0))&amp;"",""))</f>
        <v/>
      </c>
      <c r="P240" s="34">
        <f>IF(J240="","",IFERROR(INDEX(Cl_potentiel,MATCH(J240,Cl_cle,0)),""))</f>
        <v/>
      </c>
      <c r="Q240" s="34">
        <f>IF(J240="","",IF(D240&lt;&gt;"",IF(COUNTIFS(VC_cle,J240,VC_type,"Visite sur place",VC_date,D240)&gt;0,"Visité",IF(D240&lt;TODAY(),"Non fait","À venir")),IF(B240="","",IF(COUNTIFS(VC_cle,J240,VC_type,"Visite sur place",VC_date,"&gt;="&amp;M240,VC_date,"&lt;"&amp;DATE(YEAR(M240),MONTH(M240)+1,1))&gt;0,"Visité","À visiter"))))</f>
        <v/>
      </c>
    </row>
    <row r="241" ht="18" customHeight="1">
      <c r="A241" s="39" t="n">
        <v>236</v>
      </c>
      <c r="B241" s="49" t="n"/>
      <c r="C241" s="43" t="n"/>
      <c r="D241" s="32" t="n"/>
      <c r="E241" s="36" t="n"/>
      <c r="F241" s="36" t="n"/>
      <c r="G241" s="36" t="n"/>
      <c r="H241" s="33">
        <f>IF(E241="","",Commercial_Id)</f>
        <v/>
      </c>
      <c r="I241" s="39">
        <f>IF(E241="","",IFERROR(VALUE(MID(E241,LEN(E241)-3,3)),""))</f>
        <v/>
      </c>
      <c r="J241" s="33">
        <f>IF(I241="","",H241&amp;"|"&amp;I241)</f>
        <v/>
      </c>
      <c r="K241" s="33">
        <f>IF(I241="","",IF(H241="À RENSEIGNER","GIC",H241)&amp;"-"&amp;TEXT(I241,"000"))</f>
        <v/>
      </c>
      <c r="L241" s="33">
        <f>IF(J241="","",IFERROR(INDEX(Cl_nom,MATCH(J241,Cl_cle,0)),"(client introuvable)"))</f>
        <v/>
      </c>
      <c r="M241" s="46">
        <f>IF(B241="","",DATE(YEAR(B241),MONTH(B241),1))</f>
        <v/>
      </c>
      <c r="N241" s="33">
        <f>IF(J241="","",IFERROR(INDEX(Cl_quartier,MATCH(J241,Cl_cle,0))&amp;"",""))</f>
        <v/>
      </c>
      <c r="O241" s="33">
        <f>IF(J241="","",IFERROR(INDEX(Cl_tel,MATCH(J241,Cl_cle,0))&amp;"",""))</f>
        <v/>
      </c>
      <c r="P241" s="34">
        <f>IF(J241="","",IFERROR(INDEX(Cl_potentiel,MATCH(J241,Cl_cle,0)),""))</f>
        <v/>
      </c>
      <c r="Q241" s="34">
        <f>IF(J241="","",IF(D241&lt;&gt;"",IF(COUNTIFS(VC_cle,J241,VC_type,"Visite sur place",VC_date,D241)&gt;0,"Visité",IF(D241&lt;TODAY(),"Non fait","À venir")),IF(B241="","",IF(COUNTIFS(VC_cle,J241,VC_type,"Visite sur place",VC_date,"&gt;="&amp;M241,VC_date,"&lt;"&amp;DATE(YEAR(M241),MONTH(M241)+1,1))&gt;0,"Visité","À visiter"))))</f>
        <v/>
      </c>
    </row>
    <row r="242" ht="18" customHeight="1">
      <c r="A242" s="39" t="n">
        <v>237</v>
      </c>
      <c r="B242" s="49" t="n"/>
      <c r="C242" s="43" t="n"/>
      <c r="D242" s="32" t="n"/>
      <c r="E242" s="36" t="n"/>
      <c r="F242" s="36" t="n"/>
      <c r="G242" s="36" t="n"/>
      <c r="H242" s="33">
        <f>IF(E242="","",Commercial_Id)</f>
        <v/>
      </c>
      <c r="I242" s="39">
        <f>IF(E242="","",IFERROR(VALUE(MID(E242,LEN(E242)-3,3)),""))</f>
        <v/>
      </c>
      <c r="J242" s="33">
        <f>IF(I242="","",H242&amp;"|"&amp;I242)</f>
        <v/>
      </c>
      <c r="K242" s="33">
        <f>IF(I242="","",IF(H242="À RENSEIGNER","GIC",H242)&amp;"-"&amp;TEXT(I242,"000"))</f>
        <v/>
      </c>
      <c r="L242" s="33">
        <f>IF(J242="","",IFERROR(INDEX(Cl_nom,MATCH(J242,Cl_cle,0)),"(client introuvable)"))</f>
        <v/>
      </c>
      <c r="M242" s="46">
        <f>IF(B242="","",DATE(YEAR(B242),MONTH(B242),1))</f>
        <v/>
      </c>
      <c r="N242" s="33">
        <f>IF(J242="","",IFERROR(INDEX(Cl_quartier,MATCH(J242,Cl_cle,0))&amp;"",""))</f>
        <v/>
      </c>
      <c r="O242" s="33">
        <f>IF(J242="","",IFERROR(INDEX(Cl_tel,MATCH(J242,Cl_cle,0))&amp;"",""))</f>
        <v/>
      </c>
      <c r="P242" s="34">
        <f>IF(J242="","",IFERROR(INDEX(Cl_potentiel,MATCH(J242,Cl_cle,0)),""))</f>
        <v/>
      </c>
      <c r="Q242" s="34">
        <f>IF(J242="","",IF(D242&lt;&gt;"",IF(COUNTIFS(VC_cle,J242,VC_type,"Visite sur place",VC_date,D242)&gt;0,"Visité",IF(D242&lt;TODAY(),"Non fait","À venir")),IF(B242="","",IF(COUNTIFS(VC_cle,J242,VC_type,"Visite sur place",VC_date,"&gt;="&amp;M242,VC_date,"&lt;"&amp;DATE(YEAR(M242),MONTH(M242)+1,1))&gt;0,"Visité","À visiter"))))</f>
        <v/>
      </c>
    </row>
    <row r="243" ht="18" customHeight="1">
      <c r="A243" s="39" t="n">
        <v>238</v>
      </c>
      <c r="B243" s="49" t="n"/>
      <c r="C243" s="43" t="n"/>
      <c r="D243" s="32" t="n"/>
      <c r="E243" s="36" t="n"/>
      <c r="F243" s="36" t="n"/>
      <c r="G243" s="36" t="n"/>
      <c r="H243" s="33">
        <f>IF(E243="","",Commercial_Id)</f>
        <v/>
      </c>
      <c r="I243" s="39">
        <f>IF(E243="","",IFERROR(VALUE(MID(E243,LEN(E243)-3,3)),""))</f>
        <v/>
      </c>
      <c r="J243" s="33">
        <f>IF(I243="","",H243&amp;"|"&amp;I243)</f>
        <v/>
      </c>
      <c r="K243" s="33">
        <f>IF(I243="","",IF(H243="À RENSEIGNER","GIC",H243)&amp;"-"&amp;TEXT(I243,"000"))</f>
        <v/>
      </c>
      <c r="L243" s="33">
        <f>IF(J243="","",IFERROR(INDEX(Cl_nom,MATCH(J243,Cl_cle,0)),"(client introuvable)"))</f>
        <v/>
      </c>
      <c r="M243" s="46">
        <f>IF(B243="","",DATE(YEAR(B243),MONTH(B243),1))</f>
        <v/>
      </c>
      <c r="N243" s="33">
        <f>IF(J243="","",IFERROR(INDEX(Cl_quartier,MATCH(J243,Cl_cle,0))&amp;"",""))</f>
        <v/>
      </c>
      <c r="O243" s="33">
        <f>IF(J243="","",IFERROR(INDEX(Cl_tel,MATCH(J243,Cl_cle,0))&amp;"",""))</f>
        <v/>
      </c>
      <c r="P243" s="34">
        <f>IF(J243="","",IFERROR(INDEX(Cl_potentiel,MATCH(J243,Cl_cle,0)),""))</f>
        <v/>
      </c>
      <c r="Q243" s="34">
        <f>IF(J243="","",IF(D243&lt;&gt;"",IF(COUNTIFS(VC_cle,J243,VC_type,"Visite sur place",VC_date,D243)&gt;0,"Visité",IF(D243&lt;TODAY(),"Non fait","À venir")),IF(B243="","",IF(COUNTIFS(VC_cle,J243,VC_type,"Visite sur place",VC_date,"&gt;="&amp;M243,VC_date,"&lt;"&amp;DATE(YEAR(M243),MONTH(M243)+1,1))&gt;0,"Visité","À visiter"))))</f>
        <v/>
      </c>
    </row>
    <row r="244" ht="18" customHeight="1">
      <c r="A244" s="39" t="n">
        <v>239</v>
      </c>
      <c r="B244" s="49" t="n"/>
      <c r="C244" s="43" t="n"/>
      <c r="D244" s="32" t="n"/>
      <c r="E244" s="36" t="n"/>
      <c r="F244" s="36" t="n"/>
      <c r="G244" s="36" t="n"/>
      <c r="H244" s="33">
        <f>IF(E244="","",Commercial_Id)</f>
        <v/>
      </c>
      <c r="I244" s="39">
        <f>IF(E244="","",IFERROR(VALUE(MID(E244,LEN(E244)-3,3)),""))</f>
        <v/>
      </c>
      <c r="J244" s="33">
        <f>IF(I244="","",H244&amp;"|"&amp;I244)</f>
        <v/>
      </c>
      <c r="K244" s="33">
        <f>IF(I244="","",IF(H244="À RENSEIGNER","GIC",H244)&amp;"-"&amp;TEXT(I244,"000"))</f>
        <v/>
      </c>
      <c r="L244" s="33">
        <f>IF(J244="","",IFERROR(INDEX(Cl_nom,MATCH(J244,Cl_cle,0)),"(client introuvable)"))</f>
        <v/>
      </c>
      <c r="M244" s="46">
        <f>IF(B244="","",DATE(YEAR(B244),MONTH(B244),1))</f>
        <v/>
      </c>
      <c r="N244" s="33">
        <f>IF(J244="","",IFERROR(INDEX(Cl_quartier,MATCH(J244,Cl_cle,0))&amp;"",""))</f>
        <v/>
      </c>
      <c r="O244" s="33">
        <f>IF(J244="","",IFERROR(INDEX(Cl_tel,MATCH(J244,Cl_cle,0))&amp;"",""))</f>
        <v/>
      </c>
      <c r="P244" s="34">
        <f>IF(J244="","",IFERROR(INDEX(Cl_potentiel,MATCH(J244,Cl_cle,0)),""))</f>
        <v/>
      </c>
      <c r="Q244" s="34">
        <f>IF(J244="","",IF(D244&lt;&gt;"",IF(COUNTIFS(VC_cle,J244,VC_type,"Visite sur place",VC_date,D244)&gt;0,"Visité",IF(D244&lt;TODAY(),"Non fait","À venir")),IF(B244="","",IF(COUNTIFS(VC_cle,J244,VC_type,"Visite sur place",VC_date,"&gt;="&amp;M244,VC_date,"&lt;"&amp;DATE(YEAR(M244),MONTH(M244)+1,1))&gt;0,"Visité","À visiter"))))</f>
        <v/>
      </c>
    </row>
    <row r="245" ht="18" customHeight="1">
      <c r="A245" s="39" t="n">
        <v>240</v>
      </c>
      <c r="B245" s="49" t="n"/>
      <c r="C245" s="43" t="n"/>
      <c r="D245" s="32" t="n"/>
      <c r="E245" s="36" t="n"/>
      <c r="F245" s="36" t="n"/>
      <c r="G245" s="36" t="n"/>
      <c r="H245" s="33">
        <f>IF(E245="","",Commercial_Id)</f>
        <v/>
      </c>
      <c r="I245" s="39">
        <f>IF(E245="","",IFERROR(VALUE(MID(E245,LEN(E245)-3,3)),""))</f>
        <v/>
      </c>
      <c r="J245" s="33">
        <f>IF(I245="","",H245&amp;"|"&amp;I245)</f>
        <v/>
      </c>
      <c r="K245" s="33">
        <f>IF(I245="","",IF(H245="À RENSEIGNER","GIC",H245)&amp;"-"&amp;TEXT(I245,"000"))</f>
        <v/>
      </c>
      <c r="L245" s="33">
        <f>IF(J245="","",IFERROR(INDEX(Cl_nom,MATCH(J245,Cl_cle,0)),"(client introuvable)"))</f>
        <v/>
      </c>
      <c r="M245" s="46">
        <f>IF(B245="","",DATE(YEAR(B245),MONTH(B245),1))</f>
        <v/>
      </c>
      <c r="N245" s="33">
        <f>IF(J245="","",IFERROR(INDEX(Cl_quartier,MATCH(J245,Cl_cle,0))&amp;"",""))</f>
        <v/>
      </c>
      <c r="O245" s="33">
        <f>IF(J245="","",IFERROR(INDEX(Cl_tel,MATCH(J245,Cl_cle,0))&amp;"",""))</f>
        <v/>
      </c>
      <c r="P245" s="34">
        <f>IF(J245="","",IFERROR(INDEX(Cl_potentiel,MATCH(J245,Cl_cle,0)),""))</f>
        <v/>
      </c>
      <c r="Q245" s="34">
        <f>IF(J245="","",IF(D245&lt;&gt;"",IF(COUNTIFS(VC_cle,J245,VC_type,"Visite sur place",VC_date,D245)&gt;0,"Visité",IF(D245&lt;TODAY(),"Non fait","À venir")),IF(B245="","",IF(COUNTIFS(VC_cle,J245,VC_type,"Visite sur place",VC_date,"&gt;="&amp;M245,VC_date,"&lt;"&amp;DATE(YEAR(M245),MONTH(M245)+1,1))&gt;0,"Visité","À visiter"))))</f>
        <v/>
      </c>
    </row>
    <row r="246" ht="18" customHeight="1">
      <c r="A246" s="39" t="n">
        <v>241</v>
      </c>
      <c r="B246" s="49" t="n"/>
      <c r="C246" s="43" t="n"/>
      <c r="D246" s="32" t="n"/>
      <c r="E246" s="36" t="n"/>
      <c r="F246" s="36" t="n"/>
      <c r="G246" s="36" t="n"/>
      <c r="H246" s="33">
        <f>IF(E246="","",Commercial_Id)</f>
        <v/>
      </c>
      <c r="I246" s="39">
        <f>IF(E246="","",IFERROR(VALUE(MID(E246,LEN(E246)-3,3)),""))</f>
        <v/>
      </c>
      <c r="J246" s="33">
        <f>IF(I246="","",H246&amp;"|"&amp;I246)</f>
        <v/>
      </c>
      <c r="K246" s="33">
        <f>IF(I246="","",IF(H246="À RENSEIGNER","GIC",H246)&amp;"-"&amp;TEXT(I246,"000"))</f>
        <v/>
      </c>
      <c r="L246" s="33">
        <f>IF(J246="","",IFERROR(INDEX(Cl_nom,MATCH(J246,Cl_cle,0)),"(client introuvable)"))</f>
        <v/>
      </c>
      <c r="M246" s="46">
        <f>IF(B246="","",DATE(YEAR(B246),MONTH(B246),1))</f>
        <v/>
      </c>
      <c r="N246" s="33">
        <f>IF(J246="","",IFERROR(INDEX(Cl_quartier,MATCH(J246,Cl_cle,0))&amp;"",""))</f>
        <v/>
      </c>
      <c r="O246" s="33">
        <f>IF(J246="","",IFERROR(INDEX(Cl_tel,MATCH(J246,Cl_cle,0))&amp;"",""))</f>
        <v/>
      </c>
      <c r="P246" s="34">
        <f>IF(J246="","",IFERROR(INDEX(Cl_potentiel,MATCH(J246,Cl_cle,0)),""))</f>
        <v/>
      </c>
      <c r="Q246" s="34">
        <f>IF(J246="","",IF(D246&lt;&gt;"",IF(COUNTIFS(VC_cle,J246,VC_type,"Visite sur place",VC_date,D246)&gt;0,"Visité",IF(D246&lt;TODAY(),"Non fait","À venir")),IF(B246="","",IF(COUNTIFS(VC_cle,J246,VC_type,"Visite sur place",VC_date,"&gt;="&amp;M246,VC_date,"&lt;"&amp;DATE(YEAR(M246),MONTH(M246)+1,1))&gt;0,"Visité","À visiter"))))</f>
        <v/>
      </c>
    </row>
    <row r="247" ht="18" customHeight="1">
      <c r="A247" s="39" t="n">
        <v>242</v>
      </c>
      <c r="B247" s="49" t="n"/>
      <c r="C247" s="43" t="n"/>
      <c r="D247" s="32" t="n"/>
      <c r="E247" s="36" t="n"/>
      <c r="F247" s="36" t="n"/>
      <c r="G247" s="36" t="n"/>
      <c r="H247" s="33">
        <f>IF(E247="","",Commercial_Id)</f>
        <v/>
      </c>
      <c r="I247" s="39">
        <f>IF(E247="","",IFERROR(VALUE(MID(E247,LEN(E247)-3,3)),""))</f>
        <v/>
      </c>
      <c r="J247" s="33">
        <f>IF(I247="","",H247&amp;"|"&amp;I247)</f>
        <v/>
      </c>
      <c r="K247" s="33">
        <f>IF(I247="","",IF(H247="À RENSEIGNER","GIC",H247)&amp;"-"&amp;TEXT(I247,"000"))</f>
        <v/>
      </c>
      <c r="L247" s="33">
        <f>IF(J247="","",IFERROR(INDEX(Cl_nom,MATCH(J247,Cl_cle,0)),"(client introuvable)"))</f>
        <v/>
      </c>
      <c r="M247" s="46">
        <f>IF(B247="","",DATE(YEAR(B247),MONTH(B247),1))</f>
        <v/>
      </c>
      <c r="N247" s="33">
        <f>IF(J247="","",IFERROR(INDEX(Cl_quartier,MATCH(J247,Cl_cle,0))&amp;"",""))</f>
        <v/>
      </c>
      <c r="O247" s="33">
        <f>IF(J247="","",IFERROR(INDEX(Cl_tel,MATCH(J247,Cl_cle,0))&amp;"",""))</f>
        <v/>
      </c>
      <c r="P247" s="34">
        <f>IF(J247="","",IFERROR(INDEX(Cl_potentiel,MATCH(J247,Cl_cle,0)),""))</f>
        <v/>
      </c>
      <c r="Q247" s="34">
        <f>IF(J247="","",IF(D247&lt;&gt;"",IF(COUNTIFS(VC_cle,J247,VC_type,"Visite sur place",VC_date,D247)&gt;0,"Visité",IF(D247&lt;TODAY(),"Non fait","À venir")),IF(B247="","",IF(COUNTIFS(VC_cle,J247,VC_type,"Visite sur place",VC_date,"&gt;="&amp;M247,VC_date,"&lt;"&amp;DATE(YEAR(M247),MONTH(M247)+1,1))&gt;0,"Visité","À visiter"))))</f>
        <v/>
      </c>
    </row>
    <row r="248" ht="18" customHeight="1">
      <c r="A248" s="39" t="n">
        <v>243</v>
      </c>
      <c r="B248" s="49" t="n"/>
      <c r="C248" s="43" t="n"/>
      <c r="D248" s="32" t="n"/>
      <c r="E248" s="36" t="n"/>
      <c r="F248" s="36" t="n"/>
      <c r="G248" s="36" t="n"/>
      <c r="H248" s="33">
        <f>IF(E248="","",Commercial_Id)</f>
        <v/>
      </c>
      <c r="I248" s="39">
        <f>IF(E248="","",IFERROR(VALUE(MID(E248,LEN(E248)-3,3)),""))</f>
        <v/>
      </c>
      <c r="J248" s="33">
        <f>IF(I248="","",H248&amp;"|"&amp;I248)</f>
        <v/>
      </c>
      <c r="K248" s="33">
        <f>IF(I248="","",IF(H248="À RENSEIGNER","GIC",H248)&amp;"-"&amp;TEXT(I248,"000"))</f>
        <v/>
      </c>
      <c r="L248" s="33">
        <f>IF(J248="","",IFERROR(INDEX(Cl_nom,MATCH(J248,Cl_cle,0)),"(client introuvable)"))</f>
        <v/>
      </c>
      <c r="M248" s="46">
        <f>IF(B248="","",DATE(YEAR(B248),MONTH(B248),1))</f>
        <v/>
      </c>
      <c r="N248" s="33">
        <f>IF(J248="","",IFERROR(INDEX(Cl_quartier,MATCH(J248,Cl_cle,0))&amp;"",""))</f>
        <v/>
      </c>
      <c r="O248" s="33">
        <f>IF(J248="","",IFERROR(INDEX(Cl_tel,MATCH(J248,Cl_cle,0))&amp;"",""))</f>
        <v/>
      </c>
      <c r="P248" s="34">
        <f>IF(J248="","",IFERROR(INDEX(Cl_potentiel,MATCH(J248,Cl_cle,0)),""))</f>
        <v/>
      </c>
      <c r="Q248" s="34">
        <f>IF(J248="","",IF(D248&lt;&gt;"",IF(COUNTIFS(VC_cle,J248,VC_type,"Visite sur place",VC_date,D248)&gt;0,"Visité",IF(D248&lt;TODAY(),"Non fait","À venir")),IF(B248="","",IF(COUNTIFS(VC_cle,J248,VC_type,"Visite sur place",VC_date,"&gt;="&amp;M248,VC_date,"&lt;"&amp;DATE(YEAR(M248),MONTH(M248)+1,1))&gt;0,"Visité","À visiter"))))</f>
        <v/>
      </c>
    </row>
    <row r="249" ht="18" customHeight="1">
      <c r="A249" s="39" t="n">
        <v>244</v>
      </c>
      <c r="B249" s="49" t="n"/>
      <c r="C249" s="43" t="n"/>
      <c r="D249" s="32" t="n"/>
      <c r="E249" s="36" t="n"/>
      <c r="F249" s="36" t="n"/>
      <c r="G249" s="36" t="n"/>
      <c r="H249" s="33">
        <f>IF(E249="","",Commercial_Id)</f>
        <v/>
      </c>
      <c r="I249" s="39">
        <f>IF(E249="","",IFERROR(VALUE(MID(E249,LEN(E249)-3,3)),""))</f>
        <v/>
      </c>
      <c r="J249" s="33">
        <f>IF(I249="","",H249&amp;"|"&amp;I249)</f>
        <v/>
      </c>
      <c r="K249" s="33">
        <f>IF(I249="","",IF(H249="À RENSEIGNER","GIC",H249)&amp;"-"&amp;TEXT(I249,"000"))</f>
        <v/>
      </c>
      <c r="L249" s="33">
        <f>IF(J249="","",IFERROR(INDEX(Cl_nom,MATCH(J249,Cl_cle,0)),"(client introuvable)"))</f>
        <v/>
      </c>
      <c r="M249" s="46">
        <f>IF(B249="","",DATE(YEAR(B249),MONTH(B249),1))</f>
        <v/>
      </c>
      <c r="N249" s="33">
        <f>IF(J249="","",IFERROR(INDEX(Cl_quartier,MATCH(J249,Cl_cle,0))&amp;"",""))</f>
        <v/>
      </c>
      <c r="O249" s="33">
        <f>IF(J249="","",IFERROR(INDEX(Cl_tel,MATCH(J249,Cl_cle,0))&amp;"",""))</f>
        <v/>
      </c>
      <c r="P249" s="34">
        <f>IF(J249="","",IFERROR(INDEX(Cl_potentiel,MATCH(J249,Cl_cle,0)),""))</f>
        <v/>
      </c>
      <c r="Q249" s="34">
        <f>IF(J249="","",IF(D249&lt;&gt;"",IF(COUNTIFS(VC_cle,J249,VC_type,"Visite sur place",VC_date,D249)&gt;0,"Visité",IF(D249&lt;TODAY(),"Non fait","À venir")),IF(B249="","",IF(COUNTIFS(VC_cle,J249,VC_type,"Visite sur place",VC_date,"&gt;="&amp;M249,VC_date,"&lt;"&amp;DATE(YEAR(M249),MONTH(M249)+1,1))&gt;0,"Visité","À visiter"))))</f>
        <v/>
      </c>
    </row>
    <row r="250" ht="18" customHeight="1">
      <c r="A250" s="39" t="n">
        <v>245</v>
      </c>
      <c r="B250" s="49" t="n"/>
      <c r="C250" s="43" t="n"/>
      <c r="D250" s="32" t="n"/>
      <c r="E250" s="36" t="n"/>
      <c r="F250" s="36" t="n"/>
      <c r="G250" s="36" t="n"/>
      <c r="H250" s="33">
        <f>IF(E250="","",Commercial_Id)</f>
        <v/>
      </c>
      <c r="I250" s="39">
        <f>IF(E250="","",IFERROR(VALUE(MID(E250,LEN(E250)-3,3)),""))</f>
        <v/>
      </c>
      <c r="J250" s="33">
        <f>IF(I250="","",H250&amp;"|"&amp;I250)</f>
        <v/>
      </c>
      <c r="K250" s="33">
        <f>IF(I250="","",IF(H250="À RENSEIGNER","GIC",H250)&amp;"-"&amp;TEXT(I250,"000"))</f>
        <v/>
      </c>
      <c r="L250" s="33">
        <f>IF(J250="","",IFERROR(INDEX(Cl_nom,MATCH(J250,Cl_cle,0)),"(client introuvable)"))</f>
        <v/>
      </c>
      <c r="M250" s="46">
        <f>IF(B250="","",DATE(YEAR(B250),MONTH(B250),1))</f>
        <v/>
      </c>
      <c r="N250" s="33">
        <f>IF(J250="","",IFERROR(INDEX(Cl_quartier,MATCH(J250,Cl_cle,0))&amp;"",""))</f>
        <v/>
      </c>
      <c r="O250" s="33">
        <f>IF(J250="","",IFERROR(INDEX(Cl_tel,MATCH(J250,Cl_cle,0))&amp;"",""))</f>
        <v/>
      </c>
      <c r="P250" s="34">
        <f>IF(J250="","",IFERROR(INDEX(Cl_potentiel,MATCH(J250,Cl_cle,0)),""))</f>
        <v/>
      </c>
      <c r="Q250" s="34">
        <f>IF(J250="","",IF(D250&lt;&gt;"",IF(COUNTIFS(VC_cle,J250,VC_type,"Visite sur place",VC_date,D250)&gt;0,"Visité",IF(D250&lt;TODAY(),"Non fait","À venir")),IF(B250="","",IF(COUNTIFS(VC_cle,J250,VC_type,"Visite sur place",VC_date,"&gt;="&amp;M250,VC_date,"&lt;"&amp;DATE(YEAR(M250),MONTH(M250)+1,1))&gt;0,"Visité","À visiter"))))</f>
        <v/>
      </c>
    </row>
    <row r="251" ht="18" customHeight="1">
      <c r="A251" s="39" t="n">
        <v>246</v>
      </c>
      <c r="B251" s="49" t="n"/>
      <c r="C251" s="43" t="n"/>
      <c r="D251" s="32" t="n"/>
      <c r="E251" s="36" t="n"/>
      <c r="F251" s="36" t="n"/>
      <c r="G251" s="36" t="n"/>
      <c r="H251" s="33">
        <f>IF(E251="","",Commercial_Id)</f>
        <v/>
      </c>
      <c r="I251" s="39">
        <f>IF(E251="","",IFERROR(VALUE(MID(E251,LEN(E251)-3,3)),""))</f>
        <v/>
      </c>
      <c r="J251" s="33">
        <f>IF(I251="","",H251&amp;"|"&amp;I251)</f>
        <v/>
      </c>
      <c r="K251" s="33">
        <f>IF(I251="","",IF(H251="À RENSEIGNER","GIC",H251)&amp;"-"&amp;TEXT(I251,"000"))</f>
        <v/>
      </c>
      <c r="L251" s="33">
        <f>IF(J251="","",IFERROR(INDEX(Cl_nom,MATCH(J251,Cl_cle,0)),"(client introuvable)"))</f>
        <v/>
      </c>
      <c r="M251" s="46">
        <f>IF(B251="","",DATE(YEAR(B251),MONTH(B251),1))</f>
        <v/>
      </c>
      <c r="N251" s="33">
        <f>IF(J251="","",IFERROR(INDEX(Cl_quartier,MATCH(J251,Cl_cle,0))&amp;"",""))</f>
        <v/>
      </c>
      <c r="O251" s="33">
        <f>IF(J251="","",IFERROR(INDEX(Cl_tel,MATCH(J251,Cl_cle,0))&amp;"",""))</f>
        <v/>
      </c>
      <c r="P251" s="34">
        <f>IF(J251="","",IFERROR(INDEX(Cl_potentiel,MATCH(J251,Cl_cle,0)),""))</f>
        <v/>
      </c>
      <c r="Q251" s="34">
        <f>IF(J251="","",IF(D251&lt;&gt;"",IF(COUNTIFS(VC_cle,J251,VC_type,"Visite sur place",VC_date,D251)&gt;0,"Visité",IF(D251&lt;TODAY(),"Non fait","À venir")),IF(B251="","",IF(COUNTIFS(VC_cle,J251,VC_type,"Visite sur place",VC_date,"&gt;="&amp;M251,VC_date,"&lt;"&amp;DATE(YEAR(M251),MONTH(M251)+1,1))&gt;0,"Visité","À visiter"))))</f>
        <v/>
      </c>
    </row>
    <row r="252" ht="18" customHeight="1">
      <c r="A252" s="39" t="n">
        <v>247</v>
      </c>
      <c r="B252" s="49" t="n"/>
      <c r="C252" s="43" t="n"/>
      <c r="D252" s="32" t="n"/>
      <c r="E252" s="36" t="n"/>
      <c r="F252" s="36" t="n"/>
      <c r="G252" s="36" t="n"/>
      <c r="H252" s="33">
        <f>IF(E252="","",Commercial_Id)</f>
        <v/>
      </c>
      <c r="I252" s="39">
        <f>IF(E252="","",IFERROR(VALUE(MID(E252,LEN(E252)-3,3)),""))</f>
        <v/>
      </c>
      <c r="J252" s="33">
        <f>IF(I252="","",H252&amp;"|"&amp;I252)</f>
        <v/>
      </c>
      <c r="K252" s="33">
        <f>IF(I252="","",IF(H252="À RENSEIGNER","GIC",H252)&amp;"-"&amp;TEXT(I252,"000"))</f>
        <v/>
      </c>
      <c r="L252" s="33">
        <f>IF(J252="","",IFERROR(INDEX(Cl_nom,MATCH(J252,Cl_cle,0)),"(client introuvable)"))</f>
        <v/>
      </c>
      <c r="M252" s="46">
        <f>IF(B252="","",DATE(YEAR(B252),MONTH(B252),1))</f>
        <v/>
      </c>
      <c r="N252" s="33">
        <f>IF(J252="","",IFERROR(INDEX(Cl_quartier,MATCH(J252,Cl_cle,0))&amp;"",""))</f>
        <v/>
      </c>
      <c r="O252" s="33">
        <f>IF(J252="","",IFERROR(INDEX(Cl_tel,MATCH(J252,Cl_cle,0))&amp;"",""))</f>
        <v/>
      </c>
      <c r="P252" s="34">
        <f>IF(J252="","",IFERROR(INDEX(Cl_potentiel,MATCH(J252,Cl_cle,0)),""))</f>
        <v/>
      </c>
      <c r="Q252" s="34">
        <f>IF(J252="","",IF(D252&lt;&gt;"",IF(COUNTIFS(VC_cle,J252,VC_type,"Visite sur place",VC_date,D252)&gt;0,"Visité",IF(D252&lt;TODAY(),"Non fait","À venir")),IF(B252="","",IF(COUNTIFS(VC_cle,J252,VC_type,"Visite sur place",VC_date,"&gt;="&amp;M252,VC_date,"&lt;"&amp;DATE(YEAR(M252),MONTH(M252)+1,1))&gt;0,"Visité","À visiter"))))</f>
        <v/>
      </c>
    </row>
    <row r="253" ht="18" customHeight="1">
      <c r="A253" s="39" t="n">
        <v>248</v>
      </c>
      <c r="B253" s="49" t="n"/>
      <c r="C253" s="43" t="n"/>
      <c r="D253" s="32" t="n"/>
      <c r="E253" s="36" t="n"/>
      <c r="F253" s="36" t="n"/>
      <c r="G253" s="36" t="n"/>
      <c r="H253" s="33">
        <f>IF(E253="","",Commercial_Id)</f>
        <v/>
      </c>
      <c r="I253" s="39">
        <f>IF(E253="","",IFERROR(VALUE(MID(E253,LEN(E253)-3,3)),""))</f>
        <v/>
      </c>
      <c r="J253" s="33">
        <f>IF(I253="","",H253&amp;"|"&amp;I253)</f>
        <v/>
      </c>
      <c r="K253" s="33">
        <f>IF(I253="","",IF(H253="À RENSEIGNER","GIC",H253)&amp;"-"&amp;TEXT(I253,"000"))</f>
        <v/>
      </c>
      <c r="L253" s="33">
        <f>IF(J253="","",IFERROR(INDEX(Cl_nom,MATCH(J253,Cl_cle,0)),"(client introuvable)"))</f>
        <v/>
      </c>
      <c r="M253" s="46">
        <f>IF(B253="","",DATE(YEAR(B253),MONTH(B253),1))</f>
        <v/>
      </c>
      <c r="N253" s="33">
        <f>IF(J253="","",IFERROR(INDEX(Cl_quartier,MATCH(J253,Cl_cle,0))&amp;"",""))</f>
        <v/>
      </c>
      <c r="O253" s="33">
        <f>IF(J253="","",IFERROR(INDEX(Cl_tel,MATCH(J253,Cl_cle,0))&amp;"",""))</f>
        <v/>
      </c>
      <c r="P253" s="34">
        <f>IF(J253="","",IFERROR(INDEX(Cl_potentiel,MATCH(J253,Cl_cle,0)),""))</f>
        <v/>
      </c>
      <c r="Q253" s="34">
        <f>IF(J253="","",IF(D253&lt;&gt;"",IF(COUNTIFS(VC_cle,J253,VC_type,"Visite sur place",VC_date,D253)&gt;0,"Visité",IF(D253&lt;TODAY(),"Non fait","À venir")),IF(B253="","",IF(COUNTIFS(VC_cle,J253,VC_type,"Visite sur place",VC_date,"&gt;="&amp;M253,VC_date,"&lt;"&amp;DATE(YEAR(M253),MONTH(M253)+1,1))&gt;0,"Visité","À visiter"))))</f>
        <v/>
      </c>
    </row>
    <row r="254" ht="18" customHeight="1">
      <c r="A254" s="39" t="n">
        <v>249</v>
      </c>
      <c r="B254" s="49" t="n"/>
      <c r="C254" s="43" t="n"/>
      <c r="D254" s="32" t="n"/>
      <c r="E254" s="36" t="n"/>
      <c r="F254" s="36" t="n"/>
      <c r="G254" s="36" t="n"/>
      <c r="H254" s="33">
        <f>IF(E254="","",Commercial_Id)</f>
        <v/>
      </c>
      <c r="I254" s="39">
        <f>IF(E254="","",IFERROR(VALUE(MID(E254,LEN(E254)-3,3)),""))</f>
        <v/>
      </c>
      <c r="J254" s="33">
        <f>IF(I254="","",H254&amp;"|"&amp;I254)</f>
        <v/>
      </c>
      <c r="K254" s="33">
        <f>IF(I254="","",IF(H254="À RENSEIGNER","GIC",H254)&amp;"-"&amp;TEXT(I254,"000"))</f>
        <v/>
      </c>
      <c r="L254" s="33">
        <f>IF(J254="","",IFERROR(INDEX(Cl_nom,MATCH(J254,Cl_cle,0)),"(client introuvable)"))</f>
        <v/>
      </c>
      <c r="M254" s="46">
        <f>IF(B254="","",DATE(YEAR(B254),MONTH(B254),1))</f>
        <v/>
      </c>
      <c r="N254" s="33">
        <f>IF(J254="","",IFERROR(INDEX(Cl_quartier,MATCH(J254,Cl_cle,0))&amp;"",""))</f>
        <v/>
      </c>
      <c r="O254" s="33">
        <f>IF(J254="","",IFERROR(INDEX(Cl_tel,MATCH(J254,Cl_cle,0))&amp;"",""))</f>
        <v/>
      </c>
      <c r="P254" s="34">
        <f>IF(J254="","",IFERROR(INDEX(Cl_potentiel,MATCH(J254,Cl_cle,0)),""))</f>
        <v/>
      </c>
      <c r="Q254" s="34">
        <f>IF(J254="","",IF(D254&lt;&gt;"",IF(COUNTIFS(VC_cle,J254,VC_type,"Visite sur place",VC_date,D254)&gt;0,"Visité",IF(D254&lt;TODAY(),"Non fait","À venir")),IF(B254="","",IF(COUNTIFS(VC_cle,J254,VC_type,"Visite sur place",VC_date,"&gt;="&amp;M254,VC_date,"&lt;"&amp;DATE(YEAR(M254),MONTH(M254)+1,1))&gt;0,"Visité","À visiter"))))</f>
        <v/>
      </c>
    </row>
    <row r="255" ht="18" customHeight="1">
      <c r="A255" s="39" t="n">
        <v>250</v>
      </c>
      <c r="B255" s="49" t="n"/>
      <c r="C255" s="43" t="n"/>
      <c r="D255" s="32" t="n"/>
      <c r="E255" s="36" t="n"/>
      <c r="F255" s="36" t="n"/>
      <c r="G255" s="36" t="n"/>
      <c r="H255" s="33">
        <f>IF(E255="","",Commercial_Id)</f>
        <v/>
      </c>
      <c r="I255" s="39">
        <f>IF(E255="","",IFERROR(VALUE(MID(E255,LEN(E255)-3,3)),""))</f>
        <v/>
      </c>
      <c r="J255" s="33">
        <f>IF(I255="","",H255&amp;"|"&amp;I255)</f>
        <v/>
      </c>
      <c r="K255" s="33">
        <f>IF(I255="","",IF(H255="À RENSEIGNER","GIC",H255)&amp;"-"&amp;TEXT(I255,"000"))</f>
        <v/>
      </c>
      <c r="L255" s="33">
        <f>IF(J255="","",IFERROR(INDEX(Cl_nom,MATCH(J255,Cl_cle,0)),"(client introuvable)"))</f>
        <v/>
      </c>
      <c r="M255" s="46">
        <f>IF(B255="","",DATE(YEAR(B255),MONTH(B255),1))</f>
        <v/>
      </c>
      <c r="N255" s="33">
        <f>IF(J255="","",IFERROR(INDEX(Cl_quartier,MATCH(J255,Cl_cle,0))&amp;"",""))</f>
        <v/>
      </c>
      <c r="O255" s="33">
        <f>IF(J255="","",IFERROR(INDEX(Cl_tel,MATCH(J255,Cl_cle,0))&amp;"",""))</f>
        <v/>
      </c>
      <c r="P255" s="34">
        <f>IF(J255="","",IFERROR(INDEX(Cl_potentiel,MATCH(J255,Cl_cle,0)),""))</f>
        <v/>
      </c>
      <c r="Q255" s="34">
        <f>IF(J255="","",IF(D255&lt;&gt;"",IF(COUNTIFS(VC_cle,J255,VC_type,"Visite sur place",VC_date,D255)&gt;0,"Visité",IF(D255&lt;TODAY(),"Non fait","À venir")),IF(B255="","",IF(COUNTIFS(VC_cle,J255,VC_type,"Visite sur place",VC_date,"&gt;="&amp;M255,VC_date,"&lt;"&amp;DATE(YEAR(M255),MONTH(M255)+1,1))&gt;0,"Visité","À visiter"))))</f>
        <v/>
      </c>
    </row>
    <row r="256" ht="18" customHeight="1">
      <c r="A256" s="39" t="n">
        <v>251</v>
      </c>
      <c r="B256" s="49" t="n"/>
      <c r="C256" s="43" t="n"/>
      <c r="D256" s="32" t="n"/>
      <c r="E256" s="36" t="n"/>
      <c r="F256" s="36" t="n"/>
      <c r="G256" s="36" t="n"/>
      <c r="H256" s="33">
        <f>IF(E256="","",Commercial_Id)</f>
        <v/>
      </c>
      <c r="I256" s="39">
        <f>IF(E256="","",IFERROR(VALUE(MID(E256,LEN(E256)-3,3)),""))</f>
        <v/>
      </c>
      <c r="J256" s="33">
        <f>IF(I256="","",H256&amp;"|"&amp;I256)</f>
        <v/>
      </c>
      <c r="K256" s="33">
        <f>IF(I256="","",IF(H256="À RENSEIGNER","GIC",H256)&amp;"-"&amp;TEXT(I256,"000"))</f>
        <v/>
      </c>
      <c r="L256" s="33">
        <f>IF(J256="","",IFERROR(INDEX(Cl_nom,MATCH(J256,Cl_cle,0)),"(client introuvable)"))</f>
        <v/>
      </c>
      <c r="M256" s="46">
        <f>IF(B256="","",DATE(YEAR(B256),MONTH(B256),1))</f>
        <v/>
      </c>
      <c r="N256" s="33">
        <f>IF(J256="","",IFERROR(INDEX(Cl_quartier,MATCH(J256,Cl_cle,0))&amp;"",""))</f>
        <v/>
      </c>
      <c r="O256" s="33">
        <f>IF(J256="","",IFERROR(INDEX(Cl_tel,MATCH(J256,Cl_cle,0))&amp;"",""))</f>
        <v/>
      </c>
      <c r="P256" s="34">
        <f>IF(J256="","",IFERROR(INDEX(Cl_potentiel,MATCH(J256,Cl_cle,0)),""))</f>
        <v/>
      </c>
      <c r="Q256" s="34">
        <f>IF(J256="","",IF(D256&lt;&gt;"",IF(COUNTIFS(VC_cle,J256,VC_type,"Visite sur place",VC_date,D256)&gt;0,"Visité",IF(D256&lt;TODAY(),"Non fait","À venir")),IF(B256="","",IF(COUNTIFS(VC_cle,J256,VC_type,"Visite sur place",VC_date,"&gt;="&amp;M256,VC_date,"&lt;"&amp;DATE(YEAR(M256),MONTH(M256)+1,1))&gt;0,"Visité","À visiter"))))</f>
        <v/>
      </c>
    </row>
    <row r="257" ht="18" customHeight="1">
      <c r="A257" s="39" t="n">
        <v>252</v>
      </c>
      <c r="B257" s="49" t="n"/>
      <c r="C257" s="43" t="n"/>
      <c r="D257" s="32" t="n"/>
      <c r="E257" s="36" t="n"/>
      <c r="F257" s="36" t="n"/>
      <c r="G257" s="36" t="n"/>
      <c r="H257" s="33">
        <f>IF(E257="","",Commercial_Id)</f>
        <v/>
      </c>
      <c r="I257" s="39">
        <f>IF(E257="","",IFERROR(VALUE(MID(E257,LEN(E257)-3,3)),""))</f>
        <v/>
      </c>
      <c r="J257" s="33">
        <f>IF(I257="","",H257&amp;"|"&amp;I257)</f>
        <v/>
      </c>
      <c r="K257" s="33">
        <f>IF(I257="","",IF(H257="À RENSEIGNER","GIC",H257)&amp;"-"&amp;TEXT(I257,"000"))</f>
        <v/>
      </c>
      <c r="L257" s="33">
        <f>IF(J257="","",IFERROR(INDEX(Cl_nom,MATCH(J257,Cl_cle,0)),"(client introuvable)"))</f>
        <v/>
      </c>
      <c r="M257" s="46">
        <f>IF(B257="","",DATE(YEAR(B257),MONTH(B257),1))</f>
        <v/>
      </c>
      <c r="N257" s="33">
        <f>IF(J257="","",IFERROR(INDEX(Cl_quartier,MATCH(J257,Cl_cle,0))&amp;"",""))</f>
        <v/>
      </c>
      <c r="O257" s="33">
        <f>IF(J257="","",IFERROR(INDEX(Cl_tel,MATCH(J257,Cl_cle,0))&amp;"",""))</f>
        <v/>
      </c>
      <c r="P257" s="34">
        <f>IF(J257="","",IFERROR(INDEX(Cl_potentiel,MATCH(J257,Cl_cle,0)),""))</f>
        <v/>
      </c>
      <c r="Q257" s="34">
        <f>IF(J257="","",IF(D257&lt;&gt;"",IF(COUNTIFS(VC_cle,J257,VC_type,"Visite sur place",VC_date,D257)&gt;0,"Visité",IF(D257&lt;TODAY(),"Non fait","À venir")),IF(B257="","",IF(COUNTIFS(VC_cle,J257,VC_type,"Visite sur place",VC_date,"&gt;="&amp;M257,VC_date,"&lt;"&amp;DATE(YEAR(M257),MONTH(M257)+1,1))&gt;0,"Visité","À visiter"))))</f>
        <v/>
      </c>
    </row>
    <row r="258" ht="18" customHeight="1">
      <c r="A258" s="39" t="n">
        <v>253</v>
      </c>
      <c r="B258" s="49" t="n"/>
      <c r="C258" s="43" t="n"/>
      <c r="D258" s="32" t="n"/>
      <c r="E258" s="36" t="n"/>
      <c r="F258" s="36" t="n"/>
      <c r="G258" s="36" t="n"/>
      <c r="H258" s="33">
        <f>IF(E258="","",Commercial_Id)</f>
        <v/>
      </c>
      <c r="I258" s="39">
        <f>IF(E258="","",IFERROR(VALUE(MID(E258,LEN(E258)-3,3)),""))</f>
        <v/>
      </c>
      <c r="J258" s="33">
        <f>IF(I258="","",H258&amp;"|"&amp;I258)</f>
        <v/>
      </c>
      <c r="K258" s="33">
        <f>IF(I258="","",IF(H258="À RENSEIGNER","GIC",H258)&amp;"-"&amp;TEXT(I258,"000"))</f>
        <v/>
      </c>
      <c r="L258" s="33">
        <f>IF(J258="","",IFERROR(INDEX(Cl_nom,MATCH(J258,Cl_cle,0)),"(client introuvable)"))</f>
        <v/>
      </c>
      <c r="M258" s="46">
        <f>IF(B258="","",DATE(YEAR(B258),MONTH(B258),1))</f>
        <v/>
      </c>
      <c r="N258" s="33">
        <f>IF(J258="","",IFERROR(INDEX(Cl_quartier,MATCH(J258,Cl_cle,0))&amp;"",""))</f>
        <v/>
      </c>
      <c r="O258" s="33">
        <f>IF(J258="","",IFERROR(INDEX(Cl_tel,MATCH(J258,Cl_cle,0))&amp;"",""))</f>
        <v/>
      </c>
      <c r="P258" s="34">
        <f>IF(J258="","",IFERROR(INDEX(Cl_potentiel,MATCH(J258,Cl_cle,0)),""))</f>
        <v/>
      </c>
      <c r="Q258" s="34">
        <f>IF(J258="","",IF(D258&lt;&gt;"",IF(COUNTIFS(VC_cle,J258,VC_type,"Visite sur place",VC_date,D258)&gt;0,"Visité",IF(D258&lt;TODAY(),"Non fait","À venir")),IF(B258="","",IF(COUNTIFS(VC_cle,J258,VC_type,"Visite sur place",VC_date,"&gt;="&amp;M258,VC_date,"&lt;"&amp;DATE(YEAR(M258),MONTH(M258)+1,1))&gt;0,"Visité","À visiter"))))</f>
        <v/>
      </c>
    </row>
    <row r="259" ht="18" customHeight="1">
      <c r="A259" s="39" t="n">
        <v>254</v>
      </c>
      <c r="B259" s="49" t="n"/>
      <c r="C259" s="43" t="n"/>
      <c r="D259" s="32" t="n"/>
      <c r="E259" s="36" t="n"/>
      <c r="F259" s="36" t="n"/>
      <c r="G259" s="36" t="n"/>
      <c r="H259" s="33">
        <f>IF(E259="","",Commercial_Id)</f>
        <v/>
      </c>
      <c r="I259" s="39">
        <f>IF(E259="","",IFERROR(VALUE(MID(E259,LEN(E259)-3,3)),""))</f>
        <v/>
      </c>
      <c r="J259" s="33">
        <f>IF(I259="","",H259&amp;"|"&amp;I259)</f>
        <v/>
      </c>
      <c r="K259" s="33">
        <f>IF(I259="","",IF(H259="À RENSEIGNER","GIC",H259)&amp;"-"&amp;TEXT(I259,"000"))</f>
        <v/>
      </c>
      <c r="L259" s="33">
        <f>IF(J259="","",IFERROR(INDEX(Cl_nom,MATCH(J259,Cl_cle,0)),"(client introuvable)"))</f>
        <v/>
      </c>
      <c r="M259" s="46">
        <f>IF(B259="","",DATE(YEAR(B259),MONTH(B259),1))</f>
        <v/>
      </c>
      <c r="N259" s="33">
        <f>IF(J259="","",IFERROR(INDEX(Cl_quartier,MATCH(J259,Cl_cle,0))&amp;"",""))</f>
        <v/>
      </c>
      <c r="O259" s="33">
        <f>IF(J259="","",IFERROR(INDEX(Cl_tel,MATCH(J259,Cl_cle,0))&amp;"",""))</f>
        <v/>
      </c>
      <c r="P259" s="34">
        <f>IF(J259="","",IFERROR(INDEX(Cl_potentiel,MATCH(J259,Cl_cle,0)),""))</f>
        <v/>
      </c>
      <c r="Q259" s="34">
        <f>IF(J259="","",IF(D259&lt;&gt;"",IF(COUNTIFS(VC_cle,J259,VC_type,"Visite sur place",VC_date,D259)&gt;0,"Visité",IF(D259&lt;TODAY(),"Non fait","À venir")),IF(B259="","",IF(COUNTIFS(VC_cle,J259,VC_type,"Visite sur place",VC_date,"&gt;="&amp;M259,VC_date,"&lt;"&amp;DATE(YEAR(M259),MONTH(M259)+1,1))&gt;0,"Visité","À visiter"))))</f>
        <v/>
      </c>
    </row>
    <row r="260" ht="18" customHeight="1">
      <c r="A260" s="39" t="n">
        <v>255</v>
      </c>
      <c r="B260" s="49" t="n"/>
      <c r="C260" s="43" t="n"/>
      <c r="D260" s="32" t="n"/>
      <c r="E260" s="36" t="n"/>
      <c r="F260" s="36" t="n"/>
      <c r="G260" s="36" t="n"/>
      <c r="H260" s="33">
        <f>IF(E260="","",Commercial_Id)</f>
        <v/>
      </c>
      <c r="I260" s="39">
        <f>IF(E260="","",IFERROR(VALUE(MID(E260,LEN(E260)-3,3)),""))</f>
        <v/>
      </c>
      <c r="J260" s="33">
        <f>IF(I260="","",H260&amp;"|"&amp;I260)</f>
        <v/>
      </c>
      <c r="K260" s="33">
        <f>IF(I260="","",IF(H260="À RENSEIGNER","GIC",H260)&amp;"-"&amp;TEXT(I260,"000"))</f>
        <v/>
      </c>
      <c r="L260" s="33">
        <f>IF(J260="","",IFERROR(INDEX(Cl_nom,MATCH(J260,Cl_cle,0)),"(client introuvable)"))</f>
        <v/>
      </c>
      <c r="M260" s="46">
        <f>IF(B260="","",DATE(YEAR(B260),MONTH(B260),1))</f>
        <v/>
      </c>
      <c r="N260" s="33">
        <f>IF(J260="","",IFERROR(INDEX(Cl_quartier,MATCH(J260,Cl_cle,0))&amp;"",""))</f>
        <v/>
      </c>
      <c r="O260" s="33">
        <f>IF(J260="","",IFERROR(INDEX(Cl_tel,MATCH(J260,Cl_cle,0))&amp;"",""))</f>
        <v/>
      </c>
      <c r="P260" s="34">
        <f>IF(J260="","",IFERROR(INDEX(Cl_potentiel,MATCH(J260,Cl_cle,0)),""))</f>
        <v/>
      </c>
      <c r="Q260" s="34">
        <f>IF(J260="","",IF(D260&lt;&gt;"",IF(COUNTIFS(VC_cle,J260,VC_type,"Visite sur place",VC_date,D260)&gt;0,"Visité",IF(D260&lt;TODAY(),"Non fait","À venir")),IF(B260="","",IF(COUNTIFS(VC_cle,J260,VC_type,"Visite sur place",VC_date,"&gt;="&amp;M260,VC_date,"&lt;"&amp;DATE(YEAR(M260),MONTH(M260)+1,1))&gt;0,"Visité","À visiter"))))</f>
        <v/>
      </c>
    </row>
    <row r="261" ht="18" customHeight="1">
      <c r="A261" s="39" t="n">
        <v>256</v>
      </c>
      <c r="B261" s="49" t="n"/>
      <c r="C261" s="43" t="n"/>
      <c r="D261" s="32" t="n"/>
      <c r="E261" s="36" t="n"/>
      <c r="F261" s="36" t="n"/>
      <c r="G261" s="36" t="n"/>
      <c r="H261" s="33">
        <f>IF(E261="","",Commercial_Id)</f>
        <v/>
      </c>
      <c r="I261" s="39">
        <f>IF(E261="","",IFERROR(VALUE(MID(E261,LEN(E261)-3,3)),""))</f>
        <v/>
      </c>
      <c r="J261" s="33">
        <f>IF(I261="","",H261&amp;"|"&amp;I261)</f>
        <v/>
      </c>
      <c r="K261" s="33">
        <f>IF(I261="","",IF(H261="À RENSEIGNER","GIC",H261)&amp;"-"&amp;TEXT(I261,"000"))</f>
        <v/>
      </c>
      <c r="L261" s="33">
        <f>IF(J261="","",IFERROR(INDEX(Cl_nom,MATCH(J261,Cl_cle,0)),"(client introuvable)"))</f>
        <v/>
      </c>
      <c r="M261" s="46">
        <f>IF(B261="","",DATE(YEAR(B261),MONTH(B261),1))</f>
        <v/>
      </c>
      <c r="N261" s="33">
        <f>IF(J261="","",IFERROR(INDEX(Cl_quartier,MATCH(J261,Cl_cle,0))&amp;"",""))</f>
        <v/>
      </c>
      <c r="O261" s="33">
        <f>IF(J261="","",IFERROR(INDEX(Cl_tel,MATCH(J261,Cl_cle,0))&amp;"",""))</f>
        <v/>
      </c>
      <c r="P261" s="34">
        <f>IF(J261="","",IFERROR(INDEX(Cl_potentiel,MATCH(J261,Cl_cle,0)),""))</f>
        <v/>
      </c>
      <c r="Q261" s="34">
        <f>IF(J261="","",IF(D261&lt;&gt;"",IF(COUNTIFS(VC_cle,J261,VC_type,"Visite sur place",VC_date,D261)&gt;0,"Visité",IF(D261&lt;TODAY(),"Non fait","À venir")),IF(B261="","",IF(COUNTIFS(VC_cle,J261,VC_type,"Visite sur place",VC_date,"&gt;="&amp;M261,VC_date,"&lt;"&amp;DATE(YEAR(M261),MONTH(M261)+1,1))&gt;0,"Visité","À visiter"))))</f>
        <v/>
      </c>
    </row>
    <row r="262" ht="18" customHeight="1">
      <c r="A262" s="39" t="n">
        <v>257</v>
      </c>
      <c r="B262" s="49" t="n"/>
      <c r="C262" s="43" t="n"/>
      <c r="D262" s="32" t="n"/>
      <c r="E262" s="36" t="n"/>
      <c r="F262" s="36" t="n"/>
      <c r="G262" s="36" t="n"/>
      <c r="H262" s="33">
        <f>IF(E262="","",Commercial_Id)</f>
        <v/>
      </c>
      <c r="I262" s="39">
        <f>IF(E262="","",IFERROR(VALUE(MID(E262,LEN(E262)-3,3)),""))</f>
        <v/>
      </c>
      <c r="J262" s="33">
        <f>IF(I262="","",H262&amp;"|"&amp;I262)</f>
        <v/>
      </c>
      <c r="K262" s="33">
        <f>IF(I262="","",IF(H262="À RENSEIGNER","GIC",H262)&amp;"-"&amp;TEXT(I262,"000"))</f>
        <v/>
      </c>
      <c r="L262" s="33">
        <f>IF(J262="","",IFERROR(INDEX(Cl_nom,MATCH(J262,Cl_cle,0)),"(client introuvable)"))</f>
        <v/>
      </c>
      <c r="M262" s="46">
        <f>IF(B262="","",DATE(YEAR(B262),MONTH(B262),1))</f>
        <v/>
      </c>
      <c r="N262" s="33">
        <f>IF(J262="","",IFERROR(INDEX(Cl_quartier,MATCH(J262,Cl_cle,0))&amp;"",""))</f>
        <v/>
      </c>
      <c r="O262" s="33">
        <f>IF(J262="","",IFERROR(INDEX(Cl_tel,MATCH(J262,Cl_cle,0))&amp;"",""))</f>
        <v/>
      </c>
      <c r="P262" s="34">
        <f>IF(J262="","",IFERROR(INDEX(Cl_potentiel,MATCH(J262,Cl_cle,0)),""))</f>
        <v/>
      </c>
      <c r="Q262" s="34">
        <f>IF(J262="","",IF(D262&lt;&gt;"",IF(COUNTIFS(VC_cle,J262,VC_type,"Visite sur place",VC_date,D262)&gt;0,"Visité",IF(D262&lt;TODAY(),"Non fait","À venir")),IF(B262="","",IF(COUNTIFS(VC_cle,J262,VC_type,"Visite sur place",VC_date,"&gt;="&amp;M262,VC_date,"&lt;"&amp;DATE(YEAR(M262),MONTH(M262)+1,1))&gt;0,"Visité","À visiter"))))</f>
        <v/>
      </c>
    </row>
    <row r="263" ht="18" customHeight="1">
      <c r="A263" s="39" t="n">
        <v>258</v>
      </c>
      <c r="B263" s="49" t="n"/>
      <c r="C263" s="43" t="n"/>
      <c r="D263" s="32" t="n"/>
      <c r="E263" s="36" t="n"/>
      <c r="F263" s="36" t="n"/>
      <c r="G263" s="36" t="n"/>
      <c r="H263" s="33">
        <f>IF(E263="","",Commercial_Id)</f>
        <v/>
      </c>
      <c r="I263" s="39">
        <f>IF(E263="","",IFERROR(VALUE(MID(E263,LEN(E263)-3,3)),""))</f>
        <v/>
      </c>
      <c r="J263" s="33">
        <f>IF(I263="","",H263&amp;"|"&amp;I263)</f>
        <v/>
      </c>
      <c r="K263" s="33">
        <f>IF(I263="","",IF(H263="À RENSEIGNER","GIC",H263)&amp;"-"&amp;TEXT(I263,"000"))</f>
        <v/>
      </c>
      <c r="L263" s="33">
        <f>IF(J263="","",IFERROR(INDEX(Cl_nom,MATCH(J263,Cl_cle,0)),"(client introuvable)"))</f>
        <v/>
      </c>
      <c r="M263" s="46">
        <f>IF(B263="","",DATE(YEAR(B263),MONTH(B263),1))</f>
        <v/>
      </c>
      <c r="N263" s="33">
        <f>IF(J263="","",IFERROR(INDEX(Cl_quartier,MATCH(J263,Cl_cle,0))&amp;"",""))</f>
        <v/>
      </c>
      <c r="O263" s="33">
        <f>IF(J263="","",IFERROR(INDEX(Cl_tel,MATCH(J263,Cl_cle,0))&amp;"",""))</f>
        <v/>
      </c>
      <c r="P263" s="34">
        <f>IF(J263="","",IFERROR(INDEX(Cl_potentiel,MATCH(J263,Cl_cle,0)),""))</f>
        <v/>
      </c>
      <c r="Q263" s="34">
        <f>IF(J263="","",IF(D263&lt;&gt;"",IF(COUNTIFS(VC_cle,J263,VC_type,"Visite sur place",VC_date,D263)&gt;0,"Visité",IF(D263&lt;TODAY(),"Non fait","À venir")),IF(B263="","",IF(COUNTIFS(VC_cle,J263,VC_type,"Visite sur place",VC_date,"&gt;="&amp;M263,VC_date,"&lt;"&amp;DATE(YEAR(M263),MONTH(M263)+1,1))&gt;0,"Visité","À visiter"))))</f>
        <v/>
      </c>
    </row>
    <row r="264" ht="18" customHeight="1">
      <c r="A264" s="39" t="n">
        <v>259</v>
      </c>
      <c r="B264" s="49" t="n"/>
      <c r="C264" s="43" t="n"/>
      <c r="D264" s="32" t="n"/>
      <c r="E264" s="36" t="n"/>
      <c r="F264" s="36" t="n"/>
      <c r="G264" s="36" t="n"/>
      <c r="H264" s="33">
        <f>IF(E264="","",Commercial_Id)</f>
        <v/>
      </c>
      <c r="I264" s="39">
        <f>IF(E264="","",IFERROR(VALUE(MID(E264,LEN(E264)-3,3)),""))</f>
        <v/>
      </c>
      <c r="J264" s="33">
        <f>IF(I264="","",H264&amp;"|"&amp;I264)</f>
        <v/>
      </c>
      <c r="K264" s="33">
        <f>IF(I264="","",IF(H264="À RENSEIGNER","GIC",H264)&amp;"-"&amp;TEXT(I264,"000"))</f>
        <v/>
      </c>
      <c r="L264" s="33">
        <f>IF(J264="","",IFERROR(INDEX(Cl_nom,MATCH(J264,Cl_cle,0)),"(client introuvable)"))</f>
        <v/>
      </c>
      <c r="M264" s="46">
        <f>IF(B264="","",DATE(YEAR(B264),MONTH(B264),1))</f>
        <v/>
      </c>
      <c r="N264" s="33">
        <f>IF(J264="","",IFERROR(INDEX(Cl_quartier,MATCH(J264,Cl_cle,0))&amp;"",""))</f>
        <v/>
      </c>
      <c r="O264" s="33">
        <f>IF(J264="","",IFERROR(INDEX(Cl_tel,MATCH(J264,Cl_cle,0))&amp;"",""))</f>
        <v/>
      </c>
      <c r="P264" s="34">
        <f>IF(J264="","",IFERROR(INDEX(Cl_potentiel,MATCH(J264,Cl_cle,0)),""))</f>
        <v/>
      </c>
      <c r="Q264" s="34">
        <f>IF(J264="","",IF(D264&lt;&gt;"",IF(COUNTIFS(VC_cle,J264,VC_type,"Visite sur place",VC_date,D264)&gt;0,"Visité",IF(D264&lt;TODAY(),"Non fait","À venir")),IF(B264="","",IF(COUNTIFS(VC_cle,J264,VC_type,"Visite sur place",VC_date,"&gt;="&amp;M264,VC_date,"&lt;"&amp;DATE(YEAR(M264),MONTH(M264)+1,1))&gt;0,"Visité","À visiter"))))</f>
        <v/>
      </c>
    </row>
    <row r="265" ht="18" customHeight="1">
      <c r="A265" s="39" t="n">
        <v>260</v>
      </c>
      <c r="B265" s="49" t="n"/>
      <c r="C265" s="43" t="n"/>
      <c r="D265" s="32" t="n"/>
      <c r="E265" s="36" t="n"/>
      <c r="F265" s="36" t="n"/>
      <c r="G265" s="36" t="n"/>
      <c r="H265" s="33">
        <f>IF(E265="","",Commercial_Id)</f>
        <v/>
      </c>
      <c r="I265" s="39">
        <f>IF(E265="","",IFERROR(VALUE(MID(E265,LEN(E265)-3,3)),""))</f>
        <v/>
      </c>
      <c r="J265" s="33">
        <f>IF(I265="","",H265&amp;"|"&amp;I265)</f>
        <v/>
      </c>
      <c r="K265" s="33">
        <f>IF(I265="","",IF(H265="À RENSEIGNER","GIC",H265)&amp;"-"&amp;TEXT(I265,"000"))</f>
        <v/>
      </c>
      <c r="L265" s="33">
        <f>IF(J265="","",IFERROR(INDEX(Cl_nom,MATCH(J265,Cl_cle,0)),"(client introuvable)"))</f>
        <v/>
      </c>
      <c r="M265" s="46">
        <f>IF(B265="","",DATE(YEAR(B265),MONTH(B265),1))</f>
        <v/>
      </c>
      <c r="N265" s="33">
        <f>IF(J265="","",IFERROR(INDEX(Cl_quartier,MATCH(J265,Cl_cle,0))&amp;"",""))</f>
        <v/>
      </c>
      <c r="O265" s="33">
        <f>IF(J265="","",IFERROR(INDEX(Cl_tel,MATCH(J265,Cl_cle,0))&amp;"",""))</f>
        <v/>
      </c>
      <c r="P265" s="34">
        <f>IF(J265="","",IFERROR(INDEX(Cl_potentiel,MATCH(J265,Cl_cle,0)),""))</f>
        <v/>
      </c>
      <c r="Q265" s="34">
        <f>IF(J265="","",IF(D265&lt;&gt;"",IF(COUNTIFS(VC_cle,J265,VC_type,"Visite sur place",VC_date,D265)&gt;0,"Visité",IF(D265&lt;TODAY(),"Non fait","À venir")),IF(B265="","",IF(COUNTIFS(VC_cle,J265,VC_type,"Visite sur place",VC_date,"&gt;="&amp;M265,VC_date,"&lt;"&amp;DATE(YEAR(M265),MONTH(M265)+1,1))&gt;0,"Visité","À visiter"))))</f>
        <v/>
      </c>
    </row>
    <row r="266" ht="18" customHeight="1">
      <c r="A266" s="39" t="n">
        <v>261</v>
      </c>
      <c r="B266" s="49" t="n"/>
      <c r="C266" s="43" t="n"/>
      <c r="D266" s="32" t="n"/>
      <c r="E266" s="36" t="n"/>
      <c r="F266" s="36" t="n"/>
      <c r="G266" s="36" t="n"/>
      <c r="H266" s="33">
        <f>IF(E266="","",Commercial_Id)</f>
        <v/>
      </c>
      <c r="I266" s="39">
        <f>IF(E266="","",IFERROR(VALUE(MID(E266,LEN(E266)-3,3)),""))</f>
        <v/>
      </c>
      <c r="J266" s="33">
        <f>IF(I266="","",H266&amp;"|"&amp;I266)</f>
        <v/>
      </c>
      <c r="K266" s="33">
        <f>IF(I266="","",IF(H266="À RENSEIGNER","GIC",H266)&amp;"-"&amp;TEXT(I266,"000"))</f>
        <v/>
      </c>
      <c r="L266" s="33">
        <f>IF(J266="","",IFERROR(INDEX(Cl_nom,MATCH(J266,Cl_cle,0)),"(client introuvable)"))</f>
        <v/>
      </c>
      <c r="M266" s="46">
        <f>IF(B266="","",DATE(YEAR(B266),MONTH(B266),1))</f>
        <v/>
      </c>
      <c r="N266" s="33">
        <f>IF(J266="","",IFERROR(INDEX(Cl_quartier,MATCH(J266,Cl_cle,0))&amp;"",""))</f>
        <v/>
      </c>
      <c r="O266" s="33">
        <f>IF(J266="","",IFERROR(INDEX(Cl_tel,MATCH(J266,Cl_cle,0))&amp;"",""))</f>
        <v/>
      </c>
      <c r="P266" s="34">
        <f>IF(J266="","",IFERROR(INDEX(Cl_potentiel,MATCH(J266,Cl_cle,0)),""))</f>
        <v/>
      </c>
      <c r="Q266" s="34">
        <f>IF(J266="","",IF(D266&lt;&gt;"",IF(COUNTIFS(VC_cle,J266,VC_type,"Visite sur place",VC_date,D266)&gt;0,"Visité",IF(D266&lt;TODAY(),"Non fait","À venir")),IF(B266="","",IF(COUNTIFS(VC_cle,J266,VC_type,"Visite sur place",VC_date,"&gt;="&amp;M266,VC_date,"&lt;"&amp;DATE(YEAR(M266),MONTH(M266)+1,1))&gt;0,"Visité","À visiter"))))</f>
        <v/>
      </c>
    </row>
    <row r="267" ht="18" customHeight="1">
      <c r="A267" s="39" t="n">
        <v>262</v>
      </c>
      <c r="B267" s="49" t="n"/>
      <c r="C267" s="43" t="n"/>
      <c r="D267" s="32" t="n"/>
      <c r="E267" s="36" t="n"/>
      <c r="F267" s="36" t="n"/>
      <c r="G267" s="36" t="n"/>
      <c r="H267" s="33">
        <f>IF(E267="","",Commercial_Id)</f>
        <v/>
      </c>
      <c r="I267" s="39">
        <f>IF(E267="","",IFERROR(VALUE(MID(E267,LEN(E267)-3,3)),""))</f>
        <v/>
      </c>
      <c r="J267" s="33">
        <f>IF(I267="","",H267&amp;"|"&amp;I267)</f>
        <v/>
      </c>
      <c r="K267" s="33">
        <f>IF(I267="","",IF(H267="À RENSEIGNER","GIC",H267)&amp;"-"&amp;TEXT(I267,"000"))</f>
        <v/>
      </c>
      <c r="L267" s="33">
        <f>IF(J267="","",IFERROR(INDEX(Cl_nom,MATCH(J267,Cl_cle,0)),"(client introuvable)"))</f>
        <v/>
      </c>
      <c r="M267" s="46">
        <f>IF(B267="","",DATE(YEAR(B267),MONTH(B267),1))</f>
        <v/>
      </c>
      <c r="N267" s="33">
        <f>IF(J267="","",IFERROR(INDEX(Cl_quartier,MATCH(J267,Cl_cle,0))&amp;"",""))</f>
        <v/>
      </c>
      <c r="O267" s="33">
        <f>IF(J267="","",IFERROR(INDEX(Cl_tel,MATCH(J267,Cl_cle,0))&amp;"",""))</f>
        <v/>
      </c>
      <c r="P267" s="34">
        <f>IF(J267="","",IFERROR(INDEX(Cl_potentiel,MATCH(J267,Cl_cle,0)),""))</f>
        <v/>
      </c>
      <c r="Q267" s="34">
        <f>IF(J267="","",IF(D267&lt;&gt;"",IF(COUNTIFS(VC_cle,J267,VC_type,"Visite sur place",VC_date,D267)&gt;0,"Visité",IF(D267&lt;TODAY(),"Non fait","À venir")),IF(B267="","",IF(COUNTIFS(VC_cle,J267,VC_type,"Visite sur place",VC_date,"&gt;="&amp;M267,VC_date,"&lt;"&amp;DATE(YEAR(M267),MONTH(M267)+1,1))&gt;0,"Visité","À visiter"))))</f>
        <v/>
      </c>
    </row>
    <row r="268" ht="18" customHeight="1">
      <c r="A268" s="39" t="n">
        <v>263</v>
      </c>
      <c r="B268" s="49" t="n"/>
      <c r="C268" s="43" t="n"/>
      <c r="D268" s="32" t="n"/>
      <c r="E268" s="36" t="n"/>
      <c r="F268" s="36" t="n"/>
      <c r="G268" s="36" t="n"/>
      <c r="H268" s="33">
        <f>IF(E268="","",Commercial_Id)</f>
        <v/>
      </c>
      <c r="I268" s="39">
        <f>IF(E268="","",IFERROR(VALUE(MID(E268,LEN(E268)-3,3)),""))</f>
        <v/>
      </c>
      <c r="J268" s="33">
        <f>IF(I268="","",H268&amp;"|"&amp;I268)</f>
        <v/>
      </c>
      <c r="K268" s="33">
        <f>IF(I268="","",IF(H268="À RENSEIGNER","GIC",H268)&amp;"-"&amp;TEXT(I268,"000"))</f>
        <v/>
      </c>
      <c r="L268" s="33">
        <f>IF(J268="","",IFERROR(INDEX(Cl_nom,MATCH(J268,Cl_cle,0)),"(client introuvable)"))</f>
        <v/>
      </c>
      <c r="M268" s="46">
        <f>IF(B268="","",DATE(YEAR(B268),MONTH(B268),1))</f>
        <v/>
      </c>
      <c r="N268" s="33">
        <f>IF(J268="","",IFERROR(INDEX(Cl_quartier,MATCH(J268,Cl_cle,0))&amp;"",""))</f>
        <v/>
      </c>
      <c r="O268" s="33">
        <f>IF(J268="","",IFERROR(INDEX(Cl_tel,MATCH(J268,Cl_cle,0))&amp;"",""))</f>
        <v/>
      </c>
      <c r="P268" s="34">
        <f>IF(J268="","",IFERROR(INDEX(Cl_potentiel,MATCH(J268,Cl_cle,0)),""))</f>
        <v/>
      </c>
      <c r="Q268" s="34">
        <f>IF(J268="","",IF(D268&lt;&gt;"",IF(COUNTIFS(VC_cle,J268,VC_type,"Visite sur place",VC_date,D268)&gt;0,"Visité",IF(D268&lt;TODAY(),"Non fait","À venir")),IF(B268="","",IF(COUNTIFS(VC_cle,J268,VC_type,"Visite sur place",VC_date,"&gt;="&amp;M268,VC_date,"&lt;"&amp;DATE(YEAR(M268),MONTH(M268)+1,1))&gt;0,"Visité","À visiter"))))</f>
        <v/>
      </c>
    </row>
    <row r="269" ht="18" customHeight="1">
      <c r="A269" s="39" t="n">
        <v>264</v>
      </c>
      <c r="B269" s="49" t="n"/>
      <c r="C269" s="43" t="n"/>
      <c r="D269" s="32" t="n"/>
      <c r="E269" s="36" t="n"/>
      <c r="F269" s="36" t="n"/>
      <c r="G269" s="36" t="n"/>
      <c r="H269" s="33">
        <f>IF(E269="","",Commercial_Id)</f>
        <v/>
      </c>
      <c r="I269" s="39">
        <f>IF(E269="","",IFERROR(VALUE(MID(E269,LEN(E269)-3,3)),""))</f>
        <v/>
      </c>
      <c r="J269" s="33">
        <f>IF(I269="","",H269&amp;"|"&amp;I269)</f>
        <v/>
      </c>
      <c r="K269" s="33">
        <f>IF(I269="","",IF(H269="À RENSEIGNER","GIC",H269)&amp;"-"&amp;TEXT(I269,"000"))</f>
        <v/>
      </c>
      <c r="L269" s="33">
        <f>IF(J269="","",IFERROR(INDEX(Cl_nom,MATCH(J269,Cl_cle,0)),"(client introuvable)"))</f>
        <v/>
      </c>
      <c r="M269" s="46">
        <f>IF(B269="","",DATE(YEAR(B269),MONTH(B269),1))</f>
        <v/>
      </c>
      <c r="N269" s="33">
        <f>IF(J269="","",IFERROR(INDEX(Cl_quartier,MATCH(J269,Cl_cle,0))&amp;"",""))</f>
        <v/>
      </c>
      <c r="O269" s="33">
        <f>IF(J269="","",IFERROR(INDEX(Cl_tel,MATCH(J269,Cl_cle,0))&amp;"",""))</f>
        <v/>
      </c>
      <c r="P269" s="34">
        <f>IF(J269="","",IFERROR(INDEX(Cl_potentiel,MATCH(J269,Cl_cle,0)),""))</f>
        <v/>
      </c>
      <c r="Q269" s="34">
        <f>IF(J269="","",IF(D269&lt;&gt;"",IF(COUNTIFS(VC_cle,J269,VC_type,"Visite sur place",VC_date,D269)&gt;0,"Visité",IF(D269&lt;TODAY(),"Non fait","À venir")),IF(B269="","",IF(COUNTIFS(VC_cle,J269,VC_type,"Visite sur place",VC_date,"&gt;="&amp;M269,VC_date,"&lt;"&amp;DATE(YEAR(M269),MONTH(M269)+1,1))&gt;0,"Visité","À visiter"))))</f>
        <v/>
      </c>
    </row>
    <row r="270" ht="18" customHeight="1">
      <c r="A270" s="39" t="n">
        <v>265</v>
      </c>
      <c r="B270" s="49" t="n"/>
      <c r="C270" s="43" t="n"/>
      <c r="D270" s="32" t="n"/>
      <c r="E270" s="36" t="n"/>
      <c r="F270" s="36" t="n"/>
      <c r="G270" s="36" t="n"/>
      <c r="H270" s="33">
        <f>IF(E270="","",Commercial_Id)</f>
        <v/>
      </c>
      <c r="I270" s="39">
        <f>IF(E270="","",IFERROR(VALUE(MID(E270,LEN(E270)-3,3)),""))</f>
        <v/>
      </c>
      <c r="J270" s="33">
        <f>IF(I270="","",H270&amp;"|"&amp;I270)</f>
        <v/>
      </c>
      <c r="K270" s="33">
        <f>IF(I270="","",IF(H270="À RENSEIGNER","GIC",H270)&amp;"-"&amp;TEXT(I270,"000"))</f>
        <v/>
      </c>
      <c r="L270" s="33">
        <f>IF(J270="","",IFERROR(INDEX(Cl_nom,MATCH(J270,Cl_cle,0)),"(client introuvable)"))</f>
        <v/>
      </c>
      <c r="M270" s="46">
        <f>IF(B270="","",DATE(YEAR(B270),MONTH(B270),1))</f>
        <v/>
      </c>
      <c r="N270" s="33">
        <f>IF(J270="","",IFERROR(INDEX(Cl_quartier,MATCH(J270,Cl_cle,0))&amp;"",""))</f>
        <v/>
      </c>
      <c r="O270" s="33">
        <f>IF(J270="","",IFERROR(INDEX(Cl_tel,MATCH(J270,Cl_cle,0))&amp;"",""))</f>
        <v/>
      </c>
      <c r="P270" s="34">
        <f>IF(J270="","",IFERROR(INDEX(Cl_potentiel,MATCH(J270,Cl_cle,0)),""))</f>
        <v/>
      </c>
      <c r="Q270" s="34">
        <f>IF(J270="","",IF(D270&lt;&gt;"",IF(COUNTIFS(VC_cle,J270,VC_type,"Visite sur place",VC_date,D270)&gt;0,"Visité",IF(D270&lt;TODAY(),"Non fait","À venir")),IF(B270="","",IF(COUNTIFS(VC_cle,J270,VC_type,"Visite sur place",VC_date,"&gt;="&amp;M270,VC_date,"&lt;"&amp;DATE(YEAR(M270),MONTH(M270)+1,1))&gt;0,"Visité","À visiter"))))</f>
        <v/>
      </c>
    </row>
    <row r="271" ht="18" customHeight="1">
      <c r="A271" s="39" t="n">
        <v>266</v>
      </c>
      <c r="B271" s="49" t="n"/>
      <c r="C271" s="43" t="n"/>
      <c r="D271" s="32" t="n"/>
      <c r="E271" s="36" t="n"/>
      <c r="F271" s="36" t="n"/>
      <c r="G271" s="36" t="n"/>
      <c r="H271" s="33">
        <f>IF(E271="","",Commercial_Id)</f>
        <v/>
      </c>
      <c r="I271" s="39">
        <f>IF(E271="","",IFERROR(VALUE(MID(E271,LEN(E271)-3,3)),""))</f>
        <v/>
      </c>
      <c r="J271" s="33">
        <f>IF(I271="","",H271&amp;"|"&amp;I271)</f>
        <v/>
      </c>
      <c r="K271" s="33">
        <f>IF(I271="","",IF(H271="À RENSEIGNER","GIC",H271)&amp;"-"&amp;TEXT(I271,"000"))</f>
        <v/>
      </c>
      <c r="L271" s="33">
        <f>IF(J271="","",IFERROR(INDEX(Cl_nom,MATCH(J271,Cl_cle,0)),"(client introuvable)"))</f>
        <v/>
      </c>
      <c r="M271" s="46">
        <f>IF(B271="","",DATE(YEAR(B271),MONTH(B271),1))</f>
        <v/>
      </c>
      <c r="N271" s="33">
        <f>IF(J271="","",IFERROR(INDEX(Cl_quartier,MATCH(J271,Cl_cle,0))&amp;"",""))</f>
        <v/>
      </c>
      <c r="O271" s="33">
        <f>IF(J271="","",IFERROR(INDEX(Cl_tel,MATCH(J271,Cl_cle,0))&amp;"",""))</f>
        <v/>
      </c>
      <c r="P271" s="34">
        <f>IF(J271="","",IFERROR(INDEX(Cl_potentiel,MATCH(J271,Cl_cle,0)),""))</f>
        <v/>
      </c>
      <c r="Q271" s="34">
        <f>IF(J271="","",IF(D271&lt;&gt;"",IF(COUNTIFS(VC_cle,J271,VC_type,"Visite sur place",VC_date,D271)&gt;0,"Visité",IF(D271&lt;TODAY(),"Non fait","À venir")),IF(B271="","",IF(COUNTIFS(VC_cle,J271,VC_type,"Visite sur place",VC_date,"&gt;="&amp;M271,VC_date,"&lt;"&amp;DATE(YEAR(M271),MONTH(M271)+1,1))&gt;0,"Visité","À visiter"))))</f>
        <v/>
      </c>
    </row>
    <row r="272" ht="18" customHeight="1">
      <c r="A272" s="39" t="n">
        <v>267</v>
      </c>
      <c r="B272" s="49" t="n"/>
      <c r="C272" s="43" t="n"/>
      <c r="D272" s="32" t="n"/>
      <c r="E272" s="36" t="n"/>
      <c r="F272" s="36" t="n"/>
      <c r="G272" s="36" t="n"/>
      <c r="H272" s="33">
        <f>IF(E272="","",Commercial_Id)</f>
        <v/>
      </c>
      <c r="I272" s="39">
        <f>IF(E272="","",IFERROR(VALUE(MID(E272,LEN(E272)-3,3)),""))</f>
        <v/>
      </c>
      <c r="J272" s="33">
        <f>IF(I272="","",H272&amp;"|"&amp;I272)</f>
        <v/>
      </c>
      <c r="K272" s="33">
        <f>IF(I272="","",IF(H272="À RENSEIGNER","GIC",H272)&amp;"-"&amp;TEXT(I272,"000"))</f>
        <v/>
      </c>
      <c r="L272" s="33">
        <f>IF(J272="","",IFERROR(INDEX(Cl_nom,MATCH(J272,Cl_cle,0)),"(client introuvable)"))</f>
        <v/>
      </c>
      <c r="M272" s="46">
        <f>IF(B272="","",DATE(YEAR(B272),MONTH(B272),1))</f>
        <v/>
      </c>
      <c r="N272" s="33">
        <f>IF(J272="","",IFERROR(INDEX(Cl_quartier,MATCH(J272,Cl_cle,0))&amp;"",""))</f>
        <v/>
      </c>
      <c r="O272" s="33">
        <f>IF(J272="","",IFERROR(INDEX(Cl_tel,MATCH(J272,Cl_cle,0))&amp;"",""))</f>
        <v/>
      </c>
      <c r="P272" s="34">
        <f>IF(J272="","",IFERROR(INDEX(Cl_potentiel,MATCH(J272,Cl_cle,0)),""))</f>
        <v/>
      </c>
      <c r="Q272" s="34">
        <f>IF(J272="","",IF(D272&lt;&gt;"",IF(COUNTIFS(VC_cle,J272,VC_type,"Visite sur place",VC_date,D272)&gt;0,"Visité",IF(D272&lt;TODAY(),"Non fait","À venir")),IF(B272="","",IF(COUNTIFS(VC_cle,J272,VC_type,"Visite sur place",VC_date,"&gt;="&amp;M272,VC_date,"&lt;"&amp;DATE(YEAR(M272),MONTH(M272)+1,1))&gt;0,"Visité","À visiter"))))</f>
        <v/>
      </c>
    </row>
    <row r="273" ht="18" customHeight="1">
      <c r="A273" s="39" t="n">
        <v>268</v>
      </c>
      <c r="B273" s="49" t="n"/>
      <c r="C273" s="43" t="n"/>
      <c r="D273" s="32" t="n"/>
      <c r="E273" s="36" t="n"/>
      <c r="F273" s="36" t="n"/>
      <c r="G273" s="36" t="n"/>
      <c r="H273" s="33">
        <f>IF(E273="","",Commercial_Id)</f>
        <v/>
      </c>
      <c r="I273" s="39">
        <f>IF(E273="","",IFERROR(VALUE(MID(E273,LEN(E273)-3,3)),""))</f>
        <v/>
      </c>
      <c r="J273" s="33">
        <f>IF(I273="","",H273&amp;"|"&amp;I273)</f>
        <v/>
      </c>
      <c r="K273" s="33">
        <f>IF(I273="","",IF(H273="À RENSEIGNER","GIC",H273)&amp;"-"&amp;TEXT(I273,"000"))</f>
        <v/>
      </c>
      <c r="L273" s="33">
        <f>IF(J273="","",IFERROR(INDEX(Cl_nom,MATCH(J273,Cl_cle,0)),"(client introuvable)"))</f>
        <v/>
      </c>
      <c r="M273" s="46">
        <f>IF(B273="","",DATE(YEAR(B273),MONTH(B273),1))</f>
        <v/>
      </c>
      <c r="N273" s="33">
        <f>IF(J273="","",IFERROR(INDEX(Cl_quartier,MATCH(J273,Cl_cle,0))&amp;"",""))</f>
        <v/>
      </c>
      <c r="O273" s="33">
        <f>IF(J273="","",IFERROR(INDEX(Cl_tel,MATCH(J273,Cl_cle,0))&amp;"",""))</f>
        <v/>
      </c>
      <c r="P273" s="34">
        <f>IF(J273="","",IFERROR(INDEX(Cl_potentiel,MATCH(J273,Cl_cle,0)),""))</f>
        <v/>
      </c>
      <c r="Q273" s="34">
        <f>IF(J273="","",IF(D273&lt;&gt;"",IF(COUNTIFS(VC_cle,J273,VC_type,"Visite sur place",VC_date,D273)&gt;0,"Visité",IF(D273&lt;TODAY(),"Non fait","À venir")),IF(B273="","",IF(COUNTIFS(VC_cle,J273,VC_type,"Visite sur place",VC_date,"&gt;="&amp;M273,VC_date,"&lt;"&amp;DATE(YEAR(M273),MONTH(M273)+1,1))&gt;0,"Visité","À visiter"))))</f>
        <v/>
      </c>
    </row>
    <row r="274" ht="18" customHeight="1">
      <c r="A274" s="39" t="n">
        <v>269</v>
      </c>
      <c r="B274" s="49" t="n"/>
      <c r="C274" s="43" t="n"/>
      <c r="D274" s="32" t="n"/>
      <c r="E274" s="36" t="n"/>
      <c r="F274" s="36" t="n"/>
      <c r="G274" s="36" t="n"/>
      <c r="H274" s="33">
        <f>IF(E274="","",Commercial_Id)</f>
        <v/>
      </c>
      <c r="I274" s="39">
        <f>IF(E274="","",IFERROR(VALUE(MID(E274,LEN(E274)-3,3)),""))</f>
        <v/>
      </c>
      <c r="J274" s="33">
        <f>IF(I274="","",H274&amp;"|"&amp;I274)</f>
        <v/>
      </c>
      <c r="K274" s="33">
        <f>IF(I274="","",IF(H274="À RENSEIGNER","GIC",H274)&amp;"-"&amp;TEXT(I274,"000"))</f>
        <v/>
      </c>
      <c r="L274" s="33">
        <f>IF(J274="","",IFERROR(INDEX(Cl_nom,MATCH(J274,Cl_cle,0)),"(client introuvable)"))</f>
        <v/>
      </c>
      <c r="M274" s="46">
        <f>IF(B274="","",DATE(YEAR(B274),MONTH(B274),1))</f>
        <v/>
      </c>
      <c r="N274" s="33">
        <f>IF(J274="","",IFERROR(INDEX(Cl_quartier,MATCH(J274,Cl_cle,0))&amp;"",""))</f>
        <v/>
      </c>
      <c r="O274" s="33">
        <f>IF(J274="","",IFERROR(INDEX(Cl_tel,MATCH(J274,Cl_cle,0))&amp;"",""))</f>
        <v/>
      </c>
      <c r="P274" s="34">
        <f>IF(J274="","",IFERROR(INDEX(Cl_potentiel,MATCH(J274,Cl_cle,0)),""))</f>
        <v/>
      </c>
      <c r="Q274" s="34">
        <f>IF(J274="","",IF(D274&lt;&gt;"",IF(COUNTIFS(VC_cle,J274,VC_type,"Visite sur place",VC_date,D274)&gt;0,"Visité",IF(D274&lt;TODAY(),"Non fait","À venir")),IF(B274="","",IF(COUNTIFS(VC_cle,J274,VC_type,"Visite sur place",VC_date,"&gt;="&amp;M274,VC_date,"&lt;"&amp;DATE(YEAR(M274),MONTH(M274)+1,1))&gt;0,"Visité","À visiter"))))</f>
        <v/>
      </c>
    </row>
    <row r="275" ht="18" customHeight="1">
      <c r="A275" s="39" t="n">
        <v>270</v>
      </c>
      <c r="B275" s="49" t="n"/>
      <c r="C275" s="43" t="n"/>
      <c r="D275" s="32" t="n"/>
      <c r="E275" s="36" t="n"/>
      <c r="F275" s="36" t="n"/>
      <c r="G275" s="36" t="n"/>
      <c r="H275" s="33">
        <f>IF(E275="","",Commercial_Id)</f>
        <v/>
      </c>
      <c r="I275" s="39">
        <f>IF(E275="","",IFERROR(VALUE(MID(E275,LEN(E275)-3,3)),""))</f>
        <v/>
      </c>
      <c r="J275" s="33">
        <f>IF(I275="","",H275&amp;"|"&amp;I275)</f>
        <v/>
      </c>
      <c r="K275" s="33">
        <f>IF(I275="","",IF(H275="À RENSEIGNER","GIC",H275)&amp;"-"&amp;TEXT(I275,"000"))</f>
        <v/>
      </c>
      <c r="L275" s="33">
        <f>IF(J275="","",IFERROR(INDEX(Cl_nom,MATCH(J275,Cl_cle,0)),"(client introuvable)"))</f>
        <v/>
      </c>
      <c r="M275" s="46">
        <f>IF(B275="","",DATE(YEAR(B275),MONTH(B275),1))</f>
        <v/>
      </c>
      <c r="N275" s="33">
        <f>IF(J275="","",IFERROR(INDEX(Cl_quartier,MATCH(J275,Cl_cle,0))&amp;"",""))</f>
        <v/>
      </c>
      <c r="O275" s="33">
        <f>IF(J275="","",IFERROR(INDEX(Cl_tel,MATCH(J275,Cl_cle,0))&amp;"",""))</f>
        <v/>
      </c>
      <c r="P275" s="34">
        <f>IF(J275="","",IFERROR(INDEX(Cl_potentiel,MATCH(J275,Cl_cle,0)),""))</f>
        <v/>
      </c>
      <c r="Q275" s="34">
        <f>IF(J275="","",IF(D275&lt;&gt;"",IF(COUNTIFS(VC_cle,J275,VC_type,"Visite sur place",VC_date,D275)&gt;0,"Visité",IF(D275&lt;TODAY(),"Non fait","À venir")),IF(B275="","",IF(COUNTIFS(VC_cle,J275,VC_type,"Visite sur place",VC_date,"&gt;="&amp;M275,VC_date,"&lt;"&amp;DATE(YEAR(M275),MONTH(M275)+1,1))&gt;0,"Visité","À visiter"))))</f>
        <v/>
      </c>
    </row>
    <row r="276" ht="18" customHeight="1">
      <c r="A276" s="39" t="n">
        <v>271</v>
      </c>
      <c r="B276" s="49" t="n"/>
      <c r="C276" s="43" t="n"/>
      <c r="D276" s="32" t="n"/>
      <c r="E276" s="36" t="n"/>
      <c r="F276" s="36" t="n"/>
      <c r="G276" s="36" t="n"/>
      <c r="H276" s="33">
        <f>IF(E276="","",Commercial_Id)</f>
        <v/>
      </c>
      <c r="I276" s="39">
        <f>IF(E276="","",IFERROR(VALUE(MID(E276,LEN(E276)-3,3)),""))</f>
        <v/>
      </c>
      <c r="J276" s="33">
        <f>IF(I276="","",H276&amp;"|"&amp;I276)</f>
        <v/>
      </c>
      <c r="K276" s="33">
        <f>IF(I276="","",IF(H276="À RENSEIGNER","GIC",H276)&amp;"-"&amp;TEXT(I276,"000"))</f>
        <v/>
      </c>
      <c r="L276" s="33">
        <f>IF(J276="","",IFERROR(INDEX(Cl_nom,MATCH(J276,Cl_cle,0)),"(client introuvable)"))</f>
        <v/>
      </c>
      <c r="M276" s="46">
        <f>IF(B276="","",DATE(YEAR(B276),MONTH(B276),1))</f>
        <v/>
      </c>
      <c r="N276" s="33">
        <f>IF(J276="","",IFERROR(INDEX(Cl_quartier,MATCH(J276,Cl_cle,0))&amp;"",""))</f>
        <v/>
      </c>
      <c r="O276" s="33">
        <f>IF(J276="","",IFERROR(INDEX(Cl_tel,MATCH(J276,Cl_cle,0))&amp;"",""))</f>
        <v/>
      </c>
      <c r="P276" s="34">
        <f>IF(J276="","",IFERROR(INDEX(Cl_potentiel,MATCH(J276,Cl_cle,0)),""))</f>
        <v/>
      </c>
      <c r="Q276" s="34">
        <f>IF(J276="","",IF(D276&lt;&gt;"",IF(COUNTIFS(VC_cle,J276,VC_type,"Visite sur place",VC_date,D276)&gt;0,"Visité",IF(D276&lt;TODAY(),"Non fait","À venir")),IF(B276="","",IF(COUNTIFS(VC_cle,J276,VC_type,"Visite sur place",VC_date,"&gt;="&amp;M276,VC_date,"&lt;"&amp;DATE(YEAR(M276),MONTH(M276)+1,1))&gt;0,"Visité","À visiter"))))</f>
        <v/>
      </c>
    </row>
    <row r="277" ht="18" customHeight="1">
      <c r="A277" s="39" t="n">
        <v>272</v>
      </c>
      <c r="B277" s="49" t="n"/>
      <c r="C277" s="43" t="n"/>
      <c r="D277" s="32" t="n"/>
      <c r="E277" s="36" t="n"/>
      <c r="F277" s="36" t="n"/>
      <c r="G277" s="36" t="n"/>
      <c r="H277" s="33">
        <f>IF(E277="","",Commercial_Id)</f>
        <v/>
      </c>
      <c r="I277" s="39">
        <f>IF(E277="","",IFERROR(VALUE(MID(E277,LEN(E277)-3,3)),""))</f>
        <v/>
      </c>
      <c r="J277" s="33">
        <f>IF(I277="","",H277&amp;"|"&amp;I277)</f>
        <v/>
      </c>
      <c r="K277" s="33">
        <f>IF(I277="","",IF(H277="À RENSEIGNER","GIC",H277)&amp;"-"&amp;TEXT(I277,"000"))</f>
        <v/>
      </c>
      <c r="L277" s="33">
        <f>IF(J277="","",IFERROR(INDEX(Cl_nom,MATCH(J277,Cl_cle,0)),"(client introuvable)"))</f>
        <v/>
      </c>
      <c r="M277" s="46">
        <f>IF(B277="","",DATE(YEAR(B277),MONTH(B277),1))</f>
        <v/>
      </c>
      <c r="N277" s="33">
        <f>IF(J277="","",IFERROR(INDEX(Cl_quartier,MATCH(J277,Cl_cle,0))&amp;"",""))</f>
        <v/>
      </c>
      <c r="O277" s="33">
        <f>IF(J277="","",IFERROR(INDEX(Cl_tel,MATCH(J277,Cl_cle,0))&amp;"",""))</f>
        <v/>
      </c>
      <c r="P277" s="34">
        <f>IF(J277="","",IFERROR(INDEX(Cl_potentiel,MATCH(J277,Cl_cle,0)),""))</f>
        <v/>
      </c>
      <c r="Q277" s="34">
        <f>IF(J277="","",IF(D277&lt;&gt;"",IF(COUNTIFS(VC_cle,J277,VC_type,"Visite sur place",VC_date,D277)&gt;0,"Visité",IF(D277&lt;TODAY(),"Non fait","À venir")),IF(B277="","",IF(COUNTIFS(VC_cle,J277,VC_type,"Visite sur place",VC_date,"&gt;="&amp;M277,VC_date,"&lt;"&amp;DATE(YEAR(M277),MONTH(M277)+1,1))&gt;0,"Visité","À visiter"))))</f>
        <v/>
      </c>
    </row>
    <row r="278" ht="18" customHeight="1">
      <c r="A278" s="39" t="n">
        <v>273</v>
      </c>
      <c r="B278" s="49" t="n"/>
      <c r="C278" s="43" t="n"/>
      <c r="D278" s="32" t="n"/>
      <c r="E278" s="36" t="n"/>
      <c r="F278" s="36" t="n"/>
      <c r="G278" s="36" t="n"/>
      <c r="H278" s="33">
        <f>IF(E278="","",Commercial_Id)</f>
        <v/>
      </c>
      <c r="I278" s="39">
        <f>IF(E278="","",IFERROR(VALUE(MID(E278,LEN(E278)-3,3)),""))</f>
        <v/>
      </c>
      <c r="J278" s="33">
        <f>IF(I278="","",H278&amp;"|"&amp;I278)</f>
        <v/>
      </c>
      <c r="K278" s="33">
        <f>IF(I278="","",IF(H278="À RENSEIGNER","GIC",H278)&amp;"-"&amp;TEXT(I278,"000"))</f>
        <v/>
      </c>
      <c r="L278" s="33">
        <f>IF(J278="","",IFERROR(INDEX(Cl_nom,MATCH(J278,Cl_cle,0)),"(client introuvable)"))</f>
        <v/>
      </c>
      <c r="M278" s="46">
        <f>IF(B278="","",DATE(YEAR(B278),MONTH(B278),1))</f>
        <v/>
      </c>
      <c r="N278" s="33">
        <f>IF(J278="","",IFERROR(INDEX(Cl_quartier,MATCH(J278,Cl_cle,0))&amp;"",""))</f>
        <v/>
      </c>
      <c r="O278" s="33">
        <f>IF(J278="","",IFERROR(INDEX(Cl_tel,MATCH(J278,Cl_cle,0))&amp;"",""))</f>
        <v/>
      </c>
      <c r="P278" s="34">
        <f>IF(J278="","",IFERROR(INDEX(Cl_potentiel,MATCH(J278,Cl_cle,0)),""))</f>
        <v/>
      </c>
      <c r="Q278" s="34">
        <f>IF(J278="","",IF(D278&lt;&gt;"",IF(COUNTIFS(VC_cle,J278,VC_type,"Visite sur place",VC_date,D278)&gt;0,"Visité",IF(D278&lt;TODAY(),"Non fait","À venir")),IF(B278="","",IF(COUNTIFS(VC_cle,J278,VC_type,"Visite sur place",VC_date,"&gt;="&amp;M278,VC_date,"&lt;"&amp;DATE(YEAR(M278),MONTH(M278)+1,1))&gt;0,"Visité","À visiter"))))</f>
        <v/>
      </c>
    </row>
    <row r="279" ht="18" customHeight="1">
      <c r="A279" s="39" t="n">
        <v>274</v>
      </c>
      <c r="B279" s="49" t="n"/>
      <c r="C279" s="43" t="n"/>
      <c r="D279" s="32" t="n"/>
      <c r="E279" s="36" t="n"/>
      <c r="F279" s="36" t="n"/>
      <c r="G279" s="36" t="n"/>
      <c r="H279" s="33">
        <f>IF(E279="","",Commercial_Id)</f>
        <v/>
      </c>
      <c r="I279" s="39">
        <f>IF(E279="","",IFERROR(VALUE(MID(E279,LEN(E279)-3,3)),""))</f>
        <v/>
      </c>
      <c r="J279" s="33">
        <f>IF(I279="","",H279&amp;"|"&amp;I279)</f>
        <v/>
      </c>
      <c r="K279" s="33">
        <f>IF(I279="","",IF(H279="À RENSEIGNER","GIC",H279)&amp;"-"&amp;TEXT(I279,"000"))</f>
        <v/>
      </c>
      <c r="L279" s="33">
        <f>IF(J279="","",IFERROR(INDEX(Cl_nom,MATCH(J279,Cl_cle,0)),"(client introuvable)"))</f>
        <v/>
      </c>
      <c r="M279" s="46">
        <f>IF(B279="","",DATE(YEAR(B279),MONTH(B279),1))</f>
        <v/>
      </c>
      <c r="N279" s="33">
        <f>IF(J279="","",IFERROR(INDEX(Cl_quartier,MATCH(J279,Cl_cle,0))&amp;"",""))</f>
        <v/>
      </c>
      <c r="O279" s="33">
        <f>IF(J279="","",IFERROR(INDEX(Cl_tel,MATCH(J279,Cl_cle,0))&amp;"",""))</f>
        <v/>
      </c>
      <c r="P279" s="34">
        <f>IF(J279="","",IFERROR(INDEX(Cl_potentiel,MATCH(J279,Cl_cle,0)),""))</f>
        <v/>
      </c>
      <c r="Q279" s="34">
        <f>IF(J279="","",IF(D279&lt;&gt;"",IF(COUNTIFS(VC_cle,J279,VC_type,"Visite sur place",VC_date,D279)&gt;0,"Visité",IF(D279&lt;TODAY(),"Non fait","À venir")),IF(B279="","",IF(COUNTIFS(VC_cle,J279,VC_type,"Visite sur place",VC_date,"&gt;="&amp;M279,VC_date,"&lt;"&amp;DATE(YEAR(M279),MONTH(M279)+1,1))&gt;0,"Visité","À visiter"))))</f>
        <v/>
      </c>
    </row>
    <row r="280" ht="18" customHeight="1">
      <c r="A280" s="39" t="n">
        <v>275</v>
      </c>
      <c r="B280" s="49" t="n"/>
      <c r="C280" s="43" t="n"/>
      <c r="D280" s="32" t="n"/>
      <c r="E280" s="36" t="n"/>
      <c r="F280" s="36" t="n"/>
      <c r="G280" s="36" t="n"/>
      <c r="H280" s="33">
        <f>IF(E280="","",Commercial_Id)</f>
        <v/>
      </c>
      <c r="I280" s="39">
        <f>IF(E280="","",IFERROR(VALUE(MID(E280,LEN(E280)-3,3)),""))</f>
        <v/>
      </c>
      <c r="J280" s="33">
        <f>IF(I280="","",H280&amp;"|"&amp;I280)</f>
        <v/>
      </c>
      <c r="K280" s="33">
        <f>IF(I280="","",IF(H280="À RENSEIGNER","GIC",H280)&amp;"-"&amp;TEXT(I280,"000"))</f>
        <v/>
      </c>
      <c r="L280" s="33">
        <f>IF(J280="","",IFERROR(INDEX(Cl_nom,MATCH(J280,Cl_cle,0)),"(client introuvable)"))</f>
        <v/>
      </c>
      <c r="M280" s="46">
        <f>IF(B280="","",DATE(YEAR(B280),MONTH(B280),1))</f>
        <v/>
      </c>
      <c r="N280" s="33">
        <f>IF(J280="","",IFERROR(INDEX(Cl_quartier,MATCH(J280,Cl_cle,0))&amp;"",""))</f>
        <v/>
      </c>
      <c r="O280" s="33">
        <f>IF(J280="","",IFERROR(INDEX(Cl_tel,MATCH(J280,Cl_cle,0))&amp;"",""))</f>
        <v/>
      </c>
      <c r="P280" s="34">
        <f>IF(J280="","",IFERROR(INDEX(Cl_potentiel,MATCH(J280,Cl_cle,0)),""))</f>
        <v/>
      </c>
      <c r="Q280" s="34">
        <f>IF(J280="","",IF(D280&lt;&gt;"",IF(COUNTIFS(VC_cle,J280,VC_type,"Visite sur place",VC_date,D280)&gt;0,"Visité",IF(D280&lt;TODAY(),"Non fait","À venir")),IF(B280="","",IF(COUNTIFS(VC_cle,J280,VC_type,"Visite sur place",VC_date,"&gt;="&amp;M280,VC_date,"&lt;"&amp;DATE(YEAR(M280),MONTH(M280)+1,1))&gt;0,"Visité","À visiter"))))</f>
        <v/>
      </c>
    </row>
    <row r="281" ht="18" customHeight="1">
      <c r="A281" s="39" t="n">
        <v>276</v>
      </c>
      <c r="B281" s="49" t="n"/>
      <c r="C281" s="43" t="n"/>
      <c r="D281" s="32" t="n"/>
      <c r="E281" s="36" t="n"/>
      <c r="F281" s="36" t="n"/>
      <c r="G281" s="36" t="n"/>
      <c r="H281" s="33">
        <f>IF(E281="","",Commercial_Id)</f>
        <v/>
      </c>
      <c r="I281" s="39">
        <f>IF(E281="","",IFERROR(VALUE(MID(E281,LEN(E281)-3,3)),""))</f>
        <v/>
      </c>
      <c r="J281" s="33">
        <f>IF(I281="","",H281&amp;"|"&amp;I281)</f>
        <v/>
      </c>
      <c r="K281" s="33">
        <f>IF(I281="","",IF(H281="À RENSEIGNER","GIC",H281)&amp;"-"&amp;TEXT(I281,"000"))</f>
        <v/>
      </c>
      <c r="L281" s="33">
        <f>IF(J281="","",IFERROR(INDEX(Cl_nom,MATCH(J281,Cl_cle,0)),"(client introuvable)"))</f>
        <v/>
      </c>
      <c r="M281" s="46">
        <f>IF(B281="","",DATE(YEAR(B281),MONTH(B281),1))</f>
        <v/>
      </c>
      <c r="N281" s="33">
        <f>IF(J281="","",IFERROR(INDEX(Cl_quartier,MATCH(J281,Cl_cle,0))&amp;"",""))</f>
        <v/>
      </c>
      <c r="O281" s="33">
        <f>IF(J281="","",IFERROR(INDEX(Cl_tel,MATCH(J281,Cl_cle,0))&amp;"",""))</f>
        <v/>
      </c>
      <c r="P281" s="34">
        <f>IF(J281="","",IFERROR(INDEX(Cl_potentiel,MATCH(J281,Cl_cle,0)),""))</f>
        <v/>
      </c>
      <c r="Q281" s="34">
        <f>IF(J281="","",IF(D281&lt;&gt;"",IF(COUNTIFS(VC_cle,J281,VC_type,"Visite sur place",VC_date,D281)&gt;0,"Visité",IF(D281&lt;TODAY(),"Non fait","À venir")),IF(B281="","",IF(COUNTIFS(VC_cle,J281,VC_type,"Visite sur place",VC_date,"&gt;="&amp;M281,VC_date,"&lt;"&amp;DATE(YEAR(M281),MONTH(M281)+1,1))&gt;0,"Visité","À visiter"))))</f>
        <v/>
      </c>
    </row>
    <row r="282" ht="18" customHeight="1">
      <c r="A282" s="39" t="n">
        <v>277</v>
      </c>
      <c r="B282" s="49" t="n"/>
      <c r="C282" s="43" t="n"/>
      <c r="D282" s="32" t="n"/>
      <c r="E282" s="36" t="n"/>
      <c r="F282" s="36" t="n"/>
      <c r="G282" s="36" t="n"/>
      <c r="H282" s="33">
        <f>IF(E282="","",Commercial_Id)</f>
        <v/>
      </c>
      <c r="I282" s="39">
        <f>IF(E282="","",IFERROR(VALUE(MID(E282,LEN(E282)-3,3)),""))</f>
        <v/>
      </c>
      <c r="J282" s="33">
        <f>IF(I282="","",H282&amp;"|"&amp;I282)</f>
        <v/>
      </c>
      <c r="K282" s="33">
        <f>IF(I282="","",IF(H282="À RENSEIGNER","GIC",H282)&amp;"-"&amp;TEXT(I282,"000"))</f>
        <v/>
      </c>
      <c r="L282" s="33">
        <f>IF(J282="","",IFERROR(INDEX(Cl_nom,MATCH(J282,Cl_cle,0)),"(client introuvable)"))</f>
        <v/>
      </c>
      <c r="M282" s="46">
        <f>IF(B282="","",DATE(YEAR(B282),MONTH(B282),1))</f>
        <v/>
      </c>
      <c r="N282" s="33">
        <f>IF(J282="","",IFERROR(INDEX(Cl_quartier,MATCH(J282,Cl_cle,0))&amp;"",""))</f>
        <v/>
      </c>
      <c r="O282" s="33">
        <f>IF(J282="","",IFERROR(INDEX(Cl_tel,MATCH(J282,Cl_cle,0))&amp;"",""))</f>
        <v/>
      </c>
      <c r="P282" s="34">
        <f>IF(J282="","",IFERROR(INDEX(Cl_potentiel,MATCH(J282,Cl_cle,0)),""))</f>
        <v/>
      </c>
      <c r="Q282" s="34">
        <f>IF(J282="","",IF(D282&lt;&gt;"",IF(COUNTIFS(VC_cle,J282,VC_type,"Visite sur place",VC_date,D282)&gt;0,"Visité",IF(D282&lt;TODAY(),"Non fait","À venir")),IF(B282="","",IF(COUNTIFS(VC_cle,J282,VC_type,"Visite sur place",VC_date,"&gt;="&amp;M282,VC_date,"&lt;"&amp;DATE(YEAR(M282),MONTH(M282)+1,1))&gt;0,"Visité","À visiter"))))</f>
        <v/>
      </c>
    </row>
    <row r="283" ht="18" customHeight="1">
      <c r="A283" s="39" t="n">
        <v>278</v>
      </c>
      <c r="B283" s="49" t="n"/>
      <c r="C283" s="43" t="n"/>
      <c r="D283" s="32" t="n"/>
      <c r="E283" s="36" t="n"/>
      <c r="F283" s="36" t="n"/>
      <c r="G283" s="36" t="n"/>
      <c r="H283" s="33">
        <f>IF(E283="","",Commercial_Id)</f>
        <v/>
      </c>
      <c r="I283" s="39">
        <f>IF(E283="","",IFERROR(VALUE(MID(E283,LEN(E283)-3,3)),""))</f>
        <v/>
      </c>
      <c r="J283" s="33">
        <f>IF(I283="","",H283&amp;"|"&amp;I283)</f>
        <v/>
      </c>
      <c r="K283" s="33">
        <f>IF(I283="","",IF(H283="À RENSEIGNER","GIC",H283)&amp;"-"&amp;TEXT(I283,"000"))</f>
        <v/>
      </c>
      <c r="L283" s="33">
        <f>IF(J283="","",IFERROR(INDEX(Cl_nom,MATCH(J283,Cl_cle,0)),"(client introuvable)"))</f>
        <v/>
      </c>
      <c r="M283" s="46">
        <f>IF(B283="","",DATE(YEAR(B283),MONTH(B283),1))</f>
        <v/>
      </c>
      <c r="N283" s="33">
        <f>IF(J283="","",IFERROR(INDEX(Cl_quartier,MATCH(J283,Cl_cle,0))&amp;"",""))</f>
        <v/>
      </c>
      <c r="O283" s="33">
        <f>IF(J283="","",IFERROR(INDEX(Cl_tel,MATCH(J283,Cl_cle,0))&amp;"",""))</f>
        <v/>
      </c>
      <c r="P283" s="34">
        <f>IF(J283="","",IFERROR(INDEX(Cl_potentiel,MATCH(J283,Cl_cle,0)),""))</f>
        <v/>
      </c>
      <c r="Q283" s="34">
        <f>IF(J283="","",IF(D283&lt;&gt;"",IF(COUNTIFS(VC_cle,J283,VC_type,"Visite sur place",VC_date,D283)&gt;0,"Visité",IF(D283&lt;TODAY(),"Non fait","À venir")),IF(B283="","",IF(COUNTIFS(VC_cle,J283,VC_type,"Visite sur place",VC_date,"&gt;="&amp;M283,VC_date,"&lt;"&amp;DATE(YEAR(M283),MONTH(M283)+1,1))&gt;0,"Visité","À visiter"))))</f>
        <v/>
      </c>
    </row>
    <row r="284" ht="18" customHeight="1">
      <c r="A284" s="39" t="n">
        <v>279</v>
      </c>
      <c r="B284" s="49" t="n"/>
      <c r="C284" s="43" t="n"/>
      <c r="D284" s="32" t="n"/>
      <c r="E284" s="36" t="n"/>
      <c r="F284" s="36" t="n"/>
      <c r="G284" s="36" t="n"/>
      <c r="H284" s="33">
        <f>IF(E284="","",Commercial_Id)</f>
        <v/>
      </c>
      <c r="I284" s="39">
        <f>IF(E284="","",IFERROR(VALUE(MID(E284,LEN(E284)-3,3)),""))</f>
        <v/>
      </c>
      <c r="J284" s="33">
        <f>IF(I284="","",H284&amp;"|"&amp;I284)</f>
        <v/>
      </c>
      <c r="K284" s="33">
        <f>IF(I284="","",IF(H284="À RENSEIGNER","GIC",H284)&amp;"-"&amp;TEXT(I284,"000"))</f>
        <v/>
      </c>
      <c r="L284" s="33">
        <f>IF(J284="","",IFERROR(INDEX(Cl_nom,MATCH(J284,Cl_cle,0)),"(client introuvable)"))</f>
        <v/>
      </c>
      <c r="M284" s="46">
        <f>IF(B284="","",DATE(YEAR(B284),MONTH(B284),1))</f>
        <v/>
      </c>
      <c r="N284" s="33">
        <f>IF(J284="","",IFERROR(INDEX(Cl_quartier,MATCH(J284,Cl_cle,0))&amp;"",""))</f>
        <v/>
      </c>
      <c r="O284" s="33">
        <f>IF(J284="","",IFERROR(INDEX(Cl_tel,MATCH(J284,Cl_cle,0))&amp;"",""))</f>
        <v/>
      </c>
      <c r="P284" s="34">
        <f>IF(J284="","",IFERROR(INDEX(Cl_potentiel,MATCH(J284,Cl_cle,0)),""))</f>
        <v/>
      </c>
      <c r="Q284" s="34">
        <f>IF(J284="","",IF(D284&lt;&gt;"",IF(COUNTIFS(VC_cle,J284,VC_type,"Visite sur place",VC_date,D284)&gt;0,"Visité",IF(D284&lt;TODAY(),"Non fait","À venir")),IF(B284="","",IF(COUNTIFS(VC_cle,J284,VC_type,"Visite sur place",VC_date,"&gt;="&amp;M284,VC_date,"&lt;"&amp;DATE(YEAR(M284),MONTH(M284)+1,1))&gt;0,"Visité","À visiter"))))</f>
        <v/>
      </c>
    </row>
    <row r="285" ht="18" customHeight="1">
      <c r="A285" s="39" t="n">
        <v>280</v>
      </c>
      <c r="B285" s="49" t="n"/>
      <c r="C285" s="43" t="n"/>
      <c r="D285" s="32" t="n"/>
      <c r="E285" s="36" t="n"/>
      <c r="F285" s="36" t="n"/>
      <c r="G285" s="36" t="n"/>
      <c r="H285" s="33">
        <f>IF(E285="","",Commercial_Id)</f>
        <v/>
      </c>
      <c r="I285" s="39">
        <f>IF(E285="","",IFERROR(VALUE(MID(E285,LEN(E285)-3,3)),""))</f>
        <v/>
      </c>
      <c r="J285" s="33">
        <f>IF(I285="","",H285&amp;"|"&amp;I285)</f>
        <v/>
      </c>
      <c r="K285" s="33">
        <f>IF(I285="","",IF(H285="À RENSEIGNER","GIC",H285)&amp;"-"&amp;TEXT(I285,"000"))</f>
        <v/>
      </c>
      <c r="L285" s="33">
        <f>IF(J285="","",IFERROR(INDEX(Cl_nom,MATCH(J285,Cl_cle,0)),"(client introuvable)"))</f>
        <v/>
      </c>
      <c r="M285" s="46">
        <f>IF(B285="","",DATE(YEAR(B285),MONTH(B285),1))</f>
        <v/>
      </c>
      <c r="N285" s="33">
        <f>IF(J285="","",IFERROR(INDEX(Cl_quartier,MATCH(J285,Cl_cle,0))&amp;"",""))</f>
        <v/>
      </c>
      <c r="O285" s="33">
        <f>IF(J285="","",IFERROR(INDEX(Cl_tel,MATCH(J285,Cl_cle,0))&amp;"",""))</f>
        <v/>
      </c>
      <c r="P285" s="34">
        <f>IF(J285="","",IFERROR(INDEX(Cl_potentiel,MATCH(J285,Cl_cle,0)),""))</f>
        <v/>
      </c>
      <c r="Q285" s="34">
        <f>IF(J285="","",IF(D285&lt;&gt;"",IF(COUNTIFS(VC_cle,J285,VC_type,"Visite sur place",VC_date,D285)&gt;0,"Visité",IF(D285&lt;TODAY(),"Non fait","À venir")),IF(B285="","",IF(COUNTIFS(VC_cle,J285,VC_type,"Visite sur place",VC_date,"&gt;="&amp;M285,VC_date,"&lt;"&amp;DATE(YEAR(M285),MONTH(M285)+1,1))&gt;0,"Visité","À visiter"))))</f>
        <v/>
      </c>
    </row>
    <row r="286" ht="18" customHeight="1">
      <c r="A286" s="39" t="n">
        <v>281</v>
      </c>
      <c r="B286" s="49" t="n"/>
      <c r="C286" s="43" t="n"/>
      <c r="D286" s="32" t="n"/>
      <c r="E286" s="36" t="n"/>
      <c r="F286" s="36" t="n"/>
      <c r="G286" s="36" t="n"/>
      <c r="H286" s="33">
        <f>IF(E286="","",Commercial_Id)</f>
        <v/>
      </c>
      <c r="I286" s="39">
        <f>IF(E286="","",IFERROR(VALUE(MID(E286,LEN(E286)-3,3)),""))</f>
        <v/>
      </c>
      <c r="J286" s="33">
        <f>IF(I286="","",H286&amp;"|"&amp;I286)</f>
        <v/>
      </c>
      <c r="K286" s="33">
        <f>IF(I286="","",IF(H286="À RENSEIGNER","GIC",H286)&amp;"-"&amp;TEXT(I286,"000"))</f>
        <v/>
      </c>
      <c r="L286" s="33">
        <f>IF(J286="","",IFERROR(INDEX(Cl_nom,MATCH(J286,Cl_cle,0)),"(client introuvable)"))</f>
        <v/>
      </c>
      <c r="M286" s="46">
        <f>IF(B286="","",DATE(YEAR(B286),MONTH(B286),1))</f>
        <v/>
      </c>
      <c r="N286" s="33">
        <f>IF(J286="","",IFERROR(INDEX(Cl_quartier,MATCH(J286,Cl_cle,0))&amp;"",""))</f>
        <v/>
      </c>
      <c r="O286" s="33">
        <f>IF(J286="","",IFERROR(INDEX(Cl_tel,MATCH(J286,Cl_cle,0))&amp;"",""))</f>
        <v/>
      </c>
      <c r="P286" s="34">
        <f>IF(J286="","",IFERROR(INDEX(Cl_potentiel,MATCH(J286,Cl_cle,0)),""))</f>
        <v/>
      </c>
      <c r="Q286" s="34">
        <f>IF(J286="","",IF(D286&lt;&gt;"",IF(COUNTIFS(VC_cle,J286,VC_type,"Visite sur place",VC_date,D286)&gt;0,"Visité",IF(D286&lt;TODAY(),"Non fait","À venir")),IF(B286="","",IF(COUNTIFS(VC_cle,J286,VC_type,"Visite sur place",VC_date,"&gt;="&amp;M286,VC_date,"&lt;"&amp;DATE(YEAR(M286),MONTH(M286)+1,1))&gt;0,"Visité","À visiter"))))</f>
        <v/>
      </c>
    </row>
    <row r="287" ht="18" customHeight="1">
      <c r="A287" s="39" t="n">
        <v>282</v>
      </c>
      <c r="B287" s="49" t="n"/>
      <c r="C287" s="43" t="n"/>
      <c r="D287" s="32" t="n"/>
      <c r="E287" s="36" t="n"/>
      <c r="F287" s="36" t="n"/>
      <c r="G287" s="36" t="n"/>
      <c r="H287" s="33">
        <f>IF(E287="","",Commercial_Id)</f>
        <v/>
      </c>
      <c r="I287" s="39">
        <f>IF(E287="","",IFERROR(VALUE(MID(E287,LEN(E287)-3,3)),""))</f>
        <v/>
      </c>
      <c r="J287" s="33">
        <f>IF(I287="","",H287&amp;"|"&amp;I287)</f>
        <v/>
      </c>
      <c r="K287" s="33">
        <f>IF(I287="","",IF(H287="À RENSEIGNER","GIC",H287)&amp;"-"&amp;TEXT(I287,"000"))</f>
        <v/>
      </c>
      <c r="L287" s="33">
        <f>IF(J287="","",IFERROR(INDEX(Cl_nom,MATCH(J287,Cl_cle,0)),"(client introuvable)"))</f>
        <v/>
      </c>
      <c r="M287" s="46">
        <f>IF(B287="","",DATE(YEAR(B287),MONTH(B287),1))</f>
        <v/>
      </c>
      <c r="N287" s="33">
        <f>IF(J287="","",IFERROR(INDEX(Cl_quartier,MATCH(J287,Cl_cle,0))&amp;"",""))</f>
        <v/>
      </c>
      <c r="O287" s="33">
        <f>IF(J287="","",IFERROR(INDEX(Cl_tel,MATCH(J287,Cl_cle,0))&amp;"",""))</f>
        <v/>
      </c>
      <c r="P287" s="34">
        <f>IF(J287="","",IFERROR(INDEX(Cl_potentiel,MATCH(J287,Cl_cle,0)),""))</f>
        <v/>
      </c>
      <c r="Q287" s="34">
        <f>IF(J287="","",IF(D287&lt;&gt;"",IF(COUNTIFS(VC_cle,J287,VC_type,"Visite sur place",VC_date,D287)&gt;0,"Visité",IF(D287&lt;TODAY(),"Non fait","À venir")),IF(B287="","",IF(COUNTIFS(VC_cle,J287,VC_type,"Visite sur place",VC_date,"&gt;="&amp;M287,VC_date,"&lt;"&amp;DATE(YEAR(M287),MONTH(M287)+1,1))&gt;0,"Visité","À visiter"))))</f>
        <v/>
      </c>
    </row>
    <row r="288" ht="18" customHeight="1">
      <c r="A288" s="39" t="n">
        <v>283</v>
      </c>
      <c r="B288" s="49" t="n"/>
      <c r="C288" s="43" t="n"/>
      <c r="D288" s="32" t="n"/>
      <c r="E288" s="36" t="n"/>
      <c r="F288" s="36" t="n"/>
      <c r="G288" s="36" t="n"/>
      <c r="H288" s="33">
        <f>IF(E288="","",Commercial_Id)</f>
        <v/>
      </c>
      <c r="I288" s="39">
        <f>IF(E288="","",IFERROR(VALUE(MID(E288,LEN(E288)-3,3)),""))</f>
        <v/>
      </c>
      <c r="J288" s="33">
        <f>IF(I288="","",H288&amp;"|"&amp;I288)</f>
        <v/>
      </c>
      <c r="K288" s="33">
        <f>IF(I288="","",IF(H288="À RENSEIGNER","GIC",H288)&amp;"-"&amp;TEXT(I288,"000"))</f>
        <v/>
      </c>
      <c r="L288" s="33">
        <f>IF(J288="","",IFERROR(INDEX(Cl_nom,MATCH(J288,Cl_cle,0)),"(client introuvable)"))</f>
        <v/>
      </c>
      <c r="M288" s="46">
        <f>IF(B288="","",DATE(YEAR(B288),MONTH(B288),1))</f>
        <v/>
      </c>
      <c r="N288" s="33">
        <f>IF(J288="","",IFERROR(INDEX(Cl_quartier,MATCH(J288,Cl_cle,0))&amp;"",""))</f>
        <v/>
      </c>
      <c r="O288" s="33">
        <f>IF(J288="","",IFERROR(INDEX(Cl_tel,MATCH(J288,Cl_cle,0))&amp;"",""))</f>
        <v/>
      </c>
      <c r="P288" s="34">
        <f>IF(J288="","",IFERROR(INDEX(Cl_potentiel,MATCH(J288,Cl_cle,0)),""))</f>
        <v/>
      </c>
      <c r="Q288" s="34">
        <f>IF(J288="","",IF(D288&lt;&gt;"",IF(COUNTIFS(VC_cle,J288,VC_type,"Visite sur place",VC_date,D288)&gt;0,"Visité",IF(D288&lt;TODAY(),"Non fait","À venir")),IF(B288="","",IF(COUNTIFS(VC_cle,J288,VC_type,"Visite sur place",VC_date,"&gt;="&amp;M288,VC_date,"&lt;"&amp;DATE(YEAR(M288),MONTH(M288)+1,1))&gt;0,"Visité","À visiter"))))</f>
        <v/>
      </c>
    </row>
    <row r="289" ht="18" customHeight="1">
      <c r="A289" s="39" t="n">
        <v>284</v>
      </c>
      <c r="B289" s="49" t="n"/>
      <c r="C289" s="43" t="n"/>
      <c r="D289" s="32" t="n"/>
      <c r="E289" s="36" t="n"/>
      <c r="F289" s="36" t="n"/>
      <c r="G289" s="36" t="n"/>
      <c r="H289" s="33">
        <f>IF(E289="","",Commercial_Id)</f>
        <v/>
      </c>
      <c r="I289" s="39">
        <f>IF(E289="","",IFERROR(VALUE(MID(E289,LEN(E289)-3,3)),""))</f>
        <v/>
      </c>
      <c r="J289" s="33">
        <f>IF(I289="","",H289&amp;"|"&amp;I289)</f>
        <v/>
      </c>
      <c r="K289" s="33">
        <f>IF(I289="","",IF(H289="À RENSEIGNER","GIC",H289)&amp;"-"&amp;TEXT(I289,"000"))</f>
        <v/>
      </c>
      <c r="L289" s="33">
        <f>IF(J289="","",IFERROR(INDEX(Cl_nom,MATCH(J289,Cl_cle,0)),"(client introuvable)"))</f>
        <v/>
      </c>
      <c r="M289" s="46">
        <f>IF(B289="","",DATE(YEAR(B289),MONTH(B289),1))</f>
        <v/>
      </c>
      <c r="N289" s="33">
        <f>IF(J289="","",IFERROR(INDEX(Cl_quartier,MATCH(J289,Cl_cle,0))&amp;"",""))</f>
        <v/>
      </c>
      <c r="O289" s="33">
        <f>IF(J289="","",IFERROR(INDEX(Cl_tel,MATCH(J289,Cl_cle,0))&amp;"",""))</f>
        <v/>
      </c>
      <c r="P289" s="34">
        <f>IF(J289="","",IFERROR(INDEX(Cl_potentiel,MATCH(J289,Cl_cle,0)),""))</f>
        <v/>
      </c>
      <c r="Q289" s="34">
        <f>IF(J289="","",IF(D289&lt;&gt;"",IF(COUNTIFS(VC_cle,J289,VC_type,"Visite sur place",VC_date,D289)&gt;0,"Visité",IF(D289&lt;TODAY(),"Non fait","À venir")),IF(B289="","",IF(COUNTIFS(VC_cle,J289,VC_type,"Visite sur place",VC_date,"&gt;="&amp;M289,VC_date,"&lt;"&amp;DATE(YEAR(M289),MONTH(M289)+1,1))&gt;0,"Visité","À visiter"))))</f>
        <v/>
      </c>
    </row>
    <row r="290" ht="18" customHeight="1">
      <c r="A290" s="39" t="n">
        <v>285</v>
      </c>
      <c r="B290" s="49" t="n"/>
      <c r="C290" s="43" t="n"/>
      <c r="D290" s="32" t="n"/>
      <c r="E290" s="36" t="n"/>
      <c r="F290" s="36" t="n"/>
      <c r="G290" s="36" t="n"/>
      <c r="H290" s="33">
        <f>IF(E290="","",Commercial_Id)</f>
        <v/>
      </c>
      <c r="I290" s="39">
        <f>IF(E290="","",IFERROR(VALUE(MID(E290,LEN(E290)-3,3)),""))</f>
        <v/>
      </c>
      <c r="J290" s="33">
        <f>IF(I290="","",H290&amp;"|"&amp;I290)</f>
        <v/>
      </c>
      <c r="K290" s="33">
        <f>IF(I290="","",IF(H290="À RENSEIGNER","GIC",H290)&amp;"-"&amp;TEXT(I290,"000"))</f>
        <v/>
      </c>
      <c r="L290" s="33">
        <f>IF(J290="","",IFERROR(INDEX(Cl_nom,MATCH(J290,Cl_cle,0)),"(client introuvable)"))</f>
        <v/>
      </c>
      <c r="M290" s="46">
        <f>IF(B290="","",DATE(YEAR(B290),MONTH(B290),1))</f>
        <v/>
      </c>
      <c r="N290" s="33">
        <f>IF(J290="","",IFERROR(INDEX(Cl_quartier,MATCH(J290,Cl_cle,0))&amp;"",""))</f>
        <v/>
      </c>
      <c r="O290" s="33">
        <f>IF(J290="","",IFERROR(INDEX(Cl_tel,MATCH(J290,Cl_cle,0))&amp;"",""))</f>
        <v/>
      </c>
      <c r="P290" s="34">
        <f>IF(J290="","",IFERROR(INDEX(Cl_potentiel,MATCH(J290,Cl_cle,0)),""))</f>
        <v/>
      </c>
      <c r="Q290" s="34">
        <f>IF(J290="","",IF(D290&lt;&gt;"",IF(COUNTIFS(VC_cle,J290,VC_type,"Visite sur place",VC_date,D290)&gt;0,"Visité",IF(D290&lt;TODAY(),"Non fait","À venir")),IF(B290="","",IF(COUNTIFS(VC_cle,J290,VC_type,"Visite sur place",VC_date,"&gt;="&amp;M290,VC_date,"&lt;"&amp;DATE(YEAR(M290),MONTH(M290)+1,1))&gt;0,"Visité","À visiter"))))</f>
        <v/>
      </c>
    </row>
    <row r="291" ht="18" customHeight="1">
      <c r="A291" s="39" t="n">
        <v>286</v>
      </c>
      <c r="B291" s="49" t="n"/>
      <c r="C291" s="43" t="n"/>
      <c r="D291" s="32" t="n"/>
      <c r="E291" s="36" t="n"/>
      <c r="F291" s="36" t="n"/>
      <c r="G291" s="36" t="n"/>
      <c r="H291" s="33">
        <f>IF(E291="","",Commercial_Id)</f>
        <v/>
      </c>
      <c r="I291" s="39">
        <f>IF(E291="","",IFERROR(VALUE(MID(E291,LEN(E291)-3,3)),""))</f>
        <v/>
      </c>
      <c r="J291" s="33">
        <f>IF(I291="","",H291&amp;"|"&amp;I291)</f>
        <v/>
      </c>
      <c r="K291" s="33">
        <f>IF(I291="","",IF(H291="À RENSEIGNER","GIC",H291)&amp;"-"&amp;TEXT(I291,"000"))</f>
        <v/>
      </c>
      <c r="L291" s="33">
        <f>IF(J291="","",IFERROR(INDEX(Cl_nom,MATCH(J291,Cl_cle,0)),"(client introuvable)"))</f>
        <v/>
      </c>
      <c r="M291" s="46">
        <f>IF(B291="","",DATE(YEAR(B291),MONTH(B291),1))</f>
        <v/>
      </c>
      <c r="N291" s="33">
        <f>IF(J291="","",IFERROR(INDEX(Cl_quartier,MATCH(J291,Cl_cle,0))&amp;"",""))</f>
        <v/>
      </c>
      <c r="O291" s="33">
        <f>IF(J291="","",IFERROR(INDEX(Cl_tel,MATCH(J291,Cl_cle,0))&amp;"",""))</f>
        <v/>
      </c>
      <c r="P291" s="34">
        <f>IF(J291="","",IFERROR(INDEX(Cl_potentiel,MATCH(J291,Cl_cle,0)),""))</f>
        <v/>
      </c>
      <c r="Q291" s="34">
        <f>IF(J291="","",IF(D291&lt;&gt;"",IF(COUNTIFS(VC_cle,J291,VC_type,"Visite sur place",VC_date,D291)&gt;0,"Visité",IF(D291&lt;TODAY(),"Non fait","À venir")),IF(B291="","",IF(COUNTIFS(VC_cle,J291,VC_type,"Visite sur place",VC_date,"&gt;="&amp;M291,VC_date,"&lt;"&amp;DATE(YEAR(M291),MONTH(M291)+1,1))&gt;0,"Visité","À visiter"))))</f>
        <v/>
      </c>
    </row>
    <row r="292" ht="18" customHeight="1">
      <c r="A292" s="39" t="n">
        <v>287</v>
      </c>
      <c r="B292" s="49" t="n"/>
      <c r="C292" s="43" t="n"/>
      <c r="D292" s="32" t="n"/>
      <c r="E292" s="36" t="n"/>
      <c r="F292" s="36" t="n"/>
      <c r="G292" s="36" t="n"/>
      <c r="H292" s="33">
        <f>IF(E292="","",Commercial_Id)</f>
        <v/>
      </c>
      <c r="I292" s="39">
        <f>IF(E292="","",IFERROR(VALUE(MID(E292,LEN(E292)-3,3)),""))</f>
        <v/>
      </c>
      <c r="J292" s="33">
        <f>IF(I292="","",H292&amp;"|"&amp;I292)</f>
        <v/>
      </c>
      <c r="K292" s="33">
        <f>IF(I292="","",IF(H292="À RENSEIGNER","GIC",H292)&amp;"-"&amp;TEXT(I292,"000"))</f>
        <v/>
      </c>
      <c r="L292" s="33">
        <f>IF(J292="","",IFERROR(INDEX(Cl_nom,MATCH(J292,Cl_cle,0)),"(client introuvable)"))</f>
        <v/>
      </c>
      <c r="M292" s="46">
        <f>IF(B292="","",DATE(YEAR(B292),MONTH(B292),1))</f>
        <v/>
      </c>
      <c r="N292" s="33">
        <f>IF(J292="","",IFERROR(INDEX(Cl_quartier,MATCH(J292,Cl_cle,0))&amp;"",""))</f>
        <v/>
      </c>
      <c r="O292" s="33">
        <f>IF(J292="","",IFERROR(INDEX(Cl_tel,MATCH(J292,Cl_cle,0))&amp;"",""))</f>
        <v/>
      </c>
      <c r="P292" s="34">
        <f>IF(J292="","",IFERROR(INDEX(Cl_potentiel,MATCH(J292,Cl_cle,0)),""))</f>
        <v/>
      </c>
      <c r="Q292" s="34">
        <f>IF(J292="","",IF(D292&lt;&gt;"",IF(COUNTIFS(VC_cle,J292,VC_type,"Visite sur place",VC_date,D292)&gt;0,"Visité",IF(D292&lt;TODAY(),"Non fait","À venir")),IF(B292="","",IF(COUNTIFS(VC_cle,J292,VC_type,"Visite sur place",VC_date,"&gt;="&amp;M292,VC_date,"&lt;"&amp;DATE(YEAR(M292),MONTH(M292)+1,1))&gt;0,"Visité","À visiter"))))</f>
        <v/>
      </c>
    </row>
    <row r="293" ht="18" customHeight="1">
      <c r="A293" s="39" t="n">
        <v>288</v>
      </c>
      <c r="B293" s="49" t="n"/>
      <c r="C293" s="43" t="n"/>
      <c r="D293" s="32" t="n"/>
      <c r="E293" s="36" t="n"/>
      <c r="F293" s="36" t="n"/>
      <c r="G293" s="36" t="n"/>
      <c r="H293" s="33">
        <f>IF(E293="","",Commercial_Id)</f>
        <v/>
      </c>
      <c r="I293" s="39">
        <f>IF(E293="","",IFERROR(VALUE(MID(E293,LEN(E293)-3,3)),""))</f>
        <v/>
      </c>
      <c r="J293" s="33">
        <f>IF(I293="","",H293&amp;"|"&amp;I293)</f>
        <v/>
      </c>
      <c r="K293" s="33">
        <f>IF(I293="","",IF(H293="À RENSEIGNER","GIC",H293)&amp;"-"&amp;TEXT(I293,"000"))</f>
        <v/>
      </c>
      <c r="L293" s="33">
        <f>IF(J293="","",IFERROR(INDEX(Cl_nom,MATCH(J293,Cl_cle,0)),"(client introuvable)"))</f>
        <v/>
      </c>
      <c r="M293" s="46">
        <f>IF(B293="","",DATE(YEAR(B293),MONTH(B293),1))</f>
        <v/>
      </c>
      <c r="N293" s="33">
        <f>IF(J293="","",IFERROR(INDEX(Cl_quartier,MATCH(J293,Cl_cle,0))&amp;"",""))</f>
        <v/>
      </c>
      <c r="O293" s="33">
        <f>IF(J293="","",IFERROR(INDEX(Cl_tel,MATCH(J293,Cl_cle,0))&amp;"",""))</f>
        <v/>
      </c>
      <c r="P293" s="34">
        <f>IF(J293="","",IFERROR(INDEX(Cl_potentiel,MATCH(J293,Cl_cle,0)),""))</f>
        <v/>
      </c>
      <c r="Q293" s="34">
        <f>IF(J293="","",IF(D293&lt;&gt;"",IF(COUNTIFS(VC_cle,J293,VC_type,"Visite sur place",VC_date,D293)&gt;0,"Visité",IF(D293&lt;TODAY(),"Non fait","À venir")),IF(B293="","",IF(COUNTIFS(VC_cle,J293,VC_type,"Visite sur place",VC_date,"&gt;="&amp;M293,VC_date,"&lt;"&amp;DATE(YEAR(M293),MONTH(M293)+1,1))&gt;0,"Visité","À visiter"))))</f>
        <v/>
      </c>
    </row>
    <row r="294" ht="18" customHeight="1">
      <c r="A294" s="39" t="n">
        <v>289</v>
      </c>
      <c r="B294" s="49" t="n"/>
      <c r="C294" s="43" t="n"/>
      <c r="D294" s="32" t="n"/>
      <c r="E294" s="36" t="n"/>
      <c r="F294" s="36" t="n"/>
      <c r="G294" s="36" t="n"/>
      <c r="H294" s="33">
        <f>IF(E294="","",Commercial_Id)</f>
        <v/>
      </c>
      <c r="I294" s="39">
        <f>IF(E294="","",IFERROR(VALUE(MID(E294,LEN(E294)-3,3)),""))</f>
        <v/>
      </c>
      <c r="J294" s="33">
        <f>IF(I294="","",H294&amp;"|"&amp;I294)</f>
        <v/>
      </c>
      <c r="K294" s="33">
        <f>IF(I294="","",IF(H294="À RENSEIGNER","GIC",H294)&amp;"-"&amp;TEXT(I294,"000"))</f>
        <v/>
      </c>
      <c r="L294" s="33">
        <f>IF(J294="","",IFERROR(INDEX(Cl_nom,MATCH(J294,Cl_cle,0)),"(client introuvable)"))</f>
        <v/>
      </c>
      <c r="M294" s="46">
        <f>IF(B294="","",DATE(YEAR(B294),MONTH(B294),1))</f>
        <v/>
      </c>
      <c r="N294" s="33">
        <f>IF(J294="","",IFERROR(INDEX(Cl_quartier,MATCH(J294,Cl_cle,0))&amp;"",""))</f>
        <v/>
      </c>
      <c r="O294" s="33">
        <f>IF(J294="","",IFERROR(INDEX(Cl_tel,MATCH(J294,Cl_cle,0))&amp;"",""))</f>
        <v/>
      </c>
      <c r="P294" s="34">
        <f>IF(J294="","",IFERROR(INDEX(Cl_potentiel,MATCH(J294,Cl_cle,0)),""))</f>
        <v/>
      </c>
      <c r="Q294" s="34">
        <f>IF(J294="","",IF(D294&lt;&gt;"",IF(COUNTIFS(VC_cle,J294,VC_type,"Visite sur place",VC_date,D294)&gt;0,"Visité",IF(D294&lt;TODAY(),"Non fait","À venir")),IF(B294="","",IF(COUNTIFS(VC_cle,J294,VC_type,"Visite sur place",VC_date,"&gt;="&amp;M294,VC_date,"&lt;"&amp;DATE(YEAR(M294),MONTH(M294)+1,1))&gt;0,"Visité","À visiter"))))</f>
        <v/>
      </c>
    </row>
    <row r="295" ht="18" customHeight="1">
      <c r="A295" s="39" t="n">
        <v>290</v>
      </c>
      <c r="B295" s="49" t="n"/>
      <c r="C295" s="43" t="n"/>
      <c r="D295" s="32" t="n"/>
      <c r="E295" s="36" t="n"/>
      <c r="F295" s="36" t="n"/>
      <c r="G295" s="36" t="n"/>
      <c r="H295" s="33">
        <f>IF(E295="","",Commercial_Id)</f>
        <v/>
      </c>
      <c r="I295" s="39">
        <f>IF(E295="","",IFERROR(VALUE(MID(E295,LEN(E295)-3,3)),""))</f>
        <v/>
      </c>
      <c r="J295" s="33">
        <f>IF(I295="","",H295&amp;"|"&amp;I295)</f>
        <v/>
      </c>
      <c r="K295" s="33">
        <f>IF(I295="","",IF(H295="À RENSEIGNER","GIC",H295)&amp;"-"&amp;TEXT(I295,"000"))</f>
        <v/>
      </c>
      <c r="L295" s="33">
        <f>IF(J295="","",IFERROR(INDEX(Cl_nom,MATCH(J295,Cl_cle,0)),"(client introuvable)"))</f>
        <v/>
      </c>
      <c r="M295" s="46">
        <f>IF(B295="","",DATE(YEAR(B295),MONTH(B295),1))</f>
        <v/>
      </c>
      <c r="N295" s="33">
        <f>IF(J295="","",IFERROR(INDEX(Cl_quartier,MATCH(J295,Cl_cle,0))&amp;"",""))</f>
        <v/>
      </c>
      <c r="O295" s="33">
        <f>IF(J295="","",IFERROR(INDEX(Cl_tel,MATCH(J295,Cl_cle,0))&amp;"",""))</f>
        <v/>
      </c>
      <c r="P295" s="34">
        <f>IF(J295="","",IFERROR(INDEX(Cl_potentiel,MATCH(J295,Cl_cle,0)),""))</f>
        <v/>
      </c>
      <c r="Q295" s="34">
        <f>IF(J295="","",IF(D295&lt;&gt;"",IF(COUNTIFS(VC_cle,J295,VC_type,"Visite sur place",VC_date,D295)&gt;0,"Visité",IF(D295&lt;TODAY(),"Non fait","À venir")),IF(B295="","",IF(COUNTIFS(VC_cle,J295,VC_type,"Visite sur place",VC_date,"&gt;="&amp;M295,VC_date,"&lt;"&amp;DATE(YEAR(M295),MONTH(M295)+1,1))&gt;0,"Visité","À visiter"))))</f>
        <v/>
      </c>
    </row>
    <row r="296" ht="18" customHeight="1">
      <c r="A296" s="39" t="n">
        <v>291</v>
      </c>
      <c r="B296" s="49" t="n"/>
      <c r="C296" s="43" t="n"/>
      <c r="D296" s="32" t="n"/>
      <c r="E296" s="36" t="n"/>
      <c r="F296" s="36" t="n"/>
      <c r="G296" s="36" t="n"/>
      <c r="H296" s="33">
        <f>IF(E296="","",Commercial_Id)</f>
        <v/>
      </c>
      <c r="I296" s="39">
        <f>IF(E296="","",IFERROR(VALUE(MID(E296,LEN(E296)-3,3)),""))</f>
        <v/>
      </c>
      <c r="J296" s="33">
        <f>IF(I296="","",H296&amp;"|"&amp;I296)</f>
        <v/>
      </c>
      <c r="K296" s="33">
        <f>IF(I296="","",IF(H296="À RENSEIGNER","GIC",H296)&amp;"-"&amp;TEXT(I296,"000"))</f>
        <v/>
      </c>
      <c r="L296" s="33">
        <f>IF(J296="","",IFERROR(INDEX(Cl_nom,MATCH(J296,Cl_cle,0)),"(client introuvable)"))</f>
        <v/>
      </c>
      <c r="M296" s="46">
        <f>IF(B296="","",DATE(YEAR(B296),MONTH(B296),1))</f>
        <v/>
      </c>
      <c r="N296" s="33">
        <f>IF(J296="","",IFERROR(INDEX(Cl_quartier,MATCH(J296,Cl_cle,0))&amp;"",""))</f>
        <v/>
      </c>
      <c r="O296" s="33">
        <f>IF(J296="","",IFERROR(INDEX(Cl_tel,MATCH(J296,Cl_cle,0))&amp;"",""))</f>
        <v/>
      </c>
      <c r="P296" s="34">
        <f>IF(J296="","",IFERROR(INDEX(Cl_potentiel,MATCH(J296,Cl_cle,0)),""))</f>
        <v/>
      </c>
      <c r="Q296" s="34">
        <f>IF(J296="","",IF(D296&lt;&gt;"",IF(COUNTIFS(VC_cle,J296,VC_type,"Visite sur place",VC_date,D296)&gt;0,"Visité",IF(D296&lt;TODAY(),"Non fait","À venir")),IF(B296="","",IF(COUNTIFS(VC_cle,J296,VC_type,"Visite sur place",VC_date,"&gt;="&amp;M296,VC_date,"&lt;"&amp;DATE(YEAR(M296),MONTH(M296)+1,1))&gt;0,"Visité","À visiter"))))</f>
        <v/>
      </c>
    </row>
    <row r="297" ht="18" customHeight="1">
      <c r="A297" s="39" t="n">
        <v>292</v>
      </c>
      <c r="B297" s="49" t="n"/>
      <c r="C297" s="43" t="n"/>
      <c r="D297" s="32" t="n"/>
      <c r="E297" s="36" t="n"/>
      <c r="F297" s="36" t="n"/>
      <c r="G297" s="36" t="n"/>
      <c r="H297" s="33">
        <f>IF(E297="","",Commercial_Id)</f>
        <v/>
      </c>
      <c r="I297" s="39">
        <f>IF(E297="","",IFERROR(VALUE(MID(E297,LEN(E297)-3,3)),""))</f>
        <v/>
      </c>
      <c r="J297" s="33">
        <f>IF(I297="","",H297&amp;"|"&amp;I297)</f>
        <v/>
      </c>
      <c r="K297" s="33">
        <f>IF(I297="","",IF(H297="À RENSEIGNER","GIC",H297)&amp;"-"&amp;TEXT(I297,"000"))</f>
        <v/>
      </c>
      <c r="L297" s="33">
        <f>IF(J297="","",IFERROR(INDEX(Cl_nom,MATCH(J297,Cl_cle,0)),"(client introuvable)"))</f>
        <v/>
      </c>
      <c r="M297" s="46">
        <f>IF(B297="","",DATE(YEAR(B297),MONTH(B297),1))</f>
        <v/>
      </c>
      <c r="N297" s="33">
        <f>IF(J297="","",IFERROR(INDEX(Cl_quartier,MATCH(J297,Cl_cle,0))&amp;"",""))</f>
        <v/>
      </c>
      <c r="O297" s="33">
        <f>IF(J297="","",IFERROR(INDEX(Cl_tel,MATCH(J297,Cl_cle,0))&amp;"",""))</f>
        <v/>
      </c>
      <c r="P297" s="34">
        <f>IF(J297="","",IFERROR(INDEX(Cl_potentiel,MATCH(J297,Cl_cle,0)),""))</f>
        <v/>
      </c>
      <c r="Q297" s="34">
        <f>IF(J297="","",IF(D297&lt;&gt;"",IF(COUNTIFS(VC_cle,J297,VC_type,"Visite sur place",VC_date,D297)&gt;0,"Visité",IF(D297&lt;TODAY(),"Non fait","À venir")),IF(B297="","",IF(COUNTIFS(VC_cle,J297,VC_type,"Visite sur place",VC_date,"&gt;="&amp;M297,VC_date,"&lt;"&amp;DATE(YEAR(M297),MONTH(M297)+1,1))&gt;0,"Visité","À visiter"))))</f>
        <v/>
      </c>
    </row>
    <row r="298" ht="18" customHeight="1">
      <c r="A298" s="39" t="n">
        <v>293</v>
      </c>
      <c r="B298" s="49" t="n"/>
      <c r="C298" s="43" t="n"/>
      <c r="D298" s="32" t="n"/>
      <c r="E298" s="36" t="n"/>
      <c r="F298" s="36" t="n"/>
      <c r="G298" s="36" t="n"/>
      <c r="H298" s="33">
        <f>IF(E298="","",Commercial_Id)</f>
        <v/>
      </c>
      <c r="I298" s="39">
        <f>IF(E298="","",IFERROR(VALUE(MID(E298,LEN(E298)-3,3)),""))</f>
        <v/>
      </c>
      <c r="J298" s="33">
        <f>IF(I298="","",H298&amp;"|"&amp;I298)</f>
        <v/>
      </c>
      <c r="K298" s="33">
        <f>IF(I298="","",IF(H298="À RENSEIGNER","GIC",H298)&amp;"-"&amp;TEXT(I298,"000"))</f>
        <v/>
      </c>
      <c r="L298" s="33">
        <f>IF(J298="","",IFERROR(INDEX(Cl_nom,MATCH(J298,Cl_cle,0)),"(client introuvable)"))</f>
        <v/>
      </c>
      <c r="M298" s="46">
        <f>IF(B298="","",DATE(YEAR(B298),MONTH(B298),1))</f>
        <v/>
      </c>
      <c r="N298" s="33">
        <f>IF(J298="","",IFERROR(INDEX(Cl_quartier,MATCH(J298,Cl_cle,0))&amp;"",""))</f>
        <v/>
      </c>
      <c r="O298" s="33">
        <f>IF(J298="","",IFERROR(INDEX(Cl_tel,MATCH(J298,Cl_cle,0))&amp;"",""))</f>
        <v/>
      </c>
      <c r="P298" s="34">
        <f>IF(J298="","",IFERROR(INDEX(Cl_potentiel,MATCH(J298,Cl_cle,0)),""))</f>
        <v/>
      </c>
      <c r="Q298" s="34">
        <f>IF(J298="","",IF(D298&lt;&gt;"",IF(COUNTIFS(VC_cle,J298,VC_type,"Visite sur place",VC_date,D298)&gt;0,"Visité",IF(D298&lt;TODAY(),"Non fait","À venir")),IF(B298="","",IF(COUNTIFS(VC_cle,J298,VC_type,"Visite sur place",VC_date,"&gt;="&amp;M298,VC_date,"&lt;"&amp;DATE(YEAR(M298),MONTH(M298)+1,1))&gt;0,"Visité","À visiter"))))</f>
        <v/>
      </c>
    </row>
    <row r="299" ht="18" customHeight="1">
      <c r="A299" s="39" t="n">
        <v>294</v>
      </c>
      <c r="B299" s="49" t="n"/>
      <c r="C299" s="43" t="n"/>
      <c r="D299" s="32" t="n"/>
      <c r="E299" s="36" t="n"/>
      <c r="F299" s="36" t="n"/>
      <c r="G299" s="36" t="n"/>
      <c r="H299" s="33">
        <f>IF(E299="","",Commercial_Id)</f>
        <v/>
      </c>
      <c r="I299" s="39">
        <f>IF(E299="","",IFERROR(VALUE(MID(E299,LEN(E299)-3,3)),""))</f>
        <v/>
      </c>
      <c r="J299" s="33">
        <f>IF(I299="","",H299&amp;"|"&amp;I299)</f>
        <v/>
      </c>
      <c r="K299" s="33">
        <f>IF(I299="","",IF(H299="À RENSEIGNER","GIC",H299)&amp;"-"&amp;TEXT(I299,"000"))</f>
        <v/>
      </c>
      <c r="L299" s="33">
        <f>IF(J299="","",IFERROR(INDEX(Cl_nom,MATCH(J299,Cl_cle,0)),"(client introuvable)"))</f>
        <v/>
      </c>
      <c r="M299" s="46">
        <f>IF(B299="","",DATE(YEAR(B299),MONTH(B299),1))</f>
        <v/>
      </c>
      <c r="N299" s="33">
        <f>IF(J299="","",IFERROR(INDEX(Cl_quartier,MATCH(J299,Cl_cle,0))&amp;"",""))</f>
        <v/>
      </c>
      <c r="O299" s="33">
        <f>IF(J299="","",IFERROR(INDEX(Cl_tel,MATCH(J299,Cl_cle,0))&amp;"",""))</f>
        <v/>
      </c>
      <c r="P299" s="34">
        <f>IF(J299="","",IFERROR(INDEX(Cl_potentiel,MATCH(J299,Cl_cle,0)),""))</f>
        <v/>
      </c>
      <c r="Q299" s="34">
        <f>IF(J299="","",IF(D299&lt;&gt;"",IF(COUNTIFS(VC_cle,J299,VC_type,"Visite sur place",VC_date,D299)&gt;0,"Visité",IF(D299&lt;TODAY(),"Non fait","À venir")),IF(B299="","",IF(COUNTIFS(VC_cle,J299,VC_type,"Visite sur place",VC_date,"&gt;="&amp;M299,VC_date,"&lt;"&amp;DATE(YEAR(M299),MONTH(M299)+1,1))&gt;0,"Visité","À visiter"))))</f>
        <v/>
      </c>
    </row>
    <row r="300" ht="18" customHeight="1">
      <c r="A300" s="39" t="n">
        <v>295</v>
      </c>
      <c r="B300" s="49" t="n"/>
      <c r="C300" s="43" t="n"/>
      <c r="D300" s="32" t="n"/>
      <c r="E300" s="36" t="n"/>
      <c r="F300" s="36" t="n"/>
      <c r="G300" s="36" t="n"/>
      <c r="H300" s="33">
        <f>IF(E300="","",Commercial_Id)</f>
        <v/>
      </c>
      <c r="I300" s="39">
        <f>IF(E300="","",IFERROR(VALUE(MID(E300,LEN(E300)-3,3)),""))</f>
        <v/>
      </c>
      <c r="J300" s="33">
        <f>IF(I300="","",H300&amp;"|"&amp;I300)</f>
        <v/>
      </c>
      <c r="K300" s="33">
        <f>IF(I300="","",IF(H300="À RENSEIGNER","GIC",H300)&amp;"-"&amp;TEXT(I300,"000"))</f>
        <v/>
      </c>
      <c r="L300" s="33">
        <f>IF(J300="","",IFERROR(INDEX(Cl_nom,MATCH(J300,Cl_cle,0)),"(client introuvable)"))</f>
        <v/>
      </c>
      <c r="M300" s="46">
        <f>IF(B300="","",DATE(YEAR(B300),MONTH(B300),1))</f>
        <v/>
      </c>
      <c r="N300" s="33">
        <f>IF(J300="","",IFERROR(INDEX(Cl_quartier,MATCH(J300,Cl_cle,0))&amp;"",""))</f>
        <v/>
      </c>
      <c r="O300" s="33">
        <f>IF(J300="","",IFERROR(INDEX(Cl_tel,MATCH(J300,Cl_cle,0))&amp;"",""))</f>
        <v/>
      </c>
      <c r="P300" s="34">
        <f>IF(J300="","",IFERROR(INDEX(Cl_potentiel,MATCH(J300,Cl_cle,0)),""))</f>
        <v/>
      </c>
      <c r="Q300" s="34">
        <f>IF(J300="","",IF(D300&lt;&gt;"",IF(COUNTIFS(VC_cle,J300,VC_type,"Visite sur place",VC_date,D300)&gt;0,"Visité",IF(D300&lt;TODAY(),"Non fait","À venir")),IF(B300="","",IF(COUNTIFS(VC_cle,J300,VC_type,"Visite sur place",VC_date,"&gt;="&amp;M300,VC_date,"&lt;"&amp;DATE(YEAR(M300),MONTH(M300)+1,1))&gt;0,"Visité","À visiter"))))</f>
        <v/>
      </c>
    </row>
    <row r="301" ht="18" customHeight="1">
      <c r="A301" s="39" t="n">
        <v>296</v>
      </c>
      <c r="B301" s="49" t="n"/>
      <c r="C301" s="43" t="n"/>
      <c r="D301" s="32" t="n"/>
      <c r="E301" s="36" t="n"/>
      <c r="F301" s="36" t="n"/>
      <c r="G301" s="36" t="n"/>
      <c r="H301" s="33">
        <f>IF(E301="","",Commercial_Id)</f>
        <v/>
      </c>
      <c r="I301" s="39">
        <f>IF(E301="","",IFERROR(VALUE(MID(E301,LEN(E301)-3,3)),""))</f>
        <v/>
      </c>
      <c r="J301" s="33">
        <f>IF(I301="","",H301&amp;"|"&amp;I301)</f>
        <v/>
      </c>
      <c r="K301" s="33">
        <f>IF(I301="","",IF(H301="À RENSEIGNER","GIC",H301)&amp;"-"&amp;TEXT(I301,"000"))</f>
        <v/>
      </c>
      <c r="L301" s="33">
        <f>IF(J301="","",IFERROR(INDEX(Cl_nom,MATCH(J301,Cl_cle,0)),"(client introuvable)"))</f>
        <v/>
      </c>
      <c r="M301" s="46">
        <f>IF(B301="","",DATE(YEAR(B301),MONTH(B301),1))</f>
        <v/>
      </c>
      <c r="N301" s="33">
        <f>IF(J301="","",IFERROR(INDEX(Cl_quartier,MATCH(J301,Cl_cle,0))&amp;"",""))</f>
        <v/>
      </c>
      <c r="O301" s="33">
        <f>IF(J301="","",IFERROR(INDEX(Cl_tel,MATCH(J301,Cl_cle,0))&amp;"",""))</f>
        <v/>
      </c>
      <c r="P301" s="34">
        <f>IF(J301="","",IFERROR(INDEX(Cl_potentiel,MATCH(J301,Cl_cle,0)),""))</f>
        <v/>
      </c>
      <c r="Q301" s="34">
        <f>IF(J301="","",IF(D301&lt;&gt;"",IF(COUNTIFS(VC_cle,J301,VC_type,"Visite sur place",VC_date,D301)&gt;0,"Visité",IF(D301&lt;TODAY(),"Non fait","À venir")),IF(B301="","",IF(COUNTIFS(VC_cle,J301,VC_type,"Visite sur place",VC_date,"&gt;="&amp;M301,VC_date,"&lt;"&amp;DATE(YEAR(M301),MONTH(M301)+1,1))&gt;0,"Visité","À visiter"))))</f>
        <v/>
      </c>
    </row>
    <row r="302" ht="18" customHeight="1">
      <c r="A302" s="39" t="n">
        <v>297</v>
      </c>
      <c r="B302" s="49" t="n"/>
      <c r="C302" s="43" t="n"/>
      <c r="D302" s="32" t="n"/>
      <c r="E302" s="36" t="n"/>
      <c r="F302" s="36" t="n"/>
      <c r="G302" s="36" t="n"/>
      <c r="H302" s="33">
        <f>IF(E302="","",Commercial_Id)</f>
        <v/>
      </c>
      <c r="I302" s="39">
        <f>IF(E302="","",IFERROR(VALUE(MID(E302,LEN(E302)-3,3)),""))</f>
        <v/>
      </c>
      <c r="J302" s="33">
        <f>IF(I302="","",H302&amp;"|"&amp;I302)</f>
        <v/>
      </c>
      <c r="K302" s="33">
        <f>IF(I302="","",IF(H302="À RENSEIGNER","GIC",H302)&amp;"-"&amp;TEXT(I302,"000"))</f>
        <v/>
      </c>
      <c r="L302" s="33">
        <f>IF(J302="","",IFERROR(INDEX(Cl_nom,MATCH(J302,Cl_cle,0)),"(client introuvable)"))</f>
        <v/>
      </c>
      <c r="M302" s="46">
        <f>IF(B302="","",DATE(YEAR(B302),MONTH(B302),1))</f>
        <v/>
      </c>
      <c r="N302" s="33">
        <f>IF(J302="","",IFERROR(INDEX(Cl_quartier,MATCH(J302,Cl_cle,0))&amp;"",""))</f>
        <v/>
      </c>
      <c r="O302" s="33">
        <f>IF(J302="","",IFERROR(INDEX(Cl_tel,MATCH(J302,Cl_cle,0))&amp;"",""))</f>
        <v/>
      </c>
      <c r="P302" s="34">
        <f>IF(J302="","",IFERROR(INDEX(Cl_potentiel,MATCH(J302,Cl_cle,0)),""))</f>
        <v/>
      </c>
      <c r="Q302" s="34">
        <f>IF(J302="","",IF(D302&lt;&gt;"",IF(COUNTIFS(VC_cle,J302,VC_type,"Visite sur place",VC_date,D302)&gt;0,"Visité",IF(D302&lt;TODAY(),"Non fait","À venir")),IF(B302="","",IF(COUNTIFS(VC_cle,J302,VC_type,"Visite sur place",VC_date,"&gt;="&amp;M302,VC_date,"&lt;"&amp;DATE(YEAR(M302),MONTH(M302)+1,1))&gt;0,"Visité","À visiter"))))</f>
        <v/>
      </c>
    </row>
    <row r="303" ht="18" customHeight="1">
      <c r="A303" s="39" t="n">
        <v>298</v>
      </c>
      <c r="B303" s="49" t="n"/>
      <c r="C303" s="43" t="n"/>
      <c r="D303" s="32" t="n"/>
      <c r="E303" s="36" t="n"/>
      <c r="F303" s="36" t="n"/>
      <c r="G303" s="36" t="n"/>
      <c r="H303" s="33">
        <f>IF(E303="","",Commercial_Id)</f>
        <v/>
      </c>
      <c r="I303" s="39">
        <f>IF(E303="","",IFERROR(VALUE(MID(E303,LEN(E303)-3,3)),""))</f>
        <v/>
      </c>
      <c r="J303" s="33">
        <f>IF(I303="","",H303&amp;"|"&amp;I303)</f>
        <v/>
      </c>
      <c r="K303" s="33">
        <f>IF(I303="","",IF(H303="À RENSEIGNER","GIC",H303)&amp;"-"&amp;TEXT(I303,"000"))</f>
        <v/>
      </c>
      <c r="L303" s="33">
        <f>IF(J303="","",IFERROR(INDEX(Cl_nom,MATCH(J303,Cl_cle,0)),"(client introuvable)"))</f>
        <v/>
      </c>
      <c r="M303" s="46">
        <f>IF(B303="","",DATE(YEAR(B303),MONTH(B303),1))</f>
        <v/>
      </c>
      <c r="N303" s="33">
        <f>IF(J303="","",IFERROR(INDEX(Cl_quartier,MATCH(J303,Cl_cle,0))&amp;"",""))</f>
        <v/>
      </c>
      <c r="O303" s="33">
        <f>IF(J303="","",IFERROR(INDEX(Cl_tel,MATCH(J303,Cl_cle,0))&amp;"",""))</f>
        <v/>
      </c>
      <c r="P303" s="34">
        <f>IF(J303="","",IFERROR(INDEX(Cl_potentiel,MATCH(J303,Cl_cle,0)),""))</f>
        <v/>
      </c>
      <c r="Q303" s="34">
        <f>IF(J303="","",IF(D303&lt;&gt;"",IF(COUNTIFS(VC_cle,J303,VC_type,"Visite sur place",VC_date,D303)&gt;0,"Visité",IF(D303&lt;TODAY(),"Non fait","À venir")),IF(B303="","",IF(COUNTIFS(VC_cle,J303,VC_type,"Visite sur place",VC_date,"&gt;="&amp;M303,VC_date,"&lt;"&amp;DATE(YEAR(M303),MONTH(M303)+1,1))&gt;0,"Visité","À visiter"))))</f>
        <v/>
      </c>
    </row>
    <row r="304" ht="18" customHeight="1">
      <c r="A304" s="39" t="n">
        <v>299</v>
      </c>
      <c r="B304" s="49" t="n"/>
      <c r="C304" s="43" t="n"/>
      <c r="D304" s="32" t="n"/>
      <c r="E304" s="36" t="n"/>
      <c r="F304" s="36" t="n"/>
      <c r="G304" s="36" t="n"/>
      <c r="H304" s="33">
        <f>IF(E304="","",Commercial_Id)</f>
        <v/>
      </c>
      <c r="I304" s="39">
        <f>IF(E304="","",IFERROR(VALUE(MID(E304,LEN(E304)-3,3)),""))</f>
        <v/>
      </c>
      <c r="J304" s="33">
        <f>IF(I304="","",H304&amp;"|"&amp;I304)</f>
        <v/>
      </c>
      <c r="K304" s="33">
        <f>IF(I304="","",IF(H304="À RENSEIGNER","GIC",H304)&amp;"-"&amp;TEXT(I304,"000"))</f>
        <v/>
      </c>
      <c r="L304" s="33">
        <f>IF(J304="","",IFERROR(INDEX(Cl_nom,MATCH(J304,Cl_cle,0)),"(client introuvable)"))</f>
        <v/>
      </c>
      <c r="M304" s="46">
        <f>IF(B304="","",DATE(YEAR(B304),MONTH(B304),1))</f>
        <v/>
      </c>
      <c r="N304" s="33">
        <f>IF(J304="","",IFERROR(INDEX(Cl_quartier,MATCH(J304,Cl_cle,0))&amp;"",""))</f>
        <v/>
      </c>
      <c r="O304" s="33">
        <f>IF(J304="","",IFERROR(INDEX(Cl_tel,MATCH(J304,Cl_cle,0))&amp;"",""))</f>
        <v/>
      </c>
      <c r="P304" s="34">
        <f>IF(J304="","",IFERROR(INDEX(Cl_potentiel,MATCH(J304,Cl_cle,0)),""))</f>
        <v/>
      </c>
      <c r="Q304" s="34">
        <f>IF(J304="","",IF(D304&lt;&gt;"",IF(COUNTIFS(VC_cle,J304,VC_type,"Visite sur place",VC_date,D304)&gt;0,"Visité",IF(D304&lt;TODAY(),"Non fait","À venir")),IF(B304="","",IF(COUNTIFS(VC_cle,J304,VC_type,"Visite sur place",VC_date,"&gt;="&amp;M304,VC_date,"&lt;"&amp;DATE(YEAR(M304),MONTH(M304)+1,1))&gt;0,"Visité","À visiter"))))</f>
        <v/>
      </c>
    </row>
    <row r="305" ht="18" customHeight="1">
      <c r="A305" s="39" t="n">
        <v>300</v>
      </c>
      <c r="B305" s="49" t="n"/>
      <c r="C305" s="43" t="n"/>
      <c r="D305" s="32" t="n"/>
      <c r="E305" s="36" t="n"/>
      <c r="F305" s="36" t="n"/>
      <c r="G305" s="36" t="n"/>
      <c r="H305" s="33">
        <f>IF(E305="","",Commercial_Id)</f>
        <v/>
      </c>
      <c r="I305" s="39">
        <f>IF(E305="","",IFERROR(VALUE(MID(E305,LEN(E305)-3,3)),""))</f>
        <v/>
      </c>
      <c r="J305" s="33">
        <f>IF(I305="","",H305&amp;"|"&amp;I305)</f>
        <v/>
      </c>
      <c r="K305" s="33">
        <f>IF(I305="","",IF(H305="À RENSEIGNER","GIC",H305)&amp;"-"&amp;TEXT(I305,"000"))</f>
        <v/>
      </c>
      <c r="L305" s="33">
        <f>IF(J305="","",IFERROR(INDEX(Cl_nom,MATCH(J305,Cl_cle,0)),"(client introuvable)"))</f>
        <v/>
      </c>
      <c r="M305" s="46">
        <f>IF(B305="","",DATE(YEAR(B305),MONTH(B305),1))</f>
        <v/>
      </c>
      <c r="N305" s="33">
        <f>IF(J305="","",IFERROR(INDEX(Cl_quartier,MATCH(J305,Cl_cle,0))&amp;"",""))</f>
        <v/>
      </c>
      <c r="O305" s="33">
        <f>IF(J305="","",IFERROR(INDEX(Cl_tel,MATCH(J305,Cl_cle,0))&amp;"",""))</f>
        <v/>
      </c>
      <c r="P305" s="34">
        <f>IF(J305="","",IFERROR(INDEX(Cl_potentiel,MATCH(J305,Cl_cle,0)),""))</f>
        <v/>
      </c>
      <c r="Q305" s="34">
        <f>IF(J305="","",IF(D305&lt;&gt;"",IF(COUNTIFS(VC_cle,J305,VC_type,"Visite sur place",VC_date,D305)&gt;0,"Visité",IF(D305&lt;TODAY(),"Non fait","À venir")),IF(B305="","",IF(COUNTIFS(VC_cle,J305,VC_type,"Visite sur place",VC_date,"&gt;="&amp;M305,VC_date,"&lt;"&amp;DATE(YEAR(M305),MONTH(M305)+1,1))&gt;0,"Visité","À visiter"))))</f>
        <v/>
      </c>
    </row>
    <row r="306" ht="18" customHeight="1">
      <c r="A306" s="39" t="n">
        <v>301</v>
      </c>
      <c r="B306" s="49" t="n"/>
      <c r="C306" s="43" t="n"/>
      <c r="D306" s="32" t="n"/>
      <c r="E306" s="36" t="n"/>
      <c r="F306" s="36" t="n"/>
      <c r="G306" s="36" t="n"/>
      <c r="H306" s="33">
        <f>IF(E306="","",Commercial_Id)</f>
        <v/>
      </c>
      <c r="I306" s="39">
        <f>IF(E306="","",IFERROR(VALUE(MID(E306,LEN(E306)-3,3)),""))</f>
        <v/>
      </c>
      <c r="J306" s="33">
        <f>IF(I306="","",H306&amp;"|"&amp;I306)</f>
        <v/>
      </c>
      <c r="K306" s="33">
        <f>IF(I306="","",IF(H306="À RENSEIGNER","GIC",H306)&amp;"-"&amp;TEXT(I306,"000"))</f>
        <v/>
      </c>
      <c r="L306" s="33">
        <f>IF(J306="","",IFERROR(INDEX(Cl_nom,MATCH(J306,Cl_cle,0)),"(client introuvable)"))</f>
        <v/>
      </c>
      <c r="M306" s="46">
        <f>IF(B306="","",DATE(YEAR(B306),MONTH(B306),1))</f>
        <v/>
      </c>
      <c r="N306" s="33">
        <f>IF(J306="","",IFERROR(INDEX(Cl_quartier,MATCH(J306,Cl_cle,0))&amp;"",""))</f>
        <v/>
      </c>
      <c r="O306" s="33">
        <f>IF(J306="","",IFERROR(INDEX(Cl_tel,MATCH(J306,Cl_cle,0))&amp;"",""))</f>
        <v/>
      </c>
      <c r="P306" s="34">
        <f>IF(J306="","",IFERROR(INDEX(Cl_potentiel,MATCH(J306,Cl_cle,0)),""))</f>
        <v/>
      </c>
      <c r="Q306" s="34">
        <f>IF(J306="","",IF(D306&lt;&gt;"",IF(COUNTIFS(VC_cle,J306,VC_type,"Visite sur place",VC_date,D306)&gt;0,"Visité",IF(D306&lt;TODAY(),"Non fait","À venir")),IF(B306="","",IF(COUNTIFS(VC_cle,J306,VC_type,"Visite sur place",VC_date,"&gt;="&amp;M306,VC_date,"&lt;"&amp;DATE(YEAR(M306),MONTH(M306)+1,1))&gt;0,"Visité","À visiter"))))</f>
        <v/>
      </c>
    </row>
    <row r="307" ht="18" customHeight="1">
      <c r="A307" s="39" t="n">
        <v>302</v>
      </c>
      <c r="B307" s="49" t="n"/>
      <c r="C307" s="43" t="n"/>
      <c r="D307" s="32" t="n"/>
      <c r="E307" s="36" t="n"/>
      <c r="F307" s="36" t="n"/>
      <c r="G307" s="36" t="n"/>
      <c r="H307" s="33">
        <f>IF(E307="","",Commercial_Id)</f>
        <v/>
      </c>
      <c r="I307" s="39">
        <f>IF(E307="","",IFERROR(VALUE(MID(E307,LEN(E307)-3,3)),""))</f>
        <v/>
      </c>
      <c r="J307" s="33">
        <f>IF(I307="","",H307&amp;"|"&amp;I307)</f>
        <v/>
      </c>
      <c r="K307" s="33">
        <f>IF(I307="","",IF(H307="À RENSEIGNER","GIC",H307)&amp;"-"&amp;TEXT(I307,"000"))</f>
        <v/>
      </c>
      <c r="L307" s="33">
        <f>IF(J307="","",IFERROR(INDEX(Cl_nom,MATCH(J307,Cl_cle,0)),"(client introuvable)"))</f>
        <v/>
      </c>
      <c r="M307" s="46">
        <f>IF(B307="","",DATE(YEAR(B307),MONTH(B307),1))</f>
        <v/>
      </c>
      <c r="N307" s="33">
        <f>IF(J307="","",IFERROR(INDEX(Cl_quartier,MATCH(J307,Cl_cle,0))&amp;"",""))</f>
        <v/>
      </c>
      <c r="O307" s="33">
        <f>IF(J307="","",IFERROR(INDEX(Cl_tel,MATCH(J307,Cl_cle,0))&amp;"",""))</f>
        <v/>
      </c>
      <c r="P307" s="34">
        <f>IF(J307="","",IFERROR(INDEX(Cl_potentiel,MATCH(J307,Cl_cle,0)),""))</f>
        <v/>
      </c>
      <c r="Q307" s="34">
        <f>IF(J307="","",IF(D307&lt;&gt;"",IF(COUNTIFS(VC_cle,J307,VC_type,"Visite sur place",VC_date,D307)&gt;0,"Visité",IF(D307&lt;TODAY(),"Non fait","À venir")),IF(B307="","",IF(COUNTIFS(VC_cle,J307,VC_type,"Visite sur place",VC_date,"&gt;="&amp;M307,VC_date,"&lt;"&amp;DATE(YEAR(M307),MONTH(M307)+1,1))&gt;0,"Visité","À visiter"))))</f>
        <v/>
      </c>
    </row>
    <row r="308" ht="18" customHeight="1">
      <c r="A308" s="39" t="n">
        <v>303</v>
      </c>
      <c r="B308" s="49" t="n"/>
      <c r="C308" s="43" t="n"/>
      <c r="D308" s="32" t="n"/>
      <c r="E308" s="36" t="n"/>
      <c r="F308" s="36" t="n"/>
      <c r="G308" s="36" t="n"/>
      <c r="H308" s="33">
        <f>IF(E308="","",Commercial_Id)</f>
        <v/>
      </c>
      <c r="I308" s="39">
        <f>IF(E308="","",IFERROR(VALUE(MID(E308,LEN(E308)-3,3)),""))</f>
        <v/>
      </c>
      <c r="J308" s="33">
        <f>IF(I308="","",H308&amp;"|"&amp;I308)</f>
        <v/>
      </c>
      <c r="K308" s="33">
        <f>IF(I308="","",IF(H308="À RENSEIGNER","GIC",H308)&amp;"-"&amp;TEXT(I308,"000"))</f>
        <v/>
      </c>
      <c r="L308" s="33">
        <f>IF(J308="","",IFERROR(INDEX(Cl_nom,MATCH(J308,Cl_cle,0)),"(client introuvable)"))</f>
        <v/>
      </c>
      <c r="M308" s="46">
        <f>IF(B308="","",DATE(YEAR(B308),MONTH(B308),1))</f>
        <v/>
      </c>
      <c r="N308" s="33">
        <f>IF(J308="","",IFERROR(INDEX(Cl_quartier,MATCH(J308,Cl_cle,0))&amp;"",""))</f>
        <v/>
      </c>
      <c r="O308" s="33">
        <f>IF(J308="","",IFERROR(INDEX(Cl_tel,MATCH(J308,Cl_cle,0))&amp;"",""))</f>
        <v/>
      </c>
      <c r="P308" s="34">
        <f>IF(J308="","",IFERROR(INDEX(Cl_potentiel,MATCH(J308,Cl_cle,0)),""))</f>
        <v/>
      </c>
      <c r="Q308" s="34">
        <f>IF(J308="","",IF(D308&lt;&gt;"",IF(COUNTIFS(VC_cle,J308,VC_type,"Visite sur place",VC_date,D308)&gt;0,"Visité",IF(D308&lt;TODAY(),"Non fait","À venir")),IF(B308="","",IF(COUNTIFS(VC_cle,J308,VC_type,"Visite sur place",VC_date,"&gt;="&amp;M308,VC_date,"&lt;"&amp;DATE(YEAR(M308),MONTH(M308)+1,1))&gt;0,"Visité","À visiter"))))</f>
        <v/>
      </c>
    </row>
    <row r="309" ht="18" customHeight="1">
      <c r="A309" s="39" t="n">
        <v>304</v>
      </c>
      <c r="B309" s="49" t="n"/>
      <c r="C309" s="43" t="n"/>
      <c r="D309" s="32" t="n"/>
      <c r="E309" s="36" t="n"/>
      <c r="F309" s="36" t="n"/>
      <c r="G309" s="36" t="n"/>
      <c r="H309" s="33">
        <f>IF(E309="","",Commercial_Id)</f>
        <v/>
      </c>
      <c r="I309" s="39">
        <f>IF(E309="","",IFERROR(VALUE(MID(E309,LEN(E309)-3,3)),""))</f>
        <v/>
      </c>
      <c r="J309" s="33">
        <f>IF(I309="","",H309&amp;"|"&amp;I309)</f>
        <v/>
      </c>
      <c r="K309" s="33">
        <f>IF(I309="","",IF(H309="À RENSEIGNER","GIC",H309)&amp;"-"&amp;TEXT(I309,"000"))</f>
        <v/>
      </c>
      <c r="L309" s="33">
        <f>IF(J309="","",IFERROR(INDEX(Cl_nom,MATCH(J309,Cl_cle,0)),"(client introuvable)"))</f>
        <v/>
      </c>
      <c r="M309" s="46">
        <f>IF(B309="","",DATE(YEAR(B309),MONTH(B309),1))</f>
        <v/>
      </c>
      <c r="N309" s="33">
        <f>IF(J309="","",IFERROR(INDEX(Cl_quartier,MATCH(J309,Cl_cle,0))&amp;"",""))</f>
        <v/>
      </c>
      <c r="O309" s="33">
        <f>IF(J309="","",IFERROR(INDEX(Cl_tel,MATCH(J309,Cl_cle,0))&amp;"",""))</f>
        <v/>
      </c>
      <c r="P309" s="34">
        <f>IF(J309="","",IFERROR(INDEX(Cl_potentiel,MATCH(J309,Cl_cle,0)),""))</f>
        <v/>
      </c>
      <c r="Q309" s="34">
        <f>IF(J309="","",IF(D309&lt;&gt;"",IF(COUNTIFS(VC_cle,J309,VC_type,"Visite sur place",VC_date,D309)&gt;0,"Visité",IF(D309&lt;TODAY(),"Non fait","À venir")),IF(B309="","",IF(COUNTIFS(VC_cle,J309,VC_type,"Visite sur place",VC_date,"&gt;="&amp;M309,VC_date,"&lt;"&amp;DATE(YEAR(M309),MONTH(M309)+1,1))&gt;0,"Visité","À visiter"))))</f>
        <v/>
      </c>
    </row>
    <row r="310" ht="18" customHeight="1">
      <c r="A310" s="39" t="n">
        <v>305</v>
      </c>
      <c r="B310" s="49" t="n"/>
      <c r="C310" s="43" t="n"/>
      <c r="D310" s="32" t="n"/>
      <c r="E310" s="36" t="n"/>
      <c r="F310" s="36" t="n"/>
      <c r="G310" s="36" t="n"/>
      <c r="H310" s="33">
        <f>IF(E310="","",Commercial_Id)</f>
        <v/>
      </c>
      <c r="I310" s="39">
        <f>IF(E310="","",IFERROR(VALUE(MID(E310,LEN(E310)-3,3)),""))</f>
        <v/>
      </c>
      <c r="J310" s="33">
        <f>IF(I310="","",H310&amp;"|"&amp;I310)</f>
        <v/>
      </c>
      <c r="K310" s="33">
        <f>IF(I310="","",IF(H310="À RENSEIGNER","GIC",H310)&amp;"-"&amp;TEXT(I310,"000"))</f>
        <v/>
      </c>
      <c r="L310" s="33">
        <f>IF(J310="","",IFERROR(INDEX(Cl_nom,MATCH(J310,Cl_cle,0)),"(client introuvable)"))</f>
        <v/>
      </c>
      <c r="M310" s="46">
        <f>IF(B310="","",DATE(YEAR(B310),MONTH(B310),1))</f>
        <v/>
      </c>
      <c r="N310" s="33">
        <f>IF(J310="","",IFERROR(INDEX(Cl_quartier,MATCH(J310,Cl_cle,0))&amp;"",""))</f>
        <v/>
      </c>
      <c r="O310" s="33">
        <f>IF(J310="","",IFERROR(INDEX(Cl_tel,MATCH(J310,Cl_cle,0))&amp;"",""))</f>
        <v/>
      </c>
      <c r="P310" s="34">
        <f>IF(J310="","",IFERROR(INDEX(Cl_potentiel,MATCH(J310,Cl_cle,0)),""))</f>
        <v/>
      </c>
      <c r="Q310" s="34">
        <f>IF(J310="","",IF(D310&lt;&gt;"",IF(COUNTIFS(VC_cle,J310,VC_type,"Visite sur place",VC_date,D310)&gt;0,"Visité",IF(D310&lt;TODAY(),"Non fait","À venir")),IF(B310="","",IF(COUNTIFS(VC_cle,J310,VC_type,"Visite sur place",VC_date,"&gt;="&amp;M310,VC_date,"&lt;"&amp;DATE(YEAR(M310),MONTH(M310)+1,1))&gt;0,"Visité","À visiter"))))</f>
        <v/>
      </c>
    </row>
    <row r="311" ht="18" customHeight="1">
      <c r="A311" s="39" t="n">
        <v>306</v>
      </c>
      <c r="B311" s="49" t="n"/>
      <c r="C311" s="43" t="n"/>
      <c r="D311" s="32" t="n"/>
      <c r="E311" s="36" t="n"/>
      <c r="F311" s="36" t="n"/>
      <c r="G311" s="36" t="n"/>
      <c r="H311" s="33">
        <f>IF(E311="","",Commercial_Id)</f>
        <v/>
      </c>
      <c r="I311" s="39">
        <f>IF(E311="","",IFERROR(VALUE(MID(E311,LEN(E311)-3,3)),""))</f>
        <v/>
      </c>
      <c r="J311" s="33">
        <f>IF(I311="","",H311&amp;"|"&amp;I311)</f>
        <v/>
      </c>
      <c r="K311" s="33">
        <f>IF(I311="","",IF(H311="À RENSEIGNER","GIC",H311)&amp;"-"&amp;TEXT(I311,"000"))</f>
        <v/>
      </c>
      <c r="L311" s="33">
        <f>IF(J311="","",IFERROR(INDEX(Cl_nom,MATCH(J311,Cl_cle,0)),"(client introuvable)"))</f>
        <v/>
      </c>
      <c r="M311" s="46">
        <f>IF(B311="","",DATE(YEAR(B311),MONTH(B311),1))</f>
        <v/>
      </c>
      <c r="N311" s="33">
        <f>IF(J311="","",IFERROR(INDEX(Cl_quartier,MATCH(J311,Cl_cle,0))&amp;"",""))</f>
        <v/>
      </c>
      <c r="O311" s="33">
        <f>IF(J311="","",IFERROR(INDEX(Cl_tel,MATCH(J311,Cl_cle,0))&amp;"",""))</f>
        <v/>
      </c>
      <c r="P311" s="34">
        <f>IF(J311="","",IFERROR(INDEX(Cl_potentiel,MATCH(J311,Cl_cle,0)),""))</f>
        <v/>
      </c>
      <c r="Q311" s="34">
        <f>IF(J311="","",IF(D311&lt;&gt;"",IF(COUNTIFS(VC_cle,J311,VC_type,"Visite sur place",VC_date,D311)&gt;0,"Visité",IF(D311&lt;TODAY(),"Non fait","À venir")),IF(B311="","",IF(COUNTIFS(VC_cle,J311,VC_type,"Visite sur place",VC_date,"&gt;="&amp;M311,VC_date,"&lt;"&amp;DATE(YEAR(M311),MONTH(M311)+1,1))&gt;0,"Visité","À visiter"))))</f>
        <v/>
      </c>
    </row>
    <row r="312" ht="18" customHeight="1">
      <c r="A312" s="39" t="n">
        <v>307</v>
      </c>
      <c r="B312" s="49" t="n"/>
      <c r="C312" s="43" t="n"/>
      <c r="D312" s="32" t="n"/>
      <c r="E312" s="36" t="n"/>
      <c r="F312" s="36" t="n"/>
      <c r="G312" s="36" t="n"/>
      <c r="H312" s="33">
        <f>IF(E312="","",Commercial_Id)</f>
        <v/>
      </c>
      <c r="I312" s="39">
        <f>IF(E312="","",IFERROR(VALUE(MID(E312,LEN(E312)-3,3)),""))</f>
        <v/>
      </c>
      <c r="J312" s="33">
        <f>IF(I312="","",H312&amp;"|"&amp;I312)</f>
        <v/>
      </c>
      <c r="K312" s="33">
        <f>IF(I312="","",IF(H312="À RENSEIGNER","GIC",H312)&amp;"-"&amp;TEXT(I312,"000"))</f>
        <v/>
      </c>
      <c r="L312" s="33">
        <f>IF(J312="","",IFERROR(INDEX(Cl_nom,MATCH(J312,Cl_cle,0)),"(client introuvable)"))</f>
        <v/>
      </c>
      <c r="M312" s="46">
        <f>IF(B312="","",DATE(YEAR(B312),MONTH(B312),1))</f>
        <v/>
      </c>
      <c r="N312" s="33">
        <f>IF(J312="","",IFERROR(INDEX(Cl_quartier,MATCH(J312,Cl_cle,0))&amp;"",""))</f>
        <v/>
      </c>
      <c r="O312" s="33">
        <f>IF(J312="","",IFERROR(INDEX(Cl_tel,MATCH(J312,Cl_cle,0))&amp;"",""))</f>
        <v/>
      </c>
      <c r="P312" s="34">
        <f>IF(J312="","",IFERROR(INDEX(Cl_potentiel,MATCH(J312,Cl_cle,0)),""))</f>
        <v/>
      </c>
      <c r="Q312" s="34">
        <f>IF(J312="","",IF(D312&lt;&gt;"",IF(COUNTIFS(VC_cle,J312,VC_type,"Visite sur place",VC_date,D312)&gt;0,"Visité",IF(D312&lt;TODAY(),"Non fait","À venir")),IF(B312="","",IF(COUNTIFS(VC_cle,J312,VC_type,"Visite sur place",VC_date,"&gt;="&amp;M312,VC_date,"&lt;"&amp;DATE(YEAR(M312),MONTH(M312)+1,1))&gt;0,"Visité","À visiter"))))</f>
        <v/>
      </c>
    </row>
    <row r="313" ht="18" customHeight="1">
      <c r="A313" s="39" t="n">
        <v>308</v>
      </c>
      <c r="B313" s="49" t="n"/>
      <c r="C313" s="43" t="n"/>
      <c r="D313" s="32" t="n"/>
      <c r="E313" s="36" t="n"/>
      <c r="F313" s="36" t="n"/>
      <c r="G313" s="36" t="n"/>
      <c r="H313" s="33">
        <f>IF(E313="","",Commercial_Id)</f>
        <v/>
      </c>
      <c r="I313" s="39">
        <f>IF(E313="","",IFERROR(VALUE(MID(E313,LEN(E313)-3,3)),""))</f>
        <v/>
      </c>
      <c r="J313" s="33">
        <f>IF(I313="","",H313&amp;"|"&amp;I313)</f>
        <v/>
      </c>
      <c r="K313" s="33">
        <f>IF(I313="","",IF(H313="À RENSEIGNER","GIC",H313)&amp;"-"&amp;TEXT(I313,"000"))</f>
        <v/>
      </c>
      <c r="L313" s="33">
        <f>IF(J313="","",IFERROR(INDEX(Cl_nom,MATCH(J313,Cl_cle,0)),"(client introuvable)"))</f>
        <v/>
      </c>
      <c r="M313" s="46">
        <f>IF(B313="","",DATE(YEAR(B313),MONTH(B313),1))</f>
        <v/>
      </c>
      <c r="N313" s="33">
        <f>IF(J313="","",IFERROR(INDEX(Cl_quartier,MATCH(J313,Cl_cle,0))&amp;"",""))</f>
        <v/>
      </c>
      <c r="O313" s="33">
        <f>IF(J313="","",IFERROR(INDEX(Cl_tel,MATCH(J313,Cl_cle,0))&amp;"",""))</f>
        <v/>
      </c>
      <c r="P313" s="34">
        <f>IF(J313="","",IFERROR(INDEX(Cl_potentiel,MATCH(J313,Cl_cle,0)),""))</f>
        <v/>
      </c>
      <c r="Q313" s="34">
        <f>IF(J313="","",IF(D313&lt;&gt;"",IF(COUNTIFS(VC_cle,J313,VC_type,"Visite sur place",VC_date,D313)&gt;0,"Visité",IF(D313&lt;TODAY(),"Non fait","À venir")),IF(B313="","",IF(COUNTIFS(VC_cle,J313,VC_type,"Visite sur place",VC_date,"&gt;="&amp;M313,VC_date,"&lt;"&amp;DATE(YEAR(M313),MONTH(M313)+1,1))&gt;0,"Visité","À visiter"))))</f>
        <v/>
      </c>
    </row>
    <row r="314" ht="18" customHeight="1">
      <c r="A314" s="39" t="n">
        <v>309</v>
      </c>
      <c r="B314" s="49" t="n"/>
      <c r="C314" s="43" t="n"/>
      <c r="D314" s="32" t="n"/>
      <c r="E314" s="36" t="n"/>
      <c r="F314" s="36" t="n"/>
      <c r="G314" s="36" t="n"/>
      <c r="H314" s="33">
        <f>IF(E314="","",Commercial_Id)</f>
        <v/>
      </c>
      <c r="I314" s="39">
        <f>IF(E314="","",IFERROR(VALUE(MID(E314,LEN(E314)-3,3)),""))</f>
        <v/>
      </c>
      <c r="J314" s="33">
        <f>IF(I314="","",H314&amp;"|"&amp;I314)</f>
        <v/>
      </c>
      <c r="K314" s="33">
        <f>IF(I314="","",IF(H314="À RENSEIGNER","GIC",H314)&amp;"-"&amp;TEXT(I314,"000"))</f>
        <v/>
      </c>
      <c r="L314" s="33">
        <f>IF(J314="","",IFERROR(INDEX(Cl_nom,MATCH(J314,Cl_cle,0)),"(client introuvable)"))</f>
        <v/>
      </c>
      <c r="M314" s="46">
        <f>IF(B314="","",DATE(YEAR(B314),MONTH(B314),1))</f>
        <v/>
      </c>
      <c r="N314" s="33">
        <f>IF(J314="","",IFERROR(INDEX(Cl_quartier,MATCH(J314,Cl_cle,0))&amp;"",""))</f>
        <v/>
      </c>
      <c r="O314" s="33">
        <f>IF(J314="","",IFERROR(INDEX(Cl_tel,MATCH(J314,Cl_cle,0))&amp;"",""))</f>
        <v/>
      </c>
      <c r="P314" s="34">
        <f>IF(J314="","",IFERROR(INDEX(Cl_potentiel,MATCH(J314,Cl_cle,0)),""))</f>
        <v/>
      </c>
      <c r="Q314" s="34">
        <f>IF(J314="","",IF(D314&lt;&gt;"",IF(COUNTIFS(VC_cle,J314,VC_type,"Visite sur place",VC_date,D314)&gt;0,"Visité",IF(D314&lt;TODAY(),"Non fait","À venir")),IF(B314="","",IF(COUNTIFS(VC_cle,J314,VC_type,"Visite sur place",VC_date,"&gt;="&amp;M314,VC_date,"&lt;"&amp;DATE(YEAR(M314),MONTH(M314)+1,1))&gt;0,"Visité","À visiter"))))</f>
        <v/>
      </c>
    </row>
    <row r="315" ht="18" customHeight="1">
      <c r="A315" s="39" t="n">
        <v>310</v>
      </c>
      <c r="B315" s="49" t="n"/>
      <c r="C315" s="43" t="n"/>
      <c r="D315" s="32" t="n"/>
      <c r="E315" s="36" t="n"/>
      <c r="F315" s="36" t="n"/>
      <c r="G315" s="36" t="n"/>
      <c r="H315" s="33">
        <f>IF(E315="","",Commercial_Id)</f>
        <v/>
      </c>
      <c r="I315" s="39">
        <f>IF(E315="","",IFERROR(VALUE(MID(E315,LEN(E315)-3,3)),""))</f>
        <v/>
      </c>
      <c r="J315" s="33">
        <f>IF(I315="","",H315&amp;"|"&amp;I315)</f>
        <v/>
      </c>
      <c r="K315" s="33">
        <f>IF(I315="","",IF(H315="À RENSEIGNER","GIC",H315)&amp;"-"&amp;TEXT(I315,"000"))</f>
        <v/>
      </c>
      <c r="L315" s="33">
        <f>IF(J315="","",IFERROR(INDEX(Cl_nom,MATCH(J315,Cl_cle,0)),"(client introuvable)"))</f>
        <v/>
      </c>
      <c r="M315" s="46">
        <f>IF(B315="","",DATE(YEAR(B315),MONTH(B315),1))</f>
        <v/>
      </c>
      <c r="N315" s="33">
        <f>IF(J315="","",IFERROR(INDEX(Cl_quartier,MATCH(J315,Cl_cle,0))&amp;"",""))</f>
        <v/>
      </c>
      <c r="O315" s="33">
        <f>IF(J315="","",IFERROR(INDEX(Cl_tel,MATCH(J315,Cl_cle,0))&amp;"",""))</f>
        <v/>
      </c>
      <c r="P315" s="34">
        <f>IF(J315="","",IFERROR(INDEX(Cl_potentiel,MATCH(J315,Cl_cle,0)),""))</f>
        <v/>
      </c>
      <c r="Q315" s="34">
        <f>IF(J315="","",IF(D315&lt;&gt;"",IF(COUNTIFS(VC_cle,J315,VC_type,"Visite sur place",VC_date,D315)&gt;0,"Visité",IF(D315&lt;TODAY(),"Non fait","À venir")),IF(B315="","",IF(COUNTIFS(VC_cle,J315,VC_type,"Visite sur place",VC_date,"&gt;="&amp;M315,VC_date,"&lt;"&amp;DATE(YEAR(M315),MONTH(M315)+1,1))&gt;0,"Visité","À visiter"))))</f>
        <v/>
      </c>
    </row>
    <row r="316" ht="18" customHeight="1">
      <c r="A316" s="39" t="n">
        <v>311</v>
      </c>
      <c r="B316" s="49" t="n"/>
      <c r="C316" s="43" t="n"/>
      <c r="D316" s="32" t="n"/>
      <c r="E316" s="36" t="n"/>
      <c r="F316" s="36" t="n"/>
      <c r="G316" s="36" t="n"/>
      <c r="H316" s="33">
        <f>IF(E316="","",Commercial_Id)</f>
        <v/>
      </c>
      <c r="I316" s="39">
        <f>IF(E316="","",IFERROR(VALUE(MID(E316,LEN(E316)-3,3)),""))</f>
        <v/>
      </c>
      <c r="J316" s="33">
        <f>IF(I316="","",H316&amp;"|"&amp;I316)</f>
        <v/>
      </c>
      <c r="K316" s="33">
        <f>IF(I316="","",IF(H316="À RENSEIGNER","GIC",H316)&amp;"-"&amp;TEXT(I316,"000"))</f>
        <v/>
      </c>
      <c r="L316" s="33">
        <f>IF(J316="","",IFERROR(INDEX(Cl_nom,MATCH(J316,Cl_cle,0)),"(client introuvable)"))</f>
        <v/>
      </c>
      <c r="M316" s="46">
        <f>IF(B316="","",DATE(YEAR(B316),MONTH(B316),1))</f>
        <v/>
      </c>
      <c r="N316" s="33">
        <f>IF(J316="","",IFERROR(INDEX(Cl_quartier,MATCH(J316,Cl_cle,0))&amp;"",""))</f>
        <v/>
      </c>
      <c r="O316" s="33">
        <f>IF(J316="","",IFERROR(INDEX(Cl_tel,MATCH(J316,Cl_cle,0))&amp;"",""))</f>
        <v/>
      </c>
      <c r="P316" s="34">
        <f>IF(J316="","",IFERROR(INDEX(Cl_potentiel,MATCH(J316,Cl_cle,0)),""))</f>
        <v/>
      </c>
      <c r="Q316" s="34">
        <f>IF(J316="","",IF(D316&lt;&gt;"",IF(COUNTIFS(VC_cle,J316,VC_type,"Visite sur place",VC_date,D316)&gt;0,"Visité",IF(D316&lt;TODAY(),"Non fait","À venir")),IF(B316="","",IF(COUNTIFS(VC_cle,J316,VC_type,"Visite sur place",VC_date,"&gt;="&amp;M316,VC_date,"&lt;"&amp;DATE(YEAR(M316),MONTH(M316)+1,1))&gt;0,"Visité","À visiter"))))</f>
        <v/>
      </c>
    </row>
    <row r="317" ht="18" customHeight="1">
      <c r="A317" s="39" t="n">
        <v>312</v>
      </c>
      <c r="B317" s="49" t="n"/>
      <c r="C317" s="43" t="n"/>
      <c r="D317" s="32" t="n"/>
      <c r="E317" s="36" t="n"/>
      <c r="F317" s="36" t="n"/>
      <c r="G317" s="36" t="n"/>
      <c r="H317" s="33">
        <f>IF(E317="","",Commercial_Id)</f>
        <v/>
      </c>
      <c r="I317" s="39">
        <f>IF(E317="","",IFERROR(VALUE(MID(E317,LEN(E317)-3,3)),""))</f>
        <v/>
      </c>
      <c r="J317" s="33">
        <f>IF(I317="","",H317&amp;"|"&amp;I317)</f>
        <v/>
      </c>
      <c r="K317" s="33">
        <f>IF(I317="","",IF(H317="À RENSEIGNER","GIC",H317)&amp;"-"&amp;TEXT(I317,"000"))</f>
        <v/>
      </c>
      <c r="L317" s="33">
        <f>IF(J317="","",IFERROR(INDEX(Cl_nom,MATCH(J317,Cl_cle,0)),"(client introuvable)"))</f>
        <v/>
      </c>
      <c r="M317" s="46">
        <f>IF(B317="","",DATE(YEAR(B317),MONTH(B317),1))</f>
        <v/>
      </c>
      <c r="N317" s="33">
        <f>IF(J317="","",IFERROR(INDEX(Cl_quartier,MATCH(J317,Cl_cle,0))&amp;"",""))</f>
        <v/>
      </c>
      <c r="O317" s="33">
        <f>IF(J317="","",IFERROR(INDEX(Cl_tel,MATCH(J317,Cl_cle,0))&amp;"",""))</f>
        <v/>
      </c>
      <c r="P317" s="34">
        <f>IF(J317="","",IFERROR(INDEX(Cl_potentiel,MATCH(J317,Cl_cle,0)),""))</f>
        <v/>
      </c>
      <c r="Q317" s="34">
        <f>IF(J317="","",IF(D317&lt;&gt;"",IF(COUNTIFS(VC_cle,J317,VC_type,"Visite sur place",VC_date,D317)&gt;0,"Visité",IF(D317&lt;TODAY(),"Non fait","À venir")),IF(B317="","",IF(COUNTIFS(VC_cle,J317,VC_type,"Visite sur place",VC_date,"&gt;="&amp;M317,VC_date,"&lt;"&amp;DATE(YEAR(M317),MONTH(M317)+1,1))&gt;0,"Visité","À visiter"))))</f>
        <v/>
      </c>
    </row>
    <row r="318" ht="18" customHeight="1">
      <c r="A318" s="39" t="n">
        <v>313</v>
      </c>
      <c r="B318" s="49" t="n"/>
      <c r="C318" s="43" t="n"/>
      <c r="D318" s="32" t="n"/>
      <c r="E318" s="36" t="n"/>
      <c r="F318" s="36" t="n"/>
      <c r="G318" s="36" t="n"/>
      <c r="H318" s="33">
        <f>IF(E318="","",Commercial_Id)</f>
        <v/>
      </c>
      <c r="I318" s="39">
        <f>IF(E318="","",IFERROR(VALUE(MID(E318,LEN(E318)-3,3)),""))</f>
        <v/>
      </c>
      <c r="J318" s="33">
        <f>IF(I318="","",H318&amp;"|"&amp;I318)</f>
        <v/>
      </c>
      <c r="K318" s="33">
        <f>IF(I318="","",IF(H318="À RENSEIGNER","GIC",H318)&amp;"-"&amp;TEXT(I318,"000"))</f>
        <v/>
      </c>
      <c r="L318" s="33">
        <f>IF(J318="","",IFERROR(INDEX(Cl_nom,MATCH(J318,Cl_cle,0)),"(client introuvable)"))</f>
        <v/>
      </c>
      <c r="M318" s="46">
        <f>IF(B318="","",DATE(YEAR(B318),MONTH(B318),1))</f>
        <v/>
      </c>
      <c r="N318" s="33">
        <f>IF(J318="","",IFERROR(INDEX(Cl_quartier,MATCH(J318,Cl_cle,0))&amp;"",""))</f>
        <v/>
      </c>
      <c r="O318" s="33">
        <f>IF(J318="","",IFERROR(INDEX(Cl_tel,MATCH(J318,Cl_cle,0))&amp;"",""))</f>
        <v/>
      </c>
      <c r="P318" s="34">
        <f>IF(J318="","",IFERROR(INDEX(Cl_potentiel,MATCH(J318,Cl_cle,0)),""))</f>
        <v/>
      </c>
      <c r="Q318" s="34">
        <f>IF(J318="","",IF(D318&lt;&gt;"",IF(COUNTIFS(VC_cle,J318,VC_type,"Visite sur place",VC_date,D318)&gt;0,"Visité",IF(D318&lt;TODAY(),"Non fait","À venir")),IF(B318="","",IF(COUNTIFS(VC_cle,J318,VC_type,"Visite sur place",VC_date,"&gt;="&amp;M318,VC_date,"&lt;"&amp;DATE(YEAR(M318),MONTH(M318)+1,1))&gt;0,"Visité","À visiter"))))</f>
        <v/>
      </c>
    </row>
    <row r="319" ht="18" customHeight="1">
      <c r="A319" s="39" t="n">
        <v>314</v>
      </c>
      <c r="B319" s="49" t="n"/>
      <c r="C319" s="43" t="n"/>
      <c r="D319" s="32" t="n"/>
      <c r="E319" s="36" t="n"/>
      <c r="F319" s="36" t="n"/>
      <c r="G319" s="36" t="n"/>
      <c r="H319" s="33">
        <f>IF(E319="","",Commercial_Id)</f>
        <v/>
      </c>
      <c r="I319" s="39">
        <f>IF(E319="","",IFERROR(VALUE(MID(E319,LEN(E319)-3,3)),""))</f>
        <v/>
      </c>
      <c r="J319" s="33">
        <f>IF(I319="","",H319&amp;"|"&amp;I319)</f>
        <v/>
      </c>
      <c r="K319" s="33">
        <f>IF(I319="","",IF(H319="À RENSEIGNER","GIC",H319)&amp;"-"&amp;TEXT(I319,"000"))</f>
        <v/>
      </c>
      <c r="L319" s="33">
        <f>IF(J319="","",IFERROR(INDEX(Cl_nom,MATCH(J319,Cl_cle,0)),"(client introuvable)"))</f>
        <v/>
      </c>
      <c r="M319" s="46">
        <f>IF(B319="","",DATE(YEAR(B319),MONTH(B319),1))</f>
        <v/>
      </c>
      <c r="N319" s="33">
        <f>IF(J319="","",IFERROR(INDEX(Cl_quartier,MATCH(J319,Cl_cle,0))&amp;"",""))</f>
        <v/>
      </c>
      <c r="O319" s="33">
        <f>IF(J319="","",IFERROR(INDEX(Cl_tel,MATCH(J319,Cl_cle,0))&amp;"",""))</f>
        <v/>
      </c>
      <c r="P319" s="34">
        <f>IF(J319="","",IFERROR(INDEX(Cl_potentiel,MATCH(J319,Cl_cle,0)),""))</f>
        <v/>
      </c>
      <c r="Q319" s="34">
        <f>IF(J319="","",IF(D319&lt;&gt;"",IF(COUNTIFS(VC_cle,J319,VC_type,"Visite sur place",VC_date,D319)&gt;0,"Visité",IF(D319&lt;TODAY(),"Non fait","À venir")),IF(B319="","",IF(COUNTIFS(VC_cle,J319,VC_type,"Visite sur place",VC_date,"&gt;="&amp;M319,VC_date,"&lt;"&amp;DATE(YEAR(M319),MONTH(M319)+1,1))&gt;0,"Visité","À visiter"))))</f>
        <v/>
      </c>
    </row>
    <row r="320" ht="18" customHeight="1">
      <c r="A320" s="39" t="n">
        <v>315</v>
      </c>
      <c r="B320" s="49" t="n"/>
      <c r="C320" s="43" t="n"/>
      <c r="D320" s="32" t="n"/>
      <c r="E320" s="36" t="n"/>
      <c r="F320" s="36" t="n"/>
      <c r="G320" s="36" t="n"/>
      <c r="H320" s="33">
        <f>IF(E320="","",Commercial_Id)</f>
        <v/>
      </c>
      <c r="I320" s="39">
        <f>IF(E320="","",IFERROR(VALUE(MID(E320,LEN(E320)-3,3)),""))</f>
        <v/>
      </c>
      <c r="J320" s="33">
        <f>IF(I320="","",H320&amp;"|"&amp;I320)</f>
        <v/>
      </c>
      <c r="K320" s="33">
        <f>IF(I320="","",IF(H320="À RENSEIGNER","GIC",H320)&amp;"-"&amp;TEXT(I320,"000"))</f>
        <v/>
      </c>
      <c r="L320" s="33">
        <f>IF(J320="","",IFERROR(INDEX(Cl_nom,MATCH(J320,Cl_cle,0)),"(client introuvable)"))</f>
        <v/>
      </c>
      <c r="M320" s="46">
        <f>IF(B320="","",DATE(YEAR(B320),MONTH(B320),1))</f>
        <v/>
      </c>
      <c r="N320" s="33">
        <f>IF(J320="","",IFERROR(INDEX(Cl_quartier,MATCH(J320,Cl_cle,0))&amp;"",""))</f>
        <v/>
      </c>
      <c r="O320" s="33">
        <f>IF(J320="","",IFERROR(INDEX(Cl_tel,MATCH(J320,Cl_cle,0))&amp;"",""))</f>
        <v/>
      </c>
      <c r="P320" s="34">
        <f>IF(J320="","",IFERROR(INDEX(Cl_potentiel,MATCH(J320,Cl_cle,0)),""))</f>
        <v/>
      </c>
      <c r="Q320" s="34">
        <f>IF(J320="","",IF(D320&lt;&gt;"",IF(COUNTIFS(VC_cle,J320,VC_type,"Visite sur place",VC_date,D320)&gt;0,"Visité",IF(D320&lt;TODAY(),"Non fait","À venir")),IF(B320="","",IF(COUNTIFS(VC_cle,J320,VC_type,"Visite sur place",VC_date,"&gt;="&amp;M320,VC_date,"&lt;"&amp;DATE(YEAR(M320),MONTH(M320)+1,1))&gt;0,"Visité","À visiter"))))</f>
        <v/>
      </c>
    </row>
    <row r="321" ht="18" customHeight="1">
      <c r="A321" s="39" t="n">
        <v>316</v>
      </c>
      <c r="B321" s="49" t="n"/>
      <c r="C321" s="43" t="n"/>
      <c r="D321" s="32" t="n"/>
      <c r="E321" s="36" t="n"/>
      <c r="F321" s="36" t="n"/>
      <c r="G321" s="36" t="n"/>
      <c r="H321" s="33">
        <f>IF(E321="","",Commercial_Id)</f>
        <v/>
      </c>
      <c r="I321" s="39">
        <f>IF(E321="","",IFERROR(VALUE(MID(E321,LEN(E321)-3,3)),""))</f>
        <v/>
      </c>
      <c r="J321" s="33">
        <f>IF(I321="","",H321&amp;"|"&amp;I321)</f>
        <v/>
      </c>
      <c r="K321" s="33">
        <f>IF(I321="","",IF(H321="À RENSEIGNER","GIC",H321)&amp;"-"&amp;TEXT(I321,"000"))</f>
        <v/>
      </c>
      <c r="L321" s="33">
        <f>IF(J321="","",IFERROR(INDEX(Cl_nom,MATCH(J321,Cl_cle,0)),"(client introuvable)"))</f>
        <v/>
      </c>
      <c r="M321" s="46">
        <f>IF(B321="","",DATE(YEAR(B321),MONTH(B321),1))</f>
        <v/>
      </c>
      <c r="N321" s="33">
        <f>IF(J321="","",IFERROR(INDEX(Cl_quartier,MATCH(J321,Cl_cle,0))&amp;"",""))</f>
        <v/>
      </c>
      <c r="O321" s="33">
        <f>IF(J321="","",IFERROR(INDEX(Cl_tel,MATCH(J321,Cl_cle,0))&amp;"",""))</f>
        <v/>
      </c>
      <c r="P321" s="34">
        <f>IF(J321="","",IFERROR(INDEX(Cl_potentiel,MATCH(J321,Cl_cle,0)),""))</f>
        <v/>
      </c>
      <c r="Q321" s="34">
        <f>IF(J321="","",IF(D321&lt;&gt;"",IF(COUNTIFS(VC_cle,J321,VC_type,"Visite sur place",VC_date,D321)&gt;0,"Visité",IF(D321&lt;TODAY(),"Non fait","À venir")),IF(B321="","",IF(COUNTIFS(VC_cle,J321,VC_type,"Visite sur place",VC_date,"&gt;="&amp;M321,VC_date,"&lt;"&amp;DATE(YEAR(M321),MONTH(M321)+1,1))&gt;0,"Visité","À visiter"))))</f>
        <v/>
      </c>
    </row>
    <row r="322" ht="18" customHeight="1">
      <c r="A322" s="39" t="n">
        <v>317</v>
      </c>
      <c r="B322" s="49" t="n"/>
      <c r="C322" s="43" t="n"/>
      <c r="D322" s="32" t="n"/>
      <c r="E322" s="36" t="n"/>
      <c r="F322" s="36" t="n"/>
      <c r="G322" s="36" t="n"/>
      <c r="H322" s="33">
        <f>IF(E322="","",Commercial_Id)</f>
        <v/>
      </c>
      <c r="I322" s="39">
        <f>IF(E322="","",IFERROR(VALUE(MID(E322,LEN(E322)-3,3)),""))</f>
        <v/>
      </c>
      <c r="J322" s="33">
        <f>IF(I322="","",H322&amp;"|"&amp;I322)</f>
        <v/>
      </c>
      <c r="K322" s="33">
        <f>IF(I322="","",IF(H322="À RENSEIGNER","GIC",H322)&amp;"-"&amp;TEXT(I322,"000"))</f>
        <v/>
      </c>
      <c r="L322" s="33">
        <f>IF(J322="","",IFERROR(INDEX(Cl_nom,MATCH(J322,Cl_cle,0)),"(client introuvable)"))</f>
        <v/>
      </c>
      <c r="M322" s="46">
        <f>IF(B322="","",DATE(YEAR(B322),MONTH(B322),1))</f>
        <v/>
      </c>
      <c r="N322" s="33">
        <f>IF(J322="","",IFERROR(INDEX(Cl_quartier,MATCH(J322,Cl_cle,0))&amp;"",""))</f>
        <v/>
      </c>
      <c r="O322" s="33">
        <f>IF(J322="","",IFERROR(INDEX(Cl_tel,MATCH(J322,Cl_cle,0))&amp;"",""))</f>
        <v/>
      </c>
      <c r="P322" s="34">
        <f>IF(J322="","",IFERROR(INDEX(Cl_potentiel,MATCH(J322,Cl_cle,0)),""))</f>
        <v/>
      </c>
      <c r="Q322" s="34">
        <f>IF(J322="","",IF(D322&lt;&gt;"",IF(COUNTIFS(VC_cle,J322,VC_type,"Visite sur place",VC_date,D322)&gt;0,"Visité",IF(D322&lt;TODAY(),"Non fait","À venir")),IF(B322="","",IF(COUNTIFS(VC_cle,J322,VC_type,"Visite sur place",VC_date,"&gt;="&amp;M322,VC_date,"&lt;"&amp;DATE(YEAR(M322),MONTH(M322)+1,1))&gt;0,"Visité","À visiter"))))</f>
        <v/>
      </c>
    </row>
    <row r="323" ht="18" customHeight="1">
      <c r="A323" s="39" t="n">
        <v>318</v>
      </c>
      <c r="B323" s="49" t="n"/>
      <c r="C323" s="43" t="n"/>
      <c r="D323" s="32" t="n"/>
      <c r="E323" s="36" t="n"/>
      <c r="F323" s="36" t="n"/>
      <c r="G323" s="36" t="n"/>
      <c r="H323" s="33">
        <f>IF(E323="","",Commercial_Id)</f>
        <v/>
      </c>
      <c r="I323" s="39">
        <f>IF(E323="","",IFERROR(VALUE(MID(E323,LEN(E323)-3,3)),""))</f>
        <v/>
      </c>
      <c r="J323" s="33">
        <f>IF(I323="","",H323&amp;"|"&amp;I323)</f>
        <v/>
      </c>
      <c r="K323" s="33">
        <f>IF(I323="","",IF(H323="À RENSEIGNER","GIC",H323)&amp;"-"&amp;TEXT(I323,"000"))</f>
        <v/>
      </c>
      <c r="L323" s="33">
        <f>IF(J323="","",IFERROR(INDEX(Cl_nom,MATCH(J323,Cl_cle,0)),"(client introuvable)"))</f>
        <v/>
      </c>
      <c r="M323" s="46">
        <f>IF(B323="","",DATE(YEAR(B323),MONTH(B323),1))</f>
        <v/>
      </c>
      <c r="N323" s="33">
        <f>IF(J323="","",IFERROR(INDEX(Cl_quartier,MATCH(J323,Cl_cle,0))&amp;"",""))</f>
        <v/>
      </c>
      <c r="O323" s="33">
        <f>IF(J323="","",IFERROR(INDEX(Cl_tel,MATCH(J323,Cl_cle,0))&amp;"",""))</f>
        <v/>
      </c>
      <c r="P323" s="34">
        <f>IF(J323="","",IFERROR(INDEX(Cl_potentiel,MATCH(J323,Cl_cle,0)),""))</f>
        <v/>
      </c>
      <c r="Q323" s="34">
        <f>IF(J323="","",IF(D323&lt;&gt;"",IF(COUNTIFS(VC_cle,J323,VC_type,"Visite sur place",VC_date,D323)&gt;0,"Visité",IF(D323&lt;TODAY(),"Non fait","À venir")),IF(B323="","",IF(COUNTIFS(VC_cle,J323,VC_type,"Visite sur place",VC_date,"&gt;="&amp;M323,VC_date,"&lt;"&amp;DATE(YEAR(M323),MONTH(M323)+1,1))&gt;0,"Visité","À visiter"))))</f>
        <v/>
      </c>
    </row>
    <row r="324" ht="18" customHeight="1">
      <c r="A324" s="39" t="n">
        <v>319</v>
      </c>
      <c r="B324" s="49" t="n"/>
      <c r="C324" s="43" t="n"/>
      <c r="D324" s="32" t="n"/>
      <c r="E324" s="36" t="n"/>
      <c r="F324" s="36" t="n"/>
      <c r="G324" s="36" t="n"/>
      <c r="H324" s="33">
        <f>IF(E324="","",Commercial_Id)</f>
        <v/>
      </c>
      <c r="I324" s="39">
        <f>IF(E324="","",IFERROR(VALUE(MID(E324,LEN(E324)-3,3)),""))</f>
        <v/>
      </c>
      <c r="J324" s="33">
        <f>IF(I324="","",H324&amp;"|"&amp;I324)</f>
        <v/>
      </c>
      <c r="K324" s="33">
        <f>IF(I324="","",IF(H324="À RENSEIGNER","GIC",H324)&amp;"-"&amp;TEXT(I324,"000"))</f>
        <v/>
      </c>
      <c r="L324" s="33">
        <f>IF(J324="","",IFERROR(INDEX(Cl_nom,MATCH(J324,Cl_cle,0)),"(client introuvable)"))</f>
        <v/>
      </c>
      <c r="M324" s="46">
        <f>IF(B324="","",DATE(YEAR(B324),MONTH(B324),1))</f>
        <v/>
      </c>
      <c r="N324" s="33">
        <f>IF(J324="","",IFERROR(INDEX(Cl_quartier,MATCH(J324,Cl_cle,0))&amp;"",""))</f>
        <v/>
      </c>
      <c r="O324" s="33">
        <f>IF(J324="","",IFERROR(INDEX(Cl_tel,MATCH(J324,Cl_cle,0))&amp;"",""))</f>
        <v/>
      </c>
      <c r="P324" s="34">
        <f>IF(J324="","",IFERROR(INDEX(Cl_potentiel,MATCH(J324,Cl_cle,0)),""))</f>
        <v/>
      </c>
      <c r="Q324" s="34">
        <f>IF(J324="","",IF(D324&lt;&gt;"",IF(COUNTIFS(VC_cle,J324,VC_type,"Visite sur place",VC_date,D324)&gt;0,"Visité",IF(D324&lt;TODAY(),"Non fait","À venir")),IF(B324="","",IF(COUNTIFS(VC_cle,J324,VC_type,"Visite sur place",VC_date,"&gt;="&amp;M324,VC_date,"&lt;"&amp;DATE(YEAR(M324),MONTH(M324)+1,1))&gt;0,"Visité","À visiter"))))</f>
        <v/>
      </c>
    </row>
    <row r="325" ht="18" customHeight="1">
      <c r="A325" s="39" t="n">
        <v>320</v>
      </c>
      <c r="B325" s="49" t="n"/>
      <c r="C325" s="43" t="n"/>
      <c r="D325" s="32" t="n"/>
      <c r="E325" s="36" t="n"/>
      <c r="F325" s="36" t="n"/>
      <c r="G325" s="36" t="n"/>
      <c r="H325" s="33">
        <f>IF(E325="","",Commercial_Id)</f>
        <v/>
      </c>
      <c r="I325" s="39">
        <f>IF(E325="","",IFERROR(VALUE(MID(E325,LEN(E325)-3,3)),""))</f>
        <v/>
      </c>
      <c r="J325" s="33">
        <f>IF(I325="","",H325&amp;"|"&amp;I325)</f>
        <v/>
      </c>
      <c r="K325" s="33">
        <f>IF(I325="","",IF(H325="À RENSEIGNER","GIC",H325)&amp;"-"&amp;TEXT(I325,"000"))</f>
        <v/>
      </c>
      <c r="L325" s="33">
        <f>IF(J325="","",IFERROR(INDEX(Cl_nom,MATCH(J325,Cl_cle,0)),"(client introuvable)"))</f>
        <v/>
      </c>
      <c r="M325" s="46">
        <f>IF(B325="","",DATE(YEAR(B325),MONTH(B325),1))</f>
        <v/>
      </c>
      <c r="N325" s="33">
        <f>IF(J325="","",IFERROR(INDEX(Cl_quartier,MATCH(J325,Cl_cle,0))&amp;"",""))</f>
        <v/>
      </c>
      <c r="O325" s="33">
        <f>IF(J325="","",IFERROR(INDEX(Cl_tel,MATCH(J325,Cl_cle,0))&amp;"",""))</f>
        <v/>
      </c>
      <c r="P325" s="34">
        <f>IF(J325="","",IFERROR(INDEX(Cl_potentiel,MATCH(J325,Cl_cle,0)),""))</f>
        <v/>
      </c>
      <c r="Q325" s="34">
        <f>IF(J325="","",IF(D325&lt;&gt;"",IF(COUNTIFS(VC_cle,J325,VC_type,"Visite sur place",VC_date,D325)&gt;0,"Visité",IF(D325&lt;TODAY(),"Non fait","À venir")),IF(B325="","",IF(COUNTIFS(VC_cle,J325,VC_type,"Visite sur place",VC_date,"&gt;="&amp;M325,VC_date,"&lt;"&amp;DATE(YEAR(M325),MONTH(M325)+1,1))&gt;0,"Visité","À visiter"))))</f>
        <v/>
      </c>
    </row>
    <row r="326" ht="18" customHeight="1">
      <c r="A326" s="39" t="n">
        <v>321</v>
      </c>
      <c r="B326" s="49" t="n"/>
      <c r="C326" s="43" t="n"/>
      <c r="D326" s="32" t="n"/>
      <c r="E326" s="36" t="n"/>
      <c r="F326" s="36" t="n"/>
      <c r="G326" s="36" t="n"/>
      <c r="H326" s="33">
        <f>IF(E326="","",Commercial_Id)</f>
        <v/>
      </c>
      <c r="I326" s="39">
        <f>IF(E326="","",IFERROR(VALUE(MID(E326,LEN(E326)-3,3)),""))</f>
        <v/>
      </c>
      <c r="J326" s="33">
        <f>IF(I326="","",H326&amp;"|"&amp;I326)</f>
        <v/>
      </c>
      <c r="K326" s="33">
        <f>IF(I326="","",IF(H326="À RENSEIGNER","GIC",H326)&amp;"-"&amp;TEXT(I326,"000"))</f>
        <v/>
      </c>
      <c r="L326" s="33">
        <f>IF(J326="","",IFERROR(INDEX(Cl_nom,MATCH(J326,Cl_cle,0)),"(client introuvable)"))</f>
        <v/>
      </c>
      <c r="M326" s="46">
        <f>IF(B326="","",DATE(YEAR(B326),MONTH(B326),1))</f>
        <v/>
      </c>
      <c r="N326" s="33">
        <f>IF(J326="","",IFERROR(INDEX(Cl_quartier,MATCH(J326,Cl_cle,0))&amp;"",""))</f>
        <v/>
      </c>
      <c r="O326" s="33">
        <f>IF(J326="","",IFERROR(INDEX(Cl_tel,MATCH(J326,Cl_cle,0))&amp;"",""))</f>
        <v/>
      </c>
      <c r="P326" s="34">
        <f>IF(J326="","",IFERROR(INDEX(Cl_potentiel,MATCH(J326,Cl_cle,0)),""))</f>
        <v/>
      </c>
      <c r="Q326" s="34">
        <f>IF(J326="","",IF(D326&lt;&gt;"",IF(COUNTIFS(VC_cle,J326,VC_type,"Visite sur place",VC_date,D326)&gt;0,"Visité",IF(D326&lt;TODAY(),"Non fait","À venir")),IF(B326="","",IF(COUNTIFS(VC_cle,J326,VC_type,"Visite sur place",VC_date,"&gt;="&amp;M326,VC_date,"&lt;"&amp;DATE(YEAR(M326),MONTH(M326)+1,1))&gt;0,"Visité","À visiter"))))</f>
        <v/>
      </c>
    </row>
    <row r="327" ht="18" customHeight="1">
      <c r="A327" s="39" t="n">
        <v>322</v>
      </c>
      <c r="B327" s="49" t="n"/>
      <c r="C327" s="43" t="n"/>
      <c r="D327" s="32" t="n"/>
      <c r="E327" s="36" t="n"/>
      <c r="F327" s="36" t="n"/>
      <c r="G327" s="36" t="n"/>
      <c r="H327" s="33">
        <f>IF(E327="","",Commercial_Id)</f>
        <v/>
      </c>
      <c r="I327" s="39">
        <f>IF(E327="","",IFERROR(VALUE(MID(E327,LEN(E327)-3,3)),""))</f>
        <v/>
      </c>
      <c r="J327" s="33">
        <f>IF(I327="","",H327&amp;"|"&amp;I327)</f>
        <v/>
      </c>
      <c r="K327" s="33">
        <f>IF(I327="","",IF(H327="À RENSEIGNER","GIC",H327)&amp;"-"&amp;TEXT(I327,"000"))</f>
        <v/>
      </c>
      <c r="L327" s="33">
        <f>IF(J327="","",IFERROR(INDEX(Cl_nom,MATCH(J327,Cl_cle,0)),"(client introuvable)"))</f>
        <v/>
      </c>
      <c r="M327" s="46">
        <f>IF(B327="","",DATE(YEAR(B327),MONTH(B327),1))</f>
        <v/>
      </c>
      <c r="N327" s="33">
        <f>IF(J327="","",IFERROR(INDEX(Cl_quartier,MATCH(J327,Cl_cle,0))&amp;"",""))</f>
        <v/>
      </c>
      <c r="O327" s="33">
        <f>IF(J327="","",IFERROR(INDEX(Cl_tel,MATCH(J327,Cl_cle,0))&amp;"",""))</f>
        <v/>
      </c>
      <c r="P327" s="34">
        <f>IF(J327="","",IFERROR(INDEX(Cl_potentiel,MATCH(J327,Cl_cle,0)),""))</f>
        <v/>
      </c>
      <c r="Q327" s="34">
        <f>IF(J327="","",IF(D327&lt;&gt;"",IF(COUNTIFS(VC_cle,J327,VC_type,"Visite sur place",VC_date,D327)&gt;0,"Visité",IF(D327&lt;TODAY(),"Non fait","À venir")),IF(B327="","",IF(COUNTIFS(VC_cle,J327,VC_type,"Visite sur place",VC_date,"&gt;="&amp;M327,VC_date,"&lt;"&amp;DATE(YEAR(M327),MONTH(M327)+1,1))&gt;0,"Visité","À visiter"))))</f>
        <v/>
      </c>
    </row>
    <row r="328" ht="18" customHeight="1">
      <c r="A328" s="39" t="n">
        <v>323</v>
      </c>
      <c r="B328" s="49" t="n"/>
      <c r="C328" s="43" t="n"/>
      <c r="D328" s="32" t="n"/>
      <c r="E328" s="36" t="n"/>
      <c r="F328" s="36" t="n"/>
      <c r="G328" s="36" t="n"/>
      <c r="H328" s="33">
        <f>IF(E328="","",Commercial_Id)</f>
        <v/>
      </c>
      <c r="I328" s="39">
        <f>IF(E328="","",IFERROR(VALUE(MID(E328,LEN(E328)-3,3)),""))</f>
        <v/>
      </c>
      <c r="J328" s="33">
        <f>IF(I328="","",H328&amp;"|"&amp;I328)</f>
        <v/>
      </c>
      <c r="K328" s="33">
        <f>IF(I328="","",IF(H328="À RENSEIGNER","GIC",H328)&amp;"-"&amp;TEXT(I328,"000"))</f>
        <v/>
      </c>
      <c r="L328" s="33">
        <f>IF(J328="","",IFERROR(INDEX(Cl_nom,MATCH(J328,Cl_cle,0)),"(client introuvable)"))</f>
        <v/>
      </c>
      <c r="M328" s="46">
        <f>IF(B328="","",DATE(YEAR(B328),MONTH(B328),1))</f>
        <v/>
      </c>
      <c r="N328" s="33">
        <f>IF(J328="","",IFERROR(INDEX(Cl_quartier,MATCH(J328,Cl_cle,0))&amp;"",""))</f>
        <v/>
      </c>
      <c r="O328" s="33">
        <f>IF(J328="","",IFERROR(INDEX(Cl_tel,MATCH(J328,Cl_cle,0))&amp;"",""))</f>
        <v/>
      </c>
      <c r="P328" s="34">
        <f>IF(J328="","",IFERROR(INDEX(Cl_potentiel,MATCH(J328,Cl_cle,0)),""))</f>
        <v/>
      </c>
      <c r="Q328" s="34">
        <f>IF(J328="","",IF(D328&lt;&gt;"",IF(COUNTIFS(VC_cle,J328,VC_type,"Visite sur place",VC_date,D328)&gt;0,"Visité",IF(D328&lt;TODAY(),"Non fait","À venir")),IF(B328="","",IF(COUNTIFS(VC_cle,J328,VC_type,"Visite sur place",VC_date,"&gt;="&amp;M328,VC_date,"&lt;"&amp;DATE(YEAR(M328),MONTH(M328)+1,1))&gt;0,"Visité","À visiter"))))</f>
        <v/>
      </c>
    </row>
    <row r="329" ht="18" customHeight="1">
      <c r="A329" s="39" t="n">
        <v>324</v>
      </c>
      <c r="B329" s="49" t="n"/>
      <c r="C329" s="43" t="n"/>
      <c r="D329" s="32" t="n"/>
      <c r="E329" s="36" t="n"/>
      <c r="F329" s="36" t="n"/>
      <c r="G329" s="36" t="n"/>
      <c r="H329" s="33">
        <f>IF(E329="","",Commercial_Id)</f>
        <v/>
      </c>
      <c r="I329" s="39">
        <f>IF(E329="","",IFERROR(VALUE(MID(E329,LEN(E329)-3,3)),""))</f>
        <v/>
      </c>
      <c r="J329" s="33">
        <f>IF(I329="","",H329&amp;"|"&amp;I329)</f>
        <v/>
      </c>
      <c r="K329" s="33">
        <f>IF(I329="","",IF(H329="À RENSEIGNER","GIC",H329)&amp;"-"&amp;TEXT(I329,"000"))</f>
        <v/>
      </c>
      <c r="L329" s="33">
        <f>IF(J329="","",IFERROR(INDEX(Cl_nom,MATCH(J329,Cl_cle,0)),"(client introuvable)"))</f>
        <v/>
      </c>
      <c r="M329" s="46">
        <f>IF(B329="","",DATE(YEAR(B329),MONTH(B329),1))</f>
        <v/>
      </c>
      <c r="N329" s="33">
        <f>IF(J329="","",IFERROR(INDEX(Cl_quartier,MATCH(J329,Cl_cle,0))&amp;"",""))</f>
        <v/>
      </c>
      <c r="O329" s="33">
        <f>IF(J329="","",IFERROR(INDEX(Cl_tel,MATCH(J329,Cl_cle,0))&amp;"",""))</f>
        <v/>
      </c>
      <c r="P329" s="34">
        <f>IF(J329="","",IFERROR(INDEX(Cl_potentiel,MATCH(J329,Cl_cle,0)),""))</f>
        <v/>
      </c>
      <c r="Q329" s="34">
        <f>IF(J329="","",IF(D329&lt;&gt;"",IF(COUNTIFS(VC_cle,J329,VC_type,"Visite sur place",VC_date,D329)&gt;0,"Visité",IF(D329&lt;TODAY(),"Non fait","À venir")),IF(B329="","",IF(COUNTIFS(VC_cle,J329,VC_type,"Visite sur place",VC_date,"&gt;="&amp;M329,VC_date,"&lt;"&amp;DATE(YEAR(M329),MONTH(M329)+1,1))&gt;0,"Visité","À visiter"))))</f>
        <v/>
      </c>
    </row>
    <row r="330" ht="18" customHeight="1">
      <c r="A330" s="39" t="n">
        <v>325</v>
      </c>
      <c r="B330" s="49" t="n"/>
      <c r="C330" s="43" t="n"/>
      <c r="D330" s="32" t="n"/>
      <c r="E330" s="36" t="n"/>
      <c r="F330" s="36" t="n"/>
      <c r="G330" s="36" t="n"/>
      <c r="H330" s="33">
        <f>IF(E330="","",Commercial_Id)</f>
        <v/>
      </c>
      <c r="I330" s="39">
        <f>IF(E330="","",IFERROR(VALUE(MID(E330,LEN(E330)-3,3)),""))</f>
        <v/>
      </c>
      <c r="J330" s="33">
        <f>IF(I330="","",H330&amp;"|"&amp;I330)</f>
        <v/>
      </c>
      <c r="K330" s="33">
        <f>IF(I330="","",IF(H330="À RENSEIGNER","GIC",H330)&amp;"-"&amp;TEXT(I330,"000"))</f>
        <v/>
      </c>
      <c r="L330" s="33">
        <f>IF(J330="","",IFERROR(INDEX(Cl_nom,MATCH(J330,Cl_cle,0)),"(client introuvable)"))</f>
        <v/>
      </c>
      <c r="M330" s="46">
        <f>IF(B330="","",DATE(YEAR(B330),MONTH(B330),1))</f>
        <v/>
      </c>
      <c r="N330" s="33">
        <f>IF(J330="","",IFERROR(INDEX(Cl_quartier,MATCH(J330,Cl_cle,0))&amp;"",""))</f>
        <v/>
      </c>
      <c r="O330" s="33">
        <f>IF(J330="","",IFERROR(INDEX(Cl_tel,MATCH(J330,Cl_cle,0))&amp;"",""))</f>
        <v/>
      </c>
      <c r="P330" s="34">
        <f>IF(J330="","",IFERROR(INDEX(Cl_potentiel,MATCH(J330,Cl_cle,0)),""))</f>
        <v/>
      </c>
      <c r="Q330" s="34">
        <f>IF(J330="","",IF(D330&lt;&gt;"",IF(COUNTIFS(VC_cle,J330,VC_type,"Visite sur place",VC_date,D330)&gt;0,"Visité",IF(D330&lt;TODAY(),"Non fait","À venir")),IF(B330="","",IF(COUNTIFS(VC_cle,J330,VC_type,"Visite sur place",VC_date,"&gt;="&amp;M330,VC_date,"&lt;"&amp;DATE(YEAR(M330),MONTH(M330)+1,1))&gt;0,"Visité","À visiter"))))</f>
        <v/>
      </c>
    </row>
    <row r="331" ht="18" customHeight="1">
      <c r="A331" s="39" t="n">
        <v>326</v>
      </c>
      <c r="B331" s="49" t="n"/>
      <c r="C331" s="43" t="n"/>
      <c r="D331" s="32" t="n"/>
      <c r="E331" s="36" t="n"/>
      <c r="F331" s="36" t="n"/>
      <c r="G331" s="36" t="n"/>
      <c r="H331" s="33">
        <f>IF(E331="","",Commercial_Id)</f>
        <v/>
      </c>
      <c r="I331" s="39">
        <f>IF(E331="","",IFERROR(VALUE(MID(E331,LEN(E331)-3,3)),""))</f>
        <v/>
      </c>
      <c r="J331" s="33">
        <f>IF(I331="","",H331&amp;"|"&amp;I331)</f>
        <v/>
      </c>
      <c r="K331" s="33">
        <f>IF(I331="","",IF(H331="À RENSEIGNER","GIC",H331)&amp;"-"&amp;TEXT(I331,"000"))</f>
        <v/>
      </c>
      <c r="L331" s="33">
        <f>IF(J331="","",IFERROR(INDEX(Cl_nom,MATCH(J331,Cl_cle,0)),"(client introuvable)"))</f>
        <v/>
      </c>
      <c r="M331" s="46">
        <f>IF(B331="","",DATE(YEAR(B331),MONTH(B331),1))</f>
        <v/>
      </c>
      <c r="N331" s="33">
        <f>IF(J331="","",IFERROR(INDEX(Cl_quartier,MATCH(J331,Cl_cle,0))&amp;"",""))</f>
        <v/>
      </c>
      <c r="O331" s="33">
        <f>IF(J331="","",IFERROR(INDEX(Cl_tel,MATCH(J331,Cl_cle,0))&amp;"",""))</f>
        <v/>
      </c>
      <c r="P331" s="34">
        <f>IF(J331="","",IFERROR(INDEX(Cl_potentiel,MATCH(J331,Cl_cle,0)),""))</f>
        <v/>
      </c>
      <c r="Q331" s="34">
        <f>IF(J331="","",IF(D331&lt;&gt;"",IF(COUNTIFS(VC_cle,J331,VC_type,"Visite sur place",VC_date,D331)&gt;0,"Visité",IF(D331&lt;TODAY(),"Non fait","À venir")),IF(B331="","",IF(COUNTIFS(VC_cle,J331,VC_type,"Visite sur place",VC_date,"&gt;="&amp;M331,VC_date,"&lt;"&amp;DATE(YEAR(M331),MONTH(M331)+1,1))&gt;0,"Visité","À visiter"))))</f>
        <v/>
      </c>
    </row>
    <row r="332" ht="18" customHeight="1">
      <c r="A332" s="39" t="n">
        <v>327</v>
      </c>
      <c r="B332" s="49" t="n"/>
      <c r="C332" s="43" t="n"/>
      <c r="D332" s="32" t="n"/>
      <c r="E332" s="36" t="n"/>
      <c r="F332" s="36" t="n"/>
      <c r="G332" s="36" t="n"/>
      <c r="H332" s="33">
        <f>IF(E332="","",Commercial_Id)</f>
        <v/>
      </c>
      <c r="I332" s="39">
        <f>IF(E332="","",IFERROR(VALUE(MID(E332,LEN(E332)-3,3)),""))</f>
        <v/>
      </c>
      <c r="J332" s="33">
        <f>IF(I332="","",H332&amp;"|"&amp;I332)</f>
        <v/>
      </c>
      <c r="K332" s="33">
        <f>IF(I332="","",IF(H332="À RENSEIGNER","GIC",H332)&amp;"-"&amp;TEXT(I332,"000"))</f>
        <v/>
      </c>
      <c r="L332" s="33">
        <f>IF(J332="","",IFERROR(INDEX(Cl_nom,MATCH(J332,Cl_cle,0)),"(client introuvable)"))</f>
        <v/>
      </c>
      <c r="M332" s="46">
        <f>IF(B332="","",DATE(YEAR(B332),MONTH(B332),1))</f>
        <v/>
      </c>
      <c r="N332" s="33">
        <f>IF(J332="","",IFERROR(INDEX(Cl_quartier,MATCH(J332,Cl_cle,0))&amp;"",""))</f>
        <v/>
      </c>
      <c r="O332" s="33">
        <f>IF(J332="","",IFERROR(INDEX(Cl_tel,MATCH(J332,Cl_cle,0))&amp;"",""))</f>
        <v/>
      </c>
      <c r="P332" s="34">
        <f>IF(J332="","",IFERROR(INDEX(Cl_potentiel,MATCH(J332,Cl_cle,0)),""))</f>
        <v/>
      </c>
      <c r="Q332" s="34">
        <f>IF(J332="","",IF(D332&lt;&gt;"",IF(COUNTIFS(VC_cle,J332,VC_type,"Visite sur place",VC_date,D332)&gt;0,"Visité",IF(D332&lt;TODAY(),"Non fait","À venir")),IF(B332="","",IF(COUNTIFS(VC_cle,J332,VC_type,"Visite sur place",VC_date,"&gt;="&amp;M332,VC_date,"&lt;"&amp;DATE(YEAR(M332),MONTH(M332)+1,1))&gt;0,"Visité","À visiter"))))</f>
        <v/>
      </c>
    </row>
    <row r="333" ht="18" customHeight="1">
      <c r="A333" s="39" t="n">
        <v>328</v>
      </c>
      <c r="B333" s="49" t="n"/>
      <c r="C333" s="43" t="n"/>
      <c r="D333" s="32" t="n"/>
      <c r="E333" s="36" t="n"/>
      <c r="F333" s="36" t="n"/>
      <c r="G333" s="36" t="n"/>
      <c r="H333" s="33">
        <f>IF(E333="","",Commercial_Id)</f>
        <v/>
      </c>
      <c r="I333" s="39">
        <f>IF(E333="","",IFERROR(VALUE(MID(E333,LEN(E333)-3,3)),""))</f>
        <v/>
      </c>
      <c r="J333" s="33">
        <f>IF(I333="","",H333&amp;"|"&amp;I333)</f>
        <v/>
      </c>
      <c r="K333" s="33">
        <f>IF(I333="","",IF(H333="À RENSEIGNER","GIC",H333)&amp;"-"&amp;TEXT(I333,"000"))</f>
        <v/>
      </c>
      <c r="L333" s="33">
        <f>IF(J333="","",IFERROR(INDEX(Cl_nom,MATCH(J333,Cl_cle,0)),"(client introuvable)"))</f>
        <v/>
      </c>
      <c r="M333" s="46">
        <f>IF(B333="","",DATE(YEAR(B333),MONTH(B333),1))</f>
        <v/>
      </c>
      <c r="N333" s="33">
        <f>IF(J333="","",IFERROR(INDEX(Cl_quartier,MATCH(J333,Cl_cle,0))&amp;"",""))</f>
        <v/>
      </c>
      <c r="O333" s="33">
        <f>IF(J333="","",IFERROR(INDEX(Cl_tel,MATCH(J333,Cl_cle,0))&amp;"",""))</f>
        <v/>
      </c>
      <c r="P333" s="34">
        <f>IF(J333="","",IFERROR(INDEX(Cl_potentiel,MATCH(J333,Cl_cle,0)),""))</f>
        <v/>
      </c>
      <c r="Q333" s="34">
        <f>IF(J333="","",IF(D333&lt;&gt;"",IF(COUNTIFS(VC_cle,J333,VC_type,"Visite sur place",VC_date,D333)&gt;0,"Visité",IF(D333&lt;TODAY(),"Non fait","À venir")),IF(B333="","",IF(COUNTIFS(VC_cle,J333,VC_type,"Visite sur place",VC_date,"&gt;="&amp;M333,VC_date,"&lt;"&amp;DATE(YEAR(M333),MONTH(M333)+1,1))&gt;0,"Visité","À visiter"))))</f>
        <v/>
      </c>
    </row>
    <row r="334" ht="18" customHeight="1">
      <c r="A334" s="39" t="n">
        <v>329</v>
      </c>
      <c r="B334" s="49" t="n"/>
      <c r="C334" s="43" t="n"/>
      <c r="D334" s="32" t="n"/>
      <c r="E334" s="36" t="n"/>
      <c r="F334" s="36" t="n"/>
      <c r="G334" s="36" t="n"/>
      <c r="H334" s="33">
        <f>IF(E334="","",Commercial_Id)</f>
        <v/>
      </c>
      <c r="I334" s="39">
        <f>IF(E334="","",IFERROR(VALUE(MID(E334,LEN(E334)-3,3)),""))</f>
        <v/>
      </c>
      <c r="J334" s="33">
        <f>IF(I334="","",H334&amp;"|"&amp;I334)</f>
        <v/>
      </c>
      <c r="K334" s="33">
        <f>IF(I334="","",IF(H334="À RENSEIGNER","GIC",H334)&amp;"-"&amp;TEXT(I334,"000"))</f>
        <v/>
      </c>
      <c r="L334" s="33">
        <f>IF(J334="","",IFERROR(INDEX(Cl_nom,MATCH(J334,Cl_cle,0)),"(client introuvable)"))</f>
        <v/>
      </c>
      <c r="M334" s="46">
        <f>IF(B334="","",DATE(YEAR(B334),MONTH(B334),1))</f>
        <v/>
      </c>
      <c r="N334" s="33">
        <f>IF(J334="","",IFERROR(INDEX(Cl_quartier,MATCH(J334,Cl_cle,0))&amp;"",""))</f>
        <v/>
      </c>
      <c r="O334" s="33">
        <f>IF(J334="","",IFERROR(INDEX(Cl_tel,MATCH(J334,Cl_cle,0))&amp;"",""))</f>
        <v/>
      </c>
      <c r="P334" s="34">
        <f>IF(J334="","",IFERROR(INDEX(Cl_potentiel,MATCH(J334,Cl_cle,0)),""))</f>
        <v/>
      </c>
      <c r="Q334" s="34">
        <f>IF(J334="","",IF(D334&lt;&gt;"",IF(COUNTIFS(VC_cle,J334,VC_type,"Visite sur place",VC_date,D334)&gt;0,"Visité",IF(D334&lt;TODAY(),"Non fait","À venir")),IF(B334="","",IF(COUNTIFS(VC_cle,J334,VC_type,"Visite sur place",VC_date,"&gt;="&amp;M334,VC_date,"&lt;"&amp;DATE(YEAR(M334),MONTH(M334)+1,1))&gt;0,"Visité","À visiter"))))</f>
        <v/>
      </c>
    </row>
    <row r="335" ht="18" customHeight="1">
      <c r="A335" s="39" t="n">
        <v>330</v>
      </c>
      <c r="B335" s="49" t="n"/>
      <c r="C335" s="43" t="n"/>
      <c r="D335" s="32" t="n"/>
      <c r="E335" s="36" t="n"/>
      <c r="F335" s="36" t="n"/>
      <c r="G335" s="36" t="n"/>
      <c r="H335" s="33">
        <f>IF(E335="","",Commercial_Id)</f>
        <v/>
      </c>
      <c r="I335" s="39">
        <f>IF(E335="","",IFERROR(VALUE(MID(E335,LEN(E335)-3,3)),""))</f>
        <v/>
      </c>
      <c r="J335" s="33">
        <f>IF(I335="","",H335&amp;"|"&amp;I335)</f>
        <v/>
      </c>
      <c r="K335" s="33">
        <f>IF(I335="","",IF(H335="À RENSEIGNER","GIC",H335)&amp;"-"&amp;TEXT(I335,"000"))</f>
        <v/>
      </c>
      <c r="L335" s="33">
        <f>IF(J335="","",IFERROR(INDEX(Cl_nom,MATCH(J335,Cl_cle,0)),"(client introuvable)"))</f>
        <v/>
      </c>
      <c r="M335" s="46">
        <f>IF(B335="","",DATE(YEAR(B335),MONTH(B335),1))</f>
        <v/>
      </c>
      <c r="N335" s="33">
        <f>IF(J335="","",IFERROR(INDEX(Cl_quartier,MATCH(J335,Cl_cle,0))&amp;"",""))</f>
        <v/>
      </c>
      <c r="O335" s="33">
        <f>IF(J335="","",IFERROR(INDEX(Cl_tel,MATCH(J335,Cl_cle,0))&amp;"",""))</f>
        <v/>
      </c>
      <c r="P335" s="34">
        <f>IF(J335="","",IFERROR(INDEX(Cl_potentiel,MATCH(J335,Cl_cle,0)),""))</f>
        <v/>
      </c>
      <c r="Q335" s="34">
        <f>IF(J335="","",IF(D335&lt;&gt;"",IF(COUNTIFS(VC_cle,J335,VC_type,"Visite sur place",VC_date,D335)&gt;0,"Visité",IF(D335&lt;TODAY(),"Non fait","À venir")),IF(B335="","",IF(COUNTIFS(VC_cle,J335,VC_type,"Visite sur place",VC_date,"&gt;="&amp;M335,VC_date,"&lt;"&amp;DATE(YEAR(M335),MONTH(M335)+1,1))&gt;0,"Visité","À visiter"))))</f>
        <v/>
      </c>
    </row>
    <row r="336" ht="18" customHeight="1">
      <c r="A336" s="39" t="n">
        <v>331</v>
      </c>
      <c r="B336" s="49" t="n"/>
      <c r="C336" s="43" t="n"/>
      <c r="D336" s="32" t="n"/>
      <c r="E336" s="36" t="n"/>
      <c r="F336" s="36" t="n"/>
      <c r="G336" s="36" t="n"/>
      <c r="H336" s="33">
        <f>IF(E336="","",Commercial_Id)</f>
        <v/>
      </c>
      <c r="I336" s="39">
        <f>IF(E336="","",IFERROR(VALUE(MID(E336,LEN(E336)-3,3)),""))</f>
        <v/>
      </c>
      <c r="J336" s="33">
        <f>IF(I336="","",H336&amp;"|"&amp;I336)</f>
        <v/>
      </c>
      <c r="K336" s="33">
        <f>IF(I336="","",IF(H336="À RENSEIGNER","GIC",H336)&amp;"-"&amp;TEXT(I336,"000"))</f>
        <v/>
      </c>
      <c r="L336" s="33">
        <f>IF(J336="","",IFERROR(INDEX(Cl_nom,MATCH(J336,Cl_cle,0)),"(client introuvable)"))</f>
        <v/>
      </c>
      <c r="M336" s="46">
        <f>IF(B336="","",DATE(YEAR(B336),MONTH(B336),1))</f>
        <v/>
      </c>
      <c r="N336" s="33">
        <f>IF(J336="","",IFERROR(INDEX(Cl_quartier,MATCH(J336,Cl_cle,0))&amp;"",""))</f>
        <v/>
      </c>
      <c r="O336" s="33">
        <f>IF(J336="","",IFERROR(INDEX(Cl_tel,MATCH(J336,Cl_cle,0))&amp;"",""))</f>
        <v/>
      </c>
      <c r="P336" s="34">
        <f>IF(J336="","",IFERROR(INDEX(Cl_potentiel,MATCH(J336,Cl_cle,0)),""))</f>
        <v/>
      </c>
      <c r="Q336" s="34">
        <f>IF(J336="","",IF(D336&lt;&gt;"",IF(COUNTIFS(VC_cle,J336,VC_type,"Visite sur place",VC_date,D336)&gt;0,"Visité",IF(D336&lt;TODAY(),"Non fait","À venir")),IF(B336="","",IF(COUNTIFS(VC_cle,J336,VC_type,"Visite sur place",VC_date,"&gt;="&amp;M336,VC_date,"&lt;"&amp;DATE(YEAR(M336),MONTH(M336)+1,1))&gt;0,"Visité","À visiter"))))</f>
        <v/>
      </c>
    </row>
    <row r="337" ht="18" customHeight="1">
      <c r="A337" s="39" t="n">
        <v>332</v>
      </c>
      <c r="B337" s="49" t="n"/>
      <c r="C337" s="43" t="n"/>
      <c r="D337" s="32" t="n"/>
      <c r="E337" s="36" t="n"/>
      <c r="F337" s="36" t="n"/>
      <c r="G337" s="36" t="n"/>
      <c r="H337" s="33">
        <f>IF(E337="","",Commercial_Id)</f>
        <v/>
      </c>
      <c r="I337" s="39">
        <f>IF(E337="","",IFERROR(VALUE(MID(E337,LEN(E337)-3,3)),""))</f>
        <v/>
      </c>
      <c r="J337" s="33">
        <f>IF(I337="","",H337&amp;"|"&amp;I337)</f>
        <v/>
      </c>
      <c r="K337" s="33">
        <f>IF(I337="","",IF(H337="À RENSEIGNER","GIC",H337)&amp;"-"&amp;TEXT(I337,"000"))</f>
        <v/>
      </c>
      <c r="L337" s="33">
        <f>IF(J337="","",IFERROR(INDEX(Cl_nom,MATCH(J337,Cl_cle,0)),"(client introuvable)"))</f>
        <v/>
      </c>
      <c r="M337" s="46">
        <f>IF(B337="","",DATE(YEAR(B337),MONTH(B337),1))</f>
        <v/>
      </c>
      <c r="N337" s="33">
        <f>IF(J337="","",IFERROR(INDEX(Cl_quartier,MATCH(J337,Cl_cle,0))&amp;"",""))</f>
        <v/>
      </c>
      <c r="O337" s="33">
        <f>IF(J337="","",IFERROR(INDEX(Cl_tel,MATCH(J337,Cl_cle,0))&amp;"",""))</f>
        <v/>
      </c>
      <c r="P337" s="34">
        <f>IF(J337="","",IFERROR(INDEX(Cl_potentiel,MATCH(J337,Cl_cle,0)),""))</f>
        <v/>
      </c>
      <c r="Q337" s="34">
        <f>IF(J337="","",IF(D337&lt;&gt;"",IF(COUNTIFS(VC_cle,J337,VC_type,"Visite sur place",VC_date,D337)&gt;0,"Visité",IF(D337&lt;TODAY(),"Non fait","À venir")),IF(B337="","",IF(COUNTIFS(VC_cle,J337,VC_type,"Visite sur place",VC_date,"&gt;="&amp;M337,VC_date,"&lt;"&amp;DATE(YEAR(M337),MONTH(M337)+1,1))&gt;0,"Visité","À visiter"))))</f>
        <v/>
      </c>
    </row>
    <row r="338" ht="18" customHeight="1">
      <c r="A338" s="39" t="n">
        <v>333</v>
      </c>
      <c r="B338" s="49" t="n"/>
      <c r="C338" s="43" t="n"/>
      <c r="D338" s="32" t="n"/>
      <c r="E338" s="36" t="n"/>
      <c r="F338" s="36" t="n"/>
      <c r="G338" s="36" t="n"/>
      <c r="H338" s="33">
        <f>IF(E338="","",Commercial_Id)</f>
        <v/>
      </c>
      <c r="I338" s="39">
        <f>IF(E338="","",IFERROR(VALUE(MID(E338,LEN(E338)-3,3)),""))</f>
        <v/>
      </c>
      <c r="J338" s="33">
        <f>IF(I338="","",H338&amp;"|"&amp;I338)</f>
        <v/>
      </c>
      <c r="K338" s="33">
        <f>IF(I338="","",IF(H338="À RENSEIGNER","GIC",H338)&amp;"-"&amp;TEXT(I338,"000"))</f>
        <v/>
      </c>
      <c r="L338" s="33">
        <f>IF(J338="","",IFERROR(INDEX(Cl_nom,MATCH(J338,Cl_cle,0)),"(client introuvable)"))</f>
        <v/>
      </c>
      <c r="M338" s="46">
        <f>IF(B338="","",DATE(YEAR(B338),MONTH(B338),1))</f>
        <v/>
      </c>
      <c r="N338" s="33">
        <f>IF(J338="","",IFERROR(INDEX(Cl_quartier,MATCH(J338,Cl_cle,0))&amp;"",""))</f>
        <v/>
      </c>
      <c r="O338" s="33">
        <f>IF(J338="","",IFERROR(INDEX(Cl_tel,MATCH(J338,Cl_cle,0))&amp;"",""))</f>
        <v/>
      </c>
      <c r="P338" s="34">
        <f>IF(J338="","",IFERROR(INDEX(Cl_potentiel,MATCH(J338,Cl_cle,0)),""))</f>
        <v/>
      </c>
      <c r="Q338" s="34">
        <f>IF(J338="","",IF(D338&lt;&gt;"",IF(COUNTIFS(VC_cle,J338,VC_type,"Visite sur place",VC_date,D338)&gt;0,"Visité",IF(D338&lt;TODAY(),"Non fait","À venir")),IF(B338="","",IF(COUNTIFS(VC_cle,J338,VC_type,"Visite sur place",VC_date,"&gt;="&amp;M338,VC_date,"&lt;"&amp;DATE(YEAR(M338),MONTH(M338)+1,1))&gt;0,"Visité","À visiter"))))</f>
        <v/>
      </c>
    </row>
    <row r="339" ht="18" customHeight="1">
      <c r="A339" s="39" t="n">
        <v>334</v>
      </c>
      <c r="B339" s="49" t="n"/>
      <c r="C339" s="43" t="n"/>
      <c r="D339" s="32" t="n"/>
      <c r="E339" s="36" t="n"/>
      <c r="F339" s="36" t="n"/>
      <c r="G339" s="36" t="n"/>
      <c r="H339" s="33">
        <f>IF(E339="","",Commercial_Id)</f>
        <v/>
      </c>
      <c r="I339" s="39">
        <f>IF(E339="","",IFERROR(VALUE(MID(E339,LEN(E339)-3,3)),""))</f>
        <v/>
      </c>
      <c r="J339" s="33">
        <f>IF(I339="","",H339&amp;"|"&amp;I339)</f>
        <v/>
      </c>
      <c r="K339" s="33">
        <f>IF(I339="","",IF(H339="À RENSEIGNER","GIC",H339)&amp;"-"&amp;TEXT(I339,"000"))</f>
        <v/>
      </c>
      <c r="L339" s="33">
        <f>IF(J339="","",IFERROR(INDEX(Cl_nom,MATCH(J339,Cl_cle,0)),"(client introuvable)"))</f>
        <v/>
      </c>
      <c r="M339" s="46">
        <f>IF(B339="","",DATE(YEAR(B339),MONTH(B339),1))</f>
        <v/>
      </c>
      <c r="N339" s="33">
        <f>IF(J339="","",IFERROR(INDEX(Cl_quartier,MATCH(J339,Cl_cle,0))&amp;"",""))</f>
        <v/>
      </c>
      <c r="O339" s="33">
        <f>IF(J339="","",IFERROR(INDEX(Cl_tel,MATCH(J339,Cl_cle,0))&amp;"",""))</f>
        <v/>
      </c>
      <c r="P339" s="34">
        <f>IF(J339="","",IFERROR(INDEX(Cl_potentiel,MATCH(J339,Cl_cle,0)),""))</f>
        <v/>
      </c>
      <c r="Q339" s="34">
        <f>IF(J339="","",IF(D339&lt;&gt;"",IF(COUNTIFS(VC_cle,J339,VC_type,"Visite sur place",VC_date,D339)&gt;0,"Visité",IF(D339&lt;TODAY(),"Non fait","À venir")),IF(B339="","",IF(COUNTIFS(VC_cle,J339,VC_type,"Visite sur place",VC_date,"&gt;="&amp;M339,VC_date,"&lt;"&amp;DATE(YEAR(M339),MONTH(M339)+1,1))&gt;0,"Visité","À visiter"))))</f>
        <v/>
      </c>
    </row>
    <row r="340" ht="18" customHeight="1">
      <c r="A340" s="39" t="n">
        <v>335</v>
      </c>
      <c r="B340" s="49" t="n"/>
      <c r="C340" s="43" t="n"/>
      <c r="D340" s="32" t="n"/>
      <c r="E340" s="36" t="n"/>
      <c r="F340" s="36" t="n"/>
      <c r="G340" s="36" t="n"/>
      <c r="H340" s="33">
        <f>IF(E340="","",Commercial_Id)</f>
        <v/>
      </c>
      <c r="I340" s="39">
        <f>IF(E340="","",IFERROR(VALUE(MID(E340,LEN(E340)-3,3)),""))</f>
        <v/>
      </c>
      <c r="J340" s="33">
        <f>IF(I340="","",H340&amp;"|"&amp;I340)</f>
        <v/>
      </c>
      <c r="K340" s="33">
        <f>IF(I340="","",IF(H340="À RENSEIGNER","GIC",H340)&amp;"-"&amp;TEXT(I340,"000"))</f>
        <v/>
      </c>
      <c r="L340" s="33">
        <f>IF(J340="","",IFERROR(INDEX(Cl_nom,MATCH(J340,Cl_cle,0)),"(client introuvable)"))</f>
        <v/>
      </c>
      <c r="M340" s="46">
        <f>IF(B340="","",DATE(YEAR(B340),MONTH(B340),1))</f>
        <v/>
      </c>
      <c r="N340" s="33">
        <f>IF(J340="","",IFERROR(INDEX(Cl_quartier,MATCH(J340,Cl_cle,0))&amp;"",""))</f>
        <v/>
      </c>
      <c r="O340" s="33">
        <f>IF(J340="","",IFERROR(INDEX(Cl_tel,MATCH(J340,Cl_cle,0))&amp;"",""))</f>
        <v/>
      </c>
      <c r="P340" s="34">
        <f>IF(J340="","",IFERROR(INDEX(Cl_potentiel,MATCH(J340,Cl_cle,0)),""))</f>
        <v/>
      </c>
      <c r="Q340" s="34">
        <f>IF(J340="","",IF(D340&lt;&gt;"",IF(COUNTIFS(VC_cle,J340,VC_type,"Visite sur place",VC_date,D340)&gt;0,"Visité",IF(D340&lt;TODAY(),"Non fait","À venir")),IF(B340="","",IF(COUNTIFS(VC_cle,J340,VC_type,"Visite sur place",VC_date,"&gt;="&amp;M340,VC_date,"&lt;"&amp;DATE(YEAR(M340),MONTH(M340)+1,1))&gt;0,"Visité","À visiter"))))</f>
        <v/>
      </c>
    </row>
    <row r="341" ht="18" customHeight="1">
      <c r="A341" s="39" t="n">
        <v>336</v>
      </c>
      <c r="B341" s="49" t="n"/>
      <c r="C341" s="43" t="n"/>
      <c r="D341" s="32" t="n"/>
      <c r="E341" s="36" t="n"/>
      <c r="F341" s="36" t="n"/>
      <c r="G341" s="36" t="n"/>
      <c r="H341" s="33">
        <f>IF(E341="","",Commercial_Id)</f>
        <v/>
      </c>
      <c r="I341" s="39">
        <f>IF(E341="","",IFERROR(VALUE(MID(E341,LEN(E341)-3,3)),""))</f>
        <v/>
      </c>
      <c r="J341" s="33">
        <f>IF(I341="","",H341&amp;"|"&amp;I341)</f>
        <v/>
      </c>
      <c r="K341" s="33">
        <f>IF(I341="","",IF(H341="À RENSEIGNER","GIC",H341)&amp;"-"&amp;TEXT(I341,"000"))</f>
        <v/>
      </c>
      <c r="L341" s="33">
        <f>IF(J341="","",IFERROR(INDEX(Cl_nom,MATCH(J341,Cl_cle,0)),"(client introuvable)"))</f>
        <v/>
      </c>
      <c r="M341" s="46">
        <f>IF(B341="","",DATE(YEAR(B341),MONTH(B341),1))</f>
        <v/>
      </c>
      <c r="N341" s="33">
        <f>IF(J341="","",IFERROR(INDEX(Cl_quartier,MATCH(J341,Cl_cle,0))&amp;"",""))</f>
        <v/>
      </c>
      <c r="O341" s="33">
        <f>IF(J341="","",IFERROR(INDEX(Cl_tel,MATCH(J341,Cl_cle,0))&amp;"",""))</f>
        <v/>
      </c>
      <c r="P341" s="34">
        <f>IF(J341="","",IFERROR(INDEX(Cl_potentiel,MATCH(J341,Cl_cle,0)),""))</f>
        <v/>
      </c>
      <c r="Q341" s="34">
        <f>IF(J341="","",IF(D341&lt;&gt;"",IF(COUNTIFS(VC_cle,J341,VC_type,"Visite sur place",VC_date,D341)&gt;0,"Visité",IF(D341&lt;TODAY(),"Non fait","À venir")),IF(B341="","",IF(COUNTIFS(VC_cle,J341,VC_type,"Visite sur place",VC_date,"&gt;="&amp;M341,VC_date,"&lt;"&amp;DATE(YEAR(M341),MONTH(M341)+1,1))&gt;0,"Visité","À visiter"))))</f>
        <v/>
      </c>
    </row>
    <row r="342" ht="18" customHeight="1">
      <c r="A342" s="39" t="n">
        <v>337</v>
      </c>
      <c r="B342" s="49" t="n"/>
      <c r="C342" s="43" t="n"/>
      <c r="D342" s="32" t="n"/>
      <c r="E342" s="36" t="n"/>
      <c r="F342" s="36" t="n"/>
      <c r="G342" s="36" t="n"/>
      <c r="H342" s="33">
        <f>IF(E342="","",Commercial_Id)</f>
        <v/>
      </c>
      <c r="I342" s="39">
        <f>IF(E342="","",IFERROR(VALUE(MID(E342,LEN(E342)-3,3)),""))</f>
        <v/>
      </c>
      <c r="J342" s="33">
        <f>IF(I342="","",H342&amp;"|"&amp;I342)</f>
        <v/>
      </c>
      <c r="K342" s="33">
        <f>IF(I342="","",IF(H342="À RENSEIGNER","GIC",H342)&amp;"-"&amp;TEXT(I342,"000"))</f>
        <v/>
      </c>
      <c r="L342" s="33">
        <f>IF(J342="","",IFERROR(INDEX(Cl_nom,MATCH(J342,Cl_cle,0)),"(client introuvable)"))</f>
        <v/>
      </c>
      <c r="M342" s="46">
        <f>IF(B342="","",DATE(YEAR(B342),MONTH(B342),1))</f>
        <v/>
      </c>
      <c r="N342" s="33">
        <f>IF(J342="","",IFERROR(INDEX(Cl_quartier,MATCH(J342,Cl_cle,0))&amp;"",""))</f>
        <v/>
      </c>
      <c r="O342" s="33">
        <f>IF(J342="","",IFERROR(INDEX(Cl_tel,MATCH(J342,Cl_cle,0))&amp;"",""))</f>
        <v/>
      </c>
      <c r="P342" s="34">
        <f>IF(J342="","",IFERROR(INDEX(Cl_potentiel,MATCH(J342,Cl_cle,0)),""))</f>
        <v/>
      </c>
      <c r="Q342" s="34">
        <f>IF(J342="","",IF(D342&lt;&gt;"",IF(COUNTIFS(VC_cle,J342,VC_type,"Visite sur place",VC_date,D342)&gt;0,"Visité",IF(D342&lt;TODAY(),"Non fait","À venir")),IF(B342="","",IF(COUNTIFS(VC_cle,J342,VC_type,"Visite sur place",VC_date,"&gt;="&amp;M342,VC_date,"&lt;"&amp;DATE(YEAR(M342),MONTH(M342)+1,1))&gt;0,"Visité","À visiter"))))</f>
        <v/>
      </c>
    </row>
    <row r="343" ht="18" customHeight="1">
      <c r="A343" s="39" t="n">
        <v>338</v>
      </c>
      <c r="B343" s="49" t="n"/>
      <c r="C343" s="43" t="n"/>
      <c r="D343" s="32" t="n"/>
      <c r="E343" s="36" t="n"/>
      <c r="F343" s="36" t="n"/>
      <c r="G343" s="36" t="n"/>
      <c r="H343" s="33">
        <f>IF(E343="","",Commercial_Id)</f>
        <v/>
      </c>
      <c r="I343" s="39">
        <f>IF(E343="","",IFERROR(VALUE(MID(E343,LEN(E343)-3,3)),""))</f>
        <v/>
      </c>
      <c r="J343" s="33">
        <f>IF(I343="","",H343&amp;"|"&amp;I343)</f>
        <v/>
      </c>
      <c r="K343" s="33">
        <f>IF(I343="","",IF(H343="À RENSEIGNER","GIC",H343)&amp;"-"&amp;TEXT(I343,"000"))</f>
        <v/>
      </c>
      <c r="L343" s="33">
        <f>IF(J343="","",IFERROR(INDEX(Cl_nom,MATCH(J343,Cl_cle,0)),"(client introuvable)"))</f>
        <v/>
      </c>
      <c r="M343" s="46">
        <f>IF(B343="","",DATE(YEAR(B343),MONTH(B343),1))</f>
        <v/>
      </c>
      <c r="N343" s="33">
        <f>IF(J343="","",IFERROR(INDEX(Cl_quartier,MATCH(J343,Cl_cle,0))&amp;"",""))</f>
        <v/>
      </c>
      <c r="O343" s="33">
        <f>IF(J343="","",IFERROR(INDEX(Cl_tel,MATCH(J343,Cl_cle,0))&amp;"",""))</f>
        <v/>
      </c>
      <c r="P343" s="34">
        <f>IF(J343="","",IFERROR(INDEX(Cl_potentiel,MATCH(J343,Cl_cle,0)),""))</f>
        <v/>
      </c>
      <c r="Q343" s="34">
        <f>IF(J343="","",IF(D343&lt;&gt;"",IF(COUNTIFS(VC_cle,J343,VC_type,"Visite sur place",VC_date,D343)&gt;0,"Visité",IF(D343&lt;TODAY(),"Non fait","À venir")),IF(B343="","",IF(COUNTIFS(VC_cle,J343,VC_type,"Visite sur place",VC_date,"&gt;="&amp;M343,VC_date,"&lt;"&amp;DATE(YEAR(M343),MONTH(M343)+1,1))&gt;0,"Visité","À visiter"))))</f>
        <v/>
      </c>
    </row>
    <row r="344" ht="18" customHeight="1">
      <c r="A344" s="39" t="n">
        <v>339</v>
      </c>
      <c r="B344" s="49" t="n"/>
      <c r="C344" s="43" t="n"/>
      <c r="D344" s="32" t="n"/>
      <c r="E344" s="36" t="n"/>
      <c r="F344" s="36" t="n"/>
      <c r="G344" s="36" t="n"/>
      <c r="H344" s="33">
        <f>IF(E344="","",Commercial_Id)</f>
        <v/>
      </c>
      <c r="I344" s="39">
        <f>IF(E344="","",IFERROR(VALUE(MID(E344,LEN(E344)-3,3)),""))</f>
        <v/>
      </c>
      <c r="J344" s="33">
        <f>IF(I344="","",H344&amp;"|"&amp;I344)</f>
        <v/>
      </c>
      <c r="K344" s="33">
        <f>IF(I344="","",IF(H344="À RENSEIGNER","GIC",H344)&amp;"-"&amp;TEXT(I344,"000"))</f>
        <v/>
      </c>
      <c r="L344" s="33">
        <f>IF(J344="","",IFERROR(INDEX(Cl_nom,MATCH(J344,Cl_cle,0)),"(client introuvable)"))</f>
        <v/>
      </c>
      <c r="M344" s="46">
        <f>IF(B344="","",DATE(YEAR(B344),MONTH(B344),1))</f>
        <v/>
      </c>
      <c r="N344" s="33">
        <f>IF(J344="","",IFERROR(INDEX(Cl_quartier,MATCH(J344,Cl_cle,0))&amp;"",""))</f>
        <v/>
      </c>
      <c r="O344" s="33">
        <f>IF(J344="","",IFERROR(INDEX(Cl_tel,MATCH(J344,Cl_cle,0))&amp;"",""))</f>
        <v/>
      </c>
      <c r="P344" s="34">
        <f>IF(J344="","",IFERROR(INDEX(Cl_potentiel,MATCH(J344,Cl_cle,0)),""))</f>
        <v/>
      </c>
      <c r="Q344" s="34">
        <f>IF(J344="","",IF(D344&lt;&gt;"",IF(COUNTIFS(VC_cle,J344,VC_type,"Visite sur place",VC_date,D344)&gt;0,"Visité",IF(D344&lt;TODAY(),"Non fait","À venir")),IF(B344="","",IF(COUNTIFS(VC_cle,J344,VC_type,"Visite sur place",VC_date,"&gt;="&amp;M344,VC_date,"&lt;"&amp;DATE(YEAR(M344),MONTH(M344)+1,1))&gt;0,"Visité","À visiter"))))</f>
        <v/>
      </c>
    </row>
    <row r="345" ht="18" customHeight="1">
      <c r="A345" s="39" t="n">
        <v>340</v>
      </c>
      <c r="B345" s="49" t="n"/>
      <c r="C345" s="43" t="n"/>
      <c r="D345" s="32" t="n"/>
      <c r="E345" s="36" t="n"/>
      <c r="F345" s="36" t="n"/>
      <c r="G345" s="36" t="n"/>
      <c r="H345" s="33">
        <f>IF(E345="","",Commercial_Id)</f>
        <v/>
      </c>
      <c r="I345" s="39">
        <f>IF(E345="","",IFERROR(VALUE(MID(E345,LEN(E345)-3,3)),""))</f>
        <v/>
      </c>
      <c r="J345" s="33">
        <f>IF(I345="","",H345&amp;"|"&amp;I345)</f>
        <v/>
      </c>
      <c r="K345" s="33">
        <f>IF(I345="","",IF(H345="À RENSEIGNER","GIC",H345)&amp;"-"&amp;TEXT(I345,"000"))</f>
        <v/>
      </c>
      <c r="L345" s="33">
        <f>IF(J345="","",IFERROR(INDEX(Cl_nom,MATCH(J345,Cl_cle,0)),"(client introuvable)"))</f>
        <v/>
      </c>
      <c r="M345" s="46">
        <f>IF(B345="","",DATE(YEAR(B345),MONTH(B345),1))</f>
        <v/>
      </c>
      <c r="N345" s="33">
        <f>IF(J345="","",IFERROR(INDEX(Cl_quartier,MATCH(J345,Cl_cle,0))&amp;"",""))</f>
        <v/>
      </c>
      <c r="O345" s="33">
        <f>IF(J345="","",IFERROR(INDEX(Cl_tel,MATCH(J345,Cl_cle,0))&amp;"",""))</f>
        <v/>
      </c>
      <c r="P345" s="34">
        <f>IF(J345="","",IFERROR(INDEX(Cl_potentiel,MATCH(J345,Cl_cle,0)),""))</f>
        <v/>
      </c>
      <c r="Q345" s="34">
        <f>IF(J345="","",IF(D345&lt;&gt;"",IF(COUNTIFS(VC_cle,J345,VC_type,"Visite sur place",VC_date,D345)&gt;0,"Visité",IF(D345&lt;TODAY(),"Non fait","À venir")),IF(B345="","",IF(COUNTIFS(VC_cle,J345,VC_type,"Visite sur place",VC_date,"&gt;="&amp;M345,VC_date,"&lt;"&amp;DATE(YEAR(M345),MONTH(M345)+1,1))&gt;0,"Visité","À visiter"))))</f>
        <v/>
      </c>
    </row>
    <row r="346" ht="18" customHeight="1">
      <c r="A346" s="39" t="n">
        <v>341</v>
      </c>
      <c r="B346" s="49" t="n"/>
      <c r="C346" s="43" t="n"/>
      <c r="D346" s="32" t="n"/>
      <c r="E346" s="36" t="n"/>
      <c r="F346" s="36" t="n"/>
      <c r="G346" s="36" t="n"/>
      <c r="H346" s="33">
        <f>IF(E346="","",Commercial_Id)</f>
        <v/>
      </c>
      <c r="I346" s="39">
        <f>IF(E346="","",IFERROR(VALUE(MID(E346,LEN(E346)-3,3)),""))</f>
        <v/>
      </c>
      <c r="J346" s="33">
        <f>IF(I346="","",H346&amp;"|"&amp;I346)</f>
        <v/>
      </c>
      <c r="K346" s="33">
        <f>IF(I346="","",IF(H346="À RENSEIGNER","GIC",H346)&amp;"-"&amp;TEXT(I346,"000"))</f>
        <v/>
      </c>
      <c r="L346" s="33">
        <f>IF(J346="","",IFERROR(INDEX(Cl_nom,MATCH(J346,Cl_cle,0)),"(client introuvable)"))</f>
        <v/>
      </c>
      <c r="M346" s="46">
        <f>IF(B346="","",DATE(YEAR(B346),MONTH(B346),1))</f>
        <v/>
      </c>
      <c r="N346" s="33">
        <f>IF(J346="","",IFERROR(INDEX(Cl_quartier,MATCH(J346,Cl_cle,0))&amp;"",""))</f>
        <v/>
      </c>
      <c r="O346" s="33">
        <f>IF(J346="","",IFERROR(INDEX(Cl_tel,MATCH(J346,Cl_cle,0))&amp;"",""))</f>
        <v/>
      </c>
      <c r="P346" s="34">
        <f>IF(J346="","",IFERROR(INDEX(Cl_potentiel,MATCH(J346,Cl_cle,0)),""))</f>
        <v/>
      </c>
      <c r="Q346" s="34">
        <f>IF(J346="","",IF(D346&lt;&gt;"",IF(COUNTIFS(VC_cle,J346,VC_type,"Visite sur place",VC_date,D346)&gt;0,"Visité",IF(D346&lt;TODAY(),"Non fait","À venir")),IF(B346="","",IF(COUNTIFS(VC_cle,J346,VC_type,"Visite sur place",VC_date,"&gt;="&amp;M346,VC_date,"&lt;"&amp;DATE(YEAR(M346),MONTH(M346)+1,1))&gt;0,"Visité","À visiter"))))</f>
        <v/>
      </c>
    </row>
    <row r="347" ht="18" customHeight="1">
      <c r="A347" s="39" t="n">
        <v>342</v>
      </c>
      <c r="B347" s="49" t="n"/>
      <c r="C347" s="43" t="n"/>
      <c r="D347" s="32" t="n"/>
      <c r="E347" s="36" t="n"/>
      <c r="F347" s="36" t="n"/>
      <c r="G347" s="36" t="n"/>
      <c r="H347" s="33">
        <f>IF(E347="","",Commercial_Id)</f>
        <v/>
      </c>
      <c r="I347" s="39">
        <f>IF(E347="","",IFERROR(VALUE(MID(E347,LEN(E347)-3,3)),""))</f>
        <v/>
      </c>
      <c r="J347" s="33">
        <f>IF(I347="","",H347&amp;"|"&amp;I347)</f>
        <v/>
      </c>
      <c r="K347" s="33">
        <f>IF(I347="","",IF(H347="À RENSEIGNER","GIC",H347)&amp;"-"&amp;TEXT(I347,"000"))</f>
        <v/>
      </c>
      <c r="L347" s="33">
        <f>IF(J347="","",IFERROR(INDEX(Cl_nom,MATCH(J347,Cl_cle,0)),"(client introuvable)"))</f>
        <v/>
      </c>
      <c r="M347" s="46">
        <f>IF(B347="","",DATE(YEAR(B347),MONTH(B347),1))</f>
        <v/>
      </c>
      <c r="N347" s="33">
        <f>IF(J347="","",IFERROR(INDEX(Cl_quartier,MATCH(J347,Cl_cle,0))&amp;"",""))</f>
        <v/>
      </c>
      <c r="O347" s="33">
        <f>IF(J347="","",IFERROR(INDEX(Cl_tel,MATCH(J347,Cl_cle,0))&amp;"",""))</f>
        <v/>
      </c>
      <c r="P347" s="34">
        <f>IF(J347="","",IFERROR(INDEX(Cl_potentiel,MATCH(J347,Cl_cle,0)),""))</f>
        <v/>
      </c>
      <c r="Q347" s="34">
        <f>IF(J347="","",IF(D347&lt;&gt;"",IF(COUNTIFS(VC_cle,J347,VC_type,"Visite sur place",VC_date,D347)&gt;0,"Visité",IF(D347&lt;TODAY(),"Non fait","À venir")),IF(B347="","",IF(COUNTIFS(VC_cle,J347,VC_type,"Visite sur place",VC_date,"&gt;="&amp;M347,VC_date,"&lt;"&amp;DATE(YEAR(M347),MONTH(M347)+1,1))&gt;0,"Visité","À visiter"))))</f>
        <v/>
      </c>
    </row>
    <row r="348" ht="18" customHeight="1">
      <c r="A348" s="39" t="n">
        <v>343</v>
      </c>
      <c r="B348" s="49" t="n"/>
      <c r="C348" s="43" t="n"/>
      <c r="D348" s="32" t="n"/>
      <c r="E348" s="36" t="n"/>
      <c r="F348" s="36" t="n"/>
      <c r="G348" s="36" t="n"/>
      <c r="H348" s="33">
        <f>IF(E348="","",Commercial_Id)</f>
        <v/>
      </c>
      <c r="I348" s="39">
        <f>IF(E348="","",IFERROR(VALUE(MID(E348,LEN(E348)-3,3)),""))</f>
        <v/>
      </c>
      <c r="J348" s="33">
        <f>IF(I348="","",H348&amp;"|"&amp;I348)</f>
        <v/>
      </c>
      <c r="K348" s="33">
        <f>IF(I348="","",IF(H348="À RENSEIGNER","GIC",H348)&amp;"-"&amp;TEXT(I348,"000"))</f>
        <v/>
      </c>
      <c r="L348" s="33">
        <f>IF(J348="","",IFERROR(INDEX(Cl_nom,MATCH(J348,Cl_cle,0)),"(client introuvable)"))</f>
        <v/>
      </c>
      <c r="M348" s="46">
        <f>IF(B348="","",DATE(YEAR(B348),MONTH(B348),1))</f>
        <v/>
      </c>
      <c r="N348" s="33">
        <f>IF(J348="","",IFERROR(INDEX(Cl_quartier,MATCH(J348,Cl_cle,0))&amp;"",""))</f>
        <v/>
      </c>
      <c r="O348" s="33">
        <f>IF(J348="","",IFERROR(INDEX(Cl_tel,MATCH(J348,Cl_cle,0))&amp;"",""))</f>
        <v/>
      </c>
      <c r="P348" s="34">
        <f>IF(J348="","",IFERROR(INDEX(Cl_potentiel,MATCH(J348,Cl_cle,0)),""))</f>
        <v/>
      </c>
      <c r="Q348" s="34">
        <f>IF(J348="","",IF(D348&lt;&gt;"",IF(COUNTIFS(VC_cle,J348,VC_type,"Visite sur place",VC_date,D348)&gt;0,"Visité",IF(D348&lt;TODAY(),"Non fait","À venir")),IF(B348="","",IF(COUNTIFS(VC_cle,J348,VC_type,"Visite sur place",VC_date,"&gt;="&amp;M348,VC_date,"&lt;"&amp;DATE(YEAR(M348),MONTH(M348)+1,1))&gt;0,"Visité","À visiter"))))</f>
        <v/>
      </c>
    </row>
    <row r="349" ht="18" customHeight="1">
      <c r="A349" s="39" t="n">
        <v>344</v>
      </c>
      <c r="B349" s="49" t="n"/>
      <c r="C349" s="43" t="n"/>
      <c r="D349" s="32" t="n"/>
      <c r="E349" s="36" t="n"/>
      <c r="F349" s="36" t="n"/>
      <c r="G349" s="36" t="n"/>
      <c r="H349" s="33">
        <f>IF(E349="","",Commercial_Id)</f>
        <v/>
      </c>
      <c r="I349" s="39">
        <f>IF(E349="","",IFERROR(VALUE(MID(E349,LEN(E349)-3,3)),""))</f>
        <v/>
      </c>
      <c r="J349" s="33">
        <f>IF(I349="","",H349&amp;"|"&amp;I349)</f>
        <v/>
      </c>
      <c r="K349" s="33">
        <f>IF(I349="","",IF(H349="À RENSEIGNER","GIC",H349)&amp;"-"&amp;TEXT(I349,"000"))</f>
        <v/>
      </c>
      <c r="L349" s="33">
        <f>IF(J349="","",IFERROR(INDEX(Cl_nom,MATCH(J349,Cl_cle,0)),"(client introuvable)"))</f>
        <v/>
      </c>
      <c r="M349" s="46">
        <f>IF(B349="","",DATE(YEAR(B349),MONTH(B349),1))</f>
        <v/>
      </c>
      <c r="N349" s="33">
        <f>IF(J349="","",IFERROR(INDEX(Cl_quartier,MATCH(J349,Cl_cle,0))&amp;"",""))</f>
        <v/>
      </c>
      <c r="O349" s="33">
        <f>IF(J349="","",IFERROR(INDEX(Cl_tel,MATCH(J349,Cl_cle,0))&amp;"",""))</f>
        <v/>
      </c>
      <c r="P349" s="34">
        <f>IF(J349="","",IFERROR(INDEX(Cl_potentiel,MATCH(J349,Cl_cle,0)),""))</f>
        <v/>
      </c>
      <c r="Q349" s="34">
        <f>IF(J349="","",IF(D349&lt;&gt;"",IF(COUNTIFS(VC_cle,J349,VC_type,"Visite sur place",VC_date,D349)&gt;0,"Visité",IF(D349&lt;TODAY(),"Non fait","À venir")),IF(B349="","",IF(COUNTIFS(VC_cle,J349,VC_type,"Visite sur place",VC_date,"&gt;="&amp;M349,VC_date,"&lt;"&amp;DATE(YEAR(M349),MONTH(M349)+1,1))&gt;0,"Visité","À visiter"))))</f>
        <v/>
      </c>
    </row>
    <row r="350" ht="18" customHeight="1">
      <c r="A350" s="39" t="n">
        <v>345</v>
      </c>
      <c r="B350" s="49" t="n"/>
      <c r="C350" s="43" t="n"/>
      <c r="D350" s="32" t="n"/>
      <c r="E350" s="36" t="n"/>
      <c r="F350" s="36" t="n"/>
      <c r="G350" s="36" t="n"/>
      <c r="H350" s="33">
        <f>IF(E350="","",Commercial_Id)</f>
        <v/>
      </c>
      <c r="I350" s="39">
        <f>IF(E350="","",IFERROR(VALUE(MID(E350,LEN(E350)-3,3)),""))</f>
        <v/>
      </c>
      <c r="J350" s="33">
        <f>IF(I350="","",H350&amp;"|"&amp;I350)</f>
        <v/>
      </c>
      <c r="K350" s="33">
        <f>IF(I350="","",IF(H350="À RENSEIGNER","GIC",H350)&amp;"-"&amp;TEXT(I350,"000"))</f>
        <v/>
      </c>
      <c r="L350" s="33">
        <f>IF(J350="","",IFERROR(INDEX(Cl_nom,MATCH(J350,Cl_cle,0)),"(client introuvable)"))</f>
        <v/>
      </c>
      <c r="M350" s="46">
        <f>IF(B350="","",DATE(YEAR(B350),MONTH(B350),1))</f>
        <v/>
      </c>
      <c r="N350" s="33">
        <f>IF(J350="","",IFERROR(INDEX(Cl_quartier,MATCH(J350,Cl_cle,0))&amp;"",""))</f>
        <v/>
      </c>
      <c r="O350" s="33">
        <f>IF(J350="","",IFERROR(INDEX(Cl_tel,MATCH(J350,Cl_cle,0))&amp;"",""))</f>
        <v/>
      </c>
      <c r="P350" s="34">
        <f>IF(J350="","",IFERROR(INDEX(Cl_potentiel,MATCH(J350,Cl_cle,0)),""))</f>
        <v/>
      </c>
      <c r="Q350" s="34">
        <f>IF(J350="","",IF(D350&lt;&gt;"",IF(COUNTIFS(VC_cle,J350,VC_type,"Visite sur place",VC_date,D350)&gt;0,"Visité",IF(D350&lt;TODAY(),"Non fait","À venir")),IF(B350="","",IF(COUNTIFS(VC_cle,J350,VC_type,"Visite sur place",VC_date,"&gt;="&amp;M350,VC_date,"&lt;"&amp;DATE(YEAR(M350),MONTH(M350)+1,1))&gt;0,"Visité","À visiter"))))</f>
        <v/>
      </c>
    </row>
    <row r="351" ht="18" customHeight="1">
      <c r="A351" s="39" t="n">
        <v>346</v>
      </c>
      <c r="B351" s="49" t="n"/>
      <c r="C351" s="43" t="n"/>
      <c r="D351" s="32" t="n"/>
      <c r="E351" s="36" t="n"/>
      <c r="F351" s="36" t="n"/>
      <c r="G351" s="36" t="n"/>
      <c r="H351" s="33">
        <f>IF(E351="","",Commercial_Id)</f>
        <v/>
      </c>
      <c r="I351" s="39">
        <f>IF(E351="","",IFERROR(VALUE(MID(E351,LEN(E351)-3,3)),""))</f>
        <v/>
      </c>
      <c r="J351" s="33">
        <f>IF(I351="","",H351&amp;"|"&amp;I351)</f>
        <v/>
      </c>
      <c r="K351" s="33">
        <f>IF(I351="","",IF(H351="À RENSEIGNER","GIC",H351)&amp;"-"&amp;TEXT(I351,"000"))</f>
        <v/>
      </c>
      <c r="L351" s="33">
        <f>IF(J351="","",IFERROR(INDEX(Cl_nom,MATCH(J351,Cl_cle,0)),"(client introuvable)"))</f>
        <v/>
      </c>
      <c r="M351" s="46">
        <f>IF(B351="","",DATE(YEAR(B351),MONTH(B351),1))</f>
        <v/>
      </c>
      <c r="N351" s="33">
        <f>IF(J351="","",IFERROR(INDEX(Cl_quartier,MATCH(J351,Cl_cle,0))&amp;"",""))</f>
        <v/>
      </c>
      <c r="O351" s="33">
        <f>IF(J351="","",IFERROR(INDEX(Cl_tel,MATCH(J351,Cl_cle,0))&amp;"",""))</f>
        <v/>
      </c>
      <c r="P351" s="34">
        <f>IF(J351="","",IFERROR(INDEX(Cl_potentiel,MATCH(J351,Cl_cle,0)),""))</f>
        <v/>
      </c>
      <c r="Q351" s="34">
        <f>IF(J351="","",IF(D351&lt;&gt;"",IF(COUNTIFS(VC_cle,J351,VC_type,"Visite sur place",VC_date,D351)&gt;0,"Visité",IF(D351&lt;TODAY(),"Non fait","À venir")),IF(B351="","",IF(COUNTIFS(VC_cle,J351,VC_type,"Visite sur place",VC_date,"&gt;="&amp;M351,VC_date,"&lt;"&amp;DATE(YEAR(M351),MONTH(M351)+1,1))&gt;0,"Visité","À visiter"))))</f>
        <v/>
      </c>
    </row>
    <row r="352" ht="18" customHeight="1">
      <c r="A352" s="39" t="n">
        <v>347</v>
      </c>
      <c r="B352" s="49" t="n"/>
      <c r="C352" s="43" t="n"/>
      <c r="D352" s="32" t="n"/>
      <c r="E352" s="36" t="n"/>
      <c r="F352" s="36" t="n"/>
      <c r="G352" s="36" t="n"/>
      <c r="H352" s="33">
        <f>IF(E352="","",Commercial_Id)</f>
        <v/>
      </c>
      <c r="I352" s="39">
        <f>IF(E352="","",IFERROR(VALUE(MID(E352,LEN(E352)-3,3)),""))</f>
        <v/>
      </c>
      <c r="J352" s="33">
        <f>IF(I352="","",H352&amp;"|"&amp;I352)</f>
        <v/>
      </c>
      <c r="K352" s="33">
        <f>IF(I352="","",IF(H352="À RENSEIGNER","GIC",H352)&amp;"-"&amp;TEXT(I352,"000"))</f>
        <v/>
      </c>
      <c r="L352" s="33">
        <f>IF(J352="","",IFERROR(INDEX(Cl_nom,MATCH(J352,Cl_cle,0)),"(client introuvable)"))</f>
        <v/>
      </c>
      <c r="M352" s="46">
        <f>IF(B352="","",DATE(YEAR(B352),MONTH(B352),1))</f>
        <v/>
      </c>
      <c r="N352" s="33">
        <f>IF(J352="","",IFERROR(INDEX(Cl_quartier,MATCH(J352,Cl_cle,0))&amp;"",""))</f>
        <v/>
      </c>
      <c r="O352" s="33">
        <f>IF(J352="","",IFERROR(INDEX(Cl_tel,MATCH(J352,Cl_cle,0))&amp;"",""))</f>
        <v/>
      </c>
      <c r="P352" s="34">
        <f>IF(J352="","",IFERROR(INDEX(Cl_potentiel,MATCH(J352,Cl_cle,0)),""))</f>
        <v/>
      </c>
      <c r="Q352" s="34">
        <f>IF(J352="","",IF(D352&lt;&gt;"",IF(COUNTIFS(VC_cle,J352,VC_type,"Visite sur place",VC_date,D352)&gt;0,"Visité",IF(D352&lt;TODAY(),"Non fait","À venir")),IF(B352="","",IF(COUNTIFS(VC_cle,J352,VC_type,"Visite sur place",VC_date,"&gt;="&amp;M352,VC_date,"&lt;"&amp;DATE(YEAR(M352),MONTH(M352)+1,1))&gt;0,"Visité","À visiter"))))</f>
        <v/>
      </c>
    </row>
    <row r="353" ht="18" customHeight="1">
      <c r="A353" s="39" t="n">
        <v>348</v>
      </c>
      <c r="B353" s="49" t="n"/>
      <c r="C353" s="43" t="n"/>
      <c r="D353" s="32" t="n"/>
      <c r="E353" s="36" t="n"/>
      <c r="F353" s="36" t="n"/>
      <c r="G353" s="36" t="n"/>
      <c r="H353" s="33">
        <f>IF(E353="","",Commercial_Id)</f>
        <v/>
      </c>
      <c r="I353" s="39">
        <f>IF(E353="","",IFERROR(VALUE(MID(E353,LEN(E353)-3,3)),""))</f>
        <v/>
      </c>
      <c r="J353" s="33">
        <f>IF(I353="","",H353&amp;"|"&amp;I353)</f>
        <v/>
      </c>
      <c r="K353" s="33">
        <f>IF(I353="","",IF(H353="À RENSEIGNER","GIC",H353)&amp;"-"&amp;TEXT(I353,"000"))</f>
        <v/>
      </c>
      <c r="L353" s="33">
        <f>IF(J353="","",IFERROR(INDEX(Cl_nom,MATCH(J353,Cl_cle,0)),"(client introuvable)"))</f>
        <v/>
      </c>
      <c r="M353" s="46">
        <f>IF(B353="","",DATE(YEAR(B353),MONTH(B353),1))</f>
        <v/>
      </c>
      <c r="N353" s="33">
        <f>IF(J353="","",IFERROR(INDEX(Cl_quartier,MATCH(J353,Cl_cle,0))&amp;"",""))</f>
        <v/>
      </c>
      <c r="O353" s="33">
        <f>IF(J353="","",IFERROR(INDEX(Cl_tel,MATCH(J353,Cl_cle,0))&amp;"",""))</f>
        <v/>
      </c>
      <c r="P353" s="34">
        <f>IF(J353="","",IFERROR(INDEX(Cl_potentiel,MATCH(J353,Cl_cle,0)),""))</f>
        <v/>
      </c>
      <c r="Q353" s="34">
        <f>IF(J353="","",IF(D353&lt;&gt;"",IF(COUNTIFS(VC_cle,J353,VC_type,"Visite sur place",VC_date,D353)&gt;0,"Visité",IF(D353&lt;TODAY(),"Non fait","À venir")),IF(B353="","",IF(COUNTIFS(VC_cle,J353,VC_type,"Visite sur place",VC_date,"&gt;="&amp;M353,VC_date,"&lt;"&amp;DATE(YEAR(M353),MONTH(M353)+1,1))&gt;0,"Visité","À visiter"))))</f>
        <v/>
      </c>
    </row>
    <row r="354" ht="18" customHeight="1">
      <c r="A354" s="39" t="n">
        <v>349</v>
      </c>
      <c r="B354" s="49" t="n"/>
      <c r="C354" s="43" t="n"/>
      <c r="D354" s="32" t="n"/>
      <c r="E354" s="36" t="n"/>
      <c r="F354" s="36" t="n"/>
      <c r="G354" s="36" t="n"/>
      <c r="H354" s="33">
        <f>IF(E354="","",Commercial_Id)</f>
        <v/>
      </c>
      <c r="I354" s="39">
        <f>IF(E354="","",IFERROR(VALUE(MID(E354,LEN(E354)-3,3)),""))</f>
        <v/>
      </c>
      <c r="J354" s="33">
        <f>IF(I354="","",H354&amp;"|"&amp;I354)</f>
        <v/>
      </c>
      <c r="K354" s="33">
        <f>IF(I354="","",IF(H354="À RENSEIGNER","GIC",H354)&amp;"-"&amp;TEXT(I354,"000"))</f>
        <v/>
      </c>
      <c r="L354" s="33">
        <f>IF(J354="","",IFERROR(INDEX(Cl_nom,MATCH(J354,Cl_cle,0)),"(client introuvable)"))</f>
        <v/>
      </c>
      <c r="M354" s="46">
        <f>IF(B354="","",DATE(YEAR(B354),MONTH(B354),1))</f>
        <v/>
      </c>
      <c r="N354" s="33">
        <f>IF(J354="","",IFERROR(INDEX(Cl_quartier,MATCH(J354,Cl_cle,0))&amp;"",""))</f>
        <v/>
      </c>
      <c r="O354" s="33">
        <f>IF(J354="","",IFERROR(INDEX(Cl_tel,MATCH(J354,Cl_cle,0))&amp;"",""))</f>
        <v/>
      </c>
      <c r="P354" s="34">
        <f>IF(J354="","",IFERROR(INDEX(Cl_potentiel,MATCH(J354,Cl_cle,0)),""))</f>
        <v/>
      </c>
      <c r="Q354" s="34">
        <f>IF(J354="","",IF(D354&lt;&gt;"",IF(COUNTIFS(VC_cle,J354,VC_type,"Visite sur place",VC_date,D354)&gt;0,"Visité",IF(D354&lt;TODAY(),"Non fait","À venir")),IF(B354="","",IF(COUNTIFS(VC_cle,J354,VC_type,"Visite sur place",VC_date,"&gt;="&amp;M354,VC_date,"&lt;"&amp;DATE(YEAR(M354),MONTH(M354)+1,1))&gt;0,"Visité","À visiter"))))</f>
        <v/>
      </c>
    </row>
    <row r="355" ht="18" customHeight="1">
      <c r="A355" s="39" t="n">
        <v>350</v>
      </c>
      <c r="B355" s="49" t="n"/>
      <c r="C355" s="43" t="n"/>
      <c r="D355" s="32" t="n"/>
      <c r="E355" s="36" t="n"/>
      <c r="F355" s="36" t="n"/>
      <c r="G355" s="36" t="n"/>
      <c r="H355" s="33">
        <f>IF(E355="","",Commercial_Id)</f>
        <v/>
      </c>
      <c r="I355" s="39">
        <f>IF(E355="","",IFERROR(VALUE(MID(E355,LEN(E355)-3,3)),""))</f>
        <v/>
      </c>
      <c r="J355" s="33">
        <f>IF(I355="","",H355&amp;"|"&amp;I355)</f>
        <v/>
      </c>
      <c r="K355" s="33">
        <f>IF(I355="","",IF(H355="À RENSEIGNER","GIC",H355)&amp;"-"&amp;TEXT(I355,"000"))</f>
        <v/>
      </c>
      <c r="L355" s="33">
        <f>IF(J355="","",IFERROR(INDEX(Cl_nom,MATCH(J355,Cl_cle,0)),"(client introuvable)"))</f>
        <v/>
      </c>
      <c r="M355" s="46">
        <f>IF(B355="","",DATE(YEAR(B355),MONTH(B355),1))</f>
        <v/>
      </c>
      <c r="N355" s="33">
        <f>IF(J355="","",IFERROR(INDEX(Cl_quartier,MATCH(J355,Cl_cle,0))&amp;"",""))</f>
        <v/>
      </c>
      <c r="O355" s="33">
        <f>IF(J355="","",IFERROR(INDEX(Cl_tel,MATCH(J355,Cl_cle,0))&amp;"",""))</f>
        <v/>
      </c>
      <c r="P355" s="34">
        <f>IF(J355="","",IFERROR(INDEX(Cl_potentiel,MATCH(J355,Cl_cle,0)),""))</f>
        <v/>
      </c>
      <c r="Q355" s="34">
        <f>IF(J355="","",IF(D355&lt;&gt;"",IF(COUNTIFS(VC_cle,J355,VC_type,"Visite sur place",VC_date,D355)&gt;0,"Visité",IF(D355&lt;TODAY(),"Non fait","À venir")),IF(B355="","",IF(COUNTIFS(VC_cle,J355,VC_type,"Visite sur place",VC_date,"&gt;="&amp;M355,VC_date,"&lt;"&amp;DATE(YEAR(M355),MONTH(M355)+1,1))&gt;0,"Visité","À visiter"))))</f>
        <v/>
      </c>
    </row>
    <row r="356" ht="18" customHeight="1">
      <c r="A356" s="39" t="n">
        <v>351</v>
      </c>
      <c r="B356" s="49" t="n"/>
      <c r="C356" s="43" t="n"/>
      <c r="D356" s="32" t="n"/>
      <c r="E356" s="36" t="n"/>
      <c r="F356" s="36" t="n"/>
      <c r="G356" s="36" t="n"/>
      <c r="H356" s="33">
        <f>IF(E356="","",Commercial_Id)</f>
        <v/>
      </c>
      <c r="I356" s="39">
        <f>IF(E356="","",IFERROR(VALUE(MID(E356,LEN(E356)-3,3)),""))</f>
        <v/>
      </c>
      <c r="J356" s="33">
        <f>IF(I356="","",H356&amp;"|"&amp;I356)</f>
        <v/>
      </c>
      <c r="K356" s="33">
        <f>IF(I356="","",IF(H356="À RENSEIGNER","GIC",H356)&amp;"-"&amp;TEXT(I356,"000"))</f>
        <v/>
      </c>
      <c r="L356" s="33">
        <f>IF(J356="","",IFERROR(INDEX(Cl_nom,MATCH(J356,Cl_cle,0)),"(client introuvable)"))</f>
        <v/>
      </c>
      <c r="M356" s="46">
        <f>IF(B356="","",DATE(YEAR(B356),MONTH(B356),1))</f>
        <v/>
      </c>
      <c r="N356" s="33">
        <f>IF(J356="","",IFERROR(INDEX(Cl_quartier,MATCH(J356,Cl_cle,0))&amp;"",""))</f>
        <v/>
      </c>
      <c r="O356" s="33">
        <f>IF(J356="","",IFERROR(INDEX(Cl_tel,MATCH(J356,Cl_cle,0))&amp;"",""))</f>
        <v/>
      </c>
      <c r="P356" s="34">
        <f>IF(J356="","",IFERROR(INDEX(Cl_potentiel,MATCH(J356,Cl_cle,0)),""))</f>
        <v/>
      </c>
      <c r="Q356" s="34">
        <f>IF(J356="","",IF(D356&lt;&gt;"",IF(COUNTIFS(VC_cle,J356,VC_type,"Visite sur place",VC_date,D356)&gt;0,"Visité",IF(D356&lt;TODAY(),"Non fait","À venir")),IF(B356="","",IF(COUNTIFS(VC_cle,J356,VC_type,"Visite sur place",VC_date,"&gt;="&amp;M356,VC_date,"&lt;"&amp;DATE(YEAR(M356),MONTH(M356)+1,1))&gt;0,"Visité","À visiter"))))</f>
        <v/>
      </c>
    </row>
    <row r="357" ht="18" customHeight="1">
      <c r="A357" s="39" t="n">
        <v>352</v>
      </c>
      <c r="B357" s="49" t="n"/>
      <c r="C357" s="43" t="n"/>
      <c r="D357" s="32" t="n"/>
      <c r="E357" s="36" t="n"/>
      <c r="F357" s="36" t="n"/>
      <c r="G357" s="36" t="n"/>
      <c r="H357" s="33">
        <f>IF(E357="","",Commercial_Id)</f>
        <v/>
      </c>
      <c r="I357" s="39">
        <f>IF(E357="","",IFERROR(VALUE(MID(E357,LEN(E357)-3,3)),""))</f>
        <v/>
      </c>
      <c r="J357" s="33">
        <f>IF(I357="","",H357&amp;"|"&amp;I357)</f>
        <v/>
      </c>
      <c r="K357" s="33">
        <f>IF(I357="","",IF(H357="À RENSEIGNER","GIC",H357)&amp;"-"&amp;TEXT(I357,"000"))</f>
        <v/>
      </c>
      <c r="L357" s="33">
        <f>IF(J357="","",IFERROR(INDEX(Cl_nom,MATCH(J357,Cl_cle,0)),"(client introuvable)"))</f>
        <v/>
      </c>
      <c r="M357" s="46">
        <f>IF(B357="","",DATE(YEAR(B357),MONTH(B357),1))</f>
        <v/>
      </c>
      <c r="N357" s="33">
        <f>IF(J357="","",IFERROR(INDEX(Cl_quartier,MATCH(J357,Cl_cle,0))&amp;"",""))</f>
        <v/>
      </c>
      <c r="O357" s="33">
        <f>IF(J357="","",IFERROR(INDEX(Cl_tel,MATCH(J357,Cl_cle,0))&amp;"",""))</f>
        <v/>
      </c>
      <c r="P357" s="34">
        <f>IF(J357="","",IFERROR(INDEX(Cl_potentiel,MATCH(J357,Cl_cle,0)),""))</f>
        <v/>
      </c>
      <c r="Q357" s="34">
        <f>IF(J357="","",IF(D357&lt;&gt;"",IF(COUNTIFS(VC_cle,J357,VC_type,"Visite sur place",VC_date,D357)&gt;0,"Visité",IF(D357&lt;TODAY(),"Non fait","À venir")),IF(B357="","",IF(COUNTIFS(VC_cle,J357,VC_type,"Visite sur place",VC_date,"&gt;="&amp;M357,VC_date,"&lt;"&amp;DATE(YEAR(M357),MONTH(M357)+1,1))&gt;0,"Visité","À visiter"))))</f>
        <v/>
      </c>
    </row>
    <row r="358" ht="18" customHeight="1">
      <c r="A358" s="39" t="n">
        <v>353</v>
      </c>
      <c r="B358" s="49" t="n"/>
      <c r="C358" s="43" t="n"/>
      <c r="D358" s="32" t="n"/>
      <c r="E358" s="36" t="n"/>
      <c r="F358" s="36" t="n"/>
      <c r="G358" s="36" t="n"/>
      <c r="H358" s="33">
        <f>IF(E358="","",Commercial_Id)</f>
        <v/>
      </c>
      <c r="I358" s="39">
        <f>IF(E358="","",IFERROR(VALUE(MID(E358,LEN(E358)-3,3)),""))</f>
        <v/>
      </c>
      <c r="J358" s="33">
        <f>IF(I358="","",H358&amp;"|"&amp;I358)</f>
        <v/>
      </c>
      <c r="K358" s="33">
        <f>IF(I358="","",IF(H358="À RENSEIGNER","GIC",H358)&amp;"-"&amp;TEXT(I358,"000"))</f>
        <v/>
      </c>
      <c r="L358" s="33">
        <f>IF(J358="","",IFERROR(INDEX(Cl_nom,MATCH(J358,Cl_cle,0)),"(client introuvable)"))</f>
        <v/>
      </c>
      <c r="M358" s="46">
        <f>IF(B358="","",DATE(YEAR(B358),MONTH(B358),1))</f>
        <v/>
      </c>
      <c r="N358" s="33">
        <f>IF(J358="","",IFERROR(INDEX(Cl_quartier,MATCH(J358,Cl_cle,0))&amp;"",""))</f>
        <v/>
      </c>
      <c r="O358" s="33">
        <f>IF(J358="","",IFERROR(INDEX(Cl_tel,MATCH(J358,Cl_cle,0))&amp;"",""))</f>
        <v/>
      </c>
      <c r="P358" s="34">
        <f>IF(J358="","",IFERROR(INDEX(Cl_potentiel,MATCH(J358,Cl_cle,0)),""))</f>
        <v/>
      </c>
      <c r="Q358" s="34">
        <f>IF(J358="","",IF(D358&lt;&gt;"",IF(COUNTIFS(VC_cle,J358,VC_type,"Visite sur place",VC_date,D358)&gt;0,"Visité",IF(D358&lt;TODAY(),"Non fait","À venir")),IF(B358="","",IF(COUNTIFS(VC_cle,J358,VC_type,"Visite sur place",VC_date,"&gt;="&amp;M358,VC_date,"&lt;"&amp;DATE(YEAR(M358),MONTH(M358)+1,1))&gt;0,"Visité","À visiter"))))</f>
        <v/>
      </c>
    </row>
    <row r="359" ht="18" customHeight="1">
      <c r="A359" s="39" t="n">
        <v>354</v>
      </c>
      <c r="B359" s="49" t="n"/>
      <c r="C359" s="43" t="n"/>
      <c r="D359" s="32" t="n"/>
      <c r="E359" s="36" t="n"/>
      <c r="F359" s="36" t="n"/>
      <c r="G359" s="36" t="n"/>
      <c r="H359" s="33">
        <f>IF(E359="","",Commercial_Id)</f>
        <v/>
      </c>
      <c r="I359" s="39">
        <f>IF(E359="","",IFERROR(VALUE(MID(E359,LEN(E359)-3,3)),""))</f>
        <v/>
      </c>
      <c r="J359" s="33">
        <f>IF(I359="","",H359&amp;"|"&amp;I359)</f>
        <v/>
      </c>
      <c r="K359" s="33">
        <f>IF(I359="","",IF(H359="À RENSEIGNER","GIC",H359)&amp;"-"&amp;TEXT(I359,"000"))</f>
        <v/>
      </c>
      <c r="L359" s="33">
        <f>IF(J359="","",IFERROR(INDEX(Cl_nom,MATCH(J359,Cl_cle,0)),"(client introuvable)"))</f>
        <v/>
      </c>
      <c r="M359" s="46">
        <f>IF(B359="","",DATE(YEAR(B359),MONTH(B359),1))</f>
        <v/>
      </c>
      <c r="N359" s="33">
        <f>IF(J359="","",IFERROR(INDEX(Cl_quartier,MATCH(J359,Cl_cle,0))&amp;"",""))</f>
        <v/>
      </c>
      <c r="O359" s="33">
        <f>IF(J359="","",IFERROR(INDEX(Cl_tel,MATCH(J359,Cl_cle,0))&amp;"",""))</f>
        <v/>
      </c>
      <c r="P359" s="34">
        <f>IF(J359="","",IFERROR(INDEX(Cl_potentiel,MATCH(J359,Cl_cle,0)),""))</f>
        <v/>
      </c>
      <c r="Q359" s="34">
        <f>IF(J359="","",IF(D359&lt;&gt;"",IF(COUNTIFS(VC_cle,J359,VC_type,"Visite sur place",VC_date,D359)&gt;0,"Visité",IF(D359&lt;TODAY(),"Non fait","À venir")),IF(B359="","",IF(COUNTIFS(VC_cle,J359,VC_type,"Visite sur place",VC_date,"&gt;="&amp;M359,VC_date,"&lt;"&amp;DATE(YEAR(M359),MONTH(M359)+1,1))&gt;0,"Visité","À visiter"))))</f>
        <v/>
      </c>
    </row>
    <row r="360" ht="18" customHeight="1">
      <c r="A360" s="39" t="n">
        <v>355</v>
      </c>
      <c r="B360" s="49" t="n"/>
      <c r="C360" s="43" t="n"/>
      <c r="D360" s="32" t="n"/>
      <c r="E360" s="36" t="n"/>
      <c r="F360" s="36" t="n"/>
      <c r="G360" s="36" t="n"/>
      <c r="H360" s="33">
        <f>IF(E360="","",Commercial_Id)</f>
        <v/>
      </c>
      <c r="I360" s="39">
        <f>IF(E360="","",IFERROR(VALUE(MID(E360,LEN(E360)-3,3)),""))</f>
        <v/>
      </c>
      <c r="J360" s="33">
        <f>IF(I360="","",H360&amp;"|"&amp;I360)</f>
        <v/>
      </c>
      <c r="K360" s="33">
        <f>IF(I360="","",IF(H360="À RENSEIGNER","GIC",H360)&amp;"-"&amp;TEXT(I360,"000"))</f>
        <v/>
      </c>
      <c r="L360" s="33">
        <f>IF(J360="","",IFERROR(INDEX(Cl_nom,MATCH(J360,Cl_cle,0)),"(client introuvable)"))</f>
        <v/>
      </c>
      <c r="M360" s="46">
        <f>IF(B360="","",DATE(YEAR(B360),MONTH(B360),1))</f>
        <v/>
      </c>
      <c r="N360" s="33">
        <f>IF(J360="","",IFERROR(INDEX(Cl_quartier,MATCH(J360,Cl_cle,0))&amp;"",""))</f>
        <v/>
      </c>
      <c r="O360" s="33">
        <f>IF(J360="","",IFERROR(INDEX(Cl_tel,MATCH(J360,Cl_cle,0))&amp;"",""))</f>
        <v/>
      </c>
      <c r="P360" s="34">
        <f>IF(J360="","",IFERROR(INDEX(Cl_potentiel,MATCH(J360,Cl_cle,0)),""))</f>
        <v/>
      </c>
      <c r="Q360" s="34">
        <f>IF(J360="","",IF(D360&lt;&gt;"",IF(COUNTIFS(VC_cle,J360,VC_type,"Visite sur place",VC_date,D360)&gt;0,"Visité",IF(D360&lt;TODAY(),"Non fait","À venir")),IF(B360="","",IF(COUNTIFS(VC_cle,J360,VC_type,"Visite sur place",VC_date,"&gt;="&amp;M360,VC_date,"&lt;"&amp;DATE(YEAR(M360),MONTH(M360)+1,1))&gt;0,"Visité","À visiter"))))</f>
        <v/>
      </c>
    </row>
    <row r="361" ht="18" customHeight="1">
      <c r="A361" s="39" t="n">
        <v>356</v>
      </c>
      <c r="B361" s="49" t="n"/>
      <c r="C361" s="43" t="n"/>
      <c r="D361" s="32" t="n"/>
      <c r="E361" s="36" t="n"/>
      <c r="F361" s="36" t="n"/>
      <c r="G361" s="36" t="n"/>
      <c r="H361" s="33">
        <f>IF(E361="","",Commercial_Id)</f>
        <v/>
      </c>
      <c r="I361" s="39">
        <f>IF(E361="","",IFERROR(VALUE(MID(E361,LEN(E361)-3,3)),""))</f>
        <v/>
      </c>
      <c r="J361" s="33">
        <f>IF(I361="","",H361&amp;"|"&amp;I361)</f>
        <v/>
      </c>
      <c r="K361" s="33">
        <f>IF(I361="","",IF(H361="À RENSEIGNER","GIC",H361)&amp;"-"&amp;TEXT(I361,"000"))</f>
        <v/>
      </c>
      <c r="L361" s="33">
        <f>IF(J361="","",IFERROR(INDEX(Cl_nom,MATCH(J361,Cl_cle,0)),"(client introuvable)"))</f>
        <v/>
      </c>
      <c r="M361" s="46">
        <f>IF(B361="","",DATE(YEAR(B361),MONTH(B361),1))</f>
        <v/>
      </c>
      <c r="N361" s="33">
        <f>IF(J361="","",IFERROR(INDEX(Cl_quartier,MATCH(J361,Cl_cle,0))&amp;"",""))</f>
        <v/>
      </c>
      <c r="O361" s="33">
        <f>IF(J361="","",IFERROR(INDEX(Cl_tel,MATCH(J361,Cl_cle,0))&amp;"",""))</f>
        <v/>
      </c>
      <c r="P361" s="34">
        <f>IF(J361="","",IFERROR(INDEX(Cl_potentiel,MATCH(J361,Cl_cle,0)),""))</f>
        <v/>
      </c>
      <c r="Q361" s="34">
        <f>IF(J361="","",IF(D361&lt;&gt;"",IF(COUNTIFS(VC_cle,J361,VC_type,"Visite sur place",VC_date,D361)&gt;0,"Visité",IF(D361&lt;TODAY(),"Non fait","À venir")),IF(B361="","",IF(COUNTIFS(VC_cle,J361,VC_type,"Visite sur place",VC_date,"&gt;="&amp;M361,VC_date,"&lt;"&amp;DATE(YEAR(M361),MONTH(M361)+1,1))&gt;0,"Visité","À visiter"))))</f>
        <v/>
      </c>
    </row>
    <row r="362" ht="18" customHeight="1">
      <c r="A362" s="39" t="n">
        <v>357</v>
      </c>
      <c r="B362" s="49" t="n"/>
      <c r="C362" s="43" t="n"/>
      <c r="D362" s="32" t="n"/>
      <c r="E362" s="36" t="n"/>
      <c r="F362" s="36" t="n"/>
      <c r="G362" s="36" t="n"/>
      <c r="H362" s="33">
        <f>IF(E362="","",Commercial_Id)</f>
        <v/>
      </c>
      <c r="I362" s="39">
        <f>IF(E362="","",IFERROR(VALUE(MID(E362,LEN(E362)-3,3)),""))</f>
        <v/>
      </c>
      <c r="J362" s="33">
        <f>IF(I362="","",H362&amp;"|"&amp;I362)</f>
        <v/>
      </c>
      <c r="K362" s="33">
        <f>IF(I362="","",IF(H362="À RENSEIGNER","GIC",H362)&amp;"-"&amp;TEXT(I362,"000"))</f>
        <v/>
      </c>
      <c r="L362" s="33">
        <f>IF(J362="","",IFERROR(INDEX(Cl_nom,MATCH(J362,Cl_cle,0)),"(client introuvable)"))</f>
        <v/>
      </c>
      <c r="M362" s="46">
        <f>IF(B362="","",DATE(YEAR(B362),MONTH(B362),1))</f>
        <v/>
      </c>
      <c r="N362" s="33">
        <f>IF(J362="","",IFERROR(INDEX(Cl_quartier,MATCH(J362,Cl_cle,0))&amp;"",""))</f>
        <v/>
      </c>
      <c r="O362" s="33">
        <f>IF(J362="","",IFERROR(INDEX(Cl_tel,MATCH(J362,Cl_cle,0))&amp;"",""))</f>
        <v/>
      </c>
      <c r="P362" s="34">
        <f>IF(J362="","",IFERROR(INDEX(Cl_potentiel,MATCH(J362,Cl_cle,0)),""))</f>
        <v/>
      </c>
      <c r="Q362" s="34">
        <f>IF(J362="","",IF(D362&lt;&gt;"",IF(COUNTIFS(VC_cle,J362,VC_type,"Visite sur place",VC_date,D362)&gt;0,"Visité",IF(D362&lt;TODAY(),"Non fait","À venir")),IF(B362="","",IF(COUNTIFS(VC_cle,J362,VC_type,"Visite sur place",VC_date,"&gt;="&amp;M362,VC_date,"&lt;"&amp;DATE(YEAR(M362),MONTH(M362)+1,1))&gt;0,"Visité","À visiter"))))</f>
        <v/>
      </c>
    </row>
    <row r="363" ht="18" customHeight="1">
      <c r="A363" s="39" t="n">
        <v>358</v>
      </c>
      <c r="B363" s="49" t="n"/>
      <c r="C363" s="43" t="n"/>
      <c r="D363" s="32" t="n"/>
      <c r="E363" s="36" t="n"/>
      <c r="F363" s="36" t="n"/>
      <c r="G363" s="36" t="n"/>
      <c r="H363" s="33">
        <f>IF(E363="","",Commercial_Id)</f>
        <v/>
      </c>
      <c r="I363" s="39">
        <f>IF(E363="","",IFERROR(VALUE(MID(E363,LEN(E363)-3,3)),""))</f>
        <v/>
      </c>
      <c r="J363" s="33">
        <f>IF(I363="","",H363&amp;"|"&amp;I363)</f>
        <v/>
      </c>
      <c r="K363" s="33">
        <f>IF(I363="","",IF(H363="À RENSEIGNER","GIC",H363)&amp;"-"&amp;TEXT(I363,"000"))</f>
        <v/>
      </c>
      <c r="L363" s="33">
        <f>IF(J363="","",IFERROR(INDEX(Cl_nom,MATCH(J363,Cl_cle,0)),"(client introuvable)"))</f>
        <v/>
      </c>
      <c r="M363" s="46">
        <f>IF(B363="","",DATE(YEAR(B363),MONTH(B363),1))</f>
        <v/>
      </c>
      <c r="N363" s="33">
        <f>IF(J363="","",IFERROR(INDEX(Cl_quartier,MATCH(J363,Cl_cle,0))&amp;"",""))</f>
        <v/>
      </c>
      <c r="O363" s="33">
        <f>IF(J363="","",IFERROR(INDEX(Cl_tel,MATCH(J363,Cl_cle,0))&amp;"",""))</f>
        <v/>
      </c>
      <c r="P363" s="34">
        <f>IF(J363="","",IFERROR(INDEX(Cl_potentiel,MATCH(J363,Cl_cle,0)),""))</f>
        <v/>
      </c>
      <c r="Q363" s="34">
        <f>IF(J363="","",IF(D363&lt;&gt;"",IF(COUNTIFS(VC_cle,J363,VC_type,"Visite sur place",VC_date,D363)&gt;0,"Visité",IF(D363&lt;TODAY(),"Non fait","À venir")),IF(B363="","",IF(COUNTIFS(VC_cle,J363,VC_type,"Visite sur place",VC_date,"&gt;="&amp;M363,VC_date,"&lt;"&amp;DATE(YEAR(M363),MONTH(M363)+1,1))&gt;0,"Visité","À visiter"))))</f>
        <v/>
      </c>
    </row>
    <row r="364" ht="18" customHeight="1">
      <c r="A364" s="39" t="n">
        <v>359</v>
      </c>
      <c r="B364" s="49" t="n"/>
      <c r="C364" s="43" t="n"/>
      <c r="D364" s="32" t="n"/>
      <c r="E364" s="36" t="n"/>
      <c r="F364" s="36" t="n"/>
      <c r="G364" s="36" t="n"/>
      <c r="H364" s="33">
        <f>IF(E364="","",Commercial_Id)</f>
        <v/>
      </c>
      <c r="I364" s="39">
        <f>IF(E364="","",IFERROR(VALUE(MID(E364,LEN(E364)-3,3)),""))</f>
        <v/>
      </c>
      <c r="J364" s="33">
        <f>IF(I364="","",H364&amp;"|"&amp;I364)</f>
        <v/>
      </c>
      <c r="K364" s="33">
        <f>IF(I364="","",IF(H364="À RENSEIGNER","GIC",H364)&amp;"-"&amp;TEXT(I364,"000"))</f>
        <v/>
      </c>
      <c r="L364" s="33">
        <f>IF(J364="","",IFERROR(INDEX(Cl_nom,MATCH(J364,Cl_cle,0)),"(client introuvable)"))</f>
        <v/>
      </c>
      <c r="M364" s="46">
        <f>IF(B364="","",DATE(YEAR(B364),MONTH(B364),1))</f>
        <v/>
      </c>
      <c r="N364" s="33">
        <f>IF(J364="","",IFERROR(INDEX(Cl_quartier,MATCH(J364,Cl_cle,0))&amp;"",""))</f>
        <v/>
      </c>
      <c r="O364" s="33">
        <f>IF(J364="","",IFERROR(INDEX(Cl_tel,MATCH(J364,Cl_cle,0))&amp;"",""))</f>
        <v/>
      </c>
      <c r="P364" s="34">
        <f>IF(J364="","",IFERROR(INDEX(Cl_potentiel,MATCH(J364,Cl_cle,0)),""))</f>
        <v/>
      </c>
      <c r="Q364" s="34">
        <f>IF(J364="","",IF(D364&lt;&gt;"",IF(COUNTIFS(VC_cle,J364,VC_type,"Visite sur place",VC_date,D364)&gt;0,"Visité",IF(D364&lt;TODAY(),"Non fait","À venir")),IF(B364="","",IF(COUNTIFS(VC_cle,J364,VC_type,"Visite sur place",VC_date,"&gt;="&amp;M364,VC_date,"&lt;"&amp;DATE(YEAR(M364),MONTH(M364)+1,1))&gt;0,"Visité","À visiter"))))</f>
        <v/>
      </c>
    </row>
    <row r="365" ht="18" customHeight="1">
      <c r="A365" s="39" t="n">
        <v>360</v>
      </c>
      <c r="B365" s="49" t="n"/>
      <c r="C365" s="43" t="n"/>
      <c r="D365" s="32" t="n"/>
      <c r="E365" s="36" t="n"/>
      <c r="F365" s="36" t="n"/>
      <c r="G365" s="36" t="n"/>
      <c r="H365" s="33">
        <f>IF(E365="","",Commercial_Id)</f>
        <v/>
      </c>
      <c r="I365" s="39">
        <f>IF(E365="","",IFERROR(VALUE(MID(E365,LEN(E365)-3,3)),""))</f>
        <v/>
      </c>
      <c r="J365" s="33">
        <f>IF(I365="","",H365&amp;"|"&amp;I365)</f>
        <v/>
      </c>
      <c r="K365" s="33">
        <f>IF(I365="","",IF(H365="À RENSEIGNER","GIC",H365)&amp;"-"&amp;TEXT(I365,"000"))</f>
        <v/>
      </c>
      <c r="L365" s="33">
        <f>IF(J365="","",IFERROR(INDEX(Cl_nom,MATCH(J365,Cl_cle,0)),"(client introuvable)"))</f>
        <v/>
      </c>
      <c r="M365" s="46">
        <f>IF(B365="","",DATE(YEAR(B365),MONTH(B365),1))</f>
        <v/>
      </c>
      <c r="N365" s="33">
        <f>IF(J365="","",IFERROR(INDEX(Cl_quartier,MATCH(J365,Cl_cle,0))&amp;"",""))</f>
        <v/>
      </c>
      <c r="O365" s="33">
        <f>IF(J365="","",IFERROR(INDEX(Cl_tel,MATCH(J365,Cl_cle,0))&amp;"",""))</f>
        <v/>
      </c>
      <c r="P365" s="34">
        <f>IF(J365="","",IFERROR(INDEX(Cl_potentiel,MATCH(J365,Cl_cle,0)),""))</f>
        <v/>
      </c>
      <c r="Q365" s="34">
        <f>IF(J365="","",IF(D365&lt;&gt;"",IF(COUNTIFS(VC_cle,J365,VC_type,"Visite sur place",VC_date,D365)&gt;0,"Visité",IF(D365&lt;TODAY(),"Non fait","À venir")),IF(B365="","",IF(COUNTIFS(VC_cle,J365,VC_type,"Visite sur place",VC_date,"&gt;="&amp;M365,VC_date,"&lt;"&amp;DATE(YEAR(M365),MONTH(M365)+1,1))&gt;0,"Visité","À visiter"))))</f>
        <v/>
      </c>
    </row>
    <row r="366" ht="18" customHeight="1">
      <c r="A366" s="39" t="n">
        <v>361</v>
      </c>
      <c r="B366" s="49" t="n"/>
      <c r="C366" s="43" t="n"/>
      <c r="D366" s="32" t="n"/>
      <c r="E366" s="36" t="n"/>
      <c r="F366" s="36" t="n"/>
      <c r="G366" s="36" t="n"/>
      <c r="H366" s="33">
        <f>IF(E366="","",Commercial_Id)</f>
        <v/>
      </c>
      <c r="I366" s="39">
        <f>IF(E366="","",IFERROR(VALUE(MID(E366,LEN(E366)-3,3)),""))</f>
        <v/>
      </c>
      <c r="J366" s="33">
        <f>IF(I366="","",H366&amp;"|"&amp;I366)</f>
        <v/>
      </c>
      <c r="K366" s="33">
        <f>IF(I366="","",IF(H366="À RENSEIGNER","GIC",H366)&amp;"-"&amp;TEXT(I366,"000"))</f>
        <v/>
      </c>
      <c r="L366" s="33">
        <f>IF(J366="","",IFERROR(INDEX(Cl_nom,MATCH(J366,Cl_cle,0)),"(client introuvable)"))</f>
        <v/>
      </c>
      <c r="M366" s="46">
        <f>IF(B366="","",DATE(YEAR(B366),MONTH(B366),1))</f>
        <v/>
      </c>
      <c r="N366" s="33">
        <f>IF(J366="","",IFERROR(INDEX(Cl_quartier,MATCH(J366,Cl_cle,0))&amp;"",""))</f>
        <v/>
      </c>
      <c r="O366" s="33">
        <f>IF(J366="","",IFERROR(INDEX(Cl_tel,MATCH(J366,Cl_cle,0))&amp;"",""))</f>
        <v/>
      </c>
      <c r="P366" s="34">
        <f>IF(J366="","",IFERROR(INDEX(Cl_potentiel,MATCH(J366,Cl_cle,0)),""))</f>
        <v/>
      </c>
      <c r="Q366" s="34">
        <f>IF(J366="","",IF(D366&lt;&gt;"",IF(COUNTIFS(VC_cle,J366,VC_type,"Visite sur place",VC_date,D366)&gt;0,"Visité",IF(D366&lt;TODAY(),"Non fait","À venir")),IF(B366="","",IF(COUNTIFS(VC_cle,J366,VC_type,"Visite sur place",VC_date,"&gt;="&amp;M366,VC_date,"&lt;"&amp;DATE(YEAR(M366),MONTH(M366)+1,1))&gt;0,"Visité","À visiter"))))</f>
        <v/>
      </c>
    </row>
    <row r="367" ht="18" customHeight="1">
      <c r="A367" s="39" t="n">
        <v>362</v>
      </c>
      <c r="B367" s="49" t="n"/>
      <c r="C367" s="43" t="n"/>
      <c r="D367" s="32" t="n"/>
      <c r="E367" s="36" t="n"/>
      <c r="F367" s="36" t="n"/>
      <c r="G367" s="36" t="n"/>
      <c r="H367" s="33">
        <f>IF(E367="","",Commercial_Id)</f>
        <v/>
      </c>
      <c r="I367" s="39">
        <f>IF(E367="","",IFERROR(VALUE(MID(E367,LEN(E367)-3,3)),""))</f>
        <v/>
      </c>
      <c r="J367" s="33">
        <f>IF(I367="","",H367&amp;"|"&amp;I367)</f>
        <v/>
      </c>
      <c r="K367" s="33">
        <f>IF(I367="","",IF(H367="À RENSEIGNER","GIC",H367)&amp;"-"&amp;TEXT(I367,"000"))</f>
        <v/>
      </c>
      <c r="L367" s="33">
        <f>IF(J367="","",IFERROR(INDEX(Cl_nom,MATCH(J367,Cl_cle,0)),"(client introuvable)"))</f>
        <v/>
      </c>
      <c r="M367" s="46">
        <f>IF(B367="","",DATE(YEAR(B367),MONTH(B367),1))</f>
        <v/>
      </c>
      <c r="N367" s="33">
        <f>IF(J367="","",IFERROR(INDEX(Cl_quartier,MATCH(J367,Cl_cle,0))&amp;"",""))</f>
        <v/>
      </c>
      <c r="O367" s="33">
        <f>IF(J367="","",IFERROR(INDEX(Cl_tel,MATCH(J367,Cl_cle,0))&amp;"",""))</f>
        <v/>
      </c>
      <c r="P367" s="34">
        <f>IF(J367="","",IFERROR(INDEX(Cl_potentiel,MATCH(J367,Cl_cle,0)),""))</f>
        <v/>
      </c>
      <c r="Q367" s="34">
        <f>IF(J367="","",IF(D367&lt;&gt;"",IF(COUNTIFS(VC_cle,J367,VC_type,"Visite sur place",VC_date,D367)&gt;0,"Visité",IF(D367&lt;TODAY(),"Non fait","À venir")),IF(B367="","",IF(COUNTIFS(VC_cle,J367,VC_type,"Visite sur place",VC_date,"&gt;="&amp;M367,VC_date,"&lt;"&amp;DATE(YEAR(M367),MONTH(M367)+1,1))&gt;0,"Visité","À visiter"))))</f>
        <v/>
      </c>
    </row>
    <row r="368" ht="18" customHeight="1">
      <c r="A368" s="39" t="n">
        <v>363</v>
      </c>
      <c r="B368" s="49" t="n"/>
      <c r="C368" s="43" t="n"/>
      <c r="D368" s="32" t="n"/>
      <c r="E368" s="36" t="n"/>
      <c r="F368" s="36" t="n"/>
      <c r="G368" s="36" t="n"/>
      <c r="H368" s="33">
        <f>IF(E368="","",Commercial_Id)</f>
        <v/>
      </c>
      <c r="I368" s="39">
        <f>IF(E368="","",IFERROR(VALUE(MID(E368,LEN(E368)-3,3)),""))</f>
        <v/>
      </c>
      <c r="J368" s="33">
        <f>IF(I368="","",H368&amp;"|"&amp;I368)</f>
        <v/>
      </c>
      <c r="K368" s="33">
        <f>IF(I368="","",IF(H368="À RENSEIGNER","GIC",H368)&amp;"-"&amp;TEXT(I368,"000"))</f>
        <v/>
      </c>
      <c r="L368" s="33">
        <f>IF(J368="","",IFERROR(INDEX(Cl_nom,MATCH(J368,Cl_cle,0)),"(client introuvable)"))</f>
        <v/>
      </c>
      <c r="M368" s="46">
        <f>IF(B368="","",DATE(YEAR(B368),MONTH(B368),1))</f>
        <v/>
      </c>
      <c r="N368" s="33">
        <f>IF(J368="","",IFERROR(INDEX(Cl_quartier,MATCH(J368,Cl_cle,0))&amp;"",""))</f>
        <v/>
      </c>
      <c r="O368" s="33">
        <f>IF(J368="","",IFERROR(INDEX(Cl_tel,MATCH(J368,Cl_cle,0))&amp;"",""))</f>
        <v/>
      </c>
      <c r="P368" s="34">
        <f>IF(J368="","",IFERROR(INDEX(Cl_potentiel,MATCH(J368,Cl_cle,0)),""))</f>
        <v/>
      </c>
      <c r="Q368" s="34">
        <f>IF(J368="","",IF(D368&lt;&gt;"",IF(COUNTIFS(VC_cle,J368,VC_type,"Visite sur place",VC_date,D368)&gt;0,"Visité",IF(D368&lt;TODAY(),"Non fait","À venir")),IF(B368="","",IF(COUNTIFS(VC_cle,J368,VC_type,"Visite sur place",VC_date,"&gt;="&amp;M368,VC_date,"&lt;"&amp;DATE(YEAR(M368),MONTH(M368)+1,1))&gt;0,"Visité","À visiter"))))</f>
        <v/>
      </c>
    </row>
    <row r="369" ht="18" customHeight="1">
      <c r="A369" s="39" t="n">
        <v>364</v>
      </c>
      <c r="B369" s="49" t="n"/>
      <c r="C369" s="43" t="n"/>
      <c r="D369" s="32" t="n"/>
      <c r="E369" s="36" t="n"/>
      <c r="F369" s="36" t="n"/>
      <c r="G369" s="36" t="n"/>
      <c r="H369" s="33">
        <f>IF(E369="","",Commercial_Id)</f>
        <v/>
      </c>
      <c r="I369" s="39">
        <f>IF(E369="","",IFERROR(VALUE(MID(E369,LEN(E369)-3,3)),""))</f>
        <v/>
      </c>
      <c r="J369" s="33">
        <f>IF(I369="","",H369&amp;"|"&amp;I369)</f>
        <v/>
      </c>
      <c r="K369" s="33">
        <f>IF(I369="","",IF(H369="À RENSEIGNER","GIC",H369)&amp;"-"&amp;TEXT(I369,"000"))</f>
        <v/>
      </c>
      <c r="L369" s="33">
        <f>IF(J369="","",IFERROR(INDEX(Cl_nom,MATCH(J369,Cl_cle,0)),"(client introuvable)"))</f>
        <v/>
      </c>
      <c r="M369" s="46">
        <f>IF(B369="","",DATE(YEAR(B369),MONTH(B369),1))</f>
        <v/>
      </c>
      <c r="N369" s="33">
        <f>IF(J369="","",IFERROR(INDEX(Cl_quartier,MATCH(J369,Cl_cle,0))&amp;"",""))</f>
        <v/>
      </c>
      <c r="O369" s="33">
        <f>IF(J369="","",IFERROR(INDEX(Cl_tel,MATCH(J369,Cl_cle,0))&amp;"",""))</f>
        <v/>
      </c>
      <c r="P369" s="34">
        <f>IF(J369="","",IFERROR(INDEX(Cl_potentiel,MATCH(J369,Cl_cle,0)),""))</f>
        <v/>
      </c>
      <c r="Q369" s="34">
        <f>IF(J369="","",IF(D369&lt;&gt;"",IF(COUNTIFS(VC_cle,J369,VC_type,"Visite sur place",VC_date,D369)&gt;0,"Visité",IF(D369&lt;TODAY(),"Non fait","À venir")),IF(B369="","",IF(COUNTIFS(VC_cle,J369,VC_type,"Visite sur place",VC_date,"&gt;="&amp;M369,VC_date,"&lt;"&amp;DATE(YEAR(M369),MONTH(M369)+1,1))&gt;0,"Visité","À visiter"))))</f>
        <v/>
      </c>
    </row>
    <row r="370" ht="18" customHeight="1">
      <c r="A370" s="39" t="n">
        <v>365</v>
      </c>
      <c r="B370" s="49" t="n"/>
      <c r="C370" s="43" t="n"/>
      <c r="D370" s="32" t="n"/>
      <c r="E370" s="36" t="n"/>
      <c r="F370" s="36" t="n"/>
      <c r="G370" s="36" t="n"/>
      <c r="H370" s="33">
        <f>IF(E370="","",Commercial_Id)</f>
        <v/>
      </c>
      <c r="I370" s="39">
        <f>IF(E370="","",IFERROR(VALUE(MID(E370,LEN(E370)-3,3)),""))</f>
        <v/>
      </c>
      <c r="J370" s="33">
        <f>IF(I370="","",H370&amp;"|"&amp;I370)</f>
        <v/>
      </c>
      <c r="K370" s="33">
        <f>IF(I370="","",IF(H370="À RENSEIGNER","GIC",H370)&amp;"-"&amp;TEXT(I370,"000"))</f>
        <v/>
      </c>
      <c r="L370" s="33">
        <f>IF(J370="","",IFERROR(INDEX(Cl_nom,MATCH(J370,Cl_cle,0)),"(client introuvable)"))</f>
        <v/>
      </c>
      <c r="M370" s="46">
        <f>IF(B370="","",DATE(YEAR(B370),MONTH(B370),1))</f>
        <v/>
      </c>
      <c r="N370" s="33">
        <f>IF(J370="","",IFERROR(INDEX(Cl_quartier,MATCH(J370,Cl_cle,0))&amp;"",""))</f>
        <v/>
      </c>
      <c r="O370" s="33">
        <f>IF(J370="","",IFERROR(INDEX(Cl_tel,MATCH(J370,Cl_cle,0))&amp;"",""))</f>
        <v/>
      </c>
      <c r="P370" s="34">
        <f>IF(J370="","",IFERROR(INDEX(Cl_potentiel,MATCH(J370,Cl_cle,0)),""))</f>
        <v/>
      </c>
      <c r="Q370" s="34">
        <f>IF(J370="","",IF(D370&lt;&gt;"",IF(COUNTIFS(VC_cle,J370,VC_type,"Visite sur place",VC_date,D370)&gt;0,"Visité",IF(D370&lt;TODAY(),"Non fait","À venir")),IF(B370="","",IF(COUNTIFS(VC_cle,J370,VC_type,"Visite sur place",VC_date,"&gt;="&amp;M370,VC_date,"&lt;"&amp;DATE(YEAR(M370),MONTH(M370)+1,1))&gt;0,"Visité","À visiter"))))</f>
        <v/>
      </c>
    </row>
    <row r="371" ht="18" customHeight="1">
      <c r="A371" s="39" t="n">
        <v>366</v>
      </c>
      <c r="B371" s="49" t="n"/>
      <c r="C371" s="43" t="n"/>
      <c r="D371" s="32" t="n"/>
      <c r="E371" s="36" t="n"/>
      <c r="F371" s="36" t="n"/>
      <c r="G371" s="36" t="n"/>
      <c r="H371" s="33">
        <f>IF(E371="","",Commercial_Id)</f>
        <v/>
      </c>
      <c r="I371" s="39">
        <f>IF(E371="","",IFERROR(VALUE(MID(E371,LEN(E371)-3,3)),""))</f>
        <v/>
      </c>
      <c r="J371" s="33">
        <f>IF(I371="","",H371&amp;"|"&amp;I371)</f>
        <v/>
      </c>
      <c r="K371" s="33">
        <f>IF(I371="","",IF(H371="À RENSEIGNER","GIC",H371)&amp;"-"&amp;TEXT(I371,"000"))</f>
        <v/>
      </c>
      <c r="L371" s="33">
        <f>IF(J371="","",IFERROR(INDEX(Cl_nom,MATCH(J371,Cl_cle,0)),"(client introuvable)"))</f>
        <v/>
      </c>
      <c r="M371" s="46">
        <f>IF(B371="","",DATE(YEAR(B371),MONTH(B371),1))</f>
        <v/>
      </c>
      <c r="N371" s="33">
        <f>IF(J371="","",IFERROR(INDEX(Cl_quartier,MATCH(J371,Cl_cle,0))&amp;"",""))</f>
        <v/>
      </c>
      <c r="O371" s="33">
        <f>IF(J371="","",IFERROR(INDEX(Cl_tel,MATCH(J371,Cl_cle,0))&amp;"",""))</f>
        <v/>
      </c>
      <c r="P371" s="34">
        <f>IF(J371="","",IFERROR(INDEX(Cl_potentiel,MATCH(J371,Cl_cle,0)),""))</f>
        <v/>
      </c>
      <c r="Q371" s="34">
        <f>IF(J371="","",IF(D371&lt;&gt;"",IF(COUNTIFS(VC_cle,J371,VC_type,"Visite sur place",VC_date,D371)&gt;0,"Visité",IF(D371&lt;TODAY(),"Non fait","À venir")),IF(B371="","",IF(COUNTIFS(VC_cle,J371,VC_type,"Visite sur place",VC_date,"&gt;="&amp;M371,VC_date,"&lt;"&amp;DATE(YEAR(M371),MONTH(M371)+1,1))&gt;0,"Visité","À visiter"))))</f>
        <v/>
      </c>
    </row>
    <row r="372" ht="18" customHeight="1">
      <c r="A372" s="39" t="n">
        <v>367</v>
      </c>
      <c r="B372" s="49" t="n"/>
      <c r="C372" s="43" t="n"/>
      <c r="D372" s="32" t="n"/>
      <c r="E372" s="36" t="n"/>
      <c r="F372" s="36" t="n"/>
      <c r="G372" s="36" t="n"/>
      <c r="H372" s="33">
        <f>IF(E372="","",Commercial_Id)</f>
        <v/>
      </c>
      <c r="I372" s="39">
        <f>IF(E372="","",IFERROR(VALUE(MID(E372,LEN(E372)-3,3)),""))</f>
        <v/>
      </c>
      <c r="J372" s="33">
        <f>IF(I372="","",H372&amp;"|"&amp;I372)</f>
        <v/>
      </c>
      <c r="K372" s="33">
        <f>IF(I372="","",IF(H372="À RENSEIGNER","GIC",H372)&amp;"-"&amp;TEXT(I372,"000"))</f>
        <v/>
      </c>
      <c r="L372" s="33">
        <f>IF(J372="","",IFERROR(INDEX(Cl_nom,MATCH(J372,Cl_cle,0)),"(client introuvable)"))</f>
        <v/>
      </c>
      <c r="M372" s="46">
        <f>IF(B372="","",DATE(YEAR(B372),MONTH(B372),1))</f>
        <v/>
      </c>
      <c r="N372" s="33">
        <f>IF(J372="","",IFERROR(INDEX(Cl_quartier,MATCH(J372,Cl_cle,0))&amp;"",""))</f>
        <v/>
      </c>
      <c r="O372" s="33">
        <f>IF(J372="","",IFERROR(INDEX(Cl_tel,MATCH(J372,Cl_cle,0))&amp;"",""))</f>
        <v/>
      </c>
      <c r="P372" s="34">
        <f>IF(J372="","",IFERROR(INDEX(Cl_potentiel,MATCH(J372,Cl_cle,0)),""))</f>
        <v/>
      </c>
      <c r="Q372" s="34">
        <f>IF(J372="","",IF(D372&lt;&gt;"",IF(COUNTIFS(VC_cle,J372,VC_type,"Visite sur place",VC_date,D372)&gt;0,"Visité",IF(D372&lt;TODAY(),"Non fait","À venir")),IF(B372="","",IF(COUNTIFS(VC_cle,J372,VC_type,"Visite sur place",VC_date,"&gt;="&amp;M372,VC_date,"&lt;"&amp;DATE(YEAR(M372),MONTH(M372)+1,1))&gt;0,"Visité","À visiter"))))</f>
        <v/>
      </c>
    </row>
    <row r="373" ht="18" customHeight="1">
      <c r="A373" s="39" t="n">
        <v>368</v>
      </c>
      <c r="B373" s="49" t="n"/>
      <c r="C373" s="43" t="n"/>
      <c r="D373" s="32" t="n"/>
      <c r="E373" s="36" t="n"/>
      <c r="F373" s="36" t="n"/>
      <c r="G373" s="36" t="n"/>
      <c r="H373" s="33">
        <f>IF(E373="","",Commercial_Id)</f>
        <v/>
      </c>
      <c r="I373" s="39">
        <f>IF(E373="","",IFERROR(VALUE(MID(E373,LEN(E373)-3,3)),""))</f>
        <v/>
      </c>
      <c r="J373" s="33">
        <f>IF(I373="","",H373&amp;"|"&amp;I373)</f>
        <v/>
      </c>
      <c r="K373" s="33">
        <f>IF(I373="","",IF(H373="À RENSEIGNER","GIC",H373)&amp;"-"&amp;TEXT(I373,"000"))</f>
        <v/>
      </c>
      <c r="L373" s="33">
        <f>IF(J373="","",IFERROR(INDEX(Cl_nom,MATCH(J373,Cl_cle,0)),"(client introuvable)"))</f>
        <v/>
      </c>
      <c r="M373" s="46">
        <f>IF(B373="","",DATE(YEAR(B373),MONTH(B373),1))</f>
        <v/>
      </c>
      <c r="N373" s="33">
        <f>IF(J373="","",IFERROR(INDEX(Cl_quartier,MATCH(J373,Cl_cle,0))&amp;"",""))</f>
        <v/>
      </c>
      <c r="O373" s="33">
        <f>IF(J373="","",IFERROR(INDEX(Cl_tel,MATCH(J373,Cl_cle,0))&amp;"",""))</f>
        <v/>
      </c>
      <c r="P373" s="34">
        <f>IF(J373="","",IFERROR(INDEX(Cl_potentiel,MATCH(J373,Cl_cle,0)),""))</f>
        <v/>
      </c>
      <c r="Q373" s="34">
        <f>IF(J373="","",IF(D373&lt;&gt;"",IF(COUNTIFS(VC_cle,J373,VC_type,"Visite sur place",VC_date,D373)&gt;0,"Visité",IF(D373&lt;TODAY(),"Non fait","À venir")),IF(B373="","",IF(COUNTIFS(VC_cle,J373,VC_type,"Visite sur place",VC_date,"&gt;="&amp;M373,VC_date,"&lt;"&amp;DATE(YEAR(M373),MONTH(M373)+1,1))&gt;0,"Visité","À visiter"))))</f>
        <v/>
      </c>
    </row>
    <row r="374" ht="18" customHeight="1">
      <c r="A374" s="39" t="n">
        <v>369</v>
      </c>
      <c r="B374" s="49" t="n"/>
      <c r="C374" s="43" t="n"/>
      <c r="D374" s="32" t="n"/>
      <c r="E374" s="36" t="n"/>
      <c r="F374" s="36" t="n"/>
      <c r="G374" s="36" t="n"/>
      <c r="H374" s="33">
        <f>IF(E374="","",Commercial_Id)</f>
        <v/>
      </c>
      <c r="I374" s="39">
        <f>IF(E374="","",IFERROR(VALUE(MID(E374,LEN(E374)-3,3)),""))</f>
        <v/>
      </c>
      <c r="J374" s="33">
        <f>IF(I374="","",H374&amp;"|"&amp;I374)</f>
        <v/>
      </c>
      <c r="K374" s="33">
        <f>IF(I374="","",IF(H374="À RENSEIGNER","GIC",H374)&amp;"-"&amp;TEXT(I374,"000"))</f>
        <v/>
      </c>
      <c r="L374" s="33">
        <f>IF(J374="","",IFERROR(INDEX(Cl_nom,MATCH(J374,Cl_cle,0)),"(client introuvable)"))</f>
        <v/>
      </c>
      <c r="M374" s="46">
        <f>IF(B374="","",DATE(YEAR(B374),MONTH(B374),1))</f>
        <v/>
      </c>
      <c r="N374" s="33">
        <f>IF(J374="","",IFERROR(INDEX(Cl_quartier,MATCH(J374,Cl_cle,0))&amp;"",""))</f>
        <v/>
      </c>
      <c r="O374" s="33">
        <f>IF(J374="","",IFERROR(INDEX(Cl_tel,MATCH(J374,Cl_cle,0))&amp;"",""))</f>
        <v/>
      </c>
      <c r="P374" s="34">
        <f>IF(J374="","",IFERROR(INDEX(Cl_potentiel,MATCH(J374,Cl_cle,0)),""))</f>
        <v/>
      </c>
      <c r="Q374" s="34">
        <f>IF(J374="","",IF(D374&lt;&gt;"",IF(COUNTIFS(VC_cle,J374,VC_type,"Visite sur place",VC_date,D374)&gt;0,"Visité",IF(D374&lt;TODAY(),"Non fait","À venir")),IF(B374="","",IF(COUNTIFS(VC_cle,J374,VC_type,"Visite sur place",VC_date,"&gt;="&amp;M374,VC_date,"&lt;"&amp;DATE(YEAR(M374),MONTH(M374)+1,1))&gt;0,"Visité","À visiter"))))</f>
        <v/>
      </c>
    </row>
    <row r="375" ht="18" customHeight="1">
      <c r="A375" s="39" t="n">
        <v>370</v>
      </c>
      <c r="B375" s="49" t="n"/>
      <c r="C375" s="43" t="n"/>
      <c r="D375" s="32" t="n"/>
      <c r="E375" s="36" t="n"/>
      <c r="F375" s="36" t="n"/>
      <c r="G375" s="36" t="n"/>
      <c r="H375" s="33">
        <f>IF(E375="","",Commercial_Id)</f>
        <v/>
      </c>
      <c r="I375" s="39">
        <f>IF(E375="","",IFERROR(VALUE(MID(E375,LEN(E375)-3,3)),""))</f>
        <v/>
      </c>
      <c r="J375" s="33">
        <f>IF(I375="","",H375&amp;"|"&amp;I375)</f>
        <v/>
      </c>
      <c r="K375" s="33">
        <f>IF(I375="","",IF(H375="À RENSEIGNER","GIC",H375)&amp;"-"&amp;TEXT(I375,"000"))</f>
        <v/>
      </c>
      <c r="L375" s="33">
        <f>IF(J375="","",IFERROR(INDEX(Cl_nom,MATCH(J375,Cl_cle,0)),"(client introuvable)"))</f>
        <v/>
      </c>
      <c r="M375" s="46">
        <f>IF(B375="","",DATE(YEAR(B375),MONTH(B375),1))</f>
        <v/>
      </c>
      <c r="N375" s="33">
        <f>IF(J375="","",IFERROR(INDEX(Cl_quartier,MATCH(J375,Cl_cle,0))&amp;"",""))</f>
        <v/>
      </c>
      <c r="O375" s="33">
        <f>IF(J375="","",IFERROR(INDEX(Cl_tel,MATCH(J375,Cl_cle,0))&amp;"",""))</f>
        <v/>
      </c>
      <c r="P375" s="34">
        <f>IF(J375="","",IFERROR(INDEX(Cl_potentiel,MATCH(J375,Cl_cle,0)),""))</f>
        <v/>
      </c>
      <c r="Q375" s="34">
        <f>IF(J375="","",IF(D375&lt;&gt;"",IF(COUNTIFS(VC_cle,J375,VC_type,"Visite sur place",VC_date,D375)&gt;0,"Visité",IF(D375&lt;TODAY(),"Non fait","À venir")),IF(B375="","",IF(COUNTIFS(VC_cle,J375,VC_type,"Visite sur place",VC_date,"&gt;="&amp;M375,VC_date,"&lt;"&amp;DATE(YEAR(M375),MONTH(M375)+1,1))&gt;0,"Visité","À visiter"))))</f>
        <v/>
      </c>
    </row>
    <row r="376" ht="18" customHeight="1">
      <c r="A376" s="39" t="n">
        <v>371</v>
      </c>
      <c r="B376" s="49" t="n"/>
      <c r="C376" s="43" t="n"/>
      <c r="D376" s="32" t="n"/>
      <c r="E376" s="36" t="n"/>
      <c r="F376" s="36" t="n"/>
      <c r="G376" s="36" t="n"/>
      <c r="H376" s="33">
        <f>IF(E376="","",Commercial_Id)</f>
        <v/>
      </c>
      <c r="I376" s="39">
        <f>IF(E376="","",IFERROR(VALUE(MID(E376,LEN(E376)-3,3)),""))</f>
        <v/>
      </c>
      <c r="J376" s="33">
        <f>IF(I376="","",H376&amp;"|"&amp;I376)</f>
        <v/>
      </c>
      <c r="K376" s="33">
        <f>IF(I376="","",IF(H376="À RENSEIGNER","GIC",H376)&amp;"-"&amp;TEXT(I376,"000"))</f>
        <v/>
      </c>
      <c r="L376" s="33">
        <f>IF(J376="","",IFERROR(INDEX(Cl_nom,MATCH(J376,Cl_cle,0)),"(client introuvable)"))</f>
        <v/>
      </c>
      <c r="M376" s="46">
        <f>IF(B376="","",DATE(YEAR(B376),MONTH(B376),1))</f>
        <v/>
      </c>
      <c r="N376" s="33">
        <f>IF(J376="","",IFERROR(INDEX(Cl_quartier,MATCH(J376,Cl_cle,0))&amp;"",""))</f>
        <v/>
      </c>
      <c r="O376" s="33">
        <f>IF(J376="","",IFERROR(INDEX(Cl_tel,MATCH(J376,Cl_cle,0))&amp;"",""))</f>
        <v/>
      </c>
      <c r="P376" s="34">
        <f>IF(J376="","",IFERROR(INDEX(Cl_potentiel,MATCH(J376,Cl_cle,0)),""))</f>
        <v/>
      </c>
      <c r="Q376" s="34">
        <f>IF(J376="","",IF(D376&lt;&gt;"",IF(COUNTIFS(VC_cle,J376,VC_type,"Visite sur place",VC_date,D376)&gt;0,"Visité",IF(D376&lt;TODAY(),"Non fait","À venir")),IF(B376="","",IF(COUNTIFS(VC_cle,J376,VC_type,"Visite sur place",VC_date,"&gt;="&amp;M376,VC_date,"&lt;"&amp;DATE(YEAR(M376),MONTH(M376)+1,1))&gt;0,"Visité","À visiter"))))</f>
        <v/>
      </c>
    </row>
    <row r="377" ht="18" customHeight="1">
      <c r="A377" s="39" t="n">
        <v>372</v>
      </c>
      <c r="B377" s="49" t="n"/>
      <c r="C377" s="43" t="n"/>
      <c r="D377" s="32" t="n"/>
      <c r="E377" s="36" t="n"/>
      <c r="F377" s="36" t="n"/>
      <c r="G377" s="36" t="n"/>
      <c r="H377" s="33">
        <f>IF(E377="","",Commercial_Id)</f>
        <v/>
      </c>
      <c r="I377" s="39">
        <f>IF(E377="","",IFERROR(VALUE(MID(E377,LEN(E377)-3,3)),""))</f>
        <v/>
      </c>
      <c r="J377" s="33">
        <f>IF(I377="","",H377&amp;"|"&amp;I377)</f>
        <v/>
      </c>
      <c r="K377" s="33">
        <f>IF(I377="","",IF(H377="À RENSEIGNER","GIC",H377)&amp;"-"&amp;TEXT(I377,"000"))</f>
        <v/>
      </c>
      <c r="L377" s="33">
        <f>IF(J377="","",IFERROR(INDEX(Cl_nom,MATCH(J377,Cl_cle,0)),"(client introuvable)"))</f>
        <v/>
      </c>
      <c r="M377" s="46">
        <f>IF(B377="","",DATE(YEAR(B377),MONTH(B377),1))</f>
        <v/>
      </c>
      <c r="N377" s="33">
        <f>IF(J377="","",IFERROR(INDEX(Cl_quartier,MATCH(J377,Cl_cle,0))&amp;"",""))</f>
        <v/>
      </c>
      <c r="O377" s="33">
        <f>IF(J377="","",IFERROR(INDEX(Cl_tel,MATCH(J377,Cl_cle,0))&amp;"",""))</f>
        <v/>
      </c>
      <c r="P377" s="34">
        <f>IF(J377="","",IFERROR(INDEX(Cl_potentiel,MATCH(J377,Cl_cle,0)),""))</f>
        <v/>
      </c>
      <c r="Q377" s="34">
        <f>IF(J377="","",IF(D377&lt;&gt;"",IF(COUNTIFS(VC_cle,J377,VC_type,"Visite sur place",VC_date,D377)&gt;0,"Visité",IF(D377&lt;TODAY(),"Non fait","À venir")),IF(B377="","",IF(COUNTIFS(VC_cle,J377,VC_type,"Visite sur place",VC_date,"&gt;="&amp;M377,VC_date,"&lt;"&amp;DATE(YEAR(M377),MONTH(M377)+1,1))&gt;0,"Visité","À visiter"))))</f>
        <v/>
      </c>
    </row>
    <row r="378" ht="18" customHeight="1">
      <c r="A378" s="39" t="n">
        <v>373</v>
      </c>
      <c r="B378" s="49" t="n"/>
      <c r="C378" s="43" t="n"/>
      <c r="D378" s="32" t="n"/>
      <c r="E378" s="36" t="n"/>
      <c r="F378" s="36" t="n"/>
      <c r="G378" s="36" t="n"/>
      <c r="H378" s="33">
        <f>IF(E378="","",Commercial_Id)</f>
        <v/>
      </c>
      <c r="I378" s="39">
        <f>IF(E378="","",IFERROR(VALUE(MID(E378,LEN(E378)-3,3)),""))</f>
        <v/>
      </c>
      <c r="J378" s="33">
        <f>IF(I378="","",H378&amp;"|"&amp;I378)</f>
        <v/>
      </c>
      <c r="K378" s="33">
        <f>IF(I378="","",IF(H378="À RENSEIGNER","GIC",H378)&amp;"-"&amp;TEXT(I378,"000"))</f>
        <v/>
      </c>
      <c r="L378" s="33">
        <f>IF(J378="","",IFERROR(INDEX(Cl_nom,MATCH(J378,Cl_cle,0)),"(client introuvable)"))</f>
        <v/>
      </c>
      <c r="M378" s="46">
        <f>IF(B378="","",DATE(YEAR(B378),MONTH(B378),1))</f>
        <v/>
      </c>
      <c r="N378" s="33">
        <f>IF(J378="","",IFERROR(INDEX(Cl_quartier,MATCH(J378,Cl_cle,0))&amp;"",""))</f>
        <v/>
      </c>
      <c r="O378" s="33">
        <f>IF(J378="","",IFERROR(INDEX(Cl_tel,MATCH(J378,Cl_cle,0))&amp;"",""))</f>
        <v/>
      </c>
      <c r="P378" s="34">
        <f>IF(J378="","",IFERROR(INDEX(Cl_potentiel,MATCH(J378,Cl_cle,0)),""))</f>
        <v/>
      </c>
      <c r="Q378" s="34">
        <f>IF(J378="","",IF(D378&lt;&gt;"",IF(COUNTIFS(VC_cle,J378,VC_type,"Visite sur place",VC_date,D378)&gt;0,"Visité",IF(D378&lt;TODAY(),"Non fait","À venir")),IF(B378="","",IF(COUNTIFS(VC_cle,J378,VC_type,"Visite sur place",VC_date,"&gt;="&amp;M378,VC_date,"&lt;"&amp;DATE(YEAR(M378),MONTH(M378)+1,1))&gt;0,"Visité","À visiter"))))</f>
        <v/>
      </c>
    </row>
    <row r="379" ht="18" customHeight="1">
      <c r="A379" s="39" t="n">
        <v>374</v>
      </c>
      <c r="B379" s="49" t="n"/>
      <c r="C379" s="43" t="n"/>
      <c r="D379" s="32" t="n"/>
      <c r="E379" s="36" t="n"/>
      <c r="F379" s="36" t="n"/>
      <c r="G379" s="36" t="n"/>
      <c r="H379" s="33">
        <f>IF(E379="","",Commercial_Id)</f>
        <v/>
      </c>
      <c r="I379" s="39">
        <f>IF(E379="","",IFERROR(VALUE(MID(E379,LEN(E379)-3,3)),""))</f>
        <v/>
      </c>
      <c r="J379" s="33">
        <f>IF(I379="","",H379&amp;"|"&amp;I379)</f>
        <v/>
      </c>
      <c r="K379" s="33">
        <f>IF(I379="","",IF(H379="À RENSEIGNER","GIC",H379)&amp;"-"&amp;TEXT(I379,"000"))</f>
        <v/>
      </c>
      <c r="L379" s="33">
        <f>IF(J379="","",IFERROR(INDEX(Cl_nom,MATCH(J379,Cl_cle,0)),"(client introuvable)"))</f>
        <v/>
      </c>
      <c r="M379" s="46">
        <f>IF(B379="","",DATE(YEAR(B379),MONTH(B379),1))</f>
        <v/>
      </c>
      <c r="N379" s="33">
        <f>IF(J379="","",IFERROR(INDEX(Cl_quartier,MATCH(J379,Cl_cle,0))&amp;"",""))</f>
        <v/>
      </c>
      <c r="O379" s="33">
        <f>IF(J379="","",IFERROR(INDEX(Cl_tel,MATCH(J379,Cl_cle,0))&amp;"",""))</f>
        <v/>
      </c>
      <c r="P379" s="34">
        <f>IF(J379="","",IFERROR(INDEX(Cl_potentiel,MATCH(J379,Cl_cle,0)),""))</f>
        <v/>
      </c>
      <c r="Q379" s="34">
        <f>IF(J379="","",IF(D379&lt;&gt;"",IF(COUNTIFS(VC_cle,J379,VC_type,"Visite sur place",VC_date,D379)&gt;0,"Visité",IF(D379&lt;TODAY(),"Non fait","À venir")),IF(B379="","",IF(COUNTIFS(VC_cle,J379,VC_type,"Visite sur place",VC_date,"&gt;="&amp;M379,VC_date,"&lt;"&amp;DATE(YEAR(M379),MONTH(M379)+1,1))&gt;0,"Visité","À visiter"))))</f>
        <v/>
      </c>
    </row>
    <row r="380" ht="18" customHeight="1">
      <c r="A380" s="39" t="n">
        <v>375</v>
      </c>
      <c r="B380" s="49" t="n"/>
      <c r="C380" s="43" t="n"/>
      <c r="D380" s="32" t="n"/>
      <c r="E380" s="36" t="n"/>
      <c r="F380" s="36" t="n"/>
      <c r="G380" s="36" t="n"/>
      <c r="H380" s="33">
        <f>IF(E380="","",Commercial_Id)</f>
        <v/>
      </c>
      <c r="I380" s="39">
        <f>IF(E380="","",IFERROR(VALUE(MID(E380,LEN(E380)-3,3)),""))</f>
        <v/>
      </c>
      <c r="J380" s="33">
        <f>IF(I380="","",H380&amp;"|"&amp;I380)</f>
        <v/>
      </c>
      <c r="K380" s="33">
        <f>IF(I380="","",IF(H380="À RENSEIGNER","GIC",H380)&amp;"-"&amp;TEXT(I380,"000"))</f>
        <v/>
      </c>
      <c r="L380" s="33">
        <f>IF(J380="","",IFERROR(INDEX(Cl_nom,MATCH(J380,Cl_cle,0)),"(client introuvable)"))</f>
        <v/>
      </c>
      <c r="M380" s="46">
        <f>IF(B380="","",DATE(YEAR(B380),MONTH(B380),1))</f>
        <v/>
      </c>
      <c r="N380" s="33">
        <f>IF(J380="","",IFERROR(INDEX(Cl_quartier,MATCH(J380,Cl_cle,0))&amp;"",""))</f>
        <v/>
      </c>
      <c r="O380" s="33">
        <f>IF(J380="","",IFERROR(INDEX(Cl_tel,MATCH(J380,Cl_cle,0))&amp;"",""))</f>
        <v/>
      </c>
      <c r="P380" s="34">
        <f>IF(J380="","",IFERROR(INDEX(Cl_potentiel,MATCH(J380,Cl_cle,0)),""))</f>
        <v/>
      </c>
      <c r="Q380" s="34">
        <f>IF(J380="","",IF(D380&lt;&gt;"",IF(COUNTIFS(VC_cle,J380,VC_type,"Visite sur place",VC_date,D380)&gt;0,"Visité",IF(D380&lt;TODAY(),"Non fait","À venir")),IF(B380="","",IF(COUNTIFS(VC_cle,J380,VC_type,"Visite sur place",VC_date,"&gt;="&amp;M380,VC_date,"&lt;"&amp;DATE(YEAR(M380),MONTH(M380)+1,1))&gt;0,"Visité","À visiter"))))</f>
        <v/>
      </c>
    </row>
    <row r="381" ht="18" customHeight="1">
      <c r="A381" s="39" t="n">
        <v>376</v>
      </c>
      <c r="B381" s="49" t="n"/>
      <c r="C381" s="43" t="n"/>
      <c r="D381" s="32" t="n"/>
      <c r="E381" s="36" t="n"/>
      <c r="F381" s="36" t="n"/>
      <c r="G381" s="36" t="n"/>
      <c r="H381" s="33">
        <f>IF(E381="","",Commercial_Id)</f>
        <v/>
      </c>
      <c r="I381" s="39">
        <f>IF(E381="","",IFERROR(VALUE(MID(E381,LEN(E381)-3,3)),""))</f>
        <v/>
      </c>
      <c r="J381" s="33">
        <f>IF(I381="","",H381&amp;"|"&amp;I381)</f>
        <v/>
      </c>
      <c r="K381" s="33">
        <f>IF(I381="","",IF(H381="À RENSEIGNER","GIC",H381)&amp;"-"&amp;TEXT(I381,"000"))</f>
        <v/>
      </c>
      <c r="L381" s="33">
        <f>IF(J381="","",IFERROR(INDEX(Cl_nom,MATCH(J381,Cl_cle,0)),"(client introuvable)"))</f>
        <v/>
      </c>
      <c r="M381" s="46">
        <f>IF(B381="","",DATE(YEAR(B381),MONTH(B381),1))</f>
        <v/>
      </c>
      <c r="N381" s="33">
        <f>IF(J381="","",IFERROR(INDEX(Cl_quartier,MATCH(J381,Cl_cle,0))&amp;"",""))</f>
        <v/>
      </c>
      <c r="O381" s="33">
        <f>IF(J381="","",IFERROR(INDEX(Cl_tel,MATCH(J381,Cl_cle,0))&amp;"",""))</f>
        <v/>
      </c>
      <c r="P381" s="34">
        <f>IF(J381="","",IFERROR(INDEX(Cl_potentiel,MATCH(J381,Cl_cle,0)),""))</f>
        <v/>
      </c>
      <c r="Q381" s="34">
        <f>IF(J381="","",IF(D381&lt;&gt;"",IF(COUNTIFS(VC_cle,J381,VC_type,"Visite sur place",VC_date,D381)&gt;0,"Visité",IF(D381&lt;TODAY(),"Non fait","À venir")),IF(B381="","",IF(COUNTIFS(VC_cle,J381,VC_type,"Visite sur place",VC_date,"&gt;="&amp;M381,VC_date,"&lt;"&amp;DATE(YEAR(M381),MONTH(M381)+1,1))&gt;0,"Visité","À visiter"))))</f>
        <v/>
      </c>
    </row>
    <row r="382" ht="18" customHeight="1">
      <c r="A382" s="39" t="n">
        <v>377</v>
      </c>
      <c r="B382" s="49" t="n"/>
      <c r="C382" s="43" t="n"/>
      <c r="D382" s="32" t="n"/>
      <c r="E382" s="36" t="n"/>
      <c r="F382" s="36" t="n"/>
      <c r="G382" s="36" t="n"/>
      <c r="H382" s="33">
        <f>IF(E382="","",Commercial_Id)</f>
        <v/>
      </c>
      <c r="I382" s="39">
        <f>IF(E382="","",IFERROR(VALUE(MID(E382,LEN(E382)-3,3)),""))</f>
        <v/>
      </c>
      <c r="J382" s="33">
        <f>IF(I382="","",H382&amp;"|"&amp;I382)</f>
        <v/>
      </c>
      <c r="K382" s="33">
        <f>IF(I382="","",IF(H382="À RENSEIGNER","GIC",H382)&amp;"-"&amp;TEXT(I382,"000"))</f>
        <v/>
      </c>
      <c r="L382" s="33">
        <f>IF(J382="","",IFERROR(INDEX(Cl_nom,MATCH(J382,Cl_cle,0)),"(client introuvable)"))</f>
        <v/>
      </c>
      <c r="M382" s="46">
        <f>IF(B382="","",DATE(YEAR(B382),MONTH(B382),1))</f>
        <v/>
      </c>
      <c r="N382" s="33">
        <f>IF(J382="","",IFERROR(INDEX(Cl_quartier,MATCH(J382,Cl_cle,0))&amp;"",""))</f>
        <v/>
      </c>
      <c r="O382" s="33">
        <f>IF(J382="","",IFERROR(INDEX(Cl_tel,MATCH(J382,Cl_cle,0))&amp;"",""))</f>
        <v/>
      </c>
      <c r="P382" s="34">
        <f>IF(J382="","",IFERROR(INDEX(Cl_potentiel,MATCH(J382,Cl_cle,0)),""))</f>
        <v/>
      </c>
      <c r="Q382" s="34">
        <f>IF(J382="","",IF(D382&lt;&gt;"",IF(COUNTIFS(VC_cle,J382,VC_type,"Visite sur place",VC_date,D382)&gt;0,"Visité",IF(D382&lt;TODAY(),"Non fait","À venir")),IF(B382="","",IF(COUNTIFS(VC_cle,J382,VC_type,"Visite sur place",VC_date,"&gt;="&amp;M382,VC_date,"&lt;"&amp;DATE(YEAR(M382),MONTH(M382)+1,1))&gt;0,"Visité","À visiter"))))</f>
        <v/>
      </c>
    </row>
    <row r="383" ht="18" customHeight="1">
      <c r="A383" s="39" t="n">
        <v>378</v>
      </c>
      <c r="B383" s="49" t="n"/>
      <c r="C383" s="43" t="n"/>
      <c r="D383" s="32" t="n"/>
      <c r="E383" s="36" t="n"/>
      <c r="F383" s="36" t="n"/>
      <c r="G383" s="36" t="n"/>
      <c r="H383" s="33">
        <f>IF(E383="","",Commercial_Id)</f>
        <v/>
      </c>
      <c r="I383" s="39">
        <f>IF(E383="","",IFERROR(VALUE(MID(E383,LEN(E383)-3,3)),""))</f>
        <v/>
      </c>
      <c r="J383" s="33">
        <f>IF(I383="","",H383&amp;"|"&amp;I383)</f>
        <v/>
      </c>
      <c r="K383" s="33">
        <f>IF(I383="","",IF(H383="À RENSEIGNER","GIC",H383)&amp;"-"&amp;TEXT(I383,"000"))</f>
        <v/>
      </c>
      <c r="L383" s="33">
        <f>IF(J383="","",IFERROR(INDEX(Cl_nom,MATCH(J383,Cl_cle,0)),"(client introuvable)"))</f>
        <v/>
      </c>
      <c r="M383" s="46">
        <f>IF(B383="","",DATE(YEAR(B383),MONTH(B383),1))</f>
        <v/>
      </c>
      <c r="N383" s="33">
        <f>IF(J383="","",IFERROR(INDEX(Cl_quartier,MATCH(J383,Cl_cle,0))&amp;"",""))</f>
        <v/>
      </c>
      <c r="O383" s="33">
        <f>IF(J383="","",IFERROR(INDEX(Cl_tel,MATCH(J383,Cl_cle,0))&amp;"",""))</f>
        <v/>
      </c>
      <c r="P383" s="34">
        <f>IF(J383="","",IFERROR(INDEX(Cl_potentiel,MATCH(J383,Cl_cle,0)),""))</f>
        <v/>
      </c>
      <c r="Q383" s="34">
        <f>IF(J383="","",IF(D383&lt;&gt;"",IF(COUNTIFS(VC_cle,J383,VC_type,"Visite sur place",VC_date,D383)&gt;0,"Visité",IF(D383&lt;TODAY(),"Non fait","À venir")),IF(B383="","",IF(COUNTIFS(VC_cle,J383,VC_type,"Visite sur place",VC_date,"&gt;="&amp;M383,VC_date,"&lt;"&amp;DATE(YEAR(M383),MONTH(M383)+1,1))&gt;0,"Visité","À visiter"))))</f>
        <v/>
      </c>
    </row>
    <row r="384" ht="18" customHeight="1">
      <c r="A384" s="39" t="n">
        <v>379</v>
      </c>
      <c r="B384" s="49" t="n"/>
      <c r="C384" s="43" t="n"/>
      <c r="D384" s="32" t="n"/>
      <c r="E384" s="36" t="n"/>
      <c r="F384" s="36" t="n"/>
      <c r="G384" s="36" t="n"/>
      <c r="H384" s="33">
        <f>IF(E384="","",Commercial_Id)</f>
        <v/>
      </c>
      <c r="I384" s="39">
        <f>IF(E384="","",IFERROR(VALUE(MID(E384,LEN(E384)-3,3)),""))</f>
        <v/>
      </c>
      <c r="J384" s="33">
        <f>IF(I384="","",H384&amp;"|"&amp;I384)</f>
        <v/>
      </c>
      <c r="K384" s="33">
        <f>IF(I384="","",IF(H384="À RENSEIGNER","GIC",H384)&amp;"-"&amp;TEXT(I384,"000"))</f>
        <v/>
      </c>
      <c r="L384" s="33">
        <f>IF(J384="","",IFERROR(INDEX(Cl_nom,MATCH(J384,Cl_cle,0)),"(client introuvable)"))</f>
        <v/>
      </c>
      <c r="M384" s="46">
        <f>IF(B384="","",DATE(YEAR(B384),MONTH(B384),1))</f>
        <v/>
      </c>
      <c r="N384" s="33">
        <f>IF(J384="","",IFERROR(INDEX(Cl_quartier,MATCH(J384,Cl_cle,0))&amp;"",""))</f>
        <v/>
      </c>
      <c r="O384" s="33">
        <f>IF(J384="","",IFERROR(INDEX(Cl_tel,MATCH(J384,Cl_cle,0))&amp;"",""))</f>
        <v/>
      </c>
      <c r="P384" s="34">
        <f>IF(J384="","",IFERROR(INDEX(Cl_potentiel,MATCH(J384,Cl_cle,0)),""))</f>
        <v/>
      </c>
      <c r="Q384" s="34">
        <f>IF(J384="","",IF(D384&lt;&gt;"",IF(COUNTIFS(VC_cle,J384,VC_type,"Visite sur place",VC_date,D384)&gt;0,"Visité",IF(D384&lt;TODAY(),"Non fait","À venir")),IF(B384="","",IF(COUNTIFS(VC_cle,J384,VC_type,"Visite sur place",VC_date,"&gt;="&amp;M384,VC_date,"&lt;"&amp;DATE(YEAR(M384),MONTH(M384)+1,1))&gt;0,"Visité","À visiter"))))</f>
        <v/>
      </c>
    </row>
    <row r="385" ht="18" customHeight="1">
      <c r="A385" s="39" t="n">
        <v>380</v>
      </c>
      <c r="B385" s="49" t="n"/>
      <c r="C385" s="43" t="n"/>
      <c r="D385" s="32" t="n"/>
      <c r="E385" s="36" t="n"/>
      <c r="F385" s="36" t="n"/>
      <c r="G385" s="36" t="n"/>
      <c r="H385" s="33">
        <f>IF(E385="","",Commercial_Id)</f>
        <v/>
      </c>
      <c r="I385" s="39">
        <f>IF(E385="","",IFERROR(VALUE(MID(E385,LEN(E385)-3,3)),""))</f>
        <v/>
      </c>
      <c r="J385" s="33">
        <f>IF(I385="","",H385&amp;"|"&amp;I385)</f>
        <v/>
      </c>
      <c r="K385" s="33">
        <f>IF(I385="","",IF(H385="À RENSEIGNER","GIC",H385)&amp;"-"&amp;TEXT(I385,"000"))</f>
        <v/>
      </c>
      <c r="L385" s="33">
        <f>IF(J385="","",IFERROR(INDEX(Cl_nom,MATCH(J385,Cl_cle,0)),"(client introuvable)"))</f>
        <v/>
      </c>
      <c r="M385" s="46">
        <f>IF(B385="","",DATE(YEAR(B385),MONTH(B385),1))</f>
        <v/>
      </c>
      <c r="N385" s="33">
        <f>IF(J385="","",IFERROR(INDEX(Cl_quartier,MATCH(J385,Cl_cle,0))&amp;"",""))</f>
        <v/>
      </c>
      <c r="O385" s="33">
        <f>IF(J385="","",IFERROR(INDEX(Cl_tel,MATCH(J385,Cl_cle,0))&amp;"",""))</f>
        <v/>
      </c>
      <c r="P385" s="34">
        <f>IF(J385="","",IFERROR(INDEX(Cl_potentiel,MATCH(J385,Cl_cle,0)),""))</f>
        <v/>
      </c>
      <c r="Q385" s="34">
        <f>IF(J385="","",IF(D385&lt;&gt;"",IF(COUNTIFS(VC_cle,J385,VC_type,"Visite sur place",VC_date,D385)&gt;0,"Visité",IF(D385&lt;TODAY(),"Non fait","À venir")),IF(B385="","",IF(COUNTIFS(VC_cle,J385,VC_type,"Visite sur place",VC_date,"&gt;="&amp;M385,VC_date,"&lt;"&amp;DATE(YEAR(M385),MONTH(M385)+1,1))&gt;0,"Visité","À visiter"))))</f>
        <v/>
      </c>
    </row>
    <row r="386" ht="18" customHeight="1">
      <c r="A386" s="39" t="n">
        <v>381</v>
      </c>
      <c r="B386" s="49" t="n"/>
      <c r="C386" s="43" t="n"/>
      <c r="D386" s="32" t="n"/>
      <c r="E386" s="36" t="n"/>
      <c r="F386" s="36" t="n"/>
      <c r="G386" s="36" t="n"/>
      <c r="H386" s="33">
        <f>IF(E386="","",Commercial_Id)</f>
        <v/>
      </c>
      <c r="I386" s="39">
        <f>IF(E386="","",IFERROR(VALUE(MID(E386,LEN(E386)-3,3)),""))</f>
        <v/>
      </c>
      <c r="J386" s="33">
        <f>IF(I386="","",H386&amp;"|"&amp;I386)</f>
        <v/>
      </c>
      <c r="K386" s="33">
        <f>IF(I386="","",IF(H386="À RENSEIGNER","GIC",H386)&amp;"-"&amp;TEXT(I386,"000"))</f>
        <v/>
      </c>
      <c r="L386" s="33">
        <f>IF(J386="","",IFERROR(INDEX(Cl_nom,MATCH(J386,Cl_cle,0)),"(client introuvable)"))</f>
        <v/>
      </c>
      <c r="M386" s="46">
        <f>IF(B386="","",DATE(YEAR(B386),MONTH(B386),1))</f>
        <v/>
      </c>
      <c r="N386" s="33">
        <f>IF(J386="","",IFERROR(INDEX(Cl_quartier,MATCH(J386,Cl_cle,0))&amp;"",""))</f>
        <v/>
      </c>
      <c r="O386" s="33">
        <f>IF(J386="","",IFERROR(INDEX(Cl_tel,MATCH(J386,Cl_cle,0))&amp;"",""))</f>
        <v/>
      </c>
      <c r="P386" s="34">
        <f>IF(J386="","",IFERROR(INDEX(Cl_potentiel,MATCH(J386,Cl_cle,0)),""))</f>
        <v/>
      </c>
      <c r="Q386" s="34">
        <f>IF(J386="","",IF(D386&lt;&gt;"",IF(COUNTIFS(VC_cle,J386,VC_type,"Visite sur place",VC_date,D386)&gt;0,"Visité",IF(D386&lt;TODAY(),"Non fait","À venir")),IF(B386="","",IF(COUNTIFS(VC_cle,J386,VC_type,"Visite sur place",VC_date,"&gt;="&amp;M386,VC_date,"&lt;"&amp;DATE(YEAR(M386),MONTH(M386)+1,1))&gt;0,"Visité","À visiter"))))</f>
        <v/>
      </c>
    </row>
    <row r="387" ht="18" customHeight="1">
      <c r="A387" s="39" t="n">
        <v>382</v>
      </c>
      <c r="B387" s="49" t="n"/>
      <c r="C387" s="43" t="n"/>
      <c r="D387" s="32" t="n"/>
      <c r="E387" s="36" t="n"/>
      <c r="F387" s="36" t="n"/>
      <c r="G387" s="36" t="n"/>
      <c r="H387" s="33">
        <f>IF(E387="","",Commercial_Id)</f>
        <v/>
      </c>
      <c r="I387" s="39">
        <f>IF(E387="","",IFERROR(VALUE(MID(E387,LEN(E387)-3,3)),""))</f>
        <v/>
      </c>
      <c r="J387" s="33">
        <f>IF(I387="","",H387&amp;"|"&amp;I387)</f>
        <v/>
      </c>
      <c r="K387" s="33">
        <f>IF(I387="","",IF(H387="À RENSEIGNER","GIC",H387)&amp;"-"&amp;TEXT(I387,"000"))</f>
        <v/>
      </c>
      <c r="L387" s="33">
        <f>IF(J387="","",IFERROR(INDEX(Cl_nom,MATCH(J387,Cl_cle,0)),"(client introuvable)"))</f>
        <v/>
      </c>
      <c r="M387" s="46">
        <f>IF(B387="","",DATE(YEAR(B387),MONTH(B387),1))</f>
        <v/>
      </c>
      <c r="N387" s="33">
        <f>IF(J387="","",IFERROR(INDEX(Cl_quartier,MATCH(J387,Cl_cle,0))&amp;"",""))</f>
        <v/>
      </c>
      <c r="O387" s="33">
        <f>IF(J387="","",IFERROR(INDEX(Cl_tel,MATCH(J387,Cl_cle,0))&amp;"",""))</f>
        <v/>
      </c>
      <c r="P387" s="34">
        <f>IF(J387="","",IFERROR(INDEX(Cl_potentiel,MATCH(J387,Cl_cle,0)),""))</f>
        <v/>
      </c>
      <c r="Q387" s="34">
        <f>IF(J387="","",IF(D387&lt;&gt;"",IF(COUNTIFS(VC_cle,J387,VC_type,"Visite sur place",VC_date,D387)&gt;0,"Visité",IF(D387&lt;TODAY(),"Non fait","À venir")),IF(B387="","",IF(COUNTIFS(VC_cle,J387,VC_type,"Visite sur place",VC_date,"&gt;="&amp;M387,VC_date,"&lt;"&amp;DATE(YEAR(M387),MONTH(M387)+1,1))&gt;0,"Visité","À visiter"))))</f>
        <v/>
      </c>
    </row>
    <row r="388" ht="18" customHeight="1">
      <c r="A388" s="39" t="n">
        <v>383</v>
      </c>
      <c r="B388" s="49" t="n"/>
      <c r="C388" s="43" t="n"/>
      <c r="D388" s="32" t="n"/>
      <c r="E388" s="36" t="n"/>
      <c r="F388" s="36" t="n"/>
      <c r="G388" s="36" t="n"/>
      <c r="H388" s="33">
        <f>IF(E388="","",Commercial_Id)</f>
        <v/>
      </c>
      <c r="I388" s="39">
        <f>IF(E388="","",IFERROR(VALUE(MID(E388,LEN(E388)-3,3)),""))</f>
        <v/>
      </c>
      <c r="J388" s="33">
        <f>IF(I388="","",H388&amp;"|"&amp;I388)</f>
        <v/>
      </c>
      <c r="K388" s="33">
        <f>IF(I388="","",IF(H388="À RENSEIGNER","GIC",H388)&amp;"-"&amp;TEXT(I388,"000"))</f>
        <v/>
      </c>
      <c r="L388" s="33">
        <f>IF(J388="","",IFERROR(INDEX(Cl_nom,MATCH(J388,Cl_cle,0)),"(client introuvable)"))</f>
        <v/>
      </c>
      <c r="M388" s="46">
        <f>IF(B388="","",DATE(YEAR(B388),MONTH(B388),1))</f>
        <v/>
      </c>
      <c r="N388" s="33">
        <f>IF(J388="","",IFERROR(INDEX(Cl_quartier,MATCH(J388,Cl_cle,0))&amp;"",""))</f>
        <v/>
      </c>
      <c r="O388" s="33">
        <f>IF(J388="","",IFERROR(INDEX(Cl_tel,MATCH(J388,Cl_cle,0))&amp;"",""))</f>
        <v/>
      </c>
      <c r="P388" s="34">
        <f>IF(J388="","",IFERROR(INDEX(Cl_potentiel,MATCH(J388,Cl_cle,0)),""))</f>
        <v/>
      </c>
      <c r="Q388" s="34">
        <f>IF(J388="","",IF(D388&lt;&gt;"",IF(COUNTIFS(VC_cle,J388,VC_type,"Visite sur place",VC_date,D388)&gt;0,"Visité",IF(D388&lt;TODAY(),"Non fait","À venir")),IF(B388="","",IF(COUNTIFS(VC_cle,J388,VC_type,"Visite sur place",VC_date,"&gt;="&amp;M388,VC_date,"&lt;"&amp;DATE(YEAR(M388),MONTH(M388)+1,1))&gt;0,"Visité","À visiter"))))</f>
        <v/>
      </c>
    </row>
    <row r="389" ht="18" customHeight="1">
      <c r="A389" s="39" t="n">
        <v>384</v>
      </c>
      <c r="B389" s="49" t="n"/>
      <c r="C389" s="43" t="n"/>
      <c r="D389" s="32" t="n"/>
      <c r="E389" s="36" t="n"/>
      <c r="F389" s="36" t="n"/>
      <c r="G389" s="36" t="n"/>
      <c r="H389" s="33">
        <f>IF(E389="","",Commercial_Id)</f>
        <v/>
      </c>
      <c r="I389" s="39">
        <f>IF(E389="","",IFERROR(VALUE(MID(E389,LEN(E389)-3,3)),""))</f>
        <v/>
      </c>
      <c r="J389" s="33">
        <f>IF(I389="","",H389&amp;"|"&amp;I389)</f>
        <v/>
      </c>
      <c r="K389" s="33">
        <f>IF(I389="","",IF(H389="À RENSEIGNER","GIC",H389)&amp;"-"&amp;TEXT(I389,"000"))</f>
        <v/>
      </c>
      <c r="L389" s="33">
        <f>IF(J389="","",IFERROR(INDEX(Cl_nom,MATCH(J389,Cl_cle,0)),"(client introuvable)"))</f>
        <v/>
      </c>
      <c r="M389" s="46">
        <f>IF(B389="","",DATE(YEAR(B389),MONTH(B389),1))</f>
        <v/>
      </c>
      <c r="N389" s="33">
        <f>IF(J389="","",IFERROR(INDEX(Cl_quartier,MATCH(J389,Cl_cle,0))&amp;"",""))</f>
        <v/>
      </c>
      <c r="O389" s="33">
        <f>IF(J389="","",IFERROR(INDEX(Cl_tel,MATCH(J389,Cl_cle,0))&amp;"",""))</f>
        <v/>
      </c>
      <c r="P389" s="34">
        <f>IF(J389="","",IFERROR(INDEX(Cl_potentiel,MATCH(J389,Cl_cle,0)),""))</f>
        <v/>
      </c>
      <c r="Q389" s="34">
        <f>IF(J389="","",IF(D389&lt;&gt;"",IF(COUNTIFS(VC_cle,J389,VC_type,"Visite sur place",VC_date,D389)&gt;0,"Visité",IF(D389&lt;TODAY(),"Non fait","À venir")),IF(B389="","",IF(COUNTIFS(VC_cle,J389,VC_type,"Visite sur place",VC_date,"&gt;="&amp;M389,VC_date,"&lt;"&amp;DATE(YEAR(M389),MONTH(M389)+1,1))&gt;0,"Visité","À visiter"))))</f>
        <v/>
      </c>
    </row>
    <row r="390" ht="18" customHeight="1">
      <c r="A390" s="39" t="n">
        <v>385</v>
      </c>
      <c r="B390" s="49" t="n"/>
      <c r="C390" s="43" t="n"/>
      <c r="D390" s="32" t="n"/>
      <c r="E390" s="36" t="n"/>
      <c r="F390" s="36" t="n"/>
      <c r="G390" s="36" t="n"/>
      <c r="H390" s="33">
        <f>IF(E390="","",Commercial_Id)</f>
        <v/>
      </c>
      <c r="I390" s="39">
        <f>IF(E390="","",IFERROR(VALUE(MID(E390,LEN(E390)-3,3)),""))</f>
        <v/>
      </c>
      <c r="J390" s="33">
        <f>IF(I390="","",H390&amp;"|"&amp;I390)</f>
        <v/>
      </c>
      <c r="K390" s="33">
        <f>IF(I390="","",IF(H390="À RENSEIGNER","GIC",H390)&amp;"-"&amp;TEXT(I390,"000"))</f>
        <v/>
      </c>
      <c r="L390" s="33">
        <f>IF(J390="","",IFERROR(INDEX(Cl_nom,MATCH(J390,Cl_cle,0)),"(client introuvable)"))</f>
        <v/>
      </c>
      <c r="M390" s="46">
        <f>IF(B390="","",DATE(YEAR(B390),MONTH(B390),1))</f>
        <v/>
      </c>
      <c r="N390" s="33">
        <f>IF(J390="","",IFERROR(INDEX(Cl_quartier,MATCH(J390,Cl_cle,0))&amp;"",""))</f>
        <v/>
      </c>
      <c r="O390" s="33">
        <f>IF(J390="","",IFERROR(INDEX(Cl_tel,MATCH(J390,Cl_cle,0))&amp;"",""))</f>
        <v/>
      </c>
      <c r="P390" s="34">
        <f>IF(J390="","",IFERROR(INDEX(Cl_potentiel,MATCH(J390,Cl_cle,0)),""))</f>
        <v/>
      </c>
      <c r="Q390" s="34">
        <f>IF(J390="","",IF(D390&lt;&gt;"",IF(COUNTIFS(VC_cle,J390,VC_type,"Visite sur place",VC_date,D390)&gt;0,"Visité",IF(D390&lt;TODAY(),"Non fait","À venir")),IF(B390="","",IF(COUNTIFS(VC_cle,J390,VC_type,"Visite sur place",VC_date,"&gt;="&amp;M390,VC_date,"&lt;"&amp;DATE(YEAR(M390),MONTH(M390)+1,1))&gt;0,"Visité","À visiter"))))</f>
        <v/>
      </c>
    </row>
    <row r="391" ht="18" customHeight="1">
      <c r="A391" s="39" t="n">
        <v>386</v>
      </c>
      <c r="B391" s="49" t="n"/>
      <c r="C391" s="43" t="n"/>
      <c r="D391" s="32" t="n"/>
      <c r="E391" s="36" t="n"/>
      <c r="F391" s="36" t="n"/>
      <c r="G391" s="36" t="n"/>
      <c r="H391" s="33">
        <f>IF(E391="","",Commercial_Id)</f>
        <v/>
      </c>
      <c r="I391" s="39">
        <f>IF(E391="","",IFERROR(VALUE(MID(E391,LEN(E391)-3,3)),""))</f>
        <v/>
      </c>
      <c r="J391" s="33">
        <f>IF(I391="","",H391&amp;"|"&amp;I391)</f>
        <v/>
      </c>
      <c r="K391" s="33">
        <f>IF(I391="","",IF(H391="À RENSEIGNER","GIC",H391)&amp;"-"&amp;TEXT(I391,"000"))</f>
        <v/>
      </c>
      <c r="L391" s="33">
        <f>IF(J391="","",IFERROR(INDEX(Cl_nom,MATCH(J391,Cl_cle,0)),"(client introuvable)"))</f>
        <v/>
      </c>
      <c r="M391" s="46">
        <f>IF(B391="","",DATE(YEAR(B391),MONTH(B391),1))</f>
        <v/>
      </c>
      <c r="N391" s="33">
        <f>IF(J391="","",IFERROR(INDEX(Cl_quartier,MATCH(J391,Cl_cle,0))&amp;"",""))</f>
        <v/>
      </c>
      <c r="O391" s="33">
        <f>IF(J391="","",IFERROR(INDEX(Cl_tel,MATCH(J391,Cl_cle,0))&amp;"",""))</f>
        <v/>
      </c>
      <c r="P391" s="34">
        <f>IF(J391="","",IFERROR(INDEX(Cl_potentiel,MATCH(J391,Cl_cle,0)),""))</f>
        <v/>
      </c>
      <c r="Q391" s="34">
        <f>IF(J391="","",IF(D391&lt;&gt;"",IF(COUNTIFS(VC_cle,J391,VC_type,"Visite sur place",VC_date,D391)&gt;0,"Visité",IF(D391&lt;TODAY(),"Non fait","À venir")),IF(B391="","",IF(COUNTIFS(VC_cle,J391,VC_type,"Visite sur place",VC_date,"&gt;="&amp;M391,VC_date,"&lt;"&amp;DATE(YEAR(M391),MONTH(M391)+1,1))&gt;0,"Visité","À visiter"))))</f>
        <v/>
      </c>
    </row>
    <row r="392" ht="18" customHeight="1">
      <c r="A392" s="39" t="n">
        <v>387</v>
      </c>
      <c r="B392" s="49" t="n"/>
      <c r="C392" s="43" t="n"/>
      <c r="D392" s="32" t="n"/>
      <c r="E392" s="36" t="n"/>
      <c r="F392" s="36" t="n"/>
      <c r="G392" s="36" t="n"/>
      <c r="H392" s="33">
        <f>IF(E392="","",Commercial_Id)</f>
        <v/>
      </c>
      <c r="I392" s="39">
        <f>IF(E392="","",IFERROR(VALUE(MID(E392,LEN(E392)-3,3)),""))</f>
        <v/>
      </c>
      <c r="J392" s="33">
        <f>IF(I392="","",H392&amp;"|"&amp;I392)</f>
        <v/>
      </c>
      <c r="K392" s="33">
        <f>IF(I392="","",IF(H392="À RENSEIGNER","GIC",H392)&amp;"-"&amp;TEXT(I392,"000"))</f>
        <v/>
      </c>
      <c r="L392" s="33">
        <f>IF(J392="","",IFERROR(INDEX(Cl_nom,MATCH(J392,Cl_cle,0)),"(client introuvable)"))</f>
        <v/>
      </c>
      <c r="M392" s="46">
        <f>IF(B392="","",DATE(YEAR(B392),MONTH(B392),1))</f>
        <v/>
      </c>
      <c r="N392" s="33">
        <f>IF(J392="","",IFERROR(INDEX(Cl_quartier,MATCH(J392,Cl_cle,0))&amp;"",""))</f>
        <v/>
      </c>
      <c r="O392" s="33">
        <f>IF(J392="","",IFERROR(INDEX(Cl_tel,MATCH(J392,Cl_cle,0))&amp;"",""))</f>
        <v/>
      </c>
      <c r="P392" s="34">
        <f>IF(J392="","",IFERROR(INDEX(Cl_potentiel,MATCH(J392,Cl_cle,0)),""))</f>
        <v/>
      </c>
      <c r="Q392" s="34">
        <f>IF(J392="","",IF(D392&lt;&gt;"",IF(COUNTIFS(VC_cle,J392,VC_type,"Visite sur place",VC_date,D392)&gt;0,"Visité",IF(D392&lt;TODAY(),"Non fait","À venir")),IF(B392="","",IF(COUNTIFS(VC_cle,J392,VC_type,"Visite sur place",VC_date,"&gt;="&amp;M392,VC_date,"&lt;"&amp;DATE(YEAR(M392),MONTH(M392)+1,1))&gt;0,"Visité","À visiter"))))</f>
        <v/>
      </c>
    </row>
    <row r="393" ht="18" customHeight="1">
      <c r="A393" s="39" t="n">
        <v>388</v>
      </c>
      <c r="B393" s="49" t="n"/>
      <c r="C393" s="43" t="n"/>
      <c r="D393" s="32" t="n"/>
      <c r="E393" s="36" t="n"/>
      <c r="F393" s="36" t="n"/>
      <c r="G393" s="36" t="n"/>
      <c r="H393" s="33">
        <f>IF(E393="","",Commercial_Id)</f>
        <v/>
      </c>
      <c r="I393" s="39">
        <f>IF(E393="","",IFERROR(VALUE(MID(E393,LEN(E393)-3,3)),""))</f>
        <v/>
      </c>
      <c r="J393" s="33">
        <f>IF(I393="","",H393&amp;"|"&amp;I393)</f>
        <v/>
      </c>
      <c r="K393" s="33">
        <f>IF(I393="","",IF(H393="À RENSEIGNER","GIC",H393)&amp;"-"&amp;TEXT(I393,"000"))</f>
        <v/>
      </c>
      <c r="L393" s="33">
        <f>IF(J393="","",IFERROR(INDEX(Cl_nom,MATCH(J393,Cl_cle,0)),"(client introuvable)"))</f>
        <v/>
      </c>
      <c r="M393" s="46">
        <f>IF(B393="","",DATE(YEAR(B393),MONTH(B393),1))</f>
        <v/>
      </c>
      <c r="N393" s="33">
        <f>IF(J393="","",IFERROR(INDEX(Cl_quartier,MATCH(J393,Cl_cle,0))&amp;"",""))</f>
        <v/>
      </c>
      <c r="O393" s="33">
        <f>IF(J393="","",IFERROR(INDEX(Cl_tel,MATCH(J393,Cl_cle,0))&amp;"",""))</f>
        <v/>
      </c>
      <c r="P393" s="34">
        <f>IF(J393="","",IFERROR(INDEX(Cl_potentiel,MATCH(J393,Cl_cle,0)),""))</f>
        <v/>
      </c>
      <c r="Q393" s="34">
        <f>IF(J393="","",IF(D393&lt;&gt;"",IF(COUNTIFS(VC_cle,J393,VC_type,"Visite sur place",VC_date,D393)&gt;0,"Visité",IF(D393&lt;TODAY(),"Non fait","À venir")),IF(B393="","",IF(COUNTIFS(VC_cle,J393,VC_type,"Visite sur place",VC_date,"&gt;="&amp;M393,VC_date,"&lt;"&amp;DATE(YEAR(M393),MONTH(M393)+1,1))&gt;0,"Visité","À visiter"))))</f>
        <v/>
      </c>
    </row>
    <row r="394" ht="18" customHeight="1">
      <c r="A394" s="39" t="n">
        <v>389</v>
      </c>
      <c r="B394" s="49" t="n"/>
      <c r="C394" s="43" t="n"/>
      <c r="D394" s="32" t="n"/>
      <c r="E394" s="36" t="n"/>
      <c r="F394" s="36" t="n"/>
      <c r="G394" s="36" t="n"/>
      <c r="H394" s="33">
        <f>IF(E394="","",Commercial_Id)</f>
        <v/>
      </c>
      <c r="I394" s="39">
        <f>IF(E394="","",IFERROR(VALUE(MID(E394,LEN(E394)-3,3)),""))</f>
        <v/>
      </c>
      <c r="J394" s="33">
        <f>IF(I394="","",H394&amp;"|"&amp;I394)</f>
        <v/>
      </c>
      <c r="K394" s="33">
        <f>IF(I394="","",IF(H394="À RENSEIGNER","GIC",H394)&amp;"-"&amp;TEXT(I394,"000"))</f>
        <v/>
      </c>
      <c r="L394" s="33">
        <f>IF(J394="","",IFERROR(INDEX(Cl_nom,MATCH(J394,Cl_cle,0)),"(client introuvable)"))</f>
        <v/>
      </c>
      <c r="M394" s="46">
        <f>IF(B394="","",DATE(YEAR(B394),MONTH(B394),1))</f>
        <v/>
      </c>
      <c r="N394" s="33">
        <f>IF(J394="","",IFERROR(INDEX(Cl_quartier,MATCH(J394,Cl_cle,0))&amp;"",""))</f>
        <v/>
      </c>
      <c r="O394" s="33">
        <f>IF(J394="","",IFERROR(INDEX(Cl_tel,MATCH(J394,Cl_cle,0))&amp;"",""))</f>
        <v/>
      </c>
      <c r="P394" s="34">
        <f>IF(J394="","",IFERROR(INDEX(Cl_potentiel,MATCH(J394,Cl_cle,0)),""))</f>
        <v/>
      </c>
      <c r="Q394" s="34">
        <f>IF(J394="","",IF(D394&lt;&gt;"",IF(COUNTIFS(VC_cle,J394,VC_type,"Visite sur place",VC_date,D394)&gt;0,"Visité",IF(D394&lt;TODAY(),"Non fait","À venir")),IF(B394="","",IF(COUNTIFS(VC_cle,J394,VC_type,"Visite sur place",VC_date,"&gt;="&amp;M394,VC_date,"&lt;"&amp;DATE(YEAR(M394),MONTH(M394)+1,1))&gt;0,"Visité","À visiter"))))</f>
        <v/>
      </c>
    </row>
    <row r="395" ht="18" customHeight="1">
      <c r="A395" s="39" t="n">
        <v>390</v>
      </c>
      <c r="B395" s="49" t="n"/>
      <c r="C395" s="43" t="n"/>
      <c r="D395" s="32" t="n"/>
      <c r="E395" s="36" t="n"/>
      <c r="F395" s="36" t="n"/>
      <c r="G395" s="36" t="n"/>
      <c r="H395" s="33">
        <f>IF(E395="","",Commercial_Id)</f>
        <v/>
      </c>
      <c r="I395" s="39">
        <f>IF(E395="","",IFERROR(VALUE(MID(E395,LEN(E395)-3,3)),""))</f>
        <v/>
      </c>
      <c r="J395" s="33">
        <f>IF(I395="","",H395&amp;"|"&amp;I395)</f>
        <v/>
      </c>
      <c r="K395" s="33">
        <f>IF(I395="","",IF(H395="À RENSEIGNER","GIC",H395)&amp;"-"&amp;TEXT(I395,"000"))</f>
        <v/>
      </c>
      <c r="L395" s="33">
        <f>IF(J395="","",IFERROR(INDEX(Cl_nom,MATCH(J395,Cl_cle,0)),"(client introuvable)"))</f>
        <v/>
      </c>
      <c r="M395" s="46">
        <f>IF(B395="","",DATE(YEAR(B395),MONTH(B395),1))</f>
        <v/>
      </c>
      <c r="N395" s="33">
        <f>IF(J395="","",IFERROR(INDEX(Cl_quartier,MATCH(J395,Cl_cle,0))&amp;"",""))</f>
        <v/>
      </c>
      <c r="O395" s="33">
        <f>IF(J395="","",IFERROR(INDEX(Cl_tel,MATCH(J395,Cl_cle,0))&amp;"",""))</f>
        <v/>
      </c>
      <c r="P395" s="34">
        <f>IF(J395="","",IFERROR(INDEX(Cl_potentiel,MATCH(J395,Cl_cle,0)),""))</f>
        <v/>
      </c>
      <c r="Q395" s="34">
        <f>IF(J395="","",IF(D395&lt;&gt;"",IF(COUNTIFS(VC_cle,J395,VC_type,"Visite sur place",VC_date,D395)&gt;0,"Visité",IF(D395&lt;TODAY(),"Non fait","À venir")),IF(B395="","",IF(COUNTIFS(VC_cle,J395,VC_type,"Visite sur place",VC_date,"&gt;="&amp;M395,VC_date,"&lt;"&amp;DATE(YEAR(M395),MONTH(M395)+1,1))&gt;0,"Visité","À visiter"))))</f>
        <v/>
      </c>
    </row>
    <row r="396" ht="18" customHeight="1">
      <c r="A396" s="39" t="n">
        <v>391</v>
      </c>
      <c r="B396" s="49" t="n"/>
      <c r="C396" s="43" t="n"/>
      <c r="D396" s="32" t="n"/>
      <c r="E396" s="36" t="n"/>
      <c r="F396" s="36" t="n"/>
      <c r="G396" s="36" t="n"/>
      <c r="H396" s="33">
        <f>IF(E396="","",Commercial_Id)</f>
        <v/>
      </c>
      <c r="I396" s="39">
        <f>IF(E396="","",IFERROR(VALUE(MID(E396,LEN(E396)-3,3)),""))</f>
        <v/>
      </c>
      <c r="J396" s="33">
        <f>IF(I396="","",H396&amp;"|"&amp;I396)</f>
        <v/>
      </c>
      <c r="K396" s="33">
        <f>IF(I396="","",IF(H396="À RENSEIGNER","GIC",H396)&amp;"-"&amp;TEXT(I396,"000"))</f>
        <v/>
      </c>
      <c r="L396" s="33">
        <f>IF(J396="","",IFERROR(INDEX(Cl_nom,MATCH(J396,Cl_cle,0)),"(client introuvable)"))</f>
        <v/>
      </c>
      <c r="M396" s="46">
        <f>IF(B396="","",DATE(YEAR(B396),MONTH(B396),1))</f>
        <v/>
      </c>
      <c r="N396" s="33">
        <f>IF(J396="","",IFERROR(INDEX(Cl_quartier,MATCH(J396,Cl_cle,0))&amp;"",""))</f>
        <v/>
      </c>
      <c r="O396" s="33">
        <f>IF(J396="","",IFERROR(INDEX(Cl_tel,MATCH(J396,Cl_cle,0))&amp;"",""))</f>
        <v/>
      </c>
      <c r="P396" s="34">
        <f>IF(J396="","",IFERROR(INDEX(Cl_potentiel,MATCH(J396,Cl_cle,0)),""))</f>
        <v/>
      </c>
      <c r="Q396" s="34">
        <f>IF(J396="","",IF(D396&lt;&gt;"",IF(COUNTIFS(VC_cle,J396,VC_type,"Visite sur place",VC_date,D396)&gt;0,"Visité",IF(D396&lt;TODAY(),"Non fait","À venir")),IF(B396="","",IF(COUNTIFS(VC_cle,J396,VC_type,"Visite sur place",VC_date,"&gt;="&amp;M396,VC_date,"&lt;"&amp;DATE(YEAR(M396),MONTH(M396)+1,1))&gt;0,"Visité","À visiter"))))</f>
        <v/>
      </c>
    </row>
    <row r="397" ht="18" customHeight="1">
      <c r="A397" s="39" t="n">
        <v>392</v>
      </c>
      <c r="B397" s="49" t="n"/>
      <c r="C397" s="43" t="n"/>
      <c r="D397" s="32" t="n"/>
      <c r="E397" s="36" t="n"/>
      <c r="F397" s="36" t="n"/>
      <c r="G397" s="36" t="n"/>
      <c r="H397" s="33">
        <f>IF(E397="","",Commercial_Id)</f>
        <v/>
      </c>
      <c r="I397" s="39">
        <f>IF(E397="","",IFERROR(VALUE(MID(E397,LEN(E397)-3,3)),""))</f>
        <v/>
      </c>
      <c r="J397" s="33">
        <f>IF(I397="","",H397&amp;"|"&amp;I397)</f>
        <v/>
      </c>
      <c r="K397" s="33">
        <f>IF(I397="","",IF(H397="À RENSEIGNER","GIC",H397)&amp;"-"&amp;TEXT(I397,"000"))</f>
        <v/>
      </c>
      <c r="L397" s="33">
        <f>IF(J397="","",IFERROR(INDEX(Cl_nom,MATCH(J397,Cl_cle,0)),"(client introuvable)"))</f>
        <v/>
      </c>
      <c r="M397" s="46">
        <f>IF(B397="","",DATE(YEAR(B397),MONTH(B397),1))</f>
        <v/>
      </c>
      <c r="N397" s="33">
        <f>IF(J397="","",IFERROR(INDEX(Cl_quartier,MATCH(J397,Cl_cle,0))&amp;"",""))</f>
        <v/>
      </c>
      <c r="O397" s="33">
        <f>IF(J397="","",IFERROR(INDEX(Cl_tel,MATCH(J397,Cl_cle,0))&amp;"",""))</f>
        <v/>
      </c>
      <c r="P397" s="34">
        <f>IF(J397="","",IFERROR(INDEX(Cl_potentiel,MATCH(J397,Cl_cle,0)),""))</f>
        <v/>
      </c>
      <c r="Q397" s="34">
        <f>IF(J397="","",IF(D397&lt;&gt;"",IF(COUNTIFS(VC_cle,J397,VC_type,"Visite sur place",VC_date,D397)&gt;0,"Visité",IF(D397&lt;TODAY(),"Non fait","À venir")),IF(B397="","",IF(COUNTIFS(VC_cle,J397,VC_type,"Visite sur place",VC_date,"&gt;="&amp;M397,VC_date,"&lt;"&amp;DATE(YEAR(M397),MONTH(M397)+1,1))&gt;0,"Visité","À visiter"))))</f>
        <v/>
      </c>
    </row>
    <row r="398" ht="18" customHeight="1">
      <c r="A398" s="39" t="n">
        <v>393</v>
      </c>
      <c r="B398" s="49" t="n"/>
      <c r="C398" s="43" t="n"/>
      <c r="D398" s="32" t="n"/>
      <c r="E398" s="36" t="n"/>
      <c r="F398" s="36" t="n"/>
      <c r="G398" s="36" t="n"/>
      <c r="H398" s="33">
        <f>IF(E398="","",Commercial_Id)</f>
        <v/>
      </c>
      <c r="I398" s="39">
        <f>IF(E398="","",IFERROR(VALUE(MID(E398,LEN(E398)-3,3)),""))</f>
        <v/>
      </c>
      <c r="J398" s="33">
        <f>IF(I398="","",H398&amp;"|"&amp;I398)</f>
        <v/>
      </c>
      <c r="K398" s="33">
        <f>IF(I398="","",IF(H398="À RENSEIGNER","GIC",H398)&amp;"-"&amp;TEXT(I398,"000"))</f>
        <v/>
      </c>
      <c r="L398" s="33">
        <f>IF(J398="","",IFERROR(INDEX(Cl_nom,MATCH(J398,Cl_cle,0)),"(client introuvable)"))</f>
        <v/>
      </c>
      <c r="M398" s="46">
        <f>IF(B398="","",DATE(YEAR(B398),MONTH(B398),1))</f>
        <v/>
      </c>
      <c r="N398" s="33">
        <f>IF(J398="","",IFERROR(INDEX(Cl_quartier,MATCH(J398,Cl_cle,0))&amp;"",""))</f>
        <v/>
      </c>
      <c r="O398" s="33">
        <f>IF(J398="","",IFERROR(INDEX(Cl_tel,MATCH(J398,Cl_cle,0))&amp;"",""))</f>
        <v/>
      </c>
      <c r="P398" s="34">
        <f>IF(J398="","",IFERROR(INDEX(Cl_potentiel,MATCH(J398,Cl_cle,0)),""))</f>
        <v/>
      </c>
      <c r="Q398" s="34">
        <f>IF(J398="","",IF(D398&lt;&gt;"",IF(COUNTIFS(VC_cle,J398,VC_type,"Visite sur place",VC_date,D398)&gt;0,"Visité",IF(D398&lt;TODAY(),"Non fait","À venir")),IF(B398="","",IF(COUNTIFS(VC_cle,J398,VC_type,"Visite sur place",VC_date,"&gt;="&amp;M398,VC_date,"&lt;"&amp;DATE(YEAR(M398),MONTH(M398)+1,1))&gt;0,"Visité","À visiter"))))</f>
        <v/>
      </c>
    </row>
    <row r="399" ht="18" customHeight="1">
      <c r="A399" s="39" t="n">
        <v>394</v>
      </c>
      <c r="B399" s="49" t="n"/>
      <c r="C399" s="43" t="n"/>
      <c r="D399" s="32" t="n"/>
      <c r="E399" s="36" t="n"/>
      <c r="F399" s="36" t="n"/>
      <c r="G399" s="36" t="n"/>
      <c r="H399" s="33">
        <f>IF(E399="","",Commercial_Id)</f>
        <v/>
      </c>
      <c r="I399" s="39">
        <f>IF(E399="","",IFERROR(VALUE(MID(E399,LEN(E399)-3,3)),""))</f>
        <v/>
      </c>
      <c r="J399" s="33">
        <f>IF(I399="","",H399&amp;"|"&amp;I399)</f>
        <v/>
      </c>
      <c r="K399" s="33">
        <f>IF(I399="","",IF(H399="À RENSEIGNER","GIC",H399)&amp;"-"&amp;TEXT(I399,"000"))</f>
        <v/>
      </c>
      <c r="L399" s="33">
        <f>IF(J399="","",IFERROR(INDEX(Cl_nom,MATCH(J399,Cl_cle,0)),"(client introuvable)"))</f>
        <v/>
      </c>
      <c r="M399" s="46">
        <f>IF(B399="","",DATE(YEAR(B399),MONTH(B399),1))</f>
        <v/>
      </c>
      <c r="N399" s="33">
        <f>IF(J399="","",IFERROR(INDEX(Cl_quartier,MATCH(J399,Cl_cle,0))&amp;"",""))</f>
        <v/>
      </c>
      <c r="O399" s="33">
        <f>IF(J399="","",IFERROR(INDEX(Cl_tel,MATCH(J399,Cl_cle,0))&amp;"",""))</f>
        <v/>
      </c>
      <c r="P399" s="34">
        <f>IF(J399="","",IFERROR(INDEX(Cl_potentiel,MATCH(J399,Cl_cle,0)),""))</f>
        <v/>
      </c>
      <c r="Q399" s="34">
        <f>IF(J399="","",IF(D399&lt;&gt;"",IF(COUNTIFS(VC_cle,J399,VC_type,"Visite sur place",VC_date,D399)&gt;0,"Visité",IF(D399&lt;TODAY(),"Non fait","À venir")),IF(B399="","",IF(COUNTIFS(VC_cle,J399,VC_type,"Visite sur place",VC_date,"&gt;="&amp;M399,VC_date,"&lt;"&amp;DATE(YEAR(M399),MONTH(M399)+1,1))&gt;0,"Visité","À visiter"))))</f>
        <v/>
      </c>
    </row>
    <row r="400" ht="18" customHeight="1">
      <c r="A400" s="39" t="n">
        <v>395</v>
      </c>
      <c r="B400" s="49" t="n"/>
      <c r="C400" s="43" t="n"/>
      <c r="D400" s="32" t="n"/>
      <c r="E400" s="36" t="n"/>
      <c r="F400" s="36" t="n"/>
      <c r="G400" s="36" t="n"/>
      <c r="H400" s="33">
        <f>IF(E400="","",Commercial_Id)</f>
        <v/>
      </c>
      <c r="I400" s="39">
        <f>IF(E400="","",IFERROR(VALUE(MID(E400,LEN(E400)-3,3)),""))</f>
        <v/>
      </c>
      <c r="J400" s="33">
        <f>IF(I400="","",H400&amp;"|"&amp;I400)</f>
        <v/>
      </c>
      <c r="K400" s="33">
        <f>IF(I400="","",IF(H400="À RENSEIGNER","GIC",H400)&amp;"-"&amp;TEXT(I400,"000"))</f>
        <v/>
      </c>
      <c r="L400" s="33">
        <f>IF(J400="","",IFERROR(INDEX(Cl_nom,MATCH(J400,Cl_cle,0)),"(client introuvable)"))</f>
        <v/>
      </c>
      <c r="M400" s="46">
        <f>IF(B400="","",DATE(YEAR(B400),MONTH(B400),1))</f>
        <v/>
      </c>
      <c r="N400" s="33">
        <f>IF(J400="","",IFERROR(INDEX(Cl_quartier,MATCH(J400,Cl_cle,0))&amp;"",""))</f>
        <v/>
      </c>
      <c r="O400" s="33">
        <f>IF(J400="","",IFERROR(INDEX(Cl_tel,MATCH(J400,Cl_cle,0))&amp;"",""))</f>
        <v/>
      </c>
      <c r="P400" s="34">
        <f>IF(J400="","",IFERROR(INDEX(Cl_potentiel,MATCH(J400,Cl_cle,0)),""))</f>
        <v/>
      </c>
      <c r="Q400" s="34">
        <f>IF(J400="","",IF(D400&lt;&gt;"",IF(COUNTIFS(VC_cle,J400,VC_type,"Visite sur place",VC_date,D400)&gt;0,"Visité",IF(D400&lt;TODAY(),"Non fait","À venir")),IF(B400="","",IF(COUNTIFS(VC_cle,J400,VC_type,"Visite sur place",VC_date,"&gt;="&amp;M400,VC_date,"&lt;"&amp;DATE(YEAR(M400),MONTH(M400)+1,1))&gt;0,"Visité","À visiter"))))</f>
        <v/>
      </c>
    </row>
    <row r="401" ht="18" customHeight="1">
      <c r="A401" s="39" t="n">
        <v>396</v>
      </c>
      <c r="B401" s="49" t="n"/>
      <c r="C401" s="43" t="n"/>
      <c r="D401" s="32" t="n"/>
      <c r="E401" s="36" t="n"/>
      <c r="F401" s="36" t="n"/>
      <c r="G401" s="36" t="n"/>
      <c r="H401" s="33">
        <f>IF(E401="","",Commercial_Id)</f>
        <v/>
      </c>
      <c r="I401" s="39">
        <f>IF(E401="","",IFERROR(VALUE(MID(E401,LEN(E401)-3,3)),""))</f>
        <v/>
      </c>
      <c r="J401" s="33">
        <f>IF(I401="","",H401&amp;"|"&amp;I401)</f>
        <v/>
      </c>
      <c r="K401" s="33">
        <f>IF(I401="","",IF(H401="À RENSEIGNER","GIC",H401)&amp;"-"&amp;TEXT(I401,"000"))</f>
        <v/>
      </c>
      <c r="L401" s="33">
        <f>IF(J401="","",IFERROR(INDEX(Cl_nom,MATCH(J401,Cl_cle,0)),"(client introuvable)"))</f>
        <v/>
      </c>
      <c r="M401" s="46">
        <f>IF(B401="","",DATE(YEAR(B401),MONTH(B401),1))</f>
        <v/>
      </c>
      <c r="N401" s="33">
        <f>IF(J401="","",IFERROR(INDEX(Cl_quartier,MATCH(J401,Cl_cle,0))&amp;"",""))</f>
        <v/>
      </c>
      <c r="O401" s="33">
        <f>IF(J401="","",IFERROR(INDEX(Cl_tel,MATCH(J401,Cl_cle,0))&amp;"",""))</f>
        <v/>
      </c>
      <c r="P401" s="34">
        <f>IF(J401="","",IFERROR(INDEX(Cl_potentiel,MATCH(J401,Cl_cle,0)),""))</f>
        <v/>
      </c>
      <c r="Q401" s="34">
        <f>IF(J401="","",IF(D401&lt;&gt;"",IF(COUNTIFS(VC_cle,J401,VC_type,"Visite sur place",VC_date,D401)&gt;0,"Visité",IF(D401&lt;TODAY(),"Non fait","À venir")),IF(B401="","",IF(COUNTIFS(VC_cle,J401,VC_type,"Visite sur place",VC_date,"&gt;="&amp;M401,VC_date,"&lt;"&amp;DATE(YEAR(M401),MONTH(M401)+1,1))&gt;0,"Visité","À visiter"))))</f>
        <v/>
      </c>
    </row>
    <row r="402" ht="18" customHeight="1">
      <c r="A402" s="39" t="n">
        <v>397</v>
      </c>
      <c r="B402" s="49" t="n"/>
      <c r="C402" s="43" t="n"/>
      <c r="D402" s="32" t="n"/>
      <c r="E402" s="36" t="n"/>
      <c r="F402" s="36" t="n"/>
      <c r="G402" s="36" t="n"/>
      <c r="H402" s="33">
        <f>IF(E402="","",Commercial_Id)</f>
        <v/>
      </c>
      <c r="I402" s="39">
        <f>IF(E402="","",IFERROR(VALUE(MID(E402,LEN(E402)-3,3)),""))</f>
        <v/>
      </c>
      <c r="J402" s="33">
        <f>IF(I402="","",H402&amp;"|"&amp;I402)</f>
        <v/>
      </c>
      <c r="K402" s="33">
        <f>IF(I402="","",IF(H402="À RENSEIGNER","GIC",H402)&amp;"-"&amp;TEXT(I402,"000"))</f>
        <v/>
      </c>
      <c r="L402" s="33">
        <f>IF(J402="","",IFERROR(INDEX(Cl_nom,MATCH(J402,Cl_cle,0)),"(client introuvable)"))</f>
        <v/>
      </c>
      <c r="M402" s="46">
        <f>IF(B402="","",DATE(YEAR(B402),MONTH(B402),1))</f>
        <v/>
      </c>
      <c r="N402" s="33">
        <f>IF(J402="","",IFERROR(INDEX(Cl_quartier,MATCH(J402,Cl_cle,0))&amp;"",""))</f>
        <v/>
      </c>
      <c r="O402" s="33">
        <f>IF(J402="","",IFERROR(INDEX(Cl_tel,MATCH(J402,Cl_cle,0))&amp;"",""))</f>
        <v/>
      </c>
      <c r="P402" s="34">
        <f>IF(J402="","",IFERROR(INDEX(Cl_potentiel,MATCH(J402,Cl_cle,0)),""))</f>
        <v/>
      </c>
      <c r="Q402" s="34">
        <f>IF(J402="","",IF(D402&lt;&gt;"",IF(COUNTIFS(VC_cle,J402,VC_type,"Visite sur place",VC_date,D402)&gt;0,"Visité",IF(D402&lt;TODAY(),"Non fait","À venir")),IF(B402="","",IF(COUNTIFS(VC_cle,J402,VC_type,"Visite sur place",VC_date,"&gt;="&amp;M402,VC_date,"&lt;"&amp;DATE(YEAR(M402),MONTH(M402)+1,1))&gt;0,"Visité","À visiter"))))</f>
        <v/>
      </c>
    </row>
    <row r="403" ht="18" customHeight="1">
      <c r="A403" s="39" t="n">
        <v>398</v>
      </c>
      <c r="B403" s="49" t="n"/>
      <c r="C403" s="43" t="n"/>
      <c r="D403" s="32" t="n"/>
      <c r="E403" s="36" t="n"/>
      <c r="F403" s="36" t="n"/>
      <c r="G403" s="36" t="n"/>
      <c r="H403" s="33">
        <f>IF(E403="","",Commercial_Id)</f>
        <v/>
      </c>
      <c r="I403" s="39">
        <f>IF(E403="","",IFERROR(VALUE(MID(E403,LEN(E403)-3,3)),""))</f>
        <v/>
      </c>
      <c r="J403" s="33">
        <f>IF(I403="","",H403&amp;"|"&amp;I403)</f>
        <v/>
      </c>
      <c r="K403" s="33">
        <f>IF(I403="","",IF(H403="À RENSEIGNER","GIC",H403)&amp;"-"&amp;TEXT(I403,"000"))</f>
        <v/>
      </c>
      <c r="L403" s="33">
        <f>IF(J403="","",IFERROR(INDEX(Cl_nom,MATCH(J403,Cl_cle,0)),"(client introuvable)"))</f>
        <v/>
      </c>
      <c r="M403" s="46">
        <f>IF(B403="","",DATE(YEAR(B403),MONTH(B403),1))</f>
        <v/>
      </c>
      <c r="N403" s="33">
        <f>IF(J403="","",IFERROR(INDEX(Cl_quartier,MATCH(J403,Cl_cle,0))&amp;"",""))</f>
        <v/>
      </c>
      <c r="O403" s="33">
        <f>IF(J403="","",IFERROR(INDEX(Cl_tel,MATCH(J403,Cl_cle,0))&amp;"",""))</f>
        <v/>
      </c>
      <c r="P403" s="34">
        <f>IF(J403="","",IFERROR(INDEX(Cl_potentiel,MATCH(J403,Cl_cle,0)),""))</f>
        <v/>
      </c>
      <c r="Q403" s="34">
        <f>IF(J403="","",IF(D403&lt;&gt;"",IF(COUNTIFS(VC_cle,J403,VC_type,"Visite sur place",VC_date,D403)&gt;0,"Visité",IF(D403&lt;TODAY(),"Non fait","À venir")),IF(B403="","",IF(COUNTIFS(VC_cle,J403,VC_type,"Visite sur place",VC_date,"&gt;="&amp;M403,VC_date,"&lt;"&amp;DATE(YEAR(M403),MONTH(M403)+1,1))&gt;0,"Visité","À visiter"))))</f>
        <v/>
      </c>
    </row>
    <row r="404" ht="18" customHeight="1">
      <c r="A404" s="39" t="n">
        <v>399</v>
      </c>
      <c r="B404" s="49" t="n"/>
      <c r="C404" s="43" t="n"/>
      <c r="D404" s="32" t="n"/>
      <c r="E404" s="36" t="n"/>
      <c r="F404" s="36" t="n"/>
      <c r="G404" s="36" t="n"/>
      <c r="H404" s="33">
        <f>IF(E404="","",Commercial_Id)</f>
        <v/>
      </c>
      <c r="I404" s="39">
        <f>IF(E404="","",IFERROR(VALUE(MID(E404,LEN(E404)-3,3)),""))</f>
        <v/>
      </c>
      <c r="J404" s="33">
        <f>IF(I404="","",H404&amp;"|"&amp;I404)</f>
        <v/>
      </c>
      <c r="K404" s="33">
        <f>IF(I404="","",IF(H404="À RENSEIGNER","GIC",H404)&amp;"-"&amp;TEXT(I404,"000"))</f>
        <v/>
      </c>
      <c r="L404" s="33">
        <f>IF(J404="","",IFERROR(INDEX(Cl_nom,MATCH(J404,Cl_cle,0)),"(client introuvable)"))</f>
        <v/>
      </c>
      <c r="M404" s="46">
        <f>IF(B404="","",DATE(YEAR(B404),MONTH(B404),1))</f>
        <v/>
      </c>
      <c r="N404" s="33">
        <f>IF(J404="","",IFERROR(INDEX(Cl_quartier,MATCH(J404,Cl_cle,0))&amp;"",""))</f>
        <v/>
      </c>
      <c r="O404" s="33">
        <f>IF(J404="","",IFERROR(INDEX(Cl_tel,MATCH(J404,Cl_cle,0))&amp;"",""))</f>
        <v/>
      </c>
      <c r="P404" s="34">
        <f>IF(J404="","",IFERROR(INDEX(Cl_potentiel,MATCH(J404,Cl_cle,0)),""))</f>
        <v/>
      </c>
      <c r="Q404" s="34">
        <f>IF(J404="","",IF(D404&lt;&gt;"",IF(COUNTIFS(VC_cle,J404,VC_type,"Visite sur place",VC_date,D404)&gt;0,"Visité",IF(D404&lt;TODAY(),"Non fait","À venir")),IF(B404="","",IF(COUNTIFS(VC_cle,J404,VC_type,"Visite sur place",VC_date,"&gt;="&amp;M404,VC_date,"&lt;"&amp;DATE(YEAR(M404),MONTH(M404)+1,1))&gt;0,"Visité","À visiter"))))</f>
        <v/>
      </c>
    </row>
    <row r="405" ht="18" customHeight="1">
      <c r="A405" s="39" t="n">
        <v>400</v>
      </c>
      <c r="B405" s="49" t="n"/>
      <c r="C405" s="43" t="n"/>
      <c r="D405" s="32" t="n"/>
      <c r="E405" s="36" t="n"/>
      <c r="F405" s="36" t="n"/>
      <c r="G405" s="36" t="n"/>
      <c r="H405" s="33">
        <f>IF(E405="","",Commercial_Id)</f>
        <v/>
      </c>
      <c r="I405" s="39">
        <f>IF(E405="","",IFERROR(VALUE(MID(E405,LEN(E405)-3,3)),""))</f>
        <v/>
      </c>
      <c r="J405" s="33">
        <f>IF(I405="","",H405&amp;"|"&amp;I405)</f>
        <v/>
      </c>
      <c r="K405" s="33">
        <f>IF(I405="","",IF(H405="À RENSEIGNER","GIC",H405)&amp;"-"&amp;TEXT(I405,"000"))</f>
        <v/>
      </c>
      <c r="L405" s="33">
        <f>IF(J405="","",IFERROR(INDEX(Cl_nom,MATCH(J405,Cl_cle,0)),"(client introuvable)"))</f>
        <v/>
      </c>
      <c r="M405" s="46">
        <f>IF(B405="","",DATE(YEAR(B405),MONTH(B405),1))</f>
        <v/>
      </c>
      <c r="N405" s="33">
        <f>IF(J405="","",IFERROR(INDEX(Cl_quartier,MATCH(J405,Cl_cle,0))&amp;"",""))</f>
        <v/>
      </c>
      <c r="O405" s="33">
        <f>IF(J405="","",IFERROR(INDEX(Cl_tel,MATCH(J405,Cl_cle,0))&amp;"",""))</f>
        <v/>
      </c>
      <c r="P405" s="34">
        <f>IF(J405="","",IFERROR(INDEX(Cl_potentiel,MATCH(J405,Cl_cle,0)),""))</f>
        <v/>
      </c>
      <c r="Q405" s="34">
        <f>IF(J405="","",IF(D405&lt;&gt;"",IF(COUNTIFS(VC_cle,J405,VC_type,"Visite sur place",VC_date,D405)&gt;0,"Visité",IF(D405&lt;TODAY(),"Non fait","À venir")),IF(B405="","",IF(COUNTIFS(VC_cle,J405,VC_type,"Visite sur place",VC_date,"&gt;="&amp;M405,VC_date,"&lt;"&amp;DATE(YEAR(M405),MONTH(M405)+1,1))&gt;0,"Visité","À visiter"))))</f>
        <v/>
      </c>
    </row>
    <row r="406" ht="18" customHeight="1">
      <c r="A406" s="39" t="n">
        <v>401</v>
      </c>
      <c r="B406" s="49" t="n"/>
      <c r="C406" s="43" t="n"/>
      <c r="D406" s="32" t="n"/>
      <c r="E406" s="36" t="n"/>
      <c r="F406" s="36" t="n"/>
      <c r="G406" s="36" t="n"/>
      <c r="H406" s="33">
        <f>IF(E406="","",Commercial_Id)</f>
        <v/>
      </c>
      <c r="I406" s="39">
        <f>IF(E406="","",IFERROR(VALUE(MID(E406,LEN(E406)-3,3)),""))</f>
        <v/>
      </c>
      <c r="J406" s="33">
        <f>IF(I406="","",H406&amp;"|"&amp;I406)</f>
        <v/>
      </c>
      <c r="K406" s="33">
        <f>IF(I406="","",IF(H406="À RENSEIGNER","GIC",H406)&amp;"-"&amp;TEXT(I406,"000"))</f>
        <v/>
      </c>
      <c r="L406" s="33">
        <f>IF(J406="","",IFERROR(INDEX(Cl_nom,MATCH(J406,Cl_cle,0)),"(client introuvable)"))</f>
        <v/>
      </c>
      <c r="M406" s="46">
        <f>IF(B406="","",DATE(YEAR(B406),MONTH(B406),1))</f>
        <v/>
      </c>
      <c r="N406" s="33">
        <f>IF(J406="","",IFERROR(INDEX(Cl_quartier,MATCH(J406,Cl_cle,0))&amp;"",""))</f>
        <v/>
      </c>
      <c r="O406" s="33">
        <f>IF(J406="","",IFERROR(INDEX(Cl_tel,MATCH(J406,Cl_cle,0))&amp;"",""))</f>
        <v/>
      </c>
      <c r="P406" s="34">
        <f>IF(J406="","",IFERROR(INDEX(Cl_potentiel,MATCH(J406,Cl_cle,0)),""))</f>
        <v/>
      </c>
      <c r="Q406" s="34">
        <f>IF(J406="","",IF(D406&lt;&gt;"",IF(COUNTIFS(VC_cle,J406,VC_type,"Visite sur place",VC_date,D406)&gt;0,"Visité",IF(D406&lt;TODAY(),"Non fait","À venir")),IF(B406="","",IF(COUNTIFS(VC_cle,J406,VC_type,"Visite sur place",VC_date,"&gt;="&amp;M406,VC_date,"&lt;"&amp;DATE(YEAR(M406),MONTH(M406)+1,1))&gt;0,"Visité","À visiter"))))</f>
        <v/>
      </c>
    </row>
    <row r="407" ht="18" customHeight="1">
      <c r="A407" s="39" t="n">
        <v>402</v>
      </c>
      <c r="B407" s="49" t="n"/>
      <c r="C407" s="43" t="n"/>
      <c r="D407" s="32" t="n"/>
      <c r="E407" s="36" t="n"/>
      <c r="F407" s="36" t="n"/>
      <c r="G407" s="36" t="n"/>
      <c r="H407" s="33">
        <f>IF(E407="","",Commercial_Id)</f>
        <v/>
      </c>
      <c r="I407" s="39">
        <f>IF(E407="","",IFERROR(VALUE(MID(E407,LEN(E407)-3,3)),""))</f>
        <v/>
      </c>
      <c r="J407" s="33">
        <f>IF(I407="","",H407&amp;"|"&amp;I407)</f>
        <v/>
      </c>
      <c r="K407" s="33">
        <f>IF(I407="","",IF(H407="À RENSEIGNER","GIC",H407)&amp;"-"&amp;TEXT(I407,"000"))</f>
        <v/>
      </c>
      <c r="L407" s="33">
        <f>IF(J407="","",IFERROR(INDEX(Cl_nom,MATCH(J407,Cl_cle,0)),"(client introuvable)"))</f>
        <v/>
      </c>
      <c r="M407" s="46">
        <f>IF(B407="","",DATE(YEAR(B407),MONTH(B407),1))</f>
        <v/>
      </c>
      <c r="N407" s="33">
        <f>IF(J407="","",IFERROR(INDEX(Cl_quartier,MATCH(J407,Cl_cle,0))&amp;"",""))</f>
        <v/>
      </c>
      <c r="O407" s="33">
        <f>IF(J407="","",IFERROR(INDEX(Cl_tel,MATCH(J407,Cl_cle,0))&amp;"",""))</f>
        <v/>
      </c>
      <c r="P407" s="34">
        <f>IF(J407="","",IFERROR(INDEX(Cl_potentiel,MATCH(J407,Cl_cle,0)),""))</f>
        <v/>
      </c>
      <c r="Q407" s="34">
        <f>IF(J407="","",IF(D407&lt;&gt;"",IF(COUNTIFS(VC_cle,J407,VC_type,"Visite sur place",VC_date,D407)&gt;0,"Visité",IF(D407&lt;TODAY(),"Non fait","À venir")),IF(B407="","",IF(COUNTIFS(VC_cle,J407,VC_type,"Visite sur place",VC_date,"&gt;="&amp;M407,VC_date,"&lt;"&amp;DATE(YEAR(M407),MONTH(M407)+1,1))&gt;0,"Visité","À visiter"))))</f>
        <v/>
      </c>
    </row>
    <row r="408" ht="18" customHeight="1">
      <c r="A408" s="39" t="n">
        <v>403</v>
      </c>
      <c r="B408" s="49" t="n"/>
      <c r="C408" s="43" t="n"/>
      <c r="D408" s="32" t="n"/>
      <c r="E408" s="36" t="n"/>
      <c r="F408" s="36" t="n"/>
      <c r="G408" s="36" t="n"/>
      <c r="H408" s="33">
        <f>IF(E408="","",Commercial_Id)</f>
        <v/>
      </c>
      <c r="I408" s="39">
        <f>IF(E408="","",IFERROR(VALUE(MID(E408,LEN(E408)-3,3)),""))</f>
        <v/>
      </c>
      <c r="J408" s="33">
        <f>IF(I408="","",H408&amp;"|"&amp;I408)</f>
        <v/>
      </c>
      <c r="K408" s="33">
        <f>IF(I408="","",IF(H408="À RENSEIGNER","GIC",H408)&amp;"-"&amp;TEXT(I408,"000"))</f>
        <v/>
      </c>
      <c r="L408" s="33">
        <f>IF(J408="","",IFERROR(INDEX(Cl_nom,MATCH(J408,Cl_cle,0)),"(client introuvable)"))</f>
        <v/>
      </c>
      <c r="M408" s="46">
        <f>IF(B408="","",DATE(YEAR(B408),MONTH(B408),1))</f>
        <v/>
      </c>
      <c r="N408" s="33">
        <f>IF(J408="","",IFERROR(INDEX(Cl_quartier,MATCH(J408,Cl_cle,0))&amp;"",""))</f>
        <v/>
      </c>
      <c r="O408" s="33">
        <f>IF(J408="","",IFERROR(INDEX(Cl_tel,MATCH(J408,Cl_cle,0))&amp;"",""))</f>
        <v/>
      </c>
      <c r="P408" s="34">
        <f>IF(J408="","",IFERROR(INDEX(Cl_potentiel,MATCH(J408,Cl_cle,0)),""))</f>
        <v/>
      </c>
      <c r="Q408" s="34">
        <f>IF(J408="","",IF(D408&lt;&gt;"",IF(COUNTIFS(VC_cle,J408,VC_type,"Visite sur place",VC_date,D408)&gt;0,"Visité",IF(D408&lt;TODAY(),"Non fait","À venir")),IF(B408="","",IF(COUNTIFS(VC_cle,J408,VC_type,"Visite sur place",VC_date,"&gt;="&amp;M408,VC_date,"&lt;"&amp;DATE(YEAR(M408),MONTH(M408)+1,1))&gt;0,"Visité","À visiter"))))</f>
        <v/>
      </c>
    </row>
    <row r="409" ht="18" customHeight="1">
      <c r="A409" s="39" t="n">
        <v>404</v>
      </c>
      <c r="B409" s="49" t="n"/>
      <c r="C409" s="43" t="n"/>
      <c r="D409" s="32" t="n"/>
      <c r="E409" s="36" t="n"/>
      <c r="F409" s="36" t="n"/>
      <c r="G409" s="36" t="n"/>
      <c r="H409" s="33">
        <f>IF(E409="","",Commercial_Id)</f>
        <v/>
      </c>
      <c r="I409" s="39">
        <f>IF(E409="","",IFERROR(VALUE(MID(E409,LEN(E409)-3,3)),""))</f>
        <v/>
      </c>
      <c r="J409" s="33">
        <f>IF(I409="","",H409&amp;"|"&amp;I409)</f>
        <v/>
      </c>
      <c r="K409" s="33">
        <f>IF(I409="","",IF(H409="À RENSEIGNER","GIC",H409)&amp;"-"&amp;TEXT(I409,"000"))</f>
        <v/>
      </c>
      <c r="L409" s="33">
        <f>IF(J409="","",IFERROR(INDEX(Cl_nom,MATCH(J409,Cl_cle,0)),"(client introuvable)"))</f>
        <v/>
      </c>
      <c r="M409" s="46">
        <f>IF(B409="","",DATE(YEAR(B409),MONTH(B409),1))</f>
        <v/>
      </c>
      <c r="N409" s="33">
        <f>IF(J409="","",IFERROR(INDEX(Cl_quartier,MATCH(J409,Cl_cle,0))&amp;"",""))</f>
        <v/>
      </c>
      <c r="O409" s="33">
        <f>IF(J409="","",IFERROR(INDEX(Cl_tel,MATCH(J409,Cl_cle,0))&amp;"",""))</f>
        <v/>
      </c>
      <c r="P409" s="34">
        <f>IF(J409="","",IFERROR(INDEX(Cl_potentiel,MATCH(J409,Cl_cle,0)),""))</f>
        <v/>
      </c>
      <c r="Q409" s="34">
        <f>IF(J409="","",IF(D409&lt;&gt;"",IF(COUNTIFS(VC_cle,J409,VC_type,"Visite sur place",VC_date,D409)&gt;0,"Visité",IF(D409&lt;TODAY(),"Non fait","À venir")),IF(B409="","",IF(COUNTIFS(VC_cle,J409,VC_type,"Visite sur place",VC_date,"&gt;="&amp;M409,VC_date,"&lt;"&amp;DATE(YEAR(M409),MONTH(M409)+1,1))&gt;0,"Visité","À visiter"))))</f>
        <v/>
      </c>
    </row>
    <row r="410" ht="18" customHeight="1">
      <c r="A410" s="39" t="n">
        <v>405</v>
      </c>
      <c r="B410" s="49" t="n"/>
      <c r="C410" s="43" t="n"/>
      <c r="D410" s="32" t="n"/>
      <c r="E410" s="36" t="n"/>
      <c r="F410" s="36" t="n"/>
      <c r="G410" s="36" t="n"/>
      <c r="H410" s="33">
        <f>IF(E410="","",Commercial_Id)</f>
        <v/>
      </c>
      <c r="I410" s="39">
        <f>IF(E410="","",IFERROR(VALUE(MID(E410,LEN(E410)-3,3)),""))</f>
        <v/>
      </c>
      <c r="J410" s="33">
        <f>IF(I410="","",H410&amp;"|"&amp;I410)</f>
        <v/>
      </c>
      <c r="K410" s="33">
        <f>IF(I410="","",IF(H410="À RENSEIGNER","GIC",H410)&amp;"-"&amp;TEXT(I410,"000"))</f>
        <v/>
      </c>
      <c r="L410" s="33">
        <f>IF(J410="","",IFERROR(INDEX(Cl_nom,MATCH(J410,Cl_cle,0)),"(client introuvable)"))</f>
        <v/>
      </c>
      <c r="M410" s="46">
        <f>IF(B410="","",DATE(YEAR(B410),MONTH(B410),1))</f>
        <v/>
      </c>
      <c r="N410" s="33">
        <f>IF(J410="","",IFERROR(INDEX(Cl_quartier,MATCH(J410,Cl_cle,0))&amp;"",""))</f>
        <v/>
      </c>
      <c r="O410" s="33">
        <f>IF(J410="","",IFERROR(INDEX(Cl_tel,MATCH(J410,Cl_cle,0))&amp;"",""))</f>
        <v/>
      </c>
      <c r="P410" s="34">
        <f>IF(J410="","",IFERROR(INDEX(Cl_potentiel,MATCH(J410,Cl_cle,0)),""))</f>
        <v/>
      </c>
      <c r="Q410" s="34">
        <f>IF(J410="","",IF(D410&lt;&gt;"",IF(COUNTIFS(VC_cle,J410,VC_type,"Visite sur place",VC_date,D410)&gt;0,"Visité",IF(D410&lt;TODAY(),"Non fait","À venir")),IF(B410="","",IF(COUNTIFS(VC_cle,J410,VC_type,"Visite sur place",VC_date,"&gt;="&amp;M410,VC_date,"&lt;"&amp;DATE(YEAR(M410),MONTH(M410)+1,1))&gt;0,"Visité","À visiter"))))</f>
        <v/>
      </c>
    </row>
    <row r="411" ht="18" customHeight="1">
      <c r="A411" s="39" t="n">
        <v>406</v>
      </c>
      <c r="B411" s="49" t="n"/>
      <c r="C411" s="43" t="n"/>
      <c r="D411" s="32" t="n"/>
      <c r="E411" s="36" t="n"/>
      <c r="F411" s="36" t="n"/>
      <c r="G411" s="36" t="n"/>
      <c r="H411" s="33">
        <f>IF(E411="","",Commercial_Id)</f>
        <v/>
      </c>
      <c r="I411" s="39">
        <f>IF(E411="","",IFERROR(VALUE(MID(E411,LEN(E411)-3,3)),""))</f>
        <v/>
      </c>
      <c r="J411" s="33">
        <f>IF(I411="","",H411&amp;"|"&amp;I411)</f>
        <v/>
      </c>
      <c r="K411" s="33">
        <f>IF(I411="","",IF(H411="À RENSEIGNER","GIC",H411)&amp;"-"&amp;TEXT(I411,"000"))</f>
        <v/>
      </c>
      <c r="L411" s="33">
        <f>IF(J411="","",IFERROR(INDEX(Cl_nom,MATCH(J411,Cl_cle,0)),"(client introuvable)"))</f>
        <v/>
      </c>
      <c r="M411" s="46">
        <f>IF(B411="","",DATE(YEAR(B411),MONTH(B411),1))</f>
        <v/>
      </c>
      <c r="N411" s="33">
        <f>IF(J411="","",IFERROR(INDEX(Cl_quartier,MATCH(J411,Cl_cle,0))&amp;"",""))</f>
        <v/>
      </c>
      <c r="O411" s="33">
        <f>IF(J411="","",IFERROR(INDEX(Cl_tel,MATCH(J411,Cl_cle,0))&amp;"",""))</f>
        <v/>
      </c>
      <c r="P411" s="34">
        <f>IF(J411="","",IFERROR(INDEX(Cl_potentiel,MATCH(J411,Cl_cle,0)),""))</f>
        <v/>
      </c>
      <c r="Q411" s="34">
        <f>IF(J411="","",IF(D411&lt;&gt;"",IF(COUNTIFS(VC_cle,J411,VC_type,"Visite sur place",VC_date,D411)&gt;0,"Visité",IF(D411&lt;TODAY(),"Non fait","À venir")),IF(B411="","",IF(COUNTIFS(VC_cle,J411,VC_type,"Visite sur place",VC_date,"&gt;="&amp;M411,VC_date,"&lt;"&amp;DATE(YEAR(M411),MONTH(M411)+1,1))&gt;0,"Visité","À visiter"))))</f>
        <v/>
      </c>
    </row>
    <row r="412" ht="18" customHeight="1">
      <c r="A412" s="39" t="n">
        <v>407</v>
      </c>
      <c r="B412" s="49" t="n"/>
      <c r="C412" s="43" t="n"/>
      <c r="D412" s="32" t="n"/>
      <c r="E412" s="36" t="n"/>
      <c r="F412" s="36" t="n"/>
      <c r="G412" s="36" t="n"/>
      <c r="H412" s="33">
        <f>IF(E412="","",Commercial_Id)</f>
        <v/>
      </c>
      <c r="I412" s="39">
        <f>IF(E412="","",IFERROR(VALUE(MID(E412,LEN(E412)-3,3)),""))</f>
        <v/>
      </c>
      <c r="J412" s="33">
        <f>IF(I412="","",H412&amp;"|"&amp;I412)</f>
        <v/>
      </c>
      <c r="K412" s="33">
        <f>IF(I412="","",IF(H412="À RENSEIGNER","GIC",H412)&amp;"-"&amp;TEXT(I412,"000"))</f>
        <v/>
      </c>
      <c r="L412" s="33">
        <f>IF(J412="","",IFERROR(INDEX(Cl_nom,MATCH(J412,Cl_cle,0)),"(client introuvable)"))</f>
        <v/>
      </c>
      <c r="M412" s="46">
        <f>IF(B412="","",DATE(YEAR(B412),MONTH(B412),1))</f>
        <v/>
      </c>
      <c r="N412" s="33">
        <f>IF(J412="","",IFERROR(INDEX(Cl_quartier,MATCH(J412,Cl_cle,0))&amp;"",""))</f>
        <v/>
      </c>
      <c r="O412" s="33">
        <f>IF(J412="","",IFERROR(INDEX(Cl_tel,MATCH(J412,Cl_cle,0))&amp;"",""))</f>
        <v/>
      </c>
      <c r="P412" s="34">
        <f>IF(J412="","",IFERROR(INDEX(Cl_potentiel,MATCH(J412,Cl_cle,0)),""))</f>
        <v/>
      </c>
      <c r="Q412" s="34">
        <f>IF(J412="","",IF(D412&lt;&gt;"",IF(COUNTIFS(VC_cle,J412,VC_type,"Visite sur place",VC_date,D412)&gt;0,"Visité",IF(D412&lt;TODAY(),"Non fait","À venir")),IF(B412="","",IF(COUNTIFS(VC_cle,J412,VC_type,"Visite sur place",VC_date,"&gt;="&amp;M412,VC_date,"&lt;"&amp;DATE(YEAR(M412),MONTH(M412)+1,1))&gt;0,"Visité","À visiter"))))</f>
        <v/>
      </c>
    </row>
    <row r="413" ht="18" customHeight="1">
      <c r="A413" s="39" t="n">
        <v>408</v>
      </c>
      <c r="B413" s="49" t="n"/>
      <c r="C413" s="43" t="n"/>
      <c r="D413" s="32" t="n"/>
      <c r="E413" s="36" t="n"/>
      <c r="F413" s="36" t="n"/>
      <c r="G413" s="36" t="n"/>
      <c r="H413" s="33">
        <f>IF(E413="","",Commercial_Id)</f>
        <v/>
      </c>
      <c r="I413" s="39">
        <f>IF(E413="","",IFERROR(VALUE(MID(E413,LEN(E413)-3,3)),""))</f>
        <v/>
      </c>
      <c r="J413" s="33">
        <f>IF(I413="","",H413&amp;"|"&amp;I413)</f>
        <v/>
      </c>
      <c r="K413" s="33">
        <f>IF(I413="","",IF(H413="À RENSEIGNER","GIC",H413)&amp;"-"&amp;TEXT(I413,"000"))</f>
        <v/>
      </c>
      <c r="L413" s="33">
        <f>IF(J413="","",IFERROR(INDEX(Cl_nom,MATCH(J413,Cl_cle,0)),"(client introuvable)"))</f>
        <v/>
      </c>
      <c r="M413" s="46">
        <f>IF(B413="","",DATE(YEAR(B413),MONTH(B413),1))</f>
        <v/>
      </c>
      <c r="N413" s="33">
        <f>IF(J413="","",IFERROR(INDEX(Cl_quartier,MATCH(J413,Cl_cle,0))&amp;"",""))</f>
        <v/>
      </c>
      <c r="O413" s="33">
        <f>IF(J413="","",IFERROR(INDEX(Cl_tel,MATCH(J413,Cl_cle,0))&amp;"",""))</f>
        <v/>
      </c>
      <c r="P413" s="34">
        <f>IF(J413="","",IFERROR(INDEX(Cl_potentiel,MATCH(J413,Cl_cle,0)),""))</f>
        <v/>
      </c>
      <c r="Q413" s="34">
        <f>IF(J413="","",IF(D413&lt;&gt;"",IF(COUNTIFS(VC_cle,J413,VC_type,"Visite sur place",VC_date,D413)&gt;0,"Visité",IF(D413&lt;TODAY(),"Non fait","À venir")),IF(B413="","",IF(COUNTIFS(VC_cle,J413,VC_type,"Visite sur place",VC_date,"&gt;="&amp;M413,VC_date,"&lt;"&amp;DATE(YEAR(M413),MONTH(M413)+1,1))&gt;0,"Visité","À visiter"))))</f>
        <v/>
      </c>
    </row>
    <row r="414" ht="18" customHeight="1">
      <c r="A414" s="39" t="n">
        <v>409</v>
      </c>
      <c r="B414" s="49" t="n"/>
      <c r="C414" s="43" t="n"/>
      <c r="D414" s="32" t="n"/>
      <c r="E414" s="36" t="n"/>
      <c r="F414" s="36" t="n"/>
      <c r="G414" s="36" t="n"/>
      <c r="H414" s="33">
        <f>IF(E414="","",Commercial_Id)</f>
        <v/>
      </c>
      <c r="I414" s="39">
        <f>IF(E414="","",IFERROR(VALUE(MID(E414,LEN(E414)-3,3)),""))</f>
        <v/>
      </c>
      <c r="J414" s="33">
        <f>IF(I414="","",H414&amp;"|"&amp;I414)</f>
        <v/>
      </c>
      <c r="K414" s="33">
        <f>IF(I414="","",IF(H414="À RENSEIGNER","GIC",H414)&amp;"-"&amp;TEXT(I414,"000"))</f>
        <v/>
      </c>
      <c r="L414" s="33">
        <f>IF(J414="","",IFERROR(INDEX(Cl_nom,MATCH(J414,Cl_cle,0)),"(client introuvable)"))</f>
        <v/>
      </c>
      <c r="M414" s="46">
        <f>IF(B414="","",DATE(YEAR(B414),MONTH(B414),1))</f>
        <v/>
      </c>
      <c r="N414" s="33">
        <f>IF(J414="","",IFERROR(INDEX(Cl_quartier,MATCH(J414,Cl_cle,0))&amp;"",""))</f>
        <v/>
      </c>
      <c r="O414" s="33">
        <f>IF(J414="","",IFERROR(INDEX(Cl_tel,MATCH(J414,Cl_cle,0))&amp;"",""))</f>
        <v/>
      </c>
      <c r="P414" s="34">
        <f>IF(J414="","",IFERROR(INDEX(Cl_potentiel,MATCH(J414,Cl_cle,0)),""))</f>
        <v/>
      </c>
      <c r="Q414" s="34">
        <f>IF(J414="","",IF(D414&lt;&gt;"",IF(COUNTIFS(VC_cle,J414,VC_type,"Visite sur place",VC_date,D414)&gt;0,"Visité",IF(D414&lt;TODAY(),"Non fait","À venir")),IF(B414="","",IF(COUNTIFS(VC_cle,J414,VC_type,"Visite sur place",VC_date,"&gt;="&amp;M414,VC_date,"&lt;"&amp;DATE(YEAR(M414),MONTH(M414)+1,1))&gt;0,"Visité","À visiter"))))</f>
        <v/>
      </c>
    </row>
    <row r="415" ht="18" customHeight="1">
      <c r="A415" s="39" t="n">
        <v>410</v>
      </c>
      <c r="B415" s="49" t="n"/>
      <c r="C415" s="43" t="n"/>
      <c r="D415" s="32" t="n"/>
      <c r="E415" s="36" t="n"/>
      <c r="F415" s="36" t="n"/>
      <c r="G415" s="36" t="n"/>
      <c r="H415" s="33">
        <f>IF(E415="","",Commercial_Id)</f>
        <v/>
      </c>
      <c r="I415" s="39">
        <f>IF(E415="","",IFERROR(VALUE(MID(E415,LEN(E415)-3,3)),""))</f>
        <v/>
      </c>
      <c r="J415" s="33">
        <f>IF(I415="","",H415&amp;"|"&amp;I415)</f>
        <v/>
      </c>
      <c r="K415" s="33">
        <f>IF(I415="","",IF(H415="À RENSEIGNER","GIC",H415)&amp;"-"&amp;TEXT(I415,"000"))</f>
        <v/>
      </c>
      <c r="L415" s="33">
        <f>IF(J415="","",IFERROR(INDEX(Cl_nom,MATCH(J415,Cl_cle,0)),"(client introuvable)"))</f>
        <v/>
      </c>
      <c r="M415" s="46">
        <f>IF(B415="","",DATE(YEAR(B415),MONTH(B415),1))</f>
        <v/>
      </c>
      <c r="N415" s="33">
        <f>IF(J415="","",IFERROR(INDEX(Cl_quartier,MATCH(J415,Cl_cle,0))&amp;"",""))</f>
        <v/>
      </c>
      <c r="O415" s="33">
        <f>IF(J415="","",IFERROR(INDEX(Cl_tel,MATCH(J415,Cl_cle,0))&amp;"",""))</f>
        <v/>
      </c>
      <c r="P415" s="34">
        <f>IF(J415="","",IFERROR(INDEX(Cl_potentiel,MATCH(J415,Cl_cle,0)),""))</f>
        <v/>
      </c>
      <c r="Q415" s="34">
        <f>IF(J415="","",IF(D415&lt;&gt;"",IF(COUNTIFS(VC_cle,J415,VC_type,"Visite sur place",VC_date,D415)&gt;0,"Visité",IF(D415&lt;TODAY(),"Non fait","À venir")),IF(B415="","",IF(COUNTIFS(VC_cle,J415,VC_type,"Visite sur place",VC_date,"&gt;="&amp;M415,VC_date,"&lt;"&amp;DATE(YEAR(M415),MONTH(M415)+1,1))&gt;0,"Visité","À visiter"))))</f>
        <v/>
      </c>
    </row>
    <row r="416" ht="18" customHeight="1">
      <c r="A416" s="39" t="n">
        <v>411</v>
      </c>
      <c r="B416" s="49" t="n"/>
      <c r="C416" s="43" t="n"/>
      <c r="D416" s="32" t="n"/>
      <c r="E416" s="36" t="n"/>
      <c r="F416" s="36" t="n"/>
      <c r="G416" s="36" t="n"/>
      <c r="H416" s="33">
        <f>IF(E416="","",Commercial_Id)</f>
        <v/>
      </c>
      <c r="I416" s="39">
        <f>IF(E416="","",IFERROR(VALUE(MID(E416,LEN(E416)-3,3)),""))</f>
        <v/>
      </c>
      <c r="J416" s="33">
        <f>IF(I416="","",H416&amp;"|"&amp;I416)</f>
        <v/>
      </c>
      <c r="K416" s="33">
        <f>IF(I416="","",IF(H416="À RENSEIGNER","GIC",H416)&amp;"-"&amp;TEXT(I416,"000"))</f>
        <v/>
      </c>
      <c r="L416" s="33">
        <f>IF(J416="","",IFERROR(INDEX(Cl_nom,MATCH(J416,Cl_cle,0)),"(client introuvable)"))</f>
        <v/>
      </c>
      <c r="M416" s="46">
        <f>IF(B416="","",DATE(YEAR(B416),MONTH(B416),1))</f>
        <v/>
      </c>
      <c r="N416" s="33">
        <f>IF(J416="","",IFERROR(INDEX(Cl_quartier,MATCH(J416,Cl_cle,0))&amp;"",""))</f>
        <v/>
      </c>
      <c r="O416" s="33">
        <f>IF(J416="","",IFERROR(INDEX(Cl_tel,MATCH(J416,Cl_cle,0))&amp;"",""))</f>
        <v/>
      </c>
      <c r="P416" s="34">
        <f>IF(J416="","",IFERROR(INDEX(Cl_potentiel,MATCH(J416,Cl_cle,0)),""))</f>
        <v/>
      </c>
      <c r="Q416" s="34">
        <f>IF(J416="","",IF(D416&lt;&gt;"",IF(COUNTIFS(VC_cle,J416,VC_type,"Visite sur place",VC_date,D416)&gt;0,"Visité",IF(D416&lt;TODAY(),"Non fait","À venir")),IF(B416="","",IF(COUNTIFS(VC_cle,J416,VC_type,"Visite sur place",VC_date,"&gt;="&amp;M416,VC_date,"&lt;"&amp;DATE(YEAR(M416),MONTH(M416)+1,1))&gt;0,"Visité","À visiter"))))</f>
        <v/>
      </c>
    </row>
    <row r="417" ht="18" customHeight="1">
      <c r="A417" s="39" t="n">
        <v>412</v>
      </c>
      <c r="B417" s="49" t="n"/>
      <c r="C417" s="43" t="n"/>
      <c r="D417" s="32" t="n"/>
      <c r="E417" s="36" t="n"/>
      <c r="F417" s="36" t="n"/>
      <c r="G417" s="36" t="n"/>
      <c r="H417" s="33">
        <f>IF(E417="","",Commercial_Id)</f>
        <v/>
      </c>
      <c r="I417" s="39">
        <f>IF(E417="","",IFERROR(VALUE(MID(E417,LEN(E417)-3,3)),""))</f>
        <v/>
      </c>
      <c r="J417" s="33">
        <f>IF(I417="","",H417&amp;"|"&amp;I417)</f>
        <v/>
      </c>
      <c r="K417" s="33">
        <f>IF(I417="","",IF(H417="À RENSEIGNER","GIC",H417)&amp;"-"&amp;TEXT(I417,"000"))</f>
        <v/>
      </c>
      <c r="L417" s="33">
        <f>IF(J417="","",IFERROR(INDEX(Cl_nom,MATCH(J417,Cl_cle,0)),"(client introuvable)"))</f>
        <v/>
      </c>
      <c r="M417" s="46">
        <f>IF(B417="","",DATE(YEAR(B417),MONTH(B417),1))</f>
        <v/>
      </c>
      <c r="N417" s="33">
        <f>IF(J417="","",IFERROR(INDEX(Cl_quartier,MATCH(J417,Cl_cle,0))&amp;"",""))</f>
        <v/>
      </c>
      <c r="O417" s="33">
        <f>IF(J417="","",IFERROR(INDEX(Cl_tel,MATCH(J417,Cl_cle,0))&amp;"",""))</f>
        <v/>
      </c>
      <c r="P417" s="34">
        <f>IF(J417="","",IFERROR(INDEX(Cl_potentiel,MATCH(J417,Cl_cle,0)),""))</f>
        <v/>
      </c>
      <c r="Q417" s="34">
        <f>IF(J417="","",IF(D417&lt;&gt;"",IF(COUNTIFS(VC_cle,J417,VC_type,"Visite sur place",VC_date,D417)&gt;0,"Visité",IF(D417&lt;TODAY(),"Non fait","À venir")),IF(B417="","",IF(COUNTIFS(VC_cle,J417,VC_type,"Visite sur place",VC_date,"&gt;="&amp;M417,VC_date,"&lt;"&amp;DATE(YEAR(M417),MONTH(M417)+1,1))&gt;0,"Visité","À visiter"))))</f>
        <v/>
      </c>
    </row>
    <row r="418" ht="18" customHeight="1">
      <c r="A418" s="39" t="n">
        <v>413</v>
      </c>
      <c r="B418" s="49" t="n"/>
      <c r="C418" s="43" t="n"/>
      <c r="D418" s="32" t="n"/>
      <c r="E418" s="36" t="n"/>
      <c r="F418" s="36" t="n"/>
      <c r="G418" s="36" t="n"/>
      <c r="H418" s="33">
        <f>IF(E418="","",Commercial_Id)</f>
        <v/>
      </c>
      <c r="I418" s="39">
        <f>IF(E418="","",IFERROR(VALUE(MID(E418,LEN(E418)-3,3)),""))</f>
        <v/>
      </c>
      <c r="J418" s="33">
        <f>IF(I418="","",H418&amp;"|"&amp;I418)</f>
        <v/>
      </c>
      <c r="K418" s="33">
        <f>IF(I418="","",IF(H418="À RENSEIGNER","GIC",H418)&amp;"-"&amp;TEXT(I418,"000"))</f>
        <v/>
      </c>
      <c r="L418" s="33">
        <f>IF(J418="","",IFERROR(INDEX(Cl_nom,MATCH(J418,Cl_cle,0)),"(client introuvable)"))</f>
        <v/>
      </c>
      <c r="M418" s="46">
        <f>IF(B418="","",DATE(YEAR(B418),MONTH(B418),1))</f>
        <v/>
      </c>
      <c r="N418" s="33">
        <f>IF(J418="","",IFERROR(INDEX(Cl_quartier,MATCH(J418,Cl_cle,0))&amp;"",""))</f>
        <v/>
      </c>
      <c r="O418" s="33">
        <f>IF(J418="","",IFERROR(INDEX(Cl_tel,MATCH(J418,Cl_cle,0))&amp;"",""))</f>
        <v/>
      </c>
      <c r="P418" s="34">
        <f>IF(J418="","",IFERROR(INDEX(Cl_potentiel,MATCH(J418,Cl_cle,0)),""))</f>
        <v/>
      </c>
      <c r="Q418" s="34">
        <f>IF(J418="","",IF(D418&lt;&gt;"",IF(COUNTIFS(VC_cle,J418,VC_type,"Visite sur place",VC_date,D418)&gt;0,"Visité",IF(D418&lt;TODAY(),"Non fait","À venir")),IF(B418="","",IF(COUNTIFS(VC_cle,J418,VC_type,"Visite sur place",VC_date,"&gt;="&amp;M418,VC_date,"&lt;"&amp;DATE(YEAR(M418),MONTH(M418)+1,1))&gt;0,"Visité","À visiter"))))</f>
        <v/>
      </c>
    </row>
    <row r="419" ht="18" customHeight="1">
      <c r="A419" s="39" t="n">
        <v>414</v>
      </c>
      <c r="B419" s="49" t="n"/>
      <c r="C419" s="43" t="n"/>
      <c r="D419" s="32" t="n"/>
      <c r="E419" s="36" t="n"/>
      <c r="F419" s="36" t="n"/>
      <c r="G419" s="36" t="n"/>
      <c r="H419" s="33">
        <f>IF(E419="","",Commercial_Id)</f>
        <v/>
      </c>
      <c r="I419" s="39">
        <f>IF(E419="","",IFERROR(VALUE(MID(E419,LEN(E419)-3,3)),""))</f>
        <v/>
      </c>
      <c r="J419" s="33">
        <f>IF(I419="","",H419&amp;"|"&amp;I419)</f>
        <v/>
      </c>
      <c r="K419" s="33">
        <f>IF(I419="","",IF(H419="À RENSEIGNER","GIC",H419)&amp;"-"&amp;TEXT(I419,"000"))</f>
        <v/>
      </c>
      <c r="L419" s="33">
        <f>IF(J419="","",IFERROR(INDEX(Cl_nom,MATCH(J419,Cl_cle,0)),"(client introuvable)"))</f>
        <v/>
      </c>
      <c r="M419" s="46">
        <f>IF(B419="","",DATE(YEAR(B419),MONTH(B419),1))</f>
        <v/>
      </c>
      <c r="N419" s="33">
        <f>IF(J419="","",IFERROR(INDEX(Cl_quartier,MATCH(J419,Cl_cle,0))&amp;"",""))</f>
        <v/>
      </c>
      <c r="O419" s="33">
        <f>IF(J419="","",IFERROR(INDEX(Cl_tel,MATCH(J419,Cl_cle,0))&amp;"",""))</f>
        <v/>
      </c>
      <c r="P419" s="34">
        <f>IF(J419="","",IFERROR(INDEX(Cl_potentiel,MATCH(J419,Cl_cle,0)),""))</f>
        <v/>
      </c>
      <c r="Q419" s="34">
        <f>IF(J419="","",IF(D419&lt;&gt;"",IF(COUNTIFS(VC_cle,J419,VC_type,"Visite sur place",VC_date,D419)&gt;0,"Visité",IF(D419&lt;TODAY(),"Non fait","À venir")),IF(B419="","",IF(COUNTIFS(VC_cle,J419,VC_type,"Visite sur place",VC_date,"&gt;="&amp;M419,VC_date,"&lt;"&amp;DATE(YEAR(M419),MONTH(M419)+1,1))&gt;0,"Visité","À visiter"))))</f>
        <v/>
      </c>
    </row>
    <row r="420" ht="18" customHeight="1">
      <c r="A420" s="39" t="n">
        <v>415</v>
      </c>
      <c r="B420" s="49" t="n"/>
      <c r="C420" s="43" t="n"/>
      <c r="D420" s="32" t="n"/>
      <c r="E420" s="36" t="n"/>
      <c r="F420" s="36" t="n"/>
      <c r="G420" s="36" t="n"/>
      <c r="H420" s="33">
        <f>IF(E420="","",Commercial_Id)</f>
        <v/>
      </c>
      <c r="I420" s="39">
        <f>IF(E420="","",IFERROR(VALUE(MID(E420,LEN(E420)-3,3)),""))</f>
        <v/>
      </c>
      <c r="J420" s="33">
        <f>IF(I420="","",H420&amp;"|"&amp;I420)</f>
        <v/>
      </c>
      <c r="K420" s="33">
        <f>IF(I420="","",IF(H420="À RENSEIGNER","GIC",H420)&amp;"-"&amp;TEXT(I420,"000"))</f>
        <v/>
      </c>
      <c r="L420" s="33">
        <f>IF(J420="","",IFERROR(INDEX(Cl_nom,MATCH(J420,Cl_cle,0)),"(client introuvable)"))</f>
        <v/>
      </c>
      <c r="M420" s="46">
        <f>IF(B420="","",DATE(YEAR(B420),MONTH(B420),1))</f>
        <v/>
      </c>
      <c r="N420" s="33">
        <f>IF(J420="","",IFERROR(INDEX(Cl_quartier,MATCH(J420,Cl_cle,0))&amp;"",""))</f>
        <v/>
      </c>
      <c r="O420" s="33">
        <f>IF(J420="","",IFERROR(INDEX(Cl_tel,MATCH(J420,Cl_cle,0))&amp;"",""))</f>
        <v/>
      </c>
      <c r="P420" s="34">
        <f>IF(J420="","",IFERROR(INDEX(Cl_potentiel,MATCH(J420,Cl_cle,0)),""))</f>
        <v/>
      </c>
      <c r="Q420" s="34">
        <f>IF(J420="","",IF(D420&lt;&gt;"",IF(COUNTIFS(VC_cle,J420,VC_type,"Visite sur place",VC_date,D420)&gt;0,"Visité",IF(D420&lt;TODAY(),"Non fait","À venir")),IF(B420="","",IF(COUNTIFS(VC_cle,J420,VC_type,"Visite sur place",VC_date,"&gt;="&amp;M420,VC_date,"&lt;"&amp;DATE(YEAR(M420),MONTH(M420)+1,1))&gt;0,"Visité","À visiter"))))</f>
        <v/>
      </c>
    </row>
    <row r="421" ht="18" customHeight="1">
      <c r="A421" s="39" t="n">
        <v>416</v>
      </c>
      <c r="B421" s="49" t="n"/>
      <c r="C421" s="43" t="n"/>
      <c r="D421" s="32" t="n"/>
      <c r="E421" s="36" t="n"/>
      <c r="F421" s="36" t="n"/>
      <c r="G421" s="36" t="n"/>
      <c r="H421" s="33">
        <f>IF(E421="","",Commercial_Id)</f>
        <v/>
      </c>
      <c r="I421" s="39">
        <f>IF(E421="","",IFERROR(VALUE(MID(E421,LEN(E421)-3,3)),""))</f>
        <v/>
      </c>
      <c r="J421" s="33">
        <f>IF(I421="","",H421&amp;"|"&amp;I421)</f>
        <v/>
      </c>
      <c r="K421" s="33">
        <f>IF(I421="","",IF(H421="À RENSEIGNER","GIC",H421)&amp;"-"&amp;TEXT(I421,"000"))</f>
        <v/>
      </c>
      <c r="L421" s="33">
        <f>IF(J421="","",IFERROR(INDEX(Cl_nom,MATCH(J421,Cl_cle,0)),"(client introuvable)"))</f>
        <v/>
      </c>
      <c r="M421" s="46">
        <f>IF(B421="","",DATE(YEAR(B421),MONTH(B421),1))</f>
        <v/>
      </c>
      <c r="N421" s="33">
        <f>IF(J421="","",IFERROR(INDEX(Cl_quartier,MATCH(J421,Cl_cle,0))&amp;"",""))</f>
        <v/>
      </c>
      <c r="O421" s="33">
        <f>IF(J421="","",IFERROR(INDEX(Cl_tel,MATCH(J421,Cl_cle,0))&amp;"",""))</f>
        <v/>
      </c>
      <c r="P421" s="34">
        <f>IF(J421="","",IFERROR(INDEX(Cl_potentiel,MATCH(J421,Cl_cle,0)),""))</f>
        <v/>
      </c>
      <c r="Q421" s="34">
        <f>IF(J421="","",IF(D421&lt;&gt;"",IF(COUNTIFS(VC_cle,J421,VC_type,"Visite sur place",VC_date,D421)&gt;0,"Visité",IF(D421&lt;TODAY(),"Non fait","À venir")),IF(B421="","",IF(COUNTIFS(VC_cle,J421,VC_type,"Visite sur place",VC_date,"&gt;="&amp;M421,VC_date,"&lt;"&amp;DATE(YEAR(M421),MONTH(M421)+1,1))&gt;0,"Visité","À visiter"))))</f>
        <v/>
      </c>
    </row>
    <row r="422" ht="18" customHeight="1">
      <c r="A422" s="39" t="n">
        <v>417</v>
      </c>
      <c r="B422" s="49" t="n"/>
      <c r="C422" s="43" t="n"/>
      <c r="D422" s="32" t="n"/>
      <c r="E422" s="36" t="n"/>
      <c r="F422" s="36" t="n"/>
      <c r="G422" s="36" t="n"/>
      <c r="H422" s="33">
        <f>IF(E422="","",Commercial_Id)</f>
        <v/>
      </c>
      <c r="I422" s="39">
        <f>IF(E422="","",IFERROR(VALUE(MID(E422,LEN(E422)-3,3)),""))</f>
        <v/>
      </c>
      <c r="J422" s="33">
        <f>IF(I422="","",H422&amp;"|"&amp;I422)</f>
        <v/>
      </c>
      <c r="K422" s="33">
        <f>IF(I422="","",IF(H422="À RENSEIGNER","GIC",H422)&amp;"-"&amp;TEXT(I422,"000"))</f>
        <v/>
      </c>
      <c r="L422" s="33">
        <f>IF(J422="","",IFERROR(INDEX(Cl_nom,MATCH(J422,Cl_cle,0)),"(client introuvable)"))</f>
        <v/>
      </c>
      <c r="M422" s="46">
        <f>IF(B422="","",DATE(YEAR(B422),MONTH(B422),1))</f>
        <v/>
      </c>
      <c r="N422" s="33">
        <f>IF(J422="","",IFERROR(INDEX(Cl_quartier,MATCH(J422,Cl_cle,0))&amp;"",""))</f>
        <v/>
      </c>
      <c r="O422" s="33">
        <f>IF(J422="","",IFERROR(INDEX(Cl_tel,MATCH(J422,Cl_cle,0))&amp;"",""))</f>
        <v/>
      </c>
      <c r="P422" s="34">
        <f>IF(J422="","",IFERROR(INDEX(Cl_potentiel,MATCH(J422,Cl_cle,0)),""))</f>
        <v/>
      </c>
      <c r="Q422" s="34">
        <f>IF(J422="","",IF(D422&lt;&gt;"",IF(COUNTIFS(VC_cle,J422,VC_type,"Visite sur place",VC_date,D422)&gt;0,"Visité",IF(D422&lt;TODAY(),"Non fait","À venir")),IF(B422="","",IF(COUNTIFS(VC_cle,J422,VC_type,"Visite sur place",VC_date,"&gt;="&amp;M422,VC_date,"&lt;"&amp;DATE(YEAR(M422),MONTH(M422)+1,1))&gt;0,"Visité","À visiter"))))</f>
        <v/>
      </c>
    </row>
    <row r="423" ht="18" customHeight="1">
      <c r="A423" s="39" t="n">
        <v>418</v>
      </c>
      <c r="B423" s="49" t="n"/>
      <c r="C423" s="43" t="n"/>
      <c r="D423" s="32" t="n"/>
      <c r="E423" s="36" t="n"/>
      <c r="F423" s="36" t="n"/>
      <c r="G423" s="36" t="n"/>
      <c r="H423" s="33">
        <f>IF(E423="","",Commercial_Id)</f>
        <v/>
      </c>
      <c r="I423" s="39">
        <f>IF(E423="","",IFERROR(VALUE(MID(E423,LEN(E423)-3,3)),""))</f>
        <v/>
      </c>
      <c r="J423" s="33">
        <f>IF(I423="","",H423&amp;"|"&amp;I423)</f>
        <v/>
      </c>
      <c r="K423" s="33">
        <f>IF(I423="","",IF(H423="À RENSEIGNER","GIC",H423)&amp;"-"&amp;TEXT(I423,"000"))</f>
        <v/>
      </c>
      <c r="L423" s="33">
        <f>IF(J423="","",IFERROR(INDEX(Cl_nom,MATCH(J423,Cl_cle,0)),"(client introuvable)"))</f>
        <v/>
      </c>
      <c r="M423" s="46">
        <f>IF(B423="","",DATE(YEAR(B423),MONTH(B423),1))</f>
        <v/>
      </c>
      <c r="N423" s="33">
        <f>IF(J423="","",IFERROR(INDEX(Cl_quartier,MATCH(J423,Cl_cle,0))&amp;"",""))</f>
        <v/>
      </c>
      <c r="O423" s="33">
        <f>IF(J423="","",IFERROR(INDEX(Cl_tel,MATCH(J423,Cl_cle,0))&amp;"",""))</f>
        <v/>
      </c>
      <c r="P423" s="34">
        <f>IF(J423="","",IFERROR(INDEX(Cl_potentiel,MATCH(J423,Cl_cle,0)),""))</f>
        <v/>
      </c>
      <c r="Q423" s="34">
        <f>IF(J423="","",IF(D423&lt;&gt;"",IF(COUNTIFS(VC_cle,J423,VC_type,"Visite sur place",VC_date,D423)&gt;0,"Visité",IF(D423&lt;TODAY(),"Non fait","À venir")),IF(B423="","",IF(COUNTIFS(VC_cle,J423,VC_type,"Visite sur place",VC_date,"&gt;="&amp;M423,VC_date,"&lt;"&amp;DATE(YEAR(M423),MONTH(M423)+1,1))&gt;0,"Visité","À visiter"))))</f>
        <v/>
      </c>
    </row>
    <row r="424" ht="18" customHeight="1">
      <c r="A424" s="39" t="n">
        <v>419</v>
      </c>
      <c r="B424" s="49" t="n"/>
      <c r="C424" s="43" t="n"/>
      <c r="D424" s="32" t="n"/>
      <c r="E424" s="36" t="n"/>
      <c r="F424" s="36" t="n"/>
      <c r="G424" s="36" t="n"/>
      <c r="H424" s="33">
        <f>IF(E424="","",Commercial_Id)</f>
        <v/>
      </c>
      <c r="I424" s="39">
        <f>IF(E424="","",IFERROR(VALUE(MID(E424,LEN(E424)-3,3)),""))</f>
        <v/>
      </c>
      <c r="J424" s="33">
        <f>IF(I424="","",H424&amp;"|"&amp;I424)</f>
        <v/>
      </c>
      <c r="K424" s="33">
        <f>IF(I424="","",IF(H424="À RENSEIGNER","GIC",H424)&amp;"-"&amp;TEXT(I424,"000"))</f>
        <v/>
      </c>
      <c r="L424" s="33">
        <f>IF(J424="","",IFERROR(INDEX(Cl_nom,MATCH(J424,Cl_cle,0)),"(client introuvable)"))</f>
        <v/>
      </c>
      <c r="M424" s="46">
        <f>IF(B424="","",DATE(YEAR(B424),MONTH(B424),1))</f>
        <v/>
      </c>
      <c r="N424" s="33">
        <f>IF(J424="","",IFERROR(INDEX(Cl_quartier,MATCH(J424,Cl_cle,0))&amp;"",""))</f>
        <v/>
      </c>
      <c r="O424" s="33">
        <f>IF(J424="","",IFERROR(INDEX(Cl_tel,MATCH(J424,Cl_cle,0))&amp;"",""))</f>
        <v/>
      </c>
      <c r="P424" s="34">
        <f>IF(J424="","",IFERROR(INDEX(Cl_potentiel,MATCH(J424,Cl_cle,0)),""))</f>
        <v/>
      </c>
      <c r="Q424" s="34">
        <f>IF(J424="","",IF(D424&lt;&gt;"",IF(COUNTIFS(VC_cle,J424,VC_type,"Visite sur place",VC_date,D424)&gt;0,"Visité",IF(D424&lt;TODAY(),"Non fait","À venir")),IF(B424="","",IF(COUNTIFS(VC_cle,J424,VC_type,"Visite sur place",VC_date,"&gt;="&amp;M424,VC_date,"&lt;"&amp;DATE(YEAR(M424),MONTH(M424)+1,1))&gt;0,"Visité","À visiter"))))</f>
        <v/>
      </c>
    </row>
    <row r="425" ht="18" customHeight="1">
      <c r="A425" s="39" t="n">
        <v>420</v>
      </c>
      <c r="B425" s="49" t="n"/>
      <c r="C425" s="43" t="n"/>
      <c r="D425" s="32" t="n"/>
      <c r="E425" s="36" t="n"/>
      <c r="F425" s="36" t="n"/>
      <c r="G425" s="36" t="n"/>
      <c r="H425" s="33">
        <f>IF(E425="","",Commercial_Id)</f>
        <v/>
      </c>
      <c r="I425" s="39">
        <f>IF(E425="","",IFERROR(VALUE(MID(E425,LEN(E425)-3,3)),""))</f>
        <v/>
      </c>
      <c r="J425" s="33">
        <f>IF(I425="","",H425&amp;"|"&amp;I425)</f>
        <v/>
      </c>
      <c r="K425" s="33">
        <f>IF(I425="","",IF(H425="À RENSEIGNER","GIC",H425)&amp;"-"&amp;TEXT(I425,"000"))</f>
        <v/>
      </c>
      <c r="L425" s="33">
        <f>IF(J425="","",IFERROR(INDEX(Cl_nom,MATCH(J425,Cl_cle,0)),"(client introuvable)"))</f>
        <v/>
      </c>
      <c r="M425" s="46">
        <f>IF(B425="","",DATE(YEAR(B425),MONTH(B425),1))</f>
        <v/>
      </c>
      <c r="N425" s="33">
        <f>IF(J425="","",IFERROR(INDEX(Cl_quartier,MATCH(J425,Cl_cle,0))&amp;"",""))</f>
        <v/>
      </c>
      <c r="O425" s="33">
        <f>IF(J425="","",IFERROR(INDEX(Cl_tel,MATCH(J425,Cl_cle,0))&amp;"",""))</f>
        <v/>
      </c>
      <c r="P425" s="34">
        <f>IF(J425="","",IFERROR(INDEX(Cl_potentiel,MATCH(J425,Cl_cle,0)),""))</f>
        <v/>
      </c>
      <c r="Q425" s="34">
        <f>IF(J425="","",IF(D425&lt;&gt;"",IF(COUNTIFS(VC_cle,J425,VC_type,"Visite sur place",VC_date,D425)&gt;0,"Visité",IF(D425&lt;TODAY(),"Non fait","À venir")),IF(B425="","",IF(COUNTIFS(VC_cle,J425,VC_type,"Visite sur place",VC_date,"&gt;="&amp;M425,VC_date,"&lt;"&amp;DATE(YEAR(M425),MONTH(M425)+1,1))&gt;0,"Visité","À visiter"))))</f>
        <v/>
      </c>
    </row>
    <row r="426" ht="18" customHeight="1">
      <c r="A426" s="39" t="n">
        <v>421</v>
      </c>
      <c r="B426" s="49" t="n"/>
      <c r="C426" s="43" t="n"/>
      <c r="D426" s="32" t="n"/>
      <c r="E426" s="36" t="n"/>
      <c r="F426" s="36" t="n"/>
      <c r="G426" s="36" t="n"/>
      <c r="H426" s="33">
        <f>IF(E426="","",Commercial_Id)</f>
        <v/>
      </c>
      <c r="I426" s="39">
        <f>IF(E426="","",IFERROR(VALUE(MID(E426,LEN(E426)-3,3)),""))</f>
        <v/>
      </c>
      <c r="J426" s="33">
        <f>IF(I426="","",H426&amp;"|"&amp;I426)</f>
        <v/>
      </c>
      <c r="K426" s="33">
        <f>IF(I426="","",IF(H426="À RENSEIGNER","GIC",H426)&amp;"-"&amp;TEXT(I426,"000"))</f>
        <v/>
      </c>
      <c r="L426" s="33">
        <f>IF(J426="","",IFERROR(INDEX(Cl_nom,MATCH(J426,Cl_cle,0)),"(client introuvable)"))</f>
        <v/>
      </c>
      <c r="M426" s="46">
        <f>IF(B426="","",DATE(YEAR(B426),MONTH(B426),1))</f>
        <v/>
      </c>
      <c r="N426" s="33">
        <f>IF(J426="","",IFERROR(INDEX(Cl_quartier,MATCH(J426,Cl_cle,0))&amp;"",""))</f>
        <v/>
      </c>
      <c r="O426" s="33">
        <f>IF(J426="","",IFERROR(INDEX(Cl_tel,MATCH(J426,Cl_cle,0))&amp;"",""))</f>
        <v/>
      </c>
      <c r="P426" s="34">
        <f>IF(J426="","",IFERROR(INDEX(Cl_potentiel,MATCH(J426,Cl_cle,0)),""))</f>
        <v/>
      </c>
      <c r="Q426" s="34">
        <f>IF(J426="","",IF(D426&lt;&gt;"",IF(COUNTIFS(VC_cle,J426,VC_type,"Visite sur place",VC_date,D426)&gt;0,"Visité",IF(D426&lt;TODAY(),"Non fait","À venir")),IF(B426="","",IF(COUNTIFS(VC_cle,J426,VC_type,"Visite sur place",VC_date,"&gt;="&amp;M426,VC_date,"&lt;"&amp;DATE(YEAR(M426),MONTH(M426)+1,1))&gt;0,"Visité","À visiter"))))</f>
        <v/>
      </c>
    </row>
    <row r="427" ht="18" customHeight="1">
      <c r="A427" s="39" t="n">
        <v>422</v>
      </c>
      <c r="B427" s="49" t="n"/>
      <c r="C427" s="43" t="n"/>
      <c r="D427" s="32" t="n"/>
      <c r="E427" s="36" t="n"/>
      <c r="F427" s="36" t="n"/>
      <c r="G427" s="36" t="n"/>
      <c r="H427" s="33">
        <f>IF(E427="","",Commercial_Id)</f>
        <v/>
      </c>
      <c r="I427" s="39">
        <f>IF(E427="","",IFERROR(VALUE(MID(E427,LEN(E427)-3,3)),""))</f>
        <v/>
      </c>
      <c r="J427" s="33">
        <f>IF(I427="","",H427&amp;"|"&amp;I427)</f>
        <v/>
      </c>
      <c r="K427" s="33">
        <f>IF(I427="","",IF(H427="À RENSEIGNER","GIC",H427)&amp;"-"&amp;TEXT(I427,"000"))</f>
        <v/>
      </c>
      <c r="L427" s="33">
        <f>IF(J427="","",IFERROR(INDEX(Cl_nom,MATCH(J427,Cl_cle,0)),"(client introuvable)"))</f>
        <v/>
      </c>
      <c r="M427" s="46">
        <f>IF(B427="","",DATE(YEAR(B427),MONTH(B427),1))</f>
        <v/>
      </c>
      <c r="N427" s="33">
        <f>IF(J427="","",IFERROR(INDEX(Cl_quartier,MATCH(J427,Cl_cle,0))&amp;"",""))</f>
        <v/>
      </c>
      <c r="O427" s="33">
        <f>IF(J427="","",IFERROR(INDEX(Cl_tel,MATCH(J427,Cl_cle,0))&amp;"",""))</f>
        <v/>
      </c>
      <c r="P427" s="34">
        <f>IF(J427="","",IFERROR(INDEX(Cl_potentiel,MATCH(J427,Cl_cle,0)),""))</f>
        <v/>
      </c>
      <c r="Q427" s="34">
        <f>IF(J427="","",IF(D427&lt;&gt;"",IF(COUNTIFS(VC_cle,J427,VC_type,"Visite sur place",VC_date,D427)&gt;0,"Visité",IF(D427&lt;TODAY(),"Non fait","À venir")),IF(B427="","",IF(COUNTIFS(VC_cle,J427,VC_type,"Visite sur place",VC_date,"&gt;="&amp;M427,VC_date,"&lt;"&amp;DATE(YEAR(M427),MONTH(M427)+1,1))&gt;0,"Visité","À visiter"))))</f>
        <v/>
      </c>
    </row>
    <row r="428" ht="18" customHeight="1">
      <c r="A428" s="39" t="n">
        <v>423</v>
      </c>
      <c r="B428" s="49" t="n"/>
      <c r="C428" s="43" t="n"/>
      <c r="D428" s="32" t="n"/>
      <c r="E428" s="36" t="n"/>
      <c r="F428" s="36" t="n"/>
      <c r="G428" s="36" t="n"/>
      <c r="H428" s="33">
        <f>IF(E428="","",Commercial_Id)</f>
        <v/>
      </c>
      <c r="I428" s="39">
        <f>IF(E428="","",IFERROR(VALUE(MID(E428,LEN(E428)-3,3)),""))</f>
        <v/>
      </c>
      <c r="J428" s="33">
        <f>IF(I428="","",H428&amp;"|"&amp;I428)</f>
        <v/>
      </c>
      <c r="K428" s="33">
        <f>IF(I428="","",IF(H428="À RENSEIGNER","GIC",H428)&amp;"-"&amp;TEXT(I428,"000"))</f>
        <v/>
      </c>
      <c r="L428" s="33">
        <f>IF(J428="","",IFERROR(INDEX(Cl_nom,MATCH(J428,Cl_cle,0)),"(client introuvable)"))</f>
        <v/>
      </c>
      <c r="M428" s="46">
        <f>IF(B428="","",DATE(YEAR(B428),MONTH(B428),1))</f>
        <v/>
      </c>
      <c r="N428" s="33">
        <f>IF(J428="","",IFERROR(INDEX(Cl_quartier,MATCH(J428,Cl_cle,0))&amp;"",""))</f>
        <v/>
      </c>
      <c r="O428" s="33">
        <f>IF(J428="","",IFERROR(INDEX(Cl_tel,MATCH(J428,Cl_cle,0))&amp;"",""))</f>
        <v/>
      </c>
      <c r="P428" s="34">
        <f>IF(J428="","",IFERROR(INDEX(Cl_potentiel,MATCH(J428,Cl_cle,0)),""))</f>
        <v/>
      </c>
      <c r="Q428" s="34">
        <f>IF(J428="","",IF(D428&lt;&gt;"",IF(COUNTIFS(VC_cle,J428,VC_type,"Visite sur place",VC_date,D428)&gt;0,"Visité",IF(D428&lt;TODAY(),"Non fait","À venir")),IF(B428="","",IF(COUNTIFS(VC_cle,J428,VC_type,"Visite sur place",VC_date,"&gt;="&amp;M428,VC_date,"&lt;"&amp;DATE(YEAR(M428),MONTH(M428)+1,1))&gt;0,"Visité","À visiter"))))</f>
        <v/>
      </c>
    </row>
    <row r="429" ht="18" customHeight="1">
      <c r="A429" s="39" t="n">
        <v>424</v>
      </c>
      <c r="B429" s="49" t="n"/>
      <c r="C429" s="43" t="n"/>
      <c r="D429" s="32" t="n"/>
      <c r="E429" s="36" t="n"/>
      <c r="F429" s="36" t="n"/>
      <c r="G429" s="36" t="n"/>
      <c r="H429" s="33">
        <f>IF(E429="","",Commercial_Id)</f>
        <v/>
      </c>
      <c r="I429" s="39">
        <f>IF(E429="","",IFERROR(VALUE(MID(E429,LEN(E429)-3,3)),""))</f>
        <v/>
      </c>
      <c r="J429" s="33">
        <f>IF(I429="","",H429&amp;"|"&amp;I429)</f>
        <v/>
      </c>
      <c r="K429" s="33">
        <f>IF(I429="","",IF(H429="À RENSEIGNER","GIC",H429)&amp;"-"&amp;TEXT(I429,"000"))</f>
        <v/>
      </c>
      <c r="L429" s="33">
        <f>IF(J429="","",IFERROR(INDEX(Cl_nom,MATCH(J429,Cl_cle,0)),"(client introuvable)"))</f>
        <v/>
      </c>
      <c r="M429" s="46">
        <f>IF(B429="","",DATE(YEAR(B429),MONTH(B429),1))</f>
        <v/>
      </c>
      <c r="N429" s="33">
        <f>IF(J429="","",IFERROR(INDEX(Cl_quartier,MATCH(J429,Cl_cle,0))&amp;"",""))</f>
        <v/>
      </c>
      <c r="O429" s="33">
        <f>IF(J429="","",IFERROR(INDEX(Cl_tel,MATCH(J429,Cl_cle,0))&amp;"",""))</f>
        <v/>
      </c>
      <c r="P429" s="34">
        <f>IF(J429="","",IFERROR(INDEX(Cl_potentiel,MATCH(J429,Cl_cle,0)),""))</f>
        <v/>
      </c>
      <c r="Q429" s="34">
        <f>IF(J429="","",IF(D429&lt;&gt;"",IF(COUNTIFS(VC_cle,J429,VC_type,"Visite sur place",VC_date,D429)&gt;0,"Visité",IF(D429&lt;TODAY(),"Non fait","À venir")),IF(B429="","",IF(COUNTIFS(VC_cle,J429,VC_type,"Visite sur place",VC_date,"&gt;="&amp;M429,VC_date,"&lt;"&amp;DATE(YEAR(M429),MONTH(M429)+1,1))&gt;0,"Visité","À visiter"))))</f>
        <v/>
      </c>
    </row>
    <row r="430" ht="18" customHeight="1">
      <c r="A430" s="39" t="n">
        <v>425</v>
      </c>
      <c r="B430" s="49" t="n"/>
      <c r="C430" s="43" t="n"/>
      <c r="D430" s="32" t="n"/>
      <c r="E430" s="36" t="n"/>
      <c r="F430" s="36" t="n"/>
      <c r="G430" s="36" t="n"/>
      <c r="H430" s="33">
        <f>IF(E430="","",Commercial_Id)</f>
        <v/>
      </c>
      <c r="I430" s="39">
        <f>IF(E430="","",IFERROR(VALUE(MID(E430,LEN(E430)-3,3)),""))</f>
        <v/>
      </c>
      <c r="J430" s="33">
        <f>IF(I430="","",H430&amp;"|"&amp;I430)</f>
        <v/>
      </c>
      <c r="K430" s="33">
        <f>IF(I430="","",IF(H430="À RENSEIGNER","GIC",H430)&amp;"-"&amp;TEXT(I430,"000"))</f>
        <v/>
      </c>
      <c r="L430" s="33">
        <f>IF(J430="","",IFERROR(INDEX(Cl_nom,MATCH(J430,Cl_cle,0)),"(client introuvable)"))</f>
        <v/>
      </c>
      <c r="M430" s="46">
        <f>IF(B430="","",DATE(YEAR(B430),MONTH(B430),1))</f>
        <v/>
      </c>
      <c r="N430" s="33">
        <f>IF(J430="","",IFERROR(INDEX(Cl_quartier,MATCH(J430,Cl_cle,0))&amp;"",""))</f>
        <v/>
      </c>
      <c r="O430" s="33">
        <f>IF(J430="","",IFERROR(INDEX(Cl_tel,MATCH(J430,Cl_cle,0))&amp;"",""))</f>
        <v/>
      </c>
      <c r="P430" s="34">
        <f>IF(J430="","",IFERROR(INDEX(Cl_potentiel,MATCH(J430,Cl_cle,0)),""))</f>
        <v/>
      </c>
      <c r="Q430" s="34">
        <f>IF(J430="","",IF(D430&lt;&gt;"",IF(COUNTIFS(VC_cle,J430,VC_type,"Visite sur place",VC_date,D430)&gt;0,"Visité",IF(D430&lt;TODAY(),"Non fait","À venir")),IF(B430="","",IF(COUNTIFS(VC_cle,J430,VC_type,"Visite sur place",VC_date,"&gt;="&amp;M430,VC_date,"&lt;"&amp;DATE(YEAR(M430),MONTH(M430)+1,1))&gt;0,"Visité","À visiter"))))</f>
        <v/>
      </c>
    </row>
    <row r="431" ht="18" customHeight="1">
      <c r="A431" s="39" t="n">
        <v>426</v>
      </c>
      <c r="B431" s="49" t="n"/>
      <c r="C431" s="43" t="n"/>
      <c r="D431" s="32" t="n"/>
      <c r="E431" s="36" t="n"/>
      <c r="F431" s="36" t="n"/>
      <c r="G431" s="36" t="n"/>
      <c r="H431" s="33">
        <f>IF(E431="","",Commercial_Id)</f>
        <v/>
      </c>
      <c r="I431" s="39">
        <f>IF(E431="","",IFERROR(VALUE(MID(E431,LEN(E431)-3,3)),""))</f>
        <v/>
      </c>
      <c r="J431" s="33">
        <f>IF(I431="","",H431&amp;"|"&amp;I431)</f>
        <v/>
      </c>
      <c r="K431" s="33">
        <f>IF(I431="","",IF(H431="À RENSEIGNER","GIC",H431)&amp;"-"&amp;TEXT(I431,"000"))</f>
        <v/>
      </c>
      <c r="L431" s="33">
        <f>IF(J431="","",IFERROR(INDEX(Cl_nom,MATCH(J431,Cl_cle,0)),"(client introuvable)"))</f>
        <v/>
      </c>
      <c r="M431" s="46">
        <f>IF(B431="","",DATE(YEAR(B431),MONTH(B431),1))</f>
        <v/>
      </c>
      <c r="N431" s="33">
        <f>IF(J431="","",IFERROR(INDEX(Cl_quartier,MATCH(J431,Cl_cle,0))&amp;"",""))</f>
        <v/>
      </c>
      <c r="O431" s="33">
        <f>IF(J431="","",IFERROR(INDEX(Cl_tel,MATCH(J431,Cl_cle,0))&amp;"",""))</f>
        <v/>
      </c>
      <c r="P431" s="34">
        <f>IF(J431="","",IFERROR(INDEX(Cl_potentiel,MATCH(J431,Cl_cle,0)),""))</f>
        <v/>
      </c>
      <c r="Q431" s="34">
        <f>IF(J431="","",IF(D431&lt;&gt;"",IF(COUNTIFS(VC_cle,J431,VC_type,"Visite sur place",VC_date,D431)&gt;0,"Visité",IF(D431&lt;TODAY(),"Non fait","À venir")),IF(B431="","",IF(COUNTIFS(VC_cle,J431,VC_type,"Visite sur place",VC_date,"&gt;="&amp;M431,VC_date,"&lt;"&amp;DATE(YEAR(M431),MONTH(M431)+1,1))&gt;0,"Visité","À visiter"))))</f>
        <v/>
      </c>
    </row>
    <row r="432" ht="18" customHeight="1">
      <c r="A432" s="39" t="n">
        <v>427</v>
      </c>
      <c r="B432" s="49" t="n"/>
      <c r="C432" s="43" t="n"/>
      <c r="D432" s="32" t="n"/>
      <c r="E432" s="36" t="n"/>
      <c r="F432" s="36" t="n"/>
      <c r="G432" s="36" t="n"/>
      <c r="H432" s="33">
        <f>IF(E432="","",Commercial_Id)</f>
        <v/>
      </c>
      <c r="I432" s="39">
        <f>IF(E432="","",IFERROR(VALUE(MID(E432,LEN(E432)-3,3)),""))</f>
        <v/>
      </c>
      <c r="J432" s="33">
        <f>IF(I432="","",H432&amp;"|"&amp;I432)</f>
        <v/>
      </c>
      <c r="K432" s="33">
        <f>IF(I432="","",IF(H432="À RENSEIGNER","GIC",H432)&amp;"-"&amp;TEXT(I432,"000"))</f>
        <v/>
      </c>
      <c r="L432" s="33">
        <f>IF(J432="","",IFERROR(INDEX(Cl_nom,MATCH(J432,Cl_cle,0)),"(client introuvable)"))</f>
        <v/>
      </c>
      <c r="M432" s="46">
        <f>IF(B432="","",DATE(YEAR(B432),MONTH(B432),1))</f>
        <v/>
      </c>
      <c r="N432" s="33">
        <f>IF(J432="","",IFERROR(INDEX(Cl_quartier,MATCH(J432,Cl_cle,0))&amp;"",""))</f>
        <v/>
      </c>
      <c r="O432" s="33">
        <f>IF(J432="","",IFERROR(INDEX(Cl_tel,MATCH(J432,Cl_cle,0))&amp;"",""))</f>
        <v/>
      </c>
      <c r="P432" s="34">
        <f>IF(J432="","",IFERROR(INDEX(Cl_potentiel,MATCH(J432,Cl_cle,0)),""))</f>
        <v/>
      </c>
      <c r="Q432" s="34">
        <f>IF(J432="","",IF(D432&lt;&gt;"",IF(COUNTIFS(VC_cle,J432,VC_type,"Visite sur place",VC_date,D432)&gt;0,"Visité",IF(D432&lt;TODAY(),"Non fait","À venir")),IF(B432="","",IF(COUNTIFS(VC_cle,J432,VC_type,"Visite sur place",VC_date,"&gt;="&amp;M432,VC_date,"&lt;"&amp;DATE(YEAR(M432),MONTH(M432)+1,1))&gt;0,"Visité","À visiter"))))</f>
        <v/>
      </c>
    </row>
    <row r="433" ht="18" customHeight="1">
      <c r="A433" s="39" t="n">
        <v>428</v>
      </c>
      <c r="B433" s="49" t="n"/>
      <c r="C433" s="43" t="n"/>
      <c r="D433" s="32" t="n"/>
      <c r="E433" s="36" t="n"/>
      <c r="F433" s="36" t="n"/>
      <c r="G433" s="36" t="n"/>
      <c r="H433" s="33">
        <f>IF(E433="","",Commercial_Id)</f>
        <v/>
      </c>
      <c r="I433" s="39">
        <f>IF(E433="","",IFERROR(VALUE(MID(E433,LEN(E433)-3,3)),""))</f>
        <v/>
      </c>
      <c r="J433" s="33">
        <f>IF(I433="","",H433&amp;"|"&amp;I433)</f>
        <v/>
      </c>
      <c r="K433" s="33">
        <f>IF(I433="","",IF(H433="À RENSEIGNER","GIC",H433)&amp;"-"&amp;TEXT(I433,"000"))</f>
        <v/>
      </c>
      <c r="L433" s="33">
        <f>IF(J433="","",IFERROR(INDEX(Cl_nom,MATCH(J433,Cl_cle,0)),"(client introuvable)"))</f>
        <v/>
      </c>
      <c r="M433" s="46">
        <f>IF(B433="","",DATE(YEAR(B433),MONTH(B433),1))</f>
        <v/>
      </c>
      <c r="N433" s="33">
        <f>IF(J433="","",IFERROR(INDEX(Cl_quartier,MATCH(J433,Cl_cle,0))&amp;"",""))</f>
        <v/>
      </c>
      <c r="O433" s="33">
        <f>IF(J433="","",IFERROR(INDEX(Cl_tel,MATCH(J433,Cl_cle,0))&amp;"",""))</f>
        <v/>
      </c>
      <c r="P433" s="34">
        <f>IF(J433="","",IFERROR(INDEX(Cl_potentiel,MATCH(J433,Cl_cle,0)),""))</f>
        <v/>
      </c>
      <c r="Q433" s="34">
        <f>IF(J433="","",IF(D433&lt;&gt;"",IF(COUNTIFS(VC_cle,J433,VC_type,"Visite sur place",VC_date,D433)&gt;0,"Visité",IF(D433&lt;TODAY(),"Non fait","À venir")),IF(B433="","",IF(COUNTIFS(VC_cle,J433,VC_type,"Visite sur place",VC_date,"&gt;="&amp;M433,VC_date,"&lt;"&amp;DATE(YEAR(M433),MONTH(M433)+1,1))&gt;0,"Visité","À visiter"))))</f>
        <v/>
      </c>
    </row>
    <row r="434" ht="18" customHeight="1">
      <c r="A434" s="39" t="n">
        <v>429</v>
      </c>
      <c r="B434" s="49" t="n"/>
      <c r="C434" s="43" t="n"/>
      <c r="D434" s="32" t="n"/>
      <c r="E434" s="36" t="n"/>
      <c r="F434" s="36" t="n"/>
      <c r="G434" s="36" t="n"/>
      <c r="H434" s="33">
        <f>IF(E434="","",Commercial_Id)</f>
        <v/>
      </c>
      <c r="I434" s="39">
        <f>IF(E434="","",IFERROR(VALUE(MID(E434,LEN(E434)-3,3)),""))</f>
        <v/>
      </c>
      <c r="J434" s="33">
        <f>IF(I434="","",H434&amp;"|"&amp;I434)</f>
        <v/>
      </c>
      <c r="K434" s="33">
        <f>IF(I434="","",IF(H434="À RENSEIGNER","GIC",H434)&amp;"-"&amp;TEXT(I434,"000"))</f>
        <v/>
      </c>
      <c r="L434" s="33">
        <f>IF(J434="","",IFERROR(INDEX(Cl_nom,MATCH(J434,Cl_cle,0)),"(client introuvable)"))</f>
        <v/>
      </c>
      <c r="M434" s="46">
        <f>IF(B434="","",DATE(YEAR(B434),MONTH(B434),1))</f>
        <v/>
      </c>
      <c r="N434" s="33">
        <f>IF(J434="","",IFERROR(INDEX(Cl_quartier,MATCH(J434,Cl_cle,0))&amp;"",""))</f>
        <v/>
      </c>
      <c r="O434" s="33">
        <f>IF(J434="","",IFERROR(INDEX(Cl_tel,MATCH(J434,Cl_cle,0))&amp;"",""))</f>
        <v/>
      </c>
      <c r="P434" s="34">
        <f>IF(J434="","",IFERROR(INDEX(Cl_potentiel,MATCH(J434,Cl_cle,0)),""))</f>
        <v/>
      </c>
      <c r="Q434" s="34">
        <f>IF(J434="","",IF(D434&lt;&gt;"",IF(COUNTIFS(VC_cle,J434,VC_type,"Visite sur place",VC_date,D434)&gt;0,"Visité",IF(D434&lt;TODAY(),"Non fait","À venir")),IF(B434="","",IF(COUNTIFS(VC_cle,J434,VC_type,"Visite sur place",VC_date,"&gt;="&amp;M434,VC_date,"&lt;"&amp;DATE(YEAR(M434),MONTH(M434)+1,1))&gt;0,"Visité","À visiter"))))</f>
        <v/>
      </c>
    </row>
    <row r="435" ht="18" customHeight="1">
      <c r="A435" s="39" t="n">
        <v>430</v>
      </c>
      <c r="B435" s="49" t="n"/>
      <c r="C435" s="43" t="n"/>
      <c r="D435" s="32" t="n"/>
      <c r="E435" s="36" t="n"/>
      <c r="F435" s="36" t="n"/>
      <c r="G435" s="36" t="n"/>
      <c r="H435" s="33">
        <f>IF(E435="","",Commercial_Id)</f>
        <v/>
      </c>
      <c r="I435" s="39">
        <f>IF(E435="","",IFERROR(VALUE(MID(E435,LEN(E435)-3,3)),""))</f>
        <v/>
      </c>
      <c r="J435" s="33">
        <f>IF(I435="","",H435&amp;"|"&amp;I435)</f>
        <v/>
      </c>
      <c r="K435" s="33">
        <f>IF(I435="","",IF(H435="À RENSEIGNER","GIC",H435)&amp;"-"&amp;TEXT(I435,"000"))</f>
        <v/>
      </c>
      <c r="L435" s="33">
        <f>IF(J435="","",IFERROR(INDEX(Cl_nom,MATCH(J435,Cl_cle,0)),"(client introuvable)"))</f>
        <v/>
      </c>
      <c r="M435" s="46">
        <f>IF(B435="","",DATE(YEAR(B435),MONTH(B435),1))</f>
        <v/>
      </c>
      <c r="N435" s="33">
        <f>IF(J435="","",IFERROR(INDEX(Cl_quartier,MATCH(J435,Cl_cle,0))&amp;"",""))</f>
        <v/>
      </c>
      <c r="O435" s="33">
        <f>IF(J435="","",IFERROR(INDEX(Cl_tel,MATCH(J435,Cl_cle,0))&amp;"",""))</f>
        <v/>
      </c>
      <c r="P435" s="34">
        <f>IF(J435="","",IFERROR(INDEX(Cl_potentiel,MATCH(J435,Cl_cle,0)),""))</f>
        <v/>
      </c>
      <c r="Q435" s="34">
        <f>IF(J435="","",IF(D435&lt;&gt;"",IF(COUNTIFS(VC_cle,J435,VC_type,"Visite sur place",VC_date,D435)&gt;0,"Visité",IF(D435&lt;TODAY(),"Non fait","À venir")),IF(B435="","",IF(COUNTIFS(VC_cle,J435,VC_type,"Visite sur place",VC_date,"&gt;="&amp;M435,VC_date,"&lt;"&amp;DATE(YEAR(M435),MONTH(M435)+1,1))&gt;0,"Visité","À visiter"))))</f>
        <v/>
      </c>
    </row>
    <row r="436" ht="18" customHeight="1">
      <c r="A436" s="39" t="n">
        <v>431</v>
      </c>
      <c r="B436" s="49" t="n"/>
      <c r="C436" s="43" t="n"/>
      <c r="D436" s="32" t="n"/>
      <c r="E436" s="36" t="n"/>
      <c r="F436" s="36" t="n"/>
      <c r="G436" s="36" t="n"/>
      <c r="H436" s="33">
        <f>IF(E436="","",Commercial_Id)</f>
        <v/>
      </c>
      <c r="I436" s="39">
        <f>IF(E436="","",IFERROR(VALUE(MID(E436,LEN(E436)-3,3)),""))</f>
        <v/>
      </c>
      <c r="J436" s="33">
        <f>IF(I436="","",H436&amp;"|"&amp;I436)</f>
        <v/>
      </c>
      <c r="K436" s="33">
        <f>IF(I436="","",IF(H436="À RENSEIGNER","GIC",H436)&amp;"-"&amp;TEXT(I436,"000"))</f>
        <v/>
      </c>
      <c r="L436" s="33">
        <f>IF(J436="","",IFERROR(INDEX(Cl_nom,MATCH(J436,Cl_cle,0)),"(client introuvable)"))</f>
        <v/>
      </c>
      <c r="M436" s="46">
        <f>IF(B436="","",DATE(YEAR(B436),MONTH(B436),1))</f>
        <v/>
      </c>
      <c r="N436" s="33">
        <f>IF(J436="","",IFERROR(INDEX(Cl_quartier,MATCH(J436,Cl_cle,0))&amp;"",""))</f>
        <v/>
      </c>
      <c r="O436" s="33">
        <f>IF(J436="","",IFERROR(INDEX(Cl_tel,MATCH(J436,Cl_cle,0))&amp;"",""))</f>
        <v/>
      </c>
      <c r="P436" s="34">
        <f>IF(J436="","",IFERROR(INDEX(Cl_potentiel,MATCH(J436,Cl_cle,0)),""))</f>
        <v/>
      </c>
      <c r="Q436" s="34">
        <f>IF(J436="","",IF(D436&lt;&gt;"",IF(COUNTIFS(VC_cle,J436,VC_type,"Visite sur place",VC_date,D436)&gt;0,"Visité",IF(D436&lt;TODAY(),"Non fait","À venir")),IF(B436="","",IF(COUNTIFS(VC_cle,J436,VC_type,"Visite sur place",VC_date,"&gt;="&amp;M436,VC_date,"&lt;"&amp;DATE(YEAR(M436),MONTH(M436)+1,1))&gt;0,"Visité","À visiter"))))</f>
        <v/>
      </c>
    </row>
    <row r="437" ht="18" customHeight="1">
      <c r="A437" s="39" t="n">
        <v>432</v>
      </c>
      <c r="B437" s="49" t="n"/>
      <c r="C437" s="43" t="n"/>
      <c r="D437" s="32" t="n"/>
      <c r="E437" s="36" t="n"/>
      <c r="F437" s="36" t="n"/>
      <c r="G437" s="36" t="n"/>
      <c r="H437" s="33">
        <f>IF(E437="","",Commercial_Id)</f>
        <v/>
      </c>
      <c r="I437" s="39">
        <f>IF(E437="","",IFERROR(VALUE(MID(E437,LEN(E437)-3,3)),""))</f>
        <v/>
      </c>
      <c r="J437" s="33">
        <f>IF(I437="","",H437&amp;"|"&amp;I437)</f>
        <v/>
      </c>
      <c r="K437" s="33">
        <f>IF(I437="","",IF(H437="À RENSEIGNER","GIC",H437)&amp;"-"&amp;TEXT(I437,"000"))</f>
        <v/>
      </c>
      <c r="L437" s="33">
        <f>IF(J437="","",IFERROR(INDEX(Cl_nom,MATCH(J437,Cl_cle,0)),"(client introuvable)"))</f>
        <v/>
      </c>
      <c r="M437" s="46">
        <f>IF(B437="","",DATE(YEAR(B437),MONTH(B437),1))</f>
        <v/>
      </c>
      <c r="N437" s="33">
        <f>IF(J437="","",IFERROR(INDEX(Cl_quartier,MATCH(J437,Cl_cle,0))&amp;"",""))</f>
        <v/>
      </c>
      <c r="O437" s="33">
        <f>IF(J437="","",IFERROR(INDEX(Cl_tel,MATCH(J437,Cl_cle,0))&amp;"",""))</f>
        <v/>
      </c>
      <c r="P437" s="34">
        <f>IF(J437="","",IFERROR(INDEX(Cl_potentiel,MATCH(J437,Cl_cle,0)),""))</f>
        <v/>
      </c>
      <c r="Q437" s="34">
        <f>IF(J437="","",IF(D437&lt;&gt;"",IF(COUNTIFS(VC_cle,J437,VC_type,"Visite sur place",VC_date,D437)&gt;0,"Visité",IF(D437&lt;TODAY(),"Non fait","À venir")),IF(B437="","",IF(COUNTIFS(VC_cle,J437,VC_type,"Visite sur place",VC_date,"&gt;="&amp;M437,VC_date,"&lt;"&amp;DATE(YEAR(M437),MONTH(M437)+1,1))&gt;0,"Visité","À visiter"))))</f>
        <v/>
      </c>
    </row>
    <row r="438" ht="18" customHeight="1">
      <c r="A438" s="39" t="n">
        <v>433</v>
      </c>
      <c r="B438" s="49" t="n"/>
      <c r="C438" s="43" t="n"/>
      <c r="D438" s="32" t="n"/>
      <c r="E438" s="36" t="n"/>
      <c r="F438" s="36" t="n"/>
      <c r="G438" s="36" t="n"/>
      <c r="H438" s="33">
        <f>IF(E438="","",Commercial_Id)</f>
        <v/>
      </c>
      <c r="I438" s="39">
        <f>IF(E438="","",IFERROR(VALUE(MID(E438,LEN(E438)-3,3)),""))</f>
        <v/>
      </c>
      <c r="J438" s="33">
        <f>IF(I438="","",H438&amp;"|"&amp;I438)</f>
        <v/>
      </c>
      <c r="K438" s="33">
        <f>IF(I438="","",IF(H438="À RENSEIGNER","GIC",H438)&amp;"-"&amp;TEXT(I438,"000"))</f>
        <v/>
      </c>
      <c r="L438" s="33">
        <f>IF(J438="","",IFERROR(INDEX(Cl_nom,MATCH(J438,Cl_cle,0)),"(client introuvable)"))</f>
        <v/>
      </c>
      <c r="M438" s="46">
        <f>IF(B438="","",DATE(YEAR(B438),MONTH(B438),1))</f>
        <v/>
      </c>
      <c r="N438" s="33">
        <f>IF(J438="","",IFERROR(INDEX(Cl_quartier,MATCH(J438,Cl_cle,0))&amp;"",""))</f>
        <v/>
      </c>
      <c r="O438" s="33">
        <f>IF(J438="","",IFERROR(INDEX(Cl_tel,MATCH(J438,Cl_cle,0))&amp;"",""))</f>
        <v/>
      </c>
      <c r="P438" s="34">
        <f>IF(J438="","",IFERROR(INDEX(Cl_potentiel,MATCH(J438,Cl_cle,0)),""))</f>
        <v/>
      </c>
      <c r="Q438" s="34">
        <f>IF(J438="","",IF(D438&lt;&gt;"",IF(COUNTIFS(VC_cle,J438,VC_type,"Visite sur place",VC_date,D438)&gt;0,"Visité",IF(D438&lt;TODAY(),"Non fait","À venir")),IF(B438="","",IF(COUNTIFS(VC_cle,J438,VC_type,"Visite sur place",VC_date,"&gt;="&amp;M438,VC_date,"&lt;"&amp;DATE(YEAR(M438),MONTH(M438)+1,1))&gt;0,"Visité","À visiter"))))</f>
        <v/>
      </c>
    </row>
    <row r="439" ht="18" customHeight="1">
      <c r="A439" s="39" t="n">
        <v>434</v>
      </c>
      <c r="B439" s="49" t="n"/>
      <c r="C439" s="43" t="n"/>
      <c r="D439" s="32" t="n"/>
      <c r="E439" s="36" t="n"/>
      <c r="F439" s="36" t="n"/>
      <c r="G439" s="36" t="n"/>
      <c r="H439" s="33">
        <f>IF(E439="","",Commercial_Id)</f>
        <v/>
      </c>
      <c r="I439" s="39">
        <f>IF(E439="","",IFERROR(VALUE(MID(E439,LEN(E439)-3,3)),""))</f>
        <v/>
      </c>
      <c r="J439" s="33">
        <f>IF(I439="","",H439&amp;"|"&amp;I439)</f>
        <v/>
      </c>
      <c r="K439" s="33">
        <f>IF(I439="","",IF(H439="À RENSEIGNER","GIC",H439)&amp;"-"&amp;TEXT(I439,"000"))</f>
        <v/>
      </c>
      <c r="L439" s="33">
        <f>IF(J439="","",IFERROR(INDEX(Cl_nom,MATCH(J439,Cl_cle,0)),"(client introuvable)"))</f>
        <v/>
      </c>
      <c r="M439" s="46">
        <f>IF(B439="","",DATE(YEAR(B439),MONTH(B439),1))</f>
        <v/>
      </c>
      <c r="N439" s="33">
        <f>IF(J439="","",IFERROR(INDEX(Cl_quartier,MATCH(J439,Cl_cle,0))&amp;"",""))</f>
        <v/>
      </c>
      <c r="O439" s="33">
        <f>IF(J439="","",IFERROR(INDEX(Cl_tel,MATCH(J439,Cl_cle,0))&amp;"",""))</f>
        <v/>
      </c>
      <c r="P439" s="34">
        <f>IF(J439="","",IFERROR(INDEX(Cl_potentiel,MATCH(J439,Cl_cle,0)),""))</f>
        <v/>
      </c>
      <c r="Q439" s="34">
        <f>IF(J439="","",IF(D439&lt;&gt;"",IF(COUNTIFS(VC_cle,J439,VC_type,"Visite sur place",VC_date,D439)&gt;0,"Visité",IF(D439&lt;TODAY(),"Non fait","À venir")),IF(B439="","",IF(COUNTIFS(VC_cle,J439,VC_type,"Visite sur place",VC_date,"&gt;="&amp;M439,VC_date,"&lt;"&amp;DATE(YEAR(M439),MONTH(M439)+1,1))&gt;0,"Visité","À visiter"))))</f>
        <v/>
      </c>
    </row>
    <row r="440" ht="18" customHeight="1">
      <c r="A440" s="39" t="n">
        <v>435</v>
      </c>
      <c r="B440" s="49" t="n"/>
      <c r="C440" s="43" t="n"/>
      <c r="D440" s="32" t="n"/>
      <c r="E440" s="36" t="n"/>
      <c r="F440" s="36" t="n"/>
      <c r="G440" s="36" t="n"/>
      <c r="H440" s="33">
        <f>IF(E440="","",Commercial_Id)</f>
        <v/>
      </c>
      <c r="I440" s="39">
        <f>IF(E440="","",IFERROR(VALUE(MID(E440,LEN(E440)-3,3)),""))</f>
        <v/>
      </c>
      <c r="J440" s="33">
        <f>IF(I440="","",H440&amp;"|"&amp;I440)</f>
        <v/>
      </c>
      <c r="K440" s="33">
        <f>IF(I440="","",IF(H440="À RENSEIGNER","GIC",H440)&amp;"-"&amp;TEXT(I440,"000"))</f>
        <v/>
      </c>
      <c r="L440" s="33">
        <f>IF(J440="","",IFERROR(INDEX(Cl_nom,MATCH(J440,Cl_cle,0)),"(client introuvable)"))</f>
        <v/>
      </c>
      <c r="M440" s="46">
        <f>IF(B440="","",DATE(YEAR(B440),MONTH(B440),1))</f>
        <v/>
      </c>
      <c r="N440" s="33">
        <f>IF(J440="","",IFERROR(INDEX(Cl_quartier,MATCH(J440,Cl_cle,0))&amp;"",""))</f>
        <v/>
      </c>
      <c r="O440" s="33">
        <f>IF(J440="","",IFERROR(INDEX(Cl_tel,MATCH(J440,Cl_cle,0))&amp;"",""))</f>
        <v/>
      </c>
      <c r="P440" s="34">
        <f>IF(J440="","",IFERROR(INDEX(Cl_potentiel,MATCH(J440,Cl_cle,0)),""))</f>
        <v/>
      </c>
      <c r="Q440" s="34">
        <f>IF(J440="","",IF(D440&lt;&gt;"",IF(COUNTIFS(VC_cle,J440,VC_type,"Visite sur place",VC_date,D440)&gt;0,"Visité",IF(D440&lt;TODAY(),"Non fait","À venir")),IF(B440="","",IF(COUNTIFS(VC_cle,J440,VC_type,"Visite sur place",VC_date,"&gt;="&amp;M440,VC_date,"&lt;"&amp;DATE(YEAR(M440),MONTH(M440)+1,1))&gt;0,"Visité","À visiter"))))</f>
        <v/>
      </c>
    </row>
    <row r="441" ht="18" customHeight="1">
      <c r="A441" s="39" t="n">
        <v>436</v>
      </c>
      <c r="B441" s="49" t="n"/>
      <c r="C441" s="43" t="n"/>
      <c r="D441" s="32" t="n"/>
      <c r="E441" s="36" t="n"/>
      <c r="F441" s="36" t="n"/>
      <c r="G441" s="36" t="n"/>
      <c r="H441" s="33">
        <f>IF(E441="","",Commercial_Id)</f>
        <v/>
      </c>
      <c r="I441" s="39">
        <f>IF(E441="","",IFERROR(VALUE(MID(E441,LEN(E441)-3,3)),""))</f>
        <v/>
      </c>
      <c r="J441" s="33">
        <f>IF(I441="","",H441&amp;"|"&amp;I441)</f>
        <v/>
      </c>
      <c r="K441" s="33">
        <f>IF(I441="","",IF(H441="À RENSEIGNER","GIC",H441)&amp;"-"&amp;TEXT(I441,"000"))</f>
        <v/>
      </c>
      <c r="L441" s="33">
        <f>IF(J441="","",IFERROR(INDEX(Cl_nom,MATCH(J441,Cl_cle,0)),"(client introuvable)"))</f>
        <v/>
      </c>
      <c r="M441" s="46">
        <f>IF(B441="","",DATE(YEAR(B441),MONTH(B441),1))</f>
        <v/>
      </c>
      <c r="N441" s="33">
        <f>IF(J441="","",IFERROR(INDEX(Cl_quartier,MATCH(J441,Cl_cle,0))&amp;"",""))</f>
        <v/>
      </c>
      <c r="O441" s="33">
        <f>IF(J441="","",IFERROR(INDEX(Cl_tel,MATCH(J441,Cl_cle,0))&amp;"",""))</f>
        <v/>
      </c>
      <c r="P441" s="34">
        <f>IF(J441="","",IFERROR(INDEX(Cl_potentiel,MATCH(J441,Cl_cle,0)),""))</f>
        <v/>
      </c>
      <c r="Q441" s="34">
        <f>IF(J441="","",IF(D441&lt;&gt;"",IF(COUNTIFS(VC_cle,J441,VC_type,"Visite sur place",VC_date,D441)&gt;0,"Visité",IF(D441&lt;TODAY(),"Non fait","À venir")),IF(B441="","",IF(COUNTIFS(VC_cle,J441,VC_type,"Visite sur place",VC_date,"&gt;="&amp;M441,VC_date,"&lt;"&amp;DATE(YEAR(M441),MONTH(M441)+1,1))&gt;0,"Visité","À visiter"))))</f>
        <v/>
      </c>
    </row>
    <row r="442" ht="18" customHeight="1">
      <c r="A442" s="39" t="n">
        <v>437</v>
      </c>
      <c r="B442" s="49" t="n"/>
      <c r="C442" s="43" t="n"/>
      <c r="D442" s="32" t="n"/>
      <c r="E442" s="36" t="n"/>
      <c r="F442" s="36" t="n"/>
      <c r="G442" s="36" t="n"/>
      <c r="H442" s="33">
        <f>IF(E442="","",Commercial_Id)</f>
        <v/>
      </c>
      <c r="I442" s="39">
        <f>IF(E442="","",IFERROR(VALUE(MID(E442,LEN(E442)-3,3)),""))</f>
        <v/>
      </c>
      <c r="J442" s="33">
        <f>IF(I442="","",H442&amp;"|"&amp;I442)</f>
        <v/>
      </c>
      <c r="K442" s="33">
        <f>IF(I442="","",IF(H442="À RENSEIGNER","GIC",H442)&amp;"-"&amp;TEXT(I442,"000"))</f>
        <v/>
      </c>
      <c r="L442" s="33">
        <f>IF(J442="","",IFERROR(INDEX(Cl_nom,MATCH(J442,Cl_cle,0)),"(client introuvable)"))</f>
        <v/>
      </c>
      <c r="M442" s="46">
        <f>IF(B442="","",DATE(YEAR(B442),MONTH(B442),1))</f>
        <v/>
      </c>
      <c r="N442" s="33">
        <f>IF(J442="","",IFERROR(INDEX(Cl_quartier,MATCH(J442,Cl_cle,0))&amp;"",""))</f>
        <v/>
      </c>
      <c r="O442" s="33">
        <f>IF(J442="","",IFERROR(INDEX(Cl_tel,MATCH(J442,Cl_cle,0))&amp;"",""))</f>
        <v/>
      </c>
      <c r="P442" s="34">
        <f>IF(J442="","",IFERROR(INDEX(Cl_potentiel,MATCH(J442,Cl_cle,0)),""))</f>
        <v/>
      </c>
      <c r="Q442" s="34">
        <f>IF(J442="","",IF(D442&lt;&gt;"",IF(COUNTIFS(VC_cle,J442,VC_type,"Visite sur place",VC_date,D442)&gt;0,"Visité",IF(D442&lt;TODAY(),"Non fait","À venir")),IF(B442="","",IF(COUNTIFS(VC_cle,J442,VC_type,"Visite sur place",VC_date,"&gt;="&amp;M442,VC_date,"&lt;"&amp;DATE(YEAR(M442),MONTH(M442)+1,1))&gt;0,"Visité","À visiter"))))</f>
        <v/>
      </c>
    </row>
    <row r="443" ht="18" customHeight="1">
      <c r="A443" s="39" t="n">
        <v>438</v>
      </c>
      <c r="B443" s="49" t="n"/>
      <c r="C443" s="43" t="n"/>
      <c r="D443" s="32" t="n"/>
      <c r="E443" s="36" t="n"/>
      <c r="F443" s="36" t="n"/>
      <c r="G443" s="36" t="n"/>
      <c r="H443" s="33">
        <f>IF(E443="","",Commercial_Id)</f>
        <v/>
      </c>
      <c r="I443" s="39">
        <f>IF(E443="","",IFERROR(VALUE(MID(E443,LEN(E443)-3,3)),""))</f>
        <v/>
      </c>
      <c r="J443" s="33">
        <f>IF(I443="","",H443&amp;"|"&amp;I443)</f>
        <v/>
      </c>
      <c r="K443" s="33">
        <f>IF(I443="","",IF(H443="À RENSEIGNER","GIC",H443)&amp;"-"&amp;TEXT(I443,"000"))</f>
        <v/>
      </c>
      <c r="L443" s="33">
        <f>IF(J443="","",IFERROR(INDEX(Cl_nom,MATCH(J443,Cl_cle,0)),"(client introuvable)"))</f>
        <v/>
      </c>
      <c r="M443" s="46">
        <f>IF(B443="","",DATE(YEAR(B443),MONTH(B443),1))</f>
        <v/>
      </c>
      <c r="N443" s="33">
        <f>IF(J443="","",IFERROR(INDEX(Cl_quartier,MATCH(J443,Cl_cle,0))&amp;"",""))</f>
        <v/>
      </c>
      <c r="O443" s="33">
        <f>IF(J443="","",IFERROR(INDEX(Cl_tel,MATCH(J443,Cl_cle,0))&amp;"",""))</f>
        <v/>
      </c>
      <c r="P443" s="34">
        <f>IF(J443="","",IFERROR(INDEX(Cl_potentiel,MATCH(J443,Cl_cle,0)),""))</f>
        <v/>
      </c>
      <c r="Q443" s="34">
        <f>IF(J443="","",IF(D443&lt;&gt;"",IF(COUNTIFS(VC_cle,J443,VC_type,"Visite sur place",VC_date,D443)&gt;0,"Visité",IF(D443&lt;TODAY(),"Non fait","À venir")),IF(B443="","",IF(COUNTIFS(VC_cle,J443,VC_type,"Visite sur place",VC_date,"&gt;="&amp;M443,VC_date,"&lt;"&amp;DATE(YEAR(M443),MONTH(M443)+1,1))&gt;0,"Visité","À visiter"))))</f>
        <v/>
      </c>
    </row>
    <row r="444" ht="18" customHeight="1">
      <c r="A444" s="39" t="n">
        <v>439</v>
      </c>
      <c r="B444" s="49" t="n"/>
      <c r="C444" s="43" t="n"/>
      <c r="D444" s="32" t="n"/>
      <c r="E444" s="36" t="n"/>
      <c r="F444" s="36" t="n"/>
      <c r="G444" s="36" t="n"/>
      <c r="H444" s="33">
        <f>IF(E444="","",Commercial_Id)</f>
        <v/>
      </c>
      <c r="I444" s="39">
        <f>IF(E444="","",IFERROR(VALUE(MID(E444,LEN(E444)-3,3)),""))</f>
        <v/>
      </c>
      <c r="J444" s="33">
        <f>IF(I444="","",H444&amp;"|"&amp;I444)</f>
        <v/>
      </c>
      <c r="K444" s="33">
        <f>IF(I444="","",IF(H444="À RENSEIGNER","GIC",H444)&amp;"-"&amp;TEXT(I444,"000"))</f>
        <v/>
      </c>
      <c r="L444" s="33">
        <f>IF(J444="","",IFERROR(INDEX(Cl_nom,MATCH(J444,Cl_cle,0)),"(client introuvable)"))</f>
        <v/>
      </c>
      <c r="M444" s="46">
        <f>IF(B444="","",DATE(YEAR(B444),MONTH(B444),1))</f>
        <v/>
      </c>
      <c r="N444" s="33">
        <f>IF(J444="","",IFERROR(INDEX(Cl_quartier,MATCH(J444,Cl_cle,0))&amp;"",""))</f>
        <v/>
      </c>
      <c r="O444" s="33">
        <f>IF(J444="","",IFERROR(INDEX(Cl_tel,MATCH(J444,Cl_cle,0))&amp;"",""))</f>
        <v/>
      </c>
      <c r="P444" s="34">
        <f>IF(J444="","",IFERROR(INDEX(Cl_potentiel,MATCH(J444,Cl_cle,0)),""))</f>
        <v/>
      </c>
      <c r="Q444" s="34">
        <f>IF(J444="","",IF(D444&lt;&gt;"",IF(COUNTIFS(VC_cle,J444,VC_type,"Visite sur place",VC_date,D444)&gt;0,"Visité",IF(D444&lt;TODAY(),"Non fait","À venir")),IF(B444="","",IF(COUNTIFS(VC_cle,J444,VC_type,"Visite sur place",VC_date,"&gt;="&amp;M444,VC_date,"&lt;"&amp;DATE(YEAR(M444),MONTH(M444)+1,1))&gt;0,"Visité","À visiter"))))</f>
        <v/>
      </c>
    </row>
    <row r="445" ht="18" customHeight="1">
      <c r="A445" s="39" t="n">
        <v>440</v>
      </c>
      <c r="B445" s="49" t="n"/>
      <c r="C445" s="43" t="n"/>
      <c r="D445" s="32" t="n"/>
      <c r="E445" s="36" t="n"/>
      <c r="F445" s="36" t="n"/>
      <c r="G445" s="36" t="n"/>
      <c r="H445" s="33">
        <f>IF(E445="","",Commercial_Id)</f>
        <v/>
      </c>
      <c r="I445" s="39">
        <f>IF(E445="","",IFERROR(VALUE(MID(E445,LEN(E445)-3,3)),""))</f>
        <v/>
      </c>
      <c r="J445" s="33">
        <f>IF(I445="","",H445&amp;"|"&amp;I445)</f>
        <v/>
      </c>
      <c r="K445" s="33">
        <f>IF(I445="","",IF(H445="À RENSEIGNER","GIC",H445)&amp;"-"&amp;TEXT(I445,"000"))</f>
        <v/>
      </c>
      <c r="L445" s="33">
        <f>IF(J445="","",IFERROR(INDEX(Cl_nom,MATCH(J445,Cl_cle,0)),"(client introuvable)"))</f>
        <v/>
      </c>
      <c r="M445" s="46">
        <f>IF(B445="","",DATE(YEAR(B445),MONTH(B445),1))</f>
        <v/>
      </c>
      <c r="N445" s="33">
        <f>IF(J445="","",IFERROR(INDEX(Cl_quartier,MATCH(J445,Cl_cle,0))&amp;"",""))</f>
        <v/>
      </c>
      <c r="O445" s="33">
        <f>IF(J445="","",IFERROR(INDEX(Cl_tel,MATCH(J445,Cl_cle,0))&amp;"",""))</f>
        <v/>
      </c>
      <c r="P445" s="34">
        <f>IF(J445="","",IFERROR(INDEX(Cl_potentiel,MATCH(J445,Cl_cle,0)),""))</f>
        <v/>
      </c>
      <c r="Q445" s="34">
        <f>IF(J445="","",IF(D445&lt;&gt;"",IF(COUNTIFS(VC_cle,J445,VC_type,"Visite sur place",VC_date,D445)&gt;0,"Visité",IF(D445&lt;TODAY(),"Non fait","À venir")),IF(B445="","",IF(COUNTIFS(VC_cle,J445,VC_type,"Visite sur place",VC_date,"&gt;="&amp;M445,VC_date,"&lt;"&amp;DATE(YEAR(M445),MONTH(M445)+1,1))&gt;0,"Visité","À visiter"))))</f>
        <v/>
      </c>
    </row>
    <row r="446" ht="18" customHeight="1">
      <c r="A446" s="39" t="n">
        <v>441</v>
      </c>
      <c r="B446" s="49" t="n"/>
      <c r="C446" s="43" t="n"/>
      <c r="D446" s="32" t="n"/>
      <c r="E446" s="36" t="n"/>
      <c r="F446" s="36" t="n"/>
      <c r="G446" s="36" t="n"/>
      <c r="H446" s="33">
        <f>IF(E446="","",Commercial_Id)</f>
        <v/>
      </c>
      <c r="I446" s="39">
        <f>IF(E446="","",IFERROR(VALUE(MID(E446,LEN(E446)-3,3)),""))</f>
        <v/>
      </c>
      <c r="J446" s="33">
        <f>IF(I446="","",H446&amp;"|"&amp;I446)</f>
        <v/>
      </c>
      <c r="K446" s="33">
        <f>IF(I446="","",IF(H446="À RENSEIGNER","GIC",H446)&amp;"-"&amp;TEXT(I446,"000"))</f>
        <v/>
      </c>
      <c r="L446" s="33">
        <f>IF(J446="","",IFERROR(INDEX(Cl_nom,MATCH(J446,Cl_cle,0)),"(client introuvable)"))</f>
        <v/>
      </c>
      <c r="M446" s="46">
        <f>IF(B446="","",DATE(YEAR(B446),MONTH(B446),1))</f>
        <v/>
      </c>
      <c r="N446" s="33">
        <f>IF(J446="","",IFERROR(INDEX(Cl_quartier,MATCH(J446,Cl_cle,0))&amp;"",""))</f>
        <v/>
      </c>
      <c r="O446" s="33">
        <f>IF(J446="","",IFERROR(INDEX(Cl_tel,MATCH(J446,Cl_cle,0))&amp;"",""))</f>
        <v/>
      </c>
      <c r="P446" s="34">
        <f>IF(J446="","",IFERROR(INDEX(Cl_potentiel,MATCH(J446,Cl_cle,0)),""))</f>
        <v/>
      </c>
      <c r="Q446" s="34">
        <f>IF(J446="","",IF(D446&lt;&gt;"",IF(COUNTIFS(VC_cle,J446,VC_type,"Visite sur place",VC_date,D446)&gt;0,"Visité",IF(D446&lt;TODAY(),"Non fait","À venir")),IF(B446="","",IF(COUNTIFS(VC_cle,J446,VC_type,"Visite sur place",VC_date,"&gt;="&amp;M446,VC_date,"&lt;"&amp;DATE(YEAR(M446),MONTH(M446)+1,1))&gt;0,"Visité","À visiter"))))</f>
        <v/>
      </c>
    </row>
    <row r="447" ht="18" customHeight="1">
      <c r="A447" s="39" t="n">
        <v>442</v>
      </c>
      <c r="B447" s="49" t="n"/>
      <c r="C447" s="43" t="n"/>
      <c r="D447" s="32" t="n"/>
      <c r="E447" s="36" t="n"/>
      <c r="F447" s="36" t="n"/>
      <c r="G447" s="36" t="n"/>
      <c r="H447" s="33">
        <f>IF(E447="","",Commercial_Id)</f>
        <v/>
      </c>
      <c r="I447" s="39">
        <f>IF(E447="","",IFERROR(VALUE(MID(E447,LEN(E447)-3,3)),""))</f>
        <v/>
      </c>
      <c r="J447" s="33">
        <f>IF(I447="","",H447&amp;"|"&amp;I447)</f>
        <v/>
      </c>
      <c r="K447" s="33">
        <f>IF(I447="","",IF(H447="À RENSEIGNER","GIC",H447)&amp;"-"&amp;TEXT(I447,"000"))</f>
        <v/>
      </c>
      <c r="L447" s="33">
        <f>IF(J447="","",IFERROR(INDEX(Cl_nom,MATCH(J447,Cl_cle,0)),"(client introuvable)"))</f>
        <v/>
      </c>
      <c r="M447" s="46">
        <f>IF(B447="","",DATE(YEAR(B447),MONTH(B447),1))</f>
        <v/>
      </c>
      <c r="N447" s="33">
        <f>IF(J447="","",IFERROR(INDEX(Cl_quartier,MATCH(J447,Cl_cle,0))&amp;"",""))</f>
        <v/>
      </c>
      <c r="O447" s="33">
        <f>IF(J447="","",IFERROR(INDEX(Cl_tel,MATCH(J447,Cl_cle,0))&amp;"",""))</f>
        <v/>
      </c>
      <c r="P447" s="34">
        <f>IF(J447="","",IFERROR(INDEX(Cl_potentiel,MATCH(J447,Cl_cle,0)),""))</f>
        <v/>
      </c>
      <c r="Q447" s="34">
        <f>IF(J447="","",IF(D447&lt;&gt;"",IF(COUNTIFS(VC_cle,J447,VC_type,"Visite sur place",VC_date,D447)&gt;0,"Visité",IF(D447&lt;TODAY(),"Non fait","À venir")),IF(B447="","",IF(COUNTIFS(VC_cle,J447,VC_type,"Visite sur place",VC_date,"&gt;="&amp;M447,VC_date,"&lt;"&amp;DATE(YEAR(M447),MONTH(M447)+1,1))&gt;0,"Visité","À visiter"))))</f>
        <v/>
      </c>
    </row>
    <row r="448" ht="18" customHeight="1">
      <c r="A448" s="39" t="n">
        <v>443</v>
      </c>
      <c r="B448" s="49" t="n"/>
      <c r="C448" s="43" t="n"/>
      <c r="D448" s="32" t="n"/>
      <c r="E448" s="36" t="n"/>
      <c r="F448" s="36" t="n"/>
      <c r="G448" s="36" t="n"/>
      <c r="H448" s="33">
        <f>IF(E448="","",Commercial_Id)</f>
        <v/>
      </c>
      <c r="I448" s="39">
        <f>IF(E448="","",IFERROR(VALUE(MID(E448,LEN(E448)-3,3)),""))</f>
        <v/>
      </c>
      <c r="J448" s="33">
        <f>IF(I448="","",H448&amp;"|"&amp;I448)</f>
        <v/>
      </c>
      <c r="K448" s="33">
        <f>IF(I448="","",IF(H448="À RENSEIGNER","GIC",H448)&amp;"-"&amp;TEXT(I448,"000"))</f>
        <v/>
      </c>
      <c r="L448" s="33">
        <f>IF(J448="","",IFERROR(INDEX(Cl_nom,MATCH(J448,Cl_cle,0)),"(client introuvable)"))</f>
        <v/>
      </c>
      <c r="M448" s="46">
        <f>IF(B448="","",DATE(YEAR(B448),MONTH(B448),1))</f>
        <v/>
      </c>
      <c r="N448" s="33">
        <f>IF(J448="","",IFERROR(INDEX(Cl_quartier,MATCH(J448,Cl_cle,0))&amp;"",""))</f>
        <v/>
      </c>
      <c r="O448" s="33">
        <f>IF(J448="","",IFERROR(INDEX(Cl_tel,MATCH(J448,Cl_cle,0))&amp;"",""))</f>
        <v/>
      </c>
      <c r="P448" s="34">
        <f>IF(J448="","",IFERROR(INDEX(Cl_potentiel,MATCH(J448,Cl_cle,0)),""))</f>
        <v/>
      </c>
      <c r="Q448" s="34">
        <f>IF(J448="","",IF(D448&lt;&gt;"",IF(COUNTIFS(VC_cle,J448,VC_type,"Visite sur place",VC_date,D448)&gt;0,"Visité",IF(D448&lt;TODAY(),"Non fait","À venir")),IF(B448="","",IF(COUNTIFS(VC_cle,J448,VC_type,"Visite sur place",VC_date,"&gt;="&amp;M448,VC_date,"&lt;"&amp;DATE(YEAR(M448),MONTH(M448)+1,1))&gt;0,"Visité","À visiter"))))</f>
        <v/>
      </c>
    </row>
    <row r="449" ht="18" customHeight="1">
      <c r="A449" s="39" t="n">
        <v>444</v>
      </c>
      <c r="B449" s="49" t="n"/>
      <c r="C449" s="43" t="n"/>
      <c r="D449" s="32" t="n"/>
      <c r="E449" s="36" t="n"/>
      <c r="F449" s="36" t="n"/>
      <c r="G449" s="36" t="n"/>
      <c r="H449" s="33">
        <f>IF(E449="","",Commercial_Id)</f>
        <v/>
      </c>
      <c r="I449" s="39">
        <f>IF(E449="","",IFERROR(VALUE(MID(E449,LEN(E449)-3,3)),""))</f>
        <v/>
      </c>
      <c r="J449" s="33">
        <f>IF(I449="","",H449&amp;"|"&amp;I449)</f>
        <v/>
      </c>
      <c r="K449" s="33">
        <f>IF(I449="","",IF(H449="À RENSEIGNER","GIC",H449)&amp;"-"&amp;TEXT(I449,"000"))</f>
        <v/>
      </c>
      <c r="L449" s="33">
        <f>IF(J449="","",IFERROR(INDEX(Cl_nom,MATCH(J449,Cl_cle,0)),"(client introuvable)"))</f>
        <v/>
      </c>
      <c r="M449" s="46">
        <f>IF(B449="","",DATE(YEAR(B449),MONTH(B449),1))</f>
        <v/>
      </c>
      <c r="N449" s="33">
        <f>IF(J449="","",IFERROR(INDEX(Cl_quartier,MATCH(J449,Cl_cle,0))&amp;"",""))</f>
        <v/>
      </c>
      <c r="O449" s="33">
        <f>IF(J449="","",IFERROR(INDEX(Cl_tel,MATCH(J449,Cl_cle,0))&amp;"",""))</f>
        <v/>
      </c>
      <c r="P449" s="34">
        <f>IF(J449="","",IFERROR(INDEX(Cl_potentiel,MATCH(J449,Cl_cle,0)),""))</f>
        <v/>
      </c>
      <c r="Q449" s="34">
        <f>IF(J449="","",IF(D449&lt;&gt;"",IF(COUNTIFS(VC_cle,J449,VC_type,"Visite sur place",VC_date,D449)&gt;0,"Visité",IF(D449&lt;TODAY(),"Non fait","À venir")),IF(B449="","",IF(COUNTIFS(VC_cle,J449,VC_type,"Visite sur place",VC_date,"&gt;="&amp;M449,VC_date,"&lt;"&amp;DATE(YEAR(M449),MONTH(M449)+1,1))&gt;0,"Visité","À visiter"))))</f>
        <v/>
      </c>
    </row>
    <row r="450" ht="18" customHeight="1">
      <c r="A450" s="39" t="n">
        <v>445</v>
      </c>
      <c r="B450" s="49" t="n"/>
      <c r="C450" s="43" t="n"/>
      <c r="D450" s="32" t="n"/>
      <c r="E450" s="36" t="n"/>
      <c r="F450" s="36" t="n"/>
      <c r="G450" s="36" t="n"/>
      <c r="H450" s="33">
        <f>IF(E450="","",Commercial_Id)</f>
        <v/>
      </c>
      <c r="I450" s="39">
        <f>IF(E450="","",IFERROR(VALUE(MID(E450,LEN(E450)-3,3)),""))</f>
        <v/>
      </c>
      <c r="J450" s="33">
        <f>IF(I450="","",H450&amp;"|"&amp;I450)</f>
        <v/>
      </c>
      <c r="K450" s="33">
        <f>IF(I450="","",IF(H450="À RENSEIGNER","GIC",H450)&amp;"-"&amp;TEXT(I450,"000"))</f>
        <v/>
      </c>
      <c r="L450" s="33">
        <f>IF(J450="","",IFERROR(INDEX(Cl_nom,MATCH(J450,Cl_cle,0)),"(client introuvable)"))</f>
        <v/>
      </c>
      <c r="M450" s="46">
        <f>IF(B450="","",DATE(YEAR(B450),MONTH(B450),1))</f>
        <v/>
      </c>
      <c r="N450" s="33">
        <f>IF(J450="","",IFERROR(INDEX(Cl_quartier,MATCH(J450,Cl_cle,0))&amp;"",""))</f>
        <v/>
      </c>
      <c r="O450" s="33">
        <f>IF(J450="","",IFERROR(INDEX(Cl_tel,MATCH(J450,Cl_cle,0))&amp;"",""))</f>
        <v/>
      </c>
      <c r="P450" s="34">
        <f>IF(J450="","",IFERROR(INDEX(Cl_potentiel,MATCH(J450,Cl_cle,0)),""))</f>
        <v/>
      </c>
      <c r="Q450" s="34">
        <f>IF(J450="","",IF(D450&lt;&gt;"",IF(COUNTIFS(VC_cle,J450,VC_type,"Visite sur place",VC_date,D450)&gt;0,"Visité",IF(D450&lt;TODAY(),"Non fait","À venir")),IF(B450="","",IF(COUNTIFS(VC_cle,J450,VC_type,"Visite sur place",VC_date,"&gt;="&amp;M450,VC_date,"&lt;"&amp;DATE(YEAR(M450),MONTH(M450)+1,1))&gt;0,"Visité","À visiter"))))</f>
        <v/>
      </c>
    </row>
    <row r="451" ht="18" customHeight="1">
      <c r="A451" s="39" t="n">
        <v>446</v>
      </c>
      <c r="B451" s="49" t="n"/>
      <c r="C451" s="43" t="n"/>
      <c r="D451" s="32" t="n"/>
      <c r="E451" s="36" t="n"/>
      <c r="F451" s="36" t="n"/>
      <c r="G451" s="36" t="n"/>
      <c r="H451" s="33">
        <f>IF(E451="","",Commercial_Id)</f>
        <v/>
      </c>
      <c r="I451" s="39">
        <f>IF(E451="","",IFERROR(VALUE(MID(E451,LEN(E451)-3,3)),""))</f>
        <v/>
      </c>
      <c r="J451" s="33">
        <f>IF(I451="","",H451&amp;"|"&amp;I451)</f>
        <v/>
      </c>
      <c r="K451" s="33">
        <f>IF(I451="","",IF(H451="À RENSEIGNER","GIC",H451)&amp;"-"&amp;TEXT(I451,"000"))</f>
        <v/>
      </c>
      <c r="L451" s="33">
        <f>IF(J451="","",IFERROR(INDEX(Cl_nom,MATCH(J451,Cl_cle,0)),"(client introuvable)"))</f>
        <v/>
      </c>
      <c r="M451" s="46">
        <f>IF(B451="","",DATE(YEAR(B451),MONTH(B451),1))</f>
        <v/>
      </c>
      <c r="N451" s="33">
        <f>IF(J451="","",IFERROR(INDEX(Cl_quartier,MATCH(J451,Cl_cle,0))&amp;"",""))</f>
        <v/>
      </c>
      <c r="O451" s="33">
        <f>IF(J451="","",IFERROR(INDEX(Cl_tel,MATCH(J451,Cl_cle,0))&amp;"",""))</f>
        <v/>
      </c>
      <c r="P451" s="34">
        <f>IF(J451="","",IFERROR(INDEX(Cl_potentiel,MATCH(J451,Cl_cle,0)),""))</f>
        <v/>
      </c>
      <c r="Q451" s="34">
        <f>IF(J451="","",IF(D451&lt;&gt;"",IF(COUNTIFS(VC_cle,J451,VC_type,"Visite sur place",VC_date,D451)&gt;0,"Visité",IF(D451&lt;TODAY(),"Non fait","À venir")),IF(B451="","",IF(COUNTIFS(VC_cle,J451,VC_type,"Visite sur place",VC_date,"&gt;="&amp;M451,VC_date,"&lt;"&amp;DATE(YEAR(M451),MONTH(M451)+1,1))&gt;0,"Visité","À visiter"))))</f>
        <v/>
      </c>
    </row>
    <row r="452" ht="18" customHeight="1">
      <c r="A452" s="39" t="n">
        <v>447</v>
      </c>
      <c r="B452" s="49" t="n"/>
      <c r="C452" s="43" t="n"/>
      <c r="D452" s="32" t="n"/>
      <c r="E452" s="36" t="n"/>
      <c r="F452" s="36" t="n"/>
      <c r="G452" s="36" t="n"/>
      <c r="H452" s="33">
        <f>IF(E452="","",Commercial_Id)</f>
        <v/>
      </c>
      <c r="I452" s="39">
        <f>IF(E452="","",IFERROR(VALUE(MID(E452,LEN(E452)-3,3)),""))</f>
        <v/>
      </c>
      <c r="J452" s="33">
        <f>IF(I452="","",H452&amp;"|"&amp;I452)</f>
        <v/>
      </c>
      <c r="K452" s="33">
        <f>IF(I452="","",IF(H452="À RENSEIGNER","GIC",H452)&amp;"-"&amp;TEXT(I452,"000"))</f>
        <v/>
      </c>
      <c r="L452" s="33">
        <f>IF(J452="","",IFERROR(INDEX(Cl_nom,MATCH(J452,Cl_cle,0)),"(client introuvable)"))</f>
        <v/>
      </c>
      <c r="M452" s="46">
        <f>IF(B452="","",DATE(YEAR(B452),MONTH(B452),1))</f>
        <v/>
      </c>
      <c r="N452" s="33">
        <f>IF(J452="","",IFERROR(INDEX(Cl_quartier,MATCH(J452,Cl_cle,0))&amp;"",""))</f>
        <v/>
      </c>
      <c r="O452" s="33">
        <f>IF(J452="","",IFERROR(INDEX(Cl_tel,MATCH(J452,Cl_cle,0))&amp;"",""))</f>
        <v/>
      </c>
      <c r="P452" s="34">
        <f>IF(J452="","",IFERROR(INDEX(Cl_potentiel,MATCH(J452,Cl_cle,0)),""))</f>
        <v/>
      </c>
      <c r="Q452" s="34">
        <f>IF(J452="","",IF(D452&lt;&gt;"",IF(COUNTIFS(VC_cle,J452,VC_type,"Visite sur place",VC_date,D452)&gt;0,"Visité",IF(D452&lt;TODAY(),"Non fait","À venir")),IF(B452="","",IF(COUNTIFS(VC_cle,J452,VC_type,"Visite sur place",VC_date,"&gt;="&amp;M452,VC_date,"&lt;"&amp;DATE(YEAR(M452),MONTH(M452)+1,1))&gt;0,"Visité","À visiter"))))</f>
        <v/>
      </c>
    </row>
    <row r="453" ht="18" customHeight="1">
      <c r="A453" s="39" t="n">
        <v>448</v>
      </c>
      <c r="B453" s="49" t="n"/>
      <c r="C453" s="43" t="n"/>
      <c r="D453" s="32" t="n"/>
      <c r="E453" s="36" t="n"/>
      <c r="F453" s="36" t="n"/>
      <c r="G453" s="36" t="n"/>
      <c r="H453" s="33">
        <f>IF(E453="","",Commercial_Id)</f>
        <v/>
      </c>
      <c r="I453" s="39">
        <f>IF(E453="","",IFERROR(VALUE(MID(E453,LEN(E453)-3,3)),""))</f>
        <v/>
      </c>
      <c r="J453" s="33">
        <f>IF(I453="","",H453&amp;"|"&amp;I453)</f>
        <v/>
      </c>
      <c r="K453" s="33">
        <f>IF(I453="","",IF(H453="À RENSEIGNER","GIC",H453)&amp;"-"&amp;TEXT(I453,"000"))</f>
        <v/>
      </c>
      <c r="L453" s="33">
        <f>IF(J453="","",IFERROR(INDEX(Cl_nom,MATCH(J453,Cl_cle,0)),"(client introuvable)"))</f>
        <v/>
      </c>
      <c r="M453" s="46">
        <f>IF(B453="","",DATE(YEAR(B453),MONTH(B453),1))</f>
        <v/>
      </c>
      <c r="N453" s="33">
        <f>IF(J453="","",IFERROR(INDEX(Cl_quartier,MATCH(J453,Cl_cle,0))&amp;"",""))</f>
        <v/>
      </c>
      <c r="O453" s="33">
        <f>IF(J453="","",IFERROR(INDEX(Cl_tel,MATCH(J453,Cl_cle,0))&amp;"",""))</f>
        <v/>
      </c>
      <c r="P453" s="34">
        <f>IF(J453="","",IFERROR(INDEX(Cl_potentiel,MATCH(J453,Cl_cle,0)),""))</f>
        <v/>
      </c>
      <c r="Q453" s="34">
        <f>IF(J453="","",IF(D453&lt;&gt;"",IF(COUNTIFS(VC_cle,J453,VC_type,"Visite sur place",VC_date,D453)&gt;0,"Visité",IF(D453&lt;TODAY(),"Non fait","À venir")),IF(B453="","",IF(COUNTIFS(VC_cle,J453,VC_type,"Visite sur place",VC_date,"&gt;="&amp;M453,VC_date,"&lt;"&amp;DATE(YEAR(M453),MONTH(M453)+1,1))&gt;0,"Visité","À visiter"))))</f>
        <v/>
      </c>
    </row>
    <row r="454" ht="18" customHeight="1">
      <c r="A454" s="39" t="n">
        <v>449</v>
      </c>
      <c r="B454" s="49" t="n"/>
      <c r="C454" s="43" t="n"/>
      <c r="D454" s="32" t="n"/>
      <c r="E454" s="36" t="n"/>
      <c r="F454" s="36" t="n"/>
      <c r="G454" s="36" t="n"/>
      <c r="H454" s="33">
        <f>IF(E454="","",Commercial_Id)</f>
        <v/>
      </c>
      <c r="I454" s="39">
        <f>IF(E454="","",IFERROR(VALUE(MID(E454,LEN(E454)-3,3)),""))</f>
        <v/>
      </c>
      <c r="J454" s="33">
        <f>IF(I454="","",H454&amp;"|"&amp;I454)</f>
        <v/>
      </c>
      <c r="K454" s="33">
        <f>IF(I454="","",IF(H454="À RENSEIGNER","GIC",H454)&amp;"-"&amp;TEXT(I454,"000"))</f>
        <v/>
      </c>
      <c r="L454" s="33">
        <f>IF(J454="","",IFERROR(INDEX(Cl_nom,MATCH(J454,Cl_cle,0)),"(client introuvable)"))</f>
        <v/>
      </c>
      <c r="M454" s="46">
        <f>IF(B454="","",DATE(YEAR(B454),MONTH(B454),1))</f>
        <v/>
      </c>
      <c r="N454" s="33">
        <f>IF(J454="","",IFERROR(INDEX(Cl_quartier,MATCH(J454,Cl_cle,0))&amp;"",""))</f>
        <v/>
      </c>
      <c r="O454" s="33">
        <f>IF(J454="","",IFERROR(INDEX(Cl_tel,MATCH(J454,Cl_cle,0))&amp;"",""))</f>
        <v/>
      </c>
      <c r="P454" s="34">
        <f>IF(J454="","",IFERROR(INDEX(Cl_potentiel,MATCH(J454,Cl_cle,0)),""))</f>
        <v/>
      </c>
      <c r="Q454" s="34">
        <f>IF(J454="","",IF(D454&lt;&gt;"",IF(COUNTIFS(VC_cle,J454,VC_type,"Visite sur place",VC_date,D454)&gt;0,"Visité",IF(D454&lt;TODAY(),"Non fait","À venir")),IF(B454="","",IF(COUNTIFS(VC_cle,J454,VC_type,"Visite sur place",VC_date,"&gt;="&amp;M454,VC_date,"&lt;"&amp;DATE(YEAR(M454),MONTH(M454)+1,1))&gt;0,"Visité","À visiter"))))</f>
        <v/>
      </c>
    </row>
    <row r="455" ht="18" customHeight="1">
      <c r="A455" s="39" t="n">
        <v>450</v>
      </c>
      <c r="B455" s="49" t="n"/>
      <c r="C455" s="43" t="n"/>
      <c r="D455" s="32" t="n"/>
      <c r="E455" s="36" t="n"/>
      <c r="F455" s="36" t="n"/>
      <c r="G455" s="36" t="n"/>
      <c r="H455" s="33">
        <f>IF(E455="","",Commercial_Id)</f>
        <v/>
      </c>
      <c r="I455" s="39">
        <f>IF(E455="","",IFERROR(VALUE(MID(E455,LEN(E455)-3,3)),""))</f>
        <v/>
      </c>
      <c r="J455" s="33">
        <f>IF(I455="","",H455&amp;"|"&amp;I455)</f>
        <v/>
      </c>
      <c r="K455" s="33">
        <f>IF(I455="","",IF(H455="À RENSEIGNER","GIC",H455)&amp;"-"&amp;TEXT(I455,"000"))</f>
        <v/>
      </c>
      <c r="L455" s="33">
        <f>IF(J455="","",IFERROR(INDEX(Cl_nom,MATCH(J455,Cl_cle,0)),"(client introuvable)"))</f>
        <v/>
      </c>
      <c r="M455" s="46">
        <f>IF(B455="","",DATE(YEAR(B455),MONTH(B455),1))</f>
        <v/>
      </c>
      <c r="N455" s="33">
        <f>IF(J455="","",IFERROR(INDEX(Cl_quartier,MATCH(J455,Cl_cle,0))&amp;"",""))</f>
        <v/>
      </c>
      <c r="O455" s="33">
        <f>IF(J455="","",IFERROR(INDEX(Cl_tel,MATCH(J455,Cl_cle,0))&amp;"",""))</f>
        <v/>
      </c>
      <c r="P455" s="34">
        <f>IF(J455="","",IFERROR(INDEX(Cl_potentiel,MATCH(J455,Cl_cle,0)),""))</f>
        <v/>
      </c>
      <c r="Q455" s="34">
        <f>IF(J455="","",IF(D455&lt;&gt;"",IF(COUNTIFS(VC_cle,J455,VC_type,"Visite sur place",VC_date,D455)&gt;0,"Visité",IF(D455&lt;TODAY(),"Non fait","À venir")),IF(B455="","",IF(COUNTIFS(VC_cle,J455,VC_type,"Visite sur place",VC_date,"&gt;="&amp;M455,VC_date,"&lt;"&amp;DATE(YEAR(M455),MONTH(M455)+1,1))&gt;0,"Visité","À visiter"))))</f>
        <v/>
      </c>
    </row>
    <row r="456" ht="18" customHeight="1">
      <c r="A456" s="39" t="n">
        <v>451</v>
      </c>
      <c r="B456" s="49" t="n"/>
      <c r="C456" s="43" t="n"/>
      <c r="D456" s="32" t="n"/>
      <c r="E456" s="36" t="n"/>
      <c r="F456" s="36" t="n"/>
      <c r="G456" s="36" t="n"/>
      <c r="H456" s="33">
        <f>IF(E456="","",Commercial_Id)</f>
        <v/>
      </c>
      <c r="I456" s="39">
        <f>IF(E456="","",IFERROR(VALUE(MID(E456,LEN(E456)-3,3)),""))</f>
        <v/>
      </c>
      <c r="J456" s="33">
        <f>IF(I456="","",H456&amp;"|"&amp;I456)</f>
        <v/>
      </c>
      <c r="K456" s="33">
        <f>IF(I456="","",IF(H456="À RENSEIGNER","GIC",H456)&amp;"-"&amp;TEXT(I456,"000"))</f>
        <v/>
      </c>
      <c r="L456" s="33">
        <f>IF(J456="","",IFERROR(INDEX(Cl_nom,MATCH(J456,Cl_cle,0)),"(client introuvable)"))</f>
        <v/>
      </c>
      <c r="M456" s="46">
        <f>IF(B456="","",DATE(YEAR(B456),MONTH(B456),1))</f>
        <v/>
      </c>
      <c r="N456" s="33">
        <f>IF(J456="","",IFERROR(INDEX(Cl_quartier,MATCH(J456,Cl_cle,0))&amp;"",""))</f>
        <v/>
      </c>
      <c r="O456" s="33">
        <f>IF(J456="","",IFERROR(INDEX(Cl_tel,MATCH(J456,Cl_cle,0))&amp;"",""))</f>
        <v/>
      </c>
      <c r="P456" s="34">
        <f>IF(J456="","",IFERROR(INDEX(Cl_potentiel,MATCH(J456,Cl_cle,0)),""))</f>
        <v/>
      </c>
      <c r="Q456" s="34">
        <f>IF(J456="","",IF(D456&lt;&gt;"",IF(COUNTIFS(VC_cle,J456,VC_type,"Visite sur place",VC_date,D456)&gt;0,"Visité",IF(D456&lt;TODAY(),"Non fait","À venir")),IF(B456="","",IF(COUNTIFS(VC_cle,J456,VC_type,"Visite sur place",VC_date,"&gt;="&amp;M456,VC_date,"&lt;"&amp;DATE(YEAR(M456),MONTH(M456)+1,1))&gt;0,"Visité","À visiter"))))</f>
        <v/>
      </c>
    </row>
    <row r="457" ht="18" customHeight="1">
      <c r="A457" s="39" t="n">
        <v>452</v>
      </c>
      <c r="B457" s="49" t="n"/>
      <c r="C457" s="43" t="n"/>
      <c r="D457" s="32" t="n"/>
      <c r="E457" s="36" t="n"/>
      <c r="F457" s="36" t="n"/>
      <c r="G457" s="36" t="n"/>
      <c r="H457" s="33">
        <f>IF(E457="","",Commercial_Id)</f>
        <v/>
      </c>
      <c r="I457" s="39">
        <f>IF(E457="","",IFERROR(VALUE(MID(E457,LEN(E457)-3,3)),""))</f>
        <v/>
      </c>
      <c r="J457" s="33">
        <f>IF(I457="","",H457&amp;"|"&amp;I457)</f>
        <v/>
      </c>
      <c r="K457" s="33">
        <f>IF(I457="","",IF(H457="À RENSEIGNER","GIC",H457)&amp;"-"&amp;TEXT(I457,"000"))</f>
        <v/>
      </c>
      <c r="L457" s="33">
        <f>IF(J457="","",IFERROR(INDEX(Cl_nom,MATCH(J457,Cl_cle,0)),"(client introuvable)"))</f>
        <v/>
      </c>
      <c r="M457" s="46">
        <f>IF(B457="","",DATE(YEAR(B457),MONTH(B457),1))</f>
        <v/>
      </c>
      <c r="N457" s="33">
        <f>IF(J457="","",IFERROR(INDEX(Cl_quartier,MATCH(J457,Cl_cle,0))&amp;"",""))</f>
        <v/>
      </c>
      <c r="O457" s="33">
        <f>IF(J457="","",IFERROR(INDEX(Cl_tel,MATCH(J457,Cl_cle,0))&amp;"",""))</f>
        <v/>
      </c>
      <c r="P457" s="34">
        <f>IF(J457="","",IFERROR(INDEX(Cl_potentiel,MATCH(J457,Cl_cle,0)),""))</f>
        <v/>
      </c>
      <c r="Q457" s="34">
        <f>IF(J457="","",IF(D457&lt;&gt;"",IF(COUNTIFS(VC_cle,J457,VC_type,"Visite sur place",VC_date,D457)&gt;0,"Visité",IF(D457&lt;TODAY(),"Non fait","À venir")),IF(B457="","",IF(COUNTIFS(VC_cle,J457,VC_type,"Visite sur place",VC_date,"&gt;="&amp;M457,VC_date,"&lt;"&amp;DATE(YEAR(M457),MONTH(M457)+1,1))&gt;0,"Visité","À visiter"))))</f>
        <v/>
      </c>
    </row>
    <row r="458" ht="18" customHeight="1">
      <c r="A458" s="39" t="n">
        <v>453</v>
      </c>
      <c r="B458" s="49" t="n"/>
      <c r="C458" s="43" t="n"/>
      <c r="D458" s="32" t="n"/>
      <c r="E458" s="36" t="n"/>
      <c r="F458" s="36" t="n"/>
      <c r="G458" s="36" t="n"/>
      <c r="H458" s="33">
        <f>IF(E458="","",Commercial_Id)</f>
        <v/>
      </c>
      <c r="I458" s="39">
        <f>IF(E458="","",IFERROR(VALUE(MID(E458,LEN(E458)-3,3)),""))</f>
        <v/>
      </c>
      <c r="J458" s="33">
        <f>IF(I458="","",H458&amp;"|"&amp;I458)</f>
        <v/>
      </c>
      <c r="K458" s="33">
        <f>IF(I458="","",IF(H458="À RENSEIGNER","GIC",H458)&amp;"-"&amp;TEXT(I458,"000"))</f>
        <v/>
      </c>
      <c r="L458" s="33">
        <f>IF(J458="","",IFERROR(INDEX(Cl_nom,MATCH(J458,Cl_cle,0)),"(client introuvable)"))</f>
        <v/>
      </c>
      <c r="M458" s="46">
        <f>IF(B458="","",DATE(YEAR(B458),MONTH(B458),1))</f>
        <v/>
      </c>
      <c r="N458" s="33">
        <f>IF(J458="","",IFERROR(INDEX(Cl_quartier,MATCH(J458,Cl_cle,0))&amp;"",""))</f>
        <v/>
      </c>
      <c r="O458" s="33">
        <f>IF(J458="","",IFERROR(INDEX(Cl_tel,MATCH(J458,Cl_cle,0))&amp;"",""))</f>
        <v/>
      </c>
      <c r="P458" s="34">
        <f>IF(J458="","",IFERROR(INDEX(Cl_potentiel,MATCH(J458,Cl_cle,0)),""))</f>
        <v/>
      </c>
      <c r="Q458" s="34">
        <f>IF(J458="","",IF(D458&lt;&gt;"",IF(COUNTIFS(VC_cle,J458,VC_type,"Visite sur place",VC_date,D458)&gt;0,"Visité",IF(D458&lt;TODAY(),"Non fait","À venir")),IF(B458="","",IF(COUNTIFS(VC_cle,J458,VC_type,"Visite sur place",VC_date,"&gt;="&amp;M458,VC_date,"&lt;"&amp;DATE(YEAR(M458),MONTH(M458)+1,1))&gt;0,"Visité","À visiter"))))</f>
        <v/>
      </c>
    </row>
    <row r="459" ht="18" customHeight="1">
      <c r="A459" s="39" t="n">
        <v>454</v>
      </c>
      <c r="B459" s="49" t="n"/>
      <c r="C459" s="43" t="n"/>
      <c r="D459" s="32" t="n"/>
      <c r="E459" s="36" t="n"/>
      <c r="F459" s="36" t="n"/>
      <c r="G459" s="36" t="n"/>
      <c r="H459" s="33">
        <f>IF(E459="","",Commercial_Id)</f>
        <v/>
      </c>
      <c r="I459" s="39">
        <f>IF(E459="","",IFERROR(VALUE(MID(E459,LEN(E459)-3,3)),""))</f>
        <v/>
      </c>
      <c r="J459" s="33">
        <f>IF(I459="","",H459&amp;"|"&amp;I459)</f>
        <v/>
      </c>
      <c r="K459" s="33">
        <f>IF(I459="","",IF(H459="À RENSEIGNER","GIC",H459)&amp;"-"&amp;TEXT(I459,"000"))</f>
        <v/>
      </c>
      <c r="L459" s="33">
        <f>IF(J459="","",IFERROR(INDEX(Cl_nom,MATCH(J459,Cl_cle,0)),"(client introuvable)"))</f>
        <v/>
      </c>
      <c r="M459" s="46">
        <f>IF(B459="","",DATE(YEAR(B459),MONTH(B459),1))</f>
        <v/>
      </c>
      <c r="N459" s="33">
        <f>IF(J459="","",IFERROR(INDEX(Cl_quartier,MATCH(J459,Cl_cle,0))&amp;"",""))</f>
        <v/>
      </c>
      <c r="O459" s="33">
        <f>IF(J459="","",IFERROR(INDEX(Cl_tel,MATCH(J459,Cl_cle,0))&amp;"",""))</f>
        <v/>
      </c>
      <c r="P459" s="34">
        <f>IF(J459="","",IFERROR(INDEX(Cl_potentiel,MATCH(J459,Cl_cle,0)),""))</f>
        <v/>
      </c>
      <c r="Q459" s="34">
        <f>IF(J459="","",IF(D459&lt;&gt;"",IF(COUNTIFS(VC_cle,J459,VC_type,"Visite sur place",VC_date,D459)&gt;0,"Visité",IF(D459&lt;TODAY(),"Non fait","À venir")),IF(B459="","",IF(COUNTIFS(VC_cle,J459,VC_type,"Visite sur place",VC_date,"&gt;="&amp;M459,VC_date,"&lt;"&amp;DATE(YEAR(M459),MONTH(M459)+1,1))&gt;0,"Visité","À visiter"))))</f>
        <v/>
      </c>
    </row>
    <row r="460" ht="18" customHeight="1">
      <c r="A460" s="39" t="n">
        <v>455</v>
      </c>
      <c r="B460" s="49" t="n"/>
      <c r="C460" s="43" t="n"/>
      <c r="D460" s="32" t="n"/>
      <c r="E460" s="36" t="n"/>
      <c r="F460" s="36" t="n"/>
      <c r="G460" s="36" t="n"/>
      <c r="H460" s="33">
        <f>IF(E460="","",Commercial_Id)</f>
        <v/>
      </c>
      <c r="I460" s="39">
        <f>IF(E460="","",IFERROR(VALUE(MID(E460,LEN(E460)-3,3)),""))</f>
        <v/>
      </c>
      <c r="J460" s="33">
        <f>IF(I460="","",H460&amp;"|"&amp;I460)</f>
        <v/>
      </c>
      <c r="K460" s="33">
        <f>IF(I460="","",IF(H460="À RENSEIGNER","GIC",H460)&amp;"-"&amp;TEXT(I460,"000"))</f>
        <v/>
      </c>
      <c r="L460" s="33">
        <f>IF(J460="","",IFERROR(INDEX(Cl_nom,MATCH(J460,Cl_cle,0)),"(client introuvable)"))</f>
        <v/>
      </c>
      <c r="M460" s="46">
        <f>IF(B460="","",DATE(YEAR(B460),MONTH(B460),1))</f>
        <v/>
      </c>
      <c r="N460" s="33">
        <f>IF(J460="","",IFERROR(INDEX(Cl_quartier,MATCH(J460,Cl_cle,0))&amp;"",""))</f>
        <v/>
      </c>
      <c r="O460" s="33">
        <f>IF(J460="","",IFERROR(INDEX(Cl_tel,MATCH(J460,Cl_cle,0))&amp;"",""))</f>
        <v/>
      </c>
      <c r="P460" s="34">
        <f>IF(J460="","",IFERROR(INDEX(Cl_potentiel,MATCH(J460,Cl_cle,0)),""))</f>
        <v/>
      </c>
      <c r="Q460" s="34">
        <f>IF(J460="","",IF(D460&lt;&gt;"",IF(COUNTIFS(VC_cle,J460,VC_type,"Visite sur place",VC_date,D460)&gt;0,"Visité",IF(D460&lt;TODAY(),"Non fait","À venir")),IF(B460="","",IF(COUNTIFS(VC_cle,J460,VC_type,"Visite sur place",VC_date,"&gt;="&amp;M460,VC_date,"&lt;"&amp;DATE(YEAR(M460),MONTH(M460)+1,1))&gt;0,"Visité","À visiter"))))</f>
        <v/>
      </c>
    </row>
    <row r="461" ht="18" customHeight="1">
      <c r="A461" s="39" t="n">
        <v>456</v>
      </c>
      <c r="B461" s="49" t="n"/>
      <c r="C461" s="43" t="n"/>
      <c r="D461" s="32" t="n"/>
      <c r="E461" s="36" t="n"/>
      <c r="F461" s="36" t="n"/>
      <c r="G461" s="36" t="n"/>
      <c r="H461" s="33">
        <f>IF(E461="","",Commercial_Id)</f>
        <v/>
      </c>
      <c r="I461" s="39">
        <f>IF(E461="","",IFERROR(VALUE(MID(E461,LEN(E461)-3,3)),""))</f>
        <v/>
      </c>
      <c r="J461" s="33">
        <f>IF(I461="","",H461&amp;"|"&amp;I461)</f>
        <v/>
      </c>
      <c r="K461" s="33">
        <f>IF(I461="","",IF(H461="À RENSEIGNER","GIC",H461)&amp;"-"&amp;TEXT(I461,"000"))</f>
        <v/>
      </c>
      <c r="L461" s="33">
        <f>IF(J461="","",IFERROR(INDEX(Cl_nom,MATCH(J461,Cl_cle,0)),"(client introuvable)"))</f>
        <v/>
      </c>
      <c r="M461" s="46">
        <f>IF(B461="","",DATE(YEAR(B461),MONTH(B461),1))</f>
        <v/>
      </c>
      <c r="N461" s="33">
        <f>IF(J461="","",IFERROR(INDEX(Cl_quartier,MATCH(J461,Cl_cle,0))&amp;"",""))</f>
        <v/>
      </c>
      <c r="O461" s="33">
        <f>IF(J461="","",IFERROR(INDEX(Cl_tel,MATCH(J461,Cl_cle,0))&amp;"",""))</f>
        <v/>
      </c>
      <c r="P461" s="34">
        <f>IF(J461="","",IFERROR(INDEX(Cl_potentiel,MATCH(J461,Cl_cle,0)),""))</f>
        <v/>
      </c>
      <c r="Q461" s="34">
        <f>IF(J461="","",IF(D461&lt;&gt;"",IF(COUNTIFS(VC_cle,J461,VC_type,"Visite sur place",VC_date,D461)&gt;0,"Visité",IF(D461&lt;TODAY(),"Non fait","À venir")),IF(B461="","",IF(COUNTIFS(VC_cle,J461,VC_type,"Visite sur place",VC_date,"&gt;="&amp;M461,VC_date,"&lt;"&amp;DATE(YEAR(M461),MONTH(M461)+1,1))&gt;0,"Visité","À visiter"))))</f>
        <v/>
      </c>
    </row>
    <row r="462" ht="18" customHeight="1">
      <c r="A462" s="39" t="n">
        <v>457</v>
      </c>
      <c r="B462" s="49" t="n"/>
      <c r="C462" s="43" t="n"/>
      <c r="D462" s="32" t="n"/>
      <c r="E462" s="36" t="n"/>
      <c r="F462" s="36" t="n"/>
      <c r="G462" s="36" t="n"/>
      <c r="H462" s="33">
        <f>IF(E462="","",Commercial_Id)</f>
        <v/>
      </c>
      <c r="I462" s="39">
        <f>IF(E462="","",IFERROR(VALUE(MID(E462,LEN(E462)-3,3)),""))</f>
        <v/>
      </c>
      <c r="J462" s="33">
        <f>IF(I462="","",H462&amp;"|"&amp;I462)</f>
        <v/>
      </c>
      <c r="K462" s="33">
        <f>IF(I462="","",IF(H462="À RENSEIGNER","GIC",H462)&amp;"-"&amp;TEXT(I462,"000"))</f>
        <v/>
      </c>
      <c r="L462" s="33">
        <f>IF(J462="","",IFERROR(INDEX(Cl_nom,MATCH(J462,Cl_cle,0)),"(client introuvable)"))</f>
        <v/>
      </c>
      <c r="M462" s="46">
        <f>IF(B462="","",DATE(YEAR(B462),MONTH(B462),1))</f>
        <v/>
      </c>
      <c r="N462" s="33">
        <f>IF(J462="","",IFERROR(INDEX(Cl_quartier,MATCH(J462,Cl_cle,0))&amp;"",""))</f>
        <v/>
      </c>
      <c r="O462" s="33">
        <f>IF(J462="","",IFERROR(INDEX(Cl_tel,MATCH(J462,Cl_cle,0))&amp;"",""))</f>
        <v/>
      </c>
      <c r="P462" s="34">
        <f>IF(J462="","",IFERROR(INDEX(Cl_potentiel,MATCH(J462,Cl_cle,0)),""))</f>
        <v/>
      </c>
      <c r="Q462" s="34">
        <f>IF(J462="","",IF(D462&lt;&gt;"",IF(COUNTIFS(VC_cle,J462,VC_type,"Visite sur place",VC_date,D462)&gt;0,"Visité",IF(D462&lt;TODAY(),"Non fait","À venir")),IF(B462="","",IF(COUNTIFS(VC_cle,J462,VC_type,"Visite sur place",VC_date,"&gt;="&amp;M462,VC_date,"&lt;"&amp;DATE(YEAR(M462),MONTH(M462)+1,1))&gt;0,"Visité","À visiter"))))</f>
        <v/>
      </c>
    </row>
    <row r="463" ht="18" customHeight="1">
      <c r="A463" s="39" t="n">
        <v>458</v>
      </c>
      <c r="B463" s="49" t="n"/>
      <c r="C463" s="43" t="n"/>
      <c r="D463" s="32" t="n"/>
      <c r="E463" s="36" t="n"/>
      <c r="F463" s="36" t="n"/>
      <c r="G463" s="36" t="n"/>
      <c r="H463" s="33">
        <f>IF(E463="","",Commercial_Id)</f>
        <v/>
      </c>
      <c r="I463" s="39">
        <f>IF(E463="","",IFERROR(VALUE(MID(E463,LEN(E463)-3,3)),""))</f>
        <v/>
      </c>
      <c r="J463" s="33">
        <f>IF(I463="","",H463&amp;"|"&amp;I463)</f>
        <v/>
      </c>
      <c r="K463" s="33">
        <f>IF(I463="","",IF(H463="À RENSEIGNER","GIC",H463)&amp;"-"&amp;TEXT(I463,"000"))</f>
        <v/>
      </c>
      <c r="L463" s="33">
        <f>IF(J463="","",IFERROR(INDEX(Cl_nom,MATCH(J463,Cl_cle,0)),"(client introuvable)"))</f>
        <v/>
      </c>
      <c r="M463" s="46">
        <f>IF(B463="","",DATE(YEAR(B463),MONTH(B463),1))</f>
        <v/>
      </c>
      <c r="N463" s="33">
        <f>IF(J463="","",IFERROR(INDEX(Cl_quartier,MATCH(J463,Cl_cle,0))&amp;"",""))</f>
        <v/>
      </c>
      <c r="O463" s="33">
        <f>IF(J463="","",IFERROR(INDEX(Cl_tel,MATCH(J463,Cl_cle,0))&amp;"",""))</f>
        <v/>
      </c>
      <c r="P463" s="34">
        <f>IF(J463="","",IFERROR(INDEX(Cl_potentiel,MATCH(J463,Cl_cle,0)),""))</f>
        <v/>
      </c>
      <c r="Q463" s="34">
        <f>IF(J463="","",IF(D463&lt;&gt;"",IF(COUNTIFS(VC_cle,J463,VC_type,"Visite sur place",VC_date,D463)&gt;0,"Visité",IF(D463&lt;TODAY(),"Non fait","À venir")),IF(B463="","",IF(COUNTIFS(VC_cle,J463,VC_type,"Visite sur place",VC_date,"&gt;="&amp;M463,VC_date,"&lt;"&amp;DATE(YEAR(M463),MONTH(M463)+1,1))&gt;0,"Visité","À visiter"))))</f>
        <v/>
      </c>
    </row>
    <row r="464" ht="18" customHeight="1">
      <c r="A464" s="39" t="n">
        <v>459</v>
      </c>
      <c r="B464" s="49" t="n"/>
      <c r="C464" s="43" t="n"/>
      <c r="D464" s="32" t="n"/>
      <c r="E464" s="36" t="n"/>
      <c r="F464" s="36" t="n"/>
      <c r="G464" s="36" t="n"/>
      <c r="H464" s="33">
        <f>IF(E464="","",Commercial_Id)</f>
        <v/>
      </c>
      <c r="I464" s="39">
        <f>IF(E464="","",IFERROR(VALUE(MID(E464,LEN(E464)-3,3)),""))</f>
        <v/>
      </c>
      <c r="J464" s="33">
        <f>IF(I464="","",H464&amp;"|"&amp;I464)</f>
        <v/>
      </c>
      <c r="K464" s="33">
        <f>IF(I464="","",IF(H464="À RENSEIGNER","GIC",H464)&amp;"-"&amp;TEXT(I464,"000"))</f>
        <v/>
      </c>
      <c r="L464" s="33">
        <f>IF(J464="","",IFERROR(INDEX(Cl_nom,MATCH(J464,Cl_cle,0)),"(client introuvable)"))</f>
        <v/>
      </c>
      <c r="M464" s="46">
        <f>IF(B464="","",DATE(YEAR(B464),MONTH(B464),1))</f>
        <v/>
      </c>
      <c r="N464" s="33">
        <f>IF(J464="","",IFERROR(INDEX(Cl_quartier,MATCH(J464,Cl_cle,0))&amp;"",""))</f>
        <v/>
      </c>
      <c r="O464" s="33">
        <f>IF(J464="","",IFERROR(INDEX(Cl_tel,MATCH(J464,Cl_cle,0))&amp;"",""))</f>
        <v/>
      </c>
      <c r="P464" s="34">
        <f>IF(J464="","",IFERROR(INDEX(Cl_potentiel,MATCH(J464,Cl_cle,0)),""))</f>
        <v/>
      </c>
      <c r="Q464" s="34">
        <f>IF(J464="","",IF(D464&lt;&gt;"",IF(COUNTIFS(VC_cle,J464,VC_type,"Visite sur place",VC_date,D464)&gt;0,"Visité",IF(D464&lt;TODAY(),"Non fait","À venir")),IF(B464="","",IF(COUNTIFS(VC_cle,J464,VC_type,"Visite sur place",VC_date,"&gt;="&amp;M464,VC_date,"&lt;"&amp;DATE(YEAR(M464),MONTH(M464)+1,1))&gt;0,"Visité","À visiter"))))</f>
        <v/>
      </c>
    </row>
    <row r="465" ht="18" customHeight="1">
      <c r="A465" s="39" t="n">
        <v>460</v>
      </c>
      <c r="B465" s="49" t="n"/>
      <c r="C465" s="43" t="n"/>
      <c r="D465" s="32" t="n"/>
      <c r="E465" s="36" t="n"/>
      <c r="F465" s="36" t="n"/>
      <c r="G465" s="36" t="n"/>
      <c r="H465" s="33">
        <f>IF(E465="","",Commercial_Id)</f>
        <v/>
      </c>
      <c r="I465" s="39">
        <f>IF(E465="","",IFERROR(VALUE(MID(E465,LEN(E465)-3,3)),""))</f>
        <v/>
      </c>
      <c r="J465" s="33">
        <f>IF(I465="","",H465&amp;"|"&amp;I465)</f>
        <v/>
      </c>
      <c r="K465" s="33">
        <f>IF(I465="","",IF(H465="À RENSEIGNER","GIC",H465)&amp;"-"&amp;TEXT(I465,"000"))</f>
        <v/>
      </c>
      <c r="L465" s="33">
        <f>IF(J465="","",IFERROR(INDEX(Cl_nom,MATCH(J465,Cl_cle,0)),"(client introuvable)"))</f>
        <v/>
      </c>
      <c r="M465" s="46">
        <f>IF(B465="","",DATE(YEAR(B465),MONTH(B465),1))</f>
        <v/>
      </c>
      <c r="N465" s="33">
        <f>IF(J465="","",IFERROR(INDEX(Cl_quartier,MATCH(J465,Cl_cle,0))&amp;"",""))</f>
        <v/>
      </c>
      <c r="O465" s="33">
        <f>IF(J465="","",IFERROR(INDEX(Cl_tel,MATCH(J465,Cl_cle,0))&amp;"",""))</f>
        <v/>
      </c>
      <c r="P465" s="34">
        <f>IF(J465="","",IFERROR(INDEX(Cl_potentiel,MATCH(J465,Cl_cle,0)),""))</f>
        <v/>
      </c>
      <c r="Q465" s="34">
        <f>IF(J465="","",IF(D465&lt;&gt;"",IF(COUNTIFS(VC_cle,J465,VC_type,"Visite sur place",VC_date,D465)&gt;0,"Visité",IF(D465&lt;TODAY(),"Non fait","À venir")),IF(B465="","",IF(COUNTIFS(VC_cle,J465,VC_type,"Visite sur place",VC_date,"&gt;="&amp;M465,VC_date,"&lt;"&amp;DATE(YEAR(M465),MONTH(M465)+1,1))&gt;0,"Visité","À visiter"))))</f>
        <v/>
      </c>
    </row>
    <row r="466" ht="18" customHeight="1">
      <c r="A466" s="39" t="n">
        <v>461</v>
      </c>
      <c r="B466" s="49" t="n"/>
      <c r="C466" s="43" t="n"/>
      <c r="D466" s="32" t="n"/>
      <c r="E466" s="36" t="n"/>
      <c r="F466" s="36" t="n"/>
      <c r="G466" s="36" t="n"/>
      <c r="H466" s="33">
        <f>IF(E466="","",Commercial_Id)</f>
        <v/>
      </c>
      <c r="I466" s="39">
        <f>IF(E466="","",IFERROR(VALUE(MID(E466,LEN(E466)-3,3)),""))</f>
        <v/>
      </c>
      <c r="J466" s="33">
        <f>IF(I466="","",H466&amp;"|"&amp;I466)</f>
        <v/>
      </c>
      <c r="K466" s="33">
        <f>IF(I466="","",IF(H466="À RENSEIGNER","GIC",H466)&amp;"-"&amp;TEXT(I466,"000"))</f>
        <v/>
      </c>
      <c r="L466" s="33">
        <f>IF(J466="","",IFERROR(INDEX(Cl_nom,MATCH(J466,Cl_cle,0)),"(client introuvable)"))</f>
        <v/>
      </c>
      <c r="M466" s="46">
        <f>IF(B466="","",DATE(YEAR(B466),MONTH(B466),1))</f>
        <v/>
      </c>
      <c r="N466" s="33">
        <f>IF(J466="","",IFERROR(INDEX(Cl_quartier,MATCH(J466,Cl_cle,0))&amp;"",""))</f>
        <v/>
      </c>
      <c r="O466" s="33">
        <f>IF(J466="","",IFERROR(INDEX(Cl_tel,MATCH(J466,Cl_cle,0))&amp;"",""))</f>
        <v/>
      </c>
      <c r="P466" s="34">
        <f>IF(J466="","",IFERROR(INDEX(Cl_potentiel,MATCH(J466,Cl_cle,0)),""))</f>
        <v/>
      </c>
      <c r="Q466" s="34">
        <f>IF(J466="","",IF(D466&lt;&gt;"",IF(COUNTIFS(VC_cle,J466,VC_type,"Visite sur place",VC_date,D466)&gt;0,"Visité",IF(D466&lt;TODAY(),"Non fait","À venir")),IF(B466="","",IF(COUNTIFS(VC_cle,J466,VC_type,"Visite sur place",VC_date,"&gt;="&amp;M466,VC_date,"&lt;"&amp;DATE(YEAR(M466),MONTH(M466)+1,1))&gt;0,"Visité","À visiter"))))</f>
        <v/>
      </c>
    </row>
    <row r="467" ht="18" customHeight="1">
      <c r="A467" s="39" t="n">
        <v>462</v>
      </c>
      <c r="B467" s="49" t="n"/>
      <c r="C467" s="43" t="n"/>
      <c r="D467" s="32" t="n"/>
      <c r="E467" s="36" t="n"/>
      <c r="F467" s="36" t="n"/>
      <c r="G467" s="36" t="n"/>
      <c r="H467" s="33">
        <f>IF(E467="","",Commercial_Id)</f>
        <v/>
      </c>
      <c r="I467" s="39">
        <f>IF(E467="","",IFERROR(VALUE(MID(E467,LEN(E467)-3,3)),""))</f>
        <v/>
      </c>
      <c r="J467" s="33">
        <f>IF(I467="","",H467&amp;"|"&amp;I467)</f>
        <v/>
      </c>
      <c r="K467" s="33">
        <f>IF(I467="","",IF(H467="À RENSEIGNER","GIC",H467)&amp;"-"&amp;TEXT(I467,"000"))</f>
        <v/>
      </c>
      <c r="L467" s="33">
        <f>IF(J467="","",IFERROR(INDEX(Cl_nom,MATCH(J467,Cl_cle,0)),"(client introuvable)"))</f>
        <v/>
      </c>
      <c r="M467" s="46">
        <f>IF(B467="","",DATE(YEAR(B467),MONTH(B467),1))</f>
        <v/>
      </c>
      <c r="N467" s="33">
        <f>IF(J467="","",IFERROR(INDEX(Cl_quartier,MATCH(J467,Cl_cle,0))&amp;"",""))</f>
        <v/>
      </c>
      <c r="O467" s="33">
        <f>IF(J467="","",IFERROR(INDEX(Cl_tel,MATCH(J467,Cl_cle,0))&amp;"",""))</f>
        <v/>
      </c>
      <c r="P467" s="34">
        <f>IF(J467="","",IFERROR(INDEX(Cl_potentiel,MATCH(J467,Cl_cle,0)),""))</f>
        <v/>
      </c>
      <c r="Q467" s="34">
        <f>IF(J467="","",IF(D467&lt;&gt;"",IF(COUNTIFS(VC_cle,J467,VC_type,"Visite sur place",VC_date,D467)&gt;0,"Visité",IF(D467&lt;TODAY(),"Non fait","À venir")),IF(B467="","",IF(COUNTIFS(VC_cle,J467,VC_type,"Visite sur place",VC_date,"&gt;="&amp;M467,VC_date,"&lt;"&amp;DATE(YEAR(M467),MONTH(M467)+1,1))&gt;0,"Visité","À visiter"))))</f>
        <v/>
      </c>
    </row>
    <row r="468" ht="18" customHeight="1">
      <c r="A468" s="39" t="n">
        <v>463</v>
      </c>
      <c r="B468" s="49" t="n"/>
      <c r="C468" s="43" t="n"/>
      <c r="D468" s="32" t="n"/>
      <c r="E468" s="36" t="n"/>
      <c r="F468" s="36" t="n"/>
      <c r="G468" s="36" t="n"/>
      <c r="H468" s="33">
        <f>IF(E468="","",Commercial_Id)</f>
        <v/>
      </c>
      <c r="I468" s="39">
        <f>IF(E468="","",IFERROR(VALUE(MID(E468,LEN(E468)-3,3)),""))</f>
        <v/>
      </c>
      <c r="J468" s="33">
        <f>IF(I468="","",H468&amp;"|"&amp;I468)</f>
        <v/>
      </c>
      <c r="K468" s="33">
        <f>IF(I468="","",IF(H468="À RENSEIGNER","GIC",H468)&amp;"-"&amp;TEXT(I468,"000"))</f>
        <v/>
      </c>
      <c r="L468" s="33">
        <f>IF(J468="","",IFERROR(INDEX(Cl_nom,MATCH(J468,Cl_cle,0)),"(client introuvable)"))</f>
        <v/>
      </c>
      <c r="M468" s="46">
        <f>IF(B468="","",DATE(YEAR(B468),MONTH(B468),1))</f>
        <v/>
      </c>
      <c r="N468" s="33">
        <f>IF(J468="","",IFERROR(INDEX(Cl_quartier,MATCH(J468,Cl_cle,0))&amp;"",""))</f>
        <v/>
      </c>
      <c r="O468" s="33">
        <f>IF(J468="","",IFERROR(INDEX(Cl_tel,MATCH(J468,Cl_cle,0))&amp;"",""))</f>
        <v/>
      </c>
      <c r="P468" s="34">
        <f>IF(J468="","",IFERROR(INDEX(Cl_potentiel,MATCH(J468,Cl_cle,0)),""))</f>
        <v/>
      </c>
      <c r="Q468" s="34">
        <f>IF(J468="","",IF(D468&lt;&gt;"",IF(COUNTIFS(VC_cle,J468,VC_type,"Visite sur place",VC_date,D468)&gt;0,"Visité",IF(D468&lt;TODAY(),"Non fait","À venir")),IF(B468="","",IF(COUNTIFS(VC_cle,J468,VC_type,"Visite sur place",VC_date,"&gt;="&amp;M468,VC_date,"&lt;"&amp;DATE(YEAR(M468),MONTH(M468)+1,1))&gt;0,"Visité","À visiter"))))</f>
        <v/>
      </c>
    </row>
    <row r="469" ht="18" customHeight="1">
      <c r="A469" s="39" t="n">
        <v>464</v>
      </c>
      <c r="B469" s="49" t="n"/>
      <c r="C469" s="43" t="n"/>
      <c r="D469" s="32" t="n"/>
      <c r="E469" s="36" t="n"/>
      <c r="F469" s="36" t="n"/>
      <c r="G469" s="36" t="n"/>
      <c r="H469" s="33">
        <f>IF(E469="","",Commercial_Id)</f>
        <v/>
      </c>
      <c r="I469" s="39">
        <f>IF(E469="","",IFERROR(VALUE(MID(E469,LEN(E469)-3,3)),""))</f>
        <v/>
      </c>
      <c r="J469" s="33">
        <f>IF(I469="","",H469&amp;"|"&amp;I469)</f>
        <v/>
      </c>
      <c r="K469" s="33">
        <f>IF(I469="","",IF(H469="À RENSEIGNER","GIC",H469)&amp;"-"&amp;TEXT(I469,"000"))</f>
        <v/>
      </c>
      <c r="L469" s="33">
        <f>IF(J469="","",IFERROR(INDEX(Cl_nom,MATCH(J469,Cl_cle,0)),"(client introuvable)"))</f>
        <v/>
      </c>
      <c r="M469" s="46">
        <f>IF(B469="","",DATE(YEAR(B469),MONTH(B469),1))</f>
        <v/>
      </c>
      <c r="N469" s="33">
        <f>IF(J469="","",IFERROR(INDEX(Cl_quartier,MATCH(J469,Cl_cle,0))&amp;"",""))</f>
        <v/>
      </c>
      <c r="O469" s="33">
        <f>IF(J469="","",IFERROR(INDEX(Cl_tel,MATCH(J469,Cl_cle,0))&amp;"",""))</f>
        <v/>
      </c>
      <c r="P469" s="34">
        <f>IF(J469="","",IFERROR(INDEX(Cl_potentiel,MATCH(J469,Cl_cle,0)),""))</f>
        <v/>
      </c>
      <c r="Q469" s="34">
        <f>IF(J469="","",IF(D469&lt;&gt;"",IF(COUNTIFS(VC_cle,J469,VC_type,"Visite sur place",VC_date,D469)&gt;0,"Visité",IF(D469&lt;TODAY(),"Non fait","À venir")),IF(B469="","",IF(COUNTIFS(VC_cle,J469,VC_type,"Visite sur place",VC_date,"&gt;="&amp;M469,VC_date,"&lt;"&amp;DATE(YEAR(M469),MONTH(M469)+1,1))&gt;0,"Visité","À visiter"))))</f>
        <v/>
      </c>
    </row>
    <row r="470" ht="18" customHeight="1">
      <c r="A470" s="39" t="n">
        <v>465</v>
      </c>
      <c r="B470" s="49" t="n"/>
      <c r="C470" s="43" t="n"/>
      <c r="D470" s="32" t="n"/>
      <c r="E470" s="36" t="n"/>
      <c r="F470" s="36" t="n"/>
      <c r="G470" s="36" t="n"/>
      <c r="H470" s="33">
        <f>IF(E470="","",Commercial_Id)</f>
        <v/>
      </c>
      <c r="I470" s="39">
        <f>IF(E470="","",IFERROR(VALUE(MID(E470,LEN(E470)-3,3)),""))</f>
        <v/>
      </c>
      <c r="J470" s="33">
        <f>IF(I470="","",H470&amp;"|"&amp;I470)</f>
        <v/>
      </c>
      <c r="K470" s="33">
        <f>IF(I470="","",IF(H470="À RENSEIGNER","GIC",H470)&amp;"-"&amp;TEXT(I470,"000"))</f>
        <v/>
      </c>
      <c r="L470" s="33">
        <f>IF(J470="","",IFERROR(INDEX(Cl_nom,MATCH(J470,Cl_cle,0)),"(client introuvable)"))</f>
        <v/>
      </c>
      <c r="M470" s="46">
        <f>IF(B470="","",DATE(YEAR(B470),MONTH(B470),1))</f>
        <v/>
      </c>
      <c r="N470" s="33">
        <f>IF(J470="","",IFERROR(INDEX(Cl_quartier,MATCH(J470,Cl_cle,0))&amp;"",""))</f>
        <v/>
      </c>
      <c r="O470" s="33">
        <f>IF(J470="","",IFERROR(INDEX(Cl_tel,MATCH(J470,Cl_cle,0))&amp;"",""))</f>
        <v/>
      </c>
      <c r="P470" s="34">
        <f>IF(J470="","",IFERROR(INDEX(Cl_potentiel,MATCH(J470,Cl_cle,0)),""))</f>
        <v/>
      </c>
      <c r="Q470" s="34">
        <f>IF(J470="","",IF(D470&lt;&gt;"",IF(COUNTIFS(VC_cle,J470,VC_type,"Visite sur place",VC_date,D470)&gt;0,"Visité",IF(D470&lt;TODAY(),"Non fait","À venir")),IF(B470="","",IF(COUNTIFS(VC_cle,J470,VC_type,"Visite sur place",VC_date,"&gt;="&amp;M470,VC_date,"&lt;"&amp;DATE(YEAR(M470),MONTH(M470)+1,1))&gt;0,"Visité","À visiter"))))</f>
        <v/>
      </c>
    </row>
    <row r="471" ht="18" customHeight="1">
      <c r="A471" s="39" t="n">
        <v>466</v>
      </c>
      <c r="B471" s="49" t="n"/>
      <c r="C471" s="43" t="n"/>
      <c r="D471" s="32" t="n"/>
      <c r="E471" s="36" t="n"/>
      <c r="F471" s="36" t="n"/>
      <c r="G471" s="36" t="n"/>
      <c r="H471" s="33">
        <f>IF(E471="","",Commercial_Id)</f>
        <v/>
      </c>
      <c r="I471" s="39">
        <f>IF(E471="","",IFERROR(VALUE(MID(E471,LEN(E471)-3,3)),""))</f>
        <v/>
      </c>
      <c r="J471" s="33">
        <f>IF(I471="","",H471&amp;"|"&amp;I471)</f>
        <v/>
      </c>
      <c r="K471" s="33">
        <f>IF(I471="","",IF(H471="À RENSEIGNER","GIC",H471)&amp;"-"&amp;TEXT(I471,"000"))</f>
        <v/>
      </c>
      <c r="L471" s="33">
        <f>IF(J471="","",IFERROR(INDEX(Cl_nom,MATCH(J471,Cl_cle,0)),"(client introuvable)"))</f>
        <v/>
      </c>
      <c r="M471" s="46">
        <f>IF(B471="","",DATE(YEAR(B471),MONTH(B471),1))</f>
        <v/>
      </c>
      <c r="N471" s="33">
        <f>IF(J471="","",IFERROR(INDEX(Cl_quartier,MATCH(J471,Cl_cle,0))&amp;"",""))</f>
        <v/>
      </c>
      <c r="O471" s="33">
        <f>IF(J471="","",IFERROR(INDEX(Cl_tel,MATCH(J471,Cl_cle,0))&amp;"",""))</f>
        <v/>
      </c>
      <c r="P471" s="34">
        <f>IF(J471="","",IFERROR(INDEX(Cl_potentiel,MATCH(J471,Cl_cle,0)),""))</f>
        <v/>
      </c>
      <c r="Q471" s="34">
        <f>IF(J471="","",IF(D471&lt;&gt;"",IF(COUNTIFS(VC_cle,J471,VC_type,"Visite sur place",VC_date,D471)&gt;0,"Visité",IF(D471&lt;TODAY(),"Non fait","À venir")),IF(B471="","",IF(COUNTIFS(VC_cle,J471,VC_type,"Visite sur place",VC_date,"&gt;="&amp;M471,VC_date,"&lt;"&amp;DATE(YEAR(M471),MONTH(M471)+1,1))&gt;0,"Visité","À visiter"))))</f>
        <v/>
      </c>
    </row>
    <row r="472" ht="18" customHeight="1">
      <c r="A472" s="39" t="n">
        <v>467</v>
      </c>
      <c r="B472" s="49" t="n"/>
      <c r="C472" s="43" t="n"/>
      <c r="D472" s="32" t="n"/>
      <c r="E472" s="36" t="n"/>
      <c r="F472" s="36" t="n"/>
      <c r="G472" s="36" t="n"/>
      <c r="H472" s="33">
        <f>IF(E472="","",Commercial_Id)</f>
        <v/>
      </c>
      <c r="I472" s="39">
        <f>IF(E472="","",IFERROR(VALUE(MID(E472,LEN(E472)-3,3)),""))</f>
        <v/>
      </c>
      <c r="J472" s="33">
        <f>IF(I472="","",H472&amp;"|"&amp;I472)</f>
        <v/>
      </c>
      <c r="K472" s="33">
        <f>IF(I472="","",IF(H472="À RENSEIGNER","GIC",H472)&amp;"-"&amp;TEXT(I472,"000"))</f>
        <v/>
      </c>
      <c r="L472" s="33">
        <f>IF(J472="","",IFERROR(INDEX(Cl_nom,MATCH(J472,Cl_cle,0)),"(client introuvable)"))</f>
        <v/>
      </c>
      <c r="M472" s="46">
        <f>IF(B472="","",DATE(YEAR(B472),MONTH(B472),1))</f>
        <v/>
      </c>
      <c r="N472" s="33">
        <f>IF(J472="","",IFERROR(INDEX(Cl_quartier,MATCH(J472,Cl_cle,0))&amp;"",""))</f>
        <v/>
      </c>
      <c r="O472" s="33">
        <f>IF(J472="","",IFERROR(INDEX(Cl_tel,MATCH(J472,Cl_cle,0))&amp;"",""))</f>
        <v/>
      </c>
      <c r="P472" s="34">
        <f>IF(J472="","",IFERROR(INDEX(Cl_potentiel,MATCH(J472,Cl_cle,0)),""))</f>
        <v/>
      </c>
      <c r="Q472" s="34">
        <f>IF(J472="","",IF(D472&lt;&gt;"",IF(COUNTIFS(VC_cle,J472,VC_type,"Visite sur place",VC_date,D472)&gt;0,"Visité",IF(D472&lt;TODAY(),"Non fait","À venir")),IF(B472="","",IF(COUNTIFS(VC_cle,J472,VC_type,"Visite sur place",VC_date,"&gt;="&amp;M472,VC_date,"&lt;"&amp;DATE(YEAR(M472),MONTH(M472)+1,1))&gt;0,"Visité","À visiter"))))</f>
        <v/>
      </c>
    </row>
    <row r="473" ht="18" customHeight="1">
      <c r="A473" s="39" t="n">
        <v>468</v>
      </c>
      <c r="B473" s="49" t="n"/>
      <c r="C473" s="43" t="n"/>
      <c r="D473" s="32" t="n"/>
      <c r="E473" s="36" t="n"/>
      <c r="F473" s="36" t="n"/>
      <c r="G473" s="36" t="n"/>
      <c r="H473" s="33">
        <f>IF(E473="","",Commercial_Id)</f>
        <v/>
      </c>
      <c r="I473" s="39">
        <f>IF(E473="","",IFERROR(VALUE(MID(E473,LEN(E473)-3,3)),""))</f>
        <v/>
      </c>
      <c r="J473" s="33">
        <f>IF(I473="","",H473&amp;"|"&amp;I473)</f>
        <v/>
      </c>
      <c r="K473" s="33">
        <f>IF(I473="","",IF(H473="À RENSEIGNER","GIC",H473)&amp;"-"&amp;TEXT(I473,"000"))</f>
        <v/>
      </c>
      <c r="L473" s="33">
        <f>IF(J473="","",IFERROR(INDEX(Cl_nom,MATCH(J473,Cl_cle,0)),"(client introuvable)"))</f>
        <v/>
      </c>
      <c r="M473" s="46">
        <f>IF(B473="","",DATE(YEAR(B473),MONTH(B473),1))</f>
        <v/>
      </c>
      <c r="N473" s="33">
        <f>IF(J473="","",IFERROR(INDEX(Cl_quartier,MATCH(J473,Cl_cle,0))&amp;"",""))</f>
        <v/>
      </c>
      <c r="O473" s="33">
        <f>IF(J473="","",IFERROR(INDEX(Cl_tel,MATCH(J473,Cl_cle,0))&amp;"",""))</f>
        <v/>
      </c>
      <c r="P473" s="34">
        <f>IF(J473="","",IFERROR(INDEX(Cl_potentiel,MATCH(J473,Cl_cle,0)),""))</f>
        <v/>
      </c>
      <c r="Q473" s="34">
        <f>IF(J473="","",IF(D473&lt;&gt;"",IF(COUNTIFS(VC_cle,J473,VC_type,"Visite sur place",VC_date,D473)&gt;0,"Visité",IF(D473&lt;TODAY(),"Non fait","À venir")),IF(B473="","",IF(COUNTIFS(VC_cle,J473,VC_type,"Visite sur place",VC_date,"&gt;="&amp;M473,VC_date,"&lt;"&amp;DATE(YEAR(M473),MONTH(M473)+1,1))&gt;0,"Visité","À visiter"))))</f>
        <v/>
      </c>
    </row>
    <row r="474" ht="18" customHeight="1">
      <c r="A474" s="39" t="n">
        <v>469</v>
      </c>
      <c r="B474" s="49" t="n"/>
      <c r="C474" s="43" t="n"/>
      <c r="D474" s="32" t="n"/>
      <c r="E474" s="36" t="n"/>
      <c r="F474" s="36" t="n"/>
      <c r="G474" s="36" t="n"/>
      <c r="H474" s="33">
        <f>IF(E474="","",Commercial_Id)</f>
        <v/>
      </c>
      <c r="I474" s="39">
        <f>IF(E474="","",IFERROR(VALUE(MID(E474,LEN(E474)-3,3)),""))</f>
        <v/>
      </c>
      <c r="J474" s="33">
        <f>IF(I474="","",H474&amp;"|"&amp;I474)</f>
        <v/>
      </c>
      <c r="K474" s="33">
        <f>IF(I474="","",IF(H474="À RENSEIGNER","GIC",H474)&amp;"-"&amp;TEXT(I474,"000"))</f>
        <v/>
      </c>
      <c r="L474" s="33">
        <f>IF(J474="","",IFERROR(INDEX(Cl_nom,MATCH(J474,Cl_cle,0)),"(client introuvable)"))</f>
        <v/>
      </c>
      <c r="M474" s="46">
        <f>IF(B474="","",DATE(YEAR(B474),MONTH(B474),1))</f>
        <v/>
      </c>
      <c r="N474" s="33">
        <f>IF(J474="","",IFERROR(INDEX(Cl_quartier,MATCH(J474,Cl_cle,0))&amp;"",""))</f>
        <v/>
      </c>
      <c r="O474" s="33">
        <f>IF(J474="","",IFERROR(INDEX(Cl_tel,MATCH(J474,Cl_cle,0))&amp;"",""))</f>
        <v/>
      </c>
      <c r="P474" s="34">
        <f>IF(J474="","",IFERROR(INDEX(Cl_potentiel,MATCH(J474,Cl_cle,0)),""))</f>
        <v/>
      </c>
      <c r="Q474" s="34">
        <f>IF(J474="","",IF(D474&lt;&gt;"",IF(COUNTIFS(VC_cle,J474,VC_type,"Visite sur place",VC_date,D474)&gt;0,"Visité",IF(D474&lt;TODAY(),"Non fait","À venir")),IF(B474="","",IF(COUNTIFS(VC_cle,J474,VC_type,"Visite sur place",VC_date,"&gt;="&amp;M474,VC_date,"&lt;"&amp;DATE(YEAR(M474),MONTH(M474)+1,1))&gt;0,"Visité","À visiter"))))</f>
        <v/>
      </c>
    </row>
    <row r="475" ht="18" customHeight="1">
      <c r="A475" s="39" t="n">
        <v>470</v>
      </c>
      <c r="B475" s="49" t="n"/>
      <c r="C475" s="43" t="n"/>
      <c r="D475" s="32" t="n"/>
      <c r="E475" s="36" t="n"/>
      <c r="F475" s="36" t="n"/>
      <c r="G475" s="36" t="n"/>
      <c r="H475" s="33">
        <f>IF(E475="","",Commercial_Id)</f>
        <v/>
      </c>
      <c r="I475" s="39">
        <f>IF(E475="","",IFERROR(VALUE(MID(E475,LEN(E475)-3,3)),""))</f>
        <v/>
      </c>
      <c r="J475" s="33">
        <f>IF(I475="","",H475&amp;"|"&amp;I475)</f>
        <v/>
      </c>
      <c r="K475" s="33">
        <f>IF(I475="","",IF(H475="À RENSEIGNER","GIC",H475)&amp;"-"&amp;TEXT(I475,"000"))</f>
        <v/>
      </c>
      <c r="L475" s="33">
        <f>IF(J475="","",IFERROR(INDEX(Cl_nom,MATCH(J475,Cl_cle,0)),"(client introuvable)"))</f>
        <v/>
      </c>
      <c r="M475" s="46">
        <f>IF(B475="","",DATE(YEAR(B475),MONTH(B475),1))</f>
        <v/>
      </c>
      <c r="N475" s="33">
        <f>IF(J475="","",IFERROR(INDEX(Cl_quartier,MATCH(J475,Cl_cle,0))&amp;"",""))</f>
        <v/>
      </c>
      <c r="O475" s="33">
        <f>IF(J475="","",IFERROR(INDEX(Cl_tel,MATCH(J475,Cl_cle,0))&amp;"",""))</f>
        <v/>
      </c>
      <c r="P475" s="34">
        <f>IF(J475="","",IFERROR(INDEX(Cl_potentiel,MATCH(J475,Cl_cle,0)),""))</f>
        <v/>
      </c>
      <c r="Q475" s="34">
        <f>IF(J475="","",IF(D475&lt;&gt;"",IF(COUNTIFS(VC_cle,J475,VC_type,"Visite sur place",VC_date,D475)&gt;0,"Visité",IF(D475&lt;TODAY(),"Non fait","À venir")),IF(B475="","",IF(COUNTIFS(VC_cle,J475,VC_type,"Visite sur place",VC_date,"&gt;="&amp;M475,VC_date,"&lt;"&amp;DATE(YEAR(M475),MONTH(M475)+1,1))&gt;0,"Visité","À visiter"))))</f>
        <v/>
      </c>
    </row>
    <row r="476" ht="18" customHeight="1">
      <c r="A476" s="39" t="n">
        <v>471</v>
      </c>
      <c r="B476" s="49" t="n"/>
      <c r="C476" s="43" t="n"/>
      <c r="D476" s="32" t="n"/>
      <c r="E476" s="36" t="n"/>
      <c r="F476" s="36" t="n"/>
      <c r="G476" s="36" t="n"/>
      <c r="H476" s="33">
        <f>IF(E476="","",Commercial_Id)</f>
        <v/>
      </c>
      <c r="I476" s="39">
        <f>IF(E476="","",IFERROR(VALUE(MID(E476,LEN(E476)-3,3)),""))</f>
        <v/>
      </c>
      <c r="J476" s="33">
        <f>IF(I476="","",H476&amp;"|"&amp;I476)</f>
        <v/>
      </c>
      <c r="K476" s="33">
        <f>IF(I476="","",IF(H476="À RENSEIGNER","GIC",H476)&amp;"-"&amp;TEXT(I476,"000"))</f>
        <v/>
      </c>
      <c r="L476" s="33">
        <f>IF(J476="","",IFERROR(INDEX(Cl_nom,MATCH(J476,Cl_cle,0)),"(client introuvable)"))</f>
        <v/>
      </c>
      <c r="M476" s="46">
        <f>IF(B476="","",DATE(YEAR(B476),MONTH(B476),1))</f>
        <v/>
      </c>
      <c r="N476" s="33">
        <f>IF(J476="","",IFERROR(INDEX(Cl_quartier,MATCH(J476,Cl_cle,0))&amp;"",""))</f>
        <v/>
      </c>
      <c r="O476" s="33">
        <f>IF(J476="","",IFERROR(INDEX(Cl_tel,MATCH(J476,Cl_cle,0))&amp;"",""))</f>
        <v/>
      </c>
      <c r="P476" s="34">
        <f>IF(J476="","",IFERROR(INDEX(Cl_potentiel,MATCH(J476,Cl_cle,0)),""))</f>
        <v/>
      </c>
      <c r="Q476" s="34">
        <f>IF(J476="","",IF(D476&lt;&gt;"",IF(COUNTIFS(VC_cle,J476,VC_type,"Visite sur place",VC_date,D476)&gt;0,"Visité",IF(D476&lt;TODAY(),"Non fait","À venir")),IF(B476="","",IF(COUNTIFS(VC_cle,J476,VC_type,"Visite sur place",VC_date,"&gt;="&amp;M476,VC_date,"&lt;"&amp;DATE(YEAR(M476),MONTH(M476)+1,1))&gt;0,"Visité","À visiter"))))</f>
        <v/>
      </c>
    </row>
    <row r="477" ht="18" customHeight="1">
      <c r="A477" s="39" t="n">
        <v>472</v>
      </c>
      <c r="B477" s="49" t="n"/>
      <c r="C477" s="43" t="n"/>
      <c r="D477" s="32" t="n"/>
      <c r="E477" s="36" t="n"/>
      <c r="F477" s="36" t="n"/>
      <c r="G477" s="36" t="n"/>
      <c r="H477" s="33">
        <f>IF(E477="","",Commercial_Id)</f>
        <v/>
      </c>
      <c r="I477" s="39">
        <f>IF(E477="","",IFERROR(VALUE(MID(E477,LEN(E477)-3,3)),""))</f>
        <v/>
      </c>
      <c r="J477" s="33">
        <f>IF(I477="","",H477&amp;"|"&amp;I477)</f>
        <v/>
      </c>
      <c r="K477" s="33">
        <f>IF(I477="","",IF(H477="À RENSEIGNER","GIC",H477)&amp;"-"&amp;TEXT(I477,"000"))</f>
        <v/>
      </c>
      <c r="L477" s="33">
        <f>IF(J477="","",IFERROR(INDEX(Cl_nom,MATCH(J477,Cl_cle,0)),"(client introuvable)"))</f>
        <v/>
      </c>
      <c r="M477" s="46">
        <f>IF(B477="","",DATE(YEAR(B477),MONTH(B477),1))</f>
        <v/>
      </c>
      <c r="N477" s="33">
        <f>IF(J477="","",IFERROR(INDEX(Cl_quartier,MATCH(J477,Cl_cle,0))&amp;"",""))</f>
        <v/>
      </c>
      <c r="O477" s="33">
        <f>IF(J477="","",IFERROR(INDEX(Cl_tel,MATCH(J477,Cl_cle,0))&amp;"",""))</f>
        <v/>
      </c>
      <c r="P477" s="34">
        <f>IF(J477="","",IFERROR(INDEX(Cl_potentiel,MATCH(J477,Cl_cle,0)),""))</f>
        <v/>
      </c>
      <c r="Q477" s="34">
        <f>IF(J477="","",IF(D477&lt;&gt;"",IF(COUNTIFS(VC_cle,J477,VC_type,"Visite sur place",VC_date,D477)&gt;0,"Visité",IF(D477&lt;TODAY(),"Non fait","À venir")),IF(B477="","",IF(COUNTIFS(VC_cle,J477,VC_type,"Visite sur place",VC_date,"&gt;="&amp;M477,VC_date,"&lt;"&amp;DATE(YEAR(M477),MONTH(M477)+1,1))&gt;0,"Visité","À visiter"))))</f>
        <v/>
      </c>
    </row>
    <row r="478" ht="18" customHeight="1">
      <c r="A478" s="39" t="n">
        <v>473</v>
      </c>
      <c r="B478" s="49" t="n"/>
      <c r="C478" s="43" t="n"/>
      <c r="D478" s="32" t="n"/>
      <c r="E478" s="36" t="n"/>
      <c r="F478" s="36" t="n"/>
      <c r="G478" s="36" t="n"/>
      <c r="H478" s="33">
        <f>IF(E478="","",Commercial_Id)</f>
        <v/>
      </c>
      <c r="I478" s="39">
        <f>IF(E478="","",IFERROR(VALUE(MID(E478,LEN(E478)-3,3)),""))</f>
        <v/>
      </c>
      <c r="J478" s="33">
        <f>IF(I478="","",H478&amp;"|"&amp;I478)</f>
        <v/>
      </c>
      <c r="K478" s="33">
        <f>IF(I478="","",IF(H478="À RENSEIGNER","GIC",H478)&amp;"-"&amp;TEXT(I478,"000"))</f>
        <v/>
      </c>
      <c r="L478" s="33">
        <f>IF(J478="","",IFERROR(INDEX(Cl_nom,MATCH(J478,Cl_cle,0)),"(client introuvable)"))</f>
        <v/>
      </c>
      <c r="M478" s="46">
        <f>IF(B478="","",DATE(YEAR(B478),MONTH(B478),1))</f>
        <v/>
      </c>
      <c r="N478" s="33">
        <f>IF(J478="","",IFERROR(INDEX(Cl_quartier,MATCH(J478,Cl_cle,0))&amp;"",""))</f>
        <v/>
      </c>
      <c r="O478" s="33">
        <f>IF(J478="","",IFERROR(INDEX(Cl_tel,MATCH(J478,Cl_cle,0))&amp;"",""))</f>
        <v/>
      </c>
      <c r="P478" s="34">
        <f>IF(J478="","",IFERROR(INDEX(Cl_potentiel,MATCH(J478,Cl_cle,0)),""))</f>
        <v/>
      </c>
      <c r="Q478" s="34">
        <f>IF(J478="","",IF(D478&lt;&gt;"",IF(COUNTIFS(VC_cle,J478,VC_type,"Visite sur place",VC_date,D478)&gt;0,"Visité",IF(D478&lt;TODAY(),"Non fait","À venir")),IF(B478="","",IF(COUNTIFS(VC_cle,J478,VC_type,"Visite sur place",VC_date,"&gt;="&amp;M478,VC_date,"&lt;"&amp;DATE(YEAR(M478),MONTH(M478)+1,1))&gt;0,"Visité","À visiter"))))</f>
        <v/>
      </c>
    </row>
    <row r="479" ht="18" customHeight="1">
      <c r="A479" s="39" t="n">
        <v>474</v>
      </c>
      <c r="B479" s="49" t="n"/>
      <c r="C479" s="43" t="n"/>
      <c r="D479" s="32" t="n"/>
      <c r="E479" s="36" t="n"/>
      <c r="F479" s="36" t="n"/>
      <c r="G479" s="36" t="n"/>
      <c r="H479" s="33">
        <f>IF(E479="","",Commercial_Id)</f>
        <v/>
      </c>
      <c r="I479" s="39">
        <f>IF(E479="","",IFERROR(VALUE(MID(E479,LEN(E479)-3,3)),""))</f>
        <v/>
      </c>
      <c r="J479" s="33">
        <f>IF(I479="","",H479&amp;"|"&amp;I479)</f>
        <v/>
      </c>
      <c r="K479" s="33">
        <f>IF(I479="","",IF(H479="À RENSEIGNER","GIC",H479)&amp;"-"&amp;TEXT(I479,"000"))</f>
        <v/>
      </c>
      <c r="L479" s="33">
        <f>IF(J479="","",IFERROR(INDEX(Cl_nom,MATCH(J479,Cl_cle,0)),"(client introuvable)"))</f>
        <v/>
      </c>
      <c r="M479" s="46">
        <f>IF(B479="","",DATE(YEAR(B479),MONTH(B479),1))</f>
        <v/>
      </c>
      <c r="N479" s="33">
        <f>IF(J479="","",IFERROR(INDEX(Cl_quartier,MATCH(J479,Cl_cle,0))&amp;"",""))</f>
        <v/>
      </c>
      <c r="O479" s="33">
        <f>IF(J479="","",IFERROR(INDEX(Cl_tel,MATCH(J479,Cl_cle,0))&amp;"",""))</f>
        <v/>
      </c>
      <c r="P479" s="34">
        <f>IF(J479="","",IFERROR(INDEX(Cl_potentiel,MATCH(J479,Cl_cle,0)),""))</f>
        <v/>
      </c>
      <c r="Q479" s="34">
        <f>IF(J479="","",IF(D479&lt;&gt;"",IF(COUNTIFS(VC_cle,J479,VC_type,"Visite sur place",VC_date,D479)&gt;0,"Visité",IF(D479&lt;TODAY(),"Non fait","À venir")),IF(B479="","",IF(COUNTIFS(VC_cle,J479,VC_type,"Visite sur place",VC_date,"&gt;="&amp;M479,VC_date,"&lt;"&amp;DATE(YEAR(M479),MONTH(M479)+1,1))&gt;0,"Visité","À visiter"))))</f>
        <v/>
      </c>
    </row>
    <row r="480" ht="18" customHeight="1">
      <c r="A480" s="39" t="n">
        <v>475</v>
      </c>
      <c r="B480" s="49" t="n"/>
      <c r="C480" s="43" t="n"/>
      <c r="D480" s="32" t="n"/>
      <c r="E480" s="36" t="n"/>
      <c r="F480" s="36" t="n"/>
      <c r="G480" s="36" t="n"/>
      <c r="H480" s="33">
        <f>IF(E480="","",Commercial_Id)</f>
        <v/>
      </c>
      <c r="I480" s="39">
        <f>IF(E480="","",IFERROR(VALUE(MID(E480,LEN(E480)-3,3)),""))</f>
        <v/>
      </c>
      <c r="J480" s="33">
        <f>IF(I480="","",H480&amp;"|"&amp;I480)</f>
        <v/>
      </c>
      <c r="K480" s="33">
        <f>IF(I480="","",IF(H480="À RENSEIGNER","GIC",H480)&amp;"-"&amp;TEXT(I480,"000"))</f>
        <v/>
      </c>
      <c r="L480" s="33">
        <f>IF(J480="","",IFERROR(INDEX(Cl_nom,MATCH(J480,Cl_cle,0)),"(client introuvable)"))</f>
        <v/>
      </c>
      <c r="M480" s="46">
        <f>IF(B480="","",DATE(YEAR(B480),MONTH(B480),1))</f>
        <v/>
      </c>
      <c r="N480" s="33">
        <f>IF(J480="","",IFERROR(INDEX(Cl_quartier,MATCH(J480,Cl_cle,0))&amp;"",""))</f>
        <v/>
      </c>
      <c r="O480" s="33">
        <f>IF(J480="","",IFERROR(INDEX(Cl_tel,MATCH(J480,Cl_cle,0))&amp;"",""))</f>
        <v/>
      </c>
      <c r="P480" s="34">
        <f>IF(J480="","",IFERROR(INDEX(Cl_potentiel,MATCH(J480,Cl_cle,0)),""))</f>
        <v/>
      </c>
      <c r="Q480" s="34">
        <f>IF(J480="","",IF(D480&lt;&gt;"",IF(COUNTIFS(VC_cle,J480,VC_type,"Visite sur place",VC_date,D480)&gt;0,"Visité",IF(D480&lt;TODAY(),"Non fait","À venir")),IF(B480="","",IF(COUNTIFS(VC_cle,J480,VC_type,"Visite sur place",VC_date,"&gt;="&amp;M480,VC_date,"&lt;"&amp;DATE(YEAR(M480),MONTH(M480)+1,1))&gt;0,"Visité","À visiter"))))</f>
        <v/>
      </c>
    </row>
    <row r="481" ht="18" customHeight="1">
      <c r="A481" s="39" t="n">
        <v>476</v>
      </c>
      <c r="B481" s="49" t="n"/>
      <c r="C481" s="43" t="n"/>
      <c r="D481" s="32" t="n"/>
      <c r="E481" s="36" t="n"/>
      <c r="F481" s="36" t="n"/>
      <c r="G481" s="36" t="n"/>
      <c r="H481" s="33">
        <f>IF(E481="","",Commercial_Id)</f>
        <v/>
      </c>
      <c r="I481" s="39">
        <f>IF(E481="","",IFERROR(VALUE(MID(E481,LEN(E481)-3,3)),""))</f>
        <v/>
      </c>
      <c r="J481" s="33">
        <f>IF(I481="","",H481&amp;"|"&amp;I481)</f>
        <v/>
      </c>
      <c r="K481" s="33">
        <f>IF(I481="","",IF(H481="À RENSEIGNER","GIC",H481)&amp;"-"&amp;TEXT(I481,"000"))</f>
        <v/>
      </c>
      <c r="L481" s="33">
        <f>IF(J481="","",IFERROR(INDEX(Cl_nom,MATCH(J481,Cl_cle,0)),"(client introuvable)"))</f>
        <v/>
      </c>
      <c r="M481" s="46">
        <f>IF(B481="","",DATE(YEAR(B481),MONTH(B481),1))</f>
        <v/>
      </c>
      <c r="N481" s="33">
        <f>IF(J481="","",IFERROR(INDEX(Cl_quartier,MATCH(J481,Cl_cle,0))&amp;"",""))</f>
        <v/>
      </c>
      <c r="O481" s="33">
        <f>IF(J481="","",IFERROR(INDEX(Cl_tel,MATCH(J481,Cl_cle,0))&amp;"",""))</f>
        <v/>
      </c>
      <c r="P481" s="34">
        <f>IF(J481="","",IFERROR(INDEX(Cl_potentiel,MATCH(J481,Cl_cle,0)),""))</f>
        <v/>
      </c>
      <c r="Q481" s="34">
        <f>IF(J481="","",IF(D481&lt;&gt;"",IF(COUNTIFS(VC_cle,J481,VC_type,"Visite sur place",VC_date,D481)&gt;0,"Visité",IF(D481&lt;TODAY(),"Non fait","À venir")),IF(B481="","",IF(COUNTIFS(VC_cle,J481,VC_type,"Visite sur place",VC_date,"&gt;="&amp;M481,VC_date,"&lt;"&amp;DATE(YEAR(M481),MONTH(M481)+1,1))&gt;0,"Visité","À visiter"))))</f>
        <v/>
      </c>
    </row>
    <row r="482" ht="18" customHeight="1">
      <c r="A482" s="39" t="n">
        <v>477</v>
      </c>
      <c r="B482" s="49" t="n"/>
      <c r="C482" s="43" t="n"/>
      <c r="D482" s="32" t="n"/>
      <c r="E482" s="36" t="n"/>
      <c r="F482" s="36" t="n"/>
      <c r="G482" s="36" t="n"/>
      <c r="H482" s="33">
        <f>IF(E482="","",Commercial_Id)</f>
        <v/>
      </c>
      <c r="I482" s="39">
        <f>IF(E482="","",IFERROR(VALUE(MID(E482,LEN(E482)-3,3)),""))</f>
        <v/>
      </c>
      <c r="J482" s="33">
        <f>IF(I482="","",H482&amp;"|"&amp;I482)</f>
        <v/>
      </c>
      <c r="K482" s="33">
        <f>IF(I482="","",IF(H482="À RENSEIGNER","GIC",H482)&amp;"-"&amp;TEXT(I482,"000"))</f>
        <v/>
      </c>
      <c r="L482" s="33">
        <f>IF(J482="","",IFERROR(INDEX(Cl_nom,MATCH(J482,Cl_cle,0)),"(client introuvable)"))</f>
        <v/>
      </c>
      <c r="M482" s="46">
        <f>IF(B482="","",DATE(YEAR(B482),MONTH(B482),1))</f>
        <v/>
      </c>
      <c r="N482" s="33">
        <f>IF(J482="","",IFERROR(INDEX(Cl_quartier,MATCH(J482,Cl_cle,0))&amp;"",""))</f>
        <v/>
      </c>
      <c r="O482" s="33">
        <f>IF(J482="","",IFERROR(INDEX(Cl_tel,MATCH(J482,Cl_cle,0))&amp;"",""))</f>
        <v/>
      </c>
      <c r="P482" s="34">
        <f>IF(J482="","",IFERROR(INDEX(Cl_potentiel,MATCH(J482,Cl_cle,0)),""))</f>
        <v/>
      </c>
      <c r="Q482" s="34">
        <f>IF(J482="","",IF(D482&lt;&gt;"",IF(COUNTIFS(VC_cle,J482,VC_type,"Visite sur place",VC_date,D482)&gt;0,"Visité",IF(D482&lt;TODAY(),"Non fait","À venir")),IF(B482="","",IF(COUNTIFS(VC_cle,J482,VC_type,"Visite sur place",VC_date,"&gt;="&amp;M482,VC_date,"&lt;"&amp;DATE(YEAR(M482),MONTH(M482)+1,1))&gt;0,"Visité","À visiter"))))</f>
        <v/>
      </c>
    </row>
    <row r="483" ht="18" customHeight="1">
      <c r="A483" s="39" t="n">
        <v>478</v>
      </c>
      <c r="B483" s="49" t="n"/>
      <c r="C483" s="43" t="n"/>
      <c r="D483" s="32" t="n"/>
      <c r="E483" s="36" t="n"/>
      <c r="F483" s="36" t="n"/>
      <c r="G483" s="36" t="n"/>
      <c r="H483" s="33">
        <f>IF(E483="","",Commercial_Id)</f>
        <v/>
      </c>
      <c r="I483" s="39">
        <f>IF(E483="","",IFERROR(VALUE(MID(E483,LEN(E483)-3,3)),""))</f>
        <v/>
      </c>
      <c r="J483" s="33">
        <f>IF(I483="","",H483&amp;"|"&amp;I483)</f>
        <v/>
      </c>
      <c r="K483" s="33">
        <f>IF(I483="","",IF(H483="À RENSEIGNER","GIC",H483)&amp;"-"&amp;TEXT(I483,"000"))</f>
        <v/>
      </c>
      <c r="L483" s="33">
        <f>IF(J483="","",IFERROR(INDEX(Cl_nom,MATCH(J483,Cl_cle,0)),"(client introuvable)"))</f>
        <v/>
      </c>
      <c r="M483" s="46">
        <f>IF(B483="","",DATE(YEAR(B483),MONTH(B483),1))</f>
        <v/>
      </c>
      <c r="N483" s="33">
        <f>IF(J483="","",IFERROR(INDEX(Cl_quartier,MATCH(J483,Cl_cle,0))&amp;"",""))</f>
        <v/>
      </c>
      <c r="O483" s="33">
        <f>IF(J483="","",IFERROR(INDEX(Cl_tel,MATCH(J483,Cl_cle,0))&amp;"",""))</f>
        <v/>
      </c>
      <c r="P483" s="34">
        <f>IF(J483="","",IFERROR(INDEX(Cl_potentiel,MATCH(J483,Cl_cle,0)),""))</f>
        <v/>
      </c>
      <c r="Q483" s="34">
        <f>IF(J483="","",IF(D483&lt;&gt;"",IF(COUNTIFS(VC_cle,J483,VC_type,"Visite sur place",VC_date,D483)&gt;0,"Visité",IF(D483&lt;TODAY(),"Non fait","À venir")),IF(B483="","",IF(COUNTIFS(VC_cle,J483,VC_type,"Visite sur place",VC_date,"&gt;="&amp;M483,VC_date,"&lt;"&amp;DATE(YEAR(M483),MONTH(M483)+1,1))&gt;0,"Visité","À visiter"))))</f>
        <v/>
      </c>
    </row>
    <row r="484" ht="18" customHeight="1">
      <c r="A484" s="39" t="n">
        <v>479</v>
      </c>
      <c r="B484" s="49" t="n"/>
      <c r="C484" s="43" t="n"/>
      <c r="D484" s="32" t="n"/>
      <c r="E484" s="36" t="n"/>
      <c r="F484" s="36" t="n"/>
      <c r="G484" s="36" t="n"/>
      <c r="H484" s="33">
        <f>IF(E484="","",Commercial_Id)</f>
        <v/>
      </c>
      <c r="I484" s="39">
        <f>IF(E484="","",IFERROR(VALUE(MID(E484,LEN(E484)-3,3)),""))</f>
        <v/>
      </c>
      <c r="J484" s="33">
        <f>IF(I484="","",H484&amp;"|"&amp;I484)</f>
        <v/>
      </c>
      <c r="K484" s="33">
        <f>IF(I484="","",IF(H484="À RENSEIGNER","GIC",H484)&amp;"-"&amp;TEXT(I484,"000"))</f>
        <v/>
      </c>
      <c r="L484" s="33">
        <f>IF(J484="","",IFERROR(INDEX(Cl_nom,MATCH(J484,Cl_cle,0)),"(client introuvable)"))</f>
        <v/>
      </c>
      <c r="M484" s="46">
        <f>IF(B484="","",DATE(YEAR(B484),MONTH(B484),1))</f>
        <v/>
      </c>
      <c r="N484" s="33">
        <f>IF(J484="","",IFERROR(INDEX(Cl_quartier,MATCH(J484,Cl_cle,0))&amp;"",""))</f>
        <v/>
      </c>
      <c r="O484" s="33">
        <f>IF(J484="","",IFERROR(INDEX(Cl_tel,MATCH(J484,Cl_cle,0))&amp;"",""))</f>
        <v/>
      </c>
      <c r="P484" s="34">
        <f>IF(J484="","",IFERROR(INDEX(Cl_potentiel,MATCH(J484,Cl_cle,0)),""))</f>
        <v/>
      </c>
      <c r="Q484" s="34">
        <f>IF(J484="","",IF(D484&lt;&gt;"",IF(COUNTIFS(VC_cle,J484,VC_type,"Visite sur place",VC_date,D484)&gt;0,"Visité",IF(D484&lt;TODAY(),"Non fait","À venir")),IF(B484="","",IF(COUNTIFS(VC_cle,J484,VC_type,"Visite sur place",VC_date,"&gt;="&amp;M484,VC_date,"&lt;"&amp;DATE(YEAR(M484),MONTH(M484)+1,1))&gt;0,"Visité","À visiter"))))</f>
        <v/>
      </c>
    </row>
    <row r="485" ht="18" customHeight="1">
      <c r="A485" s="39" t="n">
        <v>480</v>
      </c>
      <c r="B485" s="49" t="n"/>
      <c r="C485" s="43" t="n"/>
      <c r="D485" s="32" t="n"/>
      <c r="E485" s="36" t="n"/>
      <c r="F485" s="36" t="n"/>
      <c r="G485" s="36" t="n"/>
      <c r="H485" s="33">
        <f>IF(E485="","",Commercial_Id)</f>
        <v/>
      </c>
      <c r="I485" s="39">
        <f>IF(E485="","",IFERROR(VALUE(MID(E485,LEN(E485)-3,3)),""))</f>
        <v/>
      </c>
      <c r="J485" s="33">
        <f>IF(I485="","",H485&amp;"|"&amp;I485)</f>
        <v/>
      </c>
      <c r="K485" s="33">
        <f>IF(I485="","",IF(H485="À RENSEIGNER","GIC",H485)&amp;"-"&amp;TEXT(I485,"000"))</f>
        <v/>
      </c>
      <c r="L485" s="33">
        <f>IF(J485="","",IFERROR(INDEX(Cl_nom,MATCH(J485,Cl_cle,0)),"(client introuvable)"))</f>
        <v/>
      </c>
      <c r="M485" s="46">
        <f>IF(B485="","",DATE(YEAR(B485),MONTH(B485),1))</f>
        <v/>
      </c>
      <c r="N485" s="33">
        <f>IF(J485="","",IFERROR(INDEX(Cl_quartier,MATCH(J485,Cl_cle,0))&amp;"",""))</f>
        <v/>
      </c>
      <c r="O485" s="33">
        <f>IF(J485="","",IFERROR(INDEX(Cl_tel,MATCH(J485,Cl_cle,0))&amp;"",""))</f>
        <v/>
      </c>
      <c r="P485" s="34">
        <f>IF(J485="","",IFERROR(INDEX(Cl_potentiel,MATCH(J485,Cl_cle,0)),""))</f>
        <v/>
      </c>
      <c r="Q485" s="34">
        <f>IF(J485="","",IF(D485&lt;&gt;"",IF(COUNTIFS(VC_cle,J485,VC_type,"Visite sur place",VC_date,D485)&gt;0,"Visité",IF(D485&lt;TODAY(),"Non fait","À venir")),IF(B485="","",IF(COUNTIFS(VC_cle,J485,VC_type,"Visite sur place",VC_date,"&gt;="&amp;M485,VC_date,"&lt;"&amp;DATE(YEAR(M485),MONTH(M485)+1,1))&gt;0,"Visité","À visiter"))))</f>
        <v/>
      </c>
    </row>
    <row r="486" ht="18" customHeight="1">
      <c r="A486" s="39" t="n">
        <v>481</v>
      </c>
      <c r="B486" s="49" t="n"/>
      <c r="C486" s="43" t="n"/>
      <c r="D486" s="32" t="n"/>
      <c r="E486" s="36" t="n"/>
      <c r="F486" s="36" t="n"/>
      <c r="G486" s="36" t="n"/>
      <c r="H486" s="33">
        <f>IF(E486="","",Commercial_Id)</f>
        <v/>
      </c>
      <c r="I486" s="39">
        <f>IF(E486="","",IFERROR(VALUE(MID(E486,LEN(E486)-3,3)),""))</f>
        <v/>
      </c>
      <c r="J486" s="33">
        <f>IF(I486="","",H486&amp;"|"&amp;I486)</f>
        <v/>
      </c>
      <c r="K486" s="33">
        <f>IF(I486="","",IF(H486="À RENSEIGNER","GIC",H486)&amp;"-"&amp;TEXT(I486,"000"))</f>
        <v/>
      </c>
      <c r="L486" s="33">
        <f>IF(J486="","",IFERROR(INDEX(Cl_nom,MATCH(J486,Cl_cle,0)),"(client introuvable)"))</f>
        <v/>
      </c>
      <c r="M486" s="46">
        <f>IF(B486="","",DATE(YEAR(B486),MONTH(B486),1))</f>
        <v/>
      </c>
      <c r="N486" s="33">
        <f>IF(J486="","",IFERROR(INDEX(Cl_quartier,MATCH(J486,Cl_cle,0))&amp;"",""))</f>
        <v/>
      </c>
      <c r="O486" s="33">
        <f>IF(J486="","",IFERROR(INDEX(Cl_tel,MATCH(J486,Cl_cle,0))&amp;"",""))</f>
        <v/>
      </c>
      <c r="P486" s="34">
        <f>IF(J486="","",IFERROR(INDEX(Cl_potentiel,MATCH(J486,Cl_cle,0)),""))</f>
        <v/>
      </c>
      <c r="Q486" s="34">
        <f>IF(J486="","",IF(D486&lt;&gt;"",IF(COUNTIFS(VC_cle,J486,VC_type,"Visite sur place",VC_date,D486)&gt;0,"Visité",IF(D486&lt;TODAY(),"Non fait","À venir")),IF(B486="","",IF(COUNTIFS(VC_cle,J486,VC_type,"Visite sur place",VC_date,"&gt;="&amp;M486,VC_date,"&lt;"&amp;DATE(YEAR(M486),MONTH(M486)+1,1))&gt;0,"Visité","À visiter"))))</f>
        <v/>
      </c>
    </row>
    <row r="487" ht="18" customHeight="1">
      <c r="A487" s="39" t="n">
        <v>482</v>
      </c>
      <c r="B487" s="49" t="n"/>
      <c r="C487" s="43" t="n"/>
      <c r="D487" s="32" t="n"/>
      <c r="E487" s="36" t="n"/>
      <c r="F487" s="36" t="n"/>
      <c r="G487" s="36" t="n"/>
      <c r="H487" s="33">
        <f>IF(E487="","",Commercial_Id)</f>
        <v/>
      </c>
      <c r="I487" s="39">
        <f>IF(E487="","",IFERROR(VALUE(MID(E487,LEN(E487)-3,3)),""))</f>
        <v/>
      </c>
      <c r="J487" s="33">
        <f>IF(I487="","",H487&amp;"|"&amp;I487)</f>
        <v/>
      </c>
      <c r="K487" s="33">
        <f>IF(I487="","",IF(H487="À RENSEIGNER","GIC",H487)&amp;"-"&amp;TEXT(I487,"000"))</f>
        <v/>
      </c>
      <c r="L487" s="33">
        <f>IF(J487="","",IFERROR(INDEX(Cl_nom,MATCH(J487,Cl_cle,0)),"(client introuvable)"))</f>
        <v/>
      </c>
      <c r="M487" s="46">
        <f>IF(B487="","",DATE(YEAR(B487),MONTH(B487),1))</f>
        <v/>
      </c>
      <c r="N487" s="33">
        <f>IF(J487="","",IFERROR(INDEX(Cl_quartier,MATCH(J487,Cl_cle,0))&amp;"",""))</f>
        <v/>
      </c>
      <c r="O487" s="33">
        <f>IF(J487="","",IFERROR(INDEX(Cl_tel,MATCH(J487,Cl_cle,0))&amp;"",""))</f>
        <v/>
      </c>
      <c r="P487" s="34">
        <f>IF(J487="","",IFERROR(INDEX(Cl_potentiel,MATCH(J487,Cl_cle,0)),""))</f>
        <v/>
      </c>
      <c r="Q487" s="34">
        <f>IF(J487="","",IF(D487&lt;&gt;"",IF(COUNTIFS(VC_cle,J487,VC_type,"Visite sur place",VC_date,D487)&gt;0,"Visité",IF(D487&lt;TODAY(),"Non fait","À venir")),IF(B487="","",IF(COUNTIFS(VC_cle,J487,VC_type,"Visite sur place",VC_date,"&gt;="&amp;M487,VC_date,"&lt;"&amp;DATE(YEAR(M487),MONTH(M487)+1,1))&gt;0,"Visité","À visiter"))))</f>
        <v/>
      </c>
    </row>
    <row r="488" ht="18" customHeight="1">
      <c r="A488" s="39" t="n">
        <v>483</v>
      </c>
      <c r="B488" s="49" t="n"/>
      <c r="C488" s="43" t="n"/>
      <c r="D488" s="32" t="n"/>
      <c r="E488" s="36" t="n"/>
      <c r="F488" s="36" t="n"/>
      <c r="G488" s="36" t="n"/>
      <c r="H488" s="33">
        <f>IF(E488="","",Commercial_Id)</f>
        <v/>
      </c>
      <c r="I488" s="39">
        <f>IF(E488="","",IFERROR(VALUE(MID(E488,LEN(E488)-3,3)),""))</f>
        <v/>
      </c>
      <c r="J488" s="33">
        <f>IF(I488="","",H488&amp;"|"&amp;I488)</f>
        <v/>
      </c>
      <c r="K488" s="33">
        <f>IF(I488="","",IF(H488="À RENSEIGNER","GIC",H488)&amp;"-"&amp;TEXT(I488,"000"))</f>
        <v/>
      </c>
      <c r="L488" s="33">
        <f>IF(J488="","",IFERROR(INDEX(Cl_nom,MATCH(J488,Cl_cle,0)),"(client introuvable)"))</f>
        <v/>
      </c>
      <c r="M488" s="46">
        <f>IF(B488="","",DATE(YEAR(B488),MONTH(B488),1))</f>
        <v/>
      </c>
      <c r="N488" s="33">
        <f>IF(J488="","",IFERROR(INDEX(Cl_quartier,MATCH(J488,Cl_cle,0))&amp;"",""))</f>
        <v/>
      </c>
      <c r="O488" s="33">
        <f>IF(J488="","",IFERROR(INDEX(Cl_tel,MATCH(J488,Cl_cle,0))&amp;"",""))</f>
        <v/>
      </c>
      <c r="P488" s="34">
        <f>IF(J488="","",IFERROR(INDEX(Cl_potentiel,MATCH(J488,Cl_cle,0)),""))</f>
        <v/>
      </c>
      <c r="Q488" s="34">
        <f>IF(J488="","",IF(D488&lt;&gt;"",IF(COUNTIFS(VC_cle,J488,VC_type,"Visite sur place",VC_date,D488)&gt;0,"Visité",IF(D488&lt;TODAY(),"Non fait","À venir")),IF(B488="","",IF(COUNTIFS(VC_cle,J488,VC_type,"Visite sur place",VC_date,"&gt;="&amp;M488,VC_date,"&lt;"&amp;DATE(YEAR(M488),MONTH(M488)+1,1))&gt;0,"Visité","À visiter"))))</f>
        <v/>
      </c>
    </row>
    <row r="489" ht="18" customHeight="1">
      <c r="A489" s="39" t="n">
        <v>484</v>
      </c>
      <c r="B489" s="49" t="n"/>
      <c r="C489" s="43" t="n"/>
      <c r="D489" s="32" t="n"/>
      <c r="E489" s="36" t="n"/>
      <c r="F489" s="36" t="n"/>
      <c r="G489" s="36" t="n"/>
      <c r="H489" s="33">
        <f>IF(E489="","",Commercial_Id)</f>
        <v/>
      </c>
      <c r="I489" s="39">
        <f>IF(E489="","",IFERROR(VALUE(MID(E489,LEN(E489)-3,3)),""))</f>
        <v/>
      </c>
      <c r="J489" s="33">
        <f>IF(I489="","",H489&amp;"|"&amp;I489)</f>
        <v/>
      </c>
      <c r="K489" s="33">
        <f>IF(I489="","",IF(H489="À RENSEIGNER","GIC",H489)&amp;"-"&amp;TEXT(I489,"000"))</f>
        <v/>
      </c>
      <c r="L489" s="33">
        <f>IF(J489="","",IFERROR(INDEX(Cl_nom,MATCH(J489,Cl_cle,0)),"(client introuvable)"))</f>
        <v/>
      </c>
      <c r="M489" s="46">
        <f>IF(B489="","",DATE(YEAR(B489),MONTH(B489),1))</f>
        <v/>
      </c>
      <c r="N489" s="33">
        <f>IF(J489="","",IFERROR(INDEX(Cl_quartier,MATCH(J489,Cl_cle,0))&amp;"",""))</f>
        <v/>
      </c>
      <c r="O489" s="33">
        <f>IF(J489="","",IFERROR(INDEX(Cl_tel,MATCH(J489,Cl_cle,0))&amp;"",""))</f>
        <v/>
      </c>
      <c r="P489" s="34">
        <f>IF(J489="","",IFERROR(INDEX(Cl_potentiel,MATCH(J489,Cl_cle,0)),""))</f>
        <v/>
      </c>
      <c r="Q489" s="34">
        <f>IF(J489="","",IF(D489&lt;&gt;"",IF(COUNTIFS(VC_cle,J489,VC_type,"Visite sur place",VC_date,D489)&gt;0,"Visité",IF(D489&lt;TODAY(),"Non fait","À venir")),IF(B489="","",IF(COUNTIFS(VC_cle,J489,VC_type,"Visite sur place",VC_date,"&gt;="&amp;M489,VC_date,"&lt;"&amp;DATE(YEAR(M489),MONTH(M489)+1,1))&gt;0,"Visité","À visiter"))))</f>
        <v/>
      </c>
    </row>
    <row r="490" ht="18" customHeight="1">
      <c r="A490" s="39" t="n">
        <v>485</v>
      </c>
      <c r="B490" s="49" t="n"/>
      <c r="C490" s="43" t="n"/>
      <c r="D490" s="32" t="n"/>
      <c r="E490" s="36" t="n"/>
      <c r="F490" s="36" t="n"/>
      <c r="G490" s="36" t="n"/>
      <c r="H490" s="33">
        <f>IF(E490="","",Commercial_Id)</f>
        <v/>
      </c>
      <c r="I490" s="39">
        <f>IF(E490="","",IFERROR(VALUE(MID(E490,LEN(E490)-3,3)),""))</f>
        <v/>
      </c>
      <c r="J490" s="33">
        <f>IF(I490="","",H490&amp;"|"&amp;I490)</f>
        <v/>
      </c>
      <c r="K490" s="33">
        <f>IF(I490="","",IF(H490="À RENSEIGNER","GIC",H490)&amp;"-"&amp;TEXT(I490,"000"))</f>
        <v/>
      </c>
      <c r="L490" s="33">
        <f>IF(J490="","",IFERROR(INDEX(Cl_nom,MATCH(J490,Cl_cle,0)),"(client introuvable)"))</f>
        <v/>
      </c>
      <c r="M490" s="46">
        <f>IF(B490="","",DATE(YEAR(B490),MONTH(B490),1))</f>
        <v/>
      </c>
      <c r="N490" s="33">
        <f>IF(J490="","",IFERROR(INDEX(Cl_quartier,MATCH(J490,Cl_cle,0))&amp;"",""))</f>
        <v/>
      </c>
      <c r="O490" s="33">
        <f>IF(J490="","",IFERROR(INDEX(Cl_tel,MATCH(J490,Cl_cle,0))&amp;"",""))</f>
        <v/>
      </c>
      <c r="P490" s="34">
        <f>IF(J490="","",IFERROR(INDEX(Cl_potentiel,MATCH(J490,Cl_cle,0)),""))</f>
        <v/>
      </c>
      <c r="Q490" s="34">
        <f>IF(J490="","",IF(D490&lt;&gt;"",IF(COUNTIFS(VC_cle,J490,VC_type,"Visite sur place",VC_date,D490)&gt;0,"Visité",IF(D490&lt;TODAY(),"Non fait","À venir")),IF(B490="","",IF(COUNTIFS(VC_cle,J490,VC_type,"Visite sur place",VC_date,"&gt;="&amp;M490,VC_date,"&lt;"&amp;DATE(YEAR(M490),MONTH(M490)+1,1))&gt;0,"Visité","À visiter"))))</f>
        <v/>
      </c>
    </row>
    <row r="491" ht="18" customHeight="1">
      <c r="A491" s="39" t="n">
        <v>486</v>
      </c>
      <c r="B491" s="49" t="n"/>
      <c r="C491" s="43" t="n"/>
      <c r="D491" s="32" t="n"/>
      <c r="E491" s="36" t="n"/>
      <c r="F491" s="36" t="n"/>
      <c r="G491" s="36" t="n"/>
      <c r="H491" s="33">
        <f>IF(E491="","",Commercial_Id)</f>
        <v/>
      </c>
      <c r="I491" s="39">
        <f>IF(E491="","",IFERROR(VALUE(MID(E491,LEN(E491)-3,3)),""))</f>
        <v/>
      </c>
      <c r="J491" s="33">
        <f>IF(I491="","",H491&amp;"|"&amp;I491)</f>
        <v/>
      </c>
      <c r="K491" s="33">
        <f>IF(I491="","",IF(H491="À RENSEIGNER","GIC",H491)&amp;"-"&amp;TEXT(I491,"000"))</f>
        <v/>
      </c>
      <c r="L491" s="33">
        <f>IF(J491="","",IFERROR(INDEX(Cl_nom,MATCH(J491,Cl_cle,0)),"(client introuvable)"))</f>
        <v/>
      </c>
      <c r="M491" s="46">
        <f>IF(B491="","",DATE(YEAR(B491),MONTH(B491),1))</f>
        <v/>
      </c>
      <c r="N491" s="33">
        <f>IF(J491="","",IFERROR(INDEX(Cl_quartier,MATCH(J491,Cl_cle,0))&amp;"",""))</f>
        <v/>
      </c>
      <c r="O491" s="33">
        <f>IF(J491="","",IFERROR(INDEX(Cl_tel,MATCH(J491,Cl_cle,0))&amp;"",""))</f>
        <v/>
      </c>
      <c r="P491" s="34">
        <f>IF(J491="","",IFERROR(INDEX(Cl_potentiel,MATCH(J491,Cl_cle,0)),""))</f>
        <v/>
      </c>
      <c r="Q491" s="34">
        <f>IF(J491="","",IF(D491&lt;&gt;"",IF(COUNTIFS(VC_cle,J491,VC_type,"Visite sur place",VC_date,D491)&gt;0,"Visité",IF(D491&lt;TODAY(),"Non fait","À venir")),IF(B491="","",IF(COUNTIFS(VC_cle,J491,VC_type,"Visite sur place",VC_date,"&gt;="&amp;M491,VC_date,"&lt;"&amp;DATE(YEAR(M491),MONTH(M491)+1,1))&gt;0,"Visité","À visiter"))))</f>
        <v/>
      </c>
    </row>
    <row r="492" ht="18" customHeight="1">
      <c r="A492" s="39" t="n">
        <v>487</v>
      </c>
      <c r="B492" s="49" t="n"/>
      <c r="C492" s="43" t="n"/>
      <c r="D492" s="32" t="n"/>
      <c r="E492" s="36" t="n"/>
      <c r="F492" s="36" t="n"/>
      <c r="G492" s="36" t="n"/>
      <c r="H492" s="33">
        <f>IF(E492="","",Commercial_Id)</f>
        <v/>
      </c>
      <c r="I492" s="39">
        <f>IF(E492="","",IFERROR(VALUE(MID(E492,LEN(E492)-3,3)),""))</f>
        <v/>
      </c>
      <c r="J492" s="33">
        <f>IF(I492="","",H492&amp;"|"&amp;I492)</f>
        <v/>
      </c>
      <c r="K492" s="33">
        <f>IF(I492="","",IF(H492="À RENSEIGNER","GIC",H492)&amp;"-"&amp;TEXT(I492,"000"))</f>
        <v/>
      </c>
      <c r="L492" s="33">
        <f>IF(J492="","",IFERROR(INDEX(Cl_nom,MATCH(J492,Cl_cle,0)),"(client introuvable)"))</f>
        <v/>
      </c>
      <c r="M492" s="46">
        <f>IF(B492="","",DATE(YEAR(B492),MONTH(B492),1))</f>
        <v/>
      </c>
      <c r="N492" s="33">
        <f>IF(J492="","",IFERROR(INDEX(Cl_quartier,MATCH(J492,Cl_cle,0))&amp;"",""))</f>
        <v/>
      </c>
      <c r="O492" s="33">
        <f>IF(J492="","",IFERROR(INDEX(Cl_tel,MATCH(J492,Cl_cle,0))&amp;"",""))</f>
        <v/>
      </c>
      <c r="P492" s="34">
        <f>IF(J492="","",IFERROR(INDEX(Cl_potentiel,MATCH(J492,Cl_cle,0)),""))</f>
        <v/>
      </c>
      <c r="Q492" s="34">
        <f>IF(J492="","",IF(D492&lt;&gt;"",IF(COUNTIFS(VC_cle,J492,VC_type,"Visite sur place",VC_date,D492)&gt;0,"Visité",IF(D492&lt;TODAY(),"Non fait","À venir")),IF(B492="","",IF(COUNTIFS(VC_cle,J492,VC_type,"Visite sur place",VC_date,"&gt;="&amp;M492,VC_date,"&lt;"&amp;DATE(YEAR(M492),MONTH(M492)+1,1))&gt;0,"Visité","À visiter"))))</f>
        <v/>
      </c>
    </row>
    <row r="493" ht="18" customHeight="1">
      <c r="A493" s="39" t="n">
        <v>488</v>
      </c>
      <c r="B493" s="49" t="n"/>
      <c r="C493" s="43" t="n"/>
      <c r="D493" s="32" t="n"/>
      <c r="E493" s="36" t="n"/>
      <c r="F493" s="36" t="n"/>
      <c r="G493" s="36" t="n"/>
      <c r="H493" s="33">
        <f>IF(E493="","",Commercial_Id)</f>
        <v/>
      </c>
      <c r="I493" s="39">
        <f>IF(E493="","",IFERROR(VALUE(MID(E493,LEN(E493)-3,3)),""))</f>
        <v/>
      </c>
      <c r="J493" s="33">
        <f>IF(I493="","",H493&amp;"|"&amp;I493)</f>
        <v/>
      </c>
      <c r="K493" s="33">
        <f>IF(I493="","",IF(H493="À RENSEIGNER","GIC",H493)&amp;"-"&amp;TEXT(I493,"000"))</f>
        <v/>
      </c>
      <c r="L493" s="33">
        <f>IF(J493="","",IFERROR(INDEX(Cl_nom,MATCH(J493,Cl_cle,0)),"(client introuvable)"))</f>
        <v/>
      </c>
      <c r="M493" s="46">
        <f>IF(B493="","",DATE(YEAR(B493),MONTH(B493),1))</f>
        <v/>
      </c>
      <c r="N493" s="33">
        <f>IF(J493="","",IFERROR(INDEX(Cl_quartier,MATCH(J493,Cl_cle,0))&amp;"",""))</f>
        <v/>
      </c>
      <c r="O493" s="33">
        <f>IF(J493="","",IFERROR(INDEX(Cl_tel,MATCH(J493,Cl_cle,0))&amp;"",""))</f>
        <v/>
      </c>
      <c r="P493" s="34">
        <f>IF(J493="","",IFERROR(INDEX(Cl_potentiel,MATCH(J493,Cl_cle,0)),""))</f>
        <v/>
      </c>
      <c r="Q493" s="34">
        <f>IF(J493="","",IF(D493&lt;&gt;"",IF(COUNTIFS(VC_cle,J493,VC_type,"Visite sur place",VC_date,D493)&gt;0,"Visité",IF(D493&lt;TODAY(),"Non fait","À venir")),IF(B493="","",IF(COUNTIFS(VC_cle,J493,VC_type,"Visite sur place",VC_date,"&gt;="&amp;M493,VC_date,"&lt;"&amp;DATE(YEAR(M493),MONTH(M493)+1,1))&gt;0,"Visité","À visiter"))))</f>
        <v/>
      </c>
    </row>
    <row r="494" ht="18" customHeight="1">
      <c r="A494" s="39" t="n">
        <v>489</v>
      </c>
      <c r="B494" s="49" t="n"/>
      <c r="C494" s="43" t="n"/>
      <c r="D494" s="32" t="n"/>
      <c r="E494" s="36" t="n"/>
      <c r="F494" s="36" t="n"/>
      <c r="G494" s="36" t="n"/>
      <c r="H494" s="33">
        <f>IF(E494="","",Commercial_Id)</f>
        <v/>
      </c>
      <c r="I494" s="39">
        <f>IF(E494="","",IFERROR(VALUE(MID(E494,LEN(E494)-3,3)),""))</f>
        <v/>
      </c>
      <c r="J494" s="33">
        <f>IF(I494="","",H494&amp;"|"&amp;I494)</f>
        <v/>
      </c>
      <c r="K494" s="33">
        <f>IF(I494="","",IF(H494="À RENSEIGNER","GIC",H494)&amp;"-"&amp;TEXT(I494,"000"))</f>
        <v/>
      </c>
      <c r="L494" s="33">
        <f>IF(J494="","",IFERROR(INDEX(Cl_nom,MATCH(J494,Cl_cle,0)),"(client introuvable)"))</f>
        <v/>
      </c>
      <c r="M494" s="46">
        <f>IF(B494="","",DATE(YEAR(B494),MONTH(B494),1))</f>
        <v/>
      </c>
      <c r="N494" s="33">
        <f>IF(J494="","",IFERROR(INDEX(Cl_quartier,MATCH(J494,Cl_cle,0))&amp;"",""))</f>
        <v/>
      </c>
      <c r="O494" s="33">
        <f>IF(J494="","",IFERROR(INDEX(Cl_tel,MATCH(J494,Cl_cle,0))&amp;"",""))</f>
        <v/>
      </c>
      <c r="P494" s="34">
        <f>IF(J494="","",IFERROR(INDEX(Cl_potentiel,MATCH(J494,Cl_cle,0)),""))</f>
        <v/>
      </c>
      <c r="Q494" s="34">
        <f>IF(J494="","",IF(D494&lt;&gt;"",IF(COUNTIFS(VC_cle,J494,VC_type,"Visite sur place",VC_date,D494)&gt;0,"Visité",IF(D494&lt;TODAY(),"Non fait","À venir")),IF(B494="","",IF(COUNTIFS(VC_cle,J494,VC_type,"Visite sur place",VC_date,"&gt;="&amp;M494,VC_date,"&lt;"&amp;DATE(YEAR(M494),MONTH(M494)+1,1))&gt;0,"Visité","À visiter"))))</f>
        <v/>
      </c>
    </row>
    <row r="495" ht="18" customHeight="1">
      <c r="A495" s="39" t="n">
        <v>490</v>
      </c>
      <c r="B495" s="49" t="n"/>
      <c r="C495" s="43" t="n"/>
      <c r="D495" s="32" t="n"/>
      <c r="E495" s="36" t="n"/>
      <c r="F495" s="36" t="n"/>
      <c r="G495" s="36" t="n"/>
      <c r="H495" s="33">
        <f>IF(E495="","",Commercial_Id)</f>
        <v/>
      </c>
      <c r="I495" s="39">
        <f>IF(E495="","",IFERROR(VALUE(MID(E495,LEN(E495)-3,3)),""))</f>
        <v/>
      </c>
      <c r="J495" s="33">
        <f>IF(I495="","",H495&amp;"|"&amp;I495)</f>
        <v/>
      </c>
      <c r="K495" s="33">
        <f>IF(I495="","",IF(H495="À RENSEIGNER","GIC",H495)&amp;"-"&amp;TEXT(I495,"000"))</f>
        <v/>
      </c>
      <c r="L495" s="33">
        <f>IF(J495="","",IFERROR(INDEX(Cl_nom,MATCH(J495,Cl_cle,0)),"(client introuvable)"))</f>
        <v/>
      </c>
      <c r="M495" s="46">
        <f>IF(B495="","",DATE(YEAR(B495),MONTH(B495),1))</f>
        <v/>
      </c>
      <c r="N495" s="33">
        <f>IF(J495="","",IFERROR(INDEX(Cl_quartier,MATCH(J495,Cl_cle,0))&amp;"",""))</f>
        <v/>
      </c>
      <c r="O495" s="33">
        <f>IF(J495="","",IFERROR(INDEX(Cl_tel,MATCH(J495,Cl_cle,0))&amp;"",""))</f>
        <v/>
      </c>
      <c r="P495" s="34">
        <f>IF(J495="","",IFERROR(INDEX(Cl_potentiel,MATCH(J495,Cl_cle,0)),""))</f>
        <v/>
      </c>
      <c r="Q495" s="34">
        <f>IF(J495="","",IF(D495&lt;&gt;"",IF(COUNTIFS(VC_cle,J495,VC_type,"Visite sur place",VC_date,D495)&gt;0,"Visité",IF(D495&lt;TODAY(),"Non fait","À venir")),IF(B495="","",IF(COUNTIFS(VC_cle,J495,VC_type,"Visite sur place",VC_date,"&gt;="&amp;M495,VC_date,"&lt;"&amp;DATE(YEAR(M495),MONTH(M495)+1,1))&gt;0,"Visité","À visiter"))))</f>
        <v/>
      </c>
    </row>
    <row r="496" ht="18" customHeight="1">
      <c r="A496" s="39" t="n">
        <v>491</v>
      </c>
      <c r="B496" s="49" t="n"/>
      <c r="C496" s="43" t="n"/>
      <c r="D496" s="32" t="n"/>
      <c r="E496" s="36" t="n"/>
      <c r="F496" s="36" t="n"/>
      <c r="G496" s="36" t="n"/>
      <c r="H496" s="33">
        <f>IF(E496="","",Commercial_Id)</f>
        <v/>
      </c>
      <c r="I496" s="39">
        <f>IF(E496="","",IFERROR(VALUE(MID(E496,LEN(E496)-3,3)),""))</f>
        <v/>
      </c>
      <c r="J496" s="33">
        <f>IF(I496="","",H496&amp;"|"&amp;I496)</f>
        <v/>
      </c>
      <c r="K496" s="33">
        <f>IF(I496="","",IF(H496="À RENSEIGNER","GIC",H496)&amp;"-"&amp;TEXT(I496,"000"))</f>
        <v/>
      </c>
      <c r="L496" s="33">
        <f>IF(J496="","",IFERROR(INDEX(Cl_nom,MATCH(J496,Cl_cle,0)),"(client introuvable)"))</f>
        <v/>
      </c>
      <c r="M496" s="46">
        <f>IF(B496="","",DATE(YEAR(B496),MONTH(B496),1))</f>
        <v/>
      </c>
      <c r="N496" s="33">
        <f>IF(J496="","",IFERROR(INDEX(Cl_quartier,MATCH(J496,Cl_cle,0))&amp;"",""))</f>
        <v/>
      </c>
      <c r="O496" s="33">
        <f>IF(J496="","",IFERROR(INDEX(Cl_tel,MATCH(J496,Cl_cle,0))&amp;"",""))</f>
        <v/>
      </c>
      <c r="P496" s="34">
        <f>IF(J496="","",IFERROR(INDEX(Cl_potentiel,MATCH(J496,Cl_cle,0)),""))</f>
        <v/>
      </c>
      <c r="Q496" s="34">
        <f>IF(J496="","",IF(D496&lt;&gt;"",IF(COUNTIFS(VC_cle,J496,VC_type,"Visite sur place",VC_date,D496)&gt;0,"Visité",IF(D496&lt;TODAY(),"Non fait","À venir")),IF(B496="","",IF(COUNTIFS(VC_cle,J496,VC_type,"Visite sur place",VC_date,"&gt;="&amp;M496,VC_date,"&lt;"&amp;DATE(YEAR(M496),MONTH(M496)+1,1))&gt;0,"Visité","À visiter"))))</f>
        <v/>
      </c>
    </row>
    <row r="497" ht="18" customHeight="1">
      <c r="A497" s="39" t="n">
        <v>492</v>
      </c>
      <c r="B497" s="49" t="n"/>
      <c r="C497" s="43" t="n"/>
      <c r="D497" s="32" t="n"/>
      <c r="E497" s="36" t="n"/>
      <c r="F497" s="36" t="n"/>
      <c r="G497" s="36" t="n"/>
      <c r="H497" s="33">
        <f>IF(E497="","",Commercial_Id)</f>
        <v/>
      </c>
      <c r="I497" s="39">
        <f>IF(E497="","",IFERROR(VALUE(MID(E497,LEN(E497)-3,3)),""))</f>
        <v/>
      </c>
      <c r="J497" s="33">
        <f>IF(I497="","",H497&amp;"|"&amp;I497)</f>
        <v/>
      </c>
      <c r="K497" s="33">
        <f>IF(I497="","",IF(H497="À RENSEIGNER","GIC",H497)&amp;"-"&amp;TEXT(I497,"000"))</f>
        <v/>
      </c>
      <c r="L497" s="33">
        <f>IF(J497="","",IFERROR(INDEX(Cl_nom,MATCH(J497,Cl_cle,0)),"(client introuvable)"))</f>
        <v/>
      </c>
      <c r="M497" s="46">
        <f>IF(B497="","",DATE(YEAR(B497),MONTH(B497),1))</f>
        <v/>
      </c>
      <c r="N497" s="33">
        <f>IF(J497="","",IFERROR(INDEX(Cl_quartier,MATCH(J497,Cl_cle,0))&amp;"",""))</f>
        <v/>
      </c>
      <c r="O497" s="33">
        <f>IF(J497="","",IFERROR(INDEX(Cl_tel,MATCH(J497,Cl_cle,0))&amp;"",""))</f>
        <v/>
      </c>
      <c r="P497" s="34">
        <f>IF(J497="","",IFERROR(INDEX(Cl_potentiel,MATCH(J497,Cl_cle,0)),""))</f>
        <v/>
      </c>
      <c r="Q497" s="34">
        <f>IF(J497="","",IF(D497&lt;&gt;"",IF(COUNTIFS(VC_cle,J497,VC_type,"Visite sur place",VC_date,D497)&gt;0,"Visité",IF(D497&lt;TODAY(),"Non fait","À venir")),IF(B497="","",IF(COUNTIFS(VC_cle,J497,VC_type,"Visite sur place",VC_date,"&gt;="&amp;M497,VC_date,"&lt;"&amp;DATE(YEAR(M497),MONTH(M497)+1,1))&gt;0,"Visité","À visiter"))))</f>
        <v/>
      </c>
    </row>
    <row r="498" ht="18" customHeight="1">
      <c r="A498" s="39" t="n">
        <v>493</v>
      </c>
      <c r="B498" s="49" t="n"/>
      <c r="C498" s="43" t="n"/>
      <c r="D498" s="32" t="n"/>
      <c r="E498" s="36" t="n"/>
      <c r="F498" s="36" t="n"/>
      <c r="G498" s="36" t="n"/>
      <c r="H498" s="33">
        <f>IF(E498="","",Commercial_Id)</f>
        <v/>
      </c>
      <c r="I498" s="39">
        <f>IF(E498="","",IFERROR(VALUE(MID(E498,LEN(E498)-3,3)),""))</f>
        <v/>
      </c>
      <c r="J498" s="33">
        <f>IF(I498="","",H498&amp;"|"&amp;I498)</f>
        <v/>
      </c>
      <c r="K498" s="33">
        <f>IF(I498="","",IF(H498="À RENSEIGNER","GIC",H498)&amp;"-"&amp;TEXT(I498,"000"))</f>
        <v/>
      </c>
      <c r="L498" s="33">
        <f>IF(J498="","",IFERROR(INDEX(Cl_nom,MATCH(J498,Cl_cle,0)),"(client introuvable)"))</f>
        <v/>
      </c>
      <c r="M498" s="46">
        <f>IF(B498="","",DATE(YEAR(B498),MONTH(B498),1))</f>
        <v/>
      </c>
      <c r="N498" s="33">
        <f>IF(J498="","",IFERROR(INDEX(Cl_quartier,MATCH(J498,Cl_cle,0))&amp;"",""))</f>
        <v/>
      </c>
      <c r="O498" s="33">
        <f>IF(J498="","",IFERROR(INDEX(Cl_tel,MATCH(J498,Cl_cle,0))&amp;"",""))</f>
        <v/>
      </c>
      <c r="P498" s="34">
        <f>IF(J498="","",IFERROR(INDEX(Cl_potentiel,MATCH(J498,Cl_cle,0)),""))</f>
        <v/>
      </c>
      <c r="Q498" s="34">
        <f>IF(J498="","",IF(D498&lt;&gt;"",IF(COUNTIFS(VC_cle,J498,VC_type,"Visite sur place",VC_date,D498)&gt;0,"Visité",IF(D498&lt;TODAY(),"Non fait","À venir")),IF(B498="","",IF(COUNTIFS(VC_cle,J498,VC_type,"Visite sur place",VC_date,"&gt;="&amp;M498,VC_date,"&lt;"&amp;DATE(YEAR(M498),MONTH(M498)+1,1))&gt;0,"Visité","À visiter"))))</f>
        <v/>
      </c>
    </row>
    <row r="499" ht="18" customHeight="1">
      <c r="A499" s="39" t="n">
        <v>494</v>
      </c>
      <c r="B499" s="49" t="n"/>
      <c r="C499" s="43" t="n"/>
      <c r="D499" s="32" t="n"/>
      <c r="E499" s="36" t="n"/>
      <c r="F499" s="36" t="n"/>
      <c r="G499" s="36" t="n"/>
      <c r="H499" s="33">
        <f>IF(E499="","",Commercial_Id)</f>
        <v/>
      </c>
      <c r="I499" s="39">
        <f>IF(E499="","",IFERROR(VALUE(MID(E499,LEN(E499)-3,3)),""))</f>
        <v/>
      </c>
      <c r="J499" s="33">
        <f>IF(I499="","",H499&amp;"|"&amp;I499)</f>
        <v/>
      </c>
      <c r="K499" s="33">
        <f>IF(I499="","",IF(H499="À RENSEIGNER","GIC",H499)&amp;"-"&amp;TEXT(I499,"000"))</f>
        <v/>
      </c>
      <c r="L499" s="33">
        <f>IF(J499="","",IFERROR(INDEX(Cl_nom,MATCH(J499,Cl_cle,0)),"(client introuvable)"))</f>
        <v/>
      </c>
      <c r="M499" s="46">
        <f>IF(B499="","",DATE(YEAR(B499),MONTH(B499),1))</f>
        <v/>
      </c>
      <c r="N499" s="33">
        <f>IF(J499="","",IFERROR(INDEX(Cl_quartier,MATCH(J499,Cl_cle,0))&amp;"",""))</f>
        <v/>
      </c>
      <c r="O499" s="33">
        <f>IF(J499="","",IFERROR(INDEX(Cl_tel,MATCH(J499,Cl_cle,0))&amp;"",""))</f>
        <v/>
      </c>
      <c r="P499" s="34">
        <f>IF(J499="","",IFERROR(INDEX(Cl_potentiel,MATCH(J499,Cl_cle,0)),""))</f>
        <v/>
      </c>
      <c r="Q499" s="34">
        <f>IF(J499="","",IF(D499&lt;&gt;"",IF(COUNTIFS(VC_cle,J499,VC_type,"Visite sur place",VC_date,D499)&gt;0,"Visité",IF(D499&lt;TODAY(),"Non fait","À venir")),IF(B499="","",IF(COUNTIFS(VC_cle,J499,VC_type,"Visite sur place",VC_date,"&gt;="&amp;M499,VC_date,"&lt;"&amp;DATE(YEAR(M499),MONTH(M499)+1,1))&gt;0,"Visité","À visiter"))))</f>
        <v/>
      </c>
    </row>
    <row r="500" ht="18" customHeight="1">
      <c r="A500" s="39" t="n">
        <v>495</v>
      </c>
      <c r="B500" s="49" t="n"/>
      <c r="C500" s="43" t="n"/>
      <c r="D500" s="32" t="n"/>
      <c r="E500" s="36" t="n"/>
      <c r="F500" s="36" t="n"/>
      <c r="G500" s="36" t="n"/>
      <c r="H500" s="33">
        <f>IF(E500="","",Commercial_Id)</f>
        <v/>
      </c>
      <c r="I500" s="39">
        <f>IF(E500="","",IFERROR(VALUE(MID(E500,LEN(E500)-3,3)),""))</f>
        <v/>
      </c>
      <c r="J500" s="33">
        <f>IF(I500="","",H500&amp;"|"&amp;I500)</f>
        <v/>
      </c>
      <c r="K500" s="33">
        <f>IF(I500="","",IF(H500="À RENSEIGNER","GIC",H500)&amp;"-"&amp;TEXT(I500,"000"))</f>
        <v/>
      </c>
      <c r="L500" s="33">
        <f>IF(J500="","",IFERROR(INDEX(Cl_nom,MATCH(J500,Cl_cle,0)),"(client introuvable)"))</f>
        <v/>
      </c>
      <c r="M500" s="46">
        <f>IF(B500="","",DATE(YEAR(B500),MONTH(B500),1))</f>
        <v/>
      </c>
      <c r="N500" s="33">
        <f>IF(J500="","",IFERROR(INDEX(Cl_quartier,MATCH(J500,Cl_cle,0))&amp;"",""))</f>
        <v/>
      </c>
      <c r="O500" s="33">
        <f>IF(J500="","",IFERROR(INDEX(Cl_tel,MATCH(J500,Cl_cle,0))&amp;"",""))</f>
        <v/>
      </c>
      <c r="P500" s="34">
        <f>IF(J500="","",IFERROR(INDEX(Cl_potentiel,MATCH(J500,Cl_cle,0)),""))</f>
        <v/>
      </c>
      <c r="Q500" s="34">
        <f>IF(J500="","",IF(D500&lt;&gt;"",IF(COUNTIFS(VC_cle,J500,VC_type,"Visite sur place",VC_date,D500)&gt;0,"Visité",IF(D500&lt;TODAY(),"Non fait","À venir")),IF(B500="","",IF(COUNTIFS(VC_cle,J500,VC_type,"Visite sur place",VC_date,"&gt;="&amp;M500,VC_date,"&lt;"&amp;DATE(YEAR(M500),MONTH(M500)+1,1))&gt;0,"Visité","À visiter"))))</f>
        <v/>
      </c>
    </row>
    <row r="501" ht="18" customHeight="1">
      <c r="A501" s="39" t="n">
        <v>496</v>
      </c>
      <c r="B501" s="49" t="n"/>
      <c r="C501" s="43" t="n"/>
      <c r="D501" s="32" t="n"/>
      <c r="E501" s="36" t="n"/>
      <c r="F501" s="36" t="n"/>
      <c r="G501" s="36" t="n"/>
      <c r="H501" s="33">
        <f>IF(E501="","",Commercial_Id)</f>
        <v/>
      </c>
      <c r="I501" s="39">
        <f>IF(E501="","",IFERROR(VALUE(MID(E501,LEN(E501)-3,3)),""))</f>
        <v/>
      </c>
      <c r="J501" s="33">
        <f>IF(I501="","",H501&amp;"|"&amp;I501)</f>
        <v/>
      </c>
      <c r="K501" s="33">
        <f>IF(I501="","",IF(H501="À RENSEIGNER","GIC",H501)&amp;"-"&amp;TEXT(I501,"000"))</f>
        <v/>
      </c>
      <c r="L501" s="33">
        <f>IF(J501="","",IFERROR(INDEX(Cl_nom,MATCH(J501,Cl_cle,0)),"(client introuvable)"))</f>
        <v/>
      </c>
      <c r="M501" s="46">
        <f>IF(B501="","",DATE(YEAR(B501),MONTH(B501),1))</f>
        <v/>
      </c>
      <c r="N501" s="33">
        <f>IF(J501="","",IFERROR(INDEX(Cl_quartier,MATCH(J501,Cl_cle,0))&amp;"",""))</f>
        <v/>
      </c>
      <c r="O501" s="33">
        <f>IF(J501="","",IFERROR(INDEX(Cl_tel,MATCH(J501,Cl_cle,0))&amp;"",""))</f>
        <v/>
      </c>
      <c r="P501" s="34">
        <f>IF(J501="","",IFERROR(INDEX(Cl_potentiel,MATCH(J501,Cl_cle,0)),""))</f>
        <v/>
      </c>
      <c r="Q501" s="34">
        <f>IF(J501="","",IF(D501&lt;&gt;"",IF(COUNTIFS(VC_cle,J501,VC_type,"Visite sur place",VC_date,D501)&gt;0,"Visité",IF(D501&lt;TODAY(),"Non fait","À venir")),IF(B501="","",IF(COUNTIFS(VC_cle,J501,VC_type,"Visite sur place",VC_date,"&gt;="&amp;M501,VC_date,"&lt;"&amp;DATE(YEAR(M501),MONTH(M501)+1,1))&gt;0,"Visité","À visiter"))))</f>
        <v/>
      </c>
    </row>
    <row r="502" ht="18" customHeight="1">
      <c r="A502" s="39" t="n">
        <v>497</v>
      </c>
      <c r="B502" s="49" t="n"/>
      <c r="C502" s="43" t="n"/>
      <c r="D502" s="32" t="n"/>
      <c r="E502" s="36" t="n"/>
      <c r="F502" s="36" t="n"/>
      <c r="G502" s="36" t="n"/>
      <c r="H502" s="33">
        <f>IF(E502="","",Commercial_Id)</f>
        <v/>
      </c>
      <c r="I502" s="39">
        <f>IF(E502="","",IFERROR(VALUE(MID(E502,LEN(E502)-3,3)),""))</f>
        <v/>
      </c>
      <c r="J502" s="33">
        <f>IF(I502="","",H502&amp;"|"&amp;I502)</f>
        <v/>
      </c>
      <c r="K502" s="33">
        <f>IF(I502="","",IF(H502="À RENSEIGNER","GIC",H502)&amp;"-"&amp;TEXT(I502,"000"))</f>
        <v/>
      </c>
      <c r="L502" s="33">
        <f>IF(J502="","",IFERROR(INDEX(Cl_nom,MATCH(J502,Cl_cle,0)),"(client introuvable)"))</f>
        <v/>
      </c>
      <c r="M502" s="46">
        <f>IF(B502="","",DATE(YEAR(B502),MONTH(B502),1))</f>
        <v/>
      </c>
      <c r="N502" s="33">
        <f>IF(J502="","",IFERROR(INDEX(Cl_quartier,MATCH(J502,Cl_cle,0))&amp;"",""))</f>
        <v/>
      </c>
      <c r="O502" s="33">
        <f>IF(J502="","",IFERROR(INDEX(Cl_tel,MATCH(J502,Cl_cle,0))&amp;"",""))</f>
        <v/>
      </c>
      <c r="P502" s="34">
        <f>IF(J502="","",IFERROR(INDEX(Cl_potentiel,MATCH(J502,Cl_cle,0)),""))</f>
        <v/>
      </c>
      <c r="Q502" s="34">
        <f>IF(J502="","",IF(D502&lt;&gt;"",IF(COUNTIFS(VC_cle,J502,VC_type,"Visite sur place",VC_date,D502)&gt;0,"Visité",IF(D502&lt;TODAY(),"Non fait","À venir")),IF(B502="","",IF(COUNTIFS(VC_cle,J502,VC_type,"Visite sur place",VC_date,"&gt;="&amp;M502,VC_date,"&lt;"&amp;DATE(YEAR(M502),MONTH(M502)+1,1))&gt;0,"Visité","À visiter"))))</f>
        <v/>
      </c>
    </row>
    <row r="503" ht="18" customHeight="1">
      <c r="A503" s="39" t="n">
        <v>498</v>
      </c>
      <c r="B503" s="49" t="n"/>
      <c r="C503" s="43" t="n"/>
      <c r="D503" s="32" t="n"/>
      <c r="E503" s="36" t="n"/>
      <c r="F503" s="36" t="n"/>
      <c r="G503" s="36" t="n"/>
      <c r="H503" s="33">
        <f>IF(E503="","",Commercial_Id)</f>
        <v/>
      </c>
      <c r="I503" s="39">
        <f>IF(E503="","",IFERROR(VALUE(MID(E503,LEN(E503)-3,3)),""))</f>
        <v/>
      </c>
      <c r="J503" s="33">
        <f>IF(I503="","",H503&amp;"|"&amp;I503)</f>
        <v/>
      </c>
      <c r="K503" s="33">
        <f>IF(I503="","",IF(H503="À RENSEIGNER","GIC",H503)&amp;"-"&amp;TEXT(I503,"000"))</f>
        <v/>
      </c>
      <c r="L503" s="33">
        <f>IF(J503="","",IFERROR(INDEX(Cl_nom,MATCH(J503,Cl_cle,0)),"(client introuvable)"))</f>
        <v/>
      </c>
      <c r="M503" s="46">
        <f>IF(B503="","",DATE(YEAR(B503),MONTH(B503),1))</f>
        <v/>
      </c>
      <c r="N503" s="33">
        <f>IF(J503="","",IFERROR(INDEX(Cl_quartier,MATCH(J503,Cl_cle,0))&amp;"",""))</f>
        <v/>
      </c>
      <c r="O503" s="33">
        <f>IF(J503="","",IFERROR(INDEX(Cl_tel,MATCH(J503,Cl_cle,0))&amp;"",""))</f>
        <v/>
      </c>
      <c r="P503" s="34">
        <f>IF(J503="","",IFERROR(INDEX(Cl_potentiel,MATCH(J503,Cl_cle,0)),""))</f>
        <v/>
      </c>
      <c r="Q503" s="34">
        <f>IF(J503="","",IF(D503&lt;&gt;"",IF(COUNTIFS(VC_cle,J503,VC_type,"Visite sur place",VC_date,D503)&gt;0,"Visité",IF(D503&lt;TODAY(),"Non fait","À venir")),IF(B503="","",IF(COUNTIFS(VC_cle,J503,VC_type,"Visite sur place",VC_date,"&gt;="&amp;M503,VC_date,"&lt;"&amp;DATE(YEAR(M503),MONTH(M503)+1,1))&gt;0,"Visité","À visiter"))))</f>
        <v/>
      </c>
    </row>
    <row r="504" ht="18" customHeight="1">
      <c r="A504" s="39" t="n">
        <v>499</v>
      </c>
      <c r="B504" s="49" t="n"/>
      <c r="C504" s="43" t="n"/>
      <c r="D504" s="32" t="n"/>
      <c r="E504" s="36" t="n"/>
      <c r="F504" s="36" t="n"/>
      <c r="G504" s="36" t="n"/>
      <c r="H504" s="33">
        <f>IF(E504="","",Commercial_Id)</f>
        <v/>
      </c>
      <c r="I504" s="39">
        <f>IF(E504="","",IFERROR(VALUE(MID(E504,LEN(E504)-3,3)),""))</f>
        <v/>
      </c>
      <c r="J504" s="33">
        <f>IF(I504="","",H504&amp;"|"&amp;I504)</f>
        <v/>
      </c>
      <c r="K504" s="33">
        <f>IF(I504="","",IF(H504="À RENSEIGNER","GIC",H504)&amp;"-"&amp;TEXT(I504,"000"))</f>
        <v/>
      </c>
      <c r="L504" s="33">
        <f>IF(J504="","",IFERROR(INDEX(Cl_nom,MATCH(J504,Cl_cle,0)),"(client introuvable)"))</f>
        <v/>
      </c>
      <c r="M504" s="46">
        <f>IF(B504="","",DATE(YEAR(B504),MONTH(B504),1))</f>
        <v/>
      </c>
      <c r="N504" s="33">
        <f>IF(J504="","",IFERROR(INDEX(Cl_quartier,MATCH(J504,Cl_cle,0))&amp;"",""))</f>
        <v/>
      </c>
      <c r="O504" s="33">
        <f>IF(J504="","",IFERROR(INDEX(Cl_tel,MATCH(J504,Cl_cle,0))&amp;"",""))</f>
        <v/>
      </c>
      <c r="P504" s="34">
        <f>IF(J504="","",IFERROR(INDEX(Cl_potentiel,MATCH(J504,Cl_cle,0)),""))</f>
        <v/>
      </c>
      <c r="Q504" s="34">
        <f>IF(J504="","",IF(D504&lt;&gt;"",IF(COUNTIFS(VC_cle,J504,VC_type,"Visite sur place",VC_date,D504)&gt;0,"Visité",IF(D504&lt;TODAY(),"Non fait","À venir")),IF(B504="","",IF(COUNTIFS(VC_cle,J504,VC_type,"Visite sur place",VC_date,"&gt;="&amp;M504,VC_date,"&lt;"&amp;DATE(YEAR(M504),MONTH(M504)+1,1))&gt;0,"Visité","À visiter"))))</f>
        <v/>
      </c>
    </row>
    <row r="505" ht="18" customHeight="1">
      <c r="A505" s="39" t="n">
        <v>500</v>
      </c>
      <c r="B505" s="49" t="n"/>
      <c r="C505" s="43" t="n"/>
      <c r="D505" s="32" t="n"/>
      <c r="E505" s="36" t="n"/>
      <c r="F505" s="36" t="n"/>
      <c r="G505" s="36" t="n"/>
      <c r="H505" s="33">
        <f>IF(E505="","",Commercial_Id)</f>
        <v/>
      </c>
      <c r="I505" s="39">
        <f>IF(E505="","",IFERROR(VALUE(MID(E505,LEN(E505)-3,3)),""))</f>
        <v/>
      </c>
      <c r="J505" s="33">
        <f>IF(I505="","",H505&amp;"|"&amp;I505)</f>
        <v/>
      </c>
      <c r="K505" s="33">
        <f>IF(I505="","",IF(H505="À RENSEIGNER","GIC",H505)&amp;"-"&amp;TEXT(I505,"000"))</f>
        <v/>
      </c>
      <c r="L505" s="33">
        <f>IF(J505="","",IFERROR(INDEX(Cl_nom,MATCH(J505,Cl_cle,0)),"(client introuvable)"))</f>
        <v/>
      </c>
      <c r="M505" s="46">
        <f>IF(B505="","",DATE(YEAR(B505),MONTH(B505),1))</f>
        <v/>
      </c>
      <c r="N505" s="33">
        <f>IF(J505="","",IFERROR(INDEX(Cl_quartier,MATCH(J505,Cl_cle,0))&amp;"",""))</f>
        <v/>
      </c>
      <c r="O505" s="33">
        <f>IF(J505="","",IFERROR(INDEX(Cl_tel,MATCH(J505,Cl_cle,0))&amp;"",""))</f>
        <v/>
      </c>
      <c r="P505" s="34">
        <f>IF(J505="","",IFERROR(INDEX(Cl_potentiel,MATCH(J505,Cl_cle,0)),""))</f>
        <v/>
      </c>
      <c r="Q505" s="34">
        <f>IF(J505="","",IF(D505&lt;&gt;"",IF(COUNTIFS(VC_cle,J505,VC_type,"Visite sur place",VC_date,D505)&gt;0,"Visité",IF(D505&lt;TODAY(),"Non fait","À venir")),IF(B505="","",IF(COUNTIFS(VC_cle,J505,VC_type,"Visite sur place",VC_date,"&gt;="&amp;M505,VC_date,"&lt;"&amp;DATE(YEAR(M505),MONTH(M505)+1,1))&gt;0,"Visité","À visiter"))))</f>
        <v/>
      </c>
    </row>
    <row r="506" ht="18" customHeight="1">
      <c r="A506" s="39" t="n">
        <v>501</v>
      </c>
      <c r="B506" s="49" t="n"/>
      <c r="C506" s="43" t="n"/>
      <c r="D506" s="32" t="n"/>
      <c r="E506" s="36" t="n"/>
      <c r="F506" s="36" t="n"/>
      <c r="G506" s="36" t="n"/>
      <c r="H506" s="33">
        <f>IF(E506="","",Commercial_Id)</f>
        <v/>
      </c>
      <c r="I506" s="39">
        <f>IF(E506="","",IFERROR(VALUE(MID(E506,LEN(E506)-3,3)),""))</f>
        <v/>
      </c>
      <c r="J506" s="33">
        <f>IF(I506="","",H506&amp;"|"&amp;I506)</f>
        <v/>
      </c>
      <c r="K506" s="33">
        <f>IF(I506="","",IF(H506="À RENSEIGNER","GIC",H506)&amp;"-"&amp;TEXT(I506,"000"))</f>
        <v/>
      </c>
      <c r="L506" s="33">
        <f>IF(J506="","",IFERROR(INDEX(Cl_nom,MATCH(J506,Cl_cle,0)),"(client introuvable)"))</f>
        <v/>
      </c>
      <c r="M506" s="46">
        <f>IF(B506="","",DATE(YEAR(B506),MONTH(B506),1))</f>
        <v/>
      </c>
      <c r="N506" s="33">
        <f>IF(J506="","",IFERROR(INDEX(Cl_quartier,MATCH(J506,Cl_cle,0))&amp;"",""))</f>
        <v/>
      </c>
      <c r="O506" s="33">
        <f>IF(J506="","",IFERROR(INDEX(Cl_tel,MATCH(J506,Cl_cle,0))&amp;"",""))</f>
        <v/>
      </c>
      <c r="P506" s="34">
        <f>IF(J506="","",IFERROR(INDEX(Cl_potentiel,MATCH(J506,Cl_cle,0)),""))</f>
        <v/>
      </c>
      <c r="Q506" s="34">
        <f>IF(J506="","",IF(D506&lt;&gt;"",IF(COUNTIFS(VC_cle,J506,VC_type,"Visite sur place",VC_date,D506)&gt;0,"Visité",IF(D506&lt;TODAY(),"Non fait","À venir")),IF(B506="","",IF(COUNTIFS(VC_cle,J506,VC_type,"Visite sur place",VC_date,"&gt;="&amp;M506,VC_date,"&lt;"&amp;DATE(YEAR(M506),MONTH(M506)+1,1))&gt;0,"Visité","À visiter"))))</f>
        <v/>
      </c>
    </row>
    <row r="507" ht="18" customHeight="1">
      <c r="A507" s="39" t="n">
        <v>502</v>
      </c>
      <c r="B507" s="49" t="n"/>
      <c r="C507" s="43" t="n"/>
      <c r="D507" s="32" t="n"/>
      <c r="E507" s="36" t="n"/>
      <c r="F507" s="36" t="n"/>
      <c r="G507" s="36" t="n"/>
      <c r="H507" s="33">
        <f>IF(E507="","",Commercial_Id)</f>
        <v/>
      </c>
      <c r="I507" s="39">
        <f>IF(E507="","",IFERROR(VALUE(MID(E507,LEN(E507)-3,3)),""))</f>
        <v/>
      </c>
      <c r="J507" s="33">
        <f>IF(I507="","",H507&amp;"|"&amp;I507)</f>
        <v/>
      </c>
      <c r="K507" s="33">
        <f>IF(I507="","",IF(H507="À RENSEIGNER","GIC",H507)&amp;"-"&amp;TEXT(I507,"000"))</f>
        <v/>
      </c>
      <c r="L507" s="33">
        <f>IF(J507="","",IFERROR(INDEX(Cl_nom,MATCH(J507,Cl_cle,0)),"(client introuvable)"))</f>
        <v/>
      </c>
      <c r="M507" s="46">
        <f>IF(B507="","",DATE(YEAR(B507),MONTH(B507),1))</f>
        <v/>
      </c>
      <c r="N507" s="33">
        <f>IF(J507="","",IFERROR(INDEX(Cl_quartier,MATCH(J507,Cl_cle,0))&amp;"",""))</f>
        <v/>
      </c>
      <c r="O507" s="33">
        <f>IF(J507="","",IFERROR(INDEX(Cl_tel,MATCH(J507,Cl_cle,0))&amp;"",""))</f>
        <v/>
      </c>
      <c r="P507" s="34">
        <f>IF(J507="","",IFERROR(INDEX(Cl_potentiel,MATCH(J507,Cl_cle,0)),""))</f>
        <v/>
      </c>
      <c r="Q507" s="34">
        <f>IF(J507="","",IF(D507&lt;&gt;"",IF(COUNTIFS(VC_cle,J507,VC_type,"Visite sur place",VC_date,D507)&gt;0,"Visité",IF(D507&lt;TODAY(),"Non fait","À venir")),IF(B507="","",IF(COUNTIFS(VC_cle,J507,VC_type,"Visite sur place",VC_date,"&gt;="&amp;M507,VC_date,"&lt;"&amp;DATE(YEAR(M507),MONTH(M507)+1,1))&gt;0,"Visité","À visiter"))))</f>
        <v/>
      </c>
    </row>
    <row r="508" ht="18" customHeight="1">
      <c r="A508" s="39" t="n">
        <v>503</v>
      </c>
      <c r="B508" s="49" t="n"/>
      <c r="C508" s="43" t="n"/>
      <c r="D508" s="32" t="n"/>
      <c r="E508" s="36" t="n"/>
      <c r="F508" s="36" t="n"/>
      <c r="G508" s="36" t="n"/>
      <c r="H508" s="33">
        <f>IF(E508="","",Commercial_Id)</f>
        <v/>
      </c>
      <c r="I508" s="39">
        <f>IF(E508="","",IFERROR(VALUE(MID(E508,LEN(E508)-3,3)),""))</f>
        <v/>
      </c>
      <c r="J508" s="33">
        <f>IF(I508="","",H508&amp;"|"&amp;I508)</f>
        <v/>
      </c>
      <c r="K508" s="33">
        <f>IF(I508="","",IF(H508="À RENSEIGNER","GIC",H508)&amp;"-"&amp;TEXT(I508,"000"))</f>
        <v/>
      </c>
      <c r="L508" s="33">
        <f>IF(J508="","",IFERROR(INDEX(Cl_nom,MATCH(J508,Cl_cle,0)),"(client introuvable)"))</f>
        <v/>
      </c>
      <c r="M508" s="46">
        <f>IF(B508="","",DATE(YEAR(B508),MONTH(B508),1))</f>
        <v/>
      </c>
      <c r="N508" s="33">
        <f>IF(J508="","",IFERROR(INDEX(Cl_quartier,MATCH(J508,Cl_cle,0))&amp;"",""))</f>
        <v/>
      </c>
      <c r="O508" s="33">
        <f>IF(J508="","",IFERROR(INDEX(Cl_tel,MATCH(J508,Cl_cle,0))&amp;"",""))</f>
        <v/>
      </c>
      <c r="P508" s="34">
        <f>IF(J508="","",IFERROR(INDEX(Cl_potentiel,MATCH(J508,Cl_cle,0)),""))</f>
        <v/>
      </c>
      <c r="Q508" s="34">
        <f>IF(J508="","",IF(D508&lt;&gt;"",IF(COUNTIFS(VC_cle,J508,VC_type,"Visite sur place",VC_date,D508)&gt;0,"Visité",IF(D508&lt;TODAY(),"Non fait","À venir")),IF(B508="","",IF(COUNTIFS(VC_cle,J508,VC_type,"Visite sur place",VC_date,"&gt;="&amp;M508,VC_date,"&lt;"&amp;DATE(YEAR(M508),MONTH(M508)+1,1))&gt;0,"Visité","À visiter"))))</f>
        <v/>
      </c>
    </row>
    <row r="509" ht="18" customHeight="1">
      <c r="A509" s="39" t="n">
        <v>504</v>
      </c>
      <c r="B509" s="49" t="n"/>
      <c r="C509" s="43" t="n"/>
      <c r="D509" s="32" t="n"/>
      <c r="E509" s="36" t="n"/>
      <c r="F509" s="36" t="n"/>
      <c r="G509" s="36" t="n"/>
      <c r="H509" s="33">
        <f>IF(E509="","",Commercial_Id)</f>
        <v/>
      </c>
      <c r="I509" s="39">
        <f>IF(E509="","",IFERROR(VALUE(MID(E509,LEN(E509)-3,3)),""))</f>
        <v/>
      </c>
      <c r="J509" s="33">
        <f>IF(I509="","",H509&amp;"|"&amp;I509)</f>
        <v/>
      </c>
      <c r="K509" s="33">
        <f>IF(I509="","",IF(H509="À RENSEIGNER","GIC",H509)&amp;"-"&amp;TEXT(I509,"000"))</f>
        <v/>
      </c>
      <c r="L509" s="33">
        <f>IF(J509="","",IFERROR(INDEX(Cl_nom,MATCH(J509,Cl_cle,0)),"(client introuvable)"))</f>
        <v/>
      </c>
      <c r="M509" s="46">
        <f>IF(B509="","",DATE(YEAR(B509),MONTH(B509),1))</f>
        <v/>
      </c>
      <c r="N509" s="33">
        <f>IF(J509="","",IFERROR(INDEX(Cl_quartier,MATCH(J509,Cl_cle,0))&amp;"",""))</f>
        <v/>
      </c>
      <c r="O509" s="33">
        <f>IF(J509="","",IFERROR(INDEX(Cl_tel,MATCH(J509,Cl_cle,0))&amp;"",""))</f>
        <v/>
      </c>
      <c r="P509" s="34">
        <f>IF(J509="","",IFERROR(INDEX(Cl_potentiel,MATCH(J509,Cl_cle,0)),""))</f>
        <v/>
      </c>
      <c r="Q509" s="34">
        <f>IF(J509="","",IF(D509&lt;&gt;"",IF(COUNTIFS(VC_cle,J509,VC_type,"Visite sur place",VC_date,D509)&gt;0,"Visité",IF(D509&lt;TODAY(),"Non fait","À venir")),IF(B509="","",IF(COUNTIFS(VC_cle,J509,VC_type,"Visite sur place",VC_date,"&gt;="&amp;M509,VC_date,"&lt;"&amp;DATE(YEAR(M509),MONTH(M509)+1,1))&gt;0,"Visité","À visiter"))))</f>
        <v/>
      </c>
    </row>
    <row r="510" ht="18" customHeight="1">
      <c r="A510" s="39" t="n">
        <v>505</v>
      </c>
      <c r="B510" s="49" t="n"/>
      <c r="C510" s="43" t="n"/>
      <c r="D510" s="32" t="n"/>
      <c r="E510" s="36" t="n"/>
      <c r="F510" s="36" t="n"/>
      <c r="G510" s="36" t="n"/>
      <c r="H510" s="33">
        <f>IF(E510="","",Commercial_Id)</f>
        <v/>
      </c>
      <c r="I510" s="39">
        <f>IF(E510="","",IFERROR(VALUE(MID(E510,LEN(E510)-3,3)),""))</f>
        <v/>
      </c>
      <c r="J510" s="33">
        <f>IF(I510="","",H510&amp;"|"&amp;I510)</f>
        <v/>
      </c>
      <c r="K510" s="33">
        <f>IF(I510="","",IF(H510="À RENSEIGNER","GIC",H510)&amp;"-"&amp;TEXT(I510,"000"))</f>
        <v/>
      </c>
      <c r="L510" s="33">
        <f>IF(J510="","",IFERROR(INDEX(Cl_nom,MATCH(J510,Cl_cle,0)),"(client introuvable)"))</f>
        <v/>
      </c>
      <c r="M510" s="46">
        <f>IF(B510="","",DATE(YEAR(B510),MONTH(B510),1))</f>
        <v/>
      </c>
      <c r="N510" s="33">
        <f>IF(J510="","",IFERROR(INDEX(Cl_quartier,MATCH(J510,Cl_cle,0))&amp;"",""))</f>
        <v/>
      </c>
      <c r="O510" s="33">
        <f>IF(J510="","",IFERROR(INDEX(Cl_tel,MATCH(J510,Cl_cle,0))&amp;"",""))</f>
        <v/>
      </c>
      <c r="P510" s="34">
        <f>IF(J510="","",IFERROR(INDEX(Cl_potentiel,MATCH(J510,Cl_cle,0)),""))</f>
        <v/>
      </c>
      <c r="Q510" s="34">
        <f>IF(J510="","",IF(D510&lt;&gt;"",IF(COUNTIFS(VC_cle,J510,VC_type,"Visite sur place",VC_date,D510)&gt;0,"Visité",IF(D510&lt;TODAY(),"Non fait","À venir")),IF(B510="","",IF(COUNTIFS(VC_cle,J510,VC_type,"Visite sur place",VC_date,"&gt;="&amp;M510,VC_date,"&lt;"&amp;DATE(YEAR(M510),MONTH(M510)+1,1))&gt;0,"Visité","À visiter"))))</f>
        <v/>
      </c>
    </row>
    <row r="511" ht="18" customHeight="1">
      <c r="A511" s="39" t="n">
        <v>506</v>
      </c>
      <c r="B511" s="49" t="n"/>
      <c r="C511" s="43" t="n"/>
      <c r="D511" s="32" t="n"/>
      <c r="E511" s="36" t="n"/>
      <c r="F511" s="36" t="n"/>
      <c r="G511" s="36" t="n"/>
      <c r="H511" s="33">
        <f>IF(E511="","",Commercial_Id)</f>
        <v/>
      </c>
      <c r="I511" s="39">
        <f>IF(E511="","",IFERROR(VALUE(MID(E511,LEN(E511)-3,3)),""))</f>
        <v/>
      </c>
      <c r="J511" s="33">
        <f>IF(I511="","",H511&amp;"|"&amp;I511)</f>
        <v/>
      </c>
      <c r="K511" s="33">
        <f>IF(I511="","",IF(H511="À RENSEIGNER","GIC",H511)&amp;"-"&amp;TEXT(I511,"000"))</f>
        <v/>
      </c>
      <c r="L511" s="33">
        <f>IF(J511="","",IFERROR(INDEX(Cl_nom,MATCH(J511,Cl_cle,0)),"(client introuvable)"))</f>
        <v/>
      </c>
      <c r="M511" s="46">
        <f>IF(B511="","",DATE(YEAR(B511),MONTH(B511),1))</f>
        <v/>
      </c>
      <c r="N511" s="33">
        <f>IF(J511="","",IFERROR(INDEX(Cl_quartier,MATCH(J511,Cl_cle,0))&amp;"",""))</f>
        <v/>
      </c>
      <c r="O511" s="33">
        <f>IF(J511="","",IFERROR(INDEX(Cl_tel,MATCH(J511,Cl_cle,0))&amp;"",""))</f>
        <v/>
      </c>
      <c r="P511" s="34">
        <f>IF(J511="","",IFERROR(INDEX(Cl_potentiel,MATCH(J511,Cl_cle,0)),""))</f>
        <v/>
      </c>
      <c r="Q511" s="34">
        <f>IF(J511="","",IF(D511&lt;&gt;"",IF(COUNTIFS(VC_cle,J511,VC_type,"Visite sur place",VC_date,D511)&gt;0,"Visité",IF(D511&lt;TODAY(),"Non fait","À venir")),IF(B511="","",IF(COUNTIFS(VC_cle,J511,VC_type,"Visite sur place",VC_date,"&gt;="&amp;M511,VC_date,"&lt;"&amp;DATE(YEAR(M511),MONTH(M511)+1,1))&gt;0,"Visité","À visiter"))))</f>
        <v/>
      </c>
    </row>
    <row r="512" ht="18" customHeight="1">
      <c r="A512" s="39" t="n">
        <v>507</v>
      </c>
      <c r="B512" s="49" t="n"/>
      <c r="C512" s="43" t="n"/>
      <c r="D512" s="32" t="n"/>
      <c r="E512" s="36" t="n"/>
      <c r="F512" s="36" t="n"/>
      <c r="G512" s="36" t="n"/>
      <c r="H512" s="33">
        <f>IF(E512="","",Commercial_Id)</f>
        <v/>
      </c>
      <c r="I512" s="39">
        <f>IF(E512="","",IFERROR(VALUE(MID(E512,LEN(E512)-3,3)),""))</f>
        <v/>
      </c>
      <c r="J512" s="33">
        <f>IF(I512="","",H512&amp;"|"&amp;I512)</f>
        <v/>
      </c>
      <c r="K512" s="33">
        <f>IF(I512="","",IF(H512="À RENSEIGNER","GIC",H512)&amp;"-"&amp;TEXT(I512,"000"))</f>
        <v/>
      </c>
      <c r="L512" s="33">
        <f>IF(J512="","",IFERROR(INDEX(Cl_nom,MATCH(J512,Cl_cle,0)),"(client introuvable)"))</f>
        <v/>
      </c>
      <c r="M512" s="46">
        <f>IF(B512="","",DATE(YEAR(B512),MONTH(B512),1))</f>
        <v/>
      </c>
      <c r="N512" s="33">
        <f>IF(J512="","",IFERROR(INDEX(Cl_quartier,MATCH(J512,Cl_cle,0))&amp;"",""))</f>
        <v/>
      </c>
      <c r="O512" s="33">
        <f>IF(J512="","",IFERROR(INDEX(Cl_tel,MATCH(J512,Cl_cle,0))&amp;"",""))</f>
        <v/>
      </c>
      <c r="P512" s="34">
        <f>IF(J512="","",IFERROR(INDEX(Cl_potentiel,MATCH(J512,Cl_cle,0)),""))</f>
        <v/>
      </c>
      <c r="Q512" s="34">
        <f>IF(J512="","",IF(D512&lt;&gt;"",IF(COUNTIFS(VC_cle,J512,VC_type,"Visite sur place",VC_date,D512)&gt;0,"Visité",IF(D512&lt;TODAY(),"Non fait","À venir")),IF(B512="","",IF(COUNTIFS(VC_cle,J512,VC_type,"Visite sur place",VC_date,"&gt;="&amp;M512,VC_date,"&lt;"&amp;DATE(YEAR(M512),MONTH(M512)+1,1))&gt;0,"Visité","À visiter"))))</f>
        <v/>
      </c>
    </row>
    <row r="513" ht="18" customHeight="1">
      <c r="A513" s="39" t="n">
        <v>508</v>
      </c>
      <c r="B513" s="49" t="n"/>
      <c r="C513" s="43" t="n"/>
      <c r="D513" s="32" t="n"/>
      <c r="E513" s="36" t="n"/>
      <c r="F513" s="36" t="n"/>
      <c r="G513" s="36" t="n"/>
      <c r="H513" s="33">
        <f>IF(E513="","",Commercial_Id)</f>
        <v/>
      </c>
      <c r="I513" s="39">
        <f>IF(E513="","",IFERROR(VALUE(MID(E513,LEN(E513)-3,3)),""))</f>
        <v/>
      </c>
      <c r="J513" s="33">
        <f>IF(I513="","",H513&amp;"|"&amp;I513)</f>
        <v/>
      </c>
      <c r="K513" s="33">
        <f>IF(I513="","",IF(H513="À RENSEIGNER","GIC",H513)&amp;"-"&amp;TEXT(I513,"000"))</f>
        <v/>
      </c>
      <c r="L513" s="33">
        <f>IF(J513="","",IFERROR(INDEX(Cl_nom,MATCH(J513,Cl_cle,0)),"(client introuvable)"))</f>
        <v/>
      </c>
      <c r="M513" s="46">
        <f>IF(B513="","",DATE(YEAR(B513),MONTH(B513),1))</f>
        <v/>
      </c>
      <c r="N513" s="33">
        <f>IF(J513="","",IFERROR(INDEX(Cl_quartier,MATCH(J513,Cl_cle,0))&amp;"",""))</f>
        <v/>
      </c>
      <c r="O513" s="33">
        <f>IF(J513="","",IFERROR(INDEX(Cl_tel,MATCH(J513,Cl_cle,0))&amp;"",""))</f>
        <v/>
      </c>
      <c r="P513" s="34">
        <f>IF(J513="","",IFERROR(INDEX(Cl_potentiel,MATCH(J513,Cl_cle,0)),""))</f>
        <v/>
      </c>
      <c r="Q513" s="34">
        <f>IF(J513="","",IF(D513&lt;&gt;"",IF(COUNTIFS(VC_cle,J513,VC_type,"Visite sur place",VC_date,D513)&gt;0,"Visité",IF(D513&lt;TODAY(),"Non fait","À venir")),IF(B513="","",IF(COUNTIFS(VC_cle,J513,VC_type,"Visite sur place",VC_date,"&gt;="&amp;M513,VC_date,"&lt;"&amp;DATE(YEAR(M513),MONTH(M513)+1,1))&gt;0,"Visité","À visiter"))))</f>
        <v/>
      </c>
    </row>
    <row r="514" ht="18" customHeight="1">
      <c r="A514" s="39" t="n">
        <v>509</v>
      </c>
      <c r="B514" s="49" t="n"/>
      <c r="C514" s="43" t="n"/>
      <c r="D514" s="32" t="n"/>
      <c r="E514" s="36" t="n"/>
      <c r="F514" s="36" t="n"/>
      <c r="G514" s="36" t="n"/>
      <c r="H514" s="33">
        <f>IF(E514="","",Commercial_Id)</f>
        <v/>
      </c>
      <c r="I514" s="39">
        <f>IF(E514="","",IFERROR(VALUE(MID(E514,LEN(E514)-3,3)),""))</f>
        <v/>
      </c>
      <c r="J514" s="33">
        <f>IF(I514="","",H514&amp;"|"&amp;I514)</f>
        <v/>
      </c>
      <c r="K514" s="33">
        <f>IF(I514="","",IF(H514="À RENSEIGNER","GIC",H514)&amp;"-"&amp;TEXT(I514,"000"))</f>
        <v/>
      </c>
      <c r="L514" s="33">
        <f>IF(J514="","",IFERROR(INDEX(Cl_nom,MATCH(J514,Cl_cle,0)),"(client introuvable)"))</f>
        <v/>
      </c>
      <c r="M514" s="46">
        <f>IF(B514="","",DATE(YEAR(B514),MONTH(B514),1))</f>
        <v/>
      </c>
      <c r="N514" s="33">
        <f>IF(J514="","",IFERROR(INDEX(Cl_quartier,MATCH(J514,Cl_cle,0))&amp;"",""))</f>
        <v/>
      </c>
      <c r="O514" s="33">
        <f>IF(J514="","",IFERROR(INDEX(Cl_tel,MATCH(J514,Cl_cle,0))&amp;"",""))</f>
        <v/>
      </c>
      <c r="P514" s="34">
        <f>IF(J514="","",IFERROR(INDEX(Cl_potentiel,MATCH(J514,Cl_cle,0)),""))</f>
        <v/>
      </c>
      <c r="Q514" s="34">
        <f>IF(J514="","",IF(D514&lt;&gt;"",IF(COUNTIFS(VC_cle,J514,VC_type,"Visite sur place",VC_date,D514)&gt;0,"Visité",IF(D514&lt;TODAY(),"Non fait","À venir")),IF(B514="","",IF(COUNTIFS(VC_cle,J514,VC_type,"Visite sur place",VC_date,"&gt;="&amp;M514,VC_date,"&lt;"&amp;DATE(YEAR(M514),MONTH(M514)+1,1))&gt;0,"Visité","À visiter"))))</f>
        <v/>
      </c>
    </row>
    <row r="515" ht="18" customHeight="1">
      <c r="A515" s="39" t="n">
        <v>510</v>
      </c>
      <c r="B515" s="49" t="n"/>
      <c r="C515" s="43" t="n"/>
      <c r="D515" s="32" t="n"/>
      <c r="E515" s="36" t="n"/>
      <c r="F515" s="36" t="n"/>
      <c r="G515" s="36" t="n"/>
      <c r="H515" s="33">
        <f>IF(E515="","",Commercial_Id)</f>
        <v/>
      </c>
      <c r="I515" s="39">
        <f>IF(E515="","",IFERROR(VALUE(MID(E515,LEN(E515)-3,3)),""))</f>
        <v/>
      </c>
      <c r="J515" s="33">
        <f>IF(I515="","",H515&amp;"|"&amp;I515)</f>
        <v/>
      </c>
      <c r="K515" s="33">
        <f>IF(I515="","",IF(H515="À RENSEIGNER","GIC",H515)&amp;"-"&amp;TEXT(I515,"000"))</f>
        <v/>
      </c>
      <c r="L515" s="33">
        <f>IF(J515="","",IFERROR(INDEX(Cl_nom,MATCH(J515,Cl_cle,0)),"(client introuvable)"))</f>
        <v/>
      </c>
      <c r="M515" s="46">
        <f>IF(B515="","",DATE(YEAR(B515),MONTH(B515),1))</f>
        <v/>
      </c>
      <c r="N515" s="33">
        <f>IF(J515="","",IFERROR(INDEX(Cl_quartier,MATCH(J515,Cl_cle,0))&amp;"",""))</f>
        <v/>
      </c>
      <c r="O515" s="33">
        <f>IF(J515="","",IFERROR(INDEX(Cl_tel,MATCH(J515,Cl_cle,0))&amp;"",""))</f>
        <v/>
      </c>
      <c r="P515" s="34">
        <f>IF(J515="","",IFERROR(INDEX(Cl_potentiel,MATCH(J515,Cl_cle,0)),""))</f>
        <v/>
      </c>
      <c r="Q515" s="34">
        <f>IF(J515="","",IF(D515&lt;&gt;"",IF(COUNTIFS(VC_cle,J515,VC_type,"Visite sur place",VC_date,D515)&gt;0,"Visité",IF(D515&lt;TODAY(),"Non fait","À venir")),IF(B515="","",IF(COUNTIFS(VC_cle,J515,VC_type,"Visite sur place",VC_date,"&gt;="&amp;M515,VC_date,"&lt;"&amp;DATE(YEAR(M515),MONTH(M515)+1,1))&gt;0,"Visité","À visiter"))))</f>
        <v/>
      </c>
    </row>
    <row r="516" ht="18" customHeight="1">
      <c r="A516" s="39" t="n">
        <v>511</v>
      </c>
      <c r="B516" s="49" t="n"/>
      <c r="C516" s="43" t="n"/>
      <c r="D516" s="32" t="n"/>
      <c r="E516" s="36" t="n"/>
      <c r="F516" s="36" t="n"/>
      <c r="G516" s="36" t="n"/>
      <c r="H516" s="33">
        <f>IF(E516="","",Commercial_Id)</f>
        <v/>
      </c>
      <c r="I516" s="39">
        <f>IF(E516="","",IFERROR(VALUE(MID(E516,LEN(E516)-3,3)),""))</f>
        <v/>
      </c>
      <c r="J516" s="33">
        <f>IF(I516="","",H516&amp;"|"&amp;I516)</f>
        <v/>
      </c>
      <c r="K516" s="33">
        <f>IF(I516="","",IF(H516="À RENSEIGNER","GIC",H516)&amp;"-"&amp;TEXT(I516,"000"))</f>
        <v/>
      </c>
      <c r="L516" s="33">
        <f>IF(J516="","",IFERROR(INDEX(Cl_nom,MATCH(J516,Cl_cle,0)),"(client introuvable)"))</f>
        <v/>
      </c>
      <c r="M516" s="46">
        <f>IF(B516="","",DATE(YEAR(B516),MONTH(B516),1))</f>
        <v/>
      </c>
      <c r="N516" s="33">
        <f>IF(J516="","",IFERROR(INDEX(Cl_quartier,MATCH(J516,Cl_cle,0))&amp;"",""))</f>
        <v/>
      </c>
      <c r="O516" s="33">
        <f>IF(J516="","",IFERROR(INDEX(Cl_tel,MATCH(J516,Cl_cle,0))&amp;"",""))</f>
        <v/>
      </c>
      <c r="P516" s="34">
        <f>IF(J516="","",IFERROR(INDEX(Cl_potentiel,MATCH(J516,Cl_cle,0)),""))</f>
        <v/>
      </c>
      <c r="Q516" s="34">
        <f>IF(J516="","",IF(D516&lt;&gt;"",IF(COUNTIFS(VC_cle,J516,VC_type,"Visite sur place",VC_date,D516)&gt;0,"Visité",IF(D516&lt;TODAY(),"Non fait","À venir")),IF(B516="","",IF(COUNTIFS(VC_cle,J516,VC_type,"Visite sur place",VC_date,"&gt;="&amp;M516,VC_date,"&lt;"&amp;DATE(YEAR(M516),MONTH(M516)+1,1))&gt;0,"Visité","À visiter"))))</f>
        <v/>
      </c>
    </row>
    <row r="517" ht="18" customHeight="1">
      <c r="A517" s="39" t="n">
        <v>512</v>
      </c>
      <c r="B517" s="49" t="n"/>
      <c r="C517" s="43" t="n"/>
      <c r="D517" s="32" t="n"/>
      <c r="E517" s="36" t="n"/>
      <c r="F517" s="36" t="n"/>
      <c r="G517" s="36" t="n"/>
      <c r="H517" s="33">
        <f>IF(E517="","",Commercial_Id)</f>
        <v/>
      </c>
      <c r="I517" s="39">
        <f>IF(E517="","",IFERROR(VALUE(MID(E517,LEN(E517)-3,3)),""))</f>
        <v/>
      </c>
      <c r="J517" s="33">
        <f>IF(I517="","",H517&amp;"|"&amp;I517)</f>
        <v/>
      </c>
      <c r="K517" s="33">
        <f>IF(I517="","",IF(H517="À RENSEIGNER","GIC",H517)&amp;"-"&amp;TEXT(I517,"000"))</f>
        <v/>
      </c>
      <c r="L517" s="33">
        <f>IF(J517="","",IFERROR(INDEX(Cl_nom,MATCH(J517,Cl_cle,0)),"(client introuvable)"))</f>
        <v/>
      </c>
      <c r="M517" s="46">
        <f>IF(B517="","",DATE(YEAR(B517),MONTH(B517),1))</f>
        <v/>
      </c>
      <c r="N517" s="33">
        <f>IF(J517="","",IFERROR(INDEX(Cl_quartier,MATCH(J517,Cl_cle,0))&amp;"",""))</f>
        <v/>
      </c>
      <c r="O517" s="33">
        <f>IF(J517="","",IFERROR(INDEX(Cl_tel,MATCH(J517,Cl_cle,0))&amp;"",""))</f>
        <v/>
      </c>
      <c r="P517" s="34">
        <f>IF(J517="","",IFERROR(INDEX(Cl_potentiel,MATCH(J517,Cl_cle,0)),""))</f>
        <v/>
      </c>
      <c r="Q517" s="34">
        <f>IF(J517="","",IF(D517&lt;&gt;"",IF(COUNTIFS(VC_cle,J517,VC_type,"Visite sur place",VC_date,D517)&gt;0,"Visité",IF(D517&lt;TODAY(),"Non fait","À venir")),IF(B517="","",IF(COUNTIFS(VC_cle,J517,VC_type,"Visite sur place",VC_date,"&gt;="&amp;M517,VC_date,"&lt;"&amp;DATE(YEAR(M517),MONTH(M517)+1,1))&gt;0,"Visité","À visiter"))))</f>
        <v/>
      </c>
    </row>
    <row r="518" ht="18" customHeight="1">
      <c r="A518" s="39" t="n">
        <v>513</v>
      </c>
      <c r="B518" s="49" t="n"/>
      <c r="C518" s="43" t="n"/>
      <c r="D518" s="32" t="n"/>
      <c r="E518" s="36" t="n"/>
      <c r="F518" s="36" t="n"/>
      <c r="G518" s="36" t="n"/>
      <c r="H518" s="33">
        <f>IF(E518="","",Commercial_Id)</f>
        <v/>
      </c>
      <c r="I518" s="39">
        <f>IF(E518="","",IFERROR(VALUE(MID(E518,LEN(E518)-3,3)),""))</f>
        <v/>
      </c>
      <c r="J518" s="33">
        <f>IF(I518="","",H518&amp;"|"&amp;I518)</f>
        <v/>
      </c>
      <c r="K518" s="33">
        <f>IF(I518="","",IF(H518="À RENSEIGNER","GIC",H518)&amp;"-"&amp;TEXT(I518,"000"))</f>
        <v/>
      </c>
      <c r="L518" s="33">
        <f>IF(J518="","",IFERROR(INDEX(Cl_nom,MATCH(J518,Cl_cle,0)),"(client introuvable)"))</f>
        <v/>
      </c>
      <c r="M518" s="46">
        <f>IF(B518="","",DATE(YEAR(B518),MONTH(B518),1))</f>
        <v/>
      </c>
      <c r="N518" s="33">
        <f>IF(J518="","",IFERROR(INDEX(Cl_quartier,MATCH(J518,Cl_cle,0))&amp;"",""))</f>
        <v/>
      </c>
      <c r="O518" s="33">
        <f>IF(J518="","",IFERROR(INDEX(Cl_tel,MATCH(J518,Cl_cle,0))&amp;"",""))</f>
        <v/>
      </c>
      <c r="P518" s="34">
        <f>IF(J518="","",IFERROR(INDEX(Cl_potentiel,MATCH(J518,Cl_cle,0)),""))</f>
        <v/>
      </c>
      <c r="Q518" s="34">
        <f>IF(J518="","",IF(D518&lt;&gt;"",IF(COUNTIFS(VC_cle,J518,VC_type,"Visite sur place",VC_date,D518)&gt;0,"Visité",IF(D518&lt;TODAY(),"Non fait","À venir")),IF(B518="","",IF(COUNTIFS(VC_cle,J518,VC_type,"Visite sur place",VC_date,"&gt;="&amp;M518,VC_date,"&lt;"&amp;DATE(YEAR(M518),MONTH(M518)+1,1))&gt;0,"Visité","À visiter"))))</f>
        <v/>
      </c>
    </row>
    <row r="519" ht="18" customHeight="1">
      <c r="A519" s="39" t="n">
        <v>514</v>
      </c>
      <c r="B519" s="49" t="n"/>
      <c r="C519" s="43" t="n"/>
      <c r="D519" s="32" t="n"/>
      <c r="E519" s="36" t="n"/>
      <c r="F519" s="36" t="n"/>
      <c r="G519" s="36" t="n"/>
      <c r="H519" s="33">
        <f>IF(E519="","",Commercial_Id)</f>
        <v/>
      </c>
      <c r="I519" s="39">
        <f>IF(E519="","",IFERROR(VALUE(MID(E519,LEN(E519)-3,3)),""))</f>
        <v/>
      </c>
      <c r="J519" s="33">
        <f>IF(I519="","",H519&amp;"|"&amp;I519)</f>
        <v/>
      </c>
      <c r="K519" s="33">
        <f>IF(I519="","",IF(H519="À RENSEIGNER","GIC",H519)&amp;"-"&amp;TEXT(I519,"000"))</f>
        <v/>
      </c>
      <c r="L519" s="33">
        <f>IF(J519="","",IFERROR(INDEX(Cl_nom,MATCH(J519,Cl_cle,0)),"(client introuvable)"))</f>
        <v/>
      </c>
      <c r="M519" s="46">
        <f>IF(B519="","",DATE(YEAR(B519),MONTH(B519),1))</f>
        <v/>
      </c>
      <c r="N519" s="33">
        <f>IF(J519="","",IFERROR(INDEX(Cl_quartier,MATCH(J519,Cl_cle,0))&amp;"",""))</f>
        <v/>
      </c>
      <c r="O519" s="33">
        <f>IF(J519="","",IFERROR(INDEX(Cl_tel,MATCH(J519,Cl_cle,0))&amp;"",""))</f>
        <v/>
      </c>
      <c r="P519" s="34">
        <f>IF(J519="","",IFERROR(INDEX(Cl_potentiel,MATCH(J519,Cl_cle,0)),""))</f>
        <v/>
      </c>
      <c r="Q519" s="34">
        <f>IF(J519="","",IF(D519&lt;&gt;"",IF(COUNTIFS(VC_cle,J519,VC_type,"Visite sur place",VC_date,D519)&gt;0,"Visité",IF(D519&lt;TODAY(),"Non fait","À venir")),IF(B519="","",IF(COUNTIFS(VC_cle,J519,VC_type,"Visite sur place",VC_date,"&gt;="&amp;M519,VC_date,"&lt;"&amp;DATE(YEAR(M519),MONTH(M519)+1,1))&gt;0,"Visité","À visiter"))))</f>
        <v/>
      </c>
    </row>
    <row r="520" ht="18" customHeight="1">
      <c r="A520" s="39" t="n">
        <v>515</v>
      </c>
      <c r="B520" s="49" t="n"/>
      <c r="C520" s="43" t="n"/>
      <c r="D520" s="32" t="n"/>
      <c r="E520" s="36" t="n"/>
      <c r="F520" s="36" t="n"/>
      <c r="G520" s="36" t="n"/>
      <c r="H520" s="33">
        <f>IF(E520="","",Commercial_Id)</f>
        <v/>
      </c>
      <c r="I520" s="39">
        <f>IF(E520="","",IFERROR(VALUE(MID(E520,LEN(E520)-3,3)),""))</f>
        <v/>
      </c>
      <c r="J520" s="33">
        <f>IF(I520="","",H520&amp;"|"&amp;I520)</f>
        <v/>
      </c>
      <c r="K520" s="33">
        <f>IF(I520="","",IF(H520="À RENSEIGNER","GIC",H520)&amp;"-"&amp;TEXT(I520,"000"))</f>
        <v/>
      </c>
      <c r="L520" s="33">
        <f>IF(J520="","",IFERROR(INDEX(Cl_nom,MATCH(J520,Cl_cle,0)),"(client introuvable)"))</f>
        <v/>
      </c>
      <c r="M520" s="46">
        <f>IF(B520="","",DATE(YEAR(B520),MONTH(B520),1))</f>
        <v/>
      </c>
      <c r="N520" s="33">
        <f>IF(J520="","",IFERROR(INDEX(Cl_quartier,MATCH(J520,Cl_cle,0))&amp;"",""))</f>
        <v/>
      </c>
      <c r="O520" s="33">
        <f>IF(J520="","",IFERROR(INDEX(Cl_tel,MATCH(J520,Cl_cle,0))&amp;"",""))</f>
        <v/>
      </c>
      <c r="P520" s="34">
        <f>IF(J520="","",IFERROR(INDEX(Cl_potentiel,MATCH(J520,Cl_cle,0)),""))</f>
        <v/>
      </c>
      <c r="Q520" s="34">
        <f>IF(J520="","",IF(D520&lt;&gt;"",IF(COUNTIFS(VC_cle,J520,VC_type,"Visite sur place",VC_date,D520)&gt;0,"Visité",IF(D520&lt;TODAY(),"Non fait","À venir")),IF(B520="","",IF(COUNTIFS(VC_cle,J520,VC_type,"Visite sur place",VC_date,"&gt;="&amp;M520,VC_date,"&lt;"&amp;DATE(YEAR(M520),MONTH(M520)+1,1))&gt;0,"Visité","À visiter"))))</f>
        <v/>
      </c>
    </row>
    <row r="521" ht="18" customHeight="1">
      <c r="A521" s="39" t="n">
        <v>516</v>
      </c>
      <c r="B521" s="49" t="n"/>
      <c r="C521" s="43" t="n"/>
      <c r="D521" s="32" t="n"/>
      <c r="E521" s="36" t="n"/>
      <c r="F521" s="36" t="n"/>
      <c r="G521" s="36" t="n"/>
      <c r="H521" s="33">
        <f>IF(E521="","",Commercial_Id)</f>
        <v/>
      </c>
      <c r="I521" s="39">
        <f>IF(E521="","",IFERROR(VALUE(MID(E521,LEN(E521)-3,3)),""))</f>
        <v/>
      </c>
      <c r="J521" s="33">
        <f>IF(I521="","",H521&amp;"|"&amp;I521)</f>
        <v/>
      </c>
      <c r="K521" s="33">
        <f>IF(I521="","",IF(H521="À RENSEIGNER","GIC",H521)&amp;"-"&amp;TEXT(I521,"000"))</f>
        <v/>
      </c>
      <c r="L521" s="33">
        <f>IF(J521="","",IFERROR(INDEX(Cl_nom,MATCH(J521,Cl_cle,0)),"(client introuvable)"))</f>
        <v/>
      </c>
      <c r="M521" s="46">
        <f>IF(B521="","",DATE(YEAR(B521),MONTH(B521),1))</f>
        <v/>
      </c>
      <c r="N521" s="33">
        <f>IF(J521="","",IFERROR(INDEX(Cl_quartier,MATCH(J521,Cl_cle,0))&amp;"",""))</f>
        <v/>
      </c>
      <c r="O521" s="33">
        <f>IF(J521="","",IFERROR(INDEX(Cl_tel,MATCH(J521,Cl_cle,0))&amp;"",""))</f>
        <v/>
      </c>
      <c r="P521" s="34">
        <f>IF(J521="","",IFERROR(INDEX(Cl_potentiel,MATCH(J521,Cl_cle,0)),""))</f>
        <v/>
      </c>
      <c r="Q521" s="34">
        <f>IF(J521="","",IF(D521&lt;&gt;"",IF(COUNTIFS(VC_cle,J521,VC_type,"Visite sur place",VC_date,D521)&gt;0,"Visité",IF(D521&lt;TODAY(),"Non fait","À venir")),IF(B521="","",IF(COUNTIFS(VC_cle,J521,VC_type,"Visite sur place",VC_date,"&gt;="&amp;M521,VC_date,"&lt;"&amp;DATE(YEAR(M521),MONTH(M521)+1,1))&gt;0,"Visité","À visiter"))))</f>
        <v/>
      </c>
    </row>
    <row r="522" ht="18" customHeight="1">
      <c r="A522" s="39" t="n">
        <v>517</v>
      </c>
      <c r="B522" s="49" t="n"/>
      <c r="C522" s="43" t="n"/>
      <c r="D522" s="32" t="n"/>
      <c r="E522" s="36" t="n"/>
      <c r="F522" s="36" t="n"/>
      <c r="G522" s="36" t="n"/>
      <c r="H522" s="33">
        <f>IF(E522="","",Commercial_Id)</f>
        <v/>
      </c>
      <c r="I522" s="39">
        <f>IF(E522="","",IFERROR(VALUE(MID(E522,LEN(E522)-3,3)),""))</f>
        <v/>
      </c>
      <c r="J522" s="33">
        <f>IF(I522="","",H522&amp;"|"&amp;I522)</f>
        <v/>
      </c>
      <c r="K522" s="33">
        <f>IF(I522="","",IF(H522="À RENSEIGNER","GIC",H522)&amp;"-"&amp;TEXT(I522,"000"))</f>
        <v/>
      </c>
      <c r="L522" s="33">
        <f>IF(J522="","",IFERROR(INDEX(Cl_nom,MATCH(J522,Cl_cle,0)),"(client introuvable)"))</f>
        <v/>
      </c>
      <c r="M522" s="46">
        <f>IF(B522="","",DATE(YEAR(B522),MONTH(B522),1))</f>
        <v/>
      </c>
      <c r="N522" s="33">
        <f>IF(J522="","",IFERROR(INDEX(Cl_quartier,MATCH(J522,Cl_cle,0))&amp;"",""))</f>
        <v/>
      </c>
      <c r="O522" s="33">
        <f>IF(J522="","",IFERROR(INDEX(Cl_tel,MATCH(J522,Cl_cle,0))&amp;"",""))</f>
        <v/>
      </c>
      <c r="P522" s="34">
        <f>IF(J522="","",IFERROR(INDEX(Cl_potentiel,MATCH(J522,Cl_cle,0)),""))</f>
        <v/>
      </c>
      <c r="Q522" s="34">
        <f>IF(J522="","",IF(D522&lt;&gt;"",IF(COUNTIFS(VC_cle,J522,VC_type,"Visite sur place",VC_date,D522)&gt;0,"Visité",IF(D522&lt;TODAY(),"Non fait","À venir")),IF(B522="","",IF(COUNTIFS(VC_cle,J522,VC_type,"Visite sur place",VC_date,"&gt;="&amp;M522,VC_date,"&lt;"&amp;DATE(YEAR(M522),MONTH(M522)+1,1))&gt;0,"Visité","À visiter"))))</f>
        <v/>
      </c>
    </row>
    <row r="523" ht="18" customHeight="1">
      <c r="A523" s="39" t="n">
        <v>518</v>
      </c>
      <c r="B523" s="49" t="n"/>
      <c r="C523" s="43" t="n"/>
      <c r="D523" s="32" t="n"/>
      <c r="E523" s="36" t="n"/>
      <c r="F523" s="36" t="n"/>
      <c r="G523" s="36" t="n"/>
      <c r="H523" s="33">
        <f>IF(E523="","",Commercial_Id)</f>
        <v/>
      </c>
      <c r="I523" s="39">
        <f>IF(E523="","",IFERROR(VALUE(MID(E523,LEN(E523)-3,3)),""))</f>
        <v/>
      </c>
      <c r="J523" s="33">
        <f>IF(I523="","",H523&amp;"|"&amp;I523)</f>
        <v/>
      </c>
      <c r="K523" s="33">
        <f>IF(I523="","",IF(H523="À RENSEIGNER","GIC",H523)&amp;"-"&amp;TEXT(I523,"000"))</f>
        <v/>
      </c>
      <c r="L523" s="33">
        <f>IF(J523="","",IFERROR(INDEX(Cl_nom,MATCH(J523,Cl_cle,0)),"(client introuvable)"))</f>
        <v/>
      </c>
      <c r="M523" s="46">
        <f>IF(B523="","",DATE(YEAR(B523),MONTH(B523),1))</f>
        <v/>
      </c>
      <c r="N523" s="33">
        <f>IF(J523="","",IFERROR(INDEX(Cl_quartier,MATCH(J523,Cl_cle,0))&amp;"",""))</f>
        <v/>
      </c>
      <c r="O523" s="33">
        <f>IF(J523="","",IFERROR(INDEX(Cl_tel,MATCH(J523,Cl_cle,0))&amp;"",""))</f>
        <v/>
      </c>
      <c r="P523" s="34">
        <f>IF(J523="","",IFERROR(INDEX(Cl_potentiel,MATCH(J523,Cl_cle,0)),""))</f>
        <v/>
      </c>
      <c r="Q523" s="34">
        <f>IF(J523="","",IF(D523&lt;&gt;"",IF(COUNTIFS(VC_cle,J523,VC_type,"Visite sur place",VC_date,D523)&gt;0,"Visité",IF(D523&lt;TODAY(),"Non fait","À venir")),IF(B523="","",IF(COUNTIFS(VC_cle,J523,VC_type,"Visite sur place",VC_date,"&gt;="&amp;M523,VC_date,"&lt;"&amp;DATE(YEAR(M523),MONTH(M523)+1,1))&gt;0,"Visité","À visiter"))))</f>
        <v/>
      </c>
    </row>
    <row r="524" ht="18" customHeight="1">
      <c r="A524" s="39" t="n">
        <v>519</v>
      </c>
      <c r="B524" s="49" t="n"/>
      <c r="C524" s="43" t="n"/>
      <c r="D524" s="32" t="n"/>
      <c r="E524" s="36" t="n"/>
      <c r="F524" s="36" t="n"/>
      <c r="G524" s="36" t="n"/>
      <c r="H524" s="33">
        <f>IF(E524="","",Commercial_Id)</f>
        <v/>
      </c>
      <c r="I524" s="39">
        <f>IF(E524="","",IFERROR(VALUE(MID(E524,LEN(E524)-3,3)),""))</f>
        <v/>
      </c>
      <c r="J524" s="33">
        <f>IF(I524="","",H524&amp;"|"&amp;I524)</f>
        <v/>
      </c>
      <c r="K524" s="33">
        <f>IF(I524="","",IF(H524="À RENSEIGNER","GIC",H524)&amp;"-"&amp;TEXT(I524,"000"))</f>
        <v/>
      </c>
      <c r="L524" s="33">
        <f>IF(J524="","",IFERROR(INDEX(Cl_nom,MATCH(J524,Cl_cle,0)),"(client introuvable)"))</f>
        <v/>
      </c>
      <c r="M524" s="46">
        <f>IF(B524="","",DATE(YEAR(B524),MONTH(B524),1))</f>
        <v/>
      </c>
      <c r="N524" s="33">
        <f>IF(J524="","",IFERROR(INDEX(Cl_quartier,MATCH(J524,Cl_cle,0))&amp;"",""))</f>
        <v/>
      </c>
      <c r="O524" s="33">
        <f>IF(J524="","",IFERROR(INDEX(Cl_tel,MATCH(J524,Cl_cle,0))&amp;"",""))</f>
        <v/>
      </c>
      <c r="P524" s="34">
        <f>IF(J524="","",IFERROR(INDEX(Cl_potentiel,MATCH(J524,Cl_cle,0)),""))</f>
        <v/>
      </c>
      <c r="Q524" s="34">
        <f>IF(J524="","",IF(D524&lt;&gt;"",IF(COUNTIFS(VC_cle,J524,VC_type,"Visite sur place",VC_date,D524)&gt;0,"Visité",IF(D524&lt;TODAY(),"Non fait","À venir")),IF(B524="","",IF(COUNTIFS(VC_cle,J524,VC_type,"Visite sur place",VC_date,"&gt;="&amp;M524,VC_date,"&lt;"&amp;DATE(YEAR(M524),MONTH(M524)+1,1))&gt;0,"Visité","À visiter"))))</f>
        <v/>
      </c>
    </row>
    <row r="525" ht="18" customHeight="1">
      <c r="A525" s="39" t="n">
        <v>520</v>
      </c>
      <c r="B525" s="49" t="n"/>
      <c r="C525" s="43" t="n"/>
      <c r="D525" s="32" t="n"/>
      <c r="E525" s="36" t="n"/>
      <c r="F525" s="36" t="n"/>
      <c r="G525" s="36" t="n"/>
      <c r="H525" s="33">
        <f>IF(E525="","",Commercial_Id)</f>
        <v/>
      </c>
      <c r="I525" s="39">
        <f>IF(E525="","",IFERROR(VALUE(MID(E525,LEN(E525)-3,3)),""))</f>
        <v/>
      </c>
      <c r="J525" s="33">
        <f>IF(I525="","",H525&amp;"|"&amp;I525)</f>
        <v/>
      </c>
      <c r="K525" s="33">
        <f>IF(I525="","",IF(H525="À RENSEIGNER","GIC",H525)&amp;"-"&amp;TEXT(I525,"000"))</f>
        <v/>
      </c>
      <c r="L525" s="33">
        <f>IF(J525="","",IFERROR(INDEX(Cl_nom,MATCH(J525,Cl_cle,0)),"(client introuvable)"))</f>
        <v/>
      </c>
      <c r="M525" s="46">
        <f>IF(B525="","",DATE(YEAR(B525),MONTH(B525),1))</f>
        <v/>
      </c>
      <c r="N525" s="33">
        <f>IF(J525="","",IFERROR(INDEX(Cl_quartier,MATCH(J525,Cl_cle,0))&amp;"",""))</f>
        <v/>
      </c>
      <c r="O525" s="33">
        <f>IF(J525="","",IFERROR(INDEX(Cl_tel,MATCH(J525,Cl_cle,0))&amp;"",""))</f>
        <v/>
      </c>
      <c r="P525" s="34">
        <f>IF(J525="","",IFERROR(INDEX(Cl_potentiel,MATCH(J525,Cl_cle,0)),""))</f>
        <v/>
      </c>
      <c r="Q525" s="34">
        <f>IF(J525="","",IF(D525&lt;&gt;"",IF(COUNTIFS(VC_cle,J525,VC_type,"Visite sur place",VC_date,D525)&gt;0,"Visité",IF(D525&lt;TODAY(),"Non fait","À venir")),IF(B525="","",IF(COUNTIFS(VC_cle,J525,VC_type,"Visite sur place",VC_date,"&gt;="&amp;M525,VC_date,"&lt;"&amp;DATE(YEAR(M525),MONTH(M525)+1,1))&gt;0,"Visité","À visiter"))))</f>
        <v/>
      </c>
    </row>
    <row r="526" ht="18" customHeight="1">
      <c r="A526" s="39" t="n">
        <v>521</v>
      </c>
      <c r="B526" s="49" t="n"/>
      <c r="C526" s="43" t="n"/>
      <c r="D526" s="32" t="n"/>
      <c r="E526" s="36" t="n"/>
      <c r="F526" s="36" t="n"/>
      <c r="G526" s="36" t="n"/>
      <c r="H526" s="33">
        <f>IF(E526="","",Commercial_Id)</f>
        <v/>
      </c>
      <c r="I526" s="39">
        <f>IF(E526="","",IFERROR(VALUE(MID(E526,LEN(E526)-3,3)),""))</f>
        <v/>
      </c>
      <c r="J526" s="33">
        <f>IF(I526="","",H526&amp;"|"&amp;I526)</f>
        <v/>
      </c>
      <c r="K526" s="33">
        <f>IF(I526="","",IF(H526="À RENSEIGNER","GIC",H526)&amp;"-"&amp;TEXT(I526,"000"))</f>
        <v/>
      </c>
      <c r="L526" s="33">
        <f>IF(J526="","",IFERROR(INDEX(Cl_nom,MATCH(J526,Cl_cle,0)),"(client introuvable)"))</f>
        <v/>
      </c>
      <c r="M526" s="46">
        <f>IF(B526="","",DATE(YEAR(B526),MONTH(B526),1))</f>
        <v/>
      </c>
      <c r="N526" s="33">
        <f>IF(J526="","",IFERROR(INDEX(Cl_quartier,MATCH(J526,Cl_cle,0))&amp;"",""))</f>
        <v/>
      </c>
      <c r="O526" s="33">
        <f>IF(J526="","",IFERROR(INDEX(Cl_tel,MATCH(J526,Cl_cle,0))&amp;"",""))</f>
        <v/>
      </c>
      <c r="P526" s="34">
        <f>IF(J526="","",IFERROR(INDEX(Cl_potentiel,MATCH(J526,Cl_cle,0)),""))</f>
        <v/>
      </c>
      <c r="Q526" s="34">
        <f>IF(J526="","",IF(D526&lt;&gt;"",IF(COUNTIFS(VC_cle,J526,VC_type,"Visite sur place",VC_date,D526)&gt;0,"Visité",IF(D526&lt;TODAY(),"Non fait","À venir")),IF(B526="","",IF(COUNTIFS(VC_cle,J526,VC_type,"Visite sur place",VC_date,"&gt;="&amp;M526,VC_date,"&lt;"&amp;DATE(YEAR(M526),MONTH(M526)+1,1))&gt;0,"Visité","À visiter"))))</f>
        <v/>
      </c>
    </row>
    <row r="527" ht="18" customHeight="1">
      <c r="A527" s="39" t="n">
        <v>522</v>
      </c>
      <c r="B527" s="49" t="n"/>
      <c r="C527" s="43" t="n"/>
      <c r="D527" s="32" t="n"/>
      <c r="E527" s="36" t="n"/>
      <c r="F527" s="36" t="n"/>
      <c r="G527" s="36" t="n"/>
      <c r="H527" s="33">
        <f>IF(E527="","",Commercial_Id)</f>
        <v/>
      </c>
      <c r="I527" s="39">
        <f>IF(E527="","",IFERROR(VALUE(MID(E527,LEN(E527)-3,3)),""))</f>
        <v/>
      </c>
      <c r="J527" s="33">
        <f>IF(I527="","",H527&amp;"|"&amp;I527)</f>
        <v/>
      </c>
      <c r="K527" s="33">
        <f>IF(I527="","",IF(H527="À RENSEIGNER","GIC",H527)&amp;"-"&amp;TEXT(I527,"000"))</f>
        <v/>
      </c>
      <c r="L527" s="33">
        <f>IF(J527="","",IFERROR(INDEX(Cl_nom,MATCH(J527,Cl_cle,0)),"(client introuvable)"))</f>
        <v/>
      </c>
      <c r="M527" s="46">
        <f>IF(B527="","",DATE(YEAR(B527),MONTH(B527),1))</f>
        <v/>
      </c>
      <c r="N527" s="33">
        <f>IF(J527="","",IFERROR(INDEX(Cl_quartier,MATCH(J527,Cl_cle,0))&amp;"",""))</f>
        <v/>
      </c>
      <c r="O527" s="33">
        <f>IF(J527="","",IFERROR(INDEX(Cl_tel,MATCH(J527,Cl_cle,0))&amp;"",""))</f>
        <v/>
      </c>
      <c r="P527" s="34">
        <f>IF(J527="","",IFERROR(INDEX(Cl_potentiel,MATCH(J527,Cl_cle,0)),""))</f>
        <v/>
      </c>
      <c r="Q527" s="34">
        <f>IF(J527="","",IF(D527&lt;&gt;"",IF(COUNTIFS(VC_cle,J527,VC_type,"Visite sur place",VC_date,D527)&gt;0,"Visité",IF(D527&lt;TODAY(),"Non fait","À venir")),IF(B527="","",IF(COUNTIFS(VC_cle,J527,VC_type,"Visite sur place",VC_date,"&gt;="&amp;M527,VC_date,"&lt;"&amp;DATE(YEAR(M527),MONTH(M527)+1,1))&gt;0,"Visité","À visiter"))))</f>
        <v/>
      </c>
    </row>
    <row r="528" ht="18" customHeight="1">
      <c r="A528" s="39" t="n">
        <v>523</v>
      </c>
      <c r="B528" s="49" t="n"/>
      <c r="C528" s="43" t="n"/>
      <c r="D528" s="32" t="n"/>
      <c r="E528" s="36" t="n"/>
      <c r="F528" s="36" t="n"/>
      <c r="G528" s="36" t="n"/>
      <c r="H528" s="33">
        <f>IF(E528="","",Commercial_Id)</f>
        <v/>
      </c>
      <c r="I528" s="39">
        <f>IF(E528="","",IFERROR(VALUE(MID(E528,LEN(E528)-3,3)),""))</f>
        <v/>
      </c>
      <c r="J528" s="33">
        <f>IF(I528="","",H528&amp;"|"&amp;I528)</f>
        <v/>
      </c>
      <c r="K528" s="33">
        <f>IF(I528="","",IF(H528="À RENSEIGNER","GIC",H528)&amp;"-"&amp;TEXT(I528,"000"))</f>
        <v/>
      </c>
      <c r="L528" s="33">
        <f>IF(J528="","",IFERROR(INDEX(Cl_nom,MATCH(J528,Cl_cle,0)),"(client introuvable)"))</f>
        <v/>
      </c>
      <c r="M528" s="46">
        <f>IF(B528="","",DATE(YEAR(B528),MONTH(B528),1))</f>
        <v/>
      </c>
      <c r="N528" s="33">
        <f>IF(J528="","",IFERROR(INDEX(Cl_quartier,MATCH(J528,Cl_cle,0))&amp;"",""))</f>
        <v/>
      </c>
      <c r="O528" s="33">
        <f>IF(J528="","",IFERROR(INDEX(Cl_tel,MATCH(J528,Cl_cle,0))&amp;"",""))</f>
        <v/>
      </c>
      <c r="P528" s="34">
        <f>IF(J528="","",IFERROR(INDEX(Cl_potentiel,MATCH(J528,Cl_cle,0)),""))</f>
        <v/>
      </c>
      <c r="Q528" s="34">
        <f>IF(J528="","",IF(D528&lt;&gt;"",IF(COUNTIFS(VC_cle,J528,VC_type,"Visite sur place",VC_date,D528)&gt;0,"Visité",IF(D528&lt;TODAY(),"Non fait","À venir")),IF(B528="","",IF(COUNTIFS(VC_cle,J528,VC_type,"Visite sur place",VC_date,"&gt;="&amp;M528,VC_date,"&lt;"&amp;DATE(YEAR(M528),MONTH(M528)+1,1))&gt;0,"Visité","À visiter"))))</f>
        <v/>
      </c>
    </row>
    <row r="529" ht="18" customHeight="1">
      <c r="A529" s="39" t="n">
        <v>524</v>
      </c>
      <c r="B529" s="49" t="n"/>
      <c r="C529" s="43" t="n"/>
      <c r="D529" s="32" t="n"/>
      <c r="E529" s="36" t="n"/>
      <c r="F529" s="36" t="n"/>
      <c r="G529" s="36" t="n"/>
      <c r="H529" s="33">
        <f>IF(E529="","",Commercial_Id)</f>
        <v/>
      </c>
      <c r="I529" s="39">
        <f>IF(E529="","",IFERROR(VALUE(MID(E529,LEN(E529)-3,3)),""))</f>
        <v/>
      </c>
      <c r="J529" s="33">
        <f>IF(I529="","",H529&amp;"|"&amp;I529)</f>
        <v/>
      </c>
      <c r="K529" s="33">
        <f>IF(I529="","",IF(H529="À RENSEIGNER","GIC",H529)&amp;"-"&amp;TEXT(I529,"000"))</f>
        <v/>
      </c>
      <c r="L529" s="33">
        <f>IF(J529="","",IFERROR(INDEX(Cl_nom,MATCH(J529,Cl_cle,0)),"(client introuvable)"))</f>
        <v/>
      </c>
      <c r="M529" s="46">
        <f>IF(B529="","",DATE(YEAR(B529),MONTH(B529),1))</f>
        <v/>
      </c>
      <c r="N529" s="33">
        <f>IF(J529="","",IFERROR(INDEX(Cl_quartier,MATCH(J529,Cl_cle,0))&amp;"",""))</f>
        <v/>
      </c>
      <c r="O529" s="33">
        <f>IF(J529="","",IFERROR(INDEX(Cl_tel,MATCH(J529,Cl_cle,0))&amp;"",""))</f>
        <v/>
      </c>
      <c r="P529" s="34">
        <f>IF(J529="","",IFERROR(INDEX(Cl_potentiel,MATCH(J529,Cl_cle,0)),""))</f>
        <v/>
      </c>
      <c r="Q529" s="34">
        <f>IF(J529="","",IF(D529&lt;&gt;"",IF(COUNTIFS(VC_cle,J529,VC_type,"Visite sur place",VC_date,D529)&gt;0,"Visité",IF(D529&lt;TODAY(),"Non fait","À venir")),IF(B529="","",IF(COUNTIFS(VC_cle,J529,VC_type,"Visite sur place",VC_date,"&gt;="&amp;M529,VC_date,"&lt;"&amp;DATE(YEAR(M529),MONTH(M529)+1,1))&gt;0,"Visité","À visiter"))))</f>
        <v/>
      </c>
    </row>
    <row r="530" ht="18" customHeight="1">
      <c r="A530" s="39" t="n">
        <v>525</v>
      </c>
      <c r="B530" s="49" t="n"/>
      <c r="C530" s="43" t="n"/>
      <c r="D530" s="32" t="n"/>
      <c r="E530" s="36" t="n"/>
      <c r="F530" s="36" t="n"/>
      <c r="G530" s="36" t="n"/>
      <c r="H530" s="33">
        <f>IF(E530="","",Commercial_Id)</f>
        <v/>
      </c>
      <c r="I530" s="39">
        <f>IF(E530="","",IFERROR(VALUE(MID(E530,LEN(E530)-3,3)),""))</f>
        <v/>
      </c>
      <c r="J530" s="33">
        <f>IF(I530="","",H530&amp;"|"&amp;I530)</f>
        <v/>
      </c>
      <c r="K530" s="33">
        <f>IF(I530="","",IF(H530="À RENSEIGNER","GIC",H530)&amp;"-"&amp;TEXT(I530,"000"))</f>
        <v/>
      </c>
      <c r="L530" s="33">
        <f>IF(J530="","",IFERROR(INDEX(Cl_nom,MATCH(J530,Cl_cle,0)),"(client introuvable)"))</f>
        <v/>
      </c>
      <c r="M530" s="46">
        <f>IF(B530="","",DATE(YEAR(B530),MONTH(B530),1))</f>
        <v/>
      </c>
      <c r="N530" s="33">
        <f>IF(J530="","",IFERROR(INDEX(Cl_quartier,MATCH(J530,Cl_cle,0))&amp;"",""))</f>
        <v/>
      </c>
      <c r="O530" s="33">
        <f>IF(J530="","",IFERROR(INDEX(Cl_tel,MATCH(J530,Cl_cle,0))&amp;"",""))</f>
        <v/>
      </c>
      <c r="P530" s="34">
        <f>IF(J530="","",IFERROR(INDEX(Cl_potentiel,MATCH(J530,Cl_cle,0)),""))</f>
        <v/>
      </c>
      <c r="Q530" s="34">
        <f>IF(J530="","",IF(D530&lt;&gt;"",IF(COUNTIFS(VC_cle,J530,VC_type,"Visite sur place",VC_date,D530)&gt;0,"Visité",IF(D530&lt;TODAY(),"Non fait","À venir")),IF(B530="","",IF(COUNTIFS(VC_cle,J530,VC_type,"Visite sur place",VC_date,"&gt;="&amp;M530,VC_date,"&lt;"&amp;DATE(YEAR(M530),MONTH(M530)+1,1))&gt;0,"Visité","À visiter"))))</f>
        <v/>
      </c>
    </row>
    <row r="531" ht="18" customHeight="1">
      <c r="A531" s="39" t="n">
        <v>526</v>
      </c>
      <c r="B531" s="49" t="n"/>
      <c r="C531" s="43" t="n"/>
      <c r="D531" s="32" t="n"/>
      <c r="E531" s="36" t="n"/>
      <c r="F531" s="36" t="n"/>
      <c r="G531" s="36" t="n"/>
      <c r="H531" s="33">
        <f>IF(E531="","",Commercial_Id)</f>
        <v/>
      </c>
      <c r="I531" s="39">
        <f>IF(E531="","",IFERROR(VALUE(MID(E531,LEN(E531)-3,3)),""))</f>
        <v/>
      </c>
      <c r="J531" s="33">
        <f>IF(I531="","",H531&amp;"|"&amp;I531)</f>
        <v/>
      </c>
      <c r="K531" s="33">
        <f>IF(I531="","",IF(H531="À RENSEIGNER","GIC",H531)&amp;"-"&amp;TEXT(I531,"000"))</f>
        <v/>
      </c>
      <c r="L531" s="33">
        <f>IF(J531="","",IFERROR(INDEX(Cl_nom,MATCH(J531,Cl_cle,0)),"(client introuvable)"))</f>
        <v/>
      </c>
      <c r="M531" s="46">
        <f>IF(B531="","",DATE(YEAR(B531),MONTH(B531),1))</f>
        <v/>
      </c>
      <c r="N531" s="33">
        <f>IF(J531="","",IFERROR(INDEX(Cl_quartier,MATCH(J531,Cl_cle,0))&amp;"",""))</f>
        <v/>
      </c>
      <c r="O531" s="33">
        <f>IF(J531="","",IFERROR(INDEX(Cl_tel,MATCH(J531,Cl_cle,0))&amp;"",""))</f>
        <v/>
      </c>
      <c r="P531" s="34">
        <f>IF(J531="","",IFERROR(INDEX(Cl_potentiel,MATCH(J531,Cl_cle,0)),""))</f>
        <v/>
      </c>
      <c r="Q531" s="34">
        <f>IF(J531="","",IF(D531&lt;&gt;"",IF(COUNTIFS(VC_cle,J531,VC_type,"Visite sur place",VC_date,D531)&gt;0,"Visité",IF(D531&lt;TODAY(),"Non fait","À venir")),IF(B531="","",IF(COUNTIFS(VC_cle,J531,VC_type,"Visite sur place",VC_date,"&gt;="&amp;M531,VC_date,"&lt;"&amp;DATE(YEAR(M531),MONTH(M531)+1,1))&gt;0,"Visité","À visiter"))))</f>
        <v/>
      </c>
    </row>
    <row r="532" ht="18" customHeight="1">
      <c r="A532" s="39" t="n">
        <v>527</v>
      </c>
      <c r="B532" s="49" t="n"/>
      <c r="C532" s="43" t="n"/>
      <c r="D532" s="32" t="n"/>
      <c r="E532" s="36" t="n"/>
      <c r="F532" s="36" t="n"/>
      <c r="G532" s="36" t="n"/>
      <c r="H532" s="33">
        <f>IF(E532="","",Commercial_Id)</f>
        <v/>
      </c>
      <c r="I532" s="39">
        <f>IF(E532="","",IFERROR(VALUE(MID(E532,LEN(E532)-3,3)),""))</f>
        <v/>
      </c>
      <c r="J532" s="33">
        <f>IF(I532="","",H532&amp;"|"&amp;I532)</f>
        <v/>
      </c>
      <c r="K532" s="33">
        <f>IF(I532="","",IF(H532="À RENSEIGNER","GIC",H532)&amp;"-"&amp;TEXT(I532,"000"))</f>
        <v/>
      </c>
      <c r="L532" s="33">
        <f>IF(J532="","",IFERROR(INDEX(Cl_nom,MATCH(J532,Cl_cle,0)),"(client introuvable)"))</f>
        <v/>
      </c>
      <c r="M532" s="46">
        <f>IF(B532="","",DATE(YEAR(B532),MONTH(B532),1))</f>
        <v/>
      </c>
      <c r="N532" s="33">
        <f>IF(J532="","",IFERROR(INDEX(Cl_quartier,MATCH(J532,Cl_cle,0))&amp;"",""))</f>
        <v/>
      </c>
      <c r="O532" s="33">
        <f>IF(J532="","",IFERROR(INDEX(Cl_tel,MATCH(J532,Cl_cle,0))&amp;"",""))</f>
        <v/>
      </c>
      <c r="P532" s="34">
        <f>IF(J532="","",IFERROR(INDEX(Cl_potentiel,MATCH(J532,Cl_cle,0)),""))</f>
        <v/>
      </c>
      <c r="Q532" s="34">
        <f>IF(J532="","",IF(D532&lt;&gt;"",IF(COUNTIFS(VC_cle,J532,VC_type,"Visite sur place",VC_date,D532)&gt;0,"Visité",IF(D532&lt;TODAY(),"Non fait","À venir")),IF(B532="","",IF(COUNTIFS(VC_cle,J532,VC_type,"Visite sur place",VC_date,"&gt;="&amp;M532,VC_date,"&lt;"&amp;DATE(YEAR(M532),MONTH(M532)+1,1))&gt;0,"Visité","À visiter"))))</f>
        <v/>
      </c>
    </row>
    <row r="533" ht="18" customHeight="1">
      <c r="A533" s="39" t="n">
        <v>528</v>
      </c>
      <c r="B533" s="49" t="n"/>
      <c r="C533" s="43" t="n"/>
      <c r="D533" s="32" t="n"/>
      <c r="E533" s="36" t="n"/>
      <c r="F533" s="36" t="n"/>
      <c r="G533" s="36" t="n"/>
      <c r="H533" s="33">
        <f>IF(E533="","",Commercial_Id)</f>
        <v/>
      </c>
      <c r="I533" s="39">
        <f>IF(E533="","",IFERROR(VALUE(MID(E533,LEN(E533)-3,3)),""))</f>
        <v/>
      </c>
      <c r="J533" s="33">
        <f>IF(I533="","",H533&amp;"|"&amp;I533)</f>
        <v/>
      </c>
      <c r="K533" s="33">
        <f>IF(I533="","",IF(H533="À RENSEIGNER","GIC",H533)&amp;"-"&amp;TEXT(I533,"000"))</f>
        <v/>
      </c>
      <c r="L533" s="33">
        <f>IF(J533="","",IFERROR(INDEX(Cl_nom,MATCH(J533,Cl_cle,0)),"(client introuvable)"))</f>
        <v/>
      </c>
      <c r="M533" s="46">
        <f>IF(B533="","",DATE(YEAR(B533),MONTH(B533),1))</f>
        <v/>
      </c>
      <c r="N533" s="33">
        <f>IF(J533="","",IFERROR(INDEX(Cl_quartier,MATCH(J533,Cl_cle,0))&amp;"",""))</f>
        <v/>
      </c>
      <c r="O533" s="33">
        <f>IF(J533="","",IFERROR(INDEX(Cl_tel,MATCH(J533,Cl_cle,0))&amp;"",""))</f>
        <v/>
      </c>
      <c r="P533" s="34">
        <f>IF(J533="","",IFERROR(INDEX(Cl_potentiel,MATCH(J533,Cl_cle,0)),""))</f>
        <v/>
      </c>
      <c r="Q533" s="34">
        <f>IF(J533="","",IF(D533&lt;&gt;"",IF(COUNTIFS(VC_cle,J533,VC_type,"Visite sur place",VC_date,D533)&gt;0,"Visité",IF(D533&lt;TODAY(),"Non fait","À venir")),IF(B533="","",IF(COUNTIFS(VC_cle,J533,VC_type,"Visite sur place",VC_date,"&gt;="&amp;M533,VC_date,"&lt;"&amp;DATE(YEAR(M533),MONTH(M533)+1,1))&gt;0,"Visité","À visiter"))))</f>
        <v/>
      </c>
    </row>
    <row r="534" ht="18" customHeight="1">
      <c r="A534" s="39" t="n">
        <v>529</v>
      </c>
      <c r="B534" s="49" t="n"/>
      <c r="C534" s="43" t="n"/>
      <c r="D534" s="32" t="n"/>
      <c r="E534" s="36" t="n"/>
      <c r="F534" s="36" t="n"/>
      <c r="G534" s="36" t="n"/>
      <c r="H534" s="33">
        <f>IF(E534="","",Commercial_Id)</f>
        <v/>
      </c>
      <c r="I534" s="39">
        <f>IF(E534="","",IFERROR(VALUE(MID(E534,LEN(E534)-3,3)),""))</f>
        <v/>
      </c>
      <c r="J534" s="33">
        <f>IF(I534="","",H534&amp;"|"&amp;I534)</f>
        <v/>
      </c>
      <c r="K534" s="33">
        <f>IF(I534="","",IF(H534="À RENSEIGNER","GIC",H534)&amp;"-"&amp;TEXT(I534,"000"))</f>
        <v/>
      </c>
      <c r="L534" s="33">
        <f>IF(J534="","",IFERROR(INDEX(Cl_nom,MATCH(J534,Cl_cle,0)),"(client introuvable)"))</f>
        <v/>
      </c>
      <c r="M534" s="46">
        <f>IF(B534="","",DATE(YEAR(B534),MONTH(B534),1))</f>
        <v/>
      </c>
      <c r="N534" s="33">
        <f>IF(J534="","",IFERROR(INDEX(Cl_quartier,MATCH(J534,Cl_cle,0))&amp;"",""))</f>
        <v/>
      </c>
      <c r="O534" s="33">
        <f>IF(J534="","",IFERROR(INDEX(Cl_tel,MATCH(J534,Cl_cle,0))&amp;"",""))</f>
        <v/>
      </c>
      <c r="P534" s="34">
        <f>IF(J534="","",IFERROR(INDEX(Cl_potentiel,MATCH(J534,Cl_cle,0)),""))</f>
        <v/>
      </c>
      <c r="Q534" s="34">
        <f>IF(J534="","",IF(D534&lt;&gt;"",IF(COUNTIFS(VC_cle,J534,VC_type,"Visite sur place",VC_date,D534)&gt;0,"Visité",IF(D534&lt;TODAY(),"Non fait","À venir")),IF(B534="","",IF(COUNTIFS(VC_cle,J534,VC_type,"Visite sur place",VC_date,"&gt;="&amp;M534,VC_date,"&lt;"&amp;DATE(YEAR(M534),MONTH(M534)+1,1))&gt;0,"Visité","À visiter"))))</f>
        <v/>
      </c>
    </row>
    <row r="535" ht="18" customHeight="1">
      <c r="A535" s="39" t="n">
        <v>530</v>
      </c>
      <c r="B535" s="49" t="n"/>
      <c r="C535" s="43" t="n"/>
      <c r="D535" s="32" t="n"/>
      <c r="E535" s="36" t="n"/>
      <c r="F535" s="36" t="n"/>
      <c r="G535" s="36" t="n"/>
      <c r="H535" s="33">
        <f>IF(E535="","",Commercial_Id)</f>
        <v/>
      </c>
      <c r="I535" s="39">
        <f>IF(E535="","",IFERROR(VALUE(MID(E535,LEN(E535)-3,3)),""))</f>
        <v/>
      </c>
      <c r="J535" s="33">
        <f>IF(I535="","",H535&amp;"|"&amp;I535)</f>
        <v/>
      </c>
      <c r="K535" s="33">
        <f>IF(I535="","",IF(H535="À RENSEIGNER","GIC",H535)&amp;"-"&amp;TEXT(I535,"000"))</f>
        <v/>
      </c>
      <c r="L535" s="33">
        <f>IF(J535="","",IFERROR(INDEX(Cl_nom,MATCH(J535,Cl_cle,0)),"(client introuvable)"))</f>
        <v/>
      </c>
      <c r="M535" s="46">
        <f>IF(B535="","",DATE(YEAR(B535),MONTH(B535),1))</f>
        <v/>
      </c>
      <c r="N535" s="33">
        <f>IF(J535="","",IFERROR(INDEX(Cl_quartier,MATCH(J535,Cl_cle,0))&amp;"",""))</f>
        <v/>
      </c>
      <c r="O535" s="33">
        <f>IF(J535="","",IFERROR(INDEX(Cl_tel,MATCH(J535,Cl_cle,0))&amp;"",""))</f>
        <v/>
      </c>
      <c r="P535" s="34">
        <f>IF(J535="","",IFERROR(INDEX(Cl_potentiel,MATCH(J535,Cl_cle,0)),""))</f>
        <v/>
      </c>
      <c r="Q535" s="34">
        <f>IF(J535="","",IF(D535&lt;&gt;"",IF(COUNTIFS(VC_cle,J535,VC_type,"Visite sur place",VC_date,D535)&gt;0,"Visité",IF(D535&lt;TODAY(),"Non fait","À venir")),IF(B535="","",IF(COUNTIFS(VC_cle,J535,VC_type,"Visite sur place",VC_date,"&gt;="&amp;M535,VC_date,"&lt;"&amp;DATE(YEAR(M535),MONTH(M535)+1,1))&gt;0,"Visité","À visiter"))))</f>
        <v/>
      </c>
    </row>
    <row r="536" ht="18" customHeight="1">
      <c r="A536" s="39" t="n">
        <v>531</v>
      </c>
      <c r="B536" s="49" t="n"/>
      <c r="C536" s="43" t="n"/>
      <c r="D536" s="32" t="n"/>
      <c r="E536" s="36" t="n"/>
      <c r="F536" s="36" t="n"/>
      <c r="G536" s="36" t="n"/>
      <c r="H536" s="33">
        <f>IF(E536="","",Commercial_Id)</f>
        <v/>
      </c>
      <c r="I536" s="39">
        <f>IF(E536="","",IFERROR(VALUE(MID(E536,LEN(E536)-3,3)),""))</f>
        <v/>
      </c>
      <c r="J536" s="33">
        <f>IF(I536="","",H536&amp;"|"&amp;I536)</f>
        <v/>
      </c>
      <c r="K536" s="33">
        <f>IF(I536="","",IF(H536="À RENSEIGNER","GIC",H536)&amp;"-"&amp;TEXT(I536,"000"))</f>
        <v/>
      </c>
      <c r="L536" s="33">
        <f>IF(J536="","",IFERROR(INDEX(Cl_nom,MATCH(J536,Cl_cle,0)),"(client introuvable)"))</f>
        <v/>
      </c>
      <c r="M536" s="46">
        <f>IF(B536="","",DATE(YEAR(B536),MONTH(B536),1))</f>
        <v/>
      </c>
      <c r="N536" s="33">
        <f>IF(J536="","",IFERROR(INDEX(Cl_quartier,MATCH(J536,Cl_cle,0))&amp;"",""))</f>
        <v/>
      </c>
      <c r="O536" s="33">
        <f>IF(J536="","",IFERROR(INDEX(Cl_tel,MATCH(J536,Cl_cle,0))&amp;"",""))</f>
        <v/>
      </c>
      <c r="P536" s="34">
        <f>IF(J536="","",IFERROR(INDEX(Cl_potentiel,MATCH(J536,Cl_cle,0)),""))</f>
        <v/>
      </c>
      <c r="Q536" s="34">
        <f>IF(J536="","",IF(D536&lt;&gt;"",IF(COUNTIFS(VC_cle,J536,VC_type,"Visite sur place",VC_date,D536)&gt;0,"Visité",IF(D536&lt;TODAY(),"Non fait","À venir")),IF(B536="","",IF(COUNTIFS(VC_cle,J536,VC_type,"Visite sur place",VC_date,"&gt;="&amp;M536,VC_date,"&lt;"&amp;DATE(YEAR(M536),MONTH(M536)+1,1))&gt;0,"Visité","À visiter"))))</f>
        <v/>
      </c>
    </row>
    <row r="537" ht="18" customHeight="1">
      <c r="A537" s="39" t="n">
        <v>532</v>
      </c>
      <c r="B537" s="49" t="n"/>
      <c r="C537" s="43" t="n"/>
      <c r="D537" s="32" t="n"/>
      <c r="E537" s="36" t="n"/>
      <c r="F537" s="36" t="n"/>
      <c r="G537" s="36" t="n"/>
      <c r="H537" s="33">
        <f>IF(E537="","",Commercial_Id)</f>
        <v/>
      </c>
      <c r="I537" s="39">
        <f>IF(E537="","",IFERROR(VALUE(MID(E537,LEN(E537)-3,3)),""))</f>
        <v/>
      </c>
      <c r="J537" s="33">
        <f>IF(I537="","",H537&amp;"|"&amp;I537)</f>
        <v/>
      </c>
      <c r="K537" s="33">
        <f>IF(I537="","",IF(H537="À RENSEIGNER","GIC",H537)&amp;"-"&amp;TEXT(I537,"000"))</f>
        <v/>
      </c>
      <c r="L537" s="33">
        <f>IF(J537="","",IFERROR(INDEX(Cl_nom,MATCH(J537,Cl_cle,0)),"(client introuvable)"))</f>
        <v/>
      </c>
      <c r="M537" s="46">
        <f>IF(B537="","",DATE(YEAR(B537),MONTH(B537),1))</f>
        <v/>
      </c>
      <c r="N537" s="33">
        <f>IF(J537="","",IFERROR(INDEX(Cl_quartier,MATCH(J537,Cl_cle,0))&amp;"",""))</f>
        <v/>
      </c>
      <c r="O537" s="33">
        <f>IF(J537="","",IFERROR(INDEX(Cl_tel,MATCH(J537,Cl_cle,0))&amp;"",""))</f>
        <v/>
      </c>
      <c r="P537" s="34">
        <f>IF(J537="","",IFERROR(INDEX(Cl_potentiel,MATCH(J537,Cl_cle,0)),""))</f>
        <v/>
      </c>
      <c r="Q537" s="34">
        <f>IF(J537="","",IF(D537&lt;&gt;"",IF(COUNTIFS(VC_cle,J537,VC_type,"Visite sur place",VC_date,D537)&gt;0,"Visité",IF(D537&lt;TODAY(),"Non fait","À venir")),IF(B537="","",IF(COUNTIFS(VC_cle,J537,VC_type,"Visite sur place",VC_date,"&gt;="&amp;M537,VC_date,"&lt;"&amp;DATE(YEAR(M537),MONTH(M537)+1,1))&gt;0,"Visité","À visiter"))))</f>
        <v/>
      </c>
    </row>
    <row r="538" ht="18" customHeight="1">
      <c r="A538" s="39" t="n">
        <v>533</v>
      </c>
      <c r="B538" s="49" t="n"/>
      <c r="C538" s="43" t="n"/>
      <c r="D538" s="32" t="n"/>
      <c r="E538" s="36" t="n"/>
      <c r="F538" s="36" t="n"/>
      <c r="G538" s="36" t="n"/>
      <c r="H538" s="33">
        <f>IF(E538="","",Commercial_Id)</f>
        <v/>
      </c>
      <c r="I538" s="39">
        <f>IF(E538="","",IFERROR(VALUE(MID(E538,LEN(E538)-3,3)),""))</f>
        <v/>
      </c>
      <c r="J538" s="33">
        <f>IF(I538="","",H538&amp;"|"&amp;I538)</f>
        <v/>
      </c>
      <c r="K538" s="33">
        <f>IF(I538="","",IF(H538="À RENSEIGNER","GIC",H538)&amp;"-"&amp;TEXT(I538,"000"))</f>
        <v/>
      </c>
      <c r="L538" s="33">
        <f>IF(J538="","",IFERROR(INDEX(Cl_nom,MATCH(J538,Cl_cle,0)),"(client introuvable)"))</f>
        <v/>
      </c>
      <c r="M538" s="46">
        <f>IF(B538="","",DATE(YEAR(B538),MONTH(B538),1))</f>
        <v/>
      </c>
      <c r="N538" s="33">
        <f>IF(J538="","",IFERROR(INDEX(Cl_quartier,MATCH(J538,Cl_cle,0))&amp;"",""))</f>
        <v/>
      </c>
      <c r="O538" s="33">
        <f>IF(J538="","",IFERROR(INDEX(Cl_tel,MATCH(J538,Cl_cle,0))&amp;"",""))</f>
        <v/>
      </c>
      <c r="P538" s="34">
        <f>IF(J538="","",IFERROR(INDEX(Cl_potentiel,MATCH(J538,Cl_cle,0)),""))</f>
        <v/>
      </c>
      <c r="Q538" s="34">
        <f>IF(J538="","",IF(D538&lt;&gt;"",IF(COUNTIFS(VC_cle,J538,VC_type,"Visite sur place",VC_date,D538)&gt;0,"Visité",IF(D538&lt;TODAY(),"Non fait","À venir")),IF(B538="","",IF(COUNTIFS(VC_cle,J538,VC_type,"Visite sur place",VC_date,"&gt;="&amp;M538,VC_date,"&lt;"&amp;DATE(YEAR(M538),MONTH(M538)+1,1))&gt;0,"Visité","À visiter"))))</f>
        <v/>
      </c>
    </row>
    <row r="539" ht="18" customHeight="1">
      <c r="A539" s="39" t="n">
        <v>534</v>
      </c>
      <c r="B539" s="49" t="n"/>
      <c r="C539" s="43" t="n"/>
      <c r="D539" s="32" t="n"/>
      <c r="E539" s="36" t="n"/>
      <c r="F539" s="36" t="n"/>
      <c r="G539" s="36" t="n"/>
      <c r="H539" s="33">
        <f>IF(E539="","",Commercial_Id)</f>
        <v/>
      </c>
      <c r="I539" s="39">
        <f>IF(E539="","",IFERROR(VALUE(MID(E539,LEN(E539)-3,3)),""))</f>
        <v/>
      </c>
      <c r="J539" s="33">
        <f>IF(I539="","",H539&amp;"|"&amp;I539)</f>
        <v/>
      </c>
      <c r="K539" s="33">
        <f>IF(I539="","",IF(H539="À RENSEIGNER","GIC",H539)&amp;"-"&amp;TEXT(I539,"000"))</f>
        <v/>
      </c>
      <c r="L539" s="33">
        <f>IF(J539="","",IFERROR(INDEX(Cl_nom,MATCH(J539,Cl_cle,0)),"(client introuvable)"))</f>
        <v/>
      </c>
      <c r="M539" s="46">
        <f>IF(B539="","",DATE(YEAR(B539),MONTH(B539),1))</f>
        <v/>
      </c>
      <c r="N539" s="33">
        <f>IF(J539="","",IFERROR(INDEX(Cl_quartier,MATCH(J539,Cl_cle,0))&amp;"",""))</f>
        <v/>
      </c>
      <c r="O539" s="33">
        <f>IF(J539="","",IFERROR(INDEX(Cl_tel,MATCH(J539,Cl_cle,0))&amp;"",""))</f>
        <v/>
      </c>
      <c r="P539" s="34">
        <f>IF(J539="","",IFERROR(INDEX(Cl_potentiel,MATCH(J539,Cl_cle,0)),""))</f>
        <v/>
      </c>
      <c r="Q539" s="34">
        <f>IF(J539="","",IF(D539&lt;&gt;"",IF(COUNTIFS(VC_cle,J539,VC_type,"Visite sur place",VC_date,D539)&gt;0,"Visité",IF(D539&lt;TODAY(),"Non fait","À venir")),IF(B539="","",IF(COUNTIFS(VC_cle,J539,VC_type,"Visite sur place",VC_date,"&gt;="&amp;M539,VC_date,"&lt;"&amp;DATE(YEAR(M539),MONTH(M539)+1,1))&gt;0,"Visité","À visiter"))))</f>
        <v/>
      </c>
    </row>
    <row r="540" ht="18" customHeight="1">
      <c r="A540" s="39" t="n">
        <v>535</v>
      </c>
      <c r="B540" s="49" t="n"/>
      <c r="C540" s="43" t="n"/>
      <c r="D540" s="32" t="n"/>
      <c r="E540" s="36" t="n"/>
      <c r="F540" s="36" t="n"/>
      <c r="G540" s="36" t="n"/>
      <c r="H540" s="33">
        <f>IF(E540="","",Commercial_Id)</f>
        <v/>
      </c>
      <c r="I540" s="39">
        <f>IF(E540="","",IFERROR(VALUE(MID(E540,LEN(E540)-3,3)),""))</f>
        <v/>
      </c>
      <c r="J540" s="33">
        <f>IF(I540="","",H540&amp;"|"&amp;I540)</f>
        <v/>
      </c>
      <c r="K540" s="33">
        <f>IF(I540="","",IF(H540="À RENSEIGNER","GIC",H540)&amp;"-"&amp;TEXT(I540,"000"))</f>
        <v/>
      </c>
      <c r="L540" s="33">
        <f>IF(J540="","",IFERROR(INDEX(Cl_nom,MATCH(J540,Cl_cle,0)),"(client introuvable)"))</f>
        <v/>
      </c>
      <c r="M540" s="46">
        <f>IF(B540="","",DATE(YEAR(B540),MONTH(B540),1))</f>
        <v/>
      </c>
      <c r="N540" s="33">
        <f>IF(J540="","",IFERROR(INDEX(Cl_quartier,MATCH(J540,Cl_cle,0))&amp;"",""))</f>
        <v/>
      </c>
      <c r="O540" s="33">
        <f>IF(J540="","",IFERROR(INDEX(Cl_tel,MATCH(J540,Cl_cle,0))&amp;"",""))</f>
        <v/>
      </c>
      <c r="P540" s="34">
        <f>IF(J540="","",IFERROR(INDEX(Cl_potentiel,MATCH(J540,Cl_cle,0)),""))</f>
        <v/>
      </c>
      <c r="Q540" s="34">
        <f>IF(J540="","",IF(D540&lt;&gt;"",IF(COUNTIFS(VC_cle,J540,VC_type,"Visite sur place",VC_date,D540)&gt;0,"Visité",IF(D540&lt;TODAY(),"Non fait","À venir")),IF(B540="","",IF(COUNTIFS(VC_cle,J540,VC_type,"Visite sur place",VC_date,"&gt;="&amp;M540,VC_date,"&lt;"&amp;DATE(YEAR(M540),MONTH(M540)+1,1))&gt;0,"Visité","À visiter"))))</f>
        <v/>
      </c>
    </row>
    <row r="541" ht="18" customHeight="1">
      <c r="A541" s="39" t="n">
        <v>536</v>
      </c>
      <c r="B541" s="49" t="n"/>
      <c r="C541" s="43" t="n"/>
      <c r="D541" s="32" t="n"/>
      <c r="E541" s="36" t="n"/>
      <c r="F541" s="36" t="n"/>
      <c r="G541" s="36" t="n"/>
      <c r="H541" s="33">
        <f>IF(E541="","",Commercial_Id)</f>
        <v/>
      </c>
      <c r="I541" s="39">
        <f>IF(E541="","",IFERROR(VALUE(MID(E541,LEN(E541)-3,3)),""))</f>
        <v/>
      </c>
      <c r="J541" s="33">
        <f>IF(I541="","",H541&amp;"|"&amp;I541)</f>
        <v/>
      </c>
      <c r="K541" s="33">
        <f>IF(I541="","",IF(H541="À RENSEIGNER","GIC",H541)&amp;"-"&amp;TEXT(I541,"000"))</f>
        <v/>
      </c>
      <c r="L541" s="33">
        <f>IF(J541="","",IFERROR(INDEX(Cl_nom,MATCH(J541,Cl_cle,0)),"(client introuvable)"))</f>
        <v/>
      </c>
      <c r="M541" s="46">
        <f>IF(B541="","",DATE(YEAR(B541),MONTH(B541),1))</f>
        <v/>
      </c>
      <c r="N541" s="33">
        <f>IF(J541="","",IFERROR(INDEX(Cl_quartier,MATCH(J541,Cl_cle,0))&amp;"",""))</f>
        <v/>
      </c>
      <c r="O541" s="33">
        <f>IF(J541="","",IFERROR(INDEX(Cl_tel,MATCH(J541,Cl_cle,0))&amp;"",""))</f>
        <v/>
      </c>
      <c r="P541" s="34">
        <f>IF(J541="","",IFERROR(INDEX(Cl_potentiel,MATCH(J541,Cl_cle,0)),""))</f>
        <v/>
      </c>
      <c r="Q541" s="34">
        <f>IF(J541="","",IF(D541&lt;&gt;"",IF(COUNTIFS(VC_cle,J541,VC_type,"Visite sur place",VC_date,D541)&gt;0,"Visité",IF(D541&lt;TODAY(),"Non fait","À venir")),IF(B541="","",IF(COUNTIFS(VC_cle,J541,VC_type,"Visite sur place",VC_date,"&gt;="&amp;M541,VC_date,"&lt;"&amp;DATE(YEAR(M541),MONTH(M541)+1,1))&gt;0,"Visité","À visiter"))))</f>
        <v/>
      </c>
    </row>
    <row r="542" ht="18" customHeight="1">
      <c r="A542" s="39" t="n">
        <v>537</v>
      </c>
      <c r="B542" s="49" t="n"/>
      <c r="C542" s="43" t="n"/>
      <c r="D542" s="32" t="n"/>
      <c r="E542" s="36" t="n"/>
      <c r="F542" s="36" t="n"/>
      <c r="G542" s="36" t="n"/>
      <c r="H542" s="33">
        <f>IF(E542="","",Commercial_Id)</f>
        <v/>
      </c>
      <c r="I542" s="39">
        <f>IF(E542="","",IFERROR(VALUE(MID(E542,LEN(E542)-3,3)),""))</f>
        <v/>
      </c>
      <c r="J542" s="33">
        <f>IF(I542="","",H542&amp;"|"&amp;I542)</f>
        <v/>
      </c>
      <c r="K542" s="33">
        <f>IF(I542="","",IF(H542="À RENSEIGNER","GIC",H542)&amp;"-"&amp;TEXT(I542,"000"))</f>
        <v/>
      </c>
      <c r="L542" s="33">
        <f>IF(J542="","",IFERROR(INDEX(Cl_nom,MATCH(J542,Cl_cle,0)),"(client introuvable)"))</f>
        <v/>
      </c>
      <c r="M542" s="46">
        <f>IF(B542="","",DATE(YEAR(B542),MONTH(B542),1))</f>
        <v/>
      </c>
      <c r="N542" s="33">
        <f>IF(J542="","",IFERROR(INDEX(Cl_quartier,MATCH(J542,Cl_cle,0))&amp;"",""))</f>
        <v/>
      </c>
      <c r="O542" s="33">
        <f>IF(J542="","",IFERROR(INDEX(Cl_tel,MATCH(J542,Cl_cle,0))&amp;"",""))</f>
        <v/>
      </c>
      <c r="P542" s="34">
        <f>IF(J542="","",IFERROR(INDEX(Cl_potentiel,MATCH(J542,Cl_cle,0)),""))</f>
        <v/>
      </c>
      <c r="Q542" s="34">
        <f>IF(J542="","",IF(D542&lt;&gt;"",IF(COUNTIFS(VC_cle,J542,VC_type,"Visite sur place",VC_date,D542)&gt;0,"Visité",IF(D542&lt;TODAY(),"Non fait","À venir")),IF(B542="","",IF(COUNTIFS(VC_cle,J542,VC_type,"Visite sur place",VC_date,"&gt;="&amp;M542,VC_date,"&lt;"&amp;DATE(YEAR(M542),MONTH(M542)+1,1))&gt;0,"Visité","À visiter"))))</f>
        <v/>
      </c>
    </row>
    <row r="543" ht="18" customHeight="1">
      <c r="A543" s="39" t="n">
        <v>538</v>
      </c>
      <c r="B543" s="49" t="n"/>
      <c r="C543" s="43" t="n"/>
      <c r="D543" s="32" t="n"/>
      <c r="E543" s="36" t="n"/>
      <c r="F543" s="36" t="n"/>
      <c r="G543" s="36" t="n"/>
      <c r="H543" s="33">
        <f>IF(E543="","",Commercial_Id)</f>
        <v/>
      </c>
      <c r="I543" s="39">
        <f>IF(E543="","",IFERROR(VALUE(MID(E543,LEN(E543)-3,3)),""))</f>
        <v/>
      </c>
      <c r="J543" s="33">
        <f>IF(I543="","",H543&amp;"|"&amp;I543)</f>
        <v/>
      </c>
      <c r="K543" s="33">
        <f>IF(I543="","",IF(H543="À RENSEIGNER","GIC",H543)&amp;"-"&amp;TEXT(I543,"000"))</f>
        <v/>
      </c>
      <c r="L543" s="33">
        <f>IF(J543="","",IFERROR(INDEX(Cl_nom,MATCH(J543,Cl_cle,0)),"(client introuvable)"))</f>
        <v/>
      </c>
      <c r="M543" s="46">
        <f>IF(B543="","",DATE(YEAR(B543),MONTH(B543),1))</f>
        <v/>
      </c>
      <c r="N543" s="33">
        <f>IF(J543="","",IFERROR(INDEX(Cl_quartier,MATCH(J543,Cl_cle,0))&amp;"",""))</f>
        <v/>
      </c>
      <c r="O543" s="33">
        <f>IF(J543="","",IFERROR(INDEX(Cl_tel,MATCH(J543,Cl_cle,0))&amp;"",""))</f>
        <v/>
      </c>
      <c r="P543" s="34">
        <f>IF(J543="","",IFERROR(INDEX(Cl_potentiel,MATCH(J543,Cl_cle,0)),""))</f>
        <v/>
      </c>
      <c r="Q543" s="34">
        <f>IF(J543="","",IF(D543&lt;&gt;"",IF(COUNTIFS(VC_cle,J543,VC_type,"Visite sur place",VC_date,D543)&gt;0,"Visité",IF(D543&lt;TODAY(),"Non fait","À venir")),IF(B543="","",IF(COUNTIFS(VC_cle,J543,VC_type,"Visite sur place",VC_date,"&gt;="&amp;M543,VC_date,"&lt;"&amp;DATE(YEAR(M543),MONTH(M543)+1,1))&gt;0,"Visité","À visiter"))))</f>
        <v/>
      </c>
    </row>
    <row r="544" ht="18" customHeight="1">
      <c r="A544" s="39" t="n">
        <v>539</v>
      </c>
      <c r="B544" s="49" t="n"/>
      <c r="C544" s="43" t="n"/>
      <c r="D544" s="32" t="n"/>
      <c r="E544" s="36" t="n"/>
      <c r="F544" s="36" t="n"/>
      <c r="G544" s="36" t="n"/>
      <c r="H544" s="33">
        <f>IF(E544="","",Commercial_Id)</f>
        <v/>
      </c>
      <c r="I544" s="39">
        <f>IF(E544="","",IFERROR(VALUE(MID(E544,LEN(E544)-3,3)),""))</f>
        <v/>
      </c>
      <c r="J544" s="33">
        <f>IF(I544="","",H544&amp;"|"&amp;I544)</f>
        <v/>
      </c>
      <c r="K544" s="33">
        <f>IF(I544="","",IF(H544="À RENSEIGNER","GIC",H544)&amp;"-"&amp;TEXT(I544,"000"))</f>
        <v/>
      </c>
      <c r="L544" s="33">
        <f>IF(J544="","",IFERROR(INDEX(Cl_nom,MATCH(J544,Cl_cle,0)),"(client introuvable)"))</f>
        <v/>
      </c>
      <c r="M544" s="46">
        <f>IF(B544="","",DATE(YEAR(B544),MONTH(B544),1))</f>
        <v/>
      </c>
      <c r="N544" s="33">
        <f>IF(J544="","",IFERROR(INDEX(Cl_quartier,MATCH(J544,Cl_cle,0))&amp;"",""))</f>
        <v/>
      </c>
      <c r="O544" s="33">
        <f>IF(J544="","",IFERROR(INDEX(Cl_tel,MATCH(J544,Cl_cle,0))&amp;"",""))</f>
        <v/>
      </c>
      <c r="P544" s="34">
        <f>IF(J544="","",IFERROR(INDEX(Cl_potentiel,MATCH(J544,Cl_cle,0)),""))</f>
        <v/>
      </c>
      <c r="Q544" s="34">
        <f>IF(J544="","",IF(D544&lt;&gt;"",IF(COUNTIFS(VC_cle,J544,VC_type,"Visite sur place",VC_date,D544)&gt;0,"Visité",IF(D544&lt;TODAY(),"Non fait","À venir")),IF(B544="","",IF(COUNTIFS(VC_cle,J544,VC_type,"Visite sur place",VC_date,"&gt;="&amp;M544,VC_date,"&lt;"&amp;DATE(YEAR(M544),MONTH(M544)+1,1))&gt;0,"Visité","À visiter"))))</f>
        <v/>
      </c>
    </row>
    <row r="545" ht="18" customHeight="1">
      <c r="A545" s="39" t="n">
        <v>540</v>
      </c>
      <c r="B545" s="49" t="n"/>
      <c r="C545" s="43" t="n"/>
      <c r="D545" s="32" t="n"/>
      <c r="E545" s="36" t="n"/>
      <c r="F545" s="36" t="n"/>
      <c r="G545" s="36" t="n"/>
      <c r="H545" s="33">
        <f>IF(E545="","",Commercial_Id)</f>
        <v/>
      </c>
      <c r="I545" s="39">
        <f>IF(E545="","",IFERROR(VALUE(MID(E545,LEN(E545)-3,3)),""))</f>
        <v/>
      </c>
      <c r="J545" s="33">
        <f>IF(I545="","",H545&amp;"|"&amp;I545)</f>
        <v/>
      </c>
      <c r="K545" s="33">
        <f>IF(I545="","",IF(H545="À RENSEIGNER","GIC",H545)&amp;"-"&amp;TEXT(I545,"000"))</f>
        <v/>
      </c>
      <c r="L545" s="33">
        <f>IF(J545="","",IFERROR(INDEX(Cl_nom,MATCH(J545,Cl_cle,0)),"(client introuvable)"))</f>
        <v/>
      </c>
      <c r="M545" s="46">
        <f>IF(B545="","",DATE(YEAR(B545),MONTH(B545),1))</f>
        <v/>
      </c>
      <c r="N545" s="33">
        <f>IF(J545="","",IFERROR(INDEX(Cl_quartier,MATCH(J545,Cl_cle,0))&amp;"",""))</f>
        <v/>
      </c>
      <c r="O545" s="33">
        <f>IF(J545="","",IFERROR(INDEX(Cl_tel,MATCH(J545,Cl_cle,0))&amp;"",""))</f>
        <v/>
      </c>
      <c r="P545" s="34">
        <f>IF(J545="","",IFERROR(INDEX(Cl_potentiel,MATCH(J545,Cl_cle,0)),""))</f>
        <v/>
      </c>
      <c r="Q545" s="34">
        <f>IF(J545="","",IF(D545&lt;&gt;"",IF(COUNTIFS(VC_cle,J545,VC_type,"Visite sur place",VC_date,D545)&gt;0,"Visité",IF(D545&lt;TODAY(),"Non fait","À venir")),IF(B545="","",IF(COUNTIFS(VC_cle,J545,VC_type,"Visite sur place",VC_date,"&gt;="&amp;M545,VC_date,"&lt;"&amp;DATE(YEAR(M545),MONTH(M545)+1,1))&gt;0,"Visité","À visiter"))))</f>
        <v/>
      </c>
    </row>
    <row r="546" ht="18" customHeight="1">
      <c r="A546" s="39" t="n">
        <v>541</v>
      </c>
      <c r="B546" s="49" t="n"/>
      <c r="C546" s="43" t="n"/>
      <c r="D546" s="32" t="n"/>
      <c r="E546" s="36" t="n"/>
      <c r="F546" s="36" t="n"/>
      <c r="G546" s="36" t="n"/>
      <c r="H546" s="33">
        <f>IF(E546="","",Commercial_Id)</f>
        <v/>
      </c>
      <c r="I546" s="39">
        <f>IF(E546="","",IFERROR(VALUE(MID(E546,LEN(E546)-3,3)),""))</f>
        <v/>
      </c>
      <c r="J546" s="33">
        <f>IF(I546="","",H546&amp;"|"&amp;I546)</f>
        <v/>
      </c>
      <c r="K546" s="33">
        <f>IF(I546="","",IF(H546="À RENSEIGNER","GIC",H546)&amp;"-"&amp;TEXT(I546,"000"))</f>
        <v/>
      </c>
      <c r="L546" s="33">
        <f>IF(J546="","",IFERROR(INDEX(Cl_nom,MATCH(J546,Cl_cle,0)),"(client introuvable)"))</f>
        <v/>
      </c>
      <c r="M546" s="46">
        <f>IF(B546="","",DATE(YEAR(B546),MONTH(B546),1))</f>
        <v/>
      </c>
      <c r="N546" s="33">
        <f>IF(J546="","",IFERROR(INDEX(Cl_quartier,MATCH(J546,Cl_cle,0))&amp;"",""))</f>
        <v/>
      </c>
      <c r="O546" s="33">
        <f>IF(J546="","",IFERROR(INDEX(Cl_tel,MATCH(J546,Cl_cle,0))&amp;"",""))</f>
        <v/>
      </c>
      <c r="P546" s="34">
        <f>IF(J546="","",IFERROR(INDEX(Cl_potentiel,MATCH(J546,Cl_cle,0)),""))</f>
        <v/>
      </c>
      <c r="Q546" s="34">
        <f>IF(J546="","",IF(D546&lt;&gt;"",IF(COUNTIFS(VC_cle,J546,VC_type,"Visite sur place",VC_date,D546)&gt;0,"Visité",IF(D546&lt;TODAY(),"Non fait","À venir")),IF(B546="","",IF(COUNTIFS(VC_cle,J546,VC_type,"Visite sur place",VC_date,"&gt;="&amp;M546,VC_date,"&lt;"&amp;DATE(YEAR(M546),MONTH(M546)+1,1))&gt;0,"Visité","À visiter"))))</f>
        <v/>
      </c>
    </row>
    <row r="547" ht="18" customHeight="1">
      <c r="A547" s="39" t="n">
        <v>542</v>
      </c>
      <c r="B547" s="49" t="n"/>
      <c r="C547" s="43" t="n"/>
      <c r="D547" s="32" t="n"/>
      <c r="E547" s="36" t="n"/>
      <c r="F547" s="36" t="n"/>
      <c r="G547" s="36" t="n"/>
      <c r="H547" s="33">
        <f>IF(E547="","",Commercial_Id)</f>
        <v/>
      </c>
      <c r="I547" s="39">
        <f>IF(E547="","",IFERROR(VALUE(MID(E547,LEN(E547)-3,3)),""))</f>
        <v/>
      </c>
      <c r="J547" s="33">
        <f>IF(I547="","",H547&amp;"|"&amp;I547)</f>
        <v/>
      </c>
      <c r="K547" s="33">
        <f>IF(I547="","",IF(H547="À RENSEIGNER","GIC",H547)&amp;"-"&amp;TEXT(I547,"000"))</f>
        <v/>
      </c>
      <c r="L547" s="33">
        <f>IF(J547="","",IFERROR(INDEX(Cl_nom,MATCH(J547,Cl_cle,0)),"(client introuvable)"))</f>
        <v/>
      </c>
      <c r="M547" s="46">
        <f>IF(B547="","",DATE(YEAR(B547),MONTH(B547),1))</f>
        <v/>
      </c>
      <c r="N547" s="33">
        <f>IF(J547="","",IFERROR(INDEX(Cl_quartier,MATCH(J547,Cl_cle,0))&amp;"",""))</f>
        <v/>
      </c>
      <c r="O547" s="33">
        <f>IF(J547="","",IFERROR(INDEX(Cl_tel,MATCH(J547,Cl_cle,0))&amp;"",""))</f>
        <v/>
      </c>
      <c r="P547" s="34">
        <f>IF(J547="","",IFERROR(INDEX(Cl_potentiel,MATCH(J547,Cl_cle,0)),""))</f>
        <v/>
      </c>
      <c r="Q547" s="34">
        <f>IF(J547="","",IF(D547&lt;&gt;"",IF(COUNTIFS(VC_cle,J547,VC_type,"Visite sur place",VC_date,D547)&gt;0,"Visité",IF(D547&lt;TODAY(),"Non fait","À venir")),IF(B547="","",IF(COUNTIFS(VC_cle,J547,VC_type,"Visite sur place",VC_date,"&gt;="&amp;M547,VC_date,"&lt;"&amp;DATE(YEAR(M547),MONTH(M547)+1,1))&gt;0,"Visité","À visiter"))))</f>
        <v/>
      </c>
    </row>
    <row r="548" ht="18" customHeight="1">
      <c r="A548" s="39" t="n">
        <v>543</v>
      </c>
      <c r="B548" s="49" t="n"/>
      <c r="C548" s="43" t="n"/>
      <c r="D548" s="32" t="n"/>
      <c r="E548" s="36" t="n"/>
      <c r="F548" s="36" t="n"/>
      <c r="G548" s="36" t="n"/>
      <c r="H548" s="33">
        <f>IF(E548="","",Commercial_Id)</f>
        <v/>
      </c>
      <c r="I548" s="39">
        <f>IF(E548="","",IFERROR(VALUE(MID(E548,LEN(E548)-3,3)),""))</f>
        <v/>
      </c>
      <c r="J548" s="33">
        <f>IF(I548="","",H548&amp;"|"&amp;I548)</f>
        <v/>
      </c>
      <c r="K548" s="33">
        <f>IF(I548="","",IF(H548="À RENSEIGNER","GIC",H548)&amp;"-"&amp;TEXT(I548,"000"))</f>
        <v/>
      </c>
      <c r="L548" s="33">
        <f>IF(J548="","",IFERROR(INDEX(Cl_nom,MATCH(J548,Cl_cle,0)),"(client introuvable)"))</f>
        <v/>
      </c>
      <c r="M548" s="46">
        <f>IF(B548="","",DATE(YEAR(B548),MONTH(B548),1))</f>
        <v/>
      </c>
      <c r="N548" s="33">
        <f>IF(J548="","",IFERROR(INDEX(Cl_quartier,MATCH(J548,Cl_cle,0))&amp;"",""))</f>
        <v/>
      </c>
      <c r="O548" s="33">
        <f>IF(J548="","",IFERROR(INDEX(Cl_tel,MATCH(J548,Cl_cle,0))&amp;"",""))</f>
        <v/>
      </c>
      <c r="P548" s="34">
        <f>IF(J548="","",IFERROR(INDEX(Cl_potentiel,MATCH(J548,Cl_cle,0)),""))</f>
        <v/>
      </c>
      <c r="Q548" s="34">
        <f>IF(J548="","",IF(D548&lt;&gt;"",IF(COUNTIFS(VC_cle,J548,VC_type,"Visite sur place",VC_date,D548)&gt;0,"Visité",IF(D548&lt;TODAY(),"Non fait","À venir")),IF(B548="","",IF(COUNTIFS(VC_cle,J548,VC_type,"Visite sur place",VC_date,"&gt;="&amp;M548,VC_date,"&lt;"&amp;DATE(YEAR(M548),MONTH(M548)+1,1))&gt;0,"Visité","À visiter"))))</f>
        <v/>
      </c>
    </row>
    <row r="549" ht="18" customHeight="1">
      <c r="A549" s="39" t="n">
        <v>544</v>
      </c>
      <c r="B549" s="49" t="n"/>
      <c r="C549" s="43" t="n"/>
      <c r="D549" s="32" t="n"/>
      <c r="E549" s="36" t="n"/>
      <c r="F549" s="36" t="n"/>
      <c r="G549" s="36" t="n"/>
      <c r="H549" s="33">
        <f>IF(E549="","",Commercial_Id)</f>
        <v/>
      </c>
      <c r="I549" s="39">
        <f>IF(E549="","",IFERROR(VALUE(MID(E549,LEN(E549)-3,3)),""))</f>
        <v/>
      </c>
      <c r="J549" s="33">
        <f>IF(I549="","",H549&amp;"|"&amp;I549)</f>
        <v/>
      </c>
      <c r="K549" s="33">
        <f>IF(I549="","",IF(H549="À RENSEIGNER","GIC",H549)&amp;"-"&amp;TEXT(I549,"000"))</f>
        <v/>
      </c>
      <c r="L549" s="33">
        <f>IF(J549="","",IFERROR(INDEX(Cl_nom,MATCH(J549,Cl_cle,0)),"(client introuvable)"))</f>
        <v/>
      </c>
      <c r="M549" s="46">
        <f>IF(B549="","",DATE(YEAR(B549),MONTH(B549),1))</f>
        <v/>
      </c>
      <c r="N549" s="33">
        <f>IF(J549="","",IFERROR(INDEX(Cl_quartier,MATCH(J549,Cl_cle,0))&amp;"",""))</f>
        <v/>
      </c>
      <c r="O549" s="33">
        <f>IF(J549="","",IFERROR(INDEX(Cl_tel,MATCH(J549,Cl_cle,0))&amp;"",""))</f>
        <v/>
      </c>
      <c r="P549" s="34">
        <f>IF(J549="","",IFERROR(INDEX(Cl_potentiel,MATCH(J549,Cl_cle,0)),""))</f>
        <v/>
      </c>
      <c r="Q549" s="34">
        <f>IF(J549="","",IF(D549&lt;&gt;"",IF(COUNTIFS(VC_cle,J549,VC_type,"Visite sur place",VC_date,D549)&gt;0,"Visité",IF(D549&lt;TODAY(),"Non fait","À venir")),IF(B549="","",IF(COUNTIFS(VC_cle,J549,VC_type,"Visite sur place",VC_date,"&gt;="&amp;M549,VC_date,"&lt;"&amp;DATE(YEAR(M549),MONTH(M549)+1,1))&gt;0,"Visité","À visiter"))))</f>
        <v/>
      </c>
    </row>
    <row r="550" ht="18" customHeight="1">
      <c r="A550" s="39" t="n">
        <v>545</v>
      </c>
      <c r="B550" s="49" t="n"/>
      <c r="C550" s="43" t="n"/>
      <c r="D550" s="32" t="n"/>
      <c r="E550" s="36" t="n"/>
      <c r="F550" s="36" t="n"/>
      <c r="G550" s="36" t="n"/>
      <c r="H550" s="33">
        <f>IF(E550="","",Commercial_Id)</f>
        <v/>
      </c>
      <c r="I550" s="39">
        <f>IF(E550="","",IFERROR(VALUE(MID(E550,LEN(E550)-3,3)),""))</f>
        <v/>
      </c>
      <c r="J550" s="33">
        <f>IF(I550="","",H550&amp;"|"&amp;I550)</f>
        <v/>
      </c>
      <c r="K550" s="33">
        <f>IF(I550="","",IF(H550="À RENSEIGNER","GIC",H550)&amp;"-"&amp;TEXT(I550,"000"))</f>
        <v/>
      </c>
      <c r="L550" s="33">
        <f>IF(J550="","",IFERROR(INDEX(Cl_nom,MATCH(J550,Cl_cle,0)),"(client introuvable)"))</f>
        <v/>
      </c>
      <c r="M550" s="46">
        <f>IF(B550="","",DATE(YEAR(B550),MONTH(B550),1))</f>
        <v/>
      </c>
      <c r="N550" s="33">
        <f>IF(J550="","",IFERROR(INDEX(Cl_quartier,MATCH(J550,Cl_cle,0))&amp;"",""))</f>
        <v/>
      </c>
      <c r="O550" s="33">
        <f>IF(J550="","",IFERROR(INDEX(Cl_tel,MATCH(J550,Cl_cle,0))&amp;"",""))</f>
        <v/>
      </c>
      <c r="P550" s="34">
        <f>IF(J550="","",IFERROR(INDEX(Cl_potentiel,MATCH(J550,Cl_cle,0)),""))</f>
        <v/>
      </c>
      <c r="Q550" s="34">
        <f>IF(J550="","",IF(D550&lt;&gt;"",IF(COUNTIFS(VC_cle,J550,VC_type,"Visite sur place",VC_date,D550)&gt;0,"Visité",IF(D550&lt;TODAY(),"Non fait","À venir")),IF(B550="","",IF(COUNTIFS(VC_cle,J550,VC_type,"Visite sur place",VC_date,"&gt;="&amp;M550,VC_date,"&lt;"&amp;DATE(YEAR(M550),MONTH(M550)+1,1))&gt;0,"Visité","À visiter"))))</f>
        <v/>
      </c>
    </row>
    <row r="551" ht="18" customHeight="1">
      <c r="A551" s="39" t="n">
        <v>546</v>
      </c>
      <c r="B551" s="49" t="n"/>
      <c r="C551" s="43" t="n"/>
      <c r="D551" s="32" t="n"/>
      <c r="E551" s="36" t="n"/>
      <c r="F551" s="36" t="n"/>
      <c r="G551" s="36" t="n"/>
      <c r="H551" s="33">
        <f>IF(E551="","",Commercial_Id)</f>
        <v/>
      </c>
      <c r="I551" s="39">
        <f>IF(E551="","",IFERROR(VALUE(MID(E551,LEN(E551)-3,3)),""))</f>
        <v/>
      </c>
      <c r="J551" s="33">
        <f>IF(I551="","",H551&amp;"|"&amp;I551)</f>
        <v/>
      </c>
      <c r="K551" s="33">
        <f>IF(I551="","",IF(H551="À RENSEIGNER","GIC",H551)&amp;"-"&amp;TEXT(I551,"000"))</f>
        <v/>
      </c>
      <c r="L551" s="33">
        <f>IF(J551="","",IFERROR(INDEX(Cl_nom,MATCH(J551,Cl_cle,0)),"(client introuvable)"))</f>
        <v/>
      </c>
      <c r="M551" s="46">
        <f>IF(B551="","",DATE(YEAR(B551),MONTH(B551),1))</f>
        <v/>
      </c>
      <c r="N551" s="33">
        <f>IF(J551="","",IFERROR(INDEX(Cl_quartier,MATCH(J551,Cl_cle,0))&amp;"",""))</f>
        <v/>
      </c>
      <c r="O551" s="33">
        <f>IF(J551="","",IFERROR(INDEX(Cl_tel,MATCH(J551,Cl_cle,0))&amp;"",""))</f>
        <v/>
      </c>
      <c r="P551" s="34">
        <f>IF(J551="","",IFERROR(INDEX(Cl_potentiel,MATCH(J551,Cl_cle,0)),""))</f>
        <v/>
      </c>
      <c r="Q551" s="34">
        <f>IF(J551="","",IF(D551&lt;&gt;"",IF(COUNTIFS(VC_cle,J551,VC_type,"Visite sur place",VC_date,D551)&gt;0,"Visité",IF(D551&lt;TODAY(),"Non fait","À venir")),IF(B551="","",IF(COUNTIFS(VC_cle,J551,VC_type,"Visite sur place",VC_date,"&gt;="&amp;M551,VC_date,"&lt;"&amp;DATE(YEAR(M551),MONTH(M551)+1,1))&gt;0,"Visité","À visiter"))))</f>
        <v/>
      </c>
    </row>
    <row r="552" ht="18" customHeight="1">
      <c r="A552" s="39" t="n">
        <v>547</v>
      </c>
      <c r="B552" s="49" t="n"/>
      <c r="C552" s="43" t="n"/>
      <c r="D552" s="32" t="n"/>
      <c r="E552" s="36" t="n"/>
      <c r="F552" s="36" t="n"/>
      <c r="G552" s="36" t="n"/>
      <c r="H552" s="33">
        <f>IF(E552="","",Commercial_Id)</f>
        <v/>
      </c>
      <c r="I552" s="39">
        <f>IF(E552="","",IFERROR(VALUE(MID(E552,LEN(E552)-3,3)),""))</f>
        <v/>
      </c>
      <c r="J552" s="33">
        <f>IF(I552="","",H552&amp;"|"&amp;I552)</f>
        <v/>
      </c>
      <c r="K552" s="33">
        <f>IF(I552="","",IF(H552="À RENSEIGNER","GIC",H552)&amp;"-"&amp;TEXT(I552,"000"))</f>
        <v/>
      </c>
      <c r="L552" s="33">
        <f>IF(J552="","",IFERROR(INDEX(Cl_nom,MATCH(J552,Cl_cle,0)),"(client introuvable)"))</f>
        <v/>
      </c>
      <c r="M552" s="46">
        <f>IF(B552="","",DATE(YEAR(B552),MONTH(B552),1))</f>
        <v/>
      </c>
      <c r="N552" s="33">
        <f>IF(J552="","",IFERROR(INDEX(Cl_quartier,MATCH(J552,Cl_cle,0))&amp;"",""))</f>
        <v/>
      </c>
      <c r="O552" s="33">
        <f>IF(J552="","",IFERROR(INDEX(Cl_tel,MATCH(J552,Cl_cle,0))&amp;"",""))</f>
        <v/>
      </c>
      <c r="P552" s="34">
        <f>IF(J552="","",IFERROR(INDEX(Cl_potentiel,MATCH(J552,Cl_cle,0)),""))</f>
        <v/>
      </c>
      <c r="Q552" s="34">
        <f>IF(J552="","",IF(D552&lt;&gt;"",IF(COUNTIFS(VC_cle,J552,VC_type,"Visite sur place",VC_date,D552)&gt;0,"Visité",IF(D552&lt;TODAY(),"Non fait","À venir")),IF(B552="","",IF(COUNTIFS(VC_cle,J552,VC_type,"Visite sur place",VC_date,"&gt;="&amp;M552,VC_date,"&lt;"&amp;DATE(YEAR(M552),MONTH(M552)+1,1))&gt;0,"Visité","À visiter"))))</f>
        <v/>
      </c>
    </row>
    <row r="553" ht="18" customHeight="1">
      <c r="A553" s="39" t="n">
        <v>548</v>
      </c>
      <c r="B553" s="49" t="n"/>
      <c r="C553" s="43" t="n"/>
      <c r="D553" s="32" t="n"/>
      <c r="E553" s="36" t="n"/>
      <c r="F553" s="36" t="n"/>
      <c r="G553" s="36" t="n"/>
      <c r="H553" s="33">
        <f>IF(E553="","",Commercial_Id)</f>
        <v/>
      </c>
      <c r="I553" s="39">
        <f>IF(E553="","",IFERROR(VALUE(MID(E553,LEN(E553)-3,3)),""))</f>
        <v/>
      </c>
      <c r="J553" s="33">
        <f>IF(I553="","",H553&amp;"|"&amp;I553)</f>
        <v/>
      </c>
      <c r="K553" s="33">
        <f>IF(I553="","",IF(H553="À RENSEIGNER","GIC",H553)&amp;"-"&amp;TEXT(I553,"000"))</f>
        <v/>
      </c>
      <c r="L553" s="33">
        <f>IF(J553="","",IFERROR(INDEX(Cl_nom,MATCH(J553,Cl_cle,0)),"(client introuvable)"))</f>
        <v/>
      </c>
      <c r="M553" s="46">
        <f>IF(B553="","",DATE(YEAR(B553),MONTH(B553),1))</f>
        <v/>
      </c>
      <c r="N553" s="33">
        <f>IF(J553="","",IFERROR(INDEX(Cl_quartier,MATCH(J553,Cl_cle,0))&amp;"",""))</f>
        <v/>
      </c>
      <c r="O553" s="33">
        <f>IF(J553="","",IFERROR(INDEX(Cl_tel,MATCH(J553,Cl_cle,0))&amp;"",""))</f>
        <v/>
      </c>
      <c r="P553" s="34">
        <f>IF(J553="","",IFERROR(INDEX(Cl_potentiel,MATCH(J553,Cl_cle,0)),""))</f>
        <v/>
      </c>
      <c r="Q553" s="34">
        <f>IF(J553="","",IF(D553&lt;&gt;"",IF(COUNTIFS(VC_cle,J553,VC_type,"Visite sur place",VC_date,D553)&gt;0,"Visité",IF(D553&lt;TODAY(),"Non fait","À venir")),IF(B553="","",IF(COUNTIFS(VC_cle,J553,VC_type,"Visite sur place",VC_date,"&gt;="&amp;M553,VC_date,"&lt;"&amp;DATE(YEAR(M553),MONTH(M553)+1,1))&gt;0,"Visité","À visiter"))))</f>
        <v/>
      </c>
    </row>
    <row r="554" ht="18" customHeight="1">
      <c r="A554" s="39" t="n">
        <v>549</v>
      </c>
      <c r="B554" s="49" t="n"/>
      <c r="C554" s="43" t="n"/>
      <c r="D554" s="32" t="n"/>
      <c r="E554" s="36" t="n"/>
      <c r="F554" s="36" t="n"/>
      <c r="G554" s="36" t="n"/>
      <c r="H554" s="33">
        <f>IF(E554="","",Commercial_Id)</f>
        <v/>
      </c>
      <c r="I554" s="39">
        <f>IF(E554="","",IFERROR(VALUE(MID(E554,LEN(E554)-3,3)),""))</f>
        <v/>
      </c>
      <c r="J554" s="33">
        <f>IF(I554="","",H554&amp;"|"&amp;I554)</f>
        <v/>
      </c>
      <c r="K554" s="33">
        <f>IF(I554="","",IF(H554="À RENSEIGNER","GIC",H554)&amp;"-"&amp;TEXT(I554,"000"))</f>
        <v/>
      </c>
      <c r="L554" s="33">
        <f>IF(J554="","",IFERROR(INDEX(Cl_nom,MATCH(J554,Cl_cle,0)),"(client introuvable)"))</f>
        <v/>
      </c>
      <c r="M554" s="46">
        <f>IF(B554="","",DATE(YEAR(B554),MONTH(B554),1))</f>
        <v/>
      </c>
      <c r="N554" s="33">
        <f>IF(J554="","",IFERROR(INDEX(Cl_quartier,MATCH(J554,Cl_cle,0))&amp;"",""))</f>
        <v/>
      </c>
      <c r="O554" s="33">
        <f>IF(J554="","",IFERROR(INDEX(Cl_tel,MATCH(J554,Cl_cle,0))&amp;"",""))</f>
        <v/>
      </c>
      <c r="P554" s="34">
        <f>IF(J554="","",IFERROR(INDEX(Cl_potentiel,MATCH(J554,Cl_cle,0)),""))</f>
        <v/>
      </c>
      <c r="Q554" s="34">
        <f>IF(J554="","",IF(D554&lt;&gt;"",IF(COUNTIFS(VC_cle,J554,VC_type,"Visite sur place",VC_date,D554)&gt;0,"Visité",IF(D554&lt;TODAY(),"Non fait","À venir")),IF(B554="","",IF(COUNTIFS(VC_cle,J554,VC_type,"Visite sur place",VC_date,"&gt;="&amp;M554,VC_date,"&lt;"&amp;DATE(YEAR(M554),MONTH(M554)+1,1))&gt;0,"Visité","À visiter"))))</f>
        <v/>
      </c>
    </row>
    <row r="555" ht="18" customHeight="1">
      <c r="A555" s="39" t="n">
        <v>550</v>
      </c>
      <c r="B555" s="49" t="n"/>
      <c r="C555" s="43" t="n"/>
      <c r="D555" s="32" t="n"/>
      <c r="E555" s="36" t="n"/>
      <c r="F555" s="36" t="n"/>
      <c r="G555" s="36" t="n"/>
      <c r="H555" s="33">
        <f>IF(E555="","",Commercial_Id)</f>
        <v/>
      </c>
      <c r="I555" s="39">
        <f>IF(E555="","",IFERROR(VALUE(MID(E555,LEN(E555)-3,3)),""))</f>
        <v/>
      </c>
      <c r="J555" s="33">
        <f>IF(I555="","",H555&amp;"|"&amp;I555)</f>
        <v/>
      </c>
      <c r="K555" s="33">
        <f>IF(I555="","",IF(H555="À RENSEIGNER","GIC",H555)&amp;"-"&amp;TEXT(I555,"000"))</f>
        <v/>
      </c>
      <c r="L555" s="33">
        <f>IF(J555="","",IFERROR(INDEX(Cl_nom,MATCH(J555,Cl_cle,0)),"(client introuvable)"))</f>
        <v/>
      </c>
      <c r="M555" s="46">
        <f>IF(B555="","",DATE(YEAR(B555),MONTH(B555),1))</f>
        <v/>
      </c>
      <c r="N555" s="33">
        <f>IF(J555="","",IFERROR(INDEX(Cl_quartier,MATCH(J555,Cl_cle,0))&amp;"",""))</f>
        <v/>
      </c>
      <c r="O555" s="33">
        <f>IF(J555="","",IFERROR(INDEX(Cl_tel,MATCH(J555,Cl_cle,0))&amp;"",""))</f>
        <v/>
      </c>
      <c r="P555" s="34">
        <f>IF(J555="","",IFERROR(INDEX(Cl_potentiel,MATCH(J555,Cl_cle,0)),""))</f>
        <v/>
      </c>
      <c r="Q555" s="34">
        <f>IF(J555="","",IF(D555&lt;&gt;"",IF(COUNTIFS(VC_cle,J555,VC_type,"Visite sur place",VC_date,D555)&gt;0,"Visité",IF(D555&lt;TODAY(),"Non fait","À venir")),IF(B555="","",IF(COUNTIFS(VC_cle,J555,VC_type,"Visite sur place",VC_date,"&gt;="&amp;M555,VC_date,"&lt;"&amp;DATE(YEAR(M555),MONTH(M555)+1,1))&gt;0,"Visité","À visiter"))))</f>
        <v/>
      </c>
    </row>
    <row r="556" ht="18" customHeight="1">
      <c r="A556" s="39" t="n">
        <v>551</v>
      </c>
      <c r="B556" s="49" t="n"/>
      <c r="C556" s="43" t="n"/>
      <c r="D556" s="32" t="n"/>
      <c r="E556" s="36" t="n"/>
      <c r="F556" s="36" t="n"/>
      <c r="G556" s="36" t="n"/>
      <c r="H556" s="33">
        <f>IF(E556="","",Commercial_Id)</f>
        <v/>
      </c>
      <c r="I556" s="39">
        <f>IF(E556="","",IFERROR(VALUE(MID(E556,LEN(E556)-3,3)),""))</f>
        <v/>
      </c>
      <c r="J556" s="33">
        <f>IF(I556="","",H556&amp;"|"&amp;I556)</f>
        <v/>
      </c>
      <c r="K556" s="33">
        <f>IF(I556="","",IF(H556="À RENSEIGNER","GIC",H556)&amp;"-"&amp;TEXT(I556,"000"))</f>
        <v/>
      </c>
      <c r="L556" s="33">
        <f>IF(J556="","",IFERROR(INDEX(Cl_nom,MATCH(J556,Cl_cle,0)),"(client introuvable)"))</f>
        <v/>
      </c>
      <c r="M556" s="46">
        <f>IF(B556="","",DATE(YEAR(B556),MONTH(B556),1))</f>
        <v/>
      </c>
      <c r="N556" s="33">
        <f>IF(J556="","",IFERROR(INDEX(Cl_quartier,MATCH(J556,Cl_cle,0))&amp;"",""))</f>
        <v/>
      </c>
      <c r="O556" s="33">
        <f>IF(J556="","",IFERROR(INDEX(Cl_tel,MATCH(J556,Cl_cle,0))&amp;"",""))</f>
        <v/>
      </c>
      <c r="P556" s="34">
        <f>IF(J556="","",IFERROR(INDEX(Cl_potentiel,MATCH(J556,Cl_cle,0)),""))</f>
        <v/>
      </c>
      <c r="Q556" s="34">
        <f>IF(J556="","",IF(D556&lt;&gt;"",IF(COUNTIFS(VC_cle,J556,VC_type,"Visite sur place",VC_date,D556)&gt;0,"Visité",IF(D556&lt;TODAY(),"Non fait","À venir")),IF(B556="","",IF(COUNTIFS(VC_cle,J556,VC_type,"Visite sur place",VC_date,"&gt;="&amp;M556,VC_date,"&lt;"&amp;DATE(YEAR(M556),MONTH(M556)+1,1))&gt;0,"Visité","À visiter"))))</f>
        <v/>
      </c>
    </row>
    <row r="557" ht="18" customHeight="1">
      <c r="A557" s="39" t="n">
        <v>552</v>
      </c>
      <c r="B557" s="49" t="n"/>
      <c r="C557" s="43" t="n"/>
      <c r="D557" s="32" t="n"/>
      <c r="E557" s="36" t="n"/>
      <c r="F557" s="36" t="n"/>
      <c r="G557" s="36" t="n"/>
      <c r="H557" s="33">
        <f>IF(E557="","",Commercial_Id)</f>
        <v/>
      </c>
      <c r="I557" s="39">
        <f>IF(E557="","",IFERROR(VALUE(MID(E557,LEN(E557)-3,3)),""))</f>
        <v/>
      </c>
      <c r="J557" s="33">
        <f>IF(I557="","",H557&amp;"|"&amp;I557)</f>
        <v/>
      </c>
      <c r="K557" s="33">
        <f>IF(I557="","",IF(H557="À RENSEIGNER","GIC",H557)&amp;"-"&amp;TEXT(I557,"000"))</f>
        <v/>
      </c>
      <c r="L557" s="33">
        <f>IF(J557="","",IFERROR(INDEX(Cl_nom,MATCH(J557,Cl_cle,0)),"(client introuvable)"))</f>
        <v/>
      </c>
      <c r="M557" s="46">
        <f>IF(B557="","",DATE(YEAR(B557),MONTH(B557),1))</f>
        <v/>
      </c>
      <c r="N557" s="33">
        <f>IF(J557="","",IFERROR(INDEX(Cl_quartier,MATCH(J557,Cl_cle,0))&amp;"",""))</f>
        <v/>
      </c>
      <c r="O557" s="33">
        <f>IF(J557="","",IFERROR(INDEX(Cl_tel,MATCH(J557,Cl_cle,0))&amp;"",""))</f>
        <v/>
      </c>
      <c r="P557" s="34">
        <f>IF(J557="","",IFERROR(INDEX(Cl_potentiel,MATCH(J557,Cl_cle,0)),""))</f>
        <v/>
      </c>
      <c r="Q557" s="34">
        <f>IF(J557="","",IF(D557&lt;&gt;"",IF(COUNTIFS(VC_cle,J557,VC_type,"Visite sur place",VC_date,D557)&gt;0,"Visité",IF(D557&lt;TODAY(),"Non fait","À venir")),IF(B557="","",IF(COUNTIFS(VC_cle,J557,VC_type,"Visite sur place",VC_date,"&gt;="&amp;M557,VC_date,"&lt;"&amp;DATE(YEAR(M557),MONTH(M557)+1,1))&gt;0,"Visité","À visiter"))))</f>
        <v/>
      </c>
    </row>
    <row r="558" ht="18" customHeight="1">
      <c r="A558" s="39" t="n">
        <v>553</v>
      </c>
      <c r="B558" s="49" t="n"/>
      <c r="C558" s="43" t="n"/>
      <c r="D558" s="32" t="n"/>
      <c r="E558" s="36" t="n"/>
      <c r="F558" s="36" t="n"/>
      <c r="G558" s="36" t="n"/>
      <c r="H558" s="33">
        <f>IF(E558="","",Commercial_Id)</f>
        <v/>
      </c>
      <c r="I558" s="39">
        <f>IF(E558="","",IFERROR(VALUE(MID(E558,LEN(E558)-3,3)),""))</f>
        <v/>
      </c>
      <c r="J558" s="33">
        <f>IF(I558="","",H558&amp;"|"&amp;I558)</f>
        <v/>
      </c>
      <c r="K558" s="33">
        <f>IF(I558="","",IF(H558="À RENSEIGNER","GIC",H558)&amp;"-"&amp;TEXT(I558,"000"))</f>
        <v/>
      </c>
      <c r="L558" s="33">
        <f>IF(J558="","",IFERROR(INDEX(Cl_nom,MATCH(J558,Cl_cle,0)),"(client introuvable)"))</f>
        <v/>
      </c>
      <c r="M558" s="46">
        <f>IF(B558="","",DATE(YEAR(B558),MONTH(B558),1))</f>
        <v/>
      </c>
      <c r="N558" s="33">
        <f>IF(J558="","",IFERROR(INDEX(Cl_quartier,MATCH(J558,Cl_cle,0))&amp;"",""))</f>
        <v/>
      </c>
      <c r="O558" s="33">
        <f>IF(J558="","",IFERROR(INDEX(Cl_tel,MATCH(J558,Cl_cle,0))&amp;"",""))</f>
        <v/>
      </c>
      <c r="P558" s="34">
        <f>IF(J558="","",IFERROR(INDEX(Cl_potentiel,MATCH(J558,Cl_cle,0)),""))</f>
        <v/>
      </c>
      <c r="Q558" s="34">
        <f>IF(J558="","",IF(D558&lt;&gt;"",IF(COUNTIFS(VC_cle,J558,VC_type,"Visite sur place",VC_date,D558)&gt;0,"Visité",IF(D558&lt;TODAY(),"Non fait","À venir")),IF(B558="","",IF(COUNTIFS(VC_cle,J558,VC_type,"Visite sur place",VC_date,"&gt;="&amp;M558,VC_date,"&lt;"&amp;DATE(YEAR(M558),MONTH(M558)+1,1))&gt;0,"Visité","À visiter"))))</f>
        <v/>
      </c>
    </row>
    <row r="559" ht="18" customHeight="1">
      <c r="A559" s="39" t="n">
        <v>554</v>
      </c>
      <c r="B559" s="49" t="n"/>
      <c r="C559" s="43" t="n"/>
      <c r="D559" s="32" t="n"/>
      <c r="E559" s="36" t="n"/>
      <c r="F559" s="36" t="n"/>
      <c r="G559" s="36" t="n"/>
      <c r="H559" s="33">
        <f>IF(E559="","",Commercial_Id)</f>
        <v/>
      </c>
      <c r="I559" s="39">
        <f>IF(E559="","",IFERROR(VALUE(MID(E559,LEN(E559)-3,3)),""))</f>
        <v/>
      </c>
      <c r="J559" s="33">
        <f>IF(I559="","",H559&amp;"|"&amp;I559)</f>
        <v/>
      </c>
      <c r="K559" s="33">
        <f>IF(I559="","",IF(H559="À RENSEIGNER","GIC",H559)&amp;"-"&amp;TEXT(I559,"000"))</f>
        <v/>
      </c>
      <c r="L559" s="33">
        <f>IF(J559="","",IFERROR(INDEX(Cl_nom,MATCH(J559,Cl_cle,0)),"(client introuvable)"))</f>
        <v/>
      </c>
      <c r="M559" s="46">
        <f>IF(B559="","",DATE(YEAR(B559),MONTH(B559),1))</f>
        <v/>
      </c>
      <c r="N559" s="33">
        <f>IF(J559="","",IFERROR(INDEX(Cl_quartier,MATCH(J559,Cl_cle,0))&amp;"",""))</f>
        <v/>
      </c>
      <c r="O559" s="33">
        <f>IF(J559="","",IFERROR(INDEX(Cl_tel,MATCH(J559,Cl_cle,0))&amp;"",""))</f>
        <v/>
      </c>
      <c r="P559" s="34">
        <f>IF(J559="","",IFERROR(INDEX(Cl_potentiel,MATCH(J559,Cl_cle,0)),""))</f>
        <v/>
      </c>
      <c r="Q559" s="34">
        <f>IF(J559="","",IF(D559&lt;&gt;"",IF(COUNTIFS(VC_cle,J559,VC_type,"Visite sur place",VC_date,D559)&gt;0,"Visité",IF(D559&lt;TODAY(),"Non fait","À venir")),IF(B559="","",IF(COUNTIFS(VC_cle,J559,VC_type,"Visite sur place",VC_date,"&gt;="&amp;M559,VC_date,"&lt;"&amp;DATE(YEAR(M559),MONTH(M559)+1,1))&gt;0,"Visité","À visiter"))))</f>
        <v/>
      </c>
    </row>
    <row r="560" ht="18" customHeight="1">
      <c r="A560" s="39" t="n">
        <v>555</v>
      </c>
      <c r="B560" s="49" t="n"/>
      <c r="C560" s="43" t="n"/>
      <c r="D560" s="32" t="n"/>
      <c r="E560" s="36" t="n"/>
      <c r="F560" s="36" t="n"/>
      <c r="G560" s="36" t="n"/>
      <c r="H560" s="33">
        <f>IF(E560="","",Commercial_Id)</f>
        <v/>
      </c>
      <c r="I560" s="39">
        <f>IF(E560="","",IFERROR(VALUE(MID(E560,LEN(E560)-3,3)),""))</f>
        <v/>
      </c>
      <c r="J560" s="33">
        <f>IF(I560="","",H560&amp;"|"&amp;I560)</f>
        <v/>
      </c>
      <c r="K560" s="33">
        <f>IF(I560="","",IF(H560="À RENSEIGNER","GIC",H560)&amp;"-"&amp;TEXT(I560,"000"))</f>
        <v/>
      </c>
      <c r="L560" s="33">
        <f>IF(J560="","",IFERROR(INDEX(Cl_nom,MATCH(J560,Cl_cle,0)),"(client introuvable)"))</f>
        <v/>
      </c>
      <c r="M560" s="46">
        <f>IF(B560="","",DATE(YEAR(B560),MONTH(B560),1))</f>
        <v/>
      </c>
      <c r="N560" s="33">
        <f>IF(J560="","",IFERROR(INDEX(Cl_quartier,MATCH(J560,Cl_cle,0))&amp;"",""))</f>
        <v/>
      </c>
      <c r="O560" s="33">
        <f>IF(J560="","",IFERROR(INDEX(Cl_tel,MATCH(J560,Cl_cle,0))&amp;"",""))</f>
        <v/>
      </c>
      <c r="P560" s="34">
        <f>IF(J560="","",IFERROR(INDEX(Cl_potentiel,MATCH(J560,Cl_cle,0)),""))</f>
        <v/>
      </c>
      <c r="Q560" s="34">
        <f>IF(J560="","",IF(D560&lt;&gt;"",IF(COUNTIFS(VC_cle,J560,VC_type,"Visite sur place",VC_date,D560)&gt;0,"Visité",IF(D560&lt;TODAY(),"Non fait","À venir")),IF(B560="","",IF(COUNTIFS(VC_cle,J560,VC_type,"Visite sur place",VC_date,"&gt;="&amp;M560,VC_date,"&lt;"&amp;DATE(YEAR(M560),MONTH(M560)+1,1))&gt;0,"Visité","À visiter"))))</f>
        <v/>
      </c>
    </row>
    <row r="561" ht="18" customHeight="1">
      <c r="A561" s="39" t="n">
        <v>556</v>
      </c>
      <c r="B561" s="49" t="n"/>
      <c r="C561" s="43" t="n"/>
      <c r="D561" s="32" t="n"/>
      <c r="E561" s="36" t="n"/>
      <c r="F561" s="36" t="n"/>
      <c r="G561" s="36" t="n"/>
      <c r="H561" s="33">
        <f>IF(E561="","",Commercial_Id)</f>
        <v/>
      </c>
      <c r="I561" s="39">
        <f>IF(E561="","",IFERROR(VALUE(MID(E561,LEN(E561)-3,3)),""))</f>
        <v/>
      </c>
      <c r="J561" s="33">
        <f>IF(I561="","",H561&amp;"|"&amp;I561)</f>
        <v/>
      </c>
      <c r="K561" s="33">
        <f>IF(I561="","",IF(H561="À RENSEIGNER","GIC",H561)&amp;"-"&amp;TEXT(I561,"000"))</f>
        <v/>
      </c>
      <c r="L561" s="33">
        <f>IF(J561="","",IFERROR(INDEX(Cl_nom,MATCH(J561,Cl_cle,0)),"(client introuvable)"))</f>
        <v/>
      </c>
      <c r="M561" s="46">
        <f>IF(B561="","",DATE(YEAR(B561),MONTH(B561),1))</f>
        <v/>
      </c>
      <c r="N561" s="33">
        <f>IF(J561="","",IFERROR(INDEX(Cl_quartier,MATCH(J561,Cl_cle,0))&amp;"",""))</f>
        <v/>
      </c>
      <c r="O561" s="33">
        <f>IF(J561="","",IFERROR(INDEX(Cl_tel,MATCH(J561,Cl_cle,0))&amp;"",""))</f>
        <v/>
      </c>
      <c r="P561" s="34">
        <f>IF(J561="","",IFERROR(INDEX(Cl_potentiel,MATCH(J561,Cl_cle,0)),""))</f>
        <v/>
      </c>
      <c r="Q561" s="34">
        <f>IF(J561="","",IF(D561&lt;&gt;"",IF(COUNTIFS(VC_cle,J561,VC_type,"Visite sur place",VC_date,D561)&gt;0,"Visité",IF(D561&lt;TODAY(),"Non fait","À venir")),IF(B561="","",IF(COUNTIFS(VC_cle,J561,VC_type,"Visite sur place",VC_date,"&gt;="&amp;M561,VC_date,"&lt;"&amp;DATE(YEAR(M561),MONTH(M561)+1,1))&gt;0,"Visité","À visiter"))))</f>
        <v/>
      </c>
    </row>
    <row r="562" ht="18" customHeight="1">
      <c r="A562" s="39" t="n">
        <v>557</v>
      </c>
      <c r="B562" s="49" t="n"/>
      <c r="C562" s="43" t="n"/>
      <c r="D562" s="32" t="n"/>
      <c r="E562" s="36" t="n"/>
      <c r="F562" s="36" t="n"/>
      <c r="G562" s="36" t="n"/>
      <c r="H562" s="33">
        <f>IF(E562="","",Commercial_Id)</f>
        <v/>
      </c>
      <c r="I562" s="39">
        <f>IF(E562="","",IFERROR(VALUE(MID(E562,LEN(E562)-3,3)),""))</f>
        <v/>
      </c>
      <c r="J562" s="33">
        <f>IF(I562="","",H562&amp;"|"&amp;I562)</f>
        <v/>
      </c>
      <c r="K562" s="33">
        <f>IF(I562="","",IF(H562="À RENSEIGNER","GIC",H562)&amp;"-"&amp;TEXT(I562,"000"))</f>
        <v/>
      </c>
      <c r="L562" s="33">
        <f>IF(J562="","",IFERROR(INDEX(Cl_nom,MATCH(J562,Cl_cle,0)),"(client introuvable)"))</f>
        <v/>
      </c>
      <c r="M562" s="46">
        <f>IF(B562="","",DATE(YEAR(B562),MONTH(B562),1))</f>
        <v/>
      </c>
      <c r="N562" s="33">
        <f>IF(J562="","",IFERROR(INDEX(Cl_quartier,MATCH(J562,Cl_cle,0))&amp;"",""))</f>
        <v/>
      </c>
      <c r="O562" s="33">
        <f>IF(J562="","",IFERROR(INDEX(Cl_tel,MATCH(J562,Cl_cle,0))&amp;"",""))</f>
        <v/>
      </c>
      <c r="P562" s="34">
        <f>IF(J562="","",IFERROR(INDEX(Cl_potentiel,MATCH(J562,Cl_cle,0)),""))</f>
        <v/>
      </c>
      <c r="Q562" s="34">
        <f>IF(J562="","",IF(D562&lt;&gt;"",IF(COUNTIFS(VC_cle,J562,VC_type,"Visite sur place",VC_date,D562)&gt;0,"Visité",IF(D562&lt;TODAY(),"Non fait","À venir")),IF(B562="","",IF(COUNTIFS(VC_cle,J562,VC_type,"Visite sur place",VC_date,"&gt;="&amp;M562,VC_date,"&lt;"&amp;DATE(YEAR(M562),MONTH(M562)+1,1))&gt;0,"Visité","À visiter"))))</f>
        <v/>
      </c>
    </row>
    <row r="563" ht="18" customHeight="1">
      <c r="A563" s="39" t="n">
        <v>558</v>
      </c>
      <c r="B563" s="49" t="n"/>
      <c r="C563" s="43" t="n"/>
      <c r="D563" s="32" t="n"/>
      <c r="E563" s="36" t="n"/>
      <c r="F563" s="36" t="n"/>
      <c r="G563" s="36" t="n"/>
      <c r="H563" s="33">
        <f>IF(E563="","",Commercial_Id)</f>
        <v/>
      </c>
      <c r="I563" s="39">
        <f>IF(E563="","",IFERROR(VALUE(MID(E563,LEN(E563)-3,3)),""))</f>
        <v/>
      </c>
      <c r="J563" s="33">
        <f>IF(I563="","",H563&amp;"|"&amp;I563)</f>
        <v/>
      </c>
      <c r="K563" s="33">
        <f>IF(I563="","",IF(H563="À RENSEIGNER","GIC",H563)&amp;"-"&amp;TEXT(I563,"000"))</f>
        <v/>
      </c>
      <c r="L563" s="33">
        <f>IF(J563="","",IFERROR(INDEX(Cl_nom,MATCH(J563,Cl_cle,0)),"(client introuvable)"))</f>
        <v/>
      </c>
      <c r="M563" s="46">
        <f>IF(B563="","",DATE(YEAR(B563),MONTH(B563),1))</f>
        <v/>
      </c>
      <c r="N563" s="33">
        <f>IF(J563="","",IFERROR(INDEX(Cl_quartier,MATCH(J563,Cl_cle,0))&amp;"",""))</f>
        <v/>
      </c>
      <c r="O563" s="33">
        <f>IF(J563="","",IFERROR(INDEX(Cl_tel,MATCH(J563,Cl_cle,0))&amp;"",""))</f>
        <v/>
      </c>
      <c r="P563" s="34">
        <f>IF(J563="","",IFERROR(INDEX(Cl_potentiel,MATCH(J563,Cl_cle,0)),""))</f>
        <v/>
      </c>
      <c r="Q563" s="34">
        <f>IF(J563="","",IF(D563&lt;&gt;"",IF(COUNTIFS(VC_cle,J563,VC_type,"Visite sur place",VC_date,D563)&gt;0,"Visité",IF(D563&lt;TODAY(),"Non fait","À venir")),IF(B563="","",IF(COUNTIFS(VC_cle,J563,VC_type,"Visite sur place",VC_date,"&gt;="&amp;M563,VC_date,"&lt;"&amp;DATE(YEAR(M563),MONTH(M563)+1,1))&gt;0,"Visité","À visiter"))))</f>
        <v/>
      </c>
    </row>
    <row r="564" ht="18" customHeight="1">
      <c r="A564" s="39" t="n">
        <v>559</v>
      </c>
      <c r="B564" s="49" t="n"/>
      <c r="C564" s="43" t="n"/>
      <c r="D564" s="32" t="n"/>
      <c r="E564" s="36" t="n"/>
      <c r="F564" s="36" t="n"/>
      <c r="G564" s="36" t="n"/>
      <c r="H564" s="33">
        <f>IF(E564="","",Commercial_Id)</f>
        <v/>
      </c>
      <c r="I564" s="39">
        <f>IF(E564="","",IFERROR(VALUE(MID(E564,LEN(E564)-3,3)),""))</f>
        <v/>
      </c>
      <c r="J564" s="33">
        <f>IF(I564="","",H564&amp;"|"&amp;I564)</f>
        <v/>
      </c>
      <c r="K564" s="33">
        <f>IF(I564="","",IF(H564="À RENSEIGNER","GIC",H564)&amp;"-"&amp;TEXT(I564,"000"))</f>
        <v/>
      </c>
      <c r="L564" s="33">
        <f>IF(J564="","",IFERROR(INDEX(Cl_nom,MATCH(J564,Cl_cle,0)),"(client introuvable)"))</f>
        <v/>
      </c>
      <c r="M564" s="46">
        <f>IF(B564="","",DATE(YEAR(B564),MONTH(B564),1))</f>
        <v/>
      </c>
      <c r="N564" s="33">
        <f>IF(J564="","",IFERROR(INDEX(Cl_quartier,MATCH(J564,Cl_cle,0))&amp;"",""))</f>
        <v/>
      </c>
      <c r="O564" s="33">
        <f>IF(J564="","",IFERROR(INDEX(Cl_tel,MATCH(J564,Cl_cle,0))&amp;"",""))</f>
        <v/>
      </c>
      <c r="P564" s="34">
        <f>IF(J564="","",IFERROR(INDEX(Cl_potentiel,MATCH(J564,Cl_cle,0)),""))</f>
        <v/>
      </c>
      <c r="Q564" s="34">
        <f>IF(J564="","",IF(D564&lt;&gt;"",IF(COUNTIFS(VC_cle,J564,VC_type,"Visite sur place",VC_date,D564)&gt;0,"Visité",IF(D564&lt;TODAY(),"Non fait","À venir")),IF(B564="","",IF(COUNTIFS(VC_cle,J564,VC_type,"Visite sur place",VC_date,"&gt;="&amp;M564,VC_date,"&lt;"&amp;DATE(YEAR(M564),MONTH(M564)+1,1))&gt;0,"Visité","À visiter"))))</f>
        <v/>
      </c>
    </row>
    <row r="565" ht="18" customHeight="1">
      <c r="A565" s="39" t="n">
        <v>560</v>
      </c>
      <c r="B565" s="49" t="n"/>
      <c r="C565" s="43" t="n"/>
      <c r="D565" s="32" t="n"/>
      <c r="E565" s="36" t="n"/>
      <c r="F565" s="36" t="n"/>
      <c r="G565" s="36" t="n"/>
      <c r="H565" s="33">
        <f>IF(E565="","",Commercial_Id)</f>
        <v/>
      </c>
      <c r="I565" s="39">
        <f>IF(E565="","",IFERROR(VALUE(MID(E565,LEN(E565)-3,3)),""))</f>
        <v/>
      </c>
      <c r="J565" s="33">
        <f>IF(I565="","",H565&amp;"|"&amp;I565)</f>
        <v/>
      </c>
      <c r="K565" s="33">
        <f>IF(I565="","",IF(H565="À RENSEIGNER","GIC",H565)&amp;"-"&amp;TEXT(I565,"000"))</f>
        <v/>
      </c>
      <c r="L565" s="33">
        <f>IF(J565="","",IFERROR(INDEX(Cl_nom,MATCH(J565,Cl_cle,0)),"(client introuvable)"))</f>
        <v/>
      </c>
      <c r="M565" s="46">
        <f>IF(B565="","",DATE(YEAR(B565),MONTH(B565),1))</f>
        <v/>
      </c>
      <c r="N565" s="33">
        <f>IF(J565="","",IFERROR(INDEX(Cl_quartier,MATCH(J565,Cl_cle,0))&amp;"",""))</f>
        <v/>
      </c>
      <c r="O565" s="33">
        <f>IF(J565="","",IFERROR(INDEX(Cl_tel,MATCH(J565,Cl_cle,0))&amp;"",""))</f>
        <v/>
      </c>
      <c r="P565" s="34">
        <f>IF(J565="","",IFERROR(INDEX(Cl_potentiel,MATCH(J565,Cl_cle,0)),""))</f>
        <v/>
      </c>
      <c r="Q565" s="34">
        <f>IF(J565="","",IF(D565&lt;&gt;"",IF(COUNTIFS(VC_cle,J565,VC_type,"Visite sur place",VC_date,D565)&gt;0,"Visité",IF(D565&lt;TODAY(),"Non fait","À venir")),IF(B565="","",IF(COUNTIFS(VC_cle,J565,VC_type,"Visite sur place",VC_date,"&gt;="&amp;M565,VC_date,"&lt;"&amp;DATE(YEAR(M565),MONTH(M565)+1,1))&gt;0,"Visité","À visiter"))))</f>
        <v/>
      </c>
    </row>
    <row r="566" ht="18" customHeight="1">
      <c r="A566" s="39" t="n">
        <v>561</v>
      </c>
      <c r="B566" s="49" t="n"/>
      <c r="C566" s="43" t="n"/>
      <c r="D566" s="32" t="n"/>
      <c r="E566" s="36" t="n"/>
      <c r="F566" s="36" t="n"/>
      <c r="G566" s="36" t="n"/>
      <c r="H566" s="33">
        <f>IF(E566="","",Commercial_Id)</f>
        <v/>
      </c>
      <c r="I566" s="39">
        <f>IF(E566="","",IFERROR(VALUE(MID(E566,LEN(E566)-3,3)),""))</f>
        <v/>
      </c>
      <c r="J566" s="33">
        <f>IF(I566="","",H566&amp;"|"&amp;I566)</f>
        <v/>
      </c>
      <c r="K566" s="33">
        <f>IF(I566="","",IF(H566="À RENSEIGNER","GIC",H566)&amp;"-"&amp;TEXT(I566,"000"))</f>
        <v/>
      </c>
      <c r="L566" s="33">
        <f>IF(J566="","",IFERROR(INDEX(Cl_nom,MATCH(J566,Cl_cle,0)),"(client introuvable)"))</f>
        <v/>
      </c>
      <c r="M566" s="46">
        <f>IF(B566="","",DATE(YEAR(B566),MONTH(B566),1))</f>
        <v/>
      </c>
      <c r="N566" s="33">
        <f>IF(J566="","",IFERROR(INDEX(Cl_quartier,MATCH(J566,Cl_cle,0))&amp;"",""))</f>
        <v/>
      </c>
      <c r="O566" s="33">
        <f>IF(J566="","",IFERROR(INDEX(Cl_tel,MATCH(J566,Cl_cle,0))&amp;"",""))</f>
        <v/>
      </c>
      <c r="P566" s="34">
        <f>IF(J566="","",IFERROR(INDEX(Cl_potentiel,MATCH(J566,Cl_cle,0)),""))</f>
        <v/>
      </c>
      <c r="Q566" s="34">
        <f>IF(J566="","",IF(D566&lt;&gt;"",IF(COUNTIFS(VC_cle,J566,VC_type,"Visite sur place",VC_date,D566)&gt;0,"Visité",IF(D566&lt;TODAY(),"Non fait","À venir")),IF(B566="","",IF(COUNTIFS(VC_cle,J566,VC_type,"Visite sur place",VC_date,"&gt;="&amp;M566,VC_date,"&lt;"&amp;DATE(YEAR(M566),MONTH(M566)+1,1))&gt;0,"Visité","À visiter"))))</f>
        <v/>
      </c>
    </row>
    <row r="567" ht="18" customHeight="1">
      <c r="A567" s="39" t="n">
        <v>562</v>
      </c>
      <c r="B567" s="49" t="n"/>
      <c r="C567" s="43" t="n"/>
      <c r="D567" s="32" t="n"/>
      <c r="E567" s="36" t="n"/>
      <c r="F567" s="36" t="n"/>
      <c r="G567" s="36" t="n"/>
      <c r="H567" s="33">
        <f>IF(E567="","",Commercial_Id)</f>
        <v/>
      </c>
      <c r="I567" s="39">
        <f>IF(E567="","",IFERROR(VALUE(MID(E567,LEN(E567)-3,3)),""))</f>
        <v/>
      </c>
      <c r="J567" s="33">
        <f>IF(I567="","",H567&amp;"|"&amp;I567)</f>
        <v/>
      </c>
      <c r="K567" s="33">
        <f>IF(I567="","",IF(H567="À RENSEIGNER","GIC",H567)&amp;"-"&amp;TEXT(I567,"000"))</f>
        <v/>
      </c>
      <c r="L567" s="33">
        <f>IF(J567="","",IFERROR(INDEX(Cl_nom,MATCH(J567,Cl_cle,0)),"(client introuvable)"))</f>
        <v/>
      </c>
      <c r="M567" s="46">
        <f>IF(B567="","",DATE(YEAR(B567),MONTH(B567),1))</f>
        <v/>
      </c>
      <c r="N567" s="33">
        <f>IF(J567="","",IFERROR(INDEX(Cl_quartier,MATCH(J567,Cl_cle,0))&amp;"",""))</f>
        <v/>
      </c>
      <c r="O567" s="33">
        <f>IF(J567="","",IFERROR(INDEX(Cl_tel,MATCH(J567,Cl_cle,0))&amp;"",""))</f>
        <v/>
      </c>
      <c r="P567" s="34">
        <f>IF(J567="","",IFERROR(INDEX(Cl_potentiel,MATCH(J567,Cl_cle,0)),""))</f>
        <v/>
      </c>
      <c r="Q567" s="34">
        <f>IF(J567="","",IF(D567&lt;&gt;"",IF(COUNTIFS(VC_cle,J567,VC_type,"Visite sur place",VC_date,D567)&gt;0,"Visité",IF(D567&lt;TODAY(),"Non fait","À venir")),IF(B567="","",IF(COUNTIFS(VC_cle,J567,VC_type,"Visite sur place",VC_date,"&gt;="&amp;M567,VC_date,"&lt;"&amp;DATE(YEAR(M567),MONTH(M567)+1,1))&gt;0,"Visité","À visiter"))))</f>
        <v/>
      </c>
    </row>
    <row r="568" ht="18" customHeight="1">
      <c r="A568" s="39" t="n">
        <v>563</v>
      </c>
      <c r="B568" s="49" t="n"/>
      <c r="C568" s="43" t="n"/>
      <c r="D568" s="32" t="n"/>
      <c r="E568" s="36" t="n"/>
      <c r="F568" s="36" t="n"/>
      <c r="G568" s="36" t="n"/>
      <c r="H568" s="33">
        <f>IF(E568="","",Commercial_Id)</f>
        <v/>
      </c>
      <c r="I568" s="39">
        <f>IF(E568="","",IFERROR(VALUE(MID(E568,LEN(E568)-3,3)),""))</f>
        <v/>
      </c>
      <c r="J568" s="33">
        <f>IF(I568="","",H568&amp;"|"&amp;I568)</f>
        <v/>
      </c>
      <c r="K568" s="33">
        <f>IF(I568="","",IF(H568="À RENSEIGNER","GIC",H568)&amp;"-"&amp;TEXT(I568,"000"))</f>
        <v/>
      </c>
      <c r="L568" s="33">
        <f>IF(J568="","",IFERROR(INDEX(Cl_nom,MATCH(J568,Cl_cle,0)),"(client introuvable)"))</f>
        <v/>
      </c>
      <c r="M568" s="46">
        <f>IF(B568="","",DATE(YEAR(B568),MONTH(B568),1))</f>
        <v/>
      </c>
      <c r="N568" s="33">
        <f>IF(J568="","",IFERROR(INDEX(Cl_quartier,MATCH(J568,Cl_cle,0))&amp;"",""))</f>
        <v/>
      </c>
      <c r="O568" s="33">
        <f>IF(J568="","",IFERROR(INDEX(Cl_tel,MATCH(J568,Cl_cle,0))&amp;"",""))</f>
        <v/>
      </c>
      <c r="P568" s="34">
        <f>IF(J568="","",IFERROR(INDEX(Cl_potentiel,MATCH(J568,Cl_cle,0)),""))</f>
        <v/>
      </c>
      <c r="Q568" s="34">
        <f>IF(J568="","",IF(D568&lt;&gt;"",IF(COUNTIFS(VC_cle,J568,VC_type,"Visite sur place",VC_date,D568)&gt;0,"Visité",IF(D568&lt;TODAY(),"Non fait","À venir")),IF(B568="","",IF(COUNTIFS(VC_cle,J568,VC_type,"Visite sur place",VC_date,"&gt;="&amp;M568,VC_date,"&lt;"&amp;DATE(YEAR(M568),MONTH(M568)+1,1))&gt;0,"Visité","À visiter"))))</f>
        <v/>
      </c>
    </row>
    <row r="569" ht="18" customHeight="1">
      <c r="A569" s="39" t="n">
        <v>564</v>
      </c>
      <c r="B569" s="49" t="n"/>
      <c r="C569" s="43" t="n"/>
      <c r="D569" s="32" t="n"/>
      <c r="E569" s="36" t="n"/>
      <c r="F569" s="36" t="n"/>
      <c r="G569" s="36" t="n"/>
      <c r="H569" s="33">
        <f>IF(E569="","",Commercial_Id)</f>
        <v/>
      </c>
      <c r="I569" s="39">
        <f>IF(E569="","",IFERROR(VALUE(MID(E569,LEN(E569)-3,3)),""))</f>
        <v/>
      </c>
      <c r="J569" s="33">
        <f>IF(I569="","",H569&amp;"|"&amp;I569)</f>
        <v/>
      </c>
      <c r="K569" s="33">
        <f>IF(I569="","",IF(H569="À RENSEIGNER","GIC",H569)&amp;"-"&amp;TEXT(I569,"000"))</f>
        <v/>
      </c>
      <c r="L569" s="33">
        <f>IF(J569="","",IFERROR(INDEX(Cl_nom,MATCH(J569,Cl_cle,0)),"(client introuvable)"))</f>
        <v/>
      </c>
      <c r="M569" s="46">
        <f>IF(B569="","",DATE(YEAR(B569),MONTH(B569),1))</f>
        <v/>
      </c>
      <c r="N569" s="33">
        <f>IF(J569="","",IFERROR(INDEX(Cl_quartier,MATCH(J569,Cl_cle,0))&amp;"",""))</f>
        <v/>
      </c>
      <c r="O569" s="33">
        <f>IF(J569="","",IFERROR(INDEX(Cl_tel,MATCH(J569,Cl_cle,0))&amp;"",""))</f>
        <v/>
      </c>
      <c r="P569" s="34">
        <f>IF(J569="","",IFERROR(INDEX(Cl_potentiel,MATCH(J569,Cl_cle,0)),""))</f>
        <v/>
      </c>
      <c r="Q569" s="34">
        <f>IF(J569="","",IF(D569&lt;&gt;"",IF(COUNTIFS(VC_cle,J569,VC_type,"Visite sur place",VC_date,D569)&gt;0,"Visité",IF(D569&lt;TODAY(),"Non fait","À venir")),IF(B569="","",IF(COUNTIFS(VC_cle,J569,VC_type,"Visite sur place",VC_date,"&gt;="&amp;M569,VC_date,"&lt;"&amp;DATE(YEAR(M569),MONTH(M569)+1,1))&gt;0,"Visité","À visiter"))))</f>
        <v/>
      </c>
    </row>
    <row r="570" ht="18" customHeight="1">
      <c r="A570" s="39" t="n">
        <v>565</v>
      </c>
      <c r="B570" s="49" t="n"/>
      <c r="C570" s="43" t="n"/>
      <c r="D570" s="32" t="n"/>
      <c r="E570" s="36" t="n"/>
      <c r="F570" s="36" t="n"/>
      <c r="G570" s="36" t="n"/>
      <c r="H570" s="33">
        <f>IF(E570="","",Commercial_Id)</f>
        <v/>
      </c>
      <c r="I570" s="39">
        <f>IF(E570="","",IFERROR(VALUE(MID(E570,LEN(E570)-3,3)),""))</f>
        <v/>
      </c>
      <c r="J570" s="33">
        <f>IF(I570="","",H570&amp;"|"&amp;I570)</f>
        <v/>
      </c>
      <c r="K570" s="33">
        <f>IF(I570="","",IF(H570="À RENSEIGNER","GIC",H570)&amp;"-"&amp;TEXT(I570,"000"))</f>
        <v/>
      </c>
      <c r="L570" s="33">
        <f>IF(J570="","",IFERROR(INDEX(Cl_nom,MATCH(J570,Cl_cle,0)),"(client introuvable)"))</f>
        <v/>
      </c>
      <c r="M570" s="46">
        <f>IF(B570="","",DATE(YEAR(B570),MONTH(B570),1))</f>
        <v/>
      </c>
      <c r="N570" s="33">
        <f>IF(J570="","",IFERROR(INDEX(Cl_quartier,MATCH(J570,Cl_cle,0))&amp;"",""))</f>
        <v/>
      </c>
      <c r="O570" s="33">
        <f>IF(J570="","",IFERROR(INDEX(Cl_tel,MATCH(J570,Cl_cle,0))&amp;"",""))</f>
        <v/>
      </c>
      <c r="P570" s="34">
        <f>IF(J570="","",IFERROR(INDEX(Cl_potentiel,MATCH(J570,Cl_cle,0)),""))</f>
        <v/>
      </c>
      <c r="Q570" s="34">
        <f>IF(J570="","",IF(D570&lt;&gt;"",IF(COUNTIFS(VC_cle,J570,VC_type,"Visite sur place",VC_date,D570)&gt;0,"Visité",IF(D570&lt;TODAY(),"Non fait","À venir")),IF(B570="","",IF(COUNTIFS(VC_cle,J570,VC_type,"Visite sur place",VC_date,"&gt;="&amp;M570,VC_date,"&lt;"&amp;DATE(YEAR(M570),MONTH(M570)+1,1))&gt;0,"Visité","À visiter"))))</f>
        <v/>
      </c>
    </row>
    <row r="571" ht="18" customHeight="1">
      <c r="A571" s="39" t="n">
        <v>566</v>
      </c>
      <c r="B571" s="49" t="n"/>
      <c r="C571" s="43" t="n"/>
      <c r="D571" s="32" t="n"/>
      <c r="E571" s="36" t="n"/>
      <c r="F571" s="36" t="n"/>
      <c r="G571" s="36" t="n"/>
      <c r="H571" s="33">
        <f>IF(E571="","",Commercial_Id)</f>
        <v/>
      </c>
      <c r="I571" s="39">
        <f>IF(E571="","",IFERROR(VALUE(MID(E571,LEN(E571)-3,3)),""))</f>
        <v/>
      </c>
      <c r="J571" s="33">
        <f>IF(I571="","",H571&amp;"|"&amp;I571)</f>
        <v/>
      </c>
      <c r="K571" s="33">
        <f>IF(I571="","",IF(H571="À RENSEIGNER","GIC",H571)&amp;"-"&amp;TEXT(I571,"000"))</f>
        <v/>
      </c>
      <c r="L571" s="33">
        <f>IF(J571="","",IFERROR(INDEX(Cl_nom,MATCH(J571,Cl_cle,0)),"(client introuvable)"))</f>
        <v/>
      </c>
      <c r="M571" s="46">
        <f>IF(B571="","",DATE(YEAR(B571),MONTH(B571),1))</f>
        <v/>
      </c>
      <c r="N571" s="33">
        <f>IF(J571="","",IFERROR(INDEX(Cl_quartier,MATCH(J571,Cl_cle,0))&amp;"",""))</f>
        <v/>
      </c>
      <c r="O571" s="33">
        <f>IF(J571="","",IFERROR(INDEX(Cl_tel,MATCH(J571,Cl_cle,0))&amp;"",""))</f>
        <v/>
      </c>
      <c r="P571" s="34">
        <f>IF(J571="","",IFERROR(INDEX(Cl_potentiel,MATCH(J571,Cl_cle,0)),""))</f>
        <v/>
      </c>
      <c r="Q571" s="34">
        <f>IF(J571="","",IF(D571&lt;&gt;"",IF(COUNTIFS(VC_cle,J571,VC_type,"Visite sur place",VC_date,D571)&gt;0,"Visité",IF(D571&lt;TODAY(),"Non fait","À venir")),IF(B571="","",IF(COUNTIFS(VC_cle,J571,VC_type,"Visite sur place",VC_date,"&gt;="&amp;M571,VC_date,"&lt;"&amp;DATE(YEAR(M571),MONTH(M571)+1,1))&gt;0,"Visité","À visiter"))))</f>
        <v/>
      </c>
    </row>
    <row r="572" ht="18" customHeight="1">
      <c r="A572" s="39" t="n">
        <v>567</v>
      </c>
      <c r="B572" s="49" t="n"/>
      <c r="C572" s="43" t="n"/>
      <c r="D572" s="32" t="n"/>
      <c r="E572" s="36" t="n"/>
      <c r="F572" s="36" t="n"/>
      <c r="G572" s="36" t="n"/>
      <c r="H572" s="33">
        <f>IF(E572="","",Commercial_Id)</f>
        <v/>
      </c>
      <c r="I572" s="39">
        <f>IF(E572="","",IFERROR(VALUE(MID(E572,LEN(E572)-3,3)),""))</f>
        <v/>
      </c>
      <c r="J572" s="33">
        <f>IF(I572="","",H572&amp;"|"&amp;I572)</f>
        <v/>
      </c>
      <c r="K572" s="33">
        <f>IF(I572="","",IF(H572="À RENSEIGNER","GIC",H572)&amp;"-"&amp;TEXT(I572,"000"))</f>
        <v/>
      </c>
      <c r="L572" s="33">
        <f>IF(J572="","",IFERROR(INDEX(Cl_nom,MATCH(J572,Cl_cle,0)),"(client introuvable)"))</f>
        <v/>
      </c>
      <c r="M572" s="46">
        <f>IF(B572="","",DATE(YEAR(B572),MONTH(B572),1))</f>
        <v/>
      </c>
      <c r="N572" s="33">
        <f>IF(J572="","",IFERROR(INDEX(Cl_quartier,MATCH(J572,Cl_cle,0))&amp;"",""))</f>
        <v/>
      </c>
      <c r="O572" s="33">
        <f>IF(J572="","",IFERROR(INDEX(Cl_tel,MATCH(J572,Cl_cle,0))&amp;"",""))</f>
        <v/>
      </c>
      <c r="P572" s="34">
        <f>IF(J572="","",IFERROR(INDEX(Cl_potentiel,MATCH(J572,Cl_cle,0)),""))</f>
        <v/>
      </c>
      <c r="Q572" s="34">
        <f>IF(J572="","",IF(D572&lt;&gt;"",IF(COUNTIFS(VC_cle,J572,VC_type,"Visite sur place",VC_date,D572)&gt;0,"Visité",IF(D572&lt;TODAY(),"Non fait","À venir")),IF(B572="","",IF(COUNTIFS(VC_cle,J572,VC_type,"Visite sur place",VC_date,"&gt;="&amp;M572,VC_date,"&lt;"&amp;DATE(YEAR(M572),MONTH(M572)+1,1))&gt;0,"Visité","À visiter"))))</f>
        <v/>
      </c>
    </row>
    <row r="573" ht="18" customHeight="1">
      <c r="A573" s="39" t="n">
        <v>568</v>
      </c>
      <c r="B573" s="49" t="n"/>
      <c r="C573" s="43" t="n"/>
      <c r="D573" s="32" t="n"/>
      <c r="E573" s="36" t="n"/>
      <c r="F573" s="36" t="n"/>
      <c r="G573" s="36" t="n"/>
      <c r="H573" s="33">
        <f>IF(E573="","",Commercial_Id)</f>
        <v/>
      </c>
      <c r="I573" s="39">
        <f>IF(E573="","",IFERROR(VALUE(MID(E573,LEN(E573)-3,3)),""))</f>
        <v/>
      </c>
      <c r="J573" s="33">
        <f>IF(I573="","",H573&amp;"|"&amp;I573)</f>
        <v/>
      </c>
      <c r="K573" s="33">
        <f>IF(I573="","",IF(H573="À RENSEIGNER","GIC",H573)&amp;"-"&amp;TEXT(I573,"000"))</f>
        <v/>
      </c>
      <c r="L573" s="33">
        <f>IF(J573="","",IFERROR(INDEX(Cl_nom,MATCH(J573,Cl_cle,0)),"(client introuvable)"))</f>
        <v/>
      </c>
      <c r="M573" s="46">
        <f>IF(B573="","",DATE(YEAR(B573),MONTH(B573),1))</f>
        <v/>
      </c>
      <c r="N573" s="33">
        <f>IF(J573="","",IFERROR(INDEX(Cl_quartier,MATCH(J573,Cl_cle,0))&amp;"",""))</f>
        <v/>
      </c>
      <c r="O573" s="33">
        <f>IF(J573="","",IFERROR(INDEX(Cl_tel,MATCH(J573,Cl_cle,0))&amp;"",""))</f>
        <v/>
      </c>
      <c r="P573" s="34">
        <f>IF(J573="","",IFERROR(INDEX(Cl_potentiel,MATCH(J573,Cl_cle,0)),""))</f>
        <v/>
      </c>
      <c r="Q573" s="34">
        <f>IF(J573="","",IF(D573&lt;&gt;"",IF(COUNTIFS(VC_cle,J573,VC_type,"Visite sur place",VC_date,D573)&gt;0,"Visité",IF(D573&lt;TODAY(),"Non fait","À venir")),IF(B573="","",IF(COUNTIFS(VC_cle,J573,VC_type,"Visite sur place",VC_date,"&gt;="&amp;M573,VC_date,"&lt;"&amp;DATE(YEAR(M573),MONTH(M573)+1,1))&gt;0,"Visité","À visiter"))))</f>
        <v/>
      </c>
    </row>
    <row r="574" ht="18" customHeight="1">
      <c r="A574" s="39" t="n">
        <v>569</v>
      </c>
      <c r="B574" s="49" t="n"/>
      <c r="C574" s="43" t="n"/>
      <c r="D574" s="32" t="n"/>
      <c r="E574" s="36" t="n"/>
      <c r="F574" s="36" t="n"/>
      <c r="G574" s="36" t="n"/>
      <c r="H574" s="33">
        <f>IF(E574="","",Commercial_Id)</f>
        <v/>
      </c>
      <c r="I574" s="39">
        <f>IF(E574="","",IFERROR(VALUE(MID(E574,LEN(E574)-3,3)),""))</f>
        <v/>
      </c>
      <c r="J574" s="33">
        <f>IF(I574="","",H574&amp;"|"&amp;I574)</f>
        <v/>
      </c>
      <c r="K574" s="33">
        <f>IF(I574="","",IF(H574="À RENSEIGNER","GIC",H574)&amp;"-"&amp;TEXT(I574,"000"))</f>
        <v/>
      </c>
      <c r="L574" s="33">
        <f>IF(J574="","",IFERROR(INDEX(Cl_nom,MATCH(J574,Cl_cle,0)),"(client introuvable)"))</f>
        <v/>
      </c>
      <c r="M574" s="46">
        <f>IF(B574="","",DATE(YEAR(B574),MONTH(B574),1))</f>
        <v/>
      </c>
      <c r="N574" s="33">
        <f>IF(J574="","",IFERROR(INDEX(Cl_quartier,MATCH(J574,Cl_cle,0))&amp;"",""))</f>
        <v/>
      </c>
      <c r="O574" s="33">
        <f>IF(J574="","",IFERROR(INDEX(Cl_tel,MATCH(J574,Cl_cle,0))&amp;"",""))</f>
        <v/>
      </c>
      <c r="P574" s="34">
        <f>IF(J574="","",IFERROR(INDEX(Cl_potentiel,MATCH(J574,Cl_cle,0)),""))</f>
        <v/>
      </c>
      <c r="Q574" s="34">
        <f>IF(J574="","",IF(D574&lt;&gt;"",IF(COUNTIFS(VC_cle,J574,VC_type,"Visite sur place",VC_date,D574)&gt;0,"Visité",IF(D574&lt;TODAY(),"Non fait","À venir")),IF(B574="","",IF(COUNTIFS(VC_cle,J574,VC_type,"Visite sur place",VC_date,"&gt;="&amp;M574,VC_date,"&lt;"&amp;DATE(YEAR(M574),MONTH(M574)+1,1))&gt;0,"Visité","À visiter"))))</f>
        <v/>
      </c>
    </row>
    <row r="575" ht="18" customHeight="1">
      <c r="A575" s="39" t="n">
        <v>570</v>
      </c>
      <c r="B575" s="49" t="n"/>
      <c r="C575" s="43" t="n"/>
      <c r="D575" s="32" t="n"/>
      <c r="E575" s="36" t="n"/>
      <c r="F575" s="36" t="n"/>
      <c r="G575" s="36" t="n"/>
      <c r="H575" s="33">
        <f>IF(E575="","",Commercial_Id)</f>
        <v/>
      </c>
      <c r="I575" s="39">
        <f>IF(E575="","",IFERROR(VALUE(MID(E575,LEN(E575)-3,3)),""))</f>
        <v/>
      </c>
      <c r="J575" s="33">
        <f>IF(I575="","",H575&amp;"|"&amp;I575)</f>
        <v/>
      </c>
      <c r="K575" s="33">
        <f>IF(I575="","",IF(H575="À RENSEIGNER","GIC",H575)&amp;"-"&amp;TEXT(I575,"000"))</f>
        <v/>
      </c>
      <c r="L575" s="33">
        <f>IF(J575="","",IFERROR(INDEX(Cl_nom,MATCH(J575,Cl_cle,0)),"(client introuvable)"))</f>
        <v/>
      </c>
      <c r="M575" s="46">
        <f>IF(B575="","",DATE(YEAR(B575),MONTH(B575),1))</f>
        <v/>
      </c>
      <c r="N575" s="33">
        <f>IF(J575="","",IFERROR(INDEX(Cl_quartier,MATCH(J575,Cl_cle,0))&amp;"",""))</f>
        <v/>
      </c>
      <c r="O575" s="33">
        <f>IF(J575="","",IFERROR(INDEX(Cl_tel,MATCH(J575,Cl_cle,0))&amp;"",""))</f>
        <v/>
      </c>
      <c r="P575" s="34">
        <f>IF(J575="","",IFERROR(INDEX(Cl_potentiel,MATCH(J575,Cl_cle,0)),""))</f>
        <v/>
      </c>
      <c r="Q575" s="34">
        <f>IF(J575="","",IF(D575&lt;&gt;"",IF(COUNTIFS(VC_cle,J575,VC_type,"Visite sur place",VC_date,D575)&gt;0,"Visité",IF(D575&lt;TODAY(),"Non fait","À venir")),IF(B575="","",IF(COUNTIFS(VC_cle,J575,VC_type,"Visite sur place",VC_date,"&gt;="&amp;M575,VC_date,"&lt;"&amp;DATE(YEAR(M575),MONTH(M575)+1,1))&gt;0,"Visité","À visiter"))))</f>
        <v/>
      </c>
    </row>
    <row r="576" ht="18" customHeight="1">
      <c r="A576" s="39" t="n">
        <v>571</v>
      </c>
      <c r="B576" s="49" t="n"/>
      <c r="C576" s="43" t="n"/>
      <c r="D576" s="32" t="n"/>
      <c r="E576" s="36" t="n"/>
      <c r="F576" s="36" t="n"/>
      <c r="G576" s="36" t="n"/>
      <c r="H576" s="33">
        <f>IF(E576="","",Commercial_Id)</f>
        <v/>
      </c>
      <c r="I576" s="39">
        <f>IF(E576="","",IFERROR(VALUE(MID(E576,LEN(E576)-3,3)),""))</f>
        <v/>
      </c>
      <c r="J576" s="33">
        <f>IF(I576="","",H576&amp;"|"&amp;I576)</f>
        <v/>
      </c>
      <c r="K576" s="33">
        <f>IF(I576="","",IF(H576="À RENSEIGNER","GIC",H576)&amp;"-"&amp;TEXT(I576,"000"))</f>
        <v/>
      </c>
      <c r="L576" s="33">
        <f>IF(J576="","",IFERROR(INDEX(Cl_nom,MATCH(J576,Cl_cle,0)),"(client introuvable)"))</f>
        <v/>
      </c>
      <c r="M576" s="46">
        <f>IF(B576="","",DATE(YEAR(B576),MONTH(B576),1))</f>
        <v/>
      </c>
      <c r="N576" s="33">
        <f>IF(J576="","",IFERROR(INDEX(Cl_quartier,MATCH(J576,Cl_cle,0))&amp;"",""))</f>
        <v/>
      </c>
      <c r="O576" s="33">
        <f>IF(J576="","",IFERROR(INDEX(Cl_tel,MATCH(J576,Cl_cle,0))&amp;"",""))</f>
        <v/>
      </c>
      <c r="P576" s="34">
        <f>IF(J576="","",IFERROR(INDEX(Cl_potentiel,MATCH(J576,Cl_cle,0)),""))</f>
        <v/>
      </c>
      <c r="Q576" s="34">
        <f>IF(J576="","",IF(D576&lt;&gt;"",IF(COUNTIFS(VC_cle,J576,VC_type,"Visite sur place",VC_date,D576)&gt;0,"Visité",IF(D576&lt;TODAY(),"Non fait","À venir")),IF(B576="","",IF(COUNTIFS(VC_cle,J576,VC_type,"Visite sur place",VC_date,"&gt;="&amp;M576,VC_date,"&lt;"&amp;DATE(YEAR(M576),MONTH(M576)+1,1))&gt;0,"Visité","À visiter"))))</f>
        <v/>
      </c>
    </row>
    <row r="577" ht="18" customHeight="1">
      <c r="A577" s="39" t="n">
        <v>572</v>
      </c>
      <c r="B577" s="49" t="n"/>
      <c r="C577" s="43" t="n"/>
      <c r="D577" s="32" t="n"/>
      <c r="E577" s="36" t="n"/>
      <c r="F577" s="36" t="n"/>
      <c r="G577" s="36" t="n"/>
      <c r="H577" s="33">
        <f>IF(E577="","",Commercial_Id)</f>
        <v/>
      </c>
      <c r="I577" s="39">
        <f>IF(E577="","",IFERROR(VALUE(MID(E577,LEN(E577)-3,3)),""))</f>
        <v/>
      </c>
      <c r="J577" s="33">
        <f>IF(I577="","",H577&amp;"|"&amp;I577)</f>
        <v/>
      </c>
      <c r="K577" s="33">
        <f>IF(I577="","",IF(H577="À RENSEIGNER","GIC",H577)&amp;"-"&amp;TEXT(I577,"000"))</f>
        <v/>
      </c>
      <c r="L577" s="33">
        <f>IF(J577="","",IFERROR(INDEX(Cl_nom,MATCH(J577,Cl_cle,0)),"(client introuvable)"))</f>
        <v/>
      </c>
      <c r="M577" s="46">
        <f>IF(B577="","",DATE(YEAR(B577),MONTH(B577),1))</f>
        <v/>
      </c>
      <c r="N577" s="33">
        <f>IF(J577="","",IFERROR(INDEX(Cl_quartier,MATCH(J577,Cl_cle,0))&amp;"",""))</f>
        <v/>
      </c>
      <c r="O577" s="33">
        <f>IF(J577="","",IFERROR(INDEX(Cl_tel,MATCH(J577,Cl_cle,0))&amp;"",""))</f>
        <v/>
      </c>
      <c r="P577" s="34">
        <f>IF(J577="","",IFERROR(INDEX(Cl_potentiel,MATCH(J577,Cl_cle,0)),""))</f>
        <v/>
      </c>
      <c r="Q577" s="34">
        <f>IF(J577="","",IF(D577&lt;&gt;"",IF(COUNTIFS(VC_cle,J577,VC_type,"Visite sur place",VC_date,D577)&gt;0,"Visité",IF(D577&lt;TODAY(),"Non fait","À venir")),IF(B577="","",IF(COUNTIFS(VC_cle,J577,VC_type,"Visite sur place",VC_date,"&gt;="&amp;M577,VC_date,"&lt;"&amp;DATE(YEAR(M577),MONTH(M577)+1,1))&gt;0,"Visité","À visiter"))))</f>
        <v/>
      </c>
    </row>
    <row r="578" ht="18" customHeight="1">
      <c r="A578" s="39" t="n">
        <v>573</v>
      </c>
      <c r="B578" s="49" t="n"/>
      <c r="C578" s="43" t="n"/>
      <c r="D578" s="32" t="n"/>
      <c r="E578" s="36" t="n"/>
      <c r="F578" s="36" t="n"/>
      <c r="G578" s="36" t="n"/>
      <c r="H578" s="33">
        <f>IF(E578="","",Commercial_Id)</f>
        <v/>
      </c>
      <c r="I578" s="39">
        <f>IF(E578="","",IFERROR(VALUE(MID(E578,LEN(E578)-3,3)),""))</f>
        <v/>
      </c>
      <c r="J578" s="33">
        <f>IF(I578="","",H578&amp;"|"&amp;I578)</f>
        <v/>
      </c>
      <c r="K578" s="33">
        <f>IF(I578="","",IF(H578="À RENSEIGNER","GIC",H578)&amp;"-"&amp;TEXT(I578,"000"))</f>
        <v/>
      </c>
      <c r="L578" s="33">
        <f>IF(J578="","",IFERROR(INDEX(Cl_nom,MATCH(J578,Cl_cle,0)),"(client introuvable)"))</f>
        <v/>
      </c>
      <c r="M578" s="46">
        <f>IF(B578="","",DATE(YEAR(B578),MONTH(B578),1))</f>
        <v/>
      </c>
      <c r="N578" s="33">
        <f>IF(J578="","",IFERROR(INDEX(Cl_quartier,MATCH(J578,Cl_cle,0))&amp;"",""))</f>
        <v/>
      </c>
      <c r="O578" s="33">
        <f>IF(J578="","",IFERROR(INDEX(Cl_tel,MATCH(J578,Cl_cle,0))&amp;"",""))</f>
        <v/>
      </c>
      <c r="P578" s="34">
        <f>IF(J578="","",IFERROR(INDEX(Cl_potentiel,MATCH(J578,Cl_cle,0)),""))</f>
        <v/>
      </c>
      <c r="Q578" s="34">
        <f>IF(J578="","",IF(D578&lt;&gt;"",IF(COUNTIFS(VC_cle,J578,VC_type,"Visite sur place",VC_date,D578)&gt;0,"Visité",IF(D578&lt;TODAY(),"Non fait","À venir")),IF(B578="","",IF(COUNTIFS(VC_cle,J578,VC_type,"Visite sur place",VC_date,"&gt;="&amp;M578,VC_date,"&lt;"&amp;DATE(YEAR(M578),MONTH(M578)+1,1))&gt;0,"Visité","À visiter"))))</f>
        <v/>
      </c>
    </row>
    <row r="579" ht="18" customHeight="1">
      <c r="A579" s="39" t="n">
        <v>574</v>
      </c>
      <c r="B579" s="49" t="n"/>
      <c r="C579" s="43" t="n"/>
      <c r="D579" s="32" t="n"/>
      <c r="E579" s="36" t="n"/>
      <c r="F579" s="36" t="n"/>
      <c r="G579" s="36" t="n"/>
      <c r="H579" s="33">
        <f>IF(E579="","",Commercial_Id)</f>
        <v/>
      </c>
      <c r="I579" s="39">
        <f>IF(E579="","",IFERROR(VALUE(MID(E579,LEN(E579)-3,3)),""))</f>
        <v/>
      </c>
      <c r="J579" s="33">
        <f>IF(I579="","",H579&amp;"|"&amp;I579)</f>
        <v/>
      </c>
      <c r="K579" s="33">
        <f>IF(I579="","",IF(H579="À RENSEIGNER","GIC",H579)&amp;"-"&amp;TEXT(I579,"000"))</f>
        <v/>
      </c>
      <c r="L579" s="33">
        <f>IF(J579="","",IFERROR(INDEX(Cl_nom,MATCH(J579,Cl_cle,0)),"(client introuvable)"))</f>
        <v/>
      </c>
      <c r="M579" s="46">
        <f>IF(B579="","",DATE(YEAR(B579),MONTH(B579),1))</f>
        <v/>
      </c>
      <c r="N579" s="33">
        <f>IF(J579="","",IFERROR(INDEX(Cl_quartier,MATCH(J579,Cl_cle,0))&amp;"",""))</f>
        <v/>
      </c>
      <c r="O579" s="33">
        <f>IF(J579="","",IFERROR(INDEX(Cl_tel,MATCH(J579,Cl_cle,0))&amp;"",""))</f>
        <v/>
      </c>
      <c r="P579" s="34">
        <f>IF(J579="","",IFERROR(INDEX(Cl_potentiel,MATCH(J579,Cl_cle,0)),""))</f>
        <v/>
      </c>
      <c r="Q579" s="34">
        <f>IF(J579="","",IF(D579&lt;&gt;"",IF(COUNTIFS(VC_cle,J579,VC_type,"Visite sur place",VC_date,D579)&gt;0,"Visité",IF(D579&lt;TODAY(),"Non fait","À venir")),IF(B579="","",IF(COUNTIFS(VC_cle,J579,VC_type,"Visite sur place",VC_date,"&gt;="&amp;M579,VC_date,"&lt;"&amp;DATE(YEAR(M579),MONTH(M579)+1,1))&gt;0,"Visité","À visiter"))))</f>
        <v/>
      </c>
    </row>
    <row r="580" ht="18" customHeight="1">
      <c r="A580" s="39" t="n">
        <v>575</v>
      </c>
      <c r="B580" s="49" t="n"/>
      <c r="C580" s="43" t="n"/>
      <c r="D580" s="32" t="n"/>
      <c r="E580" s="36" t="n"/>
      <c r="F580" s="36" t="n"/>
      <c r="G580" s="36" t="n"/>
      <c r="H580" s="33">
        <f>IF(E580="","",Commercial_Id)</f>
        <v/>
      </c>
      <c r="I580" s="39">
        <f>IF(E580="","",IFERROR(VALUE(MID(E580,LEN(E580)-3,3)),""))</f>
        <v/>
      </c>
      <c r="J580" s="33">
        <f>IF(I580="","",H580&amp;"|"&amp;I580)</f>
        <v/>
      </c>
      <c r="K580" s="33">
        <f>IF(I580="","",IF(H580="À RENSEIGNER","GIC",H580)&amp;"-"&amp;TEXT(I580,"000"))</f>
        <v/>
      </c>
      <c r="L580" s="33">
        <f>IF(J580="","",IFERROR(INDEX(Cl_nom,MATCH(J580,Cl_cle,0)),"(client introuvable)"))</f>
        <v/>
      </c>
      <c r="M580" s="46">
        <f>IF(B580="","",DATE(YEAR(B580),MONTH(B580),1))</f>
        <v/>
      </c>
      <c r="N580" s="33">
        <f>IF(J580="","",IFERROR(INDEX(Cl_quartier,MATCH(J580,Cl_cle,0))&amp;"",""))</f>
        <v/>
      </c>
      <c r="O580" s="33">
        <f>IF(J580="","",IFERROR(INDEX(Cl_tel,MATCH(J580,Cl_cle,0))&amp;"",""))</f>
        <v/>
      </c>
      <c r="P580" s="34">
        <f>IF(J580="","",IFERROR(INDEX(Cl_potentiel,MATCH(J580,Cl_cle,0)),""))</f>
        <v/>
      </c>
      <c r="Q580" s="34">
        <f>IF(J580="","",IF(D580&lt;&gt;"",IF(COUNTIFS(VC_cle,J580,VC_type,"Visite sur place",VC_date,D580)&gt;0,"Visité",IF(D580&lt;TODAY(),"Non fait","À venir")),IF(B580="","",IF(COUNTIFS(VC_cle,J580,VC_type,"Visite sur place",VC_date,"&gt;="&amp;M580,VC_date,"&lt;"&amp;DATE(YEAR(M580),MONTH(M580)+1,1))&gt;0,"Visité","À visiter"))))</f>
        <v/>
      </c>
    </row>
    <row r="581" ht="18" customHeight="1">
      <c r="A581" s="39" t="n">
        <v>576</v>
      </c>
      <c r="B581" s="49" t="n"/>
      <c r="C581" s="43" t="n"/>
      <c r="D581" s="32" t="n"/>
      <c r="E581" s="36" t="n"/>
      <c r="F581" s="36" t="n"/>
      <c r="G581" s="36" t="n"/>
      <c r="H581" s="33">
        <f>IF(E581="","",Commercial_Id)</f>
        <v/>
      </c>
      <c r="I581" s="39">
        <f>IF(E581="","",IFERROR(VALUE(MID(E581,LEN(E581)-3,3)),""))</f>
        <v/>
      </c>
      <c r="J581" s="33">
        <f>IF(I581="","",H581&amp;"|"&amp;I581)</f>
        <v/>
      </c>
      <c r="K581" s="33">
        <f>IF(I581="","",IF(H581="À RENSEIGNER","GIC",H581)&amp;"-"&amp;TEXT(I581,"000"))</f>
        <v/>
      </c>
      <c r="L581" s="33">
        <f>IF(J581="","",IFERROR(INDEX(Cl_nom,MATCH(J581,Cl_cle,0)),"(client introuvable)"))</f>
        <v/>
      </c>
      <c r="M581" s="46">
        <f>IF(B581="","",DATE(YEAR(B581),MONTH(B581),1))</f>
        <v/>
      </c>
      <c r="N581" s="33">
        <f>IF(J581="","",IFERROR(INDEX(Cl_quartier,MATCH(J581,Cl_cle,0))&amp;"",""))</f>
        <v/>
      </c>
      <c r="O581" s="33">
        <f>IF(J581="","",IFERROR(INDEX(Cl_tel,MATCH(J581,Cl_cle,0))&amp;"",""))</f>
        <v/>
      </c>
      <c r="P581" s="34">
        <f>IF(J581="","",IFERROR(INDEX(Cl_potentiel,MATCH(J581,Cl_cle,0)),""))</f>
        <v/>
      </c>
      <c r="Q581" s="34">
        <f>IF(J581="","",IF(D581&lt;&gt;"",IF(COUNTIFS(VC_cle,J581,VC_type,"Visite sur place",VC_date,D581)&gt;0,"Visité",IF(D581&lt;TODAY(),"Non fait","À venir")),IF(B581="","",IF(COUNTIFS(VC_cle,J581,VC_type,"Visite sur place",VC_date,"&gt;="&amp;M581,VC_date,"&lt;"&amp;DATE(YEAR(M581),MONTH(M581)+1,1))&gt;0,"Visité","À visiter"))))</f>
        <v/>
      </c>
    </row>
    <row r="582" ht="18" customHeight="1">
      <c r="A582" s="39" t="n">
        <v>577</v>
      </c>
      <c r="B582" s="49" t="n"/>
      <c r="C582" s="43" t="n"/>
      <c r="D582" s="32" t="n"/>
      <c r="E582" s="36" t="n"/>
      <c r="F582" s="36" t="n"/>
      <c r="G582" s="36" t="n"/>
      <c r="H582" s="33">
        <f>IF(E582="","",Commercial_Id)</f>
        <v/>
      </c>
      <c r="I582" s="39">
        <f>IF(E582="","",IFERROR(VALUE(MID(E582,LEN(E582)-3,3)),""))</f>
        <v/>
      </c>
      <c r="J582" s="33">
        <f>IF(I582="","",H582&amp;"|"&amp;I582)</f>
        <v/>
      </c>
      <c r="K582" s="33">
        <f>IF(I582="","",IF(H582="À RENSEIGNER","GIC",H582)&amp;"-"&amp;TEXT(I582,"000"))</f>
        <v/>
      </c>
      <c r="L582" s="33">
        <f>IF(J582="","",IFERROR(INDEX(Cl_nom,MATCH(J582,Cl_cle,0)),"(client introuvable)"))</f>
        <v/>
      </c>
      <c r="M582" s="46">
        <f>IF(B582="","",DATE(YEAR(B582),MONTH(B582),1))</f>
        <v/>
      </c>
      <c r="N582" s="33">
        <f>IF(J582="","",IFERROR(INDEX(Cl_quartier,MATCH(J582,Cl_cle,0))&amp;"",""))</f>
        <v/>
      </c>
      <c r="O582" s="33">
        <f>IF(J582="","",IFERROR(INDEX(Cl_tel,MATCH(J582,Cl_cle,0))&amp;"",""))</f>
        <v/>
      </c>
      <c r="P582" s="34">
        <f>IF(J582="","",IFERROR(INDEX(Cl_potentiel,MATCH(J582,Cl_cle,0)),""))</f>
        <v/>
      </c>
      <c r="Q582" s="34">
        <f>IF(J582="","",IF(D582&lt;&gt;"",IF(COUNTIFS(VC_cle,J582,VC_type,"Visite sur place",VC_date,D582)&gt;0,"Visité",IF(D582&lt;TODAY(),"Non fait","À venir")),IF(B582="","",IF(COUNTIFS(VC_cle,J582,VC_type,"Visite sur place",VC_date,"&gt;="&amp;M582,VC_date,"&lt;"&amp;DATE(YEAR(M582),MONTH(M582)+1,1))&gt;0,"Visité","À visiter"))))</f>
        <v/>
      </c>
    </row>
    <row r="583" ht="18" customHeight="1">
      <c r="A583" s="39" t="n">
        <v>578</v>
      </c>
      <c r="B583" s="49" t="n"/>
      <c r="C583" s="43" t="n"/>
      <c r="D583" s="32" t="n"/>
      <c r="E583" s="36" t="n"/>
      <c r="F583" s="36" t="n"/>
      <c r="G583" s="36" t="n"/>
      <c r="H583" s="33">
        <f>IF(E583="","",Commercial_Id)</f>
        <v/>
      </c>
      <c r="I583" s="39">
        <f>IF(E583="","",IFERROR(VALUE(MID(E583,LEN(E583)-3,3)),""))</f>
        <v/>
      </c>
      <c r="J583" s="33">
        <f>IF(I583="","",H583&amp;"|"&amp;I583)</f>
        <v/>
      </c>
      <c r="K583" s="33">
        <f>IF(I583="","",IF(H583="À RENSEIGNER","GIC",H583)&amp;"-"&amp;TEXT(I583,"000"))</f>
        <v/>
      </c>
      <c r="L583" s="33">
        <f>IF(J583="","",IFERROR(INDEX(Cl_nom,MATCH(J583,Cl_cle,0)),"(client introuvable)"))</f>
        <v/>
      </c>
      <c r="M583" s="46">
        <f>IF(B583="","",DATE(YEAR(B583),MONTH(B583),1))</f>
        <v/>
      </c>
      <c r="N583" s="33">
        <f>IF(J583="","",IFERROR(INDEX(Cl_quartier,MATCH(J583,Cl_cle,0))&amp;"",""))</f>
        <v/>
      </c>
      <c r="O583" s="33">
        <f>IF(J583="","",IFERROR(INDEX(Cl_tel,MATCH(J583,Cl_cle,0))&amp;"",""))</f>
        <v/>
      </c>
      <c r="P583" s="34">
        <f>IF(J583="","",IFERROR(INDEX(Cl_potentiel,MATCH(J583,Cl_cle,0)),""))</f>
        <v/>
      </c>
      <c r="Q583" s="34">
        <f>IF(J583="","",IF(D583&lt;&gt;"",IF(COUNTIFS(VC_cle,J583,VC_type,"Visite sur place",VC_date,D583)&gt;0,"Visité",IF(D583&lt;TODAY(),"Non fait","À venir")),IF(B583="","",IF(COUNTIFS(VC_cle,J583,VC_type,"Visite sur place",VC_date,"&gt;="&amp;M583,VC_date,"&lt;"&amp;DATE(YEAR(M583),MONTH(M583)+1,1))&gt;0,"Visité","À visiter"))))</f>
        <v/>
      </c>
    </row>
    <row r="584" ht="18" customHeight="1">
      <c r="A584" s="39" t="n">
        <v>579</v>
      </c>
      <c r="B584" s="49" t="n"/>
      <c r="C584" s="43" t="n"/>
      <c r="D584" s="32" t="n"/>
      <c r="E584" s="36" t="n"/>
      <c r="F584" s="36" t="n"/>
      <c r="G584" s="36" t="n"/>
      <c r="H584" s="33">
        <f>IF(E584="","",Commercial_Id)</f>
        <v/>
      </c>
      <c r="I584" s="39">
        <f>IF(E584="","",IFERROR(VALUE(MID(E584,LEN(E584)-3,3)),""))</f>
        <v/>
      </c>
      <c r="J584" s="33">
        <f>IF(I584="","",H584&amp;"|"&amp;I584)</f>
        <v/>
      </c>
      <c r="K584" s="33">
        <f>IF(I584="","",IF(H584="À RENSEIGNER","GIC",H584)&amp;"-"&amp;TEXT(I584,"000"))</f>
        <v/>
      </c>
      <c r="L584" s="33">
        <f>IF(J584="","",IFERROR(INDEX(Cl_nom,MATCH(J584,Cl_cle,0)),"(client introuvable)"))</f>
        <v/>
      </c>
      <c r="M584" s="46">
        <f>IF(B584="","",DATE(YEAR(B584),MONTH(B584),1))</f>
        <v/>
      </c>
      <c r="N584" s="33">
        <f>IF(J584="","",IFERROR(INDEX(Cl_quartier,MATCH(J584,Cl_cle,0))&amp;"",""))</f>
        <v/>
      </c>
      <c r="O584" s="33">
        <f>IF(J584="","",IFERROR(INDEX(Cl_tel,MATCH(J584,Cl_cle,0))&amp;"",""))</f>
        <v/>
      </c>
      <c r="P584" s="34">
        <f>IF(J584="","",IFERROR(INDEX(Cl_potentiel,MATCH(J584,Cl_cle,0)),""))</f>
        <v/>
      </c>
      <c r="Q584" s="34">
        <f>IF(J584="","",IF(D584&lt;&gt;"",IF(COUNTIFS(VC_cle,J584,VC_type,"Visite sur place",VC_date,D584)&gt;0,"Visité",IF(D584&lt;TODAY(),"Non fait","À venir")),IF(B584="","",IF(COUNTIFS(VC_cle,J584,VC_type,"Visite sur place",VC_date,"&gt;="&amp;M584,VC_date,"&lt;"&amp;DATE(YEAR(M584),MONTH(M584)+1,1))&gt;0,"Visité","À visiter"))))</f>
        <v/>
      </c>
    </row>
    <row r="585" ht="18" customHeight="1">
      <c r="A585" s="39" t="n">
        <v>580</v>
      </c>
      <c r="B585" s="49" t="n"/>
      <c r="C585" s="43" t="n"/>
      <c r="D585" s="32" t="n"/>
      <c r="E585" s="36" t="n"/>
      <c r="F585" s="36" t="n"/>
      <c r="G585" s="36" t="n"/>
      <c r="H585" s="33">
        <f>IF(E585="","",Commercial_Id)</f>
        <v/>
      </c>
      <c r="I585" s="39">
        <f>IF(E585="","",IFERROR(VALUE(MID(E585,LEN(E585)-3,3)),""))</f>
        <v/>
      </c>
      <c r="J585" s="33">
        <f>IF(I585="","",H585&amp;"|"&amp;I585)</f>
        <v/>
      </c>
      <c r="K585" s="33">
        <f>IF(I585="","",IF(H585="À RENSEIGNER","GIC",H585)&amp;"-"&amp;TEXT(I585,"000"))</f>
        <v/>
      </c>
      <c r="L585" s="33">
        <f>IF(J585="","",IFERROR(INDEX(Cl_nom,MATCH(J585,Cl_cle,0)),"(client introuvable)"))</f>
        <v/>
      </c>
      <c r="M585" s="46">
        <f>IF(B585="","",DATE(YEAR(B585),MONTH(B585),1))</f>
        <v/>
      </c>
      <c r="N585" s="33">
        <f>IF(J585="","",IFERROR(INDEX(Cl_quartier,MATCH(J585,Cl_cle,0))&amp;"",""))</f>
        <v/>
      </c>
      <c r="O585" s="33">
        <f>IF(J585="","",IFERROR(INDEX(Cl_tel,MATCH(J585,Cl_cle,0))&amp;"",""))</f>
        <v/>
      </c>
      <c r="P585" s="34">
        <f>IF(J585="","",IFERROR(INDEX(Cl_potentiel,MATCH(J585,Cl_cle,0)),""))</f>
        <v/>
      </c>
      <c r="Q585" s="34">
        <f>IF(J585="","",IF(D585&lt;&gt;"",IF(COUNTIFS(VC_cle,J585,VC_type,"Visite sur place",VC_date,D585)&gt;0,"Visité",IF(D585&lt;TODAY(),"Non fait","À venir")),IF(B585="","",IF(COUNTIFS(VC_cle,J585,VC_type,"Visite sur place",VC_date,"&gt;="&amp;M585,VC_date,"&lt;"&amp;DATE(YEAR(M585),MONTH(M585)+1,1))&gt;0,"Visité","À visiter"))))</f>
        <v/>
      </c>
    </row>
    <row r="586" ht="18" customHeight="1">
      <c r="A586" s="39" t="n">
        <v>581</v>
      </c>
      <c r="B586" s="49" t="n"/>
      <c r="C586" s="43" t="n"/>
      <c r="D586" s="32" t="n"/>
      <c r="E586" s="36" t="n"/>
      <c r="F586" s="36" t="n"/>
      <c r="G586" s="36" t="n"/>
      <c r="H586" s="33">
        <f>IF(E586="","",Commercial_Id)</f>
        <v/>
      </c>
      <c r="I586" s="39">
        <f>IF(E586="","",IFERROR(VALUE(MID(E586,LEN(E586)-3,3)),""))</f>
        <v/>
      </c>
      <c r="J586" s="33">
        <f>IF(I586="","",H586&amp;"|"&amp;I586)</f>
        <v/>
      </c>
      <c r="K586" s="33">
        <f>IF(I586="","",IF(H586="À RENSEIGNER","GIC",H586)&amp;"-"&amp;TEXT(I586,"000"))</f>
        <v/>
      </c>
      <c r="L586" s="33">
        <f>IF(J586="","",IFERROR(INDEX(Cl_nom,MATCH(J586,Cl_cle,0)),"(client introuvable)"))</f>
        <v/>
      </c>
      <c r="M586" s="46">
        <f>IF(B586="","",DATE(YEAR(B586),MONTH(B586),1))</f>
        <v/>
      </c>
      <c r="N586" s="33">
        <f>IF(J586="","",IFERROR(INDEX(Cl_quartier,MATCH(J586,Cl_cle,0))&amp;"",""))</f>
        <v/>
      </c>
      <c r="O586" s="33">
        <f>IF(J586="","",IFERROR(INDEX(Cl_tel,MATCH(J586,Cl_cle,0))&amp;"",""))</f>
        <v/>
      </c>
      <c r="P586" s="34">
        <f>IF(J586="","",IFERROR(INDEX(Cl_potentiel,MATCH(J586,Cl_cle,0)),""))</f>
        <v/>
      </c>
      <c r="Q586" s="34">
        <f>IF(J586="","",IF(D586&lt;&gt;"",IF(COUNTIFS(VC_cle,J586,VC_type,"Visite sur place",VC_date,D586)&gt;0,"Visité",IF(D586&lt;TODAY(),"Non fait","À venir")),IF(B586="","",IF(COUNTIFS(VC_cle,J586,VC_type,"Visite sur place",VC_date,"&gt;="&amp;M586,VC_date,"&lt;"&amp;DATE(YEAR(M586),MONTH(M586)+1,1))&gt;0,"Visité","À visiter"))))</f>
        <v/>
      </c>
    </row>
    <row r="587" ht="18" customHeight="1">
      <c r="A587" s="39" t="n">
        <v>582</v>
      </c>
      <c r="B587" s="49" t="n"/>
      <c r="C587" s="43" t="n"/>
      <c r="D587" s="32" t="n"/>
      <c r="E587" s="36" t="n"/>
      <c r="F587" s="36" t="n"/>
      <c r="G587" s="36" t="n"/>
      <c r="H587" s="33">
        <f>IF(E587="","",Commercial_Id)</f>
        <v/>
      </c>
      <c r="I587" s="39">
        <f>IF(E587="","",IFERROR(VALUE(MID(E587,LEN(E587)-3,3)),""))</f>
        <v/>
      </c>
      <c r="J587" s="33">
        <f>IF(I587="","",H587&amp;"|"&amp;I587)</f>
        <v/>
      </c>
      <c r="K587" s="33">
        <f>IF(I587="","",IF(H587="À RENSEIGNER","GIC",H587)&amp;"-"&amp;TEXT(I587,"000"))</f>
        <v/>
      </c>
      <c r="L587" s="33">
        <f>IF(J587="","",IFERROR(INDEX(Cl_nom,MATCH(J587,Cl_cle,0)),"(client introuvable)"))</f>
        <v/>
      </c>
      <c r="M587" s="46">
        <f>IF(B587="","",DATE(YEAR(B587),MONTH(B587),1))</f>
        <v/>
      </c>
      <c r="N587" s="33">
        <f>IF(J587="","",IFERROR(INDEX(Cl_quartier,MATCH(J587,Cl_cle,0))&amp;"",""))</f>
        <v/>
      </c>
      <c r="O587" s="33">
        <f>IF(J587="","",IFERROR(INDEX(Cl_tel,MATCH(J587,Cl_cle,0))&amp;"",""))</f>
        <v/>
      </c>
      <c r="P587" s="34">
        <f>IF(J587="","",IFERROR(INDEX(Cl_potentiel,MATCH(J587,Cl_cle,0)),""))</f>
        <v/>
      </c>
      <c r="Q587" s="34">
        <f>IF(J587="","",IF(D587&lt;&gt;"",IF(COUNTIFS(VC_cle,J587,VC_type,"Visite sur place",VC_date,D587)&gt;0,"Visité",IF(D587&lt;TODAY(),"Non fait","À venir")),IF(B587="","",IF(COUNTIFS(VC_cle,J587,VC_type,"Visite sur place",VC_date,"&gt;="&amp;M587,VC_date,"&lt;"&amp;DATE(YEAR(M587),MONTH(M587)+1,1))&gt;0,"Visité","À visiter"))))</f>
        <v/>
      </c>
    </row>
    <row r="588" ht="18" customHeight="1">
      <c r="A588" s="39" t="n">
        <v>583</v>
      </c>
      <c r="B588" s="49" t="n"/>
      <c r="C588" s="43" t="n"/>
      <c r="D588" s="32" t="n"/>
      <c r="E588" s="36" t="n"/>
      <c r="F588" s="36" t="n"/>
      <c r="G588" s="36" t="n"/>
      <c r="H588" s="33">
        <f>IF(E588="","",Commercial_Id)</f>
        <v/>
      </c>
      <c r="I588" s="39">
        <f>IF(E588="","",IFERROR(VALUE(MID(E588,LEN(E588)-3,3)),""))</f>
        <v/>
      </c>
      <c r="J588" s="33">
        <f>IF(I588="","",H588&amp;"|"&amp;I588)</f>
        <v/>
      </c>
      <c r="K588" s="33">
        <f>IF(I588="","",IF(H588="À RENSEIGNER","GIC",H588)&amp;"-"&amp;TEXT(I588,"000"))</f>
        <v/>
      </c>
      <c r="L588" s="33">
        <f>IF(J588="","",IFERROR(INDEX(Cl_nom,MATCH(J588,Cl_cle,0)),"(client introuvable)"))</f>
        <v/>
      </c>
      <c r="M588" s="46">
        <f>IF(B588="","",DATE(YEAR(B588),MONTH(B588),1))</f>
        <v/>
      </c>
      <c r="N588" s="33">
        <f>IF(J588="","",IFERROR(INDEX(Cl_quartier,MATCH(J588,Cl_cle,0))&amp;"",""))</f>
        <v/>
      </c>
      <c r="O588" s="33">
        <f>IF(J588="","",IFERROR(INDEX(Cl_tel,MATCH(J588,Cl_cle,0))&amp;"",""))</f>
        <v/>
      </c>
      <c r="P588" s="34">
        <f>IF(J588="","",IFERROR(INDEX(Cl_potentiel,MATCH(J588,Cl_cle,0)),""))</f>
        <v/>
      </c>
      <c r="Q588" s="34">
        <f>IF(J588="","",IF(D588&lt;&gt;"",IF(COUNTIFS(VC_cle,J588,VC_type,"Visite sur place",VC_date,D588)&gt;0,"Visité",IF(D588&lt;TODAY(),"Non fait","À venir")),IF(B588="","",IF(COUNTIFS(VC_cle,J588,VC_type,"Visite sur place",VC_date,"&gt;="&amp;M588,VC_date,"&lt;"&amp;DATE(YEAR(M588),MONTH(M588)+1,1))&gt;0,"Visité","À visiter"))))</f>
        <v/>
      </c>
    </row>
    <row r="589" ht="18" customHeight="1">
      <c r="A589" s="39" t="n">
        <v>584</v>
      </c>
      <c r="B589" s="49" t="n"/>
      <c r="C589" s="43" t="n"/>
      <c r="D589" s="32" t="n"/>
      <c r="E589" s="36" t="n"/>
      <c r="F589" s="36" t="n"/>
      <c r="G589" s="36" t="n"/>
      <c r="H589" s="33">
        <f>IF(E589="","",Commercial_Id)</f>
        <v/>
      </c>
      <c r="I589" s="39">
        <f>IF(E589="","",IFERROR(VALUE(MID(E589,LEN(E589)-3,3)),""))</f>
        <v/>
      </c>
      <c r="J589" s="33">
        <f>IF(I589="","",H589&amp;"|"&amp;I589)</f>
        <v/>
      </c>
      <c r="K589" s="33">
        <f>IF(I589="","",IF(H589="À RENSEIGNER","GIC",H589)&amp;"-"&amp;TEXT(I589,"000"))</f>
        <v/>
      </c>
      <c r="L589" s="33">
        <f>IF(J589="","",IFERROR(INDEX(Cl_nom,MATCH(J589,Cl_cle,0)),"(client introuvable)"))</f>
        <v/>
      </c>
      <c r="M589" s="46">
        <f>IF(B589="","",DATE(YEAR(B589),MONTH(B589),1))</f>
        <v/>
      </c>
      <c r="N589" s="33">
        <f>IF(J589="","",IFERROR(INDEX(Cl_quartier,MATCH(J589,Cl_cle,0))&amp;"",""))</f>
        <v/>
      </c>
      <c r="O589" s="33">
        <f>IF(J589="","",IFERROR(INDEX(Cl_tel,MATCH(J589,Cl_cle,0))&amp;"",""))</f>
        <v/>
      </c>
      <c r="P589" s="34">
        <f>IF(J589="","",IFERROR(INDEX(Cl_potentiel,MATCH(J589,Cl_cle,0)),""))</f>
        <v/>
      </c>
      <c r="Q589" s="34">
        <f>IF(J589="","",IF(D589&lt;&gt;"",IF(COUNTIFS(VC_cle,J589,VC_type,"Visite sur place",VC_date,D589)&gt;0,"Visité",IF(D589&lt;TODAY(),"Non fait","À venir")),IF(B589="","",IF(COUNTIFS(VC_cle,J589,VC_type,"Visite sur place",VC_date,"&gt;="&amp;M589,VC_date,"&lt;"&amp;DATE(YEAR(M589),MONTH(M589)+1,1))&gt;0,"Visité","À visiter"))))</f>
        <v/>
      </c>
    </row>
    <row r="590" ht="18" customHeight="1">
      <c r="A590" s="39" t="n">
        <v>585</v>
      </c>
      <c r="B590" s="49" t="n"/>
      <c r="C590" s="43" t="n"/>
      <c r="D590" s="32" t="n"/>
      <c r="E590" s="36" t="n"/>
      <c r="F590" s="36" t="n"/>
      <c r="G590" s="36" t="n"/>
      <c r="H590" s="33">
        <f>IF(E590="","",Commercial_Id)</f>
        <v/>
      </c>
      <c r="I590" s="39">
        <f>IF(E590="","",IFERROR(VALUE(MID(E590,LEN(E590)-3,3)),""))</f>
        <v/>
      </c>
      <c r="J590" s="33">
        <f>IF(I590="","",H590&amp;"|"&amp;I590)</f>
        <v/>
      </c>
      <c r="K590" s="33">
        <f>IF(I590="","",IF(H590="À RENSEIGNER","GIC",H590)&amp;"-"&amp;TEXT(I590,"000"))</f>
        <v/>
      </c>
      <c r="L590" s="33">
        <f>IF(J590="","",IFERROR(INDEX(Cl_nom,MATCH(J590,Cl_cle,0)),"(client introuvable)"))</f>
        <v/>
      </c>
      <c r="M590" s="46">
        <f>IF(B590="","",DATE(YEAR(B590),MONTH(B590),1))</f>
        <v/>
      </c>
      <c r="N590" s="33">
        <f>IF(J590="","",IFERROR(INDEX(Cl_quartier,MATCH(J590,Cl_cle,0))&amp;"",""))</f>
        <v/>
      </c>
      <c r="O590" s="33">
        <f>IF(J590="","",IFERROR(INDEX(Cl_tel,MATCH(J590,Cl_cle,0))&amp;"",""))</f>
        <v/>
      </c>
      <c r="P590" s="34">
        <f>IF(J590="","",IFERROR(INDEX(Cl_potentiel,MATCH(J590,Cl_cle,0)),""))</f>
        <v/>
      </c>
      <c r="Q590" s="34">
        <f>IF(J590="","",IF(D590&lt;&gt;"",IF(COUNTIFS(VC_cle,J590,VC_type,"Visite sur place",VC_date,D590)&gt;0,"Visité",IF(D590&lt;TODAY(),"Non fait","À venir")),IF(B590="","",IF(COUNTIFS(VC_cle,J590,VC_type,"Visite sur place",VC_date,"&gt;="&amp;M590,VC_date,"&lt;"&amp;DATE(YEAR(M590),MONTH(M590)+1,1))&gt;0,"Visité","À visiter"))))</f>
        <v/>
      </c>
    </row>
    <row r="591" ht="18" customHeight="1">
      <c r="A591" s="39" t="n">
        <v>586</v>
      </c>
      <c r="B591" s="49" t="n"/>
      <c r="C591" s="43" t="n"/>
      <c r="D591" s="32" t="n"/>
      <c r="E591" s="36" t="n"/>
      <c r="F591" s="36" t="n"/>
      <c r="G591" s="36" t="n"/>
      <c r="H591" s="33">
        <f>IF(E591="","",Commercial_Id)</f>
        <v/>
      </c>
      <c r="I591" s="39">
        <f>IF(E591="","",IFERROR(VALUE(MID(E591,LEN(E591)-3,3)),""))</f>
        <v/>
      </c>
      <c r="J591" s="33">
        <f>IF(I591="","",H591&amp;"|"&amp;I591)</f>
        <v/>
      </c>
      <c r="K591" s="33">
        <f>IF(I591="","",IF(H591="À RENSEIGNER","GIC",H591)&amp;"-"&amp;TEXT(I591,"000"))</f>
        <v/>
      </c>
      <c r="L591" s="33">
        <f>IF(J591="","",IFERROR(INDEX(Cl_nom,MATCH(J591,Cl_cle,0)),"(client introuvable)"))</f>
        <v/>
      </c>
      <c r="M591" s="46">
        <f>IF(B591="","",DATE(YEAR(B591),MONTH(B591),1))</f>
        <v/>
      </c>
      <c r="N591" s="33">
        <f>IF(J591="","",IFERROR(INDEX(Cl_quartier,MATCH(J591,Cl_cle,0))&amp;"",""))</f>
        <v/>
      </c>
      <c r="O591" s="33">
        <f>IF(J591="","",IFERROR(INDEX(Cl_tel,MATCH(J591,Cl_cle,0))&amp;"",""))</f>
        <v/>
      </c>
      <c r="P591" s="34">
        <f>IF(J591="","",IFERROR(INDEX(Cl_potentiel,MATCH(J591,Cl_cle,0)),""))</f>
        <v/>
      </c>
      <c r="Q591" s="34">
        <f>IF(J591="","",IF(D591&lt;&gt;"",IF(COUNTIFS(VC_cle,J591,VC_type,"Visite sur place",VC_date,D591)&gt;0,"Visité",IF(D591&lt;TODAY(),"Non fait","À venir")),IF(B591="","",IF(COUNTIFS(VC_cle,J591,VC_type,"Visite sur place",VC_date,"&gt;="&amp;M591,VC_date,"&lt;"&amp;DATE(YEAR(M591),MONTH(M591)+1,1))&gt;0,"Visité","À visiter"))))</f>
        <v/>
      </c>
    </row>
    <row r="592" ht="18" customHeight="1">
      <c r="A592" s="39" t="n">
        <v>587</v>
      </c>
      <c r="B592" s="49" t="n"/>
      <c r="C592" s="43" t="n"/>
      <c r="D592" s="32" t="n"/>
      <c r="E592" s="36" t="n"/>
      <c r="F592" s="36" t="n"/>
      <c r="G592" s="36" t="n"/>
      <c r="H592" s="33">
        <f>IF(E592="","",Commercial_Id)</f>
        <v/>
      </c>
      <c r="I592" s="39">
        <f>IF(E592="","",IFERROR(VALUE(MID(E592,LEN(E592)-3,3)),""))</f>
        <v/>
      </c>
      <c r="J592" s="33">
        <f>IF(I592="","",H592&amp;"|"&amp;I592)</f>
        <v/>
      </c>
      <c r="K592" s="33">
        <f>IF(I592="","",IF(H592="À RENSEIGNER","GIC",H592)&amp;"-"&amp;TEXT(I592,"000"))</f>
        <v/>
      </c>
      <c r="L592" s="33">
        <f>IF(J592="","",IFERROR(INDEX(Cl_nom,MATCH(J592,Cl_cle,0)),"(client introuvable)"))</f>
        <v/>
      </c>
      <c r="M592" s="46">
        <f>IF(B592="","",DATE(YEAR(B592),MONTH(B592),1))</f>
        <v/>
      </c>
      <c r="N592" s="33">
        <f>IF(J592="","",IFERROR(INDEX(Cl_quartier,MATCH(J592,Cl_cle,0))&amp;"",""))</f>
        <v/>
      </c>
      <c r="O592" s="33">
        <f>IF(J592="","",IFERROR(INDEX(Cl_tel,MATCH(J592,Cl_cle,0))&amp;"",""))</f>
        <v/>
      </c>
      <c r="P592" s="34">
        <f>IF(J592="","",IFERROR(INDEX(Cl_potentiel,MATCH(J592,Cl_cle,0)),""))</f>
        <v/>
      </c>
      <c r="Q592" s="34">
        <f>IF(J592="","",IF(D592&lt;&gt;"",IF(COUNTIFS(VC_cle,J592,VC_type,"Visite sur place",VC_date,D592)&gt;0,"Visité",IF(D592&lt;TODAY(),"Non fait","À venir")),IF(B592="","",IF(COUNTIFS(VC_cle,J592,VC_type,"Visite sur place",VC_date,"&gt;="&amp;M592,VC_date,"&lt;"&amp;DATE(YEAR(M592),MONTH(M592)+1,1))&gt;0,"Visité","À visiter"))))</f>
        <v/>
      </c>
    </row>
    <row r="593" ht="18" customHeight="1">
      <c r="A593" s="39" t="n">
        <v>588</v>
      </c>
      <c r="B593" s="49" t="n"/>
      <c r="C593" s="43" t="n"/>
      <c r="D593" s="32" t="n"/>
      <c r="E593" s="36" t="n"/>
      <c r="F593" s="36" t="n"/>
      <c r="G593" s="36" t="n"/>
      <c r="H593" s="33">
        <f>IF(E593="","",Commercial_Id)</f>
        <v/>
      </c>
      <c r="I593" s="39">
        <f>IF(E593="","",IFERROR(VALUE(MID(E593,LEN(E593)-3,3)),""))</f>
        <v/>
      </c>
      <c r="J593" s="33">
        <f>IF(I593="","",H593&amp;"|"&amp;I593)</f>
        <v/>
      </c>
      <c r="K593" s="33">
        <f>IF(I593="","",IF(H593="À RENSEIGNER","GIC",H593)&amp;"-"&amp;TEXT(I593,"000"))</f>
        <v/>
      </c>
      <c r="L593" s="33">
        <f>IF(J593="","",IFERROR(INDEX(Cl_nom,MATCH(J593,Cl_cle,0)),"(client introuvable)"))</f>
        <v/>
      </c>
      <c r="M593" s="46">
        <f>IF(B593="","",DATE(YEAR(B593),MONTH(B593),1))</f>
        <v/>
      </c>
      <c r="N593" s="33">
        <f>IF(J593="","",IFERROR(INDEX(Cl_quartier,MATCH(J593,Cl_cle,0))&amp;"",""))</f>
        <v/>
      </c>
      <c r="O593" s="33">
        <f>IF(J593="","",IFERROR(INDEX(Cl_tel,MATCH(J593,Cl_cle,0))&amp;"",""))</f>
        <v/>
      </c>
      <c r="P593" s="34">
        <f>IF(J593="","",IFERROR(INDEX(Cl_potentiel,MATCH(J593,Cl_cle,0)),""))</f>
        <v/>
      </c>
      <c r="Q593" s="34">
        <f>IF(J593="","",IF(D593&lt;&gt;"",IF(COUNTIFS(VC_cle,J593,VC_type,"Visite sur place",VC_date,D593)&gt;0,"Visité",IF(D593&lt;TODAY(),"Non fait","À venir")),IF(B593="","",IF(COUNTIFS(VC_cle,J593,VC_type,"Visite sur place",VC_date,"&gt;="&amp;M593,VC_date,"&lt;"&amp;DATE(YEAR(M593),MONTH(M593)+1,1))&gt;0,"Visité","À visiter"))))</f>
        <v/>
      </c>
    </row>
    <row r="594" ht="18" customHeight="1">
      <c r="A594" s="39" t="n">
        <v>589</v>
      </c>
      <c r="B594" s="49" t="n"/>
      <c r="C594" s="43" t="n"/>
      <c r="D594" s="32" t="n"/>
      <c r="E594" s="36" t="n"/>
      <c r="F594" s="36" t="n"/>
      <c r="G594" s="36" t="n"/>
      <c r="H594" s="33">
        <f>IF(E594="","",Commercial_Id)</f>
        <v/>
      </c>
      <c r="I594" s="39">
        <f>IF(E594="","",IFERROR(VALUE(MID(E594,LEN(E594)-3,3)),""))</f>
        <v/>
      </c>
      <c r="J594" s="33">
        <f>IF(I594="","",H594&amp;"|"&amp;I594)</f>
        <v/>
      </c>
      <c r="K594" s="33">
        <f>IF(I594="","",IF(H594="À RENSEIGNER","GIC",H594)&amp;"-"&amp;TEXT(I594,"000"))</f>
        <v/>
      </c>
      <c r="L594" s="33">
        <f>IF(J594="","",IFERROR(INDEX(Cl_nom,MATCH(J594,Cl_cle,0)),"(client introuvable)"))</f>
        <v/>
      </c>
      <c r="M594" s="46">
        <f>IF(B594="","",DATE(YEAR(B594),MONTH(B594),1))</f>
        <v/>
      </c>
      <c r="N594" s="33">
        <f>IF(J594="","",IFERROR(INDEX(Cl_quartier,MATCH(J594,Cl_cle,0))&amp;"",""))</f>
        <v/>
      </c>
      <c r="O594" s="33">
        <f>IF(J594="","",IFERROR(INDEX(Cl_tel,MATCH(J594,Cl_cle,0))&amp;"",""))</f>
        <v/>
      </c>
      <c r="P594" s="34">
        <f>IF(J594="","",IFERROR(INDEX(Cl_potentiel,MATCH(J594,Cl_cle,0)),""))</f>
        <v/>
      </c>
      <c r="Q594" s="34">
        <f>IF(J594="","",IF(D594&lt;&gt;"",IF(COUNTIFS(VC_cle,J594,VC_type,"Visite sur place",VC_date,D594)&gt;0,"Visité",IF(D594&lt;TODAY(),"Non fait","À venir")),IF(B594="","",IF(COUNTIFS(VC_cle,J594,VC_type,"Visite sur place",VC_date,"&gt;="&amp;M594,VC_date,"&lt;"&amp;DATE(YEAR(M594),MONTH(M594)+1,1))&gt;0,"Visité","À visiter"))))</f>
        <v/>
      </c>
    </row>
    <row r="595" ht="18" customHeight="1">
      <c r="A595" s="39" t="n">
        <v>590</v>
      </c>
      <c r="B595" s="49" t="n"/>
      <c r="C595" s="43" t="n"/>
      <c r="D595" s="32" t="n"/>
      <c r="E595" s="36" t="n"/>
      <c r="F595" s="36" t="n"/>
      <c r="G595" s="36" t="n"/>
      <c r="H595" s="33">
        <f>IF(E595="","",Commercial_Id)</f>
        <v/>
      </c>
      <c r="I595" s="39">
        <f>IF(E595="","",IFERROR(VALUE(MID(E595,LEN(E595)-3,3)),""))</f>
        <v/>
      </c>
      <c r="J595" s="33">
        <f>IF(I595="","",H595&amp;"|"&amp;I595)</f>
        <v/>
      </c>
      <c r="K595" s="33">
        <f>IF(I595="","",IF(H595="À RENSEIGNER","GIC",H595)&amp;"-"&amp;TEXT(I595,"000"))</f>
        <v/>
      </c>
      <c r="L595" s="33">
        <f>IF(J595="","",IFERROR(INDEX(Cl_nom,MATCH(J595,Cl_cle,0)),"(client introuvable)"))</f>
        <v/>
      </c>
      <c r="M595" s="46">
        <f>IF(B595="","",DATE(YEAR(B595),MONTH(B595),1))</f>
        <v/>
      </c>
      <c r="N595" s="33">
        <f>IF(J595="","",IFERROR(INDEX(Cl_quartier,MATCH(J595,Cl_cle,0))&amp;"",""))</f>
        <v/>
      </c>
      <c r="O595" s="33">
        <f>IF(J595="","",IFERROR(INDEX(Cl_tel,MATCH(J595,Cl_cle,0))&amp;"",""))</f>
        <v/>
      </c>
      <c r="P595" s="34">
        <f>IF(J595="","",IFERROR(INDEX(Cl_potentiel,MATCH(J595,Cl_cle,0)),""))</f>
        <v/>
      </c>
      <c r="Q595" s="34">
        <f>IF(J595="","",IF(D595&lt;&gt;"",IF(COUNTIFS(VC_cle,J595,VC_type,"Visite sur place",VC_date,D595)&gt;0,"Visité",IF(D595&lt;TODAY(),"Non fait","À venir")),IF(B595="","",IF(COUNTIFS(VC_cle,J595,VC_type,"Visite sur place",VC_date,"&gt;="&amp;M595,VC_date,"&lt;"&amp;DATE(YEAR(M595),MONTH(M595)+1,1))&gt;0,"Visité","À visiter"))))</f>
        <v/>
      </c>
    </row>
    <row r="596" ht="18" customHeight="1">
      <c r="A596" s="39" t="n">
        <v>591</v>
      </c>
      <c r="B596" s="49" t="n"/>
      <c r="C596" s="43" t="n"/>
      <c r="D596" s="32" t="n"/>
      <c r="E596" s="36" t="n"/>
      <c r="F596" s="36" t="n"/>
      <c r="G596" s="36" t="n"/>
      <c r="H596" s="33">
        <f>IF(E596="","",Commercial_Id)</f>
        <v/>
      </c>
      <c r="I596" s="39">
        <f>IF(E596="","",IFERROR(VALUE(MID(E596,LEN(E596)-3,3)),""))</f>
        <v/>
      </c>
      <c r="J596" s="33">
        <f>IF(I596="","",H596&amp;"|"&amp;I596)</f>
        <v/>
      </c>
      <c r="K596" s="33">
        <f>IF(I596="","",IF(H596="À RENSEIGNER","GIC",H596)&amp;"-"&amp;TEXT(I596,"000"))</f>
        <v/>
      </c>
      <c r="L596" s="33">
        <f>IF(J596="","",IFERROR(INDEX(Cl_nom,MATCH(J596,Cl_cle,0)),"(client introuvable)"))</f>
        <v/>
      </c>
      <c r="M596" s="46">
        <f>IF(B596="","",DATE(YEAR(B596),MONTH(B596),1))</f>
        <v/>
      </c>
      <c r="N596" s="33">
        <f>IF(J596="","",IFERROR(INDEX(Cl_quartier,MATCH(J596,Cl_cle,0))&amp;"",""))</f>
        <v/>
      </c>
      <c r="O596" s="33">
        <f>IF(J596="","",IFERROR(INDEX(Cl_tel,MATCH(J596,Cl_cle,0))&amp;"",""))</f>
        <v/>
      </c>
      <c r="P596" s="34">
        <f>IF(J596="","",IFERROR(INDEX(Cl_potentiel,MATCH(J596,Cl_cle,0)),""))</f>
        <v/>
      </c>
      <c r="Q596" s="34">
        <f>IF(J596="","",IF(D596&lt;&gt;"",IF(COUNTIFS(VC_cle,J596,VC_type,"Visite sur place",VC_date,D596)&gt;0,"Visité",IF(D596&lt;TODAY(),"Non fait","À venir")),IF(B596="","",IF(COUNTIFS(VC_cle,J596,VC_type,"Visite sur place",VC_date,"&gt;="&amp;M596,VC_date,"&lt;"&amp;DATE(YEAR(M596),MONTH(M596)+1,1))&gt;0,"Visité","À visiter"))))</f>
        <v/>
      </c>
    </row>
    <row r="597" ht="18" customHeight="1">
      <c r="A597" s="39" t="n">
        <v>592</v>
      </c>
      <c r="B597" s="49" t="n"/>
      <c r="C597" s="43" t="n"/>
      <c r="D597" s="32" t="n"/>
      <c r="E597" s="36" t="n"/>
      <c r="F597" s="36" t="n"/>
      <c r="G597" s="36" t="n"/>
      <c r="H597" s="33">
        <f>IF(E597="","",Commercial_Id)</f>
        <v/>
      </c>
      <c r="I597" s="39">
        <f>IF(E597="","",IFERROR(VALUE(MID(E597,LEN(E597)-3,3)),""))</f>
        <v/>
      </c>
      <c r="J597" s="33">
        <f>IF(I597="","",H597&amp;"|"&amp;I597)</f>
        <v/>
      </c>
      <c r="K597" s="33">
        <f>IF(I597="","",IF(H597="À RENSEIGNER","GIC",H597)&amp;"-"&amp;TEXT(I597,"000"))</f>
        <v/>
      </c>
      <c r="L597" s="33">
        <f>IF(J597="","",IFERROR(INDEX(Cl_nom,MATCH(J597,Cl_cle,0)),"(client introuvable)"))</f>
        <v/>
      </c>
      <c r="M597" s="46">
        <f>IF(B597="","",DATE(YEAR(B597),MONTH(B597),1))</f>
        <v/>
      </c>
      <c r="N597" s="33">
        <f>IF(J597="","",IFERROR(INDEX(Cl_quartier,MATCH(J597,Cl_cle,0))&amp;"",""))</f>
        <v/>
      </c>
      <c r="O597" s="33">
        <f>IF(J597="","",IFERROR(INDEX(Cl_tel,MATCH(J597,Cl_cle,0))&amp;"",""))</f>
        <v/>
      </c>
      <c r="P597" s="34">
        <f>IF(J597="","",IFERROR(INDEX(Cl_potentiel,MATCH(J597,Cl_cle,0)),""))</f>
        <v/>
      </c>
      <c r="Q597" s="34">
        <f>IF(J597="","",IF(D597&lt;&gt;"",IF(COUNTIFS(VC_cle,J597,VC_type,"Visite sur place",VC_date,D597)&gt;0,"Visité",IF(D597&lt;TODAY(),"Non fait","À venir")),IF(B597="","",IF(COUNTIFS(VC_cle,J597,VC_type,"Visite sur place",VC_date,"&gt;="&amp;M597,VC_date,"&lt;"&amp;DATE(YEAR(M597),MONTH(M597)+1,1))&gt;0,"Visité","À visiter"))))</f>
        <v/>
      </c>
    </row>
    <row r="598" ht="18" customHeight="1">
      <c r="A598" s="39" t="n">
        <v>593</v>
      </c>
      <c r="B598" s="49" t="n"/>
      <c r="C598" s="43" t="n"/>
      <c r="D598" s="32" t="n"/>
      <c r="E598" s="36" t="n"/>
      <c r="F598" s="36" t="n"/>
      <c r="G598" s="36" t="n"/>
      <c r="H598" s="33">
        <f>IF(E598="","",Commercial_Id)</f>
        <v/>
      </c>
      <c r="I598" s="39">
        <f>IF(E598="","",IFERROR(VALUE(MID(E598,LEN(E598)-3,3)),""))</f>
        <v/>
      </c>
      <c r="J598" s="33">
        <f>IF(I598="","",H598&amp;"|"&amp;I598)</f>
        <v/>
      </c>
      <c r="K598" s="33">
        <f>IF(I598="","",IF(H598="À RENSEIGNER","GIC",H598)&amp;"-"&amp;TEXT(I598,"000"))</f>
        <v/>
      </c>
      <c r="L598" s="33">
        <f>IF(J598="","",IFERROR(INDEX(Cl_nom,MATCH(J598,Cl_cle,0)),"(client introuvable)"))</f>
        <v/>
      </c>
      <c r="M598" s="46">
        <f>IF(B598="","",DATE(YEAR(B598),MONTH(B598),1))</f>
        <v/>
      </c>
      <c r="N598" s="33">
        <f>IF(J598="","",IFERROR(INDEX(Cl_quartier,MATCH(J598,Cl_cle,0))&amp;"",""))</f>
        <v/>
      </c>
      <c r="O598" s="33">
        <f>IF(J598="","",IFERROR(INDEX(Cl_tel,MATCH(J598,Cl_cle,0))&amp;"",""))</f>
        <v/>
      </c>
      <c r="P598" s="34">
        <f>IF(J598="","",IFERROR(INDEX(Cl_potentiel,MATCH(J598,Cl_cle,0)),""))</f>
        <v/>
      </c>
      <c r="Q598" s="34">
        <f>IF(J598="","",IF(D598&lt;&gt;"",IF(COUNTIFS(VC_cle,J598,VC_type,"Visite sur place",VC_date,D598)&gt;0,"Visité",IF(D598&lt;TODAY(),"Non fait","À venir")),IF(B598="","",IF(COUNTIFS(VC_cle,J598,VC_type,"Visite sur place",VC_date,"&gt;="&amp;M598,VC_date,"&lt;"&amp;DATE(YEAR(M598),MONTH(M598)+1,1))&gt;0,"Visité","À visiter"))))</f>
        <v/>
      </c>
    </row>
    <row r="599" ht="18" customHeight="1">
      <c r="A599" s="39" t="n">
        <v>594</v>
      </c>
      <c r="B599" s="49" t="n"/>
      <c r="C599" s="43" t="n"/>
      <c r="D599" s="32" t="n"/>
      <c r="E599" s="36" t="n"/>
      <c r="F599" s="36" t="n"/>
      <c r="G599" s="36" t="n"/>
      <c r="H599" s="33">
        <f>IF(E599="","",Commercial_Id)</f>
        <v/>
      </c>
      <c r="I599" s="39">
        <f>IF(E599="","",IFERROR(VALUE(MID(E599,LEN(E599)-3,3)),""))</f>
        <v/>
      </c>
      <c r="J599" s="33">
        <f>IF(I599="","",H599&amp;"|"&amp;I599)</f>
        <v/>
      </c>
      <c r="K599" s="33">
        <f>IF(I599="","",IF(H599="À RENSEIGNER","GIC",H599)&amp;"-"&amp;TEXT(I599,"000"))</f>
        <v/>
      </c>
      <c r="L599" s="33">
        <f>IF(J599="","",IFERROR(INDEX(Cl_nom,MATCH(J599,Cl_cle,0)),"(client introuvable)"))</f>
        <v/>
      </c>
      <c r="M599" s="46">
        <f>IF(B599="","",DATE(YEAR(B599),MONTH(B599),1))</f>
        <v/>
      </c>
      <c r="N599" s="33">
        <f>IF(J599="","",IFERROR(INDEX(Cl_quartier,MATCH(J599,Cl_cle,0))&amp;"",""))</f>
        <v/>
      </c>
      <c r="O599" s="33">
        <f>IF(J599="","",IFERROR(INDEX(Cl_tel,MATCH(J599,Cl_cle,0))&amp;"",""))</f>
        <v/>
      </c>
      <c r="P599" s="34">
        <f>IF(J599="","",IFERROR(INDEX(Cl_potentiel,MATCH(J599,Cl_cle,0)),""))</f>
        <v/>
      </c>
      <c r="Q599" s="34">
        <f>IF(J599="","",IF(D599&lt;&gt;"",IF(COUNTIFS(VC_cle,J599,VC_type,"Visite sur place",VC_date,D599)&gt;0,"Visité",IF(D599&lt;TODAY(),"Non fait","À venir")),IF(B599="","",IF(COUNTIFS(VC_cle,J599,VC_type,"Visite sur place",VC_date,"&gt;="&amp;M599,VC_date,"&lt;"&amp;DATE(YEAR(M599),MONTH(M599)+1,1))&gt;0,"Visité","À visiter"))))</f>
        <v/>
      </c>
    </row>
    <row r="600" ht="18" customHeight="1">
      <c r="A600" s="39" t="n">
        <v>595</v>
      </c>
      <c r="B600" s="49" t="n"/>
      <c r="C600" s="43" t="n"/>
      <c r="D600" s="32" t="n"/>
      <c r="E600" s="36" t="n"/>
      <c r="F600" s="36" t="n"/>
      <c r="G600" s="36" t="n"/>
      <c r="H600" s="33">
        <f>IF(E600="","",Commercial_Id)</f>
        <v/>
      </c>
      <c r="I600" s="39">
        <f>IF(E600="","",IFERROR(VALUE(MID(E600,LEN(E600)-3,3)),""))</f>
        <v/>
      </c>
      <c r="J600" s="33">
        <f>IF(I600="","",H600&amp;"|"&amp;I600)</f>
        <v/>
      </c>
      <c r="K600" s="33">
        <f>IF(I600="","",IF(H600="À RENSEIGNER","GIC",H600)&amp;"-"&amp;TEXT(I600,"000"))</f>
        <v/>
      </c>
      <c r="L600" s="33">
        <f>IF(J600="","",IFERROR(INDEX(Cl_nom,MATCH(J600,Cl_cle,0)),"(client introuvable)"))</f>
        <v/>
      </c>
      <c r="M600" s="46">
        <f>IF(B600="","",DATE(YEAR(B600),MONTH(B600),1))</f>
        <v/>
      </c>
      <c r="N600" s="33">
        <f>IF(J600="","",IFERROR(INDEX(Cl_quartier,MATCH(J600,Cl_cle,0))&amp;"",""))</f>
        <v/>
      </c>
      <c r="O600" s="33">
        <f>IF(J600="","",IFERROR(INDEX(Cl_tel,MATCH(J600,Cl_cle,0))&amp;"",""))</f>
        <v/>
      </c>
      <c r="P600" s="34">
        <f>IF(J600="","",IFERROR(INDEX(Cl_potentiel,MATCH(J600,Cl_cle,0)),""))</f>
        <v/>
      </c>
      <c r="Q600" s="34">
        <f>IF(J600="","",IF(D600&lt;&gt;"",IF(COUNTIFS(VC_cle,J600,VC_type,"Visite sur place",VC_date,D600)&gt;0,"Visité",IF(D600&lt;TODAY(),"Non fait","À venir")),IF(B600="","",IF(COUNTIFS(VC_cle,J600,VC_type,"Visite sur place",VC_date,"&gt;="&amp;M600,VC_date,"&lt;"&amp;DATE(YEAR(M600),MONTH(M600)+1,1))&gt;0,"Visité","À visiter"))))</f>
        <v/>
      </c>
    </row>
    <row r="601" ht="18" customHeight="1">
      <c r="A601" s="39" t="n">
        <v>596</v>
      </c>
      <c r="B601" s="49" t="n"/>
      <c r="C601" s="43" t="n"/>
      <c r="D601" s="32" t="n"/>
      <c r="E601" s="36" t="n"/>
      <c r="F601" s="36" t="n"/>
      <c r="G601" s="36" t="n"/>
      <c r="H601" s="33">
        <f>IF(E601="","",Commercial_Id)</f>
        <v/>
      </c>
      <c r="I601" s="39">
        <f>IF(E601="","",IFERROR(VALUE(MID(E601,LEN(E601)-3,3)),""))</f>
        <v/>
      </c>
      <c r="J601" s="33">
        <f>IF(I601="","",H601&amp;"|"&amp;I601)</f>
        <v/>
      </c>
      <c r="K601" s="33">
        <f>IF(I601="","",IF(H601="À RENSEIGNER","GIC",H601)&amp;"-"&amp;TEXT(I601,"000"))</f>
        <v/>
      </c>
      <c r="L601" s="33">
        <f>IF(J601="","",IFERROR(INDEX(Cl_nom,MATCH(J601,Cl_cle,0)),"(client introuvable)"))</f>
        <v/>
      </c>
      <c r="M601" s="46">
        <f>IF(B601="","",DATE(YEAR(B601),MONTH(B601),1))</f>
        <v/>
      </c>
      <c r="N601" s="33">
        <f>IF(J601="","",IFERROR(INDEX(Cl_quartier,MATCH(J601,Cl_cle,0))&amp;"",""))</f>
        <v/>
      </c>
      <c r="O601" s="33">
        <f>IF(J601="","",IFERROR(INDEX(Cl_tel,MATCH(J601,Cl_cle,0))&amp;"",""))</f>
        <v/>
      </c>
      <c r="P601" s="34">
        <f>IF(J601="","",IFERROR(INDEX(Cl_potentiel,MATCH(J601,Cl_cle,0)),""))</f>
        <v/>
      </c>
      <c r="Q601" s="34">
        <f>IF(J601="","",IF(D601&lt;&gt;"",IF(COUNTIFS(VC_cle,J601,VC_type,"Visite sur place",VC_date,D601)&gt;0,"Visité",IF(D601&lt;TODAY(),"Non fait","À venir")),IF(B601="","",IF(COUNTIFS(VC_cle,J601,VC_type,"Visite sur place",VC_date,"&gt;="&amp;M601,VC_date,"&lt;"&amp;DATE(YEAR(M601),MONTH(M601)+1,1))&gt;0,"Visité","À visiter"))))</f>
        <v/>
      </c>
    </row>
    <row r="602" ht="18" customHeight="1">
      <c r="A602" s="39" t="n">
        <v>597</v>
      </c>
      <c r="B602" s="49" t="n"/>
      <c r="C602" s="43" t="n"/>
      <c r="D602" s="32" t="n"/>
      <c r="E602" s="36" t="n"/>
      <c r="F602" s="36" t="n"/>
      <c r="G602" s="36" t="n"/>
      <c r="H602" s="33">
        <f>IF(E602="","",Commercial_Id)</f>
        <v/>
      </c>
      <c r="I602" s="39">
        <f>IF(E602="","",IFERROR(VALUE(MID(E602,LEN(E602)-3,3)),""))</f>
        <v/>
      </c>
      <c r="J602" s="33">
        <f>IF(I602="","",H602&amp;"|"&amp;I602)</f>
        <v/>
      </c>
      <c r="K602" s="33">
        <f>IF(I602="","",IF(H602="À RENSEIGNER","GIC",H602)&amp;"-"&amp;TEXT(I602,"000"))</f>
        <v/>
      </c>
      <c r="L602" s="33">
        <f>IF(J602="","",IFERROR(INDEX(Cl_nom,MATCH(J602,Cl_cle,0)),"(client introuvable)"))</f>
        <v/>
      </c>
      <c r="M602" s="46">
        <f>IF(B602="","",DATE(YEAR(B602),MONTH(B602),1))</f>
        <v/>
      </c>
      <c r="N602" s="33">
        <f>IF(J602="","",IFERROR(INDEX(Cl_quartier,MATCH(J602,Cl_cle,0))&amp;"",""))</f>
        <v/>
      </c>
      <c r="O602" s="33">
        <f>IF(J602="","",IFERROR(INDEX(Cl_tel,MATCH(J602,Cl_cle,0))&amp;"",""))</f>
        <v/>
      </c>
      <c r="P602" s="34">
        <f>IF(J602="","",IFERROR(INDEX(Cl_potentiel,MATCH(J602,Cl_cle,0)),""))</f>
        <v/>
      </c>
      <c r="Q602" s="34">
        <f>IF(J602="","",IF(D602&lt;&gt;"",IF(COUNTIFS(VC_cle,J602,VC_type,"Visite sur place",VC_date,D602)&gt;0,"Visité",IF(D602&lt;TODAY(),"Non fait","À venir")),IF(B602="","",IF(COUNTIFS(VC_cle,J602,VC_type,"Visite sur place",VC_date,"&gt;="&amp;M602,VC_date,"&lt;"&amp;DATE(YEAR(M602),MONTH(M602)+1,1))&gt;0,"Visité","À visiter"))))</f>
        <v/>
      </c>
    </row>
    <row r="603" ht="18" customHeight="1">
      <c r="A603" s="39" t="n">
        <v>598</v>
      </c>
      <c r="B603" s="49" t="n"/>
      <c r="C603" s="43" t="n"/>
      <c r="D603" s="32" t="n"/>
      <c r="E603" s="36" t="n"/>
      <c r="F603" s="36" t="n"/>
      <c r="G603" s="36" t="n"/>
      <c r="H603" s="33">
        <f>IF(E603="","",Commercial_Id)</f>
        <v/>
      </c>
      <c r="I603" s="39">
        <f>IF(E603="","",IFERROR(VALUE(MID(E603,LEN(E603)-3,3)),""))</f>
        <v/>
      </c>
      <c r="J603" s="33">
        <f>IF(I603="","",H603&amp;"|"&amp;I603)</f>
        <v/>
      </c>
      <c r="K603" s="33">
        <f>IF(I603="","",IF(H603="À RENSEIGNER","GIC",H603)&amp;"-"&amp;TEXT(I603,"000"))</f>
        <v/>
      </c>
      <c r="L603" s="33">
        <f>IF(J603="","",IFERROR(INDEX(Cl_nom,MATCH(J603,Cl_cle,0)),"(client introuvable)"))</f>
        <v/>
      </c>
      <c r="M603" s="46">
        <f>IF(B603="","",DATE(YEAR(B603),MONTH(B603),1))</f>
        <v/>
      </c>
      <c r="N603" s="33">
        <f>IF(J603="","",IFERROR(INDEX(Cl_quartier,MATCH(J603,Cl_cle,0))&amp;"",""))</f>
        <v/>
      </c>
      <c r="O603" s="33">
        <f>IF(J603="","",IFERROR(INDEX(Cl_tel,MATCH(J603,Cl_cle,0))&amp;"",""))</f>
        <v/>
      </c>
      <c r="P603" s="34">
        <f>IF(J603="","",IFERROR(INDEX(Cl_potentiel,MATCH(J603,Cl_cle,0)),""))</f>
        <v/>
      </c>
      <c r="Q603" s="34">
        <f>IF(J603="","",IF(D603&lt;&gt;"",IF(COUNTIFS(VC_cle,J603,VC_type,"Visite sur place",VC_date,D603)&gt;0,"Visité",IF(D603&lt;TODAY(),"Non fait","À venir")),IF(B603="","",IF(COUNTIFS(VC_cle,J603,VC_type,"Visite sur place",VC_date,"&gt;="&amp;M603,VC_date,"&lt;"&amp;DATE(YEAR(M603),MONTH(M603)+1,1))&gt;0,"Visité","À visiter"))))</f>
        <v/>
      </c>
    </row>
    <row r="604" ht="18" customHeight="1">
      <c r="A604" s="39" t="n">
        <v>599</v>
      </c>
      <c r="B604" s="49" t="n"/>
      <c r="C604" s="43" t="n"/>
      <c r="D604" s="32" t="n"/>
      <c r="E604" s="36" t="n"/>
      <c r="F604" s="36" t="n"/>
      <c r="G604" s="36" t="n"/>
      <c r="H604" s="33">
        <f>IF(E604="","",Commercial_Id)</f>
        <v/>
      </c>
      <c r="I604" s="39">
        <f>IF(E604="","",IFERROR(VALUE(MID(E604,LEN(E604)-3,3)),""))</f>
        <v/>
      </c>
      <c r="J604" s="33">
        <f>IF(I604="","",H604&amp;"|"&amp;I604)</f>
        <v/>
      </c>
      <c r="K604" s="33">
        <f>IF(I604="","",IF(H604="À RENSEIGNER","GIC",H604)&amp;"-"&amp;TEXT(I604,"000"))</f>
        <v/>
      </c>
      <c r="L604" s="33">
        <f>IF(J604="","",IFERROR(INDEX(Cl_nom,MATCH(J604,Cl_cle,0)),"(client introuvable)"))</f>
        <v/>
      </c>
      <c r="M604" s="46">
        <f>IF(B604="","",DATE(YEAR(B604),MONTH(B604),1))</f>
        <v/>
      </c>
      <c r="N604" s="33">
        <f>IF(J604="","",IFERROR(INDEX(Cl_quartier,MATCH(J604,Cl_cle,0))&amp;"",""))</f>
        <v/>
      </c>
      <c r="O604" s="33">
        <f>IF(J604="","",IFERROR(INDEX(Cl_tel,MATCH(J604,Cl_cle,0))&amp;"",""))</f>
        <v/>
      </c>
      <c r="P604" s="34">
        <f>IF(J604="","",IFERROR(INDEX(Cl_potentiel,MATCH(J604,Cl_cle,0)),""))</f>
        <v/>
      </c>
      <c r="Q604" s="34">
        <f>IF(J604="","",IF(D604&lt;&gt;"",IF(COUNTIFS(VC_cle,J604,VC_type,"Visite sur place",VC_date,D604)&gt;0,"Visité",IF(D604&lt;TODAY(),"Non fait","À venir")),IF(B604="","",IF(COUNTIFS(VC_cle,J604,VC_type,"Visite sur place",VC_date,"&gt;="&amp;M604,VC_date,"&lt;"&amp;DATE(YEAR(M604),MONTH(M604)+1,1))&gt;0,"Visité","À visiter"))))</f>
        <v/>
      </c>
    </row>
    <row r="605" ht="18" customHeight="1">
      <c r="A605" s="39" t="n">
        <v>600</v>
      </c>
      <c r="B605" s="49" t="n"/>
      <c r="C605" s="43" t="n"/>
      <c r="D605" s="32" t="n"/>
      <c r="E605" s="36" t="n"/>
      <c r="F605" s="36" t="n"/>
      <c r="G605" s="36" t="n"/>
      <c r="H605" s="33">
        <f>IF(E605="","",Commercial_Id)</f>
        <v/>
      </c>
      <c r="I605" s="39">
        <f>IF(E605="","",IFERROR(VALUE(MID(E605,LEN(E605)-3,3)),""))</f>
        <v/>
      </c>
      <c r="J605" s="33">
        <f>IF(I605="","",H605&amp;"|"&amp;I605)</f>
        <v/>
      </c>
      <c r="K605" s="33">
        <f>IF(I605="","",IF(H605="À RENSEIGNER","GIC",H605)&amp;"-"&amp;TEXT(I605,"000"))</f>
        <v/>
      </c>
      <c r="L605" s="33">
        <f>IF(J605="","",IFERROR(INDEX(Cl_nom,MATCH(J605,Cl_cle,0)),"(client introuvable)"))</f>
        <v/>
      </c>
      <c r="M605" s="46">
        <f>IF(B605="","",DATE(YEAR(B605),MONTH(B605),1))</f>
        <v/>
      </c>
      <c r="N605" s="33">
        <f>IF(J605="","",IFERROR(INDEX(Cl_quartier,MATCH(J605,Cl_cle,0))&amp;"",""))</f>
        <v/>
      </c>
      <c r="O605" s="33">
        <f>IF(J605="","",IFERROR(INDEX(Cl_tel,MATCH(J605,Cl_cle,0))&amp;"",""))</f>
        <v/>
      </c>
      <c r="P605" s="34">
        <f>IF(J605="","",IFERROR(INDEX(Cl_potentiel,MATCH(J605,Cl_cle,0)),""))</f>
        <v/>
      </c>
      <c r="Q605" s="34">
        <f>IF(J605="","",IF(D605&lt;&gt;"",IF(COUNTIFS(VC_cle,J605,VC_type,"Visite sur place",VC_date,D605)&gt;0,"Visité",IF(D605&lt;TODAY(),"Non fait","À venir")),IF(B605="","",IF(COUNTIFS(VC_cle,J605,VC_type,"Visite sur place",VC_date,"&gt;="&amp;M605,VC_date,"&lt;"&amp;DATE(YEAR(M605),MONTH(M605)+1,1))&gt;0,"Visité","À visiter"))))</f>
        <v/>
      </c>
    </row>
  </sheetData>
  <autoFilter ref="A5:Q605"/>
  <mergeCells count="1">
    <mergeCell ref="A3:B3"/>
  </mergeCells>
  <conditionalFormatting sqref="B6:B605">
    <cfRule type="expression" priority="1" dxfId="0">
      <formula>AND(COUNTA($B6:$G6)&gt;0,B6="")</formula>
    </cfRule>
    <cfRule type="expression" priority="2" dxfId="0">
      <formula>AND(B6&lt;&gt;"",NOT(ISNUMBER(B6)))</formula>
    </cfRule>
  </conditionalFormatting>
  <conditionalFormatting sqref="C6:C605">
    <cfRule type="expression" priority="3" dxfId="0">
      <formula>AND(COUNTA($B6:$G6)&gt;0,C6="")</formula>
    </cfRule>
  </conditionalFormatting>
  <conditionalFormatting sqref="D6:D605">
    <cfRule type="expression" priority="4" dxfId="0">
      <formula>AND(D6&lt;&gt;"",NOT(ISNUMBER(D6)))</formula>
    </cfRule>
  </conditionalFormatting>
  <conditionalFormatting sqref="E6:E605">
    <cfRule type="expression" priority="5" dxfId="0">
      <formula>AND(COUNTA($B6:$G6)&gt;0,E6="")</formula>
    </cfRule>
  </conditionalFormatting>
  <conditionalFormatting sqref="F6:F605">
    <cfRule type="expression" priority="6" dxfId="0">
      <formula>AND(COUNTA($B6:$G6)&gt;0,F6="")</formula>
    </cfRule>
  </conditionalFormatting>
  <dataValidations count="5">
    <dataValidation sqref="B6:B605" showDropDown="0" showInputMessage="0" showErrorMessage="1" allowBlank="1" errorTitle="Valeur hors liste" error="Choisissez le mois dans la liste. Cliquez sur OK pour la garder telle quelle." type="list" errorStyle="information">
      <formula1>=L_Mois</formula1>
    </dataValidation>
    <dataValidation sqref="C6:C605" showDropDown="0" showInputMessage="0" showErrorMessage="1" allowBlank="1" errorTitle="Valeur hors liste" error="Cette valeur n'est pas dans la liste. Choisissez-la avec la flèche à droite de la cellule." type="list" errorStyle="stop">
      <formula1>=L_SemMois</formula1>
    </dataValidation>
    <dataValidation sqref="D6:D6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=L_DatesAvenir</formula1>
    </dataValidation>
    <dataValidation sqref="E6:E605" showDropDown="0" showInputMessage="0" showErrorMessage="1" allowBlank="1" errorTitle="Valeur hors liste" error="Cette valeur n'est pas dans la liste. Choisissez-la avec la flèche à droite de la cellule." type="list" errorStyle="stop">
      <formula1>=L_Clients</formula1>
    </dataValidation>
    <dataValidation sqref="F6:F605" showDropDown="0" showInputMessage="0" showErrorMessage="1" allowBlank="1" errorTitle="Valeur hors liste" error="Cette valeur n'est pas dans la liste. Choisissez-la avec la flèche à droite de la cellule." type="list" errorStyle="stop">
      <formula1>=L_ObjetVisite</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9.xml><?xml version="1.0" encoding="utf-8"?>
<worksheet xmlns="http://schemas.openxmlformats.org/spreadsheetml/2006/main">
  <sheetPr>
    <tabColor rgb="00E07B39"/>
    <outlinePr summaryBelow="1" summaryRight="1"/>
    <pageSetUpPr fitToPage="1"/>
  </sheetPr>
  <dimension ref="A1:Q1505"/>
  <sheetViews>
    <sheetView tabSelected="0" zoomScale="90" workbookViewId="0">
      <pane xSplit="5" ySplit="5" topLeftCell="F6"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6" customWidth="1" min="3" max="3"/>
    <col width="20" customWidth="1" min="4" max="4"/>
    <col width="30" customWidth="1" min="5" max="5"/>
    <col width="10" customWidth="1" min="6" max="6"/>
    <col width="32" customWidth="1" min="7" max="7"/>
    <col width="11" customWidth="1" min="8" max="8"/>
    <col width="15" customWidth="1" min="9" max="9"/>
    <col width="20" customWidth="1" min="10" max="10"/>
    <col width="32" customWidth="1" min="11" max="11"/>
    <col width="13" customWidth="1" min="12" max="12"/>
    <col width="10" customWidth="1" min="13" max="13"/>
    <col width="13" customWidth="1" min="14" max="14"/>
    <col width="15" customWidth="1" min="15" max="15"/>
    <col width="12" customWidth="1" min="16" max="16"/>
    <col width="10" customWidth="1" min="17" max="17"/>
  </cols>
  <sheetData>
    <row r="1" ht="26" customHeight="1">
      <c r="A1" s="15" t="inlineStr">
        <is>
          <t>STOCK CONFIÉ — ce que je reçois, rends ou perds</t>
        </is>
      </c>
    </row>
    <row r="2" ht="18" customHeight="1">
      <c r="A2" s="2" t="inlineStr">
        <is>
          <t>Notez la marchandise reçue du magasin, les retours, les casses et les pertes (photo obligatoire pour une casse). Les ventes se déduisent toutes seules depuis « Commandes ».</t>
        </is>
      </c>
    </row>
    <row r="3" ht="22" customHeight="1">
      <c r="A3" s="16" t="inlineStr">
        <is>
          <t>◄ Sommaire</t>
        </is>
      </c>
      <c r="C3" s="27" t="inlineStr">
        <is>
          <t>Saisie</t>
        </is>
      </c>
      <c r="D3" s="28" t="inlineStr">
        <is>
          <t>Calculé</t>
        </is>
      </c>
      <c r="E3" s="29" t="inlineStr">
        <is>
          <t>À compléter</t>
        </is>
      </c>
    </row>
    <row r="4" ht="40" customHeight="1">
      <c r="A4" s="30" t="inlineStr"/>
      <c r="B4" s="30" t="inlineStr">
        <is>
          <t>Calculé</t>
        </is>
      </c>
      <c r="C4" s="30" t="inlineStr">
        <is>
          <t>Liste de dates (aujourd'hui en tête)</t>
        </is>
      </c>
      <c r="D4" s="30" t="inlineStr">
        <is>
          <t>Reçu, retour, casse…</t>
        </is>
      </c>
      <c r="E4" s="30" t="inlineStr">
        <is>
          <t>Liste</t>
        </is>
      </c>
      <c r="F4" s="30" t="inlineStr">
        <is>
          <t>Liste (ou autre nombre)</t>
        </is>
      </c>
      <c r="G4" s="30" t="inlineStr">
        <is>
          <t>Liste</t>
        </is>
      </c>
      <c r="H4" s="30" t="inlineStr">
        <is>
          <t>Obligatoire pour une casse</t>
        </is>
      </c>
      <c r="I4" s="30" t="inlineStr">
        <is>
          <t>Vide = quantité × prix de référence</t>
        </is>
      </c>
      <c r="J4" s="30" t="inlineStr">
        <is>
          <t>Document du magasin</t>
        </is>
      </c>
      <c r="K4" s="30" t="inlineStr">
        <is>
          <t>Libre</t>
        </is>
      </c>
      <c r="L4" s="30" t="inlineStr">
        <is>
          <t>Rempli seul (Paramètres) ; remplaçable</t>
        </is>
      </c>
      <c r="M4" s="30" t="inlineStr">
        <is>
          <t>Selon le produit</t>
        </is>
      </c>
      <c r="N4" s="30" t="inlineStr">
        <is>
          <t>Vient de la feuille Listes</t>
        </is>
      </c>
      <c r="O4" s="30" t="inlineStr">
        <is>
          <t>Calculée</t>
        </is>
      </c>
      <c r="P4" s="30" t="inlineStr">
        <is>
          <t>+ entrée / − sortie</t>
        </is>
      </c>
      <c r="Q4" s="30" t="inlineStr">
        <is>
          <t>Calculé (ISO)</t>
        </is>
      </c>
    </row>
    <row r="5" ht="44" customHeight="1">
      <c r="A5" s="7" t="inlineStr">
        <is>
          <t>N°</t>
        </is>
      </c>
      <c r="B5" s="7" t="inlineStr">
        <is>
          <t>Réf. de la ligne</t>
        </is>
      </c>
      <c r="C5" s="31" t="inlineStr">
        <is>
          <t>Date</t>
        </is>
      </c>
      <c r="D5" s="31" t="inlineStr">
        <is>
          <t>Mouvement</t>
        </is>
      </c>
      <c r="E5" s="31" t="inlineStr">
        <is>
          <t>Produit</t>
        </is>
      </c>
      <c r="F5" s="31" t="inlineStr">
        <is>
          <t>Quantité</t>
        </is>
      </c>
      <c r="G5" s="31" t="inlineStr">
        <is>
          <t>Cause (casse, perte)</t>
        </is>
      </c>
      <c r="H5" s="31" t="inlineStr">
        <is>
          <t>Photo prise ?</t>
        </is>
      </c>
      <c r="I5" s="31" t="inlineStr">
        <is>
          <t>Valeur estimée (XAF) si différente du calcul</t>
        </is>
      </c>
      <c r="J5" s="31" t="inlineStr">
        <is>
          <t>N° du bon de sortie / de retour</t>
        </is>
      </c>
      <c r="K5" s="31" t="inlineStr">
        <is>
          <t>Observations</t>
        </is>
      </c>
      <c r="L5" s="7" t="inlineStr">
        <is>
          <t>Commercial</t>
        </is>
      </c>
      <c r="M5" s="7" t="inlineStr">
        <is>
          <t>Unité</t>
        </is>
      </c>
      <c r="N5" s="7" t="inlineStr">
        <is>
          <t>Prix de référence (XAF)</t>
        </is>
      </c>
      <c r="O5" s="7" t="inlineStr">
        <is>
          <t>Valeur de la casse / perte (XAF)</t>
        </is>
      </c>
      <c r="P5" s="7" t="inlineStr">
        <is>
          <t>Effet sur mon stock</t>
        </is>
      </c>
      <c r="Q5" s="7" t="inlineStr">
        <is>
          <t>Semaine</t>
        </is>
      </c>
    </row>
    <row r="6" ht="18" customHeight="1">
      <c r="A6" s="39" t="n">
        <v>1</v>
      </c>
      <c r="B6" s="33">
        <f>IF(C6="","",IF(L6="À RENSEIGNER","GIC",L6)&amp;"-S"&amp;TEXT(A6,"00000"))</f>
        <v/>
      </c>
      <c r="C6" s="32" t="n"/>
      <c r="D6" s="36" t="n"/>
      <c r="E6" s="36" t="n"/>
      <c r="F6" s="42" t="n"/>
      <c r="G6" s="36" t="n"/>
      <c r="H6" s="43" t="n"/>
      <c r="I6" s="37" t="n"/>
      <c r="J6" s="44" t="n"/>
      <c r="K6" s="36" t="n"/>
      <c r="L6" s="33">
        <f>IF(C6="","",Commercial_Id)</f>
        <v/>
      </c>
      <c r="M6" s="34">
        <f>IF(E6="","",IFERROR(VLOOKUP(E6,T_Produits,2,FALSE),""))</f>
        <v/>
      </c>
      <c r="N6" s="40">
        <f>IF(E6="","",IFERROR(1/(1/VLOOKUP(E6,T_Produits,3,FALSE)),""))</f>
        <v/>
      </c>
      <c r="O6" s="40">
        <f>IF(OR(D6="",F6=""),"",IF(OR(D6="Casse / avarie",D6="Perte / vol",D6="Échantillon offert"),IF(I6&lt;&gt;"",I6,IF(N6="","",F6*N6)),""))</f>
        <v/>
      </c>
      <c r="P6" s="50">
        <f>IF(OR(D6="",F6=""),"",F6*IF(OR(D6="Reçu du magasin",D6="Ajustement (+)"),1,-1))</f>
        <v/>
      </c>
      <c r="Q6" s="34">
        <f>IF(C6="","",YEAR(C6-WEEKDAY(C6,2)+4)&amp;"-S"&amp;TEXT(INT((C6-DATE(YEAR(C6-WEEKDAY(C6,2)+4),1,3)+WEEKDAY(DATE(YEAR(C6-WEEKDAY(C6,2)+4),1,3),2)+5)/7),"00"))</f>
        <v/>
      </c>
    </row>
    <row r="7" ht="18" customHeight="1">
      <c r="A7" s="39" t="n">
        <v>2</v>
      </c>
      <c r="B7" s="33">
        <f>IF(C7="","",IF(L7="À RENSEIGNER","GIC",L7)&amp;"-S"&amp;TEXT(A7,"00000"))</f>
        <v/>
      </c>
      <c r="C7" s="32" t="n"/>
      <c r="D7" s="36" t="n"/>
      <c r="E7" s="36" t="n"/>
      <c r="F7" s="42" t="n"/>
      <c r="G7" s="36" t="n"/>
      <c r="H7" s="43" t="n"/>
      <c r="I7" s="37" t="n"/>
      <c r="J7" s="44" t="n"/>
      <c r="K7" s="36" t="n"/>
      <c r="L7" s="33">
        <f>IF(C7="","",Commercial_Id)</f>
        <v/>
      </c>
      <c r="M7" s="34">
        <f>IF(E7="","",IFERROR(VLOOKUP(E7,T_Produits,2,FALSE),""))</f>
        <v/>
      </c>
      <c r="N7" s="40">
        <f>IF(E7="","",IFERROR(1/(1/VLOOKUP(E7,T_Produits,3,FALSE)),""))</f>
        <v/>
      </c>
      <c r="O7" s="40">
        <f>IF(OR(D7="",F7=""),"",IF(OR(D7="Casse / avarie",D7="Perte / vol",D7="Échantillon offert"),IF(I7&lt;&gt;"",I7,IF(N7="","",F7*N7)),""))</f>
        <v/>
      </c>
      <c r="P7" s="50">
        <f>IF(OR(D7="",F7=""),"",F7*IF(OR(D7="Reçu du magasin",D7="Ajustement (+)"),1,-1))</f>
        <v/>
      </c>
      <c r="Q7" s="34">
        <f>IF(C7="","",YEAR(C7-WEEKDAY(C7,2)+4)&amp;"-S"&amp;TEXT(INT((C7-DATE(YEAR(C7-WEEKDAY(C7,2)+4),1,3)+WEEKDAY(DATE(YEAR(C7-WEEKDAY(C7,2)+4),1,3),2)+5)/7),"00"))</f>
        <v/>
      </c>
    </row>
    <row r="8" ht="18" customHeight="1">
      <c r="A8" s="39" t="n">
        <v>3</v>
      </c>
      <c r="B8" s="33">
        <f>IF(C8="","",IF(L8="À RENSEIGNER","GIC",L8)&amp;"-S"&amp;TEXT(A8,"00000"))</f>
        <v/>
      </c>
      <c r="C8" s="32" t="n"/>
      <c r="D8" s="36" t="n"/>
      <c r="E8" s="36" t="n"/>
      <c r="F8" s="42" t="n"/>
      <c r="G8" s="36" t="n"/>
      <c r="H8" s="43" t="n"/>
      <c r="I8" s="37" t="n"/>
      <c r="J8" s="44" t="n"/>
      <c r="K8" s="36" t="n"/>
      <c r="L8" s="33">
        <f>IF(C8="","",Commercial_Id)</f>
        <v/>
      </c>
      <c r="M8" s="34">
        <f>IF(E8="","",IFERROR(VLOOKUP(E8,T_Produits,2,FALSE),""))</f>
        <v/>
      </c>
      <c r="N8" s="40">
        <f>IF(E8="","",IFERROR(1/(1/VLOOKUP(E8,T_Produits,3,FALSE)),""))</f>
        <v/>
      </c>
      <c r="O8" s="40">
        <f>IF(OR(D8="",F8=""),"",IF(OR(D8="Casse / avarie",D8="Perte / vol",D8="Échantillon offert"),IF(I8&lt;&gt;"",I8,IF(N8="","",F8*N8)),""))</f>
        <v/>
      </c>
      <c r="P8" s="50">
        <f>IF(OR(D8="",F8=""),"",F8*IF(OR(D8="Reçu du magasin",D8="Ajustement (+)"),1,-1))</f>
        <v/>
      </c>
      <c r="Q8" s="34">
        <f>IF(C8="","",YEAR(C8-WEEKDAY(C8,2)+4)&amp;"-S"&amp;TEXT(INT((C8-DATE(YEAR(C8-WEEKDAY(C8,2)+4),1,3)+WEEKDAY(DATE(YEAR(C8-WEEKDAY(C8,2)+4),1,3),2)+5)/7),"00"))</f>
        <v/>
      </c>
    </row>
    <row r="9" ht="18" customHeight="1">
      <c r="A9" s="39" t="n">
        <v>4</v>
      </c>
      <c r="B9" s="33">
        <f>IF(C9="","",IF(L9="À RENSEIGNER","GIC",L9)&amp;"-S"&amp;TEXT(A9,"00000"))</f>
        <v/>
      </c>
      <c r="C9" s="32" t="n"/>
      <c r="D9" s="36" t="n"/>
      <c r="E9" s="36" t="n"/>
      <c r="F9" s="42" t="n"/>
      <c r="G9" s="36" t="n"/>
      <c r="H9" s="43" t="n"/>
      <c r="I9" s="37" t="n"/>
      <c r="J9" s="44" t="n"/>
      <c r="K9" s="36" t="n"/>
      <c r="L9" s="33">
        <f>IF(C9="","",Commercial_Id)</f>
        <v/>
      </c>
      <c r="M9" s="34">
        <f>IF(E9="","",IFERROR(VLOOKUP(E9,T_Produits,2,FALSE),""))</f>
        <v/>
      </c>
      <c r="N9" s="40">
        <f>IF(E9="","",IFERROR(1/(1/VLOOKUP(E9,T_Produits,3,FALSE)),""))</f>
        <v/>
      </c>
      <c r="O9" s="40">
        <f>IF(OR(D9="",F9=""),"",IF(OR(D9="Casse / avarie",D9="Perte / vol",D9="Échantillon offert"),IF(I9&lt;&gt;"",I9,IF(N9="","",F9*N9)),""))</f>
        <v/>
      </c>
      <c r="P9" s="50">
        <f>IF(OR(D9="",F9=""),"",F9*IF(OR(D9="Reçu du magasin",D9="Ajustement (+)"),1,-1))</f>
        <v/>
      </c>
      <c r="Q9" s="34">
        <f>IF(C9="","",YEAR(C9-WEEKDAY(C9,2)+4)&amp;"-S"&amp;TEXT(INT((C9-DATE(YEAR(C9-WEEKDAY(C9,2)+4),1,3)+WEEKDAY(DATE(YEAR(C9-WEEKDAY(C9,2)+4),1,3),2)+5)/7),"00"))</f>
        <v/>
      </c>
    </row>
    <row r="10" ht="18" customHeight="1">
      <c r="A10" s="39" t="n">
        <v>5</v>
      </c>
      <c r="B10" s="33">
        <f>IF(C10="","",IF(L10="À RENSEIGNER","GIC",L10)&amp;"-S"&amp;TEXT(A10,"00000"))</f>
        <v/>
      </c>
      <c r="C10" s="32" t="n"/>
      <c r="D10" s="36" t="n"/>
      <c r="E10" s="36" t="n"/>
      <c r="F10" s="42" t="n"/>
      <c r="G10" s="36" t="n"/>
      <c r="H10" s="43" t="n"/>
      <c r="I10" s="37" t="n"/>
      <c r="J10" s="44" t="n"/>
      <c r="K10" s="36" t="n"/>
      <c r="L10" s="33">
        <f>IF(C10="","",Commercial_Id)</f>
        <v/>
      </c>
      <c r="M10" s="34">
        <f>IF(E10="","",IFERROR(VLOOKUP(E10,T_Produits,2,FALSE),""))</f>
        <v/>
      </c>
      <c r="N10" s="40">
        <f>IF(E10="","",IFERROR(1/(1/VLOOKUP(E10,T_Produits,3,FALSE)),""))</f>
        <v/>
      </c>
      <c r="O10" s="40">
        <f>IF(OR(D10="",F10=""),"",IF(OR(D10="Casse / avarie",D10="Perte / vol",D10="Échantillon offert"),IF(I10&lt;&gt;"",I10,IF(N10="","",F10*N10)),""))</f>
        <v/>
      </c>
      <c r="P10" s="50">
        <f>IF(OR(D10="",F10=""),"",F10*IF(OR(D10="Reçu du magasin",D10="Ajustement (+)"),1,-1))</f>
        <v/>
      </c>
      <c r="Q10" s="34">
        <f>IF(C10="","",YEAR(C10-WEEKDAY(C10,2)+4)&amp;"-S"&amp;TEXT(INT((C10-DATE(YEAR(C10-WEEKDAY(C10,2)+4),1,3)+WEEKDAY(DATE(YEAR(C10-WEEKDAY(C10,2)+4),1,3),2)+5)/7),"00"))</f>
        <v/>
      </c>
    </row>
    <row r="11" ht="18" customHeight="1">
      <c r="A11" s="39" t="n">
        <v>6</v>
      </c>
      <c r="B11" s="33">
        <f>IF(C11="","",IF(L11="À RENSEIGNER","GIC",L11)&amp;"-S"&amp;TEXT(A11,"00000"))</f>
        <v/>
      </c>
      <c r="C11" s="32" t="n"/>
      <c r="D11" s="36" t="n"/>
      <c r="E11" s="36" t="n"/>
      <c r="F11" s="42" t="n"/>
      <c r="G11" s="36" t="n"/>
      <c r="H11" s="43" t="n"/>
      <c r="I11" s="37" t="n"/>
      <c r="J11" s="44" t="n"/>
      <c r="K11" s="36" t="n"/>
      <c r="L11" s="33">
        <f>IF(C11="","",Commercial_Id)</f>
        <v/>
      </c>
      <c r="M11" s="34">
        <f>IF(E11="","",IFERROR(VLOOKUP(E11,T_Produits,2,FALSE),""))</f>
        <v/>
      </c>
      <c r="N11" s="40">
        <f>IF(E11="","",IFERROR(1/(1/VLOOKUP(E11,T_Produits,3,FALSE)),""))</f>
        <v/>
      </c>
      <c r="O11" s="40">
        <f>IF(OR(D11="",F11=""),"",IF(OR(D11="Casse / avarie",D11="Perte / vol",D11="Échantillon offert"),IF(I11&lt;&gt;"",I11,IF(N11="","",F11*N11)),""))</f>
        <v/>
      </c>
      <c r="P11" s="50">
        <f>IF(OR(D11="",F11=""),"",F11*IF(OR(D11="Reçu du magasin",D11="Ajustement (+)"),1,-1))</f>
        <v/>
      </c>
      <c r="Q11" s="34">
        <f>IF(C11="","",YEAR(C11-WEEKDAY(C11,2)+4)&amp;"-S"&amp;TEXT(INT((C11-DATE(YEAR(C11-WEEKDAY(C11,2)+4),1,3)+WEEKDAY(DATE(YEAR(C11-WEEKDAY(C11,2)+4),1,3),2)+5)/7),"00"))</f>
        <v/>
      </c>
    </row>
    <row r="12" ht="18" customHeight="1">
      <c r="A12" s="39" t="n">
        <v>7</v>
      </c>
      <c r="B12" s="33">
        <f>IF(C12="","",IF(L12="À RENSEIGNER","GIC",L12)&amp;"-S"&amp;TEXT(A12,"00000"))</f>
        <v/>
      </c>
      <c r="C12" s="32" t="n"/>
      <c r="D12" s="36" t="n"/>
      <c r="E12" s="36" t="n"/>
      <c r="F12" s="42" t="n"/>
      <c r="G12" s="36" t="n"/>
      <c r="H12" s="43" t="n"/>
      <c r="I12" s="37" t="n"/>
      <c r="J12" s="44" t="n"/>
      <c r="K12" s="36" t="n"/>
      <c r="L12" s="33">
        <f>IF(C12="","",Commercial_Id)</f>
        <v/>
      </c>
      <c r="M12" s="34">
        <f>IF(E12="","",IFERROR(VLOOKUP(E12,T_Produits,2,FALSE),""))</f>
        <v/>
      </c>
      <c r="N12" s="40">
        <f>IF(E12="","",IFERROR(1/(1/VLOOKUP(E12,T_Produits,3,FALSE)),""))</f>
        <v/>
      </c>
      <c r="O12" s="40">
        <f>IF(OR(D12="",F12=""),"",IF(OR(D12="Casse / avarie",D12="Perte / vol",D12="Échantillon offert"),IF(I12&lt;&gt;"",I12,IF(N12="","",F12*N12)),""))</f>
        <v/>
      </c>
      <c r="P12" s="50">
        <f>IF(OR(D12="",F12=""),"",F12*IF(OR(D12="Reçu du magasin",D12="Ajustement (+)"),1,-1))</f>
        <v/>
      </c>
      <c r="Q12" s="34">
        <f>IF(C12="","",YEAR(C12-WEEKDAY(C12,2)+4)&amp;"-S"&amp;TEXT(INT((C12-DATE(YEAR(C12-WEEKDAY(C12,2)+4),1,3)+WEEKDAY(DATE(YEAR(C12-WEEKDAY(C12,2)+4),1,3),2)+5)/7),"00"))</f>
        <v/>
      </c>
    </row>
    <row r="13" ht="18" customHeight="1">
      <c r="A13" s="39" t="n">
        <v>8</v>
      </c>
      <c r="B13" s="33">
        <f>IF(C13="","",IF(L13="À RENSEIGNER","GIC",L13)&amp;"-S"&amp;TEXT(A13,"00000"))</f>
        <v/>
      </c>
      <c r="C13" s="32" t="n"/>
      <c r="D13" s="36" t="n"/>
      <c r="E13" s="36" t="n"/>
      <c r="F13" s="42" t="n"/>
      <c r="G13" s="36" t="n"/>
      <c r="H13" s="43" t="n"/>
      <c r="I13" s="37" t="n"/>
      <c r="J13" s="44" t="n"/>
      <c r="K13" s="36" t="n"/>
      <c r="L13" s="33">
        <f>IF(C13="","",Commercial_Id)</f>
        <v/>
      </c>
      <c r="M13" s="34">
        <f>IF(E13="","",IFERROR(VLOOKUP(E13,T_Produits,2,FALSE),""))</f>
        <v/>
      </c>
      <c r="N13" s="40">
        <f>IF(E13="","",IFERROR(1/(1/VLOOKUP(E13,T_Produits,3,FALSE)),""))</f>
        <v/>
      </c>
      <c r="O13" s="40">
        <f>IF(OR(D13="",F13=""),"",IF(OR(D13="Casse / avarie",D13="Perte / vol",D13="Échantillon offert"),IF(I13&lt;&gt;"",I13,IF(N13="","",F13*N13)),""))</f>
        <v/>
      </c>
      <c r="P13" s="50">
        <f>IF(OR(D13="",F13=""),"",F13*IF(OR(D13="Reçu du magasin",D13="Ajustement (+)"),1,-1))</f>
        <v/>
      </c>
      <c r="Q13" s="34">
        <f>IF(C13="","",YEAR(C13-WEEKDAY(C13,2)+4)&amp;"-S"&amp;TEXT(INT((C13-DATE(YEAR(C13-WEEKDAY(C13,2)+4),1,3)+WEEKDAY(DATE(YEAR(C13-WEEKDAY(C13,2)+4),1,3),2)+5)/7),"00"))</f>
        <v/>
      </c>
    </row>
    <row r="14" ht="18" customHeight="1">
      <c r="A14" s="39" t="n">
        <v>9</v>
      </c>
      <c r="B14" s="33">
        <f>IF(C14="","",IF(L14="À RENSEIGNER","GIC",L14)&amp;"-S"&amp;TEXT(A14,"00000"))</f>
        <v/>
      </c>
      <c r="C14" s="32" t="n"/>
      <c r="D14" s="36" t="n"/>
      <c r="E14" s="36" t="n"/>
      <c r="F14" s="42" t="n"/>
      <c r="G14" s="36" t="n"/>
      <c r="H14" s="43" t="n"/>
      <c r="I14" s="37" t="n"/>
      <c r="J14" s="44" t="n"/>
      <c r="K14" s="36" t="n"/>
      <c r="L14" s="33">
        <f>IF(C14="","",Commercial_Id)</f>
        <v/>
      </c>
      <c r="M14" s="34">
        <f>IF(E14="","",IFERROR(VLOOKUP(E14,T_Produits,2,FALSE),""))</f>
        <v/>
      </c>
      <c r="N14" s="40">
        <f>IF(E14="","",IFERROR(1/(1/VLOOKUP(E14,T_Produits,3,FALSE)),""))</f>
        <v/>
      </c>
      <c r="O14" s="40">
        <f>IF(OR(D14="",F14=""),"",IF(OR(D14="Casse / avarie",D14="Perte / vol",D14="Échantillon offert"),IF(I14&lt;&gt;"",I14,IF(N14="","",F14*N14)),""))</f>
        <v/>
      </c>
      <c r="P14" s="50">
        <f>IF(OR(D14="",F14=""),"",F14*IF(OR(D14="Reçu du magasin",D14="Ajustement (+)"),1,-1))</f>
        <v/>
      </c>
      <c r="Q14" s="34">
        <f>IF(C14="","",YEAR(C14-WEEKDAY(C14,2)+4)&amp;"-S"&amp;TEXT(INT((C14-DATE(YEAR(C14-WEEKDAY(C14,2)+4),1,3)+WEEKDAY(DATE(YEAR(C14-WEEKDAY(C14,2)+4),1,3),2)+5)/7),"00"))</f>
        <v/>
      </c>
    </row>
    <row r="15" ht="18" customHeight="1">
      <c r="A15" s="39" t="n">
        <v>10</v>
      </c>
      <c r="B15" s="33">
        <f>IF(C15="","",IF(L15="À RENSEIGNER","GIC",L15)&amp;"-S"&amp;TEXT(A15,"00000"))</f>
        <v/>
      </c>
      <c r="C15" s="32" t="n"/>
      <c r="D15" s="36" t="n"/>
      <c r="E15" s="36" t="n"/>
      <c r="F15" s="42" t="n"/>
      <c r="G15" s="36" t="n"/>
      <c r="H15" s="43" t="n"/>
      <c r="I15" s="37" t="n"/>
      <c r="J15" s="44" t="n"/>
      <c r="K15" s="36" t="n"/>
      <c r="L15" s="33">
        <f>IF(C15="","",Commercial_Id)</f>
        <v/>
      </c>
      <c r="M15" s="34">
        <f>IF(E15="","",IFERROR(VLOOKUP(E15,T_Produits,2,FALSE),""))</f>
        <v/>
      </c>
      <c r="N15" s="40">
        <f>IF(E15="","",IFERROR(1/(1/VLOOKUP(E15,T_Produits,3,FALSE)),""))</f>
        <v/>
      </c>
      <c r="O15" s="40">
        <f>IF(OR(D15="",F15=""),"",IF(OR(D15="Casse / avarie",D15="Perte / vol",D15="Échantillon offert"),IF(I15&lt;&gt;"",I15,IF(N15="","",F15*N15)),""))</f>
        <v/>
      </c>
      <c r="P15" s="50">
        <f>IF(OR(D15="",F15=""),"",F15*IF(OR(D15="Reçu du magasin",D15="Ajustement (+)"),1,-1))</f>
        <v/>
      </c>
      <c r="Q15" s="34">
        <f>IF(C15="","",YEAR(C15-WEEKDAY(C15,2)+4)&amp;"-S"&amp;TEXT(INT((C15-DATE(YEAR(C15-WEEKDAY(C15,2)+4),1,3)+WEEKDAY(DATE(YEAR(C15-WEEKDAY(C15,2)+4),1,3),2)+5)/7),"00"))</f>
        <v/>
      </c>
    </row>
    <row r="16" ht="18" customHeight="1">
      <c r="A16" s="39" t="n">
        <v>11</v>
      </c>
      <c r="B16" s="33">
        <f>IF(C16="","",IF(L16="À RENSEIGNER","GIC",L16)&amp;"-S"&amp;TEXT(A16,"00000"))</f>
        <v/>
      </c>
      <c r="C16" s="32" t="n"/>
      <c r="D16" s="36" t="n"/>
      <c r="E16" s="36" t="n"/>
      <c r="F16" s="42" t="n"/>
      <c r="G16" s="36" t="n"/>
      <c r="H16" s="43" t="n"/>
      <c r="I16" s="37" t="n"/>
      <c r="J16" s="44" t="n"/>
      <c r="K16" s="36" t="n"/>
      <c r="L16" s="33">
        <f>IF(C16="","",Commercial_Id)</f>
        <v/>
      </c>
      <c r="M16" s="34">
        <f>IF(E16="","",IFERROR(VLOOKUP(E16,T_Produits,2,FALSE),""))</f>
        <v/>
      </c>
      <c r="N16" s="40">
        <f>IF(E16="","",IFERROR(1/(1/VLOOKUP(E16,T_Produits,3,FALSE)),""))</f>
        <v/>
      </c>
      <c r="O16" s="40">
        <f>IF(OR(D16="",F16=""),"",IF(OR(D16="Casse / avarie",D16="Perte / vol",D16="Échantillon offert"),IF(I16&lt;&gt;"",I16,IF(N16="","",F16*N16)),""))</f>
        <v/>
      </c>
      <c r="P16" s="50">
        <f>IF(OR(D16="",F16=""),"",F16*IF(OR(D16="Reçu du magasin",D16="Ajustement (+)"),1,-1))</f>
        <v/>
      </c>
      <c r="Q16" s="34">
        <f>IF(C16="","",YEAR(C16-WEEKDAY(C16,2)+4)&amp;"-S"&amp;TEXT(INT((C16-DATE(YEAR(C16-WEEKDAY(C16,2)+4),1,3)+WEEKDAY(DATE(YEAR(C16-WEEKDAY(C16,2)+4),1,3),2)+5)/7),"00"))</f>
        <v/>
      </c>
    </row>
    <row r="17" ht="18" customHeight="1">
      <c r="A17" s="39" t="n">
        <v>12</v>
      </c>
      <c r="B17" s="33">
        <f>IF(C17="","",IF(L17="À RENSEIGNER","GIC",L17)&amp;"-S"&amp;TEXT(A17,"00000"))</f>
        <v/>
      </c>
      <c r="C17" s="32" t="n"/>
      <c r="D17" s="36" t="n"/>
      <c r="E17" s="36" t="n"/>
      <c r="F17" s="42" t="n"/>
      <c r="G17" s="36" t="n"/>
      <c r="H17" s="43" t="n"/>
      <c r="I17" s="37" t="n"/>
      <c r="J17" s="44" t="n"/>
      <c r="K17" s="36" t="n"/>
      <c r="L17" s="33">
        <f>IF(C17="","",Commercial_Id)</f>
        <v/>
      </c>
      <c r="M17" s="34">
        <f>IF(E17="","",IFERROR(VLOOKUP(E17,T_Produits,2,FALSE),""))</f>
        <v/>
      </c>
      <c r="N17" s="40">
        <f>IF(E17="","",IFERROR(1/(1/VLOOKUP(E17,T_Produits,3,FALSE)),""))</f>
        <v/>
      </c>
      <c r="O17" s="40">
        <f>IF(OR(D17="",F17=""),"",IF(OR(D17="Casse / avarie",D17="Perte / vol",D17="Échantillon offert"),IF(I17&lt;&gt;"",I17,IF(N17="","",F17*N17)),""))</f>
        <v/>
      </c>
      <c r="P17" s="50">
        <f>IF(OR(D17="",F17=""),"",F17*IF(OR(D17="Reçu du magasin",D17="Ajustement (+)"),1,-1))</f>
        <v/>
      </c>
      <c r="Q17" s="34">
        <f>IF(C17="","",YEAR(C17-WEEKDAY(C17,2)+4)&amp;"-S"&amp;TEXT(INT((C17-DATE(YEAR(C17-WEEKDAY(C17,2)+4),1,3)+WEEKDAY(DATE(YEAR(C17-WEEKDAY(C17,2)+4),1,3),2)+5)/7),"00"))</f>
        <v/>
      </c>
    </row>
    <row r="18" ht="18" customHeight="1">
      <c r="A18" s="39" t="n">
        <v>13</v>
      </c>
      <c r="B18" s="33">
        <f>IF(C18="","",IF(L18="À RENSEIGNER","GIC",L18)&amp;"-S"&amp;TEXT(A18,"00000"))</f>
        <v/>
      </c>
      <c r="C18" s="32" t="n"/>
      <c r="D18" s="36" t="n"/>
      <c r="E18" s="36" t="n"/>
      <c r="F18" s="42" t="n"/>
      <c r="G18" s="36" t="n"/>
      <c r="H18" s="43" t="n"/>
      <c r="I18" s="37" t="n"/>
      <c r="J18" s="44" t="n"/>
      <c r="K18" s="36" t="n"/>
      <c r="L18" s="33">
        <f>IF(C18="","",Commercial_Id)</f>
        <v/>
      </c>
      <c r="M18" s="34">
        <f>IF(E18="","",IFERROR(VLOOKUP(E18,T_Produits,2,FALSE),""))</f>
        <v/>
      </c>
      <c r="N18" s="40">
        <f>IF(E18="","",IFERROR(1/(1/VLOOKUP(E18,T_Produits,3,FALSE)),""))</f>
        <v/>
      </c>
      <c r="O18" s="40">
        <f>IF(OR(D18="",F18=""),"",IF(OR(D18="Casse / avarie",D18="Perte / vol",D18="Échantillon offert"),IF(I18&lt;&gt;"",I18,IF(N18="","",F18*N18)),""))</f>
        <v/>
      </c>
      <c r="P18" s="50">
        <f>IF(OR(D18="",F18=""),"",F18*IF(OR(D18="Reçu du magasin",D18="Ajustement (+)"),1,-1))</f>
        <v/>
      </c>
      <c r="Q18" s="34">
        <f>IF(C18="","",YEAR(C18-WEEKDAY(C18,2)+4)&amp;"-S"&amp;TEXT(INT((C18-DATE(YEAR(C18-WEEKDAY(C18,2)+4),1,3)+WEEKDAY(DATE(YEAR(C18-WEEKDAY(C18,2)+4),1,3),2)+5)/7),"00"))</f>
        <v/>
      </c>
    </row>
    <row r="19" ht="18" customHeight="1">
      <c r="A19" s="39" t="n">
        <v>14</v>
      </c>
      <c r="B19" s="33">
        <f>IF(C19="","",IF(L19="À RENSEIGNER","GIC",L19)&amp;"-S"&amp;TEXT(A19,"00000"))</f>
        <v/>
      </c>
      <c r="C19" s="32" t="n"/>
      <c r="D19" s="36" t="n"/>
      <c r="E19" s="36" t="n"/>
      <c r="F19" s="42" t="n"/>
      <c r="G19" s="36" t="n"/>
      <c r="H19" s="43" t="n"/>
      <c r="I19" s="37" t="n"/>
      <c r="J19" s="44" t="n"/>
      <c r="K19" s="36" t="n"/>
      <c r="L19" s="33">
        <f>IF(C19="","",Commercial_Id)</f>
        <v/>
      </c>
      <c r="M19" s="34">
        <f>IF(E19="","",IFERROR(VLOOKUP(E19,T_Produits,2,FALSE),""))</f>
        <v/>
      </c>
      <c r="N19" s="40">
        <f>IF(E19="","",IFERROR(1/(1/VLOOKUP(E19,T_Produits,3,FALSE)),""))</f>
        <v/>
      </c>
      <c r="O19" s="40">
        <f>IF(OR(D19="",F19=""),"",IF(OR(D19="Casse / avarie",D19="Perte / vol",D19="Échantillon offert"),IF(I19&lt;&gt;"",I19,IF(N19="","",F19*N19)),""))</f>
        <v/>
      </c>
      <c r="P19" s="50">
        <f>IF(OR(D19="",F19=""),"",F19*IF(OR(D19="Reçu du magasin",D19="Ajustement (+)"),1,-1))</f>
        <v/>
      </c>
      <c r="Q19" s="34">
        <f>IF(C19="","",YEAR(C19-WEEKDAY(C19,2)+4)&amp;"-S"&amp;TEXT(INT((C19-DATE(YEAR(C19-WEEKDAY(C19,2)+4),1,3)+WEEKDAY(DATE(YEAR(C19-WEEKDAY(C19,2)+4),1,3),2)+5)/7),"00"))</f>
        <v/>
      </c>
    </row>
    <row r="20" ht="18" customHeight="1">
      <c r="A20" s="39" t="n">
        <v>15</v>
      </c>
      <c r="B20" s="33">
        <f>IF(C20="","",IF(L20="À RENSEIGNER","GIC",L20)&amp;"-S"&amp;TEXT(A20,"00000"))</f>
        <v/>
      </c>
      <c r="C20" s="32" t="n"/>
      <c r="D20" s="36" t="n"/>
      <c r="E20" s="36" t="n"/>
      <c r="F20" s="42" t="n"/>
      <c r="G20" s="36" t="n"/>
      <c r="H20" s="43" t="n"/>
      <c r="I20" s="37" t="n"/>
      <c r="J20" s="44" t="n"/>
      <c r="K20" s="36" t="n"/>
      <c r="L20" s="33">
        <f>IF(C20="","",Commercial_Id)</f>
        <v/>
      </c>
      <c r="M20" s="34">
        <f>IF(E20="","",IFERROR(VLOOKUP(E20,T_Produits,2,FALSE),""))</f>
        <v/>
      </c>
      <c r="N20" s="40">
        <f>IF(E20="","",IFERROR(1/(1/VLOOKUP(E20,T_Produits,3,FALSE)),""))</f>
        <v/>
      </c>
      <c r="O20" s="40">
        <f>IF(OR(D20="",F20=""),"",IF(OR(D20="Casse / avarie",D20="Perte / vol",D20="Échantillon offert"),IF(I20&lt;&gt;"",I20,IF(N20="","",F20*N20)),""))</f>
        <v/>
      </c>
      <c r="P20" s="50">
        <f>IF(OR(D20="",F20=""),"",F20*IF(OR(D20="Reçu du magasin",D20="Ajustement (+)"),1,-1))</f>
        <v/>
      </c>
      <c r="Q20" s="34">
        <f>IF(C20="","",YEAR(C20-WEEKDAY(C20,2)+4)&amp;"-S"&amp;TEXT(INT((C20-DATE(YEAR(C20-WEEKDAY(C20,2)+4),1,3)+WEEKDAY(DATE(YEAR(C20-WEEKDAY(C20,2)+4),1,3),2)+5)/7),"00"))</f>
        <v/>
      </c>
    </row>
    <row r="21" ht="18" customHeight="1">
      <c r="A21" s="39" t="n">
        <v>16</v>
      </c>
      <c r="B21" s="33">
        <f>IF(C21="","",IF(L21="À RENSEIGNER","GIC",L21)&amp;"-S"&amp;TEXT(A21,"00000"))</f>
        <v/>
      </c>
      <c r="C21" s="32" t="n"/>
      <c r="D21" s="36" t="n"/>
      <c r="E21" s="36" t="n"/>
      <c r="F21" s="42" t="n"/>
      <c r="G21" s="36" t="n"/>
      <c r="H21" s="43" t="n"/>
      <c r="I21" s="37" t="n"/>
      <c r="J21" s="44" t="n"/>
      <c r="K21" s="36" t="n"/>
      <c r="L21" s="33">
        <f>IF(C21="","",Commercial_Id)</f>
        <v/>
      </c>
      <c r="M21" s="34">
        <f>IF(E21="","",IFERROR(VLOOKUP(E21,T_Produits,2,FALSE),""))</f>
        <v/>
      </c>
      <c r="N21" s="40">
        <f>IF(E21="","",IFERROR(1/(1/VLOOKUP(E21,T_Produits,3,FALSE)),""))</f>
        <v/>
      </c>
      <c r="O21" s="40">
        <f>IF(OR(D21="",F21=""),"",IF(OR(D21="Casse / avarie",D21="Perte / vol",D21="Échantillon offert"),IF(I21&lt;&gt;"",I21,IF(N21="","",F21*N21)),""))</f>
        <v/>
      </c>
      <c r="P21" s="50">
        <f>IF(OR(D21="",F21=""),"",F21*IF(OR(D21="Reçu du magasin",D21="Ajustement (+)"),1,-1))</f>
        <v/>
      </c>
      <c r="Q21" s="34">
        <f>IF(C21="","",YEAR(C21-WEEKDAY(C21,2)+4)&amp;"-S"&amp;TEXT(INT((C21-DATE(YEAR(C21-WEEKDAY(C21,2)+4),1,3)+WEEKDAY(DATE(YEAR(C21-WEEKDAY(C21,2)+4),1,3),2)+5)/7),"00"))</f>
        <v/>
      </c>
    </row>
    <row r="22" ht="18" customHeight="1">
      <c r="A22" s="39" t="n">
        <v>17</v>
      </c>
      <c r="B22" s="33">
        <f>IF(C22="","",IF(L22="À RENSEIGNER","GIC",L22)&amp;"-S"&amp;TEXT(A22,"00000"))</f>
        <v/>
      </c>
      <c r="C22" s="32" t="n"/>
      <c r="D22" s="36" t="n"/>
      <c r="E22" s="36" t="n"/>
      <c r="F22" s="42" t="n"/>
      <c r="G22" s="36" t="n"/>
      <c r="H22" s="43" t="n"/>
      <c r="I22" s="37" t="n"/>
      <c r="J22" s="44" t="n"/>
      <c r="K22" s="36" t="n"/>
      <c r="L22" s="33">
        <f>IF(C22="","",Commercial_Id)</f>
        <v/>
      </c>
      <c r="M22" s="34">
        <f>IF(E22="","",IFERROR(VLOOKUP(E22,T_Produits,2,FALSE),""))</f>
        <v/>
      </c>
      <c r="N22" s="40">
        <f>IF(E22="","",IFERROR(1/(1/VLOOKUP(E22,T_Produits,3,FALSE)),""))</f>
        <v/>
      </c>
      <c r="O22" s="40">
        <f>IF(OR(D22="",F22=""),"",IF(OR(D22="Casse / avarie",D22="Perte / vol",D22="Échantillon offert"),IF(I22&lt;&gt;"",I22,IF(N22="","",F22*N22)),""))</f>
        <v/>
      </c>
      <c r="P22" s="50">
        <f>IF(OR(D22="",F22=""),"",F22*IF(OR(D22="Reçu du magasin",D22="Ajustement (+)"),1,-1))</f>
        <v/>
      </c>
      <c r="Q22" s="34">
        <f>IF(C22="","",YEAR(C22-WEEKDAY(C22,2)+4)&amp;"-S"&amp;TEXT(INT((C22-DATE(YEAR(C22-WEEKDAY(C22,2)+4),1,3)+WEEKDAY(DATE(YEAR(C22-WEEKDAY(C22,2)+4),1,3),2)+5)/7),"00"))</f>
        <v/>
      </c>
    </row>
    <row r="23" ht="18" customHeight="1">
      <c r="A23" s="39" t="n">
        <v>18</v>
      </c>
      <c r="B23" s="33">
        <f>IF(C23="","",IF(L23="À RENSEIGNER","GIC",L23)&amp;"-S"&amp;TEXT(A23,"00000"))</f>
        <v/>
      </c>
      <c r="C23" s="32" t="n"/>
      <c r="D23" s="36" t="n"/>
      <c r="E23" s="36" t="n"/>
      <c r="F23" s="42" t="n"/>
      <c r="G23" s="36" t="n"/>
      <c r="H23" s="43" t="n"/>
      <c r="I23" s="37" t="n"/>
      <c r="J23" s="44" t="n"/>
      <c r="K23" s="36" t="n"/>
      <c r="L23" s="33">
        <f>IF(C23="","",Commercial_Id)</f>
        <v/>
      </c>
      <c r="M23" s="34">
        <f>IF(E23="","",IFERROR(VLOOKUP(E23,T_Produits,2,FALSE),""))</f>
        <v/>
      </c>
      <c r="N23" s="40">
        <f>IF(E23="","",IFERROR(1/(1/VLOOKUP(E23,T_Produits,3,FALSE)),""))</f>
        <v/>
      </c>
      <c r="O23" s="40">
        <f>IF(OR(D23="",F23=""),"",IF(OR(D23="Casse / avarie",D23="Perte / vol",D23="Échantillon offert"),IF(I23&lt;&gt;"",I23,IF(N23="","",F23*N23)),""))</f>
        <v/>
      </c>
      <c r="P23" s="50">
        <f>IF(OR(D23="",F23=""),"",F23*IF(OR(D23="Reçu du magasin",D23="Ajustement (+)"),1,-1))</f>
        <v/>
      </c>
      <c r="Q23" s="34">
        <f>IF(C23="","",YEAR(C23-WEEKDAY(C23,2)+4)&amp;"-S"&amp;TEXT(INT((C23-DATE(YEAR(C23-WEEKDAY(C23,2)+4),1,3)+WEEKDAY(DATE(YEAR(C23-WEEKDAY(C23,2)+4),1,3),2)+5)/7),"00"))</f>
        <v/>
      </c>
    </row>
    <row r="24" ht="18" customHeight="1">
      <c r="A24" s="39" t="n">
        <v>19</v>
      </c>
      <c r="B24" s="33">
        <f>IF(C24="","",IF(L24="À RENSEIGNER","GIC",L24)&amp;"-S"&amp;TEXT(A24,"00000"))</f>
        <v/>
      </c>
      <c r="C24" s="32" t="n"/>
      <c r="D24" s="36" t="n"/>
      <c r="E24" s="36" t="n"/>
      <c r="F24" s="42" t="n"/>
      <c r="G24" s="36" t="n"/>
      <c r="H24" s="43" t="n"/>
      <c r="I24" s="37" t="n"/>
      <c r="J24" s="44" t="n"/>
      <c r="K24" s="36" t="n"/>
      <c r="L24" s="33">
        <f>IF(C24="","",Commercial_Id)</f>
        <v/>
      </c>
      <c r="M24" s="34">
        <f>IF(E24="","",IFERROR(VLOOKUP(E24,T_Produits,2,FALSE),""))</f>
        <v/>
      </c>
      <c r="N24" s="40">
        <f>IF(E24="","",IFERROR(1/(1/VLOOKUP(E24,T_Produits,3,FALSE)),""))</f>
        <v/>
      </c>
      <c r="O24" s="40">
        <f>IF(OR(D24="",F24=""),"",IF(OR(D24="Casse / avarie",D24="Perte / vol",D24="Échantillon offert"),IF(I24&lt;&gt;"",I24,IF(N24="","",F24*N24)),""))</f>
        <v/>
      </c>
      <c r="P24" s="50">
        <f>IF(OR(D24="",F24=""),"",F24*IF(OR(D24="Reçu du magasin",D24="Ajustement (+)"),1,-1))</f>
        <v/>
      </c>
      <c r="Q24" s="34">
        <f>IF(C24="","",YEAR(C24-WEEKDAY(C24,2)+4)&amp;"-S"&amp;TEXT(INT((C24-DATE(YEAR(C24-WEEKDAY(C24,2)+4),1,3)+WEEKDAY(DATE(YEAR(C24-WEEKDAY(C24,2)+4),1,3),2)+5)/7),"00"))</f>
        <v/>
      </c>
    </row>
    <row r="25" ht="18" customHeight="1">
      <c r="A25" s="39" t="n">
        <v>20</v>
      </c>
      <c r="B25" s="33">
        <f>IF(C25="","",IF(L25="À RENSEIGNER","GIC",L25)&amp;"-S"&amp;TEXT(A25,"00000"))</f>
        <v/>
      </c>
      <c r="C25" s="32" t="n"/>
      <c r="D25" s="36" t="n"/>
      <c r="E25" s="36" t="n"/>
      <c r="F25" s="42" t="n"/>
      <c r="G25" s="36" t="n"/>
      <c r="H25" s="43" t="n"/>
      <c r="I25" s="37" t="n"/>
      <c r="J25" s="44" t="n"/>
      <c r="K25" s="36" t="n"/>
      <c r="L25" s="33">
        <f>IF(C25="","",Commercial_Id)</f>
        <v/>
      </c>
      <c r="M25" s="34">
        <f>IF(E25="","",IFERROR(VLOOKUP(E25,T_Produits,2,FALSE),""))</f>
        <v/>
      </c>
      <c r="N25" s="40">
        <f>IF(E25="","",IFERROR(1/(1/VLOOKUP(E25,T_Produits,3,FALSE)),""))</f>
        <v/>
      </c>
      <c r="O25" s="40">
        <f>IF(OR(D25="",F25=""),"",IF(OR(D25="Casse / avarie",D25="Perte / vol",D25="Échantillon offert"),IF(I25&lt;&gt;"",I25,IF(N25="","",F25*N25)),""))</f>
        <v/>
      </c>
      <c r="P25" s="50">
        <f>IF(OR(D25="",F25=""),"",F25*IF(OR(D25="Reçu du magasin",D25="Ajustement (+)"),1,-1))</f>
        <v/>
      </c>
      <c r="Q25" s="34">
        <f>IF(C25="","",YEAR(C25-WEEKDAY(C25,2)+4)&amp;"-S"&amp;TEXT(INT((C25-DATE(YEAR(C25-WEEKDAY(C25,2)+4),1,3)+WEEKDAY(DATE(YEAR(C25-WEEKDAY(C25,2)+4),1,3),2)+5)/7),"00"))</f>
        <v/>
      </c>
    </row>
    <row r="26" ht="18" customHeight="1">
      <c r="A26" s="39" t="n">
        <v>21</v>
      </c>
      <c r="B26" s="33">
        <f>IF(C26="","",IF(L26="À RENSEIGNER","GIC",L26)&amp;"-S"&amp;TEXT(A26,"00000"))</f>
        <v/>
      </c>
      <c r="C26" s="32" t="n"/>
      <c r="D26" s="36" t="n"/>
      <c r="E26" s="36" t="n"/>
      <c r="F26" s="42" t="n"/>
      <c r="G26" s="36" t="n"/>
      <c r="H26" s="43" t="n"/>
      <c r="I26" s="37" t="n"/>
      <c r="J26" s="44" t="n"/>
      <c r="K26" s="36" t="n"/>
      <c r="L26" s="33">
        <f>IF(C26="","",Commercial_Id)</f>
        <v/>
      </c>
      <c r="M26" s="34">
        <f>IF(E26="","",IFERROR(VLOOKUP(E26,T_Produits,2,FALSE),""))</f>
        <v/>
      </c>
      <c r="N26" s="40">
        <f>IF(E26="","",IFERROR(1/(1/VLOOKUP(E26,T_Produits,3,FALSE)),""))</f>
        <v/>
      </c>
      <c r="O26" s="40">
        <f>IF(OR(D26="",F26=""),"",IF(OR(D26="Casse / avarie",D26="Perte / vol",D26="Échantillon offert"),IF(I26&lt;&gt;"",I26,IF(N26="","",F26*N26)),""))</f>
        <v/>
      </c>
      <c r="P26" s="50">
        <f>IF(OR(D26="",F26=""),"",F26*IF(OR(D26="Reçu du magasin",D26="Ajustement (+)"),1,-1))</f>
        <v/>
      </c>
      <c r="Q26" s="34">
        <f>IF(C26="","",YEAR(C26-WEEKDAY(C26,2)+4)&amp;"-S"&amp;TEXT(INT((C26-DATE(YEAR(C26-WEEKDAY(C26,2)+4),1,3)+WEEKDAY(DATE(YEAR(C26-WEEKDAY(C26,2)+4),1,3),2)+5)/7),"00"))</f>
        <v/>
      </c>
    </row>
    <row r="27" ht="18" customHeight="1">
      <c r="A27" s="39" t="n">
        <v>22</v>
      </c>
      <c r="B27" s="33">
        <f>IF(C27="","",IF(L27="À RENSEIGNER","GIC",L27)&amp;"-S"&amp;TEXT(A27,"00000"))</f>
        <v/>
      </c>
      <c r="C27" s="32" t="n"/>
      <c r="D27" s="36" t="n"/>
      <c r="E27" s="36" t="n"/>
      <c r="F27" s="42" t="n"/>
      <c r="G27" s="36" t="n"/>
      <c r="H27" s="43" t="n"/>
      <c r="I27" s="37" t="n"/>
      <c r="J27" s="44" t="n"/>
      <c r="K27" s="36" t="n"/>
      <c r="L27" s="33">
        <f>IF(C27="","",Commercial_Id)</f>
        <v/>
      </c>
      <c r="M27" s="34">
        <f>IF(E27="","",IFERROR(VLOOKUP(E27,T_Produits,2,FALSE),""))</f>
        <v/>
      </c>
      <c r="N27" s="40">
        <f>IF(E27="","",IFERROR(1/(1/VLOOKUP(E27,T_Produits,3,FALSE)),""))</f>
        <v/>
      </c>
      <c r="O27" s="40">
        <f>IF(OR(D27="",F27=""),"",IF(OR(D27="Casse / avarie",D27="Perte / vol",D27="Échantillon offert"),IF(I27&lt;&gt;"",I27,IF(N27="","",F27*N27)),""))</f>
        <v/>
      </c>
      <c r="P27" s="50">
        <f>IF(OR(D27="",F27=""),"",F27*IF(OR(D27="Reçu du magasin",D27="Ajustement (+)"),1,-1))</f>
        <v/>
      </c>
      <c r="Q27" s="34">
        <f>IF(C27="","",YEAR(C27-WEEKDAY(C27,2)+4)&amp;"-S"&amp;TEXT(INT((C27-DATE(YEAR(C27-WEEKDAY(C27,2)+4),1,3)+WEEKDAY(DATE(YEAR(C27-WEEKDAY(C27,2)+4),1,3),2)+5)/7),"00"))</f>
        <v/>
      </c>
    </row>
    <row r="28" ht="18" customHeight="1">
      <c r="A28" s="39" t="n">
        <v>23</v>
      </c>
      <c r="B28" s="33">
        <f>IF(C28="","",IF(L28="À RENSEIGNER","GIC",L28)&amp;"-S"&amp;TEXT(A28,"00000"))</f>
        <v/>
      </c>
      <c r="C28" s="32" t="n"/>
      <c r="D28" s="36" t="n"/>
      <c r="E28" s="36" t="n"/>
      <c r="F28" s="42" t="n"/>
      <c r="G28" s="36" t="n"/>
      <c r="H28" s="43" t="n"/>
      <c r="I28" s="37" t="n"/>
      <c r="J28" s="44" t="n"/>
      <c r="K28" s="36" t="n"/>
      <c r="L28" s="33">
        <f>IF(C28="","",Commercial_Id)</f>
        <v/>
      </c>
      <c r="M28" s="34">
        <f>IF(E28="","",IFERROR(VLOOKUP(E28,T_Produits,2,FALSE),""))</f>
        <v/>
      </c>
      <c r="N28" s="40">
        <f>IF(E28="","",IFERROR(1/(1/VLOOKUP(E28,T_Produits,3,FALSE)),""))</f>
        <v/>
      </c>
      <c r="O28" s="40">
        <f>IF(OR(D28="",F28=""),"",IF(OR(D28="Casse / avarie",D28="Perte / vol",D28="Échantillon offert"),IF(I28&lt;&gt;"",I28,IF(N28="","",F28*N28)),""))</f>
        <v/>
      </c>
      <c r="P28" s="50">
        <f>IF(OR(D28="",F28=""),"",F28*IF(OR(D28="Reçu du magasin",D28="Ajustement (+)"),1,-1))</f>
        <v/>
      </c>
      <c r="Q28" s="34">
        <f>IF(C28="","",YEAR(C28-WEEKDAY(C28,2)+4)&amp;"-S"&amp;TEXT(INT((C28-DATE(YEAR(C28-WEEKDAY(C28,2)+4),1,3)+WEEKDAY(DATE(YEAR(C28-WEEKDAY(C28,2)+4),1,3),2)+5)/7),"00"))</f>
        <v/>
      </c>
    </row>
    <row r="29" ht="18" customHeight="1">
      <c r="A29" s="39" t="n">
        <v>24</v>
      </c>
      <c r="B29" s="33">
        <f>IF(C29="","",IF(L29="À RENSEIGNER","GIC",L29)&amp;"-S"&amp;TEXT(A29,"00000"))</f>
        <v/>
      </c>
      <c r="C29" s="32" t="n"/>
      <c r="D29" s="36" t="n"/>
      <c r="E29" s="36" t="n"/>
      <c r="F29" s="42" t="n"/>
      <c r="G29" s="36" t="n"/>
      <c r="H29" s="43" t="n"/>
      <c r="I29" s="37" t="n"/>
      <c r="J29" s="44" t="n"/>
      <c r="K29" s="36" t="n"/>
      <c r="L29" s="33">
        <f>IF(C29="","",Commercial_Id)</f>
        <v/>
      </c>
      <c r="M29" s="34">
        <f>IF(E29="","",IFERROR(VLOOKUP(E29,T_Produits,2,FALSE),""))</f>
        <v/>
      </c>
      <c r="N29" s="40">
        <f>IF(E29="","",IFERROR(1/(1/VLOOKUP(E29,T_Produits,3,FALSE)),""))</f>
        <v/>
      </c>
      <c r="O29" s="40">
        <f>IF(OR(D29="",F29=""),"",IF(OR(D29="Casse / avarie",D29="Perte / vol",D29="Échantillon offert"),IF(I29&lt;&gt;"",I29,IF(N29="","",F29*N29)),""))</f>
        <v/>
      </c>
      <c r="P29" s="50">
        <f>IF(OR(D29="",F29=""),"",F29*IF(OR(D29="Reçu du magasin",D29="Ajustement (+)"),1,-1))</f>
        <v/>
      </c>
      <c r="Q29" s="34">
        <f>IF(C29="","",YEAR(C29-WEEKDAY(C29,2)+4)&amp;"-S"&amp;TEXT(INT((C29-DATE(YEAR(C29-WEEKDAY(C29,2)+4),1,3)+WEEKDAY(DATE(YEAR(C29-WEEKDAY(C29,2)+4),1,3),2)+5)/7),"00"))</f>
        <v/>
      </c>
    </row>
    <row r="30" ht="18" customHeight="1">
      <c r="A30" s="39" t="n">
        <v>25</v>
      </c>
      <c r="B30" s="33">
        <f>IF(C30="","",IF(L30="À RENSEIGNER","GIC",L30)&amp;"-S"&amp;TEXT(A30,"00000"))</f>
        <v/>
      </c>
      <c r="C30" s="32" t="n"/>
      <c r="D30" s="36" t="n"/>
      <c r="E30" s="36" t="n"/>
      <c r="F30" s="42" t="n"/>
      <c r="G30" s="36" t="n"/>
      <c r="H30" s="43" t="n"/>
      <c r="I30" s="37" t="n"/>
      <c r="J30" s="44" t="n"/>
      <c r="K30" s="36" t="n"/>
      <c r="L30" s="33">
        <f>IF(C30="","",Commercial_Id)</f>
        <v/>
      </c>
      <c r="M30" s="34">
        <f>IF(E30="","",IFERROR(VLOOKUP(E30,T_Produits,2,FALSE),""))</f>
        <v/>
      </c>
      <c r="N30" s="40">
        <f>IF(E30="","",IFERROR(1/(1/VLOOKUP(E30,T_Produits,3,FALSE)),""))</f>
        <v/>
      </c>
      <c r="O30" s="40">
        <f>IF(OR(D30="",F30=""),"",IF(OR(D30="Casse / avarie",D30="Perte / vol",D30="Échantillon offert"),IF(I30&lt;&gt;"",I30,IF(N30="","",F30*N30)),""))</f>
        <v/>
      </c>
      <c r="P30" s="50">
        <f>IF(OR(D30="",F30=""),"",F30*IF(OR(D30="Reçu du magasin",D30="Ajustement (+)"),1,-1))</f>
        <v/>
      </c>
      <c r="Q30" s="34">
        <f>IF(C30="","",YEAR(C30-WEEKDAY(C30,2)+4)&amp;"-S"&amp;TEXT(INT((C30-DATE(YEAR(C30-WEEKDAY(C30,2)+4),1,3)+WEEKDAY(DATE(YEAR(C30-WEEKDAY(C30,2)+4),1,3),2)+5)/7),"00"))</f>
        <v/>
      </c>
    </row>
    <row r="31" ht="18" customHeight="1">
      <c r="A31" s="39" t="n">
        <v>26</v>
      </c>
      <c r="B31" s="33">
        <f>IF(C31="","",IF(L31="À RENSEIGNER","GIC",L31)&amp;"-S"&amp;TEXT(A31,"00000"))</f>
        <v/>
      </c>
      <c r="C31" s="32" t="n"/>
      <c r="D31" s="36" t="n"/>
      <c r="E31" s="36" t="n"/>
      <c r="F31" s="42" t="n"/>
      <c r="G31" s="36" t="n"/>
      <c r="H31" s="43" t="n"/>
      <c r="I31" s="37" t="n"/>
      <c r="J31" s="44" t="n"/>
      <c r="K31" s="36" t="n"/>
      <c r="L31" s="33">
        <f>IF(C31="","",Commercial_Id)</f>
        <v/>
      </c>
      <c r="M31" s="34">
        <f>IF(E31="","",IFERROR(VLOOKUP(E31,T_Produits,2,FALSE),""))</f>
        <v/>
      </c>
      <c r="N31" s="40">
        <f>IF(E31="","",IFERROR(1/(1/VLOOKUP(E31,T_Produits,3,FALSE)),""))</f>
        <v/>
      </c>
      <c r="O31" s="40">
        <f>IF(OR(D31="",F31=""),"",IF(OR(D31="Casse / avarie",D31="Perte / vol",D31="Échantillon offert"),IF(I31&lt;&gt;"",I31,IF(N31="","",F31*N31)),""))</f>
        <v/>
      </c>
      <c r="P31" s="50">
        <f>IF(OR(D31="",F31=""),"",F31*IF(OR(D31="Reçu du magasin",D31="Ajustement (+)"),1,-1))</f>
        <v/>
      </c>
      <c r="Q31" s="34">
        <f>IF(C31="","",YEAR(C31-WEEKDAY(C31,2)+4)&amp;"-S"&amp;TEXT(INT((C31-DATE(YEAR(C31-WEEKDAY(C31,2)+4),1,3)+WEEKDAY(DATE(YEAR(C31-WEEKDAY(C31,2)+4),1,3),2)+5)/7),"00"))</f>
        <v/>
      </c>
    </row>
    <row r="32" ht="18" customHeight="1">
      <c r="A32" s="39" t="n">
        <v>27</v>
      </c>
      <c r="B32" s="33">
        <f>IF(C32="","",IF(L32="À RENSEIGNER","GIC",L32)&amp;"-S"&amp;TEXT(A32,"00000"))</f>
        <v/>
      </c>
      <c r="C32" s="32" t="n"/>
      <c r="D32" s="36" t="n"/>
      <c r="E32" s="36" t="n"/>
      <c r="F32" s="42" t="n"/>
      <c r="G32" s="36" t="n"/>
      <c r="H32" s="43" t="n"/>
      <c r="I32" s="37" t="n"/>
      <c r="J32" s="44" t="n"/>
      <c r="K32" s="36" t="n"/>
      <c r="L32" s="33">
        <f>IF(C32="","",Commercial_Id)</f>
        <v/>
      </c>
      <c r="M32" s="34">
        <f>IF(E32="","",IFERROR(VLOOKUP(E32,T_Produits,2,FALSE),""))</f>
        <v/>
      </c>
      <c r="N32" s="40">
        <f>IF(E32="","",IFERROR(1/(1/VLOOKUP(E32,T_Produits,3,FALSE)),""))</f>
        <v/>
      </c>
      <c r="O32" s="40">
        <f>IF(OR(D32="",F32=""),"",IF(OR(D32="Casse / avarie",D32="Perte / vol",D32="Échantillon offert"),IF(I32&lt;&gt;"",I32,IF(N32="","",F32*N32)),""))</f>
        <v/>
      </c>
      <c r="P32" s="50">
        <f>IF(OR(D32="",F32=""),"",F32*IF(OR(D32="Reçu du magasin",D32="Ajustement (+)"),1,-1))</f>
        <v/>
      </c>
      <c r="Q32" s="34">
        <f>IF(C32="","",YEAR(C32-WEEKDAY(C32,2)+4)&amp;"-S"&amp;TEXT(INT((C32-DATE(YEAR(C32-WEEKDAY(C32,2)+4),1,3)+WEEKDAY(DATE(YEAR(C32-WEEKDAY(C32,2)+4),1,3),2)+5)/7),"00"))</f>
        <v/>
      </c>
    </row>
    <row r="33" ht="18" customHeight="1">
      <c r="A33" s="39" t="n">
        <v>28</v>
      </c>
      <c r="B33" s="33">
        <f>IF(C33="","",IF(L33="À RENSEIGNER","GIC",L33)&amp;"-S"&amp;TEXT(A33,"00000"))</f>
        <v/>
      </c>
      <c r="C33" s="32" t="n"/>
      <c r="D33" s="36" t="n"/>
      <c r="E33" s="36" t="n"/>
      <c r="F33" s="42" t="n"/>
      <c r="G33" s="36" t="n"/>
      <c r="H33" s="43" t="n"/>
      <c r="I33" s="37" t="n"/>
      <c r="J33" s="44" t="n"/>
      <c r="K33" s="36" t="n"/>
      <c r="L33" s="33">
        <f>IF(C33="","",Commercial_Id)</f>
        <v/>
      </c>
      <c r="M33" s="34">
        <f>IF(E33="","",IFERROR(VLOOKUP(E33,T_Produits,2,FALSE),""))</f>
        <v/>
      </c>
      <c r="N33" s="40">
        <f>IF(E33="","",IFERROR(1/(1/VLOOKUP(E33,T_Produits,3,FALSE)),""))</f>
        <v/>
      </c>
      <c r="O33" s="40">
        <f>IF(OR(D33="",F33=""),"",IF(OR(D33="Casse / avarie",D33="Perte / vol",D33="Échantillon offert"),IF(I33&lt;&gt;"",I33,IF(N33="","",F33*N33)),""))</f>
        <v/>
      </c>
      <c r="P33" s="50">
        <f>IF(OR(D33="",F33=""),"",F33*IF(OR(D33="Reçu du magasin",D33="Ajustement (+)"),1,-1))</f>
        <v/>
      </c>
      <c r="Q33" s="34">
        <f>IF(C33="","",YEAR(C33-WEEKDAY(C33,2)+4)&amp;"-S"&amp;TEXT(INT((C33-DATE(YEAR(C33-WEEKDAY(C33,2)+4),1,3)+WEEKDAY(DATE(YEAR(C33-WEEKDAY(C33,2)+4),1,3),2)+5)/7),"00"))</f>
        <v/>
      </c>
    </row>
    <row r="34" ht="18" customHeight="1">
      <c r="A34" s="39" t="n">
        <v>29</v>
      </c>
      <c r="B34" s="33">
        <f>IF(C34="","",IF(L34="À RENSEIGNER","GIC",L34)&amp;"-S"&amp;TEXT(A34,"00000"))</f>
        <v/>
      </c>
      <c r="C34" s="32" t="n"/>
      <c r="D34" s="36" t="n"/>
      <c r="E34" s="36" t="n"/>
      <c r="F34" s="42" t="n"/>
      <c r="G34" s="36" t="n"/>
      <c r="H34" s="43" t="n"/>
      <c r="I34" s="37" t="n"/>
      <c r="J34" s="44" t="n"/>
      <c r="K34" s="36" t="n"/>
      <c r="L34" s="33">
        <f>IF(C34="","",Commercial_Id)</f>
        <v/>
      </c>
      <c r="M34" s="34">
        <f>IF(E34="","",IFERROR(VLOOKUP(E34,T_Produits,2,FALSE),""))</f>
        <v/>
      </c>
      <c r="N34" s="40">
        <f>IF(E34="","",IFERROR(1/(1/VLOOKUP(E34,T_Produits,3,FALSE)),""))</f>
        <v/>
      </c>
      <c r="O34" s="40">
        <f>IF(OR(D34="",F34=""),"",IF(OR(D34="Casse / avarie",D34="Perte / vol",D34="Échantillon offert"),IF(I34&lt;&gt;"",I34,IF(N34="","",F34*N34)),""))</f>
        <v/>
      </c>
      <c r="P34" s="50">
        <f>IF(OR(D34="",F34=""),"",F34*IF(OR(D34="Reçu du magasin",D34="Ajustement (+)"),1,-1))</f>
        <v/>
      </c>
      <c r="Q34" s="34">
        <f>IF(C34="","",YEAR(C34-WEEKDAY(C34,2)+4)&amp;"-S"&amp;TEXT(INT((C34-DATE(YEAR(C34-WEEKDAY(C34,2)+4),1,3)+WEEKDAY(DATE(YEAR(C34-WEEKDAY(C34,2)+4),1,3),2)+5)/7),"00"))</f>
        <v/>
      </c>
    </row>
    <row r="35" ht="18" customHeight="1">
      <c r="A35" s="39" t="n">
        <v>30</v>
      </c>
      <c r="B35" s="33">
        <f>IF(C35="","",IF(L35="À RENSEIGNER","GIC",L35)&amp;"-S"&amp;TEXT(A35,"00000"))</f>
        <v/>
      </c>
      <c r="C35" s="32" t="n"/>
      <c r="D35" s="36" t="n"/>
      <c r="E35" s="36" t="n"/>
      <c r="F35" s="42" t="n"/>
      <c r="G35" s="36" t="n"/>
      <c r="H35" s="43" t="n"/>
      <c r="I35" s="37" t="n"/>
      <c r="J35" s="44" t="n"/>
      <c r="K35" s="36" t="n"/>
      <c r="L35" s="33">
        <f>IF(C35="","",Commercial_Id)</f>
        <v/>
      </c>
      <c r="M35" s="34">
        <f>IF(E35="","",IFERROR(VLOOKUP(E35,T_Produits,2,FALSE),""))</f>
        <v/>
      </c>
      <c r="N35" s="40">
        <f>IF(E35="","",IFERROR(1/(1/VLOOKUP(E35,T_Produits,3,FALSE)),""))</f>
        <v/>
      </c>
      <c r="O35" s="40">
        <f>IF(OR(D35="",F35=""),"",IF(OR(D35="Casse / avarie",D35="Perte / vol",D35="Échantillon offert"),IF(I35&lt;&gt;"",I35,IF(N35="","",F35*N35)),""))</f>
        <v/>
      </c>
      <c r="P35" s="50">
        <f>IF(OR(D35="",F35=""),"",F35*IF(OR(D35="Reçu du magasin",D35="Ajustement (+)"),1,-1))</f>
        <v/>
      </c>
      <c r="Q35" s="34">
        <f>IF(C35="","",YEAR(C35-WEEKDAY(C35,2)+4)&amp;"-S"&amp;TEXT(INT((C35-DATE(YEAR(C35-WEEKDAY(C35,2)+4),1,3)+WEEKDAY(DATE(YEAR(C35-WEEKDAY(C35,2)+4),1,3),2)+5)/7),"00"))</f>
        <v/>
      </c>
    </row>
    <row r="36" ht="18" customHeight="1">
      <c r="A36" s="39" t="n">
        <v>31</v>
      </c>
      <c r="B36" s="33">
        <f>IF(C36="","",IF(L36="À RENSEIGNER","GIC",L36)&amp;"-S"&amp;TEXT(A36,"00000"))</f>
        <v/>
      </c>
      <c r="C36" s="32" t="n"/>
      <c r="D36" s="36" t="n"/>
      <c r="E36" s="36" t="n"/>
      <c r="F36" s="42" t="n"/>
      <c r="G36" s="36" t="n"/>
      <c r="H36" s="43" t="n"/>
      <c r="I36" s="37" t="n"/>
      <c r="J36" s="44" t="n"/>
      <c r="K36" s="36" t="n"/>
      <c r="L36" s="33">
        <f>IF(C36="","",Commercial_Id)</f>
        <v/>
      </c>
      <c r="M36" s="34">
        <f>IF(E36="","",IFERROR(VLOOKUP(E36,T_Produits,2,FALSE),""))</f>
        <v/>
      </c>
      <c r="N36" s="40">
        <f>IF(E36="","",IFERROR(1/(1/VLOOKUP(E36,T_Produits,3,FALSE)),""))</f>
        <v/>
      </c>
      <c r="O36" s="40">
        <f>IF(OR(D36="",F36=""),"",IF(OR(D36="Casse / avarie",D36="Perte / vol",D36="Échantillon offert"),IF(I36&lt;&gt;"",I36,IF(N36="","",F36*N36)),""))</f>
        <v/>
      </c>
      <c r="P36" s="50">
        <f>IF(OR(D36="",F36=""),"",F36*IF(OR(D36="Reçu du magasin",D36="Ajustement (+)"),1,-1))</f>
        <v/>
      </c>
      <c r="Q36" s="34">
        <f>IF(C36="","",YEAR(C36-WEEKDAY(C36,2)+4)&amp;"-S"&amp;TEXT(INT((C36-DATE(YEAR(C36-WEEKDAY(C36,2)+4),1,3)+WEEKDAY(DATE(YEAR(C36-WEEKDAY(C36,2)+4),1,3),2)+5)/7),"00"))</f>
        <v/>
      </c>
    </row>
    <row r="37" ht="18" customHeight="1">
      <c r="A37" s="39" t="n">
        <v>32</v>
      </c>
      <c r="B37" s="33">
        <f>IF(C37="","",IF(L37="À RENSEIGNER","GIC",L37)&amp;"-S"&amp;TEXT(A37,"00000"))</f>
        <v/>
      </c>
      <c r="C37" s="32" t="n"/>
      <c r="D37" s="36" t="n"/>
      <c r="E37" s="36" t="n"/>
      <c r="F37" s="42" t="n"/>
      <c r="G37" s="36" t="n"/>
      <c r="H37" s="43" t="n"/>
      <c r="I37" s="37" t="n"/>
      <c r="J37" s="44" t="n"/>
      <c r="K37" s="36" t="n"/>
      <c r="L37" s="33">
        <f>IF(C37="","",Commercial_Id)</f>
        <v/>
      </c>
      <c r="M37" s="34">
        <f>IF(E37="","",IFERROR(VLOOKUP(E37,T_Produits,2,FALSE),""))</f>
        <v/>
      </c>
      <c r="N37" s="40">
        <f>IF(E37="","",IFERROR(1/(1/VLOOKUP(E37,T_Produits,3,FALSE)),""))</f>
        <v/>
      </c>
      <c r="O37" s="40">
        <f>IF(OR(D37="",F37=""),"",IF(OR(D37="Casse / avarie",D37="Perte / vol",D37="Échantillon offert"),IF(I37&lt;&gt;"",I37,IF(N37="","",F37*N37)),""))</f>
        <v/>
      </c>
      <c r="P37" s="50">
        <f>IF(OR(D37="",F37=""),"",F37*IF(OR(D37="Reçu du magasin",D37="Ajustement (+)"),1,-1))</f>
        <v/>
      </c>
      <c r="Q37" s="34">
        <f>IF(C37="","",YEAR(C37-WEEKDAY(C37,2)+4)&amp;"-S"&amp;TEXT(INT((C37-DATE(YEAR(C37-WEEKDAY(C37,2)+4),1,3)+WEEKDAY(DATE(YEAR(C37-WEEKDAY(C37,2)+4),1,3),2)+5)/7),"00"))</f>
        <v/>
      </c>
    </row>
    <row r="38" ht="18" customHeight="1">
      <c r="A38" s="39" t="n">
        <v>33</v>
      </c>
      <c r="B38" s="33">
        <f>IF(C38="","",IF(L38="À RENSEIGNER","GIC",L38)&amp;"-S"&amp;TEXT(A38,"00000"))</f>
        <v/>
      </c>
      <c r="C38" s="32" t="n"/>
      <c r="D38" s="36" t="n"/>
      <c r="E38" s="36" t="n"/>
      <c r="F38" s="42" t="n"/>
      <c r="G38" s="36" t="n"/>
      <c r="H38" s="43" t="n"/>
      <c r="I38" s="37" t="n"/>
      <c r="J38" s="44" t="n"/>
      <c r="K38" s="36" t="n"/>
      <c r="L38" s="33">
        <f>IF(C38="","",Commercial_Id)</f>
        <v/>
      </c>
      <c r="M38" s="34">
        <f>IF(E38="","",IFERROR(VLOOKUP(E38,T_Produits,2,FALSE),""))</f>
        <v/>
      </c>
      <c r="N38" s="40">
        <f>IF(E38="","",IFERROR(1/(1/VLOOKUP(E38,T_Produits,3,FALSE)),""))</f>
        <v/>
      </c>
      <c r="O38" s="40">
        <f>IF(OR(D38="",F38=""),"",IF(OR(D38="Casse / avarie",D38="Perte / vol",D38="Échantillon offert"),IF(I38&lt;&gt;"",I38,IF(N38="","",F38*N38)),""))</f>
        <v/>
      </c>
      <c r="P38" s="50">
        <f>IF(OR(D38="",F38=""),"",F38*IF(OR(D38="Reçu du magasin",D38="Ajustement (+)"),1,-1))</f>
        <v/>
      </c>
      <c r="Q38" s="34">
        <f>IF(C38="","",YEAR(C38-WEEKDAY(C38,2)+4)&amp;"-S"&amp;TEXT(INT((C38-DATE(YEAR(C38-WEEKDAY(C38,2)+4),1,3)+WEEKDAY(DATE(YEAR(C38-WEEKDAY(C38,2)+4),1,3),2)+5)/7),"00"))</f>
        <v/>
      </c>
    </row>
    <row r="39" ht="18" customHeight="1">
      <c r="A39" s="39" t="n">
        <v>34</v>
      </c>
      <c r="B39" s="33">
        <f>IF(C39="","",IF(L39="À RENSEIGNER","GIC",L39)&amp;"-S"&amp;TEXT(A39,"00000"))</f>
        <v/>
      </c>
      <c r="C39" s="32" t="n"/>
      <c r="D39" s="36" t="n"/>
      <c r="E39" s="36" t="n"/>
      <c r="F39" s="42" t="n"/>
      <c r="G39" s="36" t="n"/>
      <c r="H39" s="43" t="n"/>
      <c r="I39" s="37" t="n"/>
      <c r="J39" s="44" t="n"/>
      <c r="K39" s="36" t="n"/>
      <c r="L39" s="33">
        <f>IF(C39="","",Commercial_Id)</f>
        <v/>
      </c>
      <c r="M39" s="34">
        <f>IF(E39="","",IFERROR(VLOOKUP(E39,T_Produits,2,FALSE),""))</f>
        <v/>
      </c>
      <c r="N39" s="40">
        <f>IF(E39="","",IFERROR(1/(1/VLOOKUP(E39,T_Produits,3,FALSE)),""))</f>
        <v/>
      </c>
      <c r="O39" s="40">
        <f>IF(OR(D39="",F39=""),"",IF(OR(D39="Casse / avarie",D39="Perte / vol",D39="Échantillon offert"),IF(I39&lt;&gt;"",I39,IF(N39="","",F39*N39)),""))</f>
        <v/>
      </c>
      <c r="P39" s="50">
        <f>IF(OR(D39="",F39=""),"",F39*IF(OR(D39="Reçu du magasin",D39="Ajustement (+)"),1,-1))</f>
        <v/>
      </c>
      <c r="Q39" s="34">
        <f>IF(C39="","",YEAR(C39-WEEKDAY(C39,2)+4)&amp;"-S"&amp;TEXT(INT((C39-DATE(YEAR(C39-WEEKDAY(C39,2)+4),1,3)+WEEKDAY(DATE(YEAR(C39-WEEKDAY(C39,2)+4),1,3),2)+5)/7),"00"))</f>
        <v/>
      </c>
    </row>
    <row r="40" ht="18" customHeight="1">
      <c r="A40" s="39" t="n">
        <v>35</v>
      </c>
      <c r="B40" s="33">
        <f>IF(C40="","",IF(L40="À RENSEIGNER","GIC",L40)&amp;"-S"&amp;TEXT(A40,"00000"))</f>
        <v/>
      </c>
      <c r="C40" s="32" t="n"/>
      <c r="D40" s="36" t="n"/>
      <c r="E40" s="36" t="n"/>
      <c r="F40" s="42" t="n"/>
      <c r="G40" s="36" t="n"/>
      <c r="H40" s="43" t="n"/>
      <c r="I40" s="37" t="n"/>
      <c r="J40" s="44" t="n"/>
      <c r="K40" s="36" t="n"/>
      <c r="L40" s="33">
        <f>IF(C40="","",Commercial_Id)</f>
        <v/>
      </c>
      <c r="M40" s="34">
        <f>IF(E40="","",IFERROR(VLOOKUP(E40,T_Produits,2,FALSE),""))</f>
        <v/>
      </c>
      <c r="N40" s="40">
        <f>IF(E40="","",IFERROR(1/(1/VLOOKUP(E40,T_Produits,3,FALSE)),""))</f>
        <v/>
      </c>
      <c r="O40" s="40">
        <f>IF(OR(D40="",F40=""),"",IF(OR(D40="Casse / avarie",D40="Perte / vol",D40="Échantillon offert"),IF(I40&lt;&gt;"",I40,IF(N40="","",F40*N40)),""))</f>
        <v/>
      </c>
      <c r="P40" s="50">
        <f>IF(OR(D40="",F40=""),"",F40*IF(OR(D40="Reçu du magasin",D40="Ajustement (+)"),1,-1))</f>
        <v/>
      </c>
      <c r="Q40" s="34">
        <f>IF(C40="","",YEAR(C40-WEEKDAY(C40,2)+4)&amp;"-S"&amp;TEXT(INT((C40-DATE(YEAR(C40-WEEKDAY(C40,2)+4),1,3)+WEEKDAY(DATE(YEAR(C40-WEEKDAY(C40,2)+4),1,3),2)+5)/7),"00"))</f>
        <v/>
      </c>
    </row>
    <row r="41" ht="18" customHeight="1">
      <c r="A41" s="39" t="n">
        <v>36</v>
      </c>
      <c r="B41" s="33">
        <f>IF(C41="","",IF(L41="À RENSEIGNER","GIC",L41)&amp;"-S"&amp;TEXT(A41,"00000"))</f>
        <v/>
      </c>
      <c r="C41" s="32" t="n"/>
      <c r="D41" s="36" t="n"/>
      <c r="E41" s="36" t="n"/>
      <c r="F41" s="42" t="n"/>
      <c r="G41" s="36" t="n"/>
      <c r="H41" s="43" t="n"/>
      <c r="I41" s="37" t="n"/>
      <c r="J41" s="44" t="n"/>
      <c r="K41" s="36" t="n"/>
      <c r="L41" s="33">
        <f>IF(C41="","",Commercial_Id)</f>
        <v/>
      </c>
      <c r="M41" s="34">
        <f>IF(E41="","",IFERROR(VLOOKUP(E41,T_Produits,2,FALSE),""))</f>
        <v/>
      </c>
      <c r="N41" s="40">
        <f>IF(E41="","",IFERROR(1/(1/VLOOKUP(E41,T_Produits,3,FALSE)),""))</f>
        <v/>
      </c>
      <c r="O41" s="40">
        <f>IF(OR(D41="",F41=""),"",IF(OR(D41="Casse / avarie",D41="Perte / vol",D41="Échantillon offert"),IF(I41&lt;&gt;"",I41,IF(N41="","",F41*N41)),""))</f>
        <v/>
      </c>
      <c r="P41" s="50">
        <f>IF(OR(D41="",F41=""),"",F41*IF(OR(D41="Reçu du magasin",D41="Ajustement (+)"),1,-1))</f>
        <v/>
      </c>
      <c r="Q41" s="34">
        <f>IF(C41="","",YEAR(C41-WEEKDAY(C41,2)+4)&amp;"-S"&amp;TEXT(INT((C41-DATE(YEAR(C41-WEEKDAY(C41,2)+4),1,3)+WEEKDAY(DATE(YEAR(C41-WEEKDAY(C41,2)+4),1,3),2)+5)/7),"00"))</f>
        <v/>
      </c>
    </row>
    <row r="42" ht="18" customHeight="1">
      <c r="A42" s="39" t="n">
        <v>37</v>
      </c>
      <c r="B42" s="33">
        <f>IF(C42="","",IF(L42="À RENSEIGNER","GIC",L42)&amp;"-S"&amp;TEXT(A42,"00000"))</f>
        <v/>
      </c>
      <c r="C42" s="32" t="n"/>
      <c r="D42" s="36" t="n"/>
      <c r="E42" s="36" t="n"/>
      <c r="F42" s="42" t="n"/>
      <c r="G42" s="36" t="n"/>
      <c r="H42" s="43" t="n"/>
      <c r="I42" s="37" t="n"/>
      <c r="J42" s="44" t="n"/>
      <c r="K42" s="36" t="n"/>
      <c r="L42" s="33">
        <f>IF(C42="","",Commercial_Id)</f>
        <v/>
      </c>
      <c r="M42" s="34">
        <f>IF(E42="","",IFERROR(VLOOKUP(E42,T_Produits,2,FALSE),""))</f>
        <v/>
      </c>
      <c r="N42" s="40">
        <f>IF(E42="","",IFERROR(1/(1/VLOOKUP(E42,T_Produits,3,FALSE)),""))</f>
        <v/>
      </c>
      <c r="O42" s="40">
        <f>IF(OR(D42="",F42=""),"",IF(OR(D42="Casse / avarie",D42="Perte / vol",D42="Échantillon offert"),IF(I42&lt;&gt;"",I42,IF(N42="","",F42*N42)),""))</f>
        <v/>
      </c>
      <c r="P42" s="50">
        <f>IF(OR(D42="",F42=""),"",F42*IF(OR(D42="Reçu du magasin",D42="Ajustement (+)"),1,-1))</f>
        <v/>
      </c>
      <c r="Q42" s="34">
        <f>IF(C42="","",YEAR(C42-WEEKDAY(C42,2)+4)&amp;"-S"&amp;TEXT(INT((C42-DATE(YEAR(C42-WEEKDAY(C42,2)+4),1,3)+WEEKDAY(DATE(YEAR(C42-WEEKDAY(C42,2)+4),1,3),2)+5)/7),"00"))</f>
        <v/>
      </c>
    </row>
    <row r="43" ht="18" customHeight="1">
      <c r="A43" s="39" t="n">
        <v>38</v>
      </c>
      <c r="B43" s="33">
        <f>IF(C43="","",IF(L43="À RENSEIGNER","GIC",L43)&amp;"-S"&amp;TEXT(A43,"00000"))</f>
        <v/>
      </c>
      <c r="C43" s="32" t="n"/>
      <c r="D43" s="36" t="n"/>
      <c r="E43" s="36" t="n"/>
      <c r="F43" s="42" t="n"/>
      <c r="G43" s="36" t="n"/>
      <c r="H43" s="43" t="n"/>
      <c r="I43" s="37" t="n"/>
      <c r="J43" s="44" t="n"/>
      <c r="K43" s="36" t="n"/>
      <c r="L43" s="33">
        <f>IF(C43="","",Commercial_Id)</f>
        <v/>
      </c>
      <c r="M43" s="34">
        <f>IF(E43="","",IFERROR(VLOOKUP(E43,T_Produits,2,FALSE),""))</f>
        <v/>
      </c>
      <c r="N43" s="40">
        <f>IF(E43="","",IFERROR(1/(1/VLOOKUP(E43,T_Produits,3,FALSE)),""))</f>
        <v/>
      </c>
      <c r="O43" s="40">
        <f>IF(OR(D43="",F43=""),"",IF(OR(D43="Casse / avarie",D43="Perte / vol",D43="Échantillon offert"),IF(I43&lt;&gt;"",I43,IF(N43="","",F43*N43)),""))</f>
        <v/>
      </c>
      <c r="P43" s="50">
        <f>IF(OR(D43="",F43=""),"",F43*IF(OR(D43="Reçu du magasin",D43="Ajustement (+)"),1,-1))</f>
        <v/>
      </c>
      <c r="Q43" s="34">
        <f>IF(C43="","",YEAR(C43-WEEKDAY(C43,2)+4)&amp;"-S"&amp;TEXT(INT((C43-DATE(YEAR(C43-WEEKDAY(C43,2)+4),1,3)+WEEKDAY(DATE(YEAR(C43-WEEKDAY(C43,2)+4),1,3),2)+5)/7),"00"))</f>
        <v/>
      </c>
    </row>
    <row r="44" ht="18" customHeight="1">
      <c r="A44" s="39" t="n">
        <v>39</v>
      </c>
      <c r="B44" s="33">
        <f>IF(C44="","",IF(L44="À RENSEIGNER","GIC",L44)&amp;"-S"&amp;TEXT(A44,"00000"))</f>
        <v/>
      </c>
      <c r="C44" s="32" t="n"/>
      <c r="D44" s="36" t="n"/>
      <c r="E44" s="36" t="n"/>
      <c r="F44" s="42" t="n"/>
      <c r="G44" s="36" t="n"/>
      <c r="H44" s="43" t="n"/>
      <c r="I44" s="37" t="n"/>
      <c r="J44" s="44" t="n"/>
      <c r="K44" s="36" t="n"/>
      <c r="L44" s="33">
        <f>IF(C44="","",Commercial_Id)</f>
        <v/>
      </c>
      <c r="M44" s="34">
        <f>IF(E44="","",IFERROR(VLOOKUP(E44,T_Produits,2,FALSE),""))</f>
        <v/>
      </c>
      <c r="N44" s="40">
        <f>IF(E44="","",IFERROR(1/(1/VLOOKUP(E44,T_Produits,3,FALSE)),""))</f>
        <v/>
      </c>
      <c r="O44" s="40">
        <f>IF(OR(D44="",F44=""),"",IF(OR(D44="Casse / avarie",D44="Perte / vol",D44="Échantillon offert"),IF(I44&lt;&gt;"",I44,IF(N44="","",F44*N44)),""))</f>
        <v/>
      </c>
      <c r="P44" s="50">
        <f>IF(OR(D44="",F44=""),"",F44*IF(OR(D44="Reçu du magasin",D44="Ajustement (+)"),1,-1))</f>
        <v/>
      </c>
      <c r="Q44" s="34">
        <f>IF(C44="","",YEAR(C44-WEEKDAY(C44,2)+4)&amp;"-S"&amp;TEXT(INT((C44-DATE(YEAR(C44-WEEKDAY(C44,2)+4),1,3)+WEEKDAY(DATE(YEAR(C44-WEEKDAY(C44,2)+4),1,3),2)+5)/7),"00"))</f>
        <v/>
      </c>
    </row>
    <row r="45" ht="18" customHeight="1">
      <c r="A45" s="39" t="n">
        <v>40</v>
      </c>
      <c r="B45" s="33">
        <f>IF(C45="","",IF(L45="À RENSEIGNER","GIC",L45)&amp;"-S"&amp;TEXT(A45,"00000"))</f>
        <v/>
      </c>
      <c r="C45" s="32" t="n"/>
      <c r="D45" s="36" t="n"/>
      <c r="E45" s="36" t="n"/>
      <c r="F45" s="42" t="n"/>
      <c r="G45" s="36" t="n"/>
      <c r="H45" s="43" t="n"/>
      <c r="I45" s="37" t="n"/>
      <c r="J45" s="44" t="n"/>
      <c r="K45" s="36" t="n"/>
      <c r="L45" s="33">
        <f>IF(C45="","",Commercial_Id)</f>
        <v/>
      </c>
      <c r="M45" s="34">
        <f>IF(E45="","",IFERROR(VLOOKUP(E45,T_Produits,2,FALSE),""))</f>
        <v/>
      </c>
      <c r="N45" s="40">
        <f>IF(E45="","",IFERROR(1/(1/VLOOKUP(E45,T_Produits,3,FALSE)),""))</f>
        <v/>
      </c>
      <c r="O45" s="40">
        <f>IF(OR(D45="",F45=""),"",IF(OR(D45="Casse / avarie",D45="Perte / vol",D45="Échantillon offert"),IF(I45&lt;&gt;"",I45,IF(N45="","",F45*N45)),""))</f>
        <v/>
      </c>
      <c r="P45" s="50">
        <f>IF(OR(D45="",F45=""),"",F45*IF(OR(D45="Reçu du magasin",D45="Ajustement (+)"),1,-1))</f>
        <v/>
      </c>
      <c r="Q45" s="34">
        <f>IF(C45="","",YEAR(C45-WEEKDAY(C45,2)+4)&amp;"-S"&amp;TEXT(INT((C45-DATE(YEAR(C45-WEEKDAY(C45,2)+4),1,3)+WEEKDAY(DATE(YEAR(C45-WEEKDAY(C45,2)+4),1,3),2)+5)/7),"00"))</f>
        <v/>
      </c>
    </row>
    <row r="46" ht="18" customHeight="1">
      <c r="A46" s="39" t="n">
        <v>41</v>
      </c>
      <c r="B46" s="33">
        <f>IF(C46="","",IF(L46="À RENSEIGNER","GIC",L46)&amp;"-S"&amp;TEXT(A46,"00000"))</f>
        <v/>
      </c>
      <c r="C46" s="32" t="n"/>
      <c r="D46" s="36" t="n"/>
      <c r="E46" s="36" t="n"/>
      <c r="F46" s="42" t="n"/>
      <c r="G46" s="36" t="n"/>
      <c r="H46" s="43" t="n"/>
      <c r="I46" s="37" t="n"/>
      <c r="J46" s="44" t="n"/>
      <c r="K46" s="36" t="n"/>
      <c r="L46" s="33">
        <f>IF(C46="","",Commercial_Id)</f>
        <v/>
      </c>
      <c r="M46" s="34">
        <f>IF(E46="","",IFERROR(VLOOKUP(E46,T_Produits,2,FALSE),""))</f>
        <v/>
      </c>
      <c r="N46" s="40">
        <f>IF(E46="","",IFERROR(1/(1/VLOOKUP(E46,T_Produits,3,FALSE)),""))</f>
        <v/>
      </c>
      <c r="O46" s="40">
        <f>IF(OR(D46="",F46=""),"",IF(OR(D46="Casse / avarie",D46="Perte / vol",D46="Échantillon offert"),IF(I46&lt;&gt;"",I46,IF(N46="","",F46*N46)),""))</f>
        <v/>
      </c>
      <c r="P46" s="50">
        <f>IF(OR(D46="",F46=""),"",F46*IF(OR(D46="Reçu du magasin",D46="Ajustement (+)"),1,-1))</f>
        <v/>
      </c>
      <c r="Q46" s="34">
        <f>IF(C46="","",YEAR(C46-WEEKDAY(C46,2)+4)&amp;"-S"&amp;TEXT(INT((C46-DATE(YEAR(C46-WEEKDAY(C46,2)+4),1,3)+WEEKDAY(DATE(YEAR(C46-WEEKDAY(C46,2)+4),1,3),2)+5)/7),"00"))</f>
        <v/>
      </c>
    </row>
    <row r="47" ht="18" customHeight="1">
      <c r="A47" s="39" t="n">
        <v>42</v>
      </c>
      <c r="B47" s="33">
        <f>IF(C47="","",IF(L47="À RENSEIGNER","GIC",L47)&amp;"-S"&amp;TEXT(A47,"00000"))</f>
        <v/>
      </c>
      <c r="C47" s="32" t="n"/>
      <c r="D47" s="36" t="n"/>
      <c r="E47" s="36" t="n"/>
      <c r="F47" s="42" t="n"/>
      <c r="G47" s="36" t="n"/>
      <c r="H47" s="43" t="n"/>
      <c r="I47" s="37" t="n"/>
      <c r="J47" s="44" t="n"/>
      <c r="K47" s="36" t="n"/>
      <c r="L47" s="33">
        <f>IF(C47="","",Commercial_Id)</f>
        <v/>
      </c>
      <c r="M47" s="34">
        <f>IF(E47="","",IFERROR(VLOOKUP(E47,T_Produits,2,FALSE),""))</f>
        <v/>
      </c>
      <c r="N47" s="40">
        <f>IF(E47="","",IFERROR(1/(1/VLOOKUP(E47,T_Produits,3,FALSE)),""))</f>
        <v/>
      </c>
      <c r="O47" s="40">
        <f>IF(OR(D47="",F47=""),"",IF(OR(D47="Casse / avarie",D47="Perte / vol",D47="Échantillon offert"),IF(I47&lt;&gt;"",I47,IF(N47="","",F47*N47)),""))</f>
        <v/>
      </c>
      <c r="P47" s="50">
        <f>IF(OR(D47="",F47=""),"",F47*IF(OR(D47="Reçu du magasin",D47="Ajustement (+)"),1,-1))</f>
        <v/>
      </c>
      <c r="Q47" s="34">
        <f>IF(C47="","",YEAR(C47-WEEKDAY(C47,2)+4)&amp;"-S"&amp;TEXT(INT((C47-DATE(YEAR(C47-WEEKDAY(C47,2)+4),1,3)+WEEKDAY(DATE(YEAR(C47-WEEKDAY(C47,2)+4),1,3),2)+5)/7),"00"))</f>
        <v/>
      </c>
    </row>
    <row r="48" ht="18" customHeight="1">
      <c r="A48" s="39" t="n">
        <v>43</v>
      </c>
      <c r="B48" s="33">
        <f>IF(C48="","",IF(L48="À RENSEIGNER","GIC",L48)&amp;"-S"&amp;TEXT(A48,"00000"))</f>
        <v/>
      </c>
      <c r="C48" s="32" t="n"/>
      <c r="D48" s="36" t="n"/>
      <c r="E48" s="36" t="n"/>
      <c r="F48" s="42" t="n"/>
      <c r="G48" s="36" t="n"/>
      <c r="H48" s="43" t="n"/>
      <c r="I48" s="37" t="n"/>
      <c r="J48" s="44" t="n"/>
      <c r="K48" s="36" t="n"/>
      <c r="L48" s="33">
        <f>IF(C48="","",Commercial_Id)</f>
        <v/>
      </c>
      <c r="M48" s="34">
        <f>IF(E48="","",IFERROR(VLOOKUP(E48,T_Produits,2,FALSE),""))</f>
        <v/>
      </c>
      <c r="N48" s="40">
        <f>IF(E48="","",IFERROR(1/(1/VLOOKUP(E48,T_Produits,3,FALSE)),""))</f>
        <v/>
      </c>
      <c r="O48" s="40">
        <f>IF(OR(D48="",F48=""),"",IF(OR(D48="Casse / avarie",D48="Perte / vol",D48="Échantillon offert"),IF(I48&lt;&gt;"",I48,IF(N48="","",F48*N48)),""))</f>
        <v/>
      </c>
      <c r="P48" s="50">
        <f>IF(OR(D48="",F48=""),"",F48*IF(OR(D48="Reçu du magasin",D48="Ajustement (+)"),1,-1))</f>
        <v/>
      </c>
      <c r="Q48" s="34">
        <f>IF(C48="","",YEAR(C48-WEEKDAY(C48,2)+4)&amp;"-S"&amp;TEXT(INT((C48-DATE(YEAR(C48-WEEKDAY(C48,2)+4),1,3)+WEEKDAY(DATE(YEAR(C48-WEEKDAY(C48,2)+4),1,3),2)+5)/7),"00"))</f>
        <v/>
      </c>
    </row>
    <row r="49" ht="18" customHeight="1">
      <c r="A49" s="39" t="n">
        <v>44</v>
      </c>
      <c r="B49" s="33">
        <f>IF(C49="","",IF(L49="À RENSEIGNER","GIC",L49)&amp;"-S"&amp;TEXT(A49,"00000"))</f>
        <v/>
      </c>
      <c r="C49" s="32" t="n"/>
      <c r="D49" s="36" t="n"/>
      <c r="E49" s="36" t="n"/>
      <c r="F49" s="42" t="n"/>
      <c r="G49" s="36" t="n"/>
      <c r="H49" s="43" t="n"/>
      <c r="I49" s="37" t="n"/>
      <c r="J49" s="44" t="n"/>
      <c r="K49" s="36" t="n"/>
      <c r="L49" s="33">
        <f>IF(C49="","",Commercial_Id)</f>
        <v/>
      </c>
      <c r="M49" s="34">
        <f>IF(E49="","",IFERROR(VLOOKUP(E49,T_Produits,2,FALSE),""))</f>
        <v/>
      </c>
      <c r="N49" s="40">
        <f>IF(E49="","",IFERROR(1/(1/VLOOKUP(E49,T_Produits,3,FALSE)),""))</f>
        <v/>
      </c>
      <c r="O49" s="40">
        <f>IF(OR(D49="",F49=""),"",IF(OR(D49="Casse / avarie",D49="Perte / vol",D49="Échantillon offert"),IF(I49&lt;&gt;"",I49,IF(N49="","",F49*N49)),""))</f>
        <v/>
      </c>
      <c r="P49" s="50">
        <f>IF(OR(D49="",F49=""),"",F49*IF(OR(D49="Reçu du magasin",D49="Ajustement (+)"),1,-1))</f>
        <v/>
      </c>
      <c r="Q49" s="34">
        <f>IF(C49="","",YEAR(C49-WEEKDAY(C49,2)+4)&amp;"-S"&amp;TEXT(INT((C49-DATE(YEAR(C49-WEEKDAY(C49,2)+4),1,3)+WEEKDAY(DATE(YEAR(C49-WEEKDAY(C49,2)+4),1,3),2)+5)/7),"00"))</f>
        <v/>
      </c>
    </row>
    <row r="50" ht="18" customHeight="1">
      <c r="A50" s="39" t="n">
        <v>45</v>
      </c>
      <c r="B50" s="33">
        <f>IF(C50="","",IF(L50="À RENSEIGNER","GIC",L50)&amp;"-S"&amp;TEXT(A50,"00000"))</f>
        <v/>
      </c>
      <c r="C50" s="32" t="n"/>
      <c r="D50" s="36" t="n"/>
      <c r="E50" s="36" t="n"/>
      <c r="F50" s="42" t="n"/>
      <c r="G50" s="36" t="n"/>
      <c r="H50" s="43" t="n"/>
      <c r="I50" s="37" t="n"/>
      <c r="J50" s="44" t="n"/>
      <c r="K50" s="36" t="n"/>
      <c r="L50" s="33">
        <f>IF(C50="","",Commercial_Id)</f>
        <v/>
      </c>
      <c r="M50" s="34">
        <f>IF(E50="","",IFERROR(VLOOKUP(E50,T_Produits,2,FALSE),""))</f>
        <v/>
      </c>
      <c r="N50" s="40">
        <f>IF(E50="","",IFERROR(1/(1/VLOOKUP(E50,T_Produits,3,FALSE)),""))</f>
        <v/>
      </c>
      <c r="O50" s="40">
        <f>IF(OR(D50="",F50=""),"",IF(OR(D50="Casse / avarie",D50="Perte / vol",D50="Échantillon offert"),IF(I50&lt;&gt;"",I50,IF(N50="","",F50*N50)),""))</f>
        <v/>
      </c>
      <c r="P50" s="50">
        <f>IF(OR(D50="",F50=""),"",F50*IF(OR(D50="Reçu du magasin",D50="Ajustement (+)"),1,-1))</f>
        <v/>
      </c>
      <c r="Q50" s="34">
        <f>IF(C50="","",YEAR(C50-WEEKDAY(C50,2)+4)&amp;"-S"&amp;TEXT(INT((C50-DATE(YEAR(C50-WEEKDAY(C50,2)+4),1,3)+WEEKDAY(DATE(YEAR(C50-WEEKDAY(C50,2)+4),1,3),2)+5)/7),"00"))</f>
        <v/>
      </c>
    </row>
    <row r="51" ht="18" customHeight="1">
      <c r="A51" s="39" t="n">
        <v>46</v>
      </c>
      <c r="B51" s="33">
        <f>IF(C51="","",IF(L51="À RENSEIGNER","GIC",L51)&amp;"-S"&amp;TEXT(A51,"00000"))</f>
        <v/>
      </c>
      <c r="C51" s="32" t="n"/>
      <c r="D51" s="36" t="n"/>
      <c r="E51" s="36" t="n"/>
      <c r="F51" s="42" t="n"/>
      <c r="G51" s="36" t="n"/>
      <c r="H51" s="43" t="n"/>
      <c r="I51" s="37" t="n"/>
      <c r="J51" s="44" t="n"/>
      <c r="K51" s="36" t="n"/>
      <c r="L51" s="33">
        <f>IF(C51="","",Commercial_Id)</f>
        <v/>
      </c>
      <c r="M51" s="34">
        <f>IF(E51="","",IFERROR(VLOOKUP(E51,T_Produits,2,FALSE),""))</f>
        <v/>
      </c>
      <c r="N51" s="40">
        <f>IF(E51="","",IFERROR(1/(1/VLOOKUP(E51,T_Produits,3,FALSE)),""))</f>
        <v/>
      </c>
      <c r="O51" s="40">
        <f>IF(OR(D51="",F51=""),"",IF(OR(D51="Casse / avarie",D51="Perte / vol",D51="Échantillon offert"),IF(I51&lt;&gt;"",I51,IF(N51="","",F51*N51)),""))</f>
        <v/>
      </c>
      <c r="P51" s="50">
        <f>IF(OR(D51="",F51=""),"",F51*IF(OR(D51="Reçu du magasin",D51="Ajustement (+)"),1,-1))</f>
        <v/>
      </c>
      <c r="Q51" s="34">
        <f>IF(C51="","",YEAR(C51-WEEKDAY(C51,2)+4)&amp;"-S"&amp;TEXT(INT((C51-DATE(YEAR(C51-WEEKDAY(C51,2)+4),1,3)+WEEKDAY(DATE(YEAR(C51-WEEKDAY(C51,2)+4),1,3),2)+5)/7),"00"))</f>
        <v/>
      </c>
    </row>
    <row r="52" ht="18" customHeight="1">
      <c r="A52" s="39" t="n">
        <v>47</v>
      </c>
      <c r="B52" s="33">
        <f>IF(C52="","",IF(L52="À RENSEIGNER","GIC",L52)&amp;"-S"&amp;TEXT(A52,"00000"))</f>
        <v/>
      </c>
      <c r="C52" s="32" t="n"/>
      <c r="D52" s="36" t="n"/>
      <c r="E52" s="36" t="n"/>
      <c r="F52" s="42" t="n"/>
      <c r="G52" s="36" t="n"/>
      <c r="H52" s="43" t="n"/>
      <c r="I52" s="37" t="n"/>
      <c r="J52" s="44" t="n"/>
      <c r="K52" s="36" t="n"/>
      <c r="L52" s="33">
        <f>IF(C52="","",Commercial_Id)</f>
        <v/>
      </c>
      <c r="M52" s="34">
        <f>IF(E52="","",IFERROR(VLOOKUP(E52,T_Produits,2,FALSE),""))</f>
        <v/>
      </c>
      <c r="N52" s="40">
        <f>IF(E52="","",IFERROR(1/(1/VLOOKUP(E52,T_Produits,3,FALSE)),""))</f>
        <v/>
      </c>
      <c r="O52" s="40">
        <f>IF(OR(D52="",F52=""),"",IF(OR(D52="Casse / avarie",D52="Perte / vol",D52="Échantillon offert"),IF(I52&lt;&gt;"",I52,IF(N52="","",F52*N52)),""))</f>
        <v/>
      </c>
      <c r="P52" s="50">
        <f>IF(OR(D52="",F52=""),"",F52*IF(OR(D52="Reçu du magasin",D52="Ajustement (+)"),1,-1))</f>
        <v/>
      </c>
      <c r="Q52" s="34">
        <f>IF(C52="","",YEAR(C52-WEEKDAY(C52,2)+4)&amp;"-S"&amp;TEXT(INT((C52-DATE(YEAR(C52-WEEKDAY(C52,2)+4),1,3)+WEEKDAY(DATE(YEAR(C52-WEEKDAY(C52,2)+4),1,3),2)+5)/7),"00"))</f>
        <v/>
      </c>
    </row>
    <row r="53" ht="18" customHeight="1">
      <c r="A53" s="39" t="n">
        <v>48</v>
      </c>
      <c r="B53" s="33">
        <f>IF(C53="","",IF(L53="À RENSEIGNER","GIC",L53)&amp;"-S"&amp;TEXT(A53,"00000"))</f>
        <v/>
      </c>
      <c r="C53" s="32" t="n"/>
      <c r="D53" s="36" t="n"/>
      <c r="E53" s="36" t="n"/>
      <c r="F53" s="42" t="n"/>
      <c r="G53" s="36" t="n"/>
      <c r="H53" s="43" t="n"/>
      <c r="I53" s="37" t="n"/>
      <c r="J53" s="44" t="n"/>
      <c r="K53" s="36" t="n"/>
      <c r="L53" s="33">
        <f>IF(C53="","",Commercial_Id)</f>
        <v/>
      </c>
      <c r="M53" s="34">
        <f>IF(E53="","",IFERROR(VLOOKUP(E53,T_Produits,2,FALSE),""))</f>
        <v/>
      </c>
      <c r="N53" s="40">
        <f>IF(E53="","",IFERROR(1/(1/VLOOKUP(E53,T_Produits,3,FALSE)),""))</f>
        <v/>
      </c>
      <c r="O53" s="40">
        <f>IF(OR(D53="",F53=""),"",IF(OR(D53="Casse / avarie",D53="Perte / vol",D53="Échantillon offert"),IF(I53&lt;&gt;"",I53,IF(N53="","",F53*N53)),""))</f>
        <v/>
      </c>
      <c r="P53" s="50">
        <f>IF(OR(D53="",F53=""),"",F53*IF(OR(D53="Reçu du magasin",D53="Ajustement (+)"),1,-1))</f>
        <v/>
      </c>
      <c r="Q53" s="34">
        <f>IF(C53="","",YEAR(C53-WEEKDAY(C53,2)+4)&amp;"-S"&amp;TEXT(INT((C53-DATE(YEAR(C53-WEEKDAY(C53,2)+4),1,3)+WEEKDAY(DATE(YEAR(C53-WEEKDAY(C53,2)+4),1,3),2)+5)/7),"00"))</f>
        <v/>
      </c>
    </row>
    <row r="54" ht="18" customHeight="1">
      <c r="A54" s="39" t="n">
        <v>49</v>
      </c>
      <c r="B54" s="33">
        <f>IF(C54="","",IF(L54="À RENSEIGNER","GIC",L54)&amp;"-S"&amp;TEXT(A54,"00000"))</f>
        <v/>
      </c>
      <c r="C54" s="32" t="n"/>
      <c r="D54" s="36" t="n"/>
      <c r="E54" s="36" t="n"/>
      <c r="F54" s="42" t="n"/>
      <c r="G54" s="36" t="n"/>
      <c r="H54" s="43" t="n"/>
      <c r="I54" s="37" t="n"/>
      <c r="J54" s="44" t="n"/>
      <c r="K54" s="36" t="n"/>
      <c r="L54" s="33">
        <f>IF(C54="","",Commercial_Id)</f>
        <v/>
      </c>
      <c r="M54" s="34">
        <f>IF(E54="","",IFERROR(VLOOKUP(E54,T_Produits,2,FALSE),""))</f>
        <v/>
      </c>
      <c r="N54" s="40">
        <f>IF(E54="","",IFERROR(1/(1/VLOOKUP(E54,T_Produits,3,FALSE)),""))</f>
        <v/>
      </c>
      <c r="O54" s="40">
        <f>IF(OR(D54="",F54=""),"",IF(OR(D54="Casse / avarie",D54="Perte / vol",D54="Échantillon offert"),IF(I54&lt;&gt;"",I54,IF(N54="","",F54*N54)),""))</f>
        <v/>
      </c>
      <c r="P54" s="50">
        <f>IF(OR(D54="",F54=""),"",F54*IF(OR(D54="Reçu du magasin",D54="Ajustement (+)"),1,-1))</f>
        <v/>
      </c>
      <c r="Q54" s="34">
        <f>IF(C54="","",YEAR(C54-WEEKDAY(C54,2)+4)&amp;"-S"&amp;TEXT(INT((C54-DATE(YEAR(C54-WEEKDAY(C54,2)+4),1,3)+WEEKDAY(DATE(YEAR(C54-WEEKDAY(C54,2)+4),1,3),2)+5)/7),"00"))</f>
        <v/>
      </c>
    </row>
    <row r="55" ht="18" customHeight="1">
      <c r="A55" s="39" t="n">
        <v>50</v>
      </c>
      <c r="B55" s="33">
        <f>IF(C55="","",IF(L55="À RENSEIGNER","GIC",L55)&amp;"-S"&amp;TEXT(A55,"00000"))</f>
        <v/>
      </c>
      <c r="C55" s="32" t="n"/>
      <c r="D55" s="36" t="n"/>
      <c r="E55" s="36" t="n"/>
      <c r="F55" s="42" t="n"/>
      <c r="G55" s="36" t="n"/>
      <c r="H55" s="43" t="n"/>
      <c r="I55" s="37" t="n"/>
      <c r="J55" s="44" t="n"/>
      <c r="K55" s="36" t="n"/>
      <c r="L55" s="33">
        <f>IF(C55="","",Commercial_Id)</f>
        <v/>
      </c>
      <c r="M55" s="34">
        <f>IF(E55="","",IFERROR(VLOOKUP(E55,T_Produits,2,FALSE),""))</f>
        <v/>
      </c>
      <c r="N55" s="40">
        <f>IF(E55="","",IFERROR(1/(1/VLOOKUP(E55,T_Produits,3,FALSE)),""))</f>
        <v/>
      </c>
      <c r="O55" s="40">
        <f>IF(OR(D55="",F55=""),"",IF(OR(D55="Casse / avarie",D55="Perte / vol",D55="Échantillon offert"),IF(I55&lt;&gt;"",I55,IF(N55="","",F55*N55)),""))</f>
        <v/>
      </c>
      <c r="P55" s="50">
        <f>IF(OR(D55="",F55=""),"",F55*IF(OR(D55="Reçu du magasin",D55="Ajustement (+)"),1,-1))</f>
        <v/>
      </c>
      <c r="Q55" s="34">
        <f>IF(C55="","",YEAR(C55-WEEKDAY(C55,2)+4)&amp;"-S"&amp;TEXT(INT((C55-DATE(YEAR(C55-WEEKDAY(C55,2)+4),1,3)+WEEKDAY(DATE(YEAR(C55-WEEKDAY(C55,2)+4),1,3),2)+5)/7),"00"))</f>
        <v/>
      </c>
    </row>
    <row r="56" ht="18" customHeight="1">
      <c r="A56" s="39" t="n">
        <v>51</v>
      </c>
      <c r="B56" s="33">
        <f>IF(C56="","",IF(L56="À RENSEIGNER","GIC",L56)&amp;"-S"&amp;TEXT(A56,"00000"))</f>
        <v/>
      </c>
      <c r="C56" s="32" t="n"/>
      <c r="D56" s="36" t="n"/>
      <c r="E56" s="36" t="n"/>
      <c r="F56" s="42" t="n"/>
      <c r="G56" s="36" t="n"/>
      <c r="H56" s="43" t="n"/>
      <c r="I56" s="37" t="n"/>
      <c r="J56" s="44" t="n"/>
      <c r="K56" s="36" t="n"/>
      <c r="L56" s="33">
        <f>IF(C56="","",Commercial_Id)</f>
        <v/>
      </c>
      <c r="M56" s="34">
        <f>IF(E56="","",IFERROR(VLOOKUP(E56,T_Produits,2,FALSE),""))</f>
        <v/>
      </c>
      <c r="N56" s="40">
        <f>IF(E56="","",IFERROR(1/(1/VLOOKUP(E56,T_Produits,3,FALSE)),""))</f>
        <v/>
      </c>
      <c r="O56" s="40">
        <f>IF(OR(D56="",F56=""),"",IF(OR(D56="Casse / avarie",D56="Perte / vol",D56="Échantillon offert"),IF(I56&lt;&gt;"",I56,IF(N56="","",F56*N56)),""))</f>
        <v/>
      </c>
      <c r="P56" s="50">
        <f>IF(OR(D56="",F56=""),"",F56*IF(OR(D56="Reçu du magasin",D56="Ajustement (+)"),1,-1))</f>
        <v/>
      </c>
      <c r="Q56" s="34">
        <f>IF(C56="","",YEAR(C56-WEEKDAY(C56,2)+4)&amp;"-S"&amp;TEXT(INT((C56-DATE(YEAR(C56-WEEKDAY(C56,2)+4),1,3)+WEEKDAY(DATE(YEAR(C56-WEEKDAY(C56,2)+4),1,3),2)+5)/7),"00"))</f>
        <v/>
      </c>
    </row>
    <row r="57" ht="18" customHeight="1">
      <c r="A57" s="39" t="n">
        <v>52</v>
      </c>
      <c r="B57" s="33">
        <f>IF(C57="","",IF(L57="À RENSEIGNER","GIC",L57)&amp;"-S"&amp;TEXT(A57,"00000"))</f>
        <v/>
      </c>
      <c r="C57" s="32" t="n"/>
      <c r="D57" s="36" t="n"/>
      <c r="E57" s="36" t="n"/>
      <c r="F57" s="42" t="n"/>
      <c r="G57" s="36" t="n"/>
      <c r="H57" s="43" t="n"/>
      <c r="I57" s="37" t="n"/>
      <c r="J57" s="44" t="n"/>
      <c r="K57" s="36" t="n"/>
      <c r="L57" s="33">
        <f>IF(C57="","",Commercial_Id)</f>
        <v/>
      </c>
      <c r="M57" s="34">
        <f>IF(E57="","",IFERROR(VLOOKUP(E57,T_Produits,2,FALSE),""))</f>
        <v/>
      </c>
      <c r="N57" s="40">
        <f>IF(E57="","",IFERROR(1/(1/VLOOKUP(E57,T_Produits,3,FALSE)),""))</f>
        <v/>
      </c>
      <c r="O57" s="40">
        <f>IF(OR(D57="",F57=""),"",IF(OR(D57="Casse / avarie",D57="Perte / vol",D57="Échantillon offert"),IF(I57&lt;&gt;"",I57,IF(N57="","",F57*N57)),""))</f>
        <v/>
      </c>
      <c r="P57" s="50">
        <f>IF(OR(D57="",F57=""),"",F57*IF(OR(D57="Reçu du magasin",D57="Ajustement (+)"),1,-1))</f>
        <v/>
      </c>
      <c r="Q57" s="34">
        <f>IF(C57="","",YEAR(C57-WEEKDAY(C57,2)+4)&amp;"-S"&amp;TEXT(INT((C57-DATE(YEAR(C57-WEEKDAY(C57,2)+4),1,3)+WEEKDAY(DATE(YEAR(C57-WEEKDAY(C57,2)+4),1,3),2)+5)/7),"00"))</f>
        <v/>
      </c>
    </row>
    <row r="58" ht="18" customHeight="1">
      <c r="A58" s="39" t="n">
        <v>53</v>
      </c>
      <c r="B58" s="33">
        <f>IF(C58="","",IF(L58="À RENSEIGNER","GIC",L58)&amp;"-S"&amp;TEXT(A58,"00000"))</f>
        <v/>
      </c>
      <c r="C58" s="32" t="n"/>
      <c r="D58" s="36" t="n"/>
      <c r="E58" s="36" t="n"/>
      <c r="F58" s="42" t="n"/>
      <c r="G58" s="36" t="n"/>
      <c r="H58" s="43" t="n"/>
      <c r="I58" s="37" t="n"/>
      <c r="J58" s="44" t="n"/>
      <c r="K58" s="36" t="n"/>
      <c r="L58" s="33">
        <f>IF(C58="","",Commercial_Id)</f>
        <v/>
      </c>
      <c r="M58" s="34">
        <f>IF(E58="","",IFERROR(VLOOKUP(E58,T_Produits,2,FALSE),""))</f>
        <v/>
      </c>
      <c r="N58" s="40">
        <f>IF(E58="","",IFERROR(1/(1/VLOOKUP(E58,T_Produits,3,FALSE)),""))</f>
        <v/>
      </c>
      <c r="O58" s="40">
        <f>IF(OR(D58="",F58=""),"",IF(OR(D58="Casse / avarie",D58="Perte / vol",D58="Échantillon offert"),IF(I58&lt;&gt;"",I58,IF(N58="","",F58*N58)),""))</f>
        <v/>
      </c>
      <c r="P58" s="50">
        <f>IF(OR(D58="",F58=""),"",F58*IF(OR(D58="Reçu du magasin",D58="Ajustement (+)"),1,-1))</f>
        <v/>
      </c>
      <c r="Q58" s="34">
        <f>IF(C58="","",YEAR(C58-WEEKDAY(C58,2)+4)&amp;"-S"&amp;TEXT(INT((C58-DATE(YEAR(C58-WEEKDAY(C58,2)+4),1,3)+WEEKDAY(DATE(YEAR(C58-WEEKDAY(C58,2)+4),1,3),2)+5)/7),"00"))</f>
        <v/>
      </c>
    </row>
    <row r="59" ht="18" customHeight="1">
      <c r="A59" s="39" t="n">
        <v>54</v>
      </c>
      <c r="B59" s="33">
        <f>IF(C59="","",IF(L59="À RENSEIGNER","GIC",L59)&amp;"-S"&amp;TEXT(A59,"00000"))</f>
        <v/>
      </c>
      <c r="C59" s="32" t="n"/>
      <c r="D59" s="36" t="n"/>
      <c r="E59" s="36" t="n"/>
      <c r="F59" s="42" t="n"/>
      <c r="G59" s="36" t="n"/>
      <c r="H59" s="43" t="n"/>
      <c r="I59" s="37" t="n"/>
      <c r="J59" s="44" t="n"/>
      <c r="K59" s="36" t="n"/>
      <c r="L59" s="33">
        <f>IF(C59="","",Commercial_Id)</f>
        <v/>
      </c>
      <c r="M59" s="34">
        <f>IF(E59="","",IFERROR(VLOOKUP(E59,T_Produits,2,FALSE),""))</f>
        <v/>
      </c>
      <c r="N59" s="40">
        <f>IF(E59="","",IFERROR(1/(1/VLOOKUP(E59,T_Produits,3,FALSE)),""))</f>
        <v/>
      </c>
      <c r="O59" s="40">
        <f>IF(OR(D59="",F59=""),"",IF(OR(D59="Casse / avarie",D59="Perte / vol",D59="Échantillon offert"),IF(I59&lt;&gt;"",I59,IF(N59="","",F59*N59)),""))</f>
        <v/>
      </c>
      <c r="P59" s="50">
        <f>IF(OR(D59="",F59=""),"",F59*IF(OR(D59="Reçu du magasin",D59="Ajustement (+)"),1,-1))</f>
        <v/>
      </c>
      <c r="Q59" s="34">
        <f>IF(C59="","",YEAR(C59-WEEKDAY(C59,2)+4)&amp;"-S"&amp;TEXT(INT((C59-DATE(YEAR(C59-WEEKDAY(C59,2)+4),1,3)+WEEKDAY(DATE(YEAR(C59-WEEKDAY(C59,2)+4),1,3),2)+5)/7),"00"))</f>
        <v/>
      </c>
    </row>
    <row r="60" ht="18" customHeight="1">
      <c r="A60" s="39" t="n">
        <v>55</v>
      </c>
      <c r="B60" s="33">
        <f>IF(C60="","",IF(L60="À RENSEIGNER","GIC",L60)&amp;"-S"&amp;TEXT(A60,"00000"))</f>
        <v/>
      </c>
      <c r="C60" s="32" t="n"/>
      <c r="D60" s="36" t="n"/>
      <c r="E60" s="36" t="n"/>
      <c r="F60" s="42" t="n"/>
      <c r="G60" s="36" t="n"/>
      <c r="H60" s="43" t="n"/>
      <c r="I60" s="37" t="n"/>
      <c r="J60" s="44" t="n"/>
      <c r="K60" s="36" t="n"/>
      <c r="L60" s="33">
        <f>IF(C60="","",Commercial_Id)</f>
        <v/>
      </c>
      <c r="M60" s="34">
        <f>IF(E60="","",IFERROR(VLOOKUP(E60,T_Produits,2,FALSE),""))</f>
        <v/>
      </c>
      <c r="N60" s="40">
        <f>IF(E60="","",IFERROR(1/(1/VLOOKUP(E60,T_Produits,3,FALSE)),""))</f>
        <v/>
      </c>
      <c r="O60" s="40">
        <f>IF(OR(D60="",F60=""),"",IF(OR(D60="Casse / avarie",D60="Perte / vol",D60="Échantillon offert"),IF(I60&lt;&gt;"",I60,IF(N60="","",F60*N60)),""))</f>
        <v/>
      </c>
      <c r="P60" s="50">
        <f>IF(OR(D60="",F60=""),"",F60*IF(OR(D60="Reçu du magasin",D60="Ajustement (+)"),1,-1))</f>
        <v/>
      </c>
      <c r="Q60" s="34">
        <f>IF(C60="","",YEAR(C60-WEEKDAY(C60,2)+4)&amp;"-S"&amp;TEXT(INT((C60-DATE(YEAR(C60-WEEKDAY(C60,2)+4),1,3)+WEEKDAY(DATE(YEAR(C60-WEEKDAY(C60,2)+4),1,3),2)+5)/7),"00"))</f>
        <v/>
      </c>
    </row>
    <row r="61" ht="18" customHeight="1">
      <c r="A61" s="39" t="n">
        <v>56</v>
      </c>
      <c r="B61" s="33">
        <f>IF(C61="","",IF(L61="À RENSEIGNER","GIC",L61)&amp;"-S"&amp;TEXT(A61,"00000"))</f>
        <v/>
      </c>
      <c r="C61" s="32" t="n"/>
      <c r="D61" s="36" t="n"/>
      <c r="E61" s="36" t="n"/>
      <c r="F61" s="42" t="n"/>
      <c r="G61" s="36" t="n"/>
      <c r="H61" s="43" t="n"/>
      <c r="I61" s="37" t="n"/>
      <c r="J61" s="44" t="n"/>
      <c r="K61" s="36" t="n"/>
      <c r="L61" s="33">
        <f>IF(C61="","",Commercial_Id)</f>
        <v/>
      </c>
      <c r="M61" s="34">
        <f>IF(E61="","",IFERROR(VLOOKUP(E61,T_Produits,2,FALSE),""))</f>
        <v/>
      </c>
      <c r="N61" s="40">
        <f>IF(E61="","",IFERROR(1/(1/VLOOKUP(E61,T_Produits,3,FALSE)),""))</f>
        <v/>
      </c>
      <c r="O61" s="40">
        <f>IF(OR(D61="",F61=""),"",IF(OR(D61="Casse / avarie",D61="Perte / vol",D61="Échantillon offert"),IF(I61&lt;&gt;"",I61,IF(N61="","",F61*N61)),""))</f>
        <v/>
      </c>
      <c r="P61" s="50">
        <f>IF(OR(D61="",F61=""),"",F61*IF(OR(D61="Reçu du magasin",D61="Ajustement (+)"),1,-1))</f>
        <v/>
      </c>
      <c r="Q61" s="34">
        <f>IF(C61="","",YEAR(C61-WEEKDAY(C61,2)+4)&amp;"-S"&amp;TEXT(INT((C61-DATE(YEAR(C61-WEEKDAY(C61,2)+4),1,3)+WEEKDAY(DATE(YEAR(C61-WEEKDAY(C61,2)+4),1,3),2)+5)/7),"00"))</f>
        <v/>
      </c>
    </row>
    <row r="62" ht="18" customHeight="1">
      <c r="A62" s="39" t="n">
        <v>57</v>
      </c>
      <c r="B62" s="33">
        <f>IF(C62="","",IF(L62="À RENSEIGNER","GIC",L62)&amp;"-S"&amp;TEXT(A62,"00000"))</f>
        <v/>
      </c>
      <c r="C62" s="32" t="n"/>
      <c r="D62" s="36" t="n"/>
      <c r="E62" s="36" t="n"/>
      <c r="F62" s="42" t="n"/>
      <c r="G62" s="36" t="n"/>
      <c r="H62" s="43" t="n"/>
      <c r="I62" s="37" t="n"/>
      <c r="J62" s="44" t="n"/>
      <c r="K62" s="36" t="n"/>
      <c r="L62" s="33">
        <f>IF(C62="","",Commercial_Id)</f>
        <v/>
      </c>
      <c r="M62" s="34">
        <f>IF(E62="","",IFERROR(VLOOKUP(E62,T_Produits,2,FALSE),""))</f>
        <v/>
      </c>
      <c r="N62" s="40">
        <f>IF(E62="","",IFERROR(1/(1/VLOOKUP(E62,T_Produits,3,FALSE)),""))</f>
        <v/>
      </c>
      <c r="O62" s="40">
        <f>IF(OR(D62="",F62=""),"",IF(OR(D62="Casse / avarie",D62="Perte / vol",D62="Échantillon offert"),IF(I62&lt;&gt;"",I62,IF(N62="","",F62*N62)),""))</f>
        <v/>
      </c>
      <c r="P62" s="50">
        <f>IF(OR(D62="",F62=""),"",F62*IF(OR(D62="Reçu du magasin",D62="Ajustement (+)"),1,-1))</f>
        <v/>
      </c>
      <c r="Q62" s="34">
        <f>IF(C62="","",YEAR(C62-WEEKDAY(C62,2)+4)&amp;"-S"&amp;TEXT(INT((C62-DATE(YEAR(C62-WEEKDAY(C62,2)+4),1,3)+WEEKDAY(DATE(YEAR(C62-WEEKDAY(C62,2)+4),1,3),2)+5)/7),"00"))</f>
        <v/>
      </c>
    </row>
    <row r="63" ht="18" customHeight="1">
      <c r="A63" s="39" t="n">
        <v>58</v>
      </c>
      <c r="B63" s="33">
        <f>IF(C63="","",IF(L63="À RENSEIGNER","GIC",L63)&amp;"-S"&amp;TEXT(A63,"00000"))</f>
        <v/>
      </c>
      <c r="C63" s="32" t="n"/>
      <c r="D63" s="36" t="n"/>
      <c r="E63" s="36" t="n"/>
      <c r="F63" s="42" t="n"/>
      <c r="G63" s="36" t="n"/>
      <c r="H63" s="43" t="n"/>
      <c r="I63" s="37" t="n"/>
      <c r="J63" s="44" t="n"/>
      <c r="K63" s="36" t="n"/>
      <c r="L63" s="33">
        <f>IF(C63="","",Commercial_Id)</f>
        <v/>
      </c>
      <c r="M63" s="34">
        <f>IF(E63="","",IFERROR(VLOOKUP(E63,T_Produits,2,FALSE),""))</f>
        <v/>
      </c>
      <c r="N63" s="40">
        <f>IF(E63="","",IFERROR(1/(1/VLOOKUP(E63,T_Produits,3,FALSE)),""))</f>
        <v/>
      </c>
      <c r="O63" s="40">
        <f>IF(OR(D63="",F63=""),"",IF(OR(D63="Casse / avarie",D63="Perte / vol",D63="Échantillon offert"),IF(I63&lt;&gt;"",I63,IF(N63="","",F63*N63)),""))</f>
        <v/>
      </c>
      <c r="P63" s="50">
        <f>IF(OR(D63="",F63=""),"",F63*IF(OR(D63="Reçu du magasin",D63="Ajustement (+)"),1,-1))</f>
        <v/>
      </c>
      <c r="Q63" s="34">
        <f>IF(C63="","",YEAR(C63-WEEKDAY(C63,2)+4)&amp;"-S"&amp;TEXT(INT((C63-DATE(YEAR(C63-WEEKDAY(C63,2)+4),1,3)+WEEKDAY(DATE(YEAR(C63-WEEKDAY(C63,2)+4),1,3),2)+5)/7),"00"))</f>
        <v/>
      </c>
    </row>
    <row r="64" ht="18" customHeight="1">
      <c r="A64" s="39" t="n">
        <v>59</v>
      </c>
      <c r="B64" s="33">
        <f>IF(C64="","",IF(L64="À RENSEIGNER","GIC",L64)&amp;"-S"&amp;TEXT(A64,"00000"))</f>
        <v/>
      </c>
      <c r="C64" s="32" t="n"/>
      <c r="D64" s="36" t="n"/>
      <c r="E64" s="36" t="n"/>
      <c r="F64" s="42" t="n"/>
      <c r="G64" s="36" t="n"/>
      <c r="H64" s="43" t="n"/>
      <c r="I64" s="37" t="n"/>
      <c r="J64" s="44" t="n"/>
      <c r="K64" s="36" t="n"/>
      <c r="L64" s="33">
        <f>IF(C64="","",Commercial_Id)</f>
        <v/>
      </c>
      <c r="M64" s="34">
        <f>IF(E64="","",IFERROR(VLOOKUP(E64,T_Produits,2,FALSE),""))</f>
        <v/>
      </c>
      <c r="N64" s="40">
        <f>IF(E64="","",IFERROR(1/(1/VLOOKUP(E64,T_Produits,3,FALSE)),""))</f>
        <v/>
      </c>
      <c r="O64" s="40">
        <f>IF(OR(D64="",F64=""),"",IF(OR(D64="Casse / avarie",D64="Perte / vol",D64="Échantillon offert"),IF(I64&lt;&gt;"",I64,IF(N64="","",F64*N64)),""))</f>
        <v/>
      </c>
      <c r="P64" s="50">
        <f>IF(OR(D64="",F64=""),"",F64*IF(OR(D64="Reçu du magasin",D64="Ajustement (+)"),1,-1))</f>
        <v/>
      </c>
      <c r="Q64" s="34">
        <f>IF(C64="","",YEAR(C64-WEEKDAY(C64,2)+4)&amp;"-S"&amp;TEXT(INT((C64-DATE(YEAR(C64-WEEKDAY(C64,2)+4),1,3)+WEEKDAY(DATE(YEAR(C64-WEEKDAY(C64,2)+4),1,3),2)+5)/7),"00"))</f>
        <v/>
      </c>
    </row>
    <row r="65" ht="18" customHeight="1">
      <c r="A65" s="39" t="n">
        <v>60</v>
      </c>
      <c r="B65" s="33">
        <f>IF(C65="","",IF(L65="À RENSEIGNER","GIC",L65)&amp;"-S"&amp;TEXT(A65,"00000"))</f>
        <v/>
      </c>
      <c r="C65" s="32" t="n"/>
      <c r="D65" s="36" t="n"/>
      <c r="E65" s="36" t="n"/>
      <c r="F65" s="42" t="n"/>
      <c r="G65" s="36" t="n"/>
      <c r="H65" s="43" t="n"/>
      <c r="I65" s="37" t="n"/>
      <c r="J65" s="44" t="n"/>
      <c r="K65" s="36" t="n"/>
      <c r="L65" s="33">
        <f>IF(C65="","",Commercial_Id)</f>
        <v/>
      </c>
      <c r="M65" s="34">
        <f>IF(E65="","",IFERROR(VLOOKUP(E65,T_Produits,2,FALSE),""))</f>
        <v/>
      </c>
      <c r="N65" s="40">
        <f>IF(E65="","",IFERROR(1/(1/VLOOKUP(E65,T_Produits,3,FALSE)),""))</f>
        <v/>
      </c>
      <c r="O65" s="40">
        <f>IF(OR(D65="",F65=""),"",IF(OR(D65="Casse / avarie",D65="Perte / vol",D65="Échantillon offert"),IF(I65&lt;&gt;"",I65,IF(N65="","",F65*N65)),""))</f>
        <v/>
      </c>
      <c r="P65" s="50">
        <f>IF(OR(D65="",F65=""),"",F65*IF(OR(D65="Reçu du magasin",D65="Ajustement (+)"),1,-1))</f>
        <v/>
      </c>
      <c r="Q65" s="34">
        <f>IF(C65="","",YEAR(C65-WEEKDAY(C65,2)+4)&amp;"-S"&amp;TEXT(INT((C65-DATE(YEAR(C65-WEEKDAY(C65,2)+4),1,3)+WEEKDAY(DATE(YEAR(C65-WEEKDAY(C65,2)+4),1,3),2)+5)/7),"00"))</f>
        <v/>
      </c>
    </row>
    <row r="66" ht="18" customHeight="1">
      <c r="A66" s="39" t="n">
        <v>61</v>
      </c>
      <c r="B66" s="33">
        <f>IF(C66="","",IF(L66="À RENSEIGNER","GIC",L66)&amp;"-S"&amp;TEXT(A66,"00000"))</f>
        <v/>
      </c>
      <c r="C66" s="32" t="n"/>
      <c r="D66" s="36" t="n"/>
      <c r="E66" s="36" t="n"/>
      <c r="F66" s="42" t="n"/>
      <c r="G66" s="36" t="n"/>
      <c r="H66" s="43" t="n"/>
      <c r="I66" s="37" t="n"/>
      <c r="J66" s="44" t="n"/>
      <c r="K66" s="36" t="n"/>
      <c r="L66" s="33">
        <f>IF(C66="","",Commercial_Id)</f>
        <v/>
      </c>
      <c r="M66" s="34">
        <f>IF(E66="","",IFERROR(VLOOKUP(E66,T_Produits,2,FALSE),""))</f>
        <v/>
      </c>
      <c r="N66" s="40">
        <f>IF(E66="","",IFERROR(1/(1/VLOOKUP(E66,T_Produits,3,FALSE)),""))</f>
        <v/>
      </c>
      <c r="O66" s="40">
        <f>IF(OR(D66="",F66=""),"",IF(OR(D66="Casse / avarie",D66="Perte / vol",D66="Échantillon offert"),IF(I66&lt;&gt;"",I66,IF(N66="","",F66*N66)),""))</f>
        <v/>
      </c>
      <c r="P66" s="50">
        <f>IF(OR(D66="",F66=""),"",F66*IF(OR(D66="Reçu du magasin",D66="Ajustement (+)"),1,-1))</f>
        <v/>
      </c>
      <c r="Q66" s="34">
        <f>IF(C66="","",YEAR(C66-WEEKDAY(C66,2)+4)&amp;"-S"&amp;TEXT(INT((C66-DATE(YEAR(C66-WEEKDAY(C66,2)+4),1,3)+WEEKDAY(DATE(YEAR(C66-WEEKDAY(C66,2)+4),1,3),2)+5)/7),"00"))</f>
        <v/>
      </c>
    </row>
    <row r="67" ht="18" customHeight="1">
      <c r="A67" s="39" t="n">
        <v>62</v>
      </c>
      <c r="B67" s="33">
        <f>IF(C67="","",IF(L67="À RENSEIGNER","GIC",L67)&amp;"-S"&amp;TEXT(A67,"00000"))</f>
        <v/>
      </c>
      <c r="C67" s="32" t="n"/>
      <c r="D67" s="36" t="n"/>
      <c r="E67" s="36" t="n"/>
      <c r="F67" s="42" t="n"/>
      <c r="G67" s="36" t="n"/>
      <c r="H67" s="43" t="n"/>
      <c r="I67" s="37" t="n"/>
      <c r="J67" s="44" t="n"/>
      <c r="K67" s="36" t="n"/>
      <c r="L67" s="33">
        <f>IF(C67="","",Commercial_Id)</f>
        <v/>
      </c>
      <c r="M67" s="34">
        <f>IF(E67="","",IFERROR(VLOOKUP(E67,T_Produits,2,FALSE),""))</f>
        <v/>
      </c>
      <c r="N67" s="40">
        <f>IF(E67="","",IFERROR(1/(1/VLOOKUP(E67,T_Produits,3,FALSE)),""))</f>
        <v/>
      </c>
      <c r="O67" s="40">
        <f>IF(OR(D67="",F67=""),"",IF(OR(D67="Casse / avarie",D67="Perte / vol",D67="Échantillon offert"),IF(I67&lt;&gt;"",I67,IF(N67="","",F67*N67)),""))</f>
        <v/>
      </c>
      <c r="P67" s="50">
        <f>IF(OR(D67="",F67=""),"",F67*IF(OR(D67="Reçu du magasin",D67="Ajustement (+)"),1,-1))</f>
        <v/>
      </c>
      <c r="Q67" s="34">
        <f>IF(C67="","",YEAR(C67-WEEKDAY(C67,2)+4)&amp;"-S"&amp;TEXT(INT((C67-DATE(YEAR(C67-WEEKDAY(C67,2)+4),1,3)+WEEKDAY(DATE(YEAR(C67-WEEKDAY(C67,2)+4),1,3),2)+5)/7),"00"))</f>
        <v/>
      </c>
    </row>
    <row r="68" ht="18" customHeight="1">
      <c r="A68" s="39" t="n">
        <v>63</v>
      </c>
      <c r="B68" s="33">
        <f>IF(C68="","",IF(L68="À RENSEIGNER","GIC",L68)&amp;"-S"&amp;TEXT(A68,"00000"))</f>
        <v/>
      </c>
      <c r="C68" s="32" t="n"/>
      <c r="D68" s="36" t="n"/>
      <c r="E68" s="36" t="n"/>
      <c r="F68" s="42" t="n"/>
      <c r="G68" s="36" t="n"/>
      <c r="H68" s="43" t="n"/>
      <c r="I68" s="37" t="n"/>
      <c r="J68" s="44" t="n"/>
      <c r="K68" s="36" t="n"/>
      <c r="L68" s="33">
        <f>IF(C68="","",Commercial_Id)</f>
        <v/>
      </c>
      <c r="M68" s="34">
        <f>IF(E68="","",IFERROR(VLOOKUP(E68,T_Produits,2,FALSE),""))</f>
        <v/>
      </c>
      <c r="N68" s="40">
        <f>IF(E68="","",IFERROR(1/(1/VLOOKUP(E68,T_Produits,3,FALSE)),""))</f>
        <v/>
      </c>
      <c r="O68" s="40">
        <f>IF(OR(D68="",F68=""),"",IF(OR(D68="Casse / avarie",D68="Perte / vol",D68="Échantillon offert"),IF(I68&lt;&gt;"",I68,IF(N68="","",F68*N68)),""))</f>
        <v/>
      </c>
      <c r="P68" s="50">
        <f>IF(OR(D68="",F68=""),"",F68*IF(OR(D68="Reçu du magasin",D68="Ajustement (+)"),1,-1))</f>
        <v/>
      </c>
      <c r="Q68" s="34">
        <f>IF(C68="","",YEAR(C68-WEEKDAY(C68,2)+4)&amp;"-S"&amp;TEXT(INT((C68-DATE(YEAR(C68-WEEKDAY(C68,2)+4),1,3)+WEEKDAY(DATE(YEAR(C68-WEEKDAY(C68,2)+4),1,3),2)+5)/7),"00"))</f>
        <v/>
      </c>
    </row>
    <row r="69" ht="18" customHeight="1">
      <c r="A69" s="39" t="n">
        <v>64</v>
      </c>
      <c r="B69" s="33">
        <f>IF(C69="","",IF(L69="À RENSEIGNER","GIC",L69)&amp;"-S"&amp;TEXT(A69,"00000"))</f>
        <v/>
      </c>
      <c r="C69" s="32" t="n"/>
      <c r="D69" s="36" t="n"/>
      <c r="E69" s="36" t="n"/>
      <c r="F69" s="42" t="n"/>
      <c r="G69" s="36" t="n"/>
      <c r="H69" s="43" t="n"/>
      <c r="I69" s="37" t="n"/>
      <c r="J69" s="44" t="n"/>
      <c r="K69" s="36" t="n"/>
      <c r="L69" s="33">
        <f>IF(C69="","",Commercial_Id)</f>
        <v/>
      </c>
      <c r="M69" s="34">
        <f>IF(E69="","",IFERROR(VLOOKUP(E69,T_Produits,2,FALSE),""))</f>
        <v/>
      </c>
      <c r="N69" s="40">
        <f>IF(E69="","",IFERROR(1/(1/VLOOKUP(E69,T_Produits,3,FALSE)),""))</f>
        <v/>
      </c>
      <c r="O69" s="40">
        <f>IF(OR(D69="",F69=""),"",IF(OR(D69="Casse / avarie",D69="Perte / vol",D69="Échantillon offert"),IF(I69&lt;&gt;"",I69,IF(N69="","",F69*N69)),""))</f>
        <v/>
      </c>
      <c r="P69" s="50">
        <f>IF(OR(D69="",F69=""),"",F69*IF(OR(D69="Reçu du magasin",D69="Ajustement (+)"),1,-1))</f>
        <v/>
      </c>
      <c r="Q69" s="34">
        <f>IF(C69="","",YEAR(C69-WEEKDAY(C69,2)+4)&amp;"-S"&amp;TEXT(INT((C69-DATE(YEAR(C69-WEEKDAY(C69,2)+4),1,3)+WEEKDAY(DATE(YEAR(C69-WEEKDAY(C69,2)+4),1,3),2)+5)/7),"00"))</f>
        <v/>
      </c>
    </row>
    <row r="70" ht="18" customHeight="1">
      <c r="A70" s="39" t="n">
        <v>65</v>
      </c>
      <c r="B70" s="33">
        <f>IF(C70="","",IF(L70="À RENSEIGNER","GIC",L70)&amp;"-S"&amp;TEXT(A70,"00000"))</f>
        <v/>
      </c>
      <c r="C70" s="32" t="n"/>
      <c r="D70" s="36" t="n"/>
      <c r="E70" s="36" t="n"/>
      <c r="F70" s="42" t="n"/>
      <c r="G70" s="36" t="n"/>
      <c r="H70" s="43" t="n"/>
      <c r="I70" s="37" t="n"/>
      <c r="J70" s="44" t="n"/>
      <c r="K70" s="36" t="n"/>
      <c r="L70" s="33">
        <f>IF(C70="","",Commercial_Id)</f>
        <v/>
      </c>
      <c r="M70" s="34">
        <f>IF(E70="","",IFERROR(VLOOKUP(E70,T_Produits,2,FALSE),""))</f>
        <v/>
      </c>
      <c r="N70" s="40">
        <f>IF(E70="","",IFERROR(1/(1/VLOOKUP(E70,T_Produits,3,FALSE)),""))</f>
        <v/>
      </c>
      <c r="O70" s="40">
        <f>IF(OR(D70="",F70=""),"",IF(OR(D70="Casse / avarie",D70="Perte / vol",D70="Échantillon offert"),IF(I70&lt;&gt;"",I70,IF(N70="","",F70*N70)),""))</f>
        <v/>
      </c>
      <c r="P70" s="50">
        <f>IF(OR(D70="",F70=""),"",F70*IF(OR(D70="Reçu du magasin",D70="Ajustement (+)"),1,-1))</f>
        <v/>
      </c>
      <c r="Q70" s="34">
        <f>IF(C70="","",YEAR(C70-WEEKDAY(C70,2)+4)&amp;"-S"&amp;TEXT(INT((C70-DATE(YEAR(C70-WEEKDAY(C70,2)+4),1,3)+WEEKDAY(DATE(YEAR(C70-WEEKDAY(C70,2)+4),1,3),2)+5)/7),"00"))</f>
        <v/>
      </c>
    </row>
    <row r="71" ht="18" customHeight="1">
      <c r="A71" s="39" t="n">
        <v>66</v>
      </c>
      <c r="B71" s="33">
        <f>IF(C71="","",IF(L71="À RENSEIGNER","GIC",L71)&amp;"-S"&amp;TEXT(A71,"00000"))</f>
        <v/>
      </c>
      <c r="C71" s="32" t="n"/>
      <c r="D71" s="36" t="n"/>
      <c r="E71" s="36" t="n"/>
      <c r="F71" s="42" t="n"/>
      <c r="G71" s="36" t="n"/>
      <c r="H71" s="43" t="n"/>
      <c r="I71" s="37" t="n"/>
      <c r="J71" s="44" t="n"/>
      <c r="K71" s="36" t="n"/>
      <c r="L71" s="33">
        <f>IF(C71="","",Commercial_Id)</f>
        <v/>
      </c>
      <c r="M71" s="34">
        <f>IF(E71="","",IFERROR(VLOOKUP(E71,T_Produits,2,FALSE),""))</f>
        <v/>
      </c>
      <c r="N71" s="40">
        <f>IF(E71="","",IFERROR(1/(1/VLOOKUP(E71,T_Produits,3,FALSE)),""))</f>
        <v/>
      </c>
      <c r="O71" s="40">
        <f>IF(OR(D71="",F71=""),"",IF(OR(D71="Casse / avarie",D71="Perte / vol",D71="Échantillon offert"),IF(I71&lt;&gt;"",I71,IF(N71="","",F71*N71)),""))</f>
        <v/>
      </c>
      <c r="P71" s="50">
        <f>IF(OR(D71="",F71=""),"",F71*IF(OR(D71="Reçu du magasin",D71="Ajustement (+)"),1,-1))</f>
        <v/>
      </c>
      <c r="Q71" s="34">
        <f>IF(C71="","",YEAR(C71-WEEKDAY(C71,2)+4)&amp;"-S"&amp;TEXT(INT((C71-DATE(YEAR(C71-WEEKDAY(C71,2)+4),1,3)+WEEKDAY(DATE(YEAR(C71-WEEKDAY(C71,2)+4),1,3),2)+5)/7),"00"))</f>
        <v/>
      </c>
    </row>
    <row r="72" ht="18" customHeight="1">
      <c r="A72" s="39" t="n">
        <v>67</v>
      </c>
      <c r="B72" s="33">
        <f>IF(C72="","",IF(L72="À RENSEIGNER","GIC",L72)&amp;"-S"&amp;TEXT(A72,"00000"))</f>
        <v/>
      </c>
      <c r="C72" s="32" t="n"/>
      <c r="D72" s="36" t="n"/>
      <c r="E72" s="36" t="n"/>
      <c r="F72" s="42" t="n"/>
      <c r="G72" s="36" t="n"/>
      <c r="H72" s="43" t="n"/>
      <c r="I72" s="37" t="n"/>
      <c r="J72" s="44" t="n"/>
      <c r="K72" s="36" t="n"/>
      <c r="L72" s="33">
        <f>IF(C72="","",Commercial_Id)</f>
        <v/>
      </c>
      <c r="M72" s="34">
        <f>IF(E72="","",IFERROR(VLOOKUP(E72,T_Produits,2,FALSE),""))</f>
        <v/>
      </c>
      <c r="N72" s="40">
        <f>IF(E72="","",IFERROR(1/(1/VLOOKUP(E72,T_Produits,3,FALSE)),""))</f>
        <v/>
      </c>
      <c r="O72" s="40">
        <f>IF(OR(D72="",F72=""),"",IF(OR(D72="Casse / avarie",D72="Perte / vol",D72="Échantillon offert"),IF(I72&lt;&gt;"",I72,IF(N72="","",F72*N72)),""))</f>
        <v/>
      </c>
      <c r="P72" s="50">
        <f>IF(OR(D72="",F72=""),"",F72*IF(OR(D72="Reçu du magasin",D72="Ajustement (+)"),1,-1))</f>
        <v/>
      </c>
      <c r="Q72" s="34">
        <f>IF(C72="","",YEAR(C72-WEEKDAY(C72,2)+4)&amp;"-S"&amp;TEXT(INT((C72-DATE(YEAR(C72-WEEKDAY(C72,2)+4),1,3)+WEEKDAY(DATE(YEAR(C72-WEEKDAY(C72,2)+4),1,3),2)+5)/7),"00"))</f>
        <v/>
      </c>
    </row>
    <row r="73" ht="18" customHeight="1">
      <c r="A73" s="39" t="n">
        <v>68</v>
      </c>
      <c r="B73" s="33">
        <f>IF(C73="","",IF(L73="À RENSEIGNER","GIC",L73)&amp;"-S"&amp;TEXT(A73,"00000"))</f>
        <v/>
      </c>
      <c r="C73" s="32" t="n"/>
      <c r="D73" s="36" t="n"/>
      <c r="E73" s="36" t="n"/>
      <c r="F73" s="42" t="n"/>
      <c r="G73" s="36" t="n"/>
      <c r="H73" s="43" t="n"/>
      <c r="I73" s="37" t="n"/>
      <c r="J73" s="44" t="n"/>
      <c r="K73" s="36" t="n"/>
      <c r="L73" s="33">
        <f>IF(C73="","",Commercial_Id)</f>
        <v/>
      </c>
      <c r="M73" s="34">
        <f>IF(E73="","",IFERROR(VLOOKUP(E73,T_Produits,2,FALSE),""))</f>
        <v/>
      </c>
      <c r="N73" s="40">
        <f>IF(E73="","",IFERROR(1/(1/VLOOKUP(E73,T_Produits,3,FALSE)),""))</f>
        <v/>
      </c>
      <c r="O73" s="40">
        <f>IF(OR(D73="",F73=""),"",IF(OR(D73="Casse / avarie",D73="Perte / vol",D73="Échantillon offert"),IF(I73&lt;&gt;"",I73,IF(N73="","",F73*N73)),""))</f>
        <v/>
      </c>
      <c r="P73" s="50">
        <f>IF(OR(D73="",F73=""),"",F73*IF(OR(D73="Reçu du magasin",D73="Ajustement (+)"),1,-1))</f>
        <v/>
      </c>
      <c r="Q73" s="34">
        <f>IF(C73="","",YEAR(C73-WEEKDAY(C73,2)+4)&amp;"-S"&amp;TEXT(INT((C73-DATE(YEAR(C73-WEEKDAY(C73,2)+4),1,3)+WEEKDAY(DATE(YEAR(C73-WEEKDAY(C73,2)+4),1,3),2)+5)/7),"00"))</f>
        <v/>
      </c>
    </row>
    <row r="74" ht="18" customHeight="1">
      <c r="A74" s="39" t="n">
        <v>69</v>
      </c>
      <c r="B74" s="33">
        <f>IF(C74="","",IF(L74="À RENSEIGNER","GIC",L74)&amp;"-S"&amp;TEXT(A74,"00000"))</f>
        <v/>
      </c>
      <c r="C74" s="32" t="n"/>
      <c r="D74" s="36" t="n"/>
      <c r="E74" s="36" t="n"/>
      <c r="F74" s="42" t="n"/>
      <c r="G74" s="36" t="n"/>
      <c r="H74" s="43" t="n"/>
      <c r="I74" s="37" t="n"/>
      <c r="J74" s="44" t="n"/>
      <c r="K74" s="36" t="n"/>
      <c r="L74" s="33">
        <f>IF(C74="","",Commercial_Id)</f>
        <v/>
      </c>
      <c r="M74" s="34">
        <f>IF(E74="","",IFERROR(VLOOKUP(E74,T_Produits,2,FALSE),""))</f>
        <v/>
      </c>
      <c r="N74" s="40">
        <f>IF(E74="","",IFERROR(1/(1/VLOOKUP(E74,T_Produits,3,FALSE)),""))</f>
        <v/>
      </c>
      <c r="O74" s="40">
        <f>IF(OR(D74="",F74=""),"",IF(OR(D74="Casse / avarie",D74="Perte / vol",D74="Échantillon offert"),IF(I74&lt;&gt;"",I74,IF(N74="","",F74*N74)),""))</f>
        <v/>
      </c>
      <c r="P74" s="50">
        <f>IF(OR(D74="",F74=""),"",F74*IF(OR(D74="Reçu du magasin",D74="Ajustement (+)"),1,-1))</f>
        <v/>
      </c>
      <c r="Q74" s="34">
        <f>IF(C74="","",YEAR(C74-WEEKDAY(C74,2)+4)&amp;"-S"&amp;TEXT(INT((C74-DATE(YEAR(C74-WEEKDAY(C74,2)+4),1,3)+WEEKDAY(DATE(YEAR(C74-WEEKDAY(C74,2)+4),1,3),2)+5)/7),"00"))</f>
        <v/>
      </c>
    </row>
    <row r="75" ht="18" customHeight="1">
      <c r="A75" s="39" t="n">
        <v>70</v>
      </c>
      <c r="B75" s="33">
        <f>IF(C75="","",IF(L75="À RENSEIGNER","GIC",L75)&amp;"-S"&amp;TEXT(A75,"00000"))</f>
        <v/>
      </c>
      <c r="C75" s="32" t="n"/>
      <c r="D75" s="36" t="n"/>
      <c r="E75" s="36" t="n"/>
      <c r="F75" s="42" t="n"/>
      <c r="G75" s="36" t="n"/>
      <c r="H75" s="43" t="n"/>
      <c r="I75" s="37" t="n"/>
      <c r="J75" s="44" t="n"/>
      <c r="K75" s="36" t="n"/>
      <c r="L75" s="33">
        <f>IF(C75="","",Commercial_Id)</f>
        <v/>
      </c>
      <c r="M75" s="34">
        <f>IF(E75="","",IFERROR(VLOOKUP(E75,T_Produits,2,FALSE),""))</f>
        <v/>
      </c>
      <c r="N75" s="40">
        <f>IF(E75="","",IFERROR(1/(1/VLOOKUP(E75,T_Produits,3,FALSE)),""))</f>
        <v/>
      </c>
      <c r="O75" s="40">
        <f>IF(OR(D75="",F75=""),"",IF(OR(D75="Casse / avarie",D75="Perte / vol",D75="Échantillon offert"),IF(I75&lt;&gt;"",I75,IF(N75="","",F75*N75)),""))</f>
        <v/>
      </c>
      <c r="P75" s="50">
        <f>IF(OR(D75="",F75=""),"",F75*IF(OR(D75="Reçu du magasin",D75="Ajustement (+)"),1,-1))</f>
        <v/>
      </c>
      <c r="Q75" s="34">
        <f>IF(C75="","",YEAR(C75-WEEKDAY(C75,2)+4)&amp;"-S"&amp;TEXT(INT((C75-DATE(YEAR(C75-WEEKDAY(C75,2)+4),1,3)+WEEKDAY(DATE(YEAR(C75-WEEKDAY(C75,2)+4),1,3),2)+5)/7),"00"))</f>
        <v/>
      </c>
    </row>
    <row r="76" ht="18" customHeight="1">
      <c r="A76" s="39" t="n">
        <v>71</v>
      </c>
      <c r="B76" s="33">
        <f>IF(C76="","",IF(L76="À RENSEIGNER","GIC",L76)&amp;"-S"&amp;TEXT(A76,"00000"))</f>
        <v/>
      </c>
      <c r="C76" s="32" t="n"/>
      <c r="D76" s="36" t="n"/>
      <c r="E76" s="36" t="n"/>
      <c r="F76" s="42" t="n"/>
      <c r="G76" s="36" t="n"/>
      <c r="H76" s="43" t="n"/>
      <c r="I76" s="37" t="n"/>
      <c r="J76" s="44" t="n"/>
      <c r="K76" s="36" t="n"/>
      <c r="L76" s="33">
        <f>IF(C76="","",Commercial_Id)</f>
        <v/>
      </c>
      <c r="M76" s="34">
        <f>IF(E76="","",IFERROR(VLOOKUP(E76,T_Produits,2,FALSE),""))</f>
        <v/>
      </c>
      <c r="N76" s="40">
        <f>IF(E76="","",IFERROR(1/(1/VLOOKUP(E76,T_Produits,3,FALSE)),""))</f>
        <v/>
      </c>
      <c r="O76" s="40">
        <f>IF(OR(D76="",F76=""),"",IF(OR(D76="Casse / avarie",D76="Perte / vol",D76="Échantillon offert"),IF(I76&lt;&gt;"",I76,IF(N76="","",F76*N76)),""))</f>
        <v/>
      </c>
      <c r="P76" s="50">
        <f>IF(OR(D76="",F76=""),"",F76*IF(OR(D76="Reçu du magasin",D76="Ajustement (+)"),1,-1))</f>
        <v/>
      </c>
      <c r="Q76" s="34">
        <f>IF(C76="","",YEAR(C76-WEEKDAY(C76,2)+4)&amp;"-S"&amp;TEXT(INT((C76-DATE(YEAR(C76-WEEKDAY(C76,2)+4),1,3)+WEEKDAY(DATE(YEAR(C76-WEEKDAY(C76,2)+4),1,3),2)+5)/7),"00"))</f>
        <v/>
      </c>
    </row>
    <row r="77" ht="18" customHeight="1">
      <c r="A77" s="39" t="n">
        <v>72</v>
      </c>
      <c r="B77" s="33">
        <f>IF(C77="","",IF(L77="À RENSEIGNER","GIC",L77)&amp;"-S"&amp;TEXT(A77,"00000"))</f>
        <v/>
      </c>
      <c r="C77" s="32" t="n"/>
      <c r="D77" s="36" t="n"/>
      <c r="E77" s="36" t="n"/>
      <c r="F77" s="42" t="n"/>
      <c r="G77" s="36" t="n"/>
      <c r="H77" s="43" t="n"/>
      <c r="I77" s="37" t="n"/>
      <c r="J77" s="44" t="n"/>
      <c r="K77" s="36" t="n"/>
      <c r="L77" s="33">
        <f>IF(C77="","",Commercial_Id)</f>
        <v/>
      </c>
      <c r="M77" s="34">
        <f>IF(E77="","",IFERROR(VLOOKUP(E77,T_Produits,2,FALSE),""))</f>
        <v/>
      </c>
      <c r="N77" s="40">
        <f>IF(E77="","",IFERROR(1/(1/VLOOKUP(E77,T_Produits,3,FALSE)),""))</f>
        <v/>
      </c>
      <c r="O77" s="40">
        <f>IF(OR(D77="",F77=""),"",IF(OR(D77="Casse / avarie",D77="Perte / vol",D77="Échantillon offert"),IF(I77&lt;&gt;"",I77,IF(N77="","",F77*N77)),""))</f>
        <v/>
      </c>
      <c r="P77" s="50">
        <f>IF(OR(D77="",F77=""),"",F77*IF(OR(D77="Reçu du magasin",D77="Ajustement (+)"),1,-1))</f>
        <v/>
      </c>
      <c r="Q77" s="34">
        <f>IF(C77="","",YEAR(C77-WEEKDAY(C77,2)+4)&amp;"-S"&amp;TEXT(INT((C77-DATE(YEAR(C77-WEEKDAY(C77,2)+4),1,3)+WEEKDAY(DATE(YEAR(C77-WEEKDAY(C77,2)+4),1,3),2)+5)/7),"00"))</f>
        <v/>
      </c>
    </row>
    <row r="78" ht="18" customHeight="1">
      <c r="A78" s="39" t="n">
        <v>73</v>
      </c>
      <c r="B78" s="33">
        <f>IF(C78="","",IF(L78="À RENSEIGNER","GIC",L78)&amp;"-S"&amp;TEXT(A78,"00000"))</f>
        <v/>
      </c>
      <c r="C78" s="32" t="n"/>
      <c r="D78" s="36" t="n"/>
      <c r="E78" s="36" t="n"/>
      <c r="F78" s="42" t="n"/>
      <c r="G78" s="36" t="n"/>
      <c r="H78" s="43" t="n"/>
      <c r="I78" s="37" t="n"/>
      <c r="J78" s="44" t="n"/>
      <c r="K78" s="36" t="n"/>
      <c r="L78" s="33">
        <f>IF(C78="","",Commercial_Id)</f>
        <v/>
      </c>
      <c r="M78" s="34">
        <f>IF(E78="","",IFERROR(VLOOKUP(E78,T_Produits,2,FALSE),""))</f>
        <v/>
      </c>
      <c r="N78" s="40">
        <f>IF(E78="","",IFERROR(1/(1/VLOOKUP(E78,T_Produits,3,FALSE)),""))</f>
        <v/>
      </c>
      <c r="O78" s="40">
        <f>IF(OR(D78="",F78=""),"",IF(OR(D78="Casse / avarie",D78="Perte / vol",D78="Échantillon offert"),IF(I78&lt;&gt;"",I78,IF(N78="","",F78*N78)),""))</f>
        <v/>
      </c>
      <c r="P78" s="50">
        <f>IF(OR(D78="",F78=""),"",F78*IF(OR(D78="Reçu du magasin",D78="Ajustement (+)"),1,-1))</f>
        <v/>
      </c>
      <c r="Q78" s="34">
        <f>IF(C78="","",YEAR(C78-WEEKDAY(C78,2)+4)&amp;"-S"&amp;TEXT(INT((C78-DATE(YEAR(C78-WEEKDAY(C78,2)+4),1,3)+WEEKDAY(DATE(YEAR(C78-WEEKDAY(C78,2)+4),1,3),2)+5)/7),"00"))</f>
        <v/>
      </c>
    </row>
    <row r="79" ht="18" customHeight="1">
      <c r="A79" s="39" t="n">
        <v>74</v>
      </c>
      <c r="B79" s="33">
        <f>IF(C79="","",IF(L79="À RENSEIGNER","GIC",L79)&amp;"-S"&amp;TEXT(A79,"00000"))</f>
        <v/>
      </c>
      <c r="C79" s="32" t="n"/>
      <c r="D79" s="36" t="n"/>
      <c r="E79" s="36" t="n"/>
      <c r="F79" s="42" t="n"/>
      <c r="G79" s="36" t="n"/>
      <c r="H79" s="43" t="n"/>
      <c r="I79" s="37" t="n"/>
      <c r="J79" s="44" t="n"/>
      <c r="K79" s="36" t="n"/>
      <c r="L79" s="33">
        <f>IF(C79="","",Commercial_Id)</f>
        <v/>
      </c>
      <c r="M79" s="34">
        <f>IF(E79="","",IFERROR(VLOOKUP(E79,T_Produits,2,FALSE),""))</f>
        <v/>
      </c>
      <c r="N79" s="40">
        <f>IF(E79="","",IFERROR(1/(1/VLOOKUP(E79,T_Produits,3,FALSE)),""))</f>
        <v/>
      </c>
      <c r="O79" s="40">
        <f>IF(OR(D79="",F79=""),"",IF(OR(D79="Casse / avarie",D79="Perte / vol",D79="Échantillon offert"),IF(I79&lt;&gt;"",I79,IF(N79="","",F79*N79)),""))</f>
        <v/>
      </c>
      <c r="P79" s="50">
        <f>IF(OR(D79="",F79=""),"",F79*IF(OR(D79="Reçu du magasin",D79="Ajustement (+)"),1,-1))</f>
        <v/>
      </c>
      <c r="Q79" s="34">
        <f>IF(C79="","",YEAR(C79-WEEKDAY(C79,2)+4)&amp;"-S"&amp;TEXT(INT((C79-DATE(YEAR(C79-WEEKDAY(C79,2)+4),1,3)+WEEKDAY(DATE(YEAR(C79-WEEKDAY(C79,2)+4),1,3),2)+5)/7),"00"))</f>
        <v/>
      </c>
    </row>
    <row r="80" ht="18" customHeight="1">
      <c r="A80" s="39" t="n">
        <v>75</v>
      </c>
      <c r="B80" s="33">
        <f>IF(C80="","",IF(L80="À RENSEIGNER","GIC",L80)&amp;"-S"&amp;TEXT(A80,"00000"))</f>
        <v/>
      </c>
      <c r="C80" s="32" t="n"/>
      <c r="D80" s="36" t="n"/>
      <c r="E80" s="36" t="n"/>
      <c r="F80" s="42" t="n"/>
      <c r="G80" s="36" t="n"/>
      <c r="H80" s="43" t="n"/>
      <c r="I80" s="37" t="n"/>
      <c r="J80" s="44" t="n"/>
      <c r="K80" s="36" t="n"/>
      <c r="L80" s="33">
        <f>IF(C80="","",Commercial_Id)</f>
        <v/>
      </c>
      <c r="M80" s="34">
        <f>IF(E80="","",IFERROR(VLOOKUP(E80,T_Produits,2,FALSE),""))</f>
        <v/>
      </c>
      <c r="N80" s="40">
        <f>IF(E80="","",IFERROR(1/(1/VLOOKUP(E80,T_Produits,3,FALSE)),""))</f>
        <v/>
      </c>
      <c r="O80" s="40">
        <f>IF(OR(D80="",F80=""),"",IF(OR(D80="Casse / avarie",D80="Perte / vol",D80="Échantillon offert"),IF(I80&lt;&gt;"",I80,IF(N80="","",F80*N80)),""))</f>
        <v/>
      </c>
      <c r="P80" s="50">
        <f>IF(OR(D80="",F80=""),"",F80*IF(OR(D80="Reçu du magasin",D80="Ajustement (+)"),1,-1))</f>
        <v/>
      </c>
      <c r="Q80" s="34">
        <f>IF(C80="","",YEAR(C80-WEEKDAY(C80,2)+4)&amp;"-S"&amp;TEXT(INT((C80-DATE(YEAR(C80-WEEKDAY(C80,2)+4),1,3)+WEEKDAY(DATE(YEAR(C80-WEEKDAY(C80,2)+4),1,3),2)+5)/7),"00"))</f>
        <v/>
      </c>
    </row>
    <row r="81" ht="18" customHeight="1">
      <c r="A81" s="39" t="n">
        <v>76</v>
      </c>
      <c r="B81" s="33">
        <f>IF(C81="","",IF(L81="À RENSEIGNER","GIC",L81)&amp;"-S"&amp;TEXT(A81,"00000"))</f>
        <v/>
      </c>
      <c r="C81" s="32" t="n"/>
      <c r="D81" s="36" t="n"/>
      <c r="E81" s="36" t="n"/>
      <c r="F81" s="42" t="n"/>
      <c r="G81" s="36" t="n"/>
      <c r="H81" s="43" t="n"/>
      <c r="I81" s="37" t="n"/>
      <c r="J81" s="44" t="n"/>
      <c r="K81" s="36" t="n"/>
      <c r="L81" s="33">
        <f>IF(C81="","",Commercial_Id)</f>
        <v/>
      </c>
      <c r="M81" s="34">
        <f>IF(E81="","",IFERROR(VLOOKUP(E81,T_Produits,2,FALSE),""))</f>
        <v/>
      </c>
      <c r="N81" s="40">
        <f>IF(E81="","",IFERROR(1/(1/VLOOKUP(E81,T_Produits,3,FALSE)),""))</f>
        <v/>
      </c>
      <c r="O81" s="40">
        <f>IF(OR(D81="",F81=""),"",IF(OR(D81="Casse / avarie",D81="Perte / vol",D81="Échantillon offert"),IF(I81&lt;&gt;"",I81,IF(N81="","",F81*N81)),""))</f>
        <v/>
      </c>
      <c r="P81" s="50">
        <f>IF(OR(D81="",F81=""),"",F81*IF(OR(D81="Reçu du magasin",D81="Ajustement (+)"),1,-1))</f>
        <v/>
      </c>
      <c r="Q81" s="34">
        <f>IF(C81="","",YEAR(C81-WEEKDAY(C81,2)+4)&amp;"-S"&amp;TEXT(INT((C81-DATE(YEAR(C81-WEEKDAY(C81,2)+4),1,3)+WEEKDAY(DATE(YEAR(C81-WEEKDAY(C81,2)+4),1,3),2)+5)/7),"00"))</f>
        <v/>
      </c>
    </row>
    <row r="82" ht="18" customHeight="1">
      <c r="A82" s="39" t="n">
        <v>77</v>
      </c>
      <c r="B82" s="33">
        <f>IF(C82="","",IF(L82="À RENSEIGNER","GIC",L82)&amp;"-S"&amp;TEXT(A82,"00000"))</f>
        <v/>
      </c>
      <c r="C82" s="32" t="n"/>
      <c r="D82" s="36" t="n"/>
      <c r="E82" s="36" t="n"/>
      <c r="F82" s="42" t="n"/>
      <c r="G82" s="36" t="n"/>
      <c r="H82" s="43" t="n"/>
      <c r="I82" s="37" t="n"/>
      <c r="J82" s="44" t="n"/>
      <c r="K82" s="36" t="n"/>
      <c r="L82" s="33">
        <f>IF(C82="","",Commercial_Id)</f>
        <v/>
      </c>
      <c r="M82" s="34">
        <f>IF(E82="","",IFERROR(VLOOKUP(E82,T_Produits,2,FALSE),""))</f>
        <v/>
      </c>
      <c r="N82" s="40">
        <f>IF(E82="","",IFERROR(1/(1/VLOOKUP(E82,T_Produits,3,FALSE)),""))</f>
        <v/>
      </c>
      <c r="O82" s="40">
        <f>IF(OR(D82="",F82=""),"",IF(OR(D82="Casse / avarie",D82="Perte / vol",D82="Échantillon offert"),IF(I82&lt;&gt;"",I82,IF(N82="","",F82*N82)),""))</f>
        <v/>
      </c>
      <c r="P82" s="50">
        <f>IF(OR(D82="",F82=""),"",F82*IF(OR(D82="Reçu du magasin",D82="Ajustement (+)"),1,-1))</f>
        <v/>
      </c>
      <c r="Q82" s="34">
        <f>IF(C82="","",YEAR(C82-WEEKDAY(C82,2)+4)&amp;"-S"&amp;TEXT(INT((C82-DATE(YEAR(C82-WEEKDAY(C82,2)+4),1,3)+WEEKDAY(DATE(YEAR(C82-WEEKDAY(C82,2)+4),1,3),2)+5)/7),"00"))</f>
        <v/>
      </c>
    </row>
    <row r="83" ht="18" customHeight="1">
      <c r="A83" s="39" t="n">
        <v>78</v>
      </c>
      <c r="B83" s="33">
        <f>IF(C83="","",IF(L83="À RENSEIGNER","GIC",L83)&amp;"-S"&amp;TEXT(A83,"00000"))</f>
        <v/>
      </c>
      <c r="C83" s="32" t="n"/>
      <c r="D83" s="36" t="n"/>
      <c r="E83" s="36" t="n"/>
      <c r="F83" s="42" t="n"/>
      <c r="G83" s="36" t="n"/>
      <c r="H83" s="43" t="n"/>
      <c r="I83" s="37" t="n"/>
      <c r="J83" s="44" t="n"/>
      <c r="K83" s="36" t="n"/>
      <c r="L83" s="33">
        <f>IF(C83="","",Commercial_Id)</f>
        <v/>
      </c>
      <c r="M83" s="34">
        <f>IF(E83="","",IFERROR(VLOOKUP(E83,T_Produits,2,FALSE),""))</f>
        <v/>
      </c>
      <c r="N83" s="40">
        <f>IF(E83="","",IFERROR(1/(1/VLOOKUP(E83,T_Produits,3,FALSE)),""))</f>
        <v/>
      </c>
      <c r="O83" s="40">
        <f>IF(OR(D83="",F83=""),"",IF(OR(D83="Casse / avarie",D83="Perte / vol",D83="Échantillon offert"),IF(I83&lt;&gt;"",I83,IF(N83="","",F83*N83)),""))</f>
        <v/>
      </c>
      <c r="P83" s="50">
        <f>IF(OR(D83="",F83=""),"",F83*IF(OR(D83="Reçu du magasin",D83="Ajustement (+)"),1,-1))</f>
        <v/>
      </c>
      <c r="Q83" s="34">
        <f>IF(C83="","",YEAR(C83-WEEKDAY(C83,2)+4)&amp;"-S"&amp;TEXT(INT((C83-DATE(YEAR(C83-WEEKDAY(C83,2)+4),1,3)+WEEKDAY(DATE(YEAR(C83-WEEKDAY(C83,2)+4),1,3),2)+5)/7),"00"))</f>
        <v/>
      </c>
    </row>
    <row r="84" ht="18" customHeight="1">
      <c r="A84" s="39" t="n">
        <v>79</v>
      </c>
      <c r="B84" s="33">
        <f>IF(C84="","",IF(L84="À RENSEIGNER","GIC",L84)&amp;"-S"&amp;TEXT(A84,"00000"))</f>
        <v/>
      </c>
      <c r="C84" s="32" t="n"/>
      <c r="D84" s="36" t="n"/>
      <c r="E84" s="36" t="n"/>
      <c r="F84" s="42" t="n"/>
      <c r="G84" s="36" t="n"/>
      <c r="H84" s="43" t="n"/>
      <c r="I84" s="37" t="n"/>
      <c r="J84" s="44" t="n"/>
      <c r="K84" s="36" t="n"/>
      <c r="L84" s="33">
        <f>IF(C84="","",Commercial_Id)</f>
        <v/>
      </c>
      <c r="M84" s="34">
        <f>IF(E84="","",IFERROR(VLOOKUP(E84,T_Produits,2,FALSE),""))</f>
        <v/>
      </c>
      <c r="N84" s="40">
        <f>IF(E84="","",IFERROR(1/(1/VLOOKUP(E84,T_Produits,3,FALSE)),""))</f>
        <v/>
      </c>
      <c r="O84" s="40">
        <f>IF(OR(D84="",F84=""),"",IF(OR(D84="Casse / avarie",D84="Perte / vol",D84="Échantillon offert"),IF(I84&lt;&gt;"",I84,IF(N84="","",F84*N84)),""))</f>
        <v/>
      </c>
      <c r="P84" s="50">
        <f>IF(OR(D84="",F84=""),"",F84*IF(OR(D84="Reçu du magasin",D84="Ajustement (+)"),1,-1))</f>
        <v/>
      </c>
      <c r="Q84" s="34">
        <f>IF(C84="","",YEAR(C84-WEEKDAY(C84,2)+4)&amp;"-S"&amp;TEXT(INT((C84-DATE(YEAR(C84-WEEKDAY(C84,2)+4),1,3)+WEEKDAY(DATE(YEAR(C84-WEEKDAY(C84,2)+4),1,3),2)+5)/7),"00"))</f>
        <v/>
      </c>
    </row>
    <row r="85" ht="18" customHeight="1">
      <c r="A85" s="39" t="n">
        <v>80</v>
      </c>
      <c r="B85" s="33">
        <f>IF(C85="","",IF(L85="À RENSEIGNER","GIC",L85)&amp;"-S"&amp;TEXT(A85,"00000"))</f>
        <v/>
      </c>
      <c r="C85" s="32" t="n"/>
      <c r="D85" s="36" t="n"/>
      <c r="E85" s="36" t="n"/>
      <c r="F85" s="42" t="n"/>
      <c r="G85" s="36" t="n"/>
      <c r="H85" s="43" t="n"/>
      <c r="I85" s="37" t="n"/>
      <c r="J85" s="44" t="n"/>
      <c r="K85" s="36" t="n"/>
      <c r="L85" s="33">
        <f>IF(C85="","",Commercial_Id)</f>
        <v/>
      </c>
      <c r="M85" s="34">
        <f>IF(E85="","",IFERROR(VLOOKUP(E85,T_Produits,2,FALSE),""))</f>
        <v/>
      </c>
      <c r="N85" s="40">
        <f>IF(E85="","",IFERROR(1/(1/VLOOKUP(E85,T_Produits,3,FALSE)),""))</f>
        <v/>
      </c>
      <c r="O85" s="40">
        <f>IF(OR(D85="",F85=""),"",IF(OR(D85="Casse / avarie",D85="Perte / vol",D85="Échantillon offert"),IF(I85&lt;&gt;"",I85,IF(N85="","",F85*N85)),""))</f>
        <v/>
      </c>
      <c r="P85" s="50">
        <f>IF(OR(D85="",F85=""),"",F85*IF(OR(D85="Reçu du magasin",D85="Ajustement (+)"),1,-1))</f>
        <v/>
      </c>
      <c r="Q85" s="34">
        <f>IF(C85="","",YEAR(C85-WEEKDAY(C85,2)+4)&amp;"-S"&amp;TEXT(INT((C85-DATE(YEAR(C85-WEEKDAY(C85,2)+4),1,3)+WEEKDAY(DATE(YEAR(C85-WEEKDAY(C85,2)+4),1,3),2)+5)/7),"00"))</f>
        <v/>
      </c>
    </row>
    <row r="86" ht="18" customHeight="1">
      <c r="A86" s="39" t="n">
        <v>81</v>
      </c>
      <c r="B86" s="33">
        <f>IF(C86="","",IF(L86="À RENSEIGNER","GIC",L86)&amp;"-S"&amp;TEXT(A86,"00000"))</f>
        <v/>
      </c>
      <c r="C86" s="32" t="n"/>
      <c r="D86" s="36" t="n"/>
      <c r="E86" s="36" t="n"/>
      <c r="F86" s="42" t="n"/>
      <c r="G86" s="36" t="n"/>
      <c r="H86" s="43" t="n"/>
      <c r="I86" s="37" t="n"/>
      <c r="J86" s="44" t="n"/>
      <c r="K86" s="36" t="n"/>
      <c r="L86" s="33">
        <f>IF(C86="","",Commercial_Id)</f>
        <v/>
      </c>
      <c r="M86" s="34">
        <f>IF(E86="","",IFERROR(VLOOKUP(E86,T_Produits,2,FALSE),""))</f>
        <v/>
      </c>
      <c r="N86" s="40">
        <f>IF(E86="","",IFERROR(1/(1/VLOOKUP(E86,T_Produits,3,FALSE)),""))</f>
        <v/>
      </c>
      <c r="O86" s="40">
        <f>IF(OR(D86="",F86=""),"",IF(OR(D86="Casse / avarie",D86="Perte / vol",D86="Échantillon offert"),IF(I86&lt;&gt;"",I86,IF(N86="","",F86*N86)),""))</f>
        <v/>
      </c>
      <c r="P86" s="50">
        <f>IF(OR(D86="",F86=""),"",F86*IF(OR(D86="Reçu du magasin",D86="Ajustement (+)"),1,-1))</f>
        <v/>
      </c>
      <c r="Q86" s="34">
        <f>IF(C86="","",YEAR(C86-WEEKDAY(C86,2)+4)&amp;"-S"&amp;TEXT(INT((C86-DATE(YEAR(C86-WEEKDAY(C86,2)+4),1,3)+WEEKDAY(DATE(YEAR(C86-WEEKDAY(C86,2)+4),1,3),2)+5)/7),"00"))</f>
        <v/>
      </c>
    </row>
    <row r="87" ht="18" customHeight="1">
      <c r="A87" s="39" t="n">
        <v>82</v>
      </c>
      <c r="B87" s="33">
        <f>IF(C87="","",IF(L87="À RENSEIGNER","GIC",L87)&amp;"-S"&amp;TEXT(A87,"00000"))</f>
        <v/>
      </c>
      <c r="C87" s="32" t="n"/>
      <c r="D87" s="36" t="n"/>
      <c r="E87" s="36" t="n"/>
      <c r="F87" s="42" t="n"/>
      <c r="G87" s="36" t="n"/>
      <c r="H87" s="43" t="n"/>
      <c r="I87" s="37" t="n"/>
      <c r="J87" s="44" t="n"/>
      <c r="K87" s="36" t="n"/>
      <c r="L87" s="33">
        <f>IF(C87="","",Commercial_Id)</f>
        <v/>
      </c>
      <c r="M87" s="34">
        <f>IF(E87="","",IFERROR(VLOOKUP(E87,T_Produits,2,FALSE),""))</f>
        <v/>
      </c>
      <c r="N87" s="40">
        <f>IF(E87="","",IFERROR(1/(1/VLOOKUP(E87,T_Produits,3,FALSE)),""))</f>
        <v/>
      </c>
      <c r="O87" s="40">
        <f>IF(OR(D87="",F87=""),"",IF(OR(D87="Casse / avarie",D87="Perte / vol",D87="Échantillon offert"),IF(I87&lt;&gt;"",I87,IF(N87="","",F87*N87)),""))</f>
        <v/>
      </c>
      <c r="P87" s="50">
        <f>IF(OR(D87="",F87=""),"",F87*IF(OR(D87="Reçu du magasin",D87="Ajustement (+)"),1,-1))</f>
        <v/>
      </c>
      <c r="Q87" s="34">
        <f>IF(C87="","",YEAR(C87-WEEKDAY(C87,2)+4)&amp;"-S"&amp;TEXT(INT((C87-DATE(YEAR(C87-WEEKDAY(C87,2)+4),1,3)+WEEKDAY(DATE(YEAR(C87-WEEKDAY(C87,2)+4),1,3),2)+5)/7),"00"))</f>
        <v/>
      </c>
    </row>
    <row r="88" ht="18" customHeight="1">
      <c r="A88" s="39" t="n">
        <v>83</v>
      </c>
      <c r="B88" s="33">
        <f>IF(C88="","",IF(L88="À RENSEIGNER","GIC",L88)&amp;"-S"&amp;TEXT(A88,"00000"))</f>
        <v/>
      </c>
      <c r="C88" s="32" t="n"/>
      <c r="D88" s="36" t="n"/>
      <c r="E88" s="36" t="n"/>
      <c r="F88" s="42" t="n"/>
      <c r="G88" s="36" t="n"/>
      <c r="H88" s="43" t="n"/>
      <c r="I88" s="37" t="n"/>
      <c r="J88" s="44" t="n"/>
      <c r="K88" s="36" t="n"/>
      <c r="L88" s="33">
        <f>IF(C88="","",Commercial_Id)</f>
        <v/>
      </c>
      <c r="M88" s="34">
        <f>IF(E88="","",IFERROR(VLOOKUP(E88,T_Produits,2,FALSE),""))</f>
        <v/>
      </c>
      <c r="N88" s="40">
        <f>IF(E88="","",IFERROR(1/(1/VLOOKUP(E88,T_Produits,3,FALSE)),""))</f>
        <v/>
      </c>
      <c r="O88" s="40">
        <f>IF(OR(D88="",F88=""),"",IF(OR(D88="Casse / avarie",D88="Perte / vol",D88="Échantillon offert"),IF(I88&lt;&gt;"",I88,IF(N88="","",F88*N88)),""))</f>
        <v/>
      </c>
      <c r="P88" s="50">
        <f>IF(OR(D88="",F88=""),"",F88*IF(OR(D88="Reçu du magasin",D88="Ajustement (+)"),1,-1))</f>
        <v/>
      </c>
      <c r="Q88" s="34">
        <f>IF(C88="","",YEAR(C88-WEEKDAY(C88,2)+4)&amp;"-S"&amp;TEXT(INT((C88-DATE(YEAR(C88-WEEKDAY(C88,2)+4),1,3)+WEEKDAY(DATE(YEAR(C88-WEEKDAY(C88,2)+4),1,3),2)+5)/7),"00"))</f>
        <v/>
      </c>
    </row>
    <row r="89" ht="18" customHeight="1">
      <c r="A89" s="39" t="n">
        <v>84</v>
      </c>
      <c r="B89" s="33">
        <f>IF(C89="","",IF(L89="À RENSEIGNER","GIC",L89)&amp;"-S"&amp;TEXT(A89,"00000"))</f>
        <v/>
      </c>
      <c r="C89" s="32" t="n"/>
      <c r="D89" s="36" t="n"/>
      <c r="E89" s="36" t="n"/>
      <c r="F89" s="42" t="n"/>
      <c r="G89" s="36" t="n"/>
      <c r="H89" s="43" t="n"/>
      <c r="I89" s="37" t="n"/>
      <c r="J89" s="44" t="n"/>
      <c r="K89" s="36" t="n"/>
      <c r="L89" s="33">
        <f>IF(C89="","",Commercial_Id)</f>
        <v/>
      </c>
      <c r="M89" s="34">
        <f>IF(E89="","",IFERROR(VLOOKUP(E89,T_Produits,2,FALSE),""))</f>
        <v/>
      </c>
      <c r="N89" s="40">
        <f>IF(E89="","",IFERROR(1/(1/VLOOKUP(E89,T_Produits,3,FALSE)),""))</f>
        <v/>
      </c>
      <c r="O89" s="40">
        <f>IF(OR(D89="",F89=""),"",IF(OR(D89="Casse / avarie",D89="Perte / vol",D89="Échantillon offert"),IF(I89&lt;&gt;"",I89,IF(N89="","",F89*N89)),""))</f>
        <v/>
      </c>
      <c r="P89" s="50">
        <f>IF(OR(D89="",F89=""),"",F89*IF(OR(D89="Reçu du magasin",D89="Ajustement (+)"),1,-1))</f>
        <v/>
      </c>
      <c r="Q89" s="34">
        <f>IF(C89="","",YEAR(C89-WEEKDAY(C89,2)+4)&amp;"-S"&amp;TEXT(INT((C89-DATE(YEAR(C89-WEEKDAY(C89,2)+4),1,3)+WEEKDAY(DATE(YEAR(C89-WEEKDAY(C89,2)+4),1,3),2)+5)/7),"00"))</f>
        <v/>
      </c>
    </row>
    <row r="90" ht="18" customHeight="1">
      <c r="A90" s="39" t="n">
        <v>85</v>
      </c>
      <c r="B90" s="33">
        <f>IF(C90="","",IF(L90="À RENSEIGNER","GIC",L90)&amp;"-S"&amp;TEXT(A90,"00000"))</f>
        <v/>
      </c>
      <c r="C90" s="32" t="n"/>
      <c r="D90" s="36" t="n"/>
      <c r="E90" s="36" t="n"/>
      <c r="F90" s="42" t="n"/>
      <c r="G90" s="36" t="n"/>
      <c r="H90" s="43" t="n"/>
      <c r="I90" s="37" t="n"/>
      <c r="J90" s="44" t="n"/>
      <c r="K90" s="36" t="n"/>
      <c r="L90" s="33">
        <f>IF(C90="","",Commercial_Id)</f>
        <v/>
      </c>
      <c r="M90" s="34">
        <f>IF(E90="","",IFERROR(VLOOKUP(E90,T_Produits,2,FALSE),""))</f>
        <v/>
      </c>
      <c r="N90" s="40">
        <f>IF(E90="","",IFERROR(1/(1/VLOOKUP(E90,T_Produits,3,FALSE)),""))</f>
        <v/>
      </c>
      <c r="O90" s="40">
        <f>IF(OR(D90="",F90=""),"",IF(OR(D90="Casse / avarie",D90="Perte / vol",D90="Échantillon offert"),IF(I90&lt;&gt;"",I90,IF(N90="","",F90*N90)),""))</f>
        <v/>
      </c>
      <c r="P90" s="50">
        <f>IF(OR(D90="",F90=""),"",F90*IF(OR(D90="Reçu du magasin",D90="Ajustement (+)"),1,-1))</f>
        <v/>
      </c>
      <c r="Q90" s="34">
        <f>IF(C90="","",YEAR(C90-WEEKDAY(C90,2)+4)&amp;"-S"&amp;TEXT(INT((C90-DATE(YEAR(C90-WEEKDAY(C90,2)+4),1,3)+WEEKDAY(DATE(YEAR(C90-WEEKDAY(C90,2)+4),1,3),2)+5)/7),"00"))</f>
        <v/>
      </c>
    </row>
    <row r="91" ht="18" customHeight="1">
      <c r="A91" s="39" t="n">
        <v>86</v>
      </c>
      <c r="B91" s="33">
        <f>IF(C91="","",IF(L91="À RENSEIGNER","GIC",L91)&amp;"-S"&amp;TEXT(A91,"00000"))</f>
        <v/>
      </c>
      <c r="C91" s="32" t="n"/>
      <c r="D91" s="36" t="n"/>
      <c r="E91" s="36" t="n"/>
      <c r="F91" s="42" t="n"/>
      <c r="G91" s="36" t="n"/>
      <c r="H91" s="43" t="n"/>
      <c r="I91" s="37" t="n"/>
      <c r="J91" s="44" t="n"/>
      <c r="K91" s="36" t="n"/>
      <c r="L91" s="33">
        <f>IF(C91="","",Commercial_Id)</f>
        <v/>
      </c>
      <c r="M91" s="34">
        <f>IF(E91="","",IFERROR(VLOOKUP(E91,T_Produits,2,FALSE),""))</f>
        <v/>
      </c>
      <c r="N91" s="40">
        <f>IF(E91="","",IFERROR(1/(1/VLOOKUP(E91,T_Produits,3,FALSE)),""))</f>
        <v/>
      </c>
      <c r="O91" s="40">
        <f>IF(OR(D91="",F91=""),"",IF(OR(D91="Casse / avarie",D91="Perte / vol",D91="Échantillon offert"),IF(I91&lt;&gt;"",I91,IF(N91="","",F91*N91)),""))</f>
        <v/>
      </c>
      <c r="P91" s="50">
        <f>IF(OR(D91="",F91=""),"",F91*IF(OR(D91="Reçu du magasin",D91="Ajustement (+)"),1,-1))</f>
        <v/>
      </c>
      <c r="Q91" s="34">
        <f>IF(C91="","",YEAR(C91-WEEKDAY(C91,2)+4)&amp;"-S"&amp;TEXT(INT((C91-DATE(YEAR(C91-WEEKDAY(C91,2)+4),1,3)+WEEKDAY(DATE(YEAR(C91-WEEKDAY(C91,2)+4),1,3),2)+5)/7),"00"))</f>
        <v/>
      </c>
    </row>
    <row r="92" ht="18" customHeight="1">
      <c r="A92" s="39" t="n">
        <v>87</v>
      </c>
      <c r="B92" s="33">
        <f>IF(C92="","",IF(L92="À RENSEIGNER","GIC",L92)&amp;"-S"&amp;TEXT(A92,"00000"))</f>
        <v/>
      </c>
      <c r="C92" s="32" t="n"/>
      <c r="D92" s="36" t="n"/>
      <c r="E92" s="36" t="n"/>
      <c r="F92" s="42" t="n"/>
      <c r="G92" s="36" t="n"/>
      <c r="H92" s="43" t="n"/>
      <c r="I92" s="37" t="n"/>
      <c r="J92" s="44" t="n"/>
      <c r="K92" s="36" t="n"/>
      <c r="L92" s="33">
        <f>IF(C92="","",Commercial_Id)</f>
        <v/>
      </c>
      <c r="M92" s="34">
        <f>IF(E92="","",IFERROR(VLOOKUP(E92,T_Produits,2,FALSE),""))</f>
        <v/>
      </c>
      <c r="N92" s="40">
        <f>IF(E92="","",IFERROR(1/(1/VLOOKUP(E92,T_Produits,3,FALSE)),""))</f>
        <v/>
      </c>
      <c r="O92" s="40">
        <f>IF(OR(D92="",F92=""),"",IF(OR(D92="Casse / avarie",D92="Perte / vol",D92="Échantillon offert"),IF(I92&lt;&gt;"",I92,IF(N92="","",F92*N92)),""))</f>
        <v/>
      </c>
      <c r="P92" s="50">
        <f>IF(OR(D92="",F92=""),"",F92*IF(OR(D92="Reçu du magasin",D92="Ajustement (+)"),1,-1))</f>
        <v/>
      </c>
      <c r="Q92" s="34">
        <f>IF(C92="","",YEAR(C92-WEEKDAY(C92,2)+4)&amp;"-S"&amp;TEXT(INT((C92-DATE(YEAR(C92-WEEKDAY(C92,2)+4),1,3)+WEEKDAY(DATE(YEAR(C92-WEEKDAY(C92,2)+4),1,3),2)+5)/7),"00"))</f>
        <v/>
      </c>
    </row>
    <row r="93" ht="18" customHeight="1">
      <c r="A93" s="39" t="n">
        <v>88</v>
      </c>
      <c r="B93" s="33">
        <f>IF(C93="","",IF(L93="À RENSEIGNER","GIC",L93)&amp;"-S"&amp;TEXT(A93,"00000"))</f>
        <v/>
      </c>
      <c r="C93" s="32" t="n"/>
      <c r="D93" s="36" t="n"/>
      <c r="E93" s="36" t="n"/>
      <c r="F93" s="42" t="n"/>
      <c r="G93" s="36" t="n"/>
      <c r="H93" s="43" t="n"/>
      <c r="I93" s="37" t="n"/>
      <c r="J93" s="44" t="n"/>
      <c r="K93" s="36" t="n"/>
      <c r="L93" s="33">
        <f>IF(C93="","",Commercial_Id)</f>
        <v/>
      </c>
      <c r="M93" s="34">
        <f>IF(E93="","",IFERROR(VLOOKUP(E93,T_Produits,2,FALSE),""))</f>
        <v/>
      </c>
      <c r="N93" s="40">
        <f>IF(E93="","",IFERROR(1/(1/VLOOKUP(E93,T_Produits,3,FALSE)),""))</f>
        <v/>
      </c>
      <c r="O93" s="40">
        <f>IF(OR(D93="",F93=""),"",IF(OR(D93="Casse / avarie",D93="Perte / vol",D93="Échantillon offert"),IF(I93&lt;&gt;"",I93,IF(N93="","",F93*N93)),""))</f>
        <v/>
      </c>
      <c r="P93" s="50">
        <f>IF(OR(D93="",F93=""),"",F93*IF(OR(D93="Reçu du magasin",D93="Ajustement (+)"),1,-1))</f>
        <v/>
      </c>
      <c r="Q93" s="34">
        <f>IF(C93="","",YEAR(C93-WEEKDAY(C93,2)+4)&amp;"-S"&amp;TEXT(INT((C93-DATE(YEAR(C93-WEEKDAY(C93,2)+4),1,3)+WEEKDAY(DATE(YEAR(C93-WEEKDAY(C93,2)+4),1,3),2)+5)/7),"00"))</f>
        <v/>
      </c>
    </row>
    <row r="94" ht="18" customHeight="1">
      <c r="A94" s="39" t="n">
        <v>89</v>
      </c>
      <c r="B94" s="33">
        <f>IF(C94="","",IF(L94="À RENSEIGNER","GIC",L94)&amp;"-S"&amp;TEXT(A94,"00000"))</f>
        <v/>
      </c>
      <c r="C94" s="32" t="n"/>
      <c r="D94" s="36" t="n"/>
      <c r="E94" s="36" t="n"/>
      <c r="F94" s="42" t="n"/>
      <c r="G94" s="36" t="n"/>
      <c r="H94" s="43" t="n"/>
      <c r="I94" s="37" t="n"/>
      <c r="J94" s="44" t="n"/>
      <c r="K94" s="36" t="n"/>
      <c r="L94" s="33">
        <f>IF(C94="","",Commercial_Id)</f>
        <v/>
      </c>
      <c r="M94" s="34">
        <f>IF(E94="","",IFERROR(VLOOKUP(E94,T_Produits,2,FALSE),""))</f>
        <v/>
      </c>
      <c r="N94" s="40">
        <f>IF(E94="","",IFERROR(1/(1/VLOOKUP(E94,T_Produits,3,FALSE)),""))</f>
        <v/>
      </c>
      <c r="O94" s="40">
        <f>IF(OR(D94="",F94=""),"",IF(OR(D94="Casse / avarie",D94="Perte / vol",D94="Échantillon offert"),IF(I94&lt;&gt;"",I94,IF(N94="","",F94*N94)),""))</f>
        <v/>
      </c>
      <c r="P94" s="50">
        <f>IF(OR(D94="",F94=""),"",F94*IF(OR(D94="Reçu du magasin",D94="Ajustement (+)"),1,-1))</f>
        <v/>
      </c>
      <c r="Q94" s="34">
        <f>IF(C94="","",YEAR(C94-WEEKDAY(C94,2)+4)&amp;"-S"&amp;TEXT(INT((C94-DATE(YEAR(C94-WEEKDAY(C94,2)+4),1,3)+WEEKDAY(DATE(YEAR(C94-WEEKDAY(C94,2)+4),1,3),2)+5)/7),"00"))</f>
        <v/>
      </c>
    </row>
    <row r="95" ht="18" customHeight="1">
      <c r="A95" s="39" t="n">
        <v>90</v>
      </c>
      <c r="B95" s="33">
        <f>IF(C95="","",IF(L95="À RENSEIGNER","GIC",L95)&amp;"-S"&amp;TEXT(A95,"00000"))</f>
        <v/>
      </c>
      <c r="C95" s="32" t="n"/>
      <c r="D95" s="36" t="n"/>
      <c r="E95" s="36" t="n"/>
      <c r="F95" s="42" t="n"/>
      <c r="G95" s="36" t="n"/>
      <c r="H95" s="43" t="n"/>
      <c r="I95" s="37" t="n"/>
      <c r="J95" s="44" t="n"/>
      <c r="K95" s="36" t="n"/>
      <c r="L95" s="33">
        <f>IF(C95="","",Commercial_Id)</f>
        <v/>
      </c>
      <c r="M95" s="34">
        <f>IF(E95="","",IFERROR(VLOOKUP(E95,T_Produits,2,FALSE),""))</f>
        <v/>
      </c>
      <c r="N95" s="40">
        <f>IF(E95="","",IFERROR(1/(1/VLOOKUP(E95,T_Produits,3,FALSE)),""))</f>
        <v/>
      </c>
      <c r="O95" s="40">
        <f>IF(OR(D95="",F95=""),"",IF(OR(D95="Casse / avarie",D95="Perte / vol",D95="Échantillon offert"),IF(I95&lt;&gt;"",I95,IF(N95="","",F95*N95)),""))</f>
        <v/>
      </c>
      <c r="P95" s="50">
        <f>IF(OR(D95="",F95=""),"",F95*IF(OR(D95="Reçu du magasin",D95="Ajustement (+)"),1,-1))</f>
        <v/>
      </c>
      <c r="Q95" s="34">
        <f>IF(C95="","",YEAR(C95-WEEKDAY(C95,2)+4)&amp;"-S"&amp;TEXT(INT((C95-DATE(YEAR(C95-WEEKDAY(C95,2)+4),1,3)+WEEKDAY(DATE(YEAR(C95-WEEKDAY(C95,2)+4),1,3),2)+5)/7),"00"))</f>
        <v/>
      </c>
    </row>
    <row r="96" ht="18" customHeight="1">
      <c r="A96" s="39" t="n">
        <v>91</v>
      </c>
      <c r="B96" s="33">
        <f>IF(C96="","",IF(L96="À RENSEIGNER","GIC",L96)&amp;"-S"&amp;TEXT(A96,"00000"))</f>
        <v/>
      </c>
      <c r="C96" s="32" t="n"/>
      <c r="D96" s="36" t="n"/>
      <c r="E96" s="36" t="n"/>
      <c r="F96" s="42" t="n"/>
      <c r="G96" s="36" t="n"/>
      <c r="H96" s="43" t="n"/>
      <c r="I96" s="37" t="n"/>
      <c r="J96" s="44" t="n"/>
      <c r="K96" s="36" t="n"/>
      <c r="L96" s="33">
        <f>IF(C96="","",Commercial_Id)</f>
        <v/>
      </c>
      <c r="M96" s="34">
        <f>IF(E96="","",IFERROR(VLOOKUP(E96,T_Produits,2,FALSE),""))</f>
        <v/>
      </c>
      <c r="N96" s="40">
        <f>IF(E96="","",IFERROR(1/(1/VLOOKUP(E96,T_Produits,3,FALSE)),""))</f>
        <v/>
      </c>
      <c r="O96" s="40">
        <f>IF(OR(D96="",F96=""),"",IF(OR(D96="Casse / avarie",D96="Perte / vol",D96="Échantillon offert"),IF(I96&lt;&gt;"",I96,IF(N96="","",F96*N96)),""))</f>
        <v/>
      </c>
      <c r="P96" s="50">
        <f>IF(OR(D96="",F96=""),"",F96*IF(OR(D96="Reçu du magasin",D96="Ajustement (+)"),1,-1))</f>
        <v/>
      </c>
      <c r="Q96" s="34">
        <f>IF(C96="","",YEAR(C96-WEEKDAY(C96,2)+4)&amp;"-S"&amp;TEXT(INT((C96-DATE(YEAR(C96-WEEKDAY(C96,2)+4),1,3)+WEEKDAY(DATE(YEAR(C96-WEEKDAY(C96,2)+4),1,3),2)+5)/7),"00"))</f>
        <v/>
      </c>
    </row>
    <row r="97" ht="18" customHeight="1">
      <c r="A97" s="39" t="n">
        <v>92</v>
      </c>
      <c r="B97" s="33">
        <f>IF(C97="","",IF(L97="À RENSEIGNER","GIC",L97)&amp;"-S"&amp;TEXT(A97,"00000"))</f>
        <v/>
      </c>
      <c r="C97" s="32" t="n"/>
      <c r="D97" s="36" t="n"/>
      <c r="E97" s="36" t="n"/>
      <c r="F97" s="42" t="n"/>
      <c r="G97" s="36" t="n"/>
      <c r="H97" s="43" t="n"/>
      <c r="I97" s="37" t="n"/>
      <c r="J97" s="44" t="n"/>
      <c r="K97" s="36" t="n"/>
      <c r="L97" s="33">
        <f>IF(C97="","",Commercial_Id)</f>
        <v/>
      </c>
      <c r="M97" s="34">
        <f>IF(E97="","",IFERROR(VLOOKUP(E97,T_Produits,2,FALSE),""))</f>
        <v/>
      </c>
      <c r="N97" s="40">
        <f>IF(E97="","",IFERROR(1/(1/VLOOKUP(E97,T_Produits,3,FALSE)),""))</f>
        <v/>
      </c>
      <c r="O97" s="40">
        <f>IF(OR(D97="",F97=""),"",IF(OR(D97="Casse / avarie",D97="Perte / vol",D97="Échantillon offert"),IF(I97&lt;&gt;"",I97,IF(N97="","",F97*N97)),""))</f>
        <v/>
      </c>
      <c r="P97" s="50">
        <f>IF(OR(D97="",F97=""),"",F97*IF(OR(D97="Reçu du magasin",D97="Ajustement (+)"),1,-1))</f>
        <v/>
      </c>
      <c r="Q97" s="34">
        <f>IF(C97="","",YEAR(C97-WEEKDAY(C97,2)+4)&amp;"-S"&amp;TEXT(INT((C97-DATE(YEAR(C97-WEEKDAY(C97,2)+4),1,3)+WEEKDAY(DATE(YEAR(C97-WEEKDAY(C97,2)+4),1,3),2)+5)/7),"00"))</f>
        <v/>
      </c>
    </row>
    <row r="98" ht="18" customHeight="1">
      <c r="A98" s="39" t="n">
        <v>93</v>
      </c>
      <c r="B98" s="33">
        <f>IF(C98="","",IF(L98="À RENSEIGNER","GIC",L98)&amp;"-S"&amp;TEXT(A98,"00000"))</f>
        <v/>
      </c>
      <c r="C98" s="32" t="n"/>
      <c r="D98" s="36" t="n"/>
      <c r="E98" s="36" t="n"/>
      <c r="F98" s="42" t="n"/>
      <c r="G98" s="36" t="n"/>
      <c r="H98" s="43" t="n"/>
      <c r="I98" s="37" t="n"/>
      <c r="J98" s="44" t="n"/>
      <c r="K98" s="36" t="n"/>
      <c r="L98" s="33">
        <f>IF(C98="","",Commercial_Id)</f>
        <v/>
      </c>
      <c r="M98" s="34">
        <f>IF(E98="","",IFERROR(VLOOKUP(E98,T_Produits,2,FALSE),""))</f>
        <v/>
      </c>
      <c r="N98" s="40">
        <f>IF(E98="","",IFERROR(1/(1/VLOOKUP(E98,T_Produits,3,FALSE)),""))</f>
        <v/>
      </c>
      <c r="O98" s="40">
        <f>IF(OR(D98="",F98=""),"",IF(OR(D98="Casse / avarie",D98="Perte / vol",D98="Échantillon offert"),IF(I98&lt;&gt;"",I98,IF(N98="","",F98*N98)),""))</f>
        <v/>
      </c>
      <c r="P98" s="50">
        <f>IF(OR(D98="",F98=""),"",F98*IF(OR(D98="Reçu du magasin",D98="Ajustement (+)"),1,-1))</f>
        <v/>
      </c>
      <c r="Q98" s="34">
        <f>IF(C98="","",YEAR(C98-WEEKDAY(C98,2)+4)&amp;"-S"&amp;TEXT(INT((C98-DATE(YEAR(C98-WEEKDAY(C98,2)+4),1,3)+WEEKDAY(DATE(YEAR(C98-WEEKDAY(C98,2)+4),1,3),2)+5)/7),"00"))</f>
        <v/>
      </c>
    </row>
    <row r="99" ht="18" customHeight="1">
      <c r="A99" s="39" t="n">
        <v>94</v>
      </c>
      <c r="B99" s="33">
        <f>IF(C99="","",IF(L99="À RENSEIGNER","GIC",L99)&amp;"-S"&amp;TEXT(A99,"00000"))</f>
        <v/>
      </c>
      <c r="C99" s="32" t="n"/>
      <c r="D99" s="36" t="n"/>
      <c r="E99" s="36" t="n"/>
      <c r="F99" s="42" t="n"/>
      <c r="G99" s="36" t="n"/>
      <c r="H99" s="43" t="n"/>
      <c r="I99" s="37" t="n"/>
      <c r="J99" s="44" t="n"/>
      <c r="K99" s="36" t="n"/>
      <c r="L99" s="33">
        <f>IF(C99="","",Commercial_Id)</f>
        <v/>
      </c>
      <c r="M99" s="34">
        <f>IF(E99="","",IFERROR(VLOOKUP(E99,T_Produits,2,FALSE),""))</f>
        <v/>
      </c>
      <c r="N99" s="40">
        <f>IF(E99="","",IFERROR(1/(1/VLOOKUP(E99,T_Produits,3,FALSE)),""))</f>
        <v/>
      </c>
      <c r="O99" s="40">
        <f>IF(OR(D99="",F99=""),"",IF(OR(D99="Casse / avarie",D99="Perte / vol",D99="Échantillon offert"),IF(I99&lt;&gt;"",I99,IF(N99="","",F99*N99)),""))</f>
        <v/>
      </c>
      <c r="P99" s="50">
        <f>IF(OR(D99="",F99=""),"",F99*IF(OR(D99="Reçu du magasin",D99="Ajustement (+)"),1,-1))</f>
        <v/>
      </c>
      <c r="Q99" s="34">
        <f>IF(C99="","",YEAR(C99-WEEKDAY(C99,2)+4)&amp;"-S"&amp;TEXT(INT((C99-DATE(YEAR(C99-WEEKDAY(C99,2)+4),1,3)+WEEKDAY(DATE(YEAR(C99-WEEKDAY(C99,2)+4),1,3),2)+5)/7),"00"))</f>
        <v/>
      </c>
    </row>
    <row r="100" ht="18" customHeight="1">
      <c r="A100" s="39" t="n">
        <v>95</v>
      </c>
      <c r="B100" s="33">
        <f>IF(C100="","",IF(L100="À RENSEIGNER","GIC",L100)&amp;"-S"&amp;TEXT(A100,"00000"))</f>
        <v/>
      </c>
      <c r="C100" s="32" t="n"/>
      <c r="D100" s="36" t="n"/>
      <c r="E100" s="36" t="n"/>
      <c r="F100" s="42" t="n"/>
      <c r="G100" s="36" t="n"/>
      <c r="H100" s="43" t="n"/>
      <c r="I100" s="37" t="n"/>
      <c r="J100" s="44" t="n"/>
      <c r="K100" s="36" t="n"/>
      <c r="L100" s="33">
        <f>IF(C100="","",Commercial_Id)</f>
        <v/>
      </c>
      <c r="M100" s="34">
        <f>IF(E100="","",IFERROR(VLOOKUP(E100,T_Produits,2,FALSE),""))</f>
        <v/>
      </c>
      <c r="N100" s="40">
        <f>IF(E100="","",IFERROR(1/(1/VLOOKUP(E100,T_Produits,3,FALSE)),""))</f>
        <v/>
      </c>
      <c r="O100" s="40">
        <f>IF(OR(D100="",F100=""),"",IF(OR(D100="Casse / avarie",D100="Perte / vol",D100="Échantillon offert"),IF(I100&lt;&gt;"",I100,IF(N100="","",F100*N100)),""))</f>
        <v/>
      </c>
      <c r="P100" s="50">
        <f>IF(OR(D100="",F100=""),"",F100*IF(OR(D100="Reçu du magasin",D100="Ajustement (+)"),1,-1))</f>
        <v/>
      </c>
      <c r="Q100" s="34">
        <f>IF(C100="","",YEAR(C100-WEEKDAY(C100,2)+4)&amp;"-S"&amp;TEXT(INT((C100-DATE(YEAR(C100-WEEKDAY(C100,2)+4),1,3)+WEEKDAY(DATE(YEAR(C100-WEEKDAY(C100,2)+4),1,3),2)+5)/7),"00"))</f>
        <v/>
      </c>
    </row>
    <row r="101" ht="18" customHeight="1">
      <c r="A101" s="39" t="n">
        <v>96</v>
      </c>
      <c r="B101" s="33">
        <f>IF(C101="","",IF(L101="À RENSEIGNER","GIC",L101)&amp;"-S"&amp;TEXT(A101,"00000"))</f>
        <v/>
      </c>
      <c r="C101" s="32" t="n"/>
      <c r="D101" s="36" t="n"/>
      <c r="E101" s="36" t="n"/>
      <c r="F101" s="42" t="n"/>
      <c r="G101" s="36" t="n"/>
      <c r="H101" s="43" t="n"/>
      <c r="I101" s="37" t="n"/>
      <c r="J101" s="44" t="n"/>
      <c r="K101" s="36" t="n"/>
      <c r="L101" s="33">
        <f>IF(C101="","",Commercial_Id)</f>
        <v/>
      </c>
      <c r="M101" s="34">
        <f>IF(E101="","",IFERROR(VLOOKUP(E101,T_Produits,2,FALSE),""))</f>
        <v/>
      </c>
      <c r="N101" s="40">
        <f>IF(E101="","",IFERROR(1/(1/VLOOKUP(E101,T_Produits,3,FALSE)),""))</f>
        <v/>
      </c>
      <c r="O101" s="40">
        <f>IF(OR(D101="",F101=""),"",IF(OR(D101="Casse / avarie",D101="Perte / vol",D101="Échantillon offert"),IF(I101&lt;&gt;"",I101,IF(N101="","",F101*N101)),""))</f>
        <v/>
      </c>
      <c r="P101" s="50">
        <f>IF(OR(D101="",F101=""),"",F101*IF(OR(D101="Reçu du magasin",D101="Ajustement (+)"),1,-1))</f>
        <v/>
      </c>
      <c r="Q101" s="34">
        <f>IF(C101="","",YEAR(C101-WEEKDAY(C101,2)+4)&amp;"-S"&amp;TEXT(INT((C101-DATE(YEAR(C101-WEEKDAY(C101,2)+4),1,3)+WEEKDAY(DATE(YEAR(C101-WEEKDAY(C101,2)+4),1,3),2)+5)/7),"00"))</f>
        <v/>
      </c>
    </row>
    <row r="102" ht="18" customHeight="1">
      <c r="A102" s="39" t="n">
        <v>97</v>
      </c>
      <c r="B102" s="33">
        <f>IF(C102="","",IF(L102="À RENSEIGNER","GIC",L102)&amp;"-S"&amp;TEXT(A102,"00000"))</f>
        <v/>
      </c>
      <c r="C102" s="32" t="n"/>
      <c r="D102" s="36" t="n"/>
      <c r="E102" s="36" t="n"/>
      <c r="F102" s="42" t="n"/>
      <c r="G102" s="36" t="n"/>
      <c r="H102" s="43" t="n"/>
      <c r="I102" s="37" t="n"/>
      <c r="J102" s="44" t="n"/>
      <c r="K102" s="36" t="n"/>
      <c r="L102" s="33">
        <f>IF(C102="","",Commercial_Id)</f>
        <v/>
      </c>
      <c r="M102" s="34">
        <f>IF(E102="","",IFERROR(VLOOKUP(E102,T_Produits,2,FALSE),""))</f>
        <v/>
      </c>
      <c r="N102" s="40">
        <f>IF(E102="","",IFERROR(1/(1/VLOOKUP(E102,T_Produits,3,FALSE)),""))</f>
        <v/>
      </c>
      <c r="O102" s="40">
        <f>IF(OR(D102="",F102=""),"",IF(OR(D102="Casse / avarie",D102="Perte / vol",D102="Échantillon offert"),IF(I102&lt;&gt;"",I102,IF(N102="","",F102*N102)),""))</f>
        <v/>
      </c>
      <c r="P102" s="50">
        <f>IF(OR(D102="",F102=""),"",F102*IF(OR(D102="Reçu du magasin",D102="Ajustement (+)"),1,-1))</f>
        <v/>
      </c>
      <c r="Q102" s="34">
        <f>IF(C102="","",YEAR(C102-WEEKDAY(C102,2)+4)&amp;"-S"&amp;TEXT(INT((C102-DATE(YEAR(C102-WEEKDAY(C102,2)+4),1,3)+WEEKDAY(DATE(YEAR(C102-WEEKDAY(C102,2)+4),1,3),2)+5)/7),"00"))</f>
        <v/>
      </c>
    </row>
    <row r="103" ht="18" customHeight="1">
      <c r="A103" s="39" t="n">
        <v>98</v>
      </c>
      <c r="B103" s="33">
        <f>IF(C103="","",IF(L103="À RENSEIGNER","GIC",L103)&amp;"-S"&amp;TEXT(A103,"00000"))</f>
        <v/>
      </c>
      <c r="C103" s="32" t="n"/>
      <c r="D103" s="36" t="n"/>
      <c r="E103" s="36" t="n"/>
      <c r="F103" s="42" t="n"/>
      <c r="G103" s="36" t="n"/>
      <c r="H103" s="43" t="n"/>
      <c r="I103" s="37" t="n"/>
      <c r="J103" s="44" t="n"/>
      <c r="K103" s="36" t="n"/>
      <c r="L103" s="33">
        <f>IF(C103="","",Commercial_Id)</f>
        <v/>
      </c>
      <c r="M103" s="34">
        <f>IF(E103="","",IFERROR(VLOOKUP(E103,T_Produits,2,FALSE),""))</f>
        <v/>
      </c>
      <c r="N103" s="40">
        <f>IF(E103="","",IFERROR(1/(1/VLOOKUP(E103,T_Produits,3,FALSE)),""))</f>
        <v/>
      </c>
      <c r="O103" s="40">
        <f>IF(OR(D103="",F103=""),"",IF(OR(D103="Casse / avarie",D103="Perte / vol",D103="Échantillon offert"),IF(I103&lt;&gt;"",I103,IF(N103="","",F103*N103)),""))</f>
        <v/>
      </c>
      <c r="P103" s="50">
        <f>IF(OR(D103="",F103=""),"",F103*IF(OR(D103="Reçu du magasin",D103="Ajustement (+)"),1,-1))</f>
        <v/>
      </c>
      <c r="Q103" s="34">
        <f>IF(C103="","",YEAR(C103-WEEKDAY(C103,2)+4)&amp;"-S"&amp;TEXT(INT((C103-DATE(YEAR(C103-WEEKDAY(C103,2)+4),1,3)+WEEKDAY(DATE(YEAR(C103-WEEKDAY(C103,2)+4),1,3),2)+5)/7),"00"))</f>
        <v/>
      </c>
    </row>
    <row r="104" ht="18" customHeight="1">
      <c r="A104" s="39" t="n">
        <v>99</v>
      </c>
      <c r="B104" s="33">
        <f>IF(C104="","",IF(L104="À RENSEIGNER","GIC",L104)&amp;"-S"&amp;TEXT(A104,"00000"))</f>
        <v/>
      </c>
      <c r="C104" s="32" t="n"/>
      <c r="D104" s="36" t="n"/>
      <c r="E104" s="36" t="n"/>
      <c r="F104" s="42" t="n"/>
      <c r="G104" s="36" t="n"/>
      <c r="H104" s="43" t="n"/>
      <c r="I104" s="37" t="n"/>
      <c r="J104" s="44" t="n"/>
      <c r="K104" s="36" t="n"/>
      <c r="L104" s="33">
        <f>IF(C104="","",Commercial_Id)</f>
        <v/>
      </c>
      <c r="M104" s="34">
        <f>IF(E104="","",IFERROR(VLOOKUP(E104,T_Produits,2,FALSE),""))</f>
        <v/>
      </c>
      <c r="N104" s="40">
        <f>IF(E104="","",IFERROR(1/(1/VLOOKUP(E104,T_Produits,3,FALSE)),""))</f>
        <v/>
      </c>
      <c r="O104" s="40">
        <f>IF(OR(D104="",F104=""),"",IF(OR(D104="Casse / avarie",D104="Perte / vol",D104="Échantillon offert"),IF(I104&lt;&gt;"",I104,IF(N104="","",F104*N104)),""))</f>
        <v/>
      </c>
      <c r="P104" s="50">
        <f>IF(OR(D104="",F104=""),"",F104*IF(OR(D104="Reçu du magasin",D104="Ajustement (+)"),1,-1))</f>
        <v/>
      </c>
      <c r="Q104" s="34">
        <f>IF(C104="","",YEAR(C104-WEEKDAY(C104,2)+4)&amp;"-S"&amp;TEXT(INT((C104-DATE(YEAR(C104-WEEKDAY(C104,2)+4),1,3)+WEEKDAY(DATE(YEAR(C104-WEEKDAY(C104,2)+4),1,3),2)+5)/7),"00"))</f>
        <v/>
      </c>
    </row>
    <row r="105" ht="18" customHeight="1">
      <c r="A105" s="39" t="n">
        <v>100</v>
      </c>
      <c r="B105" s="33">
        <f>IF(C105="","",IF(L105="À RENSEIGNER","GIC",L105)&amp;"-S"&amp;TEXT(A105,"00000"))</f>
        <v/>
      </c>
      <c r="C105" s="32" t="n"/>
      <c r="D105" s="36" t="n"/>
      <c r="E105" s="36" t="n"/>
      <c r="F105" s="42" t="n"/>
      <c r="G105" s="36" t="n"/>
      <c r="H105" s="43" t="n"/>
      <c r="I105" s="37" t="n"/>
      <c r="J105" s="44" t="n"/>
      <c r="K105" s="36" t="n"/>
      <c r="L105" s="33">
        <f>IF(C105="","",Commercial_Id)</f>
        <v/>
      </c>
      <c r="M105" s="34">
        <f>IF(E105="","",IFERROR(VLOOKUP(E105,T_Produits,2,FALSE),""))</f>
        <v/>
      </c>
      <c r="N105" s="40">
        <f>IF(E105="","",IFERROR(1/(1/VLOOKUP(E105,T_Produits,3,FALSE)),""))</f>
        <v/>
      </c>
      <c r="O105" s="40">
        <f>IF(OR(D105="",F105=""),"",IF(OR(D105="Casse / avarie",D105="Perte / vol",D105="Échantillon offert"),IF(I105&lt;&gt;"",I105,IF(N105="","",F105*N105)),""))</f>
        <v/>
      </c>
      <c r="P105" s="50">
        <f>IF(OR(D105="",F105=""),"",F105*IF(OR(D105="Reçu du magasin",D105="Ajustement (+)"),1,-1))</f>
        <v/>
      </c>
      <c r="Q105" s="34">
        <f>IF(C105="","",YEAR(C105-WEEKDAY(C105,2)+4)&amp;"-S"&amp;TEXT(INT((C105-DATE(YEAR(C105-WEEKDAY(C105,2)+4),1,3)+WEEKDAY(DATE(YEAR(C105-WEEKDAY(C105,2)+4),1,3),2)+5)/7),"00"))</f>
        <v/>
      </c>
    </row>
    <row r="106" ht="18" customHeight="1">
      <c r="A106" s="39" t="n">
        <v>101</v>
      </c>
      <c r="B106" s="33">
        <f>IF(C106="","",IF(L106="À RENSEIGNER","GIC",L106)&amp;"-S"&amp;TEXT(A106,"00000"))</f>
        <v/>
      </c>
      <c r="C106" s="32" t="n"/>
      <c r="D106" s="36" t="n"/>
      <c r="E106" s="36" t="n"/>
      <c r="F106" s="42" t="n"/>
      <c r="G106" s="36" t="n"/>
      <c r="H106" s="43" t="n"/>
      <c r="I106" s="37" t="n"/>
      <c r="J106" s="44" t="n"/>
      <c r="K106" s="36" t="n"/>
      <c r="L106" s="33">
        <f>IF(C106="","",Commercial_Id)</f>
        <v/>
      </c>
      <c r="M106" s="34">
        <f>IF(E106="","",IFERROR(VLOOKUP(E106,T_Produits,2,FALSE),""))</f>
        <v/>
      </c>
      <c r="N106" s="40">
        <f>IF(E106="","",IFERROR(1/(1/VLOOKUP(E106,T_Produits,3,FALSE)),""))</f>
        <v/>
      </c>
      <c r="O106" s="40">
        <f>IF(OR(D106="",F106=""),"",IF(OR(D106="Casse / avarie",D106="Perte / vol",D106="Échantillon offert"),IF(I106&lt;&gt;"",I106,IF(N106="","",F106*N106)),""))</f>
        <v/>
      </c>
      <c r="P106" s="50">
        <f>IF(OR(D106="",F106=""),"",F106*IF(OR(D106="Reçu du magasin",D106="Ajustement (+)"),1,-1))</f>
        <v/>
      </c>
      <c r="Q106" s="34">
        <f>IF(C106="","",YEAR(C106-WEEKDAY(C106,2)+4)&amp;"-S"&amp;TEXT(INT((C106-DATE(YEAR(C106-WEEKDAY(C106,2)+4),1,3)+WEEKDAY(DATE(YEAR(C106-WEEKDAY(C106,2)+4),1,3),2)+5)/7),"00"))</f>
        <v/>
      </c>
    </row>
    <row r="107" ht="18" customHeight="1">
      <c r="A107" s="39" t="n">
        <v>102</v>
      </c>
      <c r="B107" s="33">
        <f>IF(C107="","",IF(L107="À RENSEIGNER","GIC",L107)&amp;"-S"&amp;TEXT(A107,"00000"))</f>
        <v/>
      </c>
      <c r="C107" s="32" t="n"/>
      <c r="D107" s="36" t="n"/>
      <c r="E107" s="36" t="n"/>
      <c r="F107" s="42" t="n"/>
      <c r="G107" s="36" t="n"/>
      <c r="H107" s="43" t="n"/>
      <c r="I107" s="37" t="n"/>
      <c r="J107" s="44" t="n"/>
      <c r="K107" s="36" t="n"/>
      <c r="L107" s="33">
        <f>IF(C107="","",Commercial_Id)</f>
        <v/>
      </c>
      <c r="M107" s="34">
        <f>IF(E107="","",IFERROR(VLOOKUP(E107,T_Produits,2,FALSE),""))</f>
        <v/>
      </c>
      <c r="N107" s="40">
        <f>IF(E107="","",IFERROR(1/(1/VLOOKUP(E107,T_Produits,3,FALSE)),""))</f>
        <v/>
      </c>
      <c r="O107" s="40">
        <f>IF(OR(D107="",F107=""),"",IF(OR(D107="Casse / avarie",D107="Perte / vol",D107="Échantillon offert"),IF(I107&lt;&gt;"",I107,IF(N107="","",F107*N107)),""))</f>
        <v/>
      </c>
      <c r="P107" s="50">
        <f>IF(OR(D107="",F107=""),"",F107*IF(OR(D107="Reçu du magasin",D107="Ajustement (+)"),1,-1))</f>
        <v/>
      </c>
      <c r="Q107" s="34">
        <f>IF(C107="","",YEAR(C107-WEEKDAY(C107,2)+4)&amp;"-S"&amp;TEXT(INT((C107-DATE(YEAR(C107-WEEKDAY(C107,2)+4),1,3)+WEEKDAY(DATE(YEAR(C107-WEEKDAY(C107,2)+4),1,3),2)+5)/7),"00"))</f>
        <v/>
      </c>
    </row>
    <row r="108" ht="18" customHeight="1">
      <c r="A108" s="39" t="n">
        <v>103</v>
      </c>
      <c r="B108" s="33">
        <f>IF(C108="","",IF(L108="À RENSEIGNER","GIC",L108)&amp;"-S"&amp;TEXT(A108,"00000"))</f>
        <v/>
      </c>
      <c r="C108" s="32" t="n"/>
      <c r="D108" s="36" t="n"/>
      <c r="E108" s="36" t="n"/>
      <c r="F108" s="42" t="n"/>
      <c r="G108" s="36" t="n"/>
      <c r="H108" s="43" t="n"/>
      <c r="I108" s="37" t="n"/>
      <c r="J108" s="44" t="n"/>
      <c r="K108" s="36" t="n"/>
      <c r="L108" s="33">
        <f>IF(C108="","",Commercial_Id)</f>
        <v/>
      </c>
      <c r="M108" s="34">
        <f>IF(E108="","",IFERROR(VLOOKUP(E108,T_Produits,2,FALSE),""))</f>
        <v/>
      </c>
      <c r="N108" s="40">
        <f>IF(E108="","",IFERROR(1/(1/VLOOKUP(E108,T_Produits,3,FALSE)),""))</f>
        <v/>
      </c>
      <c r="O108" s="40">
        <f>IF(OR(D108="",F108=""),"",IF(OR(D108="Casse / avarie",D108="Perte / vol",D108="Échantillon offert"),IF(I108&lt;&gt;"",I108,IF(N108="","",F108*N108)),""))</f>
        <v/>
      </c>
      <c r="P108" s="50">
        <f>IF(OR(D108="",F108=""),"",F108*IF(OR(D108="Reçu du magasin",D108="Ajustement (+)"),1,-1))</f>
        <v/>
      </c>
      <c r="Q108" s="34">
        <f>IF(C108="","",YEAR(C108-WEEKDAY(C108,2)+4)&amp;"-S"&amp;TEXT(INT((C108-DATE(YEAR(C108-WEEKDAY(C108,2)+4),1,3)+WEEKDAY(DATE(YEAR(C108-WEEKDAY(C108,2)+4),1,3),2)+5)/7),"00"))</f>
        <v/>
      </c>
    </row>
    <row r="109" ht="18" customHeight="1">
      <c r="A109" s="39" t="n">
        <v>104</v>
      </c>
      <c r="B109" s="33">
        <f>IF(C109="","",IF(L109="À RENSEIGNER","GIC",L109)&amp;"-S"&amp;TEXT(A109,"00000"))</f>
        <v/>
      </c>
      <c r="C109" s="32" t="n"/>
      <c r="D109" s="36" t="n"/>
      <c r="E109" s="36" t="n"/>
      <c r="F109" s="42" t="n"/>
      <c r="G109" s="36" t="n"/>
      <c r="H109" s="43" t="n"/>
      <c r="I109" s="37" t="n"/>
      <c r="J109" s="44" t="n"/>
      <c r="K109" s="36" t="n"/>
      <c r="L109" s="33">
        <f>IF(C109="","",Commercial_Id)</f>
        <v/>
      </c>
      <c r="M109" s="34">
        <f>IF(E109="","",IFERROR(VLOOKUP(E109,T_Produits,2,FALSE),""))</f>
        <v/>
      </c>
      <c r="N109" s="40">
        <f>IF(E109="","",IFERROR(1/(1/VLOOKUP(E109,T_Produits,3,FALSE)),""))</f>
        <v/>
      </c>
      <c r="O109" s="40">
        <f>IF(OR(D109="",F109=""),"",IF(OR(D109="Casse / avarie",D109="Perte / vol",D109="Échantillon offert"),IF(I109&lt;&gt;"",I109,IF(N109="","",F109*N109)),""))</f>
        <v/>
      </c>
      <c r="P109" s="50">
        <f>IF(OR(D109="",F109=""),"",F109*IF(OR(D109="Reçu du magasin",D109="Ajustement (+)"),1,-1))</f>
        <v/>
      </c>
      <c r="Q109" s="34">
        <f>IF(C109="","",YEAR(C109-WEEKDAY(C109,2)+4)&amp;"-S"&amp;TEXT(INT((C109-DATE(YEAR(C109-WEEKDAY(C109,2)+4),1,3)+WEEKDAY(DATE(YEAR(C109-WEEKDAY(C109,2)+4),1,3),2)+5)/7),"00"))</f>
        <v/>
      </c>
    </row>
    <row r="110" ht="18" customHeight="1">
      <c r="A110" s="39" t="n">
        <v>105</v>
      </c>
      <c r="B110" s="33">
        <f>IF(C110="","",IF(L110="À RENSEIGNER","GIC",L110)&amp;"-S"&amp;TEXT(A110,"00000"))</f>
        <v/>
      </c>
      <c r="C110" s="32" t="n"/>
      <c r="D110" s="36" t="n"/>
      <c r="E110" s="36" t="n"/>
      <c r="F110" s="42" t="n"/>
      <c r="G110" s="36" t="n"/>
      <c r="H110" s="43" t="n"/>
      <c r="I110" s="37" t="n"/>
      <c r="J110" s="44" t="n"/>
      <c r="K110" s="36" t="n"/>
      <c r="L110" s="33">
        <f>IF(C110="","",Commercial_Id)</f>
        <v/>
      </c>
      <c r="M110" s="34">
        <f>IF(E110="","",IFERROR(VLOOKUP(E110,T_Produits,2,FALSE),""))</f>
        <v/>
      </c>
      <c r="N110" s="40">
        <f>IF(E110="","",IFERROR(1/(1/VLOOKUP(E110,T_Produits,3,FALSE)),""))</f>
        <v/>
      </c>
      <c r="O110" s="40">
        <f>IF(OR(D110="",F110=""),"",IF(OR(D110="Casse / avarie",D110="Perte / vol",D110="Échantillon offert"),IF(I110&lt;&gt;"",I110,IF(N110="","",F110*N110)),""))</f>
        <v/>
      </c>
      <c r="P110" s="50">
        <f>IF(OR(D110="",F110=""),"",F110*IF(OR(D110="Reçu du magasin",D110="Ajustement (+)"),1,-1))</f>
        <v/>
      </c>
      <c r="Q110" s="34">
        <f>IF(C110="","",YEAR(C110-WEEKDAY(C110,2)+4)&amp;"-S"&amp;TEXT(INT((C110-DATE(YEAR(C110-WEEKDAY(C110,2)+4),1,3)+WEEKDAY(DATE(YEAR(C110-WEEKDAY(C110,2)+4),1,3),2)+5)/7),"00"))</f>
        <v/>
      </c>
    </row>
    <row r="111" ht="18" customHeight="1">
      <c r="A111" s="39" t="n">
        <v>106</v>
      </c>
      <c r="B111" s="33">
        <f>IF(C111="","",IF(L111="À RENSEIGNER","GIC",L111)&amp;"-S"&amp;TEXT(A111,"00000"))</f>
        <v/>
      </c>
      <c r="C111" s="32" t="n"/>
      <c r="D111" s="36" t="n"/>
      <c r="E111" s="36" t="n"/>
      <c r="F111" s="42" t="n"/>
      <c r="G111" s="36" t="n"/>
      <c r="H111" s="43" t="n"/>
      <c r="I111" s="37" t="n"/>
      <c r="J111" s="44" t="n"/>
      <c r="K111" s="36" t="n"/>
      <c r="L111" s="33">
        <f>IF(C111="","",Commercial_Id)</f>
        <v/>
      </c>
      <c r="M111" s="34">
        <f>IF(E111="","",IFERROR(VLOOKUP(E111,T_Produits,2,FALSE),""))</f>
        <v/>
      </c>
      <c r="N111" s="40">
        <f>IF(E111="","",IFERROR(1/(1/VLOOKUP(E111,T_Produits,3,FALSE)),""))</f>
        <v/>
      </c>
      <c r="O111" s="40">
        <f>IF(OR(D111="",F111=""),"",IF(OR(D111="Casse / avarie",D111="Perte / vol",D111="Échantillon offert"),IF(I111&lt;&gt;"",I111,IF(N111="","",F111*N111)),""))</f>
        <v/>
      </c>
      <c r="P111" s="50">
        <f>IF(OR(D111="",F111=""),"",F111*IF(OR(D111="Reçu du magasin",D111="Ajustement (+)"),1,-1))</f>
        <v/>
      </c>
      <c r="Q111" s="34">
        <f>IF(C111="","",YEAR(C111-WEEKDAY(C111,2)+4)&amp;"-S"&amp;TEXT(INT((C111-DATE(YEAR(C111-WEEKDAY(C111,2)+4),1,3)+WEEKDAY(DATE(YEAR(C111-WEEKDAY(C111,2)+4),1,3),2)+5)/7),"00"))</f>
        <v/>
      </c>
    </row>
    <row r="112" ht="18" customHeight="1">
      <c r="A112" s="39" t="n">
        <v>107</v>
      </c>
      <c r="B112" s="33">
        <f>IF(C112="","",IF(L112="À RENSEIGNER","GIC",L112)&amp;"-S"&amp;TEXT(A112,"00000"))</f>
        <v/>
      </c>
      <c r="C112" s="32" t="n"/>
      <c r="D112" s="36" t="n"/>
      <c r="E112" s="36" t="n"/>
      <c r="F112" s="42" t="n"/>
      <c r="G112" s="36" t="n"/>
      <c r="H112" s="43" t="n"/>
      <c r="I112" s="37" t="n"/>
      <c r="J112" s="44" t="n"/>
      <c r="K112" s="36" t="n"/>
      <c r="L112" s="33">
        <f>IF(C112="","",Commercial_Id)</f>
        <v/>
      </c>
      <c r="M112" s="34">
        <f>IF(E112="","",IFERROR(VLOOKUP(E112,T_Produits,2,FALSE),""))</f>
        <v/>
      </c>
      <c r="N112" s="40">
        <f>IF(E112="","",IFERROR(1/(1/VLOOKUP(E112,T_Produits,3,FALSE)),""))</f>
        <v/>
      </c>
      <c r="O112" s="40">
        <f>IF(OR(D112="",F112=""),"",IF(OR(D112="Casse / avarie",D112="Perte / vol",D112="Échantillon offert"),IF(I112&lt;&gt;"",I112,IF(N112="","",F112*N112)),""))</f>
        <v/>
      </c>
      <c r="P112" s="50">
        <f>IF(OR(D112="",F112=""),"",F112*IF(OR(D112="Reçu du magasin",D112="Ajustement (+)"),1,-1))</f>
        <v/>
      </c>
      <c r="Q112" s="34">
        <f>IF(C112="","",YEAR(C112-WEEKDAY(C112,2)+4)&amp;"-S"&amp;TEXT(INT((C112-DATE(YEAR(C112-WEEKDAY(C112,2)+4),1,3)+WEEKDAY(DATE(YEAR(C112-WEEKDAY(C112,2)+4),1,3),2)+5)/7),"00"))</f>
        <v/>
      </c>
    </row>
    <row r="113" ht="18" customHeight="1">
      <c r="A113" s="39" t="n">
        <v>108</v>
      </c>
      <c r="B113" s="33">
        <f>IF(C113="","",IF(L113="À RENSEIGNER","GIC",L113)&amp;"-S"&amp;TEXT(A113,"00000"))</f>
        <v/>
      </c>
      <c r="C113" s="32" t="n"/>
      <c r="D113" s="36" t="n"/>
      <c r="E113" s="36" t="n"/>
      <c r="F113" s="42" t="n"/>
      <c r="G113" s="36" t="n"/>
      <c r="H113" s="43" t="n"/>
      <c r="I113" s="37" t="n"/>
      <c r="J113" s="44" t="n"/>
      <c r="K113" s="36" t="n"/>
      <c r="L113" s="33">
        <f>IF(C113="","",Commercial_Id)</f>
        <v/>
      </c>
      <c r="M113" s="34">
        <f>IF(E113="","",IFERROR(VLOOKUP(E113,T_Produits,2,FALSE),""))</f>
        <v/>
      </c>
      <c r="N113" s="40">
        <f>IF(E113="","",IFERROR(1/(1/VLOOKUP(E113,T_Produits,3,FALSE)),""))</f>
        <v/>
      </c>
      <c r="O113" s="40">
        <f>IF(OR(D113="",F113=""),"",IF(OR(D113="Casse / avarie",D113="Perte / vol",D113="Échantillon offert"),IF(I113&lt;&gt;"",I113,IF(N113="","",F113*N113)),""))</f>
        <v/>
      </c>
      <c r="P113" s="50">
        <f>IF(OR(D113="",F113=""),"",F113*IF(OR(D113="Reçu du magasin",D113="Ajustement (+)"),1,-1))</f>
        <v/>
      </c>
      <c r="Q113" s="34">
        <f>IF(C113="","",YEAR(C113-WEEKDAY(C113,2)+4)&amp;"-S"&amp;TEXT(INT((C113-DATE(YEAR(C113-WEEKDAY(C113,2)+4),1,3)+WEEKDAY(DATE(YEAR(C113-WEEKDAY(C113,2)+4),1,3),2)+5)/7),"00"))</f>
        <v/>
      </c>
    </row>
    <row r="114" ht="18" customHeight="1">
      <c r="A114" s="39" t="n">
        <v>109</v>
      </c>
      <c r="B114" s="33">
        <f>IF(C114="","",IF(L114="À RENSEIGNER","GIC",L114)&amp;"-S"&amp;TEXT(A114,"00000"))</f>
        <v/>
      </c>
      <c r="C114" s="32" t="n"/>
      <c r="D114" s="36" t="n"/>
      <c r="E114" s="36" t="n"/>
      <c r="F114" s="42" t="n"/>
      <c r="G114" s="36" t="n"/>
      <c r="H114" s="43" t="n"/>
      <c r="I114" s="37" t="n"/>
      <c r="J114" s="44" t="n"/>
      <c r="K114" s="36" t="n"/>
      <c r="L114" s="33">
        <f>IF(C114="","",Commercial_Id)</f>
        <v/>
      </c>
      <c r="M114" s="34">
        <f>IF(E114="","",IFERROR(VLOOKUP(E114,T_Produits,2,FALSE),""))</f>
        <v/>
      </c>
      <c r="N114" s="40">
        <f>IF(E114="","",IFERROR(1/(1/VLOOKUP(E114,T_Produits,3,FALSE)),""))</f>
        <v/>
      </c>
      <c r="O114" s="40">
        <f>IF(OR(D114="",F114=""),"",IF(OR(D114="Casse / avarie",D114="Perte / vol",D114="Échantillon offert"),IF(I114&lt;&gt;"",I114,IF(N114="","",F114*N114)),""))</f>
        <v/>
      </c>
      <c r="P114" s="50">
        <f>IF(OR(D114="",F114=""),"",F114*IF(OR(D114="Reçu du magasin",D114="Ajustement (+)"),1,-1))</f>
        <v/>
      </c>
      <c r="Q114" s="34">
        <f>IF(C114="","",YEAR(C114-WEEKDAY(C114,2)+4)&amp;"-S"&amp;TEXT(INT((C114-DATE(YEAR(C114-WEEKDAY(C114,2)+4),1,3)+WEEKDAY(DATE(YEAR(C114-WEEKDAY(C114,2)+4),1,3),2)+5)/7),"00"))</f>
        <v/>
      </c>
    </row>
    <row r="115" ht="18" customHeight="1">
      <c r="A115" s="39" t="n">
        <v>110</v>
      </c>
      <c r="B115" s="33">
        <f>IF(C115="","",IF(L115="À RENSEIGNER","GIC",L115)&amp;"-S"&amp;TEXT(A115,"00000"))</f>
        <v/>
      </c>
      <c r="C115" s="32" t="n"/>
      <c r="D115" s="36" t="n"/>
      <c r="E115" s="36" t="n"/>
      <c r="F115" s="42" t="n"/>
      <c r="G115" s="36" t="n"/>
      <c r="H115" s="43" t="n"/>
      <c r="I115" s="37" t="n"/>
      <c r="J115" s="44" t="n"/>
      <c r="K115" s="36" t="n"/>
      <c r="L115" s="33">
        <f>IF(C115="","",Commercial_Id)</f>
        <v/>
      </c>
      <c r="M115" s="34">
        <f>IF(E115="","",IFERROR(VLOOKUP(E115,T_Produits,2,FALSE),""))</f>
        <v/>
      </c>
      <c r="N115" s="40">
        <f>IF(E115="","",IFERROR(1/(1/VLOOKUP(E115,T_Produits,3,FALSE)),""))</f>
        <v/>
      </c>
      <c r="O115" s="40">
        <f>IF(OR(D115="",F115=""),"",IF(OR(D115="Casse / avarie",D115="Perte / vol",D115="Échantillon offert"),IF(I115&lt;&gt;"",I115,IF(N115="","",F115*N115)),""))</f>
        <v/>
      </c>
      <c r="P115" s="50">
        <f>IF(OR(D115="",F115=""),"",F115*IF(OR(D115="Reçu du magasin",D115="Ajustement (+)"),1,-1))</f>
        <v/>
      </c>
      <c r="Q115" s="34">
        <f>IF(C115="","",YEAR(C115-WEEKDAY(C115,2)+4)&amp;"-S"&amp;TEXT(INT((C115-DATE(YEAR(C115-WEEKDAY(C115,2)+4),1,3)+WEEKDAY(DATE(YEAR(C115-WEEKDAY(C115,2)+4),1,3),2)+5)/7),"00"))</f>
        <v/>
      </c>
    </row>
    <row r="116" ht="18" customHeight="1">
      <c r="A116" s="39" t="n">
        <v>111</v>
      </c>
      <c r="B116" s="33">
        <f>IF(C116="","",IF(L116="À RENSEIGNER","GIC",L116)&amp;"-S"&amp;TEXT(A116,"00000"))</f>
        <v/>
      </c>
      <c r="C116" s="32" t="n"/>
      <c r="D116" s="36" t="n"/>
      <c r="E116" s="36" t="n"/>
      <c r="F116" s="42" t="n"/>
      <c r="G116" s="36" t="n"/>
      <c r="H116" s="43" t="n"/>
      <c r="I116" s="37" t="n"/>
      <c r="J116" s="44" t="n"/>
      <c r="K116" s="36" t="n"/>
      <c r="L116" s="33">
        <f>IF(C116="","",Commercial_Id)</f>
        <v/>
      </c>
      <c r="M116" s="34">
        <f>IF(E116="","",IFERROR(VLOOKUP(E116,T_Produits,2,FALSE),""))</f>
        <v/>
      </c>
      <c r="N116" s="40">
        <f>IF(E116="","",IFERROR(1/(1/VLOOKUP(E116,T_Produits,3,FALSE)),""))</f>
        <v/>
      </c>
      <c r="O116" s="40">
        <f>IF(OR(D116="",F116=""),"",IF(OR(D116="Casse / avarie",D116="Perte / vol",D116="Échantillon offert"),IF(I116&lt;&gt;"",I116,IF(N116="","",F116*N116)),""))</f>
        <v/>
      </c>
      <c r="P116" s="50">
        <f>IF(OR(D116="",F116=""),"",F116*IF(OR(D116="Reçu du magasin",D116="Ajustement (+)"),1,-1))</f>
        <v/>
      </c>
      <c r="Q116" s="34">
        <f>IF(C116="","",YEAR(C116-WEEKDAY(C116,2)+4)&amp;"-S"&amp;TEXT(INT((C116-DATE(YEAR(C116-WEEKDAY(C116,2)+4),1,3)+WEEKDAY(DATE(YEAR(C116-WEEKDAY(C116,2)+4),1,3),2)+5)/7),"00"))</f>
        <v/>
      </c>
    </row>
    <row r="117" ht="18" customHeight="1">
      <c r="A117" s="39" t="n">
        <v>112</v>
      </c>
      <c r="B117" s="33">
        <f>IF(C117="","",IF(L117="À RENSEIGNER","GIC",L117)&amp;"-S"&amp;TEXT(A117,"00000"))</f>
        <v/>
      </c>
      <c r="C117" s="32" t="n"/>
      <c r="D117" s="36" t="n"/>
      <c r="E117" s="36" t="n"/>
      <c r="F117" s="42" t="n"/>
      <c r="G117" s="36" t="n"/>
      <c r="H117" s="43" t="n"/>
      <c r="I117" s="37" t="n"/>
      <c r="J117" s="44" t="n"/>
      <c r="K117" s="36" t="n"/>
      <c r="L117" s="33">
        <f>IF(C117="","",Commercial_Id)</f>
        <v/>
      </c>
      <c r="M117" s="34">
        <f>IF(E117="","",IFERROR(VLOOKUP(E117,T_Produits,2,FALSE),""))</f>
        <v/>
      </c>
      <c r="N117" s="40">
        <f>IF(E117="","",IFERROR(1/(1/VLOOKUP(E117,T_Produits,3,FALSE)),""))</f>
        <v/>
      </c>
      <c r="O117" s="40">
        <f>IF(OR(D117="",F117=""),"",IF(OR(D117="Casse / avarie",D117="Perte / vol",D117="Échantillon offert"),IF(I117&lt;&gt;"",I117,IF(N117="","",F117*N117)),""))</f>
        <v/>
      </c>
      <c r="P117" s="50">
        <f>IF(OR(D117="",F117=""),"",F117*IF(OR(D117="Reçu du magasin",D117="Ajustement (+)"),1,-1))</f>
        <v/>
      </c>
      <c r="Q117" s="34">
        <f>IF(C117="","",YEAR(C117-WEEKDAY(C117,2)+4)&amp;"-S"&amp;TEXT(INT((C117-DATE(YEAR(C117-WEEKDAY(C117,2)+4),1,3)+WEEKDAY(DATE(YEAR(C117-WEEKDAY(C117,2)+4),1,3),2)+5)/7),"00"))</f>
        <v/>
      </c>
    </row>
    <row r="118" ht="18" customHeight="1">
      <c r="A118" s="39" t="n">
        <v>113</v>
      </c>
      <c r="B118" s="33">
        <f>IF(C118="","",IF(L118="À RENSEIGNER","GIC",L118)&amp;"-S"&amp;TEXT(A118,"00000"))</f>
        <v/>
      </c>
      <c r="C118" s="32" t="n"/>
      <c r="D118" s="36" t="n"/>
      <c r="E118" s="36" t="n"/>
      <c r="F118" s="42" t="n"/>
      <c r="G118" s="36" t="n"/>
      <c r="H118" s="43" t="n"/>
      <c r="I118" s="37" t="n"/>
      <c r="J118" s="44" t="n"/>
      <c r="K118" s="36" t="n"/>
      <c r="L118" s="33">
        <f>IF(C118="","",Commercial_Id)</f>
        <v/>
      </c>
      <c r="M118" s="34">
        <f>IF(E118="","",IFERROR(VLOOKUP(E118,T_Produits,2,FALSE),""))</f>
        <v/>
      </c>
      <c r="N118" s="40">
        <f>IF(E118="","",IFERROR(1/(1/VLOOKUP(E118,T_Produits,3,FALSE)),""))</f>
        <v/>
      </c>
      <c r="O118" s="40">
        <f>IF(OR(D118="",F118=""),"",IF(OR(D118="Casse / avarie",D118="Perte / vol",D118="Échantillon offert"),IF(I118&lt;&gt;"",I118,IF(N118="","",F118*N118)),""))</f>
        <v/>
      </c>
      <c r="P118" s="50">
        <f>IF(OR(D118="",F118=""),"",F118*IF(OR(D118="Reçu du magasin",D118="Ajustement (+)"),1,-1))</f>
        <v/>
      </c>
      <c r="Q118" s="34">
        <f>IF(C118="","",YEAR(C118-WEEKDAY(C118,2)+4)&amp;"-S"&amp;TEXT(INT((C118-DATE(YEAR(C118-WEEKDAY(C118,2)+4),1,3)+WEEKDAY(DATE(YEAR(C118-WEEKDAY(C118,2)+4),1,3),2)+5)/7),"00"))</f>
        <v/>
      </c>
    </row>
    <row r="119" ht="18" customHeight="1">
      <c r="A119" s="39" t="n">
        <v>114</v>
      </c>
      <c r="B119" s="33">
        <f>IF(C119="","",IF(L119="À RENSEIGNER","GIC",L119)&amp;"-S"&amp;TEXT(A119,"00000"))</f>
        <v/>
      </c>
      <c r="C119" s="32" t="n"/>
      <c r="D119" s="36" t="n"/>
      <c r="E119" s="36" t="n"/>
      <c r="F119" s="42" t="n"/>
      <c r="G119" s="36" t="n"/>
      <c r="H119" s="43" t="n"/>
      <c r="I119" s="37" t="n"/>
      <c r="J119" s="44" t="n"/>
      <c r="K119" s="36" t="n"/>
      <c r="L119" s="33">
        <f>IF(C119="","",Commercial_Id)</f>
        <v/>
      </c>
      <c r="M119" s="34">
        <f>IF(E119="","",IFERROR(VLOOKUP(E119,T_Produits,2,FALSE),""))</f>
        <v/>
      </c>
      <c r="N119" s="40">
        <f>IF(E119="","",IFERROR(1/(1/VLOOKUP(E119,T_Produits,3,FALSE)),""))</f>
        <v/>
      </c>
      <c r="O119" s="40">
        <f>IF(OR(D119="",F119=""),"",IF(OR(D119="Casse / avarie",D119="Perte / vol",D119="Échantillon offert"),IF(I119&lt;&gt;"",I119,IF(N119="","",F119*N119)),""))</f>
        <v/>
      </c>
      <c r="P119" s="50">
        <f>IF(OR(D119="",F119=""),"",F119*IF(OR(D119="Reçu du magasin",D119="Ajustement (+)"),1,-1))</f>
        <v/>
      </c>
      <c r="Q119" s="34">
        <f>IF(C119="","",YEAR(C119-WEEKDAY(C119,2)+4)&amp;"-S"&amp;TEXT(INT((C119-DATE(YEAR(C119-WEEKDAY(C119,2)+4),1,3)+WEEKDAY(DATE(YEAR(C119-WEEKDAY(C119,2)+4),1,3),2)+5)/7),"00"))</f>
        <v/>
      </c>
    </row>
    <row r="120" ht="18" customHeight="1">
      <c r="A120" s="39" t="n">
        <v>115</v>
      </c>
      <c r="B120" s="33">
        <f>IF(C120="","",IF(L120="À RENSEIGNER","GIC",L120)&amp;"-S"&amp;TEXT(A120,"00000"))</f>
        <v/>
      </c>
      <c r="C120" s="32" t="n"/>
      <c r="D120" s="36" t="n"/>
      <c r="E120" s="36" t="n"/>
      <c r="F120" s="42" t="n"/>
      <c r="G120" s="36" t="n"/>
      <c r="H120" s="43" t="n"/>
      <c r="I120" s="37" t="n"/>
      <c r="J120" s="44" t="n"/>
      <c r="K120" s="36" t="n"/>
      <c r="L120" s="33">
        <f>IF(C120="","",Commercial_Id)</f>
        <v/>
      </c>
      <c r="M120" s="34">
        <f>IF(E120="","",IFERROR(VLOOKUP(E120,T_Produits,2,FALSE),""))</f>
        <v/>
      </c>
      <c r="N120" s="40">
        <f>IF(E120="","",IFERROR(1/(1/VLOOKUP(E120,T_Produits,3,FALSE)),""))</f>
        <v/>
      </c>
      <c r="O120" s="40">
        <f>IF(OR(D120="",F120=""),"",IF(OR(D120="Casse / avarie",D120="Perte / vol",D120="Échantillon offert"),IF(I120&lt;&gt;"",I120,IF(N120="","",F120*N120)),""))</f>
        <v/>
      </c>
      <c r="P120" s="50">
        <f>IF(OR(D120="",F120=""),"",F120*IF(OR(D120="Reçu du magasin",D120="Ajustement (+)"),1,-1))</f>
        <v/>
      </c>
      <c r="Q120" s="34">
        <f>IF(C120="","",YEAR(C120-WEEKDAY(C120,2)+4)&amp;"-S"&amp;TEXT(INT((C120-DATE(YEAR(C120-WEEKDAY(C120,2)+4),1,3)+WEEKDAY(DATE(YEAR(C120-WEEKDAY(C120,2)+4),1,3),2)+5)/7),"00"))</f>
        <v/>
      </c>
    </row>
    <row r="121" ht="18" customHeight="1">
      <c r="A121" s="39" t="n">
        <v>116</v>
      </c>
      <c r="B121" s="33">
        <f>IF(C121="","",IF(L121="À RENSEIGNER","GIC",L121)&amp;"-S"&amp;TEXT(A121,"00000"))</f>
        <v/>
      </c>
      <c r="C121" s="32" t="n"/>
      <c r="D121" s="36" t="n"/>
      <c r="E121" s="36" t="n"/>
      <c r="F121" s="42" t="n"/>
      <c r="G121" s="36" t="n"/>
      <c r="H121" s="43" t="n"/>
      <c r="I121" s="37" t="n"/>
      <c r="J121" s="44" t="n"/>
      <c r="K121" s="36" t="n"/>
      <c r="L121" s="33">
        <f>IF(C121="","",Commercial_Id)</f>
        <v/>
      </c>
      <c r="M121" s="34">
        <f>IF(E121="","",IFERROR(VLOOKUP(E121,T_Produits,2,FALSE),""))</f>
        <v/>
      </c>
      <c r="N121" s="40">
        <f>IF(E121="","",IFERROR(1/(1/VLOOKUP(E121,T_Produits,3,FALSE)),""))</f>
        <v/>
      </c>
      <c r="O121" s="40">
        <f>IF(OR(D121="",F121=""),"",IF(OR(D121="Casse / avarie",D121="Perte / vol",D121="Échantillon offert"),IF(I121&lt;&gt;"",I121,IF(N121="","",F121*N121)),""))</f>
        <v/>
      </c>
      <c r="P121" s="50">
        <f>IF(OR(D121="",F121=""),"",F121*IF(OR(D121="Reçu du magasin",D121="Ajustement (+)"),1,-1))</f>
        <v/>
      </c>
      <c r="Q121" s="34">
        <f>IF(C121="","",YEAR(C121-WEEKDAY(C121,2)+4)&amp;"-S"&amp;TEXT(INT((C121-DATE(YEAR(C121-WEEKDAY(C121,2)+4),1,3)+WEEKDAY(DATE(YEAR(C121-WEEKDAY(C121,2)+4),1,3),2)+5)/7),"00"))</f>
        <v/>
      </c>
    </row>
    <row r="122" ht="18" customHeight="1">
      <c r="A122" s="39" t="n">
        <v>117</v>
      </c>
      <c r="B122" s="33">
        <f>IF(C122="","",IF(L122="À RENSEIGNER","GIC",L122)&amp;"-S"&amp;TEXT(A122,"00000"))</f>
        <v/>
      </c>
      <c r="C122" s="32" t="n"/>
      <c r="D122" s="36" t="n"/>
      <c r="E122" s="36" t="n"/>
      <c r="F122" s="42" t="n"/>
      <c r="G122" s="36" t="n"/>
      <c r="H122" s="43" t="n"/>
      <c r="I122" s="37" t="n"/>
      <c r="J122" s="44" t="n"/>
      <c r="K122" s="36" t="n"/>
      <c r="L122" s="33">
        <f>IF(C122="","",Commercial_Id)</f>
        <v/>
      </c>
      <c r="M122" s="34">
        <f>IF(E122="","",IFERROR(VLOOKUP(E122,T_Produits,2,FALSE),""))</f>
        <v/>
      </c>
      <c r="N122" s="40">
        <f>IF(E122="","",IFERROR(1/(1/VLOOKUP(E122,T_Produits,3,FALSE)),""))</f>
        <v/>
      </c>
      <c r="O122" s="40">
        <f>IF(OR(D122="",F122=""),"",IF(OR(D122="Casse / avarie",D122="Perte / vol",D122="Échantillon offert"),IF(I122&lt;&gt;"",I122,IF(N122="","",F122*N122)),""))</f>
        <v/>
      </c>
      <c r="P122" s="50">
        <f>IF(OR(D122="",F122=""),"",F122*IF(OR(D122="Reçu du magasin",D122="Ajustement (+)"),1,-1))</f>
        <v/>
      </c>
      <c r="Q122" s="34">
        <f>IF(C122="","",YEAR(C122-WEEKDAY(C122,2)+4)&amp;"-S"&amp;TEXT(INT((C122-DATE(YEAR(C122-WEEKDAY(C122,2)+4),1,3)+WEEKDAY(DATE(YEAR(C122-WEEKDAY(C122,2)+4),1,3),2)+5)/7),"00"))</f>
        <v/>
      </c>
    </row>
    <row r="123" ht="18" customHeight="1">
      <c r="A123" s="39" t="n">
        <v>118</v>
      </c>
      <c r="B123" s="33">
        <f>IF(C123="","",IF(L123="À RENSEIGNER","GIC",L123)&amp;"-S"&amp;TEXT(A123,"00000"))</f>
        <v/>
      </c>
      <c r="C123" s="32" t="n"/>
      <c r="D123" s="36" t="n"/>
      <c r="E123" s="36" t="n"/>
      <c r="F123" s="42" t="n"/>
      <c r="G123" s="36" t="n"/>
      <c r="H123" s="43" t="n"/>
      <c r="I123" s="37" t="n"/>
      <c r="J123" s="44" t="n"/>
      <c r="K123" s="36" t="n"/>
      <c r="L123" s="33">
        <f>IF(C123="","",Commercial_Id)</f>
        <v/>
      </c>
      <c r="M123" s="34">
        <f>IF(E123="","",IFERROR(VLOOKUP(E123,T_Produits,2,FALSE),""))</f>
        <v/>
      </c>
      <c r="N123" s="40">
        <f>IF(E123="","",IFERROR(1/(1/VLOOKUP(E123,T_Produits,3,FALSE)),""))</f>
        <v/>
      </c>
      <c r="O123" s="40">
        <f>IF(OR(D123="",F123=""),"",IF(OR(D123="Casse / avarie",D123="Perte / vol",D123="Échantillon offert"),IF(I123&lt;&gt;"",I123,IF(N123="","",F123*N123)),""))</f>
        <v/>
      </c>
      <c r="P123" s="50">
        <f>IF(OR(D123="",F123=""),"",F123*IF(OR(D123="Reçu du magasin",D123="Ajustement (+)"),1,-1))</f>
        <v/>
      </c>
      <c r="Q123" s="34">
        <f>IF(C123="","",YEAR(C123-WEEKDAY(C123,2)+4)&amp;"-S"&amp;TEXT(INT((C123-DATE(YEAR(C123-WEEKDAY(C123,2)+4),1,3)+WEEKDAY(DATE(YEAR(C123-WEEKDAY(C123,2)+4),1,3),2)+5)/7),"00"))</f>
        <v/>
      </c>
    </row>
    <row r="124" ht="18" customHeight="1">
      <c r="A124" s="39" t="n">
        <v>119</v>
      </c>
      <c r="B124" s="33">
        <f>IF(C124="","",IF(L124="À RENSEIGNER","GIC",L124)&amp;"-S"&amp;TEXT(A124,"00000"))</f>
        <v/>
      </c>
      <c r="C124" s="32" t="n"/>
      <c r="D124" s="36" t="n"/>
      <c r="E124" s="36" t="n"/>
      <c r="F124" s="42" t="n"/>
      <c r="G124" s="36" t="n"/>
      <c r="H124" s="43" t="n"/>
      <c r="I124" s="37" t="n"/>
      <c r="J124" s="44" t="n"/>
      <c r="K124" s="36" t="n"/>
      <c r="L124" s="33">
        <f>IF(C124="","",Commercial_Id)</f>
        <v/>
      </c>
      <c r="M124" s="34">
        <f>IF(E124="","",IFERROR(VLOOKUP(E124,T_Produits,2,FALSE),""))</f>
        <v/>
      </c>
      <c r="N124" s="40">
        <f>IF(E124="","",IFERROR(1/(1/VLOOKUP(E124,T_Produits,3,FALSE)),""))</f>
        <v/>
      </c>
      <c r="O124" s="40">
        <f>IF(OR(D124="",F124=""),"",IF(OR(D124="Casse / avarie",D124="Perte / vol",D124="Échantillon offert"),IF(I124&lt;&gt;"",I124,IF(N124="","",F124*N124)),""))</f>
        <v/>
      </c>
      <c r="P124" s="50">
        <f>IF(OR(D124="",F124=""),"",F124*IF(OR(D124="Reçu du magasin",D124="Ajustement (+)"),1,-1))</f>
        <v/>
      </c>
      <c r="Q124" s="34">
        <f>IF(C124="","",YEAR(C124-WEEKDAY(C124,2)+4)&amp;"-S"&amp;TEXT(INT((C124-DATE(YEAR(C124-WEEKDAY(C124,2)+4),1,3)+WEEKDAY(DATE(YEAR(C124-WEEKDAY(C124,2)+4),1,3),2)+5)/7),"00"))</f>
        <v/>
      </c>
    </row>
    <row r="125" ht="18" customHeight="1">
      <c r="A125" s="39" t="n">
        <v>120</v>
      </c>
      <c r="B125" s="33">
        <f>IF(C125="","",IF(L125="À RENSEIGNER","GIC",L125)&amp;"-S"&amp;TEXT(A125,"00000"))</f>
        <v/>
      </c>
      <c r="C125" s="32" t="n"/>
      <c r="D125" s="36" t="n"/>
      <c r="E125" s="36" t="n"/>
      <c r="F125" s="42" t="n"/>
      <c r="G125" s="36" t="n"/>
      <c r="H125" s="43" t="n"/>
      <c r="I125" s="37" t="n"/>
      <c r="J125" s="44" t="n"/>
      <c r="K125" s="36" t="n"/>
      <c r="L125" s="33">
        <f>IF(C125="","",Commercial_Id)</f>
        <v/>
      </c>
      <c r="M125" s="34">
        <f>IF(E125="","",IFERROR(VLOOKUP(E125,T_Produits,2,FALSE),""))</f>
        <v/>
      </c>
      <c r="N125" s="40">
        <f>IF(E125="","",IFERROR(1/(1/VLOOKUP(E125,T_Produits,3,FALSE)),""))</f>
        <v/>
      </c>
      <c r="O125" s="40">
        <f>IF(OR(D125="",F125=""),"",IF(OR(D125="Casse / avarie",D125="Perte / vol",D125="Échantillon offert"),IF(I125&lt;&gt;"",I125,IF(N125="","",F125*N125)),""))</f>
        <v/>
      </c>
      <c r="P125" s="50">
        <f>IF(OR(D125="",F125=""),"",F125*IF(OR(D125="Reçu du magasin",D125="Ajustement (+)"),1,-1))</f>
        <v/>
      </c>
      <c r="Q125" s="34">
        <f>IF(C125="","",YEAR(C125-WEEKDAY(C125,2)+4)&amp;"-S"&amp;TEXT(INT((C125-DATE(YEAR(C125-WEEKDAY(C125,2)+4),1,3)+WEEKDAY(DATE(YEAR(C125-WEEKDAY(C125,2)+4),1,3),2)+5)/7),"00"))</f>
        <v/>
      </c>
    </row>
    <row r="126" ht="18" customHeight="1">
      <c r="A126" s="39" t="n">
        <v>121</v>
      </c>
      <c r="B126" s="33">
        <f>IF(C126="","",IF(L126="À RENSEIGNER","GIC",L126)&amp;"-S"&amp;TEXT(A126,"00000"))</f>
        <v/>
      </c>
      <c r="C126" s="32" t="n"/>
      <c r="D126" s="36" t="n"/>
      <c r="E126" s="36" t="n"/>
      <c r="F126" s="42" t="n"/>
      <c r="G126" s="36" t="n"/>
      <c r="H126" s="43" t="n"/>
      <c r="I126" s="37" t="n"/>
      <c r="J126" s="44" t="n"/>
      <c r="K126" s="36" t="n"/>
      <c r="L126" s="33">
        <f>IF(C126="","",Commercial_Id)</f>
        <v/>
      </c>
      <c r="M126" s="34">
        <f>IF(E126="","",IFERROR(VLOOKUP(E126,T_Produits,2,FALSE),""))</f>
        <v/>
      </c>
      <c r="N126" s="40">
        <f>IF(E126="","",IFERROR(1/(1/VLOOKUP(E126,T_Produits,3,FALSE)),""))</f>
        <v/>
      </c>
      <c r="O126" s="40">
        <f>IF(OR(D126="",F126=""),"",IF(OR(D126="Casse / avarie",D126="Perte / vol",D126="Échantillon offert"),IF(I126&lt;&gt;"",I126,IF(N126="","",F126*N126)),""))</f>
        <v/>
      </c>
      <c r="P126" s="50">
        <f>IF(OR(D126="",F126=""),"",F126*IF(OR(D126="Reçu du magasin",D126="Ajustement (+)"),1,-1))</f>
        <v/>
      </c>
      <c r="Q126" s="34">
        <f>IF(C126="","",YEAR(C126-WEEKDAY(C126,2)+4)&amp;"-S"&amp;TEXT(INT((C126-DATE(YEAR(C126-WEEKDAY(C126,2)+4),1,3)+WEEKDAY(DATE(YEAR(C126-WEEKDAY(C126,2)+4),1,3),2)+5)/7),"00"))</f>
        <v/>
      </c>
    </row>
    <row r="127" ht="18" customHeight="1">
      <c r="A127" s="39" t="n">
        <v>122</v>
      </c>
      <c r="B127" s="33">
        <f>IF(C127="","",IF(L127="À RENSEIGNER","GIC",L127)&amp;"-S"&amp;TEXT(A127,"00000"))</f>
        <v/>
      </c>
      <c r="C127" s="32" t="n"/>
      <c r="D127" s="36" t="n"/>
      <c r="E127" s="36" t="n"/>
      <c r="F127" s="42" t="n"/>
      <c r="G127" s="36" t="n"/>
      <c r="H127" s="43" t="n"/>
      <c r="I127" s="37" t="n"/>
      <c r="J127" s="44" t="n"/>
      <c r="K127" s="36" t="n"/>
      <c r="L127" s="33">
        <f>IF(C127="","",Commercial_Id)</f>
        <v/>
      </c>
      <c r="M127" s="34">
        <f>IF(E127="","",IFERROR(VLOOKUP(E127,T_Produits,2,FALSE),""))</f>
        <v/>
      </c>
      <c r="N127" s="40">
        <f>IF(E127="","",IFERROR(1/(1/VLOOKUP(E127,T_Produits,3,FALSE)),""))</f>
        <v/>
      </c>
      <c r="O127" s="40">
        <f>IF(OR(D127="",F127=""),"",IF(OR(D127="Casse / avarie",D127="Perte / vol",D127="Échantillon offert"),IF(I127&lt;&gt;"",I127,IF(N127="","",F127*N127)),""))</f>
        <v/>
      </c>
      <c r="P127" s="50">
        <f>IF(OR(D127="",F127=""),"",F127*IF(OR(D127="Reçu du magasin",D127="Ajustement (+)"),1,-1))</f>
        <v/>
      </c>
      <c r="Q127" s="34">
        <f>IF(C127="","",YEAR(C127-WEEKDAY(C127,2)+4)&amp;"-S"&amp;TEXT(INT((C127-DATE(YEAR(C127-WEEKDAY(C127,2)+4),1,3)+WEEKDAY(DATE(YEAR(C127-WEEKDAY(C127,2)+4),1,3),2)+5)/7),"00"))</f>
        <v/>
      </c>
    </row>
    <row r="128" ht="18" customHeight="1">
      <c r="A128" s="39" t="n">
        <v>123</v>
      </c>
      <c r="B128" s="33">
        <f>IF(C128="","",IF(L128="À RENSEIGNER","GIC",L128)&amp;"-S"&amp;TEXT(A128,"00000"))</f>
        <v/>
      </c>
      <c r="C128" s="32" t="n"/>
      <c r="D128" s="36" t="n"/>
      <c r="E128" s="36" t="n"/>
      <c r="F128" s="42" t="n"/>
      <c r="G128" s="36" t="n"/>
      <c r="H128" s="43" t="n"/>
      <c r="I128" s="37" t="n"/>
      <c r="J128" s="44" t="n"/>
      <c r="K128" s="36" t="n"/>
      <c r="L128" s="33">
        <f>IF(C128="","",Commercial_Id)</f>
        <v/>
      </c>
      <c r="M128" s="34">
        <f>IF(E128="","",IFERROR(VLOOKUP(E128,T_Produits,2,FALSE),""))</f>
        <v/>
      </c>
      <c r="N128" s="40">
        <f>IF(E128="","",IFERROR(1/(1/VLOOKUP(E128,T_Produits,3,FALSE)),""))</f>
        <v/>
      </c>
      <c r="O128" s="40">
        <f>IF(OR(D128="",F128=""),"",IF(OR(D128="Casse / avarie",D128="Perte / vol",D128="Échantillon offert"),IF(I128&lt;&gt;"",I128,IF(N128="","",F128*N128)),""))</f>
        <v/>
      </c>
      <c r="P128" s="50">
        <f>IF(OR(D128="",F128=""),"",F128*IF(OR(D128="Reçu du magasin",D128="Ajustement (+)"),1,-1))</f>
        <v/>
      </c>
      <c r="Q128" s="34">
        <f>IF(C128="","",YEAR(C128-WEEKDAY(C128,2)+4)&amp;"-S"&amp;TEXT(INT((C128-DATE(YEAR(C128-WEEKDAY(C128,2)+4),1,3)+WEEKDAY(DATE(YEAR(C128-WEEKDAY(C128,2)+4),1,3),2)+5)/7),"00"))</f>
        <v/>
      </c>
    </row>
    <row r="129" ht="18" customHeight="1">
      <c r="A129" s="39" t="n">
        <v>124</v>
      </c>
      <c r="B129" s="33">
        <f>IF(C129="","",IF(L129="À RENSEIGNER","GIC",L129)&amp;"-S"&amp;TEXT(A129,"00000"))</f>
        <v/>
      </c>
      <c r="C129" s="32" t="n"/>
      <c r="D129" s="36" t="n"/>
      <c r="E129" s="36" t="n"/>
      <c r="F129" s="42" t="n"/>
      <c r="G129" s="36" t="n"/>
      <c r="H129" s="43" t="n"/>
      <c r="I129" s="37" t="n"/>
      <c r="J129" s="44" t="n"/>
      <c r="K129" s="36" t="n"/>
      <c r="L129" s="33">
        <f>IF(C129="","",Commercial_Id)</f>
        <v/>
      </c>
      <c r="M129" s="34">
        <f>IF(E129="","",IFERROR(VLOOKUP(E129,T_Produits,2,FALSE),""))</f>
        <v/>
      </c>
      <c r="N129" s="40">
        <f>IF(E129="","",IFERROR(1/(1/VLOOKUP(E129,T_Produits,3,FALSE)),""))</f>
        <v/>
      </c>
      <c r="O129" s="40">
        <f>IF(OR(D129="",F129=""),"",IF(OR(D129="Casse / avarie",D129="Perte / vol",D129="Échantillon offert"),IF(I129&lt;&gt;"",I129,IF(N129="","",F129*N129)),""))</f>
        <v/>
      </c>
      <c r="P129" s="50">
        <f>IF(OR(D129="",F129=""),"",F129*IF(OR(D129="Reçu du magasin",D129="Ajustement (+)"),1,-1))</f>
        <v/>
      </c>
      <c r="Q129" s="34">
        <f>IF(C129="","",YEAR(C129-WEEKDAY(C129,2)+4)&amp;"-S"&amp;TEXT(INT((C129-DATE(YEAR(C129-WEEKDAY(C129,2)+4),1,3)+WEEKDAY(DATE(YEAR(C129-WEEKDAY(C129,2)+4),1,3),2)+5)/7),"00"))</f>
        <v/>
      </c>
    </row>
    <row r="130" ht="18" customHeight="1">
      <c r="A130" s="39" t="n">
        <v>125</v>
      </c>
      <c r="B130" s="33">
        <f>IF(C130="","",IF(L130="À RENSEIGNER","GIC",L130)&amp;"-S"&amp;TEXT(A130,"00000"))</f>
        <v/>
      </c>
      <c r="C130" s="32" t="n"/>
      <c r="D130" s="36" t="n"/>
      <c r="E130" s="36" t="n"/>
      <c r="F130" s="42" t="n"/>
      <c r="G130" s="36" t="n"/>
      <c r="H130" s="43" t="n"/>
      <c r="I130" s="37" t="n"/>
      <c r="J130" s="44" t="n"/>
      <c r="K130" s="36" t="n"/>
      <c r="L130" s="33">
        <f>IF(C130="","",Commercial_Id)</f>
        <v/>
      </c>
      <c r="M130" s="34">
        <f>IF(E130="","",IFERROR(VLOOKUP(E130,T_Produits,2,FALSE),""))</f>
        <v/>
      </c>
      <c r="N130" s="40">
        <f>IF(E130="","",IFERROR(1/(1/VLOOKUP(E130,T_Produits,3,FALSE)),""))</f>
        <v/>
      </c>
      <c r="O130" s="40">
        <f>IF(OR(D130="",F130=""),"",IF(OR(D130="Casse / avarie",D130="Perte / vol",D130="Échantillon offert"),IF(I130&lt;&gt;"",I130,IF(N130="","",F130*N130)),""))</f>
        <v/>
      </c>
      <c r="P130" s="50">
        <f>IF(OR(D130="",F130=""),"",F130*IF(OR(D130="Reçu du magasin",D130="Ajustement (+)"),1,-1))</f>
        <v/>
      </c>
      <c r="Q130" s="34">
        <f>IF(C130="","",YEAR(C130-WEEKDAY(C130,2)+4)&amp;"-S"&amp;TEXT(INT((C130-DATE(YEAR(C130-WEEKDAY(C130,2)+4),1,3)+WEEKDAY(DATE(YEAR(C130-WEEKDAY(C130,2)+4),1,3),2)+5)/7),"00"))</f>
        <v/>
      </c>
    </row>
    <row r="131" ht="18" customHeight="1">
      <c r="A131" s="39" t="n">
        <v>126</v>
      </c>
      <c r="B131" s="33">
        <f>IF(C131="","",IF(L131="À RENSEIGNER","GIC",L131)&amp;"-S"&amp;TEXT(A131,"00000"))</f>
        <v/>
      </c>
      <c r="C131" s="32" t="n"/>
      <c r="D131" s="36" t="n"/>
      <c r="E131" s="36" t="n"/>
      <c r="F131" s="42" t="n"/>
      <c r="G131" s="36" t="n"/>
      <c r="H131" s="43" t="n"/>
      <c r="I131" s="37" t="n"/>
      <c r="J131" s="44" t="n"/>
      <c r="K131" s="36" t="n"/>
      <c r="L131" s="33">
        <f>IF(C131="","",Commercial_Id)</f>
        <v/>
      </c>
      <c r="M131" s="34">
        <f>IF(E131="","",IFERROR(VLOOKUP(E131,T_Produits,2,FALSE),""))</f>
        <v/>
      </c>
      <c r="N131" s="40">
        <f>IF(E131="","",IFERROR(1/(1/VLOOKUP(E131,T_Produits,3,FALSE)),""))</f>
        <v/>
      </c>
      <c r="O131" s="40">
        <f>IF(OR(D131="",F131=""),"",IF(OR(D131="Casse / avarie",D131="Perte / vol",D131="Échantillon offert"),IF(I131&lt;&gt;"",I131,IF(N131="","",F131*N131)),""))</f>
        <v/>
      </c>
      <c r="P131" s="50">
        <f>IF(OR(D131="",F131=""),"",F131*IF(OR(D131="Reçu du magasin",D131="Ajustement (+)"),1,-1))</f>
        <v/>
      </c>
      <c r="Q131" s="34">
        <f>IF(C131="","",YEAR(C131-WEEKDAY(C131,2)+4)&amp;"-S"&amp;TEXT(INT((C131-DATE(YEAR(C131-WEEKDAY(C131,2)+4),1,3)+WEEKDAY(DATE(YEAR(C131-WEEKDAY(C131,2)+4),1,3),2)+5)/7),"00"))</f>
        <v/>
      </c>
    </row>
    <row r="132" ht="18" customHeight="1">
      <c r="A132" s="39" t="n">
        <v>127</v>
      </c>
      <c r="B132" s="33">
        <f>IF(C132="","",IF(L132="À RENSEIGNER","GIC",L132)&amp;"-S"&amp;TEXT(A132,"00000"))</f>
        <v/>
      </c>
      <c r="C132" s="32" t="n"/>
      <c r="D132" s="36" t="n"/>
      <c r="E132" s="36" t="n"/>
      <c r="F132" s="42" t="n"/>
      <c r="G132" s="36" t="n"/>
      <c r="H132" s="43" t="n"/>
      <c r="I132" s="37" t="n"/>
      <c r="J132" s="44" t="n"/>
      <c r="K132" s="36" t="n"/>
      <c r="L132" s="33">
        <f>IF(C132="","",Commercial_Id)</f>
        <v/>
      </c>
      <c r="M132" s="34">
        <f>IF(E132="","",IFERROR(VLOOKUP(E132,T_Produits,2,FALSE),""))</f>
        <v/>
      </c>
      <c r="N132" s="40">
        <f>IF(E132="","",IFERROR(1/(1/VLOOKUP(E132,T_Produits,3,FALSE)),""))</f>
        <v/>
      </c>
      <c r="O132" s="40">
        <f>IF(OR(D132="",F132=""),"",IF(OR(D132="Casse / avarie",D132="Perte / vol",D132="Échantillon offert"),IF(I132&lt;&gt;"",I132,IF(N132="","",F132*N132)),""))</f>
        <v/>
      </c>
      <c r="P132" s="50">
        <f>IF(OR(D132="",F132=""),"",F132*IF(OR(D132="Reçu du magasin",D132="Ajustement (+)"),1,-1))</f>
        <v/>
      </c>
      <c r="Q132" s="34">
        <f>IF(C132="","",YEAR(C132-WEEKDAY(C132,2)+4)&amp;"-S"&amp;TEXT(INT((C132-DATE(YEAR(C132-WEEKDAY(C132,2)+4),1,3)+WEEKDAY(DATE(YEAR(C132-WEEKDAY(C132,2)+4),1,3),2)+5)/7),"00"))</f>
        <v/>
      </c>
    </row>
    <row r="133" ht="18" customHeight="1">
      <c r="A133" s="39" t="n">
        <v>128</v>
      </c>
      <c r="B133" s="33">
        <f>IF(C133="","",IF(L133="À RENSEIGNER","GIC",L133)&amp;"-S"&amp;TEXT(A133,"00000"))</f>
        <v/>
      </c>
      <c r="C133" s="32" t="n"/>
      <c r="D133" s="36" t="n"/>
      <c r="E133" s="36" t="n"/>
      <c r="F133" s="42" t="n"/>
      <c r="G133" s="36" t="n"/>
      <c r="H133" s="43" t="n"/>
      <c r="I133" s="37" t="n"/>
      <c r="J133" s="44" t="n"/>
      <c r="K133" s="36" t="n"/>
      <c r="L133" s="33">
        <f>IF(C133="","",Commercial_Id)</f>
        <v/>
      </c>
      <c r="M133" s="34">
        <f>IF(E133="","",IFERROR(VLOOKUP(E133,T_Produits,2,FALSE),""))</f>
        <v/>
      </c>
      <c r="N133" s="40">
        <f>IF(E133="","",IFERROR(1/(1/VLOOKUP(E133,T_Produits,3,FALSE)),""))</f>
        <v/>
      </c>
      <c r="O133" s="40">
        <f>IF(OR(D133="",F133=""),"",IF(OR(D133="Casse / avarie",D133="Perte / vol",D133="Échantillon offert"),IF(I133&lt;&gt;"",I133,IF(N133="","",F133*N133)),""))</f>
        <v/>
      </c>
      <c r="P133" s="50">
        <f>IF(OR(D133="",F133=""),"",F133*IF(OR(D133="Reçu du magasin",D133="Ajustement (+)"),1,-1))</f>
        <v/>
      </c>
      <c r="Q133" s="34">
        <f>IF(C133="","",YEAR(C133-WEEKDAY(C133,2)+4)&amp;"-S"&amp;TEXT(INT((C133-DATE(YEAR(C133-WEEKDAY(C133,2)+4),1,3)+WEEKDAY(DATE(YEAR(C133-WEEKDAY(C133,2)+4),1,3),2)+5)/7),"00"))</f>
        <v/>
      </c>
    </row>
    <row r="134" ht="18" customHeight="1">
      <c r="A134" s="39" t="n">
        <v>129</v>
      </c>
      <c r="B134" s="33">
        <f>IF(C134="","",IF(L134="À RENSEIGNER","GIC",L134)&amp;"-S"&amp;TEXT(A134,"00000"))</f>
        <v/>
      </c>
      <c r="C134" s="32" t="n"/>
      <c r="D134" s="36" t="n"/>
      <c r="E134" s="36" t="n"/>
      <c r="F134" s="42" t="n"/>
      <c r="G134" s="36" t="n"/>
      <c r="H134" s="43" t="n"/>
      <c r="I134" s="37" t="n"/>
      <c r="J134" s="44" t="n"/>
      <c r="K134" s="36" t="n"/>
      <c r="L134" s="33">
        <f>IF(C134="","",Commercial_Id)</f>
        <v/>
      </c>
      <c r="M134" s="34">
        <f>IF(E134="","",IFERROR(VLOOKUP(E134,T_Produits,2,FALSE),""))</f>
        <v/>
      </c>
      <c r="N134" s="40">
        <f>IF(E134="","",IFERROR(1/(1/VLOOKUP(E134,T_Produits,3,FALSE)),""))</f>
        <v/>
      </c>
      <c r="O134" s="40">
        <f>IF(OR(D134="",F134=""),"",IF(OR(D134="Casse / avarie",D134="Perte / vol",D134="Échantillon offert"),IF(I134&lt;&gt;"",I134,IF(N134="","",F134*N134)),""))</f>
        <v/>
      </c>
      <c r="P134" s="50">
        <f>IF(OR(D134="",F134=""),"",F134*IF(OR(D134="Reçu du magasin",D134="Ajustement (+)"),1,-1))</f>
        <v/>
      </c>
      <c r="Q134" s="34">
        <f>IF(C134="","",YEAR(C134-WEEKDAY(C134,2)+4)&amp;"-S"&amp;TEXT(INT((C134-DATE(YEAR(C134-WEEKDAY(C134,2)+4),1,3)+WEEKDAY(DATE(YEAR(C134-WEEKDAY(C134,2)+4),1,3),2)+5)/7),"00"))</f>
        <v/>
      </c>
    </row>
    <row r="135" ht="18" customHeight="1">
      <c r="A135" s="39" t="n">
        <v>130</v>
      </c>
      <c r="B135" s="33">
        <f>IF(C135="","",IF(L135="À RENSEIGNER","GIC",L135)&amp;"-S"&amp;TEXT(A135,"00000"))</f>
        <v/>
      </c>
      <c r="C135" s="32" t="n"/>
      <c r="D135" s="36" t="n"/>
      <c r="E135" s="36" t="n"/>
      <c r="F135" s="42" t="n"/>
      <c r="G135" s="36" t="n"/>
      <c r="H135" s="43" t="n"/>
      <c r="I135" s="37" t="n"/>
      <c r="J135" s="44" t="n"/>
      <c r="K135" s="36" t="n"/>
      <c r="L135" s="33">
        <f>IF(C135="","",Commercial_Id)</f>
        <v/>
      </c>
      <c r="M135" s="34">
        <f>IF(E135="","",IFERROR(VLOOKUP(E135,T_Produits,2,FALSE),""))</f>
        <v/>
      </c>
      <c r="N135" s="40">
        <f>IF(E135="","",IFERROR(1/(1/VLOOKUP(E135,T_Produits,3,FALSE)),""))</f>
        <v/>
      </c>
      <c r="O135" s="40">
        <f>IF(OR(D135="",F135=""),"",IF(OR(D135="Casse / avarie",D135="Perte / vol",D135="Échantillon offert"),IF(I135&lt;&gt;"",I135,IF(N135="","",F135*N135)),""))</f>
        <v/>
      </c>
      <c r="P135" s="50">
        <f>IF(OR(D135="",F135=""),"",F135*IF(OR(D135="Reçu du magasin",D135="Ajustement (+)"),1,-1))</f>
        <v/>
      </c>
      <c r="Q135" s="34">
        <f>IF(C135="","",YEAR(C135-WEEKDAY(C135,2)+4)&amp;"-S"&amp;TEXT(INT((C135-DATE(YEAR(C135-WEEKDAY(C135,2)+4),1,3)+WEEKDAY(DATE(YEAR(C135-WEEKDAY(C135,2)+4),1,3),2)+5)/7),"00"))</f>
        <v/>
      </c>
    </row>
    <row r="136" ht="18" customHeight="1">
      <c r="A136" s="39" t="n">
        <v>131</v>
      </c>
      <c r="B136" s="33">
        <f>IF(C136="","",IF(L136="À RENSEIGNER","GIC",L136)&amp;"-S"&amp;TEXT(A136,"00000"))</f>
        <v/>
      </c>
      <c r="C136" s="32" t="n"/>
      <c r="D136" s="36" t="n"/>
      <c r="E136" s="36" t="n"/>
      <c r="F136" s="42" t="n"/>
      <c r="G136" s="36" t="n"/>
      <c r="H136" s="43" t="n"/>
      <c r="I136" s="37" t="n"/>
      <c r="J136" s="44" t="n"/>
      <c r="K136" s="36" t="n"/>
      <c r="L136" s="33">
        <f>IF(C136="","",Commercial_Id)</f>
        <v/>
      </c>
      <c r="M136" s="34">
        <f>IF(E136="","",IFERROR(VLOOKUP(E136,T_Produits,2,FALSE),""))</f>
        <v/>
      </c>
      <c r="N136" s="40">
        <f>IF(E136="","",IFERROR(1/(1/VLOOKUP(E136,T_Produits,3,FALSE)),""))</f>
        <v/>
      </c>
      <c r="O136" s="40">
        <f>IF(OR(D136="",F136=""),"",IF(OR(D136="Casse / avarie",D136="Perte / vol",D136="Échantillon offert"),IF(I136&lt;&gt;"",I136,IF(N136="","",F136*N136)),""))</f>
        <v/>
      </c>
      <c r="P136" s="50">
        <f>IF(OR(D136="",F136=""),"",F136*IF(OR(D136="Reçu du magasin",D136="Ajustement (+)"),1,-1))</f>
        <v/>
      </c>
      <c r="Q136" s="34">
        <f>IF(C136="","",YEAR(C136-WEEKDAY(C136,2)+4)&amp;"-S"&amp;TEXT(INT((C136-DATE(YEAR(C136-WEEKDAY(C136,2)+4),1,3)+WEEKDAY(DATE(YEAR(C136-WEEKDAY(C136,2)+4),1,3),2)+5)/7),"00"))</f>
        <v/>
      </c>
    </row>
    <row r="137" ht="18" customHeight="1">
      <c r="A137" s="39" t="n">
        <v>132</v>
      </c>
      <c r="B137" s="33">
        <f>IF(C137="","",IF(L137="À RENSEIGNER","GIC",L137)&amp;"-S"&amp;TEXT(A137,"00000"))</f>
        <v/>
      </c>
      <c r="C137" s="32" t="n"/>
      <c r="D137" s="36" t="n"/>
      <c r="E137" s="36" t="n"/>
      <c r="F137" s="42" t="n"/>
      <c r="G137" s="36" t="n"/>
      <c r="H137" s="43" t="n"/>
      <c r="I137" s="37" t="n"/>
      <c r="J137" s="44" t="n"/>
      <c r="K137" s="36" t="n"/>
      <c r="L137" s="33">
        <f>IF(C137="","",Commercial_Id)</f>
        <v/>
      </c>
      <c r="M137" s="34">
        <f>IF(E137="","",IFERROR(VLOOKUP(E137,T_Produits,2,FALSE),""))</f>
        <v/>
      </c>
      <c r="N137" s="40">
        <f>IF(E137="","",IFERROR(1/(1/VLOOKUP(E137,T_Produits,3,FALSE)),""))</f>
        <v/>
      </c>
      <c r="O137" s="40">
        <f>IF(OR(D137="",F137=""),"",IF(OR(D137="Casse / avarie",D137="Perte / vol",D137="Échantillon offert"),IF(I137&lt;&gt;"",I137,IF(N137="","",F137*N137)),""))</f>
        <v/>
      </c>
      <c r="P137" s="50">
        <f>IF(OR(D137="",F137=""),"",F137*IF(OR(D137="Reçu du magasin",D137="Ajustement (+)"),1,-1))</f>
        <v/>
      </c>
      <c r="Q137" s="34">
        <f>IF(C137="","",YEAR(C137-WEEKDAY(C137,2)+4)&amp;"-S"&amp;TEXT(INT((C137-DATE(YEAR(C137-WEEKDAY(C137,2)+4),1,3)+WEEKDAY(DATE(YEAR(C137-WEEKDAY(C137,2)+4),1,3),2)+5)/7),"00"))</f>
        <v/>
      </c>
    </row>
    <row r="138" ht="18" customHeight="1">
      <c r="A138" s="39" t="n">
        <v>133</v>
      </c>
      <c r="B138" s="33">
        <f>IF(C138="","",IF(L138="À RENSEIGNER","GIC",L138)&amp;"-S"&amp;TEXT(A138,"00000"))</f>
        <v/>
      </c>
      <c r="C138" s="32" t="n"/>
      <c r="D138" s="36" t="n"/>
      <c r="E138" s="36" t="n"/>
      <c r="F138" s="42" t="n"/>
      <c r="G138" s="36" t="n"/>
      <c r="H138" s="43" t="n"/>
      <c r="I138" s="37" t="n"/>
      <c r="J138" s="44" t="n"/>
      <c r="K138" s="36" t="n"/>
      <c r="L138" s="33">
        <f>IF(C138="","",Commercial_Id)</f>
        <v/>
      </c>
      <c r="M138" s="34">
        <f>IF(E138="","",IFERROR(VLOOKUP(E138,T_Produits,2,FALSE),""))</f>
        <v/>
      </c>
      <c r="N138" s="40">
        <f>IF(E138="","",IFERROR(1/(1/VLOOKUP(E138,T_Produits,3,FALSE)),""))</f>
        <v/>
      </c>
      <c r="O138" s="40">
        <f>IF(OR(D138="",F138=""),"",IF(OR(D138="Casse / avarie",D138="Perte / vol",D138="Échantillon offert"),IF(I138&lt;&gt;"",I138,IF(N138="","",F138*N138)),""))</f>
        <v/>
      </c>
      <c r="P138" s="50">
        <f>IF(OR(D138="",F138=""),"",F138*IF(OR(D138="Reçu du magasin",D138="Ajustement (+)"),1,-1))</f>
        <v/>
      </c>
      <c r="Q138" s="34">
        <f>IF(C138="","",YEAR(C138-WEEKDAY(C138,2)+4)&amp;"-S"&amp;TEXT(INT((C138-DATE(YEAR(C138-WEEKDAY(C138,2)+4),1,3)+WEEKDAY(DATE(YEAR(C138-WEEKDAY(C138,2)+4),1,3),2)+5)/7),"00"))</f>
        <v/>
      </c>
    </row>
    <row r="139" ht="18" customHeight="1">
      <c r="A139" s="39" t="n">
        <v>134</v>
      </c>
      <c r="B139" s="33">
        <f>IF(C139="","",IF(L139="À RENSEIGNER","GIC",L139)&amp;"-S"&amp;TEXT(A139,"00000"))</f>
        <v/>
      </c>
      <c r="C139" s="32" t="n"/>
      <c r="D139" s="36" t="n"/>
      <c r="E139" s="36" t="n"/>
      <c r="F139" s="42" t="n"/>
      <c r="G139" s="36" t="n"/>
      <c r="H139" s="43" t="n"/>
      <c r="I139" s="37" t="n"/>
      <c r="J139" s="44" t="n"/>
      <c r="K139" s="36" t="n"/>
      <c r="L139" s="33">
        <f>IF(C139="","",Commercial_Id)</f>
        <v/>
      </c>
      <c r="M139" s="34">
        <f>IF(E139="","",IFERROR(VLOOKUP(E139,T_Produits,2,FALSE),""))</f>
        <v/>
      </c>
      <c r="N139" s="40">
        <f>IF(E139="","",IFERROR(1/(1/VLOOKUP(E139,T_Produits,3,FALSE)),""))</f>
        <v/>
      </c>
      <c r="O139" s="40">
        <f>IF(OR(D139="",F139=""),"",IF(OR(D139="Casse / avarie",D139="Perte / vol",D139="Échantillon offert"),IF(I139&lt;&gt;"",I139,IF(N139="","",F139*N139)),""))</f>
        <v/>
      </c>
      <c r="P139" s="50">
        <f>IF(OR(D139="",F139=""),"",F139*IF(OR(D139="Reçu du magasin",D139="Ajustement (+)"),1,-1))</f>
        <v/>
      </c>
      <c r="Q139" s="34">
        <f>IF(C139="","",YEAR(C139-WEEKDAY(C139,2)+4)&amp;"-S"&amp;TEXT(INT((C139-DATE(YEAR(C139-WEEKDAY(C139,2)+4),1,3)+WEEKDAY(DATE(YEAR(C139-WEEKDAY(C139,2)+4),1,3),2)+5)/7),"00"))</f>
        <v/>
      </c>
    </row>
    <row r="140" ht="18" customHeight="1">
      <c r="A140" s="39" t="n">
        <v>135</v>
      </c>
      <c r="B140" s="33">
        <f>IF(C140="","",IF(L140="À RENSEIGNER","GIC",L140)&amp;"-S"&amp;TEXT(A140,"00000"))</f>
        <v/>
      </c>
      <c r="C140" s="32" t="n"/>
      <c r="D140" s="36" t="n"/>
      <c r="E140" s="36" t="n"/>
      <c r="F140" s="42" t="n"/>
      <c r="G140" s="36" t="n"/>
      <c r="H140" s="43" t="n"/>
      <c r="I140" s="37" t="n"/>
      <c r="J140" s="44" t="n"/>
      <c r="K140" s="36" t="n"/>
      <c r="L140" s="33">
        <f>IF(C140="","",Commercial_Id)</f>
        <v/>
      </c>
      <c r="M140" s="34">
        <f>IF(E140="","",IFERROR(VLOOKUP(E140,T_Produits,2,FALSE),""))</f>
        <v/>
      </c>
      <c r="N140" s="40">
        <f>IF(E140="","",IFERROR(1/(1/VLOOKUP(E140,T_Produits,3,FALSE)),""))</f>
        <v/>
      </c>
      <c r="O140" s="40">
        <f>IF(OR(D140="",F140=""),"",IF(OR(D140="Casse / avarie",D140="Perte / vol",D140="Échantillon offert"),IF(I140&lt;&gt;"",I140,IF(N140="","",F140*N140)),""))</f>
        <v/>
      </c>
      <c r="P140" s="50">
        <f>IF(OR(D140="",F140=""),"",F140*IF(OR(D140="Reçu du magasin",D140="Ajustement (+)"),1,-1))</f>
        <v/>
      </c>
      <c r="Q140" s="34">
        <f>IF(C140="","",YEAR(C140-WEEKDAY(C140,2)+4)&amp;"-S"&amp;TEXT(INT((C140-DATE(YEAR(C140-WEEKDAY(C140,2)+4),1,3)+WEEKDAY(DATE(YEAR(C140-WEEKDAY(C140,2)+4),1,3),2)+5)/7),"00"))</f>
        <v/>
      </c>
    </row>
    <row r="141" ht="18" customHeight="1">
      <c r="A141" s="39" t="n">
        <v>136</v>
      </c>
      <c r="B141" s="33">
        <f>IF(C141="","",IF(L141="À RENSEIGNER","GIC",L141)&amp;"-S"&amp;TEXT(A141,"00000"))</f>
        <v/>
      </c>
      <c r="C141" s="32" t="n"/>
      <c r="D141" s="36" t="n"/>
      <c r="E141" s="36" t="n"/>
      <c r="F141" s="42" t="n"/>
      <c r="G141" s="36" t="n"/>
      <c r="H141" s="43" t="n"/>
      <c r="I141" s="37" t="n"/>
      <c r="J141" s="44" t="n"/>
      <c r="K141" s="36" t="n"/>
      <c r="L141" s="33">
        <f>IF(C141="","",Commercial_Id)</f>
        <v/>
      </c>
      <c r="M141" s="34">
        <f>IF(E141="","",IFERROR(VLOOKUP(E141,T_Produits,2,FALSE),""))</f>
        <v/>
      </c>
      <c r="N141" s="40">
        <f>IF(E141="","",IFERROR(1/(1/VLOOKUP(E141,T_Produits,3,FALSE)),""))</f>
        <v/>
      </c>
      <c r="O141" s="40">
        <f>IF(OR(D141="",F141=""),"",IF(OR(D141="Casse / avarie",D141="Perte / vol",D141="Échantillon offert"),IF(I141&lt;&gt;"",I141,IF(N141="","",F141*N141)),""))</f>
        <v/>
      </c>
      <c r="P141" s="50">
        <f>IF(OR(D141="",F141=""),"",F141*IF(OR(D141="Reçu du magasin",D141="Ajustement (+)"),1,-1))</f>
        <v/>
      </c>
      <c r="Q141" s="34">
        <f>IF(C141="","",YEAR(C141-WEEKDAY(C141,2)+4)&amp;"-S"&amp;TEXT(INT((C141-DATE(YEAR(C141-WEEKDAY(C141,2)+4),1,3)+WEEKDAY(DATE(YEAR(C141-WEEKDAY(C141,2)+4),1,3),2)+5)/7),"00"))</f>
        <v/>
      </c>
    </row>
    <row r="142" ht="18" customHeight="1">
      <c r="A142" s="39" t="n">
        <v>137</v>
      </c>
      <c r="B142" s="33">
        <f>IF(C142="","",IF(L142="À RENSEIGNER","GIC",L142)&amp;"-S"&amp;TEXT(A142,"00000"))</f>
        <v/>
      </c>
      <c r="C142" s="32" t="n"/>
      <c r="D142" s="36" t="n"/>
      <c r="E142" s="36" t="n"/>
      <c r="F142" s="42" t="n"/>
      <c r="G142" s="36" t="n"/>
      <c r="H142" s="43" t="n"/>
      <c r="I142" s="37" t="n"/>
      <c r="J142" s="44" t="n"/>
      <c r="K142" s="36" t="n"/>
      <c r="L142" s="33">
        <f>IF(C142="","",Commercial_Id)</f>
        <v/>
      </c>
      <c r="M142" s="34">
        <f>IF(E142="","",IFERROR(VLOOKUP(E142,T_Produits,2,FALSE),""))</f>
        <v/>
      </c>
      <c r="N142" s="40">
        <f>IF(E142="","",IFERROR(1/(1/VLOOKUP(E142,T_Produits,3,FALSE)),""))</f>
        <v/>
      </c>
      <c r="O142" s="40">
        <f>IF(OR(D142="",F142=""),"",IF(OR(D142="Casse / avarie",D142="Perte / vol",D142="Échantillon offert"),IF(I142&lt;&gt;"",I142,IF(N142="","",F142*N142)),""))</f>
        <v/>
      </c>
      <c r="P142" s="50">
        <f>IF(OR(D142="",F142=""),"",F142*IF(OR(D142="Reçu du magasin",D142="Ajustement (+)"),1,-1))</f>
        <v/>
      </c>
      <c r="Q142" s="34">
        <f>IF(C142="","",YEAR(C142-WEEKDAY(C142,2)+4)&amp;"-S"&amp;TEXT(INT((C142-DATE(YEAR(C142-WEEKDAY(C142,2)+4),1,3)+WEEKDAY(DATE(YEAR(C142-WEEKDAY(C142,2)+4),1,3),2)+5)/7),"00"))</f>
        <v/>
      </c>
    </row>
    <row r="143" ht="18" customHeight="1">
      <c r="A143" s="39" t="n">
        <v>138</v>
      </c>
      <c r="B143" s="33">
        <f>IF(C143="","",IF(L143="À RENSEIGNER","GIC",L143)&amp;"-S"&amp;TEXT(A143,"00000"))</f>
        <v/>
      </c>
      <c r="C143" s="32" t="n"/>
      <c r="D143" s="36" t="n"/>
      <c r="E143" s="36" t="n"/>
      <c r="F143" s="42" t="n"/>
      <c r="G143" s="36" t="n"/>
      <c r="H143" s="43" t="n"/>
      <c r="I143" s="37" t="n"/>
      <c r="J143" s="44" t="n"/>
      <c r="K143" s="36" t="n"/>
      <c r="L143" s="33">
        <f>IF(C143="","",Commercial_Id)</f>
        <v/>
      </c>
      <c r="M143" s="34">
        <f>IF(E143="","",IFERROR(VLOOKUP(E143,T_Produits,2,FALSE),""))</f>
        <v/>
      </c>
      <c r="N143" s="40">
        <f>IF(E143="","",IFERROR(1/(1/VLOOKUP(E143,T_Produits,3,FALSE)),""))</f>
        <v/>
      </c>
      <c r="O143" s="40">
        <f>IF(OR(D143="",F143=""),"",IF(OR(D143="Casse / avarie",D143="Perte / vol",D143="Échantillon offert"),IF(I143&lt;&gt;"",I143,IF(N143="","",F143*N143)),""))</f>
        <v/>
      </c>
      <c r="P143" s="50">
        <f>IF(OR(D143="",F143=""),"",F143*IF(OR(D143="Reçu du magasin",D143="Ajustement (+)"),1,-1))</f>
        <v/>
      </c>
      <c r="Q143" s="34">
        <f>IF(C143="","",YEAR(C143-WEEKDAY(C143,2)+4)&amp;"-S"&amp;TEXT(INT((C143-DATE(YEAR(C143-WEEKDAY(C143,2)+4),1,3)+WEEKDAY(DATE(YEAR(C143-WEEKDAY(C143,2)+4),1,3),2)+5)/7),"00"))</f>
        <v/>
      </c>
    </row>
    <row r="144" ht="18" customHeight="1">
      <c r="A144" s="39" t="n">
        <v>139</v>
      </c>
      <c r="B144" s="33">
        <f>IF(C144="","",IF(L144="À RENSEIGNER","GIC",L144)&amp;"-S"&amp;TEXT(A144,"00000"))</f>
        <v/>
      </c>
      <c r="C144" s="32" t="n"/>
      <c r="D144" s="36" t="n"/>
      <c r="E144" s="36" t="n"/>
      <c r="F144" s="42" t="n"/>
      <c r="G144" s="36" t="n"/>
      <c r="H144" s="43" t="n"/>
      <c r="I144" s="37" t="n"/>
      <c r="J144" s="44" t="n"/>
      <c r="K144" s="36" t="n"/>
      <c r="L144" s="33">
        <f>IF(C144="","",Commercial_Id)</f>
        <v/>
      </c>
      <c r="M144" s="34">
        <f>IF(E144="","",IFERROR(VLOOKUP(E144,T_Produits,2,FALSE),""))</f>
        <v/>
      </c>
      <c r="N144" s="40">
        <f>IF(E144="","",IFERROR(1/(1/VLOOKUP(E144,T_Produits,3,FALSE)),""))</f>
        <v/>
      </c>
      <c r="O144" s="40">
        <f>IF(OR(D144="",F144=""),"",IF(OR(D144="Casse / avarie",D144="Perte / vol",D144="Échantillon offert"),IF(I144&lt;&gt;"",I144,IF(N144="","",F144*N144)),""))</f>
        <v/>
      </c>
      <c r="P144" s="50">
        <f>IF(OR(D144="",F144=""),"",F144*IF(OR(D144="Reçu du magasin",D144="Ajustement (+)"),1,-1))</f>
        <v/>
      </c>
      <c r="Q144" s="34">
        <f>IF(C144="","",YEAR(C144-WEEKDAY(C144,2)+4)&amp;"-S"&amp;TEXT(INT((C144-DATE(YEAR(C144-WEEKDAY(C144,2)+4),1,3)+WEEKDAY(DATE(YEAR(C144-WEEKDAY(C144,2)+4),1,3),2)+5)/7),"00"))</f>
        <v/>
      </c>
    </row>
    <row r="145" ht="18" customHeight="1">
      <c r="A145" s="39" t="n">
        <v>140</v>
      </c>
      <c r="B145" s="33">
        <f>IF(C145="","",IF(L145="À RENSEIGNER","GIC",L145)&amp;"-S"&amp;TEXT(A145,"00000"))</f>
        <v/>
      </c>
      <c r="C145" s="32" t="n"/>
      <c r="D145" s="36" t="n"/>
      <c r="E145" s="36" t="n"/>
      <c r="F145" s="42" t="n"/>
      <c r="G145" s="36" t="n"/>
      <c r="H145" s="43" t="n"/>
      <c r="I145" s="37" t="n"/>
      <c r="J145" s="44" t="n"/>
      <c r="K145" s="36" t="n"/>
      <c r="L145" s="33">
        <f>IF(C145="","",Commercial_Id)</f>
        <v/>
      </c>
      <c r="M145" s="34">
        <f>IF(E145="","",IFERROR(VLOOKUP(E145,T_Produits,2,FALSE),""))</f>
        <v/>
      </c>
      <c r="N145" s="40">
        <f>IF(E145="","",IFERROR(1/(1/VLOOKUP(E145,T_Produits,3,FALSE)),""))</f>
        <v/>
      </c>
      <c r="O145" s="40">
        <f>IF(OR(D145="",F145=""),"",IF(OR(D145="Casse / avarie",D145="Perte / vol",D145="Échantillon offert"),IF(I145&lt;&gt;"",I145,IF(N145="","",F145*N145)),""))</f>
        <v/>
      </c>
      <c r="P145" s="50">
        <f>IF(OR(D145="",F145=""),"",F145*IF(OR(D145="Reçu du magasin",D145="Ajustement (+)"),1,-1))</f>
        <v/>
      </c>
      <c r="Q145" s="34">
        <f>IF(C145="","",YEAR(C145-WEEKDAY(C145,2)+4)&amp;"-S"&amp;TEXT(INT((C145-DATE(YEAR(C145-WEEKDAY(C145,2)+4),1,3)+WEEKDAY(DATE(YEAR(C145-WEEKDAY(C145,2)+4),1,3),2)+5)/7),"00"))</f>
        <v/>
      </c>
    </row>
    <row r="146" ht="18" customHeight="1">
      <c r="A146" s="39" t="n">
        <v>141</v>
      </c>
      <c r="B146" s="33">
        <f>IF(C146="","",IF(L146="À RENSEIGNER","GIC",L146)&amp;"-S"&amp;TEXT(A146,"00000"))</f>
        <v/>
      </c>
      <c r="C146" s="32" t="n"/>
      <c r="D146" s="36" t="n"/>
      <c r="E146" s="36" t="n"/>
      <c r="F146" s="42" t="n"/>
      <c r="G146" s="36" t="n"/>
      <c r="H146" s="43" t="n"/>
      <c r="I146" s="37" t="n"/>
      <c r="J146" s="44" t="n"/>
      <c r="K146" s="36" t="n"/>
      <c r="L146" s="33">
        <f>IF(C146="","",Commercial_Id)</f>
        <v/>
      </c>
      <c r="M146" s="34">
        <f>IF(E146="","",IFERROR(VLOOKUP(E146,T_Produits,2,FALSE),""))</f>
        <v/>
      </c>
      <c r="N146" s="40">
        <f>IF(E146="","",IFERROR(1/(1/VLOOKUP(E146,T_Produits,3,FALSE)),""))</f>
        <v/>
      </c>
      <c r="O146" s="40">
        <f>IF(OR(D146="",F146=""),"",IF(OR(D146="Casse / avarie",D146="Perte / vol",D146="Échantillon offert"),IF(I146&lt;&gt;"",I146,IF(N146="","",F146*N146)),""))</f>
        <v/>
      </c>
      <c r="P146" s="50">
        <f>IF(OR(D146="",F146=""),"",F146*IF(OR(D146="Reçu du magasin",D146="Ajustement (+)"),1,-1))</f>
        <v/>
      </c>
      <c r="Q146" s="34">
        <f>IF(C146="","",YEAR(C146-WEEKDAY(C146,2)+4)&amp;"-S"&amp;TEXT(INT((C146-DATE(YEAR(C146-WEEKDAY(C146,2)+4),1,3)+WEEKDAY(DATE(YEAR(C146-WEEKDAY(C146,2)+4),1,3),2)+5)/7),"00"))</f>
        <v/>
      </c>
    </row>
    <row r="147" ht="18" customHeight="1">
      <c r="A147" s="39" t="n">
        <v>142</v>
      </c>
      <c r="B147" s="33">
        <f>IF(C147="","",IF(L147="À RENSEIGNER","GIC",L147)&amp;"-S"&amp;TEXT(A147,"00000"))</f>
        <v/>
      </c>
      <c r="C147" s="32" t="n"/>
      <c r="D147" s="36" t="n"/>
      <c r="E147" s="36" t="n"/>
      <c r="F147" s="42" t="n"/>
      <c r="G147" s="36" t="n"/>
      <c r="H147" s="43" t="n"/>
      <c r="I147" s="37" t="n"/>
      <c r="J147" s="44" t="n"/>
      <c r="K147" s="36" t="n"/>
      <c r="L147" s="33">
        <f>IF(C147="","",Commercial_Id)</f>
        <v/>
      </c>
      <c r="M147" s="34">
        <f>IF(E147="","",IFERROR(VLOOKUP(E147,T_Produits,2,FALSE),""))</f>
        <v/>
      </c>
      <c r="N147" s="40">
        <f>IF(E147="","",IFERROR(1/(1/VLOOKUP(E147,T_Produits,3,FALSE)),""))</f>
        <v/>
      </c>
      <c r="O147" s="40">
        <f>IF(OR(D147="",F147=""),"",IF(OR(D147="Casse / avarie",D147="Perte / vol",D147="Échantillon offert"),IF(I147&lt;&gt;"",I147,IF(N147="","",F147*N147)),""))</f>
        <v/>
      </c>
      <c r="P147" s="50">
        <f>IF(OR(D147="",F147=""),"",F147*IF(OR(D147="Reçu du magasin",D147="Ajustement (+)"),1,-1))</f>
        <v/>
      </c>
      <c r="Q147" s="34">
        <f>IF(C147="","",YEAR(C147-WEEKDAY(C147,2)+4)&amp;"-S"&amp;TEXT(INT((C147-DATE(YEAR(C147-WEEKDAY(C147,2)+4),1,3)+WEEKDAY(DATE(YEAR(C147-WEEKDAY(C147,2)+4),1,3),2)+5)/7),"00"))</f>
        <v/>
      </c>
    </row>
    <row r="148" ht="18" customHeight="1">
      <c r="A148" s="39" t="n">
        <v>143</v>
      </c>
      <c r="B148" s="33">
        <f>IF(C148="","",IF(L148="À RENSEIGNER","GIC",L148)&amp;"-S"&amp;TEXT(A148,"00000"))</f>
        <v/>
      </c>
      <c r="C148" s="32" t="n"/>
      <c r="D148" s="36" t="n"/>
      <c r="E148" s="36" t="n"/>
      <c r="F148" s="42" t="n"/>
      <c r="G148" s="36" t="n"/>
      <c r="H148" s="43" t="n"/>
      <c r="I148" s="37" t="n"/>
      <c r="J148" s="44" t="n"/>
      <c r="K148" s="36" t="n"/>
      <c r="L148" s="33">
        <f>IF(C148="","",Commercial_Id)</f>
        <v/>
      </c>
      <c r="M148" s="34">
        <f>IF(E148="","",IFERROR(VLOOKUP(E148,T_Produits,2,FALSE),""))</f>
        <v/>
      </c>
      <c r="N148" s="40">
        <f>IF(E148="","",IFERROR(1/(1/VLOOKUP(E148,T_Produits,3,FALSE)),""))</f>
        <v/>
      </c>
      <c r="O148" s="40">
        <f>IF(OR(D148="",F148=""),"",IF(OR(D148="Casse / avarie",D148="Perte / vol",D148="Échantillon offert"),IF(I148&lt;&gt;"",I148,IF(N148="","",F148*N148)),""))</f>
        <v/>
      </c>
      <c r="P148" s="50">
        <f>IF(OR(D148="",F148=""),"",F148*IF(OR(D148="Reçu du magasin",D148="Ajustement (+)"),1,-1))</f>
        <v/>
      </c>
      <c r="Q148" s="34">
        <f>IF(C148="","",YEAR(C148-WEEKDAY(C148,2)+4)&amp;"-S"&amp;TEXT(INT((C148-DATE(YEAR(C148-WEEKDAY(C148,2)+4),1,3)+WEEKDAY(DATE(YEAR(C148-WEEKDAY(C148,2)+4),1,3),2)+5)/7),"00"))</f>
        <v/>
      </c>
    </row>
    <row r="149" ht="18" customHeight="1">
      <c r="A149" s="39" t="n">
        <v>144</v>
      </c>
      <c r="B149" s="33">
        <f>IF(C149="","",IF(L149="À RENSEIGNER","GIC",L149)&amp;"-S"&amp;TEXT(A149,"00000"))</f>
        <v/>
      </c>
      <c r="C149" s="32" t="n"/>
      <c r="D149" s="36" t="n"/>
      <c r="E149" s="36" t="n"/>
      <c r="F149" s="42" t="n"/>
      <c r="G149" s="36" t="n"/>
      <c r="H149" s="43" t="n"/>
      <c r="I149" s="37" t="n"/>
      <c r="J149" s="44" t="n"/>
      <c r="K149" s="36" t="n"/>
      <c r="L149" s="33">
        <f>IF(C149="","",Commercial_Id)</f>
        <v/>
      </c>
      <c r="M149" s="34">
        <f>IF(E149="","",IFERROR(VLOOKUP(E149,T_Produits,2,FALSE),""))</f>
        <v/>
      </c>
      <c r="N149" s="40">
        <f>IF(E149="","",IFERROR(1/(1/VLOOKUP(E149,T_Produits,3,FALSE)),""))</f>
        <v/>
      </c>
      <c r="O149" s="40">
        <f>IF(OR(D149="",F149=""),"",IF(OR(D149="Casse / avarie",D149="Perte / vol",D149="Échantillon offert"),IF(I149&lt;&gt;"",I149,IF(N149="","",F149*N149)),""))</f>
        <v/>
      </c>
      <c r="P149" s="50">
        <f>IF(OR(D149="",F149=""),"",F149*IF(OR(D149="Reçu du magasin",D149="Ajustement (+)"),1,-1))</f>
        <v/>
      </c>
      <c r="Q149" s="34">
        <f>IF(C149="","",YEAR(C149-WEEKDAY(C149,2)+4)&amp;"-S"&amp;TEXT(INT((C149-DATE(YEAR(C149-WEEKDAY(C149,2)+4),1,3)+WEEKDAY(DATE(YEAR(C149-WEEKDAY(C149,2)+4),1,3),2)+5)/7),"00"))</f>
        <v/>
      </c>
    </row>
    <row r="150" ht="18" customHeight="1">
      <c r="A150" s="39" t="n">
        <v>145</v>
      </c>
      <c r="B150" s="33">
        <f>IF(C150="","",IF(L150="À RENSEIGNER","GIC",L150)&amp;"-S"&amp;TEXT(A150,"00000"))</f>
        <v/>
      </c>
      <c r="C150" s="32" t="n"/>
      <c r="D150" s="36" t="n"/>
      <c r="E150" s="36" t="n"/>
      <c r="F150" s="42" t="n"/>
      <c r="G150" s="36" t="n"/>
      <c r="H150" s="43" t="n"/>
      <c r="I150" s="37" t="n"/>
      <c r="J150" s="44" t="n"/>
      <c r="K150" s="36" t="n"/>
      <c r="L150" s="33">
        <f>IF(C150="","",Commercial_Id)</f>
        <v/>
      </c>
      <c r="M150" s="34">
        <f>IF(E150="","",IFERROR(VLOOKUP(E150,T_Produits,2,FALSE),""))</f>
        <v/>
      </c>
      <c r="N150" s="40">
        <f>IF(E150="","",IFERROR(1/(1/VLOOKUP(E150,T_Produits,3,FALSE)),""))</f>
        <v/>
      </c>
      <c r="O150" s="40">
        <f>IF(OR(D150="",F150=""),"",IF(OR(D150="Casse / avarie",D150="Perte / vol",D150="Échantillon offert"),IF(I150&lt;&gt;"",I150,IF(N150="","",F150*N150)),""))</f>
        <v/>
      </c>
      <c r="P150" s="50">
        <f>IF(OR(D150="",F150=""),"",F150*IF(OR(D150="Reçu du magasin",D150="Ajustement (+)"),1,-1))</f>
        <v/>
      </c>
      <c r="Q150" s="34">
        <f>IF(C150="","",YEAR(C150-WEEKDAY(C150,2)+4)&amp;"-S"&amp;TEXT(INT((C150-DATE(YEAR(C150-WEEKDAY(C150,2)+4),1,3)+WEEKDAY(DATE(YEAR(C150-WEEKDAY(C150,2)+4),1,3),2)+5)/7),"00"))</f>
        <v/>
      </c>
    </row>
    <row r="151" ht="18" customHeight="1">
      <c r="A151" s="39" t="n">
        <v>146</v>
      </c>
      <c r="B151" s="33">
        <f>IF(C151="","",IF(L151="À RENSEIGNER","GIC",L151)&amp;"-S"&amp;TEXT(A151,"00000"))</f>
        <v/>
      </c>
      <c r="C151" s="32" t="n"/>
      <c r="D151" s="36" t="n"/>
      <c r="E151" s="36" t="n"/>
      <c r="F151" s="42" t="n"/>
      <c r="G151" s="36" t="n"/>
      <c r="H151" s="43" t="n"/>
      <c r="I151" s="37" t="n"/>
      <c r="J151" s="44" t="n"/>
      <c r="K151" s="36" t="n"/>
      <c r="L151" s="33">
        <f>IF(C151="","",Commercial_Id)</f>
        <v/>
      </c>
      <c r="M151" s="34">
        <f>IF(E151="","",IFERROR(VLOOKUP(E151,T_Produits,2,FALSE),""))</f>
        <v/>
      </c>
      <c r="N151" s="40">
        <f>IF(E151="","",IFERROR(1/(1/VLOOKUP(E151,T_Produits,3,FALSE)),""))</f>
        <v/>
      </c>
      <c r="O151" s="40">
        <f>IF(OR(D151="",F151=""),"",IF(OR(D151="Casse / avarie",D151="Perte / vol",D151="Échantillon offert"),IF(I151&lt;&gt;"",I151,IF(N151="","",F151*N151)),""))</f>
        <v/>
      </c>
      <c r="P151" s="50">
        <f>IF(OR(D151="",F151=""),"",F151*IF(OR(D151="Reçu du magasin",D151="Ajustement (+)"),1,-1))</f>
        <v/>
      </c>
      <c r="Q151" s="34">
        <f>IF(C151="","",YEAR(C151-WEEKDAY(C151,2)+4)&amp;"-S"&amp;TEXT(INT((C151-DATE(YEAR(C151-WEEKDAY(C151,2)+4),1,3)+WEEKDAY(DATE(YEAR(C151-WEEKDAY(C151,2)+4),1,3),2)+5)/7),"00"))</f>
        <v/>
      </c>
    </row>
    <row r="152" ht="18" customHeight="1">
      <c r="A152" s="39" t="n">
        <v>147</v>
      </c>
      <c r="B152" s="33">
        <f>IF(C152="","",IF(L152="À RENSEIGNER","GIC",L152)&amp;"-S"&amp;TEXT(A152,"00000"))</f>
        <v/>
      </c>
      <c r="C152" s="32" t="n"/>
      <c r="D152" s="36" t="n"/>
      <c r="E152" s="36" t="n"/>
      <c r="F152" s="42" t="n"/>
      <c r="G152" s="36" t="n"/>
      <c r="H152" s="43" t="n"/>
      <c r="I152" s="37" t="n"/>
      <c r="J152" s="44" t="n"/>
      <c r="K152" s="36" t="n"/>
      <c r="L152" s="33">
        <f>IF(C152="","",Commercial_Id)</f>
        <v/>
      </c>
      <c r="M152" s="34">
        <f>IF(E152="","",IFERROR(VLOOKUP(E152,T_Produits,2,FALSE),""))</f>
        <v/>
      </c>
      <c r="N152" s="40">
        <f>IF(E152="","",IFERROR(1/(1/VLOOKUP(E152,T_Produits,3,FALSE)),""))</f>
        <v/>
      </c>
      <c r="O152" s="40">
        <f>IF(OR(D152="",F152=""),"",IF(OR(D152="Casse / avarie",D152="Perte / vol",D152="Échantillon offert"),IF(I152&lt;&gt;"",I152,IF(N152="","",F152*N152)),""))</f>
        <v/>
      </c>
      <c r="P152" s="50">
        <f>IF(OR(D152="",F152=""),"",F152*IF(OR(D152="Reçu du magasin",D152="Ajustement (+)"),1,-1))</f>
        <v/>
      </c>
      <c r="Q152" s="34">
        <f>IF(C152="","",YEAR(C152-WEEKDAY(C152,2)+4)&amp;"-S"&amp;TEXT(INT((C152-DATE(YEAR(C152-WEEKDAY(C152,2)+4),1,3)+WEEKDAY(DATE(YEAR(C152-WEEKDAY(C152,2)+4),1,3),2)+5)/7),"00"))</f>
        <v/>
      </c>
    </row>
    <row r="153" ht="18" customHeight="1">
      <c r="A153" s="39" t="n">
        <v>148</v>
      </c>
      <c r="B153" s="33">
        <f>IF(C153="","",IF(L153="À RENSEIGNER","GIC",L153)&amp;"-S"&amp;TEXT(A153,"00000"))</f>
        <v/>
      </c>
      <c r="C153" s="32" t="n"/>
      <c r="D153" s="36" t="n"/>
      <c r="E153" s="36" t="n"/>
      <c r="F153" s="42" t="n"/>
      <c r="G153" s="36" t="n"/>
      <c r="H153" s="43" t="n"/>
      <c r="I153" s="37" t="n"/>
      <c r="J153" s="44" t="n"/>
      <c r="K153" s="36" t="n"/>
      <c r="L153" s="33">
        <f>IF(C153="","",Commercial_Id)</f>
        <v/>
      </c>
      <c r="M153" s="34">
        <f>IF(E153="","",IFERROR(VLOOKUP(E153,T_Produits,2,FALSE),""))</f>
        <v/>
      </c>
      <c r="N153" s="40">
        <f>IF(E153="","",IFERROR(1/(1/VLOOKUP(E153,T_Produits,3,FALSE)),""))</f>
        <v/>
      </c>
      <c r="O153" s="40">
        <f>IF(OR(D153="",F153=""),"",IF(OR(D153="Casse / avarie",D153="Perte / vol",D153="Échantillon offert"),IF(I153&lt;&gt;"",I153,IF(N153="","",F153*N153)),""))</f>
        <v/>
      </c>
      <c r="P153" s="50">
        <f>IF(OR(D153="",F153=""),"",F153*IF(OR(D153="Reçu du magasin",D153="Ajustement (+)"),1,-1))</f>
        <v/>
      </c>
      <c r="Q153" s="34">
        <f>IF(C153="","",YEAR(C153-WEEKDAY(C153,2)+4)&amp;"-S"&amp;TEXT(INT((C153-DATE(YEAR(C153-WEEKDAY(C153,2)+4),1,3)+WEEKDAY(DATE(YEAR(C153-WEEKDAY(C153,2)+4),1,3),2)+5)/7),"00"))</f>
        <v/>
      </c>
    </row>
    <row r="154" ht="18" customHeight="1">
      <c r="A154" s="39" t="n">
        <v>149</v>
      </c>
      <c r="B154" s="33">
        <f>IF(C154="","",IF(L154="À RENSEIGNER","GIC",L154)&amp;"-S"&amp;TEXT(A154,"00000"))</f>
        <v/>
      </c>
      <c r="C154" s="32" t="n"/>
      <c r="D154" s="36" t="n"/>
      <c r="E154" s="36" t="n"/>
      <c r="F154" s="42" t="n"/>
      <c r="G154" s="36" t="n"/>
      <c r="H154" s="43" t="n"/>
      <c r="I154" s="37" t="n"/>
      <c r="J154" s="44" t="n"/>
      <c r="K154" s="36" t="n"/>
      <c r="L154" s="33">
        <f>IF(C154="","",Commercial_Id)</f>
        <v/>
      </c>
      <c r="M154" s="34">
        <f>IF(E154="","",IFERROR(VLOOKUP(E154,T_Produits,2,FALSE),""))</f>
        <v/>
      </c>
      <c r="N154" s="40">
        <f>IF(E154="","",IFERROR(1/(1/VLOOKUP(E154,T_Produits,3,FALSE)),""))</f>
        <v/>
      </c>
      <c r="O154" s="40">
        <f>IF(OR(D154="",F154=""),"",IF(OR(D154="Casse / avarie",D154="Perte / vol",D154="Échantillon offert"),IF(I154&lt;&gt;"",I154,IF(N154="","",F154*N154)),""))</f>
        <v/>
      </c>
      <c r="P154" s="50">
        <f>IF(OR(D154="",F154=""),"",F154*IF(OR(D154="Reçu du magasin",D154="Ajustement (+)"),1,-1))</f>
        <v/>
      </c>
      <c r="Q154" s="34">
        <f>IF(C154="","",YEAR(C154-WEEKDAY(C154,2)+4)&amp;"-S"&amp;TEXT(INT((C154-DATE(YEAR(C154-WEEKDAY(C154,2)+4),1,3)+WEEKDAY(DATE(YEAR(C154-WEEKDAY(C154,2)+4),1,3),2)+5)/7),"00"))</f>
        <v/>
      </c>
    </row>
    <row r="155" ht="18" customHeight="1">
      <c r="A155" s="39" t="n">
        <v>150</v>
      </c>
      <c r="B155" s="33">
        <f>IF(C155="","",IF(L155="À RENSEIGNER","GIC",L155)&amp;"-S"&amp;TEXT(A155,"00000"))</f>
        <v/>
      </c>
      <c r="C155" s="32" t="n"/>
      <c r="D155" s="36" t="n"/>
      <c r="E155" s="36" t="n"/>
      <c r="F155" s="42" t="n"/>
      <c r="G155" s="36" t="n"/>
      <c r="H155" s="43" t="n"/>
      <c r="I155" s="37" t="n"/>
      <c r="J155" s="44" t="n"/>
      <c r="K155" s="36" t="n"/>
      <c r="L155" s="33">
        <f>IF(C155="","",Commercial_Id)</f>
        <v/>
      </c>
      <c r="M155" s="34">
        <f>IF(E155="","",IFERROR(VLOOKUP(E155,T_Produits,2,FALSE),""))</f>
        <v/>
      </c>
      <c r="N155" s="40">
        <f>IF(E155="","",IFERROR(1/(1/VLOOKUP(E155,T_Produits,3,FALSE)),""))</f>
        <v/>
      </c>
      <c r="O155" s="40">
        <f>IF(OR(D155="",F155=""),"",IF(OR(D155="Casse / avarie",D155="Perte / vol",D155="Échantillon offert"),IF(I155&lt;&gt;"",I155,IF(N155="","",F155*N155)),""))</f>
        <v/>
      </c>
      <c r="P155" s="50">
        <f>IF(OR(D155="",F155=""),"",F155*IF(OR(D155="Reçu du magasin",D155="Ajustement (+)"),1,-1))</f>
        <v/>
      </c>
      <c r="Q155" s="34">
        <f>IF(C155="","",YEAR(C155-WEEKDAY(C155,2)+4)&amp;"-S"&amp;TEXT(INT((C155-DATE(YEAR(C155-WEEKDAY(C155,2)+4),1,3)+WEEKDAY(DATE(YEAR(C155-WEEKDAY(C155,2)+4),1,3),2)+5)/7),"00"))</f>
        <v/>
      </c>
    </row>
    <row r="156" ht="18" customHeight="1">
      <c r="A156" s="39" t="n">
        <v>151</v>
      </c>
      <c r="B156" s="33">
        <f>IF(C156="","",IF(L156="À RENSEIGNER","GIC",L156)&amp;"-S"&amp;TEXT(A156,"00000"))</f>
        <v/>
      </c>
      <c r="C156" s="32" t="n"/>
      <c r="D156" s="36" t="n"/>
      <c r="E156" s="36" t="n"/>
      <c r="F156" s="42" t="n"/>
      <c r="G156" s="36" t="n"/>
      <c r="H156" s="43" t="n"/>
      <c r="I156" s="37" t="n"/>
      <c r="J156" s="44" t="n"/>
      <c r="K156" s="36" t="n"/>
      <c r="L156" s="33">
        <f>IF(C156="","",Commercial_Id)</f>
        <v/>
      </c>
      <c r="M156" s="34">
        <f>IF(E156="","",IFERROR(VLOOKUP(E156,T_Produits,2,FALSE),""))</f>
        <v/>
      </c>
      <c r="N156" s="40">
        <f>IF(E156="","",IFERROR(1/(1/VLOOKUP(E156,T_Produits,3,FALSE)),""))</f>
        <v/>
      </c>
      <c r="O156" s="40">
        <f>IF(OR(D156="",F156=""),"",IF(OR(D156="Casse / avarie",D156="Perte / vol",D156="Échantillon offert"),IF(I156&lt;&gt;"",I156,IF(N156="","",F156*N156)),""))</f>
        <v/>
      </c>
      <c r="P156" s="50">
        <f>IF(OR(D156="",F156=""),"",F156*IF(OR(D156="Reçu du magasin",D156="Ajustement (+)"),1,-1))</f>
        <v/>
      </c>
      <c r="Q156" s="34">
        <f>IF(C156="","",YEAR(C156-WEEKDAY(C156,2)+4)&amp;"-S"&amp;TEXT(INT((C156-DATE(YEAR(C156-WEEKDAY(C156,2)+4),1,3)+WEEKDAY(DATE(YEAR(C156-WEEKDAY(C156,2)+4),1,3),2)+5)/7),"00"))</f>
        <v/>
      </c>
    </row>
    <row r="157" ht="18" customHeight="1">
      <c r="A157" s="39" t="n">
        <v>152</v>
      </c>
      <c r="B157" s="33">
        <f>IF(C157="","",IF(L157="À RENSEIGNER","GIC",L157)&amp;"-S"&amp;TEXT(A157,"00000"))</f>
        <v/>
      </c>
      <c r="C157" s="32" t="n"/>
      <c r="D157" s="36" t="n"/>
      <c r="E157" s="36" t="n"/>
      <c r="F157" s="42" t="n"/>
      <c r="G157" s="36" t="n"/>
      <c r="H157" s="43" t="n"/>
      <c r="I157" s="37" t="n"/>
      <c r="J157" s="44" t="n"/>
      <c r="K157" s="36" t="n"/>
      <c r="L157" s="33">
        <f>IF(C157="","",Commercial_Id)</f>
        <v/>
      </c>
      <c r="M157" s="34">
        <f>IF(E157="","",IFERROR(VLOOKUP(E157,T_Produits,2,FALSE),""))</f>
        <v/>
      </c>
      <c r="N157" s="40">
        <f>IF(E157="","",IFERROR(1/(1/VLOOKUP(E157,T_Produits,3,FALSE)),""))</f>
        <v/>
      </c>
      <c r="O157" s="40">
        <f>IF(OR(D157="",F157=""),"",IF(OR(D157="Casse / avarie",D157="Perte / vol",D157="Échantillon offert"),IF(I157&lt;&gt;"",I157,IF(N157="","",F157*N157)),""))</f>
        <v/>
      </c>
      <c r="P157" s="50">
        <f>IF(OR(D157="",F157=""),"",F157*IF(OR(D157="Reçu du magasin",D157="Ajustement (+)"),1,-1))</f>
        <v/>
      </c>
      <c r="Q157" s="34">
        <f>IF(C157="","",YEAR(C157-WEEKDAY(C157,2)+4)&amp;"-S"&amp;TEXT(INT((C157-DATE(YEAR(C157-WEEKDAY(C157,2)+4),1,3)+WEEKDAY(DATE(YEAR(C157-WEEKDAY(C157,2)+4),1,3),2)+5)/7),"00"))</f>
        <v/>
      </c>
    </row>
    <row r="158" ht="18" customHeight="1">
      <c r="A158" s="39" t="n">
        <v>153</v>
      </c>
      <c r="B158" s="33">
        <f>IF(C158="","",IF(L158="À RENSEIGNER","GIC",L158)&amp;"-S"&amp;TEXT(A158,"00000"))</f>
        <v/>
      </c>
      <c r="C158" s="32" t="n"/>
      <c r="D158" s="36" t="n"/>
      <c r="E158" s="36" t="n"/>
      <c r="F158" s="42" t="n"/>
      <c r="G158" s="36" t="n"/>
      <c r="H158" s="43" t="n"/>
      <c r="I158" s="37" t="n"/>
      <c r="J158" s="44" t="n"/>
      <c r="K158" s="36" t="n"/>
      <c r="L158" s="33">
        <f>IF(C158="","",Commercial_Id)</f>
        <v/>
      </c>
      <c r="M158" s="34">
        <f>IF(E158="","",IFERROR(VLOOKUP(E158,T_Produits,2,FALSE),""))</f>
        <v/>
      </c>
      <c r="N158" s="40">
        <f>IF(E158="","",IFERROR(1/(1/VLOOKUP(E158,T_Produits,3,FALSE)),""))</f>
        <v/>
      </c>
      <c r="O158" s="40">
        <f>IF(OR(D158="",F158=""),"",IF(OR(D158="Casse / avarie",D158="Perte / vol",D158="Échantillon offert"),IF(I158&lt;&gt;"",I158,IF(N158="","",F158*N158)),""))</f>
        <v/>
      </c>
      <c r="P158" s="50">
        <f>IF(OR(D158="",F158=""),"",F158*IF(OR(D158="Reçu du magasin",D158="Ajustement (+)"),1,-1))</f>
        <v/>
      </c>
      <c r="Q158" s="34">
        <f>IF(C158="","",YEAR(C158-WEEKDAY(C158,2)+4)&amp;"-S"&amp;TEXT(INT((C158-DATE(YEAR(C158-WEEKDAY(C158,2)+4),1,3)+WEEKDAY(DATE(YEAR(C158-WEEKDAY(C158,2)+4),1,3),2)+5)/7),"00"))</f>
        <v/>
      </c>
    </row>
    <row r="159" ht="18" customHeight="1">
      <c r="A159" s="39" t="n">
        <v>154</v>
      </c>
      <c r="B159" s="33">
        <f>IF(C159="","",IF(L159="À RENSEIGNER","GIC",L159)&amp;"-S"&amp;TEXT(A159,"00000"))</f>
        <v/>
      </c>
      <c r="C159" s="32" t="n"/>
      <c r="D159" s="36" t="n"/>
      <c r="E159" s="36" t="n"/>
      <c r="F159" s="42" t="n"/>
      <c r="G159" s="36" t="n"/>
      <c r="H159" s="43" t="n"/>
      <c r="I159" s="37" t="n"/>
      <c r="J159" s="44" t="n"/>
      <c r="K159" s="36" t="n"/>
      <c r="L159" s="33">
        <f>IF(C159="","",Commercial_Id)</f>
        <v/>
      </c>
      <c r="M159" s="34">
        <f>IF(E159="","",IFERROR(VLOOKUP(E159,T_Produits,2,FALSE),""))</f>
        <v/>
      </c>
      <c r="N159" s="40">
        <f>IF(E159="","",IFERROR(1/(1/VLOOKUP(E159,T_Produits,3,FALSE)),""))</f>
        <v/>
      </c>
      <c r="O159" s="40">
        <f>IF(OR(D159="",F159=""),"",IF(OR(D159="Casse / avarie",D159="Perte / vol",D159="Échantillon offert"),IF(I159&lt;&gt;"",I159,IF(N159="","",F159*N159)),""))</f>
        <v/>
      </c>
      <c r="P159" s="50">
        <f>IF(OR(D159="",F159=""),"",F159*IF(OR(D159="Reçu du magasin",D159="Ajustement (+)"),1,-1))</f>
        <v/>
      </c>
      <c r="Q159" s="34">
        <f>IF(C159="","",YEAR(C159-WEEKDAY(C159,2)+4)&amp;"-S"&amp;TEXT(INT((C159-DATE(YEAR(C159-WEEKDAY(C159,2)+4),1,3)+WEEKDAY(DATE(YEAR(C159-WEEKDAY(C159,2)+4),1,3),2)+5)/7),"00"))</f>
        <v/>
      </c>
    </row>
    <row r="160" ht="18" customHeight="1">
      <c r="A160" s="39" t="n">
        <v>155</v>
      </c>
      <c r="B160" s="33">
        <f>IF(C160="","",IF(L160="À RENSEIGNER","GIC",L160)&amp;"-S"&amp;TEXT(A160,"00000"))</f>
        <v/>
      </c>
      <c r="C160" s="32" t="n"/>
      <c r="D160" s="36" t="n"/>
      <c r="E160" s="36" t="n"/>
      <c r="F160" s="42" t="n"/>
      <c r="G160" s="36" t="n"/>
      <c r="H160" s="43" t="n"/>
      <c r="I160" s="37" t="n"/>
      <c r="J160" s="44" t="n"/>
      <c r="K160" s="36" t="n"/>
      <c r="L160" s="33">
        <f>IF(C160="","",Commercial_Id)</f>
        <v/>
      </c>
      <c r="M160" s="34">
        <f>IF(E160="","",IFERROR(VLOOKUP(E160,T_Produits,2,FALSE),""))</f>
        <v/>
      </c>
      <c r="N160" s="40">
        <f>IF(E160="","",IFERROR(1/(1/VLOOKUP(E160,T_Produits,3,FALSE)),""))</f>
        <v/>
      </c>
      <c r="O160" s="40">
        <f>IF(OR(D160="",F160=""),"",IF(OR(D160="Casse / avarie",D160="Perte / vol",D160="Échantillon offert"),IF(I160&lt;&gt;"",I160,IF(N160="","",F160*N160)),""))</f>
        <v/>
      </c>
      <c r="P160" s="50">
        <f>IF(OR(D160="",F160=""),"",F160*IF(OR(D160="Reçu du magasin",D160="Ajustement (+)"),1,-1))</f>
        <v/>
      </c>
      <c r="Q160" s="34">
        <f>IF(C160="","",YEAR(C160-WEEKDAY(C160,2)+4)&amp;"-S"&amp;TEXT(INT((C160-DATE(YEAR(C160-WEEKDAY(C160,2)+4),1,3)+WEEKDAY(DATE(YEAR(C160-WEEKDAY(C160,2)+4),1,3),2)+5)/7),"00"))</f>
        <v/>
      </c>
    </row>
    <row r="161" ht="18" customHeight="1">
      <c r="A161" s="39" t="n">
        <v>156</v>
      </c>
      <c r="B161" s="33">
        <f>IF(C161="","",IF(L161="À RENSEIGNER","GIC",L161)&amp;"-S"&amp;TEXT(A161,"00000"))</f>
        <v/>
      </c>
      <c r="C161" s="32" t="n"/>
      <c r="D161" s="36" t="n"/>
      <c r="E161" s="36" t="n"/>
      <c r="F161" s="42" t="n"/>
      <c r="G161" s="36" t="n"/>
      <c r="H161" s="43" t="n"/>
      <c r="I161" s="37" t="n"/>
      <c r="J161" s="44" t="n"/>
      <c r="K161" s="36" t="n"/>
      <c r="L161" s="33">
        <f>IF(C161="","",Commercial_Id)</f>
        <v/>
      </c>
      <c r="M161" s="34">
        <f>IF(E161="","",IFERROR(VLOOKUP(E161,T_Produits,2,FALSE),""))</f>
        <v/>
      </c>
      <c r="N161" s="40">
        <f>IF(E161="","",IFERROR(1/(1/VLOOKUP(E161,T_Produits,3,FALSE)),""))</f>
        <v/>
      </c>
      <c r="O161" s="40">
        <f>IF(OR(D161="",F161=""),"",IF(OR(D161="Casse / avarie",D161="Perte / vol",D161="Échantillon offert"),IF(I161&lt;&gt;"",I161,IF(N161="","",F161*N161)),""))</f>
        <v/>
      </c>
      <c r="P161" s="50">
        <f>IF(OR(D161="",F161=""),"",F161*IF(OR(D161="Reçu du magasin",D161="Ajustement (+)"),1,-1))</f>
        <v/>
      </c>
      <c r="Q161" s="34">
        <f>IF(C161="","",YEAR(C161-WEEKDAY(C161,2)+4)&amp;"-S"&amp;TEXT(INT((C161-DATE(YEAR(C161-WEEKDAY(C161,2)+4),1,3)+WEEKDAY(DATE(YEAR(C161-WEEKDAY(C161,2)+4),1,3),2)+5)/7),"00"))</f>
        <v/>
      </c>
    </row>
    <row r="162" ht="18" customHeight="1">
      <c r="A162" s="39" t="n">
        <v>157</v>
      </c>
      <c r="B162" s="33">
        <f>IF(C162="","",IF(L162="À RENSEIGNER","GIC",L162)&amp;"-S"&amp;TEXT(A162,"00000"))</f>
        <v/>
      </c>
      <c r="C162" s="32" t="n"/>
      <c r="D162" s="36" t="n"/>
      <c r="E162" s="36" t="n"/>
      <c r="F162" s="42" t="n"/>
      <c r="G162" s="36" t="n"/>
      <c r="H162" s="43" t="n"/>
      <c r="I162" s="37" t="n"/>
      <c r="J162" s="44" t="n"/>
      <c r="K162" s="36" t="n"/>
      <c r="L162" s="33">
        <f>IF(C162="","",Commercial_Id)</f>
        <v/>
      </c>
      <c r="M162" s="34">
        <f>IF(E162="","",IFERROR(VLOOKUP(E162,T_Produits,2,FALSE),""))</f>
        <v/>
      </c>
      <c r="N162" s="40">
        <f>IF(E162="","",IFERROR(1/(1/VLOOKUP(E162,T_Produits,3,FALSE)),""))</f>
        <v/>
      </c>
      <c r="O162" s="40">
        <f>IF(OR(D162="",F162=""),"",IF(OR(D162="Casse / avarie",D162="Perte / vol",D162="Échantillon offert"),IF(I162&lt;&gt;"",I162,IF(N162="","",F162*N162)),""))</f>
        <v/>
      </c>
      <c r="P162" s="50">
        <f>IF(OR(D162="",F162=""),"",F162*IF(OR(D162="Reçu du magasin",D162="Ajustement (+)"),1,-1))</f>
        <v/>
      </c>
      <c r="Q162" s="34">
        <f>IF(C162="","",YEAR(C162-WEEKDAY(C162,2)+4)&amp;"-S"&amp;TEXT(INT((C162-DATE(YEAR(C162-WEEKDAY(C162,2)+4),1,3)+WEEKDAY(DATE(YEAR(C162-WEEKDAY(C162,2)+4),1,3),2)+5)/7),"00"))</f>
        <v/>
      </c>
    </row>
    <row r="163" ht="18" customHeight="1">
      <c r="A163" s="39" t="n">
        <v>158</v>
      </c>
      <c r="B163" s="33">
        <f>IF(C163="","",IF(L163="À RENSEIGNER","GIC",L163)&amp;"-S"&amp;TEXT(A163,"00000"))</f>
        <v/>
      </c>
      <c r="C163" s="32" t="n"/>
      <c r="D163" s="36" t="n"/>
      <c r="E163" s="36" t="n"/>
      <c r="F163" s="42" t="n"/>
      <c r="G163" s="36" t="n"/>
      <c r="H163" s="43" t="n"/>
      <c r="I163" s="37" t="n"/>
      <c r="J163" s="44" t="n"/>
      <c r="K163" s="36" t="n"/>
      <c r="L163" s="33">
        <f>IF(C163="","",Commercial_Id)</f>
        <v/>
      </c>
      <c r="M163" s="34">
        <f>IF(E163="","",IFERROR(VLOOKUP(E163,T_Produits,2,FALSE),""))</f>
        <v/>
      </c>
      <c r="N163" s="40">
        <f>IF(E163="","",IFERROR(1/(1/VLOOKUP(E163,T_Produits,3,FALSE)),""))</f>
        <v/>
      </c>
      <c r="O163" s="40">
        <f>IF(OR(D163="",F163=""),"",IF(OR(D163="Casse / avarie",D163="Perte / vol",D163="Échantillon offert"),IF(I163&lt;&gt;"",I163,IF(N163="","",F163*N163)),""))</f>
        <v/>
      </c>
      <c r="P163" s="50">
        <f>IF(OR(D163="",F163=""),"",F163*IF(OR(D163="Reçu du magasin",D163="Ajustement (+)"),1,-1))</f>
        <v/>
      </c>
      <c r="Q163" s="34">
        <f>IF(C163="","",YEAR(C163-WEEKDAY(C163,2)+4)&amp;"-S"&amp;TEXT(INT((C163-DATE(YEAR(C163-WEEKDAY(C163,2)+4),1,3)+WEEKDAY(DATE(YEAR(C163-WEEKDAY(C163,2)+4),1,3),2)+5)/7),"00"))</f>
        <v/>
      </c>
    </row>
    <row r="164" ht="18" customHeight="1">
      <c r="A164" s="39" t="n">
        <v>159</v>
      </c>
      <c r="B164" s="33">
        <f>IF(C164="","",IF(L164="À RENSEIGNER","GIC",L164)&amp;"-S"&amp;TEXT(A164,"00000"))</f>
        <v/>
      </c>
      <c r="C164" s="32" t="n"/>
      <c r="D164" s="36" t="n"/>
      <c r="E164" s="36" t="n"/>
      <c r="F164" s="42" t="n"/>
      <c r="G164" s="36" t="n"/>
      <c r="H164" s="43" t="n"/>
      <c r="I164" s="37" t="n"/>
      <c r="J164" s="44" t="n"/>
      <c r="K164" s="36" t="n"/>
      <c r="L164" s="33">
        <f>IF(C164="","",Commercial_Id)</f>
        <v/>
      </c>
      <c r="M164" s="34">
        <f>IF(E164="","",IFERROR(VLOOKUP(E164,T_Produits,2,FALSE),""))</f>
        <v/>
      </c>
      <c r="N164" s="40">
        <f>IF(E164="","",IFERROR(1/(1/VLOOKUP(E164,T_Produits,3,FALSE)),""))</f>
        <v/>
      </c>
      <c r="O164" s="40">
        <f>IF(OR(D164="",F164=""),"",IF(OR(D164="Casse / avarie",D164="Perte / vol",D164="Échantillon offert"),IF(I164&lt;&gt;"",I164,IF(N164="","",F164*N164)),""))</f>
        <v/>
      </c>
      <c r="P164" s="50">
        <f>IF(OR(D164="",F164=""),"",F164*IF(OR(D164="Reçu du magasin",D164="Ajustement (+)"),1,-1))</f>
        <v/>
      </c>
      <c r="Q164" s="34">
        <f>IF(C164="","",YEAR(C164-WEEKDAY(C164,2)+4)&amp;"-S"&amp;TEXT(INT((C164-DATE(YEAR(C164-WEEKDAY(C164,2)+4),1,3)+WEEKDAY(DATE(YEAR(C164-WEEKDAY(C164,2)+4),1,3),2)+5)/7),"00"))</f>
        <v/>
      </c>
    </row>
    <row r="165" ht="18" customHeight="1">
      <c r="A165" s="39" t="n">
        <v>160</v>
      </c>
      <c r="B165" s="33">
        <f>IF(C165="","",IF(L165="À RENSEIGNER","GIC",L165)&amp;"-S"&amp;TEXT(A165,"00000"))</f>
        <v/>
      </c>
      <c r="C165" s="32" t="n"/>
      <c r="D165" s="36" t="n"/>
      <c r="E165" s="36" t="n"/>
      <c r="F165" s="42" t="n"/>
      <c r="G165" s="36" t="n"/>
      <c r="H165" s="43" t="n"/>
      <c r="I165" s="37" t="n"/>
      <c r="J165" s="44" t="n"/>
      <c r="K165" s="36" t="n"/>
      <c r="L165" s="33">
        <f>IF(C165="","",Commercial_Id)</f>
        <v/>
      </c>
      <c r="M165" s="34">
        <f>IF(E165="","",IFERROR(VLOOKUP(E165,T_Produits,2,FALSE),""))</f>
        <v/>
      </c>
      <c r="N165" s="40">
        <f>IF(E165="","",IFERROR(1/(1/VLOOKUP(E165,T_Produits,3,FALSE)),""))</f>
        <v/>
      </c>
      <c r="O165" s="40">
        <f>IF(OR(D165="",F165=""),"",IF(OR(D165="Casse / avarie",D165="Perte / vol",D165="Échantillon offert"),IF(I165&lt;&gt;"",I165,IF(N165="","",F165*N165)),""))</f>
        <v/>
      </c>
      <c r="P165" s="50">
        <f>IF(OR(D165="",F165=""),"",F165*IF(OR(D165="Reçu du magasin",D165="Ajustement (+)"),1,-1))</f>
        <v/>
      </c>
      <c r="Q165" s="34">
        <f>IF(C165="","",YEAR(C165-WEEKDAY(C165,2)+4)&amp;"-S"&amp;TEXT(INT((C165-DATE(YEAR(C165-WEEKDAY(C165,2)+4),1,3)+WEEKDAY(DATE(YEAR(C165-WEEKDAY(C165,2)+4),1,3),2)+5)/7),"00"))</f>
        <v/>
      </c>
    </row>
    <row r="166" ht="18" customHeight="1">
      <c r="A166" s="39" t="n">
        <v>161</v>
      </c>
      <c r="B166" s="33">
        <f>IF(C166="","",IF(L166="À RENSEIGNER","GIC",L166)&amp;"-S"&amp;TEXT(A166,"00000"))</f>
        <v/>
      </c>
      <c r="C166" s="32" t="n"/>
      <c r="D166" s="36" t="n"/>
      <c r="E166" s="36" t="n"/>
      <c r="F166" s="42" t="n"/>
      <c r="G166" s="36" t="n"/>
      <c r="H166" s="43" t="n"/>
      <c r="I166" s="37" t="n"/>
      <c r="J166" s="44" t="n"/>
      <c r="K166" s="36" t="n"/>
      <c r="L166" s="33">
        <f>IF(C166="","",Commercial_Id)</f>
        <v/>
      </c>
      <c r="M166" s="34">
        <f>IF(E166="","",IFERROR(VLOOKUP(E166,T_Produits,2,FALSE),""))</f>
        <v/>
      </c>
      <c r="N166" s="40">
        <f>IF(E166="","",IFERROR(1/(1/VLOOKUP(E166,T_Produits,3,FALSE)),""))</f>
        <v/>
      </c>
      <c r="O166" s="40">
        <f>IF(OR(D166="",F166=""),"",IF(OR(D166="Casse / avarie",D166="Perte / vol",D166="Échantillon offert"),IF(I166&lt;&gt;"",I166,IF(N166="","",F166*N166)),""))</f>
        <v/>
      </c>
      <c r="P166" s="50">
        <f>IF(OR(D166="",F166=""),"",F166*IF(OR(D166="Reçu du magasin",D166="Ajustement (+)"),1,-1))</f>
        <v/>
      </c>
      <c r="Q166" s="34">
        <f>IF(C166="","",YEAR(C166-WEEKDAY(C166,2)+4)&amp;"-S"&amp;TEXT(INT((C166-DATE(YEAR(C166-WEEKDAY(C166,2)+4),1,3)+WEEKDAY(DATE(YEAR(C166-WEEKDAY(C166,2)+4),1,3),2)+5)/7),"00"))</f>
        <v/>
      </c>
    </row>
    <row r="167" ht="18" customHeight="1">
      <c r="A167" s="39" t="n">
        <v>162</v>
      </c>
      <c r="B167" s="33">
        <f>IF(C167="","",IF(L167="À RENSEIGNER","GIC",L167)&amp;"-S"&amp;TEXT(A167,"00000"))</f>
        <v/>
      </c>
      <c r="C167" s="32" t="n"/>
      <c r="D167" s="36" t="n"/>
      <c r="E167" s="36" t="n"/>
      <c r="F167" s="42" t="n"/>
      <c r="G167" s="36" t="n"/>
      <c r="H167" s="43" t="n"/>
      <c r="I167" s="37" t="n"/>
      <c r="J167" s="44" t="n"/>
      <c r="K167" s="36" t="n"/>
      <c r="L167" s="33">
        <f>IF(C167="","",Commercial_Id)</f>
        <v/>
      </c>
      <c r="M167" s="34">
        <f>IF(E167="","",IFERROR(VLOOKUP(E167,T_Produits,2,FALSE),""))</f>
        <v/>
      </c>
      <c r="N167" s="40">
        <f>IF(E167="","",IFERROR(1/(1/VLOOKUP(E167,T_Produits,3,FALSE)),""))</f>
        <v/>
      </c>
      <c r="O167" s="40">
        <f>IF(OR(D167="",F167=""),"",IF(OR(D167="Casse / avarie",D167="Perte / vol",D167="Échantillon offert"),IF(I167&lt;&gt;"",I167,IF(N167="","",F167*N167)),""))</f>
        <v/>
      </c>
      <c r="P167" s="50">
        <f>IF(OR(D167="",F167=""),"",F167*IF(OR(D167="Reçu du magasin",D167="Ajustement (+)"),1,-1))</f>
        <v/>
      </c>
      <c r="Q167" s="34">
        <f>IF(C167="","",YEAR(C167-WEEKDAY(C167,2)+4)&amp;"-S"&amp;TEXT(INT((C167-DATE(YEAR(C167-WEEKDAY(C167,2)+4),1,3)+WEEKDAY(DATE(YEAR(C167-WEEKDAY(C167,2)+4),1,3),2)+5)/7),"00"))</f>
        <v/>
      </c>
    </row>
    <row r="168" ht="18" customHeight="1">
      <c r="A168" s="39" t="n">
        <v>163</v>
      </c>
      <c r="B168" s="33">
        <f>IF(C168="","",IF(L168="À RENSEIGNER","GIC",L168)&amp;"-S"&amp;TEXT(A168,"00000"))</f>
        <v/>
      </c>
      <c r="C168" s="32" t="n"/>
      <c r="D168" s="36" t="n"/>
      <c r="E168" s="36" t="n"/>
      <c r="F168" s="42" t="n"/>
      <c r="G168" s="36" t="n"/>
      <c r="H168" s="43" t="n"/>
      <c r="I168" s="37" t="n"/>
      <c r="J168" s="44" t="n"/>
      <c r="K168" s="36" t="n"/>
      <c r="L168" s="33">
        <f>IF(C168="","",Commercial_Id)</f>
        <v/>
      </c>
      <c r="M168" s="34">
        <f>IF(E168="","",IFERROR(VLOOKUP(E168,T_Produits,2,FALSE),""))</f>
        <v/>
      </c>
      <c r="N168" s="40">
        <f>IF(E168="","",IFERROR(1/(1/VLOOKUP(E168,T_Produits,3,FALSE)),""))</f>
        <v/>
      </c>
      <c r="O168" s="40">
        <f>IF(OR(D168="",F168=""),"",IF(OR(D168="Casse / avarie",D168="Perte / vol",D168="Échantillon offert"),IF(I168&lt;&gt;"",I168,IF(N168="","",F168*N168)),""))</f>
        <v/>
      </c>
      <c r="P168" s="50">
        <f>IF(OR(D168="",F168=""),"",F168*IF(OR(D168="Reçu du magasin",D168="Ajustement (+)"),1,-1))</f>
        <v/>
      </c>
      <c r="Q168" s="34">
        <f>IF(C168="","",YEAR(C168-WEEKDAY(C168,2)+4)&amp;"-S"&amp;TEXT(INT((C168-DATE(YEAR(C168-WEEKDAY(C168,2)+4),1,3)+WEEKDAY(DATE(YEAR(C168-WEEKDAY(C168,2)+4),1,3),2)+5)/7),"00"))</f>
        <v/>
      </c>
    </row>
    <row r="169" ht="18" customHeight="1">
      <c r="A169" s="39" t="n">
        <v>164</v>
      </c>
      <c r="B169" s="33">
        <f>IF(C169="","",IF(L169="À RENSEIGNER","GIC",L169)&amp;"-S"&amp;TEXT(A169,"00000"))</f>
        <v/>
      </c>
      <c r="C169" s="32" t="n"/>
      <c r="D169" s="36" t="n"/>
      <c r="E169" s="36" t="n"/>
      <c r="F169" s="42" t="n"/>
      <c r="G169" s="36" t="n"/>
      <c r="H169" s="43" t="n"/>
      <c r="I169" s="37" t="n"/>
      <c r="J169" s="44" t="n"/>
      <c r="K169" s="36" t="n"/>
      <c r="L169" s="33">
        <f>IF(C169="","",Commercial_Id)</f>
        <v/>
      </c>
      <c r="M169" s="34">
        <f>IF(E169="","",IFERROR(VLOOKUP(E169,T_Produits,2,FALSE),""))</f>
        <v/>
      </c>
      <c r="N169" s="40">
        <f>IF(E169="","",IFERROR(1/(1/VLOOKUP(E169,T_Produits,3,FALSE)),""))</f>
        <v/>
      </c>
      <c r="O169" s="40">
        <f>IF(OR(D169="",F169=""),"",IF(OR(D169="Casse / avarie",D169="Perte / vol",D169="Échantillon offert"),IF(I169&lt;&gt;"",I169,IF(N169="","",F169*N169)),""))</f>
        <v/>
      </c>
      <c r="P169" s="50">
        <f>IF(OR(D169="",F169=""),"",F169*IF(OR(D169="Reçu du magasin",D169="Ajustement (+)"),1,-1))</f>
        <v/>
      </c>
      <c r="Q169" s="34">
        <f>IF(C169="","",YEAR(C169-WEEKDAY(C169,2)+4)&amp;"-S"&amp;TEXT(INT((C169-DATE(YEAR(C169-WEEKDAY(C169,2)+4),1,3)+WEEKDAY(DATE(YEAR(C169-WEEKDAY(C169,2)+4),1,3),2)+5)/7),"00"))</f>
        <v/>
      </c>
    </row>
    <row r="170" ht="18" customHeight="1">
      <c r="A170" s="39" t="n">
        <v>165</v>
      </c>
      <c r="B170" s="33">
        <f>IF(C170="","",IF(L170="À RENSEIGNER","GIC",L170)&amp;"-S"&amp;TEXT(A170,"00000"))</f>
        <v/>
      </c>
      <c r="C170" s="32" t="n"/>
      <c r="D170" s="36" t="n"/>
      <c r="E170" s="36" t="n"/>
      <c r="F170" s="42" t="n"/>
      <c r="G170" s="36" t="n"/>
      <c r="H170" s="43" t="n"/>
      <c r="I170" s="37" t="n"/>
      <c r="J170" s="44" t="n"/>
      <c r="K170" s="36" t="n"/>
      <c r="L170" s="33">
        <f>IF(C170="","",Commercial_Id)</f>
        <v/>
      </c>
      <c r="M170" s="34">
        <f>IF(E170="","",IFERROR(VLOOKUP(E170,T_Produits,2,FALSE),""))</f>
        <v/>
      </c>
      <c r="N170" s="40">
        <f>IF(E170="","",IFERROR(1/(1/VLOOKUP(E170,T_Produits,3,FALSE)),""))</f>
        <v/>
      </c>
      <c r="O170" s="40">
        <f>IF(OR(D170="",F170=""),"",IF(OR(D170="Casse / avarie",D170="Perte / vol",D170="Échantillon offert"),IF(I170&lt;&gt;"",I170,IF(N170="","",F170*N170)),""))</f>
        <v/>
      </c>
      <c r="P170" s="50">
        <f>IF(OR(D170="",F170=""),"",F170*IF(OR(D170="Reçu du magasin",D170="Ajustement (+)"),1,-1))</f>
        <v/>
      </c>
      <c r="Q170" s="34">
        <f>IF(C170="","",YEAR(C170-WEEKDAY(C170,2)+4)&amp;"-S"&amp;TEXT(INT((C170-DATE(YEAR(C170-WEEKDAY(C170,2)+4),1,3)+WEEKDAY(DATE(YEAR(C170-WEEKDAY(C170,2)+4),1,3),2)+5)/7),"00"))</f>
        <v/>
      </c>
    </row>
    <row r="171" ht="18" customHeight="1">
      <c r="A171" s="39" t="n">
        <v>166</v>
      </c>
      <c r="B171" s="33">
        <f>IF(C171="","",IF(L171="À RENSEIGNER","GIC",L171)&amp;"-S"&amp;TEXT(A171,"00000"))</f>
        <v/>
      </c>
      <c r="C171" s="32" t="n"/>
      <c r="D171" s="36" t="n"/>
      <c r="E171" s="36" t="n"/>
      <c r="F171" s="42" t="n"/>
      <c r="G171" s="36" t="n"/>
      <c r="H171" s="43" t="n"/>
      <c r="I171" s="37" t="n"/>
      <c r="J171" s="44" t="n"/>
      <c r="K171" s="36" t="n"/>
      <c r="L171" s="33">
        <f>IF(C171="","",Commercial_Id)</f>
        <v/>
      </c>
      <c r="M171" s="34">
        <f>IF(E171="","",IFERROR(VLOOKUP(E171,T_Produits,2,FALSE),""))</f>
        <v/>
      </c>
      <c r="N171" s="40">
        <f>IF(E171="","",IFERROR(1/(1/VLOOKUP(E171,T_Produits,3,FALSE)),""))</f>
        <v/>
      </c>
      <c r="O171" s="40">
        <f>IF(OR(D171="",F171=""),"",IF(OR(D171="Casse / avarie",D171="Perte / vol",D171="Échantillon offert"),IF(I171&lt;&gt;"",I171,IF(N171="","",F171*N171)),""))</f>
        <v/>
      </c>
      <c r="P171" s="50">
        <f>IF(OR(D171="",F171=""),"",F171*IF(OR(D171="Reçu du magasin",D171="Ajustement (+)"),1,-1))</f>
        <v/>
      </c>
      <c r="Q171" s="34">
        <f>IF(C171="","",YEAR(C171-WEEKDAY(C171,2)+4)&amp;"-S"&amp;TEXT(INT((C171-DATE(YEAR(C171-WEEKDAY(C171,2)+4),1,3)+WEEKDAY(DATE(YEAR(C171-WEEKDAY(C171,2)+4),1,3),2)+5)/7),"00"))</f>
        <v/>
      </c>
    </row>
    <row r="172" ht="18" customHeight="1">
      <c r="A172" s="39" t="n">
        <v>167</v>
      </c>
      <c r="B172" s="33">
        <f>IF(C172="","",IF(L172="À RENSEIGNER","GIC",L172)&amp;"-S"&amp;TEXT(A172,"00000"))</f>
        <v/>
      </c>
      <c r="C172" s="32" t="n"/>
      <c r="D172" s="36" t="n"/>
      <c r="E172" s="36" t="n"/>
      <c r="F172" s="42" t="n"/>
      <c r="G172" s="36" t="n"/>
      <c r="H172" s="43" t="n"/>
      <c r="I172" s="37" t="n"/>
      <c r="J172" s="44" t="n"/>
      <c r="K172" s="36" t="n"/>
      <c r="L172" s="33">
        <f>IF(C172="","",Commercial_Id)</f>
        <v/>
      </c>
      <c r="M172" s="34">
        <f>IF(E172="","",IFERROR(VLOOKUP(E172,T_Produits,2,FALSE),""))</f>
        <v/>
      </c>
      <c r="N172" s="40">
        <f>IF(E172="","",IFERROR(1/(1/VLOOKUP(E172,T_Produits,3,FALSE)),""))</f>
        <v/>
      </c>
      <c r="O172" s="40">
        <f>IF(OR(D172="",F172=""),"",IF(OR(D172="Casse / avarie",D172="Perte / vol",D172="Échantillon offert"),IF(I172&lt;&gt;"",I172,IF(N172="","",F172*N172)),""))</f>
        <v/>
      </c>
      <c r="P172" s="50">
        <f>IF(OR(D172="",F172=""),"",F172*IF(OR(D172="Reçu du magasin",D172="Ajustement (+)"),1,-1))</f>
        <v/>
      </c>
      <c r="Q172" s="34">
        <f>IF(C172="","",YEAR(C172-WEEKDAY(C172,2)+4)&amp;"-S"&amp;TEXT(INT((C172-DATE(YEAR(C172-WEEKDAY(C172,2)+4),1,3)+WEEKDAY(DATE(YEAR(C172-WEEKDAY(C172,2)+4),1,3),2)+5)/7),"00"))</f>
        <v/>
      </c>
    </row>
    <row r="173" ht="18" customHeight="1">
      <c r="A173" s="39" t="n">
        <v>168</v>
      </c>
      <c r="B173" s="33">
        <f>IF(C173="","",IF(L173="À RENSEIGNER","GIC",L173)&amp;"-S"&amp;TEXT(A173,"00000"))</f>
        <v/>
      </c>
      <c r="C173" s="32" t="n"/>
      <c r="D173" s="36" t="n"/>
      <c r="E173" s="36" t="n"/>
      <c r="F173" s="42" t="n"/>
      <c r="G173" s="36" t="n"/>
      <c r="H173" s="43" t="n"/>
      <c r="I173" s="37" t="n"/>
      <c r="J173" s="44" t="n"/>
      <c r="K173" s="36" t="n"/>
      <c r="L173" s="33">
        <f>IF(C173="","",Commercial_Id)</f>
        <v/>
      </c>
      <c r="M173" s="34">
        <f>IF(E173="","",IFERROR(VLOOKUP(E173,T_Produits,2,FALSE),""))</f>
        <v/>
      </c>
      <c r="N173" s="40">
        <f>IF(E173="","",IFERROR(1/(1/VLOOKUP(E173,T_Produits,3,FALSE)),""))</f>
        <v/>
      </c>
      <c r="O173" s="40">
        <f>IF(OR(D173="",F173=""),"",IF(OR(D173="Casse / avarie",D173="Perte / vol",D173="Échantillon offert"),IF(I173&lt;&gt;"",I173,IF(N173="","",F173*N173)),""))</f>
        <v/>
      </c>
      <c r="P173" s="50">
        <f>IF(OR(D173="",F173=""),"",F173*IF(OR(D173="Reçu du magasin",D173="Ajustement (+)"),1,-1))</f>
        <v/>
      </c>
      <c r="Q173" s="34">
        <f>IF(C173="","",YEAR(C173-WEEKDAY(C173,2)+4)&amp;"-S"&amp;TEXT(INT((C173-DATE(YEAR(C173-WEEKDAY(C173,2)+4),1,3)+WEEKDAY(DATE(YEAR(C173-WEEKDAY(C173,2)+4),1,3),2)+5)/7),"00"))</f>
        <v/>
      </c>
    </row>
    <row r="174" ht="18" customHeight="1">
      <c r="A174" s="39" t="n">
        <v>169</v>
      </c>
      <c r="B174" s="33">
        <f>IF(C174="","",IF(L174="À RENSEIGNER","GIC",L174)&amp;"-S"&amp;TEXT(A174,"00000"))</f>
        <v/>
      </c>
      <c r="C174" s="32" t="n"/>
      <c r="D174" s="36" t="n"/>
      <c r="E174" s="36" t="n"/>
      <c r="F174" s="42" t="n"/>
      <c r="G174" s="36" t="n"/>
      <c r="H174" s="43" t="n"/>
      <c r="I174" s="37" t="n"/>
      <c r="J174" s="44" t="n"/>
      <c r="K174" s="36" t="n"/>
      <c r="L174" s="33">
        <f>IF(C174="","",Commercial_Id)</f>
        <v/>
      </c>
      <c r="M174" s="34">
        <f>IF(E174="","",IFERROR(VLOOKUP(E174,T_Produits,2,FALSE),""))</f>
        <v/>
      </c>
      <c r="N174" s="40">
        <f>IF(E174="","",IFERROR(1/(1/VLOOKUP(E174,T_Produits,3,FALSE)),""))</f>
        <v/>
      </c>
      <c r="O174" s="40">
        <f>IF(OR(D174="",F174=""),"",IF(OR(D174="Casse / avarie",D174="Perte / vol",D174="Échantillon offert"),IF(I174&lt;&gt;"",I174,IF(N174="","",F174*N174)),""))</f>
        <v/>
      </c>
      <c r="P174" s="50">
        <f>IF(OR(D174="",F174=""),"",F174*IF(OR(D174="Reçu du magasin",D174="Ajustement (+)"),1,-1))</f>
        <v/>
      </c>
      <c r="Q174" s="34">
        <f>IF(C174="","",YEAR(C174-WEEKDAY(C174,2)+4)&amp;"-S"&amp;TEXT(INT((C174-DATE(YEAR(C174-WEEKDAY(C174,2)+4),1,3)+WEEKDAY(DATE(YEAR(C174-WEEKDAY(C174,2)+4),1,3),2)+5)/7),"00"))</f>
        <v/>
      </c>
    </row>
    <row r="175" ht="18" customHeight="1">
      <c r="A175" s="39" t="n">
        <v>170</v>
      </c>
      <c r="B175" s="33">
        <f>IF(C175="","",IF(L175="À RENSEIGNER","GIC",L175)&amp;"-S"&amp;TEXT(A175,"00000"))</f>
        <v/>
      </c>
      <c r="C175" s="32" t="n"/>
      <c r="D175" s="36" t="n"/>
      <c r="E175" s="36" t="n"/>
      <c r="F175" s="42" t="n"/>
      <c r="G175" s="36" t="n"/>
      <c r="H175" s="43" t="n"/>
      <c r="I175" s="37" t="n"/>
      <c r="J175" s="44" t="n"/>
      <c r="K175" s="36" t="n"/>
      <c r="L175" s="33">
        <f>IF(C175="","",Commercial_Id)</f>
        <v/>
      </c>
      <c r="M175" s="34">
        <f>IF(E175="","",IFERROR(VLOOKUP(E175,T_Produits,2,FALSE),""))</f>
        <v/>
      </c>
      <c r="N175" s="40">
        <f>IF(E175="","",IFERROR(1/(1/VLOOKUP(E175,T_Produits,3,FALSE)),""))</f>
        <v/>
      </c>
      <c r="O175" s="40">
        <f>IF(OR(D175="",F175=""),"",IF(OR(D175="Casse / avarie",D175="Perte / vol",D175="Échantillon offert"),IF(I175&lt;&gt;"",I175,IF(N175="","",F175*N175)),""))</f>
        <v/>
      </c>
      <c r="P175" s="50">
        <f>IF(OR(D175="",F175=""),"",F175*IF(OR(D175="Reçu du magasin",D175="Ajustement (+)"),1,-1))</f>
        <v/>
      </c>
      <c r="Q175" s="34">
        <f>IF(C175="","",YEAR(C175-WEEKDAY(C175,2)+4)&amp;"-S"&amp;TEXT(INT((C175-DATE(YEAR(C175-WEEKDAY(C175,2)+4),1,3)+WEEKDAY(DATE(YEAR(C175-WEEKDAY(C175,2)+4),1,3),2)+5)/7),"00"))</f>
        <v/>
      </c>
    </row>
    <row r="176" ht="18" customHeight="1">
      <c r="A176" s="39" t="n">
        <v>171</v>
      </c>
      <c r="B176" s="33">
        <f>IF(C176="","",IF(L176="À RENSEIGNER","GIC",L176)&amp;"-S"&amp;TEXT(A176,"00000"))</f>
        <v/>
      </c>
      <c r="C176" s="32" t="n"/>
      <c r="D176" s="36" t="n"/>
      <c r="E176" s="36" t="n"/>
      <c r="F176" s="42" t="n"/>
      <c r="G176" s="36" t="n"/>
      <c r="H176" s="43" t="n"/>
      <c r="I176" s="37" t="n"/>
      <c r="J176" s="44" t="n"/>
      <c r="K176" s="36" t="n"/>
      <c r="L176" s="33">
        <f>IF(C176="","",Commercial_Id)</f>
        <v/>
      </c>
      <c r="M176" s="34">
        <f>IF(E176="","",IFERROR(VLOOKUP(E176,T_Produits,2,FALSE),""))</f>
        <v/>
      </c>
      <c r="N176" s="40">
        <f>IF(E176="","",IFERROR(1/(1/VLOOKUP(E176,T_Produits,3,FALSE)),""))</f>
        <v/>
      </c>
      <c r="O176" s="40">
        <f>IF(OR(D176="",F176=""),"",IF(OR(D176="Casse / avarie",D176="Perte / vol",D176="Échantillon offert"),IF(I176&lt;&gt;"",I176,IF(N176="","",F176*N176)),""))</f>
        <v/>
      </c>
      <c r="P176" s="50">
        <f>IF(OR(D176="",F176=""),"",F176*IF(OR(D176="Reçu du magasin",D176="Ajustement (+)"),1,-1))</f>
        <v/>
      </c>
      <c r="Q176" s="34">
        <f>IF(C176="","",YEAR(C176-WEEKDAY(C176,2)+4)&amp;"-S"&amp;TEXT(INT((C176-DATE(YEAR(C176-WEEKDAY(C176,2)+4),1,3)+WEEKDAY(DATE(YEAR(C176-WEEKDAY(C176,2)+4),1,3),2)+5)/7),"00"))</f>
        <v/>
      </c>
    </row>
    <row r="177" ht="18" customHeight="1">
      <c r="A177" s="39" t="n">
        <v>172</v>
      </c>
      <c r="B177" s="33">
        <f>IF(C177="","",IF(L177="À RENSEIGNER","GIC",L177)&amp;"-S"&amp;TEXT(A177,"00000"))</f>
        <v/>
      </c>
      <c r="C177" s="32" t="n"/>
      <c r="D177" s="36" t="n"/>
      <c r="E177" s="36" t="n"/>
      <c r="F177" s="42" t="n"/>
      <c r="G177" s="36" t="n"/>
      <c r="H177" s="43" t="n"/>
      <c r="I177" s="37" t="n"/>
      <c r="J177" s="44" t="n"/>
      <c r="K177" s="36" t="n"/>
      <c r="L177" s="33">
        <f>IF(C177="","",Commercial_Id)</f>
        <v/>
      </c>
      <c r="M177" s="34">
        <f>IF(E177="","",IFERROR(VLOOKUP(E177,T_Produits,2,FALSE),""))</f>
        <v/>
      </c>
      <c r="N177" s="40">
        <f>IF(E177="","",IFERROR(1/(1/VLOOKUP(E177,T_Produits,3,FALSE)),""))</f>
        <v/>
      </c>
      <c r="O177" s="40">
        <f>IF(OR(D177="",F177=""),"",IF(OR(D177="Casse / avarie",D177="Perte / vol",D177="Échantillon offert"),IF(I177&lt;&gt;"",I177,IF(N177="","",F177*N177)),""))</f>
        <v/>
      </c>
      <c r="P177" s="50">
        <f>IF(OR(D177="",F177=""),"",F177*IF(OR(D177="Reçu du magasin",D177="Ajustement (+)"),1,-1))</f>
        <v/>
      </c>
      <c r="Q177" s="34">
        <f>IF(C177="","",YEAR(C177-WEEKDAY(C177,2)+4)&amp;"-S"&amp;TEXT(INT((C177-DATE(YEAR(C177-WEEKDAY(C177,2)+4),1,3)+WEEKDAY(DATE(YEAR(C177-WEEKDAY(C177,2)+4),1,3),2)+5)/7),"00"))</f>
        <v/>
      </c>
    </row>
    <row r="178" ht="18" customHeight="1">
      <c r="A178" s="39" t="n">
        <v>173</v>
      </c>
      <c r="B178" s="33">
        <f>IF(C178="","",IF(L178="À RENSEIGNER","GIC",L178)&amp;"-S"&amp;TEXT(A178,"00000"))</f>
        <v/>
      </c>
      <c r="C178" s="32" t="n"/>
      <c r="D178" s="36" t="n"/>
      <c r="E178" s="36" t="n"/>
      <c r="F178" s="42" t="n"/>
      <c r="G178" s="36" t="n"/>
      <c r="H178" s="43" t="n"/>
      <c r="I178" s="37" t="n"/>
      <c r="J178" s="44" t="n"/>
      <c r="K178" s="36" t="n"/>
      <c r="L178" s="33">
        <f>IF(C178="","",Commercial_Id)</f>
        <v/>
      </c>
      <c r="M178" s="34">
        <f>IF(E178="","",IFERROR(VLOOKUP(E178,T_Produits,2,FALSE),""))</f>
        <v/>
      </c>
      <c r="N178" s="40">
        <f>IF(E178="","",IFERROR(1/(1/VLOOKUP(E178,T_Produits,3,FALSE)),""))</f>
        <v/>
      </c>
      <c r="O178" s="40">
        <f>IF(OR(D178="",F178=""),"",IF(OR(D178="Casse / avarie",D178="Perte / vol",D178="Échantillon offert"),IF(I178&lt;&gt;"",I178,IF(N178="","",F178*N178)),""))</f>
        <v/>
      </c>
      <c r="P178" s="50">
        <f>IF(OR(D178="",F178=""),"",F178*IF(OR(D178="Reçu du magasin",D178="Ajustement (+)"),1,-1))</f>
        <v/>
      </c>
      <c r="Q178" s="34">
        <f>IF(C178="","",YEAR(C178-WEEKDAY(C178,2)+4)&amp;"-S"&amp;TEXT(INT((C178-DATE(YEAR(C178-WEEKDAY(C178,2)+4),1,3)+WEEKDAY(DATE(YEAR(C178-WEEKDAY(C178,2)+4),1,3),2)+5)/7),"00"))</f>
        <v/>
      </c>
    </row>
    <row r="179" ht="18" customHeight="1">
      <c r="A179" s="39" t="n">
        <v>174</v>
      </c>
      <c r="B179" s="33">
        <f>IF(C179="","",IF(L179="À RENSEIGNER","GIC",L179)&amp;"-S"&amp;TEXT(A179,"00000"))</f>
        <v/>
      </c>
      <c r="C179" s="32" t="n"/>
      <c r="D179" s="36" t="n"/>
      <c r="E179" s="36" t="n"/>
      <c r="F179" s="42" t="n"/>
      <c r="G179" s="36" t="n"/>
      <c r="H179" s="43" t="n"/>
      <c r="I179" s="37" t="n"/>
      <c r="J179" s="44" t="n"/>
      <c r="K179" s="36" t="n"/>
      <c r="L179" s="33">
        <f>IF(C179="","",Commercial_Id)</f>
        <v/>
      </c>
      <c r="M179" s="34">
        <f>IF(E179="","",IFERROR(VLOOKUP(E179,T_Produits,2,FALSE),""))</f>
        <v/>
      </c>
      <c r="N179" s="40">
        <f>IF(E179="","",IFERROR(1/(1/VLOOKUP(E179,T_Produits,3,FALSE)),""))</f>
        <v/>
      </c>
      <c r="O179" s="40">
        <f>IF(OR(D179="",F179=""),"",IF(OR(D179="Casse / avarie",D179="Perte / vol",D179="Échantillon offert"),IF(I179&lt;&gt;"",I179,IF(N179="","",F179*N179)),""))</f>
        <v/>
      </c>
      <c r="P179" s="50">
        <f>IF(OR(D179="",F179=""),"",F179*IF(OR(D179="Reçu du magasin",D179="Ajustement (+)"),1,-1))</f>
        <v/>
      </c>
      <c r="Q179" s="34">
        <f>IF(C179="","",YEAR(C179-WEEKDAY(C179,2)+4)&amp;"-S"&amp;TEXT(INT((C179-DATE(YEAR(C179-WEEKDAY(C179,2)+4),1,3)+WEEKDAY(DATE(YEAR(C179-WEEKDAY(C179,2)+4),1,3),2)+5)/7),"00"))</f>
        <v/>
      </c>
    </row>
    <row r="180" ht="18" customHeight="1">
      <c r="A180" s="39" t="n">
        <v>175</v>
      </c>
      <c r="B180" s="33">
        <f>IF(C180="","",IF(L180="À RENSEIGNER","GIC",L180)&amp;"-S"&amp;TEXT(A180,"00000"))</f>
        <v/>
      </c>
      <c r="C180" s="32" t="n"/>
      <c r="D180" s="36" t="n"/>
      <c r="E180" s="36" t="n"/>
      <c r="F180" s="42" t="n"/>
      <c r="G180" s="36" t="n"/>
      <c r="H180" s="43" t="n"/>
      <c r="I180" s="37" t="n"/>
      <c r="J180" s="44" t="n"/>
      <c r="K180" s="36" t="n"/>
      <c r="L180" s="33">
        <f>IF(C180="","",Commercial_Id)</f>
        <v/>
      </c>
      <c r="M180" s="34">
        <f>IF(E180="","",IFERROR(VLOOKUP(E180,T_Produits,2,FALSE),""))</f>
        <v/>
      </c>
      <c r="N180" s="40">
        <f>IF(E180="","",IFERROR(1/(1/VLOOKUP(E180,T_Produits,3,FALSE)),""))</f>
        <v/>
      </c>
      <c r="O180" s="40">
        <f>IF(OR(D180="",F180=""),"",IF(OR(D180="Casse / avarie",D180="Perte / vol",D180="Échantillon offert"),IF(I180&lt;&gt;"",I180,IF(N180="","",F180*N180)),""))</f>
        <v/>
      </c>
      <c r="P180" s="50">
        <f>IF(OR(D180="",F180=""),"",F180*IF(OR(D180="Reçu du magasin",D180="Ajustement (+)"),1,-1))</f>
        <v/>
      </c>
      <c r="Q180" s="34">
        <f>IF(C180="","",YEAR(C180-WEEKDAY(C180,2)+4)&amp;"-S"&amp;TEXT(INT((C180-DATE(YEAR(C180-WEEKDAY(C180,2)+4),1,3)+WEEKDAY(DATE(YEAR(C180-WEEKDAY(C180,2)+4),1,3),2)+5)/7),"00"))</f>
        <v/>
      </c>
    </row>
    <row r="181" ht="18" customHeight="1">
      <c r="A181" s="39" t="n">
        <v>176</v>
      </c>
      <c r="B181" s="33">
        <f>IF(C181="","",IF(L181="À RENSEIGNER","GIC",L181)&amp;"-S"&amp;TEXT(A181,"00000"))</f>
        <v/>
      </c>
      <c r="C181" s="32" t="n"/>
      <c r="D181" s="36" t="n"/>
      <c r="E181" s="36" t="n"/>
      <c r="F181" s="42" t="n"/>
      <c r="G181" s="36" t="n"/>
      <c r="H181" s="43" t="n"/>
      <c r="I181" s="37" t="n"/>
      <c r="J181" s="44" t="n"/>
      <c r="K181" s="36" t="n"/>
      <c r="L181" s="33">
        <f>IF(C181="","",Commercial_Id)</f>
        <v/>
      </c>
      <c r="M181" s="34">
        <f>IF(E181="","",IFERROR(VLOOKUP(E181,T_Produits,2,FALSE),""))</f>
        <v/>
      </c>
      <c r="N181" s="40">
        <f>IF(E181="","",IFERROR(1/(1/VLOOKUP(E181,T_Produits,3,FALSE)),""))</f>
        <v/>
      </c>
      <c r="O181" s="40">
        <f>IF(OR(D181="",F181=""),"",IF(OR(D181="Casse / avarie",D181="Perte / vol",D181="Échantillon offert"),IF(I181&lt;&gt;"",I181,IF(N181="","",F181*N181)),""))</f>
        <v/>
      </c>
      <c r="P181" s="50">
        <f>IF(OR(D181="",F181=""),"",F181*IF(OR(D181="Reçu du magasin",D181="Ajustement (+)"),1,-1))</f>
        <v/>
      </c>
      <c r="Q181" s="34">
        <f>IF(C181="","",YEAR(C181-WEEKDAY(C181,2)+4)&amp;"-S"&amp;TEXT(INT((C181-DATE(YEAR(C181-WEEKDAY(C181,2)+4),1,3)+WEEKDAY(DATE(YEAR(C181-WEEKDAY(C181,2)+4),1,3),2)+5)/7),"00"))</f>
        <v/>
      </c>
    </row>
    <row r="182" ht="18" customHeight="1">
      <c r="A182" s="39" t="n">
        <v>177</v>
      </c>
      <c r="B182" s="33">
        <f>IF(C182="","",IF(L182="À RENSEIGNER","GIC",L182)&amp;"-S"&amp;TEXT(A182,"00000"))</f>
        <v/>
      </c>
      <c r="C182" s="32" t="n"/>
      <c r="D182" s="36" t="n"/>
      <c r="E182" s="36" t="n"/>
      <c r="F182" s="42" t="n"/>
      <c r="G182" s="36" t="n"/>
      <c r="H182" s="43" t="n"/>
      <c r="I182" s="37" t="n"/>
      <c r="J182" s="44" t="n"/>
      <c r="K182" s="36" t="n"/>
      <c r="L182" s="33">
        <f>IF(C182="","",Commercial_Id)</f>
        <v/>
      </c>
      <c r="M182" s="34">
        <f>IF(E182="","",IFERROR(VLOOKUP(E182,T_Produits,2,FALSE),""))</f>
        <v/>
      </c>
      <c r="N182" s="40">
        <f>IF(E182="","",IFERROR(1/(1/VLOOKUP(E182,T_Produits,3,FALSE)),""))</f>
        <v/>
      </c>
      <c r="O182" s="40">
        <f>IF(OR(D182="",F182=""),"",IF(OR(D182="Casse / avarie",D182="Perte / vol",D182="Échantillon offert"),IF(I182&lt;&gt;"",I182,IF(N182="","",F182*N182)),""))</f>
        <v/>
      </c>
      <c r="P182" s="50">
        <f>IF(OR(D182="",F182=""),"",F182*IF(OR(D182="Reçu du magasin",D182="Ajustement (+)"),1,-1))</f>
        <v/>
      </c>
      <c r="Q182" s="34">
        <f>IF(C182="","",YEAR(C182-WEEKDAY(C182,2)+4)&amp;"-S"&amp;TEXT(INT((C182-DATE(YEAR(C182-WEEKDAY(C182,2)+4),1,3)+WEEKDAY(DATE(YEAR(C182-WEEKDAY(C182,2)+4),1,3),2)+5)/7),"00"))</f>
        <v/>
      </c>
    </row>
    <row r="183" ht="18" customHeight="1">
      <c r="A183" s="39" t="n">
        <v>178</v>
      </c>
      <c r="B183" s="33">
        <f>IF(C183="","",IF(L183="À RENSEIGNER","GIC",L183)&amp;"-S"&amp;TEXT(A183,"00000"))</f>
        <v/>
      </c>
      <c r="C183" s="32" t="n"/>
      <c r="D183" s="36" t="n"/>
      <c r="E183" s="36" t="n"/>
      <c r="F183" s="42" t="n"/>
      <c r="G183" s="36" t="n"/>
      <c r="H183" s="43" t="n"/>
      <c r="I183" s="37" t="n"/>
      <c r="J183" s="44" t="n"/>
      <c r="K183" s="36" t="n"/>
      <c r="L183" s="33">
        <f>IF(C183="","",Commercial_Id)</f>
        <v/>
      </c>
      <c r="M183" s="34">
        <f>IF(E183="","",IFERROR(VLOOKUP(E183,T_Produits,2,FALSE),""))</f>
        <v/>
      </c>
      <c r="N183" s="40">
        <f>IF(E183="","",IFERROR(1/(1/VLOOKUP(E183,T_Produits,3,FALSE)),""))</f>
        <v/>
      </c>
      <c r="O183" s="40">
        <f>IF(OR(D183="",F183=""),"",IF(OR(D183="Casse / avarie",D183="Perte / vol",D183="Échantillon offert"),IF(I183&lt;&gt;"",I183,IF(N183="","",F183*N183)),""))</f>
        <v/>
      </c>
      <c r="P183" s="50">
        <f>IF(OR(D183="",F183=""),"",F183*IF(OR(D183="Reçu du magasin",D183="Ajustement (+)"),1,-1))</f>
        <v/>
      </c>
      <c r="Q183" s="34">
        <f>IF(C183="","",YEAR(C183-WEEKDAY(C183,2)+4)&amp;"-S"&amp;TEXT(INT((C183-DATE(YEAR(C183-WEEKDAY(C183,2)+4),1,3)+WEEKDAY(DATE(YEAR(C183-WEEKDAY(C183,2)+4),1,3),2)+5)/7),"00"))</f>
        <v/>
      </c>
    </row>
    <row r="184" ht="18" customHeight="1">
      <c r="A184" s="39" t="n">
        <v>179</v>
      </c>
      <c r="B184" s="33">
        <f>IF(C184="","",IF(L184="À RENSEIGNER","GIC",L184)&amp;"-S"&amp;TEXT(A184,"00000"))</f>
        <v/>
      </c>
      <c r="C184" s="32" t="n"/>
      <c r="D184" s="36" t="n"/>
      <c r="E184" s="36" t="n"/>
      <c r="F184" s="42" t="n"/>
      <c r="G184" s="36" t="n"/>
      <c r="H184" s="43" t="n"/>
      <c r="I184" s="37" t="n"/>
      <c r="J184" s="44" t="n"/>
      <c r="K184" s="36" t="n"/>
      <c r="L184" s="33">
        <f>IF(C184="","",Commercial_Id)</f>
        <v/>
      </c>
      <c r="M184" s="34">
        <f>IF(E184="","",IFERROR(VLOOKUP(E184,T_Produits,2,FALSE),""))</f>
        <v/>
      </c>
      <c r="N184" s="40">
        <f>IF(E184="","",IFERROR(1/(1/VLOOKUP(E184,T_Produits,3,FALSE)),""))</f>
        <v/>
      </c>
      <c r="O184" s="40">
        <f>IF(OR(D184="",F184=""),"",IF(OR(D184="Casse / avarie",D184="Perte / vol",D184="Échantillon offert"),IF(I184&lt;&gt;"",I184,IF(N184="","",F184*N184)),""))</f>
        <v/>
      </c>
      <c r="P184" s="50">
        <f>IF(OR(D184="",F184=""),"",F184*IF(OR(D184="Reçu du magasin",D184="Ajustement (+)"),1,-1))</f>
        <v/>
      </c>
      <c r="Q184" s="34">
        <f>IF(C184="","",YEAR(C184-WEEKDAY(C184,2)+4)&amp;"-S"&amp;TEXT(INT((C184-DATE(YEAR(C184-WEEKDAY(C184,2)+4),1,3)+WEEKDAY(DATE(YEAR(C184-WEEKDAY(C184,2)+4),1,3),2)+5)/7),"00"))</f>
        <v/>
      </c>
    </row>
    <row r="185" ht="18" customHeight="1">
      <c r="A185" s="39" t="n">
        <v>180</v>
      </c>
      <c r="B185" s="33">
        <f>IF(C185="","",IF(L185="À RENSEIGNER","GIC",L185)&amp;"-S"&amp;TEXT(A185,"00000"))</f>
        <v/>
      </c>
      <c r="C185" s="32" t="n"/>
      <c r="D185" s="36" t="n"/>
      <c r="E185" s="36" t="n"/>
      <c r="F185" s="42" t="n"/>
      <c r="G185" s="36" t="n"/>
      <c r="H185" s="43" t="n"/>
      <c r="I185" s="37" t="n"/>
      <c r="J185" s="44" t="n"/>
      <c r="K185" s="36" t="n"/>
      <c r="L185" s="33">
        <f>IF(C185="","",Commercial_Id)</f>
        <v/>
      </c>
      <c r="M185" s="34">
        <f>IF(E185="","",IFERROR(VLOOKUP(E185,T_Produits,2,FALSE),""))</f>
        <v/>
      </c>
      <c r="N185" s="40">
        <f>IF(E185="","",IFERROR(1/(1/VLOOKUP(E185,T_Produits,3,FALSE)),""))</f>
        <v/>
      </c>
      <c r="O185" s="40">
        <f>IF(OR(D185="",F185=""),"",IF(OR(D185="Casse / avarie",D185="Perte / vol",D185="Échantillon offert"),IF(I185&lt;&gt;"",I185,IF(N185="","",F185*N185)),""))</f>
        <v/>
      </c>
      <c r="P185" s="50">
        <f>IF(OR(D185="",F185=""),"",F185*IF(OR(D185="Reçu du magasin",D185="Ajustement (+)"),1,-1))</f>
        <v/>
      </c>
      <c r="Q185" s="34">
        <f>IF(C185="","",YEAR(C185-WEEKDAY(C185,2)+4)&amp;"-S"&amp;TEXT(INT((C185-DATE(YEAR(C185-WEEKDAY(C185,2)+4),1,3)+WEEKDAY(DATE(YEAR(C185-WEEKDAY(C185,2)+4),1,3),2)+5)/7),"00"))</f>
        <v/>
      </c>
    </row>
    <row r="186" ht="18" customHeight="1">
      <c r="A186" s="39" t="n">
        <v>181</v>
      </c>
      <c r="B186" s="33">
        <f>IF(C186="","",IF(L186="À RENSEIGNER","GIC",L186)&amp;"-S"&amp;TEXT(A186,"00000"))</f>
        <v/>
      </c>
      <c r="C186" s="32" t="n"/>
      <c r="D186" s="36" t="n"/>
      <c r="E186" s="36" t="n"/>
      <c r="F186" s="42" t="n"/>
      <c r="G186" s="36" t="n"/>
      <c r="H186" s="43" t="n"/>
      <c r="I186" s="37" t="n"/>
      <c r="J186" s="44" t="n"/>
      <c r="K186" s="36" t="n"/>
      <c r="L186" s="33">
        <f>IF(C186="","",Commercial_Id)</f>
        <v/>
      </c>
      <c r="M186" s="34">
        <f>IF(E186="","",IFERROR(VLOOKUP(E186,T_Produits,2,FALSE),""))</f>
        <v/>
      </c>
      <c r="N186" s="40">
        <f>IF(E186="","",IFERROR(1/(1/VLOOKUP(E186,T_Produits,3,FALSE)),""))</f>
        <v/>
      </c>
      <c r="O186" s="40">
        <f>IF(OR(D186="",F186=""),"",IF(OR(D186="Casse / avarie",D186="Perte / vol",D186="Échantillon offert"),IF(I186&lt;&gt;"",I186,IF(N186="","",F186*N186)),""))</f>
        <v/>
      </c>
      <c r="P186" s="50">
        <f>IF(OR(D186="",F186=""),"",F186*IF(OR(D186="Reçu du magasin",D186="Ajustement (+)"),1,-1))</f>
        <v/>
      </c>
      <c r="Q186" s="34">
        <f>IF(C186="","",YEAR(C186-WEEKDAY(C186,2)+4)&amp;"-S"&amp;TEXT(INT((C186-DATE(YEAR(C186-WEEKDAY(C186,2)+4),1,3)+WEEKDAY(DATE(YEAR(C186-WEEKDAY(C186,2)+4),1,3),2)+5)/7),"00"))</f>
        <v/>
      </c>
    </row>
    <row r="187" ht="18" customHeight="1">
      <c r="A187" s="39" t="n">
        <v>182</v>
      </c>
      <c r="B187" s="33">
        <f>IF(C187="","",IF(L187="À RENSEIGNER","GIC",L187)&amp;"-S"&amp;TEXT(A187,"00000"))</f>
        <v/>
      </c>
      <c r="C187" s="32" t="n"/>
      <c r="D187" s="36" t="n"/>
      <c r="E187" s="36" t="n"/>
      <c r="F187" s="42" t="n"/>
      <c r="G187" s="36" t="n"/>
      <c r="H187" s="43" t="n"/>
      <c r="I187" s="37" t="n"/>
      <c r="J187" s="44" t="n"/>
      <c r="K187" s="36" t="n"/>
      <c r="L187" s="33">
        <f>IF(C187="","",Commercial_Id)</f>
        <v/>
      </c>
      <c r="M187" s="34">
        <f>IF(E187="","",IFERROR(VLOOKUP(E187,T_Produits,2,FALSE),""))</f>
        <v/>
      </c>
      <c r="N187" s="40">
        <f>IF(E187="","",IFERROR(1/(1/VLOOKUP(E187,T_Produits,3,FALSE)),""))</f>
        <v/>
      </c>
      <c r="O187" s="40">
        <f>IF(OR(D187="",F187=""),"",IF(OR(D187="Casse / avarie",D187="Perte / vol",D187="Échantillon offert"),IF(I187&lt;&gt;"",I187,IF(N187="","",F187*N187)),""))</f>
        <v/>
      </c>
      <c r="P187" s="50">
        <f>IF(OR(D187="",F187=""),"",F187*IF(OR(D187="Reçu du magasin",D187="Ajustement (+)"),1,-1))</f>
        <v/>
      </c>
      <c r="Q187" s="34">
        <f>IF(C187="","",YEAR(C187-WEEKDAY(C187,2)+4)&amp;"-S"&amp;TEXT(INT((C187-DATE(YEAR(C187-WEEKDAY(C187,2)+4),1,3)+WEEKDAY(DATE(YEAR(C187-WEEKDAY(C187,2)+4),1,3),2)+5)/7),"00"))</f>
        <v/>
      </c>
    </row>
    <row r="188" ht="18" customHeight="1">
      <c r="A188" s="39" t="n">
        <v>183</v>
      </c>
      <c r="B188" s="33">
        <f>IF(C188="","",IF(L188="À RENSEIGNER","GIC",L188)&amp;"-S"&amp;TEXT(A188,"00000"))</f>
        <v/>
      </c>
      <c r="C188" s="32" t="n"/>
      <c r="D188" s="36" t="n"/>
      <c r="E188" s="36" t="n"/>
      <c r="F188" s="42" t="n"/>
      <c r="G188" s="36" t="n"/>
      <c r="H188" s="43" t="n"/>
      <c r="I188" s="37" t="n"/>
      <c r="J188" s="44" t="n"/>
      <c r="K188" s="36" t="n"/>
      <c r="L188" s="33">
        <f>IF(C188="","",Commercial_Id)</f>
        <v/>
      </c>
      <c r="M188" s="34">
        <f>IF(E188="","",IFERROR(VLOOKUP(E188,T_Produits,2,FALSE),""))</f>
        <v/>
      </c>
      <c r="N188" s="40">
        <f>IF(E188="","",IFERROR(1/(1/VLOOKUP(E188,T_Produits,3,FALSE)),""))</f>
        <v/>
      </c>
      <c r="O188" s="40">
        <f>IF(OR(D188="",F188=""),"",IF(OR(D188="Casse / avarie",D188="Perte / vol",D188="Échantillon offert"),IF(I188&lt;&gt;"",I188,IF(N188="","",F188*N188)),""))</f>
        <v/>
      </c>
      <c r="P188" s="50">
        <f>IF(OR(D188="",F188=""),"",F188*IF(OR(D188="Reçu du magasin",D188="Ajustement (+)"),1,-1))</f>
        <v/>
      </c>
      <c r="Q188" s="34">
        <f>IF(C188="","",YEAR(C188-WEEKDAY(C188,2)+4)&amp;"-S"&amp;TEXT(INT((C188-DATE(YEAR(C188-WEEKDAY(C188,2)+4),1,3)+WEEKDAY(DATE(YEAR(C188-WEEKDAY(C188,2)+4),1,3),2)+5)/7),"00"))</f>
        <v/>
      </c>
    </row>
    <row r="189" ht="18" customHeight="1">
      <c r="A189" s="39" t="n">
        <v>184</v>
      </c>
      <c r="B189" s="33">
        <f>IF(C189="","",IF(L189="À RENSEIGNER","GIC",L189)&amp;"-S"&amp;TEXT(A189,"00000"))</f>
        <v/>
      </c>
      <c r="C189" s="32" t="n"/>
      <c r="D189" s="36" t="n"/>
      <c r="E189" s="36" t="n"/>
      <c r="F189" s="42" t="n"/>
      <c r="G189" s="36" t="n"/>
      <c r="H189" s="43" t="n"/>
      <c r="I189" s="37" t="n"/>
      <c r="J189" s="44" t="n"/>
      <c r="K189" s="36" t="n"/>
      <c r="L189" s="33">
        <f>IF(C189="","",Commercial_Id)</f>
        <v/>
      </c>
      <c r="M189" s="34">
        <f>IF(E189="","",IFERROR(VLOOKUP(E189,T_Produits,2,FALSE),""))</f>
        <v/>
      </c>
      <c r="N189" s="40">
        <f>IF(E189="","",IFERROR(1/(1/VLOOKUP(E189,T_Produits,3,FALSE)),""))</f>
        <v/>
      </c>
      <c r="O189" s="40">
        <f>IF(OR(D189="",F189=""),"",IF(OR(D189="Casse / avarie",D189="Perte / vol",D189="Échantillon offert"),IF(I189&lt;&gt;"",I189,IF(N189="","",F189*N189)),""))</f>
        <v/>
      </c>
      <c r="P189" s="50">
        <f>IF(OR(D189="",F189=""),"",F189*IF(OR(D189="Reçu du magasin",D189="Ajustement (+)"),1,-1))</f>
        <v/>
      </c>
      <c r="Q189" s="34">
        <f>IF(C189="","",YEAR(C189-WEEKDAY(C189,2)+4)&amp;"-S"&amp;TEXT(INT((C189-DATE(YEAR(C189-WEEKDAY(C189,2)+4),1,3)+WEEKDAY(DATE(YEAR(C189-WEEKDAY(C189,2)+4),1,3),2)+5)/7),"00"))</f>
        <v/>
      </c>
    </row>
    <row r="190" ht="18" customHeight="1">
      <c r="A190" s="39" t="n">
        <v>185</v>
      </c>
      <c r="B190" s="33">
        <f>IF(C190="","",IF(L190="À RENSEIGNER","GIC",L190)&amp;"-S"&amp;TEXT(A190,"00000"))</f>
        <v/>
      </c>
      <c r="C190" s="32" t="n"/>
      <c r="D190" s="36" t="n"/>
      <c r="E190" s="36" t="n"/>
      <c r="F190" s="42" t="n"/>
      <c r="G190" s="36" t="n"/>
      <c r="H190" s="43" t="n"/>
      <c r="I190" s="37" t="n"/>
      <c r="J190" s="44" t="n"/>
      <c r="K190" s="36" t="n"/>
      <c r="L190" s="33">
        <f>IF(C190="","",Commercial_Id)</f>
        <v/>
      </c>
      <c r="M190" s="34">
        <f>IF(E190="","",IFERROR(VLOOKUP(E190,T_Produits,2,FALSE),""))</f>
        <v/>
      </c>
      <c r="N190" s="40">
        <f>IF(E190="","",IFERROR(1/(1/VLOOKUP(E190,T_Produits,3,FALSE)),""))</f>
        <v/>
      </c>
      <c r="O190" s="40">
        <f>IF(OR(D190="",F190=""),"",IF(OR(D190="Casse / avarie",D190="Perte / vol",D190="Échantillon offert"),IF(I190&lt;&gt;"",I190,IF(N190="","",F190*N190)),""))</f>
        <v/>
      </c>
      <c r="P190" s="50">
        <f>IF(OR(D190="",F190=""),"",F190*IF(OR(D190="Reçu du magasin",D190="Ajustement (+)"),1,-1))</f>
        <v/>
      </c>
      <c r="Q190" s="34">
        <f>IF(C190="","",YEAR(C190-WEEKDAY(C190,2)+4)&amp;"-S"&amp;TEXT(INT((C190-DATE(YEAR(C190-WEEKDAY(C190,2)+4),1,3)+WEEKDAY(DATE(YEAR(C190-WEEKDAY(C190,2)+4),1,3),2)+5)/7),"00"))</f>
        <v/>
      </c>
    </row>
    <row r="191" ht="18" customHeight="1">
      <c r="A191" s="39" t="n">
        <v>186</v>
      </c>
      <c r="B191" s="33">
        <f>IF(C191="","",IF(L191="À RENSEIGNER","GIC",L191)&amp;"-S"&amp;TEXT(A191,"00000"))</f>
        <v/>
      </c>
      <c r="C191" s="32" t="n"/>
      <c r="D191" s="36" t="n"/>
      <c r="E191" s="36" t="n"/>
      <c r="F191" s="42" t="n"/>
      <c r="G191" s="36" t="n"/>
      <c r="H191" s="43" t="n"/>
      <c r="I191" s="37" t="n"/>
      <c r="J191" s="44" t="n"/>
      <c r="K191" s="36" t="n"/>
      <c r="L191" s="33">
        <f>IF(C191="","",Commercial_Id)</f>
        <v/>
      </c>
      <c r="M191" s="34">
        <f>IF(E191="","",IFERROR(VLOOKUP(E191,T_Produits,2,FALSE),""))</f>
        <v/>
      </c>
      <c r="N191" s="40">
        <f>IF(E191="","",IFERROR(1/(1/VLOOKUP(E191,T_Produits,3,FALSE)),""))</f>
        <v/>
      </c>
      <c r="O191" s="40">
        <f>IF(OR(D191="",F191=""),"",IF(OR(D191="Casse / avarie",D191="Perte / vol",D191="Échantillon offert"),IF(I191&lt;&gt;"",I191,IF(N191="","",F191*N191)),""))</f>
        <v/>
      </c>
      <c r="P191" s="50">
        <f>IF(OR(D191="",F191=""),"",F191*IF(OR(D191="Reçu du magasin",D191="Ajustement (+)"),1,-1))</f>
        <v/>
      </c>
      <c r="Q191" s="34">
        <f>IF(C191="","",YEAR(C191-WEEKDAY(C191,2)+4)&amp;"-S"&amp;TEXT(INT((C191-DATE(YEAR(C191-WEEKDAY(C191,2)+4),1,3)+WEEKDAY(DATE(YEAR(C191-WEEKDAY(C191,2)+4),1,3),2)+5)/7),"00"))</f>
        <v/>
      </c>
    </row>
    <row r="192" ht="18" customHeight="1">
      <c r="A192" s="39" t="n">
        <v>187</v>
      </c>
      <c r="B192" s="33">
        <f>IF(C192="","",IF(L192="À RENSEIGNER","GIC",L192)&amp;"-S"&amp;TEXT(A192,"00000"))</f>
        <v/>
      </c>
      <c r="C192" s="32" t="n"/>
      <c r="D192" s="36" t="n"/>
      <c r="E192" s="36" t="n"/>
      <c r="F192" s="42" t="n"/>
      <c r="G192" s="36" t="n"/>
      <c r="H192" s="43" t="n"/>
      <c r="I192" s="37" t="n"/>
      <c r="J192" s="44" t="n"/>
      <c r="K192" s="36" t="n"/>
      <c r="L192" s="33">
        <f>IF(C192="","",Commercial_Id)</f>
        <v/>
      </c>
      <c r="M192" s="34">
        <f>IF(E192="","",IFERROR(VLOOKUP(E192,T_Produits,2,FALSE),""))</f>
        <v/>
      </c>
      <c r="N192" s="40">
        <f>IF(E192="","",IFERROR(1/(1/VLOOKUP(E192,T_Produits,3,FALSE)),""))</f>
        <v/>
      </c>
      <c r="O192" s="40">
        <f>IF(OR(D192="",F192=""),"",IF(OR(D192="Casse / avarie",D192="Perte / vol",D192="Échantillon offert"),IF(I192&lt;&gt;"",I192,IF(N192="","",F192*N192)),""))</f>
        <v/>
      </c>
      <c r="P192" s="50">
        <f>IF(OR(D192="",F192=""),"",F192*IF(OR(D192="Reçu du magasin",D192="Ajustement (+)"),1,-1))</f>
        <v/>
      </c>
      <c r="Q192" s="34">
        <f>IF(C192="","",YEAR(C192-WEEKDAY(C192,2)+4)&amp;"-S"&amp;TEXT(INT((C192-DATE(YEAR(C192-WEEKDAY(C192,2)+4),1,3)+WEEKDAY(DATE(YEAR(C192-WEEKDAY(C192,2)+4),1,3),2)+5)/7),"00"))</f>
        <v/>
      </c>
    </row>
    <row r="193" ht="18" customHeight="1">
      <c r="A193" s="39" t="n">
        <v>188</v>
      </c>
      <c r="B193" s="33">
        <f>IF(C193="","",IF(L193="À RENSEIGNER","GIC",L193)&amp;"-S"&amp;TEXT(A193,"00000"))</f>
        <v/>
      </c>
      <c r="C193" s="32" t="n"/>
      <c r="D193" s="36" t="n"/>
      <c r="E193" s="36" t="n"/>
      <c r="F193" s="42" t="n"/>
      <c r="G193" s="36" t="n"/>
      <c r="H193" s="43" t="n"/>
      <c r="I193" s="37" t="n"/>
      <c r="J193" s="44" t="n"/>
      <c r="K193" s="36" t="n"/>
      <c r="L193" s="33">
        <f>IF(C193="","",Commercial_Id)</f>
        <v/>
      </c>
      <c r="M193" s="34">
        <f>IF(E193="","",IFERROR(VLOOKUP(E193,T_Produits,2,FALSE),""))</f>
        <v/>
      </c>
      <c r="N193" s="40">
        <f>IF(E193="","",IFERROR(1/(1/VLOOKUP(E193,T_Produits,3,FALSE)),""))</f>
        <v/>
      </c>
      <c r="O193" s="40">
        <f>IF(OR(D193="",F193=""),"",IF(OR(D193="Casse / avarie",D193="Perte / vol",D193="Échantillon offert"),IF(I193&lt;&gt;"",I193,IF(N193="","",F193*N193)),""))</f>
        <v/>
      </c>
      <c r="P193" s="50">
        <f>IF(OR(D193="",F193=""),"",F193*IF(OR(D193="Reçu du magasin",D193="Ajustement (+)"),1,-1))</f>
        <v/>
      </c>
      <c r="Q193" s="34">
        <f>IF(C193="","",YEAR(C193-WEEKDAY(C193,2)+4)&amp;"-S"&amp;TEXT(INT((C193-DATE(YEAR(C193-WEEKDAY(C193,2)+4),1,3)+WEEKDAY(DATE(YEAR(C193-WEEKDAY(C193,2)+4),1,3),2)+5)/7),"00"))</f>
        <v/>
      </c>
    </row>
    <row r="194" ht="18" customHeight="1">
      <c r="A194" s="39" t="n">
        <v>189</v>
      </c>
      <c r="B194" s="33">
        <f>IF(C194="","",IF(L194="À RENSEIGNER","GIC",L194)&amp;"-S"&amp;TEXT(A194,"00000"))</f>
        <v/>
      </c>
      <c r="C194" s="32" t="n"/>
      <c r="D194" s="36" t="n"/>
      <c r="E194" s="36" t="n"/>
      <c r="F194" s="42" t="n"/>
      <c r="G194" s="36" t="n"/>
      <c r="H194" s="43" t="n"/>
      <c r="I194" s="37" t="n"/>
      <c r="J194" s="44" t="n"/>
      <c r="K194" s="36" t="n"/>
      <c r="L194" s="33">
        <f>IF(C194="","",Commercial_Id)</f>
        <v/>
      </c>
      <c r="M194" s="34">
        <f>IF(E194="","",IFERROR(VLOOKUP(E194,T_Produits,2,FALSE),""))</f>
        <v/>
      </c>
      <c r="N194" s="40">
        <f>IF(E194="","",IFERROR(1/(1/VLOOKUP(E194,T_Produits,3,FALSE)),""))</f>
        <v/>
      </c>
      <c r="O194" s="40">
        <f>IF(OR(D194="",F194=""),"",IF(OR(D194="Casse / avarie",D194="Perte / vol",D194="Échantillon offert"),IF(I194&lt;&gt;"",I194,IF(N194="","",F194*N194)),""))</f>
        <v/>
      </c>
      <c r="P194" s="50">
        <f>IF(OR(D194="",F194=""),"",F194*IF(OR(D194="Reçu du magasin",D194="Ajustement (+)"),1,-1))</f>
        <v/>
      </c>
      <c r="Q194" s="34">
        <f>IF(C194="","",YEAR(C194-WEEKDAY(C194,2)+4)&amp;"-S"&amp;TEXT(INT((C194-DATE(YEAR(C194-WEEKDAY(C194,2)+4),1,3)+WEEKDAY(DATE(YEAR(C194-WEEKDAY(C194,2)+4),1,3),2)+5)/7),"00"))</f>
        <v/>
      </c>
    </row>
    <row r="195" ht="18" customHeight="1">
      <c r="A195" s="39" t="n">
        <v>190</v>
      </c>
      <c r="B195" s="33">
        <f>IF(C195="","",IF(L195="À RENSEIGNER","GIC",L195)&amp;"-S"&amp;TEXT(A195,"00000"))</f>
        <v/>
      </c>
      <c r="C195" s="32" t="n"/>
      <c r="D195" s="36" t="n"/>
      <c r="E195" s="36" t="n"/>
      <c r="F195" s="42" t="n"/>
      <c r="G195" s="36" t="n"/>
      <c r="H195" s="43" t="n"/>
      <c r="I195" s="37" t="n"/>
      <c r="J195" s="44" t="n"/>
      <c r="K195" s="36" t="n"/>
      <c r="L195" s="33">
        <f>IF(C195="","",Commercial_Id)</f>
        <v/>
      </c>
      <c r="M195" s="34">
        <f>IF(E195="","",IFERROR(VLOOKUP(E195,T_Produits,2,FALSE),""))</f>
        <v/>
      </c>
      <c r="N195" s="40">
        <f>IF(E195="","",IFERROR(1/(1/VLOOKUP(E195,T_Produits,3,FALSE)),""))</f>
        <v/>
      </c>
      <c r="O195" s="40">
        <f>IF(OR(D195="",F195=""),"",IF(OR(D195="Casse / avarie",D195="Perte / vol",D195="Échantillon offert"),IF(I195&lt;&gt;"",I195,IF(N195="","",F195*N195)),""))</f>
        <v/>
      </c>
      <c r="P195" s="50">
        <f>IF(OR(D195="",F195=""),"",F195*IF(OR(D195="Reçu du magasin",D195="Ajustement (+)"),1,-1))</f>
        <v/>
      </c>
      <c r="Q195" s="34">
        <f>IF(C195="","",YEAR(C195-WEEKDAY(C195,2)+4)&amp;"-S"&amp;TEXT(INT((C195-DATE(YEAR(C195-WEEKDAY(C195,2)+4),1,3)+WEEKDAY(DATE(YEAR(C195-WEEKDAY(C195,2)+4),1,3),2)+5)/7),"00"))</f>
        <v/>
      </c>
    </row>
    <row r="196" ht="18" customHeight="1">
      <c r="A196" s="39" t="n">
        <v>191</v>
      </c>
      <c r="B196" s="33">
        <f>IF(C196="","",IF(L196="À RENSEIGNER","GIC",L196)&amp;"-S"&amp;TEXT(A196,"00000"))</f>
        <v/>
      </c>
      <c r="C196" s="32" t="n"/>
      <c r="D196" s="36" t="n"/>
      <c r="E196" s="36" t="n"/>
      <c r="F196" s="42" t="n"/>
      <c r="G196" s="36" t="n"/>
      <c r="H196" s="43" t="n"/>
      <c r="I196" s="37" t="n"/>
      <c r="J196" s="44" t="n"/>
      <c r="K196" s="36" t="n"/>
      <c r="L196" s="33">
        <f>IF(C196="","",Commercial_Id)</f>
        <v/>
      </c>
      <c r="M196" s="34">
        <f>IF(E196="","",IFERROR(VLOOKUP(E196,T_Produits,2,FALSE),""))</f>
        <v/>
      </c>
      <c r="N196" s="40">
        <f>IF(E196="","",IFERROR(1/(1/VLOOKUP(E196,T_Produits,3,FALSE)),""))</f>
        <v/>
      </c>
      <c r="O196" s="40">
        <f>IF(OR(D196="",F196=""),"",IF(OR(D196="Casse / avarie",D196="Perte / vol",D196="Échantillon offert"),IF(I196&lt;&gt;"",I196,IF(N196="","",F196*N196)),""))</f>
        <v/>
      </c>
      <c r="P196" s="50">
        <f>IF(OR(D196="",F196=""),"",F196*IF(OR(D196="Reçu du magasin",D196="Ajustement (+)"),1,-1))</f>
        <v/>
      </c>
      <c r="Q196" s="34">
        <f>IF(C196="","",YEAR(C196-WEEKDAY(C196,2)+4)&amp;"-S"&amp;TEXT(INT((C196-DATE(YEAR(C196-WEEKDAY(C196,2)+4),1,3)+WEEKDAY(DATE(YEAR(C196-WEEKDAY(C196,2)+4),1,3),2)+5)/7),"00"))</f>
        <v/>
      </c>
    </row>
    <row r="197" ht="18" customHeight="1">
      <c r="A197" s="39" t="n">
        <v>192</v>
      </c>
      <c r="B197" s="33">
        <f>IF(C197="","",IF(L197="À RENSEIGNER","GIC",L197)&amp;"-S"&amp;TEXT(A197,"00000"))</f>
        <v/>
      </c>
      <c r="C197" s="32" t="n"/>
      <c r="D197" s="36" t="n"/>
      <c r="E197" s="36" t="n"/>
      <c r="F197" s="42" t="n"/>
      <c r="G197" s="36" t="n"/>
      <c r="H197" s="43" t="n"/>
      <c r="I197" s="37" t="n"/>
      <c r="J197" s="44" t="n"/>
      <c r="K197" s="36" t="n"/>
      <c r="L197" s="33">
        <f>IF(C197="","",Commercial_Id)</f>
        <v/>
      </c>
      <c r="M197" s="34">
        <f>IF(E197="","",IFERROR(VLOOKUP(E197,T_Produits,2,FALSE),""))</f>
        <v/>
      </c>
      <c r="N197" s="40">
        <f>IF(E197="","",IFERROR(1/(1/VLOOKUP(E197,T_Produits,3,FALSE)),""))</f>
        <v/>
      </c>
      <c r="O197" s="40">
        <f>IF(OR(D197="",F197=""),"",IF(OR(D197="Casse / avarie",D197="Perte / vol",D197="Échantillon offert"),IF(I197&lt;&gt;"",I197,IF(N197="","",F197*N197)),""))</f>
        <v/>
      </c>
      <c r="P197" s="50">
        <f>IF(OR(D197="",F197=""),"",F197*IF(OR(D197="Reçu du magasin",D197="Ajustement (+)"),1,-1))</f>
        <v/>
      </c>
      <c r="Q197" s="34">
        <f>IF(C197="","",YEAR(C197-WEEKDAY(C197,2)+4)&amp;"-S"&amp;TEXT(INT((C197-DATE(YEAR(C197-WEEKDAY(C197,2)+4),1,3)+WEEKDAY(DATE(YEAR(C197-WEEKDAY(C197,2)+4),1,3),2)+5)/7),"00"))</f>
        <v/>
      </c>
    </row>
    <row r="198" ht="18" customHeight="1">
      <c r="A198" s="39" t="n">
        <v>193</v>
      </c>
      <c r="B198" s="33">
        <f>IF(C198="","",IF(L198="À RENSEIGNER","GIC",L198)&amp;"-S"&amp;TEXT(A198,"00000"))</f>
        <v/>
      </c>
      <c r="C198" s="32" t="n"/>
      <c r="D198" s="36" t="n"/>
      <c r="E198" s="36" t="n"/>
      <c r="F198" s="42" t="n"/>
      <c r="G198" s="36" t="n"/>
      <c r="H198" s="43" t="n"/>
      <c r="I198" s="37" t="n"/>
      <c r="J198" s="44" t="n"/>
      <c r="K198" s="36" t="n"/>
      <c r="L198" s="33">
        <f>IF(C198="","",Commercial_Id)</f>
        <v/>
      </c>
      <c r="M198" s="34">
        <f>IF(E198="","",IFERROR(VLOOKUP(E198,T_Produits,2,FALSE),""))</f>
        <v/>
      </c>
      <c r="N198" s="40">
        <f>IF(E198="","",IFERROR(1/(1/VLOOKUP(E198,T_Produits,3,FALSE)),""))</f>
        <v/>
      </c>
      <c r="O198" s="40">
        <f>IF(OR(D198="",F198=""),"",IF(OR(D198="Casse / avarie",D198="Perte / vol",D198="Échantillon offert"),IF(I198&lt;&gt;"",I198,IF(N198="","",F198*N198)),""))</f>
        <v/>
      </c>
      <c r="P198" s="50">
        <f>IF(OR(D198="",F198=""),"",F198*IF(OR(D198="Reçu du magasin",D198="Ajustement (+)"),1,-1))</f>
        <v/>
      </c>
      <c r="Q198" s="34">
        <f>IF(C198="","",YEAR(C198-WEEKDAY(C198,2)+4)&amp;"-S"&amp;TEXT(INT((C198-DATE(YEAR(C198-WEEKDAY(C198,2)+4),1,3)+WEEKDAY(DATE(YEAR(C198-WEEKDAY(C198,2)+4),1,3),2)+5)/7),"00"))</f>
        <v/>
      </c>
    </row>
    <row r="199" ht="18" customHeight="1">
      <c r="A199" s="39" t="n">
        <v>194</v>
      </c>
      <c r="B199" s="33">
        <f>IF(C199="","",IF(L199="À RENSEIGNER","GIC",L199)&amp;"-S"&amp;TEXT(A199,"00000"))</f>
        <v/>
      </c>
      <c r="C199" s="32" t="n"/>
      <c r="D199" s="36" t="n"/>
      <c r="E199" s="36" t="n"/>
      <c r="F199" s="42" t="n"/>
      <c r="G199" s="36" t="n"/>
      <c r="H199" s="43" t="n"/>
      <c r="I199" s="37" t="n"/>
      <c r="J199" s="44" t="n"/>
      <c r="K199" s="36" t="n"/>
      <c r="L199" s="33">
        <f>IF(C199="","",Commercial_Id)</f>
        <v/>
      </c>
      <c r="M199" s="34">
        <f>IF(E199="","",IFERROR(VLOOKUP(E199,T_Produits,2,FALSE),""))</f>
        <v/>
      </c>
      <c r="N199" s="40">
        <f>IF(E199="","",IFERROR(1/(1/VLOOKUP(E199,T_Produits,3,FALSE)),""))</f>
        <v/>
      </c>
      <c r="O199" s="40">
        <f>IF(OR(D199="",F199=""),"",IF(OR(D199="Casse / avarie",D199="Perte / vol",D199="Échantillon offert"),IF(I199&lt;&gt;"",I199,IF(N199="","",F199*N199)),""))</f>
        <v/>
      </c>
      <c r="P199" s="50">
        <f>IF(OR(D199="",F199=""),"",F199*IF(OR(D199="Reçu du magasin",D199="Ajustement (+)"),1,-1))</f>
        <v/>
      </c>
      <c r="Q199" s="34">
        <f>IF(C199="","",YEAR(C199-WEEKDAY(C199,2)+4)&amp;"-S"&amp;TEXT(INT((C199-DATE(YEAR(C199-WEEKDAY(C199,2)+4),1,3)+WEEKDAY(DATE(YEAR(C199-WEEKDAY(C199,2)+4),1,3),2)+5)/7),"00"))</f>
        <v/>
      </c>
    </row>
    <row r="200" ht="18" customHeight="1">
      <c r="A200" s="39" t="n">
        <v>195</v>
      </c>
      <c r="B200" s="33">
        <f>IF(C200="","",IF(L200="À RENSEIGNER","GIC",L200)&amp;"-S"&amp;TEXT(A200,"00000"))</f>
        <v/>
      </c>
      <c r="C200" s="32" t="n"/>
      <c r="D200" s="36" t="n"/>
      <c r="E200" s="36" t="n"/>
      <c r="F200" s="42" t="n"/>
      <c r="G200" s="36" t="n"/>
      <c r="H200" s="43" t="n"/>
      <c r="I200" s="37" t="n"/>
      <c r="J200" s="44" t="n"/>
      <c r="K200" s="36" t="n"/>
      <c r="L200" s="33">
        <f>IF(C200="","",Commercial_Id)</f>
        <v/>
      </c>
      <c r="M200" s="34">
        <f>IF(E200="","",IFERROR(VLOOKUP(E200,T_Produits,2,FALSE),""))</f>
        <v/>
      </c>
      <c r="N200" s="40">
        <f>IF(E200="","",IFERROR(1/(1/VLOOKUP(E200,T_Produits,3,FALSE)),""))</f>
        <v/>
      </c>
      <c r="O200" s="40">
        <f>IF(OR(D200="",F200=""),"",IF(OR(D200="Casse / avarie",D200="Perte / vol",D200="Échantillon offert"),IF(I200&lt;&gt;"",I200,IF(N200="","",F200*N200)),""))</f>
        <v/>
      </c>
      <c r="P200" s="50">
        <f>IF(OR(D200="",F200=""),"",F200*IF(OR(D200="Reçu du magasin",D200="Ajustement (+)"),1,-1))</f>
        <v/>
      </c>
      <c r="Q200" s="34">
        <f>IF(C200="","",YEAR(C200-WEEKDAY(C200,2)+4)&amp;"-S"&amp;TEXT(INT((C200-DATE(YEAR(C200-WEEKDAY(C200,2)+4),1,3)+WEEKDAY(DATE(YEAR(C200-WEEKDAY(C200,2)+4),1,3),2)+5)/7),"00"))</f>
        <v/>
      </c>
    </row>
    <row r="201" ht="18" customHeight="1">
      <c r="A201" s="39" t="n">
        <v>196</v>
      </c>
      <c r="B201" s="33">
        <f>IF(C201="","",IF(L201="À RENSEIGNER","GIC",L201)&amp;"-S"&amp;TEXT(A201,"00000"))</f>
        <v/>
      </c>
      <c r="C201" s="32" t="n"/>
      <c r="D201" s="36" t="n"/>
      <c r="E201" s="36" t="n"/>
      <c r="F201" s="42" t="n"/>
      <c r="G201" s="36" t="n"/>
      <c r="H201" s="43" t="n"/>
      <c r="I201" s="37" t="n"/>
      <c r="J201" s="44" t="n"/>
      <c r="K201" s="36" t="n"/>
      <c r="L201" s="33">
        <f>IF(C201="","",Commercial_Id)</f>
        <v/>
      </c>
      <c r="M201" s="34">
        <f>IF(E201="","",IFERROR(VLOOKUP(E201,T_Produits,2,FALSE),""))</f>
        <v/>
      </c>
      <c r="N201" s="40">
        <f>IF(E201="","",IFERROR(1/(1/VLOOKUP(E201,T_Produits,3,FALSE)),""))</f>
        <v/>
      </c>
      <c r="O201" s="40">
        <f>IF(OR(D201="",F201=""),"",IF(OR(D201="Casse / avarie",D201="Perte / vol",D201="Échantillon offert"),IF(I201&lt;&gt;"",I201,IF(N201="","",F201*N201)),""))</f>
        <v/>
      </c>
      <c r="P201" s="50">
        <f>IF(OR(D201="",F201=""),"",F201*IF(OR(D201="Reçu du magasin",D201="Ajustement (+)"),1,-1))</f>
        <v/>
      </c>
      <c r="Q201" s="34">
        <f>IF(C201="","",YEAR(C201-WEEKDAY(C201,2)+4)&amp;"-S"&amp;TEXT(INT((C201-DATE(YEAR(C201-WEEKDAY(C201,2)+4),1,3)+WEEKDAY(DATE(YEAR(C201-WEEKDAY(C201,2)+4),1,3),2)+5)/7),"00"))</f>
        <v/>
      </c>
    </row>
    <row r="202" ht="18" customHeight="1">
      <c r="A202" s="39" t="n">
        <v>197</v>
      </c>
      <c r="B202" s="33">
        <f>IF(C202="","",IF(L202="À RENSEIGNER","GIC",L202)&amp;"-S"&amp;TEXT(A202,"00000"))</f>
        <v/>
      </c>
      <c r="C202" s="32" t="n"/>
      <c r="D202" s="36" t="n"/>
      <c r="E202" s="36" t="n"/>
      <c r="F202" s="42" t="n"/>
      <c r="G202" s="36" t="n"/>
      <c r="H202" s="43" t="n"/>
      <c r="I202" s="37" t="n"/>
      <c r="J202" s="44" t="n"/>
      <c r="K202" s="36" t="n"/>
      <c r="L202" s="33">
        <f>IF(C202="","",Commercial_Id)</f>
        <v/>
      </c>
      <c r="M202" s="34">
        <f>IF(E202="","",IFERROR(VLOOKUP(E202,T_Produits,2,FALSE),""))</f>
        <v/>
      </c>
      <c r="N202" s="40">
        <f>IF(E202="","",IFERROR(1/(1/VLOOKUP(E202,T_Produits,3,FALSE)),""))</f>
        <v/>
      </c>
      <c r="O202" s="40">
        <f>IF(OR(D202="",F202=""),"",IF(OR(D202="Casse / avarie",D202="Perte / vol",D202="Échantillon offert"),IF(I202&lt;&gt;"",I202,IF(N202="","",F202*N202)),""))</f>
        <v/>
      </c>
      <c r="P202" s="50">
        <f>IF(OR(D202="",F202=""),"",F202*IF(OR(D202="Reçu du magasin",D202="Ajustement (+)"),1,-1))</f>
        <v/>
      </c>
      <c r="Q202" s="34">
        <f>IF(C202="","",YEAR(C202-WEEKDAY(C202,2)+4)&amp;"-S"&amp;TEXT(INT((C202-DATE(YEAR(C202-WEEKDAY(C202,2)+4),1,3)+WEEKDAY(DATE(YEAR(C202-WEEKDAY(C202,2)+4),1,3),2)+5)/7),"00"))</f>
        <v/>
      </c>
    </row>
    <row r="203" ht="18" customHeight="1">
      <c r="A203" s="39" t="n">
        <v>198</v>
      </c>
      <c r="B203" s="33">
        <f>IF(C203="","",IF(L203="À RENSEIGNER","GIC",L203)&amp;"-S"&amp;TEXT(A203,"00000"))</f>
        <v/>
      </c>
      <c r="C203" s="32" t="n"/>
      <c r="D203" s="36" t="n"/>
      <c r="E203" s="36" t="n"/>
      <c r="F203" s="42" t="n"/>
      <c r="G203" s="36" t="n"/>
      <c r="H203" s="43" t="n"/>
      <c r="I203" s="37" t="n"/>
      <c r="J203" s="44" t="n"/>
      <c r="K203" s="36" t="n"/>
      <c r="L203" s="33">
        <f>IF(C203="","",Commercial_Id)</f>
        <v/>
      </c>
      <c r="M203" s="34">
        <f>IF(E203="","",IFERROR(VLOOKUP(E203,T_Produits,2,FALSE),""))</f>
        <v/>
      </c>
      <c r="N203" s="40">
        <f>IF(E203="","",IFERROR(1/(1/VLOOKUP(E203,T_Produits,3,FALSE)),""))</f>
        <v/>
      </c>
      <c r="O203" s="40">
        <f>IF(OR(D203="",F203=""),"",IF(OR(D203="Casse / avarie",D203="Perte / vol",D203="Échantillon offert"),IF(I203&lt;&gt;"",I203,IF(N203="","",F203*N203)),""))</f>
        <v/>
      </c>
      <c r="P203" s="50">
        <f>IF(OR(D203="",F203=""),"",F203*IF(OR(D203="Reçu du magasin",D203="Ajustement (+)"),1,-1))</f>
        <v/>
      </c>
      <c r="Q203" s="34">
        <f>IF(C203="","",YEAR(C203-WEEKDAY(C203,2)+4)&amp;"-S"&amp;TEXT(INT((C203-DATE(YEAR(C203-WEEKDAY(C203,2)+4),1,3)+WEEKDAY(DATE(YEAR(C203-WEEKDAY(C203,2)+4),1,3),2)+5)/7),"00"))</f>
        <v/>
      </c>
    </row>
    <row r="204" ht="18" customHeight="1">
      <c r="A204" s="39" t="n">
        <v>199</v>
      </c>
      <c r="B204" s="33">
        <f>IF(C204="","",IF(L204="À RENSEIGNER","GIC",L204)&amp;"-S"&amp;TEXT(A204,"00000"))</f>
        <v/>
      </c>
      <c r="C204" s="32" t="n"/>
      <c r="D204" s="36" t="n"/>
      <c r="E204" s="36" t="n"/>
      <c r="F204" s="42" t="n"/>
      <c r="G204" s="36" t="n"/>
      <c r="H204" s="43" t="n"/>
      <c r="I204" s="37" t="n"/>
      <c r="J204" s="44" t="n"/>
      <c r="K204" s="36" t="n"/>
      <c r="L204" s="33">
        <f>IF(C204="","",Commercial_Id)</f>
        <v/>
      </c>
      <c r="M204" s="34">
        <f>IF(E204="","",IFERROR(VLOOKUP(E204,T_Produits,2,FALSE),""))</f>
        <v/>
      </c>
      <c r="N204" s="40">
        <f>IF(E204="","",IFERROR(1/(1/VLOOKUP(E204,T_Produits,3,FALSE)),""))</f>
        <v/>
      </c>
      <c r="O204" s="40">
        <f>IF(OR(D204="",F204=""),"",IF(OR(D204="Casse / avarie",D204="Perte / vol",D204="Échantillon offert"),IF(I204&lt;&gt;"",I204,IF(N204="","",F204*N204)),""))</f>
        <v/>
      </c>
      <c r="P204" s="50">
        <f>IF(OR(D204="",F204=""),"",F204*IF(OR(D204="Reçu du magasin",D204="Ajustement (+)"),1,-1))</f>
        <v/>
      </c>
      <c r="Q204" s="34">
        <f>IF(C204="","",YEAR(C204-WEEKDAY(C204,2)+4)&amp;"-S"&amp;TEXT(INT((C204-DATE(YEAR(C204-WEEKDAY(C204,2)+4),1,3)+WEEKDAY(DATE(YEAR(C204-WEEKDAY(C204,2)+4),1,3),2)+5)/7),"00"))</f>
        <v/>
      </c>
    </row>
    <row r="205" ht="18" customHeight="1">
      <c r="A205" s="39" t="n">
        <v>200</v>
      </c>
      <c r="B205" s="33">
        <f>IF(C205="","",IF(L205="À RENSEIGNER","GIC",L205)&amp;"-S"&amp;TEXT(A205,"00000"))</f>
        <v/>
      </c>
      <c r="C205" s="32" t="n"/>
      <c r="D205" s="36" t="n"/>
      <c r="E205" s="36" t="n"/>
      <c r="F205" s="42" t="n"/>
      <c r="G205" s="36" t="n"/>
      <c r="H205" s="43" t="n"/>
      <c r="I205" s="37" t="n"/>
      <c r="J205" s="44" t="n"/>
      <c r="K205" s="36" t="n"/>
      <c r="L205" s="33">
        <f>IF(C205="","",Commercial_Id)</f>
        <v/>
      </c>
      <c r="M205" s="34">
        <f>IF(E205="","",IFERROR(VLOOKUP(E205,T_Produits,2,FALSE),""))</f>
        <v/>
      </c>
      <c r="N205" s="40">
        <f>IF(E205="","",IFERROR(1/(1/VLOOKUP(E205,T_Produits,3,FALSE)),""))</f>
        <v/>
      </c>
      <c r="O205" s="40">
        <f>IF(OR(D205="",F205=""),"",IF(OR(D205="Casse / avarie",D205="Perte / vol",D205="Échantillon offert"),IF(I205&lt;&gt;"",I205,IF(N205="","",F205*N205)),""))</f>
        <v/>
      </c>
      <c r="P205" s="50">
        <f>IF(OR(D205="",F205=""),"",F205*IF(OR(D205="Reçu du magasin",D205="Ajustement (+)"),1,-1))</f>
        <v/>
      </c>
      <c r="Q205" s="34">
        <f>IF(C205="","",YEAR(C205-WEEKDAY(C205,2)+4)&amp;"-S"&amp;TEXT(INT((C205-DATE(YEAR(C205-WEEKDAY(C205,2)+4),1,3)+WEEKDAY(DATE(YEAR(C205-WEEKDAY(C205,2)+4),1,3),2)+5)/7),"00"))</f>
        <v/>
      </c>
    </row>
    <row r="206" ht="18" customHeight="1">
      <c r="A206" s="39" t="n">
        <v>201</v>
      </c>
      <c r="B206" s="33">
        <f>IF(C206="","",IF(L206="À RENSEIGNER","GIC",L206)&amp;"-S"&amp;TEXT(A206,"00000"))</f>
        <v/>
      </c>
      <c r="C206" s="32" t="n"/>
      <c r="D206" s="36" t="n"/>
      <c r="E206" s="36" t="n"/>
      <c r="F206" s="42" t="n"/>
      <c r="G206" s="36" t="n"/>
      <c r="H206" s="43" t="n"/>
      <c r="I206" s="37" t="n"/>
      <c r="J206" s="44" t="n"/>
      <c r="K206" s="36" t="n"/>
      <c r="L206" s="33">
        <f>IF(C206="","",Commercial_Id)</f>
        <v/>
      </c>
      <c r="M206" s="34">
        <f>IF(E206="","",IFERROR(VLOOKUP(E206,T_Produits,2,FALSE),""))</f>
        <v/>
      </c>
      <c r="N206" s="40">
        <f>IF(E206="","",IFERROR(1/(1/VLOOKUP(E206,T_Produits,3,FALSE)),""))</f>
        <v/>
      </c>
      <c r="O206" s="40">
        <f>IF(OR(D206="",F206=""),"",IF(OR(D206="Casse / avarie",D206="Perte / vol",D206="Échantillon offert"),IF(I206&lt;&gt;"",I206,IF(N206="","",F206*N206)),""))</f>
        <v/>
      </c>
      <c r="P206" s="50">
        <f>IF(OR(D206="",F206=""),"",F206*IF(OR(D206="Reçu du magasin",D206="Ajustement (+)"),1,-1))</f>
        <v/>
      </c>
      <c r="Q206" s="34">
        <f>IF(C206="","",YEAR(C206-WEEKDAY(C206,2)+4)&amp;"-S"&amp;TEXT(INT((C206-DATE(YEAR(C206-WEEKDAY(C206,2)+4),1,3)+WEEKDAY(DATE(YEAR(C206-WEEKDAY(C206,2)+4),1,3),2)+5)/7),"00"))</f>
        <v/>
      </c>
    </row>
    <row r="207" ht="18" customHeight="1">
      <c r="A207" s="39" t="n">
        <v>202</v>
      </c>
      <c r="B207" s="33">
        <f>IF(C207="","",IF(L207="À RENSEIGNER","GIC",L207)&amp;"-S"&amp;TEXT(A207,"00000"))</f>
        <v/>
      </c>
      <c r="C207" s="32" t="n"/>
      <c r="D207" s="36" t="n"/>
      <c r="E207" s="36" t="n"/>
      <c r="F207" s="42" t="n"/>
      <c r="G207" s="36" t="n"/>
      <c r="H207" s="43" t="n"/>
      <c r="I207" s="37" t="n"/>
      <c r="J207" s="44" t="n"/>
      <c r="K207" s="36" t="n"/>
      <c r="L207" s="33">
        <f>IF(C207="","",Commercial_Id)</f>
        <v/>
      </c>
      <c r="M207" s="34">
        <f>IF(E207="","",IFERROR(VLOOKUP(E207,T_Produits,2,FALSE),""))</f>
        <v/>
      </c>
      <c r="N207" s="40">
        <f>IF(E207="","",IFERROR(1/(1/VLOOKUP(E207,T_Produits,3,FALSE)),""))</f>
        <v/>
      </c>
      <c r="O207" s="40">
        <f>IF(OR(D207="",F207=""),"",IF(OR(D207="Casse / avarie",D207="Perte / vol",D207="Échantillon offert"),IF(I207&lt;&gt;"",I207,IF(N207="","",F207*N207)),""))</f>
        <v/>
      </c>
      <c r="P207" s="50">
        <f>IF(OR(D207="",F207=""),"",F207*IF(OR(D207="Reçu du magasin",D207="Ajustement (+)"),1,-1))</f>
        <v/>
      </c>
      <c r="Q207" s="34">
        <f>IF(C207="","",YEAR(C207-WEEKDAY(C207,2)+4)&amp;"-S"&amp;TEXT(INT((C207-DATE(YEAR(C207-WEEKDAY(C207,2)+4),1,3)+WEEKDAY(DATE(YEAR(C207-WEEKDAY(C207,2)+4),1,3),2)+5)/7),"00"))</f>
        <v/>
      </c>
    </row>
    <row r="208" ht="18" customHeight="1">
      <c r="A208" s="39" t="n">
        <v>203</v>
      </c>
      <c r="B208" s="33">
        <f>IF(C208="","",IF(L208="À RENSEIGNER","GIC",L208)&amp;"-S"&amp;TEXT(A208,"00000"))</f>
        <v/>
      </c>
      <c r="C208" s="32" t="n"/>
      <c r="D208" s="36" t="n"/>
      <c r="E208" s="36" t="n"/>
      <c r="F208" s="42" t="n"/>
      <c r="G208" s="36" t="n"/>
      <c r="H208" s="43" t="n"/>
      <c r="I208" s="37" t="n"/>
      <c r="J208" s="44" t="n"/>
      <c r="K208" s="36" t="n"/>
      <c r="L208" s="33">
        <f>IF(C208="","",Commercial_Id)</f>
        <v/>
      </c>
      <c r="M208" s="34">
        <f>IF(E208="","",IFERROR(VLOOKUP(E208,T_Produits,2,FALSE),""))</f>
        <v/>
      </c>
      <c r="N208" s="40">
        <f>IF(E208="","",IFERROR(1/(1/VLOOKUP(E208,T_Produits,3,FALSE)),""))</f>
        <v/>
      </c>
      <c r="O208" s="40">
        <f>IF(OR(D208="",F208=""),"",IF(OR(D208="Casse / avarie",D208="Perte / vol",D208="Échantillon offert"),IF(I208&lt;&gt;"",I208,IF(N208="","",F208*N208)),""))</f>
        <v/>
      </c>
      <c r="P208" s="50">
        <f>IF(OR(D208="",F208=""),"",F208*IF(OR(D208="Reçu du magasin",D208="Ajustement (+)"),1,-1))</f>
        <v/>
      </c>
      <c r="Q208" s="34">
        <f>IF(C208="","",YEAR(C208-WEEKDAY(C208,2)+4)&amp;"-S"&amp;TEXT(INT((C208-DATE(YEAR(C208-WEEKDAY(C208,2)+4),1,3)+WEEKDAY(DATE(YEAR(C208-WEEKDAY(C208,2)+4),1,3),2)+5)/7),"00"))</f>
        <v/>
      </c>
    </row>
    <row r="209" ht="18" customHeight="1">
      <c r="A209" s="39" t="n">
        <v>204</v>
      </c>
      <c r="B209" s="33">
        <f>IF(C209="","",IF(L209="À RENSEIGNER","GIC",L209)&amp;"-S"&amp;TEXT(A209,"00000"))</f>
        <v/>
      </c>
      <c r="C209" s="32" t="n"/>
      <c r="D209" s="36" t="n"/>
      <c r="E209" s="36" t="n"/>
      <c r="F209" s="42" t="n"/>
      <c r="G209" s="36" t="n"/>
      <c r="H209" s="43" t="n"/>
      <c r="I209" s="37" t="n"/>
      <c r="J209" s="44" t="n"/>
      <c r="K209" s="36" t="n"/>
      <c r="L209" s="33">
        <f>IF(C209="","",Commercial_Id)</f>
        <v/>
      </c>
      <c r="M209" s="34">
        <f>IF(E209="","",IFERROR(VLOOKUP(E209,T_Produits,2,FALSE),""))</f>
        <v/>
      </c>
      <c r="N209" s="40">
        <f>IF(E209="","",IFERROR(1/(1/VLOOKUP(E209,T_Produits,3,FALSE)),""))</f>
        <v/>
      </c>
      <c r="O209" s="40">
        <f>IF(OR(D209="",F209=""),"",IF(OR(D209="Casse / avarie",D209="Perte / vol",D209="Échantillon offert"),IF(I209&lt;&gt;"",I209,IF(N209="","",F209*N209)),""))</f>
        <v/>
      </c>
      <c r="P209" s="50">
        <f>IF(OR(D209="",F209=""),"",F209*IF(OR(D209="Reçu du magasin",D209="Ajustement (+)"),1,-1))</f>
        <v/>
      </c>
      <c r="Q209" s="34">
        <f>IF(C209="","",YEAR(C209-WEEKDAY(C209,2)+4)&amp;"-S"&amp;TEXT(INT((C209-DATE(YEAR(C209-WEEKDAY(C209,2)+4),1,3)+WEEKDAY(DATE(YEAR(C209-WEEKDAY(C209,2)+4),1,3),2)+5)/7),"00"))</f>
        <v/>
      </c>
    </row>
    <row r="210" ht="18" customHeight="1">
      <c r="A210" s="39" t="n">
        <v>205</v>
      </c>
      <c r="B210" s="33">
        <f>IF(C210="","",IF(L210="À RENSEIGNER","GIC",L210)&amp;"-S"&amp;TEXT(A210,"00000"))</f>
        <v/>
      </c>
      <c r="C210" s="32" t="n"/>
      <c r="D210" s="36" t="n"/>
      <c r="E210" s="36" t="n"/>
      <c r="F210" s="42" t="n"/>
      <c r="G210" s="36" t="n"/>
      <c r="H210" s="43" t="n"/>
      <c r="I210" s="37" t="n"/>
      <c r="J210" s="44" t="n"/>
      <c r="K210" s="36" t="n"/>
      <c r="L210" s="33">
        <f>IF(C210="","",Commercial_Id)</f>
        <v/>
      </c>
      <c r="M210" s="34">
        <f>IF(E210="","",IFERROR(VLOOKUP(E210,T_Produits,2,FALSE),""))</f>
        <v/>
      </c>
      <c r="N210" s="40">
        <f>IF(E210="","",IFERROR(1/(1/VLOOKUP(E210,T_Produits,3,FALSE)),""))</f>
        <v/>
      </c>
      <c r="O210" s="40">
        <f>IF(OR(D210="",F210=""),"",IF(OR(D210="Casse / avarie",D210="Perte / vol",D210="Échantillon offert"),IF(I210&lt;&gt;"",I210,IF(N210="","",F210*N210)),""))</f>
        <v/>
      </c>
      <c r="P210" s="50">
        <f>IF(OR(D210="",F210=""),"",F210*IF(OR(D210="Reçu du magasin",D210="Ajustement (+)"),1,-1))</f>
        <v/>
      </c>
      <c r="Q210" s="34">
        <f>IF(C210="","",YEAR(C210-WEEKDAY(C210,2)+4)&amp;"-S"&amp;TEXT(INT((C210-DATE(YEAR(C210-WEEKDAY(C210,2)+4),1,3)+WEEKDAY(DATE(YEAR(C210-WEEKDAY(C210,2)+4),1,3),2)+5)/7),"00"))</f>
        <v/>
      </c>
    </row>
    <row r="211" ht="18" customHeight="1">
      <c r="A211" s="39" t="n">
        <v>206</v>
      </c>
      <c r="B211" s="33">
        <f>IF(C211="","",IF(L211="À RENSEIGNER","GIC",L211)&amp;"-S"&amp;TEXT(A211,"00000"))</f>
        <v/>
      </c>
      <c r="C211" s="32" t="n"/>
      <c r="D211" s="36" t="n"/>
      <c r="E211" s="36" t="n"/>
      <c r="F211" s="42" t="n"/>
      <c r="G211" s="36" t="n"/>
      <c r="H211" s="43" t="n"/>
      <c r="I211" s="37" t="n"/>
      <c r="J211" s="44" t="n"/>
      <c r="K211" s="36" t="n"/>
      <c r="L211" s="33">
        <f>IF(C211="","",Commercial_Id)</f>
        <v/>
      </c>
      <c r="M211" s="34">
        <f>IF(E211="","",IFERROR(VLOOKUP(E211,T_Produits,2,FALSE),""))</f>
        <v/>
      </c>
      <c r="N211" s="40">
        <f>IF(E211="","",IFERROR(1/(1/VLOOKUP(E211,T_Produits,3,FALSE)),""))</f>
        <v/>
      </c>
      <c r="O211" s="40">
        <f>IF(OR(D211="",F211=""),"",IF(OR(D211="Casse / avarie",D211="Perte / vol",D211="Échantillon offert"),IF(I211&lt;&gt;"",I211,IF(N211="","",F211*N211)),""))</f>
        <v/>
      </c>
      <c r="P211" s="50">
        <f>IF(OR(D211="",F211=""),"",F211*IF(OR(D211="Reçu du magasin",D211="Ajustement (+)"),1,-1))</f>
        <v/>
      </c>
      <c r="Q211" s="34">
        <f>IF(C211="","",YEAR(C211-WEEKDAY(C211,2)+4)&amp;"-S"&amp;TEXT(INT((C211-DATE(YEAR(C211-WEEKDAY(C211,2)+4),1,3)+WEEKDAY(DATE(YEAR(C211-WEEKDAY(C211,2)+4),1,3),2)+5)/7),"00"))</f>
        <v/>
      </c>
    </row>
    <row r="212" ht="18" customHeight="1">
      <c r="A212" s="39" t="n">
        <v>207</v>
      </c>
      <c r="B212" s="33">
        <f>IF(C212="","",IF(L212="À RENSEIGNER","GIC",L212)&amp;"-S"&amp;TEXT(A212,"00000"))</f>
        <v/>
      </c>
      <c r="C212" s="32" t="n"/>
      <c r="D212" s="36" t="n"/>
      <c r="E212" s="36" t="n"/>
      <c r="F212" s="42" t="n"/>
      <c r="G212" s="36" t="n"/>
      <c r="H212" s="43" t="n"/>
      <c r="I212" s="37" t="n"/>
      <c r="J212" s="44" t="n"/>
      <c r="K212" s="36" t="n"/>
      <c r="L212" s="33">
        <f>IF(C212="","",Commercial_Id)</f>
        <v/>
      </c>
      <c r="M212" s="34">
        <f>IF(E212="","",IFERROR(VLOOKUP(E212,T_Produits,2,FALSE),""))</f>
        <v/>
      </c>
      <c r="N212" s="40">
        <f>IF(E212="","",IFERROR(1/(1/VLOOKUP(E212,T_Produits,3,FALSE)),""))</f>
        <v/>
      </c>
      <c r="O212" s="40">
        <f>IF(OR(D212="",F212=""),"",IF(OR(D212="Casse / avarie",D212="Perte / vol",D212="Échantillon offert"),IF(I212&lt;&gt;"",I212,IF(N212="","",F212*N212)),""))</f>
        <v/>
      </c>
      <c r="P212" s="50">
        <f>IF(OR(D212="",F212=""),"",F212*IF(OR(D212="Reçu du magasin",D212="Ajustement (+)"),1,-1))</f>
        <v/>
      </c>
      <c r="Q212" s="34">
        <f>IF(C212="","",YEAR(C212-WEEKDAY(C212,2)+4)&amp;"-S"&amp;TEXT(INT((C212-DATE(YEAR(C212-WEEKDAY(C212,2)+4),1,3)+WEEKDAY(DATE(YEAR(C212-WEEKDAY(C212,2)+4),1,3),2)+5)/7),"00"))</f>
        <v/>
      </c>
    </row>
    <row r="213" ht="18" customHeight="1">
      <c r="A213" s="39" t="n">
        <v>208</v>
      </c>
      <c r="B213" s="33">
        <f>IF(C213="","",IF(L213="À RENSEIGNER","GIC",L213)&amp;"-S"&amp;TEXT(A213,"00000"))</f>
        <v/>
      </c>
      <c r="C213" s="32" t="n"/>
      <c r="D213" s="36" t="n"/>
      <c r="E213" s="36" t="n"/>
      <c r="F213" s="42" t="n"/>
      <c r="G213" s="36" t="n"/>
      <c r="H213" s="43" t="n"/>
      <c r="I213" s="37" t="n"/>
      <c r="J213" s="44" t="n"/>
      <c r="K213" s="36" t="n"/>
      <c r="L213" s="33">
        <f>IF(C213="","",Commercial_Id)</f>
        <v/>
      </c>
      <c r="M213" s="34">
        <f>IF(E213="","",IFERROR(VLOOKUP(E213,T_Produits,2,FALSE),""))</f>
        <v/>
      </c>
      <c r="N213" s="40">
        <f>IF(E213="","",IFERROR(1/(1/VLOOKUP(E213,T_Produits,3,FALSE)),""))</f>
        <v/>
      </c>
      <c r="O213" s="40">
        <f>IF(OR(D213="",F213=""),"",IF(OR(D213="Casse / avarie",D213="Perte / vol",D213="Échantillon offert"),IF(I213&lt;&gt;"",I213,IF(N213="","",F213*N213)),""))</f>
        <v/>
      </c>
      <c r="P213" s="50">
        <f>IF(OR(D213="",F213=""),"",F213*IF(OR(D213="Reçu du magasin",D213="Ajustement (+)"),1,-1))</f>
        <v/>
      </c>
      <c r="Q213" s="34">
        <f>IF(C213="","",YEAR(C213-WEEKDAY(C213,2)+4)&amp;"-S"&amp;TEXT(INT((C213-DATE(YEAR(C213-WEEKDAY(C213,2)+4),1,3)+WEEKDAY(DATE(YEAR(C213-WEEKDAY(C213,2)+4),1,3),2)+5)/7),"00"))</f>
        <v/>
      </c>
    </row>
    <row r="214" ht="18" customHeight="1">
      <c r="A214" s="39" t="n">
        <v>209</v>
      </c>
      <c r="B214" s="33">
        <f>IF(C214="","",IF(L214="À RENSEIGNER","GIC",L214)&amp;"-S"&amp;TEXT(A214,"00000"))</f>
        <v/>
      </c>
      <c r="C214" s="32" t="n"/>
      <c r="D214" s="36" t="n"/>
      <c r="E214" s="36" t="n"/>
      <c r="F214" s="42" t="n"/>
      <c r="G214" s="36" t="n"/>
      <c r="H214" s="43" t="n"/>
      <c r="I214" s="37" t="n"/>
      <c r="J214" s="44" t="n"/>
      <c r="K214" s="36" t="n"/>
      <c r="L214" s="33">
        <f>IF(C214="","",Commercial_Id)</f>
        <v/>
      </c>
      <c r="M214" s="34">
        <f>IF(E214="","",IFERROR(VLOOKUP(E214,T_Produits,2,FALSE),""))</f>
        <v/>
      </c>
      <c r="N214" s="40">
        <f>IF(E214="","",IFERROR(1/(1/VLOOKUP(E214,T_Produits,3,FALSE)),""))</f>
        <v/>
      </c>
      <c r="O214" s="40">
        <f>IF(OR(D214="",F214=""),"",IF(OR(D214="Casse / avarie",D214="Perte / vol",D214="Échantillon offert"),IF(I214&lt;&gt;"",I214,IF(N214="","",F214*N214)),""))</f>
        <v/>
      </c>
      <c r="P214" s="50">
        <f>IF(OR(D214="",F214=""),"",F214*IF(OR(D214="Reçu du magasin",D214="Ajustement (+)"),1,-1))</f>
        <v/>
      </c>
      <c r="Q214" s="34">
        <f>IF(C214="","",YEAR(C214-WEEKDAY(C214,2)+4)&amp;"-S"&amp;TEXT(INT((C214-DATE(YEAR(C214-WEEKDAY(C214,2)+4),1,3)+WEEKDAY(DATE(YEAR(C214-WEEKDAY(C214,2)+4),1,3),2)+5)/7),"00"))</f>
        <v/>
      </c>
    </row>
    <row r="215" ht="18" customHeight="1">
      <c r="A215" s="39" t="n">
        <v>210</v>
      </c>
      <c r="B215" s="33">
        <f>IF(C215="","",IF(L215="À RENSEIGNER","GIC",L215)&amp;"-S"&amp;TEXT(A215,"00000"))</f>
        <v/>
      </c>
      <c r="C215" s="32" t="n"/>
      <c r="D215" s="36" t="n"/>
      <c r="E215" s="36" t="n"/>
      <c r="F215" s="42" t="n"/>
      <c r="G215" s="36" t="n"/>
      <c r="H215" s="43" t="n"/>
      <c r="I215" s="37" t="n"/>
      <c r="J215" s="44" t="n"/>
      <c r="K215" s="36" t="n"/>
      <c r="L215" s="33">
        <f>IF(C215="","",Commercial_Id)</f>
        <v/>
      </c>
      <c r="M215" s="34">
        <f>IF(E215="","",IFERROR(VLOOKUP(E215,T_Produits,2,FALSE),""))</f>
        <v/>
      </c>
      <c r="N215" s="40">
        <f>IF(E215="","",IFERROR(1/(1/VLOOKUP(E215,T_Produits,3,FALSE)),""))</f>
        <v/>
      </c>
      <c r="O215" s="40">
        <f>IF(OR(D215="",F215=""),"",IF(OR(D215="Casse / avarie",D215="Perte / vol",D215="Échantillon offert"),IF(I215&lt;&gt;"",I215,IF(N215="","",F215*N215)),""))</f>
        <v/>
      </c>
      <c r="P215" s="50">
        <f>IF(OR(D215="",F215=""),"",F215*IF(OR(D215="Reçu du magasin",D215="Ajustement (+)"),1,-1))</f>
        <v/>
      </c>
      <c r="Q215" s="34">
        <f>IF(C215="","",YEAR(C215-WEEKDAY(C215,2)+4)&amp;"-S"&amp;TEXT(INT((C215-DATE(YEAR(C215-WEEKDAY(C215,2)+4),1,3)+WEEKDAY(DATE(YEAR(C215-WEEKDAY(C215,2)+4),1,3),2)+5)/7),"00"))</f>
        <v/>
      </c>
    </row>
    <row r="216" ht="18" customHeight="1">
      <c r="A216" s="39" t="n">
        <v>211</v>
      </c>
      <c r="B216" s="33">
        <f>IF(C216="","",IF(L216="À RENSEIGNER","GIC",L216)&amp;"-S"&amp;TEXT(A216,"00000"))</f>
        <v/>
      </c>
      <c r="C216" s="32" t="n"/>
      <c r="D216" s="36" t="n"/>
      <c r="E216" s="36" t="n"/>
      <c r="F216" s="42" t="n"/>
      <c r="G216" s="36" t="n"/>
      <c r="H216" s="43" t="n"/>
      <c r="I216" s="37" t="n"/>
      <c r="J216" s="44" t="n"/>
      <c r="K216" s="36" t="n"/>
      <c r="L216" s="33">
        <f>IF(C216="","",Commercial_Id)</f>
        <v/>
      </c>
      <c r="M216" s="34">
        <f>IF(E216="","",IFERROR(VLOOKUP(E216,T_Produits,2,FALSE),""))</f>
        <v/>
      </c>
      <c r="N216" s="40">
        <f>IF(E216="","",IFERROR(1/(1/VLOOKUP(E216,T_Produits,3,FALSE)),""))</f>
        <v/>
      </c>
      <c r="O216" s="40">
        <f>IF(OR(D216="",F216=""),"",IF(OR(D216="Casse / avarie",D216="Perte / vol",D216="Échantillon offert"),IF(I216&lt;&gt;"",I216,IF(N216="","",F216*N216)),""))</f>
        <v/>
      </c>
      <c r="P216" s="50">
        <f>IF(OR(D216="",F216=""),"",F216*IF(OR(D216="Reçu du magasin",D216="Ajustement (+)"),1,-1))</f>
        <v/>
      </c>
      <c r="Q216" s="34">
        <f>IF(C216="","",YEAR(C216-WEEKDAY(C216,2)+4)&amp;"-S"&amp;TEXT(INT((C216-DATE(YEAR(C216-WEEKDAY(C216,2)+4),1,3)+WEEKDAY(DATE(YEAR(C216-WEEKDAY(C216,2)+4),1,3),2)+5)/7),"00"))</f>
        <v/>
      </c>
    </row>
    <row r="217" ht="18" customHeight="1">
      <c r="A217" s="39" t="n">
        <v>212</v>
      </c>
      <c r="B217" s="33">
        <f>IF(C217="","",IF(L217="À RENSEIGNER","GIC",L217)&amp;"-S"&amp;TEXT(A217,"00000"))</f>
        <v/>
      </c>
      <c r="C217" s="32" t="n"/>
      <c r="D217" s="36" t="n"/>
      <c r="E217" s="36" t="n"/>
      <c r="F217" s="42" t="n"/>
      <c r="G217" s="36" t="n"/>
      <c r="H217" s="43" t="n"/>
      <c r="I217" s="37" t="n"/>
      <c r="J217" s="44" t="n"/>
      <c r="K217" s="36" t="n"/>
      <c r="L217" s="33">
        <f>IF(C217="","",Commercial_Id)</f>
        <v/>
      </c>
      <c r="M217" s="34">
        <f>IF(E217="","",IFERROR(VLOOKUP(E217,T_Produits,2,FALSE),""))</f>
        <v/>
      </c>
      <c r="N217" s="40">
        <f>IF(E217="","",IFERROR(1/(1/VLOOKUP(E217,T_Produits,3,FALSE)),""))</f>
        <v/>
      </c>
      <c r="O217" s="40">
        <f>IF(OR(D217="",F217=""),"",IF(OR(D217="Casse / avarie",D217="Perte / vol",D217="Échantillon offert"),IF(I217&lt;&gt;"",I217,IF(N217="","",F217*N217)),""))</f>
        <v/>
      </c>
      <c r="P217" s="50">
        <f>IF(OR(D217="",F217=""),"",F217*IF(OR(D217="Reçu du magasin",D217="Ajustement (+)"),1,-1))</f>
        <v/>
      </c>
      <c r="Q217" s="34">
        <f>IF(C217="","",YEAR(C217-WEEKDAY(C217,2)+4)&amp;"-S"&amp;TEXT(INT((C217-DATE(YEAR(C217-WEEKDAY(C217,2)+4),1,3)+WEEKDAY(DATE(YEAR(C217-WEEKDAY(C217,2)+4),1,3),2)+5)/7),"00"))</f>
        <v/>
      </c>
    </row>
    <row r="218" ht="18" customHeight="1">
      <c r="A218" s="39" t="n">
        <v>213</v>
      </c>
      <c r="B218" s="33">
        <f>IF(C218="","",IF(L218="À RENSEIGNER","GIC",L218)&amp;"-S"&amp;TEXT(A218,"00000"))</f>
        <v/>
      </c>
      <c r="C218" s="32" t="n"/>
      <c r="D218" s="36" t="n"/>
      <c r="E218" s="36" t="n"/>
      <c r="F218" s="42" t="n"/>
      <c r="G218" s="36" t="n"/>
      <c r="H218" s="43" t="n"/>
      <c r="I218" s="37" t="n"/>
      <c r="J218" s="44" t="n"/>
      <c r="K218" s="36" t="n"/>
      <c r="L218" s="33">
        <f>IF(C218="","",Commercial_Id)</f>
        <v/>
      </c>
      <c r="M218" s="34">
        <f>IF(E218="","",IFERROR(VLOOKUP(E218,T_Produits,2,FALSE),""))</f>
        <v/>
      </c>
      <c r="N218" s="40">
        <f>IF(E218="","",IFERROR(1/(1/VLOOKUP(E218,T_Produits,3,FALSE)),""))</f>
        <v/>
      </c>
      <c r="O218" s="40">
        <f>IF(OR(D218="",F218=""),"",IF(OR(D218="Casse / avarie",D218="Perte / vol",D218="Échantillon offert"),IF(I218&lt;&gt;"",I218,IF(N218="","",F218*N218)),""))</f>
        <v/>
      </c>
      <c r="P218" s="50">
        <f>IF(OR(D218="",F218=""),"",F218*IF(OR(D218="Reçu du magasin",D218="Ajustement (+)"),1,-1))</f>
        <v/>
      </c>
      <c r="Q218" s="34">
        <f>IF(C218="","",YEAR(C218-WEEKDAY(C218,2)+4)&amp;"-S"&amp;TEXT(INT((C218-DATE(YEAR(C218-WEEKDAY(C218,2)+4),1,3)+WEEKDAY(DATE(YEAR(C218-WEEKDAY(C218,2)+4),1,3),2)+5)/7),"00"))</f>
        <v/>
      </c>
    </row>
    <row r="219" ht="18" customHeight="1">
      <c r="A219" s="39" t="n">
        <v>214</v>
      </c>
      <c r="B219" s="33">
        <f>IF(C219="","",IF(L219="À RENSEIGNER","GIC",L219)&amp;"-S"&amp;TEXT(A219,"00000"))</f>
        <v/>
      </c>
      <c r="C219" s="32" t="n"/>
      <c r="D219" s="36" t="n"/>
      <c r="E219" s="36" t="n"/>
      <c r="F219" s="42" t="n"/>
      <c r="G219" s="36" t="n"/>
      <c r="H219" s="43" t="n"/>
      <c r="I219" s="37" t="n"/>
      <c r="J219" s="44" t="n"/>
      <c r="K219" s="36" t="n"/>
      <c r="L219" s="33">
        <f>IF(C219="","",Commercial_Id)</f>
        <v/>
      </c>
      <c r="M219" s="34">
        <f>IF(E219="","",IFERROR(VLOOKUP(E219,T_Produits,2,FALSE),""))</f>
        <v/>
      </c>
      <c r="N219" s="40">
        <f>IF(E219="","",IFERROR(1/(1/VLOOKUP(E219,T_Produits,3,FALSE)),""))</f>
        <v/>
      </c>
      <c r="O219" s="40">
        <f>IF(OR(D219="",F219=""),"",IF(OR(D219="Casse / avarie",D219="Perte / vol",D219="Échantillon offert"),IF(I219&lt;&gt;"",I219,IF(N219="","",F219*N219)),""))</f>
        <v/>
      </c>
      <c r="P219" s="50">
        <f>IF(OR(D219="",F219=""),"",F219*IF(OR(D219="Reçu du magasin",D219="Ajustement (+)"),1,-1))</f>
        <v/>
      </c>
      <c r="Q219" s="34">
        <f>IF(C219="","",YEAR(C219-WEEKDAY(C219,2)+4)&amp;"-S"&amp;TEXT(INT((C219-DATE(YEAR(C219-WEEKDAY(C219,2)+4),1,3)+WEEKDAY(DATE(YEAR(C219-WEEKDAY(C219,2)+4),1,3),2)+5)/7),"00"))</f>
        <v/>
      </c>
    </row>
    <row r="220" ht="18" customHeight="1">
      <c r="A220" s="39" t="n">
        <v>215</v>
      </c>
      <c r="B220" s="33">
        <f>IF(C220="","",IF(L220="À RENSEIGNER","GIC",L220)&amp;"-S"&amp;TEXT(A220,"00000"))</f>
        <v/>
      </c>
      <c r="C220" s="32" t="n"/>
      <c r="D220" s="36" t="n"/>
      <c r="E220" s="36" t="n"/>
      <c r="F220" s="42" t="n"/>
      <c r="G220" s="36" t="n"/>
      <c r="H220" s="43" t="n"/>
      <c r="I220" s="37" t="n"/>
      <c r="J220" s="44" t="n"/>
      <c r="K220" s="36" t="n"/>
      <c r="L220" s="33">
        <f>IF(C220="","",Commercial_Id)</f>
        <v/>
      </c>
      <c r="M220" s="34">
        <f>IF(E220="","",IFERROR(VLOOKUP(E220,T_Produits,2,FALSE),""))</f>
        <v/>
      </c>
      <c r="N220" s="40">
        <f>IF(E220="","",IFERROR(1/(1/VLOOKUP(E220,T_Produits,3,FALSE)),""))</f>
        <v/>
      </c>
      <c r="O220" s="40">
        <f>IF(OR(D220="",F220=""),"",IF(OR(D220="Casse / avarie",D220="Perte / vol",D220="Échantillon offert"),IF(I220&lt;&gt;"",I220,IF(N220="","",F220*N220)),""))</f>
        <v/>
      </c>
      <c r="P220" s="50">
        <f>IF(OR(D220="",F220=""),"",F220*IF(OR(D220="Reçu du magasin",D220="Ajustement (+)"),1,-1))</f>
        <v/>
      </c>
      <c r="Q220" s="34">
        <f>IF(C220="","",YEAR(C220-WEEKDAY(C220,2)+4)&amp;"-S"&amp;TEXT(INT((C220-DATE(YEAR(C220-WEEKDAY(C220,2)+4),1,3)+WEEKDAY(DATE(YEAR(C220-WEEKDAY(C220,2)+4),1,3),2)+5)/7),"00"))</f>
        <v/>
      </c>
    </row>
    <row r="221" ht="18" customHeight="1">
      <c r="A221" s="39" t="n">
        <v>216</v>
      </c>
      <c r="B221" s="33">
        <f>IF(C221="","",IF(L221="À RENSEIGNER","GIC",L221)&amp;"-S"&amp;TEXT(A221,"00000"))</f>
        <v/>
      </c>
      <c r="C221" s="32" t="n"/>
      <c r="D221" s="36" t="n"/>
      <c r="E221" s="36" t="n"/>
      <c r="F221" s="42" t="n"/>
      <c r="G221" s="36" t="n"/>
      <c r="H221" s="43" t="n"/>
      <c r="I221" s="37" t="n"/>
      <c r="J221" s="44" t="n"/>
      <c r="K221" s="36" t="n"/>
      <c r="L221" s="33">
        <f>IF(C221="","",Commercial_Id)</f>
        <v/>
      </c>
      <c r="M221" s="34">
        <f>IF(E221="","",IFERROR(VLOOKUP(E221,T_Produits,2,FALSE),""))</f>
        <v/>
      </c>
      <c r="N221" s="40">
        <f>IF(E221="","",IFERROR(1/(1/VLOOKUP(E221,T_Produits,3,FALSE)),""))</f>
        <v/>
      </c>
      <c r="O221" s="40">
        <f>IF(OR(D221="",F221=""),"",IF(OR(D221="Casse / avarie",D221="Perte / vol",D221="Échantillon offert"),IF(I221&lt;&gt;"",I221,IF(N221="","",F221*N221)),""))</f>
        <v/>
      </c>
      <c r="P221" s="50">
        <f>IF(OR(D221="",F221=""),"",F221*IF(OR(D221="Reçu du magasin",D221="Ajustement (+)"),1,-1))</f>
        <v/>
      </c>
      <c r="Q221" s="34">
        <f>IF(C221="","",YEAR(C221-WEEKDAY(C221,2)+4)&amp;"-S"&amp;TEXT(INT((C221-DATE(YEAR(C221-WEEKDAY(C221,2)+4),1,3)+WEEKDAY(DATE(YEAR(C221-WEEKDAY(C221,2)+4),1,3),2)+5)/7),"00"))</f>
        <v/>
      </c>
    </row>
    <row r="222" ht="18" customHeight="1">
      <c r="A222" s="39" t="n">
        <v>217</v>
      </c>
      <c r="B222" s="33">
        <f>IF(C222="","",IF(L222="À RENSEIGNER","GIC",L222)&amp;"-S"&amp;TEXT(A222,"00000"))</f>
        <v/>
      </c>
      <c r="C222" s="32" t="n"/>
      <c r="D222" s="36" t="n"/>
      <c r="E222" s="36" t="n"/>
      <c r="F222" s="42" t="n"/>
      <c r="G222" s="36" t="n"/>
      <c r="H222" s="43" t="n"/>
      <c r="I222" s="37" t="n"/>
      <c r="J222" s="44" t="n"/>
      <c r="K222" s="36" t="n"/>
      <c r="L222" s="33">
        <f>IF(C222="","",Commercial_Id)</f>
        <v/>
      </c>
      <c r="M222" s="34">
        <f>IF(E222="","",IFERROR(VLOOKUP(E222,T_Produits,2,FALSE),""))</f>
        <v/>
      </c>
      <c r="N222" s="40">
        <f>IF(E222="","",IFERROR(1/(1/VLOOKUP(E222,T_Produits,3,FALSE)),""))</f>
        <v/>
      </c>
      <c r="O222" s="40">
        <f>IF(OR(D222="",F222=""),"",IF(OR(D222="Casse / avarie",D222="Perte / vol",D222="Échantillon offert"),IF(I222&lt;&gt;"",I222,IF(N222="","",F222*N222)),""))</f>
        <v/>
      </c>
      <c r="P222" s="50">
        <f>IF(OR(D222="",F222=""),"",F222*IF(OR(D222="Reçu du magasin",D222="Ajustement (+)"),1,-1))</f>
        <v/>
      </c>
      <c r="Q222" s="34">
        <f>IF(C222="","",YEAR(C222-WEEKDAY(C222,2)+4)&amp;"-S"&amp;TEXT(INT((C222-DATE(YEAR(C222-WEEKDAY(C222,2)+4),1,3)+WEEKDAY(DATE(YEAR(C222-WEEKDAY(C222,2)+4),1,3),2)+5)/7),"00"))</f>
        <v/>
      </c>
    </row>
    <row r="223" ht="18" customHeight="1">
      <c r="A223" s="39" t="n">
        <v>218</v>
      </c>
      <c r="B223" s="33">
        <f>IF(C223="","",IF(L223="À RENSEIGNER","GIC",L223)&amp;"-S"&amp;TEXT(A223,"00000"))</f>
        <v/>
      </c>
      <c r="C223" s="32" t="n"/>
      <c r="D223" s="36" t="n"/>
      <c r="E223" s="36" t="n"/>
      <c r="F223" s="42" t="n"/>
      <c r="G223" s="36" t="n"/>
      <c r="H223" s="43" t="n"/>
      <c r="I223" s="37" t="n"/>
      <c r="J223" s="44" t="n"/>
      <c r="K223" s="36" t="n"/>
      <c r="L223" s="33">
        <f>IF(C223="","",Commercial_Id)</f>
        <v/>
      </c>
      <c r="M223" s="34">
        <f>IF(E223="","",IFERROR(VLOOKUP(E223,T_Produits,2,FALSE),""))</f>
        <v/>
      </c>
      <c r="N223" s="40">
        <f>IF(E223="","",IFERROR(1/(1/VLOOKUP(E223,T_Produits,3,FALSE)),""))</f>
        <v/>
      </c>
      <c r="O223" s="40">
        <f>IF(OR(D223="",F223=""),"",IF(OR(D223="Casse / avarie",D223="Perte / vol",D223="Échantillon offert"),IF(I223&lt;&gt;"",I223,IF(N223="","",F223*N223)),""))</f>
        <v/>
      </c>
      <c r="P223" s="50">
        <f>IF(OR(D223="",F223=""),"",F223*IF(OR(D223="Reçu du magasin",D223="Ajustement (+)"),1,-1))</f>
        <v/>
      </c>
      <c r="Q223" s="34">
        <f>IF(C223="","",YEAR(C223-WEEKDAY(C223,2)+4)&amp;"-S"&amp;TEXT(INT((C223-DATE(YEAR(C223-WEEKDAY(C223,2)+4),1,3)+WEEKDAY(DATE(YEAR(C223-WEEKDAY(C223,2)+4),1,3),2)+5)/7),"00"))</f>
        <v/>
      </c>
    </row>
    <row r="224" ht="18" customHeight="1">
      <c r="A224" s="39" t="n">
        <v>219</v>
      </c>
      <c r="B224" s="33">
        <f>IF(C224="","",IF(L224="À RENSEIGNER","GIC",L224)&amp;"-S"&amp;TEXT(A224,"00000"))</f>
        <v/>
      </c>
      <c r="C224" s="32" t="n"/>
      <c r="D224" s="36" t="n"/>
      <c r="E224" s="36" t="n"/>
      <c r="F224" s="42" t="n"/>
      <c r="G224" s="36" t="n"/>
      <c r="H224" s="43" t="n"/>
      <c r="I224" s="37" t="n"/>
      <c r="J224" s="44" t="n"/>
      <c r="K224" s="36" t="n"/>
      <c r="L224" s="33">
        <f>IF(C224="","",Commercial_Id)</f>
        <v/>
      </c>
      <c r="M224" s="34">
        <f>IF(E224="","",IFERROR(VLOOKUP(E224,T_Produits,2,FALSE),""))</f>
        <v/>
      </c>
      <c r="N224" s="40">
        <f>IF(E224="","",IFERROR(1/(1/VLOOKUP(E224,T_Produits,3,FALSE)),""))</f>
        <v/>
      </c>
      <c r="O224" s="40">
        <f>IF(OR(D224="",F224=""),"",IF(OR(D224="Casse / avarie",D224="Perte / vol",D224="Échantillon offert"),IF(I224&lt;&gt;"",I224,IF(N224="","",F224*N224)),""))</f>
        <v/>
      </c>
      <c r="P224" s="50">
        <f>IF(OR(D224="",F224=""),"",F224*IF(OR(D224="Reçu du magasin",D224="Ajustement (+)"),1,-1))</f>
        <v/>
      </c>
      <c r="Q224" s="34">
        <f>IF(C224="","",YEAR(C224-WEEKDAY(C224,2)+4)&amp;"-S"&amp;TEXT(INT((C224-DATE(YEAR(C224-WEEKDAY(C224,2)+4),1,3)+WEEKDAY(DATE(YEAR(C224-WEEKDAY(C224,2)+4),1,3),2)+5)/7),"00"))</f>
        <v/>
      </c>
    </row>
    <row r="225" ht="18" customHeight="1">
      <c r="A225" s="39" t="n">
        <v>220</v>
      </c>
      <c r="B225" s="33">
        <f>IF(C225="","",IF(L225="À RENSEIGNER","GIC",L225)&amp;"-S"&amp;TEXT(A225,"00000"))</f>
        <v/>
      </c>
      <c r="C225" s="32" t="n"/>
      <c r="D225" s="36" t="n"/>
      <c r="E225" s="36" t="n"/>
      <c r="F225" s="42" t="n"/>
      <c r="G225" s="36" t="n"/>
      <c r="H225" s="43" t="n"/>
      <c r="I225" s="37" t="n"/>
      <c r="J225" s="44" t="n"/>
      <c r="K225" s="36" t="n"/>
      <c r="L225" s="33">
        <f>IF(C225="","",Commercial_Id)</f>
        <v/>
      </c>
      <c r="M225" s="34">
        <f>IF(E225="","",IFERROR(VLOOKUP(E225,T_Produits,2,FALSE),""))</f>
        <v/>
      </c>
      <c r="N225" s="40">
        <f>IF(E225="","",IFERROR(1/(1/VLOOKUP(E225,T_Produits,3,FALSE)),""))</f>
        <v/>
      </c>
      <c r="O225" s="40">
        <f>IF(OR(D225="",F225=""),"",IF(OR(D225="Casse / avarie",D225="Perte / vol",D225="Échantillon offert"),IF(I225&lt;&gt;"",I225,IF(N225="","",F225*N225)),""))</f>
        <v/>
      </c>
      <c r="P225" s="50">
        <f>IF(OR(D225="",F225=""),"",F225*IF(OR(D225="Reçu du magasin",D225="Ajustement (+)"),1,-1))</f>
        <v/>
      </c>
      <c r="Q225" s="34">
        <f>IF(C225="","",YEAR(C225-WEEKDAY(C225,2)+4)&amp;"-S"&amp;TEXT(INT((C225-DATE(YEAR(C225-WEEKDAY(C225,2)+4),1,3)+WEEKDAY(DATE(YEAR(C225-WEEKDAY(C225,2)+4),1,3),2)+5)/7),"00"))</f>
        <v/>
      </c>
    </row>
    <row r="226" ht="18" customHeight="1">
      <c r="A226" s="39" t="n">
        <v>221</v>
      </c>
      <c r="B226" s="33">
        <f>IF(C226="","",IF(L226="À RENSEIGNER","GIC",L226)&amp;"-S"&amp;TEXT(A226,"00000"))</f>
        <v/>
      </c>
      <c r="C226" s="32" t="n"/>
      <c r="D226" s="36" t="n"/>
      <c r="E226" s="36" t="n"/>
      <c r="F226" s="42" t="n"/>
      <c r="G226" s="36" t="n"/>
      <c r="H226" s="43" t="n"/>
      <c r="I226" s="37" t="n"/>
      <c r="J226" s="44" t="n"/>
      <c r="K226" s="36" t="n"/>
      <c r="L226" s="33">
        <f>IF(C226="","",Commercial_Id)</f>
        <v/>
      </c>
      <c r="M226" s="34">
        <f>IF(E226="","",IFERROR(VLOOKUP(E226,T_Produits,2,FALSE),""))</f>
        <v/>
      </c>
      <c r="N226" s="40">
        <f>IF(E226="","",IFERROR(1/(1/VLOOKUP(E226,T_Produits,3,FALSE)),""))</f>
        <v/>
      </c>
      <c r="O226" s="40">
        <f>IF(OR(D226="",F226=""),"",IF(OR(D226="Casse / avarie",D226="Perte / vol",D226="Échantillon offert"),IF(I226&lt;&gt;"",I226,IF(N226="","",F226*N226)),""))</f>
        <v/>
      </c>
      <c r="P226" s="50">
        <f>IF(OR(D226="",F226=""),"",F226*IF(OR(D226="Reçu du magasin",D226="Ajustement (+)"),1,-1))</f>
        <v/>
      </c>
      <c r="Q226" s="34">
        <f>IF(C226="","",YEAR(C226-WEEKDAY(C226,2)+4)&amp;"-S"&amp;TEXT(INT((C226-DATE(YEAR(C226-WEEKDAY(C226,2)+4),1,3)+WEEKDAY(DATE(YEAR(C226-WEEKDAY(C226,2)+4),1,3),2)+5)/7),"00"))</f>
        <v/>
      </c>
    </row>
    <row r="227" ht="18" customHeight="1">
      <c r="A227" s="39" t="n">
        <v>222</v>
      </c>
      <c r="B227" s="33">
        <f>IF(C227="","",IF(L227="À RENSEIGNER","GIC",L227)&amp;"-S"&amp;TEXT(A227,"00000"))</f>
        <v/>
      </c>
      <c r="C227" s="32" t="n"/>
      <c r="D227" s="36" t="n"/>
      <c r="E227" s="36" t="n"/>
      <c r="F227" s="42" t="n"/>
      <c r="G227" s="36" t="n"/>
      <c r="H227" s="43" t="n"/>
      <c r="I227" s="37" t="n"/>
      <c r="J227" s="44" t="n"/>
      <c r="K227" s="36" t="n"/>
      <c r="L227" s="33">
        <f>IF(C227="","",Commercial_Id)</f>
        <v/>
      </c>
      <c r="M227" s="34">
        <f>IF(E227="","",IFERROR(VLOOKUP(E227,T_Produits,2,FALSE),""))</f>
        <v/>
      </c>
      <c r="N227" s="40">
        <f>IF(E227="","",IFERROR(1/(1/VLOOKUP(E227,T_Produits,3,FALSE)),""))</f>
        <v/>
      </c>
      <c r="O227" s="40">
        <f>IF(OR(D227="",F227=""),"",IF(OR(D227="Casse / avarie",D227="Perte / vol",D227="Échantillon offert"),IF(I227&lt;&gt;"",I227,IF(N227="","",F227*N227)),""))</f>
        <v/>
      </c>
      <c r="P227" s="50">
        <f>IF(OR(D227="",F227=""),"",F227*IF(OR(D227="Reçu du magasin",D227="Ajustement (+)"),1,-1))</f>
        <v/>
      </c>
      <c r="Q227" s="34">
        <f>IF(C227="","",YEAR(C227-WEEKDAY(C227,2)+4)&amp;"-S"&amp;TEXT(INT((C227-DATE(YEAR(C227-WEEKDAY(C227,2)+4),1,3)+WEEKDAY(DATE(YEAR(C227-WEEKDAY(C227,2)+4),1,3),2)+5)/7),"00"))</f>
        <v/>
      </c>
    </row>
    <row r="228" ht="18" customHeight="1">
      <c r="A228" s="39" t="n">
        <v>223</v>
      </c>
      <c r="B228" s="33">
        <f>IF(C228="","",IF(L228="À RENSEIGNER","GIC",L228)&amp;"-S"&amp;TEXT(A228,"00000"))</f>
        <v/>
      </c>
      <c r="C228" s="32" t="n"/>
      <c r="D228" s="36" t="n"/>
      <c r="E228" s="36" t="n"/>
      <c r="F228" s="42" t="n"/>
      <c r="G228" s="36" t="n"/>
      <c r="H228" s="43" t="n"/>
      <c r="I228" s="37" t="n"/>
      <c r="J228" s="44" t="n"/>
      <c r="K228" s="36" t="n"/>
      <c r="L228" s="33">
        <f>IF(C228="","",Commercial_Id)</f>
        <v/>
      </c>
      <c r="M228" s="34">
        <f>IF(E228="","",IFERROR(VLOOKUP(E228,T_Produits,2,FALSE),""))</f>
        <v/>
      </c>
      <c r="N228" s="40">
        <f>IF(E228="","",IFERROR(1/(1/VLOOKUP(E228,T_Produits,3,FALSE)),""))</f>
        <v/>
      </c>
      <c r="O228" s="40">
        <f>IF(OR(D228="",F228=""),"",IF(OR(D228="Casse / avarie",D228="Perte / vol",D228="Échantillon offert"),IF(I228&lt;&gt;"",I228,IF(N228="","",F228*N228)),""))</f>
        <v/>
      </c>
      <c r="P228" s="50">
        <f>IF(OR(D228="",F228=""),"",F228*IF(OR(D228="Reçu du magasin",D228="Ajustement (+)"),1,-1))</f>
        <v/>
      </c>
      <c r="Q228" s="34">
        <f>IF(C228="","",YEAR(C228-WEEKDAY(C228,2)+4)&amp;"-S"&amp;TEXT(INT((C228-DATE(YEAR(C228-WEEKDAY(C228,2)+4),1,3)+WEEKDAY(DATE(YEAR(C228-WEEKDAY(C228,2)+4),1,3),2)+5)/7),"00"))</f>
        <v/>
      </c>
    </row>
    <row r="229" ht="18" customHeight="1">
      <c r="A229" s="39" t="n">
        <v>224</v>
      </c>
      <c r="B229" s="33">
        <f>IF(C229="","",IF(L229="À RENSEIGNER","GIC",L229)&amp;"-S"&amp;TEXT(A229,"00000"))</f>
        <v/>
      </c>
      <c r="C229" s="32" t="n"/>
      <c r="D229" s="36" t="n"/>
      <c r="E229" s="36" t="n"/>
      <c r="F229" s="42" t="n"/>
      <c r="G229" s="36" t="n"/>
      <c r="H229" s="43" t="n"/>
      <c r="I229" s="37" t="n"/>
      <c r="J229" s="44" t="n"/>
      <c r="K229" s="36" t="n"/>
      <c r="L229" s="33">
        <f>IF(C229="","",Commercial_Id)</f>
        <v/>
      </c>
      <c r="M229" s="34">
        <f>IF(E229="","",IFERROR(VLOOKUP(E229,T_Produits,2,FALSE),""))</f>
        <v/>
      </c>
      <c r="N229" s="40">
        <f>IF(E229="","",IFERROR(1/(1/VLOOKUP(E229,T_Produits,3,FALSE)),""))</f>
        <v/>
      </c>
      <c r="O229" s="40">
        <f>IF(OR(D229="",F229=""),"",IF(OR(D229="Casse / avarie",D229="Perte / vol",D229="Échantillon offert"),IF(I229&lt;&gt;"",I229,IF(N229="","",F229*N229)),""))</f>
        <v/>
      </c>
      <c r="P229" s="50">
        <f>IF(OR(D229="",F229=""),"",F229*IF(OR(D229="Reçu du magasin",D229="Ajustement (+)"),1,-1))</f>
        <v/>
      </c>
      <c r="Q229" s="34">
        <f>IF(C229="","",YEAR(C229-WEEKDAY(C229,2)+4)&amp;"-S"&amp;TEXT(INT((C229-DATE(YEAR(C229-WEEKDAY(C229,2)+4),1,3)+WEEKDAY(DATE(YEAR(C229-WEEKDAY(C229,2)+4),1,3),2)+5)/7),"00"))</f>
        <v/>
      </c>
    </row>
    <row r="230" ht="18" customHeight="1">
      <c r="A230" s="39" t="n">
        <v>225</v>
      </c>
      <c r="B230" s="33">
        <f>IF(C230="","",IF(L230="À RENSEIGNER","GIC",L230)&amp;"-S"&amp;TEXT(A230,"00000"))</f>
        <v/>
      </c>
      <c r="C230" s="32" t="n"/>
      <c r="D230" s="36" t="n"/>
      <c r="E230" s="36" t="n"/>
      <c r="F230" s="42" t="n"/>
      <c r="G230" s="36" t="n"/>
      <c r="H230" s="43" t="n"/>
      <c r="I230" s="37" t="n"/>
      <c r="J230" s="44" t="n"/>
      <c r="K230" s="36" t="n"/>
      <c r="L230" s="33">
        <f>IF(C230="","",Commercial_Id)</f>
        <v/>
      </c>
      <c r="M230" s="34">
        <f>IF(E230="","",IFERROR(VLOOKUP(E230,T_Produits,2,FALSE),""))</f>
        <v/>
      </c>
      <c r="N230" s="40">
        <f>IF(E230="","",IFERROR(1/(1/VLOOKUP(E230,T_Produits,3,FALSE)),""))</f>
        <v/>
      </c>
      <c r="O230" s="40">
        <f>IF(OR(D230="",F230=""),"",IF(OR(D230="Casse / avarie",D230="Perte / vol",D230="Échantillon offert"),IF(I230&lt;&gt;"",I230,IF(N230="","",F230*N230)),""))</f>
        <v/>
      </c>
      <c r="P230" s="50">
        <f>IF(OR(D230="",F230=""),"",F230*IF(OR(D230="Reçu du magasin",D230="Ajustement (+)"),1,-1))</f>
        <v/>
      </c>
      <c r="Q230" s="34">
        <f>IF(C230="","",YEAR(C230-WEEKDAY(C230,2)+4)&amp;"-S"&amp;TEXT(INT((C230-DATE(YEAR(C230-WEEKDAY(C230,2)+4),1,3)+WEEKDAY(DATE(YEAR(C230-WEEKDAY(C230,2)+4),1,3),2)+5)/7),"00"))</f>
        <v/>
      </c>
    </row>
    <row r="231" ht="18" customHeight="1">
      <c r="A231" s="39" t="n">
        <v>226</v>
      </c>
      <c r="B231" s="33">
        <f>IF(C231="","",IF(L231="À RENSEIGNER","GIC",L231)&amp;"-S"&amp;TEXT(A231,"00000"))</f>
        <v/>
      </c>
      <c r="C231" s="32" t="n"/>
      <c r="D231" s="36" t="n"/>
      <c r="E231" s="36" t="n"/>
      <c r="F231" s="42" t="n"/>
      <c r="G231" s="36" t="n"/>
      <c r="H231" s="43" t="n"/>
      <c r="I231" s="37" t="n"/>
      <c r="J231" s="44" t="n"/>
      <c r="K231" s="36" t="n"/>
      <c r="L231" s="33">
        <f>IF(C231="","",Commercial_Id)</f>
        <v/>
      </c>
      <c r="M231" s="34">
        <f>IF(E231="","",IFERROR(VLOOKUP(E231,T_Produits,2,FALSE),""))</f>
        <v/>
      </c>
      <c r="N231" s="40">
        <f>IF(E231="","",IFERROR(1/(1/VLOOKUP(E231,T_Produits,3,FALSE)),""))</f>
        <v/>
      </c>
      <c r="O231" s="40">
        <f>IF(OR(D231="",F231=""),"",IF(OR(D231="Casse / avarie",D231="Perte / vol",D231="Échantillon offert"),IF(I231&lt;&gt;"",I231,IF(N231="","",F231*N231)),""))</f>
        <v/>
      </c>
      <c r="P231" s="50">
        <f>IF(OR(D231="",F231=""),"",F231*IF(OR(D231="Reçu du magasin",D231="Ajustement (+)"),1,-1))</f>
        <v/>
      </c>
      <c r="Q231" s="34">
        <f>IF(C231="","",YEAR(C231-WEEKDAY(C231,2)+4)&amp;"-S"&amp;TEXT(INT((C231-DATE(YEAR(C231-WEEKDAY(C231,2)+4),1,3)+WEEKDAY(DATE(YEAR(C231-WEEKDAY(C231,2)+4),1,3),2)+5)/7),"00"))</f>
        <v/>
      </c>
    </row>
    <row r="232" ht="18" customHeight="1">
      <c r="A232" s="39" t="n">
        <v>227</v>
      </c>
      <c r="B232" s="33">
        <f>IF(C232="","",IF(L232="À RENSEIGNER","GIC",L232)&amp;"-S"&amp;TEXT(A232,"00000"))</f>
        <v/>
      </c>
      <c r="C232" s="32" t="n"/>
      <c r="D232" s="36" t="n"/>
      <c r="E232" s="36" t="n"/>
      <c r="F232" s="42" t="n"/>
      <c r="G232" s="36" t="n"/>
      <c r="H232" s="43" t="n"/>
      <c r="I232" s="37" t="n"/>
      <c r="J232" s="44" t="n"/>
      <c r="K232" s="36" t="n"/>
      <c r="L232" s="33">
        <f>IF(C232="","",Commercial_Id)</f>
        <v/>
      </c>
      <c r="M232" s="34">
        <f>IF(E232="","",IFERROR(VLOOKUP(E232,T_Produits,2,FALSE),""))</f>
        <v/>
      </c>
      <c r="N232" s="40">
        <f>IF(E232="","",IFERROR(1/(1/VLOOKUP(E232,T_Produits,3,FALSE)),""))</f>
        <v/>
      </c>
      <c r="O232" s="40">
        <f>IF(OR(D232="",F232=""),"",IF(OR(D232="Casse / avarie",D232="Perte / vol",D232="Échantillon offert"),IF(I232&lt;&gt;"",I232,IF(N232="","",F232*N232)),""))</f>
        <v/>
      </c>
      <c r="P232" s="50">
        <f>IF(OR(D232="",F232=""),"",F232*IF(OR(D232="Reçu du magasin",D232="Ajustement (+)"),1,-1))</f>
        <v/>
      </c>
      <c r="Q232" s="34">
        <f>IF(C232="","",YEAR(C232-WEEKDAY(C232,2)+4)&amp;"-S"&amp;TEXT(INT((C232-DATE(YEAR(C232-WEEKDAY(C232,2)+4),1,3)+WEEKDAY(DATE(YEAR(C232-WEEKDAY(C232,2)+4),1,3),2)+5)/7),"00"))</f>
        <v/>
      </c>
    </row>
    <row r="233" ht="18" customHeight="1">
      <c r="A233" s="39" t="n">
        <v>228</v>
      </c>
      <c r="B233" s="33">
        <f>IF(C233="","",IF(L233="À RENSEIGNER","GIC",L233)&amp;"-S"&amp;TEXT(A233,"00000"))</f>
        <v/>
      </c>
      <c r="C233" s="32" t="n"/>
      <c r="D233" s="36" t="n"/>
      <c r="E233" s="36" t="n"/>
      <c r="F233" s="42" t="n"/>
      <c r="G233" s="36" t="n"/>
      <c r="H233" s="43" t="n"/>
      <c r="I233" s="37" t="n"/>
      <c r="J233" s="44" t="n"/>
      <c r="K233" s="36" t="n"/>
      <c r="L233" s="33">
        <f>IF(C233="","",Commercial_Id)</f>
        <v/>
      </c>
      <c r="M233" s="34">
        <f>IF(E233="","",IFERROR(VLOOKUP(E233,T_Produits,2,FALSE),""))</f>
        <v/>
      </c>
      <c r="N233" s="40">
        <f>IF(E233="","",IFERROR(1/(1/VLOOKUP(E233,T_Produits,3,FALSE)),""))</f>
        <v/>
      </c>
      <c r="O233" s="40">
        <f>IF(OR(D233="",F233=""),"",IF(OR(D233="Casse / avarie",D233="Perte / vol",D233="Échantillon offert"),IF(I233&lt;&gt;"",I233,IF(N233="","",F233*N233)),""))</f>
        <v/>
      </c>
      <c r="P233" s="50">
        <f>IF(OR(D233="",F233=""),"",F233*IF(OR(D233="Reçu du magasin",D233="Ajustement (+)"),1,-1))</f>
        <v/>
      </c>
      <c r="Q233" s="34">
        <f>IF(C233="","",YEAR(C233-WEEKDAY(C233,2)+4)&amp;"-S"&amp;TEXT(INT((C233-DATE(YEAR(C233-WEEKDAY(C233,2)+4),1,3)+WEEKDAY(DATE(YEAR(C233-WEEKDAY(C233,2)+4),1,3),2)+5)/7),"00"))</f>
        <v/>
      </c>
    </row>
    <row r="234" ht="18" customHeight="1">
      <c r="A234" s="39" t="n">
        <v>229</v>
      </c>
      <c r="B234" s="33">
        <f>IF(C234="","",IF(L234="À RENSEIGNER","GIC",L234)&amp;"-S"&amp;TEXT(A234,"00000"))</f>
        <v/>
      </c>
      <c r="C234" s="32" t="n"/>
      <c r="D234" s="36" t="n"/>
      <c r="E234" s="36" t="n"/>
      <c r="F234" s="42" t="n"/>
      <c r="G234" s="36" t="n"/>
      <c r="H234" s="43" t="n"/>
      <c r="I234" s="37" t="n"/>
      <c r="J234" s="44" t="n"/>
      <c r="K234" s="36" t="n"/>
      <c r="L234" s="33">
        <f>IF(C234="","",Commercial_Id)</f>
        <v/>
      </c>
      <c r="M234" s="34">
        <f>IF(E234="","",IFERROR(VLOOKUP(E234,T_Produits,2,FALSE),""))</f>
        <v/>
      </c>
      <c r="N234" s="40">
        <f>IF(E234="","",IFERROR(1/(1/VLOOKUP(E234,T_Produits,3,FALSE)),""))</f>
        <v/>
      </c>
      <c r="O234" s="40">
        <f>IF(OR(D234="",F234=""),"",IF(OR(D234="Casse / avarie",D234="Perte / vol",D234="Échantillon offert"),IF(I234&lt;&gt;"",I234,IF(N234="","",F234*N234)),""))</f>
        <v/>
      </c>
      <c r="P234" s="50">
        <f>IF(OR(D234="",F234=""),"",F234*IF(OR(D234="Reçu du magasin",D234="Ajustement (+)"),1,-1))</f>
        <v/>
      </c>
      <c r="Q234" s="34">
        <f>IF(C234="","",YEAR(C234-WEEKDAY(C234,2)+4)&amp;"-S"&amp;TEXT(INT((C234-DATE(YEAR(C234-WEEKDAY(C234,2)+4),1,3)+WEEKDAY(DATE(YEAR(C234-WEEKDAY(C234,2)+4),1,3),2)+5)/7),"00"))</f>
        <v/>
      </c>
    </row>
    <row r="235" ht="18" customHeight="1">
      <c r="A235" s="39" t="n">
        <v>230</v>
      </c>
      <c r="B235" s="33">
        <f>IF(C235="","",IF(L235="À RENSEIGNER","GIC",L235)&amp;"-S"&amp;TEXT(A235,"00000"))</f>
        <v/>
      </c>
      <c r="C235" s="32" t="n"/>
      <c r="D235" s="36" t="n"/>
      <c r="E235" s="36" t="n"/>
      <c r="F235" s="42" t="n"/>
      <c r="G235" s="36" t="n"/>
      <c r="H235" s="43" t="n"/>
      <c r="I235" s="37" t="n"/>
      <c r="J235" s="44" t="n"/>
      <c r="K235" s="36" t="n"/>
      <c r="L235" s="33">
        <f>IF(C235="","",Commercial_Id)</f>
        <v/>
      </c>
      <c r="M235" s="34">
        <f>IF(E235="","",IFERROR(VLOOKUP(E235,T_Produits,2,FALSE),""))</f>
        <v/>
      </c>
      <c r="N235" s="40">
        <f>IF(E235="","",IFERROR(1/(1/VLOOKUP(E235,T_Produits,3,FALSE)),""))</f>
        <v/>
      </c>
      <c r="O235" s="40">
        <f>IF(OR(D235="",F235=""),"",IF(OR(D235="Casse / avarie",D235="Perte / vol",D235="Échantillon offert"),IF(I235&lt;&gt;"",I235,IF(N235="","",F235*N235)),""))</f>
        <v/>
      </c>
      <c r="P235" s="50">
        <f>IF(OR(D235="",F235=""),"",F235*IF(OR(D235="Reçu du magasin",D235="Ajustement (+)"),1,-1))</f>
        <v/>
      </c>
      <c r="Q235" s="34">
        <f>IF(C235="","",YEAR(C235-WEEKDAY(C235,2)+4)&amp;"-S"&amp;TEXT(INT((C235-DATE(YEAR(C235-WEEKDAY(C235,2)+4),1,3)+WEEKDAY(DATE(YEAR(C235-WEEKDAY(C235,2)+4),1,3),2)+5)/7),"00"))</f>
        <v/>
      </c>
    </row>
    <row r="236" ht="18" customHeight="1">
      <c r="A236" s="39" t="n">
        <v>231</v>
      </c>
      <c r="B236" s="33">
        <f>IF(C236="","",IF(L236="À RENSEIGNER","GIC",L236)&amp;"-S"&amp;TEXT(A236,"00000"))</f>
        <v/>
      </c>
      <c r="C236" s="32" t="n"/>
      <c r="D236" s="36" t="n"/>
      <c r="E236" s="36" t="n"/>
      <c r="F236" s="42" t="n"/>
      <c r="G236" s="36" t="n"/>
      <c r="H236" s="43" t="n"/>
      <c r="I236" s="37" t="n"/>
      <c r="J236" s="44" t="n"/>
      <c r="K236" s="36" t="n"/>
      <c r="L236" s="33">
        <f>IF(C236="","",Commercial_Id)</f>
        <v/>
      </c>
      <c r="M236" s="34">
        <f>IF(E236="","",IFERROR(VLOOKUP(E236,T_Produits,2,FALSE),""))</f>
        <v/>
      </c>
      <c r="N236" s="40">
        <f>IF(E236="","",IFERROR(1/(1/VLOOKUP(E236,T_Produits,3,FALSE)),""))</f>
        <v/>
      </c>
      <c r="O236" s="40">
        <f>IF(OR(D236="",F236=""),"",IF(OR(D236="Casse / avarie",D236="Perte / vol",D236="Échantillon offert"),IF(I236&lt;&gt;"",I236,IF(N236="","",F236*N236)),""))</f>
        <v/>
      </c>
      <c r="P236" s="50">
        <f>IF(OR(D236="",F236=""),"",F236*IF(OR(D236="Reçu du magasin",D236="Ajustement (+)"),1,-1))</f>
        <v/>
      </c>
      <c r="Q236" s="34">
        <f>IF(C236="","",YEAR(C236-WEEKDAY(C236,2)+4)&amp;"-S"&amp;TEXT(INT((C236-DATE(YEAR(C236-WEEKDAY(C236,2)+4),1,3)+WEEKDAY(DATE(YEAR(C236-WEEKDAY(C236,2)+4),1,3),2)+5)/7),"00"))</f>
        <v/>
      </c>
    </row>
    <row r="237" ht="18" customHeight="1">
      <c r="A237" s="39" t="n">
        <v>232</v>
      </c>
      <c r="B237" s="33">
        <f>IF(C237="","",IF(L237="À RENSEIGNER","GIC",L237)&amp;"-S"&amp;TEXT(A237,"00000"))</f>
        <v/>
      </c>
      <c r="C237" s="32" t="n"/>
      <c r="D237" s="36" t="n"/>
      <c r="E237" s="36" t="n"/>
      <c r="F237" s="42" t="n"/>
      <c r="G237" s="36" t="n"/>
      <c r="H237" s="43" t="n"/>
      <c r="I237" s="37" t="n"/>
      <c r="J237" s="44" t="n"/>
      <c r="K237" s="36" t="n"/>
      <c r="L237" s="33">
        <f>IF(C237="","",Commercial_Id)</f>
        <v/>
      </c>
      <c r="M237" s="34">
        <f>IF(E237="","",IFERROR(VLOOKUP(E237,T_Produits,2,FALSE),""))</f>
        <v/>
      </c>
      <c r="N237" s="40">
        <f>IF(E237="","",IFERROR(1/(1/VLOOKUP(E237,T_Produits,3,FALSE)),""))</f>
        <v/>
      </c>
      <c r="O237" s="40">
        <f>IF(OR(D237="",F237=""),"",IF(OR(D237="Casse / avarie",D237="Perte / vol",D237="Échantillon offert"),IF(I237&lt;&gt;"",I237,IF(N237="","",F237*N237)),""))</f>
        <v/>
      </c>
      <c r="P237" s="50">
        <f>IF(OR(D237="",F237=""),"",F237*IF(OR(D237="Reçu du magasin",D237="Ajustement (+)"),1,-1))</f>
        <v/>
      </c>
      <c r="Q237" s="34">
        <f>IF(C237="","",YEAR(C237-WEEKDAY(C237,2)+4)&amp;"-S"&amp;TEXT(INT((C237-DATE(YEAR(C237-WEEKDAY(C237,2)+4),1,3)+WEEKDAY(DATE(YEAR(C237-WEEKDAY(C237,2)+4),1,3),2)+5)/7),"00"))</f>
        <v/>
      </c>
    </row>
    <row r="238" ht="18" customHeight="1">
      <c r="A238" s="39" t="n">
        <v>233</v>
      </c>
      <c r="B238" s="33">
        <f>IF(C238="","",IF(L238="À RENSEIGNER","GIC",L238)&amp;"-S"&amp;TEXT(A238,"00000"))</f>
        <v/>
      </c>
      <c r="C238" s="32" t="n"/>
      <c r="D238" s="36" t="n"/>
      <c r="E238" s="36" t="n"/>
      <c r="F238" s="42" t="n"/>
      <c r="G238" s="36" t="n"/>
      <c r="H238" s="43" t="n"/>
      <c r="I238" s="37" t="n"/>
      <c r="J238" s="44" t="n"/>
      <c r="K238" s="36" t="n"/>
      <c r="L238" s="33">
        <f>IF(C238="","",Commercial_Id)</f>
        <v/>
      </c>
      <c r="M238" s="34">
        <f>IF(E238="","",IFERROR(VLOOKUP(E238,T_Produits,2,FALSE),""))</f>
        <v/>
      </c>
      <c r="N238" s="40">
        <f>IF(E238="","",IFERROR(1/(1/VLOOKUP(E238,T_Produits,3,FALSE)),""))</f>
        <v/>
      </c>
      <c r="O238" s="40">
        <f>IF(OR(D238="",F238=""),"",IF(OR(D238="Casse / avarie",D238="Perte / vol",D238="Échantillon offert"),IF(I238&lt;&gt;"",I238,IF(N238="","",F238*N238)),""))</f>
        <v/>
      </c>
      <c r="P238" s="50">
        <f>IF(OR(D238="",F238=""),"",F238*IF(OR(D238="Reçu du magasin",D238="Ajustement (+)"),1,-1))</f>
        <v/>
      </c>
      <c r="Q238" s="34">
        <f>IF(C238="","",YEAR(C238-WEEKDAY(C238,2)+4)&amp;"-S"&amp;TEXT(INT((C238-DATE(YEAR(C238-WEEKDAY(C238,2)+4),1,3)+WEEKDAY(DATE(YEAR(C238-WEEKDAY(C238,2)+4),1,3),2)+5)/7),"00"))</f>
        <v/>
      </c>
    </row>
    <row r="239" ht="18" customHeight="1">
      <c r="A239" s="39" t="n">
        <v>234</v>
      </c>
      <c r="B239" s="33">
        <f>IF(C239="","",IF(L239="À RENSEIGNER","GIC",L239)&amp;"-S"&amp;TEXT(A239,"00000"))</f>
        <v/>
      </c>
      <c r="C239" s="32" t="n"/>
      <c r="D239" s="36" t="n"/>
      <c r="E239" s="36" t="n"/>
      <c r="F239" s="42" t="n"/>
      <c r="G239" s="36" t="n"/>
      <c r="H239" s="43" t="n"/>
      <c r="I239" s="37" t="n"/>
      <c r="J239" s="44" t="n"/>
      <c r="K239" s="36" t="n"/>
      <c r="L239" s="33">
        <f>IF(C239="","",Commercial_Id)</f>
        <v/>
      </c>
      <c r="M239" s="34">
        <f>IF(E239="","",IFERROR(VLOOKUP(E239,T_Produits,2,FALSE),""))</f>
        <v/>
      </c>
      <c r="N239" s="40">
        <f>IF(E239="","",IFERROR(1/(1/VLOOKUP(E239,T_Produits,3,FALSE)),""))</f>
        <v/>
      </c>
      <c r="O239" s="40">
        <f>IF(OR(D239="",F239=""),"",IF(OR(D239="Casse / avarie",D239="Perte / vol",D239="Échantillon offert"),IF(I239&lt;&gt;"",I239,IF(N239="","",F239*N239)),""))</f>
        <v/>
      </c>
      <c r="P239" s="50">
        <f>IF(OR(D239="",F239=""),"",F239*IF(OR(D239="Reçu du magasin",D239="Ajustement (+)"),1,-1))</f>
        <v/>
      </c>
      <c r="Q239" s="34">
        <f>IF(C239="","",YEAR(C239-WEEKDAY(C239,2)+4)&amp;"-S"&amp;TEXT(INT((C239-DATE(YEAR(C239-WEEKDAY(C239,2)+4),1,3)+WEEKDAY(DATE(YEAR(C239-WEEKDAY(C239,2)+4),1,3),2)+5)/7),"00"))</f>
        <v/>
      </c>
    </row>
    <row r="240" ht="18" customHeight="1">
      <c r="A240" s="39" t="n">
        <v>235</v>
      </c>
      <c r="B240" s="33">
        <f>IF(C240="","",IF(L240="À RENSEIGNER","GIC",L240)&amp;"-S"&amp;TEXT(A240,"00000"))</f>
        <v/>
      </c>
      <c r="C240" s="32" t="n"/>
      <c r="D240" s="36" t="n"/>
      <c r="E240" s="36" t="n"/>
      <c r="F240" s="42" t="n"/>
      <c r="G240" s="36" t="n"/>
      <c r="H240" s="43" t="n"/>
      <c r="I240" s="37" t="n"/>
      <c r="J240" s="44" t="n"/>
      <c r="K240" s="36" t="n"/>
      <c r="L240" s="33">
        <f>IF(C240="","",Commercial_Id)</f>
        <v/>
      </c>
      <c r="M240" s="34">
        <f>IF(E240="","",IFERROR(VLOOKUP(E240,T_Produits,2,FALSE),""))</f>
        <v/>
      </c>
      <c r="N240" s="40">
        <f>IF(E240="","",IFERROR(1/(1/VLOOKUP(E240,T_Produits,3,FALSE)),""))</f>
        <v/>
      </c>
      <c r="O240" s="40">
        <f>IF(OR(D240="",F240=""),"",IF(OR(D240="Casse / avarie",D240="Perte / vol",D240="Échantillon offert"),IF(I240&lt;&gt;"",I240,IF(N240="","",F240*N240)),""))</f>
        <v/>
      </c>
      <c r="P240" s="50">
        <f>IF(OR(D240="",F240=""),"",F240*IF(OR(D240="Reçu du magasin",D240="Ajustement (+)"),1,-1))</f>
        <v/>
      </c>
      <c r="Q240" s="34">
        <f>IF(C240="","",YEAR(C240-WEEKDAY(C240,2)+4)&amp;"-S"&amp;TEXT(INT((C240-DATE(YEAR(C240-WEEKDAY(C240,2)+4),1,3)+WEEKDAY(DATE(YEAR(C240-WEEKDAY(C240,2)+4),1,3),2)+5)/7),"00"))</f>
        <v/>
      </c>
    </row>
    <row r="241" ht="18" customHeight="1">
      <c r="A241" s="39" t="n">
        <v>236</v>
      </c>
      <c r="B241" s="33">
        <f>IF(C241="","",IF(L241="À RENSEIGNER","GIC",L241)&amp;"-S"&amp;TEXT(A241,"00000"))</f>
        <v/>
      </c>
      <c r="C241" s="32" t="n"/>
      <c r="D241" s="36" t="n"/>
      <c r="E241" s="36" t="n"/>
      <c r="F241" s="42" t="n"/>
      <c r="G241" s="36" t="n"/>
      <c r="H241" s="43" t="n"/>
      <c r="I241" s="37" t="n"/>
      <c r="J241" s="44" t="n"/>
      <c r="K241" s="36" t="n"/>
      <c r="L241" s="33">
        <f>IF(C241="","",Commercial_Id)</f>
        <v/>
      </c>
      <c r="M241" s="34">
        <f>IF(E241="","",IFERROR(VLOOKUP(E241,T_Produits,2,FALSE),""))</f>
        <v/>
      </c>
      <c r="N241" s="40">
        <f>IF(E241="","",IFERROR(1/(1/VLOOKUP(E241,T_Produits,3,FALSE)),""))</f>
        <v/>
      </c>
      <c r="O241" s="40">
        <f>IF(OR(D241="",F241=""),"",IF(OR(D241="Casse / avarie",D241="Perte / vol",D241="Échantillon offert"),IF(I241&lt;&gt;"",I241,IF(N241="","",F241*N241)),""))</f>
        <v/>
      </c>
      <c r="P241" s="50">
        <f>IF(OR(D241="",F241=""),"",F241*IF(OR(D241="Reçu du magasin",D241="Ajustement (+)"),1,-1))</f>
        <v/>
      </c>
      <c r="Q241" s="34">
        <f>IF(C241="","",YEAR(C241-WEEKDAY(C241,2)+4)&amp;"-S"&amp;TEXT(INT((C241-DATE(YEAR(C241-WEEKDAY(C241,2)+4),1,3)+WEEKDAY(DATE(YEAR(C241-WEEKDAY(C241,2)+4),1,3),2)+5)/7),"00"))</f>
        <v/>
      </c>
    </row>
    <row r="242" ht="18" customHeight="1">
      <c r="A242" s="39" t="n">
        <v>237</v>
      </c>
      <c r="B242" s="33">
        <f>IF(C242="","",IF(L242="À RENSEIGNER","GIC",L242)&amp;"-S"&amp;TEXT(A242,"00000"))</f>
        <v/>
      </c>
      <c r="C242" s="32" t="n"/>
      <c r="D242" s="36" t="n"/>
      <c r="E242" s="36" t="n"/>
      <c r="F242" s="42" t="n"/>
      <c r="G242" s="36" t="n"/>
      <c r="H242" s="43" t="n"/>
      <c r="I242" s="37" t="n"/>
      <c r="J242" s="44" t="n"/>
      <c r="K242" s="36" t="n"/>
      <c r="L242" s="33">
        <f>IF(C242="","",Commercial_Id)</f>
        <v/>
      </c>
      <c r="M242" s="34">
        <f>IF(E242="","",IFERROR(VLOOKUP(E242,T_Produits,2,FALSE),""))</f>
        <v/>
      </c>
      <c r="N242" s="40">
        <f>IF(E242="","",IFERROR(1/(1/VLOOKUP(E242,T_Produits,3,FALSE)),""))</f>
        <v/>
      </c>
      <c r="O242" s="40">
        <f>IF(OR(D242="",F242=""),"",IF(OR(D242="Casse / avarie",D242="Perte / vol",D242="Échantillon offert"),IF(I242&lt;&gt;"",I242,IF(N242="","",F242*N242)),""))</f>
        <v/>
      </c>
      <c r="P242" s="50">
        <f>IF(OR(D242="",F242=""),"",F242*IF(OR(D242="Reçu du magasin",D242="Ajustement (+)"),1,-1))</f>
        <v/>
      </c>
      <c r="Q242" s="34">
        <f>IF(C242="","",YEAR(C242-WEEKDAY(C242,2)+4)&amp;"-S"&amp;TEXT(INT((C242-DATE(YEAR(C242-WEEKDAY(C242,2)+4),1,3)+WEEKDAY(DATE(YEAR(C242-WEEKDAY(C242,2)+4),1,3),2)+5)/7),"00"))</f>
        <v/>
      </c>
    </row>
    <row r="243" ht="18" customHeight="1">
      <c r="A243" s="39" t="n">
        <v>238</v>
      </c>
      <c r="B243" s="33">
        <f>IF(C243="","",IF(L243="À RENSEIGNER","GIC",L243)&amp;"-S"&amp;TEXT(A243,"00000"))</f>
        <v/>
      </c>
      <c r="C243" s="32" t="n"/>
      <c r="D243" s="36" t="n"/>
      <c r="E243" s="36" t="n"/>
      <c r="F243" s="42" t="n"/>
      <c r="G243" s="36" t="n"/>
      <c r="H243" s="43" t="n"/>
      <c r="I243" s="37" t="n"/>
      <c r="J243" s="44" t="n"/>
      <c r="K243" s="36" t="n"/>
      <c r="L243" s="33">
        <f>IF(C243="","",Commercial_Id)</f>
        <v/>
      </c>
      <c r="M243" s="34">
        <f>IF(E243="","",IFERROR(VLOOKUP(E243,T_Produits,2,FALSE),""))</f>
        <v/>
      </c>
      <c r="N243" s="40">
        <f>IF(E243="","",IFERROR(1/(1/VLOOKUP(E243,T_Produits,3,FALSE)),""))</f>
        <v/>
      </c>
      <c r="O243" s="40">
        <f>IF(OR(D243="",F243=""),"",IF(OR(D243="Casse / avarie",D243="Perte / vol",D243="Échantillon offert"),IF(I243&lt;&gt;"",I243,IF(N243="","",F243*N243)),""))</f>
        <v/>
      </c>
      <c r="P243" s="50">
        <f>IF(OR(D243="",F243=""),"",F243*IF(OR(D243="Reçu du magasin",D243="Ajustement (+)"),1,-1))</f>
        <v/>
      </c>
      <c r="Q243" s="34">
        <f>IF(C243="","",YEAR(C243-WEEKDAY(C243,2)+4)&amp;"-S"&amp;TEXT(INT((C243-DATE(YEAR(C243-WEEKDAY(C243,2)+4),1,3)+WEEKDAY(DATE(YEAR(C243-WEEKDAY(C243,2)+4),1,3),2)+5)/7),"00"))</f>
        <v/>
      </c>
    </row>
    <row r="244" ht="18" customHeight="1">
      <c r="A244" s="39" t="n">
        <v>239</v>
      </c>
      <c r="B244" s="33">
        <f>IF(C244="","",IF(L244="À RENSEIGNER","GIC",L244)&amp;"-S"&amp;TEXT(A244,"00000"))</f>
        <v/>
      </c>
      <c r="C244" s="32" t="n"/>
      <c r="D244" s="36" t="n"/>
      <c r="E244" s="36" t="n"/>
      <c r="F244" s="42" t="n"/>
      <c r="G244" s="36" t="n"/>
      <c r="H244" s="43" t="n"/>
      <c r="I244" s="37" t="n"/>
      <c r="J244" s="44" t="n"/>
      <c r="K244" s="36" t="n"/>
      <c r="L244" s="33">
        <f>IF(C244="","",Commercial_Id)</f>
        <v/>
      </c>
      <c r="M244" s="34">
        <f>IF(E244="","",IFERROR(VLOOKUP(E244,T_Produits,2,FALSE),""))</f>
        <v/>
      </c>
      <c r="N244" s="40">
        <f>IF(E244="","",IFERROR(1/(1/VLOOKUP(E244,T_Produits,3,FALSE)),""))</f>
        <v/>
      </c>
      <c r="O244" s="40">
        <f>IF(OR(D244="",F244=""),"",IF(OR(D244="Casse / avarie",D244="Perte / vol",D244="Échantillon offert"),IF(I244&lt;&gt;"",I244,IF(N244="","",F244*N244)),""))</f>
        <v/>
      </c>
      <c r="P244" s="50">
        <f>IF(OR(D244="",F244=""),"",F244*IF(OR(D244="Reçu du magasin",D244="Ajustement (+)"),1,-1))</f>
        <v/>
      </c>
      <c r="Q244" s="34">
        <f>IF(C244="","",YEAR(C244-WEEKDAY(C244,2)+4)&amp;"-S"&amp;TEXT(INT((C244-DATE(YEAR(C244-WEEKDAY(C244,2)+4),1,3)+WEEKDAY(DATE(YEAR(C244-WEEKDAY(C244,2)+4),1,3),2)+5)/7),"00"))</f>
        <v/>
      </c>
    </row>
    <row r="245" ht="18" customHeight="1">
      <c r="A245" s="39" t="n">
        <v>240</v>
      </c>
      <c r="B245" s="33">
        <f>IF(C245="","",IF(L245="À RENSEIGNER","GIC",L245)&amp;"-S"&amp;TEXT(A245,"00000"))</f>
        <v/>
      </c>
      <c r="C245" s="32" t="n"/>
      <c r="D245" s="36" t="n"/>
      <c r="E245" s="36" t="n"/>
      <c r="F245" s="42" t="n"/>
      <c r="G245" s="36" t="n"/>
      <c r="H245" s="43" t="n"/>
      <c r="I245" s="37" t="n"/>
      <c r="J245" s="44" t="n"/>
      <c r="K245" s="36" t="n"/>
      <c r="L245" s="33">
        <f>IF(C245="","",Commercial_Id)</f>
        <v/>
      </c>
      <c r="M245" s="34">
        <f>IF(E245="","",IFERROR(VLOOKUP(E245,T_Produits,2,FALSE),""))</f>
        <v/>
      </c>
      <c r="N245" s="40">
        <f>IF(E245="","",IFERROR(1/(1/VLOOKUP(E245,T_Produits,3,FALSE)),""))</f>
        <v/>
      </c>
      <c r="O245" s="40">
        <f>IF(OR(D245="",F245=""),"",IF(OR(D245="Casse / avarie",D245="Perte / vol",D245="Échantillon offert"),IF(I245&lt;&gt;"",I245,IF(N245="","",F245*N245)),""))</f>
        <v/>
      </c>
      <c r="P245" s="50">
        <f>IF(OR(D245="",F245=""),"",F245*IF(OR(D245="Reçu du magasin",D245="Ajustement (+)"),1,-1))</f>
        <v/>
      </c>
      <c r="Q245" s="34">
        <f>IF(C245="","",YEAR(C245-WEEKDAY(C245,2)+4)&amp;"-S"&amp;TEXT(INT((C245-DATE(YEAR(C245-WEEKDAY(C245,2)+4),1,3)+WEEKDAY(DATE(YEAR(C245-WEEKDAY(C245,2)+4),1,3),2)+5)/7),"00"))</f>
        <v/>
      </c>
    </row>
    <row r="246" ht="18" customHeight="1">
      <c r="A246" s="39" t="n">
        <v>241</v>
      </c>
      <c r="B246" s="33">
        <f>IF(C246="","",IF(L246="À RENSEIGNER","GIC",L246)&amp;"-S"&amp;TEXT(A246,"00000"))</f>
        <v/>
      </c>
      <c r="C246" s="32" t="n"/>
      <c r="D246" s="36" t="n"/>
      <c r="E246" s="36" t="n"/>
      <c r="F246" s="42" t="n"/>
      <c r="G246" s="36" t="n"/>
      <c r="H246" s="43" t="n"/>
      <c r="I246" s="37" t="n"/>
      <c r="J246" s="44" t="n"/>
      <c r="K246" s="36" t="n"/>
      <c r="L246" s="33">
        <f>IF(C246="","",Commercial_Id)</f>
        <v/>
      </c>
      <c r="M246" s="34">
        <f>IF(E246="","",IFERROR(VLOOKUP(E246,T_Produits,2,FALSE),""))</f>
        <v/>
      </c>
      <c r="N246" s="40">
        <f>IF(E246="","",IFERROR(1/(1/VLOOKUP(E246,T_Produits,3,FALSE)),""))</f>
        <v/>
      </c>
      <c r="O246" s="40">
        <f>IF(OR(D246="",F246=""),"",IF(OR(D246="Casse / avarie",D246="Perte / vol",D246="Échantillon offert"),IF(I246&lt;&gt;"",I246,IF(N246="","",F246*N246)),""))</f>
        <v/>
      </c>
      <c r="P246" s="50">
        <f>IF(OR(D246="",F246=""),"",F246*IF(OR(D246="Reçu du magasin",D246="Ajustement (+)"),1,-1))</f>
        <v/>
      </c>
      <c r="Q246" s="34">
        <f>IF(C246="","",YEAR(C246-WEEKDAY(C246,2)+4)&amp;"-S"&amp;TEXT(INT((C246-DATE(YEAR(C246-WEEKDAY(C246,2)+4),1,3)+WEEKDAY(DATE(YEAR(C246-WEEKDAY(C246,2)+4),1,3),2)+5)/7),"00"))</f>
        <v/>
      </c>
    </row>
    <row r="247" ht="18" customHeight="1">
      <c r="A247" s="39" t="n">
        <v>242</v>
      </c>
      <c r="B247" s="33">
        <f>IF(C247="","",IF(L247="À RENSEIGNER","GIC",L247)&amp;"-S"&amp;TEXT(A247,"00000"))</f>
        <v/>
      </c>
      <c r="C247" s="32" t="n"/>
      <c r="D247" s="36" t="n"/>
      <c r="E247" s="36" t="n"/>
      <c r="F247" s="42" t="n"/>
      <c r="G247" s="36" t="n"/>
      <c r="H247" s="43" t="n"/>
      <c r="I247" s="37" t="n"/>
      <c r="J247" s="44" t="n"/>
      <c r="K247" s="36" t="n"/>
      <c r="L247" s="33">
        <f>IF(C247="","",Commercial_Id)</f>
        <v/>
      </c>
      <c r="M247" s="34">
        <f>IF(E247="","",IFERROR(VLOOKUP(E247,T_Produits,2,FALSE),""))</f>
        <v/>
      </c>
      <c r="N247" s="40">
        <f>IF(E247="","",IFERROR(1/(1/VLOOKUP(E247,T_Produits,3,FALSE)),""))</f>
        <v/>
      </c>
      <c r="O247" s="40">
        <f>IF(OR(D247="",F247=""),"",IF(OR(D247="Casse / avarie",D247="Perte / vol",D247="Échantillon offert"),IF(I247&lt;&gt;"",I247,IF(N247="","",F247*N247)),""))</f>
        <v/>
      </c>
      <c r="P247" s="50">
        <f>IF(OR(D247="",F247=""),"",F247*IF(OR(D247="Reçu du magasin",D247="Ajustement (+)"),1,-1))</f>
        <v/>
      </c>
      <c r="Q247" s="34">
        <f>IF(C247="","",YEAR(C247-WEEKDAY(C247,2)+4)&amp;"-S"&amp;TEXT(INT((C247-DATE(YEAR(C247-WEEKDAY(C247,2)+4),1,3)+WEEKDAY(DATE(YEAR(C247-WEEKDAY(C247,2)+4),1,3),2)+5)/7),"00"))</f>
        <v/>
      </c>
    </row>
    <row r="248" ht="18" customHeight="1">
      <c r="A248" s="39" t="n">
        <v>243</v>
      </c>
      <c r="B248" s="33">
        <f>IF(C248="","",IF(L248="À RENSEIGNER","GIC",L248)&amp;"-S"&amp;TEXT(A248,"00000"))</f>
        <v/>
      </c>
      <c r="C248" s="32" t="n"/>
      <c r="D248" s="36" t="n"/>
      <c r="E248" s="36" t="n"/>
      <c r="F248" s="42" t="n"/>
      <c r="G248" s="36" t="n"/>
      <c r="H248" s="43" t="n"/>
      <c r="I248" s="37" t="n"/>
      <c r="J248" s="44" t="n"/>
      <c r="K248" s="36" t="n"/>
      <c r="L248" s="33">
        <f>IF(C248="","",Commercial_Id)</f>
        <v/>
      </c>
      <c r="M248" s="34">
        <f>IF(E248="","",IFERROR(VLOOKUP(E248,T_Produits,2,FALSE),""))</f>
        <v/>
      </c>
      <c r="N248" s="40">
        <f>IF(E248="","",IFERROR(1/(1/VLOOKUP(E248,T_Produits,3,FALSE)),""))</f>
        <v/>
      </c>
      <c r="O248" s="40">
        <f>IF(OR(D248="",F248=""),"",IF(OR(D248="Casse / avarie",D248="Perte / vol",D248="Échantillon offert"),IF(I248&lt;&gt;"",I248,IF(N248="","",F248*N248)),""))</f>
        <v/>
      </c>
      <c r="P248" s="50">
        <f>IF(OR(D248="",F248=""),"",F248*IF(OR(D248="Reçu du magasin",D248="Ajustement (+)"),1,-1))</f>
        <v/>
      </c>
      <c r="Q248" s="34">
        <f>IF(C248="","",YEAR(C248-WEEKDAY(C248,2)+4)&amp;"-S"&amp;TEXT(INT((C248-DATE(YEAR(C248-WEEKDAY(C248,2)+4),1,3)+WEEKDAY(DATE(YEAR(C248-WEEKDAY(C248,2)+4),1,3),2)+5)/7),"00"))</f>
        <v/>
      </c>
    </row>
    <row r="249" ht="18" customHeight="1">
      <c r="A249" s="39" t="n">
        <v>244</v>
      </c>
      <c r="B249" s="33">
        <f>IF(C249="","",IF(L249="À RENSEIGNER","GIC",L249)&amp;"-S"&amp;TEXT(A249,"00000"))</f>
        <v/>
      </c>
      <c r="C249" s="32" t="n"/>
      <c r="D249" s="36" t="n"/>
      <c r="E249" s="36" t="n"/>
      <c r="F249" s="42" t="n"/>
      <c r="G249" s="36" t="n"/>
      <c r="H249" s="43" t="n"/>
      <c r="I249" s="37" t="n"/>
      <c r="J249" s="44" t="n"/>
      <c r="K249" s="36" t="n"/>
      <c r="L249" s="33">
        <f>IF(C249="","",Commercial_Id)</f>
        <v/>
      </c>
      <c r="M249" s="34">
        <f>IF(E249="","",IFERROR(VLOOKUP(E249,T_Produits,2,FALSE),""))</f>
        <v/>
      </c>
      <c r="N249" s="40">
        <f>IF(E249="","",IFERROR(1/(1/VLOOKUP(E249,T_Produits,3,FALSE)),""))</f>
        <v/>
      </c>
      <c r="O249" s="40">
        <f>IF(OR(D249="",F249=""),"",IF(OR(D249="Casse / avarie",D249="Perte / vol",D249="Échantillon offert"),IF(I249&lt;&gt;"",I249,IF(N249="","",F249*N249)),""))</f>
        <v/>
      </c>
      <c r="P249" s="50">
        <f>IF(OR(D249="",F249=""),"",F249*IF(OR(D249="Reçu du magasin",D249="Ajustement (+)"),1,-1))</f>
        <v/>
      </c>
      <c r="Q249" s="34">
        <f>IF(C249="","",YEAR(C249-WEEKDAY(C249,2)+4)&amp;"-S"&amp;TEXT(INT((C249-DATE(YEAR(C249-WEEKDAY(C249,2)+4),1,3)+WEEKDAY(DATE(YEAR(C249-WEEKDAY(C249,2)+4),1,3),2)+5)/7),"00"))</f>
        <v/>
      </c>
    </row>
    <row r="250" ht="18" customHeight="1">
      <c r="A250" s="39" t="n">
        <v>245</v>
      </c>
      <c r="B250" s="33">
        <f>IF(C250="","",IF(L250="À RENSEIGNER","GIC",L250)&amp;"-S"&amp;TEXT(A250,"00000"))</f>
        <v/>
      </c>
      <c r="C250" s="32" t="n"/>
      <c r="D250" s="36" t="n"/>
      <c r="E250" s="36" t="n"/>
      <c r="F250" s="42" t="n"/>
      <c r="G250" s="36" t="n"/>
      <c r="H250" s="43" t="n"/>
      <c r="I250" s="37" t="n"/>
      <c r="J250" s="44" t="n"/>
      <c r="K250" s="36" t="n"/>
      <c r="L250" s="33">
        <f>IF(C250="","",Commercial_Id)</f>
        <v/>
      </c>
      <c r="M250" s="34">
        <f>IF(E250="","",IFERROR(VLOOKUP(E250,T_Produits,2,FALSE),""))</f>
        <v/>
      </c>
      <c r="N250" s="40">
        <f>IF(E250="","",IFERROR(1/(1/VLOOKUP(E250,T_Produits,3,FALSE)),""))</f>
        <v/>
      </c>
      <c r="O250" s="40">
        <f>IF(OR(D250="",F250=""),"",IF(OR(D250="Casse / avarie",D250="Perte / vol",D250="Échantillon offert"),IF(I250&lt;&gt;"",I250,IF(N250="","",F250*N250)),""))</f>
        <v/>
      </c>
      <c r="P250" s="50">
        <f>IF(OR(D250="",F250=""),"",F250*IF(OR(D250="Reçu du magasin",D250="Ajustement (+)"),1,-1))</f>
        <v/>
      </c>
      <c r="Q250" s="34">
        <f>IF(C250="","",YEAR(C250-WEEKDAY(C250,2)+4)&amp;"-S"&amp;TEXT(INT((C250-DATE(YEAR(C250-WEEKDAY(C250,2)+4),1,3)+WEEKDAY(DATE(YEAR(C250-WEEKDAY(C250,2)+4),1,3),2)+5)/7),"00"))</f>
        <v/>
      </c>
    </row>
    <row r="251" ht="18" customHeight="1">
      <c r="A251" s="39" t="n">
        <v>246</v>
      </c>
      <c r="B251" s="33">
        <f>IF(C251="","",IF(L251="À RENSEIGNER","GIC",L251)&amp;"-S"&amp;TEXT(A251,"00000"))</f>
        <v/>
      </c>
      <c r="C251" s="32" t="n"/>
      <c r="D251" s="36" t="n"/>
      <c r="E251" s="36" t="n"/>
      <c r="F251" s="42" t="n"/>
      <c r="G251" s="36" t="n"/>
      <c r="H251" s="43" t="n"/>
      <c r="I251" s="37" t="n"/>
      <c r="J251" s="44" t="n"/>
      <c r="K251" s="36" t="n"/>
      <c r="L251" s="33">
        <f>IF(C251="","",Commercial_Id)</f>
        <v/>
      </c>
      <c r="M251" s="34">
        <f>IF(E251="","",IFERROR(VLOOKUP(E251,T_Produits,2,FALSE),""))</f>
        <v/>
      </c>
      <c r="N251" s="40">
        <f>IF(E251="","",IFERROR(1/(1/VLOOKUP(E251,T_Produits,3,FALSE)),""))</f>
        <v/>
      </c>
      <c r="O251" s="40">
        <f>IF(OR(D251="",F251=""),"",IF(OR(D251="Casse / avarie",D251="Perte / vol",D251="Échantillon offert"),IF(I251&lt;&gt;"",I251,IF(N251="","",F251*N251)),""))</f>
        <v/>
      </c>
      <c r="P251" s="50">
        <f>IF(OR(D251="",F251=""),"",F251*IF(OR(D251="Reçu du magasin",D251="Ajustement (+)"),1,-1))</f>
        <v/>
      </c>
      <c r="Q251" s="34">
        <f>IF(C251="","",YEAR(C251-WEEKDAY(C251,2)+4)&amp;"-S"&amp;TEXT(INT((C251-DATE(YEAR(C251-WEEKDAY(C251,2)+4),1,3)+WEEKDAY(DATE(YEAR(C251-WEEKDAY(C251,2)+4),1,3),2)+5)/7),"00"))</f>
        <v/>
      </c>
    </row>
    <row r="252" ht="18" customHeight="1">
      <c r="A252" s="39" t="n">
        <v>247</v>
      </c>
      <c r="B252" s="33">
        <f>IF(C252="","",IF(L252="À RENSEIGNER","GIC",L252)&amp;"-S"&amp;TEXT(A252,"00000"))</f>
        <v/>
      </c>
      <c r="C252" s="32" t="n"/>
      <c r="D252" s="36" t="n"/>
      <c r="E252" s="36" t="n"/>
      <c r="F252" s="42" t="n"/>
      <c r="G252" s="36" t="n"/>
      <c r="H252" s="43" t="n"/>
      <c r="I252" s="37" t="n"/>
      <c r="J252" s="44" t="n"/>
      <c r="K252" s="36" t="n"/>
      <c r="L252" s="33">
        <f>IF(C252="","",Commercial_Id)</f>
        <v/>
      </c>
      <c r="M252" s="34">
        <f>IF(E252="","",IFERROR(VLOOKUP(E252,T_Produits,2,FALSE),""))</f>
        <v/>
      </c>
      <c r="N252" s="40">
        <f>IF(E252="","",IFERROR(1/(1/VLOOKUP(E252,T_Produits,3,FALSE)),""))</f>
        <v/>
      </c>
      <c r="O252" s="40">
        <f>IF(OR(D252="",F252=""),"",IF(OR(D252="Casse / avarie",D252="Perte / vol",D252="Échantillon offert"),IF(I252&lt;&gt;"",I252,IF(N252="","",F252*N252)),""))</f>
        <v/>
      </c>
      <c r="P252" s="50">
        <f>IF(OR(D252="",F252=""),"",F252*IF(OR(D252="Reçu du magasin",D252="Ajustement (+)"),1,-1))</f>
        <v/>
      </c>
      <c r="Q252" s="34">
        <f>IF(C252="","",YEAR(C252-WEEKDAY(C252,2)+4)&amp;"-S"&amp;TEXT(INT((C252-DATE(YEAR(C252-WEEKDAY(C252,2)+4),1,3)+WEEKDAY(DATE(YEAR(C252-WEEKDAY(C252,2)+4),1,3),2)+5)/7),"00"))</f>
        <v/>
      </c>
    </row>
    <row r="253" ht="18" customHeight="1">
      <c r="A253" s="39" t="n">
        <v>248</v>
      </c>
      <c r="B253" s="33">
        <f>IF(C253="","",IF(L253="À RENSEIGNER","GIC",L253)&amp;"-S"&amp;TEXT(A253,"00000"))</f>
        <v/>
      </c>
      <c r="C253" s="32" t="n"/>
      <c r="D253" s="36" t="n"/>
      <c r="E253" s="36" t="n"/>
      <c r="F253" s="42" t="n"/>
      <c r="G253" s="36" t="n"/>
      <c r="H253" s="43" t="n"/>
      <c r="I253" s="37" t="n"/>
      <c r="J253" s="44" t="n"/>
      <c r="K253" s="36" t="n"/>
      <c r="L253" s="33">
        <f>IF(C253="","",Commercial_Id)</f>
        <v/>
      </c>
      <c r="M253" s="34">
        <f>IF(E253="","",IFERROR(VLOOKUP(E253,T_Produits,2,FALSE),""))</f>
        <v/>
      </c>
      <c r="N253" s="40">
        <f>IF(E253="","",IFERROR(1/(1/VLOOKUP(E253,T_Produits,3,FALSE)),""))</f>
        <v/>
      </c>
      <c r="O253" s="40">
        <f>IF(OR(D253="",F253=""),"",IF(OR(D253="Casse / avarie",D253="Perte / vol",D253="Échantillon offert"),IF(I253&lt;&gt;"",I253,IF(N253="","",F253*N253)),""))</f>
        <v/>
      </c>
      <c r="P253" s="50">
        <f>IF(OR(D253="",F253=""),"",F253*IF(OR(D253="Reçu du magasin",D253="Ajustement (+)"),1,-1))</f>
        <v/>
      </c>
      <c r="Q253" s="34">
        <f>IF(C253="","",YEAR(C253-WEEKDAY(C253,2)+4)&amp;"-S"&amp;TEXT(INT((C253-DATE(YEAR(C253-WEEKDAY(C253,2)+4),1,3)+WEEKDAY(DATE(YEAR(C253-WEEKDAY(C253,2)+4),1,3),2)+5)/7),"00"))</f>
        <v/>
      </c>
    </row>
    <row r="254" ht="18" customHeight="1">
      <c r="A254" s="39" t="n">
        <v>249</v>
      </c>
      <c r="B254" s="33">
        <f>IF(C254="","",IF(L254="À RENSEIGNER","GIC",L254)&amp;"-S"&amp;TEXT(A254,"00000"))</f>
        <v/>
      </c>
      <c r="C254" s="32" t="n"/>
      <c r="D254" s="36" t="n"/>
      <c r="E254" s="36" t="n"/>
      <c r="F254" s="42" t="n"/>
      <c r="G254" s="36" t="n"/>
      <c r="H254" s="43" t="n"/>
      <c r="I254" s="37" t="n"/>
      <c r="J254" s="44" t="n"/>
      <c r="K254" s="36" t="n"/>
      <c r="L254" s="33">
        <f>IF(C254="","",Commercial_Id)</f>
        <v/>
      </c>
      <c r="M254" s="34">
        <f>IF(E254="","",IFERROR(VLOOKUP(E254,T_Produits,2,FALSE),""))</f>
        <v/>
      </c>
      <c r="N254" s="40">
        <f>IF(E254="","",IFERROR(1/(1/VLOOKUP(E254,T_Produits,3,FALSE)),""))</f>
        <v/>
      </c>
      <c r="O254" s="40">
        <f>IF(OR(D254="",F254=""),"",IF(OR(D254="Casse / avarie",D254="Perte / vol",D254="Échantillon offert"),IF(I254&lt;&gt;"",I254,IF(N254="","",F254*N254)),""))</f>
        <v/>
      </c>
      <c r="P254" s="50">
        <f>IF(OR(D254="",F254=""),"",F254*IF(OR(D254="Reçu du magasin",D254="Ajustement (+)"),1,-1))</f>
        <v/>
      </c>
      <c r="Q254" s="34">
        <f>IF(C254="","",YEAR(C254-WEEKDAY(C254,2)+4)&amp;"-S"&amp;TEXT(INT((C254-DATE(YEAR(C254-WEEKDAY(C254,2)+4),1,3)+WEEKDAY(DATE(YEAR(C254-WEEKDAY(C254,2)+4),1,3),2)+5)/7),"00"))</f>
        <v/>
      </c>
    </row>
    <row r="255" ht="18" customHeight="1">
      <c r="A255" s="39" t="n">
        <v>250</v>
      </c>
      <c r="B255" s="33">
        <f>IF(C255="","",IF(L255="À RENSEIGNER","GIC",L255)&amp;"-S"&amp;TEXT(A255,"00000"))</f>
        <v/>
      </c>
      <c r="C255" s="32" t="n"/>
      <c r="D255" s="36" t="n"/>
      <c r="E255" s="36" t="n"/>
      <c r="F255" s="42" t="n"/>
      <c r="G255" s="36" t="n"/>
      <c r="H255" s="43" t="n"/>
      <c r="I255" s="37" t="n"/>
      <c r="J255" s="44" t="n"/>
      <c r="K255" s="36" t="n"/>
      <c r="L255" s="33">
        <f>IF(C255="","",Commercial_Id)</f>
        <v/>
      </c>
      <c r="M255" s="34">
        <f>IF(E255="","",IFERROR(VLOOKUP(E255,T_Produits,2,FALSE),""))</f>
        <v/>
      </c>
      <c r="N255" s="40">
        <f>IF(E255="","",IFERROR(1/(1/VLOOKUP(E255,T_Produits,3,FALSE)),""))</f>
        <v/>
      </c>
      <c r="O255" s="40">
        <f>IF(OR(D255="",F255=""),"",IF(OR(D255="Casse / avarie",D255="Perte / vol",D255="Échantillon offert"),IF(I255&lt;&gt;"",I255,IF(N255="","",F255*N255)),""))</f>
        <v/>
      </c>
      <c r="P255" s="50">
        <f>IF(OR(D255="",F255=""),"",F255*IF(OR(D255="Reçu du magasin",D255="Ajustement (+)"),1,-1))</f>
        <v/>
      </c>
      <c r="Q255" s="34">
        <f>IF(C255="","",YEAR(C255-WEEKDAY(C255,2)+4)&amp;"-S"&amp;TEXT(INT((C255-DATE(YEAR(C255-WEEKDAY(C255,2)+4),1,3)+WEEKDAY(DATE(YEAR(C255-WEEKDAY(C255,2)+4),1,3),2)+5)/7),"00"))</f>
        <v/>
      </c>
    </row>
    <row r="256" ht="18" customHeight="1">
      <c r="A256" s="39" t="n">
        <v>251</v>
      </c>
      <c r="B256" s="33">
        <f>IF(C256="","",IF(L256="À RENSEIGNER","GIC",L256)&amp;"-S"&amp;TEXT(A256,"00000"))</f>
        <v/>
      </c>
      <c r="C256" s="32" t="n"/>
      <c r="D256" s="36" t="n"/>
      <c r="E256" s="36" t="n"/>
      <c r="F256" s="42" t="n"/>
      <c r="G256" s="36" t="n"/>
      <c r="H256" s="43" t="n"/>
      <c r="I256" s="37" t="n"/>
      <c r="J256" s="44" t="n"/>
      <c r="K256" s="36" t="n"/>
      <c r="L256" s="33">
        <f>IF(C256="","",Commercial_Id)</f>
        <v/>
      </c>
      <c r="M256" s="34">
        <f>IF(E256="","",IFERROR(VLOOKUP(E256,T_Produits,2,FALSE),""))</f>
        <v/>
      </c>
      <c r="N256" s="40">
        <f>IF(E256="","",IFERROR(1/(1/VLOOKUP(E256,T_Produits,3,FALSE)),""))</f>
        <v/>
      </c>
      <c r="O256" s="40">
        <f>IF(OR(D256="",F256=""),"",IF(OR(D256="Casse / avarie",D256="Perte / vol",D256="Échantillon offert"),IF(I256&lt;&gt;"",I256,IF(N256="","",F256*N256)),""))</f>
        <v/>
      </c>
      <c r="P256" s="50">
        <f>IF(OR(D256="",F256=""),"",F256*IF(OR(D256="Reçu du magasin",D256="Ajustement (+)"),1,-1))</f>
        <v/>
      </c>
      <c r="Q256" s="34">
        <f>IF(C256="","",YEAR(C256-WEEKDAY(C256,2)+4)&amp;"-S"&amp;TEXT(INT((C256-DATE(YEAR(C256-WEEKDAY(C256,2)+4),1,3)+WEEKDAY(DATE(YEAR(C256-WEEKDAY(C256,2)+4),1,3),2)+5)/7),"00"))</f>
        <v/>
      </c>
    </row>
    <row r="257" ht="18" customHeight="1">
      <c r="A257" s="39" t="n">
        <v>252</v>
      </c>
      <c r="B257" s="33">
        <f>IF(C257="","",IF(L257="À RENSEIGNER","GIC",L257)&amp;"-S"&amp;TEXT(A257,"00000"))</f>
        <v/>
      </c>
      <c r="C257" s="32" t="n"/>
      <c r="D257" s="36" t="n"/>
      <c r="E257" s="36" t="n"/>
      <c r="F257" s="42" t="n"/>
      <c r="G257" s="36" t="n"/>
      <c r="H257" s="43" t="n"/>
      <c r="I257" s="37" t="n"/>
      <c r="J257" s="44" t="n"/>
      <c r="K257" s="36" t="n"/>
      <c r="L257" s="33">
        <f>IF(C257="","",Commercial_Id)</f>
        <v/>
      </c>
      <c r="M257" s="34">
        <f>IF(E257="","",IFERROR(VLOOKUP(E257,T_Produits,2,FALSE),""))</f>
        <v/>
      </c>
      <c r="N257" s="40">
        <f>IF(E257="","",IFERROR(1/(1/VLOOKUP(E257,T_Produits,3,FALSE)),""))</f>
        <v/>
      </c>
      <c r="O257" s="40">
        <f>IF(OR(D257="",F257=""),"",IF(OR(D257="Casse / avarie",D257="Perte / vol",D257="Échantillon offert"),IF(I257&lt;&gt;"",I257,IF(N257="","",F257*N257)),""))</f>
        <v/>
      </c>
      <c r="P257" s="50">
        <f>IF(OR(D257="",F257=""),"",F257*IF(OR(D257="Reçu du magasin",D257="Ajustement (+)"),1,-1))</f>
        <v/>
      </c>
      <c r="Q257" s="34">
        <f>IF(C257="","",YEAR(C257-WEEKDAY(C257,2)+4)&amp;"-S"&amp;TEXT(INT((C257-DATE(YEAR(C257-WEEKDAY(C257,2)+4),1,3)+WEEKDAY(DATE(YEAR(C257-WEEKDAY(C257,2)+4),1,3),2)+5)/7),"00"))</f>
        <v/>
      </c>
    </row>
    <row r="258" ht="18" customHeight="1">
      <c r="A258" s="39" t="n">
        <v>253</v>
      </c>
      <c r="B258" s="33">
        <f>IF(C258="","",IF(L258="À RENSEIGNER","GIC",L258)&amp;"-S"&amp;TEXT(A258,"00000"))</f>
        <v/>
      </c>
      <c r="C258" s="32" t="n"/>
      <c r="D258" s="36" t="n"/>
      <c r="E258" s="36" t="n"/>
      <c r="F258" s="42" t="n"/>
      <c r="G258" s="36" t="n"/>
      <c r="H258" s="43" t="n"/>
      <c r="I258" s="37" t="n"/>
      <c r="J258" s="44" t="n"/>
      <c r="K258" s="36" t="n"/>
      <c r="L258" s="33">
        <f>IF(C258="","",Commercial_Id)</f>
        <v/>
      </c>
      <c r="M258" s="34">
        <f>IF(E258="","",IFERROR(VLOOKUP(E258,T_Produits,2,FALSE),""))</f>
        <v/>
      </c>
      <c r="N258" s="40">
        <f>IF(E258="","",IFERROR(1/(1/VLOOKUP(E258,T_Produits,3,FALSE)),""))</f>
        <v/>
      </c>
      <c r="O258" s="40">
        <f>IF(OR(D258="",F258=""),"",IF(OR(D258="Casse / avarie",D258="Perte / vol",D258="Échantillon offert"),IF(I258&lt;&gt;"",I258,IF(N258="","",F258*N258)),""))</f>
        <v/>
      </c>
      <c r="P258" s="50">
        <f>IF(OR(D258="",F258=""),"",F258*IF(OR(D258="Reçu du magasin",D258="Ajustement (+)"),1,-1))</f>
        <v/>
      </c>
      <c r="Q258" s="34">
        <f>IF(C258="","",YEAR(C258-WEEKDAY(C258,2)+4)&amp;"-S"&amp;TEXT(INT((C258-DATE(YEAR(C258-WEEKDAY(C258,2)+4),1,3)+WEEKDAY(DATE(YEAR(C258-WEEKDAY(C258,2)+4),1,3),2)+5)/7),"00"))</f>
        <v/>
      </c>
    </row>
    <row r="259" ht="18" customHeight="1">
      <c r="A259" s="39" t="n">
        <v>254</v>
      </c>
      <c r="B259" s="33">
        <f>IF(C259="","",IF(L259="À RENSEIGNER","GIC",L259)&amp;"-S"&amp;TEXT(A259,"00000"))</f>
        <v/>
      </c>
      <c r="C259" s="32" t="n"/>
      <c r="D259" s="36" t="n"/>
      <c r="E259" s="36" t="n"/>
      <c r="F259" s="42" t="n"/>
      <c r="G259" s="36" t="n"/>
      <c r="H259" s="43" t="n"/>
      <c r="I259" s="37" t="n"/>
      <c r="J259" s="44" t="n"/>
      <c r="K259" s="36" t="n"/>
      <c r="L259" s="33">
        <f>IF(C259="","",Commercial_Id)</f>
        <v/>
      </c>
      <c r="M259" s="34">
        <f>IF(E259="","",IFERROR(VLOOKUP(E259,T_Produits,2,FALSE),""))</f>
        <v/>
      </c>
      <c r="N259" s="40">
        <f>IF(E259="","",IFERROR(1/(1/VLOOKUP(E259,T_Produits,3,FALSE)),""))</f>
        <v/>
      </c>
      <c r="O259" s="40">
        <f>IF(OR(D259="",F259=""),"",IF(OR(D259="Casse / avarie",D259="Perte / vol",D259="Échantillon offert"),IF(I259&lt;&gt;"",I259,IF(N259="","",F259*N259)),""))</f>
        <v/>
      </c>
      <c r="P259" s="50">
        <f>IF(OR(D259="",F259=""),"",F259*IF(OR(D259="Reçu du magasin",D259="Ajustement (+)"),1,-1))</f>
        <v/>
      </c>
      <c r="Q259" s="34">
        <f>IF(C259="","",YEAR(C259-WEEKDAY(C259,2)+4)&amp;"-S"&amp;TEXT(INT((C259-DATE(YEAR(C259-WEEKDAY(C259,2)+4),1,3)+WEEKDAY(DATE(YEAR(C259-WEEKDAY(C259,2)+4),1,3),2)+5)/7),"00"))</f>
        <v/>
      </c>
    </row>
    <row r="260" ht="18" customHeight="1">
      <c r="A260" s="39" t="n">
        <v>255</v>
      </c>
      <c r="B260" s="33">
        <f>IF(C260="","",IF(L260="À RENSEIGNER","GIC",L260)&amp;"-S"&amp;TEXT(A260,"00000"))</f>
        <v/>
      </c>
      <c r="C260" s="32" t="n"/>
      <c r="D260" s="36" t="n"/>
      <c r="E260" s="36" t="n"/>
      <c r="F260" s="42" t="n"/>
      <c r="G260" s="36" t="n"/>
      <c r="H260" s="43" t="n"/>
      <c r="I260" s="37" t="n"/>
      <c r="J260" s="44" t="n"/>
      <c r="K260" s="36" t="n"/>
      <c r="L260" s="33">
        <f>IF(C260="","",Commercial_Id)</f>
        <v/>
      </c>
      <c r="M260" s="34">
        <f>IF(E260="","",IFERROR(VLOOKUP(E260,T_Produits,2,FALSE),""))</f>
        <v/>
      </c>
      <c r="N260" s="40">
        <f>IF(E260="","",IFERROR(1/(1/VLOOKUP(E260,T_Produits,3,FALSE)),""))</f>
        <v/>
      </c>
      <c r="O260" s="40">
        <f>IF(OR(D260="",F260=""),"",IF(OR(D260="Casse / avarie",D260="Perte / vol",D260="Échantillon offert"),IF(I260&lt;&gt;"",I260,IF(N260="","",F260*N260)),""))</f>
        <v/>
      </c>
      <c r="P260" s="50">
        <f>IF(OR(D260="",F260=""),"",F260*IF(OR(D260="Reçu du magasin",D260="Ajustement (+)"),1,-1))</f>
        <v/>
      </c>
      <c r="Q260" s="34">
        <f>IF(C260="","",YEAR(C260-WEEKDAY(C260,2)+4)&amp;"-S"&amp;TEXT(INT((C260-DATE(YEAR(C260-WEEKDAY(C260,2)+4),1,3)+WEEKDAY(DATE(YEAR(C260-WEEKDAY(C260,2)+4),1,3),2)+5)/7),"00"))</f>
        <v/>
      </c>
    </row>
    <row r="261" ht="18" customHeight="1">
      <c r="A261" s="39" t="n">
        <v>256</v>
      </c>
      <c r="B261" s="33">
        <f>IF(C261="","",IF(L261="À RENSEIGNER","GIC",L261)&amp;"-S"&amp;TEXT(A261,"00000"))</f>
        <v/>
      </c>
      <c r="C261" s="32" t="n"/>
      <c r="D261" s="36" t="n"/>
      <c r="E261" s="36" t="n"/>
      <c r="F261" s="42" t="n"/>
      <c r="G261" s="36" t="n"/>
      <c r="H261" s="43" t="n"/>
      <c r="I261" s="37" t="n"/>
      <c r="J261" s="44" t="n"/>
      <c r="K261" s="36" t="n"/>
      <c r="L261" s="33">
        <f>IF(C261="","",Commercial_Id)</f>
        <v/>
      </c>
      <c r="M261" s="34">
        <f>IF(E261="","",IFERROR(VLOOKUP(E261,T_Produits,2,FALSE),""))</f>
        <v/>
      </c>
      <c r="N261" s="40">
        <f>IF(E261="","",IFERROR(1/(1/VLOOKUP(E261,T_Produits,3,FALSE)),""))</f>
        <v/>
      </c>
      <c r="O261" s="40">
        <f>IF(OR(D261="",F261=""),"",IF(OR(D261="Casse / avarie",D261="Perte / vol",D261="Échantillon offert"),IF(I261&lt;&gt;"",I261,IF(N261="","",F261*N261)),""))</f>
        <v/>
      </c>
      <c r="P261" s="50">
        <f>IF(OR(D261="",F261=""),"",F261*IF(OR(D261="Reçu du magasin",D261="Ajustement (+)"),1,-1))</f>
        <v/>
      </c>
      <c r="Q261" s="34">
        <f>IF(C261="","",YEAR(C261-WEEKDAY(C261,2)+4)&amp;"-S"&amp;TEXT(INT((C261-DATE(YEAR(C261-WEEKDAY(C261,2)+4),1,3)+WEEKDAY(DATE(YEAR(C261-WEEKDAY(C261,2)+4),1,3),2)+5)/7),"00"))</f>
        <v/>
      </c>
    </row>
    <row r="262" ht="18" customHeight="1">
      <c r="A262" s="39" t="n">
        <v>257</v>
      </c>
      <c r="B262" s="33">
        <f>IF(C262="","",IF(L262="À RENSEIGNER","GIC",L262)&amp;"-S"&amp;TEXT(A262,"00000"))</f>
        <v/>
      </c>
      <c r="C262" s="32" t="n"/>
      <c r="D262" s="36" t="n"/>
      <c r="E262" s="36" t="n"/>
      <c r="F262" s="42" t="n"/>
      <c r="G262" s="36" t="n"/>
      <c r="H262" s="43" t="n"/>
      <c r="I262" s="37" t="n"/>
      <c r="J262" s="44" t="n"/>
      <c r="K262" s="36" t="n"/>
      <c r="L262" s="33">
        <f>IF(C262="","",Commercial_Id)</f>
        <v/>
      </c>
      <c r="M262" s="34">
        <f>IF(E262="","",IFERROR(VLOOKUP(E262,T_Produits,2,FALSE),""))</f>
        <v/>
      </c>
      <c r="N262" s="40">
        <f>IF(E262="","",IFERROR(1/(1/VLOOKUP(E262,T_Produits,3,FALSE)),""))</f>
        <v/>
      </c>
      <c r="O262" s="40">
        <f>IF(OR(D262="",F262=""),"",IF(OR(D262="Casse / avarie",D262="Perte / vol",D262="Échantillon offert"),IF(I262&lt;&gt;"",I262,IF(N262="","",F262*N262)),""))</f>
        <v/>
      </c>
      <c r="P262" s="50">
        <f>IF(OR(D262="",F262=""),"",F262*IF(OR(D262="Reçu du magasin",D262="Ajustement (+)"),1,-1))</f>
        <v/>
      </c>
      <c r="Q262" s="34">
        <f>IF(C262="","",YEAR(C262-WEEKDAY(C262,2)+4)&amp;"-S"&amp;TEXT(INT((C262-DATE(YEAR(C262-WEEKDAY(C262,2)+4),1,3)+WEEKDAY(DATE(YEAR(C262-WEEKDAY(C262,2)+4),1,3),2)+5)/7),"00"))</f>
        <v/>
      </c>
    </row>
    <row r="263" ht="18" customHeight="1">
      <c r="A263" s="39" t="n">
        <v>258</v>
      </c>
      <c r="B263" s="33">
        <f>IF(C263="","",IF(L263="À RENSEIGNER","GIC",L263)&amp;"-S"&amp;TEXT(A263,"00000"))</f>
        <v/>
      </c>
      <c r="C263" s="32" t="n"/>
      <c r="D263" s="36" t="n"/>
      <c r="E263" s="36" t="n"/>
      <c r="F263" s="42" t="n"/>
      <c r="G263" s="36" t="n"/>
      <c r="H263" s="43" t="n"/>
      <c r="I263" s="37" t="n"/>
      <c r="J263" s="44" t="n"/>
      <c r="K263" s="36" t="n"/>
      <c r="L263" s="33">
        <f>IF(C263="","",Commercial_Id)</f>
        <v/>
      </c>
      <c r="M263" s="34">
        <f>IF(E263="","",IFERROR(VLOOKUP(E263,T_Produits,2,FALSE),""))</f>
        <v/>
      </c>
      <c r="N263" s="40">
        <f>IF(E263="","",IFERROR(1/(1/VLOOKUP(E263,T_Produits,3,FALSE)),""))</f>
        <v/>
      </c>
      <c r="O263" s="40">
        <f>IF(OR(D263="",F263=""),"",IF(OR(D263="Casse / avarie",D263="Perte / vol",D263="Échantillon offert"),IF(I263&lt;&gt;"",I263,IF(N263="","",F263*N263)),""))</f>
        <v/>
      </c>
      <c r="P263" s="50">
        <f>IF(OR(D263="",F263=""),"",F263*IF(OR(D263="Reçu du magasin",D263="Ajustement (+)"),1,-1))</f>
        <v/>
      </c>
      <c r="Q263" s="34">
        <f>IF(C263="","",YEAR(C263-WEEKDAY(C263,2)+4)&amp;"-S"&amp;TEXT(INT((C263-DATE(YEAR(C263-WEEKDAY(C263,2)+4),1,3)+WEEKDAY(DATE(YEAR(C263-WEEKDAY(C263,2)+4),1,3),2)+5)/7),"00"))</f>
        <v/>
      </c>
    </row>
    <row r="264" ht="18" customHeight="1">
      <c r="A264" s="39" t="n">
        <v>259</v>
      </c>
      <c r="B264" s="33">
        <f>IF(C264="","",IF(L264="À RENSEIGNER","GIC",L264)&amp;"-S"&amp;TEXT(A264,"00000"))</f>
        <v/>
      </c>
      <c r="C264" s="32" t="n"/>
      <c r="D264" s="36" t="n"/>
      <c r="E264" s="36" t="n"/>
      <c r="F264" s="42" t="n"/>
      <c r="G264" s="36" t="n"/>
      <c r="H264" s="43" t="n"/>
      <c r="I264" s="37" t="n"/>
      <c r="J264" s="44" t="n"/>
      <c r="K264" s="36" t="n"/>
      <c r="L264" s="33">
        <f>IF(C264="","",Commercial_Id)</f>
        <v/>
      </c>
      <c r="M264" s="34">
        <f>IF(E264="","",IFERROR(VLOOKUP(E264,T_Produits,2,FALSE),""))</f>
        <v/>
      </c>
      <c r="N264" s="40">
        <f>IF(E264="","",IFERROR(1/(1/VLOOKUP(E264,T_Produits,3,FALSE)),""))</f>
        <v/>
      </c>
      <c r="O264" s="40">
        <f>IF(OR(D264="",F264=""),"",IF(OR(D264="Casse / avarie",D264="Perte / vol",D264="Échantillon offert"),IF(I264&lt;&gt;"",I264,IF(N264="","",F264*N264)),""))</f>
        <v/>
      </c>
      <c r="P264" s="50">
        <f>IF(OR(D264="",F264=""),"",F264*IF(OR(D264="Reçu du magasin",D264="Ajustement (+)"),1,-1))</f>
        <v/>
      </c>
      <c r="Q264" s="34">
        <f>IF(C264="","",YEAR(C264-WEEKDAY(C264,2)+4)&amp;"-S"&amp;TEXT(INT((C264-DATE(YEAR(C264-WEEKDAY(C264,2)+4),1,3)+WEEKDAY(DATE(YEAR(C264-WEEKDAY(C264,2)+4),1,3),2)+5)/7),"00"))</f>
        <v/>
      </c>
    </row>
    <row r="265" ht="18" customHeight="1">
      <c r="A265" s="39" t="n">
        <v>260</v>
      </c>
      <c r="B265" s="33">
        <f>IF(C265="","",IF(L265="À RENSEIGNER","GIC",L265)&amp;"-S"&amp;TEXT(A265,"00000"))</f>
        <v/>
      </c>
      <c r="C265" s="32" t="n"/>
      <c r="D265" s="36" t="n"/>
      <c r="E265" s="36" t="n"/>
      <c r="F265" s="42" t="n"/>
      <c r="G265" s="36" t="n"/>
      <c r="H265" s="43" t="n"/>
      <c r="I265" s="37" t="n"/>
      <c r="J265" s="44" t="n"/>
      <c r="K265" s="36" t="n"/>
      <c r="L265" s="33">
        <f>IF(C265="","",Commercial_Id)</f>
        <v/>
      </c>
      <c r="M265" s="34">
        <f>IF(E265="","",IFERROR(VLOOKUP(E265,T_Produits,2,FALSE),""))</f>
        <v/>
      </c>
      <c r="N265" s="40">
        <f>IF(E265="","",IFERROR(1/(1/VLOOKUP(E265,T_Produits,3,FALSE)),""))</f>
        <v/>
      </c>
      <c r="O265" s="40">
        <f>IF(OR(D265="",F265=""),"",IF(OR(D265="Casse / avarie",D265="Perte / vol",D265="Échantillon offert"),IF(I265&lt;&gt;"",I265,IF(N265="","",F265*N265)),""))</f>
        <v/>
      </c>
      <c r="P265" s="50">
        <f>IF(OR(D265="",F265=""),"",F265*IF(OR(D265="Reçu du magasin",D265="Ajustement (+)"),1,-1))</f>
        <v/>
      </c>
      <c r="Q265" s="34">
        <f>IF(C265="","",YEAR(C265-WEEKDAY(C265,2)+4)&amp;"-S"&amp;TEXT(INT((C265-DATE(YEAR(C265-WEEKDAY(C265,2)+4),1,3)+WEEKDAY(DATE(YEAR(C265-WEEKDAY(C265,2)+4),1,3),2)+5)/7),"00"))</f>
        <v/>
      </c>
    </row>
    <row r="266" ht="18" customHeight="1">
      <c r="A266" s="39" t="n">
        <v>261</v>
      </c>
      <c r="B266" s="33">
        <f>IF(C266="","",IF(L266="À RENSEIGNER","GIC",L266)&amp;"-S"&amp;TEXT(A266,"00000"))</f>
        <v/>
      </c>
      <c r="C266" s="32" t="n"/>
      <c r="D266" s="36" t="n"/>
      <c r="E266" s="36" t="n"/>
      <c r="F266" s="42" t="n"/>
      <c r="G266" s="36" t="n"/>
      <c r="H266" s="43" t="n"/>
      <c r="I266" s="37" t="n"/>
      <c r="J266" s="44" t="n"/>
      <c r="K266" s="36" t="n"/>
      <c r="L266" s="33">
        <f>IF(C266="","",Commercial_Id)</f>
        <v/>
      </c>
      <c r="M266" s="34">
        <f>IF(E266="","",IFERROR(VLOOKUP(E266,T_Produits,2,FALSE),""))</f>
        <v/>
      </c>
      <c r="N266" s="40">
        <f>IF(E266="","",IFERROR(1/(1/VLOOKUP(E266,T_Produits,3,FALSE)),""))</f>
        <v/>
      </c>
      <c r="O266" s="40">
        <f>IF(OR(D266="",F266=""),"",IF(OR(D266="Casse / avarie",D266="Perte / vol",D266="Échantillon offert"),IF(I266&lt;&gt;"",I266,IF(N266="","",F266*N266)),""))</f>
        <v/>
      </c>
      <c r="P266" s="50">
        <f>IF(OR(D266="",F266=""),"",F266*IF(OR(D266="Reçu du magasin",D266="Ajustement (+)"),1,-1))</f>
        <v/>
      </c>
      <c r="Q266" s="34">
        <f>IF(C266="","",YEAR(C266-WEEKDAY(C266,2)+4)&amp;"-S"&amp;TEXT(INT((C266-DATE(YEAR(C266-WEEKDAY(C266,2)+4),1,3)+WEEKDAY(DATE(YEAR(C266-WEEKDAY(C266,2)+4),1,3),2)+5)/7),"00"))</f>
        <v/>
      </c>
    </row>
    <row r="267" ht="18" customHeight="1">
      <c r="A267" s="39" t="n">
        <v>262</v>
      </c>
      <c r="B267" s="33">
        <f>IF(C267="","",IF(L267="À RENSEIGNER","GIC",L267)&amp;"-S"&amp;TEXT(A267,"00000"))</f>
        <v/>
      </c>
      <c r="C267" s="32" t="n"/>
      <c r="D267" s="36" t="n"/>
      <c r="E267" s="36" t="n"/>
      <c r="F267" s="42" t="n"/>
      <c r="G267" s="36" t="n"/>
      <c r="H267" s="43" t="n"/>
      <c r="I267" s="37" t="n"/>
      <c r="J267" s="44" t="n"/>
      <c r="K267" s="36" t="n"/>
      <c r="L267" s="33">
        <f>IF(C267="","",Commercial_Id)</f>
        <v/>
      </c>
      <c r="M267" s="34">
        <f>IF(E267="","",IFERROR(VLOOKUP(E267,T_Produits,2,FALSE),""))</f>
        <v/>
      </c>
      <c r="N267" s="40">
        <f>IF(E267="","",IFERROR(1/(1/VLOOKUP(E267,T_Produits,3,FALSE)),""))</f>
        <v/>
      </c>
      <c r="O267" s="40">
        <f>IF(OR(D267="",F267=""),"",IF(OR(D267="Casse / avarie",D267="Perte / vol",D267="Échantillon offert"),IF(I267&lt;&gt;"",I267,IF(N267="","",F267*N267)),""))</f>
        <v/>
      </c>
      <c r="P267" s="50">
        <f>IF(OR(D267="",F267=""),"",F267*IF(OR(D267="Reçu du magasin",D267="Ajustement (+)"),1,-1))</f>
        <v/>
      </c>
      <c r="Q267" s="34">
        <f>IF(C267="","",YEAR(C267-WEEKDAY(C267,2)+4)&amp;"-S"&amp;TEXT(INT((C267-DATE(YEAR(C267-WEEKDAY(C267,2)+4),1,3)+WEEKDAY(DATE(YEAR(C267-WEEKDAY(C267,2)+4),1,3),2)+5)/7),"00"))</f>
        <v/>
      </c>
    </row>
    <row r="268" ht="18" customHeight="1">
      <c r="A268" s="39" t="n">
        <v>263</v>
      </c>
      <c r="B268" s="33">
        <f>IF(C268="","",IF(L268="À RENSEIGNER","GIC",L268)&amp;"-S"&amp;TEXT(A268,"00000"))</f>
        <v/>
      </c>
      <c r="C268" s="32" t="n"/>
      <c r="D268" s="36" t="n"/>
      <c r="E268" s="36" t="n"/>
      <c r="F268" s="42" t="n"/>
      <c r="G268" s="36" t="n"/>
      <c r="H268" s="43" t="n"/>
      <c r="I268" s="37" t="n"/>
      <c r="J268" s="44" t="n"/>
      <c r="K268" s="36" t="n"/>
      <c r="L268" s="33">
        <f>IF(C268="","",Commercial_Id)</f>
        <v/>
      </c>
      <c r="M268" s="34">
        <f>IF(E268="","",IFERROR(VLOOKUP(E268,T_Produits,2,FALSE),""))</f>
        <v/>
      </c>
      <c r="N268" s="40">
        <f>IF(E268="","",IFERROR(1/(1/VLOOKUP(E268,T_Produits,3,FALSE)),""))</f>
        <v/>
      </c>
      <c r="O268" s="40">
        <f>IF(OR(D268="",F268=""),"",IF(OR(D268="Casse / avarie",D268="Perte / vol",D268="Échantillon offert"),IF(I268&lt;&gt;"",I268,IF(N268="","",F268*N268)),""))</f>
        <v/>
      </c>
      <c r="P268" s="50">
        <f>IF(OR(D268="",F268=""),"",F268*IF(OR(D268="Reçu du magasin",D268="Ajustement (+)"),1,-1))</f>
        <v/>
      </c>
      <c r="Q268" s="34">
        <f>IF(C268="","",YEAR(C268-WEEKDAY(C268,2)+4)&amp;"-S"&amp;TEXT(INT((C268-DATE(YEAR(C268-WEEKDAY(C268,2)+4),1,3)+WEEKDAY(DATE(YEAR(C268-WEEKDAY(C268,2)+4),1,3),2)+5)/7),"00"))</f>
        <v/>
      </c>
    </row>
    <row r="269" ht="18" customHeight="1">
      <c r="A269" s="39" t="n">
        <v>264</v>
      </c>
      <c r="B269" s="33">
        <f>IF(C269="","",IF(L269="À RENSEIGNER","GIC",L269)&amp;"-S"&amp;TEXT(A269,"00000"))</f>
        <v/>
      </c>
      <c r="C269" s="32" t="n"/>
      <c r="D269" s="36" t="n"/>
      <c r="E269" s="36" t="n"/>
      <c r="F269" s="42" t="n"/>
      <c r="G269" s="36" t="n"/>
      <c r="H269" s="43" t="n"/>
      <c r="I269" s="37" t="n"/>
      <c r="J269" s="44" t="n"/>
      <c r="K269" s="36" t="n"/>
      <c r="L269" s="33">
        <f>IF(C269="","",Commercial_Id)</f>
        <v/>
      </c>
      <c r="M269" s="34">
        <f>IF(E269="","",IFERROR(VLOOKUP(E269,T_Produits,2,FALSE),""))</f>
        <v/>
      </c>
      <c r="N269" s="40">
        <f>IF(E269="","",IFERROR(1/(1/VLOOKUP(E269,T_Produits,3,FALSE)),""))</f>
        <v/>
      </c>
      <c r="O269" s="40">
        <f>IF(OR(D269="",F269=""),"",IF(OR(D269="Casse / avarie",D269="Perte / vol",D269="Échantillon offert"),IF(I269&lt;&gt;"",I269,IF(N269="","",F269*N269)),""))</f>
        <v/>
      </c>
      <c r="P269" s="50">
        <f>IF(OR(D269="",F269=""),"",F269*IF(OR(D269="Reçu du magasin",D269="Ajustement (+)"),1,-1))</f>
        <v/>
      </c>
      <c r="Q269" s="34">
        <f>IF(C269="","",YEAR(C269-WEEKDAY(C269,2)+4)&amp;"-S"&amp;TEXT(INT((C269-DATE(YEAR(C269-WEEKDAY(C269,2)+4),1,3)+WEEKDAY(DATE(YEAR(C269-WEEKDAY(C269,2)+4),1,3),2)+5)/7),"00"))</f>
        <v/>
      </c>
    </row>
    <row r="270" ht="18" customHeight="1">
      <c r="A270" s="39" t="n">
        <v>265</v>
      </c>
      <c r="B270" s="33">
        <f>IF(C270="","",IF(L270="À RENSEIGNER","GIC",L270)&amp;"-S"&amp;TEXT(A270,"00000"))</f>
        <v/>
      </c>
      <c r="C270" s="32" t="n"/>
      <c r="D270" s="36" t="n"/>
      <c r="E270" s="36" t="n"/>
      <c r="F270" s="42" t="n"/>
      <c r="G270" s="36" t="n"/>
      <c r="H270" s="43" t="n"/>
      <c r="I270" s="37" t="n"/>
      <c r="J270" s="44" t="n"/>
      <c r="K270" s="36" t="n"/>
      <c r="L270" s="33">
        <f>IF(C270="","",Commercial_Id)</f>
        <v/>
      </c>
      <c r="M270" s="34">
        <f>IF(E270="","",IFERROR(VLOOKUP(E270,T_Produits,2,FALSE),""))</f>
        <v/>
      </c>
      <c r="N270" s="40">
        <f>IF(E270="","",IFERROR(1/(1/VLOOKUP(E270,T_Produits,3,FALSE)),""))</f>
        <v/>
      </c>
      <c r="O270" s="40">
        <f>IF(OR(D270="",F270=""),"",IF(OR(D270="Casse / avarie",D270="Perte / vol",D270="Échantillon offert"),IF(I270&lt;&gt;"",I270,IF(N270="","",F270*N270)),""))</f>
        <v/>
      </c>
      <c r="P270" s="50">
        <f>IF(OR(D270="",F270=""),"",F270*IF(OR(D270="Reçu du magasin",D270="Ajustement (+)"),1,-1))</f>
        <v/>
      </c>
      <c r="Q270" s="34">
        <f>IF(C270="","",YEAR(C270-WEEKDAY(C270,2)+4)&amp;"-S"&amp;TEXT(INT((C270-DATE(YEAR(C270-WEEKDAY(C270,2)+4),1,3)+WEEKDAY(DATE(YEAR(C270-WEEKDAY(C270,2)+4),1,3),2)+5)/7),"00"))</f>
        <v/>
      </c>
    </row>
    <row r="271" ht="18" customHeight="1">
      <c r="A271" s="39" t="n">
        <v>266</v>
      </c>
      <c r="B271" s="33">
        <f>IF(C271="","",IF(L271="À RENSEIGNER","GIC",L271)&amp;"-S"&amp;TEXT(A271,"00000"))</f>
        <v/>
      </c>
      <c r="C271" s="32" t="n"/>
      <c r="D271" s="36" t="n"/>
      <c r="E271" s="36" t="n"/>
      <c r="F271" s="42" t="n"/>
      <c r="G271" s="36" t="n"/>
      <c r="H271" s="43" t="n"/>
      <c r="I271" s="37" t="n"/>
      <c r="J271" s="44" t="n"/>
      <c r="K271" s="36" t="n"/>
      <c r="L271" s="33">
        <f>IF(C271="","",Commercial_Id)</f>
        <v/>
      </c>
      <c r="M271" s="34">
        <f>IF(E271="","",IFERROR(VLOOKUP(E271,T_Produits,2,FALSE),""))</f>
        <v/>
      </c>
      <c r="N271" s="40">
        <f>IF(E271="","",IFERROR(1/(1/VLOOKUP(E271,T_Produits,3,FALSE)),""))</f>
        <v/>
      </c>
      <c r="O271" s="40">
        <f>IF(OR(D271="",F271=""),"",IF(OR(D271="Casse / avarie",D271="Perte / vol",D271="Échantillon offert"),IF(I271&lt;&gt;"",I271,IF(N271="","",F271*N271)),""))</f>
        <v/>
      </c>
      <c r="P271" s="50">
        <f>IF(OR(D271="",F271=""),"",F271*IF(OR(D271="Reçu du magasin",D271="Ajustement (+)"),1,-1))</f>
        <v/>
      </c>
      <c r="Q271" s="34">
        <f>IF(C271="","",YEAR(C271-WEEKDAY(C271,2)+4)&amp;"-S"&amp;TEXT(INT((C271-DATE(YEAR(C271-WEEKDAY(C271,2)+4),1,3)+WEEKDAY(DATE(YEAR(C271-WEEKDAY(C271,2)+4),1,3),2)+5)/7),"00"))</f>
        <v/>
      </c>
    </row>
    <row r="272" ht="18" customHeight="1">
      <c r="A272" s="39" t="n">
        <v>267</v>
      </c>
      <c r="B272" s="33">
        <f>IF(C272="","",IF(L272="À RENSEIGNER","GIC",L272)&amp;"-S"&amp;TEXT(A272,"00000"))</f>
        <v/>
      </c>
      <c r="C272" s="32" t="n"/>
      <c r="D272" s="36" t="n"/>
      <c r="E272" s="36" t="n"/>
      <c r="F272" s="42" t="n"/>
      <c r="G272" s="36" t="n"/>
      <c r="H272" s="43" t="n"/>
      <c r="I272" s="37" t="n"/>
      <c r="J272" s="44" t="n"/>
      <c r="K272" s="36" t="n"/>
      <c r="L272" s="33">
        <f>IF(C272="","",Commercial_Id)</f>
        <v/>
      </c>
      <c r="M272" s="34">
        <f>IF(E272="","",IFERROR(VLOOKUP(E272,T_Produits,2,FALSE),""))</f>
        <v/>
      </c>
      <c r="N272" s="40">
        <f>IF(E272="","",IFERROR(1/(1/VLOOKUP(E272,T_Produits,3,FALSE)),""))</f>
        <v/>
      </c>
      <c r="O272" s="40">
        <f>IF(OR(D272="",F272=""),"",IF(OR(D272="Casse / avarie",D272="Perte / vol",D272="Échantillon offert"),IF(I272&lt;&gt;"",I272,IF(N272="","",F272*N272)),""))</f>
        <v/>
      </c>
      <c r="P272" s="50">
        <f>IF(OR(D272="",F272=""),"",F272*IF(OR(D272="Reçu du magasin",D272="Ajustement (+)"),1,-1))</f>
        <v/>
      </c>
      <c r="Q272" s="34">
        <f>IF(C272="","",YEAR(C272-WEEKDAY(C272,2)+4)&amp;"-S"&amp;TEXT(INT((C272-DATE(YEAR(C272-WEEKDAY(C272,2)+4),1,3)+WEEKDAY(DATE(YEAR(C272-WEEKDAY(C272,2)+4),1,3),2)+5)/7),"00"))</f>
        <v/>
      </c>
    </row>
    <row r="273" ht="18" customHeight="1">
      <c r="A273" s="39" t="n">
        <v>268</v>
      </c>
      <c r="B273" s="33">
        <f>IF(C273="","",IF(L273="À RENSEIGNER","GIC",L273)&amp;"-S"&amp;TEXT(A273,"00000"))</f>
        <v/>
      </c>
      <c r="C273" s="32" t="n"/>
      <c r="D273" s="36" t="n"/>
      <c r="E273" s="36" t="n"/>
      <c r="F273" s="42" t="n"/>
      <c r="G273" s="36" t="n"/>
      <c r="H273" s="43" t="n"/>
      <c r="I273" s="37" t="n"/>
      <c r="J273" s="44" t="n"/>
      <c r="K273" s="36" t="n"/>
      <c r="L273" s="33">
        <f>IF(C273="","",Commercial_Id)</f>
        <v/>
      </c>
      <c r="M273" s="34">
        <f>IF(E273="","",IFERROR(VLOOKUP(E273,T_Produits,2,FALSE),""))</f>
        <v/>
      </c>
      <c r="N273" s="40">
        <f>IF(E273="","",IFERROR(1/(1/VLOOKUP(E273,T_Produits,3,FALSE)),""))</f>
        <v/>
      </c>
      <c r="O273" s="40">
        <f>IF(OR(D273="",F273=""),"",IF(OR(D273="Casse / avarie",D273="Perte / vol",D273="Échantillon offert"),IF(I273&lt;&gt;"",I273,IF(N273="","",F273*N273)),""))</f>
        <v/>
      </c>
      <c r="P273" s="50">
        <f>IF(OR(D273="",F273=""),"",F273*IF(OR(D273="Reçu du magasin",D273="Ajustement (+)"),1,-1))</f>
        <v/>
      </c>
      <c r="Q273" s="34">
        <f>IF(C273="","",YEAR(C273-WEEKDAY(C273,2)+4)&amp;"-S"&amp;TEXT(INT((C273-DATE(YEAR(C273-WEEKDAY(C273,2)+4),1,3)+WEEKDAY(DATE(YEAR(C273-WEEKDAY(C273,2)+4),1,3),2)+5)/7),"00"))</f>
        <v/>
      </c>
    </row>
    <row r="274" ht="18" customHeight="1">
      <c r="A274" s="39" t="n">
        <v>269</v>
      </c>
      <c r="B274" s="33">
        <f>IF(C274="","",IF(L274="À RENSEIGNER","GIC",L274)&amp;"-S"&amp;TEXT(A274,"00000"))</f>
        <v/>
      </c>
      <c r="C274" s="32" t="n"/>
      <c r="D274" s="36" t="n"/>
      <c r="E274" s="36" t="n"/>
      <c r="F274" s="42" t="n"/>
      <c r="G274" s="36" t="n"/>
      <c r="H274" s="43" t="n"/>
      <c r="I274" s="37" t="n"/>
      <c r="J274" s="44" t="n"/>
      <c r="K274" s="36" t="n"/>
      <c r="L274" s="33">
        <f>IF(C274="","",Commercial_Id)</f>
        <v/>
      </c>
      <c r="M274" s="34">
        <f>IF(E274="","",IFERROR(VLOOKUP(E274,T_Produits,2,FALSE),""))</f>
        <v/>
      </c>
      <c r="N274" s="40">
        <f>IF(E274="","",IFERROR(1/(1/VLOOKUP(E274,T_Produits,3,FALSE)),""))</f>
        <v/>
      </c>
      <c r="O274" s="40">
        <f>IF(OR(D274="",F274=""),"",IF(OR(D274="Casse / avarie",D274="Perte / vol",D274="Échantillon offert"),IF(I274&lt;&gt;"",I274,IF(N274="","",F274*N274)),""))</f>
        <v/>
      </c>
      <c r="P274" s="50">
        <f>IF(OR(D274="",F274=""),"",F274*IF(OR(D274="Reçu du magasin",D274="Ajustement (+)"),1,-1))</f>
        <v/>
      </c>
      <c r="Q274" s="34">
        <f>IF(C274="","",YEAR(C274-WEEKDAY(C274,2)+4)&amp;"-S"&amp;TEXT(INT((C274-DATE(YEAR(C274-WEEKDAY(C274,2)+4),1,3)+WEEKDAY(DATE(YEAR(C274-WEEKDAY(C274,2)+4),1,3),2)+5)/7),"00"))</f>
        <v/>
      </c>
    </row>
    <row r="275" ht="18" customHeight="1">
      <c r="A275" s="39" t="n">
        <v>270</v>
      </c>
      <c r="B275" s="33">
        <f>IF(C275="","",IF(L275="À RENSEIGNER","GIC",L275)&amp;"-S"&amp;TEXT(A275,"00000"))</f>
        <v/>
      </c>
      <c r="C275" s="32" t="n"/>
      <c r="D275" s="36" t="n"/>
      <c r="E275" s="36" t="n"/>
      <c r="F275" s="42" t="n"/>
      <c r="G275" s="36" t="n"/>
      <c r="H275" s="43" t="n"/>
      <c r="I275" s="37" t="n"/>
      <c r="J275" s="44" t="n"/>
      <c r="K275" s="36" t="n"/>
      <c r="L275" s="33">
        <f>IF(C275="","",Commercial_Id)</f>
        <v/>
      </c>
      <c r="M275" s="34">
        <f>IF(E275="","",IFERROR(VLOOKUP(E275,T_Produits,2,FALSE),""))</f>
        <v/>
      </c>
      <c r="N275" s="40">
        <f>IF(E275="","",IFERROR(1/(1/VLOOKUP(E275,T_Produits,3,FALSE)),""))</f>
        <v/>
      </c>
      <c r="O275" s="40">
        <f>IF(OR(D275="",F275=""),"",IF(OR(D275="Casse / avarie",D275="Perte / vol",D275="Échantillon offert"),IF(I275&lt;&gt;"",I275,IF(N275="","",F275*N275)),""))</f>
        <v/>
      </c>
      <c r="P275" s="50">
        <f>IF(OR(D275="",F275=""),"",F275*IF(OR(D275="Reçu du magasin",D275="Ajustement (+)"),1,-1))</f>
        <v/>
      </c>
      <c r="Q275" s="34">
        <f>IF(C275="","",YEAR(C275-WEEKDAY(C275,2)+4)&amp;"-S"&amp;TEXT(INT((C275-DATE(YEAR(C275-WEEKDAY(C275,2)+4),1,3)+WEEKDAY(DATE(YEAR(C275-WEEKDAY(C275,2)+4),1,3),2)+5)/7),"00"))</f>
        <v/>
      </c>
    </row>
    <row r="276" ht="18" customHeight="1">
      <c r="A276" s="39" t="n">
        <v>271</v>
      </c>
      <c r="B276" s="33">
        <f>IF(C276="","",IF(L276="À RENSEIGNER","GIC",L276)&amp;"-S"&amp;TEXT(A276,"00000"))</f>
        <v/>
      </c>
      <c r="C276" s="32" t="n"/>
      <c r="D276" s="36" t="n"/>
      <c r="E276" s="36" t="n"/>
      <c r="F276" s="42" t="n"/>
      <c r="G276" s="36" t="n"/>
      <c r="H276" s="43" t="n"/>
      <c r="I276" s="37" t="n"/>
      <c r="J276" s="44" t="n"/>
      <c r="K276" s="36" t="n"/>
      <c r="L276" s="33">
        <f>IF(C276="","",Commercial_Id)</f>
        <v/>
      </c>
      <c r="M276" s="34">
        <f>IF(E276="","",IFERROR(VLOOKUP(E276,T_Produits,2,FALSE),""))</f>
        <v/>
      </c>
      <c r="N276" s="40">
        <f>IF(E276="","",IFERROR(1/(1/VLOOKUP(E276,T_Produits,3,FALSE)),""))</f>
        <v/>
      </c>
      <c r="O276" s="40">
        <f>IF(OR(D276="",F276=""),"",IF(OR(D276="Casse / avarie",D276="Perte / vol",D276="Échantillon offert"),IF(I276&lt;&gt;"",I276,IF(N276="","",F276*N276)),""))</f>
        <v/>
      </c>
      <c r="P276" s="50">
        <f>IF(OR(D276="",F276=""),"",F276*IF(OR(D276="Reçu du magasin",D276="Ajustement (+)"),1,-1))</f>
        <v/>
      </c>
      <c r="Q276" s="34">
        <f>IF(C276="","",YEAR(C276-WEEKDAY(C276,2)+4)&amp;"-S"&amp;TEXT(INT((C276-DATE(YEAR(C276-WEEKDAY(C276,2)+4),1,3)+WEEKDAY(DATE(YEAR(C276-WEEKDAY(C276,2)+4),1,3),2)+5)/7),"00"))</f>
        <v/>
      </c>
    </row>
    <row r="277" ht="18" customHeight="1">
      <c r="A277" s="39" t="n">
        <v>272</v>
      </c>
      <c r="B277" s="33">
        <f>IF(C277="","",IF(L277="À RENSEIGNER","GIC",L277)&amp;"-S"&amp;TEXT(A277,"00000"))</f>
        <v/>
      </c>
      <c r="C277" s="32" t="n"/>
      <c r="D277" s="36" t="n"/>
      <c r="E277" s="36" t="n"/>
      <c r="F277" s="42" t="n"/>
      <c r="G277" s="36" t="n"/>
      <c r="H277" s="43" t="n"/>
      <c r="I277" s="37" t="n"/>
      <c r="J277" s="44" t="n"/>
      <c r="K277" s="36" t="n"/>
      <c r="L277" s="33">
        <f>IF(C277="","",Commercial_Id)</f>
        <v/>
      </c>
      <c r="M277" s="34">
        <f>IF(E277="","",IFERROR(VLOOKUP(E277,T_Produits,2,FALSE),""))</f>
        <v/>
      </c>
      <c r="N277" s="40">
        <f>IF(E277="","",IFERROR(1/(1/VLOOKUP(E277,T_Produits,3,FALSE)),""))</f>
        <v/>
      </c>
      <c r="O277" s="40">
        <f>IF(OR(D277="",F277=""),"",IF(OR(D277="Casse / avarie",D277="Perte / vol",D277="Échantillon offert"),IF(I277&lt;&gt;"",I277,IF(N277="","",F277*N277)),""))</f>
        <v/>
      </c>
      <c r="P277" s="50">
        <f>IF(OR(D277="",F277=""),"",F277*IF(OR(D277="Reçu du magasin",D277="Ajustement (+)"),1,-1))</f>
        <v/>
      </c>
      <c r="Q277" s="34">
        <f>IF(C277="","",YEAR(C277-WEEKDAY(C277,2)+4)&amp;"-S"&amp;TEXT(INT((C277-DATE(YEAR(C277-WEEKDAY(C277,2)+4),1,3)+WEEKDAY(DATE(YEAR(C277-WEEKDAY(C277,2)+4),1,3),2)+5)/7),"00"))</f>
        <v/>
      </c>
    </row>
    <row r="278" ht="18" customHeight="1">
      <c r="A278" s="39" t="n">
        <v>273</v>
      </c>
      <c r="B278" s="33">
        <f>IF(C278="","",IF(L278="À RENSEIGNER","GIC",L278)&amp;"-S"&amp;TEXT(A278,"00000"))</f>
        <v/>
      </c>
      <c r="C278" s="32" t="n"/>
      <c r="D278" s="36" t="n"/>
      <c r="E278" s="36" t="n"/>
      <c r="F278" s="42" t="n"/>
      <c r="G278" s="36" t="n"/>
      <c r="H278" s="43" t="n"/>
      <c r="I278" s="37" t="n"/>
      <c r="J278" s="44" t="n"/>
      <c r="K278" s="36" t="n"/>
      <c r="L278" s="33">
        <f>IF(C278="","",Commercial_Id)</f>
        <v/>
      </c>
      <c r="M278" s="34">
        <f>IF(E278="","",IFERROR(VLOOKUP(E278,T_Produits,2,FALSE),""))</f>
        <v/>
      </c>
      <c r="N278" s="40">
        <f>IF(E278="","",IFERROR(1/(1/VLOOKUP(E278,T_Produits,3,FALSE)),""))</f>
        <v/>
      </c>
      <c r="O278" s="40">
        <f>IF(OR(D278="",F278=""),"",IF(OR(D278="Casse / avarie",D278="Perte / vol",D278="Échantillon offert"),IF(I278&lt;&gt;"",I278,IF(N278="","",F278*N278)),""))</f>
        <v/>
      </c>
      <c r="P278" s="50">
        <f>IF(OR(D278="",F278=""),"",F278*IF(OR(D278="Reçu du magasin",D278="Ajustement (+)"),1,-1))</f>
        <v/>
      </c>
      <c r="Q278" s="34">
        <f>IF(C278="","",YEAR(C278-WEEKDAY(C278,2)+4)&amp;"-S"&amp;TEXT(INT((C278-DATE(YEAR(C278-WEEKDAY(C278,2)+4),1,3)+WEEKDAY(DATE(YEAR(C278-WEEKDAY(C278,2)+4),1,3),2)+5)/7),"00"))</f>
        <v/>
      </c>
    </row>
    <row r="279" ht="18" customHeight="1">
      <c r="A279" s="39" t="n">
        <v>274</v>
      </c>
      <c r="B279" s="33">
        <f>IF(C279="","",IF(L279="À RENSEIGNER","GIC",L279)&amp;"-S"&amp;TEXT(A279,"00000"))</f>
        <v/>
      </c>
      <c r="C279" s="32" t="n"/>
      <c r="D279" s="36" t="n"/>
      <c r="E279" s="36" t="n"/>
      <c r="F279" s="42" t="n"/>
      <c r="G279" s="36" t="n"/>
      <c r="H279" s="43" t="n"/>
      <c r="I279" s="37" t="n"/>
      <c r="J279" s="44" t="n"/>
      <c r="K279" s="36" t="n"/>
      <c r="L279" s="33">
        <f>IF(C279="","",Commercial_Id)</f>
        <v/>
      </c>
      <c r="M279" s="34">
        <f>IF(E279="","",IFERROR(VLOOKUP(E279,T_Produits,2,FALSE),""))</f>
        <v/>
      </c>
      <c r="N279" s="40">
        <f>IF(E279="","",IFERROR(1/(1/VLOOKUP(E279,T_Produits,3,FALSE)),""))</f>
        <v/>
      </c>
      <c r="O279" s="40">
        <f>IF(OR(D279="",F279=""),"",IF(OR(D279="Casse / avarie",D279="Perte / vol",D279="Échantillon offert"),IF(I279&lt;&gt;"",I279,IF(N279="","",F279*N279)),""))</f>
        <v/>
      </c>
      <c r="P279" s="50">
        <f>IF(OR(D279="",F279=""),"",F279*IF(OR(D279="Reçu du magasin",D279="Ajustement (+)"),1,-1))</f>
        <v/>
      </c>
      <c r="Q279" s="34">
        <f>IF(C279="","",YEAR(C279-WEEKDAY(C279,2)+4)&amp;"-S"&amp;TEXT(INT((C279-DATE(YEAR(C279-WEEKDAY(C279,2)+4),1,3)+WEEKDAY(DATE(YEAR(C279-WEEKDAY(C279,2)+4),1,3),2)+5)/7),"00"))</f>
        <v/>
      </c>
    </row>
    <row r="280" ht="18" customHeight="1">
      <c r="A280" s="39" t="n">
        <v>275</v>
      </c>
      <c r="B280" s="33">
        <f>IF(C280="","",IF(L280="À RENSEIGNER","GIC",L280)&amp;"-S"&amp;TEXT(A280,"00000"))</f>
        <v/>
      </c>
      <c r="C280" s="32" t="n"/>
      <c r="D280" s="36" t="n"/>
      <c r="E280" s="36" t="n"/>
      <c r="F280" s="42" t="n"/>
      <c r="G280" s="36" t="n"/>
      <c r="H280" s="43" t="n"/>
      <c r="I280" s="37" t="n"/>
      <c r="J280" s="44" t="n"/>
      <c r="K280" s="36" t="n"/>
      <c r="L280" s="33">
        <f>IF(C280="","",Commercial_Id)</f>
        <v/>
      </c>
      <c r="M280" s="34">
        <f>IF(E280="","",IFERROR(VLOOKUP(E280,T_Produits,2,FALSE),""))</f>
        <v/>
      </c>
      <c r="N280" s="40">
        <f>IF(E280="","",IFERROR(1/(1/VLOOKUP(E280,T_Produits,3,FALSE)),""))</f>
        <v/>
      </c>
      <c r="O280" s="40">
        <f>IF(OR(D280="",F280=""),"",IF(OR(D280="Casse / avarie",D280="Perte / vol",D280="Échantillon offert"),IF(I280&lt;&gt;"",I280,IF(N280="","",F280*N280)),""))</f>
        <v/>
      </c>
      <c r="P280" s="50">
        <f>IF(OR(D280="",F280=""),"",F280*IF(OR(D280="Reçu du magasin",D280="Ajustement (+)"),1,-1))</f>
        <v/>
      </c>
      <c r="Q280" s="34">
        <f>IF(C280="","",YEAR(C280-WEEKDAY(C280,2)+4)&amp;"-S"&amp;TEXT(INT((C280-DATE(YEAR(C280-WEEKDAY(C280,2)+4),1,3)+WEEKDAY(DATE(YEAR(C280-WEEKDAY(C280,2)+4),1,3),2)+5)/7),"00"))</f>
        <v/>
      </c>
    </row>
    <row r="281" ht="18" customHeight="1">
      <c r="A281" s="39" t="n">
        <v>276</v>
      </c>
      <c r="B281" s="33">
        <f>IF(C281="","",IF(L281="À RENSEIGNER","GIC",L281)&amp;"-S"&amp;TEXT(A281,"00000"))</f>
        <v/>
      </c>
      <c r="C281" s="32" t="n"/>
      <c r="D281" s="36" t="n"/>
      <c r="E281" s="36" t="n"/>
      <c r="F281" s="42" t="n"/>
      <c r="G281" s="36" t="n"/>
      <c r="H281" s="43" t="n"/>
      <c r="I281" s="37" t="n"/>
      <c r="J281" s="44" t="n"/>
      <c r="K281" s="36" t="n"/>
      <c r="L281" s="33">
        <f>IF(C281="","",Commercial_Id)</f>
        <v/>
      </c>
      <c r="M281" s="34">
        <f>IF(E281="","",IFERROR(VLOOKUP(E281,T_Produits,2,FALSE),""))</f>
        <v/>
      </c>
      <c r="N281" s="40">
        <f>IF(E281="","",IFERROR(1/(1/VLOOKUP(E281,T_Produits,3,FALSE)),""))</f>
        <v/>
      </c>
      <c r="O281" s="40">
        <f>IF(OR(D281="",F281=""),"",IF(OR(D281="Casse / avarie",D281="Perte / vol",D281="Échantillon offert"),IF(I281&lt;&gt;"",I281,IF(N281="","",F281*N281)),""))</f>
        <v/>
      </c>
      <c r="P281" s="50">
        <f>IF(OR(D281="",F281=""),"",F281*IF(OR(D281="Reçu du magasin",D281="Ajustement (+)"),1,-1))</f>
        <v/>
      </c>
      <c r="Q281" s="34">
        <f>IF(C281="","",YEAR(C281-WEEKDAY(C281,2)+4)&amp;"-S"&amp;TEXT(INT((C281-DATE(YEAR(C281-WEEKDAY(C281,2)+4),1,3)+WEEKDAY(DATE(YEAR(C281-WEEKDAY(C281,2)+4),1,3),2)+5)/7),"00"))</f>
        <v/>
      </c>
    </row>
    <row r="282" ht="18" customHeight="1">
      <c r="A282" s="39" t="n">
        <v>277</v>
      </c>
      <c r="B282" s="33">
        <f>IF(C282="","",IF(L282="À RENSEIGNER","GIC",L282)&amp;"-S"&amp;TEXT(A282,"00000"))</f>
        <v/>
      </c>
      <c r="C282" s="32" t="n"/>
      <c r="D282" s="36" t="n"/>
      <c r="E282" s="36" t="n"/>
      <c r="F282" s="42" t="n"/>
      <c r="G282" s="36" t="n"/>
      <c r="H282" s="43" t="n"/>
      <c r="I282" s="37" t="n"/>
      <c r="J282" s="44" t="n"/>
      <c r="K282" s="36" t="n"/>
      <c r="L282" s="33">
        <f>IF(C282="","",Commercial_Id)</f>
        <v/>
      </c>
      <c r="M282" s="34">
        <f>IF(E282="","",IFERROR(VLOOKUP(E282,T_Produits,2,FALSE),""))</f>
        <v/>
      </c>
      <c r="N282" s="40">
        <f>IF(E282="","",IFERROR(1/(1/VLOOKUP(E282,T_Produits,3,FALSE)),""))</f>
        <v/>
      </c>
      <c r="O282" s="40">
        <f>IF(OR(D282="",F282=""),"",IF(OR(D282="Casse / avarie",D282="Perte / vol",D282="Échantillon offert"),IF(I282&lt;&gt;"",I282,IF(N282="","",F282*N282)),""))</f>
        <v/>
      </c>
      <c r="P282" s="50">
        <f>IF(OR(D282="",F282=""),"",F282*IF(OR(D282="Reçu du magasin",D282="Ajustement (+)"),1,-1))</f>
        <v/>
      </c>
      <c r="Q282" s="34">
        <f>IF(C282="","",YEAR(C282-WEEKDAY(C282,2)+4)&amp;"-S"&amp;TEXT(INT((C282-DATE(YEAR(C282-WEEKDAY(C282,2)+4),1,3)+WEEKDAY(DATE(YEAR(C282-WEEKDAY(C282,2)+4),1,3),2)+5)/7),"00"))</f>
        <v/>
      </c>
    </row>
    <row r="283" ht="18" customHeight="1">
      <c r="A283" s="39" t="n">
        <v>278</v>
      </c>
      <c r="B283" s="33">
        <f>IF(C283="","",IF(L283="À RENSEIGNER","GIC",L283)&amp;"-S"&amp;TEXT(A283,"00000"))</f>
        <v/>
      </c>
      <c r="C283" s="32" t="n"/>
      <c r="D283" s="36" t="n"/>
      <c r="E283" s="36" t="n"/>
      <c r="F283" s="42" t="n"/>
      <c r="G283" s="36" t="n"/>
      <c r="H283" s="43" t="n"/>
      <c r="I283" s="37" t="n"/>
      <c r="J283" s="44" t="n"/>
      <c r="K283" s="36" t="n"/>
      <c r="L283" s="33">
        <f>IF(C283="","",Commercial_Id)</f>
        <v/>
      </c>
      <c r="M283" s="34">
        <f>IF(E283="","",IFERROR(VLOOKUP(E283,T_Produits,2,FALSE),""))</f>
        <v/>
      </c>
      <c r="N283" s="40">
        <f>IF(E283="","",IFERROR(1/(1/VLOOKUP(E283,T_Produits,3,FALSE)),""))</f>
        <v/>
      </c>
      <c r="O283" s="40">
        <f>IF(OR(D283="",F283=""),"",IF(OR(D283="Casse / avarie",D283="Perte / vol",D283="Échantillon offert"),IF(I283&lt;&gt;"",I283,IF(N283="","",F283*N283)),""))</f>
        <v/>
      </c>
      <c r="P283" s="50">
        <f>IF(OR(D283="",F283=""),"",F283*IF(OR(D283="Reçu du magasin",D283="Ajustement (+)"),1,-1))</f>
        <v/>
      </c>
      <c r="Q283" s="34">
        <f>IF(C283="","",YEAR(C283-WEEKDAY(C283,2)+4)&amp;"-S"&amp;TEXT(INT((C283-DATE(YEAR(C283-WEEKDAY(C283,2)+4),1,3)+WEEKDAY(DATE(YEAR(C283-WEEKDAY(C283,2)+4),1,3),2)+5)/7),"00"))</f>
        <v/>
      </c>
    </row>
    <row r="284" ht="18" customHeight="1">
      <c r="A284" s="39" t="n">
        <v>279</v>
      </c>
      <c r="B284" s="33">
        <f>IF(C284="","",IF(L284="À RENSEIGNER","GIC",L284)&amp;"-S"&amp;TEXT(A284,"00000"))</f>
        <v/>
      </c>
      <c r="C284" s="32" t="n"/>
      <c r="D284" s="36" t="n"/>
      <c r="E284" s="36" t="n"/>
      <c r="F284" s="42" t="n"/>
      <c r="G284" s="36" t="n"/>
      <c r="H284" s="43" t="n"/>
      <c r="I284" s="37" t="n"/>
      <c r="J284" s="44" t="n"/>
      <c r="K284" s="36" t="n"/>
      <c r="L284" s="33">
        <f>IF(C284="","",Commercial_Id)</f>
        <v/>
      </c>
      <c r="M284" s="34">
        <f>IF(E284="","",IFERROR(VLOOKUP(E284,T_Produits,2,FALSE),""))</f>
        <v/>
      </c>
      <c r="N284" s="40">
        <f>IF(E284="","",IFERROR(1/(1/VLOOKUP(E284,T_Produits,3,FALSE)),""))</f>
        <v/>
      </c>
      <c r="O284" s="40">
        <f>IF(OR(D284="",F284=""),"",IF(OR(D284="Casse / avarie",D284="Perte / vol",D284="Échantillon offert"),IF(I284&lt;&gt;"",I284,IF(N284="","",F284*N284)),""))</f>
        <v/>
      </c>
      <c r="P284" s="50">
        <f>IF(OR(D284="",F284=""),"",F284*IF(OR(D284="Reçu du magasin",D284="Ajustement (+)"),1,-1))</f>
        <v/>
      </c>
      <c r="Q284" s="34">
        <f>IF(C284="","",YEAR(C284-WEEKDAY(C284,2)+4)&amp;"-S"&amp;TEXT(INT((C284-DATE(YEAR(C284-WEEKDAY(C284,2)+4),1,3)+WEEKDAY(DATE(YEAR(C284-WEEKDAY(C284,2)+4),1,3),2)+5)/7),"00"))</f>
        <v/>
      </c>
    </row>
    <row r="285" ht="18" customHeight="1">
      <c r="A285" s="39" t="n">
        <v>280</v>
      </c>
      <c r="B285" s="33">
        <f>IF(C285="","",IF(L285="À RENSEIGNER","GIC",L285)&amp;"-S"&amp;TEXT(A285,"00000"))</f>
        <v/>
      </c>
      <c r="C285" s="32" t="n"/>
      <c r="D285" s="36" t="n"/>
      <c r="E285" s="36" t="n"/>
      <c r="F285" s="42" t="n"/>
      <c r="G285" s="36" t="n"/>
      <c r="H285" s="43" t="n"/>
      <c r="I285" s="37" t="n"/>
      <c r="J285" s="44" t="n"/>
      <c r="K285" s="36" t="n"/>
      <c r="L285" s="33">
        <f>IF(C285="","",Commercial_Id)</f>
        <v/>
      </c>
      <c r="M285" s="34">
        <f>IF(E285="","",IFERROR(VLOOKUP(E285,T_Produits,2,FALSE),""))</f>
        <v/>
      </c>
      <c r="N285" s="40">
        <f>IF(E285="","",IFERROR(1/(1/VLOOKUP(E285,T_Produits,3,FALSE)),""))</f>
        <v/>
      </c>
      <c r="O285" s="40">
        <f>IF(OR(D285="",F285=""),"",IF(OR(D285="Casse / avarie",D285="Perte / vol",D285="Échantillon offert"),IF(I285&lt;&gt;"",I285,IF(N285="","",F285*N285)),""))</f>
        <v/>
      </c>
      <c r="P285" s="50">
        <f>IF(OR(D285="",F285=""),"",F285*IF(OR(D285="Reçu du magasin",D285="Ajustement (+)"),1,-1))</f>
        <v/>
      </c>
      <c r="Q285" s="34">
        <f>IF(C285="","",YEAR(C285-WEEKDAY(C285,2)+4)&amp;"-S"&amp;TEXT(INT((C285-DATE(YEAR(C285-WEEKDAY(C285,2)+4),1,3)+WEEKDAY(DATE(YEAR(C285-WEEKDAY(C285,2)+4),1,3),2)+5)/7),"00"))</f>
        <v/>
      </c>
    </row>
    <row r="286" ht="18" customHeight="1">
      <c r="A286" s="39" t="n">
        <v>281</v>
      </c>
      <c r="B286" s="33">
        <f>IF(C286="","",IF(L286="À RENSEIGNER","GIC",L286)&amp;"-S"&amp;TEXT(A286,"00000"))</f>
        <v/>
      </c>
      <c r="C286" s="32" t="n"/>
      <c r="D286" s="36" t="n"/>
      <c r="E286" s="36" t="n"/>
      <c r="F286" s="42" t="n"/>
      <c r="G286" s="36" t="n"/>
      <c r="H286" s="43" t="n"/>
      <c r="I286" s="37" t="n"/>
      <c r="J286" s="44" t="n"/>
      <c r="K286" s="36" t="n"/>
      <c r="L286" s="33">
        <f>IF(C286="","",Commercial_Id)</f>
        <v/>
      </c>
      <c r="M286" s="34">
        <f>IF(E286="","",IFERROR(VLOOKUP(E286,T_Produits,2,FALSE),""))</f>
        <v/>
      </c>
      <c r="N286" s="40">
        <f>IF(E286="","",IFERROR(1/(1/VLOOKUP(E286,T_Produits,3,FALSE)),""))</f>
        <v/>
      </c>
      <c r="O286" s="40">
        <f>IF(OR(D286="",F286=""),"",IF(OR(D286="Casse / avarie",D286="Perte / vol",D286="Échantillon offert"),IF(I286&lt;&gt;"",I286,IF(N286="","",F286*N286)),""))</f>
        <v/>
      </c>
      <c r="P286" s="50">
        <f>IF(OR(D286="",F286=""),"",F286*IF(OR(D286="Reçu du magasin",D286="Ajustement (+)"),1,-1))</f>
        <v/>
      </c>
      <c r="Q286" s="34">
        <f>IF(C286="","",YEAR(C286-WEEKDAY(C286,2)+4)&amp;"-S"&amp;TEXT(INT((C286-DATE(YEAR(C286-WEEKDAY(C286,2)+4),1,3)+WEEKDAY(DATE(YEAR(C286-WEEKDAY(C286,2)+4),1,3),2)+5)/7),"00"))</f>
        <v/>
      </c>
    </row>
    <row r="287" ht="18" customHeight="1">
      <c r="A287" s="39" t="n">
        <v>282</v>
      </c>
      <c r="B287" s="33">
        <f>IF(C287="","",IF(L287="À RENSEIGNER","GIC",L287)&amp;"-S"&amp;TEXT(A287,"00000"))</f>
        <v/>
      </c>
      <c r="C287" s="32" t="n"/>
      <c r="D287" s="36" t="n"/>
      <c r="E287" s="36" t="n"/>
      <c r="F287" s="42" t="n"/>
      <c r="G287" s="36" t="n"/>
      <c r="H287" s="43" t="n"/>
      <c r="I287" s="37" t="n"/>
      <c r="J287" s="44" t="n"/>
      <c r="K287" s="36" t="n"/>
      <c r="L287" s="33">
        <f>IF(C287="","",Commercial_Id)</f>
        <v/>
      </c>
      <c r="M287" s="34">
        <f>IF(E287="","",IFERROR(VLOOKUP(E287,T_Produits,2,FALSE),""))</f>
        <v/>
      </c>
      <c r="N287" s="40">
        <f>IF(E287="","",IFERROR(1/(1/VLOOKUP(E287,T_Produits,3,FALSE)),""))</f>
        <v/>
      </c>
      <c r="O287" s="40">
        <f>IF(OR(D287="",F287=""),"",IF(OR(D287="Casse / avarie",D287="Perte / vol",D287="Échantillon offert"),IF(I287&lt;&gt;"",I287,IF(N287="","",F287*N287)),""))</f>
        <v/>
      </c>
      <c r="P287" s="50">
        <f>IF(OR(D287="",F287=""),"",F287*IF(OR(D287="Reçu du magasin",D287="Ajustement (+)"),1,-1))</f>
        <v/>
      </c>
      <c r="Q287" s="34">
        <f>IF(C287="","",YEAR(C287-WEEKDAY(C287,2)+4)&amp;"-S"&amp;TEXT(INT((C287-DATE(YEAR(C287-WEEKDAY(C287,2)+4),1,3)+WEEKDAY(DATE(YEAR(C287-WEEKDAY(C287,2)+4),1,3),2)+5)/7),"00"))</f>
        <v/>
      </c>
    </row>
    <row r="288" ht="18" customHeight="1">
      <c r="A288" s="39" t="n">
        <v>283</v>
      </c>
      <c r="B288" s="33">
        <f>IF(C288="","",IF(L288="À RENSEIGNER","GIC",L288)&amp;"-S"&amp;TEXT(A288,"00000"))</f>
        <v/>
      </c>
      <c r="C288" s="32" t="n"/>
      <c r="D288" s="36" t="n"/>
      <c r="E288" s="36" t="n"/>
      <c r="F288" s="42" t="n"/>
      <c r="G288" s="36" t="n"/>
      <c r="H288" s="43" t="n"/>
      <c r="I288" s="37" t="n"/>
      <c r="J288" s="44" t="n"/>
      <c r="K288" s="36" t="n"/>
      <c r="L288" s="33">
        <f>IF(C288="","",Commercial_Id)</f>
        <v/>
      </c>
      <c r="M288" s="34">
        <f>IF(E288="","",IFERROR(VLOOKUP(E288,T_Produits,2,FALSE),""))</f>
        <v/>
      </c>
      <c r="N288" s="40">
        <f>IF(E288="","",IFERROR(1/(1/VLOOKUP(E288,T_Produits,3,FALSE)),""))</f>
        <v/>
      </c>
      <c r="O288" s="40">
        <f>IF(OR(D288="",F288=""),"",IF(OR(D288="Casse / avarie",D288="Perte / vol",D288="Échantillon offert"),IF(I288&lt;&gt;"",I288,IF(N288="","",F288*N288)),""))</f>
        <v/>
      </c>
      <c r="P288" s="50">
        <f>IF(OR(D288="",F288=""),"",F288*IF(OR(D288="Reçu du magasin",D288="Ajustement (+)"),1,-1))</f>
        <v/>
      </c>
      <c r="Q288" s="34">
        <f>IF(C288="","",YEAR(C288-WEEKDAY(C288,2)+4)&amp;"-S"&amp;TEXT(INT((C288-DATE(YEAR(C288-WEEKDAY(C288,2)+4),1,3)+WEEKDAY(DATE(YEAR(C288-WEEKDAY(C288,2)+4),1,3),2)+5)/7),"00"))</f>
        <v/>
      </c>
    </row>
    <row r="289" ht="18" customHeight="1">
      <c r="A289" s="39" t="n">
        <v>284</v>
      </c>
      <c r="B289" s="33">
        <f>IF(C289="","",IF(L289="À RENSEIGNER","GIC",L289)&amp;"-S"&amp;TEXT(A289,"00000"))</f>
        <v/>
      </c>
      <c r="C289" s="32" t="n"/>
      <c r="D289" s="36" t="n"/>
      <c r="E289" s="36" t="n"/>
      <c r="F289" s="42" t="n"/>
      <c r="G289" s="36" t="n"/>
      <c r="H289" s="43" t="n"/>
      <c r="I289" s="37" t="n"/>
      <c r="J289" s="44" t="n"/>
      <c r="K289" s="36" t="n"/>
      <c r="L289" s="33">
        <f>IF(C289="","",Commercial_Id)</f>
        <v/>
      </c>
      <c r="M289" s="34">
        <f>IF(E289="","",IFERROR(VLOOKUP(E289,T_Produits,2,FALSE),""))</f>
        <v/>
      </c>
      <c r="N289" s="40">
        <f>IF(E289="","",IFERROR(1/(1/VLOOKUP(E289,T_Produits,3,FALSE)),""))</f>
        <v/>
      </c>
      <c r="O289" s="40">
        <f>IF(OR(D289="",F289=""),"",IF(OR(D289="Casse / avarie",D289="Perte / vol",D289="Échantillon offert"),IF(I289&lt;&gt;"",I289,IF(N289="","",F289*N289)),""))</f>
        <v/>
      </c>
      <c r="P289" s="50">
        <f>IF(OR(D289="",F289=""),"",F289*IF(OR(D289="Reçu du magasin",D289="Ajustement (+)"),1,-1))</f>
        <v/>
      </c>
      <c r="Q289" s="34">
        <f>IF(C289="","",YEAR(C289-WEEKDAY(C289,2)+4)&amp;"-S"&amp;TEXT(INT((C289-DATE(YEAR(C289-WEEKDAY(C289,2)+4),1,3)+WEEKDAY(DATE(YEAR(C289-WEEKDAY(C289,2)+4),1,3),2)+5)/7),"00"))</f>
        <v/>
      </c>
    </row>
    <row r="290" ht="18" customHeight="1">
      <c r="A290" s="39" t="n">
        <v>285</v>
      </c>
      <c r="B290" s="33">
        <f>IF(C290="","",IF(L290="À RENSEIGNER","GIC",L290)&amp;"-S"&amp;TEXT(A290,"00000"))</f>
        <v/>
      </c>
      <c r="C290" s="32" t="n"/>
      <c r="D290" s="36" t="n"/>
      <c r="E290" s="36" t="n"/>
      <c r="F290" s="42" t="n"/>
      <c r="G290" s="36" t="n"/>
      <c r="H290" s="43" t="n"/>
      <c r="I290" s="37" t="n"/>
      <c r="J290" s="44" t="n"/>
      <c r="K290" s="36" t="n"/>
      <c r="L290" s="33">
        <f>IF(C290="","",Commercial_Id)</f>
        <v/>
      </c>
      <c r="M290" s="34">
        <f>IF(E290="","",IFERROR(VLOOKUP(E290,T_Produits,2,FALSE),""))</f>
        <v/>
      </c>
      <c r="N290" s="40">
        <f>IF(E290="","",IFERROR(1/(1/VLOOKUP(E290,T_Produits,3,FALSE)),""))</f>
        <v/>
      </c>
      <c r="O290" s="40">
        <f>IF(OR(D290="",F290=""),"",IF(OR(D290="Casse / avarie",D290="Perte / vol",D290="Échantillon offert"),IF(I290&lt;&gt;"",I290,IF(N290="","",F290*N290)),""))</f>
        <v/>
      </c>
      <c r="P290" s="50">
        <f>IF(OR(D290="",F290=""),"",F290*IF(OR(D290="Reçu du magasin",D290="Ajustement (+)"),1,-1))</f>
        <v/>
      </c>
      <c r="Q290" s="34">
        <f>IF(C290="","",YEAR(C290-WEEKDAY(C290,2)+4)&amp;"-S"&amp;TEXT(INT((C290-DATE(YEAR(C290-WEEKDAY(C290,2)+4),1,3)+WEEKDAY(DATE(YEAR(C290-WEEKDAY(C290,2)+4),1,3),2)+5)/7),"00"))</f>
        <v/>
      </c>
    </row>
    <row r="291" ht="18" customHeight="1">
      <c r="A291" s="39" t="n">
        <v>286</v>
      </c>
      <c r="B291" s="33">
        <f>IF(C291="","",IF(L291="À RENSEIGNER","GIC",L291)&amp;"-S"&amp;TEXT(A291,"00000"))</f>
        <v/>
      </c>
      <c r="C291" s="32" t="n"/>
      <c r="D291" s="36" t="n"/>
      <c r="E291" s="36" t="n"/>
      <c r="F291" s="42" t="n"/>
      <c r="G291" s="36" t="n"/>
      <c r="H291" s="43" t="n"/>
      <c r="I291" s="37" t="n"/>
      <c r="J291" s="44" t="n"/>
      <c r="K291" s="36" t="n"/>
      <c r="L291" s="33">
        <f>IF(C291="","",Commercial_Id)</f>
        <v/>
      </c>
      <c r="M291" s="34">
        <f>IF(E291="","",IFERROR(VLOOKUP(E291,T_Produits,2,FALSE),""))</f>
        <v/>
      </c>
      <c r="N291" s="40">
        <f>IF(E291="","",IFERROR(1/(1/VLOOKUP(E291,T_Produits,3,FALSE)),""))</f>
        <v/>
      </c>
      <c r="O291" s="40">
        <f>IF(OR(D291="",F291=""),"",IF(OR(D291="Casse / avarie",D291="Perte / vol",D291="Échantillon offert"),IF(I291&lt;&gt;"",I291,IF(N291="","",F291*N291)),""))</f>
        <v/>
      </c>
      <c r="P291" s="50">
        <f>IF(OR(D291="",F291=""),"",F291*IF(OR(D291="Reçu du magasin",D291="Ajustement (+)"),1,-1))</f>
        <v/>
      </c>
      <c r="Q291" s="34">
        <f>IF(C291="","",YEAR(C291-WEEKDAY(C291,2)+4)&amp;"-S"&amp;TEXT(INT((C291-DATE(YEAR(C291-WEEKDAY(C291,2)+4),1,3)+WEEKDAY(DATE(YEAR(C291-WEEKDAY(C291,2)+4),1,3),2)+5)/7),"00"))</f>
        <v/>
      </c>
    </row>
    <row r="292" ht="18" customHeight="1">
      <c r="A292" s="39" t="n">
        <v>287</v>
      </c>
      <c r="B292" s="33">
        <f>IF(C292="","",IF(L292="À RENSEIGNER","GIC",L292)&amp;"-S"&amp;TEXT(A292,"00000"))</f>
        <v/>
      </c>
      <c r="C292" s="32" t="n"/>
      <c r="D292" s="36" t="n"/>
      <c r="E292" s="36" t="n"/>
      <c r="F292" s="42" t="n"/>
      <c r="G292" s="36" t="n"/>
      <c r="H292" s="43" t="n"/>
      <c r="I292" s="37" t="n"/>
      <c r="J292" s="44" t="n"/>
      <c r="K292" s="36" t="n"/>
      <c r="L292" s="33">
        <f>IF(C292="","",Commercial_Id)</f>
        <v/>
      </c>
      <c r="M292" s="34">
        <f>IF(E292="","",IFERROR(VLOOKUP(E292,T_Produits,2,FALSE),""))</f>
        <v/>
      </c>
      <c r="N292" s="40">
        <f>IF(E292="","",IFERROR(1/(1/VLOOKUP(E292,T_Produits,3,FALSE)),""))</f>
        <v/>
      </c>
      <c r="O292" s="40">
        <f>IF(OR(D292="",F292=""),"",IF(OR(D292="Casse / avarie",D292="Perte / vol",D292="Échantillon offert"),IF(I292&lt;&gt;"",I292,IF(N292="","",F292*N292)),""))</f>
        <v/>
      </c>
      <c r="P292" s="50">
        <f>IF(OR(D292="",F292=""),"",F292*IF(OR(D292="Reçu du magasin",D292="Ajustement (+)"),1,-1))</f>
        <v/>
      </c>
      <c r="Q292" s="34">
        <f>IF(C292="","",YEAR(C292-WEEKDAY(C292,2)+4)&amp;"-S"&amp;TEXT(INT((C292-DATE(YEAR(C292-WEEKDAY(C292,2)+4),1,3)+WEEKDAY(DATE(YEAR(C292-WEEKDAY(C292,2)+4),1,3),2)+5)/7),"00"))</f>
        <v/>
      </c>
    </row>
    <row r="293" ht="18" customHeight="1">
      <c r="A293" s="39" t="n">
        <v>288</v>
      </c>
      <c r="B293" s="33">
        <f>IF(C293="","",IF(L293="À RENSEIGNER","GIC",L293)&amp;"-S"&amp;TEXT(A293,"00000"))</f>
        <v/>
      </c>
      <c r="C293" s="32" t="n"/>
      <c r="D293" s="36" t="n"/>
      <c r="E293" s="36" t="n"/>
      <c r="F293" s="42" t="n"/>
      <c r="G293" s="36" t="n"/>
      <c r="H293" s="43" t="n"/>
      <c r="I293" s="37" t="n"/>
      <c r="J293" s="44" t="n"/>
      <c r="K293" s="36" t="n"/>
      <c r="L293" s="33">
        <f>IF(C293="","",Commercial_Id)</f>
        <v/>
      </c>
      <c r="M293" s="34">
        <f>IF(E293="","",IFERROR(VLOOKUP(E293,T_Produits,2,FALSE),""))</f>
        <v/>
      </c>
      <c r="N293" s="40">
        <f>IF(E293="","",IFERROR(1/(1/VLOOKUP(E293,T_Produits,3,FALSE)),""))</f>
        <v/>
      </c>
      <c r="O293" s="40">
        <f>IF(OR(D293="",F293=""),"",IF(OR(D293="Casse / avarie",D293="Perte / vol",D293="Échantillon offert"),IF(I293&lt;&gt;"",I293,IF(N293="","",F293*N293)),""))</f>
        <v/>
      </c>
      <c r="P293" s="50">
        <f>IF(OR(D293="",F293=""),"",F293*IF(OR(D293="Reçu du magasin",D293="Ajustement (+)"),1,-1))</f>
        <v/>
      </c>
      <c r="Q293" s="34">
        <f>IF(C293="","",YEAR(C293-WEEKDAY(C293,2)+4)&amp;"-S"&amp;TEXT(INT((C293-DATE(YEAR(C293-WEEKDAY(C293,2)+4),1,3)+WEEKDAY(DATE(YEAR(C293-WEEKDAY(C293,2)+4),1,3),2)+5)/7),"00"))</f>
        <v/>
      </c>
    </row>
    <row r="294" ht="18" customHeight="1">
      <c r="A294" s="39" t="n">
        <v>289</v>
      </c>
      <c r="B294" s="33">
        <f>IF(C294="","",IF(L294="À RENSEIGNER","GIC",L294)&amp;"-S"&amp;TEXT(A294,"00000"))</f>
        <v/>
      </c>
      <c r="C294" s="32" t="n"/>
      <c r="D294" s="36" t="n"/>
      <c r="E294" s="36" t="n"/>
      <c r="F294" s="42" t="n"/>
      <c r="G294" s="36" t="n"/>
      <c r="H294" s="43" t="n"/>
      <c r="I294" s="37" t="n"/>
      <c r="J294" s="44" t="n"/>
      <c r="K294" s="36" t="n"/>
      <c r="L294" s="33">
        <f>IF(C294="","",Commercial_Id)</f>
        <v/>
      </c>
      <c r="M294" s="34">
        <f>IF(E294="","",IFERROR(VLOOKUP(E294,T_Produits,2,FALSE),""))</f>
        <v/>
      </c>
      <c r="N294" s="40">
        <f>IF(E294="","",IFERROR(1/(1/VLOOKUP(E294,T_Produits,3,FALSE)),""))</f>
        <v/>
      </c>
      <c r="O294" s="40">
        <f>IF(OR(D294="",F294=""),"",IF(OR(D294="Casse / avarie",D294="Perte / vol",D294="Échantillon offert"),IF(I294&lt;&gt;"",I294,IF(N294="","",F294*N294)),""))</f>
        <v/>
      </c>
      <c r="P294" s="50">
        <f>IF(OR(D294="",F294=""),"",F294*IF(OR(D294="Reçu du magasin",D294="Ajustement (+)"),1,-1))</f>
        <v/>
      </c>
      <c r="Q294" s="34">
        <f>IF(C294="","",YEAR(C294-WEEKDAY(C294,2)+4)&amp;"-S"&amp;TEXT(INT((C294-DATE(YEAR(C294-WEEKDAY(C294,2)+4),1,3)+WEEKDAY(DATE(YEAR(C294-WEEKDAY(C294,2)+4),1,3),2)+5)/7),"00"))</f>
        <v/>
      </c>
    </row>
    <row r="295" ht="18" customHeight="1">
      <c r="A295" s="39" t="n">
        <v>290</v>
      </c>
      <c r="B295" s="33">
        <f>IF(C295="","",IF(L295="À RENSEIGNER","GIC",L295)&amp;"-S"&amp;TEXT(A295,"00000"))</f>
        <v/>
      </c>
      <c r="C295" s="32" t="n"/>
      <c r="D295" s="36" t="n"/>
      <c r="E295" s="36" t="n"/>
      <c r="F295" s="42" t="n"/>
      <c r="G295" s="36" t="n"/>
      <c r="H295" s="43" t="n"/>
      <c r="I295" s="37" t="n"/>
      <c r="J295" s="44" t="n"/>
      <c r="K295" s="36" t="n"/>
      <c r="L295" s="33">
        <f>IF(C295="","",Commercial_Id)</f>
        <v/>
      </c>
      <c r="M295" s="34">
        <f>IF(E295="","",IFERROR(VLOOKUP(E295,T_Produits,2,FALSE),""))</f>
        <v/>
      </c>
      <c r="N295" s="40">
        <f>IF(E295="","",IFERROR(1/(1/VLOOKUP(E295,T_Produits,3,FALSE)),""))</f>
        <v/>
      </c>
      <c r="O295" s="40">
        <f>IF(OR(D295="",F295=""),"",IF(OR(D295="Casse / avarie",D295="Perte / vol",D295="Échantillon offert"),IF(I295&lt;&gt;"",I295,IF(N295="","",F295*N295)),""))</f>
        <v/>
      </c>
      <c r="P295" s="50">
        <f>IF(OR(D295="",F295=""),"",F295*IF(OR(D295="Reçu du magasin",D295="Ajustement (+)"),1,-1))</f>
        <v/>
      </c>
      <c r="Q295" s="34">
        <f>IF(C295="","",YEAR(C295-WEEKDAY(C295,2)+4)&amp;"-S"&amp;TEXT(INT((C295-DATE(YEAR(C295-WEEKDAY(C295,2)+4),1,3)+WEEKDAY(DATE(YEAR(C295-WEEKDAY(C295,2)+4),1,3),2)+5)/7),"00"))</f>
        <v/>
      </c>
    </row>
    <row r="296" ht="18" customHeight="1">
      <c r="A296" s="39" t="n">
        <v>291</v>
      </c>
      <c r="B296" s="33">
        <f>IF(C296="","",IF(L296="À RENSEIGNER","GIC",L296)&amp;"-S"&amp;TEXT(A296,"00000"))</f>
        <v/>
      </c>
      <c r="C296" s="32" t="n"/>
      <c r="D296" s="36" t="n"/>
      <c r="E296" s="36" t="n"/>
      <c r="F296" s="42" t="n"/>
      <c r="G296" s="36" t="n"/>
      <c r="H296" s="43" t="n"/>
      <c r="I296" s="37" t="n"/>
      <c r="J296" s="44" t="n"/>
      <c r="K296" s="36" t="n"/>
      <c r="L296" s="33">
        <f>IF(C296="","",Commercial_Id)</f>
        <v/>
      </c>
      <c r="M296" s="34">
        <f>IF(E296="","",IFERROR(VLOOKUP(E296,T_Produits,2,FALSE),""))</f>
        <v/>
      </c>
      <c r="N296" s="40">
        <f>IF(E296="","",IFERROR(1/(1/VLOOKUP(E296,T_Produits,3,FALSE)),""))</f>
        <v/>
      </c>
      <c r="O296" s="40">
        <f>IF(OR(D296="",F296=""),"",IF(OR(D296="Casse / avarie",D296="Perte / vol",D296="Échantillon offert"),IF(I296&lt;&gt;"",I296,IF(N296="","",F296*N296)),""))</f>
        <v/>
      </c>
      <c r="P296" s="50">
        <f>IF(OR(D296="",F296=""),"",F296*IF(OR(D296="Reçu du magasin",D296="Ajustement (+)"),1,-1))</f>
        <v/>
      </c>
      <c r="Q296" s="34">
        <f>IF(C296="","",YEAR(C296-WEEKDAY(C296,2)+4)&amp;"-S"&amp;TEXT(INT((C296-DATE(YEAR(C296-WEEKDAY(C296,2)+4),1,3)+WEEKDAY(DATE(YEAR(C296-WEEKDAY(C296,2)+4),1,3),2)+5)/7),"00"))</f>
        <v/>
      </c>
    </row>
    <row r="297" ht="18" customHeight="1">
      <c r="A297" s="39" t="n">
        <v>292</v>
      </c>
      <c r="B297" s="33">
        <f>IF(C297="","",IF(L297="À RENSEIGNER","GIC",L297)&amp;"-S"&amp;TEXT(A297,"00000"))</f>
        <v/>
      </c>
      <c r="C297" s="32" t="n"/>
      <c r="D297" s="36" t="n"/>
      <c r="E297" s="36" t="n"/>
      <c r="F297" s="42" t="n"/>
      <c r="G297" s="36" t="n"/>
      <c r="H297" s="43" t="n"/>
      <c r="I297" s="37" t="n"/>
      <c r="J297" s="44" t="n"/>
      <c r="K297" s="36" t="n"/>
      <c r="L297" s="33">
        <f>IF(C297="","",Commercial_Id)</f>
        <v/>
      </c>
      <c r="M297" s="34">
        <f>IF(E297="","",IFERROR(VLOOKUP(E297,T_Produits,2,FALSE),""))</f>
        <v/>
      </c>
      <c r="N297" s="40">
        <f>IF(E297="","",IFERROR(1/(1/VLOOKUP(E297,T_Produits,3,FALSE)),""))</f>
        <v/>
      </c>
      <c r="O297" s="40">
        <f>IF(OR(D297="",F297=""),"",IF(OR(D297="Casse / avarie",D297="Perte / vol",D297="Échantillon offert"),IF(I297&lt;&gt;"",I297,IF(N297="","",F297*N297)),""))</f>
        <v/>
      </c>
      <c r="P297" s="50">
        <f>IF(OR(D297="",F297=""),"",F297*IF(OR(D297="Reçu du magasin",D297="Ajustement (+)"),1,-1))</f>
        <v/>
      </c>
      <c r="Q297" s="34">
        <f>IF(C297="","",YEAR(C297-WEEKDAY(C297,2)+4)&amp;"-S"&amp;TEXT(INT((C297-DATE(YEAR(C297-WEEKDAY(C297,2)+4),1,3)+WEEKDAY(DATE(YEAR(C297-WEEKDAY(C297,2)+4),1,3),2)+5)/7),"00"))</f>
        <v/>
      </c>
    </row>
    <row r="298" ht="18" customHeight="1">
      <c r="A298" s="39" t="n">
        <v>293</v>
      </c>
      <c r="B298" s="33">
        <f>IF(C298="","",IF(L298="À RENSEIGNER","GIC",L298)&amp;"-S"&amp;TEXT(A298,"00000"))</f>
        <v/>
      </c>
      <c r="C298" s="32" t="n"/>
      <c r="D298" s="36" t="n"/>
      <c r="E298" s="36" t="n"/>
      <c r="F298" s="42" t="n"/>
      <c r="G298" s="36" t="n"/>
      <c r="H298" s="43" t="n"/>
      <c r="I298" s="37" t="n"/>
      <c r="J298" s="44" t="n"/>
      <c r="K298" s="36" t="n"/>
      <c r="L298" s="33">
        <f>IF(C298="","",Commercial_Id)</f>
        <v/>
      </c>
      <c r="M298" s="34">
        <f>IF(E298="","",IFERROR(VLOOKUP(E298,T_Produits,2,FALSE),""))</f>
        <v/>
      </c>
      <c r="N298" s="40">
        <f>IF(E298="","",IFERROR(1/(1/VLOOKUP(E298,T_Produits,3,FALSE)),""))</f>
        <v/>
      </c>
      <c r="O298" s="40">
        <f>IF(OR(D298="",F298=""),"",IF(OR(D298="Casse / avarie",D298="Perte / vol",D298="Échantillon offert"),IF(I298&lt;&gt;"",I298,IF(N298="","",F298*N298)),""))</f>
        <v/>
      </c>
      <c r="P298" s="50">
        <f>IF(OR(D298="",F298=""),"",F298*IF(OR(D298="Reçu du magasin",D298="Ajustement (+)"),1,-1))</f>
        <v/>
      </c>
      <c r="Q298" s="34">
        <f>IF(C298="","",YEAR(C298-WEEKDAY(C298,2)+4)&amp;"-S"&amp;TEXT(INT((C298-DATE(YEAR(C298-WEEKDAY(C298,2)+4),1,3)+WEEKDAY(DATE(YEAR(C298-WEEKDAY(C298,2)+4),1,3),2)+5)/7),"00"))</f>
        <v/>
      </c>
    </row>
    <row r="299" ht="18" customHeight="1">
      <c r="A299" s="39" t="n">
        <v>294</v>
      </c>
      <c r="B299" s="33">
        <f>IF(C299="","",IF(L299="À RENSEIGNER","GIC",L299)&amp;"-S"&amp;TEXT(A299,"00000"))</f>
        <v/>
      </c>
      <c r="C299" s="32" t="n"/>
      <c r="D299" s="36" t="n"/>
      <c r="E299" s="36" t="n"/>
      <c r="F299" s="42" t="n"/>
      <c r="G299" s="36" t="n"/>
      <c r="H299" s="43" t="n"/>
      <c r="I299" s="37" t="n"/>
      <c r="J299" s="44" t="n"/>
      <c r="K299" s="36" t="n"/>
      <c r="L299" s="33">
        <f>IF(C299="","",Commercial_Id)</f>
        <v/>
      </c>
      <c r="M299" s="34">
        <f>IF(E299="","",IFERROR(VLOOKUP(E299,T_Produits,2,FALSE),""))</f>
        <v/>
      </c>
      <c r="N299" s="40">
        <f>IF(E299="","",IFERROR(1/(1/VLOOKUP(E299,T_Produits,3,FALSE)),""))</f>
        <v/>
      </c>
      <c r="O299" s="40">
        <f>IF(OR(D299="",F299=""),"",IF(OR(D299="Casse / avarie",D299="Perte / vol",D299="Échantillon offert"),IF(I299&lt;&gt;"",I299,IF(N299="","",F299*N299)),""))</f>
        <v/>
      </c>
      <c r="P299" s="50">
        <f>IF(OR(D299="",F299=""),"",F299*IF(OR(D299="Reçu du magasin",D299="Ajustement (+)"),1,-1))</f>
        <v/>
      </c>
      <c r="Q299" s="34">
        <f>IF(C299="","",YEAR(C299-WEEKDAY(C299,2)+4)&amp;"-S"&amp;TEXT(INT((C299-DATE(YEAR(C299-WEEKDAY(C299,2)+4),1,3)+WEEKDAY(DATE(YEAR(C299-WEEKDAY(C299,2)+4),1,3),2)+5)/7),"00"))</f>
        <v/>
      </c>
    </row>
    <row r="300" ht="18" customHeight="1">
      <c r="A300" s="39" t="n">
        <v>295</v>
      </c>
      <c r="B300" s="33">
        <f>IF(C300="","",IF(L300="À RENSEIGNER","GIC",L300)&amp;"-S"&amp;TEXT(A300,"00000"))</f>
        <v/>
      </c>
      <c r="C300" s="32" t="n"/>
      <c r="D300" s="36" t="n"/>
      <c r="E300" s="36" t="n"/>
      <c r="F300" s="42" t="n"/>
      <c r="G300" s="36" t="n"/>
      <c r="H300" s="43" t="n"/>
      <c r="I300" s="37" t="n"/>
      <c r="J300" s="44" t="n"/>
      <c r="K300" s="36" t="n"/>
      <c r="L300" s="33">
        <f>IF(C300="","",Commercial_Id)</f>
        <v/>
      </c>
      <c r="M300" s="34">
        <f>IF(E300="","",IFERROR(VLOOKUP(E300,T_Produits,2,FALSE),""))</f>
        <v/>
      </c>
      <c r="N300" s="40">
        <f>IF(E300="","",IFERROR(1/(1/VLOOKUP(E300,T_Produits,3,FALSE)),""))</f>
        <v/>
      </c>
      <c r="O300" s="40">
        <f>IF(OR(D300="",F300=""),"",IF(OR(D300="Casse / avarie",D300="Perte / vol",D300="Échantillon offert"),IF(I300&lt;&gt;"",I300,IF(N300="","",F300*N300)),""))</f>
        <v/>
      </c>
      <c r="P300" s="50">
        <f>IF(OR(D300="",F300=""),"",F300*IF(OR(D300="Reçu du magasin",D300="Ajustement (+)"),1,-1))</f>
        <v/>
      </c>
      <c r="Q300" s="34">
        <f>IF(C300="","",YEAR(C300-WEEKDAY(C300,2)+4)&amp;"-S"&amp;TEXT(INT((C300-DATE(YEAR(C300-WEEKDAY(C300,2)+4),1,3)+WEEKDAY(DATE(YEAR(C300-WEEKDAY(C300,2)+4),1,3),2)+5)/7),"00"))</f>
        <v/>
      </c>
    </row>
    <row r="301" ht="18" customHeight="1">
      <c r="A301" s="39" t="n">
        <v>296</v>
      </c>
      <c r="B301" s="33">
        <f>IF(C301="","",IF(L301="À RENSEIGNER","GIC",L301)&amp;"-S"&amp;TEXT(A301,"00000"))</f>
        <v/>
      </c>
      <c r="C301" s="32" t="n"/>
      <c r="D301" s="36" t="n"/>
      <c r="E301" s="36" t="n"/>
      <c r="F301" s="42" t="n"/>
      <c r="G301" s="36" t="n"/>
      <c r="H301" s="43" t="n"/>
      <c r="I301" s="37" t="n"/>
      <c r="J301" s="44" t="n"/>
      <c r="K301" s="36" t="n"/>
      <c r="L301" s="33">
        <f>IF(C301="","",Commercial_Id)</f>
        <v/>
      </c>
      <c r="M301" s="34">
        <f>IF(E301="","",IFERROR(VLOOKUP(E301,T_Produits,2,FALSE),""))</f>
        <v/>
      </c>
      <c r="N301" s="40">
        <f>IF(E301="","",IFERROR(1/(1/VLOOKUP(E301,T_Produits,3,FALSE)),""))</f>
        <v/>
      </c>
      <c r="O301" s="40">
        <f>IF(OR(D301="",F301=""),"",IF(OR(D301="Casse / avarie",D301="Perte / vol",D301="Échantillon offert"),IF(I301&lt;&gt;"",I301,IF(N301="","",F301*N301)),""))</f>
        <v/>
      </c>
      <c r="P301" s="50">
        <f>IF(OR(D301="",F301=""),"",F301*IF(OR(D301="Reçu du magasin",D301="Ajustement (+)"),1,-1))</f>
        <v/>
      </c>
      <c r="Q301" s="34">
        <f>IF(C301="","",YEAR(C301-WEEKDAY(C301,2)+4)&amp;"-S"&amp;TEXT(INT((C301-DATE(YEAR(C301-WEEKDAY(C301,2)+4),1,3)+WEEKDAY(DATE(YEAR(C301-WEEKDAY(C301,2)+4),1,3),2)+5)/7),"00"))</f>
        <v/>
      </c>
    </row>
    <row r="302" ht="18" customHeight="1">
      <c r="A302" s="39" t="n">
        <v>297</v>
      </c>
      <c r="B302" s="33">
        <f>IF(C302="","",IF(L302="À RENSEIGNER","GIC",L302)&amp;"-S"&amp;TEXT(A302,"00000"))</f>
        <v/>
      </c>
      <c r="C302" s="32" t="n"/>
      <c r="D302" s="36" t="n"/>
      <c r="E302" s="36" t="n"/>
      <c r="F302" s="42" t="n"/>
      <c r="G302" s="36" t="n"/>
      <c r="H302" s="43" t="n"/>
      <c r="I302" s="37" t="n"/>
      <c r="J302" s="44" t="n"/>
      <c r="K302" s="36" t="n"/>
      <c r="L302" s="33">
        <f>IF(C302="","",Commercial_Id)</f>
        <v/>
      </c>
      <c r="M302" s="34">
        <f>IF(E302="","",IFERROR(VLOOKUP(E302,T_Produits,2,FALSE),""))</f>
        <v/>
      </c>
      <c r="N302" s="40">
        <f>IF(E302="","",IFERROR(1/(1/VLOOKUP(E302,T_Produits,3,FALSE)),""))</f>
        <v/>
      </c>
      <c r="O302" s="40">
        <f>IF(OR(D302="",F302=""),"",IF(OR(D302="Casse / avarie",D302="Perte / vol",D302="Échantillon offert"),IF(I302&lt;&gt;"",I302,IF(N302="","",F302*N302)),""))</f>
        <v/>
      </c>
      <c r="P302" s="50">
        <f>IF(OR(D302="",F302=""),"",F302*IF(OR(D302="Reçu du magasin",D302="Ajustement (+)"),1,-1))</f>
        <v/>
      </c>
      <c r="Q302" s="34">
        <f>IF(C302="","",YEAR(C302-WEEKDAY(C302,2)+4)&amp;"-S"&amp;TEXT(INT((C302-DATE(YEAR(C302-WEEKDAY(C302,2)+4),1,3)+WEEKDAY(DATE(YEAR(C302-WEEKDAY(C302,2)+4),1,3),2)+5)/7),"00"))</f>
        <v/>
      </c>
    </row>
    <row r="303" ht="18" customHeight="1">
      <c r="A303" s="39" t="n">
        <v>298</v>
      </c>
      <c r="B303" s="33">
        <f>IF(C303="","",IF(L303="À RENSEIGNER","GIC",L303)&amp;"-S"&amp;TEXT(A303,"00000"))</f>
        <v/>
      </c>
      <c r="C303" s="32" t="n"/>
      <c r="D303" s="36" t="n"/>
      <c r="E303" s="36" t="n"/>
      <c r="F303" s="42" t="n"/>
      <c r="G303" s="36" t="n"/>
      <c r="H303" s="43" t="n"/>
      <c r="I303" s="37" t="n"/>
      <c r="J303" s="44" t="n"/>
      <c r="K303" s="36" t="n"/>
      <c r="L303" s="33">
        <f>IF(C303="","",Commercial_Id)</f>
        <v/>
      </c>
      <c r="M303" s="34">
        <f>IF(E303="","",IFERROR(VLOOKUP(E303,T_Produits,2,FALSE),""))</f>
        <v/>
      </c>
      <c r="N303" s="40">
        <f>IF(E303="","",IFERROR(1/(1/VLOOKUP(E303,T_Produits,3,FALSE)),""))</f>
        <v/>
      </c>
      <c r="O303" s="40">
        <f>IF(OR(D303="",F303=""),"",IF(OR(D303="Casse / avarie",D303="Perte / vol",D303="Échantillon offert"),IF(I303&lt;&gt;"",I303,IF(N303="","",F303*N303)),""))</f>
        <v/>
      </c>
      <c r="P303" s="50">
        <f>IF(OR(D303="",F303=""),"",F303*IF(OR(D303="Reçu du magasin",D303="Ajustement (+)"),1,-1))</f>
        <v/>
      </c>
      <c r="Q303" s="34">
        <f>IF(C303="","",YEAR(C303-WEEKDAY(C303,2)+4)&amp;"-S"&amp;TEXT(INT((C303-DATE(YEAR(C303-WEEKDAY(C303,2)+4),1,3)+WEEKDAY(DATE(YEAR(C303-WEEKDAY(C303,2)+4),1,3),2)+5)/7),"00"))</f>
        <v/>
      </c>
    </row>
    <row r="304" ht="18" customHeight="1">
      <c r="A304" s="39" t="n">
        <v>299</v>
      </c>
      <c r="B304" s="33">
        <f>IF(C304="","",IF(L304="À RENSEIGNER","GIC",L304)&amp;"-S"&amp;TEXT(A304,"00000"))</f>
        <v/>
      </c>
      <c r="C304" s="32" t="n"/>
      <c r="D304" s="36" t="n"/>
      <c r="E304" s="36" t="n"/>
      <c r="F304" s="42" t="n"/>
      <c r="G304" s="36" t="n"/>
      <c r="H304" s="43" t="n"/>
      <c r="I304" s="37" t="n"/>
      <c r="J304" s="44" t="n"/>
      <c r="K304" s="36" t="n"/>
      <c r="L304" s="33">
        <f>IF(C304="","",Commercial_Id)</f>
        <v/>
      </c>
      <c r="M304" s="34">
        <f>IF(E304="","",IFERROR(VLOOKUP(E304,T_Produits,2,FALSE),""))</f>
        <v/>
      </c>
      <c r="N304" s="40">
        <f>IF(E304="","",IFERROR(1/(1/VLOOKUP(E304,T_Produits,3,FALSE)),""))</f>
        <v/>
      </c>
      <c r="O304" s="40">
        <f>IF(OR(D304="",F304=""),"",IF(OR(D304="Casse / avarie",D304="Perte / vol",D304="Échantillon offert"),IF(I304&lt;&gt;"",I304,IF(N304="","",F304*N304)),""))</f>
        <v/>
      </c>
      <c r="P304" s="50">
        <f>IF(OR(D304="",F304=""),"",F304*IF(OR(D304="Reçu du magasin",D304="Ajustement (+)"),1,-1))</f>
        <v/>
      </c>
      <c r="Q304" s="34">
        <f>IF(C304="","",YEAR(C304-WEEKDAY(C304,2)+4)&amp;"-S"&amp;TEXT(INT((C304-DATE(YEAR(C304-WEEKDAY(C304,2)+4),1,3)+WEEKDAY(DATE(YEAR(C304-WEEKDAY(C304,2)+4),1,3),2)+5)/7),"00"))</f>
        <v/>
      </c>
    </row>
    <row r="305" ht="18" customHeight="1">
      <c r="A305" s="39" t="n">
        <v>300</v>
      </c>
      <c r="B305" s="33">
        <f>IF(C305="","",IF(L305="À RENSEIGNER","GIC",L305)&amp;"-S"&amp;TEXT(A305,"00000"))</f>
        <v/>
      </c>
      <c r="C305" s="32" t="n"/>
      <c r="D305" s="36" t="n"/>
      <c r="E305" s="36" t="n"/>
      <c r="F305" s="42" t="n"/>
      <c r="G305" s="36" t="n"/>
      <c r="H305" s="43" t="n"/>
      <c r="I305" s="37" t="n"/>
      <c r="J305" s="44" t="n"/>
      <c r="K305" s="36" t="n"/>
      <c r="L305" s="33">
        <f>IF(C305="","",Commercial_Id)</f>
        <v/>
      </c>
      <c r="M305" s="34">
        <f>IF(E305="","",IFERROR(VLOOKUP(E305,T_Produits,2,FALSE),""))</f>
        <v/>
      </c>
      <c r="N305" s="40">
        <f>IF(E305="","",IFERROR(1/(1/VLOOKUP(E305,T_Produits,3,FALSE)),""))</f>
        <v/>
      </c>
      <c r="O305" s="40">
        <f>IF(OR(D305="",F305=""),"",IF(OR(D305="Casse / avarie",D305="Perte / vol",D305="Échantillon offert"),IF(I305&lt;&gt;"",I305,IF(N305="","",F305*N305)),""))</f>
        <v/>
      </c>
      <c r="P305" s="50">
        <f>IF(OR(D305="",F305=""),"",F305*IF(OR(D305="Reçu du magasin",D305="Ajustement (+)"),1,-1))</f>
        <v/>
      </c>
      <c r="Q305" s="34">
        <f>IF(C305="","",YEAR(C305-WEEKDAY(C305,2)+4)&amp;"-S"&amp;TEXT(INT((C305-DATE(YEAR(C305-WEEKDAY(C305,2)+4),1,3)+WEEKDAY(DATE(YEAR(C305-WEEKDAY(C305,2)+4),1,3),2)+5)/7),"00"))</f>
        <v/>
      </c>
    </row>
    <row r="306" ht="18" customHeight="1">
      <c r="A306" s="39" t="n">
        <v>301</v>
      </c>
      <c r="B306" s="33">
        <f>IF(C306="","",IF(L306="À RENSEIGNER","GIC",L306)&amp;"-S"&amp;TEXT(A306,"00000"))</f>
        <v/>
      </c>
      <c r="C306" s="32" t="n"/>
      <c r="D306" s="36" t="n"/>
      <c r="E306" s="36" t="n"/>
      <c r="F306" s="42" t="n"/>
      <c r="G306" s="36" t="n"/>
      <c r="H306" s="43" t="n"/>
      <c r="I306" s="37" t="n"/>
      <c r="J306" s="44" t="n"/>
      <c r="K306" s="36" t="n"/>
      <c r="L306" s="33">
        <f>IF(C306="","",Commercial_Id)</f>
        <v/>
      </c>
      <c r="M306" s="34">
        <f>IF(E306="","",IFERROR(VLOOKUP(E306,T_Produits,2,FALSE),""))</f>
        <v/>
      </c>
      <c r="N306" s="40">
        <f>IF(E306="","",IFERROR(1/(1/VLOOKUP(E306,T_Produits,3,FALSE)),""))</f>
        <v/>
      </c>
      <c r="O306" s="40">
        <f>IF(OR(D306="",F306=""),"",IF(OR(D306="Casse / avarie",D306="Perte / vol",D306="Échantillon offert"),IF(I306&lt;&gt;"",I306,IF(N306="","",F306*N306)),""))</f>
        <v/>
      </c>
      <c r="P306" s="50">
        <f>IF(OR(D306="",F306=""),"",F306*IF(OR(D306="Reçu du magasin",D306="Ajustement (+)"),1,-1))</f>
        <v/>
      </c>
      <c r="Q306" s="34">
        <f>IF(C306="","",YEAR(C306-WEEKDAY(C306,2)+4)&amp;"-S"&amp;TEXT(INT((C306-DATE(YEAR(C306-WEEKDAY(C306,2)+4),1,3)+WEEKDAY(DATE(YEAR(C306-WEEKDAY(C306,2)+4),1,3),2)+5)/7),"00"))</f>
        <v/>
      </c>
    </row>
    <row r="307" ht="18" customHeight="1">
      <c r="A307" s="39" t="n">
        <v>302</v>
      </c>
      <c r="B307" s="33">
        <f>IF(C307="","",IF(L307="À RENSEIGNER","GIC",L307)&amp;"-S"&amp;TEXT(A307,"00000"))</f>
        <v/>
      </c>
      <c r="C307" s="32" t="n"/>
      <c r="D307" s="36" t="n"/>
      <c r="E307" s="36" t="n"/>
      <c r="F307" s="42" t="n"/>
      <c r="G307" s="36" t="n"/>
      <c r="H307" s="43" t="n"/>
      <c r="I307" s="37" t="n"/>
      <c r="J307" s="44" t="n"/>
      <c r="K307" s="36" t="n"/>
      <c r="L307" s="33">
        <f>IF(C307="","",Commercial_Id)</f>
        <v/>
      </c>
      <c r="M307" s="34">
        <f>IF(E307="","",IFERROR(VLOOKUP(E307,T_Produits,2,FALSE),""))</f>
        <v/>
      </c>
      <c r="N307" s="40">
        <f>IF(E307="","",IFERROR(1/(1/VLOOKUP(E307,T_Produits,3,FALSE)),""))</f>
        <v/>
      </c>
      <c r="O307" s="40">
        <f>IF(OR(D307="",F307=""),"",IF(OR(D307="Casse / avarie",D307="Perte / vol",D307="Échantillon offert"),IF(I307&lt;&gt;"",I307,IF(N307="","",F307*N307)),""))</f>
        <v/>
      </c>
      <c r="P307" s="50">
        <f>IF(OR(D307="",F307=""),"",F307*IF(OR(D307="Reçu du magasin",D307="Ajustement (+)"),1,-1))</f>
        <v/>
      </c>
      <c r="Q307" s="34">
        <f>IF(C307="","",YEAR(C307-WEEKDAY(C307,2)+4)&amp;"-S"&amp;TEXT(INT((C307-DATE(YEAR(C307-WEEKDAY(C307,2)+4),1,3)+WEEKDAY(DATE(YEAR(C307-WEEKDAY(C307,2)+4),1,3),2)+5)/7),"00"))</f>
        <v/>
      </c>
    </row>
    <row r="308" ht="18" customHeight="1">
      <c r="A308" s="39" t="n">
        <v>303</v>
      </c>
      <c r="B308" s="33">
        <f>IF(C308="","",IF(L308="À RENSEIGNER","GIC",L308)&amp;"-S"&amp;TEXT(A308,"00000"))</f>
        <v/>
      </c>
      <c r="C308" s="32" t="n"/>
      <c r="D308" s="36" t="n"/>
      <c r="E308" s="36" t="n"/>
      <c r="F308" s="42" t="n"/>
      <c r="G308" s="36" t="n"/>
      <c r="H308" s="43" t="n"/>
      <c r="I308" s="37" t="n"/>
      <c r="J308" s="44" t="n"/>
      <c r="K308" s="36" t="n"/>
      <c r="L308" s="33">
        <f>IF(C308="","",Commercial_Id)</f>
        <v/>
      </c>
      <c r="M308" s="34">
        <f>IF(E308="","",IFERROR(VLOOKUP(E308,T_Produits,2,FALSE),""))</f>
        <v/>
      </c>
      <c r="N308" s="40">
        <f>IF(E308="","",IFERROR(1/(1/VLOOKUP(E308,T_Produits,3,FALSE)),""))</f>
        <v/>
      </c>
      <c r="O308" s="40">
        <f>IF(OR(D308="",F308=""),"",IF(OR(D308="Casse / avarie",D308="Perte / vol",D308="Échantillon offert"),IF(I308&lt;&gt;"",I308,IF(N308="","",F308*N308)),""))</f>
        <v/>
      </c>
      <c r="P308" s="50">
        <f>IF(OR(D308="",F308=""),"",F308*IF(OR(D308="Reçu du magasin",D308="Ajustement (+)"),1,-1))</f>
        <v/>
      </c>
      <c r="Q308" s="34">
        <f>IF(C308="","",YEAR(C308-WEEKDAY(C308,2)+4)&amp;"-S"&amp;TEXT(INT((C308-DATE(YEAR(C308-WEEKDAY(C308,2)+4),1,3)+WEEKDAY(DATE(YEAR(C308-WEEKDAY(C308,2)+4),1,3),2)+5)/7),"00"))</f>
        <v/>
      </c>
    </row>
    <row r="309" ht="18" customHeight="1">
      <c r="A309" s="39" t="n">
        <v>304</v>
      </c>
      <c r="B309" s="33">
        <f>IF(C309="","",IF(L309="À RENSEIGNER","GIC",L309)&amp;"-S"&amp;TEXT(A309,"00000"))</f>
        <v/>
      </c>
      <c r="C309" s="32" t="n"/>
      <c r="D309" s="36" t="n"/>
      <c r="E309" s="36" t="n"/>
      <c r="F309" s="42" t="n"/>
      <c r="G309" s="36" t="n"/>
      <c r="H309" s="43" t="n"/>
      <c r="I309" s="37" t="n"/>
      <c r="J309" s="44" t="n"/>
      <c r="K309" s="36" t="n"/>
      <c r="L309" s="33">
        <f>IF(C309="","",Commercial_Id)</f>
        <v/>
      </c>
      <c r="M309" s="34">
        <f>IF(E309="","",IFERROR(VLOOKUP(E309,T_Produits,2,FALSE),""))</f>
        <v/>
      </c>
      <c r="N309" s="40">
        <f>IF(E309="","",IFERROR(1/(1/VLOOKUP(E309,T_Produits,3,FALSE)),""))</f>
        <v/>
      </c>
      <c r="O309" s="40">
        <f>IF(OR(D309="",F309=""),"",IF(OR(D309="Casse / avarie",D309="Perte / vol",D309="Échantillon offert"),IF(I309&lt;&gt;"",I309,IF(N309="","",F309*N309)),""))</f>
        <v/>
      </c>
      <c r="P309" s="50">
        <f>IF(OR(D309="",F309=""),"",F309*IF(OR(D309="Reçu du magasin",D309="Ajustement (+)"),1,-1))</f>
        <v/>
      </c>
      <c r="Q309" s="34">
        <f>IF(C309="","",YEAR(C309-WEEKDAY(C309,2)+4)&amp;"-S"&amp;TEXT(INT((C309-DATE(YEAR(C309-WEEKDAY(C309,2)+4),1,3)+WEEKDAY(DATE(YEAR(C309-WEEKDAY(C309,2)+4),1,3),2)+5)/7),"00"))</f>
        <v/>
      </c>
    </row>
    <row r="310" ht="18" customHeight="1">
      <c r="A310" s="39" t="n">
        <v>305</v>
      </c>
      <c r="B310" s="33">
        <f>IF(C310="","",IF(L310="À RENSEIGNER","GIC",L310)&amp;"-S"&amp;TEXT(A310,"00000"))</f>
        <v/>
      </c>
      <c r="C310" s="32" t="n"/>
      <c r="D310" s="36" t="n"/>
      <c r="E310" s="36" t="n"/>
      <c r="F310" s="42" t="n"/>
      <c r="G310" s="36" t="n"/>
      <c r="H310" s="43" t="n"/>
      <c r="I310" s="37" t="n"/>
      <c r="J310" s="44" t="n"/>
      <c r="K310" s="36" t="n"/>
      <c r="L310" s="33">
        <f>IF(C310="","",Commercial_Id)</f>
        <v/>
      </c>
      <c r="M310" s="34">
        <f>IF(E310="","",IFERROR(VLOOKUP(E310,T_Produits,2,FALSE),""))</f>
        <v/>
      </c>
      <c r="N310" s="40">
        <f>IF(E310="","",IFERROR(1/(1/VLOOKUP(E310,T_Produits,3,FALSE)),""))</f>
        <v/>
      </c>
      <c r="O310" s="40">
        <f>IF(OR(D310="",F310=""),"",IF(OR(D310="Casse / avarie",D310="Perte / vol",D310="Échantillon offert"),IF(I310&lt;&gt;"",I310,IF(N310="","",F310*N310)),""))</f>
        <v/>
      </c>
      <c r="P310" s="50">
        <f>IF(OR(D310="",F310=""),"",F310*IF(OR(D310="Reçu du magasin",D310="Ajustement (+)"),1,-1))</f>
        <v/>
      </c>
      <c r="Q310" s="34">
        <f>IF(C310="","",YEAR(C310-WEEKDAY(C310,2)+4)&amp;"-S"&amp;TEXT(INT((C310-DATE(YEAR(C310-WEEKDAY(C310,2)+4),1,3)+WEEKDAY(DATE(YEAR(C310-WEEKDAY(C310,2)+4),1,3),2)+5)/7),"00"))</f>
        <v/>
      </c>
    </row>
    <row r="311" ht="18" customHeight="1">
      <c r="A311" s="39" t="n">
        <v>306</v>
      </c>
      <c r="B311" s="33">
        <f>IF(C311="","",IF(L311="À RENSEIGNER","GIC",L311)&amp;"-S"&amp;TEXT(A311,"00000"))</f>
        <v/>
      </c>
      <c r="C311" s="32" t="n"/>
      <c r="D311" s="36" t="n"/>
      <c r="E311" s="36" t="n"/>
      <c r="F311" s="42" t="n"/>
      <c r="G311" s="36" t="n"/>
      <c r="H311" s="43" t="n"/>
      <c r="I311" s="37" t="n"/>
      <c r="J311" s="44" t="n"/>
      <c r="K311" s="36" t="n"/>
      <c r="L311" s="33">
        <f>IF(C311="","",Commercial_Id)</f>
        <v/>
      </c>
      <c r="M311" s="34">
        <f>IF(E311="","",IFERROR(VLOOKUP(E311,T_Produits,2,FALSE),""))</f>
        <v/>
      </c>
      <c r="N311" s="40">
        <f>IF(E311="","",IFERROR(1/(1/VLOOKUP(E311,T_Produits,3,FALSE)),""))</f>
        <v/>
      </c>
      <c r="O311" s="40">
        <f>IF(OR(D311="",F311=""),"",IF(OR(D311="Casse / avarie",D311="Perte / vol",D311="Échantillon offert"),IF(I311&lt;&gt;"",I311,IF(N311="","",F311*N311)),""))</f>
        <v/>
      </c>
      <c r="P311" s="50">
        <f>IF(OR(D311="",F311=""),"",F311*IF(OR(D311="Reçu du magasin",D311="Ajustement (+)"),1,-1))</f>
        <v/>
      </c>
      <c r="Q311" s="34">
        <f>IF(C311="","",YEAR(C311-WEEKDAY(C311,2)+4)&amp;"-S"&amp;TEXT(INT((C311-DATE(YEAR(C311-WEEKDAY(C311,2)+4),1,3)+WEEKDAY(DATE(YEAR(C311-WEEKDAY(C311,2)+4),1,3),2)+5)/7),"00"))</f>
        <v/>
      </c>
    </row>
    <row r="312" ht="18" customHeight="1">
      <c r="A312" s="39" t="n">
        <v>307</v>
      </c>
      <c r="B312" s="33">
        <f>IF(C312="","",IF(L312="À RENSEIGNER","GIC",L312)&amp;"-S"&amp;TEXT(A312,"00000"))</f>
        <v/>
      </c>
      <c r="C312" s="32" t="n"/>
      <c r="D312" s="36" t="n"/>
      <c r="E312" s="36" t="n"/>
      <c r="F312" s="42" t="n"/>
      <c r="G312" s="36" t="n"/>
      <c r="H312" s="43" t="n"/>
      <c r="I312" s="37" t="n"/>
      <c r="J312" s="44" t="n"/>
      <c r="K312" s="36" t="n"/>
      <c r="L312" s="33">
        <f>IF(C312="","",Commercial_Id)</f>
        <v/>
      </c>
      <c r="M312" s="34">
        <f>IF(E312="","",IFERROR(VLOOKUP(E312,T_Produits,2,FALSE),""))</f>
        <v/>
      </c>
      <c r="N312" s="40">
        <f>IF(E312="","",IFERROR(1/(1/VLOOKUP(E312,T_Produits,3,FALSE)),""))</f>
        <v/>
      </c>
      <c r="O312" s="40">
        <f>IF(OR(D312="",F312=""),"",IF(OR(D312="Casse / avarie",D312="Perte / vol",D312="Échantillon offert"),IF(I312&lt;&gt;"",I312,IF(N312="","",F312*N312)),""))</f>
        <v/>
      </c>
      <c r="P312" s="50">
        <f>IF(OR(D312="",F312=""),"",F312*IF(OR(D312="Reçu du magasin",D312="Ajustement (+)"),1,-1))</f>
        <v/>
      </c>
      <c r="Q312" s="34">
        <f>IF(C312="","",YEAR(C312-WEEKDAY(C312,2)+4)&amp;"-S"&amp;TEXT(INT((C312-DATE(YEAR(C312-WEEKDAY(C312,2)+4),1,3)+WEEKDAY(DATE(YEAR(C312-WEEKDAY(C312,2)+4),1,3),2)+5)/7),"00"))</f>
        <v/>
      </c>
    </row>
    <row r="313" ht="18" customHeight="1">
      <c r="A313" s="39" t="n">
        <v>308</v>
      </c>
      <c r="B313" s="33">
        <f>IF(C313="","",IF(L313="À RENSEIGNER","GIC",L313)&amp;"-S"&amp;TEXT(A313,"00000"))</f>
        <v/>
      </c>
      <c r="C313" s="32" t="n"/>
      <c r="D313" s="36" t="n"/>
      <c r="E313" s="36" t="n"/>
      <c r="F313" s="42" t="n"/>
      <c r="G313" s="36" t="n"/>
      <c r="H313" s="43" t="n"/>
      <c r="I313" s="37" t="n"/>
      <c r="J313" s="44" t="n"/>
      <c r="K313" s="36" t="n"/>
      <c r="L313" s="33">
        <f>IF(C313="","",Commercial_Id)</f>
        <v/>
      </c>
      <c r="M313" s="34">
        <f>IF(E313="","",IFERROR(VLOOKUP(E313,T_Produits,2,FALSE),""))</f>
        <v/>
      </c>
      <c r="N313" s="40">
        <f>IF(E313="","",IFERROR(1/(1/VLOOKUP(E313,T_Produits,3,FALSE)),""))</f>
        <v/>
      </c>
      <c r="O313" s="40">
        <f>IF(OR(D313="",F313=""),"",IF(OR(D313="Casse / avarie",D313="Perte / vol",D313="Échantillon offert"),IF(I313&lt;&gt;"",I313,IF(N313="","",F313*N313)),""))</f>
        <v/>
      </c>
      <c r="P313" s="50">
        <f>IF(OR(D313="",F313=""),"",F313*IF(OR(D313="Reçu du magasin",D313="Ajustement (+)"),1,-1))</f>
        <v/>
      </c>
      <c r="Q313" s="34">
        <f>IF(C313="","",YEAR(C313-WEEKDAY(C313,2)+4)&amp;"-S"&amp;TEXT(INT((C313-DATE(YEAR(C313-WEEKDAY(C313,2)+4),1,3)+WEEKDAY(DATE(YEAR(C313-WEEKDAY(C313,2)+4),1,3),2)+5)/7),"00"))</f>
        <v/>
      </c>
    </row>
    <row r="314" ht="18" customHeight="1">
      <c r="A314" s="39" t="n">
        <v>309</v>
      </c>
      <c r="B314" s="33">
        <f>IF(C314="","",IF(L314="À RENSEIGNER","GIC",L314)&amp;"-S"&amp;TEXT(A314,"00000"))</f>
        <v/>
      </c>
      <c r="C314" s="32" t="n"/>
      <c r="D314" s="36" t="n"/>
      <c r="E314" s="36" t="n"/>
      <c r="F314" s="42" t="n"/>
      <c r="G314" s="36" t="n"/>
      <c r="H314" s="43" t="n"/>
      <c r="I314" s="37" t="n"/>
      <c r="J314" s="44" t="n"/>
      <c r="K314" s="36" t="n"/>
      <c r="L314" s="33">
        <f>IF(C314="","",Commercial_Id)</f>
        <v/>
      </c>
      <c r="M314" s="34">
        <f>IF(E314="","",IFERROR(VLOOKUP(E314,T_Produits,2,FALSE),""))</f>
        <v/>
      </c>
      <c r="N314" s="40">
        <f>IF(E314="","",IFERROR(1/(1/VLOOKUP(E314,T_Produits,3,FALSE)),""))</f>
        <v/>
      </c>
      <c r="O314" s="40">
        <f>IF(OR(D314="",F314=""),"",IF(OR(D314="Casse / avarie",D314="Perte / vol",D314="Échantillon offert"),IF(I314&lt;&gt;"",I314,IF(N314="","",F314*N314)),""))</f>
        <v/>
      </c>
      <c r="P314" s="50">
        <f>IF(OR(D314="",F314=""),"",F314*IF(OR(D314="Reçu du magasin",D314="Ajustement (+)"),1,-1))</f>
        <v/>
      </c>
      <c r="Q314" s="34">
        <f>IF(C314="","",YEAR(C314-WEEKDAY(C314,2)+4)&amp;"-S"&amp;TEXT(INT((C314-DATE(YEAR(C314-WEEKDAY(C314,2)+4),1,3)+WEEKDAY(DATE(YEAR(C314-WEEKDAY(C314,2)+4),1,3),2)+5)/7),"00"))</f>
        <v/>
      </c>
    </row>
    <row r="315" ht="18" customHeight="1">
      <c r="A315" s="39" t="n">
        <v>310</v>
      </c>
      <c r="B315" s="33">
        <f>IF(C315="","",IF(L315="À RENSEIGNER","GIC",L315)&amp;"-S"&amp;TEXT(A315,"00000"))</f>
        <v/>
      </c>
      <c r="C315" s="32" t="n"/>
      <c r="D315" s="36" t="n"/>
      <c r="E315" s="36" t="n"/>
      <c r="F315" s="42" t="n"/>
      <c r="G315" s="36" t="n"/>
      <c r="H315" s="43" t="n"/>
      <c r="I315" s="37" t="n"/>
      <c r="J315" s="44" t="n"/>
      <c r="K315" s="36" t="n"/>
      <c r="L315" s="33">
        <f>IF(C315="","",Commercial_Id)</f>
        <v/>
      </c>
      <c r="M315" s="34">
        <f>IF(E315="","",IFERROR(VLOOKUP(E315,T_Produits,2,FALSE),""))</f>
        <v/>
      </c>
      <c r="N315" s="40">
        <f>IF(E315="","",IFERROR(1/(1/VLOOKUP(E315,T_Produits,3,FALSE)),""))</f>
        <v/>
      </c>
      <c r="O315" s="40">
        <f>IF(OR(D315="",F315=""),"",IF(OR(D315="Casse / avarie",D315="Perte / vol",D315="Échantillon offert"),IF(I315&lt;&gt;"",I315,IF(N315="","",F315*N315)),""))</f>
        <v/>
      </c>
      <c r="P315" s="50">
        <f>IF(OR(D315="",F315=""),"",F315*IF(OR(D315="Reçu du magasin",D315="Ajustement (+)"),1,-1))</f>
        <v/>
      </c>
      <c r="Q315" s="34">
        <f>IF(C315="","",YEAR(C315-WEEKDAY(C315,2)+4)&amp;"-S"&amp;TEXT(INT((C315-DATE(YEAR(C315-WEEKDAY(C315,2)+4),1,3)+WEEKDAY(DATE(YEAR(C315-WEEKDAY(C315,2)+4),1,3),2)+5)/7),"00"))</f>
        <v/>
      </c>
    </row>
    <row r="316" ht="18" customHeight="1">
      <c r="A316" s="39" t="n">
        <v>311</v>
      </c>
      <c r="B316" s="33">
        <f>IF(C316="","",IF(L316="À RENSEIGNER","GIC",L316)&amp;"-S"&amp;TEXT(A316,"00000"))</f>
        <v/>
      </c>
      <c r="C316" s="32" t="n"/>
      <c r="D316" s="36" t="n"/>
      <c r="E316" s="36" t="n"/>
      <c r="F316" s="42" t="n"/>
      <c r="G316" s="36" t="n"/>
      <c r="H316" s="43" t="n"/>
      <c r="I316" s="37" t="n"/>
      <c r="J316" s="44" t="n"/>
      <c r="K316" s="36" t="n"/>
      <c r="L316" s="33">
        <f>IF(C316="","",Commercial_Id)</f>
        <v/>
      </c>
      <c r="M316" s="34">
        <f>IF(E316="","",IFERROR(VLOOKUP(E316,T_Produits,2,FALSE),""))</f>
        <v/>
      </c>
      <c r="N316" s="40">
        <f>IF(E316="","",IFERROR(1/(1/VLOOKUP(E316,T_Produits,3,FALSE)),""))</f>
        <v/>
      </c>
      <c r="O316" s="40">
        <f>IF(OR(D316="",F316=""),"",IF(OR(D316="Casse / avarie",D316="Perte / vol",D316="Échantillon offert"),IF(I316&lt;&gt;"",I316,IF(N316="","",F316*N316)),""))</f>
        <v/>
      </c>
      <c r="P316" s="50">
        <f>IF(OR(D316="",F316=""),"",F316*IF(OR(D316="Reçu du magasin",D316="Ajustement (+)"),1,-1))</f>
        <v/>
      </c>
      <c r="Q316" s="34">
        <f>IF(C316="","",YEAR(C316-WEEKDAY(C316,2)+4)&amp;"-S"&amp;TEXT(INT((C316-DATE(YEAR(C316-WEEKDAY(C316,2)+4),1,3)+WEEKDAY(DATE(YEAR(C316-WEEKDAY(C316,2)+4),1,3),2)+5)/7),"00"))</f>
        <v/>
      </c>
    </row>
    <row r="317" ht="18" customHeight="1">
      <c r="A317" s="39" t="n">
        <v>312</v>
      </c>
      <c r="B317" s="33">
        <f>IF(C317="","",IF(L317="À RENSEIGNER","GIC",L317)&amp;"-S"&amp;TEXT(A317,"00000"))</f>
        <v/>
      </c>
      <c r="C317" s="32" t="n"/>
      <c r="D317" s="36" t="n"/>
      <c r="E317" s="36" t="n"/>
      <c r="F317" s="42" t="n"/>
      <c r="G317" s="36" t="n"/>
      <c r="H317" s="43" t="n"/>
      <c r="I317" s="37" t="n"/>
      <c r="J317" s="44" t="n"/>
      <c r="K317" s="36" t="n"/>
      <c r="L317" s="33">
        <f>IF(C317="","",Commercial_Id)</f>
        <v/>
      </c>
      <c r="M317" s="34">
        <f>IF(E317="","",IFERROR(VLOOKUP(E317,T_Produits,2,FALSE),""))</f>
        <v/>
      </c>
      <c r="N317" s="40">
        <f>IF(E317="","",IFERROR(1/(1/VLOOKUP(E317,T_Produits,3,FALSE)),""))</f>
        <v/>
      </c>
      <c r="O317" s="40">
        <f>IF(OR(D317="",F317=""),"",IF(OR(D317="Casse / avarie",D317="Perte / vol",D317="Échantillon offert"),IF(I317&lt;&gt;"",I317,IF(N317="","",F317*N317)),""))</f>
        <v/>
      </c>
      <c r="P317" s="50">
        <f>IF(OR(D317="",F317=""),"",F317*IF(OR(D317="Reçu du magasin",D317="Ajustement (+)"),1,-1))</f>
        <v/>
      </c>
      <c r="Q317" s="34">
        <f>IF(C317="","",YEAR(C317-WEEKDAY(C317,2)+4)&amp;"-S"&amp;TEXT(INT((C317-DATE(YEAR(C317-WEEKDAY(C317,2)+4),1,3)+WEEKDAY(DATE(YEAR(C317-WEEKDAY(C317,2)+4),1,3),2)+5)/7),"00"))</f>
        <v/>
      </c>
    </row>
    <row r="318" ht="18" customHeight="1">
      <c r="A318" s="39" t="n">
        <v>313</v>
      </c>
      <c r="B318" s="33">
        <f>IF(C318="","",IF(L318="À RENSEIGNER","GIC",L318)&amp;"-S"&amp;TEXT(A318,"00000"))</f>
        <v/>
      </c>
      <c r="C318" s="32" t="n"/>
      <c r="D318" s="36" t="n"/>
      <c r="E318" s="36" t="n"/>
      <c r="F318" s="42" t="n"/>
      <c r="G318" s="36" t="n"/>
      <c r="H318" s="43" t="n"/>
      <c r="I318" s="37" t="n"/>
      <c r="J318" s="44" t="n"/>
      <c r="K318" s="36" t="n"/>
      <c r="L318" s="33">
        <f>IF(C318="","",Commercial_Id)</f>
        <v/>
      </c>
      <c r="M318" s="34">
        <f>IF(E318="","",IFERROR(VLOOKUP(E318,T_Produits,2,FALSE),""))</f>
        <v/>
      </c>
      <c r="N318" s="40">
        <f>IF(E318="","",IFERROR(1/(1/VLOOKUP(E318,T_Produits,3,FALSE)),""))</f>
        <v/>
      </c>
      <c r="O318" s="40">
        <f>IF(OR(D318="",F318=""),"",IF(OR(D318="Casse / avarie",D318="Perte / vol",D318="Échantillon offert"),IF(I318&lt;&gt;"",I318,IF(N318="","",F318*N318)),""))</f>
        <v/>
      </c>
      <c r="P318" s="50">
        <f>IF(OR(D318="",F318=""),"",F318*IF(OR(D318="Reçu du magasin",D318="Ajustement (+)"),1,-1))</f>
        <v/>
      </c>
      <c r="Q318" s="34">
        <f>IF(C318="","",YEAR(C318-WEEKDAY(C318,2)+4)&amp;"-S"&amp;TEXT(INT((C318-DATE(YEAR(C318-WEEKDAY(C318,2)+4),1,3)+WEEKDAY(DATE(YEAR(C318-WEEKDAY(C318,2)+4),1,3),2)+5)/7),"00"))</f>
        <v/>
      </c>
    </row>
    <row r="319" ht="18" customHeight="1">
      <c r="A319" s="39" t="n">
        <v>314</v>
      </c>
      <c r="B319" s="33">
        <f>IF(C319="","",IF(L319="À RENSEIGNER","GIC",L319)&amp;"-S"&amp;TEXT(A319,"00000"))</f>
        <v/>
      </c>
      <c r="C319" s="32" t="n"/>
      <c r="D319" s="36" t="n"/>
      <c r="E319" s="36" t="n"/>
      <c r="F319" s="42" t="n"/>
      <c r="G319" s="36" t="n"/>
      <c r="H319" s="43" t="n"/>
      <c r="I319" s="37" t="n"/>
      <c r="J319" s="44" t="n"/>
      <c r="K319" s="36" t="n"/>
      <c r="L319" s="33">
        <f>IF(C319="","",Commercial_Id)</f>
        <v/>
      </c>
      <c r="M319" s="34">
        <f>IF(E319="","",IFERROR(VLOOKUP(E319,T_Produits,2,FALSE),""))</f>
        <v/>
      </c>
      <c r="N319" s="40">
        <f>IF(E319="","",IFERROR(1/(1/VLOOKUP(E319,T_Produits,3,FALSE)),""))</f>
        <v/>
      </c>
      <c r="O319" s="40">
        <f>IF(OR(D319="",F319=""),"",IF(OR(D319="Casse / avarie",D319="Perte / vol",D319="Échantillon offert"),IF(I319&lt;&gt;"",I319,IF(N319="","",F319*N319)),""))</f>
        <v/>
      </c>
      <c r="P319" s="50">
        <f>IF(OR(D319="",F319=""),"",F319*IF(OR(D319="Reçu du magasin",D319="Ajustement (+)"),1,-1))</f>
        <v/>
      </c>
      <c r="Q319" s="34">
        <f>IF(C319="","",YEAR(C319-WEEKDAY(C319,2)+4)&amp;"-S"&amp;TEXT(INT((C319-DATE(YEAR(C319-WEEKDAY(C319,2)+4),1,3)+WEEKDAY(DATE(YEAR(C319-WEEKDAY(C319,2)+4),1,3),2)+5)/7),"00"))</f>
        <v/>
      </c>
    </row>
    <row r="320" ht="18" customHeight="1">
      <c r="A320" s="39" t="n">
        <v>315</v>
      </c>
      <c r="B320" s="33">
        <f>IF(C320="","",IF(L320="À RENSEIGNER","GIC",L320)&amp;"-S"&amp;TEXT(A320,"00000"))</f>
        <v/>
      </c>
      <c r="C320" s="32" t="n"/>
      <c r="D320" s="36" t="n"/>
      <c r="E320" s="36" t="n"/>
      <c r="F320" s="42" t="n"/>
      <c r="G320" s="36" t="n"/>
      <c r="H320" s="43" t="n"/>
      <c r="I320" s="37" t="n"/>
      <c r="J320" s="44" t="n"/>
      <c r="K320" s="36" t="n"/>
      <c r="L320" s="33">
        <f>IF(C320="","",Commercial_Id)</f>
        <v/>
      </c>
      <c r="M320" s="34">
        <f>IF(E320="","",IFERROR(VLOOKUP(E320,T_Produits,2,FALSE),""))</f>
        <v/>
      </c>
      <c r="N320" s="40">
        <f>IF(E320="","",IFERROR(1/(1/VLOOKUP(E320,T_Produits,3,FALSE)),""))</f>
        <v/>
      </c>
      <c r="O320" s="40">
        <f>IF(OR(D320="",F320=""),"",IF(OR(D320="Casse / avarie",D320="Perte / vol",D320="Échantillon offert"),IF(I320&lt;&gt;"",I320,IF(N320="","",F320*N320)),""))</f>
        <v/>
      </c>
      <c r="P320" s="50">
        <f>IF(OR(D320="",F320=""),"",F320*IF(OR(D320="Reçu du magasin",D320="Ajustement (+)"),1,-1))</f>
        <v/>
      </c>
      <c r="Q320" s="34">
        <f>IF(C320="","",YEAR(C320-WEEKDAY(C320,2)+4)&amp;"-S"&amp;TEXT(INT((C320-DATE(YEAR(C320-WEEKDAY(C320,2)+4),1,3)+WEEKDAY(DATE(YEAR(C320-WEEKDAY(C320,2)+4),1,3),2)+5)/7),"00"))</f>
        <v/>
      </c>
    </row>
    <row r="321" ht="18" customHeight="1">
      <c r="A321" s="39" t="n">
        <v>316</v>
      </c>
      <c r="B321" s="33">
        <f>IF(C321="","",IF(L321="À RENSEIGNER","GIC",L321)&amp;"-S"&amp;TEXT(A321,"00000"))</f>
        <v/>
      </c>
      <c r="C321" s="32" t="n"/>
      <c r="D321" s="36" t="n"/>
      <c r="E321" s="36" t="n"/>
      <c r="F321" s="42" t="n"/>
      <c r="G321" s="36" t="n"/>
      <c r="H321" s="43" t="n"/>
      <c r="I321" s="37" t="n"/>
      <c r="J321" s="44" t="n"/>
      <c r="K321" s="36" t="n"/>
      <c r="L321" s="33">
        <f>IF(C321="","",Commercial_Id)</f>
        <v/>
      </c>
      <c r="M321" s="34">
        <f>IF(E321="","",IFERROR(VLOOKUP(E321,T_Produits,2,FALSE),""))</f>
        <v/>
      </c>
      <c r="N321" s="40">
        <f>IF(E321="","",IFERROR(1/(1/VLOOKUP(E321,T_Produits,3,FALSE)),""))</f>
        <v/>
      </c>
      <c r="O321" s="40">
        <f>IF(OR(D321="",F321=""),"",IF(OR(D321="Casse / avarie",D321="Perte / vol",D321="Échantillon offert"),IF(I321&lt;&gt;"",I321,IF(N321="","",F321*N321)),""))</f>
        <v/>
      </c>
      <c r="P321" s="50">
        <f>IF(OR(D321="",F321=""),"",F321*IF(OR(D321="Reçu du magasin",D321="Ajustement (+)"),1,-1))</f>
        <v/>
      </c>
      <c r="Q321" s="34">
        <f>IF(C321="","",YEAR(C321-WEEKDAY(C321,2)+4)&amp;"-S"&amp;TEXT(INT((C321-DATE(YEAR(C321-WEEKDAY(C321,2)+4),1,3)+WEEKDAY(DATE(YEAR(C321-WEEKDAY(C321,2)+4),1,3),2)+5)/7),"00"))</f>
        <v/>
      </c>
    </row>
    <row r="322" ht="18" customHeight="1">
      <c r="A322" s="39" t="n">
        <v>317</v>
      </c>
      <c r="B322" s="33">
        <f>IF(C322="","",IF(L322="À RENSEIGNER","GIC",L322)&amp;"-S"&amp;TEXT(A322,"00000"))</f>
        <v/>
      </c>
      <c r="C322" s="32" t="n"/>
      <c r="D322" s="36" t="n"/>
      <c r="E322" s="36" t="n"/>
      <c r="F322" s="42" t="n"/>
      <c r="G322" s="36" t="n"/>
      <c r="H322" s="43" t="n"/>
      <c r="I322" s="37" t="n"/>
      <c r="J322" s="44" t="n"/>
      <c r="K322" s="36" t="n"/>
      <c r="L322" s="33">
        <f>IF(C322="","",Commercial_Id)</f>
        <v/>
      </c>
      <c r="M322" s="34">
        <f>IF(E322="","",IFERROR(VLOOKUP(E322,T_Produits,2,FALSE),""))</f>
        <v/>
      </c>
      <c r="N322" s="40">
        <f>IF(E322="","",IFERROR(1/(1/VLOOKUP(E322,T_Produits,3,FALSE)),""))</f>
        <v/>
      </c>
      <c r="O322" s="40">
        <f>IF(OR(D322="",F322=""),"",IF(OR(D322="Casse / avarie",D322="Perte / vol",D322="Échantillon offert"),IF(I322&lt;&gt;"",I322,IF(N322="","",F322*N322)),""))</f>
        <v/>
      </c>
      <c r="P322" s="50">
        <f>IF(OR(D322="",F322=""),"",F322*IF(OR(D322="Reçu du magasin",D322="Ajustement (+)"),1,-1))</f>
        <v/>
      </c>
      <c r="Q322" s="34">
        <f>IF(C322="","",YEAR(C322-WEEKDAY(C322,2)+4)&amp;"-S"&amp;TEXT(INT((C322-DATE(YEAR(C322-WEEKDAY(C322,2)+4),1,3)+WEEKDAY(DATE(YEAR(C322-WEEKDAY(C322,2)+4),1,3),2)+5)/7),"00"))</f>
        <v/>
      </c>
    </row>
    <row r="323" ht="18" customHeight="1">
      <c r="A323" s="39" t="n">
        <v>318</v>
      </c>
      <c r="B323" s="33">
        <f>IF(C323="","",IF(L323="À RENSEIGNER","GIC",L323)&amp;"-S"&amp;TEXT(A323,"00000"))</f>
        <v/>
      </c>
      <c r="C323" s="32" t="n"/>
      <c r="D323" s="36" t="n"/>
      <c r="E323" s="36" t="n"/>
      <c r="F323" s="42" t="n"/>
      <c r="G323" s="36" t="n"/>
      <c r="H323" s="43" t="n"/>
      <c r="I323" s="37" t="n"/>
      <c r="J323" s="44" t="n"/>
      <c r="K323" s="36" t="n"/>
      <c r="L323" s="33">
        <f>IF(C323="","",Commercial_Id)</f>
        <v/>
      </c>
      <c r="M323" s="34">
        <f>IF(E323="","",IFERROR(VLOOKUP(E323,T_Produits,2,FALSE),""))</f>
        <v/>
      </c>
      <c r="N323" s="40">
        <f>IF(E323="","",IFERROR(1/(1/VLOOKUP(E323,T_Produits,3,FALSE)),""))</f>
        <v/>
      </c>
      <c r="O323" s="40">
        <f>IF(OR(D323="",F323=""),"",IF(OR(D323="Casse / avarie",D323="Perte / vol",D323="Échantillon offert"),IF(I323&lt;&gt;"",I323,IF(N323="","",F323*N323)),""))</f>
        <v/>
      </c>
      <c r="P323" s="50">
        <f>IF(OR(D323="",F323=""),"",F323*IF(OR(D323="Reçu du magasin",D323="Ajustement (+)"),1,-1))</f>
        <v/>
      </c>
      <c r="Q323" s="34">
        <f>IF(C323="","",YEAR(C323-WEEKDAY(C323,2)+4)&amp;"-S"&amp;TEXT(INT((C323-DATE(YEAR(C323-WEEKDAY(C323,2)+4),1,3)+WEEKDAY(DATE(YEAR(C323-WEEKDAY(C323,2)+4),1,3),2)+5)/7),"00"))</f>
        <v/>
      </c>
    </row>
    <row r="324" ht="18" customHeight="1">
      <c r="A324" s="39" t="n">
        <v>319</v>
      </c>
      <c r="B324" s="33">
        <f>IF(C324="","",IF(L324="À RENSEIGNER","GIC",L324)&amp;"-S"&amp;TEXT(A324,"00000"))</f>
        <v/>
      </c>
      <c r="C324" s="32" t="n"/>
      <c r="D324" s="36" t="n"/>
      <c r="E324" s="36" t="n"/>
      <c r="F324" s="42" t="n"/>
      <c r="G324" s="36" t="n"/>
      <c r="H324" s="43" t="n"/>
      <c r="I324" s="37" t="n"/>
      <c r="J324" s="44" t="n"/>
      <c r="K324" s="36" t="n"/>
      <c r="L324" s="33">
        <f>IF(C324="","",Commercial_Id)</f>
        <v/>
      </c>
      <c r="M324" s="34">
        <f>IF(E324="","",IFERROR(VLOOKUP(E324,T_Produits,2,FALSE),""))</f>
        <v/>
      </c>
      <c r="N324" s="40">
        <f>IF(E324="","",IFERROR(1/(1/VLOOKUP(E324,T_Produits,3,FALSE)),""))</f>
        <v/>
      </c>
      <c r="O324" s="40">
        <f>IF(OR(D324="",F324=""),"",IF(OR(D324="Casse / avarie",D324="Perte / vol",D324="Échantillon offert"),IF(I324&lt;&gt;"",I324,IF(N324="","",F324*N324)),""))</f>
        <v/>
      </c>
      <c r="P324" s="50">
        <f>IF(OR(D324="",F324=""),"",F324*IF(OR(D324="Reçu du magasin",D324="Ajustement (+)"),1,-1))</f>
        <v/>
      </c>
      <c r="Q324" s="34">
        <f>IF(C324="","",YEAR(C324-WEEKDAY(C324,2)+4)&amp;"-S"&amp;TEXT(INT((C324-DATE(YEAR(C324-WEEKDAY(C324,2)+4),1,3)+WEEKDAY(DATE(YEAR(C324-WEEKDAY(C324,2)+4),1,3),2)+5)/7),"00"))</f>
        <v/>
      </c>
    </row>
    <row r="325" ht="18" customHeight="1">
      <c r="A325" s="39" t="n">
        <v>320</v>
      </c>
      <c r="B325" s="33">
        <f>IF(C325="","",IF(L325="À RENSEIGNER","GIC",L325)&amp;"-S"&amp;TEXT(A325,"00000"))</f>
        <v/>
      </c>
      <c r="C325" s="32" t="n"/>
      <c r="D325" s="36" t="n"/>
      <c r="E325" s="36" t="n"/>
      <c r="F325" s="42" t="n"/>
      <c r="G325" s="36" t="n"/>
      <c r="H325" s="43" t="n"/>
      <c r="I325" s="37" t="n"/>
      <c r="J325" s="44" t="n"/>
      <c r="K325" s="36" t="n"/>
      <c r="L325" s="33">
        <f>IF(C325="","",Commercial_Id)</f>
        <v/>
      </c>
      <c r="M325" s="34">
        <f>IF(E325="","",IFERROR(VLOOKUP(E325,T_Produits,2,FALSE),""))</f>
        <v/>
      </c>
      <c r="N325" s="40">
        <f>IF(E325="","",IFERROR(1/(1/VLOOKUP(E325,T_Produits,3,FALSE)),""))</f>
        <v/>
      </c>
      <c r="O325" s="40">
        <f>IF(OR(D325="",F325=""),"",IF(OR(D325="Casse / avarie",D325="Perte / vol",D325="Échantillon offert"),IF(I325&lt;&gt;"",I325,IF(N325="","",F325*N325)),""))</f>
        <v/>
      </c>
      <c r="P325" s="50">
        <f>IF(OR(D325="",F325=""),"",F325*IF(OR(D325="Reçu du magasin",D325="Ajustement (+)"),1,-1))</f>
        <v/>
      </c>
      <c r="Q325" s="34">
        <f>IF(C325="","",YEAR(C325-WEEKDAY(C325,2)+4)&amp;"-S"&amp;TEXT(INT((C325-DATE(YEAR(C325-WEEKDAY(C325,2)+4),1,3)+WEEKDAY(DATE(YEAR(C325-WEEKDAY(C325,2)+4),1,3),2)+5)/7),"00"))</f>
        <v/>
      </c>
    </row>
    <row r="326" ht="18" customHeight="1">
      <c r="A326" s="39" t="n">
        <v>321</v>
      </c>
      <c r="B326" s="33">
        <f>IF(C326="","",IF(L326="À RENSEIGNER","GIC",L326)&amp;"-S"&amp;TEXT(A326,"00000"))</f>
        <v/>
      </c>
      <c r="C326" s="32" t="n"/>
      <c r="D326" s="36" t="n"/>
      <c r="E326" s="36" t="n"/>
      <c r="F326" s="42" t="n"/>
      <c r="G326" s="36" t="n"/>
      <c r="H326" s="43" t="n"/>
      <c r="I326" s="37" t="n"/>
      <c r="J326" s="44" t="n"/>
      <c r="K326" s="36" t="n"/>
      <c r="L326" s="33">
        <f>IF(C326="","",Commercial_Id)</f>
        <v/>
      </c>
      <c r="M326" s="34">
        <f>IF(E326="","",IFERROR(VLOOKUP(E326,T_Produits,2,FALSE),""))</f>
        <v/>
      </c>
      <c r="N326" s="40">
        <f>IF(E326="","",IFERROR(1/(1/VLOOKUP(E326,T_Produits,3,FALSE)),""))</f>
        <v/>
      </c>
      <c r="O326" s="40">
        <f>IF(OR(D326="",F326=""),"",IF(OR(D326="Casse / avarie",D326="Perte / vol",D326="Échantillon offert"),IF(I326&lt;&gt;"",I326,IF(N326="","",F326*N326)),""))</f>
        <v/>
      </c>
      <c r="P326" s="50">
        <f>IF(OR(D326="",F326=""),"",F326*IF(OR(D326="Reçu du magasin",D326="Ajustement (+)"),1,-1))</f>
        <v/>
      </c>
      <c r="Q326" s="34">
        <f>IF(C326="","",YEAR(C326-WEEKDAY(C326,2)+4)&amp;"-S"&amp;TEXT(INT((C326-DATE(YEAR(C326-WEEKDAY(C326,2)+4),1,3)+WEEKDAY(DATE(YEAR(C326-WEEKDAY(C326,2)+4),1,3),2)+5)/7),"00"))</f>
        <v/>
      </c>
    </row>
    <row r="327" ht="18" customHeight="1">
      <c r="A327" s="39" t="n">
        <v>322</v>
      </c>
      <c r="B327" s="33">
        <f>IF(C327="","",IF(L327="À RENSEIGNER","GIC",L327)&amp;"-S"&amp;TEXT(A327,"00000"))</f>
        <v/>
      </c>
      <c r="C327" s="32" t="n"/>
      <c r="D327" s="36" t="n"/>
      <c r="E327" s="36" t="n"/>
      <c r="F327" s="42" t="n"/>
      <c r="G327" s="36" t="n"/>
      <c r="H327" s="43" t="n"/>
      <c r="I327" s="37" t="n"/>
      <c r="J327" s="44" t="n"/>
      <c r="K327" s="36" t="n"/>
      <c r="L327" s="33">
        <f>IF(C327="","",Commercial_Id)</f>
        <v/>
      </c>
      <c r="M327" s="34">
        <f>IF(E327="","",IFERROR(VLOOKUP(E327,T_Produits,2,FALSE),""))</f>
        <v/>
      </c>
      <c r="N327" s="40">
        <f>IF(E327="","",IFERROR(1/(1/VLOOKUP(E327,T_Produits,3,FALSE)),""))</f>
        <v/>
      </c>
      <c r="O327" s="40">
        <f>IF(OR(D327="",F327=""),"",IF(OR(D327="Casse / avarie",D327="Perte / vol",D327="Échantillon offert"),IF(I327&lt;&gt;"",I327,IF(N327="","",F327*N327)),""))</f>
        <v/>
      </c>
      <c r="P327" s="50">
        <f>IF(OR(D327="",F327=""),"",F327*IF(OR(D327="Reçu du magasin",D327="Ajustement (+)"),1,-1))</f>
        <v/>
      </c>
      <c r="Q327" s="34">
        <f>IF(C327="","",YEAR(C327-WEEKDAY(C327,2)+4)&amp;"-S"&amp;TEXT(INT((C327-DATE(YEAR(C327-WEEKDAY(C327,2)+4),1,3)+WEEKDAY(DATE(YEAR(C327-WEEKDAY(C327,2)+4),1,3),2)+5)/7),"00"))</f>
        <v/>
      </c>
    </row>
    <row r="328" ht="18" customHeight="1">
      <c r="A328" s="39" t="n">
        <v>323</v>
      </c>
      <c r="B328" s="33">
        <f>IF(C328="","",IF(L328="À RENSEIGNER","GIC",L328)&amp;"-S"&amp;TEXT(A328,"00000"))</f>
        <v/>
      </c>
      <c r="C328" s="32" t="n"/>
      <c r="D328" s="36" t="n"/>
      <c r="E328" s="36" t="n"/>
      <c r="F328" s="42" t="n"/>
      <c r="G328" s="36" t="n"/>
      <c r="H328" s="43" t="n"/>
      <c r="I328" s="37" t="n"/>
      <c r="J328" s="44" t="n"/>
      <c r="K328" s="36" t="n"/>
      <c r="L328" s="33">
        <f>IF(C328="","",Commercial_Id)</f>
        <v/>
      </c>
      <c r="M328" s="34">
        <f>IF(E328="","",IFERROR(VLOOKUP(E328,T_Produits,2,FALSE),""))</f>
        <v/>
      </c>
      <c r="N328" s="40">
        <f>IF(E328="","",IFERROR(1/(1/VLOOKUP(E328,T_Produits,3,FALSE)),""))</f>
        <v/>
      </c>
      <c r="O328" s="40">
        <f>IF(OR(D328="",F328=""),"",IF(OR(D328="Casse / avarie",D328="Perte / vol",D328="Échantillon offert"),IF(I328&lt;&gt;"",I328,IF(N328="","",F328*N328)),""))</f>
        <v/>
      </c>
      <c r="P328" s="50">
        <f>IF(OR(D328="",F328=""),"",F328*IF(OR(D328="Reçu du magasin",D328="Ajustement (+)"),1,-1))</f>
        <v/>
      </c>
      <c r="Q328" s="34">
        <f>IF(C328="","",YEAR(C328-WEEKDAY(C328,2)+4)&amp;"-S"&amp;TEXT(INT((C328-DATE(YEAR(C328-WEEKDAY(C328,2)+4),1,3)+WEEKDAY(DATE(YEAR(C328-WEEKDAY(C328,2)+4),1,3),2)+5)/7),"00"))</f>
        <v/>
      </c>
    </row>
    <row r="329" ht="18" customHeight="1">
      <c r="A329" s="39" t="n">
        <v>324</v>
      </c>
      <c r="B329" s="33">
        <f>IF(C329="","",IF(L329="À RENSEIGNER","GIC",L329)&amp;"-S"&amp;TEXT(A329,"00000"))</f>
        <v/>
      </c>
      <c r="C329" s="32" t="n"/>
      <c r="D329" s="36" t="n"/>
      <c r="E329" s="36" t="n"/>
      <c r="F329" s="42" t="n"/>
      <c r="G329" s="36" t="n"/>
      <c r="H329" s="43" t="n"/>
      <c r="I329" s="37" t="n"/>
      <c r="J329" s="44" t="n"/>
      <c r="K329" s="36" t="n"/>
      <c r="L329" s="33">
        <f>IF(C329="","",Commercial_Id)</f>
        <v/>
      </c>
      <c r="M329" s="34">
        <f>IF(E329="","",IFERROR(VLOOKUP(E329,T_Produits,2,FALSE),""))</f>
        <v/>
      </c>
      <c r="N329" s="40">
        <f>IF(E329="","",IFERROR(1/(1/VLOOKUP(E329,T_Produits,3,FALSE)),""))</f>
        <v/>
      </c>
      <c r="O329" s="40">
        <f>IF(OR(D329="",F329=""),"",IF(OR(D329="Casse / avarie",D329="Perte / vol",D329="Échantillon offert"),IF(I329&lt;&gt;"",I329,IF(N329="","",F329*N329)),""))</f>
        <v/>
      </c>
      <c r="P329" s="50">
        <f>IF(OR(D329="",F329=""),"",F329*IF(OR(D329="Reçu du magasin",D329="Ajustement (+)"),1,-1))</f>
        <v/>
      </c>
      <c r="Q329" s="34">
        <f>IF(C329="","",YEAR(C329-WEEKDAY(C329,2)+4)&amp;"-S"&amp;TEXT(INT((C329-DATE(YEAR(C329-WEEKDAY(C329,2)+4),1,3)+WEEKDAY(DATE(YEAR(C329-WEEKDAY(C329,2)+4),1,3),2)+5)/7),"00"))</f>
        <v/>
      </c>
    </row>
    <row r="330" ht="18" customHeight="1">
      <c r="A330" s="39" t="n">
        <v>325</v>
      </c>
      <c r="B330" s="33">
        <f>IF(C330="","",IF(L330="À RENSEIGNER","GIC",L330)&amp;"-S"&amp;TEXT(A330,"00000"))</f>
        <v/>
      </c>
      <c r="C330" s="32" t="n"/>
      <c r="D330" s="36" t="n"/>
      <c r="E330" s="36" t="n"/>
      <c r="F330" s="42" t="n"/>
      <c r="G330" s="36" t="n"/>
      <c r="H330" s="43" t="n"/>
      <c r="I330" s="37" t="n"/>
      <c r="J330" s="44" t="n"/>
      <c r="K330" s="36" t="n"/>
      <c r="L330" s="33">
        <f>IF(C330="","",Commercial_Id)</f>
        <v/>
      </c>
      <c r="M330" s="34">
        <f>IF(E330="","",IFERROR(VLOOKUP(E330,T_Produits,2,FALSE),""))</f>
        <v/>
      </c>
      <c r="N330" s="40">
        <f>IF(E330="","",IFERROR(1/(1/VLOOKUP(E330,T_Produits,3,FALSE)),""))</f>
        <v/>
      </c>
      <c r="O330" s="40">
        <f>IF(OR(D330="",F330=""),"",IF(OR(D330="Casse / avarie",D330="Perte / vol",D330="Échantillon offert"),IF(I330&lt;&gt;"",I330,IF(N330="","",F330*N330)),""))</f>
        <v/>
      </c>
      <c r="P330" s="50">
        <f>IF(OR(D330="",F330=""),"",F330*IF(OR(D330="Reçu du magasin",D330="Ajustement (+)"),1,-1))</f>
        <v/>
      </c>
      <c r="Q330" s="34">
        <f>IF(C330="","",YEAR(C330-WEEKDAY(C330,2)+4)&amp;"-S"&amp;TEXT(INT((C330-DATE(YEAR(C330-WEEKDAY(C330,2)+4),1,3)+WEEKDAY(DATE(YEAR(C330-WEEKDAY(C330,2)+4),1,3),2)+5)/7),"00"))</f>
        <v/>
      </c>
    </row>
    <row r="331" ht="18" customHeight="1">
      <c r="A331" s="39" t="n">
        <v>326</v>
      </c>
      <c r="B331" s="33">
        <f>IF(C331="","",IF(L331="À RENSEIGNER","GIC",L331)&amp;"-S"&amp;TEXT(A331,"00000"))</f>
        <v/>
      </c>
      <c r="C331" s="32" t="n"/>
      <c r="D331" s="36" t="n"/>
      <c r="E331" s="36" t="n"/>
      <c r="F331" s="42" t="n"/>
      <c r="G331" s="36" t="n"/>
      <c r="H331" s="43" t="n"/>
      <c r="I331" s="37" t="n"/>
      <c r="J331" s="44" t="n"/>
      <c r="K331" s="36" t="n"/>
      <c r="L331" s="33">
        <f>IF(C331="","",Commercial_Id)</f>
        <v/>
      </c>
      <c r="M331" s="34">
        <f>IF(E331="","",IFERROR(VLOOKUP(E331,T_Produits,2,FALSE),""))</f>
        <v/>
      </c>
      <c r="N331" s="40">
        <f>IF(E331="","",IFERROR(1/(1/VLOOKUP(E331,T_Produits,3,FALSE)),""))</f>
        <v/>
      </c>
      <c r="O331" s="40">
        <f>IF(OR(D331="",F331=""),"",IF(OR(D331="Casse / avarie",D331="Perte / vol",D331="Échantillon offert"),IF(I331&lt;&gt;"",I331,IF(N331="","",F331*N331)),""))</f>
        <v/>
      </c>
      <c r="P331" s="50">
        <f>IF(OR(D331="",F331=""),"",F331*IF(OR(D331="Reçu du magasin",D331="Ajustement (+)"),1,-1))</f>
        <v/>
      </c>
      <c r="Q331" s="34">
        <f>IF(C331="","",YEAR(C331-WEEKDAY(C331,2)+4)&amp;"-S"&amp;TEXT(INT((C331-DATE(YEAR(C331-WEEKDAY(C331,2)+4),1,3)+WEEKDAY(DATE(YEAR(C331-WEEKDAY(C331,2)+4),1,3),2)+5)/7),"00"))</f>
        <v/>
      </c>
    </row>
    <row r="332" ht="18" customHeight="1">
      <c r="A332" s="39" t="n">
        <v>327</v>
      </c>
      <c r="B332" s="33">
        <f>IF(C332="","",IF(L332="À RENSEIGNER","GIC",L332)&amp;"-S"&amp;TEXT(A332,"00000"))</f>
        <v/>
      </c>
      <c r="C332" s="32" t="n"/>
      <c r="D332" s="36" t="n"/>
      <c r="E332" s="36" t="n"/>
      <c r="F332" s="42" t="n"/>
      <c r="G332" s="36" t="n"/>
      <c r="H332" s="43" t="n"/>
      <c r="I332" s="37" t="n"/>
      <c r="J332" s="44" t="n"/>
      <c r="K332" s="36" t="n"/>
      <c r="L332" s="33">
        <f>IF(C332="","",Commercial_Id)</f>
        <v/>
      </c>
      <c r="M332" s="34">
        <f>IF(E332="","",IFERROR(VLOOKUP(E332,T_Produits,2,FALSE),""))</f>
        <v/>
      </c>
      <c r="N332" s="40">
        <f>IF(E332="","",IFERROR(1/(1/VLOOKUP(E332,T_Produits,3,FALSE)),""))</f>
        <v/>
      </c>
      <c r="O332" s="40">
        <f>IF(OR(D332="",F332=""),"",IF(OR(D332="Casse / avarie",D332="Perte / vol",D332="Échantillon offert"),IF(I332&lt;&gt;"",I332,IF(N332="","",F332*N332)),""))</f>
        <v/>
      </c>
      <c r="P332" s="50">
        <f>IF(OR(D332="",F332=""),"",F332*IF(OR(D332="Reçu du magasin",D332="Ajustement (+)"),1,-1))</f>
        <v/>
      </c>
      <c r="Q332" s="34">
        <f>IF(C332="","",YEAR(C332-WEEKDAY(C332,2)+4)&amp;"-S"&amp;TEXT(INT((C332-DATE(YEAR(C332-WEEKDAY(C332,2)+4),1,3)+WEEKDAY(DATE(YEAR(C332-WEEKDAY(C332,2)+4),1,3),2)+5)/7),"00"))</f>
        <v/>
      </c>
    </row>
    <row r="333" ht="18" customHeight="1">
      <c r="A333" s="39" t="n">
        <v>328</v>
      </c>
      <c r="B333" s="33">
        <f>IF(C333="","",IF(L333="À RENSEIGNER","GIC",L333)&amp;"-S"&amp;TEXT(A333,"00000"))</f>
        <v/>
      </c>
      <c r="C333" s="32" t="n"/>
      <c r="D333" s="36" t="n"/>
      <c r="E333" s="36" t="n"/>
      <c r="F333" s="42" t="n"/>
      <c r="G333" s="36" t="n"/>
      <c r="H333" s="43" t="n"/>
      <c r="I333" s="37" t="n"/>
      <c r="J333" s="44" t="n"/>
      <c r="K333" s="36" t="n"/>
      <c r="L333" s="33">
        <f>IF(C333="","",Commercial_Id)</f>
        <v/>
      </c>
      <c r="M333" s="34">
        <f>IF(E333="","",IFERROR(VLOOKUP(E333,T_Produits,2,FALSE),""))</f>
        <v/>
      </c>
      <c r="N333" s="40">
        <f>IF(E333="","",IFERROR(1/(1/VLOOKUP(E333,T_Produits,3,FALSE)),""))</f>
        <v/>
      </c>
      <c r="O333" s="40">
        <f>IF(OR(D333="",F333=""),"",IF(OR(D333="Casse / avarie",D333="Perte / vol",D333="Échantillon offert"),IF(I333&lt;&gt;"",I333,IF(N333="","",F333*N333)),""))</f>
        <v/>
      </c>
      <c r="P333" s="50">
        <f>IF(OR(D333="",F333=""),"",F333*IF(OR(D333="Reçu du magasin",D333="Ajustement (+)"),1,-1))</f>
        <v/>
      </c>
      <c r="Q333" s="34">
        <f>IF(C333="","",YEAR(C333-WEEKDAY(C333,2)+4)&amp;"-S"&amp;TEXT(INT((C333-DATE(YEAR(C333-WEEKDAY(C333,2)+4),1,3)+WEEKDAY(DATE(YEAR(C333-WEEKDAY(C333,2)+4),1,3),2)+5)/7),"00"))</f>
        <v/>
      </c>
    </row>
    <row r="334" ht="18" customHeight="1">
      <c r="A334" s="39" t="n">
        <v>329</v>
      </c>
      <c r="B334" s="33">
        <f>IF(C334="","",IF(L334="À RENSEIGNER","GIC",L334)&amp;"-S"&amp;TEXT(A334,"00000"))</f>
        <v/>
      </c>
      <c r="C334" s="32" t="n"/>
      <c r="D334" s="36" t="n"/>
      <c r="E334" s="36" t="n"/>
      <c r="F334" s="42" t="n"/>
      <c r="G334" s="36" t="n"/>
      <c r="H334" s="43" t="n"/>
      <c r="I334" s="37" t="n"/>
      <c r="J334" s="44" t="n"/>
      <c r="K334" s="36" t="n"/>
      <c r="L334" s="33">
        <f>IF(C334="","",Commercial_Id)</f>
        <v/>
      </c>
      <c r="M334" s="34">
        <f>IF(E334="","",IFERROR(VLOOKUP(E334,T_Produits,2,FALSE),""))</f>
        <v/>
      </c>
      <c r="N334" s="40">
        <f>IF(E334="","",IFERROR(1/(1/VLOOKUP(E334,T_Produits,3,FALSE)),""))</f>
        <v/>
      </c>
      <c r="O334" s="40">
        <f>IF(OR(D334="",F334=""),"",IF(OR(D334="Casse / avarie",D334="Perte / vol",D334="Échantillon offert"),IF(I334&lt;&gt;"",I334,IF(N334="","",F334*N334)),""))</f>
        <v/>
      </c>
      <c r="P334" s="50">
        <f>IF(OR(D334="",F334=""),"",F334*IF(OR(D334="Reçu du magasin",D334="Ajustement (+)"),1,-1))</f>
        <v/>
      </c>
      <c r="Q334" s="34">
        <f>IF(C334="","",YEAR(C334-WEEKDAY(C334,2)+4)&amp;"-S"&amp;TEXT(INT((C334-DATE(YEAR(C334-WEEKDAY(C334,2)+4),1,3)+WEEKDAY(DATE(YEAR(C334-WEEKDAY(C334,2)+4),1,3),2)+5)/7),"00"))</f>
        <v/>
      </c>
    </row>
    <row r="335" ht="18" customHeight="1">
      <c r="A335" s="39" t="n">
        <v>330</v>
      </c>
      <c r="B335" s="33">
        <f>IF(C335="","",IF(L335="À RENSEIGNER","GIC",L335)&amp;"-S"&amp;TEXT(A335,"00000"))</f>
        <v/>
      </c>
      <c r="C335" s="32" t="n"/>
      <c r="D335" s="36" t="n"/>
      <c r="E335" s="36" t="n"/>
      <c r="F335" s="42" t="n"/>
      <c r="G335" s="36" t="n"/>
      <c r="H335" s="43" t="n"/>
      <c r="I335" s="37" t="n"/>
      <c r="J335" s="44" t="n"/>
      <c r="K335" s="36" t="n"/>
      <c r="L335" s="33">
        <f>IF(C335="","",Commercial_Id)</f>
        <v/>
      </c>
      <c r="M335" s="34">
        <f>IF(E335="","",IFERROR(VLOOKUP(E335,T_Produits,2,FALSE),""))</f>
        <v/>
      </c>
      <c r="N335" s="40">
        <f>IF(E335="","",IFERROR(1/(1/VLOOKUP(E335,T_Produits,3,FALSE)),""))</f>
        <v/>
      </c>
      <c r="O335" s="40">
        <f>IF(OR(D335="",F335=""),"",IF(OR(D335="Casse / avarie",D335="Perte / vol",D335="Échantillon offert"),IF(I335&lt;&gt;"",I335,IF(N335="","",F335*N335)),""))</f>
        <v/>
      </c>
      <c r="P335" s="50">
        <f>IF(OR(D335="",F335=""),"",F335*IF(OR(D335="Reçu du magasin",D335="Ajustement (+)"),1,-1))</f>
        <v/>
      </c>
      <c r="Q335" s="34">
        <f>IF(C335="","",YEAR(C335-WEEKDAY(C335,2)+4)&amp;"-S"&amp;TEXT(INT((C335-DATE(YEAR(C335-WEEKDAY(C335,2)+4),1,3)+WEEKDAY(DATE(YEAR(C335-WEEKDAY(C335,2)+4),1,3),2)+5)/7),"00"))</f>
        <v/>
      </c>
    </row>
    <row r="336" ht="18" customHeight="1">
      <c r="A336" s="39" t="n">
        <v>331</v>
      </c>
      <c r="B336" s="33">
        <f>IF(C336="","",IF(L336="À RENSEIGNER","GIC",L336)&amp;"-S"&amp;TEXT(A336,"00000"))</f>
        <v/>
      </c>
      <c r="C336" s="32" t="n"/>
      <c r="D336" s="36" t="n"/>
      <c r="E336" s="36" t="n"/>
      <c r="F336" s="42" t="n"/>
      <c r="G336" s="36" t="n"/>
      <c r="H336" s="43" t="n"/>
      <c r="I336" s="37" t="n"/>
      <c r="J336" s="44" t="n"/>
      <c r="K336" s="36" t="n"/>
      <c r="L336" s="33">
        <f>IF(C336="","",Commercial_Id)</f>
        <v/>
      </c>
      <c r="M336" s="34">
        <f>IF(E336="","",IFERROR(VLOOKUP(E336,T_Produits,2,FALSE),""))</f>
        <v/>
      </c>
      <c r="N336" s="40">
        <f>IF(E336="","",IFERROR(1/(1/VLOOKUP(E336,T_Produits,3,FALSE)),""))</f>
        <v/>
      </c>
      <c r="O336" s="40">
        <f>IF(OR(D336="",F336=""),"",IF(OR(D336="Casse / avarie",D336="Perte / vol",D336="Échantillon offert"),IF(I336&lt;&gt;"",I336,IF(N336="","",F336*N336)),""))</f>
        <v/>
      </c>
      <c r="P336" s="50">
        <f>IF(OR(D336="",F336=""),"",F336*IF(OR(D336="Reçu du magasin",D336="Ajustement (+)"),1,-1))</f>
        <v/>
      </c>
      <c r="Q336" s="34">
        <f>IF(C336="","",YEAR(C336-WEEKDAY(C336,2)+4)&amp;"-S"&amp;TEXT(INT((C336-DATE(YEAR(C336-WEEKDAY(C336,2)+4),1,3)+WEEKDAY(DATE(YEAR(C336-WEEKDAY(C336,2)+4),1,3),2)+5)/7),"00"))</f>
        <v/>
      </c>
    </row>
    <row r="337" ht="18" customHeight="1">
      <c r="A337" s="39" t="n">
        <v>332</v>
      </c>
      <c r="B337" s="33">
        <f>IF(C337="","",IF(L337="À RENSEIGNER","GIC",L337)&amp;"-S"&amp;TEXT(A337,"00000"))</f>
        <v/>
      </c>
      <c r="C337" s="32" t="n"/>
      <c r="D337" s="36" t="n"/>
      <c r="E337" s="36" t="n"/>
      <c r="F337" s="42" t="n"/>
      <c r="G337" s="36" t="n"/>
      <c r="H337" s="43" t="n"/>
      <c r="I337" s="37" t="n"/>
      <c r="J337" s="44" t="n"/>
      <c r="K337" s="36" t="n"/>
      <c r="L337" s="33">
        <f>IF(C337="","",Commercial_Id)</f>
        <v/>
      </c>
      <c r="M337" s="34">
        <f>IF(E337="","",IFERROR(VLOOKUP(E337,T_Produits,2,FALSE),""))</f>
        <v/>
      </c>
      <c r="N337" s="40">
        <f>IF(E337="","",IFERROR(1/(1/VLOOKUP(E337,T_Produits,3,FALSE)),""))</f>
        <v/>
      </c>
      <c r="O337" s="40">
        <f>IF(OR(D337="",F337=""),"",IF(OR(D337="Casse / avarie",D337="Perte / vol",D337="Échantillon offert"),IF(I337&lt;&gt;"",I337,IF(N337="","",F337*N337)),""))</f>
        <v/>
      </c>
      <c r="P337" s="50">
        <f>IF(OR(D337="",F337=""),"",F337*IF(OR(D337="Reçu du magasin",D337="Ajustement (+)"),1,-1))</f>
        <v/>
      </c>
      <c r="Q337" s="34">
        <f>IF(C337="","",YEAR(C337-WEEKDAY(C337,2)+4)&amp;"-S"&amp;TEXT(INT((C337-DATE(YEAR(C337-WEEKDAY(C337,2)+4),1,3)+WEEKDAY(DATE(YEAR(C337-WEEKDAY(C337,2)+4),1,3),2)+5)/7),"00"))</f>
        <v/>
      </c>
    </row>
    <row r="338" ht="18" customHeight="1">
      <c r="A338" s="39" t="n">
        <v>333</v>
      </c>
      <c r="B338" s="33">
        <f>IF(C338="","",IF(L338="À RENSEIGNER","GIC",L338)&amp;"-S"&amp;TEXT(A338,"00000"))</f>
        <v/>
      </c>
      <c r="C338" s="32" t="n"/>
      <c r="D338" s="36" t="n"/>
      <c r="E338" s="36" t="n"/>
      <c r="F338" s="42" t="n"/>
      <c r="G338" s="36" t="n"/>
      <c r="H338" s="43" t="n"/>
      <c r="I338" s="37" t="n"/>
      <c r="J338" s="44" t="n"/>
      <c r="K338" s="36" t="n"/>
      <c r="L338" s="33">
        <f>IF(C338="","",Commercial_Id)</f>
        <v/>
      </c>
      <c r="M338" s="34">
        <f>IF(E338="","",IFERROR(VLOOKUP(E338,T_Produits,2,FALSE),""))</f>
        <v/>
      </c>
      <c r="N338" s="40">
        <f>IF(E338="","",IFERROR(1/(1/VLOOKUP(E338,T_Produits,3,FALSE)),""))</f>
        <v/>
      </c>
      <c r="O338" s="40">
        <f>IF(OR(D338="",F338=""),"",IF(OR(D338="Casse / avarie",D338="Perte / vol",D338="Échantillon offert"),IF(I338&lt;&gt;"",I338,IF(N338="","",F338*N338)),""))</f>
        <v/>
      </c>
      <c r="P338" s="50">
        <f>IF(OR(D338="",F338=""),"",F338*IF(OR(D338="Reçu du magasin",D338="Ajustement (+)"),1,-1))</f>
        <v/>
      </c>
      <c r="Q338" s="34">
        <f>IF(C338="","",YEAR(C338-WEEKDAY(C338,2)+4)&amp;"-S"&amp;TEXT(INT((C338-DATE(YEAR(C338-WEEKDAY(C338,2)+4),1,3)+WEEKDAY(DATE(YEAR(C338-WEEKDAY(C338,2)+4),1,3),2)+5)/7),"00"))</f>
        <v/>
      </c>
    </row>
    <row r="339" ht="18" customHeight="1">
      <c r="A339" s="39" t="n">
        <v>334</v>
      </c>
      <c r="B339" s="33">
        <f>IF(C339="","",IF(L339="À RENSEIGNER","GIC",L339)&amp;"-S"&amp;TEXT(A339,"00000"))</f>
        <v/>
      </c>
      <c r="C339" s="32" t="n"/>
      <c r="D339" s="36" t="n"/>
      <c r="E339" s="36" t="n"/>
      <c r="F339" s="42" t="n"/>
      <c r="G339" s="36" t="n"/>
      <c r="H339" s="43" t="n"/>
      <c r="I339" s="37" t="n"/>
      <c r="J339" s="44" t="n"/>
      <c r="K339" s="36" t="n"/>
      <c r="L339" s="33">
        <f>IF(C339="","",Commercial_Id)</f>
        <v/>
      </c>
      <c r="M339" s="34">
        <f>IF(E339="","",IFERROR(VLOOKUP(E339,T_Produits,2,FALSE),""))</f>
        <v/>
      </c>
      <c r="N339" s="40">
        <f>IF(E339="","",IFERROR(1/(1/VLOOKUP(E339,T_Produits,3,FALSE)),""))</f>
        <v/>
      </c>
      <c r="O339" s="40">
        <f>IF(OR(D339="",F339=""),"",IF(OR(D339="Casse / avarie",D339="Perte / vol",D339="Échantillon offert"),IF(I339&lt;&gt;"",I339,IF(N339="","",F339*N339)),""))</f>
        <v/>
      </c>
      <c r="P339" s="50">
        <f>IF(OR(D339="",F339=""),"",F339*IF(OR(D339="Reçu du magasin",D339="Ajustement (+)"),1,-1))</f>
        <v/>
      </c>
      <c r="Q339" s="34">
        <f>IF(C339="","",YEAR(C339-WEEKDAY(C339,2)+4)&amp;"-S"&amp;TEXT(INT((C339-DATE(YEAR(C339-WEEKDAY(C339,2)+4),1,3)+WEEKDAY(DATE(YEAR(C339-WEEKDAY(C339,2)+4),1,3),2)+5)/7),"00"))</f>
        <v/>
      </c>
    </row>
    <row r="340" ht="18" customHeight="1">
      <c r="A340" s="39" t="n">
        <v>335</v>
      </c>
      <c r="B340" s="33">
        <f>IF(C340="","",IF(L340="À RENSEIGNER","GIC",L340)&amp;"-S"&amp;TEXT(A340,"00000"))</f>
        <v/>
      </c>
      <c r="C340" s="32" t="n"/>
      <c r="D340" s="36" t="n"/>
      <c r="E340" s="36" t="n"/>
      <c r="F340" s="42" t="n"/>
      <c r="G340" s="36" t="n"/>
      <c r="H340" s="43" t="n"/>
      <c r="I340" s="37" t="n"/>
      <c r="J340" s="44" t="n"/>
      <c r="K340" s="36" t="n"/>
      <c r="L340" s="33">
        <f>IF(C340="","",Commercial_Id)</f>
        <v/>
      </c>
      <c r="M340" s="34">
        <f>IF(E340="","",IFERROR(VLOOKUP(E340,T_Produits,2,FALSE),""))</f>
        <v/>
      </c>
      <c r="N340" s="40">
        <f>IF(E340="","",IFERROR(1/(1/VLOOKUP(E340,T_Produits,3,FALSE)),""))</f>
        <v/>
      </c>
      <c r="O340" s="40">
        <f>IF(OR(D340="",F340=""),"",IF(OR(D340="Casse / avarie",D340="Perte / vol",D340="Échantillon offert"),IF(I340&lt;&gt;"",I340,IF(N340="","",F340*N340)),""))</f>
        <v/>
      </c>
      <c r="P340" s="50">
        <f>IF(OR(D340="",F340=""),"",F340*IF(OR(D340="Reçu du magasin",D340="Ajustement (+)"),1,-1))</f>
        <v/>
      </c>
      <c r="Q340" s="34">
        <f>IF(C340="","",YEAR(C340-WEEKDAY(C340,2)+4)&amp;"-S"&amp;TEXT(INT((C340-DATE(YEAR(C340-WEEKDAY(C340,2)+4),1,3)+WEEKDAY(DATE(YEAR(C340-WEEKDAY(C340,2)+4),1,3),2)+5)/7),"00"))</f>
        <v/>
      </c>
    </row>
    <row r="341" ht="18" customHeight="1">
      <c r="A341" s="39" t="n">
        <v>336</v>
      </c>
      <c r="B341" s="33">
        <f>IF(C341="","",IF(L341="À RENSEIGNER","GIC",L341)&amp;"-S"&amp;TEXT(A341,"00000"))</f>
        <v/>
      </c>
      <c r="C341" s="32" t="n"/>
      <c r="D341" s="36" t="n"/>
      <c r="E341" s="36" t="n"/>
      <c r="F341" s="42" t="n"/>
      <c r="G341" s="36" t="n"/>
      <c r="H341" s="43" t="n"/>
      <c r="I341" s="37" t="n"/>
      <c r="J341" s="44" t="n"/>
      <c r="K341" s="36" t="n"/>
      <c r="L341" s="33">
        <f>IF(C341="","",Commercial_Id)</f>
        <v/>
      </c>
      <c r="M341" s="34">
        <f>IF(E341="","",IFERROR(VLOOKUP(E341,T_Produits,2,FALSE),""))</f>
        <v/>
      </c>
      <c r="N341" s="40">
        <f>IF(E341="","",IFERROR(1/(1/VLOOKUP(E341,T_Produits,3,FALSE)),""))</f>
        <v/>
      </c>
      <c r="O341" s="40">
        <f>IF(OR(D341="",F341=""),"",IF(OR(D341="Casse / avarie",D341="Perte / vol",D341="Échantillon offert"),IF(I341&lt;&gt;"",I341,IF(N341="","",F341*N341)),""))</f>
        <v/>
      </c>
      <c r="P341" s="50">
        <f>IF(OR(D341="",F341=""),"",F341*IF(OR(D341="Reçu du magasin",D341="Ajustement (+)"),1,-1))</f>
        <v/>
      </c>
      <c r="Q341" s="34">
        <f>IF(C341="","",YEAR(C341-WEEKDAY(C341,2)+4)&amp;"-S"&amp;TEXT(INT((C341-DATE(YEAR(C341-WEEKDAY(C341,2)+4),1,3)+WEEKDAY(DATE(YEAR(C341-WEEKDAY(C341,2)+4),1,3),2)+5)/7),"00"))</f>
        <v/>
      </c>
    </row>
    <row r="342" ht="18" customHeight="1">
      <c r="A342" s="39" t="n">
        <v>337</v>
      </c>
      <c r="B342" s="33">
        <f>IF(C342="","",IF(L342="À RENSEIGNER","GIC",L342)&amp;"-S"&amp;TEXT(A342,"00000"))</f>
        <v/>
      </c>
      <c r="C342" s="32" t="n"/>
      <c r="D342" s="36" t="n"/>
      <c r="E342" s="36" t="n"/>
      <c r="F342" s="42" t="n"/>
      <c r="G342" s="36" t="n"/>
      <c r="H342" s="43" t="n"/>
      <c r="I342" s="37" t="n"/>
      <c r="J342" s="44" t="n"/>
      <c r="K342" s="36" t="n"/>
      <c r="L342" s="33">
        <f>IF(C342="","",Commercial_Id)</f>
        <v/>
      </c>
      <c r="M342" s="34">
        <f>IF(E342="","",IFERROR(VLOOKUP(E342,T_Produits,2,FALSE),""))</f>
        <v/>
      </c>
      <c r="N342" s="40">
        <f>IF(E342="","",IFERROR(1/(1/VLOOKUP(E342,T_Produits,3,FALSE)),""))</f>
        <v/>
      </c>
      <c r="O342" s="40">
        <f>IF(OR(D342="",F342=""),"",IF(OR(D342="Casse / avarie",D342="Perte / vol",D342="Échantillon offert"),IF(I342&lt;&gt;"",I342,IF(N342="","",F342*N342)),""))</f>
        <v/>
      </c>
      <c r="P342" s="50">
        <f>IF(OR(D342="",F342=""),"",F342*IF(OR(D342="Reçu du magasin",D342="Ajustement (+)"),1,-1))</f>
        <v/>
      </c>
      <c r="Q342" s="34">
        <f>IF(C342="","",YEAR(C342-WEEKDAY(C342,2)+4)&amp;"-S"&amp;TEXT(INT((C342-DATE(YEAR(C342-WEEKDAY(C342,2)+4),1,3)+WEEKDAY(DATE(YEAR(C342-WEEKDAY(C342,2)+4),1,3),2)+5)/7),"00"))</f>
        <v/>
      </c>
    </row>
    <row r="343" ht="18" customHeight="1">
      <c r="A343" s="39" t="n">
        <v>338</v>
      </c>
      <c r="B343" s="33">
        <f>IF(C343="","",IF(L343="À RENSEIGNER","GIC",L343)&amp;"-S"&amp;TEXT(A343,"00000"))</f>
        <v/>
      </c>
      <c r="C343" s="32" t="n"/>
      <c r="D343" s="36" t="n"/>
      <c r="E343" s="36" t="n"/>
      <c r="F343" s="42" t="n"/>
      <c r="G343" s="36" t="n"/>
      <c r="H343" s="43" t="n"/>
      <c r="I343" s="37" t="n"/>
      <c r="J343" s="44" t="n"/>
      <c r="K343" s="36" t="n"/>
      <c r="L343" s="33">
        <f>IF(C343="","",Commercial_Id)</f>
        <v/>
      </c>
      <c r="M343" s="34">
        <f>IF(E343="","",IFERROR(VLOOKUP(E343,T_Produits,2,FALSE),""))</f>
        <v/>
      </c>
      <c r="N343" s="40">
        <f>IF(E343="","",IFERROR(1/(1/VLOOKUP(E343,T_Produits,3,FALSE)),""))</f>
        <v/>
      </c>
      <c r="O343" s="40">
        <f>IF(OR(D343="",F343=""),"",IF(OR(D343="Casse / avarie",D343="Perte / vol",D343="Échantillon offert"),IF(I343&lt;&gt;"",I343,IF(N343="","",F343*N343)),""))</f>
        <v/>
      </c>
      <c r="P343" s="50">
        <f>IF(OR(D343="",F343=""),"",F343*IF(OR(D343="Reçu du magasin",D343="Ajustement (+)"),1,-1))</f>
        <v/>
      </c>
      <c r="Q343" s="34">
        <f>IF(C343="","",YEAR(C343-WEEKDAY(C343,2)+4)&amp;"-S"&amp;TEXT(INT((C343-DATE(YEAR(C343-WEEKDAY(C343,2)+4),1,3)+WEEKDAY(DATE(YEAR(C343-WEEKDAY(C343,2)+4),1,3),2)+5)/7),"00"))</f>
        <v/>
      </c>
    </row>
    <row r="344" ht="18" customHeight="1">
      <c r="A344" s="39" t="n">
        <v>339</v>
      </c>
      <c r="B344" s="33">
        <f>IF(C344="","",IF(L344="À RENSEIGNER","GIC",L344)&amp;"-S"&amp;TEXT(A344,"00000"))</f>
        <v/>
      </c>
      <c r="C344" s="32" t="n"/>
      <c r="D344" s="36" t="n"/>
      <c r="E344" s="36" t="n"/>
      <c r="F344" s="42" t="n"/>
      <c r="G344" s="36" t="n"/>
      <c r="H344" s="43" t="n"/>
      <c r="I344" s="37" t="n"/>
      <c r="J344" s="44" t="n"/>
      <c r="K344" s="36" t="n"/>
      <c r="L344" s="33">
        <f>IF(C344="","",Commercial_Id)</f>
        <v/>
      </c>
      <c r="M344" s="34">
        <f>IF(E344="","",IFERROR(VLOOKUP(E344,T_Produits,2,FALSE),""))</f>
        <v/>
      </c>
      <c r="N344" s="40">
        <f>IF(E344="","",IFERROR(1/(1/VLOOKUP(E344,T_Produits,3,FALSE)),""))</f>
        <v/>
      </c>
      <c r="O344" s="40">
        <f>IF(OR(D344="",F344=""),"",IF(OR(D344="Casse / avarie",D344="Perte / vol",D344="Échantillon offert"),IF(I344&lt;&gt;"",I344,IF(N344="","",F344*N344)),""))</f>
        <v/>
      </c>
      <c r="P344" s="50">
        <f>IF(OR(D344="",F344=""),"",F344*IF(OR(D344="Reçu du magasin",D344="Ajustement (+)"),1,-1))</f>
        <v/>
      </c>
      <c r="Q344" s="34">
        <f>IF(C344="","",YEAR(C344-WEEKDAY(C344,2)+4)&amp;"-S"&amp;TEXT(INT((C344-DATE(YEAR(C344-WEEKDAY(C344,2)+4),1,3)+WEEKDAY(DATE(YEAR(C344-WEEKDAY(C344,2)+4),1,3),2)+5)/7),"00"))</f>
        <v/>
      </c>
    </row>
    <row r="345" ht="18" customHeight="1">
      <c r="A345" s="39" t="n">
        <v>340</v>
      </c>
      <c r="B345" s="33">
        <f>IF(C345="","",IF(L345="À RENSEIGNER","GIC",L345)&amp;"-S"&amp;TEXT(A345,"00000"))</f>
        <v/>
      </c>
      <c r="C345" s="32" t="n"/>
      <c r="D345" s="36" t="n"/>
      <c r="E345" s="36" t="n"/>
      <c r="F345" s="42" t="n"/>
      <c r="G345" s="36" t="n"/>
      <c r="H345" s="43" t="n"/>
      <c r="I345" s="37" t="n"/>
      <c r="J345" s="44" t="n"/>
      <c r="K345" s="36" t="n"/>
      <c r="L345" s="33">
        <f>IF(C345="","",Commercial_Id)</f>
        <v/>
      </c>
      <c r="M345" s="34">
        <f>IF(E345="","",IFERROR(VLOOKUP(E345,T_Produits,2,FALSE),""))</f>
        <v/>
      </c>
      <c r="N345" s="40">
        <f>IF(E345="","",IFERROR(1/(1/VLOOKUP(E345,T_Produits,3,FALSE)),""))</f>
        <v/>
      </c>
      <c r="O345" s="40">
        <f>IF(OR(D345="",F345=""),"",IF(OR(D345="Casse / avarie",D345="Perte / vol",D345="Échantillon offert"),IF(I345&lt;&gt;"",I345,IF(N345="","",F345*N345)),""))</f>
        <v/>
      </c>
      <c r="P345" s="50">
        <f>IF(OR(D345="",F345=""),"",F345*IF(OR(D345="Reçu du magasin",D345="Ajustement (+)"),1,-1))</f>
        <v/>
      </c>
      <c r="Q345" s="34">
        <f>IF(C345="","",YEAR(C345-WEEKDAY(C345,2)+4)&amp;"-S"&amp;TEXT(INT((C345-DATE(YEAR(C345-WEEKDAY(C345,2)+4),1,3)+WEEKDAY(DATE(YEAR(C345-WEEKDAY(C345,2)+4),1,3),2)+5)/7),"00"))</f>
        <v/>
      </c>
    </row>
    <row r="346" ht="18" customHeight="1">
      <c r="A346" s="39" t="n">
        <v>341</v>
      </c>
      <c r="B346" s="33">
        <f>IF(C346="","",IF(L346="À RENSEIGNER","GIC",L346)&amp;"-S"&amp;TEXT(A346,"00000"))</f>
        <v/>
      </c>
      <c r="C346" s="32" t="n"/>
      <c r="D346" s="36" t="n"/>
      <c r="E346" s="36" t="n"/>
      <c r="F346" s="42" t="n"/>
      <c r="G346" s="36" t="n"/>
      <c r="H346" s="43" t="n"/>
      <c r="I346" s="37" t="n"/>
      <c r="J346" s="44" t="n"/>
      <c r="K346" s="36" t="n"/>
      <c r="L346" s="33">
        <f>IF(C346="","",Commercial_Id)</f>
        <v/>
      </c>
      <c r="M346" s="34">
        <f>IF(E346="","",IFERROR(VLOOKUP(E346,T_Produits,2,FALSE),""))</f>
        <v/>
      </c>
      <c r="N346" s="40">
        <f>IF(E346="","",IFERROR(1/(1/VLOOKUP(E346,T_Produits,3,FALSE)),""))</f>
        <v/>
      </c>
      <c r="O346" s="40">
        <f>IF(OR(D346="",F346=""),"",IF(OR(D346="Casse / avarie",D346="Perte / vol",D346="Échantillon offert"),IF(I346&lt;&gt;"",I346,IF(N346="","",F346*N346)),""))</f>
        <v/>
      </c>
      <c r="P346" s="50">
        <f>IF(OR(D346="",F346=""),"",F346*IF(OR(D346="Reçu du magasin",D346="Ajustement (+)"),1,-1))</f>
        <v/>
      </c>
      <c r="Q346" s="34">
        <f>IF(C346="","",YEAR(C346-WEEKDAY(C346,2)+4)&amp;"-S"&amp;TEXT(INT((C346-DATE(YEAR(C346-WEEKDAY(C346,2)+4),1,3)+WEEKDAY(DATE(YEAR(C346-WEEKDAY(C346,2)+4),1,3),2)+5)/7),"00"))</f>
        <v/>
      </c>
    </row>
    <row r="347" ht="18" customHeight="1">
      <c r="A347" s="39" t="n">
        <v>342</v>
      </c>
      <c r="B347" s="33">
        <f>IF(C347="","",IF(L347="À RENSEIGNER","GIC",L347)&amp;"-S"&amp;TEXT(A347,"00000"))</f>
        <v/>
      </c>
      <c r="C347" s="32" t="n"/>
      <c r="D347" s="36" t="n"/>
      <c r="E347" s="36" t="n"/>
      <c r="F347" s="42" t="n"/>
      <c r="G347" s="36" t="n"/>
      <c r="H347" s="43" t="n"/>
      <c r="I347" s="37" t="n"/>
      <c r="J347" s="44" t="n"/>
      <c r="K347" s="36" t="n"/>
      <c r="L347" s="33">
        <f>IF(C347="","",Commercial_Id)</f>
        <v/>
      </c>
      <c r="M347" s="34">
        <f>IF(E347="","",IFERROR(VLOOKUP(E347,T_Produits,2,FALSE),""))</f>
        <v/>
      </c>
      <c r="N347" s="40">
        <f>IF(E347="","",IFERROR(1/(1/VLOOKUP(E347,T_Produits,3,FALSE)),""))</f>
        <v/>
      </c>
      <c r="O347" s="40">
        <f>IF(OR(D347="",F347=""),"",IF(OR(D347="Casse / avarie",D347="Perte / vol",D347="Échantillon offert"),IF(I347&lt;&gt;"",I347,IF(N347="","",F347*N347)),""))</f>
        <v/>
      </c>
      <c r="P347" s="50">
        <f>IF(OR(D347="",F347=""),"",F347*IF(OR(D347="Reçu du magasin",D347="Ajustement (+)"),1,-1))</f>
        <v/>
      </c>
      <c r="Q347" s="34">
        <f>IF(C347="","",YEAR(C347-WEEKDAY(C347,2)+4)&amp;"-S"&amp;TEXT(INT((C347-DATE(YEAR(C347-WEEKDAY(C347,2)+4),1,3)+WEEKDAY(DATE(YEAR(C347-WEEKDAY(C347,2)+4),1,3),2)+5)/7),"00"))</f>
        <v/>
      </c>
    </row>
    <row r="348" ht="18" customHeight="1">
      <c r="A348" s="39" t="n">
        <v>343</v>
      </c>
      <c r="B348" s="33">
        <f>IF(C348="","",IF(L348="À RENSEIGNER","GIC",L348)&amp;"-S"&amp;TEXT(A348,"00000"))</f>
        <v/>
      </c>
      <c r="C348" s="32" t="n"/>
      <c r="D348" s="36" t="n"/>
      <c r="E348" s="36" t="n"/>
      <c r="F348" s="42" t="n"/>
      <c r="G348" s="36" t="n"/>
      <c r="H348" s="43" t="n"/>
      <c r="I348" s="37" t="n"/>
      <c r="J348" s="44" t="n"/>
      <c r="K348" s="36" t="n"/>
      <c r="L348" s="33">
        <f>IF(C348="","",Commercial_Id)</f>
        <v/>
      </c>
      <c r="M348" s="34">
        <f>IF(E348="","",IFERROR(VLOOKUP(E348,T_Produits,2,FALSE),""))</f>
        <v/>
      </c>
      <c r="N348" s="40">
        <f>IF(E348="","",IFERROR(1/(1/VLOOKUP(E348,T_Produits,3,FALSE)),""))</f>
        <v/>
      </c>
      <c r="O348" s="40">
        <f>IF(OR(D348="",F348=""),"",IF(OR(D348="Casse / avarie",D348="Perte / vol",D348="Échantillon offert"),IF(I348&lt;&gt;"",I348,IF(N348="","",F348*N348)),""))</f>
        <v/>
      </c>
      <c r="P348" s="50">
        <f>IF(OR(D348="",F348=""),"",F348*IF(OR(D348="Reçu du magasin",D348="Ajustement (+)"),1,-1))</f>
        <v/>
      </c>
      <c r="Q348" s="34">
        <f>IF(C348="","",YEAR(C348-WEEKDAY(C348,2)+4)&amp;"-S"&amp;TEXT(INT((C348-DATE(YEAR(C348-WEEKDAY(C348,2)+4),1,3)+WEEKDAY(DATE(YEAR(C348-WEEKDAY(C348,2)+4),1,3),2)+5)/7),"00"))</f>
        <v/>
      </c>
    </row>
    <row r="349" ht="18" customHeight="1">
      <c r="A349" s="39" t="n">
        <v>344</v>
      </c>
      <c r="B349" s="33">
        <f>IF(C349="","",IF(L349="À RENSEIGNER","GIC",L349)&amp;"-S"&amp;TEXT(A349,"00000"))</f>
        <v/>
      </c>
      <c r="C349" s="32" t="n"/>
      <c r="D349" s="36" t="n"/>
      <c r="E349" s="36" t="n"/>
      <c r="F349" s="42" t="n"/>
      <c r="G349" s="36" t="n"/>
      <c r="H349" s="43" t="n"/>
      <c r="I349" s="37" t="n"/>
      <c r="J349" s="44" t="n"/>
      <c r="K349" s="36" t="n"/>
      <c r="L349" s="33">
        <f>IF(C349="","",Commercial_Id)</f>
        <v/>
      </c>
      <c r="M349" s="34">
        <f>IF(E349="","",IFERROR(VLOOKUP(E349,T_Produits,2,FALSE),""))</f>
        <v/>
      </c>
      <c r="N349" s="40">
        <f>IF(E349="","",IFERROR(1/(1/VLOOKUP(E349,T_Produits,3,FALSE)),""))</f>
        <v/>
      </c>
      <c r="O349" s="40">
        <f>IF(OR(D349="",F349=""),"",IF(OR(D349="Casse / avarie",D349="Perte / vol",D349="Échantillon offert"),IF(I349&lt;&gt;"",I349,IF(N349="","",F349*N349)),""))</f>
        <v/>
      </c>
      <c r="P349" s="50">
        <f>IF(OR(D349="",F349=""),"",F349*IF(OR(D349="Reçu du magasin",D349="Ajustement (+)"),1,-1))</f>
        <v/>
      </c>
      <c r="Q349" s="34">
        <f>IF(C349="","",YEAR(C349-WEEKDAY(C349,2)+4)&amp;"-S"&amp;TEXT(INT((C349-DATE(YEAR(C349-WEEKDAY(C349,2)+4),1,3)+WEEKDAY(DATE(YEAR(C349-WEEKDAY(C349,2)+4),1,3),2)+5)/7),"00"))</f>
        <v/>
      </c>
    </row>
    <row r="350" ht="18" customHeight="1">
      <c r="A350" s="39" t="n">
        <v>345</v>
      </c>
      <c r="B350" s="33">
        <f>IF(C350="","",IF(L350="À RENSEIGNER","GIC",L350)&amp;"-S"&amp;TEXT(A350,"00000"))</f>
        <v/>
      </c>
      <c r="C350" s="32" t="n"/>
      <c r="D350" s="36" t="n"/>
      <c r="E350" s="36" t="n"/>
      <c r="F350" s="42" t="n"/>
      <c r="G350" s="36" t="n"/>
      <c r="H350" s="43" t="n"/>
      <c r="I350" s="37" t="n"/>
      <c r="J350" s="44" t="n"/>
      <c r="K350" s="36" t="n"/>
      <c r="L350" s="33">
        <f>IF(C350="","",Commercial_Id)</f>
        <v/>
      </c>
      <c r="M350" s="34">
        <f>IF(E350="","",IFERROR(VLOOKUP(E350,T_Produits,2,FALSE),""))</f>
        <v/>
      </c>
      <c r="N350" s="40">
        <f>IF(E350="","",IFERROR(1/(1/VLOOKUP(E350,T_Produits,3,FALSE)),""))</f>
        <v/>
      </c>
      <c r="O350" s="40">
        <f>IF(OR(D350="",F350=""),"",IF(OR(D350="Casse / avarie",D350="Perte / vol",D350="Échantillon offert"),IF(I350&lt;&gt;"",I350,IF(N350="","",F350*N350)),""))</f>
        <v/>
      </c>
      <c r="P350" s="50">
        <f>IF(OR(D350="",F350=""),"",F350*IF(OR(D350="Reçu du magasin",D350="Ajustement (+)"),1,-1))</f>
        <v/>
      </c>
      <c r="Q350" s="34">
        <f>IF(C350="","",YEAR(C350-WEEKDAY(C350,2)+4)&amp;"-S"&amp;TEXT(INT((C350-DATE(YEAR(C350-WEEKDAY(C350,2)+4),1,3)+WEEKDAY(DATE(YEAR(C350-WEEKDAY(C350,2)+4),1,3),2)+5)/7),"00"))</f>
        <v/>
      </c>
    </row>
    <row r="351" ht="18" customHeight="1">
      <c r="A351" s="39" t="n">
        <v>346</v>
      </c>
      <c r="B351" s="33">
        <f>IF(C351="","",IF(L351="À RENSEIGNER","GIC",L351)&amp;"-S"&amp;TEXT(A351,"00000"))</f>
        <v/>
      </c>
      <c r="C351" s="32" t="n"/>
      <c r="D351" s="36" t="n"/>
      <c r="E351" s="36" t="n"/>
      <c r="F351" s="42" t="n"/>
      <c r="G351" s="36" t="n"/>
      <c r="H351" s="43" t="n"/>
      <c r="I351" s="37" t="n"/>
      <c r="J351" s="44" t="n"/>
      <c r="K351" s="36" t="n"/>
      <c r="L351" s="33">
        <f>IF(C351="","",Commercial_Id)</f>
        <v/>
      </c>
      <c r="M351" s="34">
        <f>IF(E351="","",IFERROR(VLOOKUP(E351,T_Produits,2,FALSE),""))</f>
        <v/>
      </c>
      <c r="N351" s="40">
        <f>IF(E351="","",IFERROR(1/(1/VLOOKUP(E351,T_Produits,3,FALSE)),""))</f>
        <v/>
      </c>
      <c r="O351" s="40">
        <f>IF(OR(D351="",F351=""),"",IF(OR(D351="Casse / avarie",D351="Perte / vol",D351="Échantillon offert"),IF(I351&lt;&gt;"",I351,IF(N351="","",F351*N351)),""))</f>
        <v/>
      </c>
      <c r="P351" s="50">
        <f>IF(OR(D351="",F351=""),"",F351*IF(OR(D351="Reçu du magasin",D351="Ajustement (+)"),1,-1))</f>
        <v/>
      </c>
      <c r="Q351" s="34">
        <f>IF(C351="","",YEAR(C351-WEEKDAY(C351,2)+4)&amp;"-S"&amp;TEXT(INT((C351-DATE(YEAR(C351-WEEKDAY(C351,2)+4),1,3)+WEEKDAY(DATE(YEAR(C351-WEEKDAY(C351,2)+4),1,3),2)+5)/7),"00"))</f>
        <v/>
      </c>
    </row>
    <row r="352" ht="18" customHeight="1">
      <c r="A352" s="39" t="n">
        <v>347</v>
      </c>
      <c r="B352" s="33">
        <f>IF(C352="","",IF(L352="À RENSEIGNER","GIC",L352)&amp;"-S"&amp;TEXT(A352,"00000"))</f>
        <v/>
      </c>
      <c r="C352" s="32" t="n"/>
      <c r="D352" s="36" t="n"/>
      <c r="E352" s="36" t="n"/>
      <c r="F352" s="42" t="n"/>
      <c r="G352" s="36" t="n"/>
      <c r="H352" s="43" t="n"/>
      <c r="I352" s="37" t="n"/>
      <c r="J352" s="44" t="n"/>
      <c r="K352" s="36" t="n"/>
      <c r="L352" s="33">
        <f>IF(C352="","",Commercial_Id)</f>
        <v/>
      </c>
      <c r="M352" s="34">
        <f>IF(E352="","",IFERROR(VLOOKUP(E352,T_Produits,2,FALSE),""))</f>
        <v/>
      </c>
      <c r="N352" s="40">
        <f>IF(E352="","",IFERROR(1/(1/VLOOKUP(E352,T_Produits,3,FALSE)),""))</f>
        <v/>
      </c>
      <c r="O352" s="40">
        <f>IF(OR(D352="",F352=""),"",IF(OR(D352="Casse / avarie",D352="Perte / vol",D352="Échantillon offert"),IF(I352&lt;&gt;"",I352,IF(N352="","",F352*N352)),""))</f>
        <v/>
      </c>
      <c r="P352" s="50">
        <f>IF(OR(D352="",F352=""),"",F352*IF(OR(D352="Reçu du magasin",D352="Ajustement (+)"),1,-1))</f>
        <v/>
      </c>
      <c r="Q352" s="34">
        <f>IF(C352="","",YEAR(C352-WEEKDAY(C352,2)+4)&amp;"-S"&amp;TEXT(INT((C352-DATE(YEAR(C352-WEEKDAY(C352,2)+4),1,3)+WEEKDAY(DATE(YEAR(C352-WEEKDAY(C352,2)+4),1,3),2)+5)/7),"00"))</f>
        <v/>
      </c>
    </row>
    <row r="353" ht="18" customHeight="1">
      <c r="A353" s="39" t="n">
        <v>348</v>
      </c>
      <c r="B353" s="33">
        <f>IF(C353="","",IF(L353="À RENSEIGNER","GIC",L353)&amp;"-S"&amp;TEXT(A353,"00000"))</f>
        <v/>
      </c>
      <c r="C353" s="32" t="n"/>
      <c r="D353" s="36" t="n"/>
      <c r="E353" s="36" t="n"/>
      <c r="F353" s="42" t="n"/>
      <c r="G353" s="36" t="n"/>
      <c r="H353" s="43" t="n"/>
      <c r="I353" s="37" t="n"/>
      <c r="J353" s="44" t="n"/>
      <c r="K353" s="36" t="n"/>
      <c r="L353" s="33">
        <f>IF(C353="","",Commercial_Id)</f>
        <v/>
      </c>
      <c r="M353" s="34">
        <f>IF(E353="","",IFERROR(VLOOKUP(E353,T_Produits,2,FALSE),""))</f>
        <v/>
      </c>
      <c r="N353" s="40">
        <f>IF(E353="","",IFERROR(1/(1/VLOOKUP(E353,T_Produits,3,FALSE)),""))</f>
        <v/>
      </c>
      <c r="O353" s="40">
        <f>IF(OR(D353="",F353=""),"",IF(OR(D353="Casse / avarie",D353="Perte / vol",D353="Échantillon offert"),IF(I353&lt;&gt;"",I353,IF(N353="","",F353*N353)),""))</f>
        <v/>
      </c>
      <c r="P353" s="50">
        <f>IF(OR(D353="",F353=""),"",F353*IF(OR(D353="Reçu du magasin",D353="Ajustement (+)"),1,-1))</f>
        <v/>
      </c>
      <c r="Q353" s="34">
        <f>IF(C353="","",YEAR(C353-WEEKDAY(C353,2)+4)&amp;"-S"&amp;TEXT(INT((C353-DATE(YEAR(C353-WEEKDAY(C353,2)+4),1,3)+WEEKDAY(DATE(YEAR(C353-WEEKDAY(C353,2)+4),1,3),2)+5)/7),"00"))</f>
        <v/>
      </c>
    </row>
    <row r="354" ht="18" customHeight="1">
      <c r="A354" s="39" t="n">
        <v>349</v>
      </c>
      <c r="B354" s="33">
        <f>IF(C354="","",IF(L354="À RENSEIGNER","GIC",L354)&amp;"-S"&amp;TEXT(A354,"00000"))</f>
        <v/>
      </c>
      <c r="C354" s="32" t="n"/>
      <c r="D354" s="36" t="n"/>
      <c r="E354" s="36" t="n"/>
      <c r="F354" s="42" t="n"/>
      <c r="G354" s="36" t="n"/>
      <c r="H354" s="43" t="n"/>
      <c r="I354" s="37" t="n"/>
      <c r="J354" s="44" t="n"/>
      <c r="K354" s="36" t="n"/>
      <c r="L354" s="33">
        <f>IF(C354="","",Commercial_Id)</f>
        <v/>
      </c>
      <c r="M354" s="34">
        <f>IF(E354="","",IFERROR(VLOOKUP(E354,T_Produits,2,FALSE),""))</f>
        <v/>
      </c>
      <c r="N354" s="40">
        <f>IF(E354="","",IFERROR(1/(1/VLOOKUP(E354,T_Produits,3,FALSE)),""))</f>
        <v/>
      </c>
      <c r="O354" s="40">
        <f>IF(OR(D354="",F354=""),"",IF(OR(D354="Casse / avarie",D354="Perte / vol",D354="Échantillon offert"),IF(I354&lt;&gt;"",I354,IF(N354="","",F354*N354)),""))</f>
        <v/>
      </c>
      <c r="P354" s="50">
        <f>IF(OR(D354="",F354=""),"",F354*IF(OR(D354="Reçu du magasin",D354="Ajustement (+)"),1,-1))</f>
        <v/>
      </c>
      <c r="Q354" s="34">
        <f>IF(C354="","",YEAR(C354-WEEKDAY(C354,2)+4)&amp;"-S"&amp;TEXT(INT((C354-DATE(YEAR(C354-WEEKDAY(C354,2)+4),1,3)+WEEKDAY(DATE(YEAR(C354-WEEKDAY(C354,2)+4),1,3),2)+5)/7),"00"))</f>
        <v/>
      </c>
    </row>
    <row r="355" ht="18" customHeight="1">
      <c r="A355" s="39" t="n">
        <v>350</v>
      </c>
      <c r="B355" s="33">
        <f>IF(C355="","",IF(L355="À RENSEIGNER","GIC",L355)&amp;"-S"&amp;TEXT(A355,"00000"))</f>
        <v/>
      </c>
      <c r="C355" s="32" t="n"/>
      <c r="D355" s="36" t="n"/>
      <c r="E355" s="36" t="n"/>
      <c r="F355" s="42" t="n"/>
      <c r="G355" s="36" t="n"/>
      <c r="H355" s="43" t="n"/>
      <c r="I355" s="37" t="n"/>
      <c r="J355" s="44" t="n"/>
      <c r="K355" s="36" t="n"/>
      <c r="L355" s="33">
        <f>IF(C355="","",Commercial_Id)</f>
        <v/>
      </c>
      <c r="M355" s="34">
        <f>IF(E355="","",IFERROR(VLOOKUP(E355,T_Produits,2,FALSE),""))</f>
        <v/>
      </c>
      <c r="N355" s="40">
        <f>IF(E355="","",IFERROR(1/(1/VLOOKUP(E355,T_Produits,3,FALSE)),""))</f>
        <v/>
      </c>
      <c r="O355" s="40">
        <f>IF(OR(D355="",F355=""),"",IF(OR(D355="Casse / avarie",D355="Perte / vol",D355="Échantillon offert"),IF(I355&lt;&gt;"",I355,IF(N355="","",F355*N355)),""))</f>
        <v/>
      </c>
      <c r="P355" s="50">
        <f>IF(OR(D355="",F355=""),"",F355*IF(OR(D355="Reçu du magasin",D355="Ajustement (+)"),1,-1))</f>
        <v/>
      </c>
      <c r="Q355" s="34">
        <f>IF(C355="","",YEAR(C355-WEEKDAY(C355,2)+4)&amp;"-S"&amp;TEXT(INT((C355-DATE(YEAR(C355-WEEKDAY(C355,2)+4),1,3)+WEEKDAY(DATE(YEAR(C355-WEEKDAY(C355,2)+4),1,3),2)+5)/7),"00"))</f>
        <v/>
      </c>
    </row>
    <row r="356" ht="18" customHeight="1">
      <c r="A356" s="39" t="n">
        <v>351</v>
      </c>
      <c r="B356" s="33">
        <f>IF(C356="","",IF(L356="À RENSEIGNER","GIC",L356)&amp;"-S"&amp;TEXT(A356,"00000"))</f>
        <v/>
      </c>
      <c r="C356" s="32" t="n"/>
      <c r="D356" s="36" t="n"/>
      <c r="E356" s="36" t="n"/>
      <c r="F356" s="42" t="n"/>
      <c r="G356" s="36" t="n"/>
      <c r="H356" s="43" t="n"/>
      <c r="I356" s="37" t="n"/>
      <c r="J356" s="44" t="n"/>
      <c r="K356" s="36" t="n"/>
      <c r="L356" s="33">
        <f>IF(C356="","",Commercial_Id)</f>
        <v/>
      </c>
      <c r="M356" s="34">
        <f>IF(E356="","",IFERROR(VLOOKUP(E356,T_Produits,2,FALSE),""))</f>
        <v/>
      </c>
      <c r="N356" s="40">
        <f>IF(E356="","",IFERROR(1/(1/VLOOKUP(E356,T_Produits,3,FALSE)),""))</f>
        <v/>
      </c>
      <c r="O356" s="40">
        <f>IF(OR(D356="",F356=""),"",IF(OR(D356="Casse / avarie",D356="Perte / vol",D356="Échantillon offert"),IF(I356&lt;&gt;"",I356,IF(N356="","",F356*N356)),""))</f>
        <v/>
      </c>
      <c r="P356" s="50">
        <f>IF(OR(D356="",F356=""),"",F356*IF(OR(D356="Reçu du magasin",D356="Ajustement (+)"),1,-1))</f>
        <v/>
      </c>
      <c r="Q356" s="34">
        <f>IF(C356="","",YEAR(C356-WEEKDAY(C356,2)+4)&amp;"-S"&amp;TEXT(INT((C356-DATE(YEAR(C356-WEEKDAY(C356,2)+4),1,3)+WEEKDAY(DATE(YEAR(C356-WEEKDAY(C356,2)+4),1,3),2)+5)/7),"00"))</f>
        <v/>
      </c>
    </row>
    <row r="357" ht="18" customHeight="1">
      <c r="A357" s="39" t="n">
        <v>352</v>
      </c>
      <c r="B357" s="33">
        <f>IF(C357="","",IF(L357="À RENSEIGNER","GIC",L357)&amp;"-S"&amp;TEXT(A357,"00000"))</f>
        <v/>
      </c>
      <c r="C357" s="32" t="n"/>
      <c r="D357" s="36" t="n"/>
      <c r="E357" s="36" t="n"/>
      <c r="F357" s="42" t="n"/>
      <c r="G357" s="36" t="n"/>
      <c r="H357" s="43" t="n"/>
      <c r="I357" s="37" t="n"/>
      <c r="J357" s="44" t="n"/>
      <c r="K357" s="36" t="n"/>
      <c r="L357" s="33">
        <f>IF(C357="","",Commercial_Id)</f>
        <v/>
      </c>
      <c r="M357" s="34">
        <f>IF(E357="","",IFERROR(VLOOKUP(E357,T_Produits,2,FALSE),""))</f>
        <v/>
      </c>
      <c r="N357" s="40">
        <f>IF(E357="","",IFERROR(1/(1/VLOOKUP(E357,T_Produits,3,FALSE)),""))</f>
        <v/>
      </c>
      <c r="O357" s="40">
        <f>IF(OR(D357="",F357=""),"",IF(OR(D357="Casse / avarie",D357="Perte / vol",D357="Échantillon offert"),IF(I357&lt;&gt;"",I357,IF(N357="","",F357*N357)),""))</f>
        <v/>
      </c>
      <c r="P357" s="50">
        <f>IF(OR(D357="",F357=""),"",F357*IF(OR(D357="Reçu du magasin",D357="Ajustement (+)"),1,-1))</f>
        <v/>
      </c>
      <c r="Q357" s="34">
        <f>IF(C357="","",YEAR(C357-WEEKDAY(C357,2)+4)&amp;"-S"&amp;TEXT(INT((C357-DATE(YEAR(C357-WEEKDAY(C357,2)+4),1,3)+WEEKDAY(DATE(YEAR(C357-WEEKDAY(C357,2)+4),1,3),2)+5)/7),"00"))</f>
        <v/>
      </c>
    </row>
    <row r="358" ht="18" customHeight="1">
      <c r="A358" s="39" t="n">
        <v>353</v>
      </c>
      <c r="B358" s="33">
        <f>IF(C358="","",IF(L358="À RENSEIGNER","GIC",L358)&amp;"-S"&amp;TEXT(A358,"00000"))</f>
        <v/>
      </c>
      <c r="C358" s="32" t="n"/>
      <c r="D358" s="36" t="n"/>
      <c r="E358" s="36" t="n"/>
      <c r="F358" s="42" t="n"/>
      <c r="G358" s="36" t="n"/>
      <c r="H358" s="43" t="n"/>
      <c r="I358" s="37" t="n"/>
      <c r="J358" s="44" t="n"/>
      <c r="K358" s="36" t="n"/>
      <c r="L358" s="33">
        <f>IF(C358="","",Commercial_Id)</f>
        <v/>
      </c>
      <c r="M358" s="34">
        <f>IF(E358="","",IFERROR(VLOOKUP(E358,T_Produits,2,FALSE),""))</f>
        <v/>
      </c>
      <c r="N358" s="40">
        <f>IF(E358="","",IFERROR(1/(1/VLOOKUP(E358,T_Produits,3,FALSE)),""))</f>
        <v/>
      </c>
      <c r="O358" s="40">
        <f>IF(OR(D358="",F358=""),"",IF(OR(D358="Casse / avarie",D358="Perte / vol",D358="Échantillon offert"),IF(I358&lt;&gt;"",I358,IF(N358="","",F358*N358)),""))</f>
        <v/>
      </c>
      <c r="P358" s="50">
        <f>IF(OR(D358="",F358=""),"",F358*IF(OR(D358="Reçu du magasin",D358="Ajustement (+)"),1,-1))</f>
        <v/>
      </c>
      <c r="Q358" s="34">
        <f>IF(C358="","",YEAR(C358-WEEKDAY(C358,2)+4)&amp;"-S"&amp;TEXT(INT((C358-DATE(YEAR(C358-WEEKDAY(C358,2)+4),1,3)+WEEKDAY(DATE(YEAR(C358-WEEKDAY(C358,2)+4),1,3),2)+5)/7),"00"))</f>
        <v/>
      </c>
    </row>
    <row r="359" ht="18" customHeight="1">
      <c r="A359" s="39" t="n">
        <v>354</v>
      </c>
      <c r="B359" s="33">
        <f>IF(C359="","",IF(L359="À RENSEIGNER","GIC",L359)&amp;"-S"&amp;TEXT(A359,"00000"))</f>
        <v/>
      </c>
      <c r="C359" s="32" t="n"/>
      <c r="D359" s="36" t="n"/>
      <c r="E359" s="36" t="n"/>
      <c r="F359" s="42" t="n"/>
      <c r="G359" s="36" t="n"/>
      <c r="H359" s="43" t="n"/>
      <c r="I359" s="37" t="n"/>
      <c r="J359" s="44" t="n"/>
      <c r="K359" s="36" t="n"/>
      <c r="L359" s="33">
        <f>IF(C359="","",Commercial_Id)</f>
        <v/>
      </c>
      <c r="M359" s="34">
        <f>IF(E359="","",IFERROR(VLOOKUP(E359,T_Produits,2,FALSE),""))</f>
        <v/>
      </c>
      <c r="N359" s="40">
        <f>IF(E359="","",IFERROR(1/(1/VLOOKUP(E359,T_Produits,3,FALSE)),""))</f>
        <v/>
      </c>
      <c r="O359" s="40">
        <f>IF(OR(D359="",F359=""),"",IF(OR(D359="Casse / avarie",D359="Perte / vol",D359="Échantillon offert"),IF(I359&lt;&gt;"",I359,IF(N359="","",F359*N359)),""))</f>
        <v/>
      </c>
      <c r="P359" s="50">
        <f>IF(OR(D359="",F359=""),"",F359*IF(OR(D359="Reçu du magasin",D359="Ajustement (+)"),1,-1))</f>
        <v/>
      </c>
      <c r="Q359" s="34">
        <f>IF(C359="","",YEAR(C359-WEEKDAY(C359,2)+4)&amp;"-S"&amp;TEXT(INT((C359-DATE(YEAR(C359-WEEKDAY(C359,2)+4),1,3)+WEEKDAY(DATE(YEAR(C359-WEEKDAY(C359,2)+4),1,3),2)+5)/7),"00"))</f>
        <v/>
      </c>
    </row>
    <row r="360" ht="18" customHeight="1">
      <c r="A360" s="39" t="n">
        <v>355</v>
      </c>
      <c r="B360" s="33">
        <f>IF(C360="","",IF(L360="À RENSEIGNER","GIC",L360)&amp;"-S"&amp;TEXT(A360,"00000"))</f>
        <v/>
      </c>
      <c r="C360" s="32" t="n"/>
      <c r="D360" s="36" t="n"/>
      <c r="E360" s="36" t="n"/>
      <c r="F360" s="42" t="n"/>
      <c r="G360" s="36" t="n"/>
      <c r="H360" s="43" t="n"/>
      <c r="I360" s="37" t="n"/>
      <c r="J360" s="44" t="n"/>
      <c r="K360" s="36" t="n"/>
      <c r="L360" s="33">
        <f>IF(C360="","",Commercial_Id)</f>
        <v/>
      </c>
      <c r="M360" s="34">
        <f>IF(E360="","",IFERROR(VLOOKUP(E360,T_Produits,2,FALSE),""))</f>
        <v/>
      </c>
      <c r="N360" s="40">
        <f>IF(E360="","",IFERROR(1/(1/VLOOKUP(E360,T_Produits,3,FALSE)),""))</f>
        <v/>
      </c>
      <c r="O360" s="40">
        <f>IF(OR(D360="",F360=""),"",IF(OR(D360="Casse / avarie",D360="Perte / vol",D360="Échantillon offert"),IF(I360&lt;&gt;"",I360,IF(N360="","",F360*N360)),""))</f>
        <v/>
      </c>
      <c r="P360" s="50">
        <f>IF(OR(D360="",F360=""),"",F360*IF(OR(D360="Reçu du magasin",D360="Ajustement (+)"),1,-1))</f>
        <v/>
      </c>
      <c r="Q360" s="34">
        <f>IF(C360="","",YEAR(C360-WEEKDAY(C360,2)+4)&amp;"-S"&amp;TEXT(INT((C360-DATE(YEAR(C360-WEEKDAY(C360,2)+4),1,3)+WEEKDAY(DATE(YEAR(C360-WEEKDAY(C360,2)+4),1,3),2)+5)/7),"00"))</f>
        <v/>
      </c>
    </row>
    <row r="361" ht="18" customHeight="1">
      <c r="A361" s="39" t="n">
        <v>356</v>
      </c>
      <c r="B361" s="33">
        <f>IF(C361="","",IF(L361="À RENSEIGNER","GIC",L361)&amp;"-S"&amp;TEXT(A361,"00000"))</f>
        <v/>
      </c>
      <c r="C361" s="32" t="n"/>
      <c r="D361" s="36" t="n"/>
      <c r="E361" s="36" t="n"/>
      <c r="F361" s="42" t="n"/>
      <c r="G361" s="36" t="n"/>
      <c r="H361" s="43" t="n"/>
      <c r="I361" s="37" t="n"/>
      <c r="J361" s="44" t="n"/>
      <c r="K361" s="36" t="n"/>
      <c r="L361" s="33">
        <f>IF(C361="","",Commercial_Id)</f>
        <v/>
      </c>
      <c r="M361" s="34">
        <f>IF(E361="","",IFERROR(VLOOKUP(E361,T_Produits,2,FALSE),""))</f>
        <v/>
      </c>
      <c r="N361" s="40">
        <f>IF(E361="","",IFERROR(1/(1/VLOOKUP(E361,T_Produits,3,FALSE)),""))</f>
        <v/>
      </c>
      <c r="O361" s="40">
        <f>IF(OR(D361="",F361=""),"",IF(OR(D361="Casse / avarie",D361="Perte / vol",D361="Échantillon offert"),IF(I361&lt;&gt;"",I361,IF(N361="","",F361*N361)),""))</f>
        <v/>
      </c>
      <c r="P361" s="50">
        <f>IF(OR(D361="",F361=""),"",F361*IF(OR(D361="Reçu du magasin",D361="Ajustement (+)"),1,-1))</f>
        <v/>
      </c>
      <c r="Q361" s="34">
        <f>IF(C361="","",YEAR(C361-WEEKDAY(C361,2)+4)&amp;"-S"&amp;TEXT(INT((C361-DATE(YEAR(C361-WEEKDAY(C361,2)+4),1,3)+WEEKDAY(DATE(YEAR(C361-WEEKDAY(C361,2)+4),1,3),2)+5)/7),"00"))</f>
        <v/>
      </c>
    </row>
    <row r="362" ht="18" customHeight="1">
      <c r="A362" s="39" t="n">
        <v>357</v>
      </c>
      <c r="B362" s="33">
        <f>IF(C362="","",IF(L362="À RENSEIGNER","GIC",L362)&amp;"-S"&amp;TEXT(A362,"00000"))</f>
        <v/>
      </c>
      <c r="C362" s="32" t="n"/>
      <c r="D362" s="36" t="n"/>
      <c r="E362" s="36" t="n"/>
      <c r="F362" s="42" t="n"/>
      <c r="G362" s="36" t="n"/>
      <c r="H362" s="43" t="n"/>
      <c r="I362" s="37" t="n"/>
      <c r="J362" s="44" t="n"/>
      <c r="K362" s="36" t="n"/>
      <c r="L362" s="33">
        <f>IF(C362="","",Commercial_Id)</f>
        <v/>
      </c>
      <c r="M362" s="34">
        <f>IF(E362="","",IFERROR(VLOOKUP(E362,T_Produits,2,FALSE),""))</f>
        <v/>
      </c>
      <c r="N362" s="40">
        <f>IF(E362="","",IFERROR(1/(1/VLOOKUP(E362,T_Produits,3,FALSE)),""))</f>
        <v/>
      </c>
      <c r="O362" s="40">
        <f>IF(OR(D362="",F362=""),"",IF(OR(D362="Casse / avarie",D362="Perte / vol",D362="Échantillon offert"),IF(I362&lt;&gt;"",I362,IF(N362="","",F362*N362)),""))</f>
        <v/>
      </c>
      <c r="P362" s="50">
        <f>IF(OR(D362="",F362=""),"",F362*IF(OR(D362="Reçu du magasin",D362="Ajustement (+)"),1,-1))</f>
        <v/>
      </c>
      <c r="Q362" s="34">
        <f>IF(C362="","",YEAR(C362-WEEKDAY(C362,2)+4)&amp;"-S"&amp;TEXT(INT((C362-DATE(YEAR(C362-WEEKDAY(C362,2)+4),1,3)+WEEKDAY(DATE(YEAR(C362-WEEKDAY(C362,2)+4),1,3),2)+5)/7),"00"))</f>
        <v/>
      </c>
    </row>
    <row r="363" ht="18" customHeight="1">
      <c r="A363" s="39" t="n">
        <v>358</v>
      </c>
      <c r="B363" s="33">
        <f>IF(C363="","",IF(L363="À RENSEIGNER","GIC",L363)&amp;"-S"&amp;TEXT(A363,"00000"))</f>
        <v/>
      </c>
      <c r="C363" s="32" t="n"/>
      <c r="D363" s="36" t="n"/>
      <c r="E363" s="36" t="n"/>
      <c r="F363" s="42" t="n"/>
      <c r="G363" s="36" t="n"/>
      <c r="H363" s="43" t="n"/>
      <c r="I363" s="37" t="n"/>
      <c r="J363" s="44" t="n"/>
      <c r="K363" s="36" t="n"/>
      <c r="L363" s="33">
        <f>IF(C363="","",Commercial_Id)</f>
        <v/>
      </c>
      <c r="M363" s="34">
        <f>IF(E363="","",IFERROR(VLOOKUP(E363,T_Produits,2,FALSE),""))</f>
        <v/>
      </c>
      <c r="N363" s="40">
        <f>IF(E363="","",IFERROR(1/(1/VLOOKUP(E363,T_Produits,3,FALSE)),""))</f>
        <v/>
      </c>
      <c r="O363" s="40">
        <f>IF(OR(D363="",F363=""),"",IF(OR(D363="Casse / avarie",D363="Perte / vol",D363="Échantillon offert"),IF(I363&lt;&gt;"",I363,IF(N363="","",F363*N363)),""))</f>
        <v/>
      </c>
      <c r="P363" s="50">
        <f>IF(OR(D363="",F363=""),"",F363*IF(OR(D363="Reçu du magasin",D363="Ajustement (+)"),1,-1))</f>
        <v/>
      </c>
      <c r="Q363" s="34">
        <f>IF(C363="","",YEAR(C363-WEEKDAY(C363,2)+4)&amp;"-S"&amp;TEXT(INT((C363-DATE(YEAR(C363-WEEKDAY(C363,2)+4),1,3)+WEEKDAY(DATE(YEAR(C363-WEEKDAY(C363,2)+4),1,3),2)+5)/7),"00"))</f>
        <v/>
      </c>
    </row>
    <row r="364" ht="18" customHeight="1">
      <c r="A364" s="39" t="n">
        <v>359</v>
      </c>
      <c r="B364" s="33">
        <f>IF(C364="","",IF(L364="À RENSEIGNER","GIC",L364)&amp;"-S"&amp;TEXT(A364,"00000"))</f>
        <v/>
      </c>
      <c r="C364" s="32" t="n"/>
      <c r="D364" s="36" t="n"/>
      <c r="E364" s="36" t="n"/>
      <c r="F364" s="42" t="n"/>
      <c r="G364" s="36" t="n"/>
      <c r="H364" s="43" t="n"/>
      <c r="I364" s="37" t="n"/>
      <c r="J364" s="44" t="n"/>
      <c r="K364" s="36" t="n"/>
      <c r="L364" s="33">
        <f>IF(C364="","",Commercial_Id)</f>
        <v/>
      </c>
      <c r="M364" s="34">
        <f>IF(E364="","",IFERROR(VLOOKUP(E364,T_Produits,2,FALSE),""))</f>
        <v/>
      </c>
      <c r="N364" s="40">
        <f>IF(E364="","",IFERROR(1/(1/VLOOKUP(E364,T_Produits,3,FALSE)),""))</f>
        <v/>
      </c>
      <c r="O364" s="40">
        <f>IF(OR(D364="",F364=""),"",IF(OR(D364="Casse / avarie",D364="Perte / vol",D364="Échantillon offert"),IF(I364&lt;&gt;"",I364,IF(N364="","",F364*N364)),""))</f>
        <v/>
      </c>
      <c r="P364" s="50">
        <f>IF(OR(D364="",F364=""),"",F364*IF(OR(D364="Reçu du magasin",D364="Ajustement (+)"),1,-1))</f>
        <v/>
      </c>
      <c r="Q364" s="34">
        <f>IF(C364="","",YEAR(C364-WEEKDAY(C364,2)+4)&amp;"-S"&amp;TEXT(INT((C364-DATE(YEAR(C364-WEEKDAY(C364,2)+4),1,3)+WEEKDAY(DATE(YEAR(C364-WEEKDAY(C364,2)+4),1,3),2)+5)/7),"00"))</f>
        <v/>
      </c>
    </row>
    <row r="365" ht="18" customHeight="1">
      <c r="A365" s="39" t="n">
        <v>360</v>
      </c>
      <c r="B365" s="33">
        <f>IF(C365="","",IF(L365="À RENSEIGNER","GIC",L365)&amp;"-S"&amp;TEXT(A365,"00000"))</f>
        <v/>
      </c>
      <c r="C365" s="32" t="n"/>
      <c r="D365" s="36" t="n"/>
      <c r="E365" s="36" t="n"/>
      <c r="F365" s="42" t="n"/>
      <c r="G365" s="36" t="n"/>
      <c r="H365" s="43" t="n"/>
      <c r="I365" s="37" t="n"/>
      <c r="J365" s="44" t="n"/>
      <c r="K365" s="36" t="n"/>
      <c r="L365" s="33">
        <f>IF(C365="","",Commercial_Id)</f>
        <v/>
      </c>
      <c r="M365" s="34">
        <f>IF(E365="","",IFERROR(VLOOKUP(E365,T_Produits,2,FALSE),""))</f>
        <v/>
      </c>
      <c r="N365" s="40">
        <f>IF(E365="","",IFERROR(1/(1/VLOOKUP(E365,T_Produits,3,FALSE)),""))</f>
        <v/>
      </c>
      <c r="O365" s="40">
        <f>IF(OR(D365="",F365=""),"",IF(OR(D365="Casse / avarie",D365="Perte / vol",D365="Échantillon offert"),IF(I365&lt;&gt;"",I365,IF(N365="","",F365*N365)),""))</f>
        <v/>
      </c>
      <c r="P365" s="50">
        <f>IF(OR(D365="",F365=""),"",F365*IF(OR(D365="Reçu du magasin",D365="Ajustement (+)"),1,-1))</f>
        <v/>
      </c>
      <c r="Q365" s="34">
        <f>IF(C365="","",YEAR(C365-WEEKDAY(C365,2)+4)&amp;"-S"&amp;TEXT(INT((C365-DATE(YEAR(C365-WEEKDAY(C365,2)+4),1,3)+WEEKDAY(DATE(YEAR(C365-WEEKDAY(C365,2)+4),1,3),2)+5)/7),"00"))</f>
        <v/>
      </c>
    </row>
    <row r="366" ht="18" customHeight="1">
      <c r="A366" s="39" t="n">
        <v>361</v>
      </c>
      <c r="B366" s="33">
        <f>IF(C366="","",IF(L366="À RENSEIGNER","GIC",L366)&amp;"-S"&amp;TEXT(A366,"00000"))</f>
        <v/>
      </c>
      <c r="C366" s="32" t="n"/>
      <c r="D366" s="36" t="n"/>
      <c r="E366" s="36" t="n"/>
      <c r="F366" s="42" t="n"/>
      <c r="G366" s="36" t="n"/>
      <c r="H366" s="43" t="n"/>
      <c r="I366" s="37" t="n"/>
      <c r="J366" s="44" t="n"/>
      <c r="K366" s="36" t="n"/>
      <c r="L366" s="33">
        <f>IF(C366="","",Commercial_Id)</f>
        <v/>
      </c>
      <c r="M366" s="34">
        <f>IF(E366="","",IFERROR(VLOOKUP(E366,T_Produits,2,FALSE),""))</f>
        <v/>
      </c>
      <c r="N366" s="40">
        <f>IF(E366="","",IFERROR(1/(1/VLOOKUP(E366,T_Produits,3,FALSE)),""))</f>
        <v/>
      </c>
      <c r="O366" s="40">
        <f>IF(OR(D366="",F366=""),"",IF(OR(D366="Casse / avarie",D366="Perte / vol",D366="Échantillon offert"),IF(I366&lt;&gt;"",I366,IF(N366="","",F366*N366)),""))</f>
        <v/>
      </c>
      <c r="P366" s="50">
        <f>IF(OR(D366="",F366=""),"",F366*IF(OR(D366="Reçu du magasin",D366="Ajustement (+)"),1,-1))</f>
        <v/>
      </c>
      <c r="Q366" s="34">
        <f>IF(C366="","",YEAR(C366-WEEKDAY(C366,2)+4)&amp;"-S"&amp;TEXT(INT((C366-DATE(YEAR(C366-WEEKDAY(C366,2)+4),1,3)+WEEKDAY(DATE(YEAR(C366-WEEKDAY(C366,2)+4),1,3),2)+5)/7),"00"))</f>
        <v/>
      </c>
    </row>
    <row r="367" ht="18" customHeight="1">
      <c r="A367" s="39" t="n">
        <v>362</v>
      </c>
      <c r="B367" s="33">
        <f>IF(C367="","",IF(L367="À RENSEIGNER","GIC",L367)&amp;"-S"&amp;TEXT(A367,"00000"))</f>
        <v/>
      </c>
      <c r="C367" s="32" t="n"/>
      <c r="D367" s="36" t="n"/>
      <c r="E367" s="36" t="n"/>
      <c r="F367" s="42" t="n"/>
      <c r="G367" s="36" t="n"/>
      <c r="H367" s="43" t="n"/>
      <c r="I367" s="37" t="n"/>
      <c r="J367" s="44" t="n"/>
      <c r="K367" s="36" t="n"/>
      <c r="L367" s="33">
        <f>IF(C367="","",Commercial_Id)</f>
        <v/>
      </c>
      <c r="M367" s="34">
        <f>IF(E367="","",IFERROR(VLOOKUP(E367,T_Produits,2,FALSE),""))</f>
        <v/>
      </c>
      <c r="N367" s="40">
        <f>IF(E367="","",IFERROR(1/(1/VLOOKUP(E367,T_Produits,3,FALSE)),""))</f>
        <v/>
      </c>
      <c r="O367" s="40">
        <f>IF(OR(D367="",F367=""),"",IF(OR(D367="Casse / avarie",D367="Perte / vol",D367="Échantillon offert"),IF(I367&lt;&gt;"",I367,IF(N367="","",F367*N367)),""))</f>
        <v/>
      </c>
      <c r="P367" s="50">
        <f>IF(OR(D367="",F367=""),"",F367*IF(OR(D367="Reçu du magasin",D367="Ajustement (+)"),1,-1))</f>
        <v/>
      </c>
      <c r="Q367" s="34">
        <f>IF(C367="","",YEAR(C367-WEEKDAY(C367,2)+4)&amp;"-S"&amp;TEXT(INT((C367-DATE(YEAR(C367-WEEKDAY(C367,2)+4),1,3)+WEEKDAY(DATE(YEAR(C367-WEEKDAY(C367,2)+4),1,3),2)+5)/7),"00"))</f>
        <v/>
      </c>
    </row>
    <row r="368" ht="18" customHeight="1">
      <c r="A368" s="39" t="n">
        <v>363</v>
      </c>
      <c r="B368" s="33">
        <f>IF(C368="","",IF(L368="À RENSEIGNER","GIC",L368)&amp;"-S"&amp;TEXT(A368,"00000"))</f>
        <v/>
      </c>
      <c r="C368" s="32" t="n"/>
      <c r="D368" s="36" t="n"/>
      <c r="E368" s="36" t="n"/>
      <c r="F368" s="42" t="n"/>
      <c r="G368" s="36" t="n"/>
      <c r="H368" s="43" t="n"/>
      <c r="I368" s="37" t="n"/>
      <c r="J368" s="44" t="n"/>
      <c r="K368" s="36" t="n"/>
      <c r="L368" s="33">
        <f>IF(C368="","",Commercial_Id)</f>
        <v/>
      </c>
      <c r="M368" s="34">
        <f>IF(E368="","",IFERROR(VLOOKUP(E368,T_Produits,2,FALSE),""))</f>
        <v/>
      </c>
      <c r="N368" s="40">
        <f>IF(E368="","",IFERROR(1/(1/VLOOKUP(E368,T_Produits,3,FALSE)),""))</f>
        <v/>
      </c>
      <c r="O368" s="40">
        <f>IF(OR(D368="",F368=""),"",IF(OR(D368="Casse / avarie",D368="Perte / vol",D368="Échantillon offert"),IF(I368&lt;&gt;"",I368,IF(N368="","",F368*N368)),""))</f>
        <v/>
      </c>
      <c r="P368" s="50">
        <f>IF(OR(D368="",F368=""),"",F368*IF(OR(D368="Reçu du magasin",D368="Ajustement (+)"),1,-1))</f>
        <v/>
      </c>
      <c r="Q368" s="34">
        <f>IF(C368="","",YEAR(C368-WEEKDAY(C368,2)+4)&amp;"-S"&amp;TEXT(INT((C368-DATE(YEAR(C368-WEEKDAY(C368,2)+4),1,3)+WEEKDAY(DATE(YEAR(C368-WEEKDAY(C368,2)+4),1,3),2)+5)/7),"00"))</f>
        <v/>
      </c>
    </row>
    <row r="369" ht="18" customHeight="1">
      <c r="A369" s="39" t="n">
        <v>364</v>
      </c>
      <c r="B369" s="33">
        <f>IF(C369="","",IF(L369="À RENSEIGNER","GIC",L369)&amp;"-S"&amp;TEXT(A369,"00000"))</f>
        <v/>
      </c>
      <c r="C369" s="32" t="n"/>
      <c r="D369" s="36" t="n"/>
      <c r="E369" s="36" t="n"/>
      <c r="F369" s="42" t="n"/>
      <c r="G369" s="36" t="n"/>
      <c r="H369" s="43" t="n"/>
      <c r="I369" s="37" t="n"/>
      <c r="J369" s="44" t="n"/>
      <c r="K369" s="36" t="n"/>
      <c r="L369" s="33">
        <f>IF(C369="","",Commercial_Id)</f>
        <v/>
      </c>
      <c r="M369" s="34">
        <f>IF(E369="","",IFERROR(VLOOKUP(E369,T_Produits,2,FALSE),""))</f>
        <v/>
      </c>
      <c r="N369" s="40">
        <f>IF(E369="","",IFERROR(1/(1/VLOOKUP(E369,T_Produits,3,FALSE)),""))</f>
        <v/>
      </c>
      <c r="O369" s="40">
        <f>IF(OR(D369="",F369=""),"",IF(OR(D369="Casse / avarie",D369="Perte / vol",D369="Échantillon offert"),IF(I369&lt;&gt;"",I369,IF(N369="","",F369*N369)),""))</f>
        <v/>
      </c>
      <c r="P369" s="50">
        <f>IF(OR(D369="",F369=""),"",F369*IF(OR(D369="Reçu du magasin",D369="Ajustement (+)"),1,-1))</f>
        <v/>
      </c>
      <c r="Q369" s="34">
        <f>IF(C369="","",YEAR(C369-WEEKDAY(C369,2)+4)&amp;"-S"&amp;TEXT(INT((C369-DATE(YEAR(C369-WEEKDAY(C369,2)+4),1,3)+WEEKDAY(DATE(YEAR(C369-WEEKDAY(C369,2)+4),1,3),2)+5)/7),"00"))</f>
        <v/>
      </c>
    </row>
    <row r="370" ht="18" customHeight="1">
      <c r="A370" s="39" t="n">
        <v>365</v>
      </c>
      <c r="B370" s="33">
        <f>IF(C370="","",IF(L370="À RENSEIGNER","GIC",L370)&amp;"-S"&amp;TEXT(A370,"00000"))</f>
        <v/>
      </c>
      <c r="C370" s="32" t="n"/>
      <c r="D370" s="36" t="n"/>
      <c r="E370" s="36" t="n"/>
      <c r="F370" s="42" t="n"/>
      <c r="G370" s="36" t="n"/>
      <c r="H370" s="43" t="n"/>
      <c r="I370" s="37" t="n"/>
      <c r="J370" s="44" t="n"/>
      <c r="K370" s="36" t="n"/>
      <c r="L370" s="33">
        <f>IF(C370="","",Commercial_Id)</f>
        <v/>
      </c>
      <c r="M370" s="34">
        <f>IF(E370="","",IFERROR(VLOOKUP(E370,T_Produits,2,FALSE),""))</f>
        <v/>
      </c>
      <c r="N370" s="40">
        <f>IF(E370="","",IFERROR(1/(1/VLOOKUP(E370,T_Produits,3,FALSE)),""))</f>
        <v/>
      </c>
      <c r="O370" s="40">
        <f>IF(OR(D370="",F370=""),"",IF(OR(D370="Casse / avarie",D370="Perte / vol",D370="Échantillon offert"),IF(I370&lt;&gt;"",I370,IF(N370="","",F370*N370)),""))</f>
        <v/>
      </c>
      <c r="P370" s="50">
        <f>IF(OR(D370="",F370=""),"",F370*IF(OR(D370="Reçu du magasin",D370="Ajustement (+)"),1,-1))</f>
        <v/>
      </c>
      <c r="Q370" s="34">
        <f>IF(C370="","",YEAR(C370-WEEKDAY(C370,2)+4)&amp;"-S"&amp;TEXT(INT((C370-DATE(YEAR(C370-WEEKDAY(C370,2)+4),1,3)+WEEKDAY(DATE(YEAR(C370-WEEKDAY(C370,2)+4),1,3),2)+5)/7),"00"))</f>
        <v/>
      </c>
    </row>
    <row r="371" ht="18" customHeight="1">
      <c r="A371" s="39" t="n">
        <v>366</v>
      </c>
      <c r="B371" s="33">
        <f>IF(C371="","",IF(L371="À RENSEIGNER","GIC",L371)&amp;"-S"&amp;TEXT(A371,"00000"))</f>
        <v/>
      </c>
      <c r="C371" s="32" t="n"/>
      <c r="D371" s="36" t="n"/>
      <c r="E371" s="36" t="n"/>
      <c r="F371" s="42" t="n"/>
      <c r="G371" s="36" t="n"/>
      <c r="H371" s="43" t="n"/>
      <c r="I371" s="37" t="n"/>
      <c r="J371" s="44" t="n"/>
      <c r="K371" s="36" t="n"/>
      <c r="L371" s="33">
        <f>IF(C371="","",Commercial_Id)</f>
        <v/>
      </c>
      <c r="M371" s="34">
        <f>IF(E371="","",IFERROR(VLOOKUP(E371,T_Produits,2,FALSE),""))</f>
        <v/>
      </c>
      <c r="N371" s="40">
        <f>IF(E371="","",IFERROR(1/(1/VLOOKUP(E371,T_Produits,3,FALSE)),""))</f>
        <v/>
      </c>
      <c r="O371" s="40">
        <f>IF(OR(D371="",F371=""),"",IF(OR(D371="Casse / avarie",D371="Perte / vol",D371="Échantillon offert"),IF(I371&lt;&gt;"",I371,IF(N371="","",F371*N371)),""))</f>
        <v/>
      </c>
      <c r="P371" s="50">
        <f>IF(OR(D371="",F371=""),"",F371*IF(OR(D371="Reçu du magasin",D371="Ajustement (+)"),1,-1))</f>
        <v/>
      </c>
      <c r="Q371" s="34">
        <f>IF(C371="","",YEAR(C371-WEEKDAY(C371,2)+4)&amp;"-S"&amp;TEXT(INT((C371-DATE(YEAR(C371-WEEKDAY(C371,2)+4),1,3)+WEEKDAY(DATE(YEAR(C371-WEEKDAY(C371,2)+4),1,3),2)+5)/7),"00"))</f>
        <v/>
      </c>
    </row>
    <row r="372" ht="18" customHeight="1">
      <c r="A372" s="39" t="n">
        <v>367</v>
      </c>
      <c r="B372" s="33">
        <f>IF(C372="","",IF(L372="À RENSEIGNER","GIC",L372)&amp;"-S"&amp;TEXT(A372,"00000"))</f>
        <v/>
      </c>
      <c r="C372" s="32" t="n"/>
      <c r="D372" s="36" t="n"/>
      <c r="E372" s="36" t="n"/>
      <c r="F372" s="42" t="n"/>
      <c r="G372" s="36" t="n"/>
      <c r="H372" s="43" t="n"/>
      <c r="I372" s="37" t="n"/>
      <c r="J372" s="44" t="n"/>
      <c r="K372" s="36" t="n"/>
      <c r="L372" s="33">
        <f>IF(C372="","",Commercial_Id)</f>
        <v/>
      </c>
      <c r="M372" s="34">
        <f>IF(E372="","",IFERROR(VLOOKUP(E372,T_Produits,2,FALSE),""))</f>
        <v/>
      </c>
      <c r="N372" s="40">
        <f>IF(E372="","",IFERROR(1/(1/VLOOKUP(E372,T_Produits,3,FALSE)),""))</f>
        <v/>
      </c>
      <c r="O372" s="40">
        <f>IF(OR(D372="",F372=""),"",IF(OR(D372="Casse / avarie",D372="Perte / vol",D372="Échantillon offert"),IF(I372&lt;&gt;"",I372,IF(N372="","",F372*N372)),""))</f>
        <v/>
      </c>
      <c r="P372" s="50">
        <f>IF(OR(D372="",F372=""),"",F372*IF(OR(D372="Reçu du magasin",D372="Ajustement (+)"),1,-1))</f>
        <v/>
      </c>
      <c r="Q372" s="34">
        <f>IF(C372="","",YEAR(C372-WEEKDAY(C372,2)+4)&amp;"-S"&amp;TEXT(INT((C372-DATE(YEAR(C372-WEEKDAY(C372,2)+4),1,3)+WEEKDAY(DATE(YEAR(C372-WEEKDAY(C372,2)+4),1,3),2)+5)/7),"00"))</f>
        <v/>
      </c>
    </row>
    <row r="373" ht="18" customHeight="1">
      <c r="A373" s="39" t="n">
        <v>368</v>
      </c>
      <c r="B373" s="33">
        <f>IF(C373="","",IF(L373="À RENSEIGNER","GIC",L373)&amp;"-S"&amp;TEXT(A373,"00000"))</f>
        <v/>
      </c>
      <c r="C373" s="32" t="n"/>
      <c r="D373" s="36" t="n"/>
      <c r="E373" s="36" t="n"/>
      <c r="F373" s="42" t="n"/>
      <c r="G373" s="36" t="n"/>
      <c r="H373" s="43" t="n"/>
      <c r="I373" s="37" t="n"/>
      <c r="J373" s="44" t="n"/>
      <c r="K373" s="36" t="n"/>
      <c r="L373" s="33">
        <f>IF(C373="","",Commercial_Id)</f>
        <v/>
      </c>
      <c r="M373" s="34">
        <f>IF(E373="","",IFERROR(VLOOKUP(E373,T_Produits,2,FALSE),""))</f>
        <v/>
      </c>
      <c r="N373" s="40">
        <f>IF(E373="","",IFERROR(1/(1/VLOOKUP(E373,T_Produits,3,FALSE)),""))</f>
        <v/>
      </c>
      <c r="O373" s="40">
        <f>IF(OR(D373="",F373=""),"",IF(OR(D373="Casse / avarie",D373="Perte / vol",D373="Échantillon offert"),IF(I373&lt;&gt;"",I373,IF(N373="","",F373*N373)),""))</f>
        <v/>
      </c>
      <c r="P373" s="50">
        <f>IF(OR(D373="",F373=""),"",F373*IF(OR(D373="Reçu du magasin",D373="Ajustement (+)"),1,-1))</f>
        <v/>
      </c>
      <c r="Q373" s="34">
        <f>IF(C373="","",YEAR(C373-WEEKDAY(C373,2)+4)&amp;"-S"&amp;TEXT(INT((C373-DATE(YEAR(C373-WEEKDAY(C373,2)+4),1,3)+WEEKDAY(DATE(YEAR(C373-WEEKDAY(C373,2)+4),1,3),2)+5)/7),"00"))</f>
        <v/>
      </c>
    </row>
    <row r="374" ht="18" customHeight="1">
      <c r="A374" s="39" t="n">
        <v>369</v>
      </c>
      <c r="B374" s="33">
        <f>IF(C374="","",IF(L374="À RENSEIGNER","GIC",L374)&amp;"-S"&amp;TEXT(A374,"00000"))</f>
        <v/>
      </c>
      <c r="C374" s="32" t="n"/>
      <c r="D374" s="36" t="n"/>
      <c r="E374" s="36" t="n"/>
      <c r="F374" s="42" t="n"/>
      <c r="G374" s="36" t="n"/>
      <c r="H374" s="43" t="n"/>
      <c r="I374" s="37" t="n"/>
      <c r="J374" s="44" t="n"/>
      <c r="K374" s="36" t="n"/>
      <c r="L374" s="33">
        <f>IF(C374="","",Commercial_Id)</f>
        <v/>
      </c>
      <c r="M374" s="34">
        <f>IF(E374="","",IFERROR(VLOOKUP(E374,T_Produits,2,FALSE),""))</f>
        <v/>
      </c>
      <c r="N374" s="40">
        <f>IF(E374="","",IFERROR(1/(1/VLOOKUP(E374,T_Produits,3,FALSE)),""))</f>
        <v/>
      </c>
      <c r="O374" s="40">
        <f>IF(OR(D374="",F374=""),"",IF(OR(D374="Casse / avarie",D374="Perte / vol",D374="Échantillon offert"),IF(I374&lt;&gt;"",I374,IF(N374="","",F374*N374)),""))</f>
        <v/>
      </c>
      <c r="P374" s="50">
        <f>IF(OR(D374="",F374=""),"",F374*IF(OR(D374="Reçu du magasin",D374="Ajustement (+)"),1,-1))</f>
        <v/>
      </c>
      <c r="Q374" s="34">
        <f>IF(C374="","",YEAR(C374-WEEKDAY(C374,2)+4)&amp;"-S"&amp;TEXT(INT((C374-DATE(YEAR(C374-WEEKDAY(C374,2)+4),1,3)+WEEKDAY(DATE(YEAR(C374-WEEKDAY(C374,2)+4),1,3),2)+5)/7),"00"))</f>
        <v/>
      </c>
    </row>
    <row r="375" ht="18" customHeight="1">
      <c r="A375" s="39" t="n">
        <v>370</v>
      </c>
      <c r="B375" s="33">
        <f>IF(C375="","",IF(L375="À RENSEIGNER","GIC",L375)&amp;"-S"&amp;TEXT(A375,"00000"))</f>
        <v/>
      </c>
      <c r="C375" s="32" t="n"/>
      <c r="D375" s="36" t="n"/>
      <c r="E375" s="36" t="n"/>
      <c r="F375" s="42" t="n"/>
      <c r="G375" s="36" t="n"/>
      <c r="H375" s="43" t="n"/>
      <c r="I375" s="37" t="n"/>
      <c r="J375" s="44" t="n"/>
      <c r="K375" s="36" t="n"/>
      <c r="L375" s="33">
        <f>IF(C375="","",Commercial_Id)</f>
        <v/>
      </c>
      <c r="M375" s="34">
        <f>IF(E375="","",IFERROR(VLOOKUP(E375,T_Produits,2,FALSE),""))</f>
        <v/>
      </c>
      <c r="N375" s="40">
        <f>IF(E375="","",IFERROR(1/(1/VLOOKUP(E375,T_Produits,3,FALSE)),""))</f>
        <v/>
      </c>
      <c r="O375" s="40">
        <f>IF(OR(D375="",F375=""),"",IF(OR(D375="Casse / avarie",D375="Perte / vol",D375="Échantillon offert"),IF(I375&lt;&gt;"",I375,IF(N375="","",F375*N375)),""))</f>
        <v/>
      </c>
      <c r="P375" s="50">
        <f>IF(OR(D375="",F375=""),"",F375*IF(OR(D375="Reçu du magasin",D375="Ajustement (+)"),1,-1))</f>
        <v/>
      </c>
      <c r="Q375" s="34">
        <f>IF(C375="","",YEAR(C375-WEEKDAY(C375,2)+4)&amp;"-S"&amp;TEXT(INT((C375-DATE(YEAR(C375-WEEKDAY(C375,2)+4),1,3)+WEEKDAY(DATE(YEAR(C375-WEEKDAY(C375,2)+4),1,3),2)+5)/7),"00"))</f>
        <v/>
      </c>
    </row>
    <row r="376" ht="18" customHeight="1">
      <c r="A376" s="39" t="n">
        <v>371</v>
      </c>
      <c r="B376" s="33">
        <f>IF(C376="","",IF(L376="À RENSEIGNER","GIC",L376)&amp;"-S"&amp;TEXT(A376,"00000"))</f>
        <v/>
      </c>
      <c r="C376" s="32" t="n"/>
      <c r="D376" s="36" t="n"/>
      <c r="E376" s="36" t="n"/>
      <c r="F376" s="42" t="n"/>
      <c r="G376" s="36" t="n"/>
      <c r="H376" s="43" t="n"/>
      <c r="I376" s="37" t="n"/>
      <c r="J376" s="44" t="n"/>
      <c r="K376" s="36" t="n"/>
      <c r="L376" s="33">
        <f>IF(C376="","",Commercial_Id)</f>
        <v/>
      </c>
      <c r="M376" s="34">
        <f>IF(E376="","",IFERROR(VLOOKUP(E376,T_Produits,2,FALSE),""))</f>
        <v/>
      </c>
      <c r="N376" s="40">
        <f>IF(E376="","",IFERROR(1/(1/VLOOKUP(E376,T_Produits,3,FALSE)),""))</f>
        <v/>
      </c>
      <c r="O376" s="40">
        <f>IF(OR(D376="",F376=""),"",IF(OR(D376="Casse / avarie",D376="Perte / vol",D376="Échantillon offert"),IF(I376&lt;&gt;"",I376,IF(N376="","",F376*N376)),""))</f>
        <v/>
      </c>
      <c r="P376" s="50">
        <f>IF(OR(D376="",F376=""),"",F376*IF(OR(D376="Reçu du magasin",D376="Ajustement (+)"),1,-1))</f>
        <v/>
      </c>
      <c r="Q376" s="34">
        <f>IF(C376="","",YEAR(C376-WEEKDAY(C376,2)+4)&amp;"-S"&amp;TEXT(INT((C376-DATE(YEAR(C376-WEEKDAY(C376,2)+4),1,3)+WEEKDAY(DATE(YEAR(C376-WEEKDAY(C376,2)+4),1,3),2)+5)/7),"00"))</f>
        <v/>
      </c>
    </row>
    <row r="377" ht="18" customHeight="1">
      <c r="A377" s="39" t="n">
        <v>372</v>
      </c>
      <c r="B377" s="33">
        <f>IF(C377="","",IF(L377="À RENSEIGNER","GIC",L377)&amp;"-S"&amp;TEXT(A377,"00000"))</f>
        <v/>
      </c>
      <c r="C377" s="32" t="n"/>
      <c r="D377" s="36" t="n"/>
      <c r="E377" s="36" t="n"/>
      <c r="F377" s="42" t="n"/>
      <c r="G377" s="36" t="n"/>
      <c r="H377" s="43" t="n"/>
      <c r="I377" s="37" t="n"/>
      <c r="J377" s="44" t="n"/>
      <c r="K377" s="36" t="n"/>
      <c r="L377" s="33">
        <f>IF(C377="","",Commercial_Id)</f>
        <v/>
      </c>
      <c r="M377" s="34">
        <f>IF(E377="","",IFERROR(VLOOKUP(E377,T_Produits,2,FALSE),""))</f>
        <v/>
      </c>
      <c r="N377" s="40">
        <f>IF(E377="","",IFERROR(1/(1/VLOOKUP(E377,T_Produits,3,FALSE)),""))</f>
        <v/>
      </c>
      <c r="O377" s="40">
        <f>IF(OR(D377="",F377=""),"",IF(OR(D377="Casse / avarie",D377="Perte / vol",D377="Échantillon offert"),IF(I377&lt;&gt;"",I377,IF(N377="","",F377*N377)),""))</f>
        <v/>
      </c>
      <c r="P377" s="50">
        <f>IF(OR(D377="",F377=""),"",F377*IF(OR(D377="Reçu du magasin",D377="Ajustement (+)"),1,-1))</f>
        <v/>
      </c>
      <c r="Q377" s="34">
        <f>IF(C377="","",YEAR(C377-WEEKDAY(C377,2)+4)&amp;"-S"&amp;TEXT(INT((C377-DATE(YEAR(C377-WEEKDAY(C377,2)+4),1,3)+WEEKDAY(DATE(YEAR(C377-WEEKDAY(C377,2)+4),1,3),2)+5)/7),"00"))</f>
        <v/>
      </c>
    </row>
    <row r="378" ht="18" customHeight="1">
      <c r="A378" s="39" t="n">
        <v>373</v>
      </c>
      <c r="B378" s="33">
        <f>IF(C378="","",IF(L378="À RENSEIGNER","GIC",L378)&amp;"-S"&amp;TEXT(A378,"00000"))</f>
        <v/>
      </c>
      <c r="C378" s="32" t="n"/>
      <c r="D378" s="36" t="n"/>
      <c r="E378" s="36" t="n"/>
      <c r="F378" s="42" t="n"/>
      <c r="G378" s="36" t="n"/>
      <c r="H378" s="43" t="n"/>
      <c r="I378" s="37" t="n"/>
      <c r="J378" s="44" t="n"/>
      <c r="K378" s="36" t="n"/>
      <c r="L378" s="33">
        <f>IF(C378="","",Commercial_Id)</f>
        <v/>
      </c>
      <c r="M378" s="34">
        <f>IF(E378="","",IFERROR(VLOOKUP(E378,T_Produits,2,FALSE),""))</f>
        <v/>
      </c>
      <c r="N378" s="40">
        <f>IF(E378="","",IFERROR(1/(1/VLOOKUP(E378,T_Produits,3,FALSE)),""))</f>
        <v/>
      </c>
      <c r="O378" s="40">
        <f>IF(OR(D378="",F378=""),"",IF(OR(D378="Casse / avarie",D378="Perte / vol",D378="Échantillon offert"),IF(I378&lt;&gt;"",I378,IF(N378="","",F378*N378)),""))</f>
        <v/>
      </c>
      <c r="P378" s="50">
        <f>IF(OR(D378="",F378=""),"",F378*IF(OR(D378="Reçu du magasin",D378="Ajustement (+)"),1,-1))</f>
        <v/>
      </c>
      <c r="Q378" s="34">
        <f>IF(C378="","",YEAR(C378-WEEKDAY(C378,2)+4)&amp;"-S"&amp;TEXT(INT((C378-DATE(YEAR(C378-WEEKDAY(C378,2)+4),1,3)+WEEKDAY(DATE(YEAR(C378-WEEKDAY(C378,2)+4),1,3),2)+5)/7),"00"))</f>
        <v/>
      </c>
    </row>
    <row r="379" ht="18" customHeight="1">
      <c r="A379" s="39" t="n">
        <v>374</v>
      </c>
      <c r="B379" s="33">
        <f>IF(C379="","",IF(L379="À RENSEIGNER","GIC",L379)&amp;"-S"&amp;TEXT(A379,"00000"))</f>
        <v/>
      </c>
      <c r="C379" s="32" t="n"/>
      <c r="D379" s="36" t="n"/>
      <c r="E379" s="36" t="n"/>
      <c r="F379" s="42" t="n"/>
      <c r="G379" s="36" t="n"/>
      <c r="H379" s="43" t="n"/>
      <c r="I379" s="37" t="n"/>
      <c r="J379" s="44" t="n"/>
      <c r="K379" s="36" t="n"/>
      <c r="L379" s="33">
        <f>IF(C379="","",Commercial_Id)</f>
        <v/>
      </c>
      <c r="M379" s="34">
        <f>IF(E379="","",IFERROR(VLOOKUP(E379,T_Produits,2,FALSE),""))</f>
        <v/>
      </c>
      <c r="N379" s="40">
        <f>IF(E379="","",IFERROR(1/(1/VLOOKUP(E379,T_Produits,3,FALSE)),""))</f>
        <v/>
      </c>
      <c r="O379" s="40">
        <f>IF(OR(D379="",F379=""),"",IF(OR(D379="Casse / avarie",D379="Perte / vol",D379="Échantillon offert"),IF(I379&lt;&gt;"",I379,IF(N379="","",F379*N379)),""))</f>
        <v/>
      </c>
      <c r="P379" s="50">
        <f>IF(OR(D379="",F379=""),"",F379*IF(OR(D379="Reçu du magasin",D379="Ajustement (+)"),1,-1))</f>
        <v/>
      </c>
      <c r="Q379" s="34">
        <f>IF(C379="","",YEAR(C379-WEEKDAY(C379,2)+4)&amp;"-S"&amp;TEXT(INT((C379-DATE(YEAR(C379-WEEKDAY(C379,2)+4),1,3)+WEEKDAY(DATE(YEAR(C379-WEEKDAY(C379,2)+4),1,3),2)+5)/7),"00"))</f>
        <v/>
      </c>
    </row>
    <row r="380" ht="18" customHeight="1">
      <c r="A380" s="39" t="n">
        <v>375</v>
      </c>
      <c r="B380" s="33">
        <f>IF(C380="","",IF(L380="À RENSEIGNER","GIC",L380)&amp;"-S"&amp;TEXT(A380,"00000"))</f>
        <v/>
      </c>
      <c r="C380" s="32" t="n"/>
      <c r="D380" s="36" t="n"/>
      <c r="E380" s="36" t="n"/>
      <c r="F380" s="42" t="n"/>
      <c r="G380" s="36" t="n"/>
      <c r="H380" s="43" t="n"/>
      <c r="I380" s="37" t="n"/>
      <c r="J380" s="44" t="n"/>
      <c r="K380" s="36" t="n"/>
      <c r="L380" s="33">
        <f>IF(C380="","",Commercial_Id)</f>
        <v/>
      </c>
      <c r="M380" s="34">
        <f>IF(E380="","",IFERROR(VLOOKUP(E380,T_Produits,2,FALSE),""))</f>
        <v/>
      </c>
      <c r="N380" s="40">
        <f>IF(E380="","",IFERROR(1/(1/VLOOKUP(E380,T_Produits,3,FALSE)),""))</f>
        <v/>
      </c>
      <c r="O380" s="40">
        <f>IF(OR(D380="",F380=""),"",IF(OR(D380="Casse / avarie",D380="Perte / vol",D380="Échantillon offert"),IF(I380&lt;&gt;"",I380,IF(N380="","",F380*N380)),""))</f>
        <v/>
      </c>
      <c r="P380" s="50">
        <f>IF(OR(D380="",F380=""),"",F380*IF(OR(D380="Reçu du magasin",D380="Ajustement (+)"),1,-1))</f>
        <v/>
      </c>
      <c r="Q380" s="34">
        <f>IF(C380="","",YEAR(C380-WEEKDAY(C380,2)+4)&amp;"-S"&amp;TEXT(INT((C380-DATE(YEAR(C380-WEEKDAY(C380,2)+4),1,3)+WEEKDAY(DATE(YEAR(C380-WEEKDAY(C380,2)+4),1,3),2)+5)/7),"00"))</f>
        <v/>
      </c>
    </row>
    <row r="381" ht="18" customHeight="1">
      <c r="A381" s="39" t="n">
        <v>376</v>
      </c>
      <c r="B381" s="33">
        <f>IF(C381="","",IF(L381="À RENSEIGNER","GIC",L381)&amp;"-S"&amp;TEXT(A381,"00000"))</f>
        <v/>
      </c>
      <c r="C381" s="32" t="n"/>
      <c r="D381" s="36" t="n"/>
      <c r="E381" s="36" t="n"/>
      <c r="F381" s="42" t="n"/>
      <c r="G381" s="36" t="n"/>
      <c r="H381" s="43" t="n"/>
      <c r="I381" s="37" t="n"/>
      <c r="J381" s="44" t="n"/>
      <c r="K381" s="36" t="n"/>
      <c r="L381" s="33">
        <f>IF(C381="","",Commercial_Id)</f>
        <v/>
      </c>
      <c r="M381" s="34">
        <f>IF(E381="","",IFERROR(VLOOKUP(E381,T_Produits,2,FALSE),""))</f>
        <v/>
      </c>
      <c r="N381" s="40">
        <f>IF(E381="","",IFERROR(1/(1/VLOOKUP(E381,T_Produits,3,FALSE)),""))</f>
        <v/>
      </c>
      <c r="O381" s="40">
        <f>IF(OR(D381="",F381=""),"",IF(OR(D381="Casse / avarie",D381="Perte / vol",D381="Échantillon offert"),IF(I381&lt;&gt;"",I381,IF(N381="","",F381*N381)),""))</f>
        <v/>
      </c>
      <c r="P381" s="50">
        <f>IF(OR(D381="",F381=""),"",F381*IF(OR(D381="Reçu du magasin",D381="Ajustement (+)"),1,-1))</f>
        <v/>
      </c>
      <c r="Q381" s="34">
        <f>IF(C381="","",YEAR(C381-WEEKDAY(C381,2)+4)&amp;"-S"&amp;TEXT(INT((C381-DATE(YEAR(C381-WEEKDAY(C381,2)+4),1,3)+WEEKDAY(DATE(YEAR(C381-WEEKDAY(C381,2)+4),1,3),2)+5)/7),"00"))</f>
        <v/>
      </c>
    </row>
    <row r="382" ht="18" customHeight="1">
      <c r="A382" s="39" t="n">
        <v>377</v>
      </c>
      <c r="B382" s="33">
        <f>IF(C382="","",IF(L382="À RENSEIGNER","GIC",L382)&amp;"-S"&amp;TEXT(A382,"00000"))</f>
        <v/>
      </c>
      <c r="C382" s="32" t="n"/>
      <c r="D382" s="36" t="n"/>
      <c r="E382" s="36" t="n"/>
      <c r="F382" s="42" t="n"/>
      <c r="G382" s="36" t="n"/>
      <c r="H382" s="43" t="n"/>
      <c r="I382" s="37" t="n"/>
      <c r="J382" s="44" t="n"/>
      <c r="K382" s="36" t="n"/>
      <c r="L382" s="33">
        <f>IF(C382="","",Commercial_Id)</f>
        <v/>
      </c>
      <c r="M382" s="34">
        <f>IF(E382="","",IFERROR(VLOOKUP(E382,T_Produits,2,FALSE),""))</f>
        <v/>
      </c>
      <c r="N382" s="40">
        <f>IF(E382="","",IFERROR(1/(1/VLOOKUP(E382,T_Produits,3,FALSE)),""))</f>
        <v/>
      </c>
      <c r="O382" s="40">
        <f>IF(OR(D382="",F382=""),"",IF(OR(D382="Casse / avarie",D382="Perte / vol",D382="Échantillon offert"),IF(I382&lt;&gt;"",I382,IF(N382="","",F382*N382)),""))</f>
        <v/>
      </c>
      <c r="P382" s="50">
        <f>IF(OR(D382="",F382=""),"",F382*IF(OR(D382="Reçu du magasin",D382="Ajustement (+)"),1,-1))</f>
        <v/>
      </c>
      <c r="Q382" s="34">
        <f>IF(C382="","",YEAR(C382-WEEKDAY(C382,2)+4)&amp;"-S"&amp;TEXT(INT((C382-DATE(YEAR(C382-WEEKDAY(C382,2)+4),1,3)+WEEKDAY(DATE(YEAR(C382-WEEKDAY(C382,2)+4),1,3),2)+5)/7),"00"))</f>
        <v/>
      </c>
    </row>
    <row r="383" ht="18" customHeight="1">
      <c r="A383" s="39" t="n">
        <v>378</v>
      </c>
      <c r="B383" s="33">
        <f>IF(C383="","",IF(L383="À RENSEIGNER","GIC",L383)&amp;"-S"&amp;TEXT(A383,"00000"))</f>
        <v/>
      </c>
      <c r="C383" s="32" t="n"/>
      <c r="D383" s="36" t="n"/>
      <c r="E383" s="36" t="n"/>
      <c r="F383" s="42" t="n"/>
      <c r="G383" s="36" t="n"/>
      <c r="H383" s="43" t="n"/>
      <c r="I383" s="37" t="n"/>
      <c r="J383" s="44" t="n"/>
      <c r="K383" s="36" t="n"/>
      <c r="L383" s="33">
        <f>IF(C383="","",Commercial_Id)</f>
        <v/>
      </c>
      <c r="M383" s="34">
        <f>IF(E383="","",IFERROR(VLOOKUP(E383,T_Produits,2,FALSE),""))</f>
        <v/>
      </c>
      <c r="N383" s="40">
        <f>IF(E383="","",IFERROR(1/(1/VLOOKUP(E383,T_Produits,3,FALSE)),""))</f>
        <v/>
      </c>
      <c r="O383" s="40">
        <f>IF(OR(D383="",F383=""),"",IF(OR(D383="Casse / avarie",D383="Perte / vol",D383="Échantillon offert"),IF(I383&lt;&gt;"",I383,IF(N383="","",F383*N383)),""))</f>
        <v/>
      </c>
      <c r="P383" s="50">
        <f>IF(OR(D383="",F383=""),"",F383*IF(OR(D383="Reçu du magasin",D383="Ajustement (+)"),1,-1))</f>
        <v/>
      </c>
      <c r="Q383" s="34">
        <f>IF(C383="","",YEAR(C383-WEEKDAY(C383,2)+4)&amp;"-S"&amp;TEXT(INT((C383-DATE(YEAR(C383-WEEKDAY(C383,2)+4),1,3)+WEEKDAY(DATE(YEAR(C383-WEEKDAY(C383,2)+4),1,3),2)+5)/7),"00"))</f>
        <v/>
      </c>
    </row>
    <row r="384" ht="18" customHeight="1">
      <c r="A384" s="39" t="n">
        <v>379</v>
      </c>
      <c r="B384" s="33">
        <f>IF(C384="","",IF(L384="À RENSEIGNER","GIC",L384)&amp;"-S"&amp;TEXT(A384,"00000"))</f>
        <v/>
      </c>
      <c r="C384" s="32" t="n"/>
      <c r="D384" s="36" t="n"/>
      <c r="E384" s="36" t="n"/>
      <c r="F384" s="42" t="n"/>
      <c r="G384" s="36" t="n"/>
      <c r="H384" s="43" t="n"/>
      <c r="I384" s="37" t="n"/>
      <c r="J384" s="44" t="n"/>
      <c r="K384" s="36" t="n"/>
      <c r="L384" s="33">
        <f>IF(C384="","",Commercial_Id)</f>
        <v/>
      </c>
      <c r="M384" s="34">
        <f>IF(E384="","",IFERROR(VLOOKUP(E384,T_Produits,2,FALSE),""))</f>
        <v/>
      </c>
      <c r="N384" s="40">
        <f>IF(E384="","",IFERROR(1/(1/VLOOKUP(E384,T_Produits,3,FALSE)),""))</f>
        <v/>
      </c>
      <c r="O384" s="40">
        <f>IF(OR(D384="",F384=""),"",IF(OR(D384="Casse / avarie",D384="Perte / vol",D384="Échantillon offert"),IF(I384&lt;&gt;"",I384,IF(N384="","",F384*N384)),""))</f>
        <v/>
      </c>
      <c r="P384" s="50">
        <f>IF(OR(D384="",F384=""),"",F384*IF(OR(D384="Reçu du magasin",D384="Ajustement (+)"),1,-1))</f>
        <v/>
      </c>
      <c r="Q384" s="34">
        <f>IF(C384="","",YEAR(C384-WEEKDAY(C384,2)+4)&amp;"-S"&amp;TEXT(INT((C384-DATE(YEAR(C384-WEEKDAY(C384,2)+4),1,3)+WEEKDAY(DATE(YEAR(C384-WEEKDAY(C384,2)+4),1,3),2)+5)/7),"00"))</f>
        <v/>
      </c>
    </row>
    <row r="385" ht="18" customHeight="1">
      <c r="A385" s="39" t="n">
        <v>380</v>
      </c>
      <c r="B385" s="33">
        <f>IF(C385="","",IF(L385="À RENSEIGNER","GIC",L385)&amp;"-S"&amp;TEXT(A385,"00000"))</f>
        <v/>
      </c>
      <c r="C385" s="32" t="n"/>
      <c r="D385" s="36" t="n"/>
      <c r="E385" s="36" t="n"/>
      <c r="F385" s="42" t="n"/>
      <c r="G385" s="36" t="n"/>
      <c r="H385" s="43" t="n"/>
      <c r="I385" s="37" t="n"/>
      <c r="J385" s="44" t="n"/>
      <c r="K385" s="36" t="n"/>
      <c r="L385" s="33">
        <f>IF(C385="","",Commercial_Id)</f>
        <v/>
      </c>
      <c r="M385" s="34">
        <f>IF(E385="","",IFERROR(VLOOKUP(E385,T_Produits,2,FALSE),""))</f>
        <v/>
      </c>
      <c r="N385" s="40">
        <f>IF(E385="","",IFERROR(1/(1/VLOOKUP(E385,T_Produits,3,FALSE)),""))</f>
        <v/>
      </c>
      <c r="O385" s="40">
        <f>IF(OR(D385="",F385=""),"",IF(OR(D385="Casse / avarie",D385="Perte / vol",D385="Échantillon offert"),IF(I385&lt;&gt;"",I385,IF(N385="","",F385*N385)),""))</f>
        <v/>
      </c>
      <c r="P385" s="50">
        <f>IF(OR(D385="",F385=""),"",F385*IF(OR(D385="Reçu du magasin",D385="Ajustement (+)"),1,-1))</f>
        <v/>
      </c>
      <c r="Q385" s="34">
        <f>IF(C385="","",YEAR(C385-WEEKDAY(C385,2)+4)&amp;"-S"&amp;TEXT(INT((C385-DATE(YEAR(C385-WEEKDAY(C385,2)+4),1,3)+WEEKDAY(DATE(YEAR(C385-WEEKDAY(C385,2)+4),1,3),2)+5)/7),"00"))</f>
        <v/>
      </c>
    </row>
    <row r="386" ht="18" customHeight="1">
      <c r="A386" s="39" t="n">
        <v>381</v>
      </c>
      <c r="B386" s="33">
        <f>IF(C386="","",IF(L386="À RENSEIGNER","GIC",L386)&amp;"-S"&amp;TEXT(A386,"00000"))</f>
        <v/>
      </c>
      <c r="C386" s="32" t="n"/>
      <c r="D386" s="36" t="n"/>
      <c r="E386" s="36" t="n"/>
      <c r="F386" s="42" t="n"/>
      <c r="G386" s="36" t="n"/>
      <c r="H386" s="43" t="n"/>
      <c r="I386" s="37" t="n"/>
      <c r="J386" s="44" t="n"/>
      <c r="K386" s="36" t="n"/>
      <c r="L386" s="33">
        <f>IF(C386="","",Commercial_Id)</f>
        <v/>
      </c>
      <c r="M386" s="34">
        <f>IF(E386="","",IFERROR(VLOOKUP(E386,T_Produits,2,FALSE),""))</f>
        <v/>
      </c>
      <c r="N386" s="40">
        <f>IF(E386="","",IFERROR(1/(1/VLOOKUP(E386,T_Produits,3,FALSE)),""))</f>
        <v/>
      </c>
      <c r="O386" s="40">
        <f>IF(OR(D386="",F386=""),"",IF(OR(D386="Casse / avarie",D386="Perte / vol",D386="Échantillon offert"),IF(I386&lt;&gt;"",I386,IF(N386="","",F386*N386)),""))</f>
        <v/>
      </c>
      <c r="P386" s="50">
        <f>IF(OR(D386="",F386=""),"",F386*IF(OR(D386="Reçu du magasin",D386="Ajustement (+)"),1,-1))</f>
        <v/>
      </c>
      <c r="Q386" s="34">
        <f>IF(C386="","",YEAR(C386-WEEKDAY(C386,2)+4)&amp;"-S"&amp;TEXT(INT((C386-DATE(YEAR(C386-WEEKDAY(C386,2)+4),1,3)+WEEKDAY(DATE(YEAR(C386-WEEKDAY(C386,2)+4),1,3),2)+5)/7),"00"))</f>
        <v/>
      </c>
    </row>
    <row r="387" ht="18" customHeight="1">
      <c r="A387" s="39" t="n">
        <v>382</v>
      </c>
      <c r="B387" s="33">
        <f>IF(C387="","",IF(L387="À RENSEIGNER","GIC",L387)&amp;"-S"&amp;TEXT(A387,"00000"))</f>
        <v/>
      </c>
      <c r="C387" s="32" t="n"/>
      <c r="D387" s="36" t="n"/>
      <c r="E387" s="36" t="n"/>
      <c r="F387" s="42" t="n"/>
      <c r="G387" s="36" t="n"/>
      <c r="H387" s="43" t="n"/>
      <c r="I387" s="37" t="n"/>
      <c r="J387" s="44" t="n"/>
      <c r="K387" s="36" t="n"/>
      <c r="L387" s="33">
        <f>IF(C387="","",Commercial_Id)</f>
        <v/>
      </c>
      <c r="M387" s="34">
        <f>IF(E387="","",IFERROR(VLOOKUP(E387,T_Produits,2,FALSE),""))</f>
        <v/>
      </c>
      <c r="N387" s="40">
        <f>IF(E387="","",IFERROR(1/(1/VLOOKUP(E387,T_Produits,3,FALSE)),""))</f>
        <v/>
      </c>
      <c r="O387" s="40">
        <f>IF(OR(D387="",F387=""),"",IF(OR(D387="Casse / avarie",D387="Perte / vol",D387="Échantillon offert"),IF(I387&lt;&gt;"",I387,IF(N387="","",F387*N387)),""))</f>
        <v/>
      </c>
      <c r="P387" s="50">
        <f>IF(OR(D387="",F387=""),"",F387*IF(OR(D387="Reçu du magasin",D387="Ajustement (+)"),1,-1))</f>
        <v/>
      </c>
      <c r="Q387" s="34">
        <f>IF(C387="","",YEAR(C387-WEEKDAY(C387,2)+4)&amp;"-S"&amp;TEXT(INT((C387-DATE(YEAR(C387-WEEKDAY(C387,2)+4),1,3)+WEEKDAY(DATE(YEAR(C387-WEEKDAY(C387,2)+4),1,3),2)+5)/7),"00"))</f>
        <v/>
      </c>
    </row>
    <row r="388" ht="18" customHeight="1">
      <c r="A388" s="39" t="n">
        <v>383</v>
      </c>
      <c r="B388" s="33">
        <f>IF(C388="","",IF(L388="À RENSEIGNER","GIC",L388)&amp;"-S"&amp;TEXT(A388,"00000"))</f>
        <v/>
      </c>
      <c r="C388" s="32" t="n"/>
      <c r="D388" s="36" t="n"/>
      <c r="E388" s="36" t="n"/>
      <c r="F388" s="42" t="n"/>
      <c r="G388" s="36" t="n"/>
      <c r="H388" s="43" t="n"/>
      <c r="I388" s="37" t="n"/>
      <c r="J388" s="44" t="n"/>
      <c r="K388" s="36" t="n"/>
      <c r="L388" s="33">
        <f>IF(C388="","",Commercial_Id)</f>
        <v/>
      </c>
      <c r="M388" s="34">
        <f>IF(E388="","",IFERROR(VLOOKUP(E388,T_Produits,2,FALSE),""))</f>
        <v/>
      </c>
      <c r="N388" s="40">
        <f>IF(E388="","",IFERROR(1/(1/VLOOKUP(E388,T_Produits,3,FALSE)),""))</f>
        <v/>
      </c>
      <c r="O388" s="40">
        <f>IF(OR(D388="",F388=""),"",IF(OR(D388="Casse / avarie",D388="Perte / vol",D388="Échantillon offert"),IF(I388&lt;&gt;"",I388,IF(N388="","",F388*N388)),""))</f>
        <v/>
      </c>
      <c r="P388" s="50">
        <f>IF(OR(D388="",F388=""),"",F388*IF(OR(D388="Reçu du magasin",D388="Ajustement (+)"),1,-1))</f>
        <v/>
      </c>
      <c r="Q388" s="34">
        <f>IF(C388="","",YEAR(C388-WEEKDAY(C388,2)+4)&amp;"-S"&amp;TEXT(INT((C388-DATE(YEAR(C388-WEEKDAY(C388,2)+4),1,3)+WEEKDAY(DATE(YEAR(C388-WEEKDAY(C388,2)+4),1,3),2)+5)/7),"00"))</f>
        <v/>
      </c>
    </row>
    <row r="389" ht="18" customHeight="1">
      <c r="A389" s="39" t="n">
        <v>384</v>
      </c>
      <c r="B389" s="33">
        <f>IF(C389="","",IF(L389="À RENSEIGNER","GIC",L389)&amp;"-S"&amp;TEXT(A389,"00000"))</f>
        <v/>
      </c>
      <c r="C389" s="32" t="n"/>
      <c r="D389" s="36" t="n"/>
      <c r="E389" s="36" t="n"/>
      <c r="F389" s="42" t="n"/>
      <c r="G389" s="36" t="n"/>
      <c r="H389" s="43" t="n"/>
      <c r="I389" s="37" t="n"/>
      <c r="J389" s="44" t="n"/>
      <c r="K389" s="36" t="n"/>
      <c r="L389" s="33">
        <f>IF(C389="","",Commercial_Id)</f>
        <v/>
      </c>
      <c r="M389" s="34">
        <f>IF(E389="","",IFERROR(VLOOKUP(E389,T_Produits,2,FALSE),""))</f>
        <v/>
      </c>
      <c r="N389" s="40">
        <f>IF(E389="","",IFERROR(1/(1/VLOOKUP(E389,T_Produits,3,FALSE)),""))</f>
        <v/>
      </c>
      <c r="O389" s="40">
        <f>IF(OR(D389="",F389=""),"",IF(OR(D389="Casse / avarie",D389="Perte / vol",D389="Échantillon offert"),IF(I389&lt;&gt;"",I389,IF(N389="","",F389*N389)),""))</f>
        <v/>
      </c>
      <c r="P389" s="50">
        <f>IF(OR(D389="",F389=""),"",F389*IF(OR(D389="Reçu du magasin",D389="Ajustement (+)"),1,-1))</f>
        <v/>
      </c>
      <c r="Q389" s="34">
        <f>IF(C389="","",YEAR(C389-WEEKDAY(C389,2)+4)&amp;"-S"&amp;TEXT(INT((C389-DATE(YEAR(C389-WEEKDAY(C389,2)+4),1,3)+WEEKDAY(DATE(YEAR(C389-WEEKDAY(C389,2)+4),1,3),2)+5)/7),"00"))</f>
        <v/>
      </c>
    </row>
    <row r="390" ht="18" customHeight="1">
      <c r="A390" s="39" t="n">
        <v>385</v>
      </c>
      <c r="B390" s="33">
        <f>IF(C390="","",IF(L390="À RENSEIGNER","GIC",L390)&amp;"-S"&amp;TEXT(A390,"00000"))</f>
        <v/>
      </c>
      <c r="C390" s="32" t="n"/>
      <c r="D390" s="36" t="n"/>
      <c r="E390" s="36" t="n"/>
      <c r="F390" s="42" t="n"/>
      <c r="G390" s="36" t="n"/>
      <c r="H390" s="43" t="n"/>
      <c r="I390" s="37" t="n"/>
      <c r="J390" s="44" t="n"/>
      <c r="K390" s="36" t="n"/>
      <c r="L390" s="33">
        <f>IF(C390="","",Commercial_Id)</f>
        <v/>
      </c>
      <c r="M390" s="34">
        <f>IF(E390="","",IFERROR(VLOOKUP(E390,T_Produits,2,FALSE),""))</f>
        <v/>
      </c>
      <c r="N390" s="40">
        <f>IF(E390="","",IFERROR(1/(1/VLOOKUP(E390,T_Produits,3,FALSE)),""))</f>
        <v/>
      </c>
      <c r="O390" s="40">
        <f>IF(OR(D390="",F390=""),"",IF(OR(D390="Casse / avarie",D390="Perte / vol",D390="Échantillon offert"),IF(I390&lt;&gt;"",I390,IF(N390="","",F390*N390)),""))</f>
        <v/>
      </c>
      <c r="P390" s="50">
        <f>IF(OR(D390="",F390=""),"",F390*IF(OR(D390="Reçu du magasin",D390="Ajustement (+)"),1,-1))</f>
        <v/>
      </c>
      <c r="Q390" s="34">
        <f>IF(C390="","",YEAR(C390-WEEKDAY(C390,2)+4)&amp;"-S"&amp;TEXT(INT((C390-DATE(YEAR(C390-WEEKDAY(C390,2)+4),1,3)+WEEKDAY(DATE(YEAR(C390-WEEKDAY(C390,2)+4),1,3),2)+5)/7),"00"))</f>
        <v/>
      </c>
    </row>
    <row r="391" ht="18" customHeight="1">
      <c r="A391" s="39" t="n">
        <v>386</v>
      </c>
      <c r="B391" s="33">
        <f>IF(C391="","",IF(L391="À RENSEIGNER","GIC",L391)&amp;"-S"&amp;TEXT(A391,"00000"))</f>
        <v/>
      </c>
      <c r="C391" s="32" t="n"/>
      <c r="D391" s="36" t="n"/>
      <c r="E391" s="36" t="n"/>
      <c r="F391" s="42" t="n"/>
      <c r="G391" s="36" t="n"/>
      <c r="H391" s="43" t="n"/>
      <c r="I391" s="37" t="n"/>
      <c r="J391" s="44" t="n"/>
      <c r="K391" s="36" t="n"/>
      <c r="L391" s="33">
        <f>IF(C391="","",Commercial_Id)</f>
        <v/>
      </c>
      <c r="M391" s="34">
        <f>IF(E391="","",IFERROR(VLOOKUP(E391,T_Produits,2,FALSE),""))</f>
        <v/>
      </c>
      <c r="N391" s="40">
        <f>IF(E391="","",IFERROR(1/(1/VLOOKUP(E391,T_Produits,3,FALSE)),""))</f>
        <v/>
      </c>
      <c r="O391" s="40">
        <f>IF(OR(D391="",F391=""),"",IF(OR(D391="Casse / avarie",D391="Perte / vol",D391="Échantillon offert"),IF(I391&lt;&gt;"",I391,IF(N391="","",F391*N391)),""))</f>
        <v/>
      </c>
      <c r="P391" s="50">
        <f>IF(OR(D391="",F391=""),"",F391*IF(OR(D391="Reçu du magasin",D391="Ajustement (+)"),1,-1))</f>
        <v/>
      </c>
      <c r="Q391" s="34">
        <f>IF(C391="","",YEAR(C391-WEEKDAY(C391,2)+4)&amp;"-S"&amp;TEXT(INT((C391-DATE(YEAR(C391-WEEKDAY(C391,2)+4),1,3)+WEEKDAY(DATE(YEAR(C391-WEEKDAY(C391,2)+4),1,3),2)+5)/7),"00"))</f>
        <v/>
      </c>
    </row>
    <row r="392" ht="18" customHeight="1">
      <c r="A392" s="39" t="n">
        <v>387</v>
      </c>
      <c r="B392" s="33">
        <f>IF(C392="","",IF(L392="À RENSEIGNER","GIC",L392)&amp;"-S"&amp;TEXT(A392,"00000"))</f>
        <v/>
      </c>
      <c r="C392" s="32" t="n"/>
      <c r="D392" s="36" t="n"/>
      <c r="E392" s="36" t="n"/>
      <c r="F392" s="42" t="n"/>
      <c r="G392" s="36" t="n"/>
      <c r="H392" s="43" t="n"/>
      <c r="I392" s="37" t="n"/>
      <c r="J392" s="44" t="n"/>
      <c r="K392" s="36" t="n"/>
      <c r="L392" s="33">
        <f>IF(C392="","",Commercial_Id)</f>
        <v/>
      </c>
      <c r="M392" s="34">
        <f>IF(E392="","",IFERROR(VLOOKUP(E392,T_Produits,2,FALSE),""))</f>
        <v/>
      </c>
      <c r="N392" s="40">
        <f>IF(E392="","",IFERROR(1/(1/VLOOKUP(E392,T_Produits,3,FALSE)),""))</f>
        <v/>
      </c>
      <c r="O392" s="40">
        <f>IF(OR(D392="",F392=""),"",IF(OR(D392="Casse / avarie",D392="Perte / vol",D392="Échantillon offert"),IF(I392&lt;&gt;"",I392,IF(N392="","",F392*N392)),""))</f>
        <v/>
      </c>
      <c r="P392" s="50">
        <f>IF(OR(D392="",F392=""),"",F392*IF(OR(D392="Reçu du magasin",D392="Ajustement (+)"),1,-1))</f>
        <v/>
      </c>
      <c r="Q392" s="34">
        <f>IF(C392="","",YEAR(C392-WEEKDAY(C392,2)+4)&amp;"-S"&amp;TEXT(INT((C392-DATE(YEAR(C392-WEEKDAY(C392,2)+4),1,3)+WEEKDAY(DATE(YEAR(C392-WEEKDAY(C392,2)+4),1,3),2)+5)/7),"00"))</f>
        <v/>
      </c>
    </row>
    <row r="393" ht="18" customHeight="1">
      <c r="A393" s="39" t="n">
        <v>388</v>
      </c>
      <c r="B393" s="33">
        <f>IF(C393="","",IF(L393="À RENSEIGNER","GIC",L393)&amp;"-S"&amp;TEXT(A393,"00000"))</f>
        <v/>
      </c>
      <c r="C393" s="32" t="n"/>
      <c r="D393" s="36" t="n"/>
      <c r="E393" s="36" t="n"/>
      <c r="F393" s="42" t="n"/>
      <c r="G393" s="36" t="n"/>
      <c r="H393" s="43" t="n"/>
      <c r="I393" s="37" t="n"/>
      <c r="J393" s="44" t="n"/>
      <c r="K393" s="36" t="n"/>
      <c r="L393" s="33">
        <f>IF(C393="","",Commercial_Id)</f>
        <v/>
      </c>
      <c r="M393" s="34">
        <f>IF(E393="","",IFERROR(VLOOKUP(E393,T_Produits,2,FALSE),""))</f>
        <v/>
      </c>
      <c r="N393" s="40">
        <f>IF(E393="","",IFERROR(1/(1/VLOOKUP(E393,T_Produits,3,FALSE)),""))</f>
        <v/>
      </c>
      <c r="O393" s="40">
        <f>IF(OR(D393="",F393=""),"",IF(OR(D393="Casse / avarie",D393="Perte / vol",D393="Échantillon offert"),IF(I393&lt;&gt;"",I393,IF(N393="","",F393*N393)),""))</f>
        <v/>
      </c>
      <c r="P393" s="50">
        <f>IF(OR(D393="",F393=""),"",F393*IF(OR(D393="Reçu du magasin",D393="Ajustement (+)"),1,-1))</f>
        <v/>
      </c>
      <c r="Q393" s="34">
        <f>IF(C393="","",YEAR(C393-WEEKDAY(C393,2)+4)&amp;"-S"&amp;TEXT(INT((C393-DATE(YEAR(C393-WEEKDAY(C393,2)+4),1,3)+WEEKDAY(DATE(YEAR(C393-WEEKDAY(C393,2)+4),1,3),2)+5)/7),"00"))</f>
        <v/>
      </c>
    </row>
    <row r="394" ht="18" customHeight="1">
      <c r="A394" s="39" t="n">
        <v>389</v>
      </c>
      <c r="B394" s="33">
        <f>IF(C394="","",IF(L394="À RENSEIGNER","GIC",L394)&amp;"-S"&amp;TEXT(A394,"00000"))</f>
        <v/>
      </c>
      <c r="C394" s="32" t="n"/>
      <c r="D394" s="36" t="n"/>
      <c r="E394" s="36" t="n"/>
      <c r="F394" s="42" t="n"/>
      <c r="G394" s="36" t="n"/>
      <c r="H394" s="43" t="n"/>
      <c r="I394" s="37" t="n"/>
      <c r="J394" s="44" t="n"/>
      <c r="K394" s="36" t="n"/>
      <c r="L394" s="33">
        <f>IF(C394="","",Commercial_Id)</f>
        <v/>
      </c>
      <c r="M394" s="34">
        <f>IF(E394="","",IFERROR(VLOOKUP(E394,T_Produits,2,FALSE),""))</f>
        <v/>
      </c>
      <c r="N394" s="40">
        <f>IF(E394="","",IFERROR(1/(1/VLOOKUP(E394,T_Produits,3,FALSE)),""))</f>
        <v/>
      </c>
      <c r="O394" s="40">
        <f>IF(OR(D394="",F394=""),"",IF(OR(D394="Casse / avarie",D394="Perte / vol",D394="Échantillon offert"),IF(I394&lt;&gt;"",I394,IF(N394="","",F394*N394)),""))</f>
        <v/>
      </c>
      <c r="P394" s="50">
        <f>IF(OR(D394="",F394=""),"",F394*IF(OR(D394="Reçu du magasin",D394="Ajustement (+)"),1,-1))</f>
        <v/>
      </c>
      <c r="Q394" s="34">
        <f>IF(C394="","",YEAR(C394-WEEKDAY(C394,2)+4)&amp;"-S"&amp;TEXT(INT((C394-DATE(YEAR(C394-WEEKDAY(C394,2)+4),1,3)+WEEKDAY(DATE(YEAR(C394-WEEKDAY(C394,2)+4),1,3),2)+5)/7),"00"))</f>
        <v/>
      </c>
    </row>
    <row r="395" ht="18" customHeight="1">
      <c r="A395" s="39" t="n">
        <v>390</v>
      </c>
      <c r="B395" s="33">
        <f>IF(C395="","",IF(L395="À RENSEIGNER","GIC",L395)&amp;"-S"&amp;TEXT(A395,"00000"))</f>
        <v/>
      </c>
      <c r="C395" s="32" t="n"/>
      <c r="D395" s="36" t="n"/>
      <c r="E395" s="36" t="n"/>
      <c r="F395" s="42" t="n"/>
      <c r="G395" s="36" t="n"/>
      <c r="H395" s="43" t="n"/>
      <c r="I395" s="37" t="n"/>
      <c r="J395" s="44" t="n"/>
      <c r="K395" s="36" t="n"/>
      <c r="L395" s="33">
        <f>IF(C395="","",Commercial_Id)</f>
        <v/>
      </c>
      <c r="M395" s="34">
        <f>IF(E395="","",IFERROR(VLOOKUP(E395,T_Produits,2,FALSE),""))</f>
        <v/>
      </c>
      <c r="N395" s="40">
        <f>IF(E395="","",IFERROR(1/(1/VLOOKUP(E395,T_Produits,3,FALSE)),""))</f>
        <v/>
      </c>
      <c r="O395" s="40">
        <f>IF(OR(D395="",F395=""),"",IF(OR(D395="Casse / avarie",D395="Perte / vol",D395="Échantillon offert"),IF(I395&lt;&gt;"",I395,IF(N395="","",F395*N395)),""))</f>
        <v/>
      </c>
      <c r="P395" s="50">
        <f>IF(OR(D395="",F395=""),"",F395*IF(OR(D395="Reçu du magasin",D395="Ajustement (+)"),1,-1))</f>
        <v/>
      </c>
      <c r="Q395" s="34">
        <f>IF(C395="","",YEAR(C395-WEEKDAY(C395,2)+4)&amp;"-S"&amp;TEXT(INT((C395-DATE(YEAR(C395-WEEKDAY(C395,2)+4),1,3)+WEEKDAY(DATE(YEAR(C395-WEEKDAY(C395,2)+4),1,3),2)+5)/7),"00"))</f>
        <v/>
      </c>
    </row>
    <row r="396" ht="18" customHeight="1">
      <c r="A396" s="39" t="n">
        <v>391</v>
      </c>
      <c r="B396" s="33">
        <f>IF(C396="","",IF(L396="À RENSEIGNER","GIC",L396)&amp;"-S"&amp;TEXT(A396,"00000"))</f>
        <v/>
      </c>
      <c r="C396" s="32" t="n"/>
      <c r="D396" s="36" t="n"/>
      <c r="E396" s="36" t="n"/>
      <c r="F396" s="42" t="n"/>
      <c r="G396" s="36" t="n"/>
      <c r="H396" s="43" t="n"/>
      <c r="I396" s="37" t="n"/>
      <c r="J396" s="44" t="n"/>
      <c r="K396" s="36" t="n"/>
      <c r="L396" s="33">
        <f>IF(C396="","",Commercial_Id)</f>
        <v/>
      </c>
      <c r="M396" s="34">
        <f>IF(E396="","",IFERROR(VLOOKUP(E396,T_Produits,2,FALSE),""))</f>
        <v/>
      </c>
      <c r="N396" s="40">
        <f>IF(E396="","",IFERROR(1/(1/VLOOKUP(E396,T_Produits,3,FALSE)),""))</f>
        <v/>
      </c>
      <c r="O396" s="40">
        <f>IF(OR(D396="",F396=""),"",IF(OR(D396="Casse / avarie",D396="Perte / vol",D396="Échantillon offert"),IF(I396&lt;&gt;"",I396,IF(N396="","",F396*N396)),""))</f>
        <v/>
      </c>
      <c r="P396" s="50">
        <f>IF(OR(D396="",F396=""),"",F396*IF(OR(D396="Reçu du magasin",D396="Ajustement (+)"),1,-1))</f>
        <v/>
      </c>
      <c r="Q396" s="34">
        <f>IF(C396="","",YEAR(C396-WEEKDAY(C396,2)+4)&amp;"-S"&amp;TEXT(INT((C396-DATE(YEAR(C396-WEEKDAY(C396,2)+4),1,3)+WEEKDAY(DATE(YEAR(C396-WEEKDAY(C396,2)+4),1,3),2)+5)/7),"00"))</f>
        <v/>
      </c>
    </row>
    <row r="397" ht="18" customHeight="1">
      <c r="A397" s="39" t="n">
        <v>392</v>
      </c>
      <c r="B397" s="33">
        <f>IF(C397="","",IF(L397="À RENSEIGNER","GIC",L397)&amp;"-S"&amp;TEXT(A397,"00000"))</f>
        <v/>
      </c>
      <c r="C397" s="32" t="n"/>
      <c r="D397" s="36" t="n"/>
      <c r="E397" s="36" t="n"/>
      <c r="F397" s="42" t="n"/>
      <c r="G397" s="36" t="n"/>
      <c r="H397" s="43" t="n"/>
      <c r="I397" s="37" t="n"/>
      <c r="J397" s="44" t="n"/>
      <c r="K397" s="36" t="n"/>
      <c r="L397" s="33">
        <f>IF(C397="","",Commercial_Id)</f>
        <v/>
      </c>
      <c r="M397" s="34">
        <f>IF(E397="","",IFERROR(VLOOKUP(E397,T_Produits,2,FALSE),""))</f>
        <v/>
      </c>
      <c r="N397" s="40">
        <f>IF(E397="","",IFERROR(1/(1/VLOOKUP(E397,T_Produits,3,FALSE)),""))</f>
        <v/>
      </c>
      <c r="O397" s="40">
        <f>IF(OR(D397="",F397=""),"",IF(OR(D397="Casse / avarie",D397="Perte / vol",D397="Échantillon offert"),IF(I397&lt;&gt;"",I397,IF(N397="","",F397*N397)),""))</f>
        <v/>
      </c>
      <c r="P397" s="50">
        <f>IF(OR(D397="",F397=""),"",F397*IF(OR(D397="Reçu du magasin",D397="Ajustement (+)"),1,-1))</f>
        <v/>
      </c>
      <c r="Q397" s="34">
        <f>IF(C397="","",YEAR(C397-WEEKDAY(C397,2)+4)&amp;"-S"&amp;TEXT(INT((C397-DATE(YEAR(C397-WEEKDAY(C397,2)+4),1,3)+WEEKDAY(DATE(YEAR(C397-WEEKDAY(C397,2)+4),1,3),2)+5)/7),"00"))</f>
        <v/>
      </c>
    </row>
    <row r="398" ht="18" customHeight="1">
      <c r="A398" s="39" t="n">
        <v>393</v>
      </c>
      <c r="B398" s="33">
        <f>IF(C398="","",IF(L398="À RENSEIGNER","GIC",L398)&amp;"-S"&amp;TEXT(A398,"00000"))</f>
        <v/>
      </c>
      <c r="C398" s="32" t="n"/>
      <c r="D398" s="36" t="n"/>
      <c r="E398" s="36" t="n"/>
      <c r="F398" s="42" t="n"/>
      <c r="G398" s="36" t="n"/>
      <c r="H398" s="43" t="n"/>
      <c r="I398" s="37" t="n"/>
      <c r="J398" s="44" t="n"/>
      <c r="K398" s="36" t="n"/>
      <c r="L398" s="33">
        <f>IF(C398="","",Commercial_Id)</f>
        <v/>
      </c>
      <c r="M398" s="34">
        <f>IF(E398="","",IFERROR(VLOOKUP(E398,T_Produits,2,FALSE),""))</f>
        <v/>
      </c>
      <c r="N398" s="40">
        <f>IF(E398="","",IFERROR(1/(1/VLOOKUP(E398,T_Produits,3,FALSE)),""))</f>
        <v/>
      </c>
      <c r="O398" s="40">
        <f>IF(OR(D398="",F398=""),"",IF(OR(D398="Casse / avarie",D398="Perte / vol",D398="Échantillon offert"),IF(I398&lt;&gt;"",I398,IF(N398="","",F398*N398)),""))</f>
        <v/>
      </c>
      <c r="P398" s="50">
        <f>IF(OR(D398="",F398=""),"",F398*IF(OR(D398="Reçu du magasin",D398="Ajustement (+)"),1,-1))</f>
        <v/>
      </c>
      <c r="Q398" s="34">
        <f>IF(C398="","",YEAR(C398-WEEKDAY(C398,2)+4)&amp;"-S"&amp;TEXT(INT((C398-DATE(YEAR(C398-WEEKDAY(C398,2)+4),1,3)+WEEKDAY(DATE(YEAR(C398-WEEKDAY(C398,2)+4),1,3),2)+5)/7),"00"))</f>
        <v/>
      </c>
    </row>
    <row r="399" ht="18" customHeight="1">
      <c r="A399" s="39" t="n">
        <v>394</v>
      </c>
      <c r="B399" s="33">
        <f>IF(C399="","",IF(L399="À RENSEIGNER","GIC",L399)&amp;"-S"&amp;TEXT(A399,"00000"))</f>
        <v/>
      </c>
      <c r="C399" s="32" t="n"/>
      <c r="D399" s="36" t="n"/>
      <c r="E399" s="36" t="n"/>
      <c r="F399" s="42" t="n"/>
      <c r="G399" s="36" t="n"/>
      <c r="H399" s="43" t="n"/>
      <c r="I399" s="37" t="n"/>
      <c r="J399" s="44" t="n"/>
      <c r="K399" s="36" t="n"/>
      <c r="L399" s="33">
        <f>IF(C399="","",Commercial_Id)</f>
        <v/>
      </c>
      <c r="M399" s="34">
        <f>IF(E399="","",IFERROR(VLOOKUP(E399,T_Produits,2,FALSE),""))</f>
        <v/>
      </c>
      <c r="N399" s="40">
        <f>IF(E399="","",IFERROR(1/(1/VLOOKUP(E399,T_Produits,3,FALSE)),""))</f>
        <v/>
      </c>
      <c r="O399" s="40">
        <f>IF(OR(D399="",F399=""),"",IF(OR(D399="Casse / avarie",D399="Perte / vol",D399="Échantillon offert"),IF(I399&lt;&gt;"",I399,IF(N399="","",F399*N399)),""))</f>
        <v/>
      </c>
      <c r="P399" s="50">
        <f>IF(OR(D399="",F399=""),"",F399*IF(OR(D399="Reçu du magasin",D399="Ajustement (+)"),1,-1))</f>
        <v/>
      </c>
      <c r="Q399" s="34">
        <f>IF(C399="","",YEAR(C399-WEEKDAY(C399,2)+4)&amp;"-S"&amp;TEXT(INT((C399-DATE(YEAR(C399-WEEKDAY(C399,2)+4),1,3)+WEEKDAY(DATE(YEAR(C399-WEEKDAY(C399,2)+4),1,3),2)+5)/7),"00"))</f>
        <v/>
      </c>
    </row>
    <row r="400" ht="18" customHeight="1">
      <c r="A400" s="39" t="n">
        <v>395</v>
      </c>
      <c r="B400" s="33">
        <f>IF(C400="","",IF(L400="À RENSEIGNER","GIC",L400)&amp;"-S"&amp;TEXT(A400,"00000"))</f>
        <v/>
      </c>
      <c r="C400" s="32" t="n"/>
      <c r="D400" s="36" t="n"/>
      <c r="E400" s="36" t="n"/>
      <c r="F400" s="42" t="n"/>
      <c r="G400" s="36" t="n"/>
      <c r="H400" s="43" t="n"/>
      <c r="I400" s="37" t="n"/>
      <c r="J400" s="44" t="n"/>
      <c r="K400" s="36" t="n"/>
      <c r="L400" s="33">
        <f>IF(C400="","",Commercial_Id)</f>
        <v/>
      </c>
      <c r="M400" s="34">
        <f>IF(E400="","",IFERROR(VLOOKUP(E400,T_Produits,2,FALSE),""))</f>
        <v/>
      </c>
      <c r="N400" s="40">
        <f>IF(E400="","",IFERROR(1/(1/VLOOKUP(E400,T_Produits,3,FALSE)),""))</f>
        <v/>
      </c>
      <c r="O400" s="40">
        <f>IF(OR(D400="",F400=""),"",IF(OR(D400="Casse / avarie",D400="Perte / vol",D400="Échantillon offert"),IF(I400&lt;&gt;"",I400,IF(N400="","",F400*N400)),""))</f>
        <v/>
      </c>
      <c r="P400" s="50">
        <f>IF(OR(D400="",F400=""),"",F400*IF(OR(D400="Reçu du magasin",D400="Ajustement (+)"),1,-1))</f>
        <v/>
      </c>
      <c r="Q400" s="34">
        <f>IF(C400="","",YEAR(C400-WEEKDAY(C400,2)+4)&amp;"-S"&amp;TEXT(INT((C400-DATE(YEAR(C400-WEEKDAY(C400,2)+4),1,3)+WEEKDAY(DATE(YEAR(C400-WEEKDAY(C400,2)+4),1,3),2)+5)/7),"00"))</f>
        <v/>
      </c>
    </row>
    <row r="401" ht="18" customHeight="1">
      <c r="A401" s="39" t="n">
        <v>396</v>
      </c>
      <c r="B401" s="33">
        <f>IF(C401="","",IF(L401="À RENSEIGNER","GIC",L401)&amp;"-S"&amp;TEXT(A401,"00000"))</f>
        <v/>
      </c>
      <c r="C401" s="32" t="n"/>
      <c r="D401" s="36" t="n"/>
      <c r="E401" s="36" t="n"/>
      <c r="F401" s="42" t="n"/>
      <c r="G401" s="36" t="n"/>
      <c r="H401" s="43" t="n"/>
      <c r="I401" s="37" t="n"/>
      <c r="J401" s="44" t="n"/>
      <c r="K401" s="36" t="n"/>
      <c r="L401" s="33">
        <f>IF(C401="","",Commercial_Id)</f>
        <v/>
      </c>
      <c r="M401" s="34">
        <f>IF(E401="","",IFERROR(VLOOKUP(E401,T_Produits,2,FALSE),""))</f>
        <v/>
      </c>
      <c r="N401" s="40">
        <f>IF(E401="","",IFERROR(1/(1/VLOOKUP(E401,T_Produits,3,FALSE)),""))</f>
        <v/>
      </c>
      <c r="O401" s="40">
        <f>IF(OR(D401="",F401=""),"",IF(OR(D401="Casse / avarie",D401="Perte / vol",D401="Échantillon offert"),IF(I401&lt;&gt;"",I401,IF(N401="","",F401*N401)),""))</f>
        <v/>
      </c>
      <c r="P401" s="50">
        <f>IF(OR(D401="",F401=""),"",F401*IF(OR(D401="Reçu du magasin",D401="Ajustement (+)"),1,-1))</f>
        <v/>
      </c>
      <c r="Q401" s="34">
        <f>IF(C401="","",YEAR(C401-WEEKDAY(C401,2)+4)&amp;"-S"&amp;TEXT(INT((C401-DATE(YEAR(C401-WEEKDAY(C401,2)+4),1,3)+WEEKDAY(DATE(YEAR(C401-WEEKDAY(C401,2)+4),1,3),2)+5)/7),"00"))</f>
        <v/>
      </c>
    </row>
    <row r="402" ht="18" customHeight="1">
      <c r="A402" s="39" t="n">
        <v>397</v>
      </c>
      <c r="B402" s="33">
        <f>IF(C402="","",IF(L402="À RENSEIGNER","GIC",L402)&amp;"-S"&amp;TEXT(A402,"00000"))</f>
        <v/>
      </c>
      <c r="C402" s="32" t="n"/>
      <c r="D402" s="36" t="n"/>
      <c r="E402" s="36" t="n"/>
      <c r="F402" s="42" t="n"/>
      <c r="G402" s="36" t="n"/>
      <c r="H402" s="43" t="n"/>
      <c r="I402" s="37" t="n"/>
      <c r="J402" s="44" t="n"/>
      <c r="K402" s="36" t="n"/>
      <c r="L402" s="33">
        <f>IF(C402="","",Commercial_Id)</f>
        <v/>
      </c>
      <c r="M402" s="34">
        <f>IF(E402="","",IFERROR(VLOOKUP(E402,T_Produits,2,FALSE),""))</f>
        <v/>
      </c>
      <c r="N402" s="40">
        <f>IF(E402="","",IFERROR(1/(1/VLOOKUP(E402,T_Produits,3,FALSE)),""))</f>
        <v/>
      </c>
      <c r="O402" s="40">
        <f>IF(OR(D402="",F402=""),"",IF(OR(D402="Casse / avarie",D402="Perte / vol",D402="Échantillon offert"),IF(I402&lt;&gt;"",I402,IF(N402="","",F402*N402)),""))</f>
        <v/>
      </c>
      <c r="P402" s="50">
        <f>IF(OR(D402="",F402=""),"",F402*IF(OR(D402="Reçu du magasin",D402="Ajustement (+)"),1,-1))</f>
        <v/>
      </c>
      <c r="Q402" s="34">
        <f>IF(C402="","",YEAR(C402-WEEKDAY(C402,2)+4)&amp;"-S"&amp;TEXT(INT((C402-DATE(YEAR(C402-WEEKDAY(C402,2)+4),1,3)+WEEKDAY(DATE(YEAR(C402-WEEKDAY(C402,2)+4),1,3),2)+5)/7),"00"))</f>
        <v/>
      </c>
    </row>
    <row r="403" ht="18" customHeight="1">
      <c r="A403" s="39" t="n">
        <v>398</v>
      </c>
      <c r="B403" s="33">
        <f>IF(C403="","",IF(L403="À RENSEIGNER","GIC",L403)&amp;"-S"&amp;TEXT(A403,"00000"))</f>
        <v/>
      </c>
      <c r="C403" s="32" t="n"/>
      <c r="D403" s="36" t="n"/>
      <c r="E403" s="36" t="n"/>
      <c r="F403" s="42" t="n"/>
      <c r="G403" s="36" t="n"/>
      <c r="H403" s="43" t="n"/>
      <c r="I403" s="37" t="n"/>
      <c r="J403" s="44" t="n"/>
      <c r="K403" s="36" t="n"/>
      <c r="L403" s="33">
        <f>IF(C403="","",Commercial_Id)</f>
        <v/>
      </c>
      <c r="M403" s="34">
        <f>IF(E403="","",IFERROR(VLOOKUP(E403,T_Produits,2,FALSE),""))</f>
        <v/>
      </c>
      <c r="N403" s="40">
        <f>IF(E403="","",IFERROR(1/(1/VLOOKUP(E403,T_Produits,3,FALSE)),""))</f>
        <v/>
      </c>
      <c r="O403" s="40">
        <f>IF(OR(D403="",F403=""),"",IF(OR(D403="Casse / avarie",D403="Perte / vol",D403="Échantillon offert"),IF(I403&lt;&gt;"",I403,IF(N403="","",F403*N403)),""))</f>
        <v/>
      </c>
      <c r="P403" s="50">
        <f>IF(OR(D403="",F403=""),"",F403*IF(OR(D403="Reçu du magasin",D403="Ajustement (+)"),1,-1))</f>
        <v/>
      </c>
      <c r="Q403" s="34">
        <f>IF(C403="","",YEAR(C403-WEEKDAY(C403,2)+4)&amp;"-S"&amp;TEXT(INT((C403-DATE(YEAR(C403-WEEKDAY(C403,2)+4),1,3)+WEEKDAY(DATE(YEAR(C403-WEEKDAY(C403,2)+4),1,3),2)+5)/7),"00"))</f>
        <v/>
      </c>
    </row>
    <row r="404" ht="18" customHeight="1">
      <c r="A404" s="39" t="n">
        <v>399</v>
      </c>
      <c r="B404" s="33">
        <f>IF(C404="","",IF(L404="À RENSEIGNER","GIC",L404)&amp;"-S"&amp;TEXT(A404,"00000"))</f>
        <v/>
      </c>
      <c r="C404" s="32" t="n"/>
      <c r="D404" s="36" t="n"/>
      <c r="E404" s="36" t="n"/>
      <c r="F404" s="42" t="n"/>
      <c r="G404" s="36" t="n"/>
      <c r="H404" s="43" t="n"/>
      <c r="I404" s="37" t="n"/>
      <c r="J404" s="44" t="n"/>
      <c r="K404" s="36" t="n"/>
      <c r="L404" s="33">
        <f>IF(C404="","",Commercial_Id)</f>
        <v/>
      </c>
      <c r="M404" s="34">
        <f>IF(E404="","",IFERROR(VLOOKUP(E404,T_Produits,2,FALSE),""))</f>
        <v/>
      </c>
      <c r="N404" s="40">
        <f>IF(E404="","",IFERROR(1/(1/VLOOKUP(E404,T_Produits,3,FALSE)),""))</f>
        <v/>
      </c>
      <c r="O404" s="40">
        <f>IF(OR(D404="",F404=""),"",IF(OR(D404="Casse / avarie",D404="Perte / vol",D404="Échantillon offert"),IF(I404&lt;&gt;"",I404,IF(N404="","",F404*N404)),""))</f>
        <v/>
      </c>
      <c r="P404" s="50">
        <f>IF(OR(D404="",F404=""),"",F404*IF(OR(D404="Reçu du magasin",D404="Ajustement (+)"),1,-1))</f>
        <v/>
      </c>
      <c r="Q404" s="34">
        <f>IF(C404="","",YEAR(C404-WEEKDAY(C404,2)+4)&amp;"-S"&amp;TEXT(INT((C404-DATE(YEAR(C404-WEEKDAY(C404,2)+4),1,3)+WEEKDAY(DATE(YEAR(C404-WEEKDAY(C404,2)+4),1,3),2)+5)/7),"00"))</f>
        <v/>
      </c>
    </row>
    <row r="405" ht="18" customHeight="1">
      <c r="A405" s="39" t="n">
        <v>400</v>
      </c>
      <c r="B405" s="33">
        <f>IF(C405="","",IF(L405="À RENSEIGNER","GIC",L405)&amp;"-S"&amp;TEXT(A405,"00000"))</f>
        <v/>
      </c>
      <c r="C405" s="32" t="n"/>
      <c r="D405" s="36" t="n"/>
      <c r="E405" s="36" t="n"/>
      <c r="F405" s="42" t="n"/>
      <c r="G405" s="36" t="n"/>
      <c r="H405" s="43" t="n"/>
      <c r="I405" s="37" t="n"/>
      <c r="J405" s="44" t="n"/>
      <c r="K405" s="36" t="n"/>
      <c r="L405" s="33">
        <f>IF(C405="","",Commercial_Id)</f>
        <v/>
      </c>
      <c r="M405" s="34">
        <f>IF(E405="","",IFERROR(VLOOKUP(E405,T_Produits,2,FALSE),""))</f>
        <v/>
      </c>
      <c r="N405" s="40">
        <f>IF(E405="","",IFERROR(1/(1/VLOOKUP(E405,T_Produits,3,FALSE)),""))</f>
        <v/>
      </c>
      <c r="O405" s="40">
        <f>IF(OR(D405="",F405=""),"",IF(OR(D405="Casse / avarie",D405="Perte / vol",D405="Échantillon offert"),IF(I405&lt;&gt;"",I405,IF(N405="","",F405*N405)),""))</f>
        <v/>
      </c>
      <c r="P405" s="50">
        <f>IF(OR(D405="",F405=""),"",F405*IF(OR(D405="Reçu du magasin",D405="Ajustement (+)"),1,-1))</f>
        <v/>
      </c>
      <c r="Q405" s="34">
        <f>IF(C405="","",YEAR(C405-WEEKDAY(C405,2)+4)&amp;"-S"&amp;TEXT(INT((C405-DATE(YEAR(C405-WEEKDAY(C405,2)+4),1,3)+WEEKDAY(DATE(YEAR(C405-WEEKDAY(C405,2)+4),1,3),2)+5)/7),"00"))</f>
        <v/>
      </c>
    </row>
    <row r="406" ht="18" customHeight="1">
      <c r="A406" s="39" t="n">
        <v>401</v>
      </c>
      <c r="B406" s="33">
        <f>IF(C406="","",IF(L406="À RENSEIGNER","GIC",L406)&amp;"-S"&amp;TEXT(A406,"00000"))</f>
        <v/>
      </c>
      <c r="C406" s="32" t="n"/>
      <c r="D406" s="36" t="n"/>
      <c r="E406" s="36" t="n"/>
      <c r="F406" s="42" t="n"/>
      <c r="G406" s="36" t="n"/>
      <c r="H406" s="43" t="n"/>
      <c r="I406" s="37" t="n"/>
      <c r="J406" s="44" t="n"/>
      <c r="K406" s="36" t="n"/>
      <c r="L406" s="33">
        <f>IF(C406="","",Commercial_Id)</f>
        <v/>
      </c>
      <c r="M406" s="34">
        <f>IF(E406="","",IFERROR(VLOOKUP(E406,T_Produits,2,FALSE),""))</f>
        <v/>
      </c>
      <c r="N406" s="40">
        <f>IF(E406="","",IFERROR(1/(1/VLOOKUP(E406,T_Produits,3,FALSE)),""))</f>
        <v/>
      </c>
      <c r="O406" s="40">
        <f>IF(OR(D406="",F406=""),"",IF(OR(D406="Casse / avarie",D406="Perte / vol",D406="Échantillon offert"),IF(I406&lt;&gt;"",I406,IF(N406="","",F406*N406)),""))</f>
        <v/>
      </c>
      <c r="P406" s="50">
        <f>IF(OR(D406="",F406=""),"",F406*IF(OR(D406="Reçu du magasin",D406="Ajustement (+)"),1,-1))</f>
        <v/>
      </c>
      <c r="Q406" s="34">
        <f>IF(C406="","",YEAR(C406-WEEKDAY(C406,2)+4)&amp;"-S"&amp;TEXT(INT((C406-DATE(YEAR(C406-WEEKDAY(C406,2)+4),1,3)+WEEKDAY(DATE(YEAR(C406-WEEKDAY(C406,2)+4),1,3),2)+5)/7),"00"))</f>
        <v/>
      </c>
    </row>
    <row r="407" ht="18" customHeight="1">
      <c r="A407" s="39" t="n">
        <v>402</v>
      </c>
      <c r="B407" s="33">
        <f>IF(C407="","",IF(L407="À RENSEIGNER","GIC",L407)&amp;"-S"&amp;TEXT(A407,"00000"))</f>
        <v/>
      </c>
      <c r="C407" s="32" t="n"/>
      <c r="D407" s="36" t="n"/>
      <c r="E407" s="36" t="n"/>
      <c r="F407" s="42" t="n"/>
      <c r="G407" s="36" t="n"/>
      <c r="H407" s="43" t="n"/>
      <c r="I407" s="37" t="n"/>
      <c r="J407" s="44" t="n"/>
      <c r="K407" s="36" t="n"/>
      <c r="L407" s="33">
        <f>IF(C407="","",Commercial_Id)</f>
        <v/>
      </c>
      <c r="M407" s="34">
        <f>IF(E407="","",IFERROR(VLOOKUP(E407,T_Produits,2,FALSE),""))</f>
        <v/>
      </c>
      <c r="N407" s="40">
        <f>IF(E407="","",IFERROR(1/(1/VLOOKUP(E407,T_Produits,3,FALSE)),""))</f>
        <v/>
      </c>
      <c r="O407" s="40">
        <f>IF(OR(D407="",F407=""),"",IF(OR(D407="Casse / avarie",D407="Perte / vol",D407="Échantillon offert"),IF(I407&lt;&gt;"",I407,IF(N407="","",F407*N407)),""))</f>
        <v/>
      </c>
      <c r="P407" s="50">
        <f>IF(OR(D407="",F407=""),"",F407*IF(OR(D407="Reçu du magasin",D407="Ajustement (+)"),1,-1))</f>
        <v/>
      </c>
      <c r="Q407" s="34">
        <f>IF(C407="","",YEAR(C407-WEEKDAY(C407,2)+4)&amp;"-S"&amp;TEXT(INT((C407-DATE(YEAR(C407-WEEKDAY(C407,2)+4),1,3)+WEEKDAY(DATE(YEAR(C407-WEEKDAY(C407,2)+4),1,3),2)+5)/7),"00"))</f>
        <v/>
      </c>
    </row>
    <row r="408" ht="18" customHeight="1">
      <c r="A408" s="39" t="n">
        <v>403</v>
      </c>
      <c r="B408" s="33">
        <f>IF(C408="","",IF(L408="À RENSEIGNER","GIC",L408)&amp;"-S"&amp;TEXT(A408,"00000"))</f>
        <v/>
      </c>
      <c r="C408" s="32" t="n"/>
      <c r="D408" s="36" t="n"/>
      <c r="E408" s="36" t="n"/>
      <c r="F408" s="42" t="n"/>
      <c r="G408" s="36" t="n"/>
      <c r="H408" s="43" t="n"/>
      <c r="I408" s="37" t="n"/>
      <c r="J408" s="44" t="n"/>
      <c r="K408" s="36" t="n"/>
      <c r="L408" s="33">
        <f>IF(C408="","",Commercial_Id)</f>
        <v/>
      </c>
      <c r="M408" s="34">
        <f>IF(E408="","",IFERROR(VLOOKUP(E408,T_Produits,2,FALSE),""))</f>
        <v/>
      </c>
      <c r="N408" s="40">
        <f>IF(E408="","",IFERROR(1/(1/VLOOKUP(E408,T_Produits,3,FALSE)),""))</f>
        <v/>
      </c>
      <c r="O408" s="40">
        <f>IF(OR(D408="",F408=""),"",IF(OR(D408="Casse / avarie",D408="Perte / vol",D408="Échantillon offert"),IF(I408&lt;&gt;"",I408,IF(N408="","",F408*N408)),""))</f>
        <v/>
      </c>
      <c r="P408" s="50">
        <f>IF(OR(D408="",F408=""),"",F408*IF(OR(D408="Reçu du magasin",D408="Ajustement (+)"),1,-1))</f>
        <v/>
      </c>
      <c r="Q408" s="34">
        <f>IF(C408="","",YEAR(C408-WEEKDAY(C408,2)+4)&amp;"-S"&amp;TEXT(INT((C408-DATE(YEAR(C408-WEEKDAY(C408,2)+4),1,3)+WEEKDAY(DATE(YEAR(C408-WEEKDAY(C408,2)+4),1,3),2)+5)/7),"00"))</f>
        <v/>
      </c>
    </row>
    <row r="409" ht="18" customHeight="1">
      <c r="A409" s="39" t="n">
        <v>404</v>
      </c>
      <c r="B409" s="33">
        <f>IF(C409="","",IF(L409="À RENSEIGNER","GIC",L409)&amp;"-S"&amp;TEXT(A409,"00000"))</f>
        <v/>
      </c>
      <c r="C409" s="32" t="n"/>
      <c r="D409" s="36" t="n"/>
      <c r="E409" s="36" t="n"/>
      <c r="F409" s="42" t="n"/>
      <c r="G409" s="36" t="n"/>
      <c r="H409" s="43" t="n"/>
      <c r="I409" s="37" t="n"/>
      <c r="J409" s="44" t="n"/>
      <c r="K409" s="36" t="n"/>
      <c r="L409" s="33">
        <f>IF(C409="","",Commercial_Id)</f>
        <v/>
      </c>
      <c r="M409" s="34">
        <f>IF(E409="","",IFERROR(VLOOKUP(E409,T_Produits,2,FALSE),""))</f>
        <v/>
      </c>
      <c r="N409" s="40">
        <f>IF(E409="","",IFERROR(1/(1/VLOOKUP(E409,T_Produits,3,FALSE)),""))</f>
        <v/>
      </c>
      <c r="O409" s="40">
        <f>IF(OR(D409="",F409=""),"",IF(OR(D409="Casse / avarie",D409="Perte / vol",D409="Échantillon offert"),IF(I409&lt;&gt;"",I409,IF(N409="","",F409*N409)),""))</f>
        <v/>
      </c>
      <c r="P409" s="50">
        <f>IF(OR(D409="",F409=""),"",F409*IF(OR(D409="Reçu du magasin",D409="Ajustement (+)"),1,-1))</f>
        <v/>
      </c>
      <c r="Q409" s="34">
        <f>IF(C409="","",YEAR(C409-WEEKDAY(C409,2)+4)&amp;"-S"&amp;TEXT(INT((C409-DATE(YEAR(C409-WEEKDAY(C409,2)+4),1,3)+WEEKDAY(DATE(YEAR(C409-WEEKDAY(C409,2)+4),1,3),2)+5)/7),"00"))</f>
        <v/>
      </c>
    </row>
    <row r="410" ht="18" customHeight="1">
      <c r="A410" s="39" t="n">
        <v>405</v>
      </c>
      <c r="B410" s="33">
        <f>IF(C410="","",IF(L410="À RENSEIGNER","GIC",L410)&amp;"-S"&amp;TEXT(A410,"00000"))</f>
        <v/>
      </c>
      <c r="C410" s="32" t="n"/>
      <c r="D410" s="36" t="n"/>
      <c r="E410" s="36" t="n"/>
      <c r="F410" s="42" t="n"/>
      <c r="G410" s="36" t="n"/>
      <c r="H410" s="43" t="n"/>
      <c r="I410" s="37" t="n"/>
      <c r="J410" s="44" t="n"/>
      <c r="K410" s="36" t="n"/>
      <c r="L410" s="33">
        <f>IF(C410="","",Commercial_Id)</f>
        <v/>
      </c>
      <c r="M410" s="34">
        <f>IF(E410="","",IFERROR(VLOOKUP(E410,T_Produits,2,FALSE),""))</f>
        <v/>
      </c>
      <c r="N410" s="40">
        <f>IF(E410="","",IFERROR(1/(1/VLOOKUP(E410,T_Produits,3,FALSE)),""))</f>
        <v/>
      </c>
      <c r="O410" s="40">
        <f>IF(OR(D410="",F410=""),"",IF(OR(D410="Casse / avarie",D410="Perte / vol",D410="Échantillon offert"),IF(I410&lt;&gt;"",I410,IF(N410="","",F410*N410)),""))</f>
        <v/>
      </c>
      <c r="P410" s="50">
        <f>IF(OR(D410="",F410=""),"",F410*IF(OR(D410="Reçu du magasin",D410="Ajustement (+)"),1,-1))</f>
        <v/>
      </c>
      <c r="Q410" s="34">
        <f>IF(C410="","",YEAR(C410-WEEKDAY(C410,2)+4)&amp;"-S"&amp;TEXT(INT((C410-DATE(YEAR(C410-WEEKDAY(C410,2)+4),1,3)+WEEKDAY(DATE(YEAR(C410-WEEKDAY(C410,2)+4),1,3),2)+5)/7),"00"))</f>
        <v/>
      </c>
    </row>
    <row r="411" ht="18" customHeight="1">
      <c r="A411" s="39" t="n">
        <v>406</v>
      </c>
      <c r="B411" s="33">
        <f>IF(C411="","",IF(L411="À RENSEIGNER","GIC",L411)&amp;"-S"&amp;TEXT(A411,"00000"))</f>
        <v/>
      </c>
      <c r="C411" s="32" t="n"/>
      <c r="D411" s="36" t="n"/>
      <c r="E411" s="36" t="n"/>
      <c r="F411" s="42" t="n"/>
      <c r="G411" s="36" t="n"/>
      <c r="H411" s="43" t="n"/>
      <c r="I411" s="37" t="n"/>
      <c r="J411" s="44" t="n"/>
      <c r="K411" s="36" t="n"/>
      <c r="L411" s="33">
        <f>IF(C411="","",Commercial_Id)</f>
        <v/>
      </c>
      <c r="M411" s="34">
        <f>IF(E411="","",IFERROR(VLOOKUP(E411,T_Produits,2,FALSE),""))</f>
        <v/>
      </c>
      <c r="N411" s="40">
        <f>IF(E411="","",IFERROR(1/(1/VLOOKUP(E411,T_Produits,3,FALSE)),""))</f>
        <v/>
      </c>
      <c r="O411" s="40">
        <f>IF(OR(D411="",F411=""),"",IF(OR(D411="Casse / avarie",D411="Perte / vol",D411="Échantillon offert"),IF(I411&lt;&gt;"",I411,IF(N411="","",F411*N411)),""))</f>
        <v/>
      </c>
      <c r="P411" s="50">
        <f>IF(OR(D411="",F411=""),"",F411*IF(OR(D411="Reçu du magasin",D411="Ajustement (+)"),1,-1))</f>
        <v/>
      </c>
      <c r="Q411" s="34">
        <f>IF(C411="","",YEAR(C411-WEEKDAY(C411,2)+4)&amp;"-S"&amp;TEXT(INT((C411-DATE(YEAR(C411-WEEKDAY(C411,2)+4),1,3)+WEEKDAY(DATE(YEAR(C411-WEEKDAY(C411,2)+4),1,3),2)+5)/7),"00"))</f>
        <v/>
      </c>
    </row>
    <row r="412" ht="18" customHeight="1">
      <c r="A412" s="39" t="n">
        <v>407</v>
      </c>
      <c r="B412" s="33">
        <f>IF(C412="","",IF(L412="À RENSEIGNER","GIC",L412)&amp;"-S"&amp;TEXT(A412,"00000"))</f>
        <v/>
      </c>
      <c r="C412" s="32" t="n"/>
      <c r="D412" s="36" t="n"/>
      <c r="E412" s="36" t="n"/>
      <c r="F412" s="42" t="n"/>
      <c r="G412" s="36" t="n"/>
      <c r="H412" s="43" t="n"/>
      <c r="I412" s="37" t="n"/>
      <c r="J412" s="44" t="n"/>
      <c r="K412" s="36" t="n"/>
      <c r="L412" s="33">
        <f>IF(C412="","",Commercial_Id)</f>
        <v/>
      </c>
      <c r="M412" s="34">
        <f>IF(E412="","",IFERROR(VLOOKUP(E412,T_Produits,2,FALSE),""))</f>
        <v/>
      </c>
      <c r="N412" s="40">
        <f>IF(E412="","",IFERROR(1/(1/VLOOKUP(E412,T_Produits,3,FALSE)),""))</f>
        <v/>
      </c>
      <c r="O412" s="40">
        <f>IF(OR(D412="",F412=""),"",IF(OR(D412="Casse / avarie",D412="Perte / vol",D412="Échantillon offert"),IF(I412&lt;&gt;"",I412,IF(N412="","",F412*N412)),""))</f>
        <v/>
      </c>
      <c r="P412" s="50">
        <f>IF(OR(D412="",F412=""),"",F412*IF(OR(D412="Reçu du magasin",D412="Ajustement (+)"),1,-1))</f>
        <v/>
      </c>
      <c r="Q412" s="34">
        <f>IF(C412="","",YEAR(C412-WEEKDAY(C412,2)+4)&amp;"-S"&amp;TEXT(INT((C412-DATE(YEAR(C412-WEEKDAY(C412,2)+4),1,3)+WEEKDAY(DATE(YEAR(C412-WEEKDAY(C412,2)+4),1,3),2)+5)/7),"00"))</f>
        <v/>
      </c>
    </row>
    <row r="413" ht="18" customHeight="1">
      <c r="A413" s="39" t="n">
        <v>408</v>
      </c>
      <c r="B413" s="33">
        <f>IF(C413="","",IF(L413="À RENSEIGNER","GIC",L413)&amp;"-S"&amp;TEXT(A413,"00000"))</f>
        <v/>
      </c>
      <c r="C413" s="32" t="n"/>
      <c r="D413" s="36" t="n"/>
      <c r="E413" s="36" t="n"/>
      <c r="F413" s="42" t="n"/>
      <c r="G413" s="36" t="n"/>
      <c r="H413" s="43" t="n"/>
      <c r="I413" s="37" t="n"/>
      <c r="J413" s="44" t="n"/>
      <c r="K413" s="36" t="n"/>
      <c r="L413" s="33">
        <f>IF(C413="","",Commercial_Id)</f>
        <v/>
      </c>
      <c r="M413" s="34">
        <f>IF(E413="","",IFERROR(VLOOKUP(E413,T_Produits,2,FALSE),""))</f>
        <v/>
      </c>
      <c r="N413" s="40">
        <f>IF(E413="","",IFERROR(1/(1/VLOOKUP(E413,T_Produits,3,FALSE)),""))</f>
        <v/>
      </c>
      <c r="O413" s="40">
        <f>IF(OR(D413="",F413=""),"",IF(OR(D413="Casse / avarie",D413="Perte / vol",D413="Échantillon offert"),IF(I413&lt;&gt;"",I413,IF(N413="","",F413*N413)),""))</f>
        <v/>
      </c>
      <c r="P413" s="50">
        <f>IF(OR(D413="",F413=""),"",F413*IF(OR(D413="Reçu du magasin",D413="Ajustement (+)"),1,-1))</f>
        <v/>
      </c>
      <c r="Q413" s="34">
        <f>IF(C413="","",YEAR(C413-WEEKDAY(C413,2)+4)&amp;"-S"&amp;TEXT(INT((C413-DATE(YEAR(C413-WEEKDAY(C413,2)+4),1,3)+WEEKDAY(DATE(YEAR(C413-WEEKDAY(C413,2)+4),1,3),2)+5)/7),"00"))</f>
        <v/>
      </c>
    </row>
    <row r="414" ht="18" customHeight="1">
      <c r="A414" s="39" t="n">
        <v>409</v>
      </c>
      <c r="B414" s="33">
        <f>IF(C414="","",IF(L414="À RENSEIGNER","GIC",L414)&amp;"-S"&amp;TEXT(A414,"00000"))</f>
        <v/>
      </c>
      <c r="C414" s="32" t="n"/>
      <c r="D414" s="36" t="n"/>
      <c r="E414" s="36" t="n"/>
      <c r="F414" s="42" t="n"/>
      <c r="G414" s="36" t="n"/>
      <c r="H414" s="43" t="n"/>
      <c r="I414" s="37" t="n"/>
      <c r="J414" s="44" t="n"/>
      <c r="K414" s="36" t="n"/>
      <c r="L414" s="33">
        <f>IF(C414="","",Commercial_Id)</f>
        <v/>
      </c>
      <c r="M414" s="34">
        <f>IF(E414="","",IFERROR(VLOOKUP(E414,T_Produits,2,FALSE),""))</f>
        <v/>
      </c>
      <c r="N414" s="40">
        <f>IF(E414="","",IFERROR(1/(1/VLOOKUP(E414,T_Produits,3,FALSE)),""))</f>
        <v/>
      </c>
      <c r="O414" s="40">
        <f>IF(OR(D414="",F414=""),"",IF(OR(D414="Casse / avarie",D414="Perte / vol",D414="Échantillon offert"),IF(I414&lt;&gt;"",I414,IF(N414="","",F414*N414)),""))</f>
        <v/>
      </c>
      <c r="P414" s="50">
        <f>IF(OR(D414="",F414=""),"",F414*IF(OR(D414="Reçu du magasin",D414="Ajustement (+)"),1,-1))</f>
        <v/>
      </c>
      <c r="Q414" s="34">
        <f>IF(C414="","",YEAR(C414-WEEKDAY(C414,2)+4)&amp;"-S"&amp;TEXT(INT((C414-DATE(YEAR(C414-WEEKDAY(C414,2)+4),1,3)+WEEKDAY(DATE(YEAR(C414-WEEKDAY(C414,2)+4),1,3),2)+5)/7),"00"))</f>
        <v/>
      </c>
    </row>
    <row r="415" ht="18" customHeight="1">
      <c r="A415" s="39" t="n">
        <v>410</v>
      </c>
      <c r="B415" s="33">
        <f>IF(C415="","",IF(L415="À RENSEIGNER","GIC",L415)&amp;"-S"&amp;TEXT(A415,"00000"))</f>
        <v/>
      </c>
      <c r="C415" s="32" t="n"/>
      <c r="D415" s="36" t="n"/>
      <c r="E415" s="36" t="n"/>
      <c r="F415" s="42" t="n"/>
      <c r="G415" s="36" t="n"/>
      <c r="H415" s="43" t="n"/>
      <c r="I415" s="37" t="n"/>
      <c r="J415" s="44" t="n"/>
      <c r="K415" s="36" t="n"/>
      <c r="L415" s="33">
        <f>IF(C415="","",Commercial_Id)</f>
        <v/>
      </c>
      <c r="M415" s="34">
        <f>IF(E415="","",IFERROR(VLOOKUP(E415,T_Produits,2,FALSE),""))</f>
        <v/>
      </c>
      <c r="N415" s="40">
        <f>IF(E415="","",IFERROR(1/(1/VLOOKUP(E415,T_Produits,3,FALSE)),""))</f>
        <v/>
      </c>
      <c r="O415" s="40">
        <f>IF(OR(D415="",F415=""),"",IF(OR(D415="Casse / avarie",D415="Perte / vol",D415="Échantillon offert"),IF(I415&lt;&gt;"",I415,IF(N415="","",F415*N415)),""))</f>
        <v/>
      </c>
      <c r="P415" s="50">
        <f>IF(OR(D415="",F415=""),"",F415*IF(OR(D415="Reçu du magasin",D415="Ajustement (+)"),1,-1))</f>
        <v/>
      </c>
      <c r="Q415" s="34">
        <f>IF(C415="","",YEAR(C415-WEEKDAY(C415,2)+4)&amp;"-S"&amp;TEXT(INT((C415-DATE(YEAR(C415-WEEKDAY(C415,2)+4),1,3)+WEEKDAY(DATE(YEAR(C415-WEEKDAY(C415,2)+4),1,3),2)+5)/7),"00"))</f>
        <v/>
      </c>
    </row>
    <row r="416" ht="18" customHeight="1">
      <c r="A416" s="39" t="n">
        <v>411</v>
      </c>
      <c r="B416" s="33">
        <f>IF(C416="","",IF(L416="À RENSEIGNER","GIC",L416)&amp;"-S"&amp;TEXT(A416,"00000"))</f>
        <v/>
      </c>
      <c r="C416" s="32" t="n"/>
      <c r="D416" s="36" t="n"/>
      <c r="E416" s="36" t="n"/>
      <c r="F416" s="42" t="n"/>
      <c r="G416" s="36" t="n"/>
      <c r="H416" s="43" t="n"/>
      <c r="I416" s="37" t="n"/>
      <c r="J416" s="44" t="n"/>
      <c r="K416" s="36" t="n"/>
      <c r="L416" s="33">
        <f>IF(C416="","",Commercial_Id)</f>
        <v/>
      </c>
      <c r="M416" s="34">
        <f>IF(E416="","",IFERROR(VLOOKUP(E416,T_Produits,2,FALSE),""))</f>
        <v/>
      </c>
      <c r="N416" s="40">
        <f>IF(E416="","",IFERROR(1/(1/VLOOKUP(E416,T_Produits,3,FALSE)),""))</f>
        <v/>
      </c>
      <c r="O416" s="40">
        <f>IF(OR(D416="",F416=""),"",IF(OR(D416="Casse / avarie",D416="Perte / vol",D416="Échantillon offert"),IF(I416&lt;&gt;"",I416,IF(N416="","",F416*N416)),""))</f>
        <v/>
      </c>
      <c r="P416" s="50">
        <f>IF(OR(D416="",F416=""),"",F416*IF(OR(D416="Reçu du magasin",D416="Ajustement (+)"),1,-1))</f>
        <v/>
      </c>
      <c r="Q416" s="34">
        <f>IF(C416="","",YEAR(C416-WEEKDAY(C416,2)+4)&amp;"-S"&amp;TEXT(INT((C416-DATE(YEAR(C416-WEEKDAY(C416,2)+4),1,3)+WEEKDAY(DATE(YEAR(C416-WEEKDAY(C416,2)+4),1,3),2)+5)/7),"00"))</f>
        <v/>
      </c>
    </row>
    <row r="417" ht="18" customHeight="1">
      <c r="A417" s="39" t="n">
        <v>412</v>
      </c>
      <c r="B417" s="33">
        <f>IF(C417="","",IF(L417="À RENSEIGNER","GIC",L417)&amp;"-S"&amp;TEXT(A417,"00000"))</f>
        <v/>
      </c>
      <c r="C417" s="32" t="n"/>
      <c r="D417" s="36" t="n"/>
      <c r="E417" s="36" t="n"/>
      <c r="F417" s="42" t="n"/>
      <c r="G417" s="36" t="n"/>
      <c r="H417" s="43" t="n"/>
      <c r="I417" s="37" t="n"/>
      <c r="J417" s="44" t="n"/>
      <c r="K417" s="36" t="n"/>
      <c r="L417" s="33">
        <f>IF(C417="","",Commercial_Id)</f>
        <v/>
      </c>
      <c r="M417" s="34">
        <f>IF(E417="","",IFERROR(VLOOKUP(E417,T_Produits,2,FALSE),""))</f>
        <v/>
      </c>
      <c r="N417" s="40">
        <f>IF(E417="","",IFERROR(1/(1/VLOOKUP(E417,T_Produits,3,FALSE)),""))</f>
        <v/>
      </c>
      <c r="O417" s="40">
        <f>IF(OR(D417="",F417=""),"",IF(OR(D417="Casse / avarie",D417="Perte / vol",D417="Échantillon offert"),IF(I417&lt;&gt;"",I417,IF(N417="","",F417*N417)),""))</f>
        <v/>
      </c>
      <c r="P417" s="50">
        <f>IF(OR(D417="",F417=""),"",F417*IF(OR(D417="Reçu du magasin",D417="Ajustement (+)"),1,-1))</f>
        <v/>
      </c>
      <c r="Q417" s="34">
        <f>IF(C417="","",YEAR(C417-WEEKDAY(C417,2)+4)&amp;"-S"&amp;TEXT(INT((C417-DATE(YEAR(C417-WEEKDAY(C417,2)+4),1,3)+WEEKDAY(DATE(YEAR(C417-WEEKDAY(C417,2)+4),1,3),2)+5)/7),"00"))</f>
        <v/>
      </c>
    </row>
    <row r="418" ht="18" customHeight="1">
      <c r="A418" s="39" t="n">
        <v>413</v>
      </c>
      <c r="B418" s="33">
        <f>IF(C418="","",IF(L418="À RENSEIGNER","GIC",L418)&amp;"-S"&amp;TEXT(A418,"00000"))</f>
        <v/>
      </c>
      <c r="C418" s="32" t="n"/>
      <c r="D418" s="36" t="n"/>
      <c r="E418" s="36" t="n"/>
      <c r="F418" s="42" t="n"/>
      <c r="G418" s="36" t="n"/>
      <c r="H418" s="43" t="n"/>
      <c r="I418" s="37" t="n"/>
      <c r="J418" s="44" t="n"/>
      <c r="K418" s="36" t="n"/>
      <c r="L418" s="33">
        <f>IF(C418="","",Commercial_Id)</f>
        <v/>
      </c>
      <c r="M418" s="34">
        <f>IF(E418="","",IFERROR(VLOOKUP(E418,T_Produits,2,FALSE),""))</f>
        <v/>
      </c>
      <c r="N418" s="40">
        <f>IF(E418="","",IFERROR(1/(1/VLOOKUP(E418,T_Produits,3,FALSE)),""))</f>
        <v/>
      </c>
      <c r="O418" s="40">
        <f>IF(OR(D418="",F418=""),"",IF(OR(D418="Casse / avarie",D418="Perte / vol",D418="Échantillon offert"),IF(I418&lt;&gt;"",I418,IF(N418="","",F418*N418)),""))</f>
        <v/>
      </c>
      <c r="P418" s="50">
        <f>IF(OR(D418="",F418=""),"",F418*IF(OR(D418="Reçu du magasin",D418="Ajustement (+)"),1,-1))</f>
        <v/>
      </c>
      <c r="Q418" s="34">
        <f>IF(C418="","",YEAR(C418-WEEKDAY(C418,2)+4)&amp;"-S"&amp;TEXT(INT((C418-DATE(YEAR(C418-WEEKDAY(C418,2)+4),1,3)+WEEKDAY(DATE(YEAR(C418-WEEKDAY(C418,2)+4),1,3),2)+5)/7),"00"))</f>
        <v/>
      </c>
    </row>
    <row r="419" ht="18" customHeight="1">
      <c r="A419" s="39" t="n">
        <v>414</v>
      </c>
      <c r="B419" s="33">
        <f>IF(C419="","",IF(L419="À RENSEIGNER","GIC",L419)&amp;"-S"&amp;TEXT(A419,"00000"))</f>
        <v/>
      </c>
      <c r="C419" s="32" t="n"/>
      <c r="D419" s="36" t="n"/>
      <c r="E419" s="36" t="n"/>
      <c r="F419" s="42" t="n"/>
      <c r="G419" s="36" t="n"/>
      <c r="H419" s="43" t="n"/>
      <c r="I419" s="37" t="n"/>
      <c r="J419" s="44" t="n"/>
      <c r="K419" s="36" t="n"/>
      <c r="L419" s="33">
        <f>IF(C419="","",Commercial_Id)</f>
        <v/>
      </c>
      <c r="M419" s="34">
        <f>IF(E419="","",IFERROR(VLOOKUP(E419,T_Produits,2,FALSE),""))</f>
        <v/>
      </c>
      <c r="N419" s="40">
        <f>IF(E419="","",IFERROR(1/(1/VLOOKUP(E419,T_Produits,3,FALSE)),""))</f>
        <v/>
      </c>
      <c r="O419" s="40">
        <f>IF(OR(D419="",F419=""),"",IF(OR(D419="Casse / avarie",D419="Perte / vol",D419="Échantillon offert"),IF(I419&lt;&gt;"",I419,IF(N419="","",F419*N419)),""))</f>
        <v/>
      </c>
      <c r="P419" s="50">
        <f>IF(OR(D419="",F419=""),"",F419*IF(OR(D419="Reçu du magasin",D419="Ajustement (+)"),1,-1))</f>
        <v/>
      </c>
      <c r="Q419" s="34">
        <f>IF(C419="","",YEAR(C419-WEEKDAY(C419,2)+4)&amp;"-S"&amp;TEXT(INT((C419-DATE(YEAR(C419-WEEKDAY(C419,2)+4),1,3)+WEEKDAY(DATE(YEAR(C419-WEEKDAY(C419,2)+4),1,3),2)+5)/7),"00"))</f>
        <v/>
      </c>
    </row>
    <row r="420" ht="18" customHeight="1">
      <c r="A420" s="39" t="n">
        <v>415</v>
      </c>
      <c r="B420" s="33">
        <f>IF(C420="","",IF(L420="À RENSEIGNER","GIC",L420)&amp;"-S"&amp;TEXT(A420,"00000"))</f>
        <v/>
      </c>
      <c r="C420" s="32" t="n"/>
      <c r="D420" s="36" t="n"/>
      <c r="E420" s="36" t="n"/>
      <c r="F420" s="42" t="n"/>
      <c r="G420" s="36" t="n"/>
      <c r="H420" s="43" t="n"/>
      <c r="I420" s="37" t="n"/>
      <c r="J420" s="44" t="n"/>
      <c r="K420" s="36" t="n"/>
      <c r="L420" s="33">
        <f>IF(C420="","",Commercial_Id)</f>
        <v/>
      </c>
      <c r="M420" s="34">
        <f>IF(E420="","",IFERROR(VLOOKUP(E420,T_Produits,2,FALSE),""))</f>
        <v/>
      </c>
      <c r="N420" s="40">
        <f>IF(E420="","",IFERROR(1/(1/VLOOKUP(E420,T_Produits,3,FALSE)),""))</f>
        <v/>
      </c>
      <c r="O420" s="40">
        <f>IF(OR(D420="",F420=""),"",IF(OR(D420="Casse / avarie",D420="Perte / vol",D420="Échantillon offert"),IF(I420&lt;&gt;"",I420,IF(N420="","",F420*N420)),""))</f>
        <v/>
      </c>
      <c r="P420" s="50">
        <f>IF(OR(D420="",F420=""),"",F420*IF(OR(D420="Reçu du magasin",D420="Ajustement (+)"),1,-1))</f>
        <v/>
      </c>
      <c r="Q420" s="34">
        <f>IF(C420="","",YEAR(C420-WEEKDAY(C420,2)+4)&amp;"-S"&amp;TEXT(INT((C420-DATE(YEAR(C420-WEEKDAY(C420,2)+4),1,3)+WEEKDAY(DATE(YEAR(C420-WEEKDAY(C420,2)+4),1,3),2)+5)/7),"00"))</f>
        <v/>
      </c>
    </row>
    <row r="421" ht="18" customHeight="1">
      <c r="A421" s="39" t="n">
        <v>416</v>
      </c>
      <c r="B421" s="33">
        <f>IF(C421="","",IF(L421="À RENSEIGNER","GIC",L421)&amp;"-S"&amp;TEXT(A421,"00000"))</f>
        <v/>
      </c>
      <c r="C421" s="32" t="n"/>
      <c r="D421" s="36" t="n"/>
      <c r="E421" s="36" t="n"/>
      <c r="F421" s="42" t="n"/>
      <c r="G421" s="36" t="n"/>
      <c r="H421" s="43" t="n"/>
      <c r="I421" s="37" t="n"/>
      <c r="J421" s="44" t="n"/>
      <c r="K421" s="36" t="n"/>
      <c r="L421" s="33">
        <f>IF(C421="","",Commercial_Id)</f>
        <v/>
      </c>
      <c r="M421" s="34">
        <f>IF(E421="","",IFERROR(VLOOKUP(E421,T_Produits,2,FALSE),""))</f>
        <v/>
      </c>
      <c r="N421" s="40">
        <f>IF(E421="","",IFERROR(1/(1/VLOOKUP(E421,T_Produits,3,FALSE)),""))</f>
        <v/>
      </c>
      <c r="O421" s="40">
        <f>IF(OR(D421="",F421=""),"",IF(OR(D421="Casse / avarie",D421="Perte / vol",D421="Échantillon offert"),IF(I421&lt;&gt;"",I421,IF(N421="","",F421*N421)),""))</f>
        <v/>
      </c>
      <c r="P421" s="50">
        <f>IF(OR(D421="",F421=""),"",F421*IF(OR(D421="Reçu du magasin",D421="Ajustement (+)"),1,-1))</f>
        <v/>
      </c>
      <c r="Q421" s="34">
        <f>IF(C421="","",YEAR(C421-WEEKDAY(C421,2)+4)&amp;"-S"&amp;TEXT(INT((C421-DATE(YEAR(C421-WEEKDAY(C421,2)+4),1,3)+WEEKDAY(DATE(YEAR(C421-WEEKDAY(C421,2)+4),1,3),2)+5)/7),"00"))</f>
        <v/>
      </c>
    </row>
    <row r="422" ht="18" customHeight="1">
      <c r="A422" s="39" t="n">
        <v>417</v>
      </c>
      <c r="B422" s="33">
        <f>IF(C422="","",IF(L422="À RENSEIGNER","GIC",L422)&amp;"-S"&amp;TEXT(A422,"00000"))</f>
        <v/>
      </c>
      <c r="C422" s="32" t="n"/>
      <c r="D422" s="36" t="n"/>
      <c r="E422" s="36" t="n"/>
      <c r="F422" s="42" t="n"/>
      <c r="G422" s="36" t="n"/>
      <c r="H422" s="43" t="n"/>
      <c r="I422" s="37" t="n"/>
      <c r="J422" s="44" t="n"/>
      <c r="K422" s="36" t="n"/>
      <c r="L422" s="33">
        <f>IF(C422="","",Commercial_Id)</f>
        <v/>
      </c>
      <c r="M422" s="34">
        <f>IF(E422="","",IFERROR(VLOOKUP(E422,T_Produits,2,FALSE),""))</f>
        <v/>
      </c>
      <c r="N422" s="40">
        <f>IF(E422="","",IFERROR(1/(1/VLOOKUP(E422,T_Produits,3,FALSE)),""))</f>
        <v/>
      </c>
      <c r="O422" s="40">
        <f>IF(OR(D422="",F422=""),"",IF(OR(D422="Casse / avarie",D422="Perte / vol",D422="Échantillon offert"),IF(I422&lt;&gt;"",I422,IF(N422="","",F422*N422)),""))</f>
        <v/>
      </c>
      <c r="P422" s="50">
        <f>IF(OR(D422="",F422=""),"",F422*IF(OR(D422="Reçu du magasin",D422="Ajustement (+)"),1,-1))</f>
        <v/>
      </c>
      <c r="Q422" s="34">
        <f>IF(C422="","",YEAR(C422-WEEKDAY(C422,2)+4)&amp;"-S"&amp;TEXT(INT((C422-DATE(YEAR(C422-WEEKDAY(C422,2)+4),1,3)+WEEKDAY(DATE(YEAR(C422-WEEKDAY(C422,2)+4),1,3),2)+5)/7),"00"))</f>
        <v/>
      </c>
    </row>
    <row r="423" ht="18" customHeight="1">
      <c r="A423" s="39" t="n">
        <v>418</v>
      </c>
      <c r="B423" s="33">
        <f>IF(C423="","",IF(L423="À RENSEIGNER","GIC",L423)&amp;"-S"&amp;TEXT(A423,"00000"))</f>
        <v/>
      </c>
      <c r="C423" s="32" t="n"/>
      <c r="D423" s="36" t="n"/>
      <c r="E423" s="36" t="n"/>
      <c r="F423" s="42" t="n"/>
      <c r="G423" s="36" t="n"/>
      <c r="H423" s="43" t="n"/>
      <c r="I423" s="37" t="n"/>
      <c r="J423" s="44" t="n"/>
      <c r="K423" s="36" t="n"/>
      <c r="L423" s="33">
        <f>IF(C423="","",Commercial_Id)</f>
        <v/>
      </c>
      <c r="M423" s="34">
        <f>IF(E423="","",IFERROR(VLOOKUP(E423,T_Produits,2,FALSE),""))</f>
        <v/>
      </c>
      <c r="N423" s="40">
        <f>IF(E423="","",IFERROR(1/(1/VLOOKUP(E423,T_Produits,3,FALSE)),""))</f>
        <v/>
      </c>
      <c r="O423" s="40">
        <f>IF(OR(D423="",F423=""),"",IF(OR(D423="Casse / avarie",D423="Perte / vol",D423="Échantillon offert"),IF(I423&lt;&gt;"",I423,IF(N423="","",F423*N423)),""))</f>
        <v/>
      </c>
      <c r="P423" s="50">
        <f>IF(OR(D423="",F423=""),"",F423*IF(OR(D423="Reçu du magasin",D423="Ajustement (+)"),1,-1))</f>
        <v/>
      </c>
      <c r="Q423" s="34">
        <f>IF(C423="","",YEAR(C423-WEEKDAY(C423,2)+4)&amp;"-S"&amp;TEXT(INT((C423-DATE(YEAR(C423-WEEKDAY(C423,2)+4),1,3)+WEEKDAY(DATE(YEAR(C423-WEEKDAY(C423,2)+4),1,3),2)+5)/7),"00"))</f>
        <v/>
      </c>
    </row>
    <row r="424" ht="18" customHeight="1">
      <c r="A424" s="39" t="n">
        <v>419</v>
      </c>
      <c r="B424" s="33">
        <f>IF(C424="","",IF(L424="À RENSEIGNER","GIC",L424)&amp;"-S"&amp;TEXT(A424,"00000"))</f>
        <v/>
      </c>
      <c r="C424" s="32" t="n"/>
      <c r="D424" s="36" t="n"/>
      <c r="E424" s="36" t="n"/>
      <c r="F424" s="42" t="n"/>
      <c r="G424" s="36" t="n"/>
      <c r="H424" s="43" t="n"/>
      <c r="I424" s="37" t="n"/>
      <c r="J424" s="44" t="n"/>
      <c r="K424" s="36" t="n"/>
      <c r="L424" s="33">
        <f>IF(C424="","",Commercial_Id)</f>
        <v/>
      </c>
      <c r="M424" s="34">
        <f>IF(E424="","",IFERROR(VLOOKUP(E424,T_Produits,2,FALSE),""))</f>
        <v/>
      </c>
      <c r="N424" s="40">
        <f>IF(E424="","",IFERROR(1/(1/VLOOKUP(E424,T_Produits,3,FALSE)),""))</f>
        <v/>
      </c>
      <c r="O424" s="40">
        <f>IF(OR(D424="",F424=""),"",IF(OR(D424="Casse / avarie",D424="Perte / vol",D424="Échantillon offert"),IF(I424&lt;&gt;"",I424,IF(N424="","",F424*N424)),""))</f>
        <v/>
      </c>
      <c r="P424" s="50">
        <f>IF(OR(D424="",F424=""),"",F424*IF(OR(D424="Reçu du magasin",D424="Ajustement (+)"),1,-1))</f>
        <v/>
      </c>
      <c r="Q424" s="34">
        <f>IF(C424="","",YEAR(C424-WEEKDAY(C424,2)+4)&amp;"-S"&amp;TEXT(INT((C424-DATE(YEAR(C424-WEEKDAY(C424,2)+4),1,3)+WEEKDAY(DATE(YEAR(C424-WEEKDAY(C424,2)+4),1,3),2)+5)/7),"00"))</f>
        <v/>
      </c>
    </row>
    <row r="425" ht="18" customHeight="1">
      <c r="A425" s="39" t="n">
        <v>420</v>
      </c>
      <c r="B425" s="33">
        <f>IF(C425="","",IF(L425="À RENSEIGNER","GIC",L425)&amp;"-S"&amp;TEXT(A425,"00000"))</f>
        <v/>
      </c>
      <c r="C425" s="32" t="n"/>
      <c r="D425" s="36" t="n"/>
      <c r="E425" s="36" t="n"/>
      <c r="F425" s="42" t="n"/>
      <c r="G425" s="36" t="n"/>
      <c r="H425" s="43" t="n"/>
      <c r="I425" s="37" t="n"/>
      <c r="J425" s="44" t="n"/>
      <c r="K425" s="36" t="n"/>
      <c r="L425" s="33">
        <f>IF(C425="","",Commercial_Id)</f>
        <v/>
      </c>
      <c r="M425" s="34">
        <f>IF(E425="","",IFERROR(VLOOKUP(E425,T_Produits,2,FALSE),""))</f>
        <v/>
      </c>
      <c r="N425" s="40">
        <f>IF(E425="","",IFERROR(1/(1/VLOOKUP(E425,T_Produits,3,FALSE)),""))</f>
        <v/>
      </c>
      <c r="O425" s="40">
        <f>IF(OR(D425="",F425=""),"",IF(OR(D425="Casse / avarie",D425="Perte / vol",D425="Échantillon offert"),IF(I425&lt;&gt;"",I425,IF(N425="","",F425*N425)),""))</f>
        <v/>
      </c>
      <c r="P425" s="50">
        <f>IF(OR(D425="",F425=""),"",F425*IF(OR(D425="Reçu du magasin",D425="Ajustement (+)"),1,-1))</f>
        <v/>
      </c>
      <c r="Q425" s="34">
        <f>IF(C425="","",YEAR(C425-WEEKDAY(C425,2)+4)&amp;"-S"&amp;TEXT(INT((C425-DATE(YEAR(C425-WEEKDAY(C425,2)+4),1,3)+WEEKDAY(DATE(YEAR(C425-WEEKDAY(C425,2)+4),1,3),2)+5)/7),"00"))</f>
        <v/>
      </c>
    </row>
    <row r="426" ht="18" customHeight="1">
      <c r="A426" s="39" t="n">
        <v>421</v>
      </c>
      <c r="B426" s="33">
        <f>IF(C426="","",IF(L426="À RENSEIGNER","GIC",L426)&amp;"-S"&amp;TEXT(A426,"00000"))</f>
        <v/>
      </c>
      <c r="C426" s="32" t="n"/>
      <c r="D426" s="36" t="n"/>
      <c r="E426" s="36" t="n"/>
      <c r="F426" s="42" t="n"/>
      <c r="G426" s="36" t="n"/>
      <c r="H426" s="43" t="n"/>
      <c r="I426" s="37" t="n"/>
      <c r="J426" s="44" t="n"/>
      <c r="K426" s="36" t="n"/>
      <c r="L426" s="33">
        <f>IF(C426="","",Commercial_Id)</f>
        <v/>
      </c>
      <c r="M426" s="34">
        <f>IF(E426="","",IFERROR(VLOOKUP(E426,T_Produits,2,FALSE),""))</f>
        <v/>
      </c>
      <c r="N426" s="40">
        <f>IF(E426="","",IFERROR(1/(1/VLOOKUP(E426,T_Produits,3,FALSE)),""))</f>
        <v/>
      </c>
      <c r="O426" s="40">
        <f>IF(OR(D426="",F426=""),"",IF(OR(D426="Casse / avarie",D426="Perte / vol",D426="Échantillon offert"),IF(I426&lt;&gt;"",I426,IF(N426="","",F426*N426)),""))</f>
        <v/>
      </c>
      <c r="P426" s="50">
        <f>IF(OR(D426="",F426=""),"",F426*IF(OR(D426="Reçu du magasin",D426="Ajustement (+)"),1,-1))</f>
        <v/>
      </c>
      <c r="Q426" s="34">
        <f>IF(C426="","",YEAR(C426-WEEKDAY(C426,2)+4)&amp;"-S"&amp;TEXT(INT((C426-DATE(YEAR(C426-WEEKDAY(C426,2)+4),1,3)+WEEKDAY(DATE(YEAR(C426-WEEKDAY(C426,2)+4),1,3),2)+5)/7),"00"))</f>
        <v/>
      </c>
    </row>
    <row r="427" ht="18" customHeight="1">
      <c r="A427" s="39" t="n">
        <v>422</v>
      </c>
      <c r="B427" s="33">
        <f>IF(C427="","",IF(L427="À RENSEIGNER","GIC",L427)&amp;"-S"&amp;TEXT(A427,"00000"))</f>
        <v/>
      </c>
      <c r="C427" s="32" t="n"/>
      <c r="D427" s="36" t="n"/>
      <c r="E427" s="36" t="n"/>
      <c r="F427" s="42" t="n"/>
      <c r="G427" s="36" t="n"/>
      <c r="H427" s="43" t="n"/>
      <c r="I427" s="37" t="n"/>
      <c r="J427" s="44" t="n"/>
      <c r="K427" s="36" t="n"/>
      <c r="L427" s="33">
        <f>IF(C427="","",Commercial_Id)</f>
        <v/>
      </c>
      <c r="M427" s="34">
        <f>IF(E427="","",IFERROR(VLOOKUP(E427,T_Produits,2,FALSE),""))</f>
        <v/>
      </c>
      <c r="N427" s="40">
        <f>IF(E427="","",IFERROR(1/(1/VLOOKUP(E427,T_Produits,3,FALSE)),""))</f>
        <v/>
      </c>
      <c r="O427" s="40">
        <f>IF(OR(D427="",F427=""),"",IF(OR(D427="Casse / avarie",D427="Perte / vol",D427="Échantillon offert"),IF(I427&lt;&gt;"",I427,IF(N427="","",F427*N427)),""))</f>
        <v/>
      </c>
      <c r="P427" s="50">
        <f>IF(OR(D427="",F427=""),"",F427*IF(OR(D427="Reçu du magasin",D427="Ajustement (+)"),1,-1))</f>
        <v/>
      </c>
      <c r="Q427" s="34">
        <f>IF(C427="","",YEAR(C427-WEEKDAY(C427,2)+4)&amp;"-S"&amp;TEXT(INT((C427-DATE(YEAR(C427-WEEKDAY(C427,2)+4),1,3)+WEEKDAY(DATE(YEAR(C427-WEEKDAY(C427,2)+4),1,3),2)+5)/7),"00"))</f>
        <v/>
      </c>
    </row>
    <row r="428" ht="18" customHeight="1">
      <c r="A428" s="39" t="n">
        <v>423</v>
      </c>
      <c r="B428" s="33">
        <f>IF(C428="","",IF(L428="À RENSEIGNER","GIC",L428)&amp;"-S"&amp;TEXT(A428,"00000"))</f>
        <v/>
      </c>
      <c r="C428" s="32" t="n"/>
      <c r="D428" s="36" t="n"/>
      <c r="E428" s="36" t="n"/>
      <c r="F428" s="42" t="n"/>
      <c r="G428" s="36" t="n"/>
      <c r="H428" s="43" t="n"/>
      <c r="I428" s="37" t="n"/>
      <c r="J428" s="44" t="n"/>
      <c r="K428" s="36" t="n"/>
      <c r="L428" s="33">
        <f>IF(C428="","",Commercial_Id)</f>
        <v/>
      </c>
      <c r="M428" s="34">
        <f>IF(E428="","",IFERROR(VLOOKUP(E428,T_Produits,2,FALSE),""))</f>
        <v/>
      </c>
      <c r="N428" s="40">
        <f>IF(E428="","",IFERROR(1/(1/VLOOKUP(E428,T_Produits,3,FALSE)),""))</f>
        <v/>
      </c>
      <c r="O428" s="40">
        <f>IF(OR(D428="",F428=""),"",IF(OR(D428="Casse / avarie",D428="Perte / vol",D428="Échantillon offert"),IF(I428&lt;&gt;"",I428,IF(N428="","",F428*N428)),""))</f>
        <v/>
      </c>
      <c r="P428" s="50">
        <f>IF(OR(D428="",F428=""),"",F428*IF(OR(D428="Reçu du magasin",D428="Ajustement (+)"),1,-1))</f>
        <v/>
      </c>
      <c r="Q428" s="34">
        <f>IF(C428="","",YEAR(C428-WEEKDAY(C428,2)+4)&amp;"-S"&amp;TEXT(INT((C428-DATE(YEAR(C428-WEEKDAY(C428,2)+4),1,3)+WEEKDAY(DATE(YEAR(C428-WEEKDAY(C428,2)+4),1,3),2)+5)/7),"00"))</f>
        <v/>
      </c>
    </row>
    <row r="429" ht="18" customHeight="1">
      <c r="A429" s="39" t="n">
        <v>424</v>
      </c>
      <c r="B429" s="33">
        <f>IF(C429="","",IF(L429="À RENSEIGNER","GIC",L429)&amp;"-S"&amp;TEXT(A429,"00000"))</f>
        <v/>
      </c>
      <c r="C429" s="32" t="n"/>
      <c r="D429" s="36" t="n"/>
      <c r="E429" s="36" t="n"/>
      <c r="F429" s="42" t="n"/>
      <c r="G429" s="36" t="n"/>
      <c r="H429" s="43" t="n"/>
      <c r="I429" s="37" t="n"/>
      <c r="J429" s="44" t="n"/>
      <c r="K429" s="36" t="n"/>
      <c r="L429" s="33">
        <f>IF(C429="","",Commercial_Id)</f>
        <v/>
      </c>
      <c r="M429" s="34">
        <f>IF(E429="","",IFERROR(VLOOKUP(E429,T_Produits,2,FALSE),""))</f>
        <v/>
      </c>
      <c r="N429" s="40">
        <f>IF(E429="","",IFERROR(1/(1/VLOOKUP(E429,T_Produits,3,FALSE)),""))</f>
        <v/>
      </c>
      <c r="O429" s="40">
        <f>IF(OR(D429="",F429=""),"",IF(OR(D429="Casse / avarie",D429="Perte / vol",D429="Échantillon offert"),IF(I429&lt;&gt;"",I429,IF(N429="","",F429*N429)),""))</f>
        <v/>
      </c>
      <c r="P429" s="50">
        <f>IF(OR(D429="",F429=""),"",F429*IF(OR(D429="Reçu du magasin",D429="Ajustement (+)"),1,-1))</f>
        <v/>
      </c>
      <c r="Q429" s="34">
        <f>IF(C429="","",YEAR(C429-WEEKDAY(C429,2)+4)&amp;"-S"&amp;TEXT(INT((C429-DATE(YEAR(C429-WEEKDAY(C429,2)+4),1,3)+WEEKDAY(DATE(YEAR(C429-WEEKDAY(C429,2)+4),1,3),2)+5)/7),"00"))</f>
        <v/>
      </c>
    </row>
    <row r="430" ht="18" customHeight="1">
      <c r="A430" s="39" t="n">
        <v>425</v>
      </c>
      <c r="B430" s="33">
        <f>IF(C430="","",IF(L430="À RENSEIGNER","GIC",L430)&amp;"-S"&amp;TEXT(A430,"00000"))</f>
        <v/>
      </c>
      <c r="C430" s="32" t="n"/>
      <c r="D430" s="36" t="n"/>
      <c r="E430" s="36" t="n"/>
      <c r="F430" s="42" t="n"/>
      <c r="G430" s="36" t="n"/>
      <c r="H430" s="43" t="n"/>
      <c r="I430" s="37" t="n"/>
      <c r="J430" s="44" t="n"/>
      <c r="K430" s="36" t="n"/>
      <c r="L430" s="33">
        <f>IF(C430="","",Commercial_Id)</f>
        <v/>
      </c>
      <c r="M430" s="34">
        <f>IF(E430="","",IFERROR(VLOOKUP(E430,T_Produits,2,FALSE),""))</f>
        <v/>
      </c>
      <c r="N430" s="40">
        <f>IF(E430="","",IFERROR(1/(1/VLOOKUP(E430,T_Produits,3,FALSE)),""))</f>
        <v/>
      </c>
      <c r="O430" s="40">
        <f>IF(OR(D430="",F430=""),"",IF(OR(D430="Casse / avarie",D430="Perte / vol",D430="Échantillon offert"),IF(I430&lt;&gt;"",I430,IF(N430="","",F430*N430)),""))</f>
        <v/>
      </c>
      <c r="P430" s="50">
        <f>IF(OR(D430="",F430=""),"",F430*IF(OR(D430="Reçu du magasin",D430="Ajustement (+)"),1,-1))</f>
        <v/>
      </c>
      <c r="Q430" s="34">
        <f>IF(C430="","",YEAR(C430-WEEKDAY(C430,2)+4)&amp;"-S"&amp;TEXT(INT((C430-DATE(YEAR(C430-WEEKDAY(C430,2)+4),1,3)+WEEKDAY(DATE(YEAR(C430-WEEKDAY(C430,2)+4),1,3),2)+5)/7),"00"))</f>
        <v/>
      </c>
    </row>
    <row r="431" ht="18" customHeight="1">
      <c r="A431" s="39" t="n">
        <v>426</v>
      </c>
      <c r="B431" s="33">
        <f>IF(C431="","",IF(L431="À RENSEIGNER","GIC",L431)&amp;"-S"&amp;TEXT(A431,"00000"))</f>
        <v/>
      </c>
      <c r="C431" s="32" t="n"/>
      <c r="D431" s="36" t="n"/>
      <c r="E431" s="36" t="n"/>
      <c r="F431" s="42" t="n"/>
      <c r="G431" s="36" t="n"/>
      <c r="H431" s="43" t="n"/>
      <c r="I431" s="37" t="n"/>
      <c r="J431" s="44" t="n"/>
      <c r="K431" s="36" t="n"/>
      <c r="L431" s="33">
        <f>IF(C431="","",Commercial_Id)</f>
        <v/>
      </c>
      <c r="M431" s="34">
        <f>IF(E431="","",IFERROR(VLOOKUP(E431,T_Produits,2,FALSE),""))</f>
        <v/>
      </c>
      <c r="N431" s="40">
        <f>IF(E431="","",IFERROR(1/(1/VLOOKUP(E431,T_Produits,3,FALSE)),""))</f>
        <v/>
      </c>
      <c r="O431" s="40">
        <f>IF(OR(D431="",F431=""),"",IF(OR(D431="Casse / avarie",D431="Perte / vol",D431="Échantillon offert"),IF(I431&lt;&gt;"",I431,IF(N431="","",F431*N431)),""))</f>
        <v/>
      </c>
      <c r="P431" s="50">
        <f>IF(OR(D431="",F431=""),"",F431*IF(OR(D431="Reçu du magasin",D431="Ajustement (+)"),1,-1))</f>
        <v/>
      </c>
      <c r="Q431" s="34">
        <f>IF(C431="","",YEAR(C431-WEEKDAY(C431,2)+4)&amp;"-S"&amp;TEXT(INT((C431-DATE(YEAR(C431-WEEKDAY(C431,2)+4),1,3)+WEEKDAY(DATE(YEAR(C431-WEEKDAY(C431,2)+4),1,3),2)+5)/7),"00"))</f>
        <v/>
      </c>
    </row>
    <row r="432" ht="18" customHeight="1">
      <c r="A432" s="39" t="n">
        <v>427</v>
      </c>
      <c r="B432" s="33">
        <f>IF(C432="","",IF(L432="À RENSEIGNER","GIC",L432)&amp;"-S"&amp;TEXT(A432,"00000"))</f>
        <v/>
      </c>
      <c r="C432" s="32" t="n"/>
      <c r="D432" s="36" t="n"/>
      <c r="E432" s="36" t="n"/>
      <c r="F432" s="42" t="n"/>
      <c r="G432" s="36" t="n"/>
      <c r="H432" s="43" t="n"/>
      <c r="I432" s="37" t="n"/>
      <c r="J432" s="44" t="n"/>
      <c r="K432" s="36" t="n"/>
      <c r="L432" s="33">
        <f>IF(C432="","",Commercial_Id)</f>
        <v/>
      </c>
      <c r="M432" s="34">
        <f>IF(E432="","",IFERROR(VLOOKUP(E432,T_Produits,2,FALSE),""))</f>
        <v/>
      </c>
      <c r="N432" s="40">
        <f>IF(E432="","",IFERROR(1/(1/VLOOKUP(E432,T_Produits,3,FALSE)),""))</f>
        <v/>
      </c>
      <c r="O432" s="40">
        <f>IF(OR(D432="",F432=""),"",IF(OR(D432="Casse / avarie",D432="Perte / vol",D432="Échantillon offert"),IF(I432&lt;&gt;"",I432,IF(N432="","",F432*N432)),""))</f>
        <v/>
      </c>
      <c r="P432" s="50">
        <f>IF(OR(D432="",F432=""),"",F432*IF(OR(D432="Reçu du magasin",D432="Ajustement (+)"),1,-1))</f>
        <v/>
      </c>
      <c r="Q432" s="34">
        <f>IF(C432="","",YEAR(C432-WEEKDAY(C432,2)+4)&amp;"-S"&amp;TEXT(INT((C432-DATE(YEAR(C432-WEEKDAY(C432,2)+4),1,3)+WEEKDAY(DATE(YEAR(C432-WEEKDAY(C432,2)+4),1,3),2)+5)/7),"00"))</f>
        <v/>
      </c>
    </row>
    <row r="433" ht="18" customHeight="1">
      <c r="A433" s="39" t="n">
        <v>428</v>
      </c>
      <c r="B433" s="33">
        <f>IF(C433="","",IF(L433="À RENSEIGNER","GIC",L433)&amp;"-S"&amp;TEXT(A433,"00000"))</f>
        <v/>
      </c>
      <c r="C433" s="32" t="n"/>
      <c r="D433" s="36" t="n"/>
      <c r="E433" s="36" t="n"/>
      <c r="F433" s="42" t="n"/>
      <c r="G433" s="36" t="n"/>
      <c r="H433" s="43" t="n"/>
      <c r="I433" s="37" t="n"/>
      <c r="J433" s="44" t="n"/>
      <c r="K433" s="36" t="n"/>
      <c r="L433" s="33">
        <f>IF(C433="","",Commercial_Id)</f>
        <v/>
      </c>
      <c r="M433" s="34">
        <f>IF(E433="","",IFERROR(VLOOKUP(E433,T_Produits,2,FALSE),""))</f>
        <v/>
      </c>
      <c r="N433" s="40">
        <f>IF(E433="","",IFERROR(1/(1/VLOOKUP(E433,T_Produits,3,FALSE)),""))</f>
        <v/>
      </c>
      <c r="O433" s="40">
        <f>IF(OR(D433="",F433=""),"",IF(OR(D433="Casse / avarie",D433="Perte / vol",D433="Échantillon offert"),IF(I433&lt;&gt;"",I433,IF(N433="","",F433*N433)),""))</f>
        <v/>
      </c>
      <c r="P433" s="50">
        <f>IF(OR(D433="",F433=""),"",F433*IF(OR(D433="Reçu du magasin",D433="Ajustement (+)"),1,-1))</f>
        <v/>
      </c>
      <c r="Q433" s="34">
        <f>IF(C433="","",YEAR(C433-WEEKDAY(C433,2)+4)&amp;"-S"&amp;TEXT(INT((C433-DATE(YEAR(C433-WEEKDAY(C433,2)+4),1,3)+WEEKDAY(DATE(YEAR(C433-WEEKDAY(C433,2)+4),1,3),2)+5)/7),"00"))</f>
        <v/>
      </c>
    </row>
    <row r="434" ht="18" customHeight="1">
      <c r="A434" s="39" t="n">
        <v>429</v>
      </c>
      <c r="B434" s="33">
        <f>IF(C434="","",IF(L434="À RENSEIGNER","GIC",L434)&amp;"-S"&amp;TEXT(A434,"00000"))</f>
        <v/>
      </c>
      <c r="C434" s="32" t="n"/>
      <c r="D434" s="36" t="n"/>
      <c r="E434" s="36" t="n"/>
      <c r="F434" s="42" t="n"/>
      <c r="G434" s="36" t="n"/>
      <c r="H434" s="43" t="n"/>
      <c r="I434" s="37" t="n"/>
      <c r="J434" s="44" t="n"/>
      <c r="K434" s="36" t="n"/>
      <c r="L434" s="33">
        <f>IF(C434="","",Commercial_Id)</f>
        <v/>
      </c>
      <c r="M434" s="34">
        <f>IF(E434="","",IFERROR(VLOOKUP(E434,T_Produits,2,FALSE),""))</f>
        <v/>
      </c>
      <c r="N434" s="40">
        <f>IF(E434="","",IFERROR(1/(1/VLOOKUP(E434,T_Produits,3,FALSE)),""))</f>
        <v/>
      </c>
      <c r="O434" s="40">
        <f>IF(OR(D434="",F434=""),"",IF(OR(D434="Casse / avarie",D434="Perte / vol",D434="Échantillon offert"),IF(I434&lt;&gt;"",I434,IF(N434="","",F434*N434)),""))</f>
        <v/>
      </c>
      <c r="P434" s="50">
        <f>IF(OR(D434="",F434=""),"",F434*IF(OR(D434="Reçu du magasin",D434="Ajustement (+)"),1,-1))</f>
        <v/>
      </c>
      <c r="Q434" s="34">
        <f>IF(C434="","",YEAR(C434-WEEKDAY(C434,2)+4)&amp;"-S"&amp;TEXT(INT((C434-DATE(YEAR(C434-WEEKDAY(C434,2)+4),1,3)+WEEKDAY(DATE(YEAR(C434-WEEKDAY(C434,2)+4),1,3),2)+5)/7),"00"))</f>
        <v/>
      </c>
    </row>
    <row r="435" ht="18" customHeight="1">
      <c r="A435" s="39" t="n">
        <v>430</v>
      </c>
      <c r="B435" s="33">
        <f>IF(C435="","",IF(L435="À RENSEIGNER","GIC",L435)&amp;"-S"&amp;TEXT(A435,"00000"))</f>
        <v/>
      </c>
      <c r="C435" s="32" t="n"/>
      <c r="D435" s="36" t="n"/>
      <c r="E435" s="36" t="n"/>
      <c r="F435" s="42" t="n"/>
      <c r="G435" s="36" t="n"/>
      <c r="H435" s="43" t="n"/>
      <c r="I435" s="37" t="n"/>
      <c r="J435" s="44" t="n"/>
      <c r="K435" s="36" t="n"/>
      <c r="L435" s="33">
        <f>IF(C435="","",Commercial_Id)</f>
        <v/>
      </c>
      <c r="M435" s="34">
        <f>IF(E435="","",IFERROR(VLOOKUP(E435,T_Produits,2,FALSE),""))</f>
        <v/>
      </c>
      <c r="N435" s="40">
        <f>IF(E435="","",IFERROR(1/(1/VLOOKUP(E435,T_Produits,3,FALSE)),""))</f>
        <v/>
      </c>
      <c r="O435" s="40">
        <f>IF(OR(D435="",F435=""),"",IF(OR(D435="Casse / avarie",D435="Perte / vol",D435="Échantillon offert"),IF(I435&lt;&gt;"",I435,IF(N435="","",F435*N435)),""))</f>
        <v/>
      </c>
      <c r="P435" s="50">
        <f>IF(OR(D435="",F435=""),"",F435*IF(OR(D435="Reçu du magasin",D435="Ajustement (+)"),1,-1))</f>
        <v/>
      </c>
      <c r="Q435" s="34">
        <f>IF(C435="","",YEAR(C435-WEEKDAY(C435,2)+4)&amp;"-S"&amp;TEXT(INT((C435-DATE(YEAR(C435-WEEKDAY(C435,2)+4),1,3)+WEEKDAY(DATE(YEAR(C435-WEEKDAY(C435,2)+4),1,3),2)+5)/7),"00"))</f>
        <v/>
      </c>
    </row>
    <row r="436" ht="18" customHeight="1">
      <c r="A436" s="39" t="n">
        <v>431</v>
      </c>
      <c r="B436" s="33">
        <f>IF(C436="","",IF(L436="À RENSEIGNER","GIC",L436)&amp;"-S"&amp;TEXT(A436,"00000"))</f>
        <v/>
      </c>
      <c r="C436" s="32" t="n"/>
      <c r="D436" s="36" t="n"/>
      <c r="E436" s="36" t="n"/>
      <c r="F436" s="42" t="n"/>
      <c r="G436" s="36" t="n"/>
      <c r="H436" s="43" t="n"/>
      <c r="I436" s="37" t="n"/>
      <c r="J436" s="44" t="n"/>
      <c r="K436" s="36" t="n"/>
      <c r="L436" s="33">
        <f>IF(C436="","",Commercial_Id)</f>
        <v/>
      </c>
      <c r="M436" s="34">
        <f>IF(E436="","",IFERROR(VLOOKUP(E436,T_Produits,2,FALSE),""))</f>
        <v/>
      </c>
      <c r="N436" s="40">
        <f>IF(E436="","",IFERROR(1/(1/VLOOKUP(E436,T_Produits,3,FALSE)),""))</f>
        <v/>
      </c>
      <c r="O436" s="40">
        <f>IF(OR(D436="",F436=""),"",IF(OR(D436="Casse / avarie",D436="Perte / vol",D436="Échantillon offert"),IF(I436&lt;&gt;"",I436,IF(N436="","",F436*N436)),""))</f>
        <v/>
      </c>
      <c r="P436" s="50">
        <f>IF(OR(D436="",F436=""),"",F436*IF(OR(D436="Reçu du magasin",D436="Ajustement (+)"),1,-1))</f>
        <v/>
      </c>
      <c r="Q436" s="34">
        <f>IF(C436="","",YEAR(C436-WEEKDAY(C436,2)+4)&amp;"-S"&amp;TEXT(INT((C436-DATE(YEAR(C436-WEEKDAY(C436,2)+4),1,3)+WEEKDAY(DATE(YEAR(C436-WEEKDAY(C436,2)+4),1,3),2)+5)/7),"00"))</f>
        <v/>
      </c>
    </row>
    <row r="437" ht="18" customHeight="1">
      <c r="A437" s="39" t="n">
        <v>432</v>
      </c>
      <c r="B437" s="33">
        <f>IF(C437="","",IF(L437="À RENSEIGNER","GIC",L437)&amp;"-S"&amp;TEXT(A437,"00000"))</f>
        <v/>
      </c>
      <c r="C437" s="32" t="n"/>
      <c r="D437" s="36" t="n"/>
      <c r="E437" s="36" t="n"/>
      <c r="F437" s="42" t="n"/>
      <c r="G437" s="36" t="n"/>
      <c r="H437" s="43" t="n"/>
      <c r="I437" s="37" t="n"/>
      <c r="J437" s="44" t="n"/>
      <c r="K437" s="36" t="n"/>
      <c r="L437" s="33">
        <f>IF(C437="","",Commercial_Id)</f>
        <v/>
      </c>
      <c r="M437" s="34">
        <f>IF(E437="","",IFERROR(VLOOKUP(E437,T_Produits,2,FALSE),""))</f>
        <v/>
      </c>
      <c r="N437" s="40">
        <f>IF(E437="","",IFERROR(1/(1/VLOOKUP(E437,T_Produits,3,FALSE)),""))</f>
        <v/>
      </c>
      <c r="O437" s="40">
        <f>IF(OR(D437="",F437=""),"",IF(OR(D437="Casse / avarie",D437="Perte / vol",D437="Échantillon offert"),IF(I437&lt;&gt;"",I437,IF(N437="","",F437*N437)),""))</f>
        <v/>
      </c>
      <c r="P437" s="50">
        <f>IF(OR(D437="",F437=""),"",F437*IF(OR(D437="Reçu du magasin",D437="Ajustement (+)"),1,-1))</f>
        <v/>
      </c>
      <c r="Q437" s="34">
        <f>IF(C437="","",YEAR(C437-WEEKDAY(C437,2)+4)&amp;"-S"&amp;TEXT(INT((C437-DATE(YEAR(C437-WEEKDAY(C437,2)+4),1,3)+WEEKDAY(DATE(YEAR(C437-WEEKDAY(C437,2)+4),1,3),2)+5)/7),"00"))</f>
        <v/>
      </c>
    </row>
    <row r="438" ht="18" customHeight="1">
      <c r="A438" s="39" t="n">
        <v>433</v>
      </c>
      <c r="B438" s="33">
        <f>IF(C438="","",IF(L438="À RENSEIGNER","GIC",L438)&amp;"-S"&amp;TEXT(A438,"00000"))</f>
        <v/>
      </c>
      <c r="C438" s="32" t="n"/>
      <c r="D438" s="36" t="n"/>
      <c r="E438" s="36" t="n"/>
      <c r="F438" s="42" t="n"/>
      <c r="G438" s="36" t="n"/>
      <c r="H438" s="43" t="n"/>
      <c r="I438" s="37" t="n"/>
      <c r="J438" s="44" t="n"/>
      <c r="K438" s="36" t="n"/>
      <c r="L438" s="33">
        <f>IF(C438="","",Commercial_Id)</f>
        <v/>
      </c>
      <c r="M438" s="34">
        <f>IF(E438="","",IFERROR(VLOOKUP(E438,T_Produits,2,FALSE),""))</f>
        <v/>
      </c>
      <c r="N438" s="40">
        <f>IF(E438="","",IFERROR(1/(1/VLOOKUP(E438,T_Produits,3,FALSE)),""))</f>
        <v/>
      </c>
      <c r="O438" s="40">
        <f>IF(OR(D438="",F438=""),"",IF(OR(D438="Casse / avarie",D438="Perte / vol",D438="Échantillon offert"),IF(I438&lt;&gt;"",I438,IF(N438="","",F438*N438)),""))</f>
        <v/>
      </c>
      <c r="P438" s="50">
        <f>IF(OR(D438="",F438=""),"",F438*IF(OR(D438="Reçu du magasin",D438="Ajustement (+)"),1,-1))</f>
        <v/>
      </c>
      <c r="Q438" s="34">
        <f>IF(C438="","",YEAR(C438-WEEKDAY(C438,2)+4)&amp;"-S"&amp;TEXT(INT((C438-DATE(YEAR(C438-WEEKDAY(C438,2)+4),1,3)+WEEKDAY(DATE(YEAR(C438-WEEKDAY(C438,2)+4),1,3),2)+5)/7),"00"))</f>
        <v/>
      </c>
    </row>
    <row r="439" ht="18" customHeight="1">
      <c r="A439" s="39" t="n">
        <v>434</v>
      </c>
      <c r="B439" s="33">
        <f>IF(C439="","",IF(L439="À RENSEIGNER","GIC",L439)&amp;"-S"&amp;TEXT(A439,"00000"))</f>
        <v/>
      </c>
      <c r="C439" s="32" t="n"/>
      <c r="D439" s="36" t="n"/>
      <c r="E439" s="36" t="n"/>
      <c r="F439" s="42" t="n"/>
      <c r="G439" s="36" t="n"/>
      <c r="H439" s="43" t="n"/>
      <c r="I439" s="37" t="n"/>
      <c r="J439" s="44" t="n"/>
      <c r="K439" s="36" t="n"/>
      <c r="L439" s="33">
        <f>IF(C439="","",Commercial_Id)</f>
        <v/>
      </c>
      <c r="M439" s="34">
        <f>IF(E439="","",IFERROR(VLOOKUP(E439,T_Produits,2,FALSE),""))</f>
        <v/>
      </c>
      <c r="N439" s="40">
        <f>IF(E439="","",IFERROR(1/(1/VLOOKUP(E439,T_Produits,3,FALSE)),""))</f>
        <v/>
      </c>
      <c r="O439" s="40">
        <f>IF(OR(D439="",F439=""),"",IF(OR(D439="Casse / avarie",D439="Perte / vol",D439="Échantillon offert"),IF(I439&lt;&gt;"",I439,IF(N439="","",F439*N439)),""))</f>
        <v/>
      </c>
      <c r="P439" s="50">
        <f>IF(OR(D439="",F439=""),"",F439*IF(OR(D439="Reçu du magasin",D439="Ajustement (+)"),1,-1))</f>
        <v/>
      </c>
      <c r="Q439" s="34">
        <f>IF(C439="","",YEAR(C439-WEEKDAY(C439,2)+4)&amp;"-S"&amp;TEXT(INT((C439-DATE(YEAR(C439-WEEKDAY(C439,2)+4),1,3)+WEEKDAY(DATE(YEAR(C439-WEEKDAY(C439,2)+4),1,3),2)+5)/7),"00"))</f>
        <v/>
      </c>
    </row>
    <row r="440" ht="18" customHeight="1">
      <c r="A440" s="39" t="n">
        <v>435</v>
      </c>
      <c r="B440" s="33">
        <f>IF(C440="","",IF(L440="À RENSEIGNER","GIC",L440)&amp;"-S"&amp;TEXT(A440,"00000"))</f>
        <v/>
      </c>
      <c r="C440" s="32" t="n"/>
      <c r="D440" s="36" t="n"/>
      <c r="E440" s="36" t="n"/>
      <c r="F440" s="42" t="n"/>
      <c r="G440" s="36" t="n"/>
      <c r="H440" s="43" t="n"/>
      <c r="I440" s="37" t="n"/>
      <c r="J440" s="44" t="n"/>
      <c r="K440" s="36" t="n"/>
      <c r="L440" s="33">
        <f>IF(C440="","",Commercial_Id)</f>
        <v/>
      </c>
      <c r="M440" s="34">
        <f>IF(E440="","",IFERROR(VLOOKUP(E440,T_Produits,2,FALSE),""))</f>
        <v/>
      </c>
      <c r="N440" s="40">
        <f>IF(E440="","",IFERROR(1/(1/VLOOKUP(E440,T_Produits,3,FALSE)),""))</f>
        <v/>
      </c>
      <c r="O440" s="40">
        <f>IF(OR(D440="",F440=""),"",IF(OR(D440="Casse / avarie",D440="Perte / vol",D440="Échantillon offert"),IF(I440&lt;&gt;"",I440,IF(N440="","",F440*N440)),""))</f>
        <v/>
      </c>
      <c r="P440" s="50">
        <f>IF(OR(D440="",F440=""),"",F440*IF(OR(D440="Reçu du magasin",D440="Ajustement (+)"),1,-1))</f>
        <v/>
      </c>
      <c r="Q440" s="34">
        <f>IF(C440="","",YEAR(C440-WEEKDAY(C440,2)+4)&amp;"-S"&amp;TEXT(INT((C440-DATE(YEAR(C440-WEEKDAY(C440,2)+4),1,3)+WEEKDAY(DATE(YEAR(C440-WEEKDAY(C440,2)+4),1,3),2)+5)/7),"00"))</f>
        <v/>
      </c>
    </row>
    <row r="441" ht="18" customHeight="1">
      <c r="A441" s="39" t="n">
        <v>436</v>
      </c>
      <c r="B441" s="33">
        <f>IF(C441="","",IF(L441="À RENSEIGNER","GIC",L441)&amp;"-S"&amp;TEXT(A441,"00000"))</f>
        <v/>
      </c>
      <c r="C441" s="32" t="n"/>
      <c r="D441" s="36" t="n"/>
      <c r="E441" s="36" t="n"/>
      <c r="F441" s="42" t="n"/>
      <c r="G441" s="36" t="n"/>
      <c r="H441" s="43" t="n"/>
      <c r="I441" s="37" t="n"/>
      <c r="J441" s="44" t="n"/>
      <c r="K441" s="36" t="n"/>
      <c r="L441" s="33">
        <f>IF(C441="","",Commercial_Id)</f>
        <v/>
      </c>
      <c r="M441" s="34">
        <f>IF(E441="","",IFERROR(VLOOKUP(E441,T_Produits,2,FALSE),""))</f>
        <v/>
      </c>
      <c r="N441" s="40">
        <f>IF(E441="","",IFERROR(1/(1/VLOOKUP(E441,T_Produits,3,FALSE)),""))</f>
        <v/>
      </c>
      <c r="O441" s="40">
        <f>IF(OR(D441="",F441=""),"",IF(OR(D441="Casse / avarie",D441="Perte / vol",D441="Échantillon offert"),IF(I441&lt;&gt;"",I441,IF(N441="","",F441*N441)),""))</f>
        <v/>
      </c>
      <c r="P441" s="50">
        <f>IF(OR(D441="",F441=""),"",F441*IF(OR(D441="Reçu du magasin",D441="Ajustement (+)"),1,-1))</f>
        <v/>
      </c>
      <c r="Q441" s="34">
        <f>IF(C441="","",YEAR(C441-WEEKDAY(C441,2)+4)&amp;"-S"&amp;TEXT(INT((C441-DATE(YEAR(C441-WEEKDAY(C441,2)+4),1,3)+WEEKDAY(DATE(YEAR(C441-WEEKDAY(C441,2)+4),1,3),2)+5)/7),"00"))</f>
        <v/>
      </c>
    </row>
    <row r="442" ht="18" customHeight="1">
      <c r="A442" s="39" t="n">
        <v>437</v>
      </c>
      <c r="B442" s="33">
        <f>IF(C442="","",IF(L442="À RENSEIGNER","GIC",L442)&amp;"-S"&amp;TEXT(A442,"00000"))</f>
        <v/>
      </c>
      <c r="C442" s="32" t="n"/>
      <c r="D442" s="36" t="n"/>
      <c r="E442" s="36" t="n"/>
      <c r="F442" s="42" t="n"/>
      <c r="G442" s="36" t="n"/>
      <c r="H442" s="43" t="n"/>
      <c r="I442" s="37" t="n"/>
      <c r="J442" s="44" t="n"/>
      <c r="K442" s="36" t="n"/>
      <c r="L442" s="33">
        <f>IF(C442="","",Commercial_Id)</f>
        <v/>
      </c>
      <c r="M442" s="34">
        <f>IF(E442="","",IFERROR(VLOOKUP(E442,T_Produits,2,FALSE),""))</f>
        <v/>
      </c>
      <c r="N442" s="40">
        <f>IF(E442="","",IFERROR(1/(1/VLOOKUP(E442,T_Produits,3,FALSE)),""))</f>
        <v/>
      </c>
      <c r="O442" s="40">
        <f>IF(OR(D442="",F442=""),"",IF(OR(D442="Casse / avarie",D442="Perte / vol",D442="Échantillon offert"),IF(I442&lt;&gt;"",I442,IF(N442="","",F442*N442)),""))</f>
        <v/>
      </c>
      <c r="P442" s="50">
        <f>IF(OR(D442="",F442=""),"",F442*IF(OR(D442="Reçu du magasin",D442="Ajustement (+)"),1,-1))</f>
        <v/>
      </c>
      <c r="Q442" s="34">
        <f>IF(C442="","",YEAR(C442-WEEKDAY(C442,2)+4)&amp;"-S"&amp;TEXT(INT((C442-DATE(YEAR(C442-WEEKDAY(C442,2)+4),1,3)+WEEKDAY(DATE(YEAR(C442-WEEKDAY(C442,2)+4),1,3),2)+5)/7),"00"))</f>
        <v/>
      </c>
    </row>
    <row r="443" ht="18" customHeight="1">
      <c r="A443" s="39" t="n">
        <v>438</v>
      </c>
      <c r="B443" s="33">
        <f>IF(C443="","",IF(L443="À RENSEIGNER","GIC",L443)&amp;"-S"&amp;TEXT(A443,"00000"))</f>
        <v/>
      </c>
      <c r="C443" s="32" t="n"/>
      <c r="D443" s="36" t="n"/>
      <c r="E443" s="36" t="n"/>
      <c r="F443" s="42" t="n"/>
      <c r="G443" s="36" t="n"/>
      <c r="H443" s="43" t="n"/>
      <c r="I443" s="37" t="n"/>
      <c r="J443" s="44" t="n"/>
      <c r="K443" s="36" t="n"/>
      <c r="L443" s="33">
        <f>IF(C443="","",Commercial_Id)</f>
        <v/>
      </c>
      <c r="M443" s="34">
        <f>IF(E443="","",IFERROR(VLOOKUP(E443,T_Produits,2,FALSE),""))</f>
        <v/>
      </c>
      <c r="N443" s="40">
        <f>IF(E443="","",IFERROR(1/(1/VLOOKUP(E443,T_Produits,3,FALSE)),""))</f>
        <v/>
      </c>
      <c r="O443" s="40">
        <f>IF(OR(D443="",F443=""),"",IF(OR(D443="Casse / avarie",D443="Perte / vol",D443="Échantillon offert"),IF(I443&lt;&gt;"",I443,IF(N443="","",F443*N443)),""))</f>
        <v/>
      </c>
      <c r="P443" s="50">
        <f>IF(OR(D443="",F443=""),"",F443*IF(OR(D443="Reçu du magasin",D443="Ajustement (+)"),1,-1))</f>
        <v/>
      </c>
      <c r="Q443" s="34">
        <f>IF(C443="","",YEAR(C443-WEEKDAY(C443,2)+4)&amp;"-S"&amp;TEXT(INT((C443-DATE(YEAR(C443-WEEKDAY(C443,2)+4),1,3)+WEEKDAY(DATE(YEAR(C443-WEEKDAY(C443,2)+4),1,3),2)+5)/7),"00"))</f>
        <v/>
      </c>
    </row>
    <row r="444" ht="18" customHeight="1">
      <c r="A444" s="39" t="n">
        <v>439</v>
      </c>
      <c r="B444" s="33">
        <f>IF(C444="","",IF(L444="À RENSEIGNER","GIC",L444)&amp;"-S"&amp;TEXT(A444,"00000"))</f>
        <v/>
      </c>
      <c r="C444" s="32" t="n"/>
      <c r="D444" s="36" t="n"/>
      <c r="E444" s="36" t="n"/>
      <c r="F444" s="42" t="n"/>
      <c r="G444" s="36" t="n"/>
      <c r="H444" s="43" t="n"/>
      <c r="I444" s="37" t="n"/>
      <c r="J444" s="44" t="n"/>
      <c r="K444" s="36" t="n"/>
      <c r="L444" s="33">
        <f>IF(C444="","",Commercial_Id)</f>
        <v/>
      </c>
      <c r="M444" s="34">
        <f>IF(E444="","",IFERROR(VLOOKUP(E444,T_Produits,2,FALSE),""))</f>
        <v/>
      </c>
      <c r="N444" s="40">
        <f>IF(E444="","",IFERROR(1/(1/VLOOKUP(E444,T_Produits,3,FALSE)),""))</f>
        <v/>
      </c>
      <c r="O444" s="40">
        <f>IF(OR(D444="",F444=""),"",IF(OR(D444="Casse / avarie",D444="Perte / vol",D444="Échantillon offert"),IF(I444&lt;&gt;"",I444,IF(N444="","",F444*N444)),""))</f>
        <v/>
      </c>
      <c r="P444" s="50">
        <f>IF(OR(D444="",F444=""),"",F444*IF(OR(D444="Reçu du magasin",D444="Ajustement (+)"),1,-1))</f>
        <v/>
      </c>
      <c r="Q444" s="34">
        <f>IF(C444="","",YEAR(C444-WEEKDAY(C444,2)+4)&amp;"-S"&amp;TEXT(INT((C444-DATE(YEAR(C444-WEEKDAY(C444,2)+4),1,3)+WEEKDAY(DATE(YEAR(C444-WEEKDAY(C444,2)+4),1,3),2)+5)/7),"00"))</f>
        <v/>
      </c>
    </row>
    <row r="445" ht="18" customHeight="1">
      <c r="A445" s="39" t="n">
        <v>440</v>
      </c>
      <c r="B445" s="33">
        <f>IF(C445="","",IF(L445="À RENSEIGNER","GIC",L445)&amp;"-S"&amp;TEXT(A445,"00000"))</f>
        <v/>
      </c>
      <c r="C445" s="32" t="n"/>
      <c r="D445" s="36" t="n"/>
      <c r="E445" s="36" t="n"/>
      <c r="F445" s="42" t="n"/>
      <c r="G445" s="36" t="n"/>
      <c r="H445" s="43" t="n"/>
      <c r="I445" s="37" t="n"/>
      <c r="J445" s="44" t="n"/>
      <c r="K445" s="36" t="n"/>
      <c r="L445" s="33">
        <f>IF(C445="","",Commercial_Id)</f>
        <v/>
      </c>
      <c r="M445" s="34">
        <f>IF(E445="","",IFERROR(VLOOKUP(E445,T_Produits,2,FALSE),""))</f>
        <v/>
      </c>
      <c r="N445" s="40">
        <f>IF(E445="","",IFERROR(1/(1/VLOOKUP(E445,T_Produits,3,FALSE)),""))</f>
        <v/>
      </c>
      <c r="O445" s="40">
        <f>IF(OR(D445="",F445=""),"",IF(OR(D445="Casse / avarie",D445="Perte / vol",D445="Échantillon offert"),IF(I445&lt;&gt;"",I445,IF(N445="","",F445*N445)),""))</f>
        <v/>
      </c>
      <c r="P445" s="50">
        <f>IF(OR(D445="",F445=""),"",F445*IF(OR(D445="Reçu du magasin",D445="Ajustement (+)"),1,-1))</f>
        <v/>
      </c>
      <c r="Q445" s="34">
        <f>IF(C445="","",YEAR(C445-WEEKDAY(C445,2)+4)&amp;"-S"&amp;TEXT(INT((C445-DATE(YEAR(C445-WEEKDAY(C445,2)+4),1,3)+WEEKDAY(DATE(YEAR(C445-WEEKDAY(C445,2)+4),1,3),2)+5)/7),"00"))</f>
        <v/>
      </c>
    </row>
    <row r="446" ht="18" customHeight="1">
      <c r="A446" s="39" t="n">
        <v>441</v>
      </c>
      <c r="B446" s="33">
        <f>IF(C446="","",IF(L446="À RENSEIGNER","GIC",L446)&amp;"-S"&amp;TEXT(A446,"00000"))</f>
        <v/>
      </c>
      <c r="C446" s="32" t="n"/>
      <c r="D446" s="36" t="n"/>
      <c r="E446" s="36" t="n"/>
      <c r="F446" s="42" t="n"/>
      <c r="G446" s="36" t="n"/>
      <c r="H446" s="43" t="n"/>
      <c r="I446" s="37" t="n"/>
      <c r="J446" s="44" t="n"/>
      <c r="K446" s="36" t="n"/>
      <c r="L446" s="33">
        <f>IF(C446="","",Commercial_Id)</f>
        <v/>
      </c>
      <c r="M446" s="34">
        <f>IF(E446="","",IFERROR(VLOOKUP(E446,T_Produits,2,FALSE),""))</f>
        <v/>
      </c>
      <c r="N446" s="40">
        <f>IF(E446="","",IFERROR(1/(1/VLOOKUP(E446,T_Produits,3,FALSE)),""))</f>
        <v/>
      </c>
      <c r="O446" s="40">
        <f>IF(OR(D446="",F446=""),"",IF(OR(D446="Casse / avarie",D446="Perte / vol",D446="Échantillon offert"),IF(I446&lt;&gt;"",I446,IF(N446="","",F446*N446)),""))</f>
        <v/>
      </c>
      <c r="P446" s="50">
        <f>IF(OR(D446="",F446=""),"",F446*IF(OR(D446="Reçu du magasin",D446="Ajustement (+)"),1,-1))</f>
        <v/>
      </c>
      <c r="Q446" s="34">
        <f>IF(C446="","",YEAR(C446-WEEKDAY(C446,2)+4)&amp;"-S"&amp;TEXT(INT((C446-DATE(YEAR(C446-WEEKDAY(C446,2)+4),1,3)+WEEKDAY(DATE(YEAR(C446-WEEKDAY(C446,2)+4),1,3),2)+5)/7),"00"))</f>
        <v/>
      </c>
    </row>
    <row r="447" ht="18" customHeight="1">
      <c r="A447" s="39" t="n">
        <v>442</v>
      </c>
      <c r="B447" s="33">
        <f>IF(C447="","",IF(L447="À RENSEIGNER","GIC",L447)&amp;"-S"&amp;TEXT(A447,"00000"))</f>
        <v/>
      </c>
      <c r="C447" s="32" t="n"/>
      <c r="D447" s="36" t="n"/>
      <c r="E447" s="36" t="n"/>
      <c r="F447" s="42" t="n"/>
      <c r="G447" s="36" t="n"/>
      <c r="H447" s="43" t="n"/>
      <c r="I447" s="37" t="n"/>
      <c r="J447" s="44" t="n"/>
      <c r="K447" s="36" t="n"/>
      <c r="L447" s="33">
        <f>IF(C447="","",Commercial_Id)</f>
        <v/>
      </c>
      <c r="M447" s="34">
        <f>IF(E447="","",IFERROR(VLOOKUP(E447,T_Produits,2,FALSE),""))</f>
        <v/>
      </c>
      <c r="N447" s="40">
        <f>IF(E447="","",IFERROR(1/(1/VLOOKUP(E447,T_Produits,3,FALSE)),""))</f>
        <v/>
      </c>
      <c r="O447" s="40">
        <f>IF(OR(D447="",F447=""),"",IF(OR(D447="Casse / avarie",D447="Perte / vol",D447="Échantillon offert"),IF(I447&lt;&gt;"",I447,IF(N447="","",F447*N447)),""))</f>
        <v/>
      </c>
      <c r="P447" s="50">
        <f>IF(OR(D447="",F447=""),"",F447*IF(OR(D447="Reçu du magasin",D447="Ajustement (+)"),1,-1))</f>
        <v/>
      </c>
      <c r="Q447" s="34">
        <f>IF(C447="","",YEAR(C447-WEEKDAY(C447,2)+4)&amp;"-S"&amp;TEXT(INT((C447-DATE(YEAR(C447-WEEKDAY(C447,2)+4),1,3)+WEEKDAY(DATE(YEAR(C447-WEEKDAY(C447,2)+4),1,3),2)+5)/7),"00"))</f>
        <v/>
      </c>
    </row>
    <row r="448" ht="18" customHeight="1">
      <c r="A448" s="39" t="n">
        <v>443</v>
      </c>
      <c r="B448" s="33">
        <f>IF(C448="","",IF(L448="À RENSEIGNER","GIC",L448)&amp;"-S"&amp;TEXT(A448,"00000"))</f>
        <v/>
      </c>
      <c r="C448" s="32" t="n"/>
      <c r="D448" s="36" t="n"/>
      <c r="E448" s="36" t="n"/>
      <c r="F448" s="42" t="n"/>
      <c r="G448" s="36" t="n"/>
      <c r="H448" s="43" t="n"/>
      <c r="I448" s="37" t="n"/>
      <c r="J448" s="44" t="n"/>
      <c r="K448" s="36" t="n"/>
      <c r="L448" s="33">
        <f>IF(C448="","",Commercial_Id)</f>
        <v/>
      </c>
      <c r="M448" s="34">
        <f>IF(E448="","",IFERROR(VLOOKUP(E448,T_Produits,2,FALSE),""))</f>
        <v/>
      </c>
      <c r="N448" s="40">
        <f>IF(E448="","",IFERROR(1/(1/VLOOKUP(E448,T_Produits,3,FALSE)),""))</f>
        <v/>
      </c>
      <c r="O448" s="40">
        <f>IF(OR(D448="",F448=""),"",IF(OR(D448="Casse / avarie",D448="Perte / vol",D448="Échantillon offert"),IF(I448&lt;&gt;"",I448,IF(N448="","",F448*N448)),""))</f>
        <v/>
      </c>
      <c r="P448" s="50">
        <f>IF(OR(D448="",F448=""),"",F448*IF(OR(D448="Reçu du magasin",D448="Ajustement (+)"),1,-1))</f>
        <v/>
      </c>
      <c r="Q448" s="34">
        <f>IF(C448="","",YEAR(C448-WEEKDAY(C448,2)+4)&amp;"-S"&amp;TEXT(INT((C448-DATE(YEAR(C448-WEEKDAY(C448,2)+4),1,3)+WEEKDAY(DATE(YEAR(C448-WEEKDAY(C448,2)+4),1,3),2)+5)/7),"00"))</f>
        <v/>
      </c>
    </row>
    <row r="449" ht="18" customHeight="1">
      <c r="A449" s="39" t="n">
        <v>444</v>
      </c>
      <c r="B449" s="33">
        <f>IF(C449="","",IF(L449="À RENSEIGNER","GIC",L449)&amp;"-S"&amp;TEXT(A449,"00000"))</f>
        <v/>
      </c>
      <c r="C449" s="32" t="n"/>
      <c r="D449" s="36" t="n"/>
      <c r="E449" s="36" t="n"/>
      <c r="F449" s="42" t="n"/>
      <c r="G449" s="36" t="n"/>
      <c r="H449" s="43" t="n"/>
      <c r="I449" s="37" t="n"/>
      <c r="J449" s="44" t="n"/>
      <c r="K449" s="36" t="n"/>
      <c r="L449" s="33">
        <f>IF(C449="","",Commercial_Id)</f>
        <v/>
      </c>
      <c r="M449" s="34">
        <f>IF(E449="","",IFERROR(VLOOKUP(E449,T_Produits,2,FALSE),""))</f>
        <v/>
      </c>
      <c r="N449" s="40">
        <f>IF(E449="","",IFERROR(1/(1/VLOOKUP(E449,T_Produits,3,FALSE)),""))</f>
        <v/>
      </c>
      <c r="O449" s="40">
        <f>IF(OR(D449="",F449=""),"",IF(OR(D449="Casse / avarie",D449="Perte / vol",D449="Échantillon offert"),IF(I449&lt;&gt;"",I449,IF(N449="","",F449*N449)),""))</f>
        <v/>
      </c>
      <c r="P449" s="50">
        <f>IF(OR(D449="",F449=""),"",F449*IF(OR(D449="Reçu du magasin",D449="Ajustement (+)"),1,-1))</f>
        <v/>
      </c>
      <c r="Q449" s="34">
        <f>IF(C449="","",YEAR(C449-WEEKDAY(C449,2)+4)&amp;"-S"&amp;TEXT(INT((C449-DATE(YEAR(C449-WEEKDAY(C449,2)+4),1,3)+WEEKDAY(DATE(YEAR(C449-WEEKDAY(C449,2)+4),1,3),2)+5)/7),"00"))</f>
        <v/>
      </c>
    </row>
    <row r="450" ht="18" customHeight="1">
      <c r="A450" s="39" t="n">
        <v>445</v>
      </c>
      <c r="B450" s="33">
        <f>IF(C450="","",IF(L450="À RENSEIGNER","GIC",L450)&amp;"-S"&amp;TEXT(A450,"00000"))</f>
        <v/>
      </c>
      <c r="C450" s="32" t="n"/>
      <c r="D450" s="36" t="n"/>
      <c r="E450" s="36" t="n"/>
      <c r="F450" s="42" t="n"/>
      <c r="G450" s="36" t="n"/>
      <c r="H450" s="43" t="n"/>
      <c r="I450" s="37" t="n"/>
      <c r="J450" s="44" t="n"/>
      <c r="K450" s="36" t="n"/>
      <c r="L450" s="33">
        <f>IF(C450="","",Commercial_Id)</f>
        <v/>
      </c>
      <c r="M450" s="34">
        <f>IF(E450="","",IFERROR(VLOOKUP(E450,T_Produits,2,FALSE),""))</f>
        <v/>
      </c>
      <c r="N450" s="40">
        <f>IF(E450="","",IFERROR(1/(1/VLOOKUP(E450,T_Produits,3,FALSE)),""))</f>
        <v/>
      </c>
      <c r="O450" s="40">
        <f>IF(OR(D450="",F450=""),"",IF(OR(D450="Casse / avarie",D450="Perte / vol",D450="Échantillon offert"),IF(I450&lt;&gt;"",I450,IF(N450="","",F450*N450)),""))</f>
        <v/>
      </c>
      <c r="P450" s="50">
        <f>IF(OR(D450="",F450=""),"",F450*IF(OR(D450="Reçu du magasin",D450="Ajustement (+)"),1,-1))</f>
        <v/>
      </c>
      <c r="Q450" s="34">
        <f>IF(C450="","",YEAR(C450-WEEKDAY(C450,2)+4)&amp;"-S"&amp;TEXT(INT((C450-DATE(YEAR(C450-WEEKDAY(C450,2)+4),1,3)+WEEKDAY(DATE(YEAR(C450-WEEKDAY(C450,2)+4),1,3),2)+5)/7),"00"))</f>
        <v/>
      </c>
    </row>
    <row r="451" ht="18" customHeight="1">
      <c r="A451" s="39" t="n">
        <v>446</v>
      </c>
      <c r="B451" s="33">
        <f>IF(C451="","",IF(L451="À RENSEIGNER","GIC",L451)&amp;"-S"&amp;TEXT(A451,"00000"))</f>
        <v/>
      </c>
      <c r="C451" s="32" t="n"/>
      <c r="D451" s="36" t="n"/>
      <c r="E451" s="36" t="n"/>
      <c r="F451" s="42" t="n"/>
      <c r="G451" s="36" t="n"/>
      <c r="H451" s="43" t="n"/>
      <c r="I451" s="37" t="n"/>
      <c r="J451" s="44" t="n"/>
      <c r="K451" s="36" t="n"/>
      <c r="L451" s="33">
        <f>IF(C451="","",Commercial_Id)</f>
        <v/>
      </c>
      <c r="M451" s="34">
        <f>IF(E451="","",IFERROR(VLOOKUP(E451,T_Produits,2,FALSE),""))</f>
        <v/>
      </c>
      <c r="N451" s="40">
        <f>IF(E451="","",IFERROR(1/(1/VLOOKUP(E451,T_Produits,3,FALSE)),""))</f>
        <v/>
      </c>
      <c r="O451" s="40">
        <f>IF(OR(D451="",F451=""),"",IF(OR(D451="Casse / avarie",D451="Perte / vol",D451="Échantillon offert"),IF(I451&lt;&gt;"",I451,IF(N451="","",F451*N451)),""))</f>
        <v/>
      </c>
      <c r="P451" s="50">
        <f>IF(OR(D451="",F451=""),"",F451*IF(OR(D451="Reçu du magasin",D451="Ajustement (+)"),1,-1))</f>
        <v/>
      </c>
      <c r="Q451" s="34">
        <f>IF(C451="","",YEAR(C451-WEEKDAY(C451,2)+4)&amp;"-S"&amp;TEXT(INT((C451-DATE(YEAR(C451-WEEKDAY(C451,2)+4),1,3)+WEEKDAY(DATE(YEAR(C451-WEEKDAY(C451,2)+4),1,3),2)+5)/7),"00"))</f>
        <v/>
      </c>
    </row>
    <row r="452" ht="18" customHeight="1">
      <c r="A452" s="39" t="n">
        <v>447</v>
      </c>
      <c r="B452" s="33">
        <f>IF(C452="","",IF(L452="À RENSEIGNER","GIC",L452)&amp;"-S"&amp;TEXT(A452,"00000"))</f>
        <v/>
      </c>
      <c r="C452" s="32" t="n"/>
      <c r="D452" s="36" t="n"/>
      <c r="E452" s="36" t="n"/>
      <c r="F452" s="42" t="n"/>
      <c r="G452" s="36" t="n"/>
      <c r="H452" s="43" t="n"/>
      <c r="I452" s="37" t="n"/>
      <c r="J452" s="44" t="n"/>
      <c r="K452" s="36" t="n"/>
      <c r="L452" s="33">
        <f>IF(C452="","",Commercial_Id)</f>
        <v/>
      </c>
      <c r="M452" s="34">
        <f>IF(E452="","",IFERROR(VLOOKUP(E452,T_Produits,2,FALSE),""))</f>
        <v/>
      </c>
      <c r="N452" s="40">
        <f>IF(E452="","",IFERROR(1/(1/VLOOKUP(E452,T_Produits,3,FALSE)),""))</f>
        <v/>
      </c>
      <c r="O452" s="40">
        <f>IF(OR(D452="",F452=""),"",IF(OR(D452="Casse / avarie",D452="Perte / vol",D452="Échantillon offert"),IF(I452&lt;&gt;"",I452,IF(N452="","",F452*N452)),""))</f>
        <v/>
      </c>
      <c r="P452" s="50">
        <f>IF(OR(D452="",F452=""),"",F452*IF(OR(D452="Reçu du magasin",D452="Ajustement (+)"),1,-1))</f>
        <v/>
      </c>
      <c r="Q452" s="34">
        <f>IF(C452="","",YEAR(C452-WEEKDAY(C452,2)+4)&amp;"-S"&amp;TEXT(INT((C452-DATE(YEAR(C452-WEEKDAY(C452,2)+4),1,3)+WEEKDAY(DATE(YEAR(C452-WEEKDAY(C452,2)+4),1,3),2)+5)/7),"00"))</f>
        <v/>
      </c>
    </row>
    <row r="453" ht="18" customHeight="1">
      <c r="A453" s="39" t="n">
        <v>448</v>
      </c>
      <c r="B453" s="33">
        <f>IF(C453="","",IF(L453="À RENSEIGNER","GIC",L453)&amp;"-S"&amp;TEXT(A453,"00000"))</f>
        <v/>
      </c>
      <c r="C453" s="32" t="n"/>
      <c r="D453" s="36" t="n"/>
      <c r="E453" s="36" t="n"/>
      <c r="F453" s="42" t="n"/>
      <c r="G453" s="36" t="n"/>
      <c r="H453" s="43" t="n"/>
      <c r="I453" s="37" t="n"/>
      <c r="J453" s="44" t="n"/>
      <c r="K453" s="36" t="n"/>
      <c r="L453" s="33">
        <f>IF(C453="","",Commercial_Id)</f>
        <v/>
      </c>
      <c r="M453" s="34">
        <f>IF(E453="","",IFERROR(VLOOKUP(E453,T_Produits,2,FALSE),""))</f>
        <v/>
      </c>
      <c r="N453" s="40">
        <f>IF(E453="","",IFERROR(1/(1/VLOOKUP(E453,T_Produits,3,FALSE)),""))</f>
        <v/>
      </c>
      <c r="O453" s="40">
        <f>IF(OR(D453="",F453=""),"",IF(OR(D453="Casse / avarie",D453="Perte / vol",D453="Échantillon offert"),IF(I453&lt;&gt;"",I453,IF(N453="","",F453*N453)),""))</f>
        <v/>
      </c>
      <c r="P453" s="50">
        <f>IF(OR(D453="",F453=""),"",F453*IF(OR(D453="Reçu du magasin",D453="Ajustement (+)"),1,-1))</f>
        <v/>
      </c>
      <c r="Q453" s="34">
        <f>IF(C453="","",YEAR(C453-WEEKDAY(C453,2)+4)&amp;"-S"&amp;TEXT(INT((C453-DATE(YEAR(C453-WEEKDAY(C453,2)+4),1,3)+WEEKDAY(DATE(YEAR(C453-WEEKDAY(C453,2)+4),1,3),2)+5)/7),"00"))</f>
        <v/>
      </c>
    </row>
    <row r="454" ht="18" customHeight="1">
      <c r="A454" s="39" t="n">
        <v>449</v>
      </c>
      <c r="B454" s="33">
        <f>IF(C454="","",IF(L454="À RENSEIGNER","GIC",L454)&amp;"-S"&amp;TEXT(A454,"00000"))</f>
        <v/>
      </c>
      <c r="C454" s="32" t="n"/>
      <c r="D454" s="36" t="n"/>
      <c r="E454" s="36" t="n"/>
      <c r="F454" s="42" t="n"/>
      <c r="G454" s="36" t="n"/>
      <c r="H454" s="43" t="n"/>
      <c r="I454" s="37" t="n"/>
      <c r="J454" s="44" t="n"/>
      <c r="K454" s="36" t="n"/>
      <c r="L454" s="33">
        <f>IF(C454="","",Commercial_Id)</f>
        <v/>
      </c>
      <c r="M454" s="34">
        <f>IF(E454="","",IFERROR(VLOOKUP(E454,T_Produits,2,FALSE),""))</f>
        <v/>
      </c>
      <c r="N454" s="40">
        <f>IF(E454="","",IFERROR(1/(1/VLOOKUP(E454,T_Produits,3,FALSE)),""))</f>
        <v/>
      </c>
      <c r="O454" s="40">
        <f>IF(OR(D454="",F454=""),"",IF(OR(D454="Casse / avarie",D454="Perte / vol",D454="Échantillon offert"),IF(I454&lt;&gt;"",I454,IF(N454="","",F454*N454)),""))</f>
        <v/>
      </c>
      <c r="P454" s="50">
        <f>IF(OR(D454="",F454=""),"",F454*IF(OR(D454="Reçu du magasin",D454="Ajustement (+)"),1,-1))</f>
        <v/>
      </c>
      <c r="Q454" s="34">
        <f>IF(C454="","",YEAR(C454-WEEKDAY(C454,2)+4)&amp;"-S"&amp;TEXT(INT((C454-DATE(YEAR(C454-WEEKDAY(C454,2)+4),1,3)+WEEKDAY(DATE(YEAR(C454-WEEKDAY(C454,2)+4),1,3),2)+5)/7),"00"))</f>
        <v/>
      </c>
    </row>
    <row r="455" ht="18" customHeight="1">
      <c r="A455" s="39" t="n">
        <v>450</v>
      </c>
      <c r="B455" s="33">
        <f>IF(C455="","",IF(L455="À RENSEIGNER","GIC",L455)&amp;"-S"&amp;TEXT(A455,"00000"))</f>
        <v/>
      </c>
      <c r="C455" s="32" t="n"/>
      <c r="D455" s="36" t="n"/>
      <c r="E455" s="36" t="n"/>
      <c r="F455" s="42" t="n"/>
      <c r="G455" s="36" t="n"/>
      <c r="H455" s="43" t="n"/>
      <c r="I455" s="37" t="n"/>
      <c r="J455" s="44" t="n"/>
      <c r="K455" s="36" t="n"/>
      <c r="L455" s="33">
        <f>IF(C455="","",Commercial_Id)</f>
        <v/>
      </c>
      <c r="M455" s="34">
        <f>IF(E455="","",IFERROR(VLOOKUP(E455,T_Produits,2,FALSE),""))</f>
        <v/>
      </c>
      <c r="N455" s="40">
        <f>IF(E455="","",IFERROR(1/(1/VLOOKUP(E455,T_Produits,3,FALSE)),""))</f>
        <v/>
      </c>
      <c r="O455" s="40">
        <f>IF(OR(D455="",F455=""),"",IF(OR(D455="Casse / avarie",D455="Perte / vol",D455="Échantillon offert"),IF(I455&lt;&gt;"",I455,IF(N455="","",F455*N455)),""))</f>
        <v/>
      </c>
      <c r="P455" s="50">
        <f>IF(OR(D455="",F455=""),"",F455*IF(OR(D455="Reçu du magasin",D455="Ajustement (+)"),1,-1))</f>
        <v/>
      </c>
      <c r="Q455" s="34">
        <f>IF(C455="","",YEAR(C455-WEEKDAY(C455,2)+4)&amp;"-S"&amp;TEXT(INT((C455-DATE(YEAR(C455-WEEKDAY(C455,2)+4),1,3)+WEEKDAY(DATE(YEAR(C455-WEEKDAY(C455,2)+4),1,3),2)+5)/7),"00"))</f>
        <v/>
      </c>
    </row>
    <row r="456" ht="18" customHeight="1">
      <c r="A456" s="39" t="n">
        <v>451</v>
      </c>
      <c r="B456" s="33">
        <f>IF(C456="","",IF(L456="À RENSEIGNER","GIC",L456)&amp;"-S"&amp;TEXT(A456,"00000"))</f>
        <v/>
      </c>
      <c r="C456" s="32" t="n"/>
      <c r="D456" s="36" t="n"/>
      <c r="E456" s="36" t="n"/>
      <c r="F456" s="42" t="n"/>
      <c r="G456" s="36" t="n"/>
      <c r="H456" s="43" t="n"/>
      <c r="I456" s="37" t="n"/>
      <c r="J456" s="44" t="n"/>
      <c r="K456" s="36" t="n"/>
      <c r="L456" s="33">
        <f>IF(C456="","",Commercial_Id)</f>
        <v/>
      </c>
      <c r="M456" s="34">
        <f>IF(E456="","",IFERROR(VLOOKUP(E456,T_Produits,2,FALSE),""))</f>
        <v/>
      </c>
      <c r="N456" s="40">
        <f>IF(E456="","",IFERROR(1/(1/VLOOKUP(E456,T_Produits,3,FALSE)),""))</f>
        <v/>
      </c>
      <c r="O456" s="40">
        <f>IF(OR(D456="",F456=""),"",IF(OR(D456="Casse / avarie",D456="Perte / vol",D456="Échantillon offert"),IF(I456&lt;&gt;"",I456,IF(N456="","",F456*N456)),""))</f>
        <v/>
      </c>
      <c r="P456" s="50">
        <f>IF(OR(D456="",F456=""),"",F456*IF(OR(D456="Reçu du magasin",D456="Ajustement (+)"),1,-1))</f>
        <v/>
      </c>
      <c r="Q456" s="34">
        <f>IF(C456="","",YEAR(C456-WEEKDAY(C456,2)+4)&amp;"-S"&amp;TEXT(INT((C456-DATE(YEAR(C456-WEEKDAY(C456,2)+4),1,3)+WEEKDAY(DATE(YEAR(C456-WEEKDAY(C456,2)+4),1,3),2)+5)/7),"00"))</f>
        <v/>
      </c>
    </row>
    <row r="457" ht="18" customHeight="1">
      <c r="A457" s="39" t="n">
        <v>452</v>
      </c>
      <c r="B457" s="33">
        <f>IF(C457="","",IF(L457="À RENSEIGNER","GIC",L457)&amp;"-S"&amp;TEXT(A457,"00000"))</f>
        <v/>
      </c>
      <c r="C457" s="32" t="n"/>
      <c r="D457" s="36" t="n"/>
      <c r="E457" s="36" t="n"/>
      <c r="F457" s="42" t="n"/>
      <c r="G457" s="36" t="n"/>
      <c r="H457" s="43" t="n"/>
      <c r="I457" s="37" t="n"/>
      <c r="J457" s="44" t="n"/>
      <c r="K457" s="36" t="n"/>
      <c r="L457" s="33">
        <f>IF(C457="","",Commercial_Id)</f>
        <v/>
      </c>
      <c r="M457" s="34">
        <f>IF(E457="","",IFERROR(VLOOKUP(E457,T_Produits,2,FALSE),""))</f>
        <v/>
      </c>
      <c r="N457" s="40">
        <f>IF(E457="","",IFERROR(1/(1/VLOOKUP(E457,T_Produits,3,FALSE)),""))</f>
        <v/>
      </c>
      <c r="O457" s="40">
        <f>IF(OR(D457="",F457=""),"",IF(OR(D457="Casse / avarie",D457="Perte / vol",D457="Échantillon offert"),IF(I457&lt;&gt;"",I457,IF(N457="","",F457*N457)),""))</f>
        <v/>
      </c>
      <c r="P457" s="50">
        <f>IF(OR(D457="",F457=""),"",F457*IF(OR(D457="Reçu du magasin",D457="Ajustement (+)"),1,-1))</f>
        <v/>
      </c>
      <c r="Q457" s="34">
        <f>IF(C457="","",YEAR(C457-WEEKDAY(C457,2)+4)&amp;"-S"&amp;TEXT(INT((C457-DATE(YEAR(C457-WEEKDAY(C457,2)+4),1,3)+WEEKDAY(DATE(YEAR(C457-WEEKDAY(C457,2)+4),1,3),2)+5)/7),"00"))</f>
        <v/>
      </c>
    </row>
    <row r="458" ht="18" customHeight="1">
      <c r="A458" s="39" t="n">
        <v>453</v>
      </c>
      <c r="B458" s="33">
        <f>IF(C458="","",IF(L458="À RENSEIGNER","GIC",L458)&amp;"-S"&amp;TEXT(A458,"00000"))</f>
        <v/>
      </c>
      <c r="C458" s="32" t="n"/>
      <c r="D458" s="36" t="n"/>
      <c r="E458" s="36" t="n"/>
      <c r="F458" s="42" t="n"/>
      <c r="G458" s="36" t="n"/>
      <c r="H458" s="43" t="n"/>
      <c r="I458" s="37" t="n"/>
      <c r="J458" s="44" t="n"/>
      <c r="K458" s="36" t="n"/>
      <c r="L458" s="33">
        <f>IF(C458="","",Commercial_Id)</f>
        <v/>
      </c>
      <c r="M458" s="34">
        <f>IF(E458="","",IFERROR(VLOOKUP(E458,T_Produits,2,FALSE),""))</f>
        <v/>
      </c>
      <c r="N458" s="40">
        <f>IF(E458="","",IFERROR(1/(1/VLOOKUP(E458,T_Produits,3,FALSE)),""))</f>
        <v/>
      </c>
      <c r="O458" s="40">
        <f>IF(OR(D458="",F458=""),"",IF(OR(D458="Casse / avarie",D458="Perte / vol",D458="Échantillon offert"),IF(I458&lt;&gt;"",I458,IF(N458="","",F458*N458)),""))</f>
        <v/>
      </c>
      <c r="P458" s="50">
        <f>IF(OR(D458="",F458=""),"",F458*IF(OR(D458="Reçu du magasin",D458="Ajustement (+)"),1,-1))</f>
        <v/>
      </c>
      <c r="Q458" s="34">
        <f>IF(C458="","",YEAR(C458-WEEKDAY(C458,2)+4)&amp;"-S"&amp;TEXT(INT((C458-DATE(YEAR(C458-WEEKDAY(C458,2)+4),1,3)+WEEKDAY(DATE(YEAR(C458-WEEKDAY(C458,2)+4),1,3),2)+5)/7),"00"))</f>
        <v/>
      </c>
    </row>
    <row r="459" ht="18" customHeight="1">
      <c r="A459" s="39" t="n">
        <v>454</v>
      </c>
      <c r="B459" s="33">
        <f>IF(C459="","",IF(L459="À RENSEIGNER","GIC",L459)&amp;"-S"&amp;TEXT(A459,"00000"))</f>
        <v/>
      </c>
      <c r="C459" s="32" t="n"/>
      <c r="D459" s="36" t="n"/>
      <c r="E459" s="36" t="n"/>
      <c r="F459" s="42" t="n"/>
      <c r="G459" s="36" t="n"/>
      <c r="H459" s="43" t="n"/>
      <c r="I459" s="37" t="n"/>
      <c r="J459" s="44" t="n"/>
      <c r="K459" s="36" t="n"/>
      <c r="L459" s="33">
        <f>IF(C459="","",Commercial_Id)</f>
        <v/>
      </c>
      <c r="M459" s="34">
        <f>IF(E459="","",IFERROR(VLOOKUP(E459,T_Produits,2,FALSE),""))</f>
        <v/>
      </c>
      <c r="N459" s="40">
        <f>IF(E459="","",IFERROR(1/(1/VLOOKUP(E459,T_Produits,3,FALSE)),""))</f>
        <v/>
      </c>
      <c r="O459" s="40">
        <f>IF(OR(D459="",F459=""),"",IF(OR(D459="Casse / avarie",D459="Perte / vol",D459="Échantillon offert"),IF(I459&lt;&gt;"",I459,IF(N459="","",F459*N459)),""))</f>
        <v/>
      </c>
      <c r="P459" s="50">
        <f>IF(OR(D459="",F459=""),"",F459*IF(OR(D459="Reçu du magasin",D459="Ajustement (+)"),1,-1))</f>
        <v/>
      </c>
      <c r="Q459" s="34">
        <f>IF(C459="","",YEAR(C459-WEEKDAY(C459,2)+4)&amp;"-S"&amp;TEXT(INT((C459-DATE(YEAR(C459-WEEKDAY(C459,2)+4),1,3)+WEEKDAY(DATE(YEAR(C459-WEEKDAY(C459,2)+4),1,3),2)+5)/7),"00"))</f>
        <v/>
      </c>
    </row>
    <row r="460" ht="18" customHeight="1">
      <c r="A460" s="39" t="n">
        <v>455</v>
      </c>
      <c r="B460" s="33">
        <f>IF(C460="","",IF(L460="À RENSEIGNER","GIC",L460)&amp;"-S"&amp;TEXT(A460,"00000"))</f>
        <v/>
      </c>
      <c r="C460" s="32" t="n"/>
      <c r="D460" s="36" t="n"/>
      <c r="E460" s="36" t="n"/>
      <c r="F460" s="42" t="n"/>
      <c r="G460" s="36" t="n"/>
      <c r="H460" s="43" t="n"/>
      <c r="I460" s="37" t="n"/>
      <c r="J460" s="44" t="n"/>
      <c r="K460" s="36" t="n"/>
      <c r="L460" s="33">
        <f>IF(C460="","",Commercial_Id)</f>
        <v/>
      </c>
      <c r="M460" s="34">
        <f>IF(E460="","",IFERROR(VLOOKUP(E460,T_Produits,2,FALSE),""))</f>
        <v/>
      </c>
      <c r="N460" s="40">
        <f>IF(E460="","",IFERROR(1/(1/VLOOKUP(E460,T_Produits,3,FALSE)),""))</f>
        <v/>
      </c>
      <c r="O460" s="40">
        <f>IF(OR(D460="",F460=""),"",IF(OR(D460="Casse / avarie",D460="Perte / vol",D460="Échantillon offert"),IF(I460&lt;&gt;"",I460,IF(N460="","",F460*N460)),""))</f>
        <v/>
      </c>
      <c r="P460" s="50">
        <f>IF(OR(D460="",F460=""),"",F460*IF(OR(D460="Reçu du magasin",D460="Ajustement (+)"),1,-1))</f>
        <v/>
      </c>
      <c r="Q460" s="34">
        <f>IF(C460="","",YEAR(C460-WEEKDAY(C460,2)+4)&amp;"-S"&amp;TEXT(INT((C460-DATE(YEAR(C460-WEEKDAY(C460,2)+4),1,3)+WEEKDAY(DATE(YEAR(C460-WEEKDAY(C460,2)+4),1,3),2)+5)/7),"00"))</f>
        <v/>
      </c>
    </row>
    <row r="461" ht="18" customHeight="1">
      <c r="A461" s="39" t="n">
        <v>456</v>
      </c>
      <c r="B461" s="33">
        <f>IF(C461="","",IF(L461="À RENSEIGNER","GIC",L461)&amp;"-S"&amp;TEXT(A461,"00000"))</f>
        <v/>
      </c>
      <c r="C461" s="32" t="n"/>
      <c r="D461" s="36" t="n"/>
      <c r="E461" s="36" t="n"/>
      <c r="F461" s="42" t="n"/>
      <c r="G461" s="36" t="n"/>
      <c r="H461" s="43" t="n"/>
      <c r="I461" s="37" t="n"/>
      <c r="J461" s="44" t="n"/>
      <c r="K461" s="36" t="n"/>
      <c r="L461" s="33">
        <f>IF(C461="","",Commercial_Id)</f>
        <v/>
      </c>
      <c r="M461" s="34">
        <f>IF(E461="","",IFERROR(VLOOKUP(E461,T_Produits,2,FALSE),""))</f>
        <v/>
      </c>
      <c r="N461" s="40">
        <f>IF(E461="","",IFERROR(1/(1/VLOOKUP(E461,T_Produits,3,FALSE)),""))</f>
        <v/>
      </c>
      <c r="O461" s="40">
        <f>IF(OR(D461="",F461=""),"",IF(OR(D461="Casse / avarie",D461="Perte / vol",D461="Échantillon offert"),IF(I461&lt;&gt;"",I461,IF(N461="","",F461*N461)),""))</f>
        <v/>
      </c>
      <c r="P461" s="50">
        <f>IF(OR(D461="",F461=""),"",F461*IF(OR(D461="Reçu du magasin",D461="Ajustement (+)"),1,-1))</f>
        <v/>
      </c>
      <c r="Q461" s="34">
        <f>IF(C461="","",YEAR(C461-WEEKDAY(C461,2)+4)&amp;"-S"&amp;TEXT(INT((C461-DATE(YEAR(C461-WEEKDAY(C461,2)+4),1,3)+WEEKDAY(DATE(YEAR(C461-WEEKDAY(C461,2)+4),1,3),2)+5)/7),"00"))</f>
        <v/>
      </c>
    </row>
    <row r="462" ht="18" customHeight="1">
      <c r="A462" s="39" t="n">
        <v>457</v>
      </c>
      <c r="B462" s="33">
        <f>IF(C462="","",IF(L462="À RENSEIGNER","GIC",L462)&amp;"-S"&amp;TEXT(A462,"00000"))</f>
        <v/>
      </c>
      <c r="C462" s="32" t="n"/>
      <c r="D462" s="36" t="n"/>
      <c r="E462" s="36" t="n"/>
      <c r="F462" s="42" t="n"/>
      <c r="G462" s="36" t="n"/>
      <c r="H462" s="43" t="n"/>
      <c r="I462" s="37" t="n"/>
      <c r="J462" s="44" t="n"/>
      <c r="K462" s="36" t="n"/>
      <c r="L462" s="33">
        <f>IF(C462="","",Commercial_Id)</f>
        <v/>
      </c>
      <c r="M462" s="34">
        <f>IF(E462="","",IFERROR(VLOOKUP(E462,T_Produits,2,FALSE),""))</f>
        <v/>
      </c>
      <c r="N462" s="40">
        <f>IF(E462="","",IFERROR(1/(1/VLOOKUP(E462,T_Produits,3,FALSE)),""))</f>
        <v/>
      </c>
      <c r="O462" s="40">
        <f>IF(OR(D462="",F462=""),"",IF(OR(D462="Casse / avarie",D462="Perte / vol",D462="Échantillon offert"),IF(I462&lt;&gt;"",I462,IF(N462="","",F462*N462)),""))</f>
        <v/>
      </c>
      <c r="P462" s="50">
        <f>IF(OR(D462="",F462=""),"",F462*IF(OR(D462="Reçu du magasin",D462="Ajustement (+)"),1,-1))</f>
        <v/>
      </c>
      <c r="Q462" s="34">
        <f>IF(C462="","",YEAR(C462-WEEKDAY(C462,2)+4)&amp;"-S"&amp;TEXT(INT((C462-DATE(YEAR(C462-WEEKDAY(C462,2)+4),1,3)+WEEKDAY(DATE(YEAR(C462-WEEKDAY(C462,2)+4),1,3),2)+5)/7),"00"))</f>
        <v/>
      </c>
    </row>
    <row r="463" ht="18" customHeight="1">
      <c r="A463" s="39" t="n">
        <v>458</v>
      </c>
      <c r="B463" s="33">
        <f>IF(C463="","",IF(L463="À RENSEIGNER","GIC",L463)&amp;"-S"&amp;TEXT(A463,"00000"))</f>
        <v/>
      </c>
      <c r="C463" s="32" t="n"/>
      <c r="D463" s="36" t="n"/>
      <c r="E463" s="36" t="n"/>
      <c r="F463" s="42" t="n"/>
      <c r="G463" s="36" t="n"/>
      <c r="H463" s="43" t="n"/>
      <c r="I463" s="37" t="n"/>
      <c r="J463" s="44" t="n"/>
      <c r="K463" s="36" t="n"/>
      <c r="L463" s="33">
        <f>IF(C463="","",Commercial_Id)</f>
        <v/>
      </c>
      <c r="M463" s="34">
        <f>IF(E463="","",IFERROR(VLOOKUP(E463,T_Produits,2,FALSE),""))</f>
        <v/>
      </c>
      <c r="N463" s="40">
        <f>IF(E463="","",IFERROR(1/(1/VLOOKUP(E463,T_Produits,3,FALSE)),""))</f>
        <v/>
      </c>
      <c r="O463" s="40">
        <f>IF(OR(D463="",F463=""),"",IF(OR(D463="Casse / avarie",D463="Perte / vol",D463="Échantillon offert"),IF(I463&lt;&gt;"",I463,IF(N463="","",F463*N463)),""))</f>
        <v/>
      </c>
      <c r="P463" s="50">
        <f>IF(OR(D463="",F463=""),"",F463*IF(OR(D463="Reçu du magasin",D463="Ajustement (+)"),1,-1))</f>
        <v/>
      </c>
      <c r="Q463" s="34">
        <f>IF(C463="","",YEAR(C463-WEEKDAY(C463,2)+4)&amp;"-S"&amp;TEXT(INT((C463-DATE(YEAR(C463-WEEKDAY(C463,2)+4),1,3)+WEEKDAY(DATE(YEAR(C463-WEEKDAY(C463,2)+4),1,3),2)+5)/7),"00"))</f>
        <v/>
      </c>
    </row>
    <row r="464" ht="18" customHeight="1">
      <c r="A464" s="39" t="n">
        <v>459</v>
      </c>
      <c r="B464" s="33">
        <f>IF(C464="","",IF(L464="À RENSEIGNER","GIC",L464)&amp;"-S"&amp;TEXT(A464,"00000"))</f>
        <v/>
      </c>
      <c r="C464" s="32" t="n"/>
      <c r="D464" s="36" t="n"/>
      <c r="E464" s="36" t="n"/>
      <c r="F464" s="42" t="n"/>
      <c r="G464" s="36" t="n"/>
      <c r="H464" s="43" t="n"/>
      <c r="I464" s="37" t="n"/>
      <c r="J464" s="44" t="n"/>
      <c r="K464" s="36" t="n"/>
      <c r="L464" s="33">
        <f>IF(C464="","",Commercial_Id)</f>
        <v/>
      </c>
      <c r="M464" s="34">
        <f>IF(E464="","",IFERROR(VLOOKUP(E464,T_Produits,2,FALSE),""))</f>
        <v/>
      </c>
      <c r="N464" s="40">
        <f>IF(E464="","",IFERROR(1/(1/VLOOKUP(E464,T_Produits,3,FALSE)),""))</f>
        <v/>
      </c>
      <c r="O464" s="40">
        <f>IF(OR(D464="",F464=""),"",IF(OR(D464="Casse / avarie",D464="Perte / vol",D464="Échantillon offert"),IF(I464&lt;&gt;"",I464,IF(N464="","",F464*N464)),""))</f>
        <v/>
      </c>
      <c r="P464" s="50">
        <f>IF(OR(D464="",F464=""),"",F464*IF(OR(D464="Reçu du magasin",D464="Ajustement (+)"),1,-1))</f>
        <v/>
      </c>
      <c r="Q464" s="34">
        <f>IF(C464="","",YEAR(C464-WEEKDAY(C464,2)+4)&amp;"-S"&amp;TEXT(INT((C464-DATE(YEAR(C464-WEEKDAY(C464,2)+4),1,3)+WEEKDAY(DATE(YEAR(C464-WEEKDAY(C464,2)+4),1,3),2)+5)/7),"00"))</f>
        <v/>
      </c>
    </row>
    <row r="465" ht="18" customHeight="1">
      <c r="A465" s="39" t="n">
        <v>460</v>
      </c>
      <c r="B465" s="33">
        <f>IF(C465="","",IF(L465="À RENSEIGNER","GIC",L465)&amp;"-S"&amp;TEXT(A465,"00000"))</f>
        <v/>
      </c>
      <c r="C465" s="32" t="n"/>
      <c r="D465" s="36" t="n"/>
      <c r="E465" s="36" t="n"/>
      <c r="F465" s="42" t="n"/>
      <c r="G465" s="36" t="n"/>
      <c r="H465" s="43" t="n"/>
      <c r="I465" s="37" t="n"/>
      <c r="J465" s="44" t="n"/>
      <c r="K465" s="36" t="n"/>
      <c r="L465" s="33">
        <f>IF(C465="","",Commercial_Id)</f>
        <v/>
      </c>
      <c r="M465" s="34">
        <f>IF(E465="","",IFERROR(VLOOKUP(E465,T_Produits,2,FALSE),""))</f>
        <v/>
      </c>
      <c r="N465" s="40">
        <f>IF(E465="","",IFERROR(1/(1/VLOOKUP(E465,T_Produits,3,FALSE)),""))</f>
        <v/>
      </c>
      <c r="O465" s="40">
        <f>IF(OR(D465="",F465=""),"",IF(OR(D465="Casse / avarie",D465="Perte / vol",D465="Échantillon offert"),IF(I465&lt;&gt;"",I465,IF(N465="","",F465*N465)),""))</f>
        <v/>
      </c>
      <c r="P465" s="50">
        <f>IF(OR(D465="",F465=""),"",F465*IF(OR(D465="Reçu du magasin",D465="Ajustement (+)"),1,-1))</f>
        <v/>
      </c>
      <c r="Q465" s="34">
        <f>IF(C465="","",YEAR(C465-WEEKDAY(C465,2)+4)&amp;"-S"&amp;TEXT(INT((C465-DATE(YEAR(C465-WEEKDAY(C465,2)+4),1,3)+WEEKDAY(DATE(YEAR(C465-WEEKDAY(C465,2)+4),1,3),2)+5)/7),"00"))</f>
        <v/>
      </c>
    </row>
    <row r="466" ht="18" customHeight="1">
      <c r="A466" s="39" t="n">
        <v>461</v>
      </c>
      <c r="B466" s="33">
        <f>IF(C466="","",IF(L466="À RENSEIGNER","GIC",L466)&amp;"-S"&amp;TEXT(A466,"00000"))</f>
        <v/>
      </c>
      <c r="C466" s="32" t="n"/>
      <c r="D466" s="36" t="n"/>
      <c r="E466" s="36" t="n"/>
      <c r="F466" s="42" t="n"/>
      <c r="G466" s="36" t="n"/>
      <c r="H466" s="43" t="n"/>
      <c r="I466" s="37" t="n"/>
      <c r="J466" s="44" t="n"/>
      <c r="K466" s="36" t="n"/>
      <c r="L466" s="33">
        <f>IF(C466="","",Commercial_Id)</f>
        <v/>
      </c>
      <c r="M466" s="34">
        <f>IF(E466="","",IFERROR(VLOOKUP(E466,T_Produits,2,FALSE),""))</f>
        <v/>
      </c>
      <c r="N466" s="40">
        <f>IF(E466="","",IFERROR(1/(1/VLOOKUP(E466,T_Produits,3,FALSE)),""))</f>
        <v/>
      </c>
      <c r="O466" s="40">
        <f>IF(OR(D466="",F466=""),"",IF(OR(D466="Casse / avarie",D466="Perte / vol",D466="Échantillon offert"),IF(I466&lt;&gt;"",I466,IF(N466="","",F466*N466)),""))</f>
        <v/>
      </c>
      <c r="P466" s="50">
        <f>IF(OR(D466="",F466=""),"",F466*IF(OR(D466="Reçu du magasin",D466="Ajustement (+)"),1,-1))</f>
        <v/>
      </c>
      <c r="Q466" s="34">
        <f>IF(C466="","",YEAR(C466-WEEKDAY(C466,2)+4)&amp;"-S"&amp;TEXT(INT((C466-DATE(YEAR(C466-WEEKDAY(C466,2)+4),1,3)+WEEKDAY(DATE(YEAR(C466-WEEKDAY(C466,2)+4),1,3),2)+5)/7),"00"))</f>
        <v/>
      </c>
    </row>
    <row r="467" ht="18" customHeight="1">
      <c r="A467" s="39" t="n">
        <v>462</v>
      </c>
      <c r="B467" s="33">
        <f>IF(C467="","",IF(L467="À RENSEIGNER","GIC",L467)&amp;"-S"&amp;TEXT(A467,"00000"))</f>
        <v/>
      </c>
      <c r="C467" s="32" t="n"/>
      <c r="D467" s="36" t="n"/>
      <c r="E467" s="36" t="n"/>
      <c r="F467" s="42" t="n"/>
      <c r="G467" s="36" t="n"/>
      <c r="H467" s="43" t="n"/>
      <c r="I467" s="37" t="n"/>
      <c r="J467" s="44" t="n"/>
      <c r="K467" s="36" t="n"/>
      <c r="L467" s="33">
        <f>IF(C467="","",Commercial_Id)</f>
        <v/>
      </c>
      <c r="M467" s="34">
        <f>IF(E467="","",IFERROR(VLOOKUP(E467,T_Produits,2,FALSE),""))</f>
        <v/>
      </c>
      <c r="N467" s="40">
        <f>IF(E467="","",IFERROR(1/(1/VLOOKUP(E467,T_Produits,3,FALSE)),""))</f>
        <v/>
      </c>
      <c r="O467" s="40">
        <f>IF(OR(D467="",F467=""),"",IF(OR(D467="Casse / avarie",D467="Perte / vol",D467="Échantillon offert"),IF(I467&lt;&gt;"",I467,IF(N467="","",F467*N467)),""))</f>
        <v/>
      </c>
      <c r="P467" s="50">
        <f>IF(OR(D467="",F467=""),"",F467*IF(OR(D467="Reçu du magasin",D467="Ajustement (+)"),1,-1))</f>
        <v/>
      </c>
      <c r="Q467" s="34">
        <f>IF(C467="","",YEAR(C467-WEEKDAY(C467,2)+4)&amp;"-S"&amp;TEXT(INT((C467-DATE(YEAR(C467-WEEKDAY(C467,2)+4),1,3)+WEEKDAY(DATE(YEAR(C467-WEEKDAY(C467,2)+4),1,3),2)+5)/7),"00"))</f>
        <v/>
      </c>
    </row>
    <row r="468" ht="18" customHeight="1">
      <c r="A468" s="39" t="n">
        <v>463</v>
      </c>
      <c r="B468" s="33">
        <f>IF(C468="","",IF(L468="À RENSEIGNER","GIC",L468)&amp;"-S"&amp;TEXT(A468,"00000"))</f>
        <v/>
      </c>
      <c r="C468" s="32" t="n"/>
      <c r="D468" s="36" t="n"/>
      <c r="E468" s="36" t="n"/>
      <c r="F468" s="42" t="n"/>
      <c r="G468" s="36" t="n"/>
      <c r="H468" s="43" t="n"/>
      <c r="I468" s="37" t="n"/>
      <c r="J468" s="44" t="n"/>
      <c r="K468" s="36" t="n"/>
      <c r="L468" s="33">
        <f>IF(C468="","",Commercial_Id)</f>
        <v/>
      </c>
      <c r="M468" s="34">
        <f>IF(E468="","",IFERROR(VLOOKUP(E468,T_Produits,2,FALSE),""))</f>
        <v/>
      </c>
      <c r="N468" s="40">
        <f>IF(E468="","",IFERROR(1/(1/VLOOKUP(E468,T_Produits,3,FALSE)),""))</f>
        <v/>
      </c>
      <c r="O468" s="40">
        <f>IF(OR(D468="",F468=""),"",IF(OR(D468="Casse / avarie",D468="Perte / vol",D468="Échantillon offert"),IF(I468&lt;&gt;"",I468,IF(N468="","",F468*N468)),""))</f>
        <v/>
      </c>
      <c r="P468" s="50">
        <f>IF(OR(D468="",F468=""),"",F468*IF(OR(D468="Reçu du magasin",D468="Ajustement (+)"),1,-1))</f>
        <v/>
      </c>
      <c r="Q468" s="34">
        <f>IF(C468="","",YEAR(C468-WEEKDAY(C468,2)+4)&amp;"-S"&amp;TEXT(INT((C468-DATE(YEAR(C468-WEEKDAY(C468,2)+4),1,3)+WEEKDAY(DATE(YEAR(C468-WEEKDAY(C468,2)+4),1,3),2)+5)/7),"00"))</f>
        <v/>
      </c>
    </row>
    <row r="469" ht="18" customHeight="1">
      <c r="A469" s="39" t="n">
        <v>464</v>
      </c>
      <c r="B469" s="33">
        <f>IF(C469="","",IF(L469="À RENSEIGNER","GIC",L469)&amp;"-S"&amp;TEXT(A469,"00000"))</f>
        <v/>
      </c>
      <c r="C469" s="32" t="n"/>
      <c r="D469" s="36" t="n"/>
      <c r="E469" s="36" t="n"/>
      <c r="F469" s="42" t="n"/>
      <c r="G469" s="36" t="n"/>
      <c r="H469" s="43" t="n"/>
      <c r="I469" s="37" t="n"/>
      <c r="J469" s="44" t="n"/>
      <c r="K469" s="36" t="n"/>
      <c r="L469" s="33">
        <f>IF(C469="","",Commercial_Id)</f>
        <v/>
      </c>
      <c r="M469" s="34">
        <f>IF(E469="","",IFERROR(VLOOKUP(E469,T_Produits,2,FALSE),""))</f>
        <v/>
      </c>
      <c r="N469" s="40">
        <f>IF(E469="","",IFERROR(1/(1/VLOOKUP(E469,T_Produits,3,FALSE)),""))</f>
        <v/>
      </c>
      <c r="O469" s="40">
        <f>IF(OR(D469="",F469=""),"",IF(OR(D469="Casse / avarie",D469="Perte / vol",D469="Échantillon offert"),IF(I469&lt;&gt;"",I469,IF(N469="","",F469*N469)),""))</f>
        <v/>
      </c>
      <c r="P469" s="50">
        <f>IF(OR(D469="",F469=""),"",F469*IF(OR(D469="Reçu du magasin",D469="Ajustement (+)"),1,-1))</f>
        <v/>
      </c>
      <c r="Q469" s="34">
        <f>IF(C469="","",YEAR(C469-WEEKDAY(C469,2)+4)&amp;"-S"&amp;TEXT(INT((C469-DATE(YEAR(C469-WEEKDAY(C469,2)+4),1,3)+WEEKDAY(DATE(YEAR(C469-WEEKDAY(C469,2)+4),1,3),2)+5)/7),"00"))</f>
        <v/>
      </c>
    </row>
    <row r="470" ht="18" customHeight="1">
      <c r="A470" s="39" t="n">
        <v>465</v>
      </c>
      <c r="B470" s="33">
        <f>IF(C470="","",IF(L470="À RENSEIGNER","GIC",L470)&amp;"-S"&amp;TEXT(A470,"00000"))</f>
        <v/>
      </c>
      <c r="C470" s="32" t="n"/>
      <c r="D470" s="36" t="n"/>
      <c r="E470" s="36" t="n"/>
      <c r="F470" s="42" t="n"/>
      <c r="G470" s="36" t="n"/>
      <c r="H470" s="43" t="n"/>
      <c r="I470" s="37" t="n"/>
      <c r="J470" s="44" t="n"/>
      <c r="K470" s="36" t="n"/>
      <c r="L470" s="33">
        <f>IF(C470="","",Commercial_Id)</f>
        <v/>
      </c>
      <c r="M470" s="34">
        <f>IF(E470="","",IFERROR(VLOOKUP(E470,T_Produits,2,FALSE),""))</f>
        <v/>
      </c>
      <c r="N470" s="40">
        <f>IF(E470="","",IFERROR(1/(1/VLOOKUP(E470,T_Produits,3,FALSE)),""))</f>
        <v/>
      </c>
      <c r="O470" s="40">
        <f>IF(OR(D470="",F470=""),"",IF(OR(D470="Casse / avarie",D470="Perte / vol",D470="Échantillon offert"),IF(I470&lt;&gt;"",I470,IF(N470="","",F470*N470)),""))</f>
        <v/>
      </c>
      <c r="P470" s="50">
        <f>IF(OR(D470="",F470=""),"",F470*IF(OR(D470="Reçu du magasin",D470="Ajustement (+)"),1,-1))</f>
        <v/>
      </c>
      <c r="Q470" s="34">
        <f>IF(C470="","",YEAR(C470-WEEKDAY(C470,2)+4)&amp;"-S"&amp;TEXT(INT((C470-DATE(YEAR(C470-WEEKDAY(C470,2)+4),1,3)+WEEKDAY(DATE(YEAR(C470-WEEKDAY(C470,2)+4),1,3),2)+5)/7),"00"))</f>
        <v/>
      </c>
    </row>
    <row r="471" ht="18" customHeight="1">
      <c r="A471" s="39" t="n">
        <v>466</v>
      </c>
      <c r="B471" s="33">
        <f>IF(C471="","",IF(L471="À RENSEIGNER","GIC",L471)&amp;"-S"&amp;TEXT(A471,"00000"))</f>
        <v/>
      </c>
      <c r="C471" s="32" t="n"/>
      <c r="D471" s="36" t="n"/>
      <c r="E471" s="36" t="n"/>
      <c r="F471" s="42" t="n"/>
      <c r="G471" s="36" t="n"/>
      <c r="H471" s="43" t="n"/>
      <c r="I471" s="37" t="n"/>
      <c r="J471" s="44" t="n"/>
      <c r="K471" s="36" t="n"/>
      <c r="L471" s="33">
        <f>IF(C471="","",Commercial_Id)</f>
        <v/>
      </c>
      <c r="M471" s="34">
        <f>IF(E471="","",IFERROR(VLOOKUP(E471,T_Produits,2,FALSE),""))</f>
        <v/>
      </c>
      <c r="N471" s="40">
        <f>IF(E471="","",IFERROR(1/(1/VLOOKUP(E471,T_Produits,3,FALSE)),""))</f>
        <v/>
      </c>
      <c r="O471" s="40">
        <f>IF(OR(D471="",F471=""),"",IF(OR(D471="Casse / avarie",D471="Perte / vol",D471="Échantillon offert"),IF(I471&lt;&gt;"",I471,IF(N471="","",F471*N471)),""))</f>
        <v/>
      </c>
      <c r="P471" s="50">
        <f>IF(OR(D471="",F471=""),"",F471*IF(OR(D471="Reçu du magasin",D471="Ajustement (+)"),1,-1))</f>
        <v/>
      </c>
      <c r="Q471" s="34">
        <f>IF(C471="","",YEAR(C471-WEEKDAY(C471,2)+4)&amp;"-S"&amp;TEXT(INT((C471-DATE(YEAR(C471-WEEKDAY(C471,2)+4),1,3)+WEEKDAY(DATE(YEAR(C471-WEEKDAY(C471,2)+4),1,3),2)+5)/7),"00"))</f>
        <v/>
      </c>
    </row>
    <row r="472" ht="18" customHeight="1">
      <c r="A472" s="39" t="n">
        <v>467</v>
      </c>
      <c r="B472" s="33">
        <f>IF(C472="","",IF(L472="À RENSEIGNER","GIC",L472)&amp;"-S"&amp;TEXT(A472,"00000"))</f>
        <v/>
      </c>
      <c r="C472" s="32" t="n"/>
      <c r="D472" s="36" t="n"/>
      <c r="E472" s="36" t="n"/>
      <c r="F472" s="42" t="n"/>
      <c r="G472" s="36" t="n"/>
      <c r="H472" s="43" t="n"/>
      <c r="I472" s="37" t="n"/>
      <c r="J472" s="44" t="n"/>
      <c r="K472" s="36" t="n"/>
      <c r="L472" s="33">
        <f>IF(C472="","",Commercial_Id)</f>
        <v/>
      </c>
      <c r="M472" s="34">
        <f>IF(E472="","",IFERROR(VLOOKUP(E472,T_Produits,2,FALSE),""))</f>
        <v/>
      </c>
      <c r="N472" s="40">
        <f>IF(E472="","",IFERROR(1/(1/VLOOKUP(E472,T_Produits,3,FALSE)),""))</f>
        <v/>
      </c>
      <c r="O472" s="40">
        <f>IF(OR(D472="",F472=""),"",IF(OR(D472="Casse / avarie",D472="Perte / vol",D472="Échantillon offert"),IF(I472&lt;&gt;"",I472,IF(N472="","",F472*N472)),""))</f>
        <v/>
      </c>
      <c r="P472" s="50">
        <f>IF(OR(D472="",F472=""),"",F472*IF(OR(D472="Reçu du magasin",D472="Ajustement (+)"),1,-1))</f>
        <v/>
      </c>
      <c r="Q472" s="34">
        <f>IF(C472="","",YEAR(C472-WEEKDAY(C472,2)+4)&amp;"-S"&amp;TEXT(INT((C472-DATE(YEAR(C472-WEEKDAY(C472,2)+4),1,3)+WEEKDAY(DATE(YEAR(C472-WEEKDAY(C472,2)+4),1,3),2)+5)/7),"00"))</f>
        <v/>
      </c>
    </row>
    <row r="473" ht="18" customHeight="1">
      <c r="A473" s="39" t="n">
        <v>468</v>
      </c>
      <c r="B473" s="33">
        <f>IF(C473="","",IF(L473="À RENSEIGNER","GIC",L473)&amp;"-S"&amp;TEXT(A473,"00000"))</f>
        <v/>
      </c>
      <c r="C473" s="32" t="n"/>
      <c r="D473" s="36" t="n"/>
      <c r="E473" s="36" t="n"/>
      <c r="F473" s="42" t="n"/>
      <c r="G473" s="36" t="n"/>
      <c r="H473" s="43" t="n"/>
      <c r="I473" s="37" t="n"/>
      <c r="J473" s="44" t="n"/>
      <c r="K473" s="36" t="n"/>
      <c r="L473" s="33">
        <f>IF(C473="","",Commercial_Id)</f>
        <v/>
      </c>
      <c r="M473" s="34">
        <f>IF(E473="","",IFERROR(VLOOKUP(E473,T_Produits,2,FALSE),""))</f>
        <v/>
      </c>
      <c r="N473" s="40">
        <f>IF(E473="","",IFERROR(1/(1/VLOOKUP(E473,T_Produits,3,FALSE)),""))</f>
        <v/>
      </c>
      <c r="O473" s="40">
        <f>IF(OR(D473="",F473=""),"",IF(OR(D473="Casse / avarie",D473="Perte / vol",D473="Échantillon offert"),IF(I473&lt;&gt;"",I473,IF(N473="","",F473*N473)),""))</f>
        <v/>
      </c>
      <c r="P473" s="50">
        <f>IF(OR(D473="",F473=""),"",F473*IF(OR(D473="Reçu du magasin",D473="Ajustement (+)"),1,-1))</f>
        <v/>
      </c>
      <c r="Q473" s="34">
        <f>IF(C473="","",YEAR(C473-WEEKDAY(C473,2)+4)&amp;"-S"&amp;TEXT(INT((C473-DATE(YEAR(C473-WEEKDAY(C473,2)+4),1,3)+WEEKDAY(DATE(YEAR(C473-WEEKDAY(C473,2)+4),1,3),2)+5)/7),"00"))</f>
        <v/>
      </c>
    </row>
    <row r="474" ht="18" customHeight="1">
      <c r="A474" s="39" t="n">
        <v>469</v>
      </c>
      <c r="B474" s="33">
        <f>IF(C474="","",IF(L474="À RENSEIGNER","GIC",L474)&amp;"-S"&amp;TEXT(A474,"00000"))</f>
        <v/>
      </c>
      <c r="C474" s="32" t="n"/>
      <c r="D474" s="36" t="n"/>
      <c r="E474" s="36" t="n"/>
      <c r="F474" s="42" t="n"/>
      <c r="G474" s="36" t="n"/>
      <c r="H474" s="43" t="n"/>
      <c r="I474" s="37" t="n"/>
      <c r="J474" s="44" t="n"/>
      <c r="K474" s="36" t="n"/>
      <c r="L474" s="33">
        <f>IF(C474="","",Commercial_Id)</f>
        <v/>
      </c>
      <c r="M474" s="34">
        <f>IF(E474="","",IFERROR(VLOOKUP(E474,T_Produits,2,FALSE),""))</f>
        <v/>
      </c>
      <c r="N474" s="40">
        <f>IF(E474="","",IFERROR(1/(1/VLOOKUP(E474,T_Produits,3,FALSE)),""))</f>
        <v/>
      </c>
      <c r="O474" s="40">
        <f>IF(OR(D474="",F474=""),"",IF(OR(D474="Casse / avarie",D474="Perte / vol",D474="Échantillon offert"),IF(I474&lt;&gt;"",I474,IF(N474="","",F474*N474)),""))</f>
        <v/>
      </c>
      <c r="P474" s="50">
        <f>IF(OR(D474="",F474=""),"",F474*IF(OR(D474="Reçu du magasin",D474="Ajustement (+)"),1,-1))</f>
        <v/>
      </c>
      <c r="Q474" s="34">
        <f>IF(C474="","",YEAR(C474-WEEKDAY(C474,2)+4)&amp;"-S"&amp;TEXT(INT((C474-DATE(YEAR(C474-WEEKDAY(C474,2)+4),1,3)+WEEKDAY(DATE(YEAR(C474-WEEKDAY(C474,2)+4),1,3),2)+5)/7),"00"))</f>
        <v/>
      </c>
    </row>
    <row r="475" ht="18" customHeight="1">
      <c r="A475" s="39" t="n">
        <v>470</v>
      </c>
      <c r="B475" s="33">
        <f>IF(C475="","",IF(L475="À RENSEIGNER","GIC",L475)&amp;"-S"&amp;TEXT(A475,"00000"))</f>
        <v/>
      </c>
      <c r="C475" s="32" t="n"/>
      <c r="D475" s="36" t="n"/>
      <c r="E475" s="36" t="n"/>
      <c r="F475" s="42" t="n"/>
      <c r="G475" s="36" t="n"/>
      <c r="H475" s="43" t="n"/>
      <c r="I475" s="37" t="n"/>
      <c r="J475" s="44" t="n"/>
      <c r="K475" s="36" t="n"/>
      <c r="L475" s="33">
        <f>IF(C475="","",Commercial_Id)</f>
        <v/>
      </c>
      <c r="M475" s="34">
        <f>IF(E475="","",IFERROR(VLOOKUP(E475,T_Produits,2,FALSE),""))</f>
        <v/>
      </c>
      <c r="N475" s="40">
        <f>IF(E475="","",IFERROR(1/(1/VLOOKUP(E475,T_Produits,3,FALSE)),""))</f>
        <v/>
      </c>
      <c r="O475" s="40">
        <f>IF(OR(D475="",F475=""),"",IF(OR(D475="Casse / avarie",D475="Perte / vol",D475="Échantillon offert"),IF(I475&lt;&gt;"",I475,IF(N475="","",F475*N475)),""))</f>
        <v/>
      </c>
      <c r="P475" s="50">
        <f>IF(OR(D475="",F475=""),"",F475*IF(OR(D475="Reçu du magasin",D475="Ajustement (+)"),1,-1))</f>
        <v/>
      </c>
      <c r="Q475" s="34">
        <f>IF(C475="","",YEAR(C475-WEEKDAY(C475,2)+4)&amp;"-S"&amp;TEXT(INT((C475-DATE(YEAR(C475-WEEKDAY(C475,2)+4),1,3)+WEEKDAY(DATE(YEAR(C475-WEEKDAY(C475,2)+4),1,3),2)+5)/7),"00"))</f>
        <v/>
      </c>
    </row>
    <row r="476" ht="18" customHeight="1">
      <c r="A476" s="39" t="n">
        <v>471</v>
      </c>
      <c r="B476" s="33">
        <f>IF(C476="","",IF(L476="À RENSEIGNER","GIC",L476)&amp;"-S"&amp;TEXT(A476,"00000"))</f>
        <v/>
      </c>
      <c r="C476" s="32" t="n"/>
      <c r="D476" s="36" t="n"/>
      <c r="E476" s="36" t="n"/>
      <c r="F476" s="42" t="n"/>
      <c r="G476" s="36" t="n"/>
      <c r="H476" s="43" t="n"/>
      <c r="I476" s="37" t="n"/>
      <c r="J476" s="44" t="n"/>
      <c r="K476" s="36" t="n"/>
      <c r="L476" s="33">
        <f>IF(C476="","",Commercial_Id)</f>
        <v/>
      </c>
      <c r="M476" s="34">
        <f>IF(E476="","",IFERROR(VLOOKUP(E476,T_Produits,2,FALSE),""))</f>
        <v/>
      </c>
      <c r="N476" s="40">
        <f>IF(E476="","",IFERROR(1/(1/VLOOKUP(E476,T_Produits,3,FALSE)),""))</f>
        <v/>
      </c>
      <c r="O476" s="40">
        <f>IF(OR(D476="",F476=""),"",IF(OR(D476="Casse / avarie",D476="Perte / vol",D476="Échantillon offert"),IF(I476&lt;&gt;"",I476,IF(N476="","",F476*N476)),""))</f>
        <v/>
      </c>
      <c r="P476" s="50">
        <f>IF(OR(D476="",F476=""),"",F476*IF(OR(D476="Reçu du magasin",D476="Ajustement (+)"),1,-1))</f>
        <v/>
      </c>
      <c r="Q476" s="34">
        <f>IF(C476="","",YEAR(C476-WEEKDAY(C476,2)+4)&amp;"-S"&amp;TEXT(INT((C476-DATE(YEAR(C476-WEEKDAY(C476,2)+4),1,3)+WEEKDAY(DATE(YEAR(C476-WEEKDAY(C476,2)+4),1,3),2)+5)/7),"00"))</f>
        <v/>
      </c>
    </row>
    <row r="477" ht="18" customHeight="1">
      <c r="A477" s="39" t="n">
        <v>472</v>
      </c>
      <c r="B477" s="33">
        <f>IF(C477="","",IF(L477="À RENSEIGNER","GIC",L477)&amp;"-S"&amp;TEXT(A477,"00000"))</f>
        <v/>
      </c>
      <c r="C477" s="32" t="n"/>
      <c r="D477" s="36" t="n"/>
      <c r="E477" s="36" t="n"/>
      <c r="F477" s="42" t="n"/>
      <c r="G477" s="36" t="n"/>
      <c r="H477" s="43" t="n"/>
      <c r="I477" s="37" t="n"/>
      <c r="J477" s="44" t="n"/>
      <c r="K477" s="36" t="n"/>
      <c r="L477" s="33">
        <f>IF(C477="","",Commercial_Id)</f>
        <v/>
      </c>
      <c r="M477" s="34">
        <f>IF(E477="","",IFERROR(VLOOKUP(E477,T_Produits,2,FALSE),""))</f>
        <v/>
      </c>
      <c r="N477" s="40">
        <f>IF(E477="","",IFERROR(1/(1/VLOOKUP(E477,T_Produits,3,FALSE)),""))</f>
        <v/>
      </c>
      <c r="O477" s="40">
        <f>IF(OR(D477="",F477=""),"",IF(OR(D477="Casse / avarie",D477="Perte / vol",D477="Échantillon offert"),IF(I477&lt;&gt;"",I477,IF(N477="","",F477*N477)),""))</f>
        <v/>
      </c>
      <c r="P477" s="50">
        <f>IF(OR(D477="",F477=""),"",F477*IF(OR(D477="Reçu du magasin",D477="Ajustement (+)"),1,-1))</f>
        <v/>
      </c>
      <c r="Q477" s="34">
        <f>IF(C477="","",YEAR(C477-WEEKDAY(C477,2)+4)&amp;"-S"&amp;TEXT(INT((C477-DATE(YEAR(C477-WEEKDAY(C477,2)+4),1,3)+WEEKDAY(DATE(YEAR(C477-WEEKDAY(C477,2)+4),1,3),2)+5)/7),"00"))</f>
        <v/>
      </c>
    </row>
    <row r="478" ht="18" customHeight="1">
      <c r="A478" s="39" t="n">
        <v>473</v>
      </c>
      <c r="B478" s="33">
        <f>IF(C478="","",IF(L478="À RENSEIGNER","GIC",L478)&amp;"-S"&amp;TEXT(A478,"00000"))</f>
        <v/>
      </c>
      <c r="C478" s="32" t="n"/>
      <c r="D478" s="36" t="n"/>
      <c r="E478" s="36" t="n"/>
      <c r="F478" s="42" t="n"/>
      <c r="G478" s="36" t="n"/>
      <c r="H478" s="43" t="n"/>
      <c r="I478" s="37" t="n"/>
      <c r="J478" s="44" t="n"/>
      <c r="K478" s="36" t="n"/>
      <c r="L478" s="33">
        <f>IF(C478="","",Commercial_Id)</f>
        <v/>
      </c>
      <c r="M478" s="34">
        <f>IF(E478="","",IFERROR(VLOOKUP(E478,T_Produits,2,FALSE),""))</f>
        <v/>
      </c>
      <c r="N478" s="40">
        <f>IF(E478="","",IFERROR(1/(1/VLOOKUP(E478,T_Produits,3,FALSE)),""))</f>
        <v/>
      </c>
      <c r="O478" s="40">
        <f>IF(OR(D478="",F478=""),"",IF(OR(D478="Casse / avarie",D478="Perte / vol",D478="Échantillon offert"),IF(I478&lt;&gt;"",I478,IF(N478="","",F478*N478)),""))</f>
        <v/>
      </c>
      <c r="P478" s="50">
        <f>IF(OR(D478="",F478=""),"",F478*IF(OR(D478="Reçu du magasin",D478="Ajustement (+)"),1,-1))</f>
        <v/>
      </c>
      <c r="Q478" s="34">
        <f>IF(C478="","",YEAR(C478-WEEKDAY(C478,2)+4)&amp;"-S"&amp;TEXT(INT((C478-DATE(YEAR(C478-WEEKDAY(C478,2)+4),1,3)+WEEKDAY(DATE(YEAR(C478-WEEKDAY(C478,2)+4),1,3),2)+5)/7),"00"))</f>
        <v/>
      </c>
    </row>
    <row r="479" ht="18" customHeight="1">
      <c r="A479" s="39" t="n">
        <v>474</v>
      </c>
      <c r="B479" s="33">
        <f>IF(C479="","",IF(L479="À RENSEIGNER","GIC",L479)&amp;"-S"&amp;TEXT(A479,"00000"))</f>
        <v/>
      </c>
      <c r="C479" s="32" t="n"/>
      <c r="D479" s="36" t="n"/>
      <c r="E479" s="36" t="n"/>
      <c r="F479" s="42" t="n"/>
      <c r="G479" s="36" t="n"/>
      <c r="H479" s="43" t="n"/>
      <c r="I479" s="37" t="n"/>
      <c r="J479" s="44" t="n"/>
      <c r="K479" s="36" t="n"/>
      <c r="L479" s="33">
        <f>IF(C479="","",Commercial_Id)</f>
        <v/>
      </c>
      <c r="M479" s="34">
        <f>IF(E479="","",IFERROR(VLOOKUP(E479,T_Produits,2,FALSE),""))</f>
        <v/>
      </c>
      <c r="N479" s="40">
        <f>IF(E479="","",IFERROR(1/(1/VLOOKUP(E479,T_Produits,3,FALSE)),""))</f>
        <v/>
      </c>
      <c r="O479" s="40">
        <f>IF(OR(D479="",F479=""),"",IF(OR(D479="Casse / avarie",D479="Perte / vol",D479="Échantillon offert"),IF(I479&lt;&gt;"",I479,IF(N479="","",F479*N479)),""))</f>
        <v/>
      </c>
      <c r="P479" s="50">
        <f>IF(OR(D479="",F479=""),"",F479*IF(OR(D479="Reçu du magasin",D479="Ajustement (+)"),1,-1))</f>
        <v/>
      </c>
      <c r="Q479" s="34">
        <f>IF(C479="","",YEAR(C479-WEEKDAY(C479,2)+4)&amp;"-S"&amp;TEXT(INT((C479-DATE(YEAR(C479-WEEKDAY(C479,2)+4),1,3)+WEEKDAY(DATE(YEAR(C479-WEEKDAY(C479,2)+4),1,3),2)+5)/7),"00"))</f>
        <v/>
      </c>
    </row>
    <row r="480" ht="18" customHeight="1">
      <c r="A480" s="39" t="n">
        <v>475</v>
      </c>
      <c r="B480" s="33">
        <f>IF(C480="","",IF(L480="À RENSEIGNER","GIC",L480)&amp;"-S"&amp;TEXT(A480,"00000"))</f>
        <v/>
      </c>
      <c r="C480" s="32" t="n"/>
      <c r="D480" s="36" t="n"/>
      <c r="E480" s="36" t="n"/>
      <c r="F480" s="42" t="n"/>
      <c r="G480" s="36" t="n"/>
      <c r="H480" s="43" t="n"/>
      <c r="I480" s="37" t="n"/>
      <c r="J480" s="44" t="n"/>
      <c r="K480" s="36" t="n"/>
      <c r="L480" s="33">
        <f>IF(C480="","",Commercial_Id)</f>
        <v/>
      </c>
      <c r="M480" s="34">
        <f>IF(E480="","",IFERROR(VLOOKUP(E480,T_Produits,2,FALSE),""))</f>
        <v/>
      </c>
      <c r="N480" s="40">
        <f>IF(E480="","",IFERROR(1/(1/VLOOKUP(E480,T_Produits,3,FALSE)),""))</f>
        <v/>
      </c>
      <c r="O480" s="40">
        <f>IF(OR(D480="",F480=""),"",IF(OR(D480="Casse / avarie",D480="Perte / vol",D480="Échantillon offert"),IF(I480&lt;&gt;"",I480,IF(N480="","",F480*N480)),""))</f>
        <v/>
      </c>
      <c r="P480" s="50">
        <f>IF(OR(D480="",F480=""),"",F480*IF(OR(D480="Reçu du magasin",D480="Ajustement (+)"),1,-1))</f>
        <v/>
      </c>
      <c r="Q480" s="34">
        <f>IF(C480="","",YEAR(C480-WEEKDAY(C480,2)+4)&amp;"-S"&amp;TEXT(INT((C480-DATE(YEAR(C480-WEEKDAY(C480,2)+4),1,3)+WEEKDAY(DATE(YEAR(C480-WEEKDAY(C480,2)+4),1,3),2)+5)/7),"00"))</f>
        <v/>
      </c>
    </row>
    <row r="481" ht="18" customHeight="1">
      <c r="A481" s="39" t="n">
        <v>476</v>
      </c>
      <c r="B481" s="33">
        <f>IF(C481="","",IF(L481="À RENSEIGNER","GIC",L481)&amp;"-S"&amp;TEXT(A481,"00000"))</f>
        <v/>
      </c>
      <c r="C481" s="32" t="n"/>
      <c r="D481" s="36" t="n"/>
      <c r="E481" s="36" t="n"/>
      <c r="F481" s="42" t="n"/>
      <c r="G481" s="36" t="n"/>
      <c r="H481" s="43" t="n"/>
      <c r="I481" s="37" t="n"/>
      <c r="J481" s="44" t="n"/>
      <c r="K481" s="36" t="n"/>
      <c r="L481" s="33">
        <f>IF(C481="","",Commercial_Id)</f>
        <v/>
      </c>
      <c r="M481" s="34">
        <f>IF(E481="","",IFERROR(VLOOKUP(E481,T_Produits,2,FALSE),""))</f>
        <v/>
      </c>
      <c r="N481" s="40">
        <f>IF(E481="","",IFERROR(1/(1/VLOOKUP(E481,T_Produits,3,FALSE)),""))</f>
        <v/>
      </c>
      <c r="O481" s="40">
        <f>IF(OR(D481="",F481=""),"",IF(OR(D481="Casse / avarie",D481="Perte / vol",D481="Échantillon offert"),IF(I481&lt;&gt;"",I481,IF(N481="","",F481*N481)),""))</f>
        <v/>
      </c>
      <c r="P481" s="50">
        <f>IF(OR(D481="",F481=""),"",F481*IF(OR(D481="Reçu du magasin",D481="Ajustement (+)"),1,-1))</f>
        <v/>
      </c>
      <c r="Q481" s="34">
        <f>IF(C481="","",YEAR(C481-WEEKDAY(C481,2)+4)&amp;"-S"&amp;TEXT(INT((C481-DATE(YEAR(C481-WEEKDAY(C481,2)+4),1,3)+WEEKDAY(DATE(YEAR(C481-WEEKDAY(C481,2)+4),1,3),2)+5)/7),"00"))</f>
        <v/>
      </c>
    </row>
    <row r="482" ht="18" customHeight="1">
      <c r="A482" s="39" t="n">
        <v>477</v>
      </c>
      <c r="B482" s="33">
        <f>IF(C482="","",IF(L482="À RENSEIGNER","GIC",L482)&amp;"-S"&amp;TEXT(A482,"00000"))</f>
        <v/>
      </c>
      <c r="C482" s="32" t="n"/>
      <c r="D482" s="36" t="n"/>
      <c r="E482" s="36" t="n"/>
      <c r="F482" s="42" t="n"/>
      <c r="G482" s="36" t="n"/>
      <c r="H482" s="43" t="n"/>
      <c r="I482" s="37" t="n"/>
      <c r="J482" s="44" t="n"/>
      <c r="K482" s="36" t="n"/>
      <c r="L482" s="33">
        <f>IF(C482="","",Commercial_Id)</f>
        <v/>
      </c>
      <c r="M482" s="34">
        <f>IF(E482="","",IFERROR(VLOOKUP(E482,T_Produits,2,FALSE),""))</f>
        <v/>
      </c>
      <c r="N482" s="40">
        <f>IF(E482="","",IFERROR(1/(1/VLOOKUP(E482,T_Produits,3,FALSE)),""))</f>
        <v/>
      </c>
      <c r="O482" s="40">
        <f>IF(OR(D482="",F482=""),"",IF(OR(D482="Casse / avarie",D482="Perte / vol",D482="Échantillon offert"),IF(I482&lt;&gt;"",I482,IF(N482="","",F482*N482)),""))</f>
        <v/>
      </c>
      <c r="P482" s="50">
        <f>IF(OR(D482="",F482=""),"",F482*IF(OR(D482="Reçu du magasin",D482="Ajustement (+)"),1,-1))</f>
        <v/>
      </c>
      <c r="Q482" s="34">
        <f>IF(C482="","",YEAR(C482-WEEKDAY(C482,2)+4)&amp;"-S"&amp;TEXT(INT((C482-DATE(YEAR(C482-WEEKDAY(C482,2)+4),1,3)+WEEKDAY(DATE(YEAR(C482-WEEKDAY(C482,2)+4),1,3),2)+5)/7),"00"))</f>
        <v/>
      </c>
    </row>
    <row r="483" ht="18" customHeight="1">
      <c r="A483" s="39" t="n">
        <v>478</v>
      </c>
      <c r="B483" s="33">
        <f>IF(C483="","",IF(L483="À RENSEIGNER","GIC",L483)&amp;"-S"&amp;TEXT(A483,"00000"))</f>
        <v/>
      </c>
      <c r="C483" s="32" t="n"/>
      <c r="D483" s="36" t="n"/>
      <c r="E483" s="36" t="n"/>
      <c r="F483" s="42" t="n"/>
      <c r="G483" s="36" t="n"/>
      <c r="H483" s="43" t="n"/>
      <c r="I483" s="37" t="n"/>
      <c r="J483" s="44" t="n"/>
      <c r="K483" s="36" t="n"/>
      <c r="L483" s="33">
        <f>IF(C483="","",Commercial_Id)</f>
        <v/>
      </c>
      <c r="M483" s="34">
        <f>IF(E483="","",IFERROR(VLOOKUP(E483,T_Produits,2,FALSE),""))</f>
        <v/>
      </c>
      <c r="N483" s="40">
        <f>IF(E483="","",IFERROR(1/(1/VLOOKUP(E483,T_Produits,3,FALSE)),""))</f>
        <v/>
      </c>
      <c r="O483" s="40">
        <f>IF(OR(D483="",F483=""),"",IF(OR(D483="Casse / avarie",D483="Perte / vol",D483="Échantillon offert"),IF(I483&lt;&gt;"",I483,IF(N483="","",F483*N483)),""))</f>
        <v/>
      </c>
      <c r="P483" s="50">
        <f>IF(OR(D483="",F483=""),"",F483*IF(OR(D483="Reçu du magasin",D483="Ajustement (+)"),1,-1))</f>
        <v/>
      </c>
      <c r="Q483" s="34">
        <f>IF(C483="","",YEAR(C483-WEEKDAY(C483,2)+4)&amp;"-S"&amp;TEXT(INT((C483-DATE(YEAR(C483-WEEKDAY(C483,2)+4),1,3)+WEEKDAY(DATE(YEAR(C483-WEEKDAY(C483,2)+4),1,3),2)+5)/7),"00"))</f>
        <v/>
      </c>
    </row>
    <row r="484" ht="18" customHeight="1">
      <c r="A484" s="39" t="n">
        <v>479</v>
      </c>
      <c r="B484" s="33">
        <f>IF(C484="","",IF(L484="À RENSEIGNER","GIC",L484)&amp;"-S"&amp;TEXT(A484,"00000"))</f>
        <v/>
      </c>
      <c r="C484" s="32" t="n"/>
      <c r="D484" s="36" t="n"/>
      <c r="E484" s="36" t="n"/>
      <c r="F484" s="42" t="n"/>
      <c r="G484" s="36" t="n"/>
      <c r="H484" s="43" t="n"/>
      <c r="I484" s="37" t="n"/>
      <c r="J484" s="44" t="n"/>
      <c r="K484" s="36" t="n"/>
      <c r="L484" s="33">
        <f>IF(C484="","",Commercial_Id)</f>
        <v/>
      </c>
      <c r="M484" s="34">
        <f>IF(E484="","",IFERROR(VLOOKUP(E484,T_Produits,2,FALSE),""))</f>
        <v/>
      </c>
      <c r="N484" s="40">
        <f>IF(E484="","",IFERROR(1/(1/VLOOKUP(E484,T_Produits,3,FALSE)),""))</f>
        <v/>
      </c>
      <c r="O484" s="40">
        <f>IF(OR(D484="",F484=""),"",IF(OR(D484="Casse / avarie",D484="Perte / vol",D484="Échantillon offert"),IF(I484&lt;&gt;"",I484,IF(N484="","",F484*N484)),""))</f>
        <v/>
      </c>
      <c r="P484" s="50">
        <f>IF(OR(D484="",F484=""),"",F484*IF(OR(D484="Reçu du magasin",D484="Ajustement (+)"),1,-1))</f>
        <v/>
      </c>
      <c r="Q484" s="34">
        <f>IF(C484="","",YEAR(C484-WEEKDAY(C484,2)+4)&amp;"-S"&amp;TEXT(INT((C484-DATE(YEAR(C484-WEEKDAY(C484,2)+4),1,3)+WEEKDAY(DATE(YEAR(C484-WEEKDAY(C484,2)+4),1,3),2)+5)/7),"00"))</f>
        <v/>
      </c>
    </row>
    <row r="485" ht="18" customHeight="1">
      <c r="A485" s="39" t="n">
        <v>480</v>
      </c>
      <c r="B485" s="33">
        <f>IF(C485="","",IF(L485="À RENSEIGNER","GIC",L485)&amp;"-S"&amp;TEXT(A485,"00000"))</f>
        <v/>
      </c>
      <c r="C485" s="32" t="n"/>
      <c r="D485" s="36" t="n"/>
      <c r="E485" s="36" t="n"/>
      <c r="F485" s="42" t="n"/>
      <c r="G485" s="36" t="n"/>
      <c r="H485" s="43" t="n"/>
      <c r="I485" s="37" t="n"/>
      <c r="J485" s="44" t="n"/>
      <c r="K485" s="36" t="n"/>
      <c r="L485" s="33">
        <f>IF(C485="","",Commercial_Id)</f>
        <v/>
      </c>
      <c r="M485" s="34">
        <f>IF(E485="","",IFERROR(VLOOKUP(E485,T_Produits,2,FALSE),""))</f>
        <v/>
      </c>
      <c r="N485" s="40">
        <f>IF(E485="","",IFERROR(1/(1/VLOOKUP(E485,T_Produits,3,FALSE)),""))</f>
        <v/>
      </c>
      <c r="O485" s="40">
        <f>IF(OR(D485="",F485=""),"",IF(OR(D485="Casse / avarie",D485="Perte / vol",D485="Échantillon offert"),IF(I485&lt;&gt;"",I485,IF(N485="","",F485*N485)),""))</f>
        <v/>
      </c>
      <c r="P485" s="50">
        <f>IF(OR(D485="",F485=""),"",F485*IF(OR(D485="Reçu du magasin",D485="Ajustement (+)"),1,-1))</f>
        <v/>
      </c>
      <c r="Q485" s="34">
        <f>IF(C485="","",YEAR(C485-WEEKDAY(C485,2)+4)&amp;"-S"&amp;TEXT(INT((C485-DATE(YEAR(C485-WEEKDAY(C485,2)+4),1,3)+WEEKDAY(DATE(YEAR(C485-WEEKDAY(C485,2)+4),1,3),2)+5)/7),"00"))</f>
        <v/>
      </c>
    </row>
    <row r="486" ht="18" customHeight="1">
      <c r="A486" s="39" t="n">
        <v>481</v>
      </c>
      <c r="B486" s="33">
        <f>IF(C486="","",IF(L486="À RENSEIGNER","GIC",L486)&amp;"-S"&amp;TEXT(A486,"00000"))</f>
        <v/>
      </c>
      <c r="C486" s="32" t="n"/>
      <c r="D486" s="36" t="n"/>
      <c r="E486" s="36" t="n"/>
      <c r="F486" s="42" t="n"/>
      <c r="G486" s="36" t="n"/>
      <c r="H486" s="43" t="n"/>
      <c r="I486" s="37" t="n"/>
      <c r="J486" s="44" t="n"/>
      <c r="K486" s="36" t="n"/>
      <c r="L486" s="33">
        <f>IF(C486="","",Commercial_Id)</f>
        <v/>
      </c>
      <c r="M486" s="34">
        <f>IF(E486="","",IFERROR(VLOOKUP(E486,T_Produits,2,FALSE),""))</f>
        <v/>
      </c>
      <c r="N486" s="40">
        <f>IF(E486="","",IFERROR(1/(1/VLOOKUP(E486,T_Produits,3,FALSE)),""))</f>
        <v/>
      </c>
      <c r="O486" s="40">
        <f>IF(OR(D486="",F486=""),"",IF(OR(D486="Casse / avarie",D486="Perte / vol",D486="Échantillon offert"),IF(I486&lt;&gt;"",I486,IF(N486="","",F486*N486)),""))</f>
        <v/>
      </c>
      <c r="P486" s="50">
        <f>IF(OR(D486="",F486=""),"",F486*IF(OR(D486="Reçu du magasin",D486="Ajustement (+)"),1,-1))</f>
        <v/>
      </c>
      <c r="Q486" s="34">
        <f>IF(C486="","",YEAR(C486-WEEKDAY(C486,2)+4)&amp;"-S"&amp;TEXT(INT((C486-DATE(YEAR(C486-WEEKDAY(C486,2)+4),1,3)+WEEKDAY(DATE(YEAR(C486-WEEKDAY(C486,2)+4),1,3),2)+5)/7),"00"))</f>
        <v/>
      </c>
    </row>
    <row r="487" ht="18" customHeight="1">
      <c r="A487" s="39" t="n">
        <v>482</v>
      </c>
      <c r="B487" s="33">
        <f>IF(C487="","",IF(L487="À RENSEIGNER","GIC",L487)&amp;"-S"&amp;TEXT(A487,"00000"))</f>
        <v/>
      </c>
      <c r="C487" s="32" t="n"/>
      <c r="D487" s="36" t="n"/>
      <c r="E487" s="36" t="n"/>
      <c r="F487" s="42" t="n"/>
      <c r="G487" s="36" t="n"/>
      <c r="H487" s="43" t="n"/>
      <c r="I487" s="37" t="n"/>
      <c r="J487" s="44" t="n"/>
      <c r="K487" s="36" t="n"/>
      <c r="L487" s="33">
        <f>IF(C487="","",Commercial_Id)</f>
        <v/>
      </c>
      <c r="M487" s="34">
        <f>IF(E487="","",IFERROR(VLOOKUP(E487,T_Produits,2,FALSE),""))</f>
        <v/>
      </c>
      <c r="N487" s="40">
        <f>IF(E487="","",IFERROR(1/(1/VLOOKUP(E487,T_Produits,3,FALSE)),""))</f>
        <v/>
      </c>
      <c r="O487" s="40">
        <f>IF(OR(D487="",F487=""),"",IF(OR(D487="Casse / avarie",D487="Perte / vol",D487="Échantillon offert"),IF(I487&lt;&gt;"",I487,IF(N487="","",F487*N487)),""))</f>
        <v/>
      </c>
      <c r="P487" s="50">
        <f>IF(OR(D487="",F487=""),"",F487*IF(OR(D487="Reçu du magasin",D487="Ajustement (+)"),1,-1))</f>
        <v/>
      </c>
      <c r="Q487" s="34">
        <f>IF(C487="","",YEAR(C487-WEEKDAY(C487,2)+4)&amp;"-S"&amp;TEXT(INT((C487-DATE(YEAR(C487-WEEKDAY(C487,2)+4),1,3)+WEEKDAY(DATE(YEAR(C487-WEEKDAY(C487,2)+4),1,3),2)+5)/7),"00"))</f>
        <v/>
      </c>
    </row>
    <row r="488" ht="18" customHeight="1">
      <c r="A488" s="39" t="n">
        <v>483</v>
      </c>
      <c r="B488" s="33">
        <f>IF(C488="","",IF(L488="À RENSEIGNER","GIC",L488)&amp;"-S"&amp;TEXT(A488,"00000"))</f>
        <v/>
      </c>
      <c r="C488" s="32" t="n"/>
      <c r="D488" s="36" t="n"/>
      <c r="E488" s="36" t="n"/>
      <c r="F488" s="42" t="n"/>
      <c r="G488" s="36" t="n"/>
      <c r="H488" s="43" t="n"/>
      <c r="I488" s="37" t="n"/>
      <c r="J488" s="44" t="n"/>
      <c r="K488" s="36" t="n"/>
      <c r="L488" s="33">
        <f>IF(C488="","",Commercial_Id)</f>
        <v/>
      </c>
      <c r="M488" s="34">
        <f>IF(E488="","",IFERROR(VLOOKUP(E488,T_Produits,2,FALSE),""))</f>
        <v/>
      </c>
      <c r="N488" s="40">
        <f>IF(E488="","",IFERROR(1/(1/VLOOKUP(E488,T_Produits,3,FALSE)),""))</f>
        <v/>
      </c>
      <c r="O488" s="40">
        <f>IF(OR(D488="",F488=""),"",IF(OR(D488="Casse / avarie",D488="Perte / vol",D488="Échantillon offert"),IF(I488&lt;&gt;"",I488,IF(N488="","",F488*N488)),""))</f>
        <v/>
      </c>
      <c r="P488" s="50">
        <f>IF(OR(D488="",F488=""),"",F488*IF(OR(D488="Reçu du magasin",D488="Ajustement (+)"),1,-1))</f>
        <v/>
      </c>
      <c r="Q488" s="34">
        <f>IF(C488="","",YEAR(C488-WEEKDAY(C488,2)+4)&amp;"-S"&amp;TEXT(INT((C488-DATE(YEAR(C488-WEEKDAY(C488,2)+4),1,3)+WEEKDAY(DATE(YEAR(C488-WEEKDAY(C488,2)+4),1,3),2)+5)/7),"00"))</f>
        <v/>
      </c>
    </row>
    <row r="489" ht="18" customHeight="1">
      <c r="A489" s="39" t="n">
        <v>484</v>
      </c>
      <c r="B489" s="33">
        <f>IF(C489="","",IF(L489="À RENSEIGNER","GIC",L489)&amp;"-S"&amp;TEXT(A489,"00000"))</f>
        <v/>
      </c>
      <c r="C489" s="32" t="n"/>
      <c r="D489" s="36" t="n"/>
      <c r="E489" s="36" t="n"/>
      <c r="F489" s="42" t="n"/>
      <c r="G489" s="36" t="n"/>
      <c r="H489" s="43" t="n"/>
      <c r="I489" s="37" t="n"/>
      <c r="J489" s="44" t="n"/>
      <c r="K489" s="36" t="n"/>
      <c r="L489" s="33">
        <f>IF(C489="","",Commercial_Id)</f>
        <v/>
      </c>
      <c r="M489" s="34">
        <f>IF(E489="","",IFERROR(VLOOKUP(E489,T_Produits,2,FALSE),""))</f>
        <v/>
      </c>
      <c r="N489" s="40">
        <f>IF(E489="","",IFERROR(1/(1/VLOOKUP(E489,T_Produits,3,FALSE)),""))</f>
        <v/>
      </c>
      <c r="O489" s="40">
        <f>IF(OR(D489="",F489=""),"",IF(OR(D489="Casse / avarie",D489="Perte / vol",D489="Échantillon offert"),IF(I489&lt;&gt;"",I489,IF(N489="","",F489*N489)),""))</f>
        <v/>
      </c>
      <c r="P489" s="50">
        <f>IF(OR(D489="",F489=""),"",F489*IF(OR(D489="Reçu du magasin",D489="Ajustement (+)"),1,-1))</f>
        <v/>
      </c>
      <c r="Q489" s="34">
        <f>IF(C489="","",YEAR(C489-WEEKDAY(C489,2)+4)&amp;"-S"&amp;TEXT(INT((C489-DATE(YEAR(C489-WEEKDAY(C489,2)+4),1,3)+WEEKDAY(DATE(YEAR(C489-WEEKDAY(C489,2)+4),1,3),2)+5)/7),"00"))</f>
        <v/>
      </c>
    </row>
    <row r="490" ht="18" customHeight="1">
      <c r="A490" s="39" t="n">
        <v>485</v>
      </c>
      <c r="B490" s="33">
        <f>IF(C490="","",IF(L490="À RENSEIGNER","GIC",L490)&amp;"-S"&amp;TEXT(A490,"00000"))</f>
        <v/>
      </c>
      <c r="C490" s="32" t="n"/>
      <c r="D490" s="36" t="n"/>
      <c r="E490" s="36" t="n"/>
      <c r="F490" s="42" t="n"/>
      <c r="G490" s="36" t="n"/>
      <c r="H490" s="43" t="n"/>
      <c r="I490" s="37" t="n"/>
      <c r="J490" s="44" t="n"/>
      <c r="K490" s="36" t="n"/>
      <c r="L490" s="33">
        <f>IF(C490="","",Commercial_Id)</f>
        <v/>
      </c>
      <c r="M490" s="34">
        <f>IF(E490="","",IFERROR(VLOOKUP(E490,T_Produits,2,FALSE),""))</f>
        <v/>
      </c>
      <c r="N490" s="40">
        <f>IF(E490="","",IFERROR(1/(1/VLOOKUP(E490,T_Produits,3,FALSE)),""))</f>
        <v/>
      </c>
      <c r="O490" s="40">
        <f>IF(OR(D490="",F490=""),"",IF(OR(D490="Casse / avarie",D490="Perte / vol",D490="Échantillon offert"),IF(I490&lt;&gt;"",I490,IF(N490="","",F490*N490)),""))</f>
        <v/>
      </c>
      <c r="P490" s="50">
        <f>IF(OR(D490="",F490=""),"",F490*IF(OR(D490="Reçu du magasin",D490="Ajustement (+)"),1,-1))</f>
        <v/>
      </c>
      <c r="Q490" s="34">
        <f>IF(C490="","",YEAR(C490-WEEKDAY(C490,2)+4)&amp;"-S"&amp;TEXT(INT((C490-DATE(YEAR(C490-WEEKDAY(C490,2)+4),1,3)+WEEKDAY(DATE(YEAR(C490-WEEKDAY(C490,2)+4),1,3),2)+5)/7),"00"))</f>
        <v/>
      </c>
    </row>
    <row r="491" ht="18" customHeight="1">
      <c r="A491" s="39" t="n">
        <v>486</v>
      </c>
      <c r="B491" s="33">
        <f>IF(C491="","",IF(L491="À RENSEIGNER","GIC",L491)&amp;"-S"&amp;TEXT(A491,"00000"))</f>
        <v/>
      </c>
      <c r="C491" s="32" t="n"/>
      <c r="D491" s="36" t="n"/>
      <c r="E491" s="36" t="n"/>
      <c r="F491" s="42" t="n"/>
      <c r="G491" s="36" t="n"/>
      <c r="H491" s="43" t="n"/>
      <c r="I491" s="37" t="n"/>
      <c r="J491" s="44" t="n"/>
      <c r="K491" s="36" t="n"/>
      <c r="L491" s="33">
        <f>IF(C491="","",Commercial_Id)</f>
        <v/>
      </c>
      <c r="M491" s="34">
        <f>IF(E491="","",IFERROR(VLOOKUP(E491,T_Produits,2,FALSE),""))</f>
        <v/>
      </c>
      <c r="N491" s="40">
        <f>IF(E491="","",IFERROR(1/(1/VLOOKUP(E491,T_Produits,3,FALSE)),""))</f>
        <v/>
      </c>
      <c r="O491" s="40">
        <f>IF(OR(D491="",F491=""),"",IF(OR(D491="Casse / avarie",D491="Perte / vol",D491="Échantillon offert"),IF(I491&lt;&gt;"",I491,IF(N491="","",F491*N491)),""))</f>
        <v/>
      </c>
      <c r="P491" s="50">
        <f>IF(OR(D491="",F491=""),"",F491*IF(OR(D491="Reçu du magasin",D491="Ajustement (+)"),1,-1))</f>
        <v/>
      </c>
      <c r="Q491" s="34">
        <f>IF(C491="","",YEAR(C491-WEEKDAY(C491,2)+4)&amp;"-S"&amp;TEXT(INT((C491-DATE(YEAR(C491-WEEKDAY(C491,2)+4),1,3)+WEEKDAY(DATE(YEAR(C491-WEEKDAY(C491,2)+4),1,3),2)+5)/7),"00"))</f>
        <v/>
      </c>
    </row>
    <row r="492" ht="18" customHeight="1">
      <c r="A492" s="39" t="n">
        <v>487</v>
      </c>
      <c r="B492" s="33">
        <f>IF(C492="","",IF(L492="À RENSEIGNER","GIC",L492)&amp;"-S"&amp;TEXT(A492,"00000"))</f>
        <v/>
      </c>
      <c r="C492" s="32" t="n"/>
      <c r="D492" s="36" t="n"/>
      <c r="E492" s="36" t="n"/>
      <c r="F492" s="42" t="n"/>
      <c r="G492" s="36" t="n"/>
      <c r="H492" s="43" t="n"/>
      <c r="I492" s="37" t="n"/>
      <c r="J492" s="44" t="n"/>
      <c r="K492" s="36" t="n"/>
      <c r="L492" s="33">
        <f>IF(C492="","",Commercial_Id)</f>
        <v/>
      </c>
      <c r="M492" s="34">
        <f>IF(E492="","",IFERROR(VLOOKUP(E492,T_Produits,2,FALSE),""))</f>
        <v/>
      </c>
      <c r="N492" s="40">
        <f>IF(E492="","",IFERROR(1/(1/VLOOKUP(E492,T_Produits,3,FALSE)),""))</f>
        <v/>
      </c>
      <c r="O492" s="40">
        <f>IF(OR(D492="",F492=""),"",IF(OR(D492="Casse / avarie",D492="Perte / vol",D492="Échantillon offert"),IF(I492&lt;&gt;"",I492,IF(N492="","",F492*N492)),""))</f>
        <v/>
      </c>
      <c r="P492" s="50">
        <f>IF(OR(D492="",F492=""),"",F492*IF(OR(D492="Reçu du magasin",D492="Ajustement (+)"),1,-1))</f>
        <v/>
      </c>
      <c r="Q492" s="34">
        <f>IF(C492="","",YEAR(C492-WEEKDAY(C492,2)+4)&amp;"-S"&amp;TEXT(INT((C492-DATE(YEAR(C492-WEEKDAY(C492,2)+4),1,3)+WEEKDAY(DATE(YEAR(C492-WEEKDAY(C492,2)+4),1,3),2)+5)/7),"00"))</f>
        <v/>
      </c>
    </row>
    <row r="493" ht="18" customHeight="1">
      <c r="A493" s="39" t="n">
        <v>488</v>
      </c>
      <c r="B493" s="33">
        <f>IF(C493="","",IF(L493="À RENSEIGNER","GIC",L493)&amp;"-S"&amp;TEXT(A493,"00000"))</f>
        <v/>
      </c>
      <c r="C493" s="32" t="n"/>
      <c r="D493" s="36" t="n"/>
      <c r="E493" s="36" t="n"/>
      <c r="F493" s="42" t="n"/>
      <c r="G493" s="36" t="n"/>
      <c r="H493" s="43" t="n"/>
      <c r="I493" s="37" t="n"/>
      <c r="J493" s="44" t="n"/>
      <c r="K493" s="36" t="n"/>
      <c r="L493" s="33">
        <f>IF(C493="","",Commercial_Id)</f>
        <v/>
      </c>
      <c r="M493" s="34">
        <f>IF(E493="","",IFERROR(VLOOKUP(E493,T_Produits,2,FALSE),""))</f>
        <v/>
      </c>
      <c r="N493" s="40">
        <f>IF(E493="","",IFERROR(1/(1/VLOOKUP(E493,T_Produits,3,FALSE)),""))</f>
        <v/>
      </c>
      <c r="O493" s="40">
        <f>IF(OR(D493="",F493=""),"",IF(OR(D493="Casse / avarie",D493="Perte / vol",D493="Échantillon offert"),IF(I493&lt;&gt;"",I493,IF(N493="","",F493*N493)),""))</f>
        <v/>
      </c>
      <c r="P493" s="50">
        <f>IF(OR(D493="",F493=""),"",F493*IF(OR(D493="Reçu du magasin",D493="Ajustement (+)"),1,-1))</f>
        <v/>
      </c>
      <c r="Q493" s="34">
        <f>IF(C493="","",YEAR(C493-WEEKDAY(C493,2)+4)&amp;"-S"&amp;TEXT(INT((C493-DATE(YEAR(C493-WEEKDAY(C493,2)+4),1,3)+WEEKDAY(DATE(YEAR(C493-WEEKDAY(C493,2)+4),1,3),2)+5)/7),"00"))</f>
        <v/>
      </c>
    </row>
    <row r="494" ht="18" customHeight="1">
      <c r="A494" s="39" t="n">
        <v>489</v>
      </c>
      <c r="B494" s="33">
        <f>IF(C494="","",IF(L494="À RENSEIGNER","GIC",L494)&amp;"-S"&amp;TEXT(A494,"00000"))</f>
        <v/>
      </c>
      <c r="C494" s="32" t="n"/>
      <c r="D494" s="36" t="n"/>
      <c r="E494" s="36" t="n"/>
      <c r="F494" s="42" t="n"/>
      <c r="G494" s="36" t="n"/>
      <c r="H494" s="43" t="n"/>
      <c r="I494" s="37" t="n"/>
      <c r="J494" s="44" t="n"/>
      <c r="K494" s="36" t="n"/>
      <c r="L494" s="33">
        <f>IF(C494="","",Commercial_Id)</f>
        <v/>
      </c>
      <c r="M494" s="34">
        <f>IF(E494="","",IFERROR(VLOOKUP(E494,T_Produits,2,FALSE),""))</f>
        <v/>
      </c>
      <c r="N494" s="40">
        <f>IF(E494="","",IFERROR(1/(1/VLOOKUP(E494,T_Produits,3,FALSE)),""))</f>
        <v/>
      </c>
      <c r="O494" s="40">
        <f>IF(OR(D494="",F494=""),"",IF(OR(D494="Casse / avarie",D494="Perte / vol",D494="Échantillon offert"),IF(I494&lt;&gt;"",I494,IF(N494="","",F494*N494)),""))</f>
        <v/>
      </c>
      <c r="P494" s="50">
        <f>IF(OR(D494="",F494=""),"",F494*IF(OR(D494="Reçu du magasin",D494="Ajustement (+)"),1,-1))</f>
        <v/>
      </c>
      <c r="Q494" s="34">
        <f>IF(C494="","",YEAR(C494-WEEKDAY(C494,2)+4)&amp;"-S"&amp;TEXT(INT((C494-DATE(YEAR(C494-WEEKDAY(C494,2)+4),1,3)+WEEKDAY(DATE(YEAR(C494-WEEKDAY(C494,2)+4),1,3),2)+5)/7),"00"))</f>
        <v/>
      </c>
    </row>
    <row r="495" ht="18" customHeight="1">
      <c r="A495" s="39" t="n">
        <v>490</v>
      </c>
      <c r="B495" s="33">
        <f>IF(C495="","",IF(L495="À RENSEIGNER","GIC",L495)&amp;"-S"&amp;TEXT(A495,"00000"))</f>
        <v/>
      </c>
      <c r="C495" s="32" t="n"/>
      <c r="D495" s="36" t="n"/>
      <c r="E495" s="36" t="n"/>
      <c r="F495" s="42" t="n"/>
      <c r="G495" s="36" t="n"/>
      <c r="H495" s="43" t="n"/>
      <c r="I495" s="37" t="n"/>
      <c r="J495" s="44" t="n"/>
      <c r="K495" s="36" t="n"/>
      <c r="L495" s="33">
        <f>IF(C495="","",Commercial_Id)</f>
        <v/>
      </c>
      <c r="M495" s="34">
        <f>IF(E495="","",IFERROR(VLOOKUP(E495,T_Produits,2,FALSE),""))</f>
        <v/>
      </c>
      <c r="N495" s="40">
        <f>IF(E495="","",IFERROR(1/(1/VLOOKUP(E495,T_Produits,3,FALSE)),""))</f>
        <v/>
      </c>
      <c r="O495" s="40">
        <f>IF(OR(D495="",F495=""),"",IF(OR(D495="Casse / avarie",D495="Perte / vol",D495="Échantillon offert"),IF(I495&lt;&gt;"",I495,IF(N495="","",F495*N495)),""))</f>
        <v/>
      </c>
      <c r="P495" s="50">
        <f>IF(OR(D495="",F495=""),"",F495*IF(OR(D495="Reçu du magasin",D495="Ajustement (+)"),1,-1))</f>
        <v/>
      </c>
      <c r="Q495" s="34">
        <f>IF(C495="","",YEAR(C495-WEEKDAY(C495,2)+4)&amp;"-S"&amp;TEXT(INT((C495-DATE(YEAR(C495-WEEKDAY(C495,2)+4),1,3)+WEEKDAY(DATE(YEAR(C495-WEEKDAY(C495,2)+4),1,3),2)+5)/7),"00"))</f>
        <v/>
      </c>
    </row>
    <row r="496" ht="18" customHeight="1">
      <c r="A496" s="39" t="n">
        <v>491</v>
      </c>
      <c r="B496" s="33">
        <f>IF(C496="","",IF(L496="À RENSEIGNER","GIC",L496)&amp;"-S"&amp;TEXT(A496,"00000"))</f>
        <v/>
      </c>
      <c r="C496" s="32" t="n"/>
      <c r="D496" s="36" t="n"/>
      <c r="E496" s="36" t="n"/>
      <c r="F496" s="42" t="n"/>
      <c r="G496" s="36" t="n"/>
      <c r="H496" s="43" t="n"/>
      <c r="I496" s="37" t="n"/>
      <c r="J496" s="44" t="n"/>
      <c r="K496" s="36" t="n"/>
      <c r="L496" s="33">
        <f>IF(C496="","",Commercial_Id)</f>
        <v/>
      </c>
      <c r="M496" s="34">
        <f>IF(E496="","",IFERROR(VLOOKUP(E496,T_Produits,2,FALSE),""))</f>
        <v/>
      </c>
      <c r="N496" s="40">
        <f>IF(E496="","",IFERROR(1/(1/VLOOKUP(E496,T_Produits,3,FALSE)),""))</f>
        <v/>
      </c>
      <c r="O496" s="40">
        <f>IF(OR(D496="",F496=""),"",IF(OR(D496="Casse / avarie",D496="Perte / vol",D496="Échantillon offert"),IF(I496&lt;&gt;"",I496,IF(N496="","",F496*N496)),""))</f>
        <v/>
      </c>
      <c r="P496" s="50">
        <f>IF(OR(D496="",F496=""),"",F496*IF(OR(D496="Reçu du magasin",D496="Ajustement (+)"),1,-1))</f>
        <v/>
      </c>
      <c r="Q496" s="34">
        <f>IF(C496="","",YEAR(C496-WEEKDAY(C496,2)+4)&amp;"-S"&amp;TEXT(INT((C496-DATE(YEAR(C496-WEEKDAY(C496,2)+4),1,3)+WEEKDAY(DATE(YEAR(C496-WEEKDAY(C496,2)+4),1,3),2)+5)/7),"00"))</f>
        <v/>
      </c>
    </row>
    <row r="497" ht="18" customHeight="1">
      <c r="A497" s="39" t="n">
        <v>492</v>
      </c>
      <c r="B497" s="33">
        <f>IF(C497="","",IF(L497="À RENSEIGNER","GIC",L497)&amp;"-S"&amp;TEXT(A497,"00000"))</f>
        <v/>
      </c>
      <c r="C497" s="32" t="n"/>
      <c r="D497" s="36" t="n"/>
      <c r="E497" s="36" t="n"/>
      <c r="F497" s="42" t="n"/>
      <c r="G497" s="36" t="n"/>
      <c r="H497" s="43" t="n"/>
      <c r="I497" s="37" t="n"/>
      <c r="J497" s="44" t="n"/>
      <c r="K497" s="36" t="n"/>
      <c r="L497" s="33">
        <f>IF(C497="","",Commercial_Id)</f>
        <v/>
      </c>
      <c r="M497" s="34">
        <f>IF(E497="","",IFERROR(VLOOKUP(E497,T_Produits,2,FALSE),""))</f>
        <v/>
      </c>
      <c r="N497" s="40">
        <f>IF(E497="","",IFERROR(1/(1/VLOOKUP(E497,T_Produits,3,FALSE)),""))</f>
        <v/>
      </c>
      <c r="O497" s="40">
        <f>IF(OR(D497="",F497=""),"",IF(OR(D497="Casse / avarie",D497="Perte / vol",D497="Échantillon offert"),IF(I497&lt;&gt;"",I497,IF(N497="","",F497*N497)),""))</f>
        <v/>
      </c>
      <c r="P497" s="50">
        <f>IF(OR(D497="",F497=""),"",F497*IF(OR(D497="Reçu du magasin",D497="Ajustement (+)"),1,-1))</f>
        <v/>
      </c>
      <c r="Q497" s="34">
        <f>IF(C497="","",YEAR(C497-WEEKDAY(C497,2)+4)&amp;"-S"&amp;TEXT(INT((C497-DATE(YEAR(C497-WEEKDAY(C497,2)+4),1,3)+WEEKDAY(DATE(YEAR(C497-WEEKDAY(C497,2)+4),1,3),2)+5)/7),"00"))</f>
        <v/>
      </c>
    </row>
    <row r="498" ht="18" customHeight="1">
      <c r="A498" s="39" t="n">
        <v>493</v>
      </c>
      <c r="B498" s="33">
        <f>IF(C498="","",IF(L498="À RENSEIGNER","GIC",L498)&amp;"-S"&amp;TEXT(A498,"00000"))</f>
        <v/>
      </c>
      <c r="C498" s="32" t="n"/>
      <c r="D498" s="36" t="n"/>
      <c r="E498" s="36" t="n"/>
      <c r="F498" s="42" t="n"/>
      <c r="G498" s="36" t="n"/>
      <c r="H498" s="43" t="n"/>
      <c r="I498" s="37" t="n"/>
      <c r="J498" s="44" t="n"/>
      <c r="K498" s="36" t="n"/>
      <c r="L498" s="33">
        <f>IF(C498="","",Commercial_Id)</f>
        <v/>
      </c>
      <c r="M498" s="34">
        <f>IF(E498="","",IFERROR(VLOOKUP(E498,T_Produits,2,FALSE),""))</f>
        <v/>
      </c>
      <c r="N498" s="40">
        <f>IF(E498="","",IFERROR(1/(1/VLOOKUP(E498,T_Produits,3,FALSE)),""))</f>
        <v/>
      </c>
      <c r="O498" s="40">
        <f>IF(OR(D498="",F498=""),"",IF(OR(D498="Casse / avarie",D498="Perte / vol",D498="Échantillon offert"),IF(I498&lt;&gt;"",I498,IF(N498="","",F498*N498)),""))</f>
        <v/>
      </c>
      <c r="P498" s="50">
        <f>IF(OR(D498="",F498=""),"",F498*IF(OR(D498="Reçu du magasin",D498="Ajustement (+)"),1,-1))</f>
        <v/>
      </c>
      <c r="Q498" s="34">
        <f>IF(C498="","",YEAR(C498-WEEKDAY(C498,2)+4)&amp;"-S"&amp;TEXT(INT((C498-DATE(YEAR(C498-WEEKDAY(C498,2)+4),1,3)+WEEKDAY(DATE(YEAR(C498-WEEKDAY(C498,2)+4),1,3),2)+5)/7),"00"))</f>
        <v/>
      </c>
    </row>
    <row r="499" ht="18" customHeight="1">
      <c r="A499" s="39" t="n">
        <v>494</v>
      </c>
      <c r="B499" s="33">
        <f>IF(C499="","",IF(L499="À RENSEIGNER","GIC",L499)&amp;"-S"&amp;TEXT(A499,"00000"))</f>
        <v/>
      </c>
      <c r="C499" s="32" t="n"/>
      <c r="D499" s="36" t="n"/>
      <c r="E499" s="36" t="n"/>
      <c r="F499" s="42" t="n"/>
      <c r="G499" s="36" t="n"/>
      <c r="H499" s="43" t="n"/>
      <c r="I499" s="37" t="n"/>
      <c r="J499" s="44" t="n"/>
      <c r="K499" s="36" t="n"/>
      <c r="L499" s="33">
        <f>IF(C499="","",Commercial_Id)</f>
        <v/>
      </c>
      <c r="M499" s="34">
        <f>IF(E499="","",IFERROR(VLOOKUP(E499,T_Produits,2,FALSE),""))</f>
        <v/>
      </c>
      <c r="N499" s="40">
        <f>IF(E499="","",IFERROR(1/(1/VLOOKUP(E499,T_Produits,3,FALSE)),""))</f>
        <v/>
      </c>
      <c r="O499" s="40">
        <f>IF(OR(D499="",F499=""),"",IF(OR(D499="Casse / avarie",D499="Perte / vol",D499="Échantillon offert"),IF(I499&lt;&gt;"",I499,IF(N499="","",F499*N499)),""))</f>
        <v/>
      </c>
      <c r="P499" s="50">
        <f>IF(OR(D499="",F499=""),"",F499*IF(OR(D499="Reçu du magasin",D499="Ajustement (+)"),1,-1))</f>
        <v/>
      </c>
      <c r="Q499" s="34">
        <f>IF(C499="","",YEAR(C499-WEEKDAY(C499,2)+4)&amp;"-S"&amp;TEXT(INT((C499-DATE(YEAR(C499-WEEKDAY(C499,2)+4),1,3)+WEEKDAY(DATE(YEAR(C499-WEEKDAY(C499,2)+4),1,3),2)+5)/7),"00"))</f>
        <v/>
      </c>
    </row>
    <row r="500" ht="18" customHeight="1">
      <c r="A500" s="39" t="n">
        <v>495</v>
      </c>
      <c r="B500" s="33">
        <f>IF(C500="","",IF(L500="À RENSEIGNER","GIC",L500)&amp;"-S"&amp;TEXT(A500,"00000"))</f>
        <v/>
      </c>
      <c r="C500" s="32" t="n"/>
      <c r="D500" s="36" t="n"/>
      <c r="E500" s="36" t="n"/>
      <c r="F500" s="42" t="n"/>
      <c r="G500" s="36" t="n"/>
      <c r="H500" s="43" t="n"/>
      <c r="I500" s="37" t="n"/>
      <c r="J500" s="44" t="n"/>
      <c r="K500" s="36" t="n"/>
      <c r="L500" s="33">
        <f>IF(C500="","",Commercial_Id)</f>
        <v/>
      </c>
      <c r="M500" s="34">
        <f>IF(E500="","",IFERROR(VLOOKUP(E500,T_Produits,2,FALSE),""))</f>
        <v/>
      </c>
      <c r="N500" s="40">
        <f>IF(E500="","",IFERROR(1/(1/VLOOKUP(E500,T_Produits,3,FALSE)),""))</f>
        <v/>
      </c>
      <c r="O500" s="40">
        <f>IF(OR(D500="",F500=""),"",IF(OR(D500="Casse / avarie",D500="Perte / vol",D500="Échantillon offert"),IF(I500&lt;&gt;"",I500,IF(N500="","",F500*N500)),""))</f>
        <v/>
      </c>
      <c r="P500" s="50">
        <f>IF(OR(D500="",F500=""),"",F500*IF(OR(D500="Reçu du magasin",D500="Ajustement (+)"),1,-1))</f>
        <v/>
      </c>
      <c r="Q500" s="34">
        <f>IF(C500="","",YEAR(C500-WEEKDAY(C500,2)+4)&amp;"-S"&amp;TEXT(INT((C500-DATE(YEAR(C500-WEEKDAY(C500,2)+4),1,3)+WEEKDAY(DATE(YEAR(C500-WEEKDAY(C500,2)+4),1,3),2)+5)/7),"00"))</f>
        <v/>
      </c>
    </row>
    <row r="501" ht="18" customHeight="1">
      <c r="A501" s="39" t="n">
        <v>496</v>
      </c>
      <c r="B501" s="33">
        <f>IF(C501="","",IF(L501="À RENSEIGNER","GIC",L501)&amp;"-S"&amp;TEXT(A501,"00000"))</f>
        <v/>
      </c>
      <c r="C501" s="32" t="n"/>
      <c r="D501" s="36" t="n"/>
      <c r="E501" s="36" t="n"/>
      <c r="F501" s="42" t="n"/>
      <c r="G501" s="36" t="n"/>
      <c r="H501" s="43" t="n"/>
      <c r="I501" s="37" t="n"/>
      <c r="J501" s="44" t="n"/>
      <c r="K501" s="36" t="n"/>
      <c r="L501" s="33">
        <f>IF(C501="","",Commercial_Id)</f>
        <v/>
      </c>
      <c r="M501" s="34">
        <f>IF(E501="","",IFERROR(VLOOKUP(E501,T_Produits,2,FALSE),""))</f>
        <v/>
      </c>
      <c r="N501" s="40">
        <f>IF(E501="","",IFERROR(1/(1/VLOOKUP(E501,T_Produits,3,FALSE)),""))</f>
        <v/>
      </c>
      <c r="O501" s="40">
        <f>IF(OR(D501="",F501=""),"",IF(OR(D501="Casse / avarie",D501="Perte / vol",D501="Échantillon offert"),IF(I501&lt;&gt;"",I501,IF(N501="","",F501*N501)),""))</f>
        <v/>
      </c>
      <c r="P501" s="50">
        <f>IF(OR(D501="",F501=""),"",F501*IF(OR(D501="Reçu du magasin",D501="Ajustement (+)"),1,-1))</f>
        <v/>
      </c>
      <c r="Q501" s="34">
        <f>IF(C501="","",YEAR(C501-WEEKDAY(C501,2)+4)&amp;"-S"&amp;TEXT(INT((C501-DATE(YEAR(C501-WEEKDAY(C501,2)+4),1,3)+WEEKDAY(DATE(YEAR(C501-WEEKDAY(C501,2)+4),1,3),2)+5)/7),"00"))</f>
        <v/>
      </c>
    </row>
    <row r="502" ht="18" customHeight="1">
      <c r="A502" s="39" t="n">
        <v>497</v>
      </c>
      <c r="B502" s="33">
        <f>IF(C502="","",IF(L502="À RENSEIGNER","GIC",L502)&amp;"-S"&amp;TEXT(A502,"00000"))</f>
        <v/>
      </c>
      <c r="C502" s="32" t="n"/>
      <c r="D502" s="36" t="n"/>
      <c r="E502" s="36" t="n"/>
      <c r="F502" s="42" t="n"/>
      <c r="G502" s="36" t="n"/>
      <c r="H502" s="43" t="n"/>
      <c r="I502" s="37" t="n"/>
      <c r="J502" s="44" t="n"/>
      <c r="K502" s="36" t="n"/>
      <c r="L502" s="33">
        <f>IF(C502="","",Commercial_Id)</f>
        <v/>
      </c>
      <c r="M502" s="34">
        <f>IF(E502="","",IFERROR(VLOOKUP(E502,T_Produits,2,FALSE),""))</f>
        <v/>
      </c>
      <c r="N502" s="40">
        <f>IF(E502="","",IFERROR(1/(1/VLOOKUP(E502,T_Produits,3,FALSE)),""))</f>
        <v/>
      </c>
      <c r="O502" s="40">
        <f>IF(OR(D502="",F502=""),"",IF(OR(D502="Casse / avarie",D502="Perte / vol",D502="Échantillon offert"),IF(I502&lt;&gt;"",I502,IF(N502="","",F502*N502)),""))</f>
        <v/>
      </c>
      <c r="P502" s="50">
        <f>IF(OR(D502="",F502=""),"",F502*IF(OR(D502="Reçu du magasin",D502="Ajustement (+)"),1,-1))</f>
        <v/>
      </c>
      <c r="Q502" s="34">
        <f>IF(C502="","",YEAR(C502-WEEKDAY(C502,2)+4)&amp;"-S"&amp;TEXT(INT((C502-DATE(YEAR(C502-WEEKDAY(C502,2)+4),1,3)+WEEKDAY(DATE(YEAR(C502-WEEKDAY(C502,2)+4),1,3),2)+5)/7),"00"))</f>
        <v/>
      </c>
    </row>
    <row r="503" ht="18" customHeight="1">
      <c r="A503" s="39" t="n">
        <v>498</v>
      </c>
      <c r="B503" s="33">
        <f>IF(C503="","",IF(L503="À RENSEIGNER","GIC",L503)&amp;"-S"&amp;TEXT(A503,"00000"))</f>
        <v/>
      </c>
      <c r="C503" s="32" t="n"/>
      <c r="D503" s="36" t="n"/>
      <c r="E503" s="36" t="n"/>
      <c r="F503" s="42" t="n"/>
      <c r="G503" s="36" t="n"/>
      <c r="H503" s="43" t="n"/>
      <c r="I503" s="37" t="n"/>
      <c r="J503" s="44" t="n"/>
      <c r="K503" s="36" t="n"/>
      <c r="L503" s="33">
        <f>IF(C503="","",Commercial_Id)</f>
        <v/>
      </c>
      <c r="M503" s="34">
        <f>IF(E503="","",IFERROR(VLOOKUP(E503,T_Produits,2,FALSE),""))</f>
        <v/>
      </c>
      <c r="N503" s="40">
        <f>IF(E503="","",IFERROR(1/(1/VLOOKUP(E503,T_Produits,3,FALSE)),""))</f>
        <v/>
      </c>
      <c r="O503" s="40">
        <f>IF(OR(D503="",F503=""),"",IF(OR(D503="Casse / avarie",D503="Perte / vol",D503="Échantillon offert"),IF(I503&lt;&gt;"",I503,IF(N503="","",F503*N503)),""))</f>
        <v/>
      </c>
      <c r="P503" s="50">
        <f>IF(OR(D503="",F503=""),"",F503*IF(OR(D503="Reçu du magasin",D503="Ajustement (+)"),1,-1))</f>
        <v/>
      </c>
      <c r="Q503" s="34">
        <f>IF(C503="","",YEAR(C503-WEEKDAY(C503,2)+4)&amp;"-S"&amp;TEXT(INT((C503-DATE(YEAR(C503-WEEKDAY(C503,2)+4),1,3)+WEEKDAY(DATE(YEAR(C503-WEEKDAY(C503,2)+4),1,3),2)+5)/7),"00"))</f>
        <v/>
      </c>
    </row>
    <row r="504" ht="18" customHeight="1">
      <c r="A504" s="39" t="n">
        <v>499</v>
      </c>
      <c r="B504" s="33">
        <f>IF(C504="","",IF(L504="À RENSEIGNER","GIC",L504)&amp;"-S"&amp;TEXT(A504,"00000"))</f>
        <v/>
      </c>
      <c r="C504" s="32" t="n"/>
      <c r="D504" s="36" t="n"/>
      <c r="E504" s="36" t="n"/>
      <c r="F504" s="42" t="n"/>
      <c r="G504" s="36" t="n"/>
      <c r="H504" s="43" t="n"/>
      <c r="I504" s="37" t="n"/>
      <c r="J504" s="44" t="n"/>
      <c r="K504" s="36" t="n"/>
      <c r="L504" s="33">
        <f>IF(C504="","",Commercial_Id)</f>
        <v/>
      </c>
      <c r="M504" s="34">
        <f>IF(E504="","",IFERROR(VLOOKUP(E504,T_Produits,2,FALSE),""))</f>
        <v/>
      </c>
      <c r="N504" s="40">
        <f>IF(E504="","",IFERROR(1/(1/VLOOKUP(E504,T_Produits,3,FALSE)),""))</f>
        <v/>
      </c>
      <c r="O504" s="40">
        <f>IF(OR(D504="",F504=""),"",IF(OR(D504="Casse / avarie",D504="Perte / vol",D504="Échantillon offert"),IF(I504&lt;&gt;"",I504,IF(N504="","",F504*N504)),""))</f>
        <v/>
      </c>
      <c r="P504" s="50">
        <f>IF(OR(D504="",F504=""),"",F504*IF(OR(D504="Reçu du magasin",D504="Ajustement (+)"),1,-1))</f>
        <v/>
      </c>
      <c r="Q504" s="34">
        <f>IF(C504="","",YEAR(C504-WEEKDAY(C504,2)+4)&amp;"-S"&amp;TEXT(INT((C504-DATE(YEAR(C504-WEEKDAY(C504,2)+4),1,3)+WEEKDAY(DATE(YEAR(C504-WEEKDAY(C504,2)+4),1,3),2)+5)/7),"00"))</f>
        <v/>
      </c>
    </row>
    <row r="505" ht="18" customHeight="1">
      <c r="A505" s="39" t="n">
        <v>500</v>
      </c>
      <c r="B505" s="33">
        <f>IF(C505="","",IF(L505="À RENSEIGNER","GIC",L505)&amp;"-S"&amp;TEXT(A505,"00000"))</f>
        <v/>
      </c>
      <c r="C505" s="32" t="n"/>
      <c r="D505" s="36" t="n"/>
      <c r="E505" s="36" t="n"/>
      <c r="F505" s="42" t="n"/>
      <c r="G505" s="36" t="n"/>
      <c r="H505" s="43" t="n"/>
      <c r="I505" s="37" t="n"/>
      <c r="J505" s="44" t="n"/>
      <c r="K505" s="36" t="n"/>
      <c r="L505" s="33">
        <f>IF(C505="","",Commercial_Id)</f>
        <v/>
      </c>
      <c r="M505" s="34">
        <f>IF(E505="","",IFERROR(VLOOKUP(E505,T_Produits,2,FALSE),""))</f>
        <v/>
      </c>
      <c r="N505" s="40">
        <f>IF(E505="","",IFERROR(1/(1/VLOOKUP(E505,T_Produits,3,FALSE)),""))</f>
        <v/>
      </c>
      <c r="O505" s="40">
        <f>IF(OR(D505="",F505=""),"",IF(OR(D505="Casse / avarie",D505="Perte / vol",D505="Échantillon offert"),IF(I505&lt;&gt;"",I505,IF(N505="","",F505*N505)),""))</f>
        <v/>
      </c>
      <c r="P505" s="50">
        <f>IF(OR(D505="",F505=""),"",F505*IF(OR(D505="Reçu du magasin",D505="Ajustement (+)"),1,-1))</f>
        <v/>
      </c>
      <c r="Q505" s="34">
        <f>IF(C505="","",YEAR(C505-WEEKDAY(C505,2)+4)&amp;"-S"&amp;TEXT(INT((C505-DATE(YEAR(C505-WEEKDAY(C505,2)+4),1,3)+WEEKDAY(DATE(YEAR(C505-WEEKDAY(C505,2)+4),1,3),2)+5)/7),"00"))</f>
        <v/>
      </c>
    </row>
    <row r="506" ht="18" customHeight="1">
      <c r="A506" s="39" t="n">
        <v>501</v>
      </c>
      <c r="B506" s="33">
        <f>IF(C506="","",IF(L506="À RENSEIGNER","GIC",L506)&amp;"-S"&amp;TEXT(A506,"00000"))</f>
        <v/>
      </c>
      <c r="C506" s="32" t="n"/>
      <c r="D506" s="36" t="n"/>
      <c r="E506" s="36" t="n"/>
      <c r="F506" s="42" t="n"/>
      <c r="G506" s="36" t="n"/>
      <c r="H506" s="43" t="n"/>
      <c r="I506" s="37" t="n"/>
      <c r="J506" s="44" t="n"/>
      <c r="K506" s="36" t="n"/>
      <c r="L506" s="33">
        <f>IF(C506="","",Commercial_Id)</f>
        <v/>
      </c>
      <c r="M506" s="34">
        <f>IF(E506="","",IFERROR(VLOOKUP(E506,T_Produits,2,FALSE),""))</f>
        <v/>
      </c>
      <c r="N506" s="40">
        <f>IF(E506="","",IFERROR(1/(1/VLOOKUP(E506,T_Produits,3,FALSE)),""))</f>
        <v/>
      </c>
      <c r="O506" s="40">
        <f>IF(OR(D506="",F506=""),"",IF(OR(D506="Casse / avarie",D506="Perte / vol",D506="Échantillon offert"),IF(I506&lt;&gt;"",I506,IF(N506="","",F506*N506)),""))</f>
        <v/>
      </c>
      <c r="P506" s="50">
        <f>IF(OR(D506="",F506=""),"",F506*IF(OR(D506="Reçu du magasin",D506="Ajustement (+)"),1,-1))</f>
        <v/>
      </c>
      <c r="Q506" s="34">
        <f>IF(C506="","",YEAR(C506-WEEKDAY(C506,2)+4)&amp;"-S"&amp;TEXT(INT((C506-DATE(YEAR(C506-WEEKDAY(C506,2)+4),1,3)+WEEKDAY(DATE(YEAR(C506-WEEKDAY(C506,2)+4),1,3),2)+5)/7),"00"))</f>
        <v/>
      </c>
    </row>
    <row r="507" ht="18" customHeight="1">
      <c r="A507" s="39" t="n">
        <v>502</v>
      </c>
      <c r="B507" s="33">
        <f>IF(C507="","",IF(L507="À RENSEIGNER","GIC",L507)&amp;"-S"&amp;TEXT(A507,"00000"))</f>
        <v/>
      </c>
      <c r="C507" s="32" t="n"/>
      <c r="D507" s="36" t="n"/>
      <c r="E507" s="36" t="n"/>
      <c r="F507" s="42" t="n"/>
      <c r="G507" s="36" t="n"/>
      <c r="H507" s="43" t="n"/>
      <c r="I507" s="37" t="n"/>
      <c r="J507" s="44" t="n"/>
      <c r="K507" s="36" t="n"/>
      <c r="L507" s="33">
        <f>IF(C507="","",Commercial_Id)</f>
        <v/>
      </c>
      <c r="M507" s="34">
        <f>IF(E507="","",IFERROR(VLOOKUP(E507,T_Produits,2,FALSE),""))</f>
        <v/>
      </c>
      <c r="N507" s="40">
        <f>IF(E507="","",IFERROR(1/(1/VLOOKUP(E507,T_Produits,3,FALSE)),""))</f>
        <v/>
      </c>
      <c r="O507" s="40">
        <f>IF(OR(D507="",F507=""),"",IF(OR(D507="Casse / avarie",D507="Perte / vol",D507="Échantillon offert"),IF(I507&lt;&gt;"",I507,IF(N507="","",F507*N507)),""))</f>
        <v/>
      </c>
      <c r="P507" s="50">
        <f>IF(OR(D507="",F507=""),"",F507*IF(OR(D507="Reçu du magasin",D507="Ajustement (+)"),1,-1))</f>
        <v/>
      </c>
      <c r="Q507" s="34">
        <f>IF(C507="","",YEAR(C507-WEEKDAY(C507,2)+4)&amp;"-S"&amp;TEXT(INT((C507-DATE(YEAR(C507-WEEKDAY(C507,2)+4),1,3)+WEEKDAY(DATE(YEAR(C507-WEEKDAY(C507,2)+4),1,3),2)+5)/7),"00"))</f>
        <v/>
      </c>
    </row>
    <row r="508" ht="18" customHeight="1">
      <c r="A508" s="39" t="n">
        <v>503</v>
      </c>
      <c r="B508" s="33">
        <f>IF(C508="","",IF(L508="À RENSEIGNER","GIC",L508)&amp;"-S"&amp;TEXT(A508,"00000"))</f>
        <v/>
      </c>
      <c r="C508" s="32" t="n"/>
      <c r="D508" s="36" t="n"/>
      <c r="E508" s="36" t="n"/>
      <c r="F508" s="42" t="n"/>
      <c r="G508" s="36" t="n"/>
      <c r="H508" s="43" t="n"/>
      <c r="I508" s="37" t="n"/>
      <c r="J508" s="44" t="n"/>
      <c r="K508" s="36" t="n"/>
      <c r="L508" s="33">
        <f>IF(C508="","",Commercial_Id)</f>
        <v/>
      </c>
      <c r="M508" s="34">
        <f>IF(E508="","",IFERROR(VLOOKUP(E508,T_Produits,2,FALSE),""))</f>
        <v/>
      </c>
      <c r="N508" s="40">
        <f>IF(E508="","",IFERROR(1/(1/VLOOKUP(E508,T_Produits,3,FALSE)),""))</f>
        <v/>
      </c>
      <c r="O508" s="40">
        <f>IF(OR(D508="",F508=""),"",IF(OR(D508="Casse / avarie",D508="Perte / vol",D508="Échantillon offert"),IF(I508&lt;&gt;"",I508,IF(N508="","",F508*N508)),""))</f>
        <v/>
      </c>
      <c r="P508" s="50">
        <f>IF(OR(D508="",F508=""),"",F508*IF(OR(D508="Reçu du magasin",D508="Ajustement (+)"),1,-1))</f>
        <v/>
      </c>
      <c r="Q508" s="34">
        <f>IF(C508="","",YEAR(C508-WEEKDAY(C508,2)+4)&amp;"-S"&amp;TEXT(INT((C508-DATE(YEAR(C508-WEEKDAY(C508,2)+4),1,3)+WEEKDAY(DATE(YEAR(C508-WEEKDAY(C508,2)+4),1,3),2)+5)/7),"00"))</f>
        <v/>
      </c>
    </row>
    <row r="509" ht="18" customHeight="1">
      <c r="A509" s="39" t="n">
        <v>504</v>
      </c>
      <c r="B509" s="33">
        <f>IF(C509="","",IF(L509="À RENSEIGNER","GIC",L509)&amp;"-S"&amp;TEXT(A509,"00000"))</f>
        <v/>
      </c>
      <c r="C509" s="32" t="n"/>
      <c r="D509" s="36" t="n"/>
      <c r="E509" s="36" t="n"/>
      <c r="F509" s="42" t="n"/>
      <c r="G509" s="36" t="n"/>
      <c r="H509" s="43" t="n"/>
      <c r="I509" s="37" t="n"/>
      <c r="J509" s="44" t="n"/>
      <c r="K509" s="36" t="n"/>
      <c r="L509" s="33">
        <f>IF(C509="","",Commercial_Id)</f>
        <v/>
      </c>
      <c r="M509" s="34">
        <f>IF(E509="","",IFERROR(VLOOKUP(E509,T_Produits,2,FALSE),""))</f>
        <v/>
      </c>
      <c r="N509" s="40">
        <f>IF(E509="","",IFERROR(1/(1/VLOOKUP(E509,T_Produits,3,FALSE)),""))</f>
        <v/>
      </c>
      <c r="O509" s="40">
        <f>IF(OR(D509="",F509=""),"",IF(OR(D509="Casse / avarie",D509="Perte / vol",D509="Échantillon offert"),IF(I509&lt;&gt;"",I509,IF(N509="","",F509*N509)),""))</f>
        <v/>
      </c>
      <c r="P509" s="50">
        <f>IF(OR(D509="",F509=""),"",F509*IF(OR(D509="Reçu du magasin",D509="Ajustement (+)"),1,-1))</f>
        <v/>
      </c>
      <c r="Q509" s="34">
        <f>IF(C509="","",YEAR(C509-WEEKDAY(C509,2)+4)&amp;"-S"&amp;TEXT(INT((C509-DATE(YEAR(C509-WEEKDAY(C509,2)+4),1,3)+WEEKDAY(DATE(YEAR(C509-WEEKDAY(C509,2)+4),1,3),2)+5)/7),"00"))</f>
        <v/>
      </c>
    </row>
    <row r="510" ht="18" customHeight="1">
      <c r="A510" s="39" t="n">
        <v>505</v>
      </c>
      <c r="B510" s="33">
        <f>IF(C510="","",IF(L510="À RENSEIGNER","GIC",L510)&amp;"-S"&amp;TEXT(A510,"00000"))</f>
        <v/>
      </c>
      <c r="C510" s="32" t="n"/>
      <c r="D510" s="36" t="n"/>
      <c r="E510" s="36" t="n"/>
      <c r="F510" s="42" t="n"/>
      <c r="G510" s="36" t="n"/>
      <c r="H510" s="43" t="n"/>
      <c r="I510" s="37" t="n"/>
      <c r="J510" s="44" t="n"/>
      <c r="K510" s="36" t="n"/>
      <c r="L510" s="33">
        <f>IF(C510="","",Commercial_Id)</f>
        <v/>
      </c>
      <c r="M510" s="34">
        <f>IF(E510="","",IFERROR(VLOOKUP(E510,T_Produits,2,FALSE),""))</f>
        <v/>
      </c>
      <c r="N510" s="40">
        <f>IF(E510="","",IFERROR(1/(1/VLOOKUP(E510,T_Produits,3,FALSE)),""))</f>
        <v/>
      </c>
      <c r="O510" s="40">
        <f>IF(OR(D510="",F510=""),"",IF(OR(D510="Casse / avarie",D510="Perte / vol",D510="Échantillon offert"),IF(I510&lt;&gt;"",I510,IF(N510="","",F510*N510)),""))</f>
        <v/>
      </c>
      <c r="P510" s="50">
        <f>IF(OR(D510="",F510=""),"",F510*IF(OR(D510="Reçu du magasin",D510="Ajustement (+)"),1,-1))</f>
        <v/>
      </c>
      <c r="Q510" s="34">
        <f>IF(C510="","",YEAR(C510-WEEKDAY(C510,2)+4)&amp;"-S"&amp;TEXT(INT((C510-DATE(YEAR(C510-WEEKDAY(C510,2)+4),1,3)+WEEKDAY(DATE(YEAR(C510-WEEKDAY(C510,2)+4),1,3),2)+5)/7),"00"))</f>
        <v/>
      </c>
    </row>
    <row r="511" ht="18" customHeight="1">
      <c r="A511" s="39" t="n">
        <v>506</v>
      </c>
      <c r="B511" s="33">
        <f>IF(C511="","",IF(L511="À RENSEIGNER","GIC",L511)&amp;"-S"&amp;TEXT(A511,"00000"))</f>
        <v/>
      </c>
      <c r="C511" s="32" t="n"/>
      <c r="D511" s="36" t="n"/>
      <c r="E511" s="36" t="n"/>
      <c r="F511" s="42" t="n"/>
      <c r="G511" s="36" t="n"/>
      <c r="H511" s="43" t="n"/>
      <c r="I511" s="37" t="n"/>
      <c r="J511" s="44" t="n"/>
      <c r="K511" s="36" t="n"/>
      <c r="L511" s="33">
        <f>IF(C511="","",Commercial_Id)</f>
        <v/>
      </c>
      <c r="M511" s="34">
        <f>IF(E511="","",IFERROR(VLOOKUP(E511,T_Produits,2,FALSE),""))</f>
        <v/>
      </c>
      <c r="N511" s="40">
        <f>IF(E511="","",IFERROR(1/(1/VLOOKUP(E511,T_Produits,3,FALSE)),""))</f>
        <v/>
      </c>
      <c r="O511" s="40">
        <f>IF(OR(D511="",F511=""),"",IF(OR(D511="Casse / avarie",D511="Perte / vol",D511="Échantillon offert"),IF(I511&lt;&gt;"",I511,IF(N511="","",F511*N511)),""))</f>
        <v/>
      </c>
      <c r="P511" s="50">
        <f>IF(OR(D511="",F511=""),"",F511*IF(OR(D511="Reçu du magasin",D511="Ajustement (+)"),1,-1))</f>
        <v/>
      </c>
      <c r="Q511" s="34">
        <f>IF(C511="","",YEAR(C511-WEEKDAY(C511,2)+4)&amp;"-S"&amp;TEXT(INT((C511-DATE(YEAR(C511-WEEKDAY(C511,2)+4),1,3)+WEEKDAY(DATE(YEAR(C511-WEEKDAY(C511,2)+4),1,3),2)+5)/7),"00"))</f>
        <v/>
      </c>
    </row>
    <row r="512" ht="18" customHeight="1">
      <c r="A512" s="39" t="n">
        <v>507</v>
      </c>
      <c r="B512" s="33">
        <f>IF(C512="","",IF(L512="À RENSEIGNER","GIC",L512)&amp;"-S"&amp;TEXT(A512,"00000"))</f>
        <v/>
      </c>
      <c r="C512" s="32" t="n"/>
      <c r="D512" s="36" t="n"/>
      <c r="E512" s="36" t="n"/>
      <c r="F512" s="42" t="n"/>
      <c r="G512" s="36" t="n"/>
      <c r="H512" s="43" t="n"/>
      <c r="I512" s="37" t="n"/>
      <c r="J512" s="44" t="n"/>
      <c r="K512" s="36" t="n"/>
      <c r="L512" s="33">
        <f>IF(C512="","",Commercial_Id)</f>
        <v/>
      </c>
      <c r="M512" s="34">
        <f>IF(E512="","",IFERROR(VLOOKUP(E512,T_Produits,2,FALSE),""))</f>
        <v/>
      </c>
      <c r="N512" s="40">
        <f>IF(E512="","",IFERROR(1/(1/VLOOKUP(E512,T_Produits,3,FALSE)),""))</f>
        <v/>
      </c>
      <c r="O512" s="40">
        <f>IF(OR(D512="",F512=""),"",IF(OR(D512="Casse / avarie",D512="Perte / vol",D512="Échantillon offert"),IF(I512&lt;&gt;"",I512,IF(N512="","",F512*N512)),""))</f>
        <v/>
      </c>
      <c r="P512" s="50">
        <f>IF(OR(D512="",F512=""),"",F512*IF(OR(D512="Reçu du magasin",D512="Ajustement (+)"),1,-1))</f>
        <v/>
      </c>
      <c r="Q512" s="34">
        <f>IF(C512="","",YEAR(C512-WEEKDAY(C512,2)+4)&amp;"-S"&amp;TEXT(INT((C512-DATE(YEAR(C512-WEEKDAY(C512,2)+4),1,3)+WEEKDAY(DATE(YEAR(C512-WEEKDAY(C512,2)+4),1,3),2)+5)/7),"00"))</f>
        <v/>
      </c>
    </row>
    <row r="513" ht="18" customHeight="1">
      <c r="A513" s="39" t="n">
        <v>508</v>
      </c>
      <c r="B513" s="33">
        <f>IF(C513="","",IF(L513="À RENSEIGNER","GIC",L513)&amp;"-S"&amp;TEXT(A513,"00000"))</f>
        <v/>
      </c>
      <c r="C513" s="32" t="n"/>
      <c r="D513" s="36" t="n"/>
      <c r="E513" s="36" t="n"/>
      <c r="F513" s="42" t="n"/>
      <c r="G513" s="36" t="n"/>
      <c r="H513" s="43" t="n"/>
      <c r="I513" s="37" t="n"/>
      <c r="J513" s="44" t="n"/>
      <c r="K513" s="36" t="n"/>
      <c r="L513" s="33">
        <f>IF(C513="","",Commercial_Id)</f>
        <v/>
      </c>
      <c r="M513" s="34">
        <f>IF(E513="","",IFERROR(VLOOKUP(E513,T_Produits,2,FALSE),""))</f>
        <v/>
      </c>
      <c r="N513" s="40">
        <f>IF(E513="","",IFERROR(1/(1/VLOOKUP(E513,T_Produits,3,FALSE)),""))</f>
        <v/>
      </c>
      <c r="O513" s="40">
        <f>IF(OR(D513="",F513=""),"",IF(OR(D513="Casse / avarie",D513="Perte / vol",D513="Échantillon offert"),IF(I513&lt;&gt;"",I513,IF(N513="","",F513*N513)),""))</f>
        <v/>
      </c>
      <c r="P513" s="50">
        <f>IF(OR(D513="",F513=""),"",F513*IF(OR(D513="Reçu du magasin",D513="Ajustement (+)"),1,-1))</f>
        <v/>
      </c>
      <c r="Q513" s="34">
        <f>IF(C513="","",YEAR(C513-WEEKDAY(C513,2)+4)&amp;"-S"&amp;TEXT(INT((C513-DATE(YEAR(C513-WEEKDAY(C513,2)+4),1,3)+WEEKDAY(DATE(YEAR(C513-WEEKDAY(C513,2)+4),1,3),2)+5)/7),"00"))</f>
        <v/>
      </c>
    </row>
    <row r="514" ht="18" customHeight="1">
      <c r="A514" s="39" t="n">
        <v>509</v>
      </c>
      <c r="B514" s="33">
        <f>IF(C514="","",IF(L514="À RENSEIGNER","GIC",L514)&amp;"-S"&amp;TEXT(A514,"00000"))</f>
        <v/>
      </c>
      <c r="C514" s="32" t="n"/>
      <c r="D514" s="36" t="n"/>
      <c r="E514" s="36" t="n"/>
      <c r="F514" s="42" t="n"/>
      <c r="G514" s="36" t="n"/>
      <c r="H514" s="43" t="n"/>
      <c r="I514" s="37" t="n"/>
      <c r="J514" s="44" t="n"/>
      <c r="K514" s="36" t="n"/>
      <c r="L514" s="33">
        <f>IF(C514="","",Commercial_Id)</f>
        <v/>
      </c>
      <c r="M514" s="34">
        <f>IF(E514="","",IFERROR(VLOOKUP(E514,T_Produits,2,FALSE),""))</f>
        <v/>
      </c>
      <c r="N514" s="40">
        <f>IF(E514="","",IFERROR(1/(1/VLOOKUP(E514,T_Produits,3,FALSE)),""))</f>
        <v/>
      </c>
      <c r="O514" s="40">
        <f>IF(OR(D514="",F514=""),"",IF(OR(D514="Casse / avarie",D514="Perte / vol",D514="Échantillon offert"),IF(I514&lt;&gt;"",I514,IF(N514="","",F514*N514)),""))</f>
        <v/>
      </c>
      <c r="P514" s="50">
        <f>IF(OR(D514="",F514=""),"",F514*IF(OR(D514="Reçu du magasin",D514="Ajustement (+)"),1,-1))</f>
        <v/>
      </c>
      <c r="Q514" s="34">
        <f>IF(C514="","",YEAR(C514-WEEKDAY(C514,2)+4)&amp;"-S"&amp;TEXT(INT((C514-DATE(YEAR(C514-WEEKDAY(C514,2)+4),1,3)+WEEKDAY(DATE(YEAR(C514-WEEKDAY(C514,2)+4),1,3),2)+5)/7),"00"))</f>
        <v/>
      </c>
    </row>
    <row r="515" ht="18" customHeight="1">
      <c r="A515" s="39" t="n">
        <v>510</v>
      </c>
      <c r="B515" s="33">
        <f>IF(C515="","",IF(L515="À RENSEIGNER","GIC",L515)&amp;"-S"&amp;TEXT(A515,"00000"))</f>
        <v/>
      </c>
      <c r="C515" s="32" t="n"/>
      <c r="D515" s="36" t="n"/>
      <c r="E515" s="36" t="n"/>
      <c r="F515" s="42" t="n"/>
      <c r="G515" s="36" t="n"/>
      <c r="H515" s="43" t="n"/>
      <c r="I515" s="37" t="n"/>
      <c r="J515" s="44" t="n"/>
      <c r="K515" s="36" t="n"/>
      <c r="L515" s="33">
        <f>IF(C515="","",Commercial_Id)</f>
        <v/>
      </c>
      <c r="M515" s="34">
        <f>IF(E515="","",IFERROR(VLOOKUP(E515,T_Produits,2,FALSE),""))</f>
        <v/>
      </c>
      <c r="N515" s="40">
        <f>IF(E515="","",IFERROR(1/(1/VLOOKUP(E515,T_Produits,3,FALSE)),""))</f>
        <v/>
      </c>
      <c r="O515" s="40">
        <f>IF(OR(D515="",F515=""),"",IF(OR(D515="Casse / avarie",D515="Perte / vol",D515="Échantillon offert"),IF(I515&lt;&gt;"",I515,IF(N515="","",F515*N515)),""))</f>
        <v/>
      </c>
      <c r="P515" s="50">
        <f>IF(OR(D515="",F515=""),"",F515*IF(OR(D515="Reçu du magasin",D515="Ajustement (+)"),1,-1))</f>
        <v/>
      </c>
      <c r="Q515" s="34">
        <f>IF(C515="","",YEAR(C515-WEEKDAY(C515,2)+4)&amp;"-S"&amp;TEXT(INT((C515-DATE(YEAR(C515-WEEKDAY(C515,2)+4),1,3)+WEEKDAY(DATE(YEAR(C515-WEEKDAY(C515,2)+4),1,3),2)+5)/7),"00"))</f>
        <v/>
      </c>
    </row>
    <row r="516" ht="18" customHeight="1">
      <c r="A516" s="39" t="n">
        <v>511</v>
      </c>
      <c r="B516" s="33">
        <f>IF(C516="","",IF(L516="À RENSEIGNER","GIC",L516)&amp;"-S"&amp;TEXT(A516,"00000"))</f>
        <v/>
      </c>
      <c r="C516" s="32" t="n"/>
      <c r="D516" s="36" t="n"/>
      <c r="E516" s="36" t="n"/>
      <c r="F516" s="42" t="n"/>
      <c r="G516" s="36" t="n"/>
      <c r="H516" s="43" t="n"/>
      <c r="I516" s="37" t="n"/>
      <c r="J516" s="44" t="n"/>
      <c r="K516" s="36" t="n"/>
      <c r="L516" s="33">
        <f>IF(C516="","",Commercial_Id)</f>
        <v/>
      </c>
      <c r="M516" s="34">
        <f>IF(E516="","",IFERROR(VLOOKUP(E516,T_Produits,2,FALSE),""))</f>
        <v/>
      </c>
      <c r="N516" s="40">
        <f>IF(E516="","",IFERROR(1/(1/VLOOKUP(E516,T_Produits,3,FALSE)),""))</f>
        <v/>
      </c>
      <c r="O516" s="40">
        <f>IF(OR(D516="",F516=""),"",IF(OR(D516="Casse / avarie",D516="Perte / vol",D516="Échantillon offert"),IF(I516&lt;&gt;"",I516,IF(N516="","",F516*N516)),""))</f>
        <v/>
      </c>
      <c r="P516" s="50">
        <f>IF(OR(D516="",F516=""),"",F516*IF(OR(D516="Reçu du magasin",D516="Ajustement (+)"),1,-1))</f>
        <v/>
      </c>
      <c r="Q516" s="34">
        <f>IF(C516="","",YEAR(C516-WEEKDAY(C516,2)+4)&amp;"-S"&amp;TEXT(INT((C516-DATE(YEAR(C516-WEEKDAY(C516,2)+4),1,3)+WEEKDAY(DATE(YEAR(C516-WEEKDAY(C516,2)+4),1,3),2)+5)/7),"00"))</f>
        <v/>
      </c>
    </row>
    <row r="517" ht="18" customHeight="1">
      <c r="A517" s="39" t="n">
        <v>512</v>
      </c>
      <c r="B517" s="33">
        <f>IF(C517="","",IF(L517="À RENSEIGNER","GIC",L517)&amp;"-S"&amp;TEXT(A517,"00000"))</f>
        <v/>
      </c>
      <c r="C517" s="32" t="n"/>
      <c r="D517" s="36" t="n"/>
      <c r="E517" s="36" t="n"/>
      <c r="F517" s="42" t="n"/>
      <c r="G517" s="36" t="n"/>
      <c r="H517" s="43" t="n"/>
      <c r="I517" s="37" t="n"/>
      <c r="J517" s="44" t="n"/>
      <c r="K517" s="36" t="n"/>
      <c r="L517" s="33">
        <f>IF(C517="","",Commercial_Id)</f>
        <v/>
      </c>
      <c r="M517" s="34">
        <f>IF(E517="","",IFERROR(VLOOKUP(E517,T_Produits,2,FALSE),""))</f>
        <v/>
      </c>
      <c r="N517" s="40">
        <f>IF(E517="","",IFERROR(1/(1/VLOOKUP(E517,T_Produits,3,FALSE)),""))</f>
        <v/>
      </c>
      <c r="O517" s="40">
        <f>IF(OR(D517="",F517=""),"",IF(OR(D517="Casse / avarie",D517="Perte / vol",D517="Échantillon offert"),IF(I517&lt;&gt;"",I517,IF(N517="","",F517*N517)),""))</f>
        <v/>
      </c>
      <c r="P517" s="50">
        <f>IF(OR(D517="",F517=""),"",F517*IF(OR(D517="Reçu du magasin",D517="Ajustement (+)"),1,-1))</f>
        <v/>
      </c>
      <c r="Q517" s="34">
        <f>IF(C517="","",YEAR(C517-WEEKDAY(C517,2)+4)&amp;"-S"&amp;TEXT(INT((C517-DATE(YEAR(C517-WEEKDAY(C517,2)+4),1,3)+WEEKDAY(DATE(YEAR(C517-WEEKDAY(C517,2)+4),1,3),2)+5)/7),"00"))</f>
        <v/>
      </c>
    </row>
    <row r="518" ht="18" customHeight="1">
      <c r="A518" s="39" t="n">
        <v>513</v>
      </c>
      <c r="B518" s="33">
        <f>IF(C518="","",IF(L518="À RENSEIGNER","GIC",L518)&amp;"-S"&amp;TEXT(A518,"00000"))</f>
        <v/>
      </c>
      <c r="C518" s="32" t="n"/>
      <c r="D518" s="36" t="n"/>
      <c r="E518" s="36" t="n"/>
      <c r="F518" s="42" t="n"/>
      <c r="G518" s="36" t="n"/>
      <c r="H518" s="43" t="n"/>
      <c r="I518" s="37" t="n"/>
      <c r="J518" s="44" t="n"/>
      <c r="K518" s="36" t="n"/>
      <c r="L518" s="33">
        <f>IF(C518="","",Commercial_Id)</f>
        <v/>
      </c>
      <c r="M518" s="34">
        <f>IF(E518="","",IFERROR(VLOOKUP(E518,T_Produits,2,FALSE),""))</f>
        <v/>
      </c>
      <c r="N518" s="40">
        <f>IF(E518="","",IFERROR(1/(1/VLOOKUP(E518,T_Produits,3,FALSE)),""))</f>
        <v/>
      </c>
      <c r="O518" s="40">
        <f>IF(OR(D518="",F518=""),"",IF(OR(D518="Casse / avarie",D518="Perte / vol",D518="Échantillon offert"),IF(I518&lt;&gt;"",I518,IF(N518="","",F518*N518)),""))</f>
        <v/>
      </c>
      <c r="P518" s="50">
        <f>IF(OR(D518="",F518=""),"",F518*IF(OR(D518="Reçu du magasin",D518="Ajustement (+)"),1,-1))</f>
        <v/>
      </c>
      <c r="Q518" s="34">
        <f>IF(C518="","",YEAR(C518-WEEKDAY(C518,2)+4)&amp;"-S"&amp;TEXT(INT((C518-DATE(YEAR(C518-WEEKDAY(C518,2)+4),1,3)+WEEKDAY(DATE(YEAR(C518-WEEKDAY(C518,2)+4),1,3),2)+5)/7),"00"))</f>
        <v/>
      </c>
    </row>
    <row r="519" ht="18" customHeight="1">
      <c r="A519" s="39" t="n">
        <v>514</v>
      </c>
      <c r="B519" s="33">
        <f>IF(C519="","",IF(L519="À RENSEIGNER","GIC",L519)&amp;"-S"&amp;TEXT(A519,"00000"))</f>
        <v/>
      </c>
      <c r="C519" s="32" t="n"/>
      <c r="D519" s="36" t="n"/>
      <c r="E519" s="36" t="n"/>
      <c r="F519" s="42" t="n"/>
      <c r="G519" s="36" t="n"/>
      <c r="H519" s="43" t="n"/>
      <c r="I519" s="37" t="n"/>
      <c r="J519" s="44" t="n"/>
      <c r="K519" s="36" t="n"/>
      <c r="L519" s="33">
        <f>IF(C519="","",Commercial_Id)</f>
        <v/>
      </c>
      <c r="M519" s="34">
        <f>IF(E519="","",IFERROR(VLOOKUP(E519,T_Produits,2,FALSE),""))</f>
        <v/>
      </c>
      <c r="N519" s="40">
        <f>IF(E519="","",IFERROR(1/(1/VLOOKUP(E519,T_Produits,3,FALSE)),""))</f>
        <v/>
      </c>
      <c r="O519" s="40">
        <f>IF(OR(D519="",F519=""),"",IF(OR(D519="Casse / avarie",D519="Perte / vol",D519="Échantillon offert"),IF(I519&lt;&gt;"",I519,IF(N519="","",F519*N519)),""))</f>
        <v/>
      </c>
      <c r="P519" s="50">
        <f>IF(OR(D519="",F519=""),"",F519*IF(OR(D519="Reçu du magasin",D519="Ajustement (+)"),1,-1))</f>
        <v/>
      </c>
      <c r="Q519" s="34">
        <f>IF(C519="","",YEAR(C519-WEEKDAY(C519,2)+4)&amp;"-S"&amp;TEXT(INT((C519-DATE(YEAR(C519-WEEKDAY(C519,2)+4),1,3)+WEEKDAY(DATE(YEAR(C519-WEEKDAY(C519,2)+4),1,3),2)+5)/7),"00"))</f>
        <v/>
      </c>
    </row>
    <row r="520" ht="18" customHeight="1">
      <c r="A520" s="39" t="n">
        <v>515</v>
      </c>
      <c r="B520" s="33">
        <f>IF(C520="","",IF(L520="À RENSEIGNER","GIC",L520)&amp;"-S"&amp;TEXT(A520,"00000"))</f>
        <v/>
      </c>
      <c r="C520" s="32" t="n"/>
      <c r="D520" s="36" t="n"/>
      <c r="E520" s="36" t="n"/>
      <c r="F520" s="42" t="n"/>
      <c r="G520" s="36" t="n"/>
      <c r="H520" s="43" t="n"/>
      <c r="I520" s="37" t="n"/>
      <c r="J520" s="44" t="n"/>
      <c r="K520" s="36" t="n"/>
      <c r="L520" s="33">
        <f>IF(C520="","",Commercial_Id)</f>
        <v/>
      </c>
      <c r="M520" s="34">
        <f>IF(E520="","",IFERROR(VLOOKUP(E520,T_Produits,2,FALSE),""))</f>
        <v/>
      </c>
      <c r="N520" s="40">
        <f>IF(E520="","",IFERROR(1/(1/VLOOKUP(E520,T_Produits,3,FALSE)),""))</f>
        <v/>
      </c>
      <c r="O520" s="40">
        <f>IF(OR(D520="",F520=""),"",IF(OR(D520="Casse / avarie",D520="Perte / vol",D520="Échantillon offert"),IF(I520&lt;&gt;"",I520,IF(N520="","",F520*N520)),""))</f>
        <v/>
      </c>
      <c r="P520" s="50">
        <f>IF(OR(D520="",F520=""),"",F520*IF(OR(D520="Reçu du magasin",D520="Ajustement (+)"),1,-1))</f>
        <v/>
      </c>
      <c r="Q520" s="34">
        <f>IF(C520="","",YEAR(C520-WEEKDAY(C520,2)+4)&amp;"-S"&amp;TEXT(INT((C520-DATE(YEAR(C520-WEEKDAY(C520,2)+4),1,3)+WEEKDAY(DATE(YEAR(C520-WEEKDAY(C520,2)+4),1,3),2)+5)/7),"00"))</f>
        <v/>
      </c>
    </row>
    <row r="521" ht="18" customHeight="1">
      <c r="A521" s="39" t="n">
        <v>516</v>
      </c>
      <c r="B521" s="33">
        <f>IF(C521="","",IF(L521="À RENSEIGNER","GIC",L521)&amp;"-S"&amp;TEXT(A521,"00000"))</f>
        <v/>
      </c>
      <c r="C521" s="32" t="n"/>
      <c r="D521" s="36" t="n"/>
      <c r="E521" s="36" t="n"/>
      <c r="F521" s="42" t="n"/>
      <c r="G521" s="36" t="n"/>
      <c r="H521" s="43" t="n"/>
      <c r="I521" s="37" t="n"/>
      <c r="J521" s="44" t="n"/>
      <c r="K521" s="36" t="n"/>
      <c r="L521" s="33">
        <f>IF(C521="","",Commercial_Id)</f>
        <v/>
      </c>
      <c r="M521" s="34">
        <f>IF(E521="","",IFERROR(VLOOKUP(E521,T_Produits,2,FALSE),""))</f>
        <v/>
      </c>
      <c r="N521" s="40">
        <f>IF(E521="","",IFERROR(1/(1/VLOOKUP(E521,T_Produits,3,FALSE)),""))</f>
        <v/>
      </c>
      <c r="O521" s="40">
        <f>IF(OR(D521="",F521=""),"",IF(OR(D521="Casse / avarie",D521="Perte / vol",D521="Échantillon offert"),IF(I521&lt;&gt;"",I521,IF(N521="","",F521*N521)),""))</f>
        <v/>
      </c>
      <c r="P521" s="50">
        <f>IF(OR(D521="",F521=""),"",F521*IF(OR(D521="Reçu du magasin",D521="Ajustement (+)"),1,-1))</f>
        <v/>
      </c>
      <c r="Q521" s="34">
        <f>IF(C521="","",YEAR(C521-WEEKDAY(C521,2)+4)&amp;"-S"&amp;TEXT(INT((C521-DATE(YEAR(C521-WEEKDAY(C521,2)+4),1,3)+WEEKDAY(DATE(YEAR(C521-WEEKDAY(C521,2)+4),1,3),2)+5)/7),"00"))</f>
        <v/>
      </c>
    </row>
    <row r="522" ht="18" customHeight="1">
      <c r="A522" s="39" t="n">
        <v>517</v>
      </c>
      <c r="B522" s="33">
        <f>IF(C522="","",IF(L522="À RENSEIGNER","GIC",L522)&amp;"-S"&amp;TEXT(A522,"00000"))</f>
        <v/>
      </c>
      <c r="C522" s="32" t="n"/>
      <c r="D522" s="36" t="n"/>
      <c r="E522" s="36" t="n"/>
      <c r="F522" s="42" t="n"/>
      <c r="G522" s="36" t="n"/>
      <c r="H522" s="43" t="n"/>
      <c r="I522" s="37" t="n"/>
      <c r="J522" s="44" t="n"/>
      <c r="K522" s="36" t="n"/>
      <c r="L522" s="33">
        <f>IF(C522="","",Commercial_Id)</f>
        <v/>
      </c>
      <c r="M522" s="34">
        <f>IF(E522="","",IFERROR(VLOOKUP(E522,T_Produits,2,FALSE),""))</f>
        <v/>
      </c>
      <c r="N522" s="40">
        <f>IF(E522="","",IFERROR(1/(1/VLOOKUP(E522,T_Produits,3,FALSE)),""))</f>
        <v/>
      </c>
      <c r="O522" s="40">
        <f>IF(OR(D522="",F522=""),"",IF(OR(D522="Casse / avarie",D522="Perte / vol",D522="Échantillon offert"),IF(I522&lt;&gt;"",I522,IF(N522="","",F522*N522)),""))</f>
        <v/>
      </c>
      <c r="P522" s="50">
        <f>IF(OR(D522="",F522=""),"",F522*IF(OR(D522="Reçu du magasin",D522="Ajustement (+)"),1,-1))</f>
        <v/>
      </c>
      <c r="Q522" s="34">
        <f>IF(C522="","",YEAR(C522-WEEKDAY(C522,2)+4)&amp;"-S"&amp;TEXT(INT((C522-DATE(YEAR(C522-WEEKDAY(C522,2)+4),1,3)+WEEKDAY(DATE(YEAR(C522-WEEKDAY(C522,2)+4),1,3),2)+5)/7),"00"))</f>
        <v/>
      </c>
    </row>
    <row r="523" ht="18" customHeight="1">
      <c r="A523" s="39" t="n">
        <v>518</v>
      </c>
      <c r="B523" s="33">
        <f>IF(C523="","",IF(L523="À RENSEIGNER","GIC",L523)&amp;"-S"&amp;TEXT(A523,"00000"))</f>
        <v/>
      </c>
      <c r="C523" s="32" t="n"/>
      <c r="D523" s="36" t="n"/>
      <c r="E523" s="36" t="n"/>
      <c r="F523" s="42" t="n"/>
      <c r="G523" s="36" t="n"/>
      <c r="H523" s="43" t="n"/>
      <c r="I523" s="37" t="n"/>
      <c r="J523" s="44" t="n"/>
      <c r="K523" s="36" t="n"/>
      <c r="L523" s="33">
        <f>IF(C523="","",Commercial_Id)</f>
        <v/>
      </c>
      <c r="M523" s="34">
        <f>IF(E523="","",IFERROR(VLOOKUP(E523,T_Produits,2,FALSE),""))</f>
        <v/>
      </c>
      <c r="N523" s="40">
        <f>IF(E523="","",IFERROR(1/(1/VLOOKUP(E523,T_Produits,3,FALSE)),""))</f>
        <v/>
      </c>
      <c r="O523" s="40">
        <f>IF(OR(D523="",F523=""),"",IF(OR(D523="Casse / avarie",D523="Perte / vol",D523="Échantillon offert"),IF(I523&lt;&gt;"",I523,IF(N523="","",F523*N523)),""))</f>
        <v/>
      </c>
      <c r="P523" s="50">
        <f>IF(OR(D523="",F523=""),"",F523*IF(OR(D523="Reçu du magasin",D523="Ajustement (+)"),1,-1))</f>
        <v/>
      </c>
      <c r="Q523" s="34">
        <f>IF(C523="","",YEAR(C523-WEEKDAY(C523,2)+4)&amp;"-S"&amp;TEXT(INT((C523-DATE(YEAR(C523-WEEKDAY(C523,2)+4),1,3)+WEEKDAY(DATE(YEAR(C523-WEEKDAY(C523,2)+4),1,3),2)+5)/7),"00"))</f>
        <v/>
      </c>
    </row>
    <row r="524" ht="18" customHeight="1">
      <c r="A524" s="39" t="n">
        <v>519</v>
      </c>
      <c r="B524" s="33">
        <f>IF(C524="","",IF(L524="À RENSEIGNER","GIC",L524)&amp;"-S"&amp;TEXT(A524,"00000"))</f>
        <v/>
      </c>
      <c r="C524" s="32" t="n"/>
      <c r="D524" s="36" t="n"/>
      <c r="E524" s="36" t="n"/>
      <c r="F524" s="42" t="n"/>
      <c r="G524" s="36" t="n"/>
      <c r="H524" s="43" t="n"/>
      <c r="I524" s="37" t="n"/>
      <c r="J524" s="44" t="n"/>
      <c r="K524" s="36" t="n"/>
      <c r="L524" s="33">
        <f>IF(C524="","",Commercial_Id)</f>
        <v/>
      </c>
      <c r="M524" s="34">
        <f>IF(E524="","",IFERROR(VLOOKUP(E524,T_Produits,2,FALSE),""))</f>
        <v/>
      </c>
      <c r="N524" s="40">
        <f>IF(E524="","",IFERROR(1/(1/VLOOKUP(E524,T_Produits,3,FALSE)),""))</f>
        <v/>
      </c>
      <c r="O524" s="40">
        <f>IF(OR(D524="",F524=""),"",IF(OR(D524="Casse / avarie",D524="Perte / vol",D524="Échantillon offert"),IF(I524&lt;&gt;"",I524,IF(N524="","",F524*N524)),""))</f>
        <v/>
      </c>
      <c r="P524" s="50">
        <f>IF(OR(D524="",F524=""),"",F524*IF(OR(D524="Reçu du magasin",D524="Ajustement (+)"),1,-1))</f>
        <v/>
      </c>
      <c r="Q524" s="34">
        <f>IF(C524="","",YEAR(C524-WEEKDAY(C524,2)+4)&amp;"-S"&amp;TEXT(INT((C524-DATE(YEAR(C524-WEEKDAY(C524,2)+4),1,3)+WEEKDAY(DATE(YEAR(C524-WEEKDAY(C524,2)+4),1,3),2)+5)/7),"00"))</f>
        <v/>
      </c>
    </row>
    <row r="525" ht="18" customHeight="1">
      <c r="A525" s="39" t="n">
        <v>520</v>
      </c>
      <c r="B525" s="33">
        <f>IF(C525="","",IF(L525="À RENSEIGNER","GIC",L525)&amp;"-S"&amp;TEXT(A525,"00000"))</f>
        <v/>
      </c>
      <c r="C525" s="32" t="n"/>
      <c r="D525" s="36" t="n"/>
      <c r="E525" s="36" t="n"/>
      <c r="F525" s="42" t="n"/>
      <c r="G525" s="36" t="n"/>
      <c r="H525" s="43" t="n"/>
      <c r="I525" s="37" t="n"/>
      <c r="J525" s="44" t="n"/>
      <c r="K525" s="36" t="n"/>
      <c r="L525" s="33">
        <f>IF(C525="","",Commercial_Id)</f>
        <v/>
      </c>
      <c r="M525" s="34">
        <f>IF(E525="","",IFERROR(VLOOKUP(E525,T_Produits,2,FALSE),""))</f>
        <v/>
      </c>
      <c r="N525" s="40">
        <f>IF(E525="","",IFERROR(1/(1/VLOOKUP(E525,T_Produits,3,FALSE)),""))</f>
        <v/>
      </c>
      <c r="O525" s="40">
        <f>IF(OR(D525="",F525=""),"",IF(OR(D525="Casse / avarie",D525="Perte / vol",D525="Échantillon offert"),IF(I525&lt;&gt;"",I525,IF(N525="","",F525*N525)),""))</f>
        <v/>
      </c>
      <c r="P525" s="50">
        <f>IF(OR(D525="",F525=""),"",F525*IF(OR(D525="Reçu du magasin",D525="Ajustement (+)"),1,-1))</f>
        <v/>
      </c>
      <c r="Q525" s="34">
        <f>IF(C525="","",YEAR(C525-WEEKDAY(C525,2)+4)&amp;"-S"&amp;TEXT(INT((C525-DATE(YEAR(C525-WEEKDAY(C525,2)+4),1,3)+WEEKDAY(DATE(YEAR(C525-WEEKDAY(C525,2)+4),1,3),2)+5)/7),"00"))</f>
        <v/>
      </c>
    </row>
    <row r="526" ht="18" customHeight="1">
      <c r="A526" s="39" t="n">
        <v>521</v>
      </c>
      <c r="B526" s="33">
        <f>IF(C526="","",IF(L526="À RENSEIGNER","GIC",L526)&amp;"-S"&amp;TEXT(A526,"00000"))</f>
        <v/>
      </c>
      <c r="C526" s="32" t="n"/>
      <c r="D526" s="36" t="n"/>
      <c r="E526" s="36" t="n"/>
      <c r="F526" s="42" t="n"/>
      <c r="G526" s="36" t="n"/>
      <c r="H526" s="43" t="n"/>
      <c r="I526" s="37" t="n"/>
      <c r="J526" s="44" t="n"/>
      <c r="K526" s="36" t="n"/>
      <c r="L526" s="33">
        <f>IF(C526="","",Commercial_Id)</f>
        <v/>
      </c>
      <c r="M526" s="34">
        <f>IF(E526="","",IFERROR(VLOOKUP(E526,T_Produits,2,FALSE),""))</f>
        <v/>
      </c>
      <c r="N526" s="40">
        <f>IF(E526="","",IFERROR(1/(1/VLOOKUP(E526,T_Produits,3,FALSE)),""))</f>
        <v/>
      </c>
      <c r="O526" s="40">
        <f>IF(OR(D526="",F526=""),"",IF(OR(D526="Casse / avarie",D526="Perte / vol",D526="Échantillon offert"),IF(I526&lt;&gt;"",I526,IF(N526="","",F526*N526)),""))</f>
        <v/>
      </c>
      <c r="P526" s="50">
        <f>IF(OR(D526="",F526=""),"",F526*IF(OR(D526="Reçu du magasin",D526="Ajustement (+)"),1,-1))</f>
        <v/>
      </c>
      <c r="Q526" s="34">
        <f>IF(C526="","",YEAR(C526-WEEKDAY(C526,2)+4)&amp;"-S"&amp;TEXT(INT((C526-DATE(YEAR(C526-WEEKDAY(C526,2)+4),1,3)+WEEKDAY(DATE(YEAR(C526-WEEKDAY(C526,2)+4),1,3),2)+5)/7),"00"))</f>
        <v/>
      </c>
    </row>
    <row r="527" ht="18" customHeight="1">
      <c r="A527" s="39" t="n">
        <v>522</v>
      </c>
      <c r="B527" s="33">
        <f>IF(C527="","",IF(L527="À RENSEIGNER","GIC",L527)&amp;"-S"&amp;TEXT(A527,"00000"))</f>
        <v/>
      </c>
      <c r="C527" s="32" t="n"/>
      <c r="D527" s="36" t="n"/>
      <c r="E527" s="36" t="n"/>
      <c r="F527" s="42" t="n"/>
      <c r="G527" s="36" t="n"/>
      <c r="H527" s="43" t="n"/>
      <c r="I527" s="37" t="n"/>
      <c r="J527" s="44" t="n"/>
      <c r="K527" s="36" t="n"/>
      <c r="L527" s="33">
        <f>IF(C527="","",Commercial_Id)</f>
        <v/>
      </c>
      <c r="M527" s="34">
        <f>IF(E527="","",IFERROR(VLOOKUP(E527,T_Produits,2,FALSE),""))</f>
        <v/>
      </c>
      <c r="N527" s="40">
        <f>IF(E527="","",IFERROR(1/(1/VLOOKUP(E527,T_Produits,3,FALSE)),""))</f>
        <v/>
      </c>
      <c r="O527" s="40">
        <f>IF(OR(D527="",F527=""),"",IF(OR(D527="Casse / avarie",D527="Perte / vol",D527="Échantillon offert"),IF(I527&lt;&gt;"",I527,IF(N527="","",F527*N527)),""))</f>
        <v/>
      </c>
      <c r="P527" s="50">
        <f>IF(OR(D527="",F527=""),"",F527*IF(OR(D527="Reçu du magasin",D527="Ajustement (+)"),1,-1))</f>
        <v/>
      </c>
      <c r="Q527" s="34">
        <f>IF(C527="","",YEAR(C527-WEEKDAY(C527,2)+4)&amp;"-S"&amp;TEXT(INT((C527-DATE(YEAR(C527-WEEKDAY(C527,2)+4),1,3)+WEEKDAY(DATE(YEAR(C527-WEEKDAY(C527,2)+4),1,3),2)+5)/7),"00"))</f>
        <v/>
      </c>
    </row>
    <row r="528" ht="18" customHeight="1">
      <c r="A528" s="39" t="n">
        <v>523</v>
      </c>
      <c r="B528" s="33">
        <f>IF(C528="","",IF(L528="À RENSEIGNER","GIC",L528)&amp;"-S"&amp;TEXT(A528,"00000"))</f>
        <v/>
      </c>
      <c r="C528" s="32" t="n"/>
      <c r="D528" s="36" t="n"/>
      <c r="E528" s="36" t="n"/>
      <c r="F528" s="42" t="n"/>
      <c r="G528" s="36" t="n"/>
      <c r="H528" s="43" t="n"/>
      <c r="I528" s="37" t="n"/>
      <c r="J528" s="44" t="n"/>
      <c r="K528" s="36" t="n"/>
      <c r="L528" s="33">
        <f>IF(C528="","",Commercial_Id)</f>
        <v/>
      </c>
      <c r="M528" s="34">
        <f>IF(E528="","",IFERROR(VLOOKUP(E528,T_Produits,2,FALSE),""))</f>
        <v/>
      </c>
      <c r="N528" s="40">
        <f>IF(E528="","",IFERROR(1/(1/VLOOKUP(E528,T_Produits,3,FALSE)),""))</f>
        <v/>
      </c>
      <c r="O528" s="40">
        <f>IF(OR(D528="",F528=""),"",IF(OR(D528="Casse / avarie",D528="Perte / vol",D528="Échantillon offert"),IF(I528&lt;&gt;"",I528,IF(N528="","",F528*N528)),""))</f>
        <v/>
      </c>
      <c r="P528" s="50">
        <f>IF(OR(D528="",F528=""),"",F528*IF(OR(D528="Reçu du magasin",D528="Ajustement (+)"),1,-1))</f>
        <v/>
      </c>
      <c r="Q528" s="34">
        <f>IF(C528="","",YEAR(C528-WEEKDAY(C528,2)+4)&amp;"-S"&amp;TEXT(INT((C528-DATE(YEAR(C528-WEEKDAY(C528,2)+4),1,3)+WEEKDAY(DATE(YEAR(C528-WEEKDAY(C528,2)+4),1,3),2)+5)/7),"00"))</f>
        <v/>
      </c>
    </row>
    <row r="529" ht="18" customHeight="1">
      <c r="A529" s="39" t="n">
        <v>524</v>
      </c>
      <c r="B529" s="33">
        <f>IF(C529="","",IF(L529="À RENSEIGNER","GIC",L529)&amp;"-S"&amp;TEXT(A529,"00000"))</f>
        <v/>
      </c>
      <c r="C529" s="32" t="n"/>
      <c r="D529" s="36" t="n"/>
      <c r="E529" s="36" t="n"/>
      <c r="F529" s="42" t="n"/>
      <c r="G529" s="36" t="n"/>
      <c r="H529" s="43" t="n"/>
      <c r="I529" s="37" t="n"/>
      <c r="J529" s="44" t="n"/>
      <c r="K529" s="36" t="n"/>
      <c r="L529" s="33">
        <f>IF(C529="","",Commercial_Id)</f>
        <v/>
      </c>
      <c r="M529" s="34">
        <f>IF(E529="","",IFERROR(VLOOKUP(E529,T_Produits,2,FALSE),""))</f>
        <v/>
      </c>
      <c r="N529" s="40">
        <f>IF(E529="","",IFERROR(1/(1/VLOOKUP(E529,T_Produits,3,FALSE)),""))</f>
        <v/>
      </c>
      <c r="O529" s="40">
        <f>IF(OR(D529="",F529=""),"",IF(OR(D529="Casse / avarie",D529="Perte / vol",D529="Échantillon offert"),IF(I529&lt;&gt;"",I529,IF(N529="","",F529*N529)),""))</f>
        <v/>
      </c>
      <c r="P529" s="50">
        <f>IF(OR(D529="",F529=""),"",F529*IF(OR(D529="Reçu du magasin",D529="Ajustement (+)"),1,-1))</f>
        <v/>
      </c>
      <c r="Q529" s="34">
        <f>IF(C529="","",YEAR(C529-WEEKDAY(C529,2)+4)&amp;"-S"&amp;TEXT(INT((C529-DATE(YEAR(C529-WEEKDAY(C529,2)+4),1,3)+WEEKDAY(DATE(YEAR(C529-WEEKDAY(C529,2)+4),1,3),2)+5)/7),"00"))</f>
        <v/>
      </c>
    </row>
    <row r="530" ht="18" customHeight="1">
      <c r="A530" s="39" t="n">
        <v>525</v>
      </c>
      <c r="B530" s="33">
        <f>IF(C530="","",IF(L530="À RENSEIGNER","GIC",L530)&amp;"-S"&amp;TEXT(A530,"00000"))</f>
        <v/>
      </c>
      <c r="C530" s="32" t="n"/>
      <c r="D530" s="36" t="n"/>
      <c r="E530" s="36" t="n"/>
      <c r="F530" s="42" t="n"/>
      <c r="G530" s="36" t="n"/>
      <c r="H530" s="43" t="n"/>
      <c r="I530" s="37" t="n"/>
      <c r="J530" s="44" t="n"/>
      <c r="K530" s="36" t="n"/>
      <c r="L530" s="33">
        <f>IF(C530="","",Commercial_Id)</f>
        <v/>
      </c>
      <c r="M530" s="34">
        <f>IF(E530="","",IFERROR(VLOOKUP(E530,T_Produits,2,FALSE),""))</f>
        <v/>
      </c>
      <c r="N530" s="40">
        <f>IF(E530="","",IFERROR(1/(1/VLOOKUP(E530,T_Produits,3,FALSE)),""))</f>
        <v/>
      </c>
      <c r="O530" s="40">
        <f>IF(OR(D530="",F530=""),"",IF(OR(D530="Casse / avarie",D530="Perte / vol",D530="Échantillon offert"),IF(I530&lt;&gt;"",I530,IF(N530="","",F530*N530)),""))</f>
        <v/>
      </c>
      <c r="P530" s="50">
        <f>IF(OR(D530="",F530=""),"",F530*IF(OR(D530="Reçu du magasin",D530="Ajustement (+)"),1,-1))</f>
        <v/>
      </c>
      <c r="Q530" s="34">
        <f>IF(C530="","",YEAR(C530-WEEKDAY(C530,2)+4)&amp;"-S"&amp;TEXT(INT((C530-DATE(YEAR(C530-WEEKDAY(C530,2)+4),1,3)+WEEKDAY(DATE(YEAR(C530-WEEKDAY(C530,2)+4),1,3),2)+5)/7),"00"))</f>
        <v/>
      </c>
    </row>
    <row r="531" ht="18" customHeight="1">
      <c r="A531" s="39" t="n">
        <v>526</v>
      </c>
      <c r="B531" s="33">
        <f>IF(C531="","",IF(L531="À RENSEIGNER","GIC",L531)&amp;"-S"&amp;TEXT(A531,"00000"))</f>
        <v/>
      </c>
      <c r="C531" s="32" t="n"/>
      <c r="D531" s="36" t="n"/>
      <c r="E531" s="36" t="n"/>
      <c r="F531" s="42" t="n"/>
      <c r="G531" s="36" t="n"/>
      <c r="H531" s="43" t="n"/>
      <c r="I531" s="37" t="n"/>
      <c r="J531" s="44" t="n"/>
      <c r="K531" s="36" t="n"/>
      <c r="L531" s="33">
        <f>IF(C531="","",Commercial_Id)</f>
        <v/>
      </c>
      <c r="M531" s="34">
        <f>IF(E531="","",IFERROR(VLOOKUP(E531,T_Produits,2,FALSE),""))</f>
        <v/>
      </c>
      <c r="N531" s="40">
        <f>IF(E531="","",IFERROR(1/(1/VLOOKUP(E531,T_Produits,3,FALSE)),""))</f>
        <v/>
      </c>
      <c r="O531" s="40">
        <f>IF(OR(D531="",F531=""),"",IF(OR(D531="Casse / avarie",D531="Perte / vol",D531="Échantillon offert"),IF(I531&lt;&gt;"",I531,IF(N531="","",F531*N531)),""))</f>
        <v/>
      </c>
      <c r="P531" s="50">
        <f>IF(OR(D531="",F531=""),"",F531*IF(OR(D531="Reçu du magasin",D531="Ajustement (+)"),1,-1))</f>
        <v/>
      </c>
      <c r="Q531" s="34">
        <f>IF(C531="","",YEAR(C531-WEEKDAY(C531,2)+4)&amp;"-S"&amp;TEXT(INT((C531-DATE(YEAR(C531-WEEKDAY(C531,2)+4),1,3)+WEEKDAY(DATE(YEAR(C531-WEEKDAY(C531,2)+4),1,3),2)+5)/7),"00"))</f>
        <v/>
      </c>
    </row>
    <row r="532" ht="18" customHeight="1">
      <c r="A532" s="39" t="n">
        <v>527</v>
      </c>
      <c r="B532" s="33">
        <f>IF(C532="","",IF(L532="À RENSEIGNER","GIC",L532)&amp;"-S"&amp;TEXT(A532,"00000"))</f>
        <v/>
      </c>
      <c r="C532" s="32" t="n"/>
      <c r="D532" s="36" t="n"/>
      <c r="E532" s="36" t="n"/>
      <c r="F532" s="42" t="n"/>
      <c r="G532" s="36" t="n"/>
      <c r="H532" s="43" t="n"/>
      <c r="I532" s="37" t="n"/>
      <c r="J532" s="44" t="n"/>
      <c r="K532" s="36" t="n"/>
      <c r="L532" s="33">
        <f>IF(C532="","",Commercial_Id)</f>
        <v/>
      </c>
      <c r="M532" s="34">
        <f>IF(E532="","",IFERROR(VLOOKUP(E532,T_Produits,2,FALSE),""))</f>
        <v/>
      </c>
      <c r="N532" s="40">
        <f>IF(E532="","",IFERROR(1/(1/VLOOKUP(E532,T_Produits,3,FALSE)),""))</f>
        <v/>
      </c>
      <c r="O532" s="40">
        <f>IF(OR(D532="",F532=""),"",IF(OR(D532="Casse / avarie",D532="Perte / vol",D532="Échantillon offert"),IF(I532&lt;&gt;"",I532,IF(N532="","",F532*N532)),""))</f>
        <v/>
      </c>
      <c r="P532" s="50">
        <f>IF(OR(D532="",F532=""),"",F532*IF(OR(D532="Reçu du magasin",D532="Ajustement (+)"),1,-1))</f>
        <v/>
      </c>
      <c r="Q532" s="34">
        <f>IF(C532="","",YEAR(C532-WEEKDAY(C532,2)+4)&amp;"-S"&amp;TEXT(INT((C532-DATE(YEAR(C532-WEEKDAY(C532,2)+4),1,3)+WEEKDAY(DATE(YEAR(C532-WEEKDAY(C532,2)+4),1,3),2)+5)/7),"00"))</f>
        <v/>
      </c>
    </row>
    <row r="533" ht="18" customHeight="1">
      <c r="A533" s="39" t="n">
        <v>528</v>
      </c>
      <c r="B533" s="33">
        <f>IF(C533="","",IF(L533="À RENSEIGNER","GIC",L533)&amp;"-S"&amp;TEXT(A533,"00000"))</f>
        <v/>
      </c>
      <c r="C533" s="32" t="n"/>
      <c r="D533" s="36" t="n"/>
      <c r="E533" s="36" t="n"/>
      <c r="F533" s="42" t="n"/>
      <c r="G533" s="36" t="n"/>
      <c r="H533" s="43" t="n"/>
      <c r="I533" s="37" t="n"/>
      <c r="J533" s="44" t="n"/>
      <c r="K533" s="36" t="n"/>
      <c r="L533" s="33">
        <f>IF(C533="","",Commercial_Id)</f>
        <v/>
      </c>
      <c r="M533" s="34">
        <f>IF(E533="","",IFERROR(VLOOKUP(E533,T_Produits,2,FALSE),""))</f>
        <v/>
      </c>
      <c r="N533" s="40">
        <f>IF(E533="","",IFERROR(1/(1/VLOOKUP(E533,T_Produits,3,FALSE)),""))</f>
        <v/>
      </c>
      <c r="O533" s="40">
        <f>IF(OR(D533="",F533=""),"",IF(OR(D533="Casse / avarie",D533="Perte / vol",D533="Échantillon offert"),IF(I533&lt;&gt;"",I533,IF(N533="","",F533*N533)),""))</f>
        <v/>
      </c>
      <c r="P533" s="50">
        <f>IF(OR(D533="",F533=""),"",F533*IF(OR(D533="Reçu du magasin",D533="Ajustement (+)"),1,-1))</f>
        <v/>
      </c>
      <c r="Q533" s="34">
        <f>IF(C533="","",YEAR(C533-WEEKDAY(C533,2)+4)&amp;"-S"&amp;TEXT(INT((C533-DATE(YEAR(C533-WEEKDAY(C533,2)+4),1,3)+WEEKDAY(DATE(YEAR(C533-WEEKDAY(C533,2)+4),1,3),2)+5)/7),"00"))</f>
        <v/>
      </c>
    </row>
    <row r="534" ht="18" customHeight="1">
      <c r="A534" s="39" t="n">
        <v>529</v>
      </c>
      <c r="B534" s="33">
        <f>IF(C534="","",IF(L534="À RENSEIGNER","GIC",L534)&amp;"-S"&amp;TEXT(A534,"00000"))</f>
        <v/>
      </c>
      <c r="C534" s="32" t="n"/>
      <c r="D534" s="36" t="n"/>
      <c r="E534" s="36" t="n"/>
      <c r="F534" s="42" t="n"/>
      <c r="G534" s="36" t="n"/>
      <c r="H534" s="43" t="n"/>
      <c r="I534" s="37" t="n"/>
      <c r="J534" s="44" t="n"/>
      <c r="K534" s="36" t="n"/>
      <c r="L534" s="33">
        <f>IF(C534="","",Commercial_Id)</f>
        <v/>
      </c>
      <c r="M534" s="34">
        <f>IF(E534="","",IFERROR(VLOOKUP(E534,T_Produits,2,FALSE),""))</f>
        <v/>
      </c>
      <c r="N534" s="40">
        <f>IF(E534="","",IFERROR(1/(1/VLOOKUP(E534,T_Produits,3,FALSE)),""))</f>
        <v/>
      </c>
      <c r="O534" s="40">
        <f>IF(OR(D534="",F534=""),"",IF(OR(D534="Casse / avarie",D534="Perte / vol",D534="Échantillon offert"),IF(I534&lt;&gt;"",I534,IF(N534="","",F534*N534)),""))</f>
        <v/>
      </c>
      <c r="P534" s="50">
        <f>IF(OR(D534="",F534=""),"",F534*IF(OR(D534="Reçu du magasin",D534="Ajustement (+)"),1,-1))</f>
        <v/>
      </c>
      <c r="Q534" s="34">
        <f>IF(C534="","",YEAR(C534-WEEKDAY(C534,2)+4)&amp;"-S"&amp;TEXT(INT((C534-DATE(YEAR(C534-WEEKDAY(C534,2)+4),1,3)+WEEKDAY(DATE(YEAR(C534-WEEKDAY(C534,2)+4),1,3),2)+5)/7),"00"))</f>
        <v/>
      </c>
    </row>
    <row r="535" ht="18" customHeight="1">
      <c r="A535" s="39" t="n">
        <v>530</v>
      </c>
      <c r="B535" s="33">
        <f>IF(C535="","",IF(L535="À RENSEIGNER","GIC",L535)&amp;"-S"&amp;TEXT(A535,"00000"))</f>
        <v/>
      </c>
      <c r="C535" s="32" t="n"/>
      <c r="D535" s="36" t="n"/>
      <c r="E535" s="36" t="n"/>
      <c r="F535" s="42" t="n"/>
      <c r="G535" s="36" t="n"/>
      <c r="H535" s="43" t="n"/>
      <c r="I535" s="37" t="n"/>
      <c r="J535" s="44" t="n"/>
      <c r="K535" s="36" t="n"/>
      <c r="L535" s="33">
        <f>IF(C535="","",Commercial_Id)</f>
        <v/>
      </c>
      <c r="M535" s="34">
        <f>IF(E535="","",IFERROR(VLOOKUP(E535,T_Produits,2,FALSE),""))</f>
        <v/>
      </c>
      <c r="N535" s="40">
        <f>IF(E535="","",IFERROR(1/(1/VLOOKUP(E535,T_Produits,3,FALSE)),""))</f>
        <v/>
      </c>
      <c r="O535" s="40">
        <f>IF(OR(D535="",F535=""),"",IF(OR(D535="Casse / avarie",D535="Perte / vol",D535="Échantillon offert"),IF(I535&lt;&gt;"",I535,IF(N535="","",F535*N535)),""))</f>
        <v/>
      </c>
      <c r="P535" s="50">
        <f>IF(OR(D535="",F535=""),"",F535*IF(OR(D535="Reçu du magasin",D535="Ajustement (+)"),1,-1))</f>
        <v/>
      </c>
      <c r="Q535" s="34">
        <f>IF(C535="","",YEAR(C535-WEEKDAY(C535,2)+4)&amp;"-S"&amp;TEXT(INT((C535-DATE(YEAR(C535-WEEKDAY(C535,2)+4),1,3)+WEEKDAY(DATE(YEAR(C535-WEEKDAY(C535,2)+4),1,3),2)+5)/7),"00"))</f>
        <v/>
      </c>
    </row>
    <row r="536" ht="18" customHeight="1">
      <c r="A536" s="39" t="n">
        <v>531</v>
      </c>
      <c r="B536" s="33">
        <f>IF(C536="","",IF(L536="À RENSEIGNER","GIC",L536)&amp;"-S"&amp;TEXT(A536,"00000"))</f>
        <v/>
      </c>
      <c r="C536" s="32" t="n"/>
      <c r="D536" s="36" t="n"/>
      <c r="E536" s="36" t="n"/>
      <c r="F536" s="42" t="n"/>
      <c r="G536" s="36" t="n"/>
      <c r="H536" s="43" t="n"/>
      <c r="I536" s="37" t="n"/>
      <c r="J536" s="44" t="n"/>
      <c r="K536" s="36" t="n"/>
      <c r="L536" s="33">
        <f>IF(C536="","",Commercial_Id)</f>
        <v/>
      </c>
      <c r="M536" s="34">
        <f>IF(E536="","",IFERROR(VLOOKUP(E536,T_Produits,2,FALSE),""))</f>
        <v/>
      </c>
      <c r="N536" s="40">
        <f>IF(E536="","",IFERROR(1/(1/VLOOKUP(E536,T_Produits,3,FALSE)),""))</f>
        <v/>
      </c>
      <c r="O536" s="40">
        <f>IF(OR(D536="",F536=""),"",IF(OR(D536="Casse / avarie",D536="Perte / vol",D536="Échantillon offert"),IF(I536&lt;&gt;"",I536,IF(N536="","",F536*N536)),""))</f>
        <v/>
      </c>
      <c r="P536" s="50">
        <f>IF(OR(D536="",F536=""),"",F536*IF(OR(D536="Reçu du magasin",D536="Ajustement (+)"),1,-1))</f>
        <v/>
      </c>
      <c r="Q536" s="34">
        <f>IF(C536="","",YEAR(C536-WEEKDAY(C536,2)+4)&amp;"-S"&amp;TEXT(INT((C536-DATE(YEAR(C536-WEEKDAY(C536,2)+4),1,3)+WEEKDAY(DATE(YEAR(C536-WEEKDAY(C536,2)+4),1,3),2)+5)/7),"00"))</f>
        <v/>
      </c>
    </row>
    <row r="537" ht="18" customHeight="1">
      <c r="A537" s="39" t="n">
        <v>532</v>
      </c>
      <c r="B537" s="33">
        <f>IF(C537="","",IF(L537="À RENSEIGNER","GIC",L537)&amp;"-S"&amp;TEXT(A537,"00000"))</f>
        <v/>
      </c>
      <c r="C537" s="32" t="n"/>
      <c r="D537" s="36" t="n"/>
      <c r="E537" s="36" t="n"/>
      <c r="F537" s="42" t="n"/>
      <c r="G537" s="36" t="n"/>
      <c r="H537" s="43" t="n"/>
      <c r="I537" s="37" t="n"/>
      <c r="J537" s="44" t="n"/>
      <c r="K537" s="36" t="n"/>
      <c r="L537" s="33">
        <f>IF(C537="","",Commercial_Id)</f>
        <v/>
      </c>
      <c r="M537" s="34">
        <f>IF(E537="","",IFERROR(VLOOKUP(E537,T_Produits,2,FALSE),""))</f>
        <v/>
      </c>
      <c r="N537" s="40">
        <f>IF(E537="","",IFERROR(1/(1/VLOOKUP(E537,T_Produits,3,FALSE)),""))</f>
        <v/>
      </c>
      <c r="O537" s="40">
        <f>IF(OR(D537="",F537=""),"",IF(OR(D537="Casse / avarie",D537="Perte / vol",D537="Échantillon offert"),IF(I537&lt;&gt;"",I537,IF(N537="","",F537*N537)),""))</f>
        <v/>
      </c>
      <c r="P537" s="50">
        <f>IF(OR(D537="",F537=""),"",F537*IF(OR(D537="Reçu du magasin",D537="Ajustement (+)"),1,-1))</f>
        <v/>
      </c>
      <c r="Q537" s="34">
        <f>IF(C537="","",YEAR(C537-WEEKDAY(C537,2)+4)&amp;"-S"&amp;TEXT(INT((C537-DATE(YEAR(C537-WEEKDAY(C537,2)+4),1,3)+WEEKDAY(DATE(YEAR(C537-WEEKDAY(C537,2)+4),1,3),2)+5)/7),"00"))</f>
        <v/>
      </c>
    </row>
    <row r="538" ht="18" customHeight="1">
      <c r="A538" s="39" t="n">
        <v>533</v>
      </c>
      <c r="B538" s="33">
        <f>IF(C538="","",IF(L538="À RENSEIGNER","GIC",L538)&amp;"-S"&amp;TEXT(A538,"00000"))</f>
        <v/>
      </c>
      <c r="C538" s="32" t="n"/>
      <c r="D538" s="36" t="n"/>
      <c r="E538" s="36" t="n"/>
      <c r="F538" s="42" t="n"/>
      <c r="G538" s="36" t="n"/>
      <c r="H538" s="43" t="n"/>
      <c r="I538" s="37" t="n"/>
      <c r="J538" s="44" t="n"/>
      <c r="K538" s="36" t="n"/>
      <c r="L538" s="33">
        <f>IF(C538="","",Commercial_Id)</f>
        <v/>
      </c>
      <c r="M538" s="34">
        <f>IF(E538="","",IFERROR(VLOOKUP(E538,T_Produits,2,FALSE),""))</f>
        <v/>
      </c>
      <c r="N538" s="40">
        <f>IF(E538="","",IFERROR(1/(1/VLOOKUP(E538,T_Produits,3,FALSE)),""))</f>
        <v/>
      </c>
      <c r="O538" s="40">
        <f>IF(OR(D538="",F538=""),"",IF(OR(D538="Casse / avarie",D538="Perte / vol",D538="Échantillon offert"),IF(I538&lt;&gt;"",I538,IF(N538="","",F538*N538)),""))</f>
        <v/>
      </c>
      <c r="P538" s="50">
        <f>IF(OR(D538="",F538=""),"",F538*IF(OR(D538="Reçu du magasin",D538="Ajustement (+)"),1,-1))</f>
        <v/>
      </c>
      <c r="Q538" s="34">
        <f>IF(C538="","",YEAR(C538-WEEKDAY(C538,2)+4)&amp;"-S"&amp;TEXT(INT((C538-DATE(YEAR(C538-WEEKDAY(C538,2)+4),1,3)+WEEKDAY(DATE(YEAR(C538-WEEKDAY(C538,2)+4),1,3),2)+5)/7),"00"))</f>
        <v/>
      </c>
    </row>
    <row r="539" ht="18" customHeight="1">
      <c r="A539" s="39" t="n">
        <v>534</v>
      </c>
      <c r="B539" s="33">
        <f>IF(C539="","",IF(L539="À RENSEIGNER","GIC",L539)&amp;"-S"&amp;TEXT(A539,"00000"))</f>
        <v/>
      </c>
      <c r="C539" s="32" t="n"/>
      <c r="D539" s="36" t="n"/>
      <c r="E539" s="36" t="n"/>
      <c r="F539" s="42" t="n"/>
      <c r="G539" s="36" t="n"/>
      <c r="H539" s="43" t="n"/>
      <c r="I539" s="37" t="n"/>
      <c r="J539" s="44" t="n"/>
      <c r="K539" s="36" t="n"/>
      <c r="L539" s="33">
        <f>IF(C539="","",Commercial_Id)</f>
        <v/>
      </c>
      <c r="M539" s="34">
        <f>IF(E539="","",IFERROR(VLOOKUP(E539,T_Produits,2,FALSE),""))</f>
        <v/>
      </c>
      <c r="N539" s="40">
        <f>IF(E539="","",IFERROR(1/(1/VLOOKUP(E539,T_Produits,3,FALSE)),""))</f>
        <v/>
      </c>
      <c r="O539" s="40">
        <f>IF(OR(D539="",F539=""),"",IF(OR(D539="Casse / avarie",D539="Perte / vol",D539="Échantillon offert"),IF(I539&lt;&gt;"",I539,IF(N539="","",F539*N539)),""))</f>
        <v/>
      </c>
      <c r="P539" s="50">
        <f>IF(OR(D539="",F539=""),"",F539*IF(OR(D539="Reçu du magasin",D539="Ajustement (+)"),1,-1))</f>
        <v/>
      </c>
      <c r="Q539" s="34">
        <f>IF(C539="","",YEAR(C539-WEEKDAY(C539,2)+4)&amp;"-S"&amp;TEXT(INT((C539-DATE(YEAR(C539-WEEKDAY(C539,2)+4),1,3)+WEEKDAY(DATE(YEAR(C539-WEEKDAY(C539,2)+4),1,3),2)+5)/7),"00"))</f>
        <v/>
      </c>
    </row>
    <row r="540" ht="18" customHeight="1">
      <c r="A540" s="39" t="n">
        <v>535</v>
      </c>
      <c r="B540" s="33">
        <f>IF(C540="","",IF(L540="À RENSEIGNER","GIC",L540)&amp;"-S"&amp;TEXT(A540,"00000"))</f>
        <v/>
      </c>
      <c r="C540" s="32" t="n"/>
      <c r="D540" s="36" t="n"/>
      <c r="E540" s="36" t="n"/>
      <c r="F540" s="42" t="n"/>
      <c r="G540" s="36" t="n"/>
      <c r="H540" s="43" t="n"/>
      <c r="I540" s="37" t="n"/>
      <c r="J540" s="44" t="n"/>
      <c r="K540" s="36" t="n"/>
      <c r="L540" s="33">
        <f>IF(C540="","",Commercial_Id)</f>
        <v/>
      </c>
      <c r="M540" s="34">
        <f>IF(E540="","",IFERROR(VLOOKUP(E540,T_Produits,2,FALSE),""))</f>
        <v/>
      </c>
      <c r="N540" s="40">
        <f>IF(E540="","",IFERROR(1/(1/VLOOKUP(E540,T_Produits,3,FALSE)),""))</f>
        <v/>
      </c>
      <c r="O540" s="40">
        <f>IF(OR(D540="",F540=""),"",IF(OR(D540="Casse / avarie",D540="Perte / vol",D540="Échantillon offert"),IF(I540&lt;&gt;"",I540,IF(N540="","",F540*N540)),""))</f>
        <v/>
      </c>
      <c r="P540" s="50">
        <f>IF(OR(D540="",F540=""),"",F540*IF(OR(D540="Reçu du magasin",D540="Ajustement (+)"),1,-1))</f>
        <v/>
      </c>
      <c r="Q540" s="34">
        <f>IF(C540="","",YEAR(C540-WEEKDAY(C540,2)+4)&amp;"-S"&amp;TEXT(INT((C540-DATE(YEAR(C540-WEEKDAY(C540,2)+4),1,3)+WEEKDAY(DATE(YEAR(C540-WEEKDAY(C540,2)+4),1,3),2)+5)/7),"00"))</f>
        <v/>
      </c>
    </row>
    <row r="541" ht="18" customHeight="1">
      <c r="A541" s="39" t="n">
        <v>536</v>
      </c>
      <c r="B541" s="33">
        <f>IF(C541="","",IF(L541="À RENSEIGNER","GIC",L541)&amp;"-S"&amp;TEXT(A541,"00000"))</f>
        <v/>
      </c>
      <c r="C541" s="32" t="n"/>
      <c r="D541" s="36" t="n"/>
      <c r="E541" s="36" t="n"/>
      <c r="F541" s="42" t="n"/>
      <c r="G541" s="36" t="n"/>
      <c r="H541" s="43" t="n"/>
      <c r="I541" s="37" t="n"/>
      <c r="J541" s="44" t="n"/>
      <c r="K541" s="36" t="n"/>
      <c r="L541" s="33">
        <f>IF(C541="","",Commercial_Id)</f>
        <v/>
      </c>
      <c r="M541" s="34">
        <f>IF(E541="","",IFERROR(VLOOKUP(E541,T_Produits,2,FALSE),""))</f>
        <v/>
      </c>
      <c r="N541" s="40">
        <f>IF(E541="","",IFERROR(1/(1/VLOOKUP(E541,T_Produits,3,FALSE)),""))</f>
        <v/>
      </c>
      <c r="O541" s="40">
        <f>IF(OR(D541="",F541=""),"",IF(OR(D541="Casse / avarie",D541="Perte / vol",D541="Échantillon offert"),IF(I541&lt;&gt;"",I541,IF(N541="","",F541*N541)),""))</f>
        <v/>
      </c>
      <c r="P541" s="50">
        <f>IF(OR(D541="",F541=""),"",F541*IF(OR(D541="Reçu du magasin",D541="Ajustement (+)"),1,-1))</f>
        <v/>
      </c>
      <c r="Q541" s="34">
        <f>IF(C541="","",YEAR(C541-WEEKDAY(C541,2)+4)&amp;"-S"&amp;TEXT(INT((C541-DATE(YEAR(C541-WEEKDAY(C541,2)+4),1,3)+WEEKDAY(DATE(YEAR(C541-WEEKDAY(C541,2)+4),1,3),2)+5)/7),"00"))</f>
        <v/>
      </c>
    </row>
    <row r="542" ht="18" customHeight="1">
      <c r="A542" s="39" t="n">
        <v>537</v>
      </c>
      <c r="B542" s="33">
        <f>IF(C542="","",IF(L542="À RENSEIGNER","GIC",L542)&amp;"-S"&amp;TEXT(A542,"00000"))</f>
        <v/>
      </c>
      <c r="C542" s="32" t="n"/>
      <c r="D542" s="36" t="n"/>
      <c r="E542" s="36" t="n"/>
      <c r="F542" s="42" t="n"/>
      <c r="G542" s="36" t="n"/>
      <c r="H542" s="43" t="n"/>
      <c r="I542" s="37" t="n"/>
      <c r="J542" s="44" t="n"/>
      <c r="K542" s="36" t="n"/>
      <c r="L542" s="33">
        <f>IF(C542="","",Commercial_Id)</f>
        <v/>
      </c>
      <c r="M542" s="34">
        <f>IF(E542="","",IFERROR(VLOOKUP(E542,T_Produits,2,FALSE),""))</f>
        <v/>
      </c>
      <c r="N542" s="40">
        <f>IF(E542="","",IFERROR(1/(1/VLOOKUP(E542,T_Produits,3,FALSE)),""))</f>
        <v/>
      </c>
      <c r="O542" s="40">
        <f>IF(OR(D542="",F542=""),"",IF(OR(D542="Casse / avarie",D542="Perte / vol",D542="Échantillon offert"),IF(I542&lt;&gt;"",I542,IF(N542="","",F542*N542)),""))</f>
        <v/>
      </c>
      <c r="P542" s="50">
        <f>IF(OR(D542="",F542=""),"",F542*IF(OR(D542="Reçu du magasin",D542="Ajustement (+)"),1,-1))</f>
        <v/>
      </c>
      <c r="Q542" s="34">
        <f>IF(C542="","",YEAR(C542-WEEKDAY(C542,2)+4)&amp;"-S"&amp;TEXT(INT((C542-DATE(YEAR(C542-WEEKDAY(C542,2)+4),1,3)+WEEKDAY(DATE(YEAR(C542-WEEKDAY(C542,2)+4),1,3),2)+5)/7),"00"))</f>
        <v/>
      </c>
    </row>
    <row r="543" ht="18" customHeight="1">
      <c r="A543" s="39" t="n">
        <v>538</v>
      </c>
      <c r="B543" s="33">
        <f>IF(C543="","",IF(L543="À RENSEIGNER","GIC",L543)&amp;"-S"&amp;TEXT(A543,"00000"))</f>
        <v/>
      </c>
      <c r="C543" s="32" t="n"/>
      <c r="D543" s="36" t="n"/>
      <c r="E543" s="36" t="n"/>
      <c r="F543" s="42" t="n"/>
      <c r="G543" s="36" t="n"/>
      <c r="H543" s="43" t="n"/>
      <c r="I543" s="37" t="n"/>
      <c r="J543" s="44" t="n"/>
      <c r="K543" s="36" t="n"/>
      <c r="L543" s="33">
        <f>IF(C543="","",Commercial_Id)</f>
        <v/>
      </c>
      <c r="M543" s="34">
        <f>IF(E543="","",IFERROR(VLOOKUP(E543,T_Produits,2,FALSE),""))</f>
        <v/>
      </c>
      <c r="N543" s="40">
        <f>IF(E543="","",IFERROR(1/(1/VLOOKUP(E543,T_Produits,3,FALSE)),""))</f>
        <v/>
      </c>
      <c r="O543" s="40">
        <f>IF(OR(D543="",F543=""),"",IF(OR(D543="Casse / avarie",D543="Perte / vol",D543="Échantillon offert"),IF(I543&lt;&gt;"",I543,IF(N543="","",F543*N543)),""))</f>
        <v/>
      </c>
      <c r="P543" s="50">
        <f>IF(OR(D543="",F543=""),"",F543*IF(OR(D543="Reçu du magasin",D543="Ajustement (+)"),1,-1))</f>
        <v/>
      </c>
      <c r="Q543" s="34">
        <f>IF(C543="","",YEAR(C543-WEEKDAY(C543,2)+4)&amp;"-S"&amp;TEXT(INT((C543-DATE(YEAR(C543-WEEKDAY(C543,2)+4),1,3)+WEEKDAY(DATE(YEAR(C543-WEEKDAY(C543,2)+4),1,3),2)+5)/7),"00"))</f>
        <v/>
      </c>
    </row>
    <row r="544" ht="18" customHeight="1">
      <c r="A544" s="39" t="n">
        <v>539</v>
      </c>
      <c r="B544" s="33">
        <f>IF(C544="","",IF(L544="À RENSEIGNER","GIC",L544)&amp;"-S"&amp;TEXT(A544,"00000"))</f>
        <v/>
      </c>
      <c r="C544" s="32" t="n"/>
      <c r="D544" s="36" t="n"/>
      <c r="E544" s="36" t="n"/>
      <c r="F544" s="42" t="n"/>
      <c r="G544" s="36" t="n"/>
      <c r="H544" s="43" t="n"/>
      <c r="I544" s="37" t="n"/>
      <c r="J544" s="44" t="n"/>
      <c r="K544" s="36" t="n"/>
      <c r="L544" s="33">
        <f>IF(C544="","",Commercial_Id)</f>
        <v/>
      </c>
      <c r="M544" s="34">
        <f>IF(E544="","",IFERROR(VLOOKUP(E544,T_Produits,2,FALSE),""))</f>
        <v/>
      </c>
      <c r="N544" s="40">
        <f>IF(E544="","",IFERROR(1/(1/VLOOKUP(E544,T_Produits,3,FALSE)),""))</f>
        <v/>
      </c>
      <c r="O544" s="40">
        <f>IF(OR(D544="",F544=""),"",IF(OR(D544="Casse / avarie",D544="Perte / vol",D544="Échantillon offert"),IF(I544&lt;&gt;"",I544,IF(N544="","",F544*N544)),""))</f>
        <v/>
      </c>
      <c r="P544" s="50">
        <f>IF(OR(D544="",F544=""),"",F544*IF(OR(D544="Reçu du magasin",D544="Ajustement (+)"),1,-1))</f>
        <v/>
      </c>
      <c r="Q544" s="34">
        <f>IF(C544="","",YEAR(C544-WEEKDAY(C544,2)+4)&amp;"-S"&amp;TEXT(INT((C544-DATE(YEAR(C544-WEEKDAY(C544,2)+4),1,3)+WEEKDAY(DATE(YEAR(C544-WEEKDAY(C544,2)+4),1,3),2)+5)/7),"00"))</f>
        <v/>
      </c>
    </row>
    <row r="545" ht="18" customHeight="1">
      <c r="A545" s="39" t="n">
        <v>540</v>
      </c>
      <c r="B545" s="33">
        <f>IF(C545="","",IF(L545="À RENSEIGNER","GIC",L545)&amp;"-S"&amp;TEXT(A545,"00000"))</f>
        <v/>
      </c>
      <c r="C545" s="32" t="n"/>
      <c r="D545" s="36" t="n"/>
      <c r="E545" s="36" t="n"/>
      <c r="F545" s="42" t="n"/>
      <c r="G545" s="36" t="n"/>
      <c r="H545" s="43" t="n"/>
      <c r="I545" s="37" t="n"/>
      <c r="J545" s="44" t="n"/>
      <c r="K545" s="36" t="n"/>
      <c r="L545" s="33">
        <f>IF(C545="","",Commercial_Id)</f>
        <v/>
      </c>
      <c r="M545" s="34">
        <f>IF(E545="","",IFERROR(VLOOKUP(E545,T_Produits,2,FALSE),""))</f>
        <v/>
      </c>
      <c r="N545" s="40">
        <f>IF(E545="","",IFERROR(1/(1/VLOOKUP(E545,T_Produits,3,FALSE)),""))</f>
        <v/>
      </c>
      <c r="O545" s="40">
        <f>IF(OR(D545="",F545=""),"",IF(OR(D545="Casse / avarie",D545="Perte / vol",D545="Échantillon offert"),IF(I545&lt;&gt;"",I545,IF(N545="","",F545*N545)),""))</f>
        <v/>
      </c>
      <c r="P545" s="50">
        <f>IF(OR(D545="",F545=""),"",F545*IF(OR(D545="Reçu du magasin",D545="Ajustement (+)"),1,-1))</f>
        <v/>
      </c>
      <c r="Q545" s="34">
        <f>IF(C545="","",YEAR(C545-WEEKDAY(C545,2)+4)&amp;"-S"&amp;TEXT(INT((C545-DATE(YEAR(C545-WEEKDAY(C545,2)+4),1,3)+WEEKDAY(DATE(YEAR(C545-WEEKDAY(C545,2)+4),1,3),2)+5)/7),"00"))</f>
        <v/>
      </c>
    </row>
    <row r="546" ht="18" customHeight="1">
      <c r="A546" s="39" t="n">
        <v>541</v>
      </c>
      <c r="B546" s="33">
        <f>IF(C546="","",IF(L546="À RENSEIGNER","GIC",L546)&amp;"-S"&amp;TEXT(A546,"00000"))</f>
        <v/>
      </c>
      <c r="C546" s="32" t="n"/>
      <c r="D546" s="36" t="n"/>
      <c r="E546" s="36" t="n"/>
      <c r="F546" s="42" t="n"/>
      <c r="G546" s="36" t="n"/>
      <c r="H546" s="43" t="n"/>
      <c r="I546" s="37" t="n"/>
      <c r="J546" s="44" t="n"/>
      <c r="K546" s="36" t="n"/>
      <c r="L546" s="33">
        <f>IF(C546="","",Commercial_Id)</f>
        <v/>
      </c>
      <c r="M546" s="34">
        <f>IF(E546="","",IFERROR(VLOOKUP(E546,T_Produits,2,FALSE),""))</f>
        <v/>
      </c>
      <c r="N546" s="40">
        <f>IF(E546="","",IFERROR(1/(1/VLOOKUP(E546,T_Produits,3,FALSE)),""))</f>
        <v/>
      </c>
      <c r="O546" s="40">
        <f>IF(OR(D546="",F546=""),"",IF(OR(D546="Casse / avarie",D546="Perte / vol",D546="Échantillon offert"),IF(I546&lt;&gt;"",I546,IF(N546="","",F546*N546)),""))</f>
        <v/>
      </c>
      <c r="P546" s="50">
        <f>IF(OR(D546="",F546=""),"",F546*IF(OR(D546="Reçu du magasin",D546="Ajustement (+)"),1,-1))</f>
        <v/>
      </c>
      <c r="Q546" s="34">
        <f>IF(C546="","",YEAR(C546-WEEKDAY(C546,2)+4)&amp;"-S"&amp;TEXT(INT((C546-DATE(YEAR(C546-WEEKDAY(C546,2)+4),1,3)+WEEKDAY(DATE(YEAR(C546-WEEKDAY(C546,2)+4),1,3),2)+5)/7),"00"))</f>
        <v/>
      </c>
    </row>
    <row r="547" ht="18" customHeight="1">
      <c r="A547" s="39" t="n">
        <v>542</v>
      </c>
      <c r="B547" s="33">
        <f>IF(C547="","",IF(L547="À RENSEIGNER","GIC",L547)&amp;"-S"&amp;TEXT(A547,"00000"))</f>
        <v/>
      </c>
      <c r="C547" s="32" t="n"/>
      <c r="D547" s="36" t="n"/>
      <c r="E547" s="36" t="n"/>
      <c r="F547" s="42" t="n"/>
      <c r="G547" s="36" t="n"/>
      <c r="H547" s="43" t="n"/>
      <c r="I547" s="37" t="n"/>
      <c r="J547" s="44" t="n"/>
      <c r="K547" s="36" t="n"/>
      <c r="L547" s="33">
        <f>IF(C547="","",Commercial_Id)</f>
        <v/>
      </c>
      <c r="M547" s="34">
        <f>IF(E547="","",IFERROR(VLOOKUP(E547,T_Produits,2,FALSE),""))</f>
        <v/>
      </c>
      <c r="N547" s="40">
        <f>IF(E547="","",IFERROR(1/(1/VLOOKUP(E547,T_Produits,3,FALSE)),""))</f>
        <v/>
      </c>
      <c r="O547" s="40">
        <f>IF(OR(D547="",F547=""),"",IF(OR(D547="Casse / avarie",D547="Perte / vol",D547="Échantillon offert"),IF(I547&lt;&gt;"",I547,IF(N547="","",F547*N547)),""))</f>
        <v/>
      </c>
      <c r="P547" s="50">
        <f>IF(OR(D547="",F547=""),"",F547*IF(OR(D547="Reçu du magasin",D547="Ajustement (+)"),1,-1))</f>
        <v/>
      </c>
      <c r="Q547" s="34">
        <f>IF(C547="","",YEAR(C547-WEEKDAY(C547,2)+4)&amp;"-S"&amp;TEXT(INT((C547-DATE(YEAR(C547-WEEKDAY(C547,2)+4),1,3)+WEEKDAY(DATE(YEAR(C547-WEEKDAY(C547,2)+4),1,3),2)+5)/7),"00"))</f>
        <v/>
      </c>
    </row>
    <row r="548" ht="18" customHeight="1">
      <c r="A548" s="39" t="n">
        <v>543</v>
      </c>
      <c r="B548" s="33">
        <f>IF(C548="","",IF(L548="À RENSEIGNER","GIC",L548)&amp;"-S"&amp;TEXT(A548,"00000"))</f>
        <v/>
      </c>
      <c r="C548" s="32" t="n"/>
      <c r="D548" s="36" t="n"/>
      <c r="E548" s="36" t="n"/>
      <c r="F548" s="42" t="n"/>
      <c r="G548" s="36" t="n"/>
      <c r="H548" s="43" t="n"/>
      <c r="I548" s="37" t="n"/>
      <c r="J548" s="44" t="n"/>
      <c r="K548" s="36" t="n"/>
      <c r="L548" s="33">
        <f>IF(C548="","",Commercial_Id)</f>
        <v/>
      </c>
      <c r="M548" s="34">
        <f>IF(E548="","",IFERROR(VLOOKUP(E548,T_Produits,2,FALSE),""))</f>
        <v/>
      </c>
      <c r="N548" s="40">
        <f>IF(E548="","",IFERROR(1/(1/VLOOKUP(E548,T_Produits,3,FALSE)),""))</f>
        <v/>
      </c>
      <c r="O548" s="40">
        <f>IF(OR(D548="",F548=""),"",IF(OR(D548="Casse / avarie",D548="Perte / vol",D548="Échantillon offert"),IF(I548&lt;&gt;"",I548,IF(N548="","",F548*N548)),""))</f>
        <v/>
      </c>
      <c r="P548" s="50">
        <f>IF(OR(D548="",F548=""),"",F548*IF(OR(D548="Reçu du magasin",D548="Ajustement (+)"),1,-1))</f>
        <v/>
      </c>
      <c r="Q548" s="34">
        <f>IF(C548="","",YEAR(C548-WEEKDAY(C548,2)+4)&amp;"-S"&amp;TEXT(INT((C548-DATE(YEAR(C548-WEEKDAY(C548,2)+4),1,3)+WEEKDAY(DATE(YEAR(C548-WEEKDAY(C548,2)+4),1,3),2)+5)/7),"00"))</f>
        <v/>
      </c>
    </row>
    <row r="549" ht="18" customHeight="1">
      <c r="A549" s="39" t="n">
        <v>544</v>
      </c>
      <c r="B549" s="33">
        <f>IF(C549="","",IF(L549="À RENSEIGNER","GIC",L549)&amp;"-S"&amp;TEXT(A549,"00000"))</f>
        <v/>
      </c>
      <c r="C549" s="32" t="n"/>
      <c r="D549" s="36" t="n"/>
      <c r="E549" s="36" t="n"/>
      <c r="F549" s="42" t="n"/>
      <c r="G549" s="36" t="n"/>
      <c r="H549" s="43" t="n"/>
      <c r="I549" s="37" t="n"/>
      <c r="J549" s="44" t="n"/>
      <c r="K549" s="36" t="n"/>
      <c r="L549" s="33">
        <f>IF(C549="","",Commercial_Id)</f>
        <v/>
      </c>
      <c r="M549" s="34">
        <f>IF(E549="","",IFERROR(VLOOKUP(E549,T_Produits,2,FALSE),""))</f>
        <v/>
      </c>
      <c r="N549" s="40">
        <f>IF(E549="","",IFERROR(1/(1/VLOOKUP(E549,T_Produits,3,FALSE)),""))</f>
        <v/>
      </c>
      <c r="O549" s="40">
        <f>IF(OR(D549="",F549=""),"",IF(OR(D549="Casse / avarie",D549="Perte / vol",D549="Échantillon offert"),IF(I549&lt;&gt;"",I549,IF(N549="","",F549*N549)),""))</f>
        <v/>
      </c>
      <c r="P549" s="50">
        <f>IF(OR(D549="",F549=""),"",F549*IF(OR(D549="Reçu du magasin",D549="Ajustement (+)"),1,-1))</f>
        <v/>
      </c>
      <c r="Q549" s="34">
        <f>IF(C549="","",YEAR(C549-WEEKDAY(C549,2)+4)&amp;"-S"&amp;TEXT(INT((C549-DATE(YEAR(C549-WEEKDAY(C549,2)+4),1,3)+WEEKDAY(DATE(YEAR(C549-WEEKDAY(C549,2)+4),1,3),2)+5)/7),"00"))</f>
        <v/>
      </c>
    </row>
    <row r="550" ht="18" customHeight="1">
      <c r="A550" s="39" t="n">
        <v>545</v>
      </c>
      <c r="B550" s="33">
        <f>IF(C550="","",IF(L550="À RENSEIGNER","GIC",L550)&amp;"-S"&amp;TEXT(A550,"00000"))</f>
        <v/>
      </c>
      <c r="C550" s="32" t="n"/>
      <c r="D550" s="36" t="n"/>
      <c r="E550" s="36" t="n"/>
      <c r="F550" s="42" t="n"/>
      <c r="G550" s="36" t="n"/>
      <c r="H550" s="43" t="n"/>
      <c r="I550" s="37" t="n"/>
      <c r="J550" s="44" t="n"/>
      <c r="K550" s="36" t="n"/>
      <c r="L550" s="33">
        <f>IF(C550="","",Commercial_Id)</f>
        <v/>
      </c>
      <c r="M550" s="34">
        <f>IF(E550="","",IFERROR(VLOOKUP(E550,T_Produits,2,FALSE),""))</f>
        <v/>
      </c>
      <c r="N550" s="40">
        <f>IF(E550="","",IFERROR(1/(1/VLOOKUP(E550,T_Produits,3,FALSE)),""))</f>
        <v/>
      </c>
      <c r="O550" s="40">
        <f>IF(OR(D550="",F550=""),"",IF(OR(D550="Casse / avarie",D550="Perte / vol",D550="Échantillon offert"),IF(I550&lt;&gt;"",I550,IF(N550="","",F550*N550)),""))</f>
        <v/>
      </c>
      <c r="P550" s="50">
        <f>IF(OR(D550="",F550=""),"",F550*IF(OR(D550="Reçu du magasin",D550="Ajustement (+)"),1,-1))</f>
        <v/>
      </c>
      <c r="Q550" s="34">
        <f>IF(C550="","",YEAR(C550-WEEKDAY(C550,2)+4)&amp;"-S"&amp;TEXT(INT((C550-DATE(YEAR(C550-WEEKDAY(C550,2)+4),1,3)+WEEKDAY(DATE(YEAR(C550-WEEKDAY(C550,2)+4),1,3),2)+5)/7),"00"))</f>
        <v/>
      </c>
    </row>
    <row r="551" ht="18" customHeight="1">
      <c r="A551" s="39" t="n">
        <v>546</v>
      </c>
      <c r="B551" s="33">
        <f>IF(C551="","",IF(L551="À RENSEIGNER","GIC",L551)&amp;"-S"&amp;TEXT(A551,"00000"))</f>
        <v/>
      </c>
      <c r="C551" s="32" t="n"/>
      <c r="D551" s="36" t="n"/>
      <c r="E551" s="36" t="n"/>
      <c r="F551" s="42" t="n"/>
      <c r="G551" s="36" t="n"/>
      <c r="H551" s="43" t="n"/>
      <c r="I551" s="37" t="n"/>
      <c r="J551" s="44" t="n"/>
      <c r="K551" s="36" t="n"/>
      <c r="L551" s="33">
        <f>IF(C551="","",Commercial_Id)</f>
        <v/>
      </c>
      <c r="M551" s="34">
        <f>IF(E551="","",IFERROR(VLOOKUP(E551,T_Produits,2,FALSE),""))</f>
        <v/>
      </c>
      <c r="N551" s="40">
        <f>IF(E551="","",IFERROR(1/(1/VLOOKUP(E551,T_Produits,3,FALSE)),""))</f>
        <v/>
      </c>
      <c r="O551" s="40">
        <f>IF(OR(D551="",F551=""),"",IF(OR(D551="Casse / avarie",D551="Perte / vol",D551="Échantillon offert"),IF(I551&lt;&gt;"",I551,IF(N551="","",F551*N551)),""))</f>
        <v/>
      </c>
      <c r="P551" s="50">
        <f>IF(OR(D551="",F551=""),"",F551*IF(OR(D551="Reçu du magasin",D551="Ajustement (+)"),1,-1))</f>
        <v/>
      </c>
      <c r="Q551" s="34">
        <f>IF(C551="","",YEAR(C551-WEEKDAY(C551,2)+4)&amp;"-S"&amp;TEXT(INT((C551-DATE(YEAR(C551-WEEKDAY(C551,2)+4),1,3)+WEEKDAY(DATE(YEAR(C551-WEEKDAY(C551,2)+4),1,3),2)+5)/7),"00"))</f>
        <v/>
      </c>
    </row>
    <row r="552" ht="18" customHeight="1">
      <c r="A552" s="39" t="n">
        <v>547</v>
      </c>
      <c r="B552" s="33">
        <f>IF(C552="","",IF(L552="À RENSEIGNER","GIC",L552)&amp;"-S"&amp;TEXT(A552,"00000"))</f>
        <v/>
      </c>
      <c r="C552" s="32" t="n"/>
      <c r="D552" s="36" t="n"/>
      <c r="E552" s="36" t="n"/>
      <c r="F552" s="42" t="n"/>
      <c r="G552" s="36" t="n"/>
      <c r="H552" s="43" t="n"/>
      <c r="I552" s="37" t="n"/>
      <c r="J552" s="44" t="n"/>
      <c r="K552" s="36" t="n"/>
      <c r="L552" s="33">
        <f>IF(C552="","",Commercial_Id)</f>
        <v/>
      </c>
      <c r="M552" s="34">
        <f>IF(E552="","",IFERROR(VLOOKUP(E552,T_Produits,2,FALSE),""))</f>
        <v/>
      </c>
      <c r="N552" s="40">
        <f>IF(E552="","",IFERROR(1/(1/VLOOKUP(E552,T_Produits,3,FALSE)),""))</f>
        <v/>
      </c>
      <c r="O552" s="40">
        <f>IF(OR(D552="",F552=""),"",IF(OR(D552="Casse / avarie",D552="Perte / vol",D552="Échantillon offert"),IF(I552&lt;&gt;"",I552,IF(N552="","",F552*N552)),""))</f>
        <v/>
      </c>
      <c r="P552" s="50">
        <f>IF(OR(D552="",F552=""),"",F552*IF(OR(D552="Reçu du magasin",D552="Ajustement (+)"),1,-1))</f>
        <v/>
      </c>
      <c r="Q552" s="34">
        <f>IF(C552="","",YEAR(C552-WEEKDAY(C552,2)+4)&amp;"-S"&amp;TEXT(INT((C552-DATE(YEAR(C552-WEEKDAY(C552,2)+4),1,3)+WEEKDAY(DATE(YEAR(C552-WEEKDAY(C552,2)+4),1,3),2)+5)/7),"00"))</f>
        <v/>
      </c>
    </row>
    <row r="553" ht="18" customHeight="1">
      <c r="A553" s="39" t="n">
        <v>548</v>
      </c>
      <c r="B553" s="33">
        <f>IF(C553="","",IF(L553="À RENSEIGNER","GIC",L553)&amp;"-S"&amp;TEXT(A553,"00000"))</f>
        <v/>
      </c>
      <c r="C553" s="32" t="n"/>
      <c r="D553" s="36" t="n"/>
      <c r="E553" s="36" t="n"/>
      <c r="F553" s="42" t="n"/>
      <c r="G553" s="36" t="n"/>
      <c r="H553" s="43" t="n"/>
      <c r="I553" s="37" t="n"/>
      <c r="J553" s="44" t="n"/>
      <c r="K553" s="36" t="n"/>
      <c r="L553" s="33">
        <f>IF(C553="","",Commercial_Id)</f>
        <v/>
      </c>
      <c r="M553" s="34">
        <f>IF(E553="","",IFERROR(VLOOKUP(E553,T_Produits,2,FALSE),""))</f>
        <v/>
      </c>
      <c r="N553" s="40">
        <f>IF(E553="","",IFERROR(1/(1/VLOOKUP(E553,T_Produits,3,FALSE)),""))</f>
        <v/>
      </c>
      <c r="O553" s="40">
        <f>IF(OR(D553="",F553=""),"",IF(OR(D553="Casse / avarie",D553="Perte / vol",D553="Échantillon offert"),IF(I553&lt;&gt;"",I553,IF(N553="","",F553*N553)),""))</f>
        <v/>
      </c>
      <c r="P553" s="50">
        <f>IF(OR(D553="",F553=""),"",F553*IF(OR(D553="Reçu du magasin",D553="Ajustement (+)"),1,-1))</f>
        <v/>
      </c>
      <c r="Q553" s="34">
        <f>IF(C553="","",YEAR(C553-WEEKDAY(C553,2)+4)&amp;"-S"&amp;TEXT(INT((C553-DATE(YEAR(C553-WEEKDAY(C553,2)+4),1,3)+WEEKDAY(DATE(YEAR(C553-WEEKDAY(C553,2)+4),1,3),2)+5)/7),"00"))</f>
        <v/>
      </c>
    </row>
    <row r="554" ht="18" customHeight="1">
      <c r="A554" s="39" t="n">
        <v>549</v>
      </c>
      <c r="B554" s="33">
        <f>IF(C554="","",IF(L554="À RENSEIGNER","GIC",L554)&amp;"-S"&amp;TEXT(A554,"00000"))</f>
        <v/>
      </c>
      <c r="C554" s="32" t="n"/>
      <c r="D554" s="36" t="n"/>
      <c r="E554" s="36" t="n"/>
      <c r="F554" s="42" t="n"/>
      <c r="G554" s="36" t="n"/>
      <c r="H554" s="43" t="n"/>
      <c r="I554" s="37" t="n"/>
      <c r="J554" s="44" t="n"/>
      <c r="K554" s="36" t="n"/>
      <c r="L554" s="33">
        <f>IF(C554="","",Commercial_Id)</f>
        <v/>
      </c>
      <c r="M554" s="34">
        <f>IF(E554="","",IFERROR(VLOOKUP(E554,T_Produits,2,FALSE),""))</f>
        <v/>
      </c>
      <c r="N554" s="40">
        <f>IF(E554="","",IFERROR(1/(1/VLOOKUP(E554,T_Produits,3,FALSE)),""))</f>
        <v/>
      </c>
      <c r="O554" s="40">
        <f>IF(OR(D554="",F554=""),"",IF(OR(D554="Casse / avarie",D554="Perte / vol",D554="Échantillon offert"),IF(I554&lt;&gt;"",I554,IF(N554="","",F554*N554)),""))</f>
        <v/>
      </c>
      <c r="P554" s="50">
        <f>IF(OR(D554="",F554=""),"",F554*IF(OR(D554="Reçu du magasin",D554="Ajustement (+)"),1,-1))</f>
        <v/>
      </c>
      <c r="Q554" s="34">
        <f>IF(C554="","",YEAR(C554-WEEKDAY(C554,2)+4)&amp;"-S"&amp;TEXT(INT((C554-DATE(YEAR(C554-WEEKDAY(C554,2)+4),1,3)+WEEKDAY(DATE(YEAR(C554-WEEKDAY(C554,2)+4),1,3),2)+5)/7),"00"))</f>
        <v/>
      </c>
    </row>
    <row r="555" ht="18" customHeight="1">
      <c r="A555" s="39" t="n">
        <v>550</v>
      </c>
      <c r="B555" s="33">
        <f>IF(C555="","",IF(L555="À RENSEIGNER","GIC",L555)&amp;"-S"&amp;TEXT(A555,"00000"))</f>
        <v/>
      </c>
      <c r="C555" s="32" t="n"/>
      <c r="D555" s="36" t="n"/>
      <c r="E555" s="36" t="n"/>
      <c r="F555" s="42" t="n"/>
      <c r="G555" s="36" t="n"/>
      <c r="H555" s="43" t="n"/>
      <c r="I555" s="37" t="n"/>
      <c r="J555" s="44" t="n"/>
      <c r="K555" s="36" t="n"/>
      <c r="L555" s="33">
        <f>IF(C555="","",Commercial_Id)</f>
        <v/>
      </c>
      <c r="M555" s="34">
        <f>IF(E555="","",IFERROR(VLOOKUP(E555,T_Produits,2,FALSE),""))</f>
        <v/>
      </c>
      <c r="N555" s="40">
        <f>IF(E555="","",IFERROR(1/(1/VLOOKUP(E555,T_Produits,3,FALSE)),""))</f>
        <v/>
      </c>
      <c r="O555" s="40">
        <f>IF(OR(D555="",F555=""),"",IF(OR(D555="Casse / avarie",D555="Perte / vol",D555="Échantillon offert"),IF(I555&lt;&gt;"",I555,IF(N555="","",F555*N555)),""))</f>
        <v/>
      </c>
      <c r="P555" s="50">
        <f>IF(OR(D555="",F555=""),"",F555*IF(OR(D555="Reçu du magasin",D555="Ajustement (+)"),1,-1))</f>
        <v/>
      </c>
      <c r="Q555" s="34">
        <f>IF(C555="","",YEAR(C555-WEEKDAY(C555,2)+4)&amp;"-S"&amp;TEXT(INT((C555-DATE(YEAR(C555-WEEKDAY(C555,2)+4),1,3)+WEEKDAY(DATE(YEAR(C555-WEEKDAY(C555,2)+4),1,3),2)+5)/7),"00"))</f>
        <v/>
      </c>
    </row>
    <row r="556" ht="18" customHeight="1">
      <c r="A556" s="39" t="n">
        <v>551</v>
      </c>
      <c r="B556" s="33">
        <f>IF(C556="","",IF(L556="À RENSEIGNER","GIC",L556)&amp;"-S"&amp;TEXT(A556,"00000"))</f>
        <v/>
      </c>
      <c r="C556" s="32" t="n"/>
      <c r="D556" s="36" t="n"/>
      <c r="E556" s="36" t="n"/>
      <c r="F556" s="42" t="n"/>
      <c r="G556" s="36" t="n"/>
      <c r="H556" s="43" t="n"/>
      <c r="I556" s="37" t="n"/>
      <c r="J556" s="44" t="n"/>
      <c r="K556" s="36" t="n"/>
      <c r="L556" s="33">
        <f>IF(C556="","",Commercial_Id)</f>
        <v/>
      </c>
      <c r="M556" s="34">
        <f>IF(E556="","",IFERROR(VLOOKUP(E556,T_Produits,2,FALSE),""))</f>
        <v/>
      </c>
      <c r="N556" s="40">
        <f>IF(E556="","",IFERROR(1/(1/VLOOKUP(E556,T_Produits,3,FALSE)),""))</f>
        <v/>
      </c>
      <c r="O556" s="40">
        <f>IF(OR(D556="",F556=""),"",IF(OR(D556="Casse / avarie",D556="Perte / vol",D556="Échantillon offert"),IF(I556&lt;&gt;"",I556,IF(N556="","",F556*N556)),""))</f>
        <v/>
      </c>
      <c r="P556" s="50">
        <f>IF(OR(D556="",F556=""),"",F556*IF(OR(D556="Reçu du magasin",D556="Ajustement (+)"),1,-1))</f>
        <v/>
      </c>
      <c r="Q556" s="34">
        <f>IF(C556="","",YEAR(C556-WEEKDAY(C556,2)+4)&amp;"-S"&amp;TEXT(INT((C556-DATE(YEAR(C556-WEEKDAY(C556,2)+4),1,3)+WEEKDAY(DATE(YEAR(C556-WEEKDAY(C556,2)+4),1,3),2)+5)/7),"00"))</f>
        <v/>
      </c>
    </row>
    <row r="557" ht="18" customHeight="1">
      <c r="A557" s="39" t="n">
        <v>552</v>
      </c>
      <c r="B557" s="33">
        <f>IF(C557="","",IF(L557="À RENSEIGNER","GIC",L557)&amp;"-S"&amp;TEXT(A557,"00000"))</f>
        <v/>
      </c>
      <c r="C557" s="32" t="n"/>
      <c r="D557" s="36" t="n"/>
      <c r="E557" s="36" t="n"/>
      <c r="F557" s="42" t="n"/>
      <c r="G557" s="36" t="n"/>
      <c r="H557" s="43" t="n"/>
      <c r="I557" s="37" t="n"/>
      <c r="J557" s="44" t="n"/>
      <c r="K557" s="36" t="n"/>
      <c r="L557" s="33">
        <f>IF(C557="","",Commercial_Id)</f>
        <v/>
      </c>
      <c r="M557" s="34">
        <f>IF(E557="","",IFERROR(VLOOKUP(E557,T_Produits,2,FALSE),""))</f>
        <v/>
      </c>
      <c r="N557" s="40">
        <f>IF(E557="","",IFERROR(1/(1/VLOOKUP(E557,T_Produits,3,FALSE)),""))</f>
        <v/>
      </c>
      <c r="O557" s="40">
        <f>IF(OR(D557="",F557=""),"",IF(OR(D557="Casse / avarie",D557="Perte / vol",D557="Échantillon offert"),IF(I557&lt;&gt;"",I557,IF(N557="","",F557*N557)),""))</f>
        <v/>
      </c>
      <c r="P557" s="50">
        <f>IF(OR(D557="",F557=""),"",F557*IF(OR(D557="Reçu du magasin",D557="Ajustement (+)"),1,-1))</f>
        <v/>
      </c>
      <c r="Q557" s="34">
        <f>IF(C557="","",YEAR(C557-WEEKDAY(C557,2)+4)&amp;"-S"&amp;TEXT(INT((C557-DATE(YEAR(C557-WEEKDAY(C557,2)+4),1,3)+WEEKDAY(DATE(YEAR(C557-WEEKDAY(C557,2)+4),1,3),2)+5)/7),"00"))</f>
        <v/>
      </c>
    </row>
    <row r="558" ht="18" customHeight="1">
      <c r="A558" s="39" t="n">
        <v>553</v>
      </c>
      <c r="B558" s="33">
        <f>IF(C558="","",IF(L558="À RENSEIGNER","GIC",L558)&amp;"-S"&amp;TEXT(A558,"00000"))</f>
        <v/>
      </c>
      <c r="C558" s="32" t="n"/>
      <c r="D558" s="36" t="n"/>
      <c r="E558" s="36" t="n"/>
      <c r="F558" s="42" t="n"/>
      <c r="G558" s="36" t="n"/>
      <c r="H558" s="43" t="n"/>
      <c r="I558" s="37" t="n"/>
      <c r="J558" s="44" t="n"/>
      <c r="K558" s="36" t="n"/>
      <c r="L558" s="33">
        <f>IF(C558="","",Commercial_Id)</f>
        <v/>
      </c>
      <c r="M558" s="34">
        <f>IF(E558="","",IFERROR(VLOOKUP(E558,T_Produits,2,FALSE),""))</f>
        <v/>
      </c>
      <c r="N558" s="40">
        <f>IF(E558="","",IFERROR(1/(1/VLOOKUP(E558,T_Produits,3,FALSE)),""))</f>
        <v/>
      </c>
      <c r="O558" s="40">
        <f>IF(OR(D558="",F558=""),"",IF(OR(D558="Casse / avarie",D558="Perte / vol",D558="Échantillon offert"),IF(I558&lt;&gt;"",I558,IF(N558="","",F558*N558)),""))</f>
        <v/>
      </c>
      <c r="P558" s="50">
        <f>IF(OR(D558="",F558=""),"",F558*IF(OR(D558="Reçu du magasin",D558="Ajustement (+)"),1,-1))</f>
        <v/>
      </c>
      <c r="Q558" s="34">
        <f>IF(C558="","",YEAR(C558-WEEKDAY(C558,2)+4)&amp;"-S"&amp;TEXT(INT((C558-DATE(YEAR(C558-WEEKDAY(C558,2)+4),1,3)+WEEKDAY(DATE(YEAR(C558-WEEKDAY(C558,2)+4),1,3),2)+5)/7),"00"))</f>
        <v/>
      </c>
    </row>
    <row r="559" ht="18" customHeight="1">
      <c r="A559" s="39" t="n">
        <v>554</v>
      </c>
      <c r="B559" s="33">
        <f>IF(C559="","",IF(L559="À RENSEIGNER","GIC",L559)&amp;"-S"&amp;TEXT(A559,"00000"))</f>
        <v/>
      </c>
      <c r="C559" s="32" t="n"/>
      <c r="D559" s="36" t="n"/>
      <c r="E559" s="36" t="n"/>
      <c r="F559" s="42" t="n"/>
      <c r="G559" s="36" t="n"/>
      <c r="H559" s="43" t="n"/>
      <c r="I559" s="37" t="n"/>
      <c r="J559" s="44" t="n"/>
      <c r="K559" s="36" t="n"/>
      <c r="L559" s="33">
        <f>IF(C559="","",Commercial_Id)</f>
        <v/>
      </c>
      <c r="M559" s="34">
        <f>IF(E559="","",IFERROR(VLOOKUP(E559,T_Produits,2,FALSE),""))</f>
        <v/>
      </c>
      <c r="N559" s="40">
        <f>IF(E559="","",IFERROR(1/(1/VLOOKUP(E559,T_Produits,3,FALSE)),""))</f>
        <v/>
      </c>
      <c r="O559" s="40">
        <f>IF(OR(D559="",F559=""),"",IF(OR(D559="Casse / avarie",D559="Perte / vol",D559="Échantillon offert"),IF(I559&lt;&gt;"",I559,IF(N559="","",F559*N559)),""))</f>
        <v/>
      </c>
      <c r="P559" s="50">
        <f>IF(OR(D559="",F559=""),"",F559*IF(OR(D559="Reçu du magasin",D559="Ajustement (+)"),1,-1))</f>
        <v/>
      </c>
      <c r="Q559" s="34">
        <f>IF(C559="","",YEAR(C559-WEEKDAY(C559,2)+4)&amp;"-S"&amp;TEXT(INT((C559-DATE(YEAR(C559-WEEKDAY(C559,2)+4),1,3)+WEEKDAY(DATE(YEAR(C559-WEEKDAY(C559,2)+4),1,3),2)+5)/7),"00"))</f>
        <v/>
      </c>
    </row>
    <row r="560" ht="18" customHeight="1">
      <c r="A560" s="39" t="n">
        <v>555</v>
      </c>
      <c r="B560" s="33">
        <f>IF(C560="","",IF(L560="À RENSEIGNER","GIC",L560)&amp;"-S"&amp;TEXT(A560,"00000"))</f>
        <v/>
      </c>
      <c r="C560" s="32" t="n"/>
      <c r="D560" s="36" t="n"/>
      <c r="E560" s="36" t="n"/>
      <c r="F560" s="42" t="n"/>
      <c r="G560" s="36" t="n"/>
      <c r="H560" s="43" t="n"/>
      <c r="I560" s="37" t="n"/>
      <c r="J560" s="44" t="n"/>
      <c r="K560" s="36" t="n"/>
      <c r="L560" s="33">
        <f>IF(C560="","",Commercial_Id)</f>
        <v/>
      </c>
      <c r="M560" s="34">
        <f>IF(E560="","",IFERROR(VLOOKUP(E560,T_Produits,2,FALSE),""))</f>
        <v/>
      </c>
      <c r="N560" s="40">
        <f>IF(E560="","",IFERROR(1/(1/VLOOKUP(E560,T_Produits,3,FALSE)),""))</f>
        <v/>
      </c>
      <c r="O560" s="40">
        <f>IF(OR(D560="",F560=""),"",IF(OR(D560="Casse / avarie",D560="Perte / vol",D560="Échantillon offert"),IF(I560&lt;&gt;"",I560,IF(N560="","",F560*N560)),""))</f>
        <v/>
      </c>
      <c r="P560" s="50">
        <f>IF(OR(D560="",F560=""),"",F560*IF(OR(D560="Reçu du magasin",D560="Ajustement (+)"),1,-1))</f>
        <v/>
      </c>
      <c r="Q560" s="34">
        <f>IF(C560="","",YEAR(C560-WEEKDAY(C560,2)+4)&amp;"-S"&amp;TEXT(INT((C560-DATE(YEAR(C560-WEEKDAY(C560,2)+4),1,3)+WEEKDAY(DATE(YEAR(C560-WEEKDAY(C560,2)+4),1,3),2)+5)/7),"00"))</f>
        <v/>
      </c>
    </row>
    <row r="561" ht="18" customHeight="1">
      <c r="A561" s="39" t="n">
        <v>556</v>
      </c>
      <c r="B561" s="33">
        <f>IF(C561="","",IF(L561="À RENSEIGNER","GIC",L561)&amp;"-S"&amp;TEXT(A561,"00000"))</f>
        <v/>
      </c>
      <c r="C561" s="32" t="n"/>
      <c r="D561" s="36" t="n"/>
      <c r="E561" s="36" t="n"/>
      <c r="F561" s="42" t="n"/>
      <c r="G561" s="36" t="n"/>
      <c r="H561" s="43" t="n"/>
      <c r="I561" s="37" t="n"/>
      <c r="J561" s="44" t="n"/>
      <c r="K561" s="36" t="n"/>
      <c r="L561" s="33">
        <f>IF(C561="","",Commercial_Id)</f>
        <v/>
      </c>
      <c r="M561" s="34">
        <f>IF(E561="","",IFERROR(VLOOKUP(E561,T_Produits,2,FALSE),""))</f>
        <v/>
      </c>
      <c r="N561" s="40">
        <f>IF(E561="","",IFERROR(1/(1/VLOOKUP(E561,T_Produits,3,FALSE)),""))</f>
        <v/>
      </c>
      <c r="O561" s="40">
        <f>IF(OR(D561="",F561=""),"",IF(OR(D561="Casse / avarie",D561="Perte / vol",D561="Échantillon offert"),IF(I561&lt;&gt;"",I561,IF(N561="","",F561*N561)),""))</f>
        <v/>
      </c>
      <c r="P561" s="50">
        <f>IF(OR(D561="",F561=""),"",F561*IF(OR(D561="Reçu du magasin",D561="Ajustement (+)"),1,-1))</f>
        <v/>
      </c>
      <c r="Q561" s="34">
        <f>IF(C561="","",YEAR(C561-WEEKDAY(C561,2)+4)&amp;"-S"&amp;TEXT(INT((C561-DATE(YEAR(C561-WEEKDAY(C561,2)+4),1,3)+WEEKDAY(DATE(YEAR(C561-WEEKDAY(C561,2)+4),1,3),2)+5)/7),"00"))</f>
        <v/>
      </c>
    </row>
    <row r="562" ht="18" customHeight="1">
      <c r="A562" s="39" t="n">
        <v>557</v>
      </c>
      <c r="B562" s="33">
        <f>IF(C562="","",IF(L562="À RENSEIGNER","GIC",L562)&amp;"-S"&amp;TEXT(A562,"00000"))</f>
        <v/>
      </c>
      <c r="C562" s="32" t="n"/>
      <c r="D562" s="36" t="n"/>
      <c r="E562" s="36" t="n"/>
      <c r="F562" s="42" t="n"/>
      <c r="G562" s="36" t="n"/>
      <c r="H562" s="43" t="n"/>
      <c r="I562" s="37" t="n"/>
      <c r="J562" s="44" t="n"/>
      <c r="K562" s="36" t="n"/>
      <c r="L562" s="33">
        <f>IF(C562="","",Commercial_Id)</f>
        <v/>
      </c>
      <c r="M562" s="34">
        <f>IF(E562="","",IFERROR(VLOOKUP(E562,T_Produits,2,FALSE),""))</f>
        <v/>
      </c>
      <c r="N562" s="40">
        <f>IF(E562="","",IFERROR(1/(1/VLOOKUP(E562,T_Produits,3,FALSE)),""))</f>
        <v/>
      </c>
      <c r="O562" s="40">
        <f>IF(OR(D562="",F562=""),"",IF(OR(D562="Casse / avarie",D562="Perte / vol",D562="Échantillon offert"),IF(I562&lt;&gt;"",I562,IF(N562="","",F562*N562)),""))</f>
        <v/>
      </c>
      <c r="P562" s="50">
        <f>IF(OR(D562="",F562=""),"",F562*IF(OR(D562="Reçu du magasin",D562="Ajustement (+)"),1,-1))</f>
        <v/>
      </c>
      <c r="Q562" s="34">
        <f>IF(C562="","",YEAR(C562-WEEKDAY(C562,2)+4)&amp;"-S"&amp;TEXT(INT((C562-DATE(YEAR(C562-WEEKDAY(C562,2)+4),1,3)+WEEKDAY(DATE(YEAR(C562-WEEKDAY(C562,2)+4),1,3),2)+5)/7),"00"))</f>
        <v/>
      </c>
    </row>
    <row r="563" ht="18" customHeight="1">
      <c r="A563" s="39" t="n">
        <v>558</v>
      </c>
      <c r="B563" s="33">
        <f>IF(C563="","",IF(L563="À RENSEIGNER","GIC",L563)&amp;"-S"&amp;TEXT(A563,"00000"))</f>
        <v/>
      </c>
      <c r="C563" s="32" t="n"/>
      <c r="D563" s="36" t="n"/>
      <c r="E563" s="36" t="n"/>
      <c r="F563" s="42" t="n"/>
      <c r="G563" s="36" t="n"/>
      <c r="H563" s="43" t="n"/>
      <c r="I563" s="37" t="n"/>
      <c r="J563" s="44" t="n"/>
      <c r="K563" s="36" t="n"/>
      <c r="L563" s="33">
        <f>IF(C563="","",Commercial_Id)</f>
        <v/>
      </c>
      <c r="M563" s="34">
        <f>IF(E563="","",IFERROR(VLOOKUP(E563,T_Produits,2,FALSE),""))</f>
        <v/>
      </c>
      <c r="N563" s="40">
        <f>IF(E563="","",IFERROR(1/(1/VLOOKUP(E563,T_Produits,3,FALSE)),""))</f>
        <v/>
      </c>
      <c r="O563" s="40">
        <f>IF(OR(D563="",F563=""),"",IF(OR(D563="Casse / avarie",D563="Perte / vol",D563="Échantillon offert"),IF(I563&lt;&gt;"",I563,IF(N563="","",F563*N563)),""))</f>
        <v/>
      </c>
      <c r="P563" s="50">
        <f>IF(OR(D563="",F563=""),"",F563*IF(OR(D563="Reçu du magasin",D563="Ajustement (+)"),1,-1))</f>
        <v/>
      </c>
      <c r="Q563" s="34">
        <f>IF(C563="","",YEAR(C563-WEEKDAY(C563,2)+4)&amp;"-S"&amp;TEXT(INT((C563-DATE(YEAR(C563-WEEKDAY(C563,2)+4),1,3)+WEEKDAY(DATE(YEAR(C563-WEEKDAY(C563,2)+4),1,3),2)+5)/7),"00"))</f>
        <v/>
      </c>
    </row>
    <row r="564" ht="18" customHeight="1">
      <c r="A564" s="39" t="n">
        <v>559</v>
      </c>
      <c r="B564" s="33">
        <f>IF(C564="","",IF(L564="À RENSEIGNER","GIC",L564)&amp;"-S"&amp;TEXT(A564,"00000"))</f>
        <v/>
      </c>
      <c r="C564" s="32" t="n"/>
      <c r="D564" s="36" t="n"/>
      <c r="E564" s="36" t="n"/>
      <c r="F564" s="42" t="n"/>
      <c r="G564" s="36" t="n"/>
      <c r="H564" s="43" t="n"/>
      <c r="I564" s="37" t="n"/>
      <c r="J564" s="44" t="n"/>
      <c r="K564" s="36" t="n"/>
      <c r="L564" s="33">
        <f>IF(C564="","",Commercial_Id)</f>
        <v/>
      </c>
      <c r="M564" s="34">
        <f>IF(E564="","",IFERROR(VLOOKUP(E564,T_Produits,2,FALSE),""))</f>
        <v/>
      </c>
      <c r="N564" s="40">
        <f>IF(E564="","",IFERROR(1/(1/VLOOKUP(E564,T_Produits,3,FALSE)),""))</f>
        <v/>
      </c>
      <c r="O564" s="40">
        <f>IF(OR(D564="",F564=""),"",IF(OR(D564="Casse / avarie",D564="Perte / vol",D564="Échantillon offert"),IF(I564&lt;&gt;"",I564,IF(N564="","",F564*N564)),""))</f>
        <v/>
      </c>
      <c r="P564" s="50">
        <f>IF(OR(D564="",F564=""),"",F564*IF(OR(D564="Reçu du magasin",D564="Ajustement (+)"),1,-1))</f>
        <v/>
      </c>
      <c r="Q564" s="34">
        <f>IF(C564="","",YEAR(C564-WEEKDAY(C564,2)+4)&amp;"-S"&amp;TEXT(INT((C564-DATE(YEAR(C564-WEEKDAY(C564,2)+4),1,3)+WEEKDAY(DATE(YEAR(C564-WEEKDAY(C564,2)+4),1,3),2)+5)/7),"00"))</f>
        <v/>
      </c>
    </row>
    <row r="565" ht="18" customHeight="1">
      <c r="A565" s="39" t="n">
        <v>560</v>
      </c>
      <c r="B565" s="33">
        <f>IF(C565="","",IF(L565="À RENSEIGNER","GIC",L565)&amp;"-S"&amp;TEXT(A565,"00000"))</f>
        <v/>
      </c>
      <c r="C565" s="32" t="n"/>
      <c r="D565" s="36" t="n"/>
      <c r="E565" s="36" t="n"/>
      <c r="F565" s="42" t="n"/>
      <c r="G565" s="36" t="n"/>
      <c r="H565" s="43" t="n"/>
      <c r="I565" s="37" t="n"/>
      <c r="J565" s="44" t="n"/>
      <c r="K565" s="36" t="n"/>
      <c r="L565" s="33">
        <f>IF(C565="","",Commercial_Id)</f>
        <v/>
      </c>
      <c r="M565" s="34">
        <f>IF(E565="","",IFERROR(VLOOKUP(E565,T_Produits,2,FALSE),""))</f>
        <v/>
      </c>
      <c r="N565" s="40">
        <f>IF(E565="","",IFERROR(1/(1/VLOOKUP(E565,T_Produits,3,FALSE)),""))</f>
        <v/>
      </c>
      <c r="O565" s="40">
        <f>IF(OR(D565="",F565=""),"",IF(OR(D565="Casse / avarie",D565="Perte / vol",D565="Échantillon offert"),IF(I565&lt;&gt;"",I565,IF(N565="","",F565*N565)),""))</f>
        <v/>
      </c>
      <c r="P565" s="50">
        <f>IF(OR(D565="",F565=""),"",F565*IF(OR(D565="Reçu du magasin",D565="Ajustement (+)"),1,-1))</f>
        <v/>
      </c>
      <c r="Q565" s="34">
        <f>IF(C565="","",YEAR(C565-WEEKDAY(C565,2)+4)&amp;"-S"&amp;TEXT(INT((C565-DATE(YEAR(C565-WEEKDAY(C565,2)+4),1,3)+WEEKDAY(DATE(YEAR(C565-WEEKDAY(C565,2)+4),1,3),2)+5)/7),"00"))</f>
        <v/>
      </c>
    </row>
    <row r="566" ht="18" customHeight="1">
      <c r="A566" s="39" t="n">
        <v>561</v>
      </c>
      <c r="B566" s="33">
        <f>IF(C566="","",IF(L566="À RENSEIGNER","GIC",L566)&amp;"-S"&amp;TEXT(A566,"00000"))</f>
        <v/>
      </c>
      <c r="C566" s="32" t="n"/>
      <c r="D566" s="36" t="n"/>
      <c r="E566" s="36" t="n"/>
      <c r="F566" s="42" t="n"/>
      <c r="G566" s="36" t="n"/>
      <c r="H566" s="43" t="n"/>
      <c r="I566" s="37" t="n"/>
      <c r="J566" s="44" t="n"/>
      <c r="K566" s="36" t="n"/>
      <c r="L566" s="33">
        <f>IF(C566="","",Commercial_Id)</f>
        <v/>
      </c>
      <c r="M566" s="34">
        <f>IF(E566="","",IFERROR(VLOOKUP(E566,T_Produits,2,FALSE),""))</f>
        <v/>
      </c>
      <c r="N566" s="40">
        <f>IF(E566="","",IFERROR(1/(1/VLOOKUP(E566,T_Produits,3,FALSE)),""))</f>
        <v/>
      </c>
      <c r="O566" s="40">
        <f>IF(OR(D566="",F566=""),"",IF(OR(D566="Casse / avarie",D566="Perte / vol",D566="Échantillon offert"),IF(I566&lt;&gt;"",I566,IF(N566="","",F566*N566)),""))</f>
        <v/>
      </c>
      <c r="P566" s="50">
        <f>IF(OR(D566="",F566=""),"",F566*IF(OR(D566="Reçu du magasin",D566="Ajustement (+)"),1,-1))</f>
        <v/>
      </c>
      <c r="Q566" s="34">
        <f>IF(C566="","",YEAR(C566-WEEKDAY(C566,2)+4)&amp;"-S"&amp;TEXT(INT((C566-DATE(YEAR(C566-WEEKDAY(C566,2)+4),1,3)+WEEKDAY(DATE(YEAR(C566-WEEKDAY(C566,2)+4),1,3),2)+5)/7),"00"))</f>
        <v/>
      </c>
    </row>
    <row r="567" ht="18" customHeight="1">
      <c r="A567" s="39" t="n">
        <v>562</v>
      </c>
      <c r="B567" s="33">
        <f>IF(C567="","",IF(L567="À RENSEIGNER","GIC",L567)&amp;"-S"&amp;TEXT(A567,"00000"))</f>
        <v/>
      </c>
      <c r="C567" s="32" t="n"/>
      <c r="D567" s="36" t="n"/>
      <c r="E567" s="36" t="n"/>
      <c r="F567" s="42" t="n"/>
      <c r="G567" s="36" t="n"/>
      <c r="H567" s="43" t="n"/>
      <c r="I567" s="37" t="n"/>
      <c r="J567" s="44" t="n"/>
      <c r="K567" s="36" t="n"/>
      <c r="L567" s="33">
        <f>IF(C567="","",Commercial_Id)</f>
        <v/>
      </c>
      <c r="M567" s="34">
        <f>IF(E567="","",IFERROR(VLOOKUP(E567,T_Produits,2,FALSE),""))</f>
        <v/>
      </c>
      <c r="N567" s="40">
        <f>IF(E567="","",IFERROR(1/(1/VLOOKUP(E567,T_Produits,3,FALSE)),""))</f>
        <v/>
      </c>
      <c r="O567" s="40">
        <f>IF(OR(D567="",F567=""),"",IF(OR(D567="Casse / avarie",D567="Perte / vol",D567="Échantillon offert"),IF(I567&lt;&gt;"",I567,IF(N567="","",F567*N567)),""))</f>
        <v/>
      </c>
      <c r="P567" s="50">
        <f>IF(OR(D567="",F567=""),"",F567*IF(OR(D567="Reçu du magasin",D567="Ajustement (+)"),1,-1))</f>
        <v/>
      </c>
      <c r="Q567" s="34">
        <f>IF(C567="","",YEAR(C567-WEEKDAY(C567,2)+4)&amp;"-S"&amp;TEXT(INT((C567-DATE(YEAR(C567-WEEKDAY(C567,2)+4),1,3)+WEEKDAY(DATE(YEAR(C567-WEEKDAY(C567,2)+4),1,3),2)+5)/7),"00"))</f>
        <v/>
      </c>
    </row>
    <row r="568" ht="18" customHeight="1">
      <c r="A568" s="39" t="n">
        <v>563</v>
      </c>
      <c r="B568" s="33">
        <f>IF(C568="","",IF(L568="À RENSEIGNER","GIC",L568)&amp;"-S"&amp;TEXT(A568,"00000"))</f>
        <v/>
      </c>
      <c r="C568" s="32" t="n"/>
      <c r="D568" s="36" t="n"/>
      <c r="E568" s="36" t="n"/>
      <c r="F568" s="42" t="n"/>
      <c r="G568" s="36" t="n"/>
      <c r="H568" s="43" t="n"/>
      <c r="I568" s="37" t="n"/>
      <c r="J568" s="44" t="n"/>
      <c r="K568" s="36" t="n"/>
      <c r="L568" s="33">
        <f>IF(C568="","",Commercial_Id)</f>
        <v/>
      </c>
      <c r="M568" s="34">
        <f>IF(E568="","",IFERROR(VLOOKUP(E568,T_Produits,2,FALSE),""))</f>
        <v/>
      </c>
      <c r="N568" s="40">
        <f>IF(E568="","",IFERROR(1/(1/VLOOKUP(E568,T_Produits,3,FALSE)),""))</f>
        <v/>
      </c>
      <c r="O568" s="40">
        <f>IF(OR(D568="",F568=""),"",IF(OR(D568="Casse / avarie",D568="Perte / vol",D568="Échantillon offert"),IF(I568&lt;&gt;"",I568,IF(N568="","",F568*N568)),""))</f>
        <v/>
      </c>
      <c r="P568" s="50">
        <f>IF(OR(D568="",F568=""),"",F568*IF(OR(D568="Reçu du magasin",D568="Ajustement (+)"),1,-1))</f>
        <v/>
      </c>
      <c r="Q568" s="34">
        <f>IF(C568="","",YEAR(C568-WEEKDAY(C568,2)+4)&amp;"-S"&amp;TEXT(INT((C568-DATE(YEAR(C568-WEEKDAY(C568,2)+4),1,3)+WEEKDAY(DATE(YEAR(C568-WEEKDAY(C568,2)+4),1,3),2)+5)/7),"00"))</f>
        <v/>
      </c>
    </row>
    <row r="569" ht="18" customHeight="1">
      <c r="A569" s="39" t="n">
        <v>564</v>
      </c>
      <c r="B569" s="33">
        <f>IF(C569="","",IF(L569="À RENSEIGNER","GIC",L569)&amp;"-S"&amp;TEXT(A569,"00000"))</f>
        <v/>
      </c>
      <c r="C569" s="32" t="n"/>
      <c r="D569" s="36" t="n"/>
      <c r="E569" s="36" t="n"/>
      <c r="F569" s="42" t="n"/>
      <c r="G569" s="36" t="n"/>
      <c r="H569" s="43" t="n"/>
      <c r="I569" s="37" t="n"/>
      <c r="J569" s="44" t="n"/>
      <c r="K569" s="36" t="n"/>
      <c r="L569" s="33">
        <f>IF(C569="","",Commercial_Id)</f>
        <v/>
      </c>
      <c r="M569" s="34">
        <f>IF(E569="","",IFERROR(VLOOKUP(E569,T_Produits,2,FALSE),""))</f>
        <v/>
      </c>
      <c r="N569" s="40">
        <f>IF(E569="","",IFERROR(1/(1/VLOOKUP(E569,T_Produits,3,FALSE)),""))</f>
        <v/>
      </c>
      <c r="O569" s="40">
        <f>IF(OR(D569="",F569=""),"",IF(OR(D569="Casse / avarie",D569="Perte / vol",D569="Échantillon offert"),IF(I569&lt;&gt;"",I569,IF(N569="","",F569*N569)),""))</f>
        <v/>
      </c>
      <c r="P569" s="50">
        <f>IF(OR(D569="",F569=""),"",F569*IF(OR(D569="Reçu du magasin",D569="Ajustement (+)"),1,-1))</f>
        <v/>
      </c>
      <c r="Q569" s="34">
        <f>IF(C569="","",YEAR(C569-WEEKDAY(C569,2)+4)&amp;"-S"&amp;TEXT(INT((C569-DATE(YEAR(C569-WEEKDAY(C569,2)+4),1,3)+WEEKDAY(DATE(YEAR(C569-WEEKDAY(C569,2)+4),1,3),2)+5)/7),"00"))</f>
        <v/>
      </c>
    </row>
    <row r="570" ht="18" customHeight="1">
      <c r="A570" s="39" t="n">
        <v>565</v>
      </c>
      <c r="B570" s="33">
        <f>IF(C570="","",IF(L570="À RENSEIGNER","GIC",L570)&amp;"-S"&amp;TEXT(A570,"00000"))</f>
        <v/>
      </c>
      <c r="C570" s="32" t="n"/>
      <c r="D570" s="36" t="n"/>
      <c r="E570" s="36" t="n"/>
      <c r="F570" s="42" t="n"/>
      <c r="G570" s="36" t="n"/>
      <c r="H570" s="43" t="n"/>
      <c r="I570" s="37" t="n"/>
      <c r="J570" s="44" t="n"/>
      <c r="K570" s="36" t="n"/>
      <c r="L570" s="33">
        <f>IF(C570="","",Commercial_Id)</f>
        <v/>
      </c>
      <c r="M570" s="34">
        <f>IF(E570="","",IFERROR(VLOOKUP(E570,T_Produits,2,FALSE),""))</f>
        <v/>
      </c>
      <c r="N570" s="40">
        <f>IF(E570="","",IFERROR(1/(1/VLOOKUP(E570,T_Produits,3,FALSE)),""))</f>
        <v/>
      </c>
      <c r="O570" s="40">
        <f>IF(OR(D570="",F570=""),"",IF(OR(D570="Casse / avarie",D570="Perte / vol",D570="Échantillon offert"),IF(I570&lt;&gt;"",I570,IF(N570="","",F570*N570)),""))</f>
        <v/>
      </c>
      <c r="P570" s="50">
        <f>IF(OR(D570="",F570=""),"",F570*IF(OR(D570="Reçu du magasin",D570="Ajustement (+)"),1,-1))</f>
        <v/>
      </c>
      <c r="Q570" s="34">
        <f>IF(C570="","",YEAR(C570-WEEKDAY(C570,2)+4)&amp;"-S"&amp;TEXT(INT((C570-DATE(YEAR(C570-WEEKDAY(C570,2)+4),1,3)+WEEKDAY(DATE(YEAR(C570-WEEKDAY(C570,2)+4),1,3),2)+5)/7),"00"))</f>
        <v/>
      </c>
    </row>
    <row r="571" ht="18" customHeight="1">
      <c r="A571" s="39" t="n">
        <v>566</v>
      </c>
      <c r="B571" s="33">
        <f>IF(C571="","",IF(L571="À RENSEIGNER","GIC",L571)&amp;"-S"&amp;TEXT(A571,"00000"))</f>
        <v/>
      </c>
      <c r="C571" s="32" t="n"/>
      <c r="D571" s="36" t="n"/>
      <c r="E571" s="36" t="n"/>
      <c r="F571" s="42" t="n"/>
      <c r="G571" s="36" t="n"/>
      <c r="H571" s="43" t="n"/>
      <c r="I571" s="37" t="n"/>
      <c r="J571" s="44" t="n"/>
      <c r="K571" s="36" t="n"/>
      <c r="L571" s="33">
        <f>IF(C571="","",Commercial_Id)</f>
        <v/>
      </c>
      <c r="M571" s="34">
        <f>IF(E571="","",IFERROR(VLOOKUP(E571,T_Produits,2,FALSE),""))</f>
        <v/>
      </c>
      <c r="N571" s="40">
        <f>IF(E571="","",IFERROR(1/(1/VLOOKUP(E571,T_Produits,3,FALSE)),""))</f>
        <v/>
      </c>
      <c r="O571" s="40">
        <f>IF(OR(D571="",F571=""),"",IF(OR(D571="Casse / avarie",D571="Perte / vol",D571="Échantillon offert"),IF(I571&lt;&gt;"",I571,IF(N571="","",F571*N571)),""))</f>
        <v/>
      </c>
      <c r="P571" s="50">
        <f>IF(OR(D571="",F571=""),"",F571*IF(OR(D571="Reçu du magasin",D571="Ajustement (+)"),1,-1))</f>
        <v/>
      </c>
      <c r="Q571" s="34">
        <f>IF(C571="","",YEAR(C571-WEEKDAY(C571,2)+4)&amp;"-S"&amp;TEXT(INT((C571-DATE(YEAR(C571-WEEKDAY(C571,2)+4),1,3)+WEEKDAY(DATE(YEAR(C571-WEEKDAY(C571,2)+4),1,3),2)+5)/7),"00"))</f>
        <v/>
      </c>
    </row>
    <row r="572" ht="18" customHeight="1">
      <c r="A572" s="39" t="n">
        <v>567</v>
      </c>
      <c r="B572" s="33">
        <f>IF(C572="","",IF(L572="À RENSEIGNER","GIC",L572)&amp;"-S"&amp;TEXT(A572,"00000"))</f>
        <v/>
      </c>
      <c r="C572" s="32" t="n"/>
      <c r="D572" s="36" t="n"/>
      <c r="E572" s="36" t="n"/>
      <c r="F572" s="42" t="n"/>
      <c r="G572" s="36" t="n"/>
      <c r="H572" s="43" t="n"/>
      <c r="I572" s="37" t="n"/>
      <c r="J572" s="44" t="n"/>
      <c r="K572" s="36" t="n"/>
      <c r="L572" s="33">
        <f>IF(C572="","",Commercial_Id)</f>
        <v/>
      </c>
      <c r="M572" s="34">
        <f>IF(E572="","",IFERROR(VLOOKUP(E572,T_Produits,2,FALSE),""))</f>
        <v/>
      </c>
      <c r="N572" s="40">
        <f>IF(E572="","",IFERROR(1/(1/VLOOKUP(E572,T_Produits,3,FALSE)),""))</f>
        <v/>
      </c>
      <c r="O572" s="40">
        <f>IF(OR(D572="",F572=""),"",IF(OR(D572="Casse / avarie",D572="Perte / vol",D572="Échantillon offert"),IF(I572&lt;&gt;"",I572,IF(N572="","",F572*N572)),""))</f>
        <v/>
      </c>
      <c r="P572" s="50">
        <f>IF(OR(D572="",F572=""),"",F572*IF(OR(D572="Reçu du magasin",D572="Ajustement (+)"),1,-1))</f>
        <v/>
      </c>
      <c r="Q572" s="34">
        <f>IF(C572="","",YEAR(C572-WEEKDAY(C572,2)+4)&amp;"-S"&amp;TEXT(INT((C572-DATE(YEAR(C572-WEEKDAY(C572,2)+4),1,3)+WEEKDAY(DATE(YEAR(C572-WEEKDAY(C572,2)+4),1,3),2)+5)/7),"00"))</f>
        <v/>
      </c>
    </row>
    <row r="573" ht="18" customHeight="1">
      <c r="A573" s="39" t="n">
        <v>568</v>
      </c>
      <c r="B573" s="33">
        <f>IF(C573="","",IF(L573="À RENSEIGNER","GIC",L573)&amp;"-S"&amp;TEXT(A573,"00000"))</f>
        <v/>
      </c>
      <c r="C573" s="32" t="n"/>
      <c r="D573" s="36" t="n"/>
      <c r="E573" s="36" t="n"/>
      <c r="F573" s="42" t="n"/>
      <c r="G573" s="36" t="n"/>
      <c r="H573" s="43" t="n"/>
      <c r="I573" s="37" t="n"/>
      <c r="J573" s="44" t="n"/>
      <c r="K573" s="36" t="n"/>
      <c r="L573" s="33">
        <f>IF(C573="","",Commercial_Id)</f>
        <v/>
      </c>
      <c r="M573" s="34">
        <f>IF(E573="","",IFERROR(VLOOKUP(E573,T_Produits,2,FALSE),""))</f>
        <v/>
      </c>
      <c r="N573" s="40">
        <f>IF(E573="","",IFERROR(1/(1/VLOOKUP(E573,T_Produits,3,FALSE)),""))</f>
        <v/>
      </c>
      <c r="O573" s="40">
        <f>IF(OR(D573="",F573=""),"",IF(OR(D573="Casse / avarie",D573="Perte / vol",D573="Échantillon offert"),IF(I573&lt;&gt;"",I573,IF(N573="","",F573*N573)),""))</f>
        <v/>
      </c>
      <c r="P573" s="50">
        <f>IF(OR(D573="",F573=""),"",F573*IF(OR(D573="Reçu du magasin",D573="Ajustement (+)"),1,-1))</f>
        <v/>
      </c>
      <c r="Q573" s="34">
        <f>IF(C573="","",YEAR(C573-WEEKDAY(C573,2)+4)&amp;"-S"&amp;TEXT(INT((C573-DATE(YEAR(C573-WEEKDAY(C573,2)+4),1,3)+WEEKDAY(DATE(YEAR(C573-WEEKDAY(C573,2)+4),1,3),2)+5)/7),"00"))</f>
        <v/>
      </c>
    </row>
    <row r="574" ht="18" customHeight="1">
      <c r="A574" s="39" t="n">
        <v>569</v>
      </c>
      <c r="B574" s="33">
        <f>IF(C574="","",IF(L574="À RENSEIGNER","GIC",L574)&amp;"-S"&amp;TEXT(A574,"00000"))</f>
        <v/>
      </c>
      <c r="C574" s="32" t="n"/>
      <c r="D574" s="36" t="n"/>
      <c r="E574" s="36" t="n"/>
      <c r="F574" s="42" t="n"/>
      <c r="G574" s="36" t="n"/>
      <c r="H574" s="43" t="n"/>
      <c r="I574" s="37" t="n"/>
      <c r="J574" s="44" t="n"/>
      <c r="K574" s="36" t="n"/>
      <c r="L574" s="33">
        <f>IF(C574="","",Commercial_Id)</f>
        <v/>
      </c>
      <c r="M574" s="34">
        <f>IF(E574="","",IFERROR(VLOOKUP(E574,T_Produits,2,FALSE),""))</f>
        <v/>
      </c>
      <c r="N574" s="40">
        <f>IF(E574="","",IFERROR(1/(1/VLOOKUP(E574,T_Produits,3,FALSE)),""))</f>
        <v/>
      </c>
      <c r="O574" s="40">
        <f>IF(OR(D574="",F574=""),"",IF(OR(D574="Casse / avarie",D574="Perte / vol",D574="Échantillon offert"),IF(I574&lt;&gt;"",I574,IF(N574="","",F574*N574)),""))</f>
        <v/>
      </c>
      <c r="P574" s="50">
        <f>IF(OR(D574="",F574=""),"",F574*IF(OR(D574="Reçu du magasin",D574="Ajustement (+)"),1,-1))</f>
        <v/>
      </c>
      <c r="Q574" s="34">
        <f>IF(C574="","",YEAR(C574-WEEKDAY(C574,2)+4)&amp;"-S"&amp;TEXT(INT((C574-DATE(YEAR(C574-WEEKDAY(C574,2)+4),1,3)+WEEKDAY(DATE(YEAR(C574-WEEKDAY(C574,2)+4),1,3),2)+5)/7),"00"))</f>
        <v/>
      </c>
    </row>
    <row r="575" ht="18" customHeight="1">
      <c r="A575" s="39" t="n">
        <v>570</v>
      </c>
      <c r="B575" s="33">
        <f>IF(C575="","",IF(L575="À RENSEIGNER","GIC",L575)&amp;"-S"&amp;TEXT(A575,"00000"))</f>
        <v/>
      </c>
      <c r="C575" s="32" t="n"/>
      <c r="D575" s="36" t="n"/>
      <c r="E575" s="36" t="n"/>
      <c r="F575" s="42" t="n"/>
      <c r="G575" s="36" t="n"/>
      <c r="H575" s="43" t="n"/>
      <c r="I575" s="37" t="n"/>
      <c r="J575" s="44" t="n"/>
      <c r="K575" s="36" t="n"/>
      <c r="L575" s="33">
        <f>IF(C575="","",Commercial_Id)</f>
        <v/>
      </c>
      <c r="M575" s="34">
        <f>IF(E575="","",IFERROR(VLOOKUP(E575,T_Produits,2,FALSE),""))</f>
        <v/>
      </c>
      <c r="N575" s="40">
        <f>IF(E575="","",IFERROR(1/(1/VLOOKUP(E575,T_Produits,3,FALSE)),""))</f>
        <v/>
      </c>
      <c r="O575" s="40">
        <f>IF(OR(D575="",F575=""),"",IF(OR(D575="Casse / avarie",D575="Perte / vol",D575="Échantillon offert"),IF(I575&lt;&gt;"",I575,IF(N575="","",F575*N575)),""))</f>
        <v/>
      </c>
      <c r="P575" s="50">
        <f>IF(OR(D575="",F575=""),"",F575*IF(OR(D575="Reçu du magasin",D575="Ajustement (+)"),1,-1))</f>
        <v/>
      </c>
      <c r="Q575" s="34">
        <f>IF(C575="","",YEAR(C575-WEEKDAY(C575,2)+4)&amp;"-S"&amp;TEXT(INT((C575-DATE(YEAR(C575-WEEKDAY(C575,2)+4),1,3)+WEEKDAY(DATE(YEAR(C575-WEEKDAY(C575,2)+4),1,3),2)+5)/7),"00"))</f>
        <v/>
      </c>
    </row>
    <row r="576" ht="18" customHeight="1">
      <c r="A576" s="39" t="n">
        <v>571</v>
      </c>
      <c r="B576" s="33">
        <f>IF(C576="","",IF(L576="À RENSEIGNER","GIC",L576)&amp;"-S"&amp;TEXT(A576,"00000"))</f>
        <v/>
      </c>
      <c r="C576" s="32" t="n"/>
      <c r="D576" s="36" t="n"/>
      <c r="E576" s="36" t="n"/>
      <c r="F576" s="42" t="n"/>
      <c r="G576" s="36" t="n"/>
      <c r="H576" s="43" t="n"/>
      <c r="I576" s="37" t="n"/>
      <c r="J576" s="44" t="n"/>
      <c r="K576" s="36" t="n"/>
      <c r="L576" s="33">
        <f>IF(C576="","",Commercial_Id)</f>
        <v/>
      </c>
      <c r="M576" s="34">
        <f>IF(E576="","",IFERROR(VLOOKUP(E576,T_Produits,2,FALSE),""))</f>
        <v/>
      </c>
      <c r="N576" s="40">
        <f>IF(E576="","",IFERROR(1/(1/VLOOKUP(E576,T_Produits,3,FALSE)),""))</f>
        <v/>
      </c>
      <c r="O576" s="40">
        <f>IF(OR(D576="",F576=""),"",IF(OR(D576="Casse / avarie",D576="Perte / vol",D576="Échantillon offert"),IF(I576&lt;&gt;"",I576,IF(N576="","",F576*N576)),""))</f>
        <v/>
      </c>
      <c r="P576" s="50">
        <f>IF(OR(D576="",F576=""),"",F576*IF(OR(D576="Reçu du magasin",D576="Ajustement (+)"),1,-1))</f>
        <v/>
      </c>
      <c r="Q576" s="34">
        <f>IF(C576="","",YEAR(C576-WEEKDAY(C576,2)+4)&amp;"-S"&amp;TEXT(INT((C576-DATE(YEAR(C576-WEEKDAY(C576,2)+4),1,3)+WEEKDAY(DATE(YEAR(C576-WEEKDAY(C576,2)+4),1,3),2)+5)/7),"00"))</f>
        <v/>
      </c>
    </row>
    <row r="577" ht="18" customHeight="1">
      <c r="A577" s="39" t="n">
        <v>572</v>
      </c>
      <c r="B577" s="33">
        <f>IF(C577="","",IF(L577="À RENSEIGNER","GIC",L577)&amp;"-S"&amp;TEXT(A577,"00000"))</f>
        <v/>
      </c>
      <c r="C577" s="32" t="n"/>
      <c r="D577" s="36" t="n"/>
      <c r="E577" s="36" t="n"/>
      <c r="F577" s="42" t="n"/>
      <c r="G577" s="36" t="n"/>
      <c r="H577" s="43" t="n"/>
      <c r="I577" s="37" t="n"/>
      <c r="J577" s="44" t="n"/>
      <c r="K577" s="36" t="n"/>
      <c r="L577" s="33">
        <f>IF(C577="","",Commercial_Id)</f>
        <v/>
      </c>
      <c r="M577" s="34">
        <f>IF(E577="","",IFERROR(VLOOKUP(E577,T_Produits,2,FALSE),""))</f>
        <v/>
      </c>
      <c r="N577" s="40">
        <f>IF(E577="","",IFERROR(1/(1/VLOOKUP(E577,T_Produits,3,FALSE)),""))</f>
        <v/>
      </c>
      <c r="O577" s="40">
        <f>IF(OR(D577="",F577=""),"",IF(OR(D577="Casse / avarie",D577="Perte / vol",D577="Échantillon offert"),IF(I577&lt;&gt;"",I577,IF(N577="","",F577*N577)),""))</f>
        <v/>
      </c>
      <c r="P577" s="50">
        <f>IF(OR(D577="",F577=""),"",F577*IF(OR(D577="Reçu du magasin",D577="Ajustement (+)"),1,-1))</f>
        <v/>
      </c>
      <c r="Q577" s="34">
        <f>IF(C577="","",YEAR(C577-WEEKDAY(C577,2)+4)&amp;"-S"&amp;TEXT(INT((C577-DATE(YEAR(C577-WEEKDAY(C577,2)+4),1,3)+WEEKDAY(DATE(YEAR(C577-WEEKDAY(C577,2)+4),1,3),2)+5)/7),"00"))</f>
        <v/>
      </c>
    </row>
    <row r="578" ht="18" customHeight="1">
      <c r="A578" s="39" t="n">
        <v>573</v>
      </c>
      <c r="B578" s="33">
        <f>IF(C578="","",IF(L578="À RENSEIGNER","GIC",L578)&amp;"-S"&amp;TEXT(A578,"00000"))</f>
        <v/>
      </c>
      <c r="C578" s="32" t="n"/>
      <c r="D578" s="36" t="n"/>
      <c r="E578" s="36" t="n"/>
      <c r="F578" s="42" t="n"/>
      <c r="G578" s="36" t="n"/>
      <c r="H578" s="43" t="n"/>
      <c r="I578" s="37" t="n"/>
      <c r="J578" s="44" t="n"/>
      <c r="K578" s="36" t="n"/>
      <c r="L578" s="33">
        <f>IF(C578="","",Commercial_Id)</f>
        <v/>
      </c>
      <c r="M578" s="34">
        <f>IF(E578="","",IFERROR(VLOOKUP(E578,T_Produits,2,FALSE),""))</f>
        <v/>
      </c>
      <c r="N578" s="40">
        <f>IF(E578="","",IFERROR(1/(1/VLOOKUP(E578,T_Produits,3,FALSE)),""))</f>
        <v/>
      </c>
      <c r="O578" s="40">
        <f>IF(OR(D578="",F578=""),"",IF(OR(D578="Casse / avarie",D578="Perte / vol",D578="Échantillon offert"),IF(I578&lt;&gt;"",I578,IF(N578="","",F578*N578)),""))</f>
        <v/>
      </c>
      <c r="P578" s="50">
        <f>IF(OR(D578="",F578=""),"",F578*IF(OR(D578="Reçu du magasin",D578="Ajustement (+)"),1,-1))</f>
        <v/>
      </c>
      <c r="Q578" s="34">
        <f>IF(C578="","",YEAR(C578-WEEKDAY(C578,2)+4)&amp;"-S"&amp;TEXT(INT((C578-DATE(YEAR(C578-WEEKDAY(C578,2)+4),1,3)+WEEKDAY(DATE(YEAR(C578-WEEKDAY(C578,2)+4),1,3),2)+5)/7),"00"))</f>
        <v/>
      </c>
    </row>
    <row r="579" ht="18" customHeight="1">
      <c r="A579" s="39" t="n">
        <v>574</v>
      </c>
      <c r="B579" s="33">
        <f>IF(C579="","",IF(L579="À RENSEIGNER","GIC",L579)&amp;"-S"&amp;TEXT(A579,"00000"))</f>
        <v/>
      </c>
      <c r="C579" s="32" t="n"/>
      <c r="D579" s="36" t="n"/>
      <c r="E579" s="36" t="n"/>
      <c r="F579" s="42" t="n"/>
      <c r="G579" s="36" t="n"/>
      <c r="H579" s="43" t="n"/>
      <c r="I579" s="37" t="n"/>
      <c r="J579" s="44" t="n"/>
      <c r="K579" s="36" t="n"/>
      <c r="L579" s="33">
        <f>IF(C579="","",Commercial_Id)</f>
        <v/>
      </c>
      <c r="M579" s="34">
        <f>IF(E579="","",IFERROR(VLOOKUP(E579,T_Produits,2,FALSE),""))</f>
        <v/>
      </c>
      <c r="N579" s="40">
        <f>IF(E579="","",IFERROR(1/(1/VLOOKUP(E579,T_Produits,3,FALSE)),""))</f>
        <v/>
      </c>
      <c r="O579" s="40">
        <f>IF(OR(D579="",F579=""),"",IF(OR(D579="Casse / avarie",D579="Perte / vol",D579="Échantillon offert"),IF(I579&lt;&gt;"",I579,IF(N579="","",F579*N579)),""))</f>
        <v/>
      </c>
      <c r="P579" s="50">
        <f>IF(OR(D579="",F579=""),"",F579*IF(OR(D579="Reçu du magasin",D579="Ajustement (+)"),1,-1))</f>
        <v/>
      </c>
      <c r="Q579" s="34">
        <f>IF(C579="","",YEAR(C579-WEEKDAY(C579,2)+4)&amp;"-S"&amp;TEXT(INT((C579-DATE(YEAR(C579-WEEKDAY(C579,2)+4),1,3)+WEEKDAY(DATE(YEAR(C579-WEEKDAY(C579,2)+4),1,3),2)+5)/7),"00"))</f>
        <v/>
      </c>
    </row>
    <row r="580" ht="18" customHeight="1">
      <c r="A580" s="39" t="n">
        <v>575</v>
      </c>
      <c r="B580" s="33">
        <f>IF(C580="","",IF(L580="À RENSEIGNER","GIC",L580)&amp;"-S"&amp;TEXT(A580,"00000"))</f>
        <v/>
      </c>
      <c r="C580" s="32" t="n"/>
      <c r="D580" s="36" t="n"/>
      <c r="E580" s="36" t="n"/>
      <c r="F580" s="42" t="n"/>
      <c r="G580" s="36" t="n"/>
      <c r="H580" s="43" t="n"/>
      <c r="I580" s="37" t="n"/>
      <c r="J580" s="44" t="n"/>
      <c r="K580" s="36" t="n"/>
      <c r="L580" s="33">
        <f>IF(C580="","",Commercial_Id)</f>
        <v/>
      </c>
      <c r="M580" s="34">
        <f>IF(E580="","",IFERROR(VLOOKUP(E580,T_Produits,2,FALSE),""))</f>
        <v/>
      </c>
      <c r="N580" s="40">
        <f>IF(E580="","",IFERROR(1/(1/VLOOKUP(E580,T_Produits,3,FALSE)),""))</f>
        <v/>
      </c>
      <c r="O580" s="40">
        <f>IF(OR(D580="",F580=""),"",IF(OR(D580="Casse / avarie",D580="Perte / vol",D580="Échantillon offert"),IF(I580&lt;&gt;"",I580,IF(N580="","",F580*N580)),""))</f>
        <v/>
      </c>
      <c r="P580" s="50">
        <f>IF(OR(D580="",F580=""),"",F580*IF(OR(D580="Reçu du magasin",D580="Ajustement (+)"),1,-1))</f>
        <v/>
      </c>
      <c r="Q580" s="34">
        <f>IF(C580="","",YEAR(C580-WEEKDAY(C580,2)+4)&amp;"-S"&amp;TEXT(INT((C580-DATE(YEAR(C580-WEEKDAY(C580,2)+4),1,3)+WEEKDAY(DATE(YEAR(C580-WEEKDAY(C580,2)+4),1,3),2)+5)/7),"00"))</f>
        <v/>
      </c>
    </row>
    <row r="581" ht="18" customHeight="1">
      <c r="A581" s="39" t="n">
        <v>576</v>
      </c>
      <c r="B581" s="33">
        <f>IF(C581="","",IF(L581="À RENSEIGNER","GIC",L581)&amp;"-S"&amp;TEXT(A581,"00000"))</f>
        <v/>
      </c>
      <c r="C581" s="32" t="n"/>
      <c r="D581" s="36" t="n"/>
      <c r="E581" s="36" t="n"/>
      <c r="F581" s="42" t="n"/>
      <c r="G581" s="36" t="n"/>
      <c r="H581" s="43" t="n"/>
      <c r="I581" s="37" t="n"/>
      <c r="J581" s="44" t="n"/>
      <c r="K581" s="36" t="n"/>
      <c r="L581" s="33">
        <f>IF(C581="","",Commercial_Id)</f>
        <v/>
      </c>
      <c r="M581" s="34">
        <f>IF(E581="","",IFERROR(VLOOKUP(E581,T_Produits,2,FALSE),""))</f>
        <v/>
      </c>
      <c r="N581" s="40">
        <f>IF(E581="","",IFERROR(1/(1/VLOOKUP(E581,T_Produits,3,FALSE)),""))</f>
        <v/>
      </c>
      <c r="O581" s="40">
        <f>IF(OR(D581="",F581=""),"",IF(OR(D581="Casse / avarie",D581="Perte / vol",D581="Échantillon offert"),IF(I581&lt;&gt;"",I581,IF(N581="","",F581*N581)),""))</f>
        <v/>
      </c>
      <c r="P581" s="50">
        <f>IF(OR(D581="",F581=""),"",F581*IF(OR(D581="Reçu du magasin",D581="Ajustement (+)"),1,-1))</f>
        <v/>
      </c>
      <c r="Q581" s="34">
        <f>IF(C581="","",YEAR(C581-WEEKDAY(C581,2)+4)&amp;"-S"&amp;TEXT(INT((C581-DATE(YEAR(C581-WEEKDAY(C581,2)+4),1,3)+WEEKDAY(DATE(YEAR(C581-WEEKDAY(C581,2)+4),1,3),2)+5)/7),"00"))</f>
        <v/>
      </c>
    </row>
    <row r="582" ht="18" customHeight="1">
      <c r="A582" s="39" t="n">
        <v>577</v>
      </c>
      <c r="B582" s="33">
        <f>IF(C582="","",IF(L582="À RENSEIGNER","GIC",L582)&amp;"-S"&amp;TEXT(A582,"00000"))</f>
        <v/>
      </c>
      <c r="C582" s="32" t="n"/>
      <c r="D582" s="36" t="n"/>
      <c r="E582" s="36" t="n"/>
      <c r="F582" s="42" t="n"/>
      <c r="G582" s="36" t="n"/>
      <c r="H582" s="43" t="n"/>
      <c r="I582" s="37" t="n"/>
      <c r="J582" s="44" t="n"/>
      <c r="K582" s="36" t="n"/>
      <c r="L582" s="33">
        <f>IF(C582="","",Commercial_Id)</f>
        <v/>
      </c>
      <c r="M582" s="34">
        <f>IF(E582="","",IFERROR(VLOOKUP(E582,T_Produits,2,FALSE),""))</f>
        <v/>
      </c>
      <c r="N582" s="40">
        <f>IF(E582="","",IFERROR(1/(1/VLOOKUP(E582,T_Produits,3,FALSE)),""))</f>
        <v/>
      </c>
      <c r="O582" s="40">
        <f>IF(OR(D582="",F582=""),"",IF(OR(D582="Casse / avarie",D582="Perte / vol",D582="Échantillon offert"),IF(I582&lt;&gt;"",I582,IF(N582="","",F582*N582)),""))</f>
        <v/>
      </c>
      <c r="P582" s="50">
        <f>IF(OR(D582="",F582=""),"",F582*IF(OR(D582="Reçu du magasin",D582="Ajustement (+)"),1,-1))</f>
        <v/>
      </c>
      <c r="Q582" s="34">
        <f>IF(C582="","",YEAR(C582-WEEKDAY(C582,2)+4)&amp;"-S"&amp;TEXT(INT((C582-DATE(YEAR(C582-WEEKDAY(C582,2)+4),1,3)+WEEKDAY(DATE(YEAR(C582-WEEKDAY(C582,2)+4),1,3),2)+5)/7),"00"))</f>
        <v/>
      </c>
    </row>
    <row r="583" ht="18" customHeight="1">
      <c r="A583" s="39" t="n">
        <v>578</v>
      </c>
      <c r="B583" s="33">
        <f>IF(C583="","",IF(L583="À RENSEIGNER","GIC",L583)&amp;"-S"&amp;TEXT(A583,"00000"))</f>
        <v/>
      </c>
      <c r="C583" s="32" t="n"/>
      <c r="D583" s="36" t="n"/>
      <c r="E583" s="36" t="n"/>
      <c r="F583" s="42" t="n"/>
      <c r="G583" s="36" t="n"/>
      <c r="H583" s="43" t="n"/>
      <c r="I583" s="37" t="n"/>
      <c r="J583" s="44" t="n"/>
      <c r="K583" s="36" t="n"/>
      <c r="L583" s="33">
        <f>IF(C583="","",Commercial_Id)</f>
        <v/>
      </c>
      <c r="M583" s="34">
        <f>IF(E583="","",IFERROR(VLOOKUP(E583,T_Produits,2,FALSE),""))</f>
        <v/>
      </c>
      <c r="N583" s="40">
        <f>IF(E583="","",IFERROR(1/(1/VLOOKUP(E583,T_Produits,3,FALSE)),""))</f>
        <v/>
      </c>
      <c r="O583" s="40">
        <f>IF(OR(D583="",F583=""),"",IF(OR(D583="Casse / avarie",D583="Perte / vol",D583="Échantillon offert"),IF(I583&lt;&gt;"",I583,IF(N583="","",F583*N583)),""))</f>
        <v/>
      </c>
      <c r="P583" s="50">
        <f>IF(OR(D583="",F583=""),"",F583*IF(OR(D583="Reçu du magasin",D583="Ajustement (+)"),1,-1))</f>
        <v/>
      </c>
      <c r="Q583" s="34">
        <f>IF(C583="","",YEAR(C583-WEEKDAY(C583,2)+4)&amp;"-S"&amp;TEXT(INT((C583-DATE(YEAR(C583-WEEKDAY(C583,2)+4),1,3)+WEEKDAY(DATE(YEAR(C583-WEEKDAY(C583,2)+4),1,3),2)+5)/7),"00"))</f>
        <v/>
      </c>
    </row>
    <row r="584" ht="18" customHeight="1">
      <c r="A584" s="39" t="n">
        <v>579</v>
      </c>
      <c r="B584" s="33">
        <f>IF(C584="","",IF(L584="À RENSEIGNER","GIC",L584)&amp;"-S"&amp;TEXT(A584,"00000"))</f>
        <v/>
      </c>
      <c r="C584" s="32" t="n"/>
      <c r="D584" s="36" t="n"/>
      <c r="E584" s="36" t="n"/>
      <c r="F584" s="42" t="n"/>
      <c r="G584" s="36" t="n"/>
      <c r="H584" s="43" t="n"/>
      <c r="I584" s="37" t="n"/>
      <c r="J584" s="44" t="n"/>
      <c r="K584" s="36" t="n"/>
      <c r="L584" s="33">
        <f>IF(C584="","",Commercial_Id)</f>
        <v/>
      </c>
      <c r="M584" s="34">
        <f>IF(E584="","",IFERROR(VLOOKUP(E584,T_Produits,2,FALSE),""))</f>
        <v/>
      </c>
      <c r="N584" s="40">
        <f>IF(E584="","",IFERROR(1/(1/VLOOKUP(E584,T_Produits,3,FALSE)),""))</f>
        <v/>
      </c>
      <c r="O584" s="40">
        <f>IF(OR(D584="",F584=""),"",IF(OR(D584="Casse / avarie",D584="Perte / vol",D584="Échantillon offert"),IF(I584&lt;&gt;"",I584,IF(N584="","",F584*N584)),""))</f>
        <v/>
      </c>
      <c r="P584" s="50">
        <f>IF(OR(D584="",F584=""),"",F584*IF(OR(D584="Reçu du magasin",D584="Ajustement (+)"),1,-1))</f>
        <v/>
      </c>
      <c r="Q584" s="34">
        <f>IF(C584="","",YEAR(C584-WEEKDAY(C584,2)+4)&amp;"-S"&amp;TEXT(INT((C584-DATE(YEAR(C584-WEEKDAY(C584,2)+4),1,3)+WEEKDAY(DATE(YEAR(C584-WEEKDAY(C584,2)+4),1,3),2)+5)/7),"00"))</f>
        <v/>
      </c>
    </row>
    <row r="585" ht="18" customHeight="1">
      <c r="A585" s="39" t="n">
        <v>580</v>
      </c>
      <c r="B585" s="33">
        <f>IF(C585="","",IF(L585="À RENSEIGNER","GIC",L585)&amp;"-S"&amp;TEXT(A585,"00000"))</f>
        <v/>
      </c>
      <c r="C585" s="32" t="n"/>
      <c r="D585" s="36" t="n"/>
      <c r="E585" s="36" t="n"/>
      <c r="F585" s="42" t="n"/>
      <c r="G585" s="36" t="n"/>
      <c r="H585" s="43" t="n"/>
      <c r="I585" s="37" t="n"/>
      <c r="J585" s="44" t="n"/>
      <c r="K585" s="36" t="n"/>
      <c r="L585" s="33">
        <f>IF(C585="","",Commercial_Id)</f>
        <v/>
      </c>
      <c r="M585" s="34">
        <f>IF(E585="","",IFERROR(VLOOKUP(E585,T_Produits,2,FALSE),""))</f>
        <v/>
      </c>
      <c r="N585" s="40">
        <f>IF(E585="","",IFERROR(1/(1/VLOOKUP(E585,T_Produits,3,FALSE)),""))</f>
        <v/>
      </c>
      <c r="O585" s="40">
        <f>IF(OR(D585="",F585=""),"",IF(OR(D585="Casse / avarie",D585="Perte / vol",D585="Échantillon offert"),IF(I585&lt;&gt;"",I585,IF(N585="","",F585*N585)),""))</f>
        <v/>
      </c>
      <c r="P585" s="50">
        <f>IF(OR(D585="",F585=""),"",F585*IF(OR(D585="Reçu du magasin",D585="Ajustement (+)"),1,-1))</f>
        <v/>
      </c>
      <c r="Q585" s="34">
        <f>IF(C585="","",YEAR(C585-WEEKDAY(C585,2)+4)&amp;"-S"&amp;TEXT(INT((C585-DATE(YEAR(C585-WEEKDAY(C585,2)+4),1,3)+WEEKDAY(DATE(YEAR(C585-WEEKDAY(C585,2)+4),1,3),2)+5)/7),"00"))</f>
        <v/>
      </c>
    </row>
    <row r="586" ht="18" customHeight="1">
      <c r="A586" s="39" t="n">
        <v>581</v>
      </c>
      <c r="B586" s="33">
        <f>IF(C586="","",IF(L586="À RENSEIGNER","GIC",L586)&amp;"-S"&amp;TEXT(A586,"00000"))</f>
        <v/>
      </c>
      <c r="C586" s="32" t="n"/>
      <c r="D586" s="36" t="n"/>
      <c r="E586" s="36" t="n"/>
      <c r="F586" s="42" t="n"/>
      <c r="G586" s="36" t="n"/>
      <c r="H586" s="43" t="n"/>
      <c r="I586" s="37" t="n"/>
      <c r="J586" s="44" t="n"/>
      <c r="K586" s="36" t="n"/>
      <c r="L586" s="33">
        <f>IF(C586="","",Commercial_Id)</f>
        <v/>
      </c>
      <c r="M586" s="34">
        <f>IF(E586="","",IFERROR(VLOOKUP(E586,T_Produits,2,FALSE),""))</f>
        <v/>
      </c>
      <c r="N586" s="40">
        <f>IF(E586="","",IFERROR(1/(1/VLOOKUP(E586,T_Produits,3,FALSE)),""))</f>
        <v/>
      </c>
      <c r="O586" s="40">
        <f>IF(OR(D586="",F586=""),"",IF(OR(D586="Casse / avarie",D586="Perte / vol",D586="Échantillon offert"),IF(I586&lt;&gt;"",I586,IF(N586="","",F586*N586)),""))</f>
        <v/>
      </c>
      <c r="P586" s="50">
        <f>IF(OR(D586="",F586=""),"",F586*IF(OR(D586="Reçu du magasin",D586="Ajustement (+)"),1,-1))</f>
        <v/>
      </c>
      <c r="Q586" s="34">
        <f>IF(C586="","",YEAR(C586-WEEKDAY(C586,2)+4)&amp;"-S"&amp;TEXT(INT((C586-DATE(YEAR(C586-WEEKDAY(C586,2)+4),1,3)+WEEKDAY(DATE(YEAR(C586-WEEKDAY(C586,2)+4),1,3),2)+5)/7),"00"))</f>
        <v/>
      </c>
    </row>
    <row r="587" ht="18" customHeight="1">
      <c r="A587" s="39" t="n">
        <v>582</v>
      </c>
      <c r="B587" s="33">
        <f>IF(C587="","",IF(L587="À RENSEIGNER","GIC",L587)&amp;"-S"&amp;TEXT(A587,"00000"))</f>
        <v/>
      </c>
      <c r="C587" s="32" t="n"/>
      <c r="D587" s="36" t="n"/>
      <c r="E587" s="36" t="n"/>
      <c r="F587" s="42" t="n"/>
      <c r="G587" s="36" t="n"/>
      <c r="H587" s="43" t="n"/>
      <c r="I587" s="37" t="n"/>
      <c r="J587" s="44" t="n"/>
      <c r="K587" s="36" t="n"/>
      <c r="L587" s="33">
        <f>IF(C587="","",Commercial_Id)</f>
        <v/>
      </c>
      <c r="M587" s="34">
        <f>IF(E587="","",IFERROR(VLOOKUP(E587,T_Produits,2,FALSE),""))</f>
        <v/>
      </c>
      <c r="N587" s="40">
        <f>IF(E587="","",IFERROR(1/(1/VLOOKUP(E587,T_Produits,3,FALSE)),""))</f>
        <v/>
      </c>
      <c r="O587" s="40">
        <f>IF(OR(D587="",F587=""),"",IF(OR(D587="Casse / avarie",D587="Perte / vol",D587="Échantillon offert"),IF(I587&lt;&gt;"",I587,IF(N587="","",F587*N587)),""))</f>
        <v/>
      </c>
      <c r="P587" s="50">
        <f>IF(OR(D587="",F587=""),"",F587*IF(OR(D587="Reçu du magasin",D587="Ajustement (+)"),1,-1))</f>
        <v/>
      </c>
      <c r="Q587" s="34">
        <f>IF(C587="","",YEAR(C587-WEEKDAY(C587,2)+4)&amp;"-S"&amp;TEXT(INT((C587-DATE(YEAR(C587-WEEKDAY(C587,2)+4),1,3)+WEEKDAY(DATE(YEAR(C587-WEEKDAY(C587,2)+4),1,3),2)+5)/7),"00"))</f>
        <v/>
      </c>
    </row>
    <row r="588" ht="18" customHeight="1">
      <c r="A588" s="39" t="n">
        <v>583</v>
      </c>
      <c r="B588" s="33">
        <f>IF(C588="","",IF(L588="À RENSEIGNER","GIC",L588)&amp;"-S"&amp;TEXT(A588,"00000"))</f>
        <v/>
      </c>
      <c r="C588" s="32" t="n"/>
      <c r="D588" s="36" t="n"/>
      <c r="E588" s="36" t="n"/>
      <c r="F588" s="42" t="n"/>
      <c r="G588" s="36" t="n"/>
      <c r="H588" s="43" t="n"/>
      <c r="I588" s="37" t="n"/>
      <c r="J588" s="44" t="n"/>
      <c r="K588" s="36" t="n"/>
      <c r="L588" s="33">
        <f>IF(C588="","",Commercial_Id)</f>
        <v/>
      </c>
      <c r="M588" s="34">
        <f>IF(E588="","",IFERROR(VLOOKUP(E588,T_Produits,2,FALSE),""))</f>
        <v/>
      </c>
      <c r="N588" s="40">
        <f>IF(E588="","",IFERROR(1/(1/VLOOKUP(E588,T_Produits,3,FALSE)),""))</f>
        <v/>
      </c>
      <c r="O588" s="40">
        <f>IF(OR(D588="",F588=""),"",IF(OR(D588="Casse / avarie",D588="Perte / vol",D588="Échantillon offert"),IF(I588&lt;&gt;"",I588,IF(N588="","",F588*N588)),""))</f>
        <v/>
      </c>
      <c r="P588" s="50">
        <f>IF(OR(D588="",F588=""),"",F588*IF(OR(D588="Reçu du magasin",D588="Ajustement (+)"),1,-1))</f>
        <v/>
      </c>
      <c r="Q588" s="34">
        <f>IF(C588="","",YEAR(C588-WEEKDAY(C588,2)+4)&amp;"-S"&amp;TEXT(INT((C588-DATE(YEAR(C588-WEEKDAY(C588,2)+4),1,3)+WEEKDAY(DATE(YEAR(C588-WEEKDAY(C588,2)+4),1,3),2)+5)/7),"00"))</f>
        <v/>
      </c>
    </row>
    <row r="589" ht="18" customHeight="1">
      <c r="A589" s="39" t="n">
        <v>584</v>
      </c>
      <c r="B589" s="33">
        <f>IF(C589="","",IF(L589="À RENSEIGNER","GIC",L589)&amp;"-S"&amp;TEXT(A589,"00000"))</f>
        <v/>
      </c>
      <c r="C589" s="32" t="n"/>
      <c r="D589" s="36" t="n"/>
      <c r="E589" s="36" t="n"/>
      <c r="F589" s="42" t="n"/>
      <c r="G589" s="36" t="n"/>
      <c r="H589" s="43" t="n"/>
      <c r="I589" s="37" t="n"/>
      <c r="J589" s="44" t="n"/>
      <c r="K589" s="36" t="n"/>
      <c r="L589" s="33">
        <f>IF(C589="","",Commercial_Id)</f>
        <v/>
      </c>
      <c r="M589" s="34">
        <f>IF(E589="","",IFERROR(VLOOKUP(E589,T_Produits,2,FALSE),""))</f>
        <v/>
      </c>
      <c r="N589" s="40">
        <f>IF(E589="","",IFERROR(1/(1/VLOOKUP(E589,T_Produits,3,FALSE)),""))</f>
        <v/>
      </c>
      <c r="O589" s="40">
        <f>IF(OR(D589="",F589=""),"",IF(OR(D589="Casse / avarie",D589="Perte / vol",D589="Échantillon offert"),IF(I589&lt;&gt;"",I589,IF(N589="","",F589*N589)),""))</f>
        <v/>
      </c>
      <c r="P589" s="50">
        <f>IF(OR(D589="",F589=""),"",F589*IF(OR(D589="Reçu du magasin",D589="Ajustement (+)"),1,-1))</f>
        <v/>
      </c>
      <c r="Q589" s="34">
        <f>IF(C589="","",YEAR(C589-WEEKDAY(C589,2)+4)&amp;"-S"&amp;TEXT(INT((C589-DATE(YEAR(C589-WEEKDAY(C589,2)+4),1,3)+WEEKDAY(DATE(YEAR(C589-WEEKDAY(C589,2)+4),1,3),2)+5)/7),"00"))</f>
        <v/>
      </c>
    </row>
    <row r="590" ht="18" customHeight="1">
      <c r="A590" s="39" t="n">
        <v>585</v>
      </c>
      <c r="B590" s="33">
        <f>IF(C590="","",IF(L590="À RENSEIGNER","GIC",L590)&amp;"-S"&amp;TEXT(A590,"00000"))</f>
        <v/>
      </c>
      <c r="C590" s="32" t="n"/>
      <c r="D590" s="36" t="n"/>
      <c r="E590" s="36" t="n"/>
      <c r="F590" s="42" t="n"/>
      <c r="G590" s="36" t="n"/>
      <c r="H590" s="43" t="n"/>
      <c r="I590" s="37" t="n"/>
      <c r="J590" s="44" t="n"/>
      <c r="K590" s="36" t="n"/>
      <c r="L590" s="33">
        <f>IF(C590="","",Commercial_Id)</f>
        <v/>
      </c>
      <c r="M590" s="34">
        <f>IF(E590="","",IFERROR(VLOOKUP(E590,T_Produits,2,FALSE),""))</f>
        <v/>
      </c>
      <c r="N590" s="40">
        <f>IF(E590="","",IFERROR(1/(1/VLOOKUP(E590,T_Produits,3,FALSE)),""))</f>
        <v/>
      </c>
      <c r="O590" s="40">
        <f>IF(OR(D590="",F590=""),"",IF(OR(D590="Casse / avarie",D590="Perte / vol",D590="Échantillon offert"),IF(I590&lt;&gt;"",I590,IF(N590="","",F590*N590)),""))</f>
        <v/>
      </c>
      <c r="P590" s="50">
        <f>IF(OR(D590="",F590=""),"",F590*IF(OR(D590="Reçu du magasin",D590="Ajustement (+)"),1,-1))</f>
        <v/>
      </c>
      <c r="Q590" s="34">
        <f>IF(C590="","",YEAR(C590-WEEKDAY(C590,2)+4)&amp;"-S"&amp;TEXT(INT((C590-DATE(YEAR(C590-WEEKDAY(C590,2)+4),1,3)+WEEKDAY(DATE(YEAR(C590-WEEKDAY(C590,2)+4),1,3),2)+5)/7),"00"))</f>
        <v/>
      </c>
    </row>
    <row r="591" ht="18" customHeight="1">
      <c r="A591" s="39" t="n">
        <v>586</v>
      </c>
      <c r="B591" s="33">
        <f>IF(C591="","",IF(L591="À RENSEIGNER","GIC",L591)&amp;"-S"&amp;TEXT(A591,"00000"))</f>
        <v/>
      </c>
      <c r="C591" s="32" t="n"/>
      <c r="D591" s="36" t="n"/>
      <c r="E591" s="36" t="n"/>
      <c r="F591" s="42" t="n"/>
      <c r="G591" s="36" t="n"/>
      <c r="H591" s="43" t="n"/>
      <c r="I591" s="37" t="n"/>
      <c r="J591" s="44" t="n"/>
      <c r="K591" s="36" t="n"/>
      <c r="L591" s="33">
        <f>IF(C591="","",Commercial_Id)</f>
        <v/>
      </c>
      <c r="M591" s="34">
        <f>IF(E591="","",IFERROR(VLOOKUP(E591,T_Produits,2,FALSE),""))</f>
        <v/>
      </c>
      <c r="N591" s="40">
        <f>IF(E591="","",IFERROR(1/(1/VLOOKUP(E591,T_Produits,3,FALSE)),""))</f>
        <v/>
      </c>
      <c r="O591" s="40">
        <f>IF(OR(D591="",F591=""),"",IF(OR(D591="Casse / avarie",D591="Perte / vol",D591="Échantillon offert"),IF(I591&lt;&gt;"",I591,IF(N591="","",F591*N591)),""))</f>
        <v/>
      </c>
      <c r="P591" s="50">
        <f>IF(OR(D591="",F591=""),"",F591*IF(OR(D591="Reçu du magasin",D591="Ajustement (+)"),1,-1))</f>
        <v/>
      </c>
      <c r="Q591" s="34">
        <f>IF(C591="","",YEAR(C591-WEEKDAY(C591,2)+4)&amp;"-S"&amp;TEXT(INT((C591-DATE(YEAR(C591-WEEKDAY(C591,2)+4),1,3)+WEEKDAY(DATE(YEAR(C591-WEEKDAY(C591,2)+4),1,3),2)+5)/7),"00"))</f>
        <v/>
      </c>
    </row>
    <row r="592" ht="18" customHeight="1">
      <c r="A592" s="39" t="n">
        <v>587</v>
      </c>
      <c r="B592" s="33">
        <f>IF(C592="","",IF(L592="À RENSEIGNER","GIC",L592)&amp;"-S"&amp;TEXT(A592,"00000"))</f>
        <v/>
      </c>
      <c r="C592" s="32" t="n"/>
      <c r="D592" s="36" t="n"/>
      <c r="E592" s="36" t="n"/>
      <c r="F592" s="42" t="n"/>
      <c r="G592" s="36" t="n"/>
      <c r="H592" s="43" t="n"/>
      <c r="I592" s="37" t="n"/>
      <c r="J592" s="44" t="n"/>
      <c r="K592" s="36" t="n"/>
      <c r="L592" s="33">
        <f>IF(C592="","",Commercial_Id)</f>
        <v/>
      </c>
      <c r="M592" s="34">
        <f>IF(E592="","",IFERROR(VLOOKUP(E592,T_Produits,2,FALSE),""))</f>
        <v/>
      </c>
      <c r="N592" s="40">
        <f>IF(E592="","",IFERROR(1/(1/VLOOKUP(E592,T_Produits,3,FALSE)),""))</f>
        <v/>
      </c>
      <c r="O592" s="40">
        <f>IF(OR(D592="",F592=""),"",IF(OR(D592="Casse / avarie",D592="Perte / vol",D592="Échantillon offert"),IF(I592&lt;&gt;"",I592,IF(N592="","",F592*N592)),""))</f>
        <v/>
      </c>
      <c r="P592" s="50">
        <f>IF(OR(D592="",F592=""),"",F592*IF(OR(D592="Reçu du magasin",D592="Ajustement (+)"),1,-1))</f>
        <v/>
      </c>
      <c r="Q592" s="34">
        <f>IF(C592="","",YEAR(C592-WEEKDAY(C592,2)+4)&amp;"-S"&amp;TEXT(INT((C592-DATE(YEAR(C592-WEEKDAY(C592,2)+4),1,3)+WEEKDAY(DATE(YEAR(C592-WEEKDAY(C592,2)+4),1,3),2)+5)/7),"00"))</f>
        <v/>
      </c>
    </row>
    <row r="593" ht="18" customHeight="1">
      <c r="A593" s="39" t="n">
        <v>588</v>
      </c>
      <c r="B593" s="33">
        <f>IF(C593="","",IF(L593="À RENSEIGNER","GIC",L593)&amp;"-S"&amp;TEXT(A593,"00000"))</f>
        <v/>
      </c>
      <c r="C593" s="32" t="n"/>
      <c r="D593" s="36" t="n"/>
      <c r="E593" s="36" t="n"/>
      <c r="F593" s="42" t="n"/>
      <c r="G593" s="36" t="n"/>
      <c r="H593" s="43" t="n"/>
      <c r="I593" s="37" t="n"/>
      <c r="J593" s="44" t="n"/>
      <c r="K593" s="36" t="n"/>
      <c r="L593" s="33">
        <f>IF(C593="","",Commercial_Id)</f>
        <v/>
      </c>
      <c r="M593" s="34">
        <f>IF(E593="","",IFERROR(VLOOKUP(E593,T_Produits,2,FALSE),""))</f>
        <v/>
      </c>
      <c r="N593" s="40">
        <f>IF(E593="","",IFERROR(1/(1/VLOOKUP(E593,T_Produits,3,FALSE)),""))</f>
        <v/>
      </c>
      <c r="O593" s="40">
        <f>IF(OR(D593="",F593=""),"",IF(OR(D593="Casse / avarie",D593="Perte / vol",D593="Échantillon offert"),IF(I593&lt;&gt;"",I593,IF(N593="","",F593*N593)),""))</f>
        <v/>
      </c>
      <c r="P593" s="50">
        <f>IF(OR(D593="",F593=""),"",F593*IF(OR(D593="Reçu du magasin",D593="Ajustement (+)"),1,-1))</f>
        <v/>
      </c>
      <c r="Q593" s="34">
        <f>IF(C593="","",YEAR(C593-WEEKDAY(C593,2)+4)&amp;"-S"&amp;TEXT(INT((C593-DATE(YEAR(C593-WEEKDAY(C593,2)+4),1,3)+WEEKDAY(DATE(YEAR(C593-WEEKDAY(C593,2)+4),1,3),2)+5)/7),"00"))</f>
        <v/>
      </c>
    </row>
    <row r="594" ht="18" customHeight="1">
      <c r="A594" s="39" t="n">
        <v>589</v>
      </c>
      <c r="B594" s="33">
        <f>IF(C594="","",IF(L594="À RENSEIGNER","GIC",L594)&amp;"-S"&amp;TEXT(A594,"00000"))</f>
        <v/>
      </c>
      <c r="C594" s="32" t="n"/>
      <c r="D594" s="36" t="n"/>
      <c r="E594" s="36" t="n"/>
      <c r="F594" s="42" t="n"/>
      <c r="G594" s="36" t="n"/>
      <c r="H594" s="43" t="n"/>
      <c r="I594" s="37" t="n"/>
      <c r="J594" s="44" t="n"/>
      <c r="K594" s="36" t="n"/>
      <c r="L594" s="33">
        <f>IF(C594="","",Commercial_Id)</f>
        <v/>
      </c>
      <c r="M594" s="34">
        <f>IF(E594="","",IFERROR(VLOOKUP(E594,T_Produits,2,FALSE),""))</f>
        <v/>
      </c>
      <c r="N594" s="40">
        <f>IF(E594="","",IFERROR(1/(1/VLOOKUP(E594,T_Produits,3,FALSE)),""))</f>
        <v/>
      </c>
      <c r="O594" s="40">
        <f>IF(OR(D594="",F594=""),"",IF(OR(D594="Casse / avarie",D594="Perte / vol",D594="Échantillon offert"),IF(I594&lt;&gt;"",I594,IF(N594="","",F594*N594)),""))</f>
        <v/>
      </c>
      <c r="P594" s="50">
        <f>IF(OR(D594="",F594=""),"",F594*IF(OR(D594="Reçu du magasin",D594="Ajustement (+)"),1,-1))</f>
        <v/>
      </c>
      <c r="Q594" s="34">
        <f>IF(C594="","",YEAR(C594-WEEKDAY(C594,2)+4)&amp;"-S"&amp;TEXT(INT((C594-DATE(YEAR(C594-WEEKDAY(C594,2)+4),1,3)+WEEKDAY(DATE(YEAR(C594-WEEKDAY(C594,2)+4),1,3),2)+5)/7),"00"))</f>
        <v/>
      </c>
    </row>
    <row r="595" ht="18" customHeight="1">
      <c r="A595" s="39" t="n">
        <v>590</v>
      </c>
      <c r="B595" s="33">
        <f>IF(C595="","",IF(L595="À RENSEIGNER","GIC",L595)&amp;"-S"&amp;TEXT(A595,"00000"))</f>
        <v/>
      </c>
      <c r="C595" s="32" t="n"/>
      <c r="D595" s="36" t="n"/>
      <c r="E595" s="36" t="n"/>
      <c r="F595" s="42" t="n"/>
      <c r="G595" s="36" t="n"/>
      <c r="H595" s="43" t="n"/>
      <c r="I595" s="37" t="n"/>
      <c r="J595" s="44" t="n"/>
      <c r="K595" s="36" t="n"/>
      <c r="L595" s="33">
        <f>IF(C595="","",Commercial_Id)</f>
        <v/>
      </c>
      <c r="M595" s="34">
        <f>IF(E595="","",IFERROR(VLOOKUP(E595,T_Produits,2,FALSE),""))</f>
        <v/>
      </c>
      <c r="N595" s="40">
        <f>IF(E595="","",IFERROR(1/(1/VLOOKUP(E595,T_Produits,3,FALSE)),""))</f>
        <v/>
      </c>
      <c r="O595" s="40">
        <f>IF(OR(D595="",F595=""),"",IF(OR(D595="Casse / avarie",D595="Perte / vol",D595="Échantillon offert"),IF(I595&lt;&gt;"",I595,IF(N595="","",F595*N595)),""))</f>
        <v/>
      </c>
      <c r="P595" s="50">
        <f>IF(OR(D595="",F595=""),"",F595*IF(OR(D595="Reçu du magasin",D595="Ajustement (+)"),1,-1))</f>
        <v/>
      </c>
      <c r="Q595" s="34">
        <f>IF(C595="","",YEAR(C595-WEEKDAY(C595,2)+4)&amp;"-S"&amp;TEXT(INT((C595-DATE(YEAR(C595-WEEKDAY(C595,2)+4),1,3)+WEEKDAY(DATE(YEAR(C595-WEEKDAY(C595,2)+4),1,3),2)+5)/7),"00"))</f>
        <v/>
      </c>
    </row>
    <row r="596" ht="18" customHeight="1">
      <c r="A596" s="39" t="n">
        <v>591</v>
      </c>
      <c r="B596" s="33">
        <f>IF(C596="","",IF(L596="À RENSEIGNER","GIC",L596)&amp;"-S"&amp;TEXT(A596,"00000"))</f>
        <v/>
      </c>
      <c r="C596" s="32" t="n"/>
      <c r="D596" s="36" t="n"/>
      <c r="E596" s="36" t="n"/>
      <c r="F596" s="42" t="n"/>
      <c r="G596" s="36" t="n"/>
      <c r="H596" s="43" t="n"/>
      <c r="I596" s="37" t="n"/>
      <c r="J596" s="44" t="n"/>
      <c r="K596" s="36" t="n"/>
      <c r="L596" s="33">
        <f>IF(C596="","",Commercial_Id)</f>
        <v/>
      </c>
      <c r="M596" s="34">
        <f>IF(E596="","",IFERROR(VLOOKUP(E596,T_Produits,2,FALSE),""))</f>
        <v/>
      </c>
      <c r="N596" s="40">
        <f>IF(E596="","",IFERROR(1/(1/VLOOKUP(E596,T_Produits,3,FALSE)),""))</f>
        <v/>
      </c>
      <c r="O596" s="40">
        <f>IF(OR(D596="",F596=""),"",IF(OR(D596="Casse / avarie",D596="Perte / vol",D596="Échantillon offert"),IF(I596&lt;&gt;"",I596,IF(N596="","",F596*N596)),""))</f>
        <v/>
      </c>
      <c r="P596" s="50">
        <f>IF(OR(D596="",F596=""),"",F596*IF(OR(D596="Reçu du magasin",D596="Ajustement (+)"),1,-1))</f>
        <v/>
      </c>
      <c r="Q596" s="34">
        <f>IF(C596="","",YEAR(C596-WEEKDAY(C596,2)+4)&amp;"-S"&amp;TEXT(INT((C596-DATE(YEAR(C596-WEEKDAY(C596,2)+4),1,3)+WEEKDAY(DATE(YEAR(C596-WEEKDAY(C596,2)+4),1,3),2)+5)/7),"00"))</f>
        <v/>
      </c>
    </row>
    <row r="597" ht="18" customHeight="1">
      <c r="A597" s="39" t="n">
        <v>592</v>
      </c>
      <c r="B597" s="33">
        <f>IF(C597="","",IF(L597="À RENSEIGNER","GIC",L597)&amp;"-S"&amp;TEXT(A597,"00000"))</f>
        <v/>
      </c>
      <c r="C597" s="32" t="n"/>
      <c r="D597" s="36" t="n"/>
      <c r="E597" s="36" t="n"/>
      <c r="F597" s="42" t="n"/>
      <c r="G597" s="36" t="n"/>
      <c r="H597" s="43" t="n"/>
      <c r="I597" s="37" t="n"/>
      <c r="J597" s="44" t="n"/>
      <c r="K597" s="36" t="n"/>
      <c r="L597" s="33">
        <f>IF(C597="","",Commercial_Id)</f>
        <v/>
      </c>
      <c r="M597" s="34">
        <f>IF(E597="","",IFERROR(VLOOKUP(E597,T_Produits,2,FALSE),""))</f>
        <v/>
      </c>
      <c r="N597" s="40">
        <f>IF(E597="","",IFERROR(1/(1/VLOOKUP(E597,T_Produits,3,FALSE)),""))</f>
        <v/>
      </c>
      <c r="O597" s="40">
        <f>IF(OR(D597="",F597=""),"",IF(OR(D597="Casse / avarie",D597="Perte / vol",D597="Échantillon offert"),IF(I597&lt;&gt;"",I597,IF(N597="","",F597*N597)),""))</f>
        <v/>
      </c>
      <c r="P597" s="50">
        <f>IF(OR(D597="",F597=""),"",F597*IF(OR(D597="Reçu du magasin",D597="Ajustement (+)"),1,-1))</f>
        <v/>
      </c>
      <c r="Q597" s="34">
        <f>IF(C597="","",YEAR(C597-WEEKDAY(C597,2)+4)&amp;"-S"&amp;TEXT(INT((C597-DATE(YEAR(C597-WEEKDAY(C597,2)+4),1,3)+WEEKDAY(DATE(YEAR(C597-WEEKDAY(C597,2)+4),1,3),2)+5)/7),"00"))</f>
        <v/>
      </c>
    </row>
    <row r="598" ht="18" customHeight="1">
      <c r="A598" s="39" t="n">
        <v>593</v>
      </c>
      <c r="B598" s="33">
        <f>IF(C598="","",IF(L598="À RENSEIGNER","GIC",L598)&amp;"-S"&amp;TEXT(A598,"00000"))</f>
        <v/>
      </c>
      <c r="C598" s="32" t="n"/>
      <c r="D598" s="36" t="n"/>
      <c r="E598" s="36" t="n"/>
      <c r="F598" s="42" t="n"/>
      <c r="G598" s="36" t="n"/>
      <c r="H598" s="43" t="n"/>
      <c r="I598" s="37" t="n"/>
      <c r="J598" s="44" t="n"/>
      <c r="K598" s="36" t="n"/>
      <c r="L598" s="33">
        <f>IF(C598="","",Commercial_Id)</f>
        <v/>
      </c>
      <c r="M598" s="34">
        <f>IF(E598="","",IFERROR(VLOOKUP(E598,T_Produits,2,FALSE),""))</f>
        <v/>
      </c>
      <c r="N598" s="40">
        <f>IF(E598="","",IFERROR(1/(1/VLOOKUP(E598,T_Produits,3,FALSE)),""))</f>
        <v/>
      </c>
      <c r="O598" s="40">
        <f>IF(OR(D598="",F598=""),"",IF(OR(D598="Casse / avarie",D598="Perte / vol",D598="Échantillon offert"),IF(I598&lt;&gt;"",I598,IF(N598="","",F598*N598)),""))</f>
        <v/>
      </c>
      <c r="P598" s="50">
        <f>IF(OR(D598="",F598=""),"",F598*IF(OR(D598="Reçu du magasin",D598="Ajustement (+)"),1,-1))</f>
        <v/>
      </c>
      <c r="Q598" s="34">
        <f>IF(C598="","",YEAR(C598-WEEKDAY(C598,2)+4)&amp;"-S"&amp;TEXT(INT((C598-DATE(YEAR(C598-WEEKDAY(C598,2)+4),1,3)+WEEKDAY(DATE(YEAR(C598-WEEKDAY(C598,2)+4),1,3),2)+5)/7),"00"))</f>
        <v/>
      </c>
    </row>
    <row r="599" ht="18" customHeight="1">
      <c r="A599" s="39" t="n">
        <v>594</v>
      </c>
      <c r="B599" s="33">
        <f>IF(C599="","",IF(L599="À RENSEIGNER","GIC",L599)&amp;"-S"&amp;TEXT(A599,"00000"))</f>
        <v/>
      </c>
      <c r="C599" s="32" t="n"/>
      <c r="D599" s="36" t="n"/>
      <c r="E599" s="36" t="n"/>
      <c r="F599" s="42" t="n"/>
      <c r="G599" s="36" t="n"/>
      <c r="H599" s="43" t="n"/>
      <c r="I599" s="37" t="n"/>
      <c r="J599" s="44" t="n"/>
      <c r="K599" s="36" t="n"/>
      <c r="L599" s="33">
        <f>IF(C599="","",Commercial_Id)</f>
        <v/>
      </c>
      <c r="M599" s="34">
        <f>IF(E599="","",IFERROR(VLOOKUP(E599,T_Produits,2,FALSE),""))</f>
        <v/>
      </c>
      <c r="N599" s="40">
        <f>IF(E599="","",IFERROR(1/(1/VLOOKUP(E599,T_Produits,3,FALSE)),""))</f>
        <v/>
      </c>
      <c r="O599" s="40">
        <f>IF(OR(D599="",F599=""),"",IF(OR(D599="Casse / avarie",D599="Perte / vol",D599="Échantillon offert"),IF(I599&lt;&gt;"",I599,IF(N599="","",F599*N599)),""))</f>
        <v/>
      </c>
      <c r="P599" s="50">
        <f>IF(OR(D599="",F599=""),"",F599*IF(OR(D599="Reçu du magasin",D599="Ajustement (+)"),1,-1))</f>
        <v/>
      </c>
      <c r="Q599" s="34">
        <f>IF(C599="","",YEAR(C599-WEEKDAY(C599,2)+4)&amp;"-S"&amp;TEXT(INT((C599-DATE(YEAR(C599-WEEKDAY(C599,2)+4),1,3)+WEEKDAY(DATE(YEAR(C599-WEEKDAY(C599,2)+4),1,3),2)+5)/7),"00"))</f>
        <v/>
      </c>
    </row>
    <row r="600" ht="18" customHeight="1">
      <c r="A600" s="39" t="n">
        <v>595</v>
      </c>
      <c r="B600" s="33">
        <f>IF(C600="","",IF(L600="À RENSEIGNER","GIC",L600)&amp;"-S"&amp;TEXT(A600,"00000"))</f>
        <v/>
      </c>
      <c r="C600" s="32" t="n"/>
      <c r="D600" s="36" t="n"/>
      <c r="E600" s="36" t="n"/>
      <c r="F600" s="42" t="n"/>
      <c r="G600" s="36" t="n"/>
      <c r="H600" s="43" t="n"/>
      <c r="I600" s="37" t="n"/>
      <c r="J600" s="44" t="n"/>
      <c r="K600" s="36" t="n"/>
      <c r="L600" s="33">
        <f>IF(C600="","",Commercial_Id)</f>
        <v/>
      </c>
      <c r="M600" s="34">
        <f>IF(E600="","",IFERROR(VLOOKUP(E600,T_Produits,2,FALSE),""))</f>
        <v/>
      </c>
      <c r="N600" s="40">
        <f>IF(E600="","",IFERROR(1/(1/VLOOKUP(E600,T_Produits,3,FALSE)),""))</f>
        <v/>
      </c>
      <c r="O600" s="40">
        <f>IF(OR(D600="",F600=""),"",IF(OR(D600="Casse / avarie",D600="Perte / vol",D600="Échantillon offert"),IF(I600&lt;&gt;"",I600,IF(N600="","",F600*N600)),""))</f>
        <v/>
      </c>
      <c r="P600" s="50">
        <f>IF(OR(D600="",F600=""),"",F600*IF(OR(D600="Reçu du magasin",D600="Ajustement (+)"),1,-1))</f>
        <v/>
      </c>
      <c r="Q600" s="34">
        <f>IF(C600="","",YEAR(C600-WEEKDAY(C600,2)+4)&amp;"-S"&amp;TEXT(INT((C600-DATE(YEAR(C600-WEEKDAY(C600,2)+4),1,3)+WEEKDAY(DATE(YEAR(C600-WEEKDAY(C600,2)+4),1,3),2)+5)/7),"00"))</f>
        <v/>
      </c>
    </row>
    <row r="601" ht="18" customHeight="1">
      <c r="A601" s="39" t="n">
        <v>596</v>
      </c>
      <c r="B601" s="33">
        <f>IF(C601="","",IF(L601="À RENSEIGNER","GIC",L601)&amp;"-S"&amp;TEXT(A601,"00000"))</f>
        <v/>
      </c>
      <c r="C601" s="32" t="n"/>
      <c r="D601" s="36" t="n"/>
      <c r="E601" s="36" t="n"/>
      <c r="F601" s="42" t="n"/>
      <c r="G601" s="36" t="n"/>
      <c r="H601" s="43" t="n"/>
      <c r="I601" s="37" t="n"/>
      <c r="J601" s="44" t="n"/>
      <c r="K601" s="36" t="n"/>
      <c r="L601" s="33">
        <f>IF(C601="","",Commercial_Id)</f>
        <v/>
      </c>
      <c r="M601" s="34">
        <f>IF(E601="","",IFERROR(VLOOKUP(E601,T_Produits,2,FALSE),""))</f>
        <v/>
      </c>
      <c r="N601" s="40">
        <f>IF(E601="","",IFERROR(1/(1/VLOOKUP(E601,T_Produits,3,FALSE)),""))</f>
        <v/>
      </c>
      <c r="O601" s="40">
        <f>IF(OR(D601="",F601=""),"",IF(OR(D601="Casse / avarie",D601="Perte / vol",D601="Échantillon offert"),IF(I601&lt;&gt;"",I601,IF(N601="","",F601*N601)),""))</f>
        <v/>
      </c>
      <c r="P601" s="50">
        <f>IF(OR(D601="",F601=""),"",F601*IF(OR(D601="Reçu du magasin",D601="Ajustement (+)"),1,-1))</f>
        <v/>
      </c>
      <c r="Q601" s="34">
        <f>IF(C601="","",YEAR(C601-WEEKDAY(C601,2)+4)&amp;"-S"&amp;TEXT(INT((C601-DATE(YEAR(C601-WEEKDAY(C601,2)+4),1,3)+WEEKDAY(DATE(YEAR(C601-WEEKDAY(C601,2)+4),1,3),2)+5)/7),"00"))</f>
        <v/>
      </c>
    </row>
    <row r="602" ht="18" customHeight="1">
      <c r="A602" s="39" t="n">
        <v>597</v>
      </c>
      <c r="B602" s="33">
        <f>IF(C602="","",IF(L602="À RENSEIGNER","GIC",L602)&amp;"-S"&amp;TEXT(A602,"00000"))</f>
        <v/>
      </c>
      <c r="C602" s="32" t="n"/>
      <c r="D602" s="36" t="n"/>
      <c r="E602" s="36" t="n"/>
      <c r="F602" s="42" t="n"/>
      <c r="G602" s="36" t="n"/>
      <c r="H602" s="43" t="n"/>
      <c r="I602" s="37" t="n"/>
      <c r="J602" s="44" t="n"/>
      <c r="K602" s="36" t="n"/>
      <c r="L602" s="33">
        <f>IF(C602="","",Commercial_Id)</f>
        <v/>
      </c>
      <c r="M602" s="34">
        <f>IF(E602="","",IFERROR(VLOOKUP(E602,T_Produits,2,FALSE),""))</f>
        <v/>
      </c>
      <c r="N602" s="40">
        <f>IF(E602="","",IFERROR(1/(1/VLOOKUP(E602,T_Produits,3,FALSE)),""))</f>
        <v/>
      </c>
      <c r="O602" s="40">
        <f>IF(OR(D602="",F602=""),"",IF(OR(D602="Casse / avarie",D602="Perte / vol",D602="Échantillon offert"),IF(I602&lt;&gt;"",I602,IF(N602="","",F602*N602)),""))</f>
        <v/>
      </c>
      <c r="P602" s="50">
        <f>IF(OR(D602="",F602=""),"",F602*IF(OR(D602="Reçu du magasin",D602="Ajustement (+)"),1,-1))</f>
        <v/>
      </c>
      <c r="Q602" s="34">
        <f>IF(C602="","",YEAR(C602-WEEKDAY(C602,2)+4)&amp;"-S"&amp;TEXT(INT((C602-DATE(YEAR(C602-WEEKDAY(C602,2)+4),1,3)+WEEKDAY(DATE(YEAR(C602-WEEKDAY(C602,2)+4),1,3),2)+5)/7),"00"))</f>
        <v/>
      </c>
    </row>
    <row r="603" ht="18" customHeight="1">
      <c r="A603" s="39" t="n">
        <v>598</v>
      </c>
      <c r="B603" s="33">
        <f>IF(C603="","",IF(L603="À RENSEIGNER","GIC",L603)&amp;"-S"&amp;TEXT(A603,"00000"))</f>
        <v/>
      </c>
      <c r="C603" s="32" t="n"/>
      <c r="D603" s="36" t="n"/>
      <c r="E603" s="36" t="n"/>
      <c r="F603" s="42" t="n"/>
      <c r="G603" s="36" t="n"/>
      <c r="H603" s="43" t="n"/>
      <c r="I603" s="37" t="n"/>
      <c r="J603" s="44" t="n"/>
      <c r="K603" s="36" t="n"/>
      <c r="L603" s="33">
        <f>IF(C603="","",Commercial_Id)</f>
        <v/>
      </c>
      <c r="M603" s="34">
        <f>IF(E603="","",IFERROR(VLOOKUP(E603,T_Produits,2,FALSE),""))</f>
        <v/>
      </c>
      <c r="N603" s="40">
        <f>IF(E603="","",IFERROR(1/(1/VLOOKUP(E603,T_Produits,3,FALSE)),""))</f>
        <v/>
      </c>
      <c r="O603" s="40">
        <f>IF(OR(D603="",F603=""),"",IF(OR(D603="Casse / avarie",D603="Perte / vol",D603="Échantillon offert"),IF(I603&lt;&gt;"",I603,IF(N603="","",F603*N603)),""))</f>
        <v/>
      </c>
      <c r="P603" s="50">
        <f>IF(OR(D603="",F603=""),"",F603*IF(OR(D603="Reçu du magasin",D603="Ajustement (+)"),1,-1))</f>
        <v/>
      </c>
      <c r="Q603" s="34">
        <f>IF(C603="","",YEAR(C603-WEEKDAY(C603,2)+4)&amp;"-S"&amp;TEXT(INT((C603-DATE(YEAR(C603-WEEKDAY(C603,2)+4),1,3)+WEEKDAY(DATE(YEAR(C603-WEEKDAY(C603,2)+4),1,3),2)+5)/7),"00"))</f>
        <v/>
      </c>
    </row>
    <row r="604" ht="18" customHeight="1">
      <c r="A604" s="39" t="n">
        <v>599</v>
      </c>
      <c r="B604" s="33">
        <f>IF(C604="","",IF(L604="À RENSEIGNER","GIC",L604)&amp;"-S"&amp;TEXT(A604,"00000"))</f>
        <v/>
      </c>
      <c r="C604" s="32" t="n"/>
      <c r="D604" s="36" t="n"/>
      <c r="E604" s="36" t="n"/>
      <c r="F604" s="42" t="n"/>
      <c r="G604" s="36" t="n"/>
      <c r="H604" s="43" t="n"/>
      <c r="I604" s="37" t="n"/>
      <c r="J604" s="44" t="n"/>
      <c r="K604" s="36" t="n"/>
      <c r="L604" s="33">
        <f>IF(C604="","",Commercial_Id)</f>
        <v/>
      </c>
      <c r="M604" s="34">
        <f>IF(E604="","",IFERROR(VLOOKUP(E604,T_Produits,2,FALSE),""))</f>
        <v/>
      </c>
      <c r="N604" s="40">
        <f>IF(E604="","",IFERROR(1/(1/VLOOKUP(E604,T_Produits,3,FALSE)),""))</f>
        <v/>
      </c>
      <c r="O604" s="40">
        <f>IF(OR(D604="",F604=""),"",IF(OR(D604="Casse / avarie",D604="Perte / vol",D604="Échantillon offert"),IF(I604&lt;&gt;"",I604,IF(N604="","",F604*N604)),""))</f>
        <v/>
      </c>
      <c r="P604" s="50">
        <f>IF(OR(D604="",F604=""),"",F604*IF(OR(D604="Reçu du magasin",D604="Ajustement (+)"),1,-1))</f>
        <v/>
      </c>
      <c r="Q604" s="34">
        <f>IF(C604="","",YEAR(C604-WEEKDAY(C604,2)+4)&amp;"-S"&amp;TEXT(INT((C604-DATE(YEAR(C604-WEEKDAY(C604,2)+4),1,3)+WEEKDAY(DATE(YEAR(C604-WEEKDAY(C604,2)+4),1,3),2)+5)/7),"00"))</f>
        <v/>
      </c>
    </row>
    <row r="605" ht="18" customHeight="1">
      <c r="A605" s="39" t="n">
        <v>600</v>
      </c>
      <c r="B605" s="33">
        <f>IF(C605="","",IF(L605="À RENSEIGNER","GIC",L605)&amp;"-S"&amp;TEXT(A605,"00000"))</f>
        <v/>
      </c>
      <c r="C605" s="32" t="n"/>
      <c r="D605" s="36" t="n"/>
      <c r="E605" s="36" t="n"/>
      <c r="F605" s="42" t="n"/>
      <c r="G605" s="36" t="n"/>
      <c r="H605" s="43" t="n"/>
      <c r="I605" s="37" t="n"/>
      <c r="J605" s="44" t="n"/>
      <c r="K605" s="36" t="n"/>
      <c r="L605" s="33">
        <f>IF(C605="","",Commercial_Id)</f>
        <v/>
      </c>
      <c r="M605" s="34">
        <f>IF(E605="","",IFERROR(VLOOKUP(E605,T_Produits,2,FALSE),""))</f>
        <v/>
      </c>
      <c r="N605" s="40">
        <f>IF(E605="","",IFERROR(1/(1/VLOOKUP(E605,T_Produits,3,FALSE)),""))</f>
        <v/>
      </c>
      <c r="O605" s="40">
        <f>IF(OR(D605="",F605=""),"",IF(OR(D605="Casse / avarie",D605="Perte / vol",D605="Échantillon offert"),IF(I605&lt;&gt;"",I605,IF(N605="","",F605*N605)),""))</f>
        <v/>
      </c>
      <c r="P605" s="50">
        <f>IF(OR(D605="",F605=""),"",F605*IF(OR(D605="Reçu du magasin",D605="Ajustement (+)"),1,-1))</f>
        <v/>
      </c>
      <c r="Q605" s="34">
        <f>IF(C605="","",YEAR(C605-WEEKDAY(C605,2)+4)&amp;"-S"&amp;TEXT(INT((C605-DATE(YEAR(C605-WEEKDAY(C605,2)+4),1,3)+WEEKDAY(DATE(YEAR(C605-WEEKDAY(C605,2)+4),1,3),2)+5)/7),"00"))</f>
        <v/>
      </c>
    </row>
    <row r="606" ht="18" customHeight="1">
      <c r="A606" s="39" t="n">
        <v>601</v>
      </c>
      <c r="B606" s="33">
        <f>IF(C606="","",IF(L606="À RENSEIGNER","GIC",L606)&amp;"-S"&amp;TEXT(A606,"00000"))</f>
        <v/>
      </c>
      <c r="C606" s="32" t="n"/>
      <c r="D606" s="36" t="n"/>
      <c r="E606" s="36" t="n"/>
      <c r="F606" s="42" t="n"/>
      <c r="G606" s="36" t="n"/>
      <c r="H606" s="43" t="n"/>
      <c r="I606" s="37" t="n"/>
      <c r="J606" s="44" t="n"/>
      <c r="K606" s="36" t="n"/>
      <c r="L606" s="33">
        <f>IF(C606="","",Commercial_Id)</f>
        <v/>
      </c>
      <c r="M606" s="34">
        <f>IF(E606="","",IFERROR(VLOOKUP(E606,T_Produits,2,FALSE),""))</f>
        <v/>
      </c>
      <c r="N606" s="40">
        <f>IF(E606="","",IFERROR(1/(1/VLOOKUP(E606,T_Produits,3,FALSE)),""))</f>
        <v/>
      </c>
      <c r="O606" s="40">
        <f>IF(OR(D606="",F606=""),"",IF(OR(D606="Casse / avarie",D606="Perte / vol",D606="Échantillon offert"),IF(I606&lt;&gt;"",I606,IF(N606="","",F606*N606)),""))</f>
        <v/>
      </c>
      <c r="P606" s="50">
        <f>IF(OR(D606="",F606=""),"",F606*IF(OR(D606="Reçu du magasin",D606="Ajustement (+)"),1,-1))</f>
        <v/>
      </c>
      <c r="Q606" s="34">
        <f>IF(C606="","",YEAR(C606-WEEKDAY(C606,2)+4)&amp;"-S"&amp;TEXT(INT((C606-DATE(YEAR(C606-WEEKDAY(C606,2)+4),1,3)+WEEKDAY(DATE(YEAR(C606-WEEKDAY(C606,2)+4),1,3),2)+5)/7),"00"))</f>
        <v/>
      </c>
    </row>
    <row r="607" ht="18" customHeight="1">
      <c r="A607" s="39" t="n">
        <v>602</v>
      </c>
      <c r="B607" s="33">
        <f>IF(C607="","",IF(L607="À RENSEIGNER","GIC",L607)&amp;"-S"&amp;TEXT(A607,"00000"))</f>
        <v/>
      </c>
      <c r="C607" s="32" t="n"/>
      <c r="D607" s="36" t="n"/>
      <c r="E607" s="36" t="n"/>
      <c r="F607" s="42" t="n"/>
      <c r="G607" s="36" t="n"/>
      <c r="H607" s="43" t="n"/>
      <c r="I607" s="37" t="n"/>
      <c r="J607" s="44" t="n"/>
      <c r="K607" s="36" t="n"/>
      <c r="L607" s="33">
        <f>IF(C607="","",Commercial_Id)</f>
        <v/>
      </c>
      <c r="M607" s="34">
        <f>IF(E607="","",IFERROR(VLOOKUP(E607,T_Produits,2,FALSE),""))</f>
        <v/>
      </c>
      <c r="N607" s="40">
        <f>IF(E607="","",IFERROR(1/(1/VLOOKUP(E607,T_Produits,3,FALSE)),""))</f>
        <v/>
      </c>
      <c r="O607" s="40">
        <f>IF(OR(D607="",F607=""),"",IF(OR(D607="Casse / avarie",D607="Perte / vol",D607="Échantillon offert"),IF(I607&lt;&gt;"",I607,IF(N607="","",F607*N607)),""))</f>
        <v/>
      </c>
      <c r="P607" s="50">
        <f>IF(OR(D607="",F607=""),"",F607*IF(OR(D607="Reçu du magasin",D607="Ajustement (+)"),1,-1))</f>
        <v/>
      </c>
      <c r="Q607" s="34">
        <f>IF(C607="","",YEAR(C607-WEEKDAY(C607,2)+4)&amp;"-S"&amp;TEXT(INT((C607-DATE(YEAR(C607-WEEKDAY(C607,2)+4),1,3)+WEEKDAY(DATE(YEAR(C607-WEEKDAY(C607,2)+4),1,3),2)+5)/7),"00"))</f>
        <v/>
      </c>
    </row>
    <row r="608" ht="18" customHeight="1">
      <c r="A608" s="39" t="n">
        <v>603</v>
      </c>
      <c r="B608" s="33">
        <f>IF(C608="","",IF(L608="À RENSEIGNER","GIC",L608)&amp;"-S"&amp;TEXT(A608,"00000"))</f>
        <v/>
      </c>
      <c r="C608" s="32" t="n"/>
      <c r="D608" s="36" t="n"/>
      <c r="E608" s="36" t="n"/>
      <c r="F608" s="42" t="n"/>
      <c r="G608" s="36" t="n"/>
      <c r="H608" s="43" t="n"/>
      <c r="I608" s="37" t="n"/>
      <c r="J608" s="44" t="n"/>
      <c r="K608" s="36" t="n"/>
      <c r="L608" s="33">
        <f>IF(C608="","",Commercial_Id)</f>
        <v/>
      </c>
      <c r="M608" s="34">
        <f>IF(E608="","",IFERROR(VLOOKUP(E608,T_Produits,2,FALSE),""))</f>
        <v/>
      </c>
      <c r="N608" s="40">
        <f>IF(E608="","",IFERROR(1/(1/VLOOKUP(E608,T_Produits,3,FALSE)),""))</f>
        <v/>
      </c>
      <c r="O608" s="40">
        <f>IF(OR(D608="",F608=""),"",IF(OR(D608="Casse / avarie",D608="Perte / vol",D608="Échantillon offert"),IF(I608&lt;&gt;"",I608,IF(N608="","",F608*N608)),""))</f>
        <v/>
      </c>
      <c r="P608" s="50">
        <f>IF(OR(D608="",F608=""),"",F608*IF(OR(D608="Reçu du magasin",D608="Ajustement (+)"),1,-1))</f>
        <v/>
      </c>
      <c r="Q608" s="34">
        <f>IF(C608="","",YEAR(C608-WEEKDAY(C608,2)+4)&amp;"-S"&amp;TEXT(INT((C608-DATE(YEAR(C608-WEEKDAY(C608,2)+4),1,3)+WEEKDAY(DATE(YEAR(C608-WEEKDAY(C608,2)+4),1,3),2)+5)/7),"00"))</f>
        <v/>
      </c>
    </row>
    <row r="609" ht="18" customHeight="1">
      <c r="A609" s="39" t="n">
        <v>604</v>
      </c>
      <c r="B609" s="33">
        <f>IF(C609="","",IF(L609="À RENSEIGNER","GIC",L609)&amp;"-S"&amp;TEXT(A609,"00000"))</f>
        <v/>
      </c>
      <c r="C609" s="32" t="n"/>
      <c r="D609" s="36" t="n"/>
      <c r="E609" s="36" t="n"/>
      <c r="F609" s="42" t="n"/>
      <c r="G609" s="36" t="n"/>
      <c r="H609" s="43" t="n"/>
      <c r="I609" s="37" t="n"/>
      <c r="J609" s="44" t="n"/>
      <c r="K609" s="36" t="n"/>
      <c r="L609" s="33">
        <f>IF(C609="","",Commercial_Id)</f>
        <v/>
      </c>
      <c r="M609" s="34">
        <f>IF(E609="","",IFERROR(VLOOKUP(E609,T_Produits,2,FALSE),""))</f>
        <v/>
      </c>
      <c r="N609" s="40">
        <f>IF(E609="","",IFERROR(1/(1/VLOOKUP(E609,T_Produits,3,FALSE)),""))</f>
        <v/>
      </c>
      <c r="O609" s="40">
        <f>IF(OR(D609="",F609=""),"",IF(OR(D609="Casse / avarie",D609="Perte / vol",D609="Échantillon offert"),IF(I609&lt;&gt;"",I609,IF(N609="","",F609*N609)),""))</f>
        <v/>
      </c>
      <c r="P609" s="50">
        <f>IF(OR(D609="",F609=""),"",F609*IF(OR(D609="Reçu du magasin",D609="Ajustement (+)"),1,-1))</f>
        <v/>
      </c>
      <c r="Q609" s="34">
        <f>IF(C609="","",YEAR(C609-WEEKDAY(C609,2)+4)&amp;"-S"&amp;TEXT(INT((C609-DATE(YEAR(C609-WEEKDAY(C609,2)+4),1,3)+WEEKDAY(DATE(YEAR(C609-WEEKDAY(C609,2)+4),1,3),2)+5)/7),"00"))</f>
        <v/>
      </c>
    </row>
    <row r="610" ht="18" customHeight="1">
      <c r="A610" s="39" t="n">
        <v>605</v>
      </c>
      <c r="B610" s="33">
        <f>IF(C610="","",IF(L610="À RENSEIGNER","GIC",L610)&amp;"-S"&amp;TEXT(A610,"00000"))</f>
        <v/>
      </c>
      <c r="C610" s="32" t="n"/>
      <c r="D610" s="36" t="n"/>
      <c r="E610" s="36" t="n"/>
      <c r="F610" s="42" t="n"/>
      <c r="G610" s="36" t="n"/>
      <c r="H610" s="43" t="n"/>
      <c r="I610" s="37" t="n"/>
      <c r="J610" s="44" t="n"/>
      <c r="K610" s="36" t="n"/>
      <c r="L610" s="33">
        <f>IF(C610="","",Commercial_Id)</f>
        <v/>
      </c>
      <c r="M610" s="34">
        <f>IF(E610="","",IFERROR(VLOOKUP(E610,T_Produits,2,FALSE),""))</f>
        <v/>
      </c>
      <c r="N610" s="40">
        <f>IF(E610="","",IFERROR(1/(1/VLOOKUP(E610,T_Produits,3,FALSE)),""))</f>
        <v/>
      </c>
      <c r="O610" s="40">
        <f>IF(OR(D610="",F610=""),"",IF(OR(D610="Casse / avarie",D610="Perte / vol",D610="Échantillon offert"),IF(I610&lt;&gt;"",I610,IF(N610="","",F610*N610)),""))</f>
        <v/>
      </c>
      <c r="P610" s="50">
        <f>IF(OR(D610="",F610=""),"",F610*IF(OR(D610="Reçu du magasin",D610="Ajustement (+)"),1,-1))</f>
        <v/>
      </c>
      <c r="Q610" s="34">
        <f>IF(C610="","",YEAR(C610-WEEKDAY(C610,2)+4)&amp;"-S"&amp;TEXT(INT((C610-DATE(YEAR(C610-WEEKDAY(C610,2)+4),1,3)+WEEKDAY(DATE(YEAR(C610-WEEKDAY(C610,2)+4),1,3),2)+5)/7),"00"))</f>
        <v/>
      </c>
    </row>
    <row r="611" ht="18" customHeight="1">
      <c r="A611" s="39" t="n">
        <v>606</v>
      </c>
      <c r="B611" s="33">
        <f>IF(C611="","",IF(L611="À RENSEIGNER","GIC",L611)&amp;"-S"&amp;TEXT(A611,"00000"))</f>
        <v/>
      </c>
      <c r="C611" s="32" t="n"/>
      <c r="D611" s="36" t="n"/>
      <c r="E611" s="36" t="n"/>
      <c r="F611" s="42" t="n"/>
      <c r="G611" s="36" t="n"/>
      <c r="H611" s="43" t="n"/>
      <c r="I611" s="37" t="n"/>
      <c r="J611" s="44" t="n"/>
      <c r="K611" s="36" t="n"/>
      <c r="L611" s="33">
        <f>IF(C611="","",Commercial_Id)</f>
        <v/>
      </c>
      <c r="M611" s="34">
        <f>IF(E611="","",IFERROR(VLOOKUP(E611,T_Produits,2,FALSE),""))</f>
        <v/>
      </c>
      <c r="N611" s="40">
        <f>IF(E611="","",IFERROR(1/(1/VLOOKUP(E611,T_Produits,3,FALSE)),""))</f>
        <v/>
      </c>
      <c r="O611" s="40">
        <f>IF(OR(D611="",F611=""),"",IF(OR(D611="Casse / avarie",D611="Perte / vol",D611="Échantillon offert"),IF(I611&lt;&gt;"",I611,IF(N611="","",F611*N611)),""))</f>
        <v/>
      </c>
      <c r="P611" s="50">
        <f>IF(OR(D611="",F611=""),"",F611*IF(OR(D611="Reçu du magasin",D611="Ajustement (+)"),1,-1))</f>
        <v/>
      </c>
      <c r="Q611" s="34">
        <f>IF(C611="","",YEAR(C611-WEEKDAY(C611,2)+4)&amp;"-S"&amp;TEXT(INT((C611-DATE(YEAR(C611-WEEKDAY(C611,2)+4),1,3)+WEEKDAY(DATE(YEAR(C611-WEEKDAY(C611,2)+4),1,3),2)+5)/7),"00"))</f>
        <v/>
      </c>
    </row>
    <row r="612" ht="18" customHeight="1">
      <c r="A612" s="39" t="n">
        <v>607</v>
      </c>
      <c r="B612" s="33">
        <f>IF(C612="","",IF(L612="À RENSEIGNER","GIC",L612)&amp;"-S"&amp;TEXT(A612,"00000"))</f>
        <v/>
      </c>
      <c r="C612" s="32" t="n"/>
      <c r="D612" s="36" t="n"/>
      <c r="E612" s="36" t="n"/>
      <c r="F612" s="42" t="n"/>
      <c r="G612" s="36" t="n"/>
      <c r="H612" s="43" t="n"/>
      <c r="I612" s="37" t="n"/>
      <c r="J612" s="44" t="n"/>
      <c r="K612" s="36" t="n"/>
      <c r="L612" s="33">
        <f>IF(C612="","",Commercial_Id)</f>
        <v/>
      </c>
      <c r="M612" s="34">
        <f>IF(E612="","",IFERROR(VLOOKUP(E612,T_Produits,2,FALSE),""))</f>
        <v/>
      </c>
      <c r="N612" s="40">
        <f>IF(E612="","",IFERROR(1/(1/VLOOKUP(E612,T_Produits,3,FALSE)),""))</f>
        <v/>
      </c>
      <c r="O612" s="40">
        <f>IF(OR(D612="",F612=""),"",IF(OR(D612="Casse / avarie",D612="Perte / vol",D612="Échantillon offert"),IF(I612&lt;&gt;"",I612,IF(N612="","",F612*N612)),""))</f>
        <v/>
      </c>
      <c r="P612" s="50">
        <f>IF(OR(D612="",F612=""),"",F612*IF(OR(D612="Reçu du magasin",D612="Ajustement (+)"),1,-1))</f>
        <v/>
      </c>
      <c r="Q612" s="34">
        <f>IF(C612="","",YEAR(C612-WEEKDAY(C612,2)+4)&amp;"-S"&amp;TEXT(INT((C612-DATE(YEAR(C612-WEEKDAY(C612,2)+4),1,3)+WEEKDAY(DATE(YEAR(C612-WEEKDAY(C612,2)+4),1,3),2)+5)/7),"00"))</f>
        <v/>
      </c>
    </row>
    <row r="613" ht="18" customHeight="1">
      <c r="A613" s="39" t="n">
        <v>608</v>
      </c>
      <c r="B613" s="33">
        <f>IF(C613="","",IF(L613="À RENSEIGNER","GIC",L613)&amp;"-S"&amp;TEXT(A613,"00000"))</f>
        <v/>
      </c>
      <c r="C613" s="32" t="n"/>
      <c r="D613" s="36" t="n"/>
      <c r="E613" s="36" t="n"/>
      <c r="F613" s="42" t="n"/>
      <c r="G613" s="36" t="n"/>
      <c r="H613" s="43" t="n"/>
      <c r="I613" s="37" t="n"/>
      <c r="J613" s="44" t="n"/>
      <c r="K613" s="36" t="n"/>
      <c r="L613" s="33">
        <f>IF(C613="","",Commercial_Id)</f>
        <v/>
      </c>
      <c r="M613" s="34">
        <f>IF(E613="","",IFERROR(VLOOKUP(E613,T_Produits,2,FALSE),""))</f>
        <v/>
      </c>
      <c r="N613" s="40">
        <f>IF(E613="","",IFERROR(1/(1/VLOOKUP(E613,T_Produits,3,FALSE)),""))</f>
        <v/>
      </c>
      <c r="O613" s="40">
        <f>IF(OR(D613="",F613=""),"",IF(OR(D613="Casse / avarie",D613="Perte / vol",D613="Échantillon offert"),IF(I613&lt;&gt;"",I613,IF(N613="","",F613*N613)),""))</f>
        <v/>
      </c>
      <c r="P613" s="50">
        <f>IF(OR(D613="",F613=""),"",F613*IF(OR(D613="Reçu du magasin",D613="Ajustement (+)"),1,-1))</f>
        <v/>
      </c>
      <c r="Q613" s="34">
        <f>IF(C613="","",YEAR(C613-WEEKDAY(C613,2)+4)&amp;"-S"&amp;TEXT(INT((C613-DATE(YEAR(C613-WEEKDAY(C613,2)+4),1,3)+WEEKDAY(DATE(YEAR(C613-WEEKDAY(C613,2)+4),1,3),2)+5)/7),"00"))</f>
        <v/>
      </c>
    </row>
    <row r="614" ht="18" customHeight="1">
      <c r="A614" s="39" t="n">
        <v>609</v>
      </c>
      <c r="B614" s="33">
        <f>IF(C614="","",IF(L614="À RENSEIGNER","GIC",L614)&amp;"-S"&amp;TEXT(A614,"00000"))</f>
        <v/>
      </c>
      <c r="C614" s="32" t="n"/>
      <c r="D614" s="36" t="n"/>
      <c r="E614" s="36" t="n"/>
      <c r="F614" s="42" t="n"/>
      <c r="G614" s="36" t="n"/>
      <c r="H614" s="43" t="n"/>
      <c r="I614" s="37" t="n"/>
      <c r="J614" s="44" t="n"/>
      <c r="K614" s="36" t="n"/>
      <c r="L614" s="33">
        <f>IF(C614="","",Commercial_Id)</f>
        <v/>
      </c>
      <c r="M614" s="34">
        <f>IF(E614="","",IFERROR(VLOOKUP(E614,T_Produits,2,FALSE),""))</f>
        <v/>
      </c>
      <c r="N614" s="40">
        <f>IF(E614="","",IFERROR(1/(1/VLOOKUP(E614,T_Produits,3,FALSE)),""))</f>
        <v/>
      </c>
      <c r="O614" s="40">
        <f>IF(OR(D614="",F614=""),"",IF(OR(D614="Casse / avarie",D614="Perte / vol",D614="Échantillon offert"),IF(I614&lt;&gt;"",I614,IF(N614="","",F614*N614)),""))</f>
        <v/>
      </c>
      <c r="P614" s="50">
        <f>IF(OR(D614="",F614=""),"",F614*IF(OR(D614="Reçu du magasin",D614="Ajustement (+)"),1,-1))</f>
        <v/>
      </c>
      <c r="Q614" s="34">
        <f>IF(C614="","",YEAR(C614-WEEKDAY(C614,2)+4)&amp;"-S"&amp;TEXT(INT((C614-DATE(YEAR(C614-WEEKDAY(C614,2)+4),1,3)+WEEKDAY(DATE(YEAR(C614-WEEKDAY(C614,2)+4),1,3),2)+5)/7),"00"))</f>
        <v/>
      </c>
    </row>
    <row r="615" ht="18" customHeight="1">
      <c r="A615" s="39" t="n">
        <v>610</v>
      </c>
      <c r="B615" s="33">
        <f>IF(C615="","",IF(L615="À RENSEIGNER","GIC",L615)&amp;"-S"&amp;TEXT(A615,"00000"))</f>
        <v/>
      </c>
      <c r="C615" s="32" t="n"/>
      <c r="D615" s="36" t="n"/>
      <c r="E615" s="36" t="n"/>
      <c r="F615" s="42" t="n"/>
      <c r="G615" s="36" t="n"/>
      <c r="H615" s="43" t="n"/>
      <c r="I615" s="37" t="n"/>
      <c r="J615" s="44" t="n"/>
      <c r="K615" s="36" t="n"/>
      <c r="L615" s="33">
        <f>IF(C615="","",Commercial_Id)</f>
        <v/>
      </c>
      <c r="M615" s="34">
        <f>IF(E615="","",IFERROR(VLOOKUP(E615,T_Produits,2,FALSE),""))</f>
        <v/>
      </c>
      <c r="N615" s="40">
        <f>IF(E615="","",IFERROR(1/(1/VLOOKUP(E615,T_Produits,3,FALSE)),""))</f>
        <v/>
      </c>
      <c r="O615" s="40">
        <f>IF(OR(D615="",F615=""),"",IF(OR(D615="Casse / avarie",D615="Perte / vol",D615="Échantillon offert"),IF(I615&lt;&gt;"",I615,IF(N615="","",F615*N615)),""))</f>
        <v/>
      </c>
      <c r="P615" s="50">
        <f>IF(OR(D615="",F615=""),"",F615*IF(OR(D615="Reçu du magasin",D615="Ajustement (+)"),1,-1))</f>
        <v/>
      </c>
      <c r="Q615" s="34">
        <f>IF(C615="","",YEAR(C615-WEEKDAY(C615,2)+4)&amp;"-S"&amp;TEXT(INT((C615-DATE(YEAR(C615-WEEKDAY(C615,2)+4),1,3)+WEEKDAY(DATE(YEAR(C615-WEEKDAY(C615,2)+4),1,3),2)+5)/7),"00"))</f>
        <v/>
      </c>
    </row>
    <row r="616" ht="18" customHeight="1">
      <c r="A616" s="39" t="n">
        <v>611</v>
      </c>
      <c r="B616" s="33">
        <f>IF(C616="","",IF(L616="À RENSEIGNER","GIC",L616)&amp;"-S"&amp;TEXT(A616,"00000"))</f>
        <v/>
      </c>
      <c r="C616" s="32" t="n"/>
      <c r="D616" s="36" t="n"/>
      <c r="E616" s="36" t="n"/>
      <c r="F616" s="42" t="n"/>
      <c r="G616" s="36" t="n"/>
      <c r="H616" s="43" t="n"/>
      <c r="I616" s="37" t="n"/>
      <c r="J616" s="44" t="n"/>
      <c r="K616" s="36" t="n"/>
      <c r="L616" s="33">
        <f>IF(C616="","",Commercial_Id)</f>
        <v/>
      </c>
      <c r="M616" s="34">
        <f>IF(E616="","",IFERROR(VLOOKUP(E616,T_Produits,2,FALSE),""))</f>
        <v/>
      </c>
      <c r="N616" s="40">
        <f>IF(E616="","",IFERROR(1/(1/VLOOKUP(E616,T_Produits,3,FALSE)),""))</f>
        <v/>
      </c>
      <c r="O616" s="40">
        <f>IF(OR(D616="",F616=""),"",IF(OR(D616="Casse / avarie",D616="Perte / vol",D616="Échantillon offert"),IF(I616&lt;&gt;"",I616,IF(N616="","",F616*N616)),""))</f>
        <v/>
      </c>
      <c r="P616" s="50">
        <f>IF(OR(D616="",F616=""),"",F616*IF(OR(D616="Reçu du magasin",D616="Ajustement (+)"),1,-1))</f>
        <v/>
      </c>
      <c r="Q616" s="34">
        <f>IF(C616="","",YEAR(C616-WEEKDAY(C616,2)+4)&amp;"-S"&amp;TEXT(INT((C616-DATE(YEAR(C616-WEEKDAY(C616,2)+4),1,3)+WEEKDAY(DATE(YEAR(C616-WEEKDAY(C616,2)+4),1,3),2)+5)/7),"00"))</f>
        <v/>
      </c>
    </row>
    <row r="617" ht="18" customHeight="1">
      <c r="A617" s="39" t="n">
        <v>612</v>
      </c>
      <c r="B617" s="33">
        <f>IF(C617="","",IF(L617="À RENSEIGNER","GIC",L617)&amp;"-S"&amp;TEXT(A617,"00000"))</f>
        <v/>
      </c>
      <c r="C617" s="32" t="n"/>
      <c r="D617" s="36" t="n"/>
      <c r="E617" s="36" t="n"/>
      <c r="F617" s="42" t="n"/>
      <c r="G617" s="36" t="n"/>
      <c r="H617" s="43" t="n"/>
      <c r="I617" s="37" t="n"/>
      <c r="J617" s="44" t="n"/>
      <c r="K617" s="36" t="n"/>
      <c r="L617" s="33">
        <f>IF(C617="","",Commercial_Id)</f>
        <v/>
      </c>
      <c r="M617" s="34">
        <f>IF(E617="","",IFERROR(VLOOKUP(E617,T_Produits,2,FALSE),""))</f>
        <v/>
      </c>
      <c r="N617" s="40">
        <f>IF(E617="","",IFERROR(1/(1/VLOOKUP(E617,T_Produits,3,FALSE)),""))</f>
        <v/>
      </c>
      <c r="O617" s="40">
        <f>IF(OR(D617="",F617=""),"",IF(OR(D617="Casse / avarie",D617="Perte / vol",D617="Échantillon offert"),IF(I617&lt;&gt;"",I617,IF(N617="","",F617*N617)),""))</f>
        <v/>
      </c>
      <c r="P617" s="50">
        <f>IF(OR(D617="",F617=""),"",F617*IF(OR(D617="Reçu du magasin",D617="Ajustement (+)"),1,-1))</f>
        <v/>
      </c>
      <c r="Q617" s="34">
        <f>IF(C617="","",YEAR(C617-WEEKDAY(C617,2)+4)&amp;"-S"&amp;TEXT(INT((C617-DATE(YEAR(C617-WEEKDAY(C617,2)+4),1,3)+WEEKDAY(DATE(YEAR(C617-WEEKDAY(C617,2)+4),1,3),2)+5)/7),"00"))</f>
        <v/>
      </c>
    </row>
    <row r="618" ht="18" customHeight="1">
      <c r="A618" s="39" t="n">
        <v>613</v>
      </c>
      <c r="B618" s="33">
        <f>IF(C618="","",IF(L618="À RENSEIGNER","GIC",L618)&amp;"-S"&amp;TEXT(A618,"00000"))</f>
        <v/>
      </c>
      <c r="C618" s="32" t="n"/>
      <c r="D618" s="36" t="n"/>
      <c r="E618" s="36" t="n"/>
      <c r="F618" s="42" t="n"/>
      <c r="G618" s="36" t="n"/>
      <c r="H618" s="43" t="n"/>
      <c r="I618" s="37" t="n"/>
      <c r="J618" s="44" t="n"/>
      <c r="K618" s="36" t="n"/>
      <c r="L618" s="33">
        <f>IF(C618="","",Commercial_Id)</f>
        <v/>
      </c>
      <c r="M618" s="34">
        <f>IF(E618="","",IFERROR(VLOOKUP(E618,T_Produits,2,FALSE),""))</f>
        <v/>
      </c>
      <c r="N618" s="40">
        <f>IF(E618="","",IFERROR(1/(1/VLOOKUP(E618,T_Produits,3,FALSE)),""))</f>
        <v/>
      </c>
      <c r="O618" s="40">
        <f>IF(OR(D618="",F618=""),"",IF(OR(D618="Casse / avarie",D618="Perte / vol",D618="Échantillon offert"),IF(I618&lt;&gt;"",I618,IF(N618="","",F618*N618)),""))</f>
        <v/>
      </c>
      <c r="P618" s="50">
        <f>IF(OR(D618="",F618=""),"",F618*IF(OR(D618="Reçu du magasin",D618="Ajustement (+)"),1,-1))</f>
        <v/>
      </c>
      <c r="Q618" s="34">
        <f>IF(C618="","",YEAR(C618-WEEKDAY(C618,2)+4)&amp;"-S"&amp;TEXT(INT((C618-DATE(YEAR(C618-WEEKDAY(C618,2)+4),1,3)+WEEKDAY(DATE(YEAR(C618-WEEKDAY(C618,2)+4),1,3),2)+5)/7),"00"))</f>
        <v/>
      </c>
    </row>
    <row r="619" ht="18" customHeight="1">
      <c r="A619" s="39" t="n">
        <v>614</v>
      </c>
      <c r="B619" s="33">
        <f>IF(C619="","",IF(L619="À RENSEIGNER","GIC",L619)&amp;"-S"&amp;TEXT(A619,"00000"))</f>
        <v/>
      </c>
      <c r="C619" s="32" t="n"/>
      <c r="D619" s="36" t="n"/>
      <c r="E619" s="36" t="n"/>
      <c r="F619" s="42" t="n"/>
      <c r="G619" s="36" t="n"/>
      <c r="H619" s="43" t="n"/>
      <c r="I619" s="37" t="n"/>
      <c r="J619" s="44" t="n"/>
      <c r="K619" s="36" t="n"/>
      <c r="L619" s="33">
        <f>IF(C619="","",Commercial_Id)</f>
        <v/>
      </c>
      <c r="M619" s="34">
        <f>IF(E619="","",IFERROR(VLOOKUP(E619,T_Produits,2,FALSE),""))</f>
        <v/>
      </c>
      <c r="N619" s="40">
        <f>IF(E619="","",IFERROR(1/(1/VLOOKUP(E619,T_Produits,3,FALSE)),""))</f>
        <v/>
      </c>
      <c r="O619" s="40">
        <f>IF(OR(D619="",F619=""),"",IF(OR(D619="Casse / avarie",D619="Perte / vol",D619="Échantillon offert"),IF(I619&lt;&gt;"",I619,IF(N619="","",F619*N619)),""))</f>
        <v/>
      </c>
      <c r="P619" s="50">
        <f>IF(OR(D619="",F619=""),"",F619*IF(OR(D619="Reçu du magasin",D619="Ajustement (+)"),1,-1))</f>
        <v/>
      </c>
      <c r="Q619" s="34">
        <f>IF(C619="","",YEAR(C619-WEEKDAY(C619,2)+4)&amp;"-S"&amp;TEXT(INT((C619-DATE(YEAR(C619-WEEKDAY(C619,2)+4),1,3)+WEEKDAY(DATE(YEAR(C619-WEEKDAY(C619,2)+4),1,3),2)+5)/7),"00"))</f>
        <v/>
      </c>
    </row>
    <row r="620" ht="18" customHeight="1">
      <c r="A620" s="39" t="n">
        <v>615</v>
      </c>
      <c r="B620" s="33">
        <f>IF(C620="","",IF(L620="À RENSEIGNER","GIC",L620)&amp;"-S"&amp;TEXT(A620,"00000"))</f>
        <v/>
      </c>
      <c r="C620" s="32" t="n"/>
      <c r="D620" s="36" t="n"/>
      <c r="E620" s="36" t="n"/>
      <c r="F620" s="42" t="n"/>
      <c r="G620" s="36" t="n"/>
      <c r="H620" s="43" t="n"/>
      <c r="I620" s="37" t="n"/>
      <c r="J620" s="44" t="n"/>
      <c r="K620" s="36" t="n"/>
      <c r="L620" s="33">
        <f>IF(C620="","",Commercial_Id)</f>
        <v/>
      </c>
      <c r="M620" s="34">
        <f>IF(E620="","",IFERROR(VLOOKUP(E620,T_Produits,2,FALSE),""))</f>
        <v/>
      </c>
      <c r="N620" s="40">
        <f>IF(E620="","",IFERROR(1/(1/VLOOKUP(E620,T_Produits,3,FALSE)),""))</f>
        <v/>
      </c>
      <c r="O620" s="40">
        <f>IF(OR(D620="",F620=""),"",IF(OR(D620="Casse / avarie",D620="Perte / vol",D620="Échantillon offert"),IF(I620&lt;&gt;"",I620,IF(N620="","",F620*N620)),""))</f>
        <v/>
      </c>
      <c r="P620" s="50">
        <f>IF(OR(D620="",F620=""),"",F620*IF(OR(D620="Reçu du magasin",D620="Ajustement (+)"),1,-1))</f>
        <v/>
      </c>
      <c r="Q620" s="34">
        <f>IF(C620="","",YEAR(C620-WEEKDAY(C620,2)+4)&amp;"-S"&amp;TEXT(INT((C620-DATE(YEAR(C620-WEEKDAY(C620,2)+4),1,3)+WEEKDAY(DATE(YEAR(C620-WEEKDAY(C620,2)+4),1,3),2)+5)/7),"00"))</f>
        <v/>
      </c>
    </row>
    <row r="621" ht="18" customHeight="1">
      <c r="A621" s="39" t="n">
        <v>616</v>
      </c>
      <c r="B621" s="33">
        <f>IF(C621="","",IF(L621="À RENSEIGNER","GIC",L621)&amp;"-S"&amp;TEXT(A621,"00000"))</f>
        <v/>
      </c>
      <c r="C621" s="32" t="n"/>
      <c r="D621" s="36" t="n"/>
      <c r="E621" s="36" t="n"/>
      <c r="F621" s="42" t="n"/>
      <c r="G621" s="36" t="n"/>
      <c r="H621" s="43" t="n"/>
      <c r="I621" s="37" t="n"/>
      <c r="J621" s="44" t="n"/>
      <c r="K621" s="36" t="n"/>
      <c r="L621" s="33">
        <f>IF(C621="","",Commercial_Id)</f>
        <v/>
      </c>
      <c r="M621" s="34">
        <f>IF(E621="","",IFERROR(VLOOKUP(E621,T_Produits,2,FALSE),""))</f>
        <v/>
      </c>
      <c r="N621" s="40">
        <f>IF(E621="","",IFERROR(1/(1/VLOOKUP(E621,T_Produits,3,FALSE)),""))</f>
        <v/>
      </c>
      <c r="O621" s="40">
        <f>IF(OR(D621="",F621=""),"",IF(OR(D621="Casse / avarie",D621="Perte / vol",D621="Échantillon offert"),IF(I621&lt;&gt;"",I621,IF(N621="","",F621*N621)),""))</f>
        <v/>
      </c>
      <c r="P621" s="50">
        <f>IF(OR(D621="",F621=""),"",F621*IF(OR(D621="Reçu du magasin",D621="Ajustement (+)"),1,-1))</f>
        <v/>
      </c>
      <c r="Q621" s="34">
        <f>IF(C621="","",YEAR(C621-WEEKDAY(C621,2)+4)&amp;"-S"&amp;TEXT(INT((C621-DATE(YEAR(C621-WEEKDAY(C621,2)+4),1,3)+WEEKDAY(DATE(YEAR(C621-WEEKDAY(C621,2)+4),1,3),2)+5)/7),"00"))</f>
        <v/>
      </c>
    </row>
    <row r="622" ht="18" customHeight="1">
      <c r="A622" s="39" t="n">
        <v>617</v>
      </c>
      <c r="B622" s="33">
        <f>IF(C622="","",IF(L622="À RENSEIGNER","GIC",L622)&amp;"-S"&amp;TEXT(A622,"00000"))</f>
        <v/>
      </c>
      <c r="C622" s="32" t="n"/>
      <c r="D622" s="36" t="n"/>
      <c r="E622" s="36" t="n"/>
      <c r="F622" s="42" t="n"/>
      <c r="G622" s="36" t="n"/>
      <c r="H622" s="43" t="n"/>
      <c r="I622" s="37" t="n"/>
      <c r="J622" s="44" t="n"/>
      <c r="K622" s="36" t="n"/>
      <c r="L622" s="33">
        <f>IF(C622="","",Commercial_Id)</f>
        <v/>
      </c>
      <c r="M622" s="34">
        <f>IF(E622="","",IFERROR(VLOOKUP(E622,T_Produits,2,FALSE),""))</f>
        <v/>
      </c>
      <c r="N622" s="40">
        <f>IF(E622="","",IFERROR(1/(1/VLOOKUP(E622,T_Produits,3,FALSE)),""))</f>
        <v/>
      </c>
      <c r="O622" s="40">
        <f>IF(OR(D622="",F622=""),"",IF(OR(D622="Casse / avarie",D622="Perte / vol",D622="Échantillon offert"),IF(I622&lt;&gt;"",I622,IF(N622="","",F622*N622)),""))</f>
        <v/>
      </c>
      <c r="P622" s="50">
        <f>IF(OR(D622="",F622=""),"",F622*IF(OR(D622="Reçu du magasin",D622="Ajustement (+)"),1,-1))</f>
        <v/>
      </c>
      <c r="Q622" s="34">
        <f>IF(C622="","",YEAR(C622-WEEKDAY(C622,2)+4)&amp;"-S"&amp;TEXT(INT((C622-DATE(YEAR(C622-WEEKDAY(C622,2)+4),1,3)+WEEKDAY(DATE(YEAR(C622-WEEKDAY(C622,2)+4),1,3),2)+5)/7),"00"))</f>
        <v/>
      </c>
    </row>
    <row r="623" ht="18" customHeight="1">
      <c r="A623" s="39" t="n">
        <v>618</v>
      </c>
      <c r="B623" s="33">
        <f>IF(C623="","",IF(L623="À RENSEIGNER","GIC",L623)&amp;"-S"&amp;TEXT(A623,"00000"))</f>
        <v/>
      </c>
      <c r="C623" s="32" t="n"/>
      <c r="D623" s="36" t="n"/>
      <c r="E623" s="36" t="n"/>
      <c r="F623" s="42" t="n"/>
      <c r="G623" s="36" t="n"/>
      <c r="H623" s="43" t="n"/>
      <c r="I623" s="37" t="n"/>
      <c r="J623" s="44" t="n"/>
      <c r="K623" s="36" t="n"/>
      <c r="L623" s="33">
        <f>IF(C623="","",Commercial_Id)</f>
        <v/>
      </c>
      <c r="M623" s="34">
        <f>IF(E623="","",IFERROR(VLOOKUP(E623,T_Produits,2,FALSE),""))</f>
        <v/>
      </c>
      <c r="N623" s="40">
        <f>IF(E623="","",IFERROR(1/(1/VLOOKUP(E623,T_Produits,3,FALSE)),""))</f>
        <v/>
      </c>
      <c r="O623" s="40">
        <f>IF(OR(D623="",F623=""),"",IF(OR(D623="Casse / avarie",D623="Perte / vol",D623="Échantillon offert"),IF(I623&lt;&gt;"",I623,IF(N623="","",F623*N623)),""))</f>
        <v/>
      </c>
      <c r="P623" s="50">
        <f>IF(OR(D623="",F623=""),"",F623*IF(OR(D623="Reçu du magasin",D623="Ajustement (+)"),1,-1))</f>
        <v/>
      </c>
      <c r="Q623" s="34">
        <f>IF(C623="","",YEAR(C623-WEEKDAY(C623,2)+4)&amp;"-S"&amp;TEXT(INT((C623-DATE(YEAR(C623-WEEKDAY(C623,2)+4),1,3)+WEEKDAY(DATE(YEAR(C623-WEEKDAY(C623,2)+4),1,3),2)+5)/7),"00"))</f>
        <v/>
      </c>
    </row>
    <row r="624" ht="18" customHeight="1">
      <c r="A624" s="39" t="n">
        <v>619</v>
      </c>
      <c r="B624" s="33">
        <f>IF(C624="","",IF(L624="À RENSEIGNER","GIC",L624)&amp;"-S"&amp;TEXT(A624,"00000"))</f>
        <v/>
      </c>
      <c r="C624" s="32" t="n"/>
      <c r="D624" s="36" t="n"/>
      <c r="E624" s="36" t="n"/>
      <c r="F624" s="42" t="n"/>
      <c r="G624" s="36" t="n"/>
      <c r="H624" s="43" t="n"/>
      <c r="I624" s="37" t="n"/>
      <c r="J624" s="44" t="n"/>
      <c r="K624" s="36" t="n"/>
      <c r="L624" s="33">
        <f>IF(C624="","",Commercial_Id)</f>
        <v/>
      </c>
      <c r="M624" s="34">
        <f>IF(E624="","",IFERROR(VLOOKUP(E624,T_Produits,2,FALSE),""))</f>
        <v/>
      </c>
      <c r="N624" s="40">
        <f>IF(E624="","",IFERROR(1/(1/VLOOKUP(E624,T_Produits,3,FALSE)),""))</f>
        <v/>
      </c>
      <c r="O624" s="40">
        <f>IF(OR(D624="",F624=""),"",IF(OR(D624="Casse / avarie",D624="Perte / vol",D624="Échantillon offert"),IF(I624&lt;&gt;"",I624,IF(N624="","",F624*N624)),""))</f>
        <v/>
      </c>
      <c r="P624" s="50">
        <f>IF(OR(D624="",F624=""),"",F624*IF(OR(D624="Reçu du magasin",D624="Ajustement (+)"),1,-1))</f>
        <v/>
      </c>
      <c r="Q624" s="34">
        <f>IF(C624="","",YEAR(C624-WEEKDAY(C624,2)+4)&amp;"-S"&amp;TEXT(INT((C624-DATE(YEAR(C624-WEEKDAY(C624,2)+4),1,3)+WEEKDAY(DATE(YEAR(C624-WEEKDAY(C624,2)+4),1,3),2)+5)/7),"00"))</f>
        <v/>
      </c>
    </row>
    <row r="625" ht="18" customHeight="1">
      <c r="A625" s="39" t="n">
        <v>620</v>
      </c>
      <c r="B625" s="33">
        <f>IF(C625="","",IF(L625="À RENSEIGNER","GIC",L625)&amp;"-S"&amp;TEXT(A625,"00000"))</f>
        <v/>
      </c>
      <c r="C625" s="32" t="n"/>
      <c r="D625" s="36" t="n"/>
      <c r="E625" s="36" t="n"/>
      <c r="F625" s="42" t="n"/>
      <c r="G625" s="36" t="n"/>
      <c r="H625" s="43" t="n"/>
      <c r="I625" s="37" t="n"/>
      <c r="J625" s="44" t="n"/>
      <c r="K625" s="36" t="n"/>
      <c r="L625" s="33">
        <f>IF(C625="","",Commercial_Id)</f>
        <v/>
      </c>
      <c r="M625" s="34">
        <f>IF(E625="","",IFERROR(VLOOKUP(E625,T_Produits,2,FALSE),""))</f>
        <v/>
      </c>
      <c r="N625" s="40">
        <f>IF(E625="","",IFERROR(1/(1/VLOOKUP(E625,T_Produits,3,FALSE)),""))</f>
        <v/>
      </c>
      <c r="O625" s="40">
        <f>IF(OR(D625="",F625=""),"",IF(OR(D625="Casse / avarie",D625="Perte / vol",D625="Échantillon offert"),IF(I625&lt;&gt;"",I625,IF(N625="","",F625*N625)),""))</f>
        <v/>
      </c>
      <c r="P625" s="50">
        <f>IF(OR(D625="",F625=""),"",F625*IF(OR(D625="Reçu du magasin",D625="Ajustement (+)"),1,-1))</f>
        <v/>
      </c>
      <c r="Q625" s="34">
        <f>IF(C625="","",YEAR(C625-WEEKDAY(C625,2)+4)&amp;"-S"&amp;TEXT(INT((C625-DATE(YEAR(C625-WEEKDAY(C625,2)+4),1,3)+WEEKDAY(DATE(YEAR(C625-WEEKDAY(C625,2)+4),1,3),2)+5)/7),"00"))</f>
        <v/>
      </c>
    </row>
    <row r="626" ht="18" customHeight="1">
      <c r="A626" s="39" t="n">
        <v>621</v>
      </c>
      <c r="B626" s="33">
        <f>IF(C626="","",IF(L626="À RENSEIGNER","GIC",L626)&amp;"-S"&amp;TEXT(A626,"00000"))</f>
        <v/>
      </c>
      <c r="C626" s="32" t="n"/>
      <c r="D626" s="36" t="n"/>
      <c r="E626" s="36" t="n"/>
      <c r="F626" s="42" t="n"/>
      <c r="G626" s="36" t="n"/>
      <c r="H626" s="43" t="n"/>
      <c r="I626" s="37" t="n"/>
      <c r="J626" s="44" t="n"/>
      <c r="K626" s="36" t="n"/>
      <c r="L626" s="33">
        <f>IF(C626="","",Commercial_Id)</f>
        <v/>
      </c>
      <c r="M626" s="34">
        <f>IF(E626="","",IFERROR(VLOOKUP(E626,T_Produits,2,FALSE),""))</f>
        <v/>
      </c>
      <c r="N626" s="40">
        <f>IF(E626="","",IFERROR(1/(1/VLOOKUP(E626,T_Produits,3,FALSE)),""))</f>
        <v/>
      </c>
      <c r="O626" s="40">
        <f>IF(OR(D626="",F626=""),"",IF(OR(D626="Casse / avarie",D626="Perte / vol",D626="Échantillon offert"),IF(I626&lt;&gt;"",I626,IF(N626="","",F626*N626)),""))</f>
        <v/>
      </c>
      <c r="P626" s="50">
        <f>IF(OR(D626="",F626=""),"",F626*IF(OR(D626="Reçu du magasin",D626="Ajustement (+)"),1,-1))</f>
        <v/>
      </c>
      <c r="Q626" s="34">
        <f>IF(C626="","",YEAR(C626-WEEKDAY(C626,2)+4)&amp;"-S"&amp;TEXT(INT((C626-DATE(YEAR(C626-WEEKDAY(C626,2)+4),1,3)+WEEKDAY(DATE(YEAR(C626-WEEKDAY(C626,2)+4),1,3),2)+5)/7),"00"))</f>
        <v/>
      </c>
    </row>
    <row r="627" ht="18" customHeight="1">
      <c r="A627" s="39" t="n">
        <v>622</v>
      </c>
      <c r="B627" s="33">
        <f>IF(C627="","",IF(L627="À RENSEIGNER","GIC",L627)&amp;"-S"&amp;TEXT(A627,"00000"))</f>
        <v/>
      </c>
      <c r="C627" s="32" t="n"/>
      <c r="D627" s="36" t="n"/>
      <c r="E627" s="36" t="n"/>
      <c r="F627" s="42" t="n"/>
      <c r="G627" s="36" t="n"/>
      <c r="H627" s="43" t="n"/>
      <c r="I627" s="37" t="n"/>
      <c r="J627" s="44" t="n"/>
      <c r="K627" s="36" t="n"/>
      <c r="L627" s="33">
        <f>IF(C627="","",Commercial_Id)</f>
        <v/>
      </c>
      <c r="M627" s="34">
        <f>IF(E627="","",IFERROR(VLOOKUP(E627,T_Produits,2,FALSE),""))</f>
        <v/>
      </c>
      <c r="N627" s="40">
        <f>IF(E627="","",IFERROR(1/(1/VLOOKUP(E627,T_Produits,3,FALSE)),""))</f>
        <v/>
      </c>
      <c r="O627" s="40">
        <f>IF(OR(D627="",F627=""),"",IF(OR(D627="Casse / avarie",D627="Perte / vol",D627="Échantillon offert"),IF(I627&lt;&gt;"",I627,IF(N627="","",F627*N627)),""))</f>
        <v/>
      </c>
      <c r="P627" s="50">
        <f>IF(OR(D627="",F627=""),"",F627*IF(OR(D627="Reçu du magasin",D627="Ajustement (+)"),1,-1))</f>
        <v/>
      </c>
      <c r="Q627" s="34">
        <f>IF(C627="","",YEAR(C627-WEEKDAY(C627,2)+4)&amp;"-S"&amp;TEXT(INT((C627-DATE(YEAR(C627-WEEKDAY(C627,2)+4),1,3)+WEEKDAY(DATE(YEAR(C627-WEEKDAY(C627,2)+4),1,3),2)+5)/7),"00"))</f>
        <v/>
      </c>
    </row>
    <row r="628" ht="18" customHeight="1">
      <c r="A628" s="39" t="n">
        <v>623</v>
      </c>
      <c r="B628" s="33">
        <f>IF(C628="","",IF(L628="À RENSEIGNER","GIC",L628)&amp;"-S"&amp;TEXT(A628,"00000"))</f>
        <v/>
      </c>
      <c r="C628" s="32" t="n"/>
      <c r="D628" s="36" t="n"/>
      <c r="E628" s="36" t="n"/>
      <c r="F628" s="42" t="n"/>
      <c r="G628" s="36" t="n"/>
      <c r="H628" s="43" t="n"/>
      <c r="I628" s="37" t="n"/>
      <c r="J628" s="44" t="n"/>
      <c r="K628" s="36" t="n"/>
      <c r="L628" s="33">
        <f>IF(C628="","",Commercial_Id)</f>
        <v/>
      </c>
      <c r="M628" s="34">
        <f>IF(E628="","",IFERROR(VLOOKUP(E628,T_Produits,2,FALSE),""))</f>
        <v/>
      </c>
      <c r="N628" s="40">
        <f>IF(E628="","",IFERROR(1/(1/VLOOKUP(E628,T_Produits,3,FALSE)),""))</f>
        <v/>
      </c>
      <c r="O628" s="40">
        <f>IF(OR(D628="",F628=""),"",IF(OR(D628="Casse / avarie",D628="Perte / vol",D628="Échantillon offert"),IF(I628&lt;&gt;"",I628,IF(N628="","",F628*N628)),""))</f>
        <v/>
      </c>
      <c r="P628" s="50">
        <f>IF(OR(D628="",F628=""),"",F628*IF(OR(D628="Reçu du magasin",D628="Ajustement (+)"),1,-1))</f>
        <v/>
      </c>
      <c r="Q628" s="34">
        <f>IF(C628="","",YEAR(C628-WEEKDAY(C628,2)+4)&amp;"-S"&amp;TEXT(INT((C628-DATE(YEAR(C628-WEEKDAY(C628,2)+4),1,3)+WEEKDAY(DATE(YEAR(C628-WEEKDAY(C628,2)+4),1,3),2)+5)/7),"00"))</f>
        <v/>
      </c>
    </row>
    <row r="629" ht="18" customHeight="1">
      <c r="A629" s="39" t="n">
        <v>624</v>
      </c>
      <c r="B629" s="33">
        <f>IF(C629="","",IF(L629="À RENSEIGNER","GIC",L629)&amp;"-S"&amp;TEXT(A629,"00000"))</f>
        <v/>
      </c>
      <c r="C629" s="32" t="n"/>
      <c r="D629" s="36" t="n"/>
      <c r="E629" s="36" t="n"/>
      <c r="F629" s="42" t="n"/>
      <c r="G629" s="36" t="n"/>
      <c r="H629" s="43" t="n"/>
      <c r="I629" s="37" t="n"/>
      <c r="J629" s="44" t="n"/>
      <c r="K629" s="36" t="n"/>
      <c r="L629" s="33">
        <f>IF(C629="","",Commercial_Id)</f>
        <v/>
      </c>
      <c r="M629" s="34">
        <f>IF(E629="","",IFERROR(VLOOKUP(E629,T_Produits,2,FALSE),""))</f>
        <v/>
      </c>
      <c r="N629" s="40">
        <f>IF(E629="","",IFERROR(1/(1/VLOOKUP(E629,T_Produits,3,FALSE)),""))</f>
        <v/>
      </c>
      <c r="O629" s="40">
        <f>IF(OR(D629="",F629=""),"",IF(OR(D629="Casse / avarie",D629="Perte / vol",D629="Échantillon offert"),IF(I629&lt;&gt;"",I629,IF(N629="","",F629*N629)),""))</f>
        <v/>
      </c>
      <c r="P629" s="50">
        <f>IF(OR(D629="",F629=""),"",F629*IF(OR(D629="Reçu du magasin",D629="Ajustement (+)"),1,-1))</f>
        <v/>
      </c>
      <c r="Q629" s="34">
        <f>IF(C629="","",YEAR(C629-WEEKDAY(C629,2)+4)&amp;"-S"&amp;TEXT(INT((C629-DATE(YEAR(C629-WEEKDAY(C629,2)+4),1,3)+WEEKDAY(DATE(YEAR(C629-WEEKDAY(C629,2)+4),1,3),2)+5)/7),"00"))</f>
        <v/>
      </c>
    </row>
    <row r="630" ht="18" customHeight="1">
      <c r="A630" s="39" t="n">
        <v>625</v>
      </c>
      <c r="B630" s="33">
        <f>IF(C630="","",IF(L630="À RENSEIGNER","GIC",L630)&amp;"-S"&amp;TEXT(A630,"00000"))</f>
        <v/>
      </c>
      <c r="C630" s="32" t="n"/>
      <c r="D630" s="36" t="n"/>
      <c r="E630" s="36" t="n"/>
      <c r="F630" s="42" t="n"/>
      <c r="G630" s="36" t="n"/>
      <c r="H630" s="43" t="n"/>
      <c r="I630" s="37" t="n"/>
      <c r="J630" s="44" t="n"/>
      <c r="K630" s="36" t="n"/>
      <c r="L630" s="33">
        <f>IF(C630="","",Commercial_Id)</f>
        <v/>
      </c>
      <c r="M630" s="34">
        <f>IF(E630="","",IFERROR(VLOOKUP(E630,T_Produits,2,FALSE),""))</f>
        <v/>
      </c>
      <c r="N630" s="40">
        <f>IF(E630="","",IFERROR(1/(1/VLOOKUP(E630,T_Produits,3,FALSE)),""))</f>
        <v/>
      </c>
      <c r="O630" s="40">
        <f>IF(OR(D630="",F630=""),"",IF(OR(D630="Casse / avarie",D630="Perte / vol",D630="Échantillon offert"),IF(I630&lt;&gt;"",I630,IF(N630="","",F630*N630)),""))</f>
        <v/>
      </c>
      <c r="P630" s="50">
        <f>IF(OR(D630="",F630=""),"",F630*IF(OR(D630="Reçu du magasin",D630="Ajustement (+)"),1,-1))</f>
        <v/>
      </c>
      <c r="Q630" s="34">
        <f>IF(C630="","",YEAR(C630-WEEKDAY(C630,2)+4)&amp;"-S"&amp;TEXT(INT((C630-DATE(YEAR(C630-WEEKDAY(C630,2)+4),1,3)+WEEKDAY(DATE(YEAR(C630-WEEKDAY(C630,2)+4),1,3),2)+5)/7),"00"))</f>
        <v/>
      </c>
    </row>
    <row r="631" ht="18" customHeight="1">
      <c r="A631" s="39" t="n">
        <v>626</v>
      </c>
      <c r="B631" s="33">
        <f>IF(C631="","",IF(L631="À RENSEIGNER","GIC",L631)&amp;"-S"&amp;TEXT(A631,"00000"))</f>
        <v/>
      </c>
      <c r="C631" s="32" t="n"/>
      <c r="D631" s="36" t="n"/>
      <c r="E631" s="36" t="n"/>
      <c r="F631" s="42" t="n"/>
      <c r="G631" s="36" t="n"/>
      <c r="H631" s="43" t="n"/>
      <c r="I631" s="37" t="n"/>
      <c r="J631" s="44" t="n"/>
      <c r="K631" s="36" t="n"/>
      <c r="L631" s="33">
        <f>IF(C631="","",Commercial_Id)</f>
        <v/>
      </c>
      <c r="M631" s="34">
        <f>IF(E631="","",IFERROR(VLOOKUP(E631,T_Produits,2,FALSE),""))</f>
        <v/>
      </c>
      <c r="N631" s="40">
        <f>IF(E631="","",IFERROR(1/(1/VLOOKUP(E631,T_Produits,3,FALSE)),""))</f>
        <v/>
      </c>
      <c r="O631" s="40">
        <f>IF(OR(D631="",F631=""),"",IF(OR(D631="Casse / avarie",D631="Perte / vol",D631="Échantillon offert"),IF(I631&lt;&gt;"",I631,IF(N631="","",F631*N631)),""))</f>
        <v/>
      </c>
      <c r="P631" s="50">
        <f>IF(OR(D631="",F631=""),"",F631*IF(OR(D631="Reçu du magasin",D631="Ajustement (+)"),1,-1))</f>
        <v/>
      </c>
      <c r="Q631" s="34">
        <f>IF(C631="","",YEAR(C631-WEEKDAY(C631,2)+4)&amp;"-S"&amp;TEXT(INT((C631-DATE(YEAR(C631-WEEKDAY(C631,2)+4),1,3)+WEEKDAY(DATE(YEAR(C631-WEEKDAY(C631,2)+4),1,3),2)+5)/7),"00"))</f>
        <v/>
      </c>
    </row>
    <row r="632" ht="18" customHeight="1">
      <c r="A632" s="39" t="n">
        <v>627</v>
      </c>
      <c r="B632" s="33">
        <f>IF(C632="","",IF(L632="À RENSEIGNER","GIC",L632)&amp;"-S"&amp;TEXT(A632,"00000"))</f>
        <v/>
      </c>
      <c r="C632" s="32" t="n"/>
      <c r="D632" s="36" t="n"/>
      <c r="E632" s="36" t="n"/>
      <c r="F632" s="42" t="n"/>
      <c r="G632" s="36" t="n"/>
      <c r="H632" s="43" t="n"/>
      <c r="I632" s="37" t="n"/>
      <c r="J632" s="44" t="n"/>
      <c r="K632" s="36" t="n"/>
      <c r="L632" s="33">
        <f>IF(C632="","",Commercial_Id)</f>
        <v/>
      </c>
      <c r="M632" s="34">
        <f>IF(E632="","",IFERROR(VLOOKUP(E632,T_Produits,2,FALSE),""))</f>
        <v/>
      </c>
      <c r="N632" s="40">
        <f>IF(E632="","",IFERROR(1/(1/VLOOKUP(E632,T_Produits,3,FALSE)),""))</f>
        <v/>
      </c>
      <c r="O632" s="40">
        <f>IF(OR(D632="",F632=""),"",IF(OR(D632="Casse / avarie",D632="Perte / vol",D632="Échantillon offert"),IF(I632&lt;&gt;"",I632,IF(N632="","",F632*N632)),""))</f>
        <v/>
      </c>
      <c r="P632" s="50">
        <f>IF(OR(D632="",F632=""),"",F632*IF(OR(D632="Reçu du magasin",D632="Ajustement (+)"),1,-1))</f>
        <v/>
      </c>
      <c r="Q632" s="34">
        <f>IF(C632="","",YEAR(C632-WEEKDAY(C632,2)+4)&amp;"-S"&amp;TEXT(INT((C632-DATE(YEAR(C632-WEEKDAY(C632,2)+4),1,3)+WEEKDAY(DATE(YEAR(C632-WEEKDAY(C632,2)+4),1,3),2)+5)/7),"00"))</f>
        <v/>
      </c>
    </row>
    <row r="633" ht="18" customHeight="1">
      <c r="A633" s="39" t="n">
        <v>628</v>
      </c>
      <c r="B633" s="33">
        <f>IF(C633="","",IF(L633="À RENSEIGNER","GIC",L633)&amp;"-S"&amp;TEXT(A633,"00000"))</f>
        <v/>
      </c>
      <c r="C633" s="32" t="n"/>
      <c r="D633" s="36" t="n"/>
      <c r="E633" s="36" t="n"/>
      <c r="F633" s="42" t="n"/>
      <c r="G633" s="36" t="n"/>
      <c r="H633" s="43" t="n"/>
      <c r="I633" s="37" t="n"/>
      <c r="J633" s="44" t="n"/>
      <c r="K633" s="36" t="n"/>
      <c r="L633" s="33">
        <f>IF(C633="","",Commercial_Id)</f>
        <v/>
      </c>
      <c r="M633" s="34">
        <f>IF(E633="","",IFERROR(VLOOKUP(E633,T_Produits,2,FALSE),""))</f>
        <v/>
      </c>
      <c r="N633" s="40">
        <f>IF(E633="","",IFERROR(1/(1/VLOOKUP(E633,T_Produits,3,FALSE)),""))</f>
        <v/>
      </c>
      <c r="O633" s="40">
        <f>IF(OR(D633="",F633=""),"",IF(OR(D633="Casse / avarie",D633="Perte / vol",D633="Échantillon offert"),IF(I633&lt;&gt;"",I633,IF(N633="","",F633*N633)),""))</f>
        <v/>
      </c>
      <c r="P633" s="50">
        <f>IF(OR(D633="",F633=""),"",F633*IF(OR(D633="Reçu du magasin",D633="Ajustement (+)"),1,-1))</f>
        <v/>
      </c>
      <c r="Q633" s="34">
        <f>IF(C633="","",YEAR(C633-WEEKDAY(C633,2)+4)&amp;"-S"&amp;TEXT(INT((C633-DATE(YEAR(C633-WEEKDAY(C633,2)+4),1,3)+WEEKDAY(DATE(YEAR(C633-WEEKDAY(C633,2)+4),1,3),2)+5)/7),"00"))</f>
        <v/>
      </c>
    </row>
    <row r="634" ht="18" customHeight="1">
      <c r="A634" s="39" t="n">
        <v>629</v>
      </c>
      <c r="B634" s="33">
        <f>IF(C634="","",IF(L634="À RENSEIGNER","GIC",L634)&amp;"-S"&amp;TEXT(A634,"00000"))</f>
        <v/>
      </c>
      <c r="C634" s="32" t="n"/>
      <c r="D634" s="36" t="n"/>
      <c r="E634" s="36" t="n"/>
      <c r="F634" s="42" t="n"/>
      <c r="G634" s="36" t="n"/>
      <c r="H634" s="43" t="n"/>
      <c r="I634" s="37" t="n"/>
      <c r="J634" s="44" t="n"/>
      <c r="K634" s="36" t="n"/>
      <c r="L634" s="33">
        <f>IF(C634="","",Commercial_Id)</f>
        <v/>
      </c>
      <c r="M634" s="34">
        <f>IF(E634="","",IFERROR(VLOOKUP(E634,T_Produits,2,FALSE),""))</f>
        <v/>
      </c>
      <c r="N634" s="40">
        <f>IF(E634="","",IFERROR(1/(1/VLOOKUP(E634,T_Produits,3,FALSE)),""))</f>
        <v/>
      </c>
      <c r="O634" s="40">
        <f>IF(OR(D634="",F634=""),"",IF(OR(D634="Casse / avarie",D634="Perte / vol",D634="Échantillon offert"),IF(I634&lt;&gt;"",I634,IF(N634="","",F634*N634)),""))</f>
        <v/>
      </c>
      <c r="P634" s="50">
        <f>IF(OR(D634="",F634=""),"",F634*IF(OR(D634="Reçu du magasin",D634="Ajustement (+)"),1,-1))</f>
        <v/>
      </c>
      <c r="Q634" s="34">
        <f>IF(C634="","",YEAR(C634-WEEKDAY(C634,2)+4)&amp;"-S"&amp;TEXT(INT((C634-DATE(YEAR(C634-WEEKDAY(C634,2)+4),1,3)+WEEKDAY(DATE(YEAR(C634-WEEKDAY(C634,2)+4),1,3),2)+5)/7),"00"))</f>
        <v/>
      </c>
    </row>
    <row r="635" ht="18" customHeight="1">
      <c r="A635" s="39" t="n">
        <v>630</v>
      </c>
      <c r="B635" s="33">
        <f>IF(C635="","",IF(L635="À RENSEIGNER","GIC",L635)&amp;"-S"&amp;TEXT(A635,"00000"))</f>
        <v/>
      </c>
      <c r="C635" s="32" t="n"/>
      <c r="D635" s="36" t="n"/>
      <c r="E635" s="36" t="n"/>
      <c r="F635" s="42" t="n"/>
      <c r="G635" s="36" t="n"/>
      <c r="H635" s="43" t="n"/>
      <c r="I635" s="37" t="n"/>
      <c r="J635" s="44" t="n"/>
      <c r="K635" s="36" t="n"/>
      <c r="L635" s="33">
        <f>IF(C635="","",Commercial_Id)</f>
        <v/>
      </c>
      <c r="M635" s="34">
        <f>IF(E635="","",IFERROR(VLOOKUP(E635,T_Produits,2,FALSE),""))</f>
        <v/>
      </c>
      <c r="N635" s="40">
        <f>IF(E635="","",IFERROR(1/(1/VLOOKUP(E635,T_Produits,3,FALSE)),""))</f>
        <v/>
      </c>
      <c r="O635" s="40">
        <f>IF(OR(D635="",F635=""),"",IF(OR(D635="Casse / avarie",D635="Perte / vol",D635="Échantillon offert"),IF(I635&lt;&gt;"",I635,IF(N635="","",F635*N635)),""))</f>
        <v/>
      </c>
      <c r="P635" s="50">
        <f>IF(OR(D635="",F635=""),"",F635*IF(OR(D635="Reçu du magasin",D635="Ajustement (+)"),1,-1))</f>
        <v/>
      </c>
      <c r="Q635" s="34">
        <f>IF(C635="","",YEAR(C635-WEEKDAY(C635,2)+4)&amp;"-S"&amp;TEXT(INT((C635-DATE(YEAR(C635-WEEKDAY(C635,2)+4),1,3)+WEEKDAY(DATE(YEAR(C635-WEEKDAY(C635,2)+4),1,3),2)+5)/7),"00"))</f>
        <v/>
      </c>
    </row>
    <row r="636" ht="18" customHeight="1">
      <c r="A636" s="39" t="n">
        <v>631</v>
      </c>
      <c r="B636" s="33">
        <f>IF(C636="","",IF(L636="À RENSEIGNER","GIC",L636)&amp;"-S"&amp;TEXT(A636,"00000"))</f>
        <v/>
      </c>
      <c r="C636" s="32" t="n"/>
      <c r="D636" s="36" t="n"/>
      <c r="E636" s="36" t="n"/>
      <c r="F636" s="42" t="n"/>
      <c r="G636" s="36" t="n"/>
      <c r="H636" s="43" t="n"/>
      <c r="I636" s="37" t="n"/>
      <c r="J636" s="44" t="n"/>
      <c r="K636" s="36" t="n"/>
      <c r="L636" s="33">
        <f>IF(C636="","",Commercial_Id)</f>
        <v/>
      </c>
      <c r="M636" s="34">
        <f>IF(E636="","",IFERROR(VLOOKUP(E636,T_Produits,2,FALSE),""))</f>
        <v/>
      </c>
      <c r="N636" s="40">
        <f>IF(E636="","",IFERROR(1/(1/VLOOKUP(E636,T_Produits,3,FALSE)),""))</f>
        <v/>
      </c>
      <c r="O636" s="40">
        <f>IF(OR(D636="",F636=""),"",IF(OR(D636="Casse / avarie",D636="Perte / vol",D636="Échantillon offert"),IF(I636&lt;&gt;"",I636,IF(N636="","",F636*N636)),""))</f>
        <v/>
      </c>
      <c r="P636" s="50">
        <f>IF(OR(D636="",F636=""),"",F636*IF(OR(D636="Reçu du magasin",D636="Ajustement (+)"),1,-1))</f>
        <v/>
      </c>
      <c r="Q636" s="34">
        <f>IF(C636="","",YEAR(C636-WEEKDAY(C636,2)+4)&amp;"-S"&amp;TEXT(INT((C636-DATE(YEAR(C636-WEEKDAY(C636,2)+4),1,3)+WEEKDAY(DATE(YEAR(C636-WEEKDAY(C636,2)+4),1,3),2)+5)/7),"00"))</f>
        <v/>
      </c>
    </row>
    <row r="637" ht="18" customHeight="1">
      <c r="A637" s="39" t="n">
        <v>632</v>
      </c>
      <c r="B637" s="33">
        <f>IF(C637="","",IF(L637="À RENSEIGNER","GIC",L637)&amp;"-S"&amp;TEXT(A637,"00000"))</f>
        <v/>
      </c>
      <c r="C637" s="32" t="n"/>
      <c r="D637" s="36" t="n"/>
      <c r="E637" s="36" t="n"/>
      <c r="F637" s="42" t="n"/>
      <c r="G637" s="36" t="n"/>
      <c r="H637" s="43" t="n"/>
      <c r="I637" s="37" t="n"/>
      <c r="J637" s="44" t="n"/>
      <c r="K637" s="36" t="n"/>
      <c r="L637" s="33">
        <f>IF(C637="","",Commercial_Id)</f>
        <v/>
      </c>
      <c r="M637" s="34">
        <f>IF(E637="","",IFERROR(VLOOKUP(E637,T_Produits,2,FALSE),""))</f>
        <v/>
      </c>
      <c r="N637" s="40">
        <f>IF(E637="","",IFERROR(1/(1/VLOOKUP(E637,T_Produits,3,FALSE)),""))</f>
        <v/>
      </c>
      <c r="O637" s="40">
        <f>IF(OR(D637="",F637=""),"",IF(OR(D637="Casse / avarie",D637="Perte / vol",D637="Échantillon offert"),IF(I637&lt;&gt;"",I637,IF(N637="","",F637*N637)),""))</f>
        <v/>
      </c>
      <c r="P637" s="50">
        <f>IF(OR(D637="",F637=""),"",F637*IF(OR(D637="Reçu du magasin",D637="Ajustement (+)"),1,-1))</f>
        <v/>
      </c>
      <c r="Q637" s="34">
        <f>IF(C637="","",YEAR(C637-WEEKDAY(C637,2)+4)&amp;"-S"&amp;TEXT(INT((C637-DATE(YEAR(C637-WEEKDAY(C637,2)+4),1,3)+WEEKDAY(DATE(YEAR(C637-WEEKDAY(C637,2)+4),1,3),2)+5)/7),"00"))</f>
        <v/>
      </c>
    </row>
    <row r="638" ht="18" customHeight="1">
      <c r="A638" s="39" t="n">
        <v>633</v>
      </c>
      <c r="B638" s="33">
        <f>IF(C638="","",IF(L638="À RENSEIGNER","GIC",L638)&amp;"-S"&amp;TEXT(A638,"00000"))</f>
        <v/>
      </c>
      <c r="C638" s="32" t="n"/>
      <c r="D638" s="36" t="n"/>
      <c r="E638" s="36" t="n"/>
      <c r="F638" s="42" t="n"/>
      <c r="G638" s="36" t="n"/>
      <c r="H638" s="43" t="n"/>
      <c r="I638" s="37" t="n"/>
      <c r="J638" s="44" t="n"/>
      <c r="K638" s="36" t="n"/>
      <c r="L638" s="33">
        <f>IF(C638="","",Commercial_Id)</f>
        <v/>
      </c>
      <c r="M638" s="34">
        <f>IF(E638="","",IFERROR(VLOOKUP(E638,T_Produits,2,FALSE),""))</f>
        <v/>
      </c>
      <c r="N638" s="40">
        <f>IF(E638="","",IFERROR(1/(1/VLOOKUP(E638,T_Produits,3,FALSE)),""))</f>
        <v/>
      </c>
      <c r="O638" s="40">
        <f>IF(OR(D638="",F638=""),"",IF(OR(D638="Casse / avarie",D638="Perte / vol",D638="Échantillon offert"),IF(I638&lt;&gt;"",I638,IF(N638="","",F638*N638)),""))</f>
        <v/>
      </c>
      <c r="P638" s="50">
        <f>IF(OR(D638="",F638=""),"",F638*IF(OR(D638="Reçu du magasin",D638="Ajustement (+)"),1,-1))</f>
        <v/>
      </c>
      <c r="Q638" s="34">
        <f>IF(C638="","",YEAR(C638-WEEKDAY(C638,2)+4)&amp;"-S"&amp;TEXT(INT((C638-DATE(YEAR(C638-WEEKDAY(C638,2)+4),1,3)+WEEKDAY(DATE(YEAR(C638-WEEKDAY(C638,2)+4),1,3),2)+5)/7),"00"))</f>
        <v/>
      </c>
    </row>
    <row r="639" ht="18" customHeight="1">
      <c r="A639" s="39" t="n">
        <v>634</v>
      </c>
      <c r="B639" s="33">
        <f>IF(C639="","",IF(L639="À RENSEIGNER","GIC",L639)&amp;"-S"&amp;TEXT(A639,"00000"))</f>
        <v/>
      </c>
      <c r="C639" s="32" t="n"/>
      <c r="D639" s="36" t="n"/>
      <c r="E639" s="36" t="n"/>
      <c r="F639" s="42" t="n"/>
      <c r="G639" s="36" t="n"/>
      <c r="H639" s="43" t="n"/>
      <c r="I639" s="37" t="n"/>
      <c r="J639" s="44" t="n"/>
      <c r="K639" s="36" t="n"/>
      <c r="L639" s="33">
        <f>IF(C639="","",Commercial_Id)</f>
        <v/>
      </c>
      <c r="M639" s="34">
        <f>IF(E639="","",IFERROR(VLOOKUP(E639,T_Produits,2,FALSE),""))</f>
        <v/>
      </c>
      <c r="N639" s="40">
        <f>IF(E639="","",IFERROR(1/(1/VLOOKUP(E639,T_Produits,3,FALSE)),""))</f>
        <v/>
      </c>
      <c r="O639" s="40">
        <f>IF(OR(D639="",F639=""),"",IF(OR(D639="Casse / avarie",D639="Perte / vol",D639="Échantillon offert"),IF(I639&lt;&gt;"",I639,IF(N639="","",F639*N639)),""))</f>
        <v/>
      </c>
      <c r="P639" s="50">
        <f>IF(OR(D639="",F639=""),"",F639*IF(OR(D639="Reçu du magasin",D639="Ajustement (+)"),1,-1))</f>
        <v/>
      </c>
      <c r="Q639" s="34">
        <f>IF(C639="","",YEAR(C639-WEEKDAY(C639,2)+4)&amp;"-S"&amp;TEXT(INT((C639-DATE(YEAR(C639-WEEKDAY(C639,2)+4),1,3)+WEEKDAY(DATE(YEAR(C639-WEEKDAY(C639,2)+4),1,3),2)+5)/7),"00"))</f>
        <v/>
      </c>
    </row>
    <row r="640" ht="18" customHeight="1">
      <c r="A640" s="39" t="n">
        <v>635</v>
      </c>
      <c r="B640" s="33">
        <f>IF(C640="","",IF(L640="À RENSEIGNER","GIC",L640)&amp;"-S"&amp;TEXT(A640,"00000"))</f>
        <v/>
      </c>
      <c r="C640" s="32" t="n"/>
      <c r="D640" s="36" t="n"/>
      <c r="E640" s="36" t="n"/>
      <c r="F640" s="42" t="n"/>
      <c r="G640" s="36" t="n"/>
      <c r="H640" s="43" t="n"/>
      <c r="I640" s="37" t="n"/>
      <c r="J640" s="44" t="n"/>
      <c r="K640" s="36" t="n"/>
      <c r="L640" s="33">
        <f>IF(C640="","",Commercial_Id)</f>
        <v/>
      </c>
      <c r="M640" s="34">
        <f>IF(E640="","",IFERROR(VLOOKUP(E640,T_Produits,2,FALSE),""))</f>
        <v/>
      </c>
      <c r="N640" s="40">
        <f>IF(E640="","",IFERROR(1/(1/VLOOKUP(E640,T_Produits,3,FALSE)),""))</f>
        <v/>
      </c>
      <c r="O640" s="40">
        <f>IF(OR(D640="",F640=""),"",IF(OR(D640="Casse / avarie",D640="Perte / vol",D640="Échantillon offert"),IF(I640&lt;&gt;"",I640,IF(N640="","",F640*N640)),""))</f>
        <v/>
      </c>
      <c r="P640" s="50">
        <f>IF(OR(D640="",F640=""),"",F640*IF(OR(D640="Reçu du magasin",D640="Ajustement (+)"),1,-1))</f>
        <v/>
      </c>
      <c r="Q640" s="34">
        <f>IF(C640="","",YEAR(C640-WEEKDAY(C640,2)+4)&amp;"-S"&amp;TEXT(INT((C640-DATE(YEAR(C640-WEEKDAY(C640,2)+4),1,3)+WEEKDAY(DATE(YEAR(C640-WEEKDAY(C640,2)+4),1,3),2)+5)/7),"00"))</f>
        <v/>
      </c>
    </row>
    <row r="641" ht="18" customHeight="1">
      <c r="A641" s="39" t="n">
        <v>636</v>
      </c>
      <c r="B641" s="33">
        <f>IF(C641="","",IF(L641="À RENSEIGNER","GIC",L641)&amp;"-S"&amp;TEXT(A641,"00000"))</f>
        <v/>
      </c>
      <c r="C641" s="32" t="n"/>
      <c r="D641" s="36" t="n"/>
      <c r="E641" s="36" t="n"/>
      <c r="F641" s="42" t="n"/>
      <c r="G641" s="36" t="n"/>
      <c r="H641" s="43" t="n"/>
      <c r="I641" s="37" t="n"/>
      <c r="J641" s="44" t="n"/>
      <c r="K641" s="36" t="n"/>
      <c r="L641" s="33">
        <f>IF(C641="","",Commercial_Id)</f>
        <v/>
      </c>
      <c r="M641" s="34">
        <f>IF(E641="","",IFERROR(VLOOKUP(E641,T_Produits,2,FALSE),""))</f>
        <v/>
      </c>
      <c r="N641" s="40">
        <f>IF(E641="","",IFERROR(1/(1/VLOOKUP(E641,T_Produits,3,FALSE)),""))</f>
        <v/>
      </c>
      <c r="O641" s="40">
        <f>IF(OR(D641="",F641=""),"",IF(OR(D641="Casse / avarie",D641="Perte / vol",D641="Échantillon offert"),IF(I641&lt;&gt;"",I641,IF(N641="","",F641*N641)),""))</f>
        <v/>
      </c>
      <c r="P641" s="50">
        <f>IF(OR(D641="",F641=""),"",F641*IF(OR(D641="Reçu du magasin",D641="Ajustement (+)"),1,-1))</f>
        <v/>
      </c>
      <c r="Q641" s="34">
        <f>IF(C641="","",YEAR(C641-WEEKDAY(C641,2)+4)&amp;"-S"&amp;TEXT(INT((C641-DATE(YEAR(C641-WEEKDAY(C641,2)+4),1,3)+WEEKDAY(DATE(YEAR(C641-WEEKDAY(C641,2)+4),1,3),2)+5)/7),"00"))</f>
        <v/>
      </c>
    </row>
    <row r="642" ht="18" customHeight="1">
      <c r="A642" s="39" t="n">
        <v>637</v>
      </c>
      <c r="B642" s="33">
        <f>IF(C642="","",IF(L642="À RENSEIGNER","GIC",L642)&amp;"-S"&amp;TEXT(A642,"00000"))</f>
        <v/>
      </c>
      <c r="C642" s="32" t="n"/>
      <c r="D642" s="36" t="n"/>
      <c r="E642" s="36" t="n"/>
      <c r="F642" s="42" t="n"/>
      <c r="G642" s="36" t="n"/>
      <c r="H642" s="43" t="n"/>
      <c r="I642" s="37" t="n"/>
      <c r="J642" s="44" t="n"/>
      <c r="K642" s="36" t="n"/>
      <c r="L642" s="33">
        <f>IF(C642="","",Commercial_Id)</f>
        <v/>
      </c>
      <c r="M642" s="34">
        <f>IF(E642="","",IFERROR(VLOOKUP(E642,T_Produits,2,FALSE),""))</f>
        <v/>
      </c>
      <c r="N642" s="40">
        <f>IF(E642="","",IFERROR(1/(1/VLOOKUP(E642,T_Produits,3,FALSE)),""))</f>
        <v/>
      </c>
      <c r="O642" s="40">
        <f>IF(OR(D642="",F642=""),"",IF(OR(D642="Casse / avarie",D642="Perte / vol",D642="Échantillon offert"),IF(I642&lt;&gt;"",I642,IF(N642="","",F642*N642)),""))</f>
        <v/>
      </c>
      <c r="P642" s="50">
        <f>IF(OR(D642="",F642=""),"",F642*IF(OR(D642="Reçu du magasin",D642="Ajustement (+)"),1,-1))</f>
        <v/>
      </c>
      <c r="Q642" s="34">
        <f>IF(C642="","",YEAR(C642-WEEKDAY(C642,2)+4)&amp;"-S"&amp;TEXT(INT((C642-DATE(YEAR(C642-WEEKDAY(C642,2)+4),1,3)+WEEKDAY(DATE(YEAR(C642-WEEKDAY(C642,2)+4),1,3),2)+5)/7),"00"))</f>
        <v/>
      </c>
    </row>
    <row r="643" ht="18" customHeight="1">
      <c r="A643" s="39" t="n">
        <v>638</v>
      </c>
      <c r="B643" s="33">
        <f>IF(C643="","",IF(L643="À RENSEIGNER","GIC",L643)&amp;"-S"&amp;TEXT(A643,"00000"))</f>
        <v/>
      </c>
      <c r="C643" s="32" t="n"/>
      <c r="D643" s="36" t="n"/>
      <c r="E643" s="36" t="n"/>
      <c r="F643" s="42" t="n"/>
      <c r="G643" s="36" t="n"/>
      <c r="H643" s="43" t="n"/>
      <c r="I643" s="37" t="n"/>
      <c r="J643" s="44" t="n"/>
      <c r="K643" s="36" t="n"/>
      <c r="L643" s="33">
        <f>IF(C643="","",Commercial_Id)</f>
        <v/>
      </c>
      <c r="M643" s="34">
        <f>IF(E643="","",IFERROR(VLOOKUP(E643,T_Produits,2,FALSE),""))</f>
        <v/>
      </c>
      <c r="N643" s="40">
        <f>IF(E643="","",IFERROR(1/(1/VLOOKUP(E643,T_Produits,3,FALSE)),""))</f>
        <v/>
      </c>
      <c r="O643" s="40">
        <f>IF(OR(D643="",F643=""),"",IF(OR(D643="Casse / avarie",D643="Perte / vol",D643="Échantillon offert"),IF(I643&lt;&gt;"",I643,IF(N643="","",F643*N643)),""))</f>
        <v/>
      </c>
      <c r="P643" s="50">
        <f>IF(OR(D643="",F643=""),"",F643*IF(OR(D643="Reçu du magasin",D643="Ajustement (+)"),1,-1))</f>
        <v/>
      </c>
      <c r="Q643" s="34">
        <f>IF(C643="","",YEAR(C643-WEEKDAY(C643,2)+4)&amp;"-S"&amp;TEXT(INT((C643-DATE(YEAR(C643-WEEKDAY(C643,2)+4),1,3)+WEEKDAY(DATE(YEAR(C643-WEEKDAY(C643,2)+4),1,3),2)+5)/7),"00"))</f>
        <v/>
      </c>
    </row>
    <row r="644" ht="18" customHeight="1">
      <c r="A644" s="39" t="n">
        <v>639</v>
      </c>
      <c r="B644" s="33">
        <f>IF(C644="","",IF(L644="À RENSEIGNER","GIC",L644)&amp;"-S"&amp;TEXT(A644,"00000"))</f>
        <v/>
      </c>
      <c r="C644" s="32" t="n"/>
      <c r="D644" s="36" t="n"/>
      <c r="E644" s="36" t="n"/>
      <c r="F644" s="42" t="n"/>
      <c r="G644" s="36" t="n"/>
      <c r="H644" s="43" t="n"/>
      <c r="I644" s="37" t="n"/>
      <c r="J644" s="44" t="n"/>
      <c r="K644" s="36" t="n"/>
      <c r="L644" s="33">
        <f>IF(C644="","",Commercial_Id)</f>
        <v/>
      </c>
      <c r="M644" s="34">
        <f>IF(E644="","",IFERROR(VLOOKUP(E644,T_Produits,2,FALSE),""))</f>
        <v/>
      </c>
      <c r="N644" s="40">
        <f>IF(E644="","",IFERROR(1/(1/VLOOKUP(E644,T_Produits,3,FALSE)),""))</f>
        <v/>
      </c>
      <c r="O644" s="40">
        <f>IF(OR(D644="",F644=""),"",IF(OR(D644="Casse / avarie",D644="Perte / vol",D644="Échantillon offert"),IF(I644&lt;&gt;"",I644,IF(N644="","",F644*N644)),""))</f>
        <v/>
      </c>
      <c r="P644" s="50">
        <f>IF(OR(D644="",F644=""),"",F644*IF(OR(D644="Reçu du magasin",D644="Ajustement (+)"),1,-1))</f>
        <v/>
      </c>
      <c r="Q644" s="34">
        <f>IF(C644="","",YEAR(C644-WEEKDAY(C644,2)+4)&amp;"-S"&amp;TEXT(INT((C644-DATE(YEAR(C644-WEEKDAY(C644,2)+4),1,3)+WEEKDAY(DATE(YEAR(C644-WEEKDAY(C644,2)+4),1,3),2)+5)/7),"00"))</f>
        <v/>
      </c>
    </row>
    <row r="645" ht="18" customHeight="1">
      <c r="A645" s="39" t="n">
        <v>640</v>
      </c>
      <c r="B645" s="33">
        <f>IF(C645="","",IF(L645="À RENSEIGNER","GIC",L645)&amp;"-S"&amp;TEXT(A645,"00000"))</f>
        <v/>
      </c>
      <c r="C645" s="32" t="n"/>
      <c r="D645" s="36" t="n"/>
      <c r="E645" s="36" t="n"/>
      <c r="F645" s="42" t="n"/>
      <c r="G645" s="36" t="n"/>
      <c r="H645" s="43" t="n"/>
      <c r="I645" s="37" t="n"/>
      <c r="J645" s="44" t="n"/>
      <c r="K645" s="36" t="n"/>
      <c r="L645" s="33">
        <f>IF(C645="","",Commercial_Id)</f>
        <v/>
      </c>
      <c r="M645" s="34">
        <f>IF(E645="","",IFERROR(VLOOKUP(E645,T_Produits,2,FALSE),""))</f>
        <v/>
      </c>
      <c r="N645" s="40">
        <f>IF(E645="","",IFERROR(1/(1/VLOOKUP(E645,T_Produits,3,FALSE)),""))</f>
        <v/>
      </c>
      <c r="O645" s="40">
        <f>IF(OR(D645="",F645=""),"",IF(OR(D645="Casse / avarie",D645="Perte / vol",D645="Échantillon offert"),IF(I645&lt;&gt;"",I645,IF(N645="","",F645*N645)),""))</f>
        <v/>
      </c>
      <c r="P645" s="50">
        <f>IF(OR(D645="",F645=""),"",F645*IF(OR(D645="Reçu du magasin",D645="Ajustement (+)"),1,-1))</f>
        <v/>
      </c>
      <c r="Q645" s="34">
        <f>IF(C645="","",YEAR(C645-WEEKDAY(C645,2)+4)&amp;"-S"&amp;TEXT(INT((C645-DATE(YEAR(C645-WEEKDAY(C645,2)+4),1,3)+WEEKDAY(DATE(YEAR(C645-WEEKDAY(C645,2)+4),1,3),2)+5)/7),"00"))</f>
        <v/>
      </c>
    </row>
    <row r="646" ht="18" customHeight="1">
      <c r="A646" s="39" t="n">
        <v>641</v>
      </c>
      <c r="B646" s="33">
        <f>IF(C646="","",IF(L646="À RENSEIGNER","GIC",L646)&amp;"-S"&amp;TEXT(A646,"00000"))</f>
        <v/>
      </c>
      <c r="C646" s="32" t="n"/>
      <c r="D646" s="36" t="n"/>
      <c r="E646" s="36" t="n"/>
      <c r="F646" s="42" t="n"/>
      <c r="G646" s="36" t="n"/>
      <c r="H646" s="43" t="n"/>
      <c r="I646" s="37" t="n"/>
      <c r="J646" s="44" t="n"/>
      <c r="K646" s="36" t="n"/>
      <c r="L646" s="33">
        <f>IF(C646="","",Commercial_Id)</f>
        <v/>
      </c>
      <c r="M646" s="34">
        <f>IF(E646="","",IFERROR(VLOOKUP(E646,T_Produits,2,FALSE),""))</f>
        <v/>
      </c>
      <c r="N646" s="40">
        <f>IF(E646="","",IFERROR(1/(1/VLOOKUP(E646,T_Produits,3,FALSE)),""))</f>
        <v/>
      </c>
      <c r="O646" s="40">
        <f>IF(OR(D646="",F646=""),"",IF(OR(D646="Casse / avarie",D646="Perte / vol",D646="Échantillon offert"),IF(I646&lt;&gt;"",I646,IF(N646="","",F646*N646)),""))</f>
        <v/>
      </c>
      <c r="P646" s="50">
        <f>IF(OR(D646="",F646=""),"",F646*IF(OR(D646="Reçu du magasin",D646="Ajustement (+)"),1,-1))</f>
        <v/>
      </c>
      <c r="Q646" s="34">
        <f>IF(C646="","",YEAR(C646-WEEKDAY(C646,2)+4)&amp;"-S"&amp;TEXT(INT((C646-DATE(YEAR(C646-WEEKDAY(C646,2)+4),1,3)+WEEKDAY(DATE(YEAR(C646-WEEKDAY(C646,2)+4),1,3),2)+5)/7),"00"))</f>
        <v/>
      </c>
    </row>
    <row r="647" ht="18" customHeight="1">
      <c r="A647" s="39" t="n">
        <v>642</v>
      </c>
      <c r="B647" s="33">
        <f>IF(C647="","",IF(L647="À RENSEIGNER","GIC",L647)&amp;"-S"&amp;TEXT(A647,"00000"))</f>
        <v/>
      </c>
      <c r="C647" s="32" t="n"/>
      <c r="D647" s="36" t="n"/>
      <c r="E647" s="36" t="n"/>
      <c r="F647" s="42" t="n"/>
      <c r="G647" s="36" t="n"/>
      <c r="H647" s="43" t="n"/>
      <c r="I647" s="37" t="n"/>
      <c r="J647" s="44" t="n"/>
      <c r="K647" s="36" t="n"/>
      <c r="L647" s="33">
        <f>IF(C647="","",Commercial_Id)</f>
        <v/>
      </c>
      <c r="M647" s="34">
        <f>IF(E647="","",IFERROR(VLOOKUP(E647,T_Produits,2,FALSE),""))</f>
        <v/>
      </c>
      <c r="N647" s="40">
        <f>IF(E647="","",IFERROR(1/(1/VLOOKUP(E647,T_Produits,3,FALSE)),""))</f>
        <v/>
      </c>
      <c r="O647" s="40">
        <f>IF(OR(D647="",F647=""),"",IF(OR(D647="Casse / avarie",D647="Perte / vol",D647="Échantillon offert"),IF(I647&lt;&gt;"",I647,IF(N647="","",F647*N647)),""))</f>
        <v/>
      </c>
      <c r="P647" s="50">
        <f>IF(OR(D647="",F647=""),"",F647*IF(OR(D647="Reçu du magasin",D647="Ajustement (+)"),1,-1))</f>
        <v/>
      </c>
      <c r="Q647" s="34">
        <f>IF(C647="","",YEAR(C647-WEEKDAY(C647,2)+4)&amp;"-S"&amp;TEXT(INT((C647-DATE(YEAR(C647-WEEKDAY(C647,2)+4),1,3)+WEEKDAY(DATE(YEAR(C647-WEEKDAY(C647,2)+4),1,3),2)+5)/7),"00"))</f>
        <v/>
      </c>
    </row>
    <row r="648" ht="18" customHeight="1">
      <c r="A648" s="39" t="n">
        <v>643</v>
      </c>
      <c r="B648" s="33">
        <f>IF(C648="","",IF(L648="À RENSEIGNER","GIC",L648)&amp;"-S"&amp;TEXT(A648,"00000"))</f>
        <v/>
      </c>
      <c r="C648" s="32" t="n"/>
      <c r="D648" s="36" t="n"/>
      <c r="E648" s="36" t="n"/>
      <c r="F648" s="42" t="n"/>
      <c r="G648" s="36" t="n"/>
      <c r="H648" s="43" t="n"/>
      <c r="I648" s="37" t="n"/>
      <c r="J648" s="44" t="n"/>
      <c r="K648" s="36" t="n"/>
      <c r="L648" s="33">
        <f>IF(C648="","",Commercial_Id)</f>
        <v/>
      </c>
      <c r="M648" s="34">
        <f>IF(E648="","",IFERROR(VLOOKUP(E648,T_Produits,2,FALSE),""))</f>
        <v/>
      </c>
      <c r="N648" s="40">
        <f>IF(E648="","",IFERROR(1/(1/VLOOKUP(E648,T_Produits,3,FALSE)),""))</f>
        <v/>
      </c>
      <c r="O648" s="40">
        <f>IF(OR(D648="",F648=""),"",IF(OR(D648="Casse / avarie",D648="Perte / vol",D648="Échantillon offert"),IF(I648&lt;&gt;"",I648,IF(N648="","",F648*N648)),""))</f>
        <v/>
      </c>
      <c r="P648" s="50">
        <f>IF(OR(D648="",F648=""),"",F648*IF(OR(D648="Reçu du magasin",D648="Ajustement (+)"),1,-1))</f>
        <v/>
      </c>
      <c r="Q648" s="34">
        <f>IF(C648="","",YEAR(C648-WEEKDAY(C648,2)+4)&amp;"-S"&amp;TEXT(INT((C648-DATE(YEAR(C648-WEEKDAY(C648,2)+4),1,3)+WEEKDAY(DATE(YEAR(C648-WEEKDAY(C648,2)+4),1,3),2)+5)/7),"00"))</f>
        <v/>
      </c>
    </row>
    <row r="649" ht="18" customHeight="1">
      <c r="A649" s="39" t="n">
        <v>644</v>
      </c>
      <c r="B649" s="33">
        <f>IF(C649="","",IF(L649="À RENSEIGNER","GIC",L649)&amp;"-S"&amp;TEXT(A649,"00000"))</f>
        <v/>
      </c>
      <c r="C649" s="32" t="n"/>
      <c r="D649" s="36" t="n"/>
      <c r="E649" s="36" t="n"/>
      <c r="F649" s="42" t="n"/>
      <c r="G649" s="36" t="n"/>
      <c r="H649" s="43" t="n"/>
      <c r="I649" s="37" t="n"/>
      <c r="J649" s="44" t="n"/>
      <c r="K649" s="36" t="n"/>
      <c r="L649" s="33">
        <f>IF(C649="","",Commercial_Id)</f>
        <v/>
      </c>
      <c r="M649" s="34">
        <f>IF(E649="","",IFERROR(VLOOKUP(E649,T_Produits,2,FALSE),""))</f>
        <v/>
      </c>
      <c r="N649" s="40">
        <f>IF(E649="","",IFERROR(1/(1/VLOOKUP(E649,T_Produits,3,FALSE)),""))</f>
        <v/>
      </c>
      <c r="O649" s="40">
        <f>IF(OR(D649="",F649=""),"",IF(OR(D649="Casse / avarie",D649="Perte / vol",D649="Échantillon offert"),IF(I649&lt;&gt;"",I649,IF(N649="","",F649*N649)),""))</f>
        <v/>
      </c>
      <c r="P649" s="50">
        <f>IF(OR(D649="",F649=""),"",F649*IF(OR(D649="Reçu du magasin",D649="Ajustement (+)"),1,-1))</f>
        <v/>
      </c>
      <c r="Q649" s="34">
        <f>IF(C649="","",YEAR(C649-WEEKDAY(C649,2)+4)&amp;"-S"&amp;TEXT(INT((C649-DATE(YEAR(C649-WEEKDAY(C649,2)+4),1,3)+WEEKDAY(DATE(YEAR(C649-WEEKDAY(C649,2)+4),1,3),2)+5)/7),"00"))</f>
        <v/>
      </c>
    </row>
    <row r="650" ht="18" customHeight="1">
      <c r="A650" s="39" t="n">
        <v>645</v>
      </c>
      <c r="B650" s="33">
        <f>IF(C650="","",IF(L650="À RENSEIGNER","GIC",L650)&amp;"-S"&amp;TEXT(A650,"00000"))</f>
        <v/>
      </c>
      <c r="C650" s="32" t="n"/>
      <c r="D650" s="36" t="n"/>
      <c r="E650" s="36" t="n"/>
      <c r="F650" s="42" t="n"/>
      <c r="G650" s="36" t="n"/>
      <c r="H650" s="43" t="n"/>
      <c r="I650" s="37" t="n"/>
      <c r="J650" s="44" t="n"/>
      <c r="K650" s="36" t="n"/>
      <c r="L650" s="33">
        <f>IF(C650="","",Commercial_Id)</f>
        <v/>
      </c>
      <c r="M650" s="34">
        <f>IF(E650="","",IFERROR(VLOOKUP(E650,T_Produits,2,FALSE),""))</f>
        <v/>
      </c>
      <c r="N650" s="40">
        <f>IF(E650="","",IFERROR(1/(1/VLOOKUP(E650,T_Produits,3,FALSE)),""))</f>
        <v/>
      </c>
      <c r="O650" s="40">
        <f>IF(OR(D650="",F650=""),"",IF(OR(D650="Casse / avarie",D650="Perte / vol",D650="Échantillon offert"),IF(I650&lt;&gt;"",I650,IF(N650="","",F650*N650)),""))</f>
        <v/>
      </c>
      <c r="P650" s="50">
        <f>IF(OR(D650="",F650=""),"",F650*IF(OR(D650="Reçu du magasin",D650="Ajustement (+)"),1,-1))</f>
        <v/>
      </c>
      <c r="Q650" s="34">
        <f>IF(C650="","",YEAR(C650-WEEKDAY(C650,2)+4)&amp;"-S"&amp;TEXT(INT((C650-DATE(YEAR(C650-WEEKDAY(C650,2)+4),1,3)+WEEKDAY(DATE(YEAR(C650-WEEKDAY(C650,2)+4),1,3),2)+5)/7),"00"))</f>
        <v/>
      </c>
    </row>
    <row r="651" ht="18" customHeight="1">
      <c r="A651" s="39" t="n">
        <v>646</v>
      </c>
      <c r="B651" s="33">
        <f>IF(C651="","",IF(L651="À RENSEIGNER","GIC",L651)&amp;"-S"&amp;TEXT(A651,"00000"))</f>
        <v/>
      </c>
      <c r="C651" s="32" t="n"/>
      <c r="D651" s="36" t="n"/>
      <c r="E651" s="36" t="n"/>
      <c r="F651" s="42" t="n"/>
      <c r="G651" s="36" t="n"/>
      <c r="H651" s="43" t="n"/>
      <c r="I651" s="37" t="n"/>
      <c r="J651" s="44" t="n"/>
      <c r="K651" s="36" t="n"/>
      <c r="L651" s="33">
        <f>IF(C651="","",Commercial_Id)</f>
        <v/>
      </c>
      <c r="M651" s="34">
        <f>IF(E651="","",IFERROR(VLOOKUP(E651,T_Produits,2,FALSE),""))</f>
        <v/>
      </c>
      <c r="N651" s="40">
        <f>IF(E651="","",IFERROR(1/(1/VLOOKUP(E651,T_Produits,3,FALSE)),""))</f>
        <v/>
      </c>
      <c r="O651" s="40">
        <f>IF(OR(D651="",F651=""),"",IF(OR(D651="Casse / avarie",D651="Perte / vol",D651="Échantillon offert"),IF(I651&lt;&gt;"",I651,IF(N651="","",F651*N651)),""))</f>
        <v/>
      </c>
      <c r="P651" s="50">
        <f>IF(OR(D651="",F651=""),"",F651*IF(OR(D651="Reçu du magasin",D651="Ajustement (+)"),1,-1))</f>
        <v/>
      </c>
      <c r="Q651" s="34">
        <f>IF(C651="","",YEAR(C651-WEEKDAY(C651,2)+4)&amp;"-S"&amp;TEXT(INT((C651-DATE(YEAR(C651-WEEKDAY(C651,2)+4),1,3)+WEEKDAY(DATE(YEAR(C651-WEEKDAY(C651,2)+4),1,3),2)+5)/7),"00"))</f>
        <v/>
      </c>
    </row>
    <row r="652" ht="18" customHeight="1">
      <c r="A652" s="39" t="n">
        <v>647</v>
      </c>
      <c r="B652" s="33">
        <f>IF(C652="","",IF(L652="À RENSEIGNER","GIC",L652)&amp;"-S"&amp;TEXT(A652,"00000"))</f>
        <v/>
      </c>
      <c r="C652" s="32" t="n"/>
      <c r="D652" s="36" t="n"/>
      <c r="E652" s="36" t="n"/>
      <c r="F652" s="42" t="n"/>
      <c r="G652" s="36" t="n"/>
      <c r="H652" s="43" t="n"/>
      <c r="I652" s="37" t="n"/>
      <c r="J652" s="44" t="n"/>
      <c r="K652" s="36" t="n"/>
      <c r="L652" s="33">
        <f>IF(C652="","",Commercial_Id)</f>
        <v/>
      </c>
      <c r="M652" s="34">
        <f>IF(E652="","",IFERROR(VLOOKUP(E652,T_Produits,2,FALSE),""))</f>
        <v/>
      </c>
      <c r="N652" s="40">
        <f>IF(E652="","",IFERROR(1/(1/VLOOKUP(E652,T_Produits,3,FALSE)),""))</f>
        <v/>
      </c>
      <c r="O652" s="40">
        <f>IF(OR(D652="",F652=""),"",IF(OR(D652="Casse / avarie",D652="Perte / vol",D652="Échantillon offert"),IF(I652&lt;&gt;"",I652,IF(N652="","",F652*N652)),""))</f>
        <v/>
      </c>
      <c r="P652" s="50">
        <f>IF(OR(D652="",F652=""),"",F652*IF(OR(D652="Reçu du magasin",D652="Ajustement (+)"),1,-1))</f>
        <v/>
      </c>
      <c r="Q652" s="34">
        <f>IF(C652="","",YEAR(C652-WEEKDAY(C652,2)+4)&amp;"-S"&amp;TEXT(INT((C652-DATE(YEAR(C652-WEEKDAY(C652,2)+4),1,3)+WEEKDAY(DATE(YEAR(C652-WEEKDAY(C652,2)+4),1,3),2)+5)/7),"00"))</f>
        <v/>
      </c>
    </row>
    <row r="653" ht="18" customHeight="1">
      <c r="A653" s="39" t="n">
        <v>648</v>
      </c>
      <c r="B653" s="33">
        <f>IF(C653="","",IF(L653="À RENSEIGNER","GIC",L653)&amp;"-S"&amp;TEXT(A653,"00000"))</f>
        <v/>
      </c>
      <c r="C653" s="32" t="n"/>
      <c r="D653" s="36" t="n"/>
      <c r="E653" s="36" t="n"/>
      <c r="F653" s="42" t="n"/>
      <c r="G653" s="36" t="n"/>
      <c r="H653" s="43" t="n"/>
      <c r="I653" s="37" t="n"/>
      <c r="J653" s="44" t="n"/>
      <c r="K653" s="36" t="n"/>
      <c r="L653" s="33">
        <f>IF(C653="","",Commercial_Id)</f>
        <v/>
      </c>
      <c r="M653" s="34">
        <f>IF(E653="","",IFERROR(VLOOKUP(E653,T_Produits,2,FALSE),""))</f>
        <v/>
      </c>
      <c r="N653" s="40">
        <f>IF(E653="","",IFERROR(1/(1/VLOOKUP(E653,T_Produits,3,FALSE)),""))</f>
        <v/>
      </c>
      <c r="O653" s="40">
        <f>IF(OR(D653="",F653=""),"",IF(OR(D653="Casse / avarie",D653="Perte / vol",D653="Échantillon offert"),IF(I653&lt;&gt;"",I653,IF(N653="","",F653*N653)),""))</f>
        <v/>
      </c>
      <c r="P653" s="50">
        <f>IF(OR(D653="",F653=""),"",F653*IF(OR(D653="Reçu du magasin",D653="Ajustement (+)"),1,-1))</f>
        <v/>
      </c>
      <c r="Q653" s="34">
        <f>IF(C653="","",YEAR(C653-WEEKDAY(C653,2)+4)&amp;"-S"&amp;TEXT(INT((C653-DATE(YEAR(C653-WEEKDAY(C653,2)+4),1,3)+WEEKDAY(DATE(YEAR(C653-WEEKDAY(C653,2)+4),1,3),2)+5)/7),"00"))</f>
        <v/>
      </c>
    </row>
    <row r="654" ht="18" customHeight="1">
      <c r="A654" s="39" t="n">
        <v>649</v>
      </c>
      <c r="B654" s="33">
        <f>IF(C654="","",IF(L654="À RENSEIGNER","GIC",L654)&amp;"-S"&amp;TEXT(A654,"00000"))</f>
        <v/>
      </c>
      <c r="C654" s="32" t="n"/>
      <c r="D654" s="36" t="n"/>
      <c r="E654" s="36" t="n"/>
      <c r="F654" s="42" t="n"/>
      <c r="G654" s="36" t="n"/>
      <c r="H654" s="43" t="n"/>
      <c r="I654" s="37" t="n"/>
      <c r="J654" s="44" t="n"/>
      <c r="K654" s="36" t="n"/>
      <c r="L654" s="33">
        <f>IF(C654="","",Commercial_Id)</f>
        <v/>
      </c>
      <c r="M654" s="34">
        <f>IF(E654="","",IFERROR(VLOOKUP(E654,T_Produits,2,FALSE),""))</f>
        <v/>
      </c>
      <c r="N654" s="40">
        <f>IF(E654="","",IFERROR(1/(1/VLOOKUP(E654,T_Produits,3,FALSE)),""))</f>
        <v/>
      </c>
      <c r="O654" s="40">
        <f>IF(OR(D654="",F654=""),"",IF(OR(D654="Casse / avarie",D654="Perte / vol",D654="Échantillon offert"),IF(I654&lt;&gt;"",I654,IF(N654="","",F654*N654)),""))</f>
        <v/>
      </c>
      <c r="P654" s="50">
        <f>IF(OR(D654="",F654=""),"",F654*IF(OR(D654="Reçu du magasin",D654="Ajustement (+)"),1,-1))</f>
        <v/>
      </c>
      <c r="Q654" s="34">
        <f>IF(C654="","",YEAR(C654-WEEKDAY(C654,2)+4)&amp;"-S"&amp;TEXT(INT((C654-DATE(YEAR(C654-WEEKDAY(C654,2)+4),1,3)+WEEKDAY(DATE(YEAR(C654-WEEKDAY(C654,2)+4),1,3),2)+5)/7),"00"))</f>
        <v/>
      </c>
    </row>
    <row r="655" ht="18" customHeight="1">
      <c r="A655" s="39" t="n">
        <v>650</v>
      </c>
      <c r="B655" s="33">
        <f>IF(C655="","",IF(L655="À RENSEIGNER","GIC",L655)&amp;"-S"&amp;TEXT(A655,"00000"))</f>
        <v/>
      </c>
      <c r="C655" s="32" t="n"/>
      <c r="D655" s="36" t="n"/>
      <c r="E655" s="36" t="n"/>
      <c r="F655" s="42" t="n"/>
      <c r="G655" s="36" t="n"/>
      <c r="H655" s="43" t="n"/>
      <c r="I655" s="37" t="n"/>
      <c r="J655" s="44" t="n"/>
      <c r="K655" s="36" t="n"/>
      <c r="L655" s="33">
        <f>IF(C655="","",Commercial_Id)</f>
        <v/>
      </c>
      <c r="M655" s="34">
        <f>IF(E655="","",IFERROR(VLOOKUP(E655,T_Produits,2,FALSE),""))</f>
        <v/>
      </c>
      <c r="N655" s="40">
        <f>IF(E655="","",IFERROR(1/(1/VLOOKUP(E655,T_Produits,3,FALSE)),""))</f>
        <v/>
      </c>
      <c r="O655" s="40">
        <f>IF(OR(D655="",F655=""),"",IF(OR(D655="Casse / avarie",D655="Perte / vol",D655="Échantillon offert"),IF(I655&lt;&gt;"",I655,IF(N655="","",F655*N655)),""))</f>
        <v/>
      </c>
      <c r="P655" s="50">
        <f>IF(OR(D655="",F655=""),"",F655*IF(OR(D655="Reçu du magasin",D655="Ajustement (+)"),1,-1))</f>
        <v/>
      </c>
      <c r="Q655" s="34">
        <f>IF(C655="","",YEAR(C655-WEEKDAY(C655,2)+4)&amp;"-S"&amp;TEXT(INT((C655-DATE(YEAR(C655-WEEKDAY(C655,2)+4),1,3)+WEEKDAY(DATE(YEAR(C655-WEEKDAY(C655,2)+4),1,3),2)+5)/7),"00"))</f>
        <v/>
      </c>
    </row>
    <row r="656" ht="18" customHeight="1">
      <c r="A656" s="39" t="n">
        <v>651</v>
      </c>
      <c r="B656" s="33">
        <f>IF(C656="","",IF(L656="À RENSEIGNER","GIC",L656)&amp;"-S"&amp;TEXT(A656,"00000"))</f>
        <v/>
      </c>
      <c r="C656" s="32" t="n"/>
      <c r="D656" s="36" t="n"/>
      <c r="E656" s="36" t="n"/>
      <c r="F656" s="42" t="n"/>
      <c r="G656" s="36" t="n"/>
      <c r="H656" s="43" t="n"/>
      <c r="I656" s="37" t="n"/>
      <c r="J656" s="44" t="n"/>
      <c r="K656" s="36" t="n"/>
      <c r="L656" s="33">
        <f>IF(C656="","",Commercial_Id)</f>
        <v/>
      </c>
      <c r="M656" s="34">
        <f>IF(E656="","",IFERROR(VLOOKUP(E656,T_Produits,2,FALSE),""))</f>
        <v/>
      </c>
      <c r="N656" s="40">
        <f>IF(E656="","",IFERROR(1/(1/VLOOKUP(E656,T_Produits,3,FALSE)),""))</f>
        <v/>
      </c>
      <c r="O656" s="40">
        <f>IF(OR(D656="",F656=""),"",IF(OR(D656="Casse / avarie",D656="Perte / vol",D656="Échantillon offert"),IF(I656&lt;&gt;"",I656,IF(N656="","",F656*N656)),""))</f>
        <v/>
      </c>
      <c r="P656" s="50">
        <f>IF(OR(D656="",F656=""),"",F656*IF(OR(D656="Reçu du magasin",D656="Ajustement (+)"),1,-1))</f>
        <v/>
      </c>
      <c r="Q656" s="34">
        <f>IF(C656="","",YEAR(C656-WEEKDAY(C656,2)+4)&amp;"-S"&amp;TEXT(INT((C656-DATE(YEAR(C656-WEEKDAY(C656,2)+4),1,3)+WEEKDAY(DATE(YEAR(C656-WEEKDAY(C656,2)+4),1,3),2)+5)/7),"00"))</f>
        <v/>
      </c>
    </row>
    <row r="657" ht="18" customHeight="1">
      <c r="A657" s="39" t="n">
        <v>652</v>
      </c>
      <c r="B657" s="33">
        <f>IF(C657="","",IF(L657="À RENSEIGNER","GIC",L657)&amp;"-S"&amp;TEXT(A657,"00000"))</f>
        <v/>
      </c>
      <c r="C657" s="32" t="n"/>
      <c r="D657" s="36" t="n"/>
      <c r="E657" s="36" t="n"/>
      <c r="F657" s="42" t="n"/>
      <c r="G657" s="36" t="n"/>
      <c r="H657" s="43" t="n"/>
      <c r="I657" s="37" t="n"/>
      <c r="J657" s="44" t="n"/>
      <c r="K657" s="36" t="n"/>
      <c r="L657" s="33">
        <f>IF(C657="","",Commercial_Id)</f>
        <v/>
      </c>
      <c r="M657" s="34">
        <f>IF(E657="","",IFERROR(VLOOKUP(E657,T_Produits,2,FALSE),""))</f>
        <v/>
      </c>
      <c r="N657" s="40">
        <f>IF(E657="","",IFERROR(1/(1/VLOOKUP(E657,T_Produits,3,FALSE)),""))</f>
        <v/>
      </c>
      <c r="O657" s="40">
        <f>IF(OR(D657="",F657=""),"",IF(OR(D657="Casse / avarie",D657="Perte / vol",D657="Échantillon offert"),IF(I657&lt;&gt;"",I657,IF(N657="","",F657*N657)),""))</f>
        <v/>
      </c>
      <c r="P657" s="50">
        <f>IF(OR(D657="",F657=""),"",F657*IF(OR(D657="Reçu du magasin",D657="Ajustement (+)"),1,-1))</f>
        <v/>
      </c>
      <c r="Q657" s="34">
        <f>IF(C657="","",YEAR(C657-WEEKDAY(C657,2)+4)&amp;"-S"&amp;TEXT(INT((C657-DATE(YEAR(C657-WEEKDAY(C657,2)+4),1,3)+WEEKDAY(DATE(YEAR(C657-WEEKDAY(C657,2)+4),1,3),2)+5)/7),"00"))</f>
        <v/>
      </c>
    </row>
    <row r="658" ht="18" customHeight="1">
      <c r="A658" s="39" t="n">
        <v>653</v>
      </c>
      <c r="B658" s="33">
        <f>IF(C658="","",IF(L658="À RENSEIGNER","GIC",L658)&amp;"-S"&amp;TEXT(A658,"00000"))</f>
        <v/>
      </c>
      <c r="C658" s="32" t="n"/>
      <c r="D658" s="36" t="n"/>
      <c r="E658" s="36" t="n"/>
      <c r="F658" s="42" t="n"/>
      <c r="G658" s="36" t="n"/>
      <c r="H658" s="43" t="n"/>
      <c r="I658" s="37" t="n"/>
      <c r="J658" s="44" t="n"/>
      <c r="K658" s="36" t="n"/>
      <c r="L658" s="33">
        <f>IF(C658="","",Commercial_Id)</f>
        <v/>
      </c>
      <c r="M658" s="34">
        <f>IF(E658="","",IFERROR(VLOOKUP(E658,T_Produits,2,FALSE),""))</f>
        <v/>
      </c>
      <c r="N658" s="40">
        <f>IF(E658="","",IFERROR(1/(1/VLOOKUP(E658,T_Produits,3,FALSE)),""))</f>
        <v/>
      </c>
      <c r="O658" s="40">
        <f>IF(OR(D658="",F658=""),"",IF(OR(D658="Casse / avarie",D658="Perte / vol",D658="Échantillon offert"),IF(I658&lt;&gt;"",I658,IF(N658="","",F658*N658)),""))</f>
        <v/>
      </c>
      <c r="P658" s="50">
        <f>IF(OR(D658="",F658=""),"",F658*IF(OR(D658="Reçu du magasin",D658="Ajustement (+)"),1,-1))</f>
        <v/>
      </c>
      <c r="Q658" s="34">
        <f>IF(C658="","",YEAR(C658-WEEKDAY(C658,2)+4)&amp;"-S"&amp;TEXT(INT((C658-DATE(YEAR(C658-WEEKDAY(C658,2)+4),1,3)+WEEKDAY(DATE(YEAR(C658-WEEKDAY(C658,2)+4),1,3),2)+5)/7),"00"))</f>
        <v/>
      </c>
    </row>
    <row r="659" ht="18" customHeight="1">
      <c r="A659" s="39" t="n">
        <v>654</v>
      </c>
      <c r="B659" s="33">
        <f>IF(C659="","",IF(L659="À RENSEIGNER","GIC",L659)&amp;"-S"&amp;TEXT(A659,"00000"))</f>
        <v/>
      </c>
      <c r="C659" s="32" t="n"/>
      <c r="D659" s="36" t="n"/>
      <c r="E659" s="36" t="n"/>
      <c r="F659" s="42" t="n"/>
      <c r="G659" s="36" t="n"/>
      <c r="H659" s="43" t="n"/>
      <c r="I659" s="37" t="n"/>
      <c r="J659" s="44" t="n"/>
      <c r="K659" s="36" t="n"/>
      <c r="L659" s="33">
        <f>IF(C659="","",Commercial_Id)</f>
        <v/>
      </c>
      <c r="M659" s="34">
        <f>IF(E659="","",IFERROR(VLOOKUP(E659,T_Produits,2,FALSE),""))</f>
        <v/>
      </c>
      <c r="N659" s="40">
        <f>IF(E659="","",IFERROR(1/(1/VLOOKUP(E659,T_Produits,3,FALSE)),""))</f>
        <v/>
      </c>
      <c r="O659" s="40">
        <f>IF(OR(D659="",F659=""),"",IF(OR(D659="Casse / avarie",D659="Perte / vol",D659="Échantillon offert"),IF(I659&lt;&gt;"",I659,IF(N659="","",F659*N659)),""))</f>
        <v/>
      </c>
      <c r="P659" s="50">
        <f>IF(OR(D659="",F659=""),"",F659*IF(OR(D659="Reçu du magasin",D659="Ajustement (+)"),1,-1))</f>
        <v/>
      </c>
      <c r="Q659" s="34">
        <f>IF(C659="","",YEAR(C659-WEEKDAY(C659,2)+4)&amp;"-S"&amp;TEXT(INT((C659-DATE(YEAR(C659-WEEKDAY(C659,2)+4),1,3)+WEEKDAY(DATE(YEAR(C659-WEEKDAY(C659,2)+4),1,3),2)+5)/7),"00"))</f>
        <v/>
      </c>
    </row>
    <row r="660" ht="18" customHeight="1">
      <c r="A660" s="39" t="n">
        <v>655</v>
      </c>
      <c r="B660" s="33">
        <f>IF(C660="","",IF(L660="À RENSEIGNER","GIC",L660)&amp;"-S"&amp;TEXT(A660,"00000"))</f>
        <v/>
      </c>
      <c r="C660" s="32" t="n"/>
      <c r="D660" s="36" t="n"/>
      <c r="E660" s="36" t="n"/>
      <c r="F660" s="42" t="n"/>
      <c r="G660" s="36" t="n"/>
      <c r="H660" s="43" t="n"/>
      <c r="I660" s="37" t="n"/>
      <c r="J660" s="44" t="n"/>
      <c r="K660" s="36" t="n"/>
      <c r="L660" s="33">
        <f>IF(C660="","",Commercial_Id)</f>
        <v/>
      </c>
      <c r="M660" s="34">
        <f>IF(E660="","",IFERROR(VLOOKUP(E660,T_Produits,2,FALSE),""))</f>
        <v/>
      </c>
      <c r="N660" s="40">
        <f>IF(E660="","",IFERROR(1/(1/VLOOKUP(E660,T_Produits,3,FALSE)),""))</f>
        <v/>
      </c>
      <c r="O660" s="40">
        <f>IF(OR(D660="",F660=""),"",IF(OR(D660="Casse / avarie",D660="Perte / vol",D660="Échantillon offert"),IF(I660&lt;&gt;"",I660,IF(N660="","",F660*N660)),""))</f>
        <v/>
      </c>
      <c r="P660" s="50">
        <f>IF(OR(D660="",F660=""),"",F660*IF(OR(D660="Reçu du magasin",D660="Ajustement (+)"),1,-1))</f>
        <v/>
      </c>
      <c r="Q660" s="34">
        <f>IF(C660="","",YEAR(C660-WEEKDAY(C660,2)+4)&amp;"-S"&amp;TEXT(INT((C660-DATE(YEAR(C660-WEEKDAY(C660,2)+4),1,3)+WEEKDAY(DATE(YEAR(C660-WEEKDAY(C660,2)+4),1,3),2)+5)/7),"00"))</f>
        <v/>
      </c>
    </row>
    <row r="661" ht="18" customHeight="1">
      <c r="A661" s="39" t="n">
        <v>656</v>
      </c>
      <c r="B661" s="33">
        <f>IF(C661="","",IF(L661="À RENSEIGNER","GIC",L661)&amp;"-S"&amp;TEXT(A661,"00000"))</f>
        <v/>
      </c>
      <c r="C661" s="32" t="n"/>
      <c r="D661" s="36" t="n"/>
      <c r="E661" s="36" t="n"/>
      <c r="F661" s="42" t="n"/>
      <c r="G661" s="36" t="n"/>
      <c r="H661" s="43" t="n"/>
      <c r="I661" s="37" t="n"/>
      <c r="J661" s="44" t="n"/>
      <c r="K661" s="36" t="n"/>
      <c r="L661" s="33">
        <f>IF(C661="","",Commercial_Id)</f>
        <v/>
      </c>
      <c r="M661" s="34">
        <f>IF(E661="","",IFERROR(VLOOKUP(E661,T_Produits,2,FALSE),""))</f>
        <v/>
      </c>
      <c r="N661" s="40">
        <f>IF(E661="","",IFERROR(1/(1/VLOOKUP(E661,T_Produits,3,FALSE)),""))</f>
        <v/>
      </c>
      <c r="O661" s="40">
        <f>IF(OR(D661="",F661=""),"",IF(OR(D661="Casse / avarie",D661="Perte / vol",D661="Échantillon offert"),IF(I661&lt;&gt;"",I661,IF(N661="","",F661*N661)),""))</f>
        <v/>
      </c>
      <c r="P661" s="50">
        <f>IF(OR(D661="",F661=""),"",F661*IF(OR(D661="Reçu du magasin",D661="Ajustement (+)"),1,-1))</f>
        <v/>
      </c>
      <c r="Q661" s="34">
        <f>IF(C661="","",YEAR(C661-WEEKDAY(C661,2)+4)&amp;"-S"&amp;TEXT(INT((C661-DATE(YEAR(C661-WEEKDAY(C661,2)+4),1,3)+WEEKDAY(DATE(YEAR(C661-WEEKDAY(C661,2)+4),1,3),2)+5)/7),"00"))</f>
        <v/>
      </c>
    </row>
    <row r="662" ht="18" customHeight="1">
      <c r="A662" s="39" t="n">
        <v>657</v>
      </c>
      <c r="B662" s="33">
        <f>IF(C662="","",IF(L662="À RENSEIGNER","GIC",L662)&amp;"-S"&amp;TEXT(A662,"00000"))</f>
        <v/>
      </c>
      <c r="C662" s="32" t="n"/>
      <c r="D662" s="36" t="n"/>
      <c r="E662" s="36" t="n"/>
      <c r="F662" s="42" t="n"/>
      <c r="G662" s="36" t="n"/>
      <c r="H662" s="43" t="n"/>
      <c r="I662" s="37" t="n"/>
      <c r="J662" s="44" t="n"/>
      <c r="K662" s="36" t="n"/>
      <c r="L662" s="33">
        <f>IF(C662="","",Commercial_Id)</f>
        <v/>
      </c>
      <c r="M662" s="34">
        <f>IF(E662="","",IFERROR(VLOOKUP(E662,T_Produits,2,FALSE),""))</f>
        <v/>
      </c>
      <c r="N662" s="40">
        <f>IF(E662="","",IFERROR(1/(1/VLOOKUP(E662,T_Produits,3,FALSE)),""))</f>
        <v/>
      </c>
      <c r="O662" s="40">
        <f>IF(OR(D662="",F662=""),"",IF(OR(D662="Casse / avarie",D662="Perte / vol",D662="Échantillon offert"),IF(I662&lt;&gt;"",I662,IF(N662="","",F662*N662)),""))</f>
        <v/>
      </c>
      <c r="P662" s="50">
        <f>IF(OR(D662="",F662=""),"",F662*IF(OR(D662="Reçu du magasin",D662="Ajustement (+)"),1,-1))</f>
        <v/>
      </c>
      <c r="Q662" s="34">
        <f>IF(C662="","",YEAR(C662-WEEKDAY(C662,2)+4)&amp;"-S"&amp;TEXT(INT((C662-DATE(YEAR(C662-WEEKDAY(C662,2)+4),1,3)+WEEKDAY(DATE(YEAR(C662-WEEKDAY(C662,2)+4),1,3),2)+5)/7),"00"))</f>
        <v/>
      </c>
    </row>
    <row r="663" ht="18" customHeight="1">
      <c r="A663" s="39" t="n">
        <v>658</v>
      </c>
      <c r="B663" s="33">
        <f>IF(C663="","",IF(L663="À RENSEIGNER","GIC",L663)&amp;"-S"&amp;TEXT(A663,"00000"))</f>
        <v/>
      </c>
      <c r="C663" s="32" t="n"/>
      <c r="D663" s="36" t="n"/>
      <c r="E663" s="36" t="n"/>
      <c r="F663" s="42" t="n"/>
      <c r="G663" s="36" t="n"/>
      <c r="H663" s="43" t="n"/>
      <c r="I663" s="37" t="n"/>
      <c r="J663" s="44" t="n"/>
      <c r="K663" s="36" t="n"/>
      <c r="L663" s="33">
        <f>IF(C663="","",Commercial_Id)</f>
        <v/>
      </c>
      <c r="M663" s="34">
        <f>IF(E663="","",IFERROR(VLOOKUP(E663,T_Produits,2,FALSE),""))</f>
        <v/>
      </c>
      <c r="N663" s="40">
        <f>IF(E663="","",IFERROR(1/(1/VLOOKUP(E663,T_Produits,3,FALSE)),""))</f>
        <v/>
      </c>
      <c r="O663" s="40">
        <f>IF(OR(D663="",F663=""),"",IF(OR(D663="Casse / avarie",D663="Perte / vol",D663="Échantillon offert"),IF(I663&lt;&gt;"",I663,IF(N663="","",F663*N663)),""))</f>
        <v/>
      </c>
      <c r="P663" s="50">
        <f>IF(OR(D663="",F663=""),"",F663*IF(OR(D663="Reçu du magasin",D663="Ajustement (+)"),1,-1))</f>
        <v/>
      </c>
      <c r="Q663" s="34">
        <f>IF(C663="","",YEAR(C663-WEEKDAY(C663,2)+4)&amp;"-S"&amp;TEXT(INT((C663-DATE(YEAR(C663-WEEKDAY(C663,2)+4),1,3)+WEEKDAY(DATE(YEAR(C663-WEEKDAY(C663,2)+4),1,3),2)+5)/7),"00"))</f>
        <v/>
      </c>
    </row>
    <row r="664" ht="18" customHeight="1">
      <c r="A664" s="39" t="n">
        <v>659</v>
      </c>
      <c r="B664" s="33">
        <f>IF(C664="","",IF(L664="À RENSEIGNER","GIC",L664)&amp;"-S"&amp;TEXT(A664,"00000"))</f>
        <v/>
      </c>
      <c r="C664" s="32" t="n"/>
      <c r="D664" s="36" t="n"/>
      <c r="E664" s="36" t="n"/>
      <c r="F664" s="42" t="n"/>
      <c r="G664" s="36" t="n"/>
      <c r="H664" s="43" t="n"/>
      <c r="I664" s="37" t="n"/>
      <c r="J664" s="44" t="n"/>
      <c r="K664" s="36" t="n"/>
      <c r="L664" s="33">
        <f>IF(C664="","",Commercial_Id)</f>
        <v/>
      </c>
      <c r="M664" s="34">
        <f>IF(E664="","",IFERROR(VLOOKUP(E664,T_Produits,2,FALSE),""))</f>
        <v/>
      </c>
      <c r="N664" s="40">
        <f>IF(E664="","",IFERROR(1/(1/VLOOKUP(E664,T_Produits,3,FALSE)),""))</f>
        <v/>
      </c>
      <c r="O664" s="40">
        <f>IF(OR(D664="",F664=""),"",IF(OR(D664="Casse / avarie",D664="Perte / vol",D664="Échantillon offert"),IF(I664&lt;&gt;"",I664,IF(N664="","",F664*N664)),""))</f>
        <v/>
      </c>
      <c r="P664" s="50">
        <f>IF(OR(D664="",F664=""),"",F664*IF(OR(D664="Reçu du magasin",D664="Ajustement (+)"),1,-1))</f>
        <v/>
      </c>
      <c r="Q664" s="34">
        <f>IF(C664="","",YEAR(C664-WEEKDAY(C664,2)+4)&amp;"-S"&amp;TEXT(INT((C664-DATE(YEAR(C664-WEEKDAY(C664,2)+4),1,3)+WEEKDAY(DATE(YEAR(C664-WEEKDAY(C664,2)+4),1,3),2)+5)/7),"00"))</f>
        <v/>
      </c>
    </row>
    <row r="665" ht="18" customHeight="1">
      <c r="A665" s="39" t="n">
        <v>660</v>
      </c>
      <c r="B665" s="33">
        <f>IF(C665="","",IF(L665="À RENSEIGNER","GIC",L665)&amp;"-S"&amp;TEXT(A665,"00000"))</f>
        <v/>
      </c>
      <c r="C665" s="32" t="n"/>
      <c r="D665" s="36" t="n"/>
      <c r="E665" s="36" t="n"/>
      <c r="F665" s="42" t="n"/>
      <c r="G665" s="36" t="n"/>
      <c r="H665" s="43" t="n"/>
      <c r="I665" s="37" t="n"/>
      <c r="J665" s="44" t="n"/>
      <c r="K665" s="36" t="n"/>
      <c r="L665" s="33">
        <f>IF(C665="","",Commercial_Id)</f>
        <v/>
      </c>
      <c r="M665" s="34">
        <f>IF(E665="","",IFERROR(VLOOKUP(E665,T_Produits,2,FALSE),""))</f>
        <v/>
      </c>
      <c r="N665" s="40">
        <f>IF(E665="","",IFERROR(1/(1/VLOOKUP(E665,T_Produits,3,FALSE)),""))</f>
        <v/>
      </c>
      <c r="O665" s="40">
        <f>IF(OR(D665="",F665=""),"",IF(OR(D665="Casse / avarie",D665="Perte / vol",D665="Échantillon offert"),IF(I665&lt;&gt;"",I665,IF(N665="","",F665*N665)),""))</f>
        <v/>
      </c>
      <c r="P665" s="50">
        <f>IF(OR(D665="",F665=""),"",F665*IF(OR(D665="Reçu du magasin",D665="Ajustement (+)"),1,-1))</f>
        <v/>
      </c>
      <c r="Q665" s="34">
        <f>IF(C665="","",YEAR(C665-WEEKDAY(C665,2)+4)&amp;"-S"&amp;TEXT(INT((C665-DATE(YEAR(C665-WEEKDAY(C665,2)+4),1,3)+WEEKDAY(DATE(YEAR(C665-WEEKDAY(C665,2)+4),1,3),2)+5)/7),"00"))</f>
        <v/>
      </c>
    </row>
    <row r="666" ht="18" customHeight="1">
      <c r="A666" s="39" t="n">
        <v>661</v>
      </c>
      <c r="B666" s="33">
        <f>IF(C666="","",IF(L666="À RENSEIGNER","GIC",L666)&amp;"-S"&amp;TEXT(A666,"00000"))</f>
        <v/>
      </c>
      <c r="C666" s="32" t="n"/>
      <c r="D666" s="36" t="n"/>
      <c r="E666" s="36" t="n"/>
      <c r="F666" s="42" t="n"/>
      <c r="G666" s="36" t="n"/>
      <c r="H666" s="43" t="n"/>
      <c r="I666" s="37" t="n"/>
      <c r="J666" s="44" t="n"/>
      <c r="K666" s="36" t="n"/>
      <c r="L666" s="33">
        <f>IF(C666="","",Commercial_Id)</f>
        <v/>
      </c>
      <c r="M666" s="34">
        <f>IF(E666="","",IFERROR(VLOOKUP(E666,T_Produits,2,FALSE),""))</f>
        <v/>
      </c>
      <c r="N666" s="40">
        <f>IF(E666="","",IFERROR(1/(1/VLOOKUP(E666,T_Produits,3,FALSE)),""))</f>
        <v/>
      </c>
      <c r="O666" s="40">
        <f>IF(OR(D666="",F666=""),"",IF(OR(D666="Casse / avarie",D666="Perte / vol",D666="Échantillon offert"),IF(I666&lt;&gt;"",I666,IF(N666="","",F666*N666)),""))</f>
        <v/>
      </c>
      <c r="P666" s="50">
        <f>IF(OR(D666="",F666=""),"",F666*IF(OR(D666="Reçu du magasin",D666="Ajustement (+)"),1,-1))</f>
        <v/>
      </c>
      <c r="Q666" s="34">
        <f>IF(C666="","",YEAR(C666-WEEKDAY(C666,2)+4)&amp;"-S"&amp;TEXT(INT((C666-DATE(YEAR(C666-WEEKDAY(C666,2)+4),1,3)+WEEKDAY(DATE(YEAR(C666-WEEKDAY(C666,2)+4),1,3),2)+5)/7),"00"))</f>
        <v/>
      </c>
    </row>
    <row r="667" ht="18" customHeight="1">
      <c r="A667" s="39" t="n">
        <v>662</v>
      </c>
      <c r="B667" s="33">
        <f>IF(C667="","",IF(L667="À RENSEIGNER","GIC",L667)&amp;"-S"&amp;TEXT(A667,"00000"))</f>
        <v/>
      </c>
      <c r="C667" s="32" t="n"/>
      <c r="D667" s="36" t="n"/>
      <c r="E667" s="36" t="n"/>
      <c r="F667" s="42" t="n"/>
      <c r="G667" s="36" t="n"/>
      <c r="H667" s="43" t="n"/>
      <c r="I667" s="37" t="n"/>
      <c r="J667" s="44" t="n"/>
      <c r="K667" s="36" t="n"/>
      <c r="L667" s="33">
        <f>IF(C667="","",Commercial_Id)</f>
        <v/>
      </c>
      <c r="M667" s="34">
        <f>IF(E667="","",IFERROR(VLOOKUP(E667,T_Produits,2,FALSE),""))</f>
        <v/>
      </c>
      <c r="N667" s="40">
        <f>IF(E667="","",IFERROR(1/(1/VLOOKUP(E667,T_Produits,3,FALSE)),""))</f>
        <v/>
      </c>
      <c r="O667" s="40">
        <f>IF(OR(D667="",F667=""),"",IF(OR(D667="Casse / avarie",D667="Perte / vol",D667="Échantillon offert"),IF(I667&lt;&gt;"",I667,IF(N667="","",F667*N667)),""))</f>
        <v/>
      </c>
      <c r="P667" s="50">
        <f>IF(OR(D667="",F667=""),"",F667*IF(OR(D667="Reçu du magasin",D667="Ajustement (+)"),1,-1))</f>
        <v/>
      </c>
      <c r="Q667" s="34">
        <f>IF(C667="","",YEAR(C667-WEEKDAY(C667,2)+4)&amp;"-S"&amp;TEXT(INT((C667-DATE(YEAR(C667-WEEKDAY(C667,2)+4),1,3)+WEEKDAY(DATE(YEAR(C667-WEEKDAY(C667,2)+4),1,3),2)+5)/7),"00"))</f>
        <v/>
      </c>
    </row>
    <row r="668" ht="18" customHeight="1">
      <c r="A668" s="39" t="n">
        <v>663</v>
      </c>
      <c r="B668" s="33">
        <f>IF(C668="","",IF(L668="À RENSEIGNER","GIC",L668)&amp;"-S"&amp;TEXT(A668,"00000"))</f>
        <v/>
      </c>
      <c r="C668" s="32" t="n"/>
      <c r="D668" s="36" t="n"/>
      <c r="E668" s="36" t="n"/>
      <c r="F668" s="42" t="n"/>
      <c r="G668" s="36" t="n"/>
      <c r="H668" s="43" t="n"/>
      <c r="I668" s="37" t="n"/>
      <c r="J668" s="44" t="n"/>
      <c r="K668" s="36" t="n"/>
      <c r="L668" s="33">
        <f>IF(C668="","",Commercial_Id)</f>
        <v/>
      </c>
      <c r="M668" s="34">
        <f>IF(E668="","",IFERROR(VLOOKUP(E668,T_Produits,2,FALSE),""))</f>
        <v/>
      </c>
      <c r="N668" s="40">
        <f>IF(E668="","",IFERROR(1/(1/VLOOKUP(E668,T_Produits,3,FALSE)),""))</f>
        <v/>
      </c>
      <c r="O668" s="40">
        <f>IF(OR(D668="",F668=""),"",IF(OR(D668="Casse / avarie",D668="Perte / vol",D668="Échantillon offert"),IF(I668&lt;&gt;"",I668,IF(N668="","",F668*N668)),""))</f>
        <v/>
      </c>
      <c r="P668" s="50">
        <f>IF(OR(D668="",F668=""),"",F668*IF(OR(D668="Reçu du magasin",D668="Ajustement (+)"),1,-1))</f>
        <v/>
      </c>
      <c r="Q668" s="34">
        <f>IF(C668="","",YEAR(C668-WEEKDAY(C668,2)+4)&amp;"-S"&amp;TEXT(INT((C668-DATE(YEAR(C668-WEEKDAY(C668,2)+4),1,3)+WEEKDAY(DATE(YEAR(C668-WEEKDAY(C668,2)+4),1,3),2)+5)/7),"00"))</f>
        <v/>
      </c>
    </row>
    <row r="669" ht="18" customHeight="1">
      <c r="A669" s="39" t="n">
        <v>664</v>
      </c>
      <c r="B669" s="33">
        <f>IF(C669="","",IF(L669="À RENSEIGNER","GIC",L669)&amp;"-S"&amp;TEXT(A669,"00000"))</f>
        <v/>
      </c>
      <c r="C669" s="32" t="n"/>
      <c r="D669" s="36" t="n"/>
      <c r="E669" s="36" t="n"/>
      <c r="F669" s="42" t="n"/>
      <c r="G669" s="36" t="n"/>
      <c r="H669" s="43" t="n"/>
      <c r="I669" s="37" t="n"/>
      <c r="J669" s="44" t="n"/>
      <c r="K669" s="36" t="n"/>
      <c r="L669" s="33">
        <f>IF(C669="","",Commercial_Id)</f>
        <v/>
      </c>
      <c r="M669" s="34">
        <f>IF(E669="","",IFERROR(VLOOKUP(E669,T_Produits,2,FALSE),""))</f>
        <v/>
      </c>
      <c r="N669" s="40">
        <f>IF(E669="","",IFERROR(1/(1/VLOOKUP(E669,T_Produits,3,FALSE)),""))</f>
        <v/>
      </c>
      <c r="O669" s="40">
        <f>IF(OR(D669="",F669=""),"",IF(OR(D669="Casse / avarie",D669="Perte / vol",D669="Échantillon offert"),IF(I669&lt;&gt;"",I669,IF(N669="","",F669*N669)),""))</f>
        <v/>
      </c>
      <c r="P669" s="50">
        <f>IF(OR(D669="",F669=""),"",F669*IF(OR(D669="Reçu du magasin",D669="Ajustement (+)"),1,-1))</f>
        <v/>
      </c>
      <c r="Q669" s="34">
        <f>IF(C669="","",YEAR(C669-WEEKDAY(C669,2)+4)&amp;"-S"&amp;TEXT(INT((C669-DATE(YEAR(C669-WEEKDAY(C669,2)+4),1,3)+WEEKDAY(DATE(YEAR(C669-WEEKDAY(C669,2)+4),1,3),2)+5)/7),"00"))</f>
        <v/>
      </c>
    </row>
    <row r="670" ht="18" customHeight="1">
      <c r="A670" s="39" t="n">
        <v>665</v>
      </c>
      <c r="B670" s="33">
        <f>IF(C670="","",IF(L670="À RENSEIGNER","GIC",L670)&amp;"-S"&amp;TEXT(A670,"00000"))</f>
        <v/>
      </c>
      <c r="C670" s="32" t="n"/>
      <c r="D670" s="36" t="n"/>
      <c r="E670" s="36" t="n"/>
      <c r="F670" s="42" t="n"/>
      <c r="G670" s="36" t="n"/>
      <c r="H670" s="43" t="n"/>
      <c r="I670" s="37" t="n"/>
      <c r="J670" s="44" t="n"/>
      <c r="K670" s="36" t="n"/>
      <c r="L670" s="33">
        <f>IF(C670="","",Commercial_Id)</f>
        <v/>
      </c>
      <c r="M670" s="34">
        <f>IF(E670="","",IFERROR(VLOOKUP(E670,T_Produits,2,FALSE),""))</f>
        <v/>
      </c>
      <c r="N670" s="40">
        <f>IF(E670="","",IFERROR(1/(1/VLOOKUP(E670,T_Produits,3,FALSE)),""))</f>
        <v/>
      </c>
      <c r="O670" s="40">
        <f>IF(OR(D670="",F670=""),"",IF(OR(D670="Casse / avarie",D670="Perte / vol",D670="Échantillon offert"),IF(I670&lt;&gt;"",I670,IF(N670="","",F670*N670)),""))</f>
        <v/>
      </c>
      <c r="P670" s="50">
        <f>IF(OR(D670="",F670=""),"",F670*IF(OR(D670="Reçu du magasin",D670="Ajustement (+)"),1,-1))</f>
        <v/>
      </c>
      <c r="Q670" s="34">
        <f>IF(C670="","",YEAR(C670-WEEKDAY(C670,2)+4)&amp;"-S"&amp;TEXT(INT((C670-DATE(YEAR(C670-WEEKDAY(C670,2)+4),1,3)+WEEKDAY(DATE(YEAR(C670-WEEKDAY(C670,2)+4),1,3),2)+5)/7),"00"))</f>
        <v/>
      </c>
    </row>
    <row r="671" ht="18" customHeight="1">
      <c r="A671" s="39" t="n">
        <v>666</v>
      </c>
      <c r="B671" s="33">
        <f>IF(C671="","",IF(L671="À RENSEIGNER","GIC",L671)&amp;"-S"&amp;TEXT(A671,"00000"))</f>
        <v/>
      </c>
      <c r="C671" s="32" t="n"/>
      <c r="D671" s="36" t="n"/>
      <c r="E671" s="36" t="n"/>
      <c r="F671" s="42" t="n"/>
      <c r="G671" s="36" t="n"/>
      <c r="H671" s="43" t="n"/>
      <c r="I671" s="37" t="n"/>
      <c r="J671" s="44" t="n"/>
      <c r="K671" s="36" t="n"/>
      <c r="L671" s="33">
        <f>IF(C671="","",Commercial_Id)</f>
        <v/>
      </c>
      <c r="M671" s="34">
        <f>IF(E671="","",IFERROR(VLOOKUP(E671,T_Produits,2,FALSE),""))</f>
        <v/>
      </c>
      <c r="N671" s="40">
        <f>IF(E671="","",IFERROR(1/(1/VLOOKUP(E671,T_Produits,3,FALSE)),""))</f>
        <v/>
      </c>
      <c r="O671" s="40">
        <f>IF(OR(D671="",F671=""),"",IF(OR(D671="Casse / avarie",D671="Perte / vol",D671="Échantillon offert"),IF(I671&lt;&gt;"",I671,IF(N671="","",F671*N671)),""))</f>
        <v/>
      </c>
      <c r="P671" s="50">
        <f>IF(OR(D671="",F671=""),"",F671*IF(OR(D671="Reçu du magasin",D671="Ajustement (+)"),1,-1))</f>
        <v/>
      </c>
      <c r="Q671" s="34">
        <f>IF(C671="","",YEAR(C671-WEEKDAY(C671,2)+4)&amp;"-S"&amp;TEXT(INT((C671-DATE(YEAR(C671-WEEKDAY(C671,2)+4),1,3)+WEEKDAY(DATE(YEAR(C671-WEEKDAY(C671,2)+4),1,3),2)+5)/7),"00"))</f>
        <v/>
      </c>
    </row>
    <row r="672" ht="18" customHeight="1">
      <c r="A672" s="39" t="n">
        <v>667</v>
      </c>
      <c r="B672" s="33">
        <f>IF(C672="","",IF(L672="À RENSEIGNER","GIC",L672)&amp;"-S"&amp;TEXT(A672,"00000"))</f>
        <v/>
      </c>
      <c r="C672" s="32" t="n"/>
      <c r="D672" s="36" t="n"/>
      <c r="E672" s="36" t="n"/>
      <c r="F672" s="42" t="n"/>
      <c r="G672" s="36" t="n"/>
      <c r="H672" s="43" t="n"/>
      <c r="I672" s="37" t="n"/>
      <c r="J672" s="44" t="n"/>
      <c r="K672" s="36" t="n"/>
      <c r="L672" s="33">
        <f>IF(C672="","",Commercial_Id)</f>
        <v/>
      </c>
      <c r="M672" s="34">
        <f>IF(E672="","",IFERROR(VLOOKUP(E672,T_Produits,2,FALSE),""))</f>
        <v/>
      </c>
      <c r="N672" s="40">
        <f>IF(E672="","",IFERROR(1/(1/VLOOKUP(E672,T_Produits,3,FALSE)),""))</f>
        <v/>
      </c>
      <c r="O672" s="40">
        <f>IF(OR(D672="",F672=""),"",IF(OR(D672="Casse / avarie",D672="Perte / vol",D672="Échantillon offert"),IF(I672&lt;&gt;"",I672,IF(N672="","",F672*N672)),""))</f>
        <v/>
      </c>
      <c r="P672" s="50">
        <f>IF(OR(D672="",F672=""),"",F672*IF(OR(D672="Reçu du magasin",D672="Ajustement (+)"),1,-1))</f>
        <v/>
      </c>
      <c r="Q672" s="34">
        <f>IF(C672="","",YEAR(C672-WEEKDAY(C672,2)+4)&amp;"-S"&amp;TEXT(INT((C672-DATE(YEAR(C672-WEEKDAY(C672,2)+4),1,3)+WEEKDAY(DATE(YEAR(C672-WEEKDAY(C672,2)+4),1,3),2)+5)/7),"00"))</f>
        <v/>
      </c>
    </row>
    <row r="673" ht="18" customHeight="1">
      <c r="A673" s="39" t="n">
        <v>668</v>
      </c>
      <c r="B673" s="33">
        <f>IF(C673="","",IF(L673="À RENSEIGNER","GIC",L673)&amp;"-S"&amp;TEXT(A673,"00000"))</f>
        <v/>
      </c>
      <c r="C673" s="32" t="n"/>
      <c r="D673" s="36" t="n"/>
      <c r="E673" s="36" t="n"/>
      <c r="F673" s="42" t="n"/>
      <c r="G673" s="36" t="n"/>
      <c r="H673" s="43" t="n"/>
      <c r="I673" s="37" t="n"/>
      <c r="J673" s="44" t="n"/>
      <c r="K673" s="36" t="n"/>
      <c r="L673" s="33">
        <f>IF(C673="","",Commercial_Id)</f>
        <v/>
      </c>
      <c r="M673" s="34">
        <f>IF(E673="","",IFERROR(VLOOKUP(E673,T_Produits,2,FALSE),""))</f>
        <v/>
      </c>
      <c r="N673" s="40">
        <f>IF(E673="","",IFERROR(1/(1/VLOOKUP(E673,T_Produits,3,FALSE)),""))</f>
        <v/>
      </c>
      <c r="O673" s="40">
        <f>IF(OR(D673="",F673=""),"",IF(OR(D673="Casse / avarie",D673="Perte / vol",D673="Échantillon offert"),IF(I673&lt;&gt;"",I673,IF(N673="","",F673*N673)),""))</f>
        <v/>
      </c>
      <c r="P673" s="50">
        <f>IF(OR(D673="",F673=""),"",F673*IF(OR(D673="Reçu du magasin",D673="Ajustement (+)"),1,-1))</f>
        <v/>
      </c>
      <c r="Q673" s="34">
        <f>IF(C673="","",YEAR(C673-WEEKDAY(C673,2)+4)&amp;"-S"&amp;TEXT(INT((C673-DATE(YEAR(C673-WEEKDAY(C673,2)+4),1,3)+WEEKDAY(DATE(YEAR(C673-WEEKDAY(C673,2)+4),1,3),2)+5)/7),"00"))</f>
        <v/>
      </c>
    </row>
    <row r="674" ht="18" customHeight="1">
      <c r="A674" s="39" t="n">
        <v>669</v>
      </c>
      <c r="B674" s="33">
        <f>IF(C674="","",IF(L674="À RENSEIGNER","GIC",L674)&amp;"-S"&amp;TEXT(A674,"00000"))</f>
        <v/>
      </c>
      <c r="C674" s="32" t="n"/>
      <c r="D674" s="36" t="n"/>
      <c r="E674" s="36" t="n"/>
      <c r="F674" s="42" t="n"/>
      <c r="G674" s="36" t="n"/>
      <c r="H674" s="43" t="n"/>
      <c r="I674" s="37" t="n"/>
      <c r="J674" s="44" t="n"/>
      <c r="K674" s="36" t="n"/>
      <c r="L674" s="33">
        <f>IF(C674="","",Commercial_Id)</f>
        <v/>
      </c>
      <c r="M674" s="34">
        <f>IF(E674="","",IFERROR(VLOOKUP(E674,T_Produits,2,FALSE),""))</f>
        <v/>
      </c>
      <c r="N674" s="40">
        <f>IF(E674="","",IFERROR(1/(1/VLOOKUP(E674,T_Produits,3,FALSE)),""))</f>
        <v/>
      </c>
      <c r="O674" s="40">
        <f>IF(OR(D674="",F674=""),"",IF(OR(D674="Casse / avarie",D674="Perte / vol",D674="Échantillon offert"),IF(I674&lt;&gt;"",I674,IF(N674="","",F674*N674)),""))</f>
        <v/>
      </c>
      <c r="P674" s="50">
        <f>IF(OR(D674="",F674=""),"",F674*IF(OR(D674="Reçu du magasin",D674="Ajustement (+)"),1,-1))</f>
        <v/>
      </c>
      <c r="Q674" s="34">
        <f>IF(C674="","",YEAR(C674-WEEKDAY(C674,2)+4)&amp;"-S"&amp;TEXT(INT((C674-DATE(YEAR(C674-WEEKDAY(C674,2)+4),1,3)+WEEKDAY(DATE(YEAR(C674-WEEKDAY(C674,2)+4),1,3),2)+5)/7),"00"))</f>
        <v/>
      </c>
    </row>
    <row r="675" ht="18" customHeight="1">
      <c r="A675" s="39" t="n">
        <v>670</v>
      </c>
      <c r="B675" s="33">
        <f>IF(C675="","",IF(L675="À RENSEIGNER","GIC",L675)&amp;"-S"&amp;TEXT(A675,"00000"))</f>
        <v/>
      </c>
      <c r="C675" s="32" t="n"/>
      <c r="D675" s="36" t="n"/>
      <c r="E675" s="36" t="n"/>
      <c r="F675" s="42" t="n"/>
      <c r="G675" s="36" t="n"/>
      <c r="H675" s="43" t="n"/>
      <c r="I675" s="37" t="n"/>
      <c r="J675" s="44" t="n"/>
      <c r="K675" s="36" t="n"/>
      <c r="L675" s="33">
        <f>IF(C675="","",Commercial_Id)</f>
        <v/>
      </c>
      <c r="M675" s="34">
        <f>IF(E675="","",IFERROR(VLOOKUP(E675,T_Produits,2,FALSE),""))</f>
        <v/>
      </c>
      <c r="N675" s="40">
        <f>IF(E675="","",IFERROR(1/(1/VLOOKUP(E675,T_Produits,3,FALSE)),""))</f>
        <v/>
      </c>
      <c r="O675" s="40">
        <f>IF(OR(D675="",F675=""),"",IF(OR(D675="Casse / avarie",D675="Perte / vol",D675="Échantillon offert"),IF(I675&lt;&gt;"",I675,IF(N675="","",F675*N675)),""))</f>
        <v/>
      </c>
      <c r="P675" s="50">
        <f>IF(OR(D675="",F675=""),"",F675*IF(OR(D675="Reçu du magasin",D675="Ajustement (+)"),1,-1))</f>
        <v/>
      </c>
      <c r="Q675" s="34">
        <f>IF(C675="","",YEAR(C675-WEEKDAY(C675,2)+4)&amp;"-S"&amp;TEXT(INT((C675-DATE(YEAR(C675-WEEKDAY(C675,2)+4),1,3)+WEEKDAY(DATE(YEAR(C675-WEEKDAY(C675,2)+4),1,3),2)+5)/7),"00"))</f>
        <v/>
      </c>
    </row>
    <row r="676" ht="18" customHeight="1">
      <c r="A676" s="39" t="n">
        <v>671</v>
      </c>
      <c r="B676" s="33">
        <f>IF(C676="","",IF(L676="À RENSEIGNER","GIC",L676)&amp;"-S"&amp;TEXT(A676,"00000"))</f>
        <v/>
      </c>
      <c r="C676" s="32" t="n"/>
      <c r="D676" s="36" t="n"/>
      <c r="E676" s="36" t="n"/>
      <c r="F676" s="42" t="n"/>
      <c r="G676" s="36" t="n"/>
      <c r="H676" s="43" t="n"/>
      <c r="I676" s="37" t="n"/>
      <c r="J676" s="44" t="n"/>
      <c r="K676" s="36" t="n"/>
      <c r="L676" s="33">
        <f>IF(C676="","",Commercial_Id)</f>
        <v/>
      </c>
      <c r="M676" s="34">
        <f>IF(E676="","",IFERROR(VLOOKUP(E676,T_Produits,2,FALSE),""))</f>
        <v/>
      </c>
      <c r="N676" s="40">
        <f>IF(E676="","",IFERROR(1/(1/VLOOKUP(E676,T_Produits,3,FALSE)),""))</f>
        <v/>
      </c>
      <c r="O676" s="40">
        <f>IF(OR(D676="",F676=""),"",IF(OR(D676="Casse / avarie",D676="Perte / vol",D676="Échantillon offert"),IF(I676&lt;&gt;"",I676,IF(N676="","",F676*N676)),""))</f>
        <v/>
      </c>
      <c r="P676" s="50">
        <f>IF(OR(D676="",F676=""),"",F676*IF(OR(D676="Reçu du magasin",D676="Ajustement (+)"),1,-1))</f>
        <v/>
      </c>
      <c r="Q676" s="34">
        <f>IF(C676="","",YEAR(C676-WEEKDAY(C676,2)+4)&amp;"-S"&amp;TEXT(INT((C676-DATE(YEAR(C676-WEEKDAY(C676,2)+4),1,3)+WEEKDAY(DATE(YEAR(C676-WEEKDAY(C676,2)+4),1,3),2)+5)/7),"00"))</f>
        <v/>
      </c>
    </row>
    <row r="677" ht="18" customHeight="1">
      <c r="A677" s="39" t="n">
        <v>672</v>
      </c>
      <c r="B677" s="33">
        <f>IF(C677="","",IF(L677="À RENSEIGNER","GIC",L677)&amp;"-S"&amp;TEXT(A677,"00000"))</f>
        <v/>
      </c>
      <c r="C677" s="32" t="n"/>
      <c r="D677" s="36" t="n"/>
      <c r="E677" s="36" t="n"/>
      <c r="F677" s="42" t="n"/>
      <c r="G677" s="36" t="n"/>
      <c r="H677" s="43" t="n"/>
      <c r="I677" s="37" t="n"/>
      <c r="J677" s="44" t="n"/>
      <c r="K677" s="36" t="n"/>
      <c r="L677" s="33">
        <f>IF(C677="","",Commercial_Id)</f>
        <v/>
      </c>
      <c r="M677" s="34">
        <f>IF(E677="","",IFERROR(VLOOKUP(E677,T_Produits,2,FALSE),""))</f>
        <v/>
      </c>
      <c r="N677" s="40">
        <f>IF(E677="","",IFERROR(1/(1/VLOOKUP(E677,T_Produits,3,FALSE)),""))</f>
        <v/>
      </c>
      <c r="O677" s="40">
        <f>IF(OR(D677="",F677=""),"",IF(OR(D677="Casse / avarie",D677="Perte / vol",D677="Échantillon offert"),IF(I677&lt;&gt;"",I677,IF(N677="","",F677*N677)),""))</f>
        <v/>
      </c>
      <c r="P677" s="50">
        <f>IF(OR(D677="",F677=""),"",F677*IF(OR(D677="Reçu du magasin",D677="Ajustement (+)"),1,-1))</f>
        <v/>
      </c>
      <c r="Q677" s="34">
        <f>IF(C677="","",YEAR(C677-WEEKDAY(C677,2)+4)&amp;"-S"&amp;TEXT(INT((C677-DATE(YEAR(C677-WEEKDAY(C677,2)+4),1,3)+WEEKDAY(DATE(YEAR(C677-WEEKDAY(C677,2)+4),1,3),2)+5)/7),"00"))</f>
        <v/>
      </c>
    </row>
    <row r="678" ht="18" customHeight="1">
      <c r="A678" s="39" t="n">
        <v>673</v>
      </c>
      <c r="B678" s="33">
        <f>IF(C678="","",IF(L678="À RENSEIGNER","GIC",L678)&amp;"-S"&amp;TEXT(A678,"00000"))</f>
        <v/>
      </c>
      <c r="C678" s="32" t="n"/>
      <c r="D678" s="36" t="n"/>
      <c r="E678" s="36" t="n"/>
      <c r="F678" s="42" t="n"/>
      <c r="G678" s="36" t="n"/>
      <c r="H678" s="43" t="n"/>
      <c r="I678" s="37" t="n"/>
      <c r="J678" s="44" t="n"/>
      <c r="K678" s="36" t="n"/>
      <c r="L678" s="33">
        <f>IF(C678="","",Commercial_Id)</f>
        <v/>
      </c>
      <c r="M678" s="34">
        <f>IF(E678="","",IFERROR(VLOOKUP(E678,T_Produits,2,FALSE),""))</f>
        <v/>
      </c>
      <c r="N678" s="40">
        <f>IF(E678="","",IFERROR(1/(1/VLOOKUP(E678,T_Produits,3,FALSE)),""))</f>
        <v/>
      </c>
      <c r="O678" s="40">
        <f>IF(OR(D678="",F678=""),"",IF(OR(D678="Casse / avarie",D678="Perte / vol",D678="Échantillon offert"),IF(I678&lt;&gt;"",I678,IF(N678="","",F678*N678)),""))</f>
        <v/>
      </c>
      <c r="P678" s="50">
        <f>IF(OR(D678="",F678=""),"",F678*IF(OR(D678="Reçu du magasin",D678="Ajustement (+)"),1,-1))</f>
        <v/>
      </c>
      <c r="Q678" s="34">
        <f>IF(C678="","",YEAR(C678-WEEKDAY(C678,2)+4)&amp;"-S"&amp;TEXT(INT((C678-DATE(YEAR(C678-WEEKDAY(C678,2)+4),1,3)+WEEKDAY(DATE(YEAR(C678-WEEKDAY(C678,2)+4),1,3),2)+5)/7),"00"))</f>
        <v/>
      </c>
    </row>
    <row r="679" ht="18" customHeight="1">
      <c r="A679" s="39" t="n">
        <v>674</v>
      </c>
      <c r="B679" s="33">
        <f>IF(C679="","",IF(L679="À RENSEIGNER","GIC",L679)&amp;"-S"&amp;TEXT(A679,"00000"))</f>
        <v/>
      </c>
      <c r="C679" s="32" t="n"/>
      <c r="D679" s="36" t="n"/>
      <c r="E679" s="36" t="n"/>
      <c r="F679" s="42" t="n"/>
      <c r="G679" s="36" t="n"/>
      <c r="H679" s="43" t="n"/>
      <c r="I679" s="37" t="n"/>
      <c r="J679" s="44" t="n"/>
      <c r="K679" s="36" t="n"/>
      <c r="L679" s="33">
        <f>IF(C679="","",Commercial_Id)</f>
        <v/>
      </c>
      <c r="M679" s="34">
        <f>IF(E679="","",IFERROR(VLOOKUP(E679,T_Produits,2,FALSE),""))</f>
        <v/>
      </c>
      <c r="N679" s="40">
        <f>IF(E679="","",IFERROR(1/(1/VLOOKUP(E679,T_Produits,3,FALSE)),""))</f>
        <v/>
      </c>
      <c r="O679" s="40">
        <f>IF(OR(D679="",F679=""),"",IF(OR(D679="Casse / avarie",D679="Perte / vol",D679="Échantillon offert"),IF(I679&lt;&gt;"",I679,IF(N679="","",F679*N679)),""))</f>
        <v/>
      </c>
      <c r="P679" s="50">
        <f>IF(OR(D679="",F679=""),"",F679*IF(OR(D679="Reçu du magasin",D679="Ajustement (+)"),1,-1))</f>
        <v/>
      </c>
      <c r="Q679" s="34">
        <f>IF(C679="","",YEAR(C679-WEEKDAY(C679,2)+4)&amp;"-S"&amp;TEXT(INT((C679-DATE(YEAR(C679-WEEKDAY(C679,2)+4),1,3)+WEEKDAY(DATE(YEAR(C679-WEEKDAY(C679,2)+4),1,3),2)+5)/7),"00"))</f>
        <v/>
      </c>
    </row>
    <row r="680" ht="18" customHeight="1">
      <c r="A680" s="39" t="n">
        <v>675</v>
      </c>
      <c r="B680" s="33">
        <f>IF(C680="","",IF(L680="À RENSEIGNER","GIC",L680)&amp;"-S"&amp;TEXT(A680,"00000"))</f>
        <v/>
      </c>
      <c r="C680" s="32" t="n"/>
      <c r="D680" s="36" t="n"/>
      <c r="E680" s="36" t="n"/>
      <c r="F680" s="42" t="n"/>
      <c r="G680" s="36" t="n"/>
      <c r="H680" s="43" t="n"/>
      <c r="I680" s="37" t="n"/>
      <c r="J680" s="44" t="n"/>
      <c r="K680" s="36" t="n"/>
      <c r="L680" s="33">
        <f>IF(C680="","",Commercial_Id)</f>
        <v/>
      </c>
      <c r="M680" s="34">
        <f>IF(E680="","",IFERROR(VLOOKUP(E680,T_Produits,2,FALSE),""))</f>
        <v/>
      </c>
      <c r="N680" s="40">
        <f>IF(E680="","",IFERROR(1/(1/VLOOKUP(E680,T_Produits,3,FALSE)),""))</f>
        <v/>
      </c>
      <c r="O680" s="40">
        <f>IF(OR(D680="",F680=""),"",IF(OR(D680="Casse / avarie",D680="Perte / vol",D680="Échantillon offert"),IF(I680&lt;&gt;"",I680,IF(N680="","",F680*N680)),""))</f>
        <v/>
      </c>
      <c r="P680" s="50">
        <f>IF(OR(D680="",F680=""),"",F680*IF(OR(D680="Reçu du magasin",D680="Ajustement (+)"),1,-1))</f>
        <v/>
      </c>
      <c r="Q680" s="34">
        <f>IF(C680="","",YEAR(C680-WEEKDAY(C680,2)+4)&amp;"-S"&amp;TEXT(INT((C680-DATE(YEAR(C680-WEEKDAY(C680,2)+4),1,3)+WEEKDAY(DATE(YEAR(C680-WEEKDAY(C680,2)+4),1,3),2)+5)/7),"00"))</f>
        <v/>
      </c>
    </row>
    <row r="681" ht="18" customHeight="1">
      <c r="A681" s="39" t="n">
        <v>676</v>
      </c>
      <c r="B681" s="33">
        <f>IF(C681="","",IF(L681="À RENSEIGNER","GIC",L681)&amp;"-S"&amp;TEXT(A681,"00000"))</f>
        <v/>
      </c>
      <c r="C681" s="32" t="n"/>
      <c r="D681" s="36" t="n"/>
      <c r="E681" s="36" t="n"/>
      <c r="F681" s="42" t="n"/>
      <c r="G681" s="36" t="n"/>
      <c r="H681" s="43" t="n"/>
      <c r="I681" s="37" t="n"/>
      <c r="J681" s="44" t="n"/>
      <c r="K681" s="36" t="n"/>
      <c r="L681" s="33">
        <f>IF(C681="","",Commercial_Id)</f>
        <v/>
      </c>
      <c r="M681" s="34">
        <f>IF(E681="","",IFERROR(VLOOKUP(E681,T_Produits,2,FALSE),""))</f>
        <v/>
      </c>
      <c r="N681" s="40">
        <f>IF(E681="","",IFERROR(1/(1/VLOOKUP(E681,T_Produits,3,FALSE)),""))</f>
        <v/>
      </c>
      <c r="O681" s="40">
        <f>IF(OR(D681="",F681=""),"",IF(OR(D681="Casse / avarie",D681="Perte / vol",D681="Échantillon offert"),IF(I681&lt;&gt;"",I681,IF(N681="","",F681*N681)),""))</f>
        <v/>
      </c>
      <c r="P681" s="50">
        <f>IF(OR(D681="",F681=""),"",F681*IF(OR(D681="Reçu du magasin",D681="Ajustement (+)"),1,-1))</f>
        <v/>
      </c>
      <c r="Q681" s="34">
        <f>IF(C681="","",YEAR(C681-WEEKDAY(C681,2)+4)&amp;"-S"&amp;TEXT(INT((C681-DATE(YEAR(C681-WEEKDAY(C681,2)+4),1,3)+WEEKDAY(DATE(YEAR(C681-WEEKDAY(C681,2)+4),1,3),2)+5)/7),"00"))</f>
        <v/>
      </c>
    </row>
    <row r="682" ht="18" customHeight="1">
      <c r="A682" s="39" t="n">
        <v>677</v>
      </c>
      <c r="B682" s="33">
        <f>IF(C682="","",IF(L682="À RENSEIGNER","GIC",L682)&amp;"-S"&amp;TEXT(A682,"00000"))</f>
        <v/>
      </c>
      <c r="C682" s="32" t="n"/>
      <c r="D682" s="36" t="n"/>
      <c r="E682" s="36" t="n"/>
      <c r="F682" s="42" t="n"/>
      <c r="G682" s="36" t="n"/>
      <c r="H682" s="43" t="n"/>
      <c r="I682" s="37" t="n"/>
      <c r="J682" s="44" t="n"/>
      <c r="K682" s="36" t="n"/>
      <c r="L682" s="33">
        <f>IF(C682="","",Commercial_Id)</f>
        <v/>
      </c>
      <c r="M682" s="34">
        <f>IF(E682="","",IFERROR(VLOOKUP(E682,T_Produits,2,FALSE),""))</f>
        <v/>
      </c>
      <c r="N682" s="40">
        <f>IF(E682="","",IFERROR(1/(1/VLOOKUP(E682,T_Produits,3,FALSE)),""))</f>
        <v/>
      </c>
      <c r="O682" s="40">
        <f>IF(OR(D682="",F682=""),"",IF(OR(D682="Casse / avarie",D682="Perte / vol",D682="Échantillon offert"),IF(I682&lt;&gt;"",I682,IF(N682="","",F682*N682)),""))</f>
        <v/>
      </c>
      <c r="P682" s="50">
        <f>IF(OR(D682="",F682=""),"",F682*IF(OR(D682="Reçu du magasin",D682="Ajustement (+)"),1,-1))</f>
        <v/>
      </c>
      <c r="Q682" s="34">
        <f>IF(C682="","",YEAR(C682-WEEKDAY(C682,2)+4)&amp;"-S"&amp;TEXT(INT((C682-DATE(YEAR(C682-WEEKDAY(C682,2)+4),1,3)+WEEKDAY(DATE(YEAR(C682-WEEKDAY(C682,2)+4),1,3),2)+5)/7),"00"))</f>
        <v/>
      </c>
    </row>
    <row r="683" ht="18" customHeight="1">
      <c r="A683" s="39" t="n">
        <v>678</v>
      </c>
      <c r="B683" s="33">
        <f>IF(C683="","",IF(L683="À RENSEIGNER","GIC",L683)&amp;"-S"&amp;TEXT(A683,"00000"))</f>
        <v/>
      </c>
      <c r="C683" s="32" t="n"/>
      <c r="D683" s="36" t="n"/>
      <c r="E683" s="36" t="n"/>
      <c r="F683" s="42" t="n"/>
      <c r="G683" s="36" t="n"/>
      <c r="H683" s="43" t="n"/>
      <c r="I683" s="37" t="n"/>
      <c r="J683" s="44" t="n"/>
      <c r="K683" s="36" t="n"/>
      <c r="L683" s="33">
        <f>IF(C683="","",Commercial_Id)</f>
        <v/>
      </c>
      <c r="M683" s="34">
        <f>IF(E683="","",IFERROR(VLOOKUP(E683,T_Produits,2,FALSE),""))</f>
        <v/>
      </c>
      <c r="N683" s="40">
        <f>IF(E683="","",IFERROR(1/(1/VLOOKUP(E683,T_Produits,3,FALSE)),""))</f>
        <v/>
      </c>
      <c r="O683" s="40">
        <f>IF(OR(D683="",F683=""),"",IF(OR(D683="Casse / avarie",D683="Perte / vol",D683="Échantillon offert"),IF(I683&lt;&gt;"",I683,IF(N683="","",F683*N683)),""))</f>
        <v/>
      </c>
      <c r="P683" s="50">
        <f>IF(OR(D683="",F683=""),"",F683*IF(OR(D683="Reçu du magasin",D683="Ajustement (+)"),1,-1))</f>
        <v/>
      </c>
      <c r="Q683" s="34">
        <f>IF(C683="","",YEAR(C683-WEEKDAY(C683,2)+4)&amp;"-S"&amp;TEXT(INT((C683-DATE(YEAR(C683-WEEKDAY(C683,2)+4),1,3)+WEEKDAY(DATE(YEAR(C683-WEEKDAY(C683,2)+4),1,3),2)+5)/7),"00"))</f>
        <v/>
      </c>
    </row>
    <row r="684" ht="18" customHeight="1">
      <c r="A684" s="39" t="n">
        <v>679</v>
      </c>
      <c r="B684" s="33">
        <f>IF(C684="","",IF(L684="À RENSEIGNER","GIC",L684)&amp;"-S"&amp;TEXT(A684,"00000"))</f>
        <v/>
      </c>
      <c r="C684" s="32" t="n"/>
      <c r="D684" s="36" t="n"/>
      <c r="E684" s="36" t="n"/>
      <c r="F684" s="42" t="n"/>
      <c r="G684" s="36" t="n"/>
      <c r="H684" s="43" t="n"/>
      <c r="I684" s="37" t="n"/>
      <c r="J684" s="44" t="n"/>
      <c r="K684" s="36" t="n"/>
      <c r="L684" s="33">
        <f>IF(C684="","",Commercial_Id)</f>
        <v/>
      </c>
      <c r="M684" s="34">
        <f>IF(E684="","",IFERROR(VLOOKUP(E684,T_Produits,2,FALSE),""))</f>
        <v/>
      </c>
      <c r="N684" s="40">
        <f>IF(E684="","",IFERROR(1/(1/VLOOKUP(E684,T_Produits,3,FALSE)),""))</f>
        <v/>
      </c>
      <c r="O684" s="40">
        <f>IF(OR(D684="",F684=""),"",IF(OR(D684="Casse / avarie",D684="Perte / vol",D684="Échantillon offert"),IF(I684&lt;&gt;"",I684,IF(N684="","",F684*N684)),""))</f>
        <v/>
      </c>
      <c r="P684" s="50">
        <f>IF(OR(D684="",F684=""),"",F684*IF(OR(D684="Reçu du magasin",D684="Ajustement (+)"),1,-1))</f>
        <v/>
      </c>
      <c r="Q684" s="34">
        <f>IF(C684="","",YEAR(C684-WEEKDAY(C684,2)+4)&amp;"-S"&amp;TEXT(INT((C684-DATE(YEAR(C684-WEEKDAY(C684,2)+4),1,3)+WEEKDAY(DATE(YEAR(C684-WEEKDAY(C684,2)+4),1,3),2)+5)/7),"00"))</f>
        <v/>
      </c>
    </row>
    <row r="685" ht="18" customHeight="1">
      <c r="A685" s="39" t="n">
        <v>680</v>
      </c>
      <c r="B685" s="33">
        <f>IF(C685="","",IF(L685="À RENSEIGNER","GIC",L685)&amp;"-S"&amp;TEXT(A685,"00000"))</f>
        <v/>
      </c>
      <c r="C685" s="32" t="n"/>
      <c r="D685" s="36" t="n"/>
      <c r="E685" s="36" t="n"/>
      <c r="F685" s="42" t="n"/>
      <c r="G685" s="36" t="n"/>
      <c r="H685" s="43" t="n"/>
      <c r="I685" s="37" t="n"/>
      <c r="J685" s="44" t="n"/>
      <c r="K685" s="36" t="n"/>
      <c r="L685" s="33">
        <f>IF(C685="","",Commercial_Id)</f>
        <v/>
      </c>
      <c r="M685" s="34">
        <f>IF(E685="","",IFERROR(VLOOKUP(E685,T_Produits,2,FALSE),""))</f>
        <v/>
      </c>
      <c r="N685" s="40">
        <f>IF(E685="","",IFERROR(1/(1/VLOOKUP(E685,T_Produits,3,FALSE)),""))</f>
        <v/>
      </c>
      <c r="O685" s="40">
        <f>IF(OR(D685="",F685=""),"",IF(OR(D685="Casse / avarie",D685="Perte / vol",D685="Échantillon offert"),IF(I685&lt;&gt;"",I685,IF(N685="","",F685*N685)),""))</f>
        <v/>
      </c>
      <c r="P685" s="50">
        <f>IF(OR(D685="",F685=""),"",F685*IF(OR(D685="Reçu du magasin",D685="Ajustement (+)"),1,-1))</f>
        <v/>
      </c>
      <c r="Q685" s="34">
        <f>IF(C685="","",YEAR(C685-WEEKDAY(C685,2)+4)&amp;"-S"&amp;TEXT(INT((C685-DATE(YEAR(C685-WEEKDAY(C685,2)+4),1,3)+WEEKDAY(DATE(YEAR(C685-WEEKDAY(C685,2)+4),1,3),2)+5)/7),"00"))</f>
        <v/>
      </c>
    </row>
    <row r="686" ht="18" customHeight="1">
      <c r="A686" s="39" t="n">
        <v>681</v>
      </c>
      <c r="B686" s="33">
        <f>IF(C686="","",IF(L686="À RENSEIGNER","GIC",L686)&amp;"-S"&amp;TEXT(A686,"00000"))</f>
        <v/>
      </c>
      <c r="C686" s="32" t="n"/>
      <c r="D686" s="36" t="n"/>
      <c r="E686" s="36" t="n"/>
      <c r="F686" s="42" t="n"/>
      <c r="G686" s="36" t="n"/>
      <c r="H686" s="43" t="n"/>
      <c r="I686" s="37" t="n"/>
      <c r="J686" s="44" t="n"/>
      <c r="K686" s="36" t="n"/>
      <c r="L686" s="33">
        <f>IF(C686="","",Commercial_Id)</f>
        <v/>
      </c>
      <c r="M686" s="34">
        <f>IF(E686="","",IFERROR(VLOOKUP(E686,T_Produits,2,FALSE),""))</f>
        <v/>
      </c>
      <c r="N686" s="40">
        <f>IF(E686="","",IFERROR(1/(1/VLOOKUP(E686,T_Produits,3,FALSE)),""))</f>
        <v/>
      </c>
      <c r="O686" s="40">
        <f>IF(OR(D686="",F686=""),"",IF(OR(D686="Casse / avarie",D686="Perte / vol",D686="Échantillon offert"),IF(I686&lt;&gt;"",I686,IF(N686="","",F686*N686)),""))</f>
        <v/>
      </c>
      <c r="P686" s="50">
        <f>IF(OR(D686="",F686=""),"",F686*IF(OR(D686="Reçu du magasin",D686="Ajustement (+)"),1,-1))</f>
        <v/>
      </c>
      <c r="Q686" s="34">
        <f>IF(C686="","",YEAR(C686-WEEKDAY(C686,2)+4)&amp;"-S"&amp;TEXT(INT((C686-DATE(YEAR(C686-WEEKDAY(C686,2)+4),1,3)+WEEKDAY(DATE(YEAR(C686-WEEKDAY(C686,2)+4),1,3),2)+5)/7),"00"))</f>
        <v/>
      </c>
    </row>
    <row r="687" ht="18" customHeight="1">
      <c r="A687" s="39" t="n">
        <v>682</v>
      </c>
      <c r="B687" s="33">
        <f>IF(C687="","",IF(L687="À RENSEIGNER","GIC",L687)&amp;"-S"&amp;TEXT(A687,"00000"))</f>
        <v/>
      </c>
      <c r="C687" s="32" t="n"/>
      <c r="D687" s="36" t="n"/>
      <c r="E687" s="36" t="n"/>
      <c r="F687" s="42" t="n"/>
      <c r="G687" s="36" t="n"/>
      <c r="H687" s="43" t="n"/>
      <c r="I687" s="37" t="n"/>
      <c r="J687" s="44" t="n"/>
      <c r="K687" s="36" t="n"/>
      <c r="L687" s="33">
        <f>IF(C687="","",Commercial_Id)</f>
        <v/>
      </c>
      <c r="M687" s="34">
        <f>IF(E687="","",IFERROR(VLOOKUP(E687,T_Produits,2,FALSE),""))</f>
        <v/>
      </c>
      <c r="N687" s="40">
        <f>IF(E687="","",IFERROR(1/(1/VLOOKUP(E687,T_Produits,3,FALSE)),""))</f>
        <v/>
      </c>
      <c r="O687" s="40">
        <f>IF(OR(D687="",F687=""),"",IF(OR(D687="Casse / avarie",D687="Perte / vol",D687="Échantillon offert"),IF(I687&lt;&gt;"",I687,IF(N687="","",F687*N687)),""))</f>
        <v/>
      </c>
      <c r="P687" s="50">
        <f>IF(OR(D687="",F687=""),"",F687*IF(OR(D687="Reçu du magasin",D687="Ajustement (+)"),1,-1))</f>
        <v/>
      </c>
      <c r="Q687" s="34">
        <f>IF(C687="","",YEAR(C687-WEEKDAY(C687,2)+4)&amp;"-S"&amp;TEXT(INT((C687-DATE(YEAR(C687-WEEKDAY(C687,2)+4),1,3)+WEEKDAY(DATE(YEAR(C687-WEEKDAY(C687,2)+4),1,3),2)+5)/7),"00"))</f>
        <v/>
      </c>
    </row>
    <row r="688" ht="18" customHeight="1">
      <c r="A688" s="39" t="n">
        <v>683</v>
      </c>
      <c r="B688" s="33">
        <f>IF(C688="","",IF(L688="À RENSEIGNER","GIC",L688)&amp;"-S"&amp;TEXT(A688,"00000"))</f>
        <v/>
      </c>
      <c r="C688" s="32" t="n"/>
      <c r="D688" s="36" t="n"/>
      <c r="E688" s="36" t="n"/>
      <c r="F688" s="42" t="n"/>
      <c r="G688" s="36" t="n"/>
      <c r="H688" s="43" t="n"/>
      <c r="I688" s="37" t="n"/>
      <c r="J688" s="44" t="n"/>
      <c r="K688" s="36" t="n"/>
      <c r="L688" s="33">
        <f>IF(C688="","",Commercial_Id)</f>
        <v/>
      </c>
      <c r="M688" s="34">
        <f>IF(E688="","",IFERROR(VLOOKUP(E688,T_Produits,2,FALSE),""))</f>
        <v/>
      </c>
      <c r="N688" s="40">
        <f>IF(E688="","",IFERROR(1/(1/VLOOKUP(E688,T_Produits,3,FALSE)),""))</f>
        <v/>
      </c>
      <c r="O688" s="40">
        <f>IF(OR(D688="",F688=""),"",IF(OR(D688="Casse / avarie",D688="Perte / vol",D688="Échantillon offert"),IF(I688&lt;&gt;"",I688,IF(N688="","",F688*N688)),""))</f>
        <v/>
      </c>
      <c r="P688" s="50">
        <f>IF(OR(D688="",F688=""),"",F688*IF(OR(D688="Reçu du magasin",D688="Ajustement (+)"),1,-1))</f>
        <v/>
      </c>
      <c r="Q688" s="34">
        <f>IF(C688="","",YEAR(C688-WEEKDAY(C688,2)+4)&amp;"-S"&amp;TEXT(INT((C688-DATE(YEAR(C688-WEEKDAY(C688,2)+4),1,3)+WEEKDAY(DATE(YEAR(C688-WEEKDAY(C688,2)+4),1,3),2)+5)/7),"00"))</f>
        <v/>
      </c>
    </row>
    <row r="689" ht="18" customHeight="1">
      <c r="A689" s="39" t="n">
        <v>684</v>
      </c>
      <c r="B689" s="33">
        <f>IF(C689="","",IF(L689="À RENSEIGNER","GIC",L689)&amp;"-S"&amp;TEXT(A689,"00000"))</f>
        <v/>
      </c>
      <c r="C689" s="32" t="n"/>
      <c r="D689" s="36" t="n"/>
      <c r="E689" s="36" t="n"/>
      <c r="F689" s="42" t="n"/>
      <c r="G689" s="36" t="n"/>
      <c r="H689" s="43" t="n"/>
      <c r="I689" s="37" t="n"/>
      <c r="J689" s="44" t="n"/>
      <c r="K689" s="36" t="n"/>
      <c r="L689" s="33">
        <f>IF(C689="","",Commercial_Id)</f>
        <v/>
      </c>
      <c r="M689" s="34">
        <f>IF(E689="","",IFERROR(VLOOKUP(E689,T_Produits,2,FALSE),""))</f>
        <v/>
      </c>
      <c r="N689" s="40">
        <f>IF(E689="","",IFERROR(1/(1/VLOOKUP(E689,T_Produits,3,FALSE)),""))</f>
        <v/>
      </c>
      <c r="O689" s="40">
        <f>IF(OR(D689="",F689=""),"",IF(OR(D689="Casse / avarie",D689="Perte / vol",D689="Échantillon offert"),IF(I689&lt;&gt;"",I689,IF(N689="","",F689*N689)),""))</f>
        <v/>
      </c>
      <c r="P689" s="50">
        <f>IF(OR(D689="",F689=""),"",F689*IF(OR(D689="Reçu du magasin",D689="Ajustement (+)"),1,-1))</f>
        <v/>
      </c>
      <c r="Q689" s="34">
        <f>IF(C689="","",YEAR(C689-WEEKDAY(C689,2)+4)&amp;"-S"&amp;TEXT(INT((C689-DATE(YEAR(C689-WEEKDAY(C689,2)+4),1,3)+WEEKDAY(DATE(YEAR(C689-WEEKDAY(C689,2)+4),1,3),2)+5)/7),"00"))</f>
        <v/>
      </c>
    </row>
    <row r="690" ht="18" customHeight="1">
      <c r="A690" s="39" t="n">
        <v>685</v>
      </c>
      <c r="B690" s="33">
        <f>IF(C690="","",IF(L690="À RENSEIGNER","GIC",L690)&amp;"-S"&amp;TEXT(A690,"00000"))</f>
        <v/>
      </c>
      <c r="C690" s="32" t="n"/>
      <c r="D690" s="36" t="n"/>
      <c r="E690" s="36" t="n"/>
      <c r="F690" s="42" t="n"/>
      <c r="G690" s="36" t="n"/>
      <c r="H690" s="43" t="n"/>
      <c r="I690" s="37" t="n"/>
      <c r="J690" s="44" t="n"/>
      <c r="K690" s="36" t="n"/>
      <c r="L690" s="33">
        <f>IF(C690="","",Commercial_Id)</f>
        <v/>
      </c>
      <c r="M690" s="34">
        <f>IF(E690="","",IFERROR(VLOOKUP(E690,T_Produits,2,FALSE),""))</f>
        <v/>
      </c>
      <c r="N690" s="40">
        <f>IF(E690="","",IFERROR(1/(1/VLOOKUP(E690,T_Produits,3,FALSE)),""))</f>
        <v/>
      </c>
      <c r="O690" s="40">
        <f>IF(OR(D690="",F690=""),"",IF(OR(D690="Casse / avarie",D690="Perte / vol",D690="Échantillon offert"),IF(I690&lt;&gt;"",I690,IF(N690="","",F690*N690)),""))</f>
        <v/>
      </c>
      <c r="P690" s="50">
        <f>IF(OR(D690="",F690=""),"",F690*IF(OR(D690="Reçu du magasin",D690="Ajustement (+)"),1,-1))</f>
        <v/>
      </c>
      <c r="Q690" s="34">
        <f>IF(C690="","",YEAR(C690-WEEKDAY(C690,2)+4)&amp;"-S"&amp;TEXT(INT((C690-DATE(YEAR(C690-WEEKDAY(C690,2)+4),1,3)+WEEKDAY(DATE(YEAR(C690-WEEKDAY(C690,2)+4),1,3),2)+5)/7),"00"))</f>
        <v/>
      </c>
    </row>
    <row r="691" ht="18" customHeight="1">
      <c r="A691" s="39" t="n">
        <v>686</v>
      </c>
      <c r="B691" s="33">
        <f>IF(C691="","",IF(L691="À RENSEIGNER","GIC",L691)&amp;"-S"&amp;TEXT(A691,"00000"))</f>
        <v/>
      </c>
      <c r="C691" s="32" t="n"/>
      <c r="D691" s="36" t="n"/>
      <c r="E691" s="36" t="n"/>
      <c r="F691" s="42" t="n"/>
      <c r="G691" s="36" t="n"/>
      <c r="H691" s="43" t="n"/>
      <c r="I691" s="37" t="n"/>
      <c r="J691" s="44" t="n"/>
      <c r="K691" s="36" t="n"/>
      <c r="L691" s="33">
        <f>IF(C691="","",Commercial_Id)</f>
        <v/>
      </c>
      <c r="M691" s="34">
        <f>IF(E691="","",IFERROR(VLOOKUP(E691,T_Produits,2,FALSE),""))</f>
        <v/>
      </c>
      <c r="N691" s="40">
        <f>IF(E691="","",IFERROR(1/(1/VLOOKUP(E691,T_Produits,3,FALSE)),""))</f>
        <v/>
      </c>
      <c r="O691" s="40">
        <f>IF(OR(D691="",F691=""),"",IF(OR(D691="Casse / avarie",D691="Perte / vol",D691="Échantillon offert"),IF(I691&lt;&gt;"",I691,IF(N691="","",F691*N691)),""))</f>
        <v/>
      </c>
      <c r="P691" s="50">
        <f>IF(OR(D691="",F691=""),"",F691*IF(OR(D691="Reçu du magasin",D691="Ajustement (+)"),1,-1))</f>
        <v/>
      </c>
      <c r="Q691" s="34">
        <f>IF(C691="","",YEAR(C691-WEEKDAY(C691,2)+4)&amp;"-S"&amp;TEXT(INT((C691-DATE(YEAR(C691-WEEKDAY(C691,2)+4),1,3)+WEEKDAY(DATE(YEAR(C691-WEEKDAY(C691,2)+4),1,3),2)+5)/7),"00"))</f>
        <v/>
      </c>
    </row>
    <row r="692" ht="18" customHeight="1">
      <c r="A692" s="39" t="n">
        <v>687</v>
      </c>
      <c r="B692" s="33">
        <f>IF(C692="","",IF(L692="À RENSEIGNER","GIC",L692)&amp;"-S"&amp;TEXT(A692,"00000"))</f>
        <v/>
      </c>
      <c r="C692" s="32" t="n"/>
      <c r="D692" s="36" t="n"/>
      <c r="E692" s="36" t="n"/>
      <c r="F692" s="42" t="n"/>
      <c r="G692" s="36" t="n"/>
      <c r="H692" s="43" t="n"/>
      <c r="I692" s="37" t="n"/>
      <c r="J692" s="44" t="n"/>
      <c r="K692" s="36" t="n"/>
      <c r="L692" s="33">
        <f>IF(C692="","",Commercial_Id)</f>
        <v/>
      </c>
      <c r="M692" s="34">
        <f>IF(E692="","",IFERROR(VLOOKUP(E692,T_Produits,2,FALSE),""))</f>
        <v/>
      </c>
      <c r="N692" s="40">
        <f>IF(E692="","",IFERROR(1/(1/VLOOKUP(E692,T_Produits,3,FALSE)),""))</f>
        <v/>
      </c>
      <c r="O692" s="40">
        <f>IF(OR(D692="",F692=""),"",IF(OR(D692="Casse / avarie",D692="Perte / vol",D692="Échantillon offert"),IF(I692&lt;&gt;"",I692,IF(N692="","",F692*N692)),""))</f>
        <v/>
      </c>
      <c r="P692" s="50">
        <f>IF(OR(D692="",F692=""),"",F692*IF(OR(D692="Reçu du magasin",D692="Ajustement (+)"),1,-1))</f>
        <v/>
      </c>
      <c r="Q692" s="34">
        <f>IF(C692="","",YEAR(C692-WEEKDAY(C692,2)+4)&amp;"-S"&amp;TEXT(INT((C692-DATE(YEAR(C692-WEEKDAY(C692,2)+4),1,3)+WEEKDAY(DATE(YEAR(C692-WEEKDAY(C692,2)+4),1,3),2)+5)/7),"00"))</f>
        <v/>
      </c>
    </row>
    <row r="693" ht="18" customHeight="1">
      <c r="A693" s="39" t="n">
        <v>688</v>
      </c>
      <c r="B693" s="33">
        <f>IF(C693="","",IF(L693="À RENSEIGNER","GIC",L693)&amp;"-S"&amp;TEXT(A693,"00000"))</f>
        <v/>
      </c>
      <c r="C693" s="32" t="n"/>
      <c r="D693" s="36" t="n"/>
      <c r="E693" s="36" t="n"/>
      <c r="F693" s="42" t="n"/>
      <c r="G693" s="36" t="n"/>
      <c r="H693" s="43" t="n"/>
      <c r="I693" s="37" t="n"/>
      <c r="J693" s="44" t="n"/>
      <c r="K693" s="36" t="n"/>
      <c r="L693" s="33">
        <f>IF(C693="","",Commercial_Id)</f>
        <v/>
      </c>
      <c r="M693" s="34">
        <f>IF(E693="","",IFERROR(VLOOKUP(E693,T_Produits,2,FALSE),""))</f>
        <v/>
      </c>
      <c r="N693" s="40">
        <f>IF(E693="","",IFERROR(1/(1/VLOOKUP(E693,T_Produits,3,FALSE)),""))</f>
        <v/>
      </c>
      <c r="O693" s="40">
        <f>IF(OR(D693="",F693=""),"",IF(OR(D693="Casse / avarie",D693="Perte / vol",D693="Échantillon offert"),IF(I693&lt;&gt;"",I693,IF(N693="","",F693*N693)),""))</f>
        <v/>
      </c>
      <c r="P693" s="50">
        <f>IF(OR(D693="",F693=""),"",F693*IF(OR(D693="Reçu du magasin",D693="Ajustement (+)"),1,-1))</f>
        <v/>
      </c>
      <c r="Q693" s="34">
        <f>IF(C693="","",YEAR(C693-WEEKDAY(C693,2)+4)&amp;"-S"&amp;TEXT(INT((C693-DATE(YEAR(C693-WEEKDAY(C693,2)+4),1,3)+WEEKDAY(DATE(YEAR(C693-WEEKDAY(C693,2)+4),1,3),2)+5)/7),"00"))</f>
        <v/>
      </c>
    </row>
    <row r="694" ht="18" customHeight="1">
      <c r="A694" s="39" t="n">
        <v>689</v>
      </c>
      <c r="B694" s="33">
        <f>IF(C694="","",IF(L694="À RENSEIGNER","GIC",L694)&amp;"-S"&amp;TEXT(A694,"00000"))</f>
        <v/>
      </c>
      <c r="C694" s="32" t="n"/>
      <c r="D694" s="36" t="n"/>
      <c r="E694" s="36" t="n"/>
      <c r="F694" s="42" t="n"/>
      <c r="G694" s="36" t="n"/>
      <c r="H694" s="43" t="n"/>
      <c r="I694" s="37" t="n"/>
      <c r="J694" s="44" t="n"/>
      <c r="K694" s="36" t="n"/>
      <c r="L694" s="33">
        <f>IF(C694="","",Commercial_Id)</f>
        <v/>
      </c>
      <c r="M694" s="34">
        <f>IF(E694="","",IFERROR(VLOOKUP(E694,T_Produits,2,FALSE),""))</f>
        <v/>
      </c>
      <c r="N694" s="40">
        <f>IF(E694="","",IFERROR(1/(1/VLOOKUP(E694,T_Produits,3,FALSE)),""))</f>
        <v/>
      </c>
      <c r="O694" s="40">
        <f>IF(OR(D694="",F694=""),"",IF(OR(D694="Casse / avarie",D694="Perte / vol",D694="Échantillon offert"),IF(I694&lt;&gt;"",I694,IF(N694="","",F694*N694)),""))</f>
        <v/>
      </c>
      <c r="P694" s="50">
        <f>IF(OR(D694="",F694=""),"",F694*IF(OR(D694="Reçu du magasin",D694="Ajustement (+)"),1,-1))</f>
        <v/>
      </c>
      <c r="Q694" s="34">
        <f>IF(C694="","",YEAR(C694-WEEKDAY(C694,2)+4)&amp;"-S"&amp;TEXT(INT((C694-DATE(YEAR(C694-WEEKDAY(C694,2)+4),1,3)+WEEKDAY(DATE(YEAR(C694-WEEKDAY(C694,2)+4),1,3),2)+5)/7),"00"))</f>
        <v/>
      </c>
    </row>
    <row r="695" ht="18" customHeight="1">
      <c r="A695" s="39" t="n">
        <v>690</v>
      </c>
      <c r="B695" s="33">
        <f>IF(C695="","",IF(L695="À RENSEIGNER","GIC",L695)&amp;"-S"&amp;TEXT(A695,"00000"))</f>
        <v/>
      </c>
      <c r="C695" s="32" t="n"/>
      <c r="D695" s="36" t="n"/>
      <c r="E695" s="36" t="n"/>
      <c r="F695" s="42" t="n"/>
      <c r="G695" s="36" t="n"/>
      <c r="H695" s="43" t="n"/>
      <c r="I695" s="37" t="n"/>
      <c r="J695" s="44" t="n"/>
      <c r="K695" s="36" t="n"/>
      <c r="L695" s="33">
        <f>IF(C695="","",Commercial_Id)</f>
        <v/>
      </c>
      <c r="M695" s="34">
        <f>IF(E695="","",IFERROR(VLOOKUP(E695,T_Produits,2,FALSE),""))</f>
        <v/>
      </c>
      <c r="N695" s="40">
        <f>IF(E695="","",IFERROR(1/(1/VLOOKUP(E695,T_Produits,3,FALSE)),""))</f>
        <v/>
      </c>
      <c r="O695" s="40">
        <f>IF(OR(D695="",F695=""),"",IF(OR(D695="Casse / avarie",D695="Perte / vol",D695="Échantillon offert"),IF(I695&lt;&gt;"",I695,IF(N695="","",F695*N695)),""))</f>
        <v/>
      </c>
      <c r="P695" s="50">
        <f>IF(OR(D695="",F695=""),"",F695*IF(OR(D695="Reçu du magasin",D695="Ajustement (+)"),1,-1))</f>
        <v/>
      </c>
      <c r="Q695" s="34">
        <f>IF(C695="","",YEAR(C695-WEEKDAY(C695,2)+4)&amp;"-S"&amp;TEXT(INT((C695-DATE(YEAR(C695-WEEKDAY(C695,2)+4),1,3)+WEEKDAY(DATE(YEAR(C695-WEEKDAY(C695,2)+4),1,3),2)+5)/7),"00"))</f>
        <v/>
      </c>
    </row>
    <row r="696" ht="18" customHeight="1">
      <c r="A696" s="39" t="n">
        <v>691</v>
      </c>
      <c r="B696" s="33">
        <f>IF(C696="","",IF(L696="À RENSEIGNER","GIC",L696)&amp;"-S"&amp;TEXT(A696,"00000"))</f>
        <v/>
      </c>
      <c r="C696" s="32" t="n"/>
      <c r="D696" s="36" t="n"/>
      <c r="E696" s="36" t="n"/>
      <c r="F696" s="42" t="n"/>
      <c r="G696" s="36" t="n"/>
      <c r="H696" s="43" t="n"/>
      <c r="I696" s="37" t="n"/>
      <c r="J696" s="44" t="n"/>
      <c r="K696" s="36" t="n"/>
      <c r="L696" s="33">
        <f>IF(C696="","",Commercial_Id)</f>
        <v/>
      </c>
      <c r="M696" s="34">
        <f>IF(E696="","",IFERROR(VLOOKUP(E696,T_Produits,2,FALSE),""))</f>
        <v/>
      </c>
      <c r="N696" s="40">
        <f>IF(E696="","",IFERROR(1/(1/VLOOKUP(E696,T_Produits,3,FALSE)),""))</f>
        <v/>
      </c>
      <c r="O696" s="40">
        <f>IF(OR(D696="",F696=""),"",IF(OR(D696="Casse / avarie",D696="Perte / vol",D696="Échantillon offert"),IF(I696&lt;&gt;"",I696,IF(N696="","",F696*N696)),""))</f>
        <v/>
      </c>
      <c r="P696" s="50">
        <f>IF(OR(D696="",F696=""),"",F696*IF(OR(D696="Reçu du magasin",D696="Ajustement (+)"),1,-1))</f>
        <v/>
      </c>
      <c r="Q696" s="34">
        <f>IF(C696="","",YEAR(C696-WEEKDAY(C696,2)+4)&amp;"-S"&amp;TEXT(INT((C696-DATE(YEAR(C696-WEEKDAY(C696,2)+4),1,3)+WEEKDAY(DATE(YEAR(C696-WEEKDAY(C696,2)+4),1,3),2)+5)/7),"00"))</f>
        <v/>
      </c>
    </row>
    <row r="697" ht="18" customHeight="1">
      <c r="A697" s="39" t="n">
        <v>692</v>
      </c>
      <c r="B697" s="33">
        <f>IF(C697="","",IF(L697="À RENSEIGNER","GIC",L697)&amp;"-S"&amp;TEXT(A697,"00000"))</f>
        <v/>
      </c>
      <c r="C697" s="32" t="n"/>
      <c r="D697" s="36" t="n"/>
      <c r="E697" s="36" t="n"/>
      <c r="F697" s="42" t="n"/>
      <c r="G697" s="36" t="n"/>
      <c r="H697" s="43" t="n"/>
      <c r="I697" s="37" t="n"/>
      <c r="J697" s="44" t="n"/>
      <c r="K697" s="36" t="n"/>
      <c r="L697" s="33">
        <f>IF(C697="","",Commercial_Id)</f>
        <v/>
      </c>
      <c r="M697" s="34">
        <f>IF(E697="","",IFERROR(VLOOKUP(E697,T_Produits,2,FALSE),""))</f>
        <v/>
      </c>
      <c r="N697" s="40">
        <f>IF(E697="","",IFERROR(1/(1/VLOOKUP(E697,T_Produits,3,FALSE)),""))</f>
        <v/>
      </c>
      <c r="O697" s="40">
        <f>IF(OR(D697="",F697=""),"",IF(OR(D697="Casse / avarie",D697="Perte / vol",D697="Échantillon offert"),IF(I697&lt;&gt;"",I697,IF(N697="","",F697*N697)),""))</f>
        <v/>
      </c>
      <c r="P697" s="50">
        <f>IF(OR(D697="",F697=""),"",F697*IF(OR(D697="Reçu du magasin",D697="Ajustement (+)"),1,-1))</f>
        <v/>
      </c>
      <c r="Q697" s="34">
        <f>IF(C697="","",YEAR(C697-WEEKDAY(C697,2)+4)&amp;"-S"&amp;TEXT(INT((C697-DATE(YEAR(C697-WEEKDAY(C697,2)+4),1,3)+WEEKDAY(DATE(YEAR(C697-WEEKDAY(C697,2)+4),1,3),2)+5)/7),"00"))</f>
        <v/>
      </c>
    </row>
    <row r="698" ht="18" customHeight="1">
      <c r="A698" s="39" t="n">
        <v>693</v>
      </c>
      <c r="B698" s="33">
        <f>IF(C698="","",IF(L698="À RENSEIGNER","GIC",L698)&amp;"-S"&amp;TEXT(A698,"00000"))</f>
        <v/>
      </c>
      <c r="C698" s="32" t="n"/>
      <c r="D698" s="36" t="n"/>
      <c r="E698" s="36" t="n"/>
      <c r="F698" s="42" t="n"/>
      <c r="G698" s="36" t="n"/>
      <c r="H698" s="43" t="n"/>
      <c r="I698" s="37" t="n"/>
      <c r="J698" s="44" t="n"/>
      <c r="K698" s="36" t="n"/>
      <c r="L698" s="33">
        <f>IF(C698="","",Commercial_Id)</f>
        <v/>
      </c>
      <c r="M698" s="34">
        <f>IF(E698="","",IFERROR(VLOOKUP(E698,T_Produits,2,FALSE),""))</f>
        <v/>
      </c>
      <c r="N698" s="40">
        <f>IF(E698="","",IFERROR(1/(1/VLOOKUP(E698,T_Produits,3,FALSE)),""))</f>
        <v/>
      </c>
      <c r="O698" s="40">
        <f>IF(OR(D698="",F698=""),"",IF(OR(D698="Casse / avarie",D698="Perte / vol",D698="Échantillon offert"),IF(I698&lt;&gt;"",I698,IF(N698="","",F698*N698)),""))</f>
        <v/>
      </c>
      <c r="P698" s="50">
        <f>IF(OR(D698="",F698=""),"",F698*IF(OR(D698="Reçu du magasin",D698="Ajustement (+)"),1,-1))</f>
        <v/>
      </c>
      <c r="Q698" s="34">
        <f>IF(C698="","",YEAR(C698-WEEKDAY(C698,2)+4)&amp;"-S"&amp;TEXT(INT((C698-DATE(YEAR(C698-WEEKDAY(C698,2)+4),1,3)+WEEKDAY(DATE(YEAR(C698-WEEKDAY(C698,2)+4),1,3),2)+5)/7),"00"))</f>
        <v/>
      </c>
    </row>
    <row r="699" ht="18" customHeight="1">
      <c r="A699" s="39" t="n">
        <v>694</v>
      </c>
      <c r="B699" s="33">
        <f>IF(C699="","",IF(L699="À RENSEIGNER","GIC",L699)&amp;"-S"&amp;TEXT(A699,"00000"))</f>
        <v/>
      </c>
      <c r="C699" s="32" t="n"/>
      <c r="D699" s="36" t="n"/>
      <c r="E699" s="36" t="n"/>
      <c r="F699" s="42" t="n"/>
      <c r="G699" s="36" t="n"/>
      <c r="H699" s="43" t="n"/>
      <c r="I699" s="37" t="n"/>
      <c r="J699" s="44" t="n"/>
      <c r="K699" s="36" t="n"/>
      <c r="L699" s="33">
        <f>IF(C699="","",Commercial_Id)</f>
        <v/>
      </c>
      <c r="M699" s="34">
        <f>IF(E699="","",IFERROR(VLOOKUP(E699,T_Produits,2,FALSE),""))</f>
        <v/>
      </c>
      <c r="N699" s="40">
        <f>IF(E699="","",IFERROR(1/(1/VLOOKUP(E699,T_Produits,3,FALSE)),""))</f>
        <v/>
      </c>
      <c r="O699" s="40">
        <f>IF(OR(D699="",F699=""),"",IF(OR(D699="Casse / avarie",D699="Perte / vol",D699="Échantillon offert"),IF(I699&lt;&gt;"",I699,IF(N699="","",F699*N699)),""))</f>
        <v/>
      </c>
      <c r="P699" s="50">
        <f>IF(OR(D699="",F699=""),"",F699*IF(OR(D699="Reçu du magasin",D699="Ajustement (+)"),1,-1))</f>
        <v/>
      </c>
      <c r="Q699" s="34">
        <f>IF(C699="","",YEAR(C699-WEEKDAY(C699,2)+4)&amp;"-S"&amp;TEXT(INT((C699-DATE(YEAR(C699-WEEKDAY(C699,2)+4),1,3)+WEEKDAY(DATE(YEAR(C699-WEEKDAY(C699,2)+4),1,3),2)+5)/7),"00"))</f>
        <v/>
      </c>
    </row>
    <row r="700" ht="18" customHeight="1">
      <c r="A700" s="39" t="n">
        <v>695</v>
      </c>
      <c r="B700" s="33">
        <f>IF(C700="","",IF(L700="À RENSEIGNER","GIC",L700)&amp;"-S"&amp;TEXT(A700,"00000"))</f>
        <v/>
      </c>
      <c r="C700" s="32" t="n"/>
      <c r="D700" s="36" t="n"/>
      <c r="E700" s="36" t="n"/>
      <c r="F700" s="42" t="n"/>
      <c r="G700" s="36" t="n"/>
      <c r="H700" s="43" t="n"/>
      <c r="I700" s="37" t="n"/>
      <c r="J700" s="44" t="n"/>
      <c r="K700" s="36" t="n"/>
      <c r="L700" s="33">
        <f>IF(C700="","",Commercial_Id)</f>
        <v/>
      </c>
      <c r="M700" s="34">
        <f>IF(E700="","",IFERROR(VLOOKUP(E700,T_Produits,2,FALSE),""))</f>
        <v/>
      </c>
      <c r="N700" s="40">
        <f>IF(E700="","",IFERROR(1/(1/VLOOKUP(E700,T_Produits,3,FALSE)),""))</f>
        <v/>
      </c>
      <c r="O700" s="40">
        <f>IF(OR(D700="",F700=""),"",IF(OR(D700="Casse / avarie",D700="Perte / vol",D700="Échantillon offert"),IF(I700&lt;&gt;"",I700,IF(N700="","",F700*N700)),""))</f>
        <v/>
      </c>
      <c r="P700" s="50">
        <f>IF(OR(D700="",F700=""),"",F700*IF(OR(D700="Reçu du magasin",D700="Ajustement (+)"),1,-1))</f>
        <v/>
      </c>
      <c r="Q700" s="34">
        <f>IF(C700="","",YEAR(C700-WEEKDAY(C700,2)+4)&amp;"-S"&amp;TEXT(INT((C700-DATE(YEAR(C700-WEEKDAY(C700,2)+4),1,3)+WEEKDAY(DATE(YEAR(C700-WEEKDAY(C700,2)+4),1,3),2)+5)/7),"00"))</f>
        <v/>
      </c>
    </row>
    <row r="701" ht="18" customHeight="1">
      <c r="A701" s="39" t="n">
        <v>696</v>
      </c>
      <c r="B701" s="33">
        <f>IF(C701="","",IF(L701="À RENSEIGNER","GIC",L701)&amp;"-S"&amp;TEXT(A701,"00000"))</f>
        <v/>
      </c>
      <c r="C701" s="32" t="n"/>
      <c r="D701" s="36" t="n"/>
      <c r="E701" s="36" t="n"/>
      <c r="F701" s="42" t="n"/>
      <c r="G701" s="36" t="n"/>
      <c r="H701" s="43" t="n"/>
      <c r="I701" s="37" t="n"/>
      <c r="J701" s="44" t="n"/>
      <c r="K701" s="36" t="n"/>
      <c r="L701" s="33">
        <f>IF(C701="","",Commercial_Id)</f>
        <v/>
      </c>
      <c r="M701" s="34">
        <f>IF(E701="","",IFERROR(VLOOKUP(E701,T_Produits,2,FALSE),""))</f>
        <v/>
      </c>
      <c r="N701" s="40">
        <f>IF(E701="","",IFERROR(1/(1/VLOOKUP(E701,T_Produits,3,FALSE)),""))</f>
        <v/>
      </c>
      <c r="O701" s="40">
        <f>IF(OR(D701="",F701=""),"",IF(OR(D701="Casse / avarie",D701="Perte / vol",D701="Échantillon offert"),IF(I701&lt;&gt;"",I701,IF(N701="","",F701*N701)),""))</f>
        <v/>
      </c>
      <c r="P701" s="50">
        <f>IF(OR(D701="",F701=""),"",F701*IF(OR(D701="Reçu du magasin",D701="Ajustement (+)"),1,-1))</f>
        <v/>
      </c>
      <c r="Q701" s="34">
        <f>IF(C701="","",YEAR(C701-WEEKDAY(C701,2)+4)&amp;"-S"&amp;TEXT(INT((C701-DATE(YEAR(C701-WEEKDAY(C701,2)+4),1,3)+WEEKDAY(DATE(YEAR(C701-WEEKDAY(C701,2)+4),1,3),2)+5)/7),"00"))</f>
        <v/>
      </c>
    </row>
    <row r="702" ht="18" customHeight="1">
      <c r="A702" s="39" t="n">
        <v>697</v>
      </c>
      <c r="B702" s="33">
        <f>IF(C702="","",IF(L702="À RENSEIGNER","GIC",L702)&amp;"-S"&amp;TEXT(A702,"00000"))</f>
        <v/>
      </c>
      <c r="C702" s="32" t="n"/>
      <c r="D702" s="36" t="n"/>
      <c r="E702" s="36" t="n"/>
      <c r="F702" s="42" t="n"/>
      <c r="G702" s="36" t="n"/>
      <c r="H702" s="43" t="n"/>
      <c r="I702" s="37" t="n"/>
      <c r="J702" s="44" t="n"/>
      <c r="K702" s="36" t="n"/>
      <c r="L702" s="33">
        <f>IF(C702="","",Commercial_Id)</f>
        <v/>
      </c>
      <c r="M702" s="34">
        <f>IF(E702="","",IFERROR(VLOOKUP(E702,T_Produits,2,FALSE),""))</f>
        <v/>
      </c>
      <c r="N702" s="40">
        <f>IF(E702="","",IFERROR(1/(1/VLOOKUP(E702,T_Produits,3,FALSE)),""))</f>
        <v/>
      </c>
      <c r="O702" s="40">
        <f>IF(OR(D702="",F702=""),"",IF(OR(D702="Casse / avarie",D702="Perte / vol",D702="Échantillon offert"),IF(I702&lt;&gt;"",I702,IF(N702="","",F702*N702)),""))</f>
        <v/>
      </c>
      <c r="P702" s="50">
        <f>IF(OR(D702="",F702=""),"",F702*IF(OR(D702="Reçu du magasin",D702="Ajustement (+)"),1,-1))</f>
        <v/>
      </c>
      <c r="Q702" s="34">
        <f>IF(C702="","",YEAR(C702-WEEKDAY(C702,2)+4)&amp;"-S"&amp;TEXT(INT((C702-DATE(YEAR(C702-WEEKDAY(C702,2)+4),1,3)+WEEKDAY(DATE(YEAR(C702-WEEKDAY(C702,2)+4),1,3),2)+5)/7),"00"))</f>
        <v/>
      </c>
    </row>
    <row r="703" ht="18" customHeight="1">
      <c r="A703" s="39" t="n">
        <v>698</v>
      </c>
      <c r="B703" s="33">
        <f>IF(C703="","",IF(L703="À RENSEIGNER","GIC",L703)&amp;"-S"&amp;TEXT(A703,"00000"))</f>
        <v/>
      </c>
      <c r="C703" s="32" t="n"/>
      <c r="D703" s="36" t="n"/>
      <c r="E703" s="36" t="n"/>
      <c r="F703" s="42" t="n"/>
      <c r="G703" s="36" t="n"/>
      <c r="H703" s="43" t="n"/>
      <c r="I703" s="37" t="n"/>
      <c r="J703" s="44" t="n"/>
      <c r="K703" s="36" t="n"/>
      <c r="L703" s="33">
        <f>IF(C703="","",Commercial_Id)</f>
        <v/>
      </c>
      <c r="M703" s="34">
        <f>IF(E703="","",IFERROR(VLOOKUP(E703,T_Produits,2,FALSE),""))</f>
        <v/>
      </c>
      <c r="N703" s="40">
        <f>IF(E703="","",IFERROR(1/(1/VLOOKUP(E703,T_Produits,3,FALSE)),""))</f>
        <v/>
      </c>
      <c r="O703" s="40">
        <f>IF(OR(D703="",F703=""),"",IF(OR(D703="Casse / avarie",D703="Perte / vol",D703="Échantillon offert"),IF(I703&lt;&gt;"",I703,IF(N703="","",F703*N703)),""))</f>
        <v/>
      </c>
      <c r="P703" s="50">
        <f>IF(OR(D703="",F703=""),"",F703*IF(OR(D703="Reçu du magasin",D703="Ajustement (+)"),1,-1))</f>
        <v/>
      </c>
      <c r="Q703" s="34">
        <f>IF(C703="","",YEAR(C703-WEEKDAY(C703,2)+4)&amp;"-S"&amp;TEXT(INT((C703-DATE(YEAR(C703-WEEKDAY(C703,2)+4),1,3)+WEEKDAY(DATE(YEAR(C703-WEEKDAY(C703,2)+4),1,3),2)+5)/7),"00"))</f>
        <v/>
      </c>
    </row>
    <row r="704" ht="18" customHeight="1">
      <c r="A704" s="39" t="n">
        <v>699</v>
      </c>
      <c r="B704" s="33">
        <f>IF(C704="","",IF(L704="À RENSEIGNER","GIC",L704)&amp;"-S"&amp;TEXT(A704,"00000"))</f>
        <v/>
      </c>
      <c r="C704" s="32" t="n"/>
      <c r="D704" s="36" t="n"/>
      <c r="E704" s="36" t="n"/>
      <c r="F704" s="42" t="n"/>
      <c r="G704" s="36" t="n"/>
      <c r="H704" s="43" t="n"/>
      <c r="I704" s="37" t="n"/>
      <c r="J704" s="44" t="n"/>
      <c r="K704" s="36" t="n"/>
      <c r="L704" s="33">
        <f>IF(C704="","",Commercial_Id)</f>
        <v/>
      </c>
      <c r="M704" s="34">
        <f>IF(E704="","",IFERROR(VLOOKUP(E704,T_Produits,2,FALSE),""))</f>
        <v/>
      </c>
      <c r="N704" s="40">
        <f>IF(E704="","",IFERROR(1/(1/VLOOKUP(E704,T_Produits,3,FALSE)),""))</f>
        <v/>
      </c>
      <c r="O704" s="40">
        <f>IF(OR(D704="",F704=""),"",IF(OR(D704="Casse / avarie",D704="Perte / vol",D704="Échantillon offert"),IF(I704&lt;&gt;"",I704,IF(N704="","",F704*N704)),""))</f>
        <v/>
      </c>
      <c r="P704" s="50">
        <f>IF(OR(D704="",F704=""),"",F704*IF(OR(D704="Reçu du magasin",D704="Ajustement (+)"),1,-1))</f>
        <v/>
      </c>
      <c r="Q704" s="34">
        <f>IF(C704="","",YEAR(C704-WEEKDAY(C704,2)+4)&amp;"-S"&amp;TEXT(INT((C704-DATE(YEAR(C704-WEEKDAY(C704,2)+4),1,3)+WEEKDAY(DATE(YEAR(C704-WEEKDAY(C704,2)+4),1,3),2)+5)/7),"00"))</f>
        <v/>
      </c>
    </row>
    <row r="705" ht="18" customHeight="1">
      <c r="A705" s="39" t="n">
        <v>700</v>
      </c>
      <c r="B705" s="33">
        <f>IF(C705="","",IF(L705="À RENSEIGNER","GIC",L705)&amp;"-S"&amp;TEXT(A705,"00000"))</f>
        <v/>
      </c>
      <c r="C705" s="32" t="n"/>
      <c r="D705" s="36" t="n"/>
      <c r="E705" s="36" t="n"/>
      <c r="F705" s="42" t="n"/>
      <c r="G705" s="36" t="n"/>
      <c r="H705" s="43" t="n"/>
      <c r="I705" s="37" t="n"/>
      <c r="J705" s="44" t="n"/>
      <c r="K705" s="36" t="n"/>
      <c r="L705" s="33">
        <f>IF(C705="","",Commercial_Id)</f>
        <v/>
      </c>
      <c r="M705" s="34">
        <f>IF(E705="","",IFERROR(VLOOKUP(E705,T_Produits,2,FALSE),""))</f>
        <v/>
      </c>
      <c r="N705" s="40">
        <f>IF(E705="","",IFERROR(1/(1/VLOOKUP(E705,T_Produits,3,FALSE)),""))</f>
        <v/>
      </c>
      <c r="O705" s="40">
        <f>IF(OR(D705="",F705=""),"",IF(OR(D705="Casse / avarie",D705="Perte / vol",D705="Échantillon offert"),IF(I705&lt;&gt;"",I705,IF(N705="","",F705*N705)),""))</f>
        <v/>
      </c>
      <c r="P705" s="50">
        <f>IF(OR(D705="",F705=""),"",F705*IF(OR(D705="Reçu du magasin",D705="Ajustement (+)"),1,-1))</f>
        <v/>
      </c>
      <c r="Q705" s="34">
        <f>IF(C705="","",YEAR(C705-WEEKDAY(C705,2)+4)&amp;"-S"&amp;TEXT(INT((C705-DATE(YEAR(C705-WEEKDAY(C705,2)+4),1,3)+WEEKDAY(DATE(YEAR(C705-WEEKDAY(C705,2)+4),1,3),2)+5)/7),"00"))</f>
        <v/>
      </c>
    </row>
    <row r="706" ht="18" customHeight="1">
      <c r="A706" s="39" t="n">
        <v>701</v>
      </c>
      <c r="B706" s="33">
        <f>IF(C706="","",IF(L706="À RENSEIGNER","GIC",L706)&amp;"-S"&amp;TEXT(A706,"00000"))</f>
        <v/>
      </c>
      <c r="C706" s="32" t="n"/>
      <c r="D706" s="36" t="n"/>
      <c r="E706" s="36" t="n"/>
      <c r="F706" s="42" t="n"/>
      <c r="G706" s="36" t="n"/>
      <c r="H706" s="43" t="n"/>
      <c r="I706" s="37" t="n"/>
      <c r="J706" s="44" t="n"/>
      <c r="K706" s="36" t="n"/>
      <c r="L706" s="33">
        <f>IF(C706="","",Commercial_Id)</f>
        <v/>
      </c>
      <c r="M706" s="34">
        <f>IF(E706="","",IFERROR(VLOOKUP(E706,T_Produits,2,FALSE),""))</f>
        <v/>
      </c>
      <c r="N706" s="40">
        <f>IF(E706="","",IFERROR(1/(1/VLOOKUP(E706,T_Produits,3,FALSE)),""))</f>
        <v/>
      </c>
      <c r="O706" s="40">
        <f>IF(OR(D706="",F706=""),"",IF(OR(D706="Casse / avarie",D706="Perte / vol",D706="Échantillon offert"),IF(I706&lt;&gt;"",I706,IF(N706="","",F706*N706)),""))</f>
        <v/>
      </c>
      <c r="P706" s="50">
        <f>IF(OR(D706="",F706=""),"",F706*IF(OR(D706="Reçu du magasin",D706="Ajustement (+)"),1,-1))</f>
        <v/>
      </c>
      <c r="Q706" s="34">
        <f>IF(C706="","",YEAR(C706-WEEKDAY(C706,2)+4)&amp;"-S"&amp;TEXT(INT((C706-DATE(YEAR(C706-WEEKDAY(C706,2)+4),1,3)+WEEKDAY(DATE(YEAR(C706-WEEKDAY(C706,2)+4),1,3),2)+5)/7),"00"))</f>
        <v/>
      </c>
    </row>
    <row r="707" ht="18" customHeight="1">
      <c r="A707" s="39" t="n">
        <v>702</v>
      </c>
      <c r="B707" s="33">
        <f>IF(C707="","",IF(L707="À RENSEIGNER","GIC",L707)&amp;"-S"&amp;TEXT(A707,"00000"))</f>
        <v/>
      </c>
      <c r="C707" s="32" t="n"/>
      <c r="D707" s="36" t="n"/>
      <c r="E707" s="36" t="n"/>
      <c r="F707" s="42" t="n"/>
      <c r="G707" s="36" t="n"/>
      <c r="H707" s="43" t="n"/>
      <c r="I707" s="37" t="n"/>
      <c r="J707" s="44" t="n"/>
      <c r="K707" s="36" t="n"/>
      <c r="L707" s="33">
        <f>IF(C707="","",Commercial_Id)</f>
        <v/>
      </c>
      <c r="M707" s="34">
        <f>IF(E707="","",IFERROR(VLOOKUP(E707,T_Produits,2,FALSE),""))</f>
        <v/>
      </c>
      <c r="N707" s="40">
        <f>IF(E707="","",IFERROR(1/(1/VLOOKUP(E707,T_Produits,3,FALSE)),""))</f>
        <v/>
      </c>
      <c r="O707" s="40">
        <f>IF(OR(D707="",F707=""),"",IF(OR(D707="Casse / avarie",D707="Perte / vol",D707="Échantillon offert"),IF(I707&lt;&gt;"",I707,IF(N707="","",F707*N707)),""))</f>
        <v/>
      </c>
      <c r="P707" s="50">
        <f>IF(OR(D707="",F707=""),"",F707*IF(OR(D707="Reçu du magasin",D707="Ajustement (+)"),1,-1))</f>
        <v/>
      </c>
      <c r="Q707" s="34">
        <f>IF(C707="","",YEAR(C707-WEEKDAY(C707,2)+4)&amp;"-S"&amp;TEXT(INT((C707-DATE(YEAR(C707-WEEKDAY(C707,2)+4),1,3)+WEEKDAY(DATE(YEAR(C707-WEEKDAY(C707,2)+4),1,3),2)+5)/7),"00"))</f>
        <v/>
      </c>
    </row>
    <row r="708" ht="18" customHeight="1">
      <c r="A708" s="39" t="n">
        <v>703</v>
      </c>
      <c r="B708" s="33">
        <f>IF(C708="","",IF(L708="À RENSEIGNER","GIC",L708)&amp;"-S"&amp;TEXT(A708,"00000"))</f>
        <v/>
      </c>
      <c r="C708" s="32" t="n"/>
      <c r="D708" s="36" t="n"/>
      <c r="E708" s="36" t="n"/>
      <c r="F708" s="42" t="n"/>
      <c r="G708" s="36" t="n"/>
      <c r="H708" s="43" t="n"/>
      <c r="I708" s="37" t="n"/>
      <c r="J708" s="44" t="n"/>
      <c r="K708" s="36" t="n"/>
      <c r="L708" s="33">
        <f>IF(C708="","",Commercial_Id)</f>
        <v/>
      </c>
      <c r="M708" s="34">
        <f>IF(E708="","",IFERROR(VLOOKUP(E708,T_Produits,2,FALSE),""))</f>
        <v/>
      </c>
      <c r="N708" s="40">
        <f>IF(E708="","",IFERROR(1/(1/VLOOKUP(E708,T_Produits,3,FALSE)),""))</f>
        <v/>
      </c>
      <c r="O708" s="40">
        <f>IF(OR(D708="",F708=""),"",IF(OR(D708="Casse / avarie",D708="Perte / vol",D708="Échantillon offert"),IF(I708&lt;&gt;"",I708,IF(N708="","",F708*N708)),""))</f>
        <v/>
      </c>
      <c r="P708" s="50">
        <f>IF(OR(D708="",F708=""),"",F708*IF(OR(D708="Reçu du magasin",D708="Ajustement (+)"),1,-1))</f>
        <v/>
      </c>
      <c r="Q708" s="34">
        <f>IF(C708="","",YEAR(C708-WEEKDAY(C708,2)+4)&amp;"-S"&amp;TEXT(INT((C708-DATE(YEAR(C708-WEEKDAY(C708,2)+4),1,3)+WEEKDAY(DATE(YEAR(C708-WEEKDAY(C708,2)+4),1,3),2)+5)/7),"00"))</f>
        <v/>
      </c>
    </row>
    <row r="709" ht="18" customHeight="1">
      <c r="A709" s="39" t="n">
        <v>704</v>
      </c>
      <c r="B709" s="33">
        <f>IF(C709="","",IF(L709="À RENSEIGNER","GIC",L709)&amp;"-S"&amp;TEXT(A709,"00000"))</f>
        <v/>
      </c>
      <c r="C709" s="32" t="n"/>
      <c r="D709" s="36" t="n"/>
      <c r="E709" s="36" t="n"/>
      <c r="F709" s="42" t="n"/>
      <c r="G709" s="36" t="n"/>
      <c r="H709" s="43" t="n"/>
      <c r="I709" s="37" t="n"/>
      <c r="J709" s="44" t="n"/>
      <c r="K709" s="36" t="n"/>
      <c r="L709" s="33">
        <f>IF(C709="","",Commercial_Id)</f>
        <v/>
      </c>
      <c r="M709" s="34">
        <f>IF(E709="","",IFERROR(VLOOKUP(E709,T_Produits,2,FALSE),""))</f>
        <v/>
      </c>
      <c r="N709" s="40">
        <f>IF(E709="","",IFERROR(1/(1/VLOOKUP(E709,T_Produits,3,FALSE)),""))</f>
        <v/>
      </c>
      <c r="O709" s="40">
        <f>IF(OR(D709="",F709=""),"",IF(OR(D709="Casse / avarie",D709="Perte / vol",D709="Échantillon offert"),IF(I709&lt;&gt;"",I709,IF(N709="","",F709*N709)),""))</f>
        <v/>
      </c>
      <c r="P709" s="50">
        <f>IF(OR(D709="",F709=""),"",F709*IF(OR(D709="Reçu du magasin",D709="Ajustement (+)"),1,-1))</f>
        <v/>
      </c>
      <c r="Q709" s="34">
        <f>IF(C709="","",YEAR(C709-WEEKDAY(C709,2)+4)&amp;"-S"&amp;TEXT(INT((C709-DATE(YEAR(C709-WEEKDAY(C709,2)+4),1,3)+WEEKDAY(DATE(YEAR(C709-WEEKDAY(C709,2)+4),1,3),2)+5)/7),"00"))</f>
        <v/>
      </c>
    </row>
    <row r="710" ht="18" customHeight="1">
      <c r="A710" s="39" t="n">
        <v>705</v>
      </c>
      <c r="B710" s="33">
        <f>IF(C710="","",IF(L710="À RENSEIGNER","GIC",L710)&amp;"-S"&amp;TEXT(A710,"00000"))</f>
        <v/>
      </c>
      <c r="C710" s="32" t="n"/>
      <c r="D710" s="36" t="n"/>
      <c r="E710" s="36" t="n"/>
      <c r="F710" s="42" t="n"/>
      <c r="G710" s="36" t="n"/>
      <c r="H710" s="43" t="n"/>
      <c r="I710" s="37" t="n"/>
      <c r="J710" s="44" t="n"/>
      <c r="K710" s="36" t="n"/>
      <c r="L710" s="33">
        <f>IF(C710="","",Commercial_Id)</f>
        <v/>
      </c>
      <c r="M710" s="34">
        <f>IF(E710="","",IFERROR(VLOOKUP(E710,T_Produits,2,FALSE),""))</f>
        <v/>
      </c>
      <c r="N710" s="40">
        <f>IF(E710="","",IFERROR(1/(1/VLOOKUP(E710,T_Produits,3,FALSE)),""))</f>
        <v/>
      </c>
      <c r="O710" s="40">
        <f>IF(OR(D710="",F710=""),"",IF(OR(D710="Casse / avarie",D710="Perte / vol",D710="Échantillon offert"),IF(I710&lt;&gt;"",I710,IF(N710="","",F710*N710)),""))</f>
        <v/>
      </c>
      <c r="P710" s="50">
        <f>IF(OR(D710="",F710=""),"",F710*IF(OR(D710="Reçu du magasin",D710="Ajustement (+)"),1,-1))</f>
        <v/>
      </c>
      <c r="Q710" s="34">
        <f>IF(C710="","",YEAR(C710-WEEKDAY(C710,2)+4)&amp;"-S"&amp;TEXT(INT((C710-DATE(YEAR(C710-WEEKDAY(C710,2)+4),1,3)+WEEKDAY(DATE(YEAR(C710-WEEKDAY(C710,2)+4),1,3),2)+5)/7),"00"))</f>
        <v/>
      </c>
    </row>
    <row r="711" ht="18" customHeight="1">
      <c r="A711" s="39" t="n">
        <v>706</v>
      </c>
      <c r="B711" s="33">
        <f>IF(C711="","",IF(L711="À RENSEIGNER","GIC",L711)&amp;"-S"&amp;TEXT(A711,"00000"))</f>
        <v/>
      </c>
      <c r="C711" s="32" t="n"/>
      <c r="D711" s="36" t="n"/>
      <c r="E711" s="36" t="n"/>
      <c r="F711" s="42" t="n"/>
      <c r="G711" s="36" t="n"/>
      <c r="H711" s="43" t="n"/>
      <c r="I711" s="37" t="n"/>
      <c r="J711" s="44" t="n"/>
      <c r="K711" s="36" t="n"/>
      <c r="L711" s="33">
        <f>IF(C711="","",Commercial_Id)</f>
        <v/>
      </c>
      <c r="M711" s="34">
        <f>IF(E711="","",IFERROR(VLOOKUP(E711,T_Produits,2,FALSE),""))</f>
        <v/>
      </c>
      <c r="N711" s="40">
        <f>IF(E711="","",IFERROR(1/(1/VLOOKUP(E711,T_Produits,3,FALSE)),""))</f>
        <v/>
      </c>
      <c r="O711" s="40">
        <f>IF(OR(D711="",F711=""),"",IF(OR(D711="Casse / avarie",D711="Perte / vol",D711="Échantillon offert"),IF(I711&lt;&gt;"",I711,IF(N711="","",F711*N711)),""))</f>
        <v/>
      </c>
      <c r="P711" s="50">
        <f>IF(OR(D711="",F711=""),"",F711*IF(OR(D711="Reçu du magasin",D711="Ajustement (+)"),1,-1))</f>
        <v/>
      </c>
      <c r="Q711" s="34">
        <f>IF(C711="","",YEAR(C711-WEEKDAY(C711,2)+4)&amp;"-S"&amp;TEXT(INT((C711-DATE(YEAR(C711-WEEKDAY(C711,2)+4),1,3)+WEEKDAY(DATE(YEAR(C711-WEEKDAY(C711,2)+4),1,3),2)+5)/7),"00"))</f>
        <v/>
      </c>
    </row>
    <row r="712" ht="18" customHeight="1">
      <c r="A712" s="39" t="n">
        <v>707</v>
      </c>
      <c r="B712" s="33">
        <f>IF(C712="","",IF(L712="À RENSEIGNER","GIC",L712)&amp;"-S"&amp;TEXT(A712,"00000"))</f>
        <v/>
      </c>
      <c r="C712" s="32" t="n"/>
      <c r="D712" s="36" t="n"/>
      <c r="E712" s="36" t="n"/>
      <c r="F712" s="42" t="n"/>
      <c r="G712" s="36" t="n"/>
      <c r="H712" s="43" t="n"/>
      <c r="I712" s="37" t="n"/>
      <c r="J712" s="44" t="n"/>
      <c r="K712" s="36" t="n"/>
      <c r="L712" s="33">
        <f>IF(C712="","",Commercial_Id)</f>
        <v/>
      </c>
      <c r="M712" s="34">
        <f>IF(E712="","",IFERROR(VLOOKUP(E712,T_Produits,2,FALSE),""))</f>
        <v/>
      </c>
      <c r="N712" s="40">
        <f>IF(E712="","",IFERROR(1/(1/VLOOKUP(E712,T_Produits,3,FALSE)),""))</f>
        <v/>
      </c>
      <c r="O712" s="40">
        <f>IF(OR(D712="",F712=""),"",IF(OR(D712="Casse / avarie",D712="Perte / vol",D712="Échantillon offert"),IF(I712&lt;&gt;"",I712,IF(N712="","",F712*N712)),""))</f>
        <v/>
      </c>
      <c r="P712" s="50">
        <f>IF(OR(D712="",F712=""),"",F712*IF(OR(D712="Reçu du magasin",D712="Ajustement (+)"),1,-1))</f>
        <v/>
      </c>
      <c r="Q712" s="34">
        <f>IF(C712="","",YEAR(C712-WEEKDAY(C712,2)+4)&amp;"-S"&amp;TEXT(INT((C712-DATE(YEAR(C712-WEEKDAY(C712,2)+4),1,3)+WEEKDAY(DATE(YEAR(C712-WEEKDAY(C712,2)+4),1,3),2)+5)/7),"00"))</f>
        <v/>
      </c>
    </row>
    <row r="713" ht="18" customHeight="1">
      <c r="A713" s="39" t="n">
        <v>708</v>
      </c>
      <c r="B713" s="33">
        <f>IF(C713="","",IF(L713="À RENSEIGNER","GIC",L713)&amp;"-S"&amp;TEXT(A713,"00000"))</f>
        <v/>
      </c>
      <c r="C713" s="32" t="n"/>
      <c r="D713" s="36" t="n"/>
      <c r="E713" s="36" t="n"/>
      <c r="F713" s="42" t="n"/>
      <c r="G713" s="36" t="n"/>
      <c r="H713" s="43" t="n"/>
      <c r="I713" s="37" t="n"/>
      <c r="J713" s="44" t="n"/>
      <c r="K713" s="36" t="n"/>
      <c r="L713" s="33">
        <f>IF(C713="","",Commercial_Id)</f>
        <v/>
      </c>
      <c r="M713" s="34">
        <f>IF(E713="","",IFERROR(VLOOKUP(E713,T_Produits,2,FALSE),""))</f>
        <v/>
      </c>
      <c r="N713" s="40">
        <f>IF(E713="","",IFERROR(1/(1/VLOOKUP(E713,T_Produits,3,FALSE)),""))</f>
        <v/>
      </c>
      <c r="O713" s="40">
        <f>IF(OR(D713="",F713=""),"",IF(OR(D713="Casse / avarie",D713="Perte / vol",D713="Échantillon offert"),IF(I713&lt;&gt;"",I713,IF(N713="","",F713*N713)),""))</f>
        <v/>
      </c>
      <c r="P713" s="50">
        <f>IF(OR(D713="",F713=""),"",F713*IF(OR(D713="Reçu du magasin",D713="Ajustement (+)"),1,-1))</f>
        <v/>
      </c>
      <c r="Q713" s="34">
        <f>IF(C713="","",YEAR(C713-WEEKDAY(C713,2)+4)&amp;"-S"&amp;TEXT(INT((C713-DATE(YEAR(C713-WEEKDAY(C713,2)+4),1,3)+WEEKDAY(DATE(YEAR(C713-WEEKDAY(C713,2)+4),1,3),2)+5)/7),"00"))</f>
        <v/>
      </c>
    </row>
    <row r="714" ht="18" customHeight="1">
      <c r="A714" s="39" t="n">
        <v>709</v>
      </c>
      <c r="B714" s="33">
        <f>IF(C714="","",IF(L714="À RENSEIGNER","GIC",L714)&amp;"-S"&amp;TEXT(A714,"00000"))</f>
        <v/>
      </c>
      <c r="C714" s="32" t="n"/>
      <c r="D714" s="36" t="n"/>
      <c r="E714" s="36" t="n"/>
      <c r="F714" s="42" t="n"/>
      <c r="G714" s="36" t="n"/>
      <c r="H714" s="43" t="n"/>
      <c r="I714" s="37" t="n"/>
      <c r="J714" s="44" t="n"/>
      <c r="K714" s="36" t="n"/>
      <c r="L714" s="33">
        <f>IF(C714="","",Commercial_Id)</f>
        <v/>
      </c>
      <c r="M714" s="34">
        <f>IF(E714="","",IFERROR(VLOOKUP(E714,T_Produits,2,FALSE),""))</f>
        <v/>
      </c>
      <c r="N714" s="40">
        <f>IF(E714="","",IFERROR(1/(1/VLOOKUP(E714,T_Produits,3,FALSE)),""))</f>
        <v/>
      </c>
      <c r="O714" s="40">
        <f>IF(OR(D714="",F714=""),"",IF(OR(D714="Casse / avarie",D714="Perte / vol",D714="Échantillon offert"),IF(I714&lt;&gt;"",I714,IF(N714="","",F714*N714)),""))</f>
        <v/>
      </c>
      <c r="P714" s="50">
        <f>IF(OR(D714="",F714=""),"",F714*IF(OR(D714="Reçu du magasin",D714="Ajustement (+)"),1,-1))</f>
        <v/>
      </c>
      <c r="Q714" s="34">
        <f>IF(C714="","",YEAR(C714-WEEKDAY(C714,2)+4)&amp;"-S"&amp;TEXT(INT((C714-DATE(YEAR(C714-WEEKDAY(C714,2)+4),1,3)+WEEKDAY(DATE(YEAR(C714-WEEKDAY(C714,2)+4),1,3),2)+5)/7),"00"))</f>
        <v/>
      </c>
    </row>
    <row r="715" ht="18" customHeight="1">
      <c r="A715" s="39" t="n">
        <v>710</v>
      </c>
      <c r="B715" s="33">
        <f>IF(C715="","",IF(L715="À RENSEIGNER","GIC",L715)&amp;"-S"&amp;TEXT(A715,"00000"))</f>
        <v/>
      </c>
      <c r="C715" s="32" t="n"/>
      <c r="D715" s="36" t="n"/>
      <c r="E715" s="36" t="n"/>
      <c r="F715" s="42" t="n"/>
      <c r="G715" s="36" t="n"/>
      <c r="H715" s="43" t="n"/>
      <c r="I715" s="37" t="n"/>
      <c r="J715" s="44" t="n"/>
      <c r="K715" s="36" t="n"/>
      <c r="L715" s="33">
        <f>IF(C715="","",Commercial_Id)</f>
        <v/>
      </c>
      <c r="M715" s="34">
        <f>IF(E715="","",IFERROR(VLOOKUP(E715,T_Produits,2,FALSE),""))</f>
        <v/>
      </c>
      <c r="N715" s="40">
        <f>IF(E715="","",IFERROR(1/(1/VLOOKUP(E715,T_Produits,3,FALSE)),""))</f>
        <v/>
      </c>
      <c r="O715" s="40">
        <f>IF(OR(D715="",F715=""),"",IF(OR(D715="Casse / avarie",D715="Perte / vol",D715="Échantillon offert"),IF(I715&lt;&gt;"",I715,IF(N715="","",F715*N715)),""))</f>
        <v/>
      </c>
      <c r="P715" s="50">
        <f>IF(OR(D715="",F715=""),"",F715*IF(OR(D715="Reçu du magasin",D715="Ajustement (+)"),1,-1))</f>
        <v/>
      </c>
      <c r="Q715" s="34">
        <f>IF(C715="","",YEAR(C715-WEEKDAY(C715,2)+4)&amp;"-S"&amp;TEXT(INT((C715-DATE(YEAR(C715-WEEKDAY(C715,2)+4),1,3)+WEEKDAY(DATE(YEAR(C715-WEEKDAY(C715,2)+4),1,3),2)+5)/7),"00"))</f>
        <v/>
      </c>
    </row>
    <row r="716" ht="18" customHeight="1">
      <c r="A716" s="39" t="n">
        <v>711</v>
      </c>
      <c r="B716" s="33">
        <f>IF(C716="","",IF(L716="À RENSEIGNER","GIC",L716)&amp;"-S"&amp;TEXT(A716,"00000"))</f>
        <v/>
      </c>
      <c r="C716" s="32" t="n"/>
      <c r="D716" s="36" t="n"/>
      <c r="E716" s="36" t="n"/>
      <c r="F716" s="42" t="n"/>
      <c r="G716" s="36" t="n"/>
      <c r="H716" s="43" t="n"/>
      <c r="I716" s="37" t="n"/>
      <c r="J716" s="44" t="n"/>
      <c r="K716" s="36" t="n"/>
      <c r="L716" s="33">
        <f>IF(C716="","",Commercial_Id)</f>
        <v/>
      </c>
      <c r="M716" s="34">
        <f>IF(E716="","",IFERROR(VLOOKUP(E716,T_Produits,2,FALSE),""))</f>
        <v/>
      </c>
      <c r="N716" s="40">
        <f>IF(E716="","",IFERROR(1/(1/VLOOKUP(E716,T_Produits,3,FALSE)),""))</f>
        <v/>
      </c>
      <c r="O716" s="40">
        <f>IF(OR(D716="",F716=""),"",IF(OR(D716="Casse / avarie",D716="Perte / vol",D716="Échantillon offert"),IF(I716&lt;&gt;"",I716,IF(N716="","",F716*N716)),""))</f>
        <v/>
      </c>
      <c r="P716" s="50">
        <f>IF(OR(D716="",F716=""),"",F716*IF(OR(D716="Reçu du magasin",D716="Ajustement (+)"),1,-1))</f>
        <v/>
      </c>
      <c r="Q716" s="34">
        <f>IF(C716="","",YEAR(C716-WEEKDAY(C716,2)+4)&amp;"-S"&amp;TEXT(INT((C716-DATE(YEAR(C716-WEEKDAY(C716,2)+4),1,3)+WEEKDAY(DATE(YEAR(C716-WEEKDAY(C716,2)+4),1,3),2)+5)/7),"00"))</f>
        <v/>
      </c>
    </row>
    <row r="717" ht="18" customHeight="1">
      <c r="A717" s="39" t="n">
        <v>712</v>
      </c>
      <c r="B717" s="33">
        <f>IF(C717="","",IF(L717="À RENSEIGNER","GIC",L717)&amp;"-S"&amp;TEXT(A717,"00000"))</f>
        <v/>
      </c>
      <c r="C717" s="32" t="n"/>
      <c r="D717" s="36" t="n"/>
      <c r="E717" s="36" t="n"/>
      <c r="F717" s="42" t="n"/>
      <c r="G717" s="36" t="n"/>
      <c r="H717" s="43" t="n"/>
      <c r="I717" s="37" t="n"/>
      <c r="J717" s="44" t="n"/>
      <c r="K717" s="36" t="n"/>
      <c r="L717" s="33">
        <f>IF(C717="","",Commercial_Id)</f>
        <v/>
      </c>
      <c r="M717" s="34">
        <f>IF(E717="","",IFERROR(VLOOKUP(E717,T_Produits,2,FALSE),""))</f>
        <v/>
      </c>
      <c r="N717" s="40">
        <f>IF(E717="","",IFERROR(1/(1/VLOOKUP(E717,T_Produits,3,FALSE)),""))</f>
        <v/>
      </c>
      <c r="O717" s="40">
        <f>IF(OR(D717="",F717=""),"",IF(OR(D717="Casse / avarie",D717="Perte / vol",D717="Échantillon offert"),IF(I717&lt;&gt;"",I717,IF(N717="","",F717*N717)),""))</f>
        <v/>
      </c>
      <c r="P717" s="50">
        <f>IF(OR(D717="",F717=""),"",F717*IF(OR(D717="Reçu du magasin",D717="Ajustement (+)"),1,-1))</f>
        <v/>
      </c>
      <c r="Q717" s="34">
        <f>IF(C717="","",YEAR(C717-WEEKDAY(C717,2)+4)&amp;"-S"&amp;TEXT(INT((C717-DATE(YEAR(C717-WEEKDAY(C717,2)+4),1,3)+WEEKDAY(DATE(YEAR(C717-WEEKDAY(C717,2)+4),1,3),2)+5)/7),"00"))</f>
        <v/>
      </c>
    </row>
    <row r="718" ht="18" customHeight="1">
      <c r="A718" s="39" t="n">
        <v>713</v>
      </c>
      <c r="B718" s="33">
        <f>IF(C718="","",IF(L718="À RENSEIGNER","GIC",L718)&amp;"-S"&amp;TEXT(A718,"00000"))</f>
        <v/>
      </c>
      <c r="C718" s="32" t="n"/>
      <c r="D718" s="36" t="n"/>
      <c r="E718" s="36" t="n"/>
      <c r="F718" s="42" t="n"/>
      <c r="G718" s="36" t="n"/>
      <c r="H718" s="43" t="n"/>
      <c r="I718" s="37" t="n"/>
      <c r="J718" s="44" t="n"/>
      <c r="K718" s="36" t="n"/>
      <c r="L718" s="33">
        <f>IF(C718="","",Commercial_Id)</f>
        <v/>
      </c>
      <c r="M718" s="34">
        <f>IF(E718="","",IFERROR(VLOOKUP(E718,T_Produits,2,FALSE),""))</f>
        <v/>
      </c>
      <c r="N718" s="40">
        <f>IF(E718="","",IFERROR(1/(1/VLOOKUP(E718,T_Produits,3,FALSE)),""))</f>
        <v/>
      </c>
      <c r="O718" s="40">
        <f>IF(OR(D718="",F718=""),"",IF(OR(D718="Casse / avarie",D718="Perte / vol",D718="Échantillon offert"),IF(I718&lt;&gt;"",I718,IF(N718="","",F718*N718)),""))</f>
        <v/>
      </c>
      <c r="P718" s="50">
        <f>IF(OR(D718="",F718=""),"",F718*IF(OR(D718="Reçu du magasin",D718="Ajustement (+)"),1,-1))</f>
        <v/>
      </c>
      <c r="Q718" s="34">
        <f>IF(C718="","",YEAR(C718-WEEKDAY(C718,2)+4)&amp;"-S"&amp;TEXT(INT((C718-DATE(YEAR(C718-WEEKDAY(C718,2)+4),1,3)+WEEKDAY(DATE(YEAR(C718-WEEKDAY(C718,2)+4),1,3),2)+5)/7),"00"))</f>
        <v/>
      </c>
    </row>
    <row r="719" ht="18" customHeight="1">
      <c r="A719" s="39" t="n">
        <v>714</v>
      </c>
      <c r="B719" s="33">
        <f>IF(C719="","",IF(L719="À RENSEIGNER","GIC",L719)&amp;"-S"&amp;TEXT(A719,"00000"))</f>
        <v/>
      </c>
      <c r="C719" s="32" t="n"/>
      <c r="D719" s="36" t="n"/>
      <c r="E719" s="36" t="n"/>
      <c r="F719" s="42" t="n"/>
      <c r="G719" s="36" t="n"/>
      <c r="H719" s="43" t="n"/>
      <c r="I719" s="37" t="n"/>
      <c r="J719" s="44" t="n"/>
      <c r="K719" s="36" t="n"/>
      <c r="L719" s="33">
        <f>IF(C719="","",Commercial_Id)</f>
        <v/>
      </c>
      <c r="M719" s="34">
        <f>IF(E719="","",IFERROR(VLOOKUP(E719,T_Produits,2,FALSE),""))</f>
        <v/>
      </c>
      <c r="N719" s="40">
        <f>IF(E719="","",IFERROR(1/(1/VLOOKUP(E719,T_Produits,3,FALSE)),""))</f>
        <v/>
      </c>
      <c r="O719" s="40">
        <f>IF(OR(D719="",F719=""),"",IF(OR(D719="Casse / avarie",D719="Perte / vol",D719="Échantillon offert"),IF(I719&lt;&gt;"",I719,IF(N719="","",F719*N719)),""))</f>
        <v/>
      </c>
      <c r="P719" s="50">
        <f>IF(OR(D719="",F719=""),"",F719*IF(OR(D719="Reçu du magasin",D719="Ajustement (+)"),1,-1))</f>
        <v/>
      </c>
      <c r="Q719" s="34">
        <f>IF(C719="","",YEAR(C719-WEEKDAY(C719,2)+4)&amp;"-S"&amp;TEXT(INT((C719-DATE(YEAR(C719-WEEKDAY(C719,2)+4),1,3)+WEEKDAY(DATE(YEAR(C719-WEEKDAY(C719,2)+4),1,3),2)+5)/7),"00"))</f>
        <v/>
      </c>
    </row>
    <row r="720" ht="18" customHeight="1">
      <c r="A720" s="39" t="n">
        <v>715</v>
      </c>
      <c r="B720" s="33">
        <f>IF(C720="","",IF(L720="À RENSEIGNER","GIC",L720)&amp;"-S"&amp;TEXT(A720,"00000"))</f>
        <v/>
      </c>
      <c r="C720" s="32" t="n"/>
      <c r="D720" s="36" t="n"/>
      <c r="E720" s="36" t="n"/>
      <c r="F720" s="42" t="n"/>
      <c r="G720" s="36" t="n"/>
      <c r="H720" s="43" t="n"/>
      <c r="I720" s="37" t="n"/>
      <c r="J720" s="44" t="n"/>
      <c r="K720" s="36" t="n"/>
      <c r="L720" s="33">
        <f>IF(C720="","",Commercial_Id)</f>
        <v/>
      </c>
      <c r="M720" s="34">
        <f>IF(E720="","",IFERROR(VLOOKUP(E720,T_Produits,2,FALSE),""))</f>
        <v/>
      </c>
      <c r="N720" s="40">
        <f>IF(E720="","",IFERROR(1/(1/VLOOKUP(E720,T_Produits,3,FALSE)),""))</f>
        <v/>
      </c>
      <c r="O720" s="40">
        <f>IF(OR(D720="",F720=""),"",IF(OR(D720="Casse / avarie",D720="Perte / vol",D720="Échantillon offert"),IF(I720&lt;&gt;"",I720,IF(N720="","",F720*N720)),""))</f>
        <v/>
      </c>
      <c r="P720" s="50">
        <f>IF(OR(D720="",F720=""),"",F720*IF(OR(D720="Reçu du magasin",D720="Ajustement (+)"),1,-1))</f>
        <v/>
      </c>
      <c r="Q720" s="34">
        <f>IF(C720="","",YEAR(C720-WEEKDAY(C720,2)+4)&amp;"-S"&amp;TEXT(INT((C720-DATE(YEAR(C720-WEEKDAY(C720,2)+4),1,3)+WEEKDAY(DATE(YEAR(C720-WEEKDAY(C720,2)+4),1,3),2)+5)/7),"00"))</f>
        <v/>
      </c>
    </row>
    <row r="721" ht="18" customHeight="1">
      <c r="A721" s="39" t="n">
        <v>716</v>
      </c>
      <c r="B721" s="33">
        <f>IF(C721="","",IF(L721="À RENSEIGNER","GIC",L721)&amp;"-S"&amp;TEXT(A721,"00000"))</f>
        <v/>
      </c>
      <c r="C721" s="32" t="n"/>
      <c r="D721" s="36" t="n"/>
      <c r="E721" s="36" t="n"/>
      <c r="F721" s="42" t="n"/>
      <c r="G721" s="36" t="n"/>
      <c r="H721" s="43" t="n"/>
      <c r="I721" s="37" t="n"/>
      <c r="J721" s="44" t="n"/>
      <c r="K721" s="36" t="n"/>
      <c r="L721" s="33">
        <f>IF(C721="","",Commercial_Id)</f>
        <v/>
      </c>
      <c r="M721" s="34">
        <f>IF(E721="","",IFERROR(VLOOKUP(E721,T_Produits,2,FALSE),""))</f>
        <v/>
      </c>
      <c r="N721" s="40">
        <f>IF(E721="","",IFERROR(1/(1/VLOOKUP(E721,T_Produits,3,FALSE)),""))</f>
        <v/>
      </c>
      <c r="O721" s="40">
        <f>IF(OR(D721="",F721=""),"",IF(OR(D721="Casse / avarie",D721="Perte / vol",D721="Échantillon offert"),IF(I721&lt;&gt;"",I721,IF(N721="","",F721*N721)),""))</f>
        <v/>
      </c>
      <c r="P721" s="50">
        <f>IF(OR(D721="",F721=""),"",F721*IF(OR(D721="Reçu du magasin",D721="Ajustement (+)"),1,-1))</f>
        <v/>
      </c>
      <c r="Q721" s="34">
        <f>IF(C721="","",YEAR(C721-WEEKDAY(C721,2)+4)&amp;"-S"&amp;TEXT(INT((C721-DATE(YEAR(C721-WEEKDAY(C721,2)+4),1,3)+WEEKDAY(DATE(YEAR(C721-WEEKDAY(C721,2)+4),1,3),2)+5)/7),"00"))</f>
        <v/>
      </c>
    </row>
    <row r="722" ht="18" customHeight="1">
      <c r="A722" s="39" t="n">
        <v>717</v>
      </c>
      <c r="B722" s="33">
        <f>IF(C722="","",IF(L722="À RENSEIGNER","GIC",L722)&amp;"-S"&amp;TEXT(A722,"00000"))</f>
        <v/>
      </c>
      <c r="C722" s="32" t="n"/>
      <c r="D722" s="36" t="n"/>
      <c r="E722" s="36" t="n"/>
      <c r="F722" s="42" t="n"/>
      <c r="G722" s="36" t="n"/>
      <c r="H722" s="43" t="n"/>
      <c r="I722" s="37" t="n"/>
      <c r="J722" s="44" t="n"/>
      <c r="K722" s="36" t="n"/>
      <c r="L722" s="33">
        <f>IF(C722="","",Commercial_Id)</f>
        <v/>
      </c>
      <c r="M722" s="34">
        <f>IF(E722="","",IFERROR(VLOOKUP(E722,T_Produits,2,FALSE),""))</f>
        <v/>
      </c>
      <c r="N722" s="40">
        <f>IF(E722="","",IFERROR(1/(1/VLOOKUP(E722,T_Produits,3,FALSE)),""))</f>
        <v/>
      </c>
      <c r="O722" s="40">
        <f>IF(OR(D722="",F722=""),"",IF(OR(D722="Casse / avarie",D722="Perte / vol",D722="Échantillon offert"),IF(I722&lt;&gt;"",I722,IF(N722="","",F722*N722)),""))</f>
        <v/>
      </c>
      <c r="P722" s="50">
        <f>IF(OR(D722="",F722=""),"",F722*IF(OR(D722="Reçu du magasin",D722="Ajustement (+)"),1,-1))</f>
        <v/>
      </c>
      <c r="Q722" s="34">
        <f>IF(C722="","",YEAR(C722-WEEKDAY(C722,2)+4)&amp;"-S"&amp;TEXT(INT((C722-DATE(YEAR(C722-WEEKDAY(C722,2)+4),1,3)+WEEKDAY(DATE(YEAR(C722-WEEKDAY(C722,2)+4),1,3),2)+5)/7),"00"))</f>
        <v/>
      </c>
    </row>
    <row r="723" ht="18" customHeight="1">
      <c r="A723" s="39" t="n">
        <v>718</v>
      </c>
      <c r="B723" s="33">
        <f>IF(C723="","",IF(L723="À RENSEIGNER","GIC",L723)&amp;"-S"&amp;TEXT(A723,"00000"))</f>
        <v/>
      </c>
      <c r="C723" s="32" t="n"/>
      <c r="D723" s="36" t="n"/>
      <c r="E723" s="36" t="n"/>
      <c r="F723" s="42" t="n"/>
      <c r="G723" s="36" t="n"/>
      <c r="H723" s="43" t="n"/>
      <c r="I723" s="37" t="n"/>
      <c r="J723" s="44" t="n"/>
      <c r="K723" s="36" t="n"/>
      <c r="L723" s="33">
        <f>IF(C723="","",Commercial_Id)</f>
        <v/>
      </c>
      <c r="M723" s="34">
        <f>IF(E723="","",IFERROR(VLOOKUP(E723,T_Produits,2,FALSE),""))</f>
        <v/>
      </c>
      <c r="N723" s="40">
        <f>IF(E723="","",IFERROR(1/(1/VLOOKUP(E723,T_Produits,3,FALSE)),""))</f>
        <v/>
      </c>
      <c r="O723" s="40">
        <f>IF(OR(D723="",F723=""),"",IF(OR(D723="Casse / avarie",D723="Perte / vol",D723="Échantillon offert"),IF(I723&lt;&gt;"",I723,IF(N723="","",F723*N723)),""))</f>
        <v/>
      </c>
      <c r="P723" s="50">
        <f>IF(OR(D723="",F723=""),"",F723*IF(OR(D723="Reçu du magasin",D723="Ajustement (+)"),1,-1))</f>
        <v/>
      </c>
      <c r="Q723" s="34">
        <f>IF(C723="","",YEAR(C723-WEEKDAY(C723,2)+4)&amp;"-S"&amp;TEXT(INT((C723-DATE(YEAR(C723-WEEKDAY(C723,2)+4),1,3)+WEEKDAY(DATE(YEAR(C723-WEEKDAY(C723,2)+4),1,3),2)+5)/7),"00"))</f>
        <v/>
      </c>
    </row>
    <row r="724" ht="18" customHeight="1">
      <c r="A724" s="39" t="n">
        <v>719</v>
      </c>
      <c r="B724" s="33">
        <f>IF(C724="","",IF(L724="À RENSEIGNER","GIC",L724)&amp;"-S"&amp;TEXT(A724,"00000"))</f>
        <v/>
      </c>
      <c r="C724" s="32" t="n"/>
      <c r="D724" s="36" t="n"/>
      <c r="E724" s="36" t="n"/>
      <c r="F724" s="42" t="n"/>
      <c r="G724" s="36" t="n"/>
      <c r="H724" s="43" t="n"/>
      <c r="I724" s="37" t="n"/>
      <c r="J724" s="44" t="n"/>
      <c r="K724" s="36" t="n"/>
      <c r="L724" s="33">
        <f>IF(C724="","",Commercial_Id)</f>
        <v/>
      </c>
      <c r="M724" s="34">
        <f>IF(E724="","",IFERROR(VLOOKUP(E724,T_Produits,2,FALSE),""))</f>
        <v/>
      </c>
      <c r="N724" s="40">
        <f>IF(E724="","",IFERROR(1/(1/VLOOKUP(E724,T_Produits,3,FALSE)),""))</f>
        <v/>
      </c>
      <c r="O724" s="40">
        <f>IF(OR(D724="",F724=""),"",IF(OR(D724="Casse / avarie",D724="Perte / vol",D724="Échantillon offert"),IF(I724&lt;&gt;"",I724,IF(N724="","",F724*N724)),""))</f>
        <v/>
      </c>
      <c r="P724" s="50">
        <f>IF(OR(D724="",F724=""),"",F724*IF(OR(D724="Reçu du magasin",D724="Ajustement (+)"),1,-1))</f>
        <v/>
      </c>
      <c r="Q724" s="34">
        <f>IF(C724="","",YEAR(C724-WEEKDAY(C724,2)+4)&amp;"-S"&amp;TEXT(INT((C724-DATE(YEAR(C724-WEEKDAY(C724,2)+4),1,3)+WEEKDAY(DATE(YEAR(C724-WEEKDAY(C724,2)+4),1,3),2)+5)/7),"00"))</f>
        <v/>
      </c>
    </row>
    <row r="725" ht="18" customHeight="1">
      <c r="A725" s="39" t="n">
        <v>720</v>
      </c>
      <c r="B725" s="33">
        <f>IF(C725="","",IF(L725="À RENSEIGNER","GIC",L725)&amp;"-S"&amp;TEXT(A725,"00000"))</f>
        <v/>
      </c>
      <c r="C725" s="32" t="n"/>
      <c r="D725" s="36" t="n"/>
      <c r="E725" s="36" t="n"/>
      <c r="F725" s="42" t="n"/>
      <c r="G725" s="36" t="n"/>
      <c r="H725" s="43" t="n"/>
      <c r="I725" s="37" t="n"/>
      <c r="J725" s="44" t="n"/>
      <c r="K725" s="36" t="n"/>
      <c r="L725" s="33">
        <f>IF(C725="","",Commercial_Id)</f>
        <v/>
      </c>
      <c r="M725" s="34">
        <f>IF(E725="","",IFERROR(VLOOKUP(E725,T_Produits,2,FALSE),""))</f>
        <v/>
      </c>
      <c r="N725" s="40">
        <f>IF(E725="","",IFERROR(1/(1/VLOOKUP(E725,T_Produits,3,FALSE)),""))</f>
        <v/>
      </c>
      <c r="O725" s="40">
        <f>IF(OR(D725="",F725=""),"",IF(OR(D725="Casse / avarie",D725="Perte / vol",D725="Échantillon offert"),IF(I725&lt;&gt;"",I725,IF(N725="","",F725*N725)),""))</f>
        <v/>
      </c>
      <c r="P725" s="50">
        <f>IF(OR(D725="",F725=""),"",F725*IF(OR(D725="Reçu du magasin",D725="Ajustement (+)"),1,-1))</f>
        <v/>
      </c>
      <c r="Q725" s="34">
        <f>IF(C725="","",YEAR(C725-WEEKDAY(C725,2)+4)&amp;"-S"&amp;TEXT(INT((C725-DATE(YEAR(C725-WEEKDAY(C725,2)+4),1,3)+WEEKDAY(DATE(YEAR(C725-WEEKDAY(C725,2)+4),1,3),2)+5)/7),"00"))</f>
        <v/>
      </c>
    </row>
    <row r="726" ht="18" customHeight="1">
      <c r="A726" s="39" t="n">
        <v>721</v>
      </c>
      <c r="B726" s="33">
        <f>IF(C726="","",IF(L726="À RENSEIGNER","GIC",L726)&amp;"-S"&amp;TEXT(A726,"00000"))</f>
        <v/>
      </c>
      <c r="C726" s="32" t="n"/>
      <c r="D726" s="36" t="n"/>
      <c r="E726" s="36" t="n"/>
      <c r="F726" s="42" t="n"/>
      <c r="G726" s="36" t="n"/>
      <c r="H726" s="43" t="n"/>
      <c r="I726" s="37" t="n"/>
      <c r="J726" s="44" t="n"/>
      <c r="K726" s="36" t="n"/>
      <c r="L726" s="33">
        <f>IF(C726="","",Commercial_Id)</f>
        <v/>
      </c>
      <c r="M726" s="34">
        <f>IF(E726="","",IFERROR(VLOOKUP(E726,T_Produits,2,FALSE),""))</f>
        <v/>
      </c>
      <c r="N726" s="40">
        <f>IF(E726="","",IFERROR(1/(1/VLOOKUP(E726,T_Produits,3,FALSE)),""))</f>
        <v/>
      </c>
      <c r="O726" s="40">
        <f>IF(OR(D726="",F726=""),"",IF(OR(D726="Casse / avarie",D726="Perte / vol",D726="Échantillon offert"),IF(I726&lt;&gt;"",I726,IF(N726="","",F726*N726)),""))</f>
        <v/>
      </c>
      <c r="P726" s="50">
        <f>IF(OR(D726="",F726=""),"",F726*IF(OR(D726="Reçu du magasin",D726="Ajustement (+)"),1,-1))</f>
        <v/>
      </c>
      <c r="Q726" s="34">
        <f>IF(C726="","",YEAR(C726-WEEKDAY(C726,2)+4)&amp;"-S"&amp;TEXT(INT((C726-DATE(YEAR(C726-WEEKDAY(C726,2)+4),1,3)+WEEKDAY(DATE(YEAR(C726-WEEKDAY(C726,2)+4),1,3),2)+5)/7),"00"))</f>
        <v/>
      </c>
    </row>
    <row r="727" ht="18" customHeight="1">
      <c r="A727" s="39" t="n">
        <v>722</v>
      </c>
      <c r="B727" s="33">
        <f>IF(C727="","",IF(L727="À RENSEIGNER","GIC",L727)&amp;"-S"&amp;TEXT(A727,"00000"))</f>
        <v/>
      </c>
      <c r="C727" s="32" t="n"/>
      <c r="D727" s="36" t="n"/>
      <c r="E727" s="36" t="n"/>
      <c r="F727" s="42" t="n"/>
      <c r="G727" s="36" t="n"/>
      <c r="H727" s="43" t="n"/>
      <c r="I727" s="37" t="n"/>
      <c r="J727" s="44" t="n"/>
      <c r="K727" s="36" t="n"/>
      <c r="L727" s="33">
        <f>IF(C727="","",Commercial_Id)</f>
        <v/>
      </c>
      <c r="M727" s="34">
        <f>IF(E727="","",IFERROR(VLOOKUP(E727,T_Produits,2,FALSE),""))</f>
        <v/>
      </c>
      <c r="N727" s="40">
        <f>IF(E727="","",IFERROR(1/(1/VLOOKUP(E727,T_Produits,3,FALSE)),""))</f>
        <v/>
      </c>
      <c r="O727" s="40">
        <f>IF(OR(D727="",F727=""),"",IF(OR(D727="Casse / avarie",D727="Perte / vol",D727="Échantillon offert"),IF(I727&lt;&gt;"",I727,IF(N727="","",F727*N727)),""))</f>
        <v/>
      </c>
      <c r="P727" s="50">
        <f>IF(OR(D727="",F727=""),"",F727*IF(OR(D727="Reçu du magasin",D727="Ajustement (+)"),1,-1))</f>
        <v/>
      </c>
      <c r="Q727" s="34">
        <f>IF(C727="","",YEAR(C727-WEEKDAY(C727,2)+4)&amp;"-S"&amp;TEXT(INT((C727-DATE(YEAR(C727-WEEKDAY(C727,2)+4),1,3)+WEEKDAY(DATE(YEAR(C727-WEEKDAY(C727,2)+4),1,3),2)+5)/7),"00"))</f>
        <v/>
      </c>
    </row>
    <row r="728" ht="18" customHeight="1">
      <c r="A728" s="39" t="n">
        <v>723</v>
      </c>
      <c r="B728" s="33">
        <f>IF(C728="","",IF(L728="À RENSEIGNER","GIC",L728)&amp;"-S"&amp;TEXT(A728,"00000"))</f>
        <v/>
      </c>
      <c r="C728" s="32" t="n"/>
      <c r="D728" s="36" t="n"/>
      <c r="E728" s="36" t="n"/>
      <c r="F728" s="42" t="n"/>
      <c r="G728" s="36" t="n"/>
      <c r="H728" s="43" t="n"/>
      <c r="I728" s="37" t="n"/>
      <c r="J728" s="44" t="n"/>
      <c r="K728" s="36" t="n"/>
      <c r="L728" s="33">
        <f>IF(C728="","",Commercial_Id)</f>
        <v/>
      </c>
      <c r="M728" s="34">
        <f>IF(E728="","",IFERROR(VLOOKUP(E728,T_Produits,2,FALSE),""))</f>
        <v/>
      </c>
      <c r="N728" s="40">
        <f>IF(E728="","",IFERROR(1/(1/VLOOKUP(E728,T_Produits,3,FALSE)),""))</f>
        <v/>
      </c>
      <c r="O728" s="40">
        <f>IF(OR(D728="",F728=""),"",IF(OR(D728="Casse / avarie",D728="Perte / vol",D728="Échantillon offert"),IF(I728&lt;&gt;"",I728,IF(N728="","",F728*N728)),""))</f>
        <v/>
      </c>
      <c r="P728" s="50">
        <f>IF(OR(D728="",F728=""),"",F728*IF(OR(D728="Reçu du magasin",D728="Ajustement (+)"),1,-1))</f>
        <v/>
      </c>
      <c r="Q728" s="34">
        <f>IF(C728="","",YEAR(C728-WEEKDAY(C728,2)+4)&amp;"-S"&amp;TEXT(INT((C728-DATE(YEAR(C728-WEEKDAY(C728,2)+4),1,3)+WEEKDAY(DATE(YEAR(C728-WEEKDAY(C728,2)+4),1,3),2)+5)/7),"00"))</f>
        <v/>
      </c>
    </row>
    <row r="729" ht="18" customHeight="1">
      <c r="A729" s="39" t="n">
        <v>724</v>
      </c>
      <c r="B729" s="33">
        <f>IF(C729="","",IF(L729="À RENSEIGNER","GIC",L729)&amp;"-S"&amp;TEXT(A729,"00000"))</f>
        <v/>
      </c>
      <c r="C729" s="32" t="n"/>
      <c r="D729" s="36" t="n"/>
      <c r="E729" s="36" t="n"/>
      <c r="F729" s="42" t="n"/>
      <c r="G729" s="36" t="n"/>
      <c r="H729" s="43" t="n"/>
      <c r="I729" s="37" t="n"/>
      <c r="J729" s="44" t="n"/>
      <c r="K729" s="36" t="n"/>
      <c r="L729" s="33">
        <f>IF(C729="","",Commercial_Id)</f>
        <v/>
      </c>
      <c r="M729" s="34">
        <f>IF(E729="","",IFERROR(VLOOKUP(E729,T_Produits,2,FALSE),""))</f>
        <v/>
      </c>
      <c r="N729" s="40">
        <f>IF(E729="","",IFERROR(1/(1/VLOOKUP(E729,T_Produits,3,FALSE)),""))</f>
        <v/>
      </c>
      <c r="O729" s="40">
        <f>IF(OR(D729="",F729=""),"",IF(OR(D729="Casse / avarie",D729="Perte / vol",D729="Échantillon offert"),IF(I729&lt;&gt;"",I729,IF(N729="","",F729*N729)),""))</f>
        <v/>
      </c>
      <c r="P729" s="50">
        <f>IF(OR(D729="",F729=""),"",F729*IF(OR(D729="Reçu du magasin",D729="Ajustement (+)"),1,-1))</f>
        <v/>
      </c>
      <c r="Q729" s="34">
        <f>IF(C729="","",YEAR(C729-WEEKDAY(C729,2)+4)&amp;"-S"&amp;TEXT(INT((C729-DATE(YEAR(C729-WEEKDAY(C729,2)+4),1,3)+WEEKDAY(DATE(YEAR(C729-WEEKDAY(C729,2)+4),1,3),2)+5)/7),"00"))</f>
        <v/>
      </c>
    </row>
    <row r="730" ht="18" customHeight="1">
      <c r="A730" s="39" t="n">
        <v>725</v>
      </c>
      <c r="B730" s="33">
        <f>IF(C730="","",IF(L730="À RENSEIGNER","GIC",L730)&amp;"-S"&amp;TEXT(A730,"00000"))</f>
        <v/>
      </c>
      <c r="C730" s="32" t="n"/>
      <c r="D730" s="36" t="n"/>
      <c r="E730" s="36" t="n"/>
      <c r="F730" s="42" t="n"/>
      <c r="G730" s="36" t="n"/>
      <c r="H730" s="43" t="n"/>
      <c r="I730" s="37" t="n"/>
      <c r="J730" s="44" t="n"/>
      <c r="K730" s="36" t="n"/>
      <c r="L730" s="33">
        <f>IF(C730="","",Commercial_Id)</f>
        <v/>
      </c>
      <c r="M730" s="34">
        <f>IF(E730="","",IFERROR(VLOOKUP(E730,T_Produits,2,FALSE),""))</f>
        <v/>
      </c>
      <c r="N730" s="40">
        <f>IF(E730="","",IFERROR(1/(1/VLOOKUP(E730,T_Produits,3,FALSE)),""))</f>
        <v/>
      </c>
      <c r="O730" s="40">
        <f>IF(OR(D730="",F730=""),"",IF(OR(D730="Casse / avarie",D730="Perte / vol",D730="Échantillon offert"),IF(I730&lt;&gt;"",I730,IF(N730="","",F730*N730)),""))</f>
        <v/>
      </c>
      <c r="P730" s="50">
        <f>IF(OR(D730="",F730=""),"",F730*IF(OR(D730="Reçu du magasin",D730="Ajustement (+)"),1,-1))</f>
        <v/>
      </c>
      <c r="Q730" s="34">
        <f>IF(C730="","",YEAR(C730-WEEKDAY(C730,2)+4)&amp;"-S"&amp;TEXT(INT((C730-DATE(YEAR(C730-WEEKDAY(C730,2)+4),1,3)+WEEKDAY(DATE(YEAR(C730-WEEKDAY(C730,2)+4),1,3),2)+5)/7),"00"))</f>
        <v/>
      </c>
    </row>
    <row r="731" ht="18" customHeight="1">
      <c r="A731" s="39" t="n">
        <v>726</v>
      </c>
      <c r="B731" s="33">
        <f>IF(C731="","",IF(L731="À RENSEIGNER","GIC",L731)&amp;"-S"&amp;TEXT(A731,"00000"))</f>
        <v/>
      </c>
      <c r="C731" s="32" t="n"/>
      <c r="D731" s="36" t="n"/>
      <c r="E731" s="36" t="n"/>
      <c r="F731" s="42" t="n"/>
      <c r="G731" s="36" t="n"/>
      <c r="H731" s="43" t="n"/>
      <c r="I731" s="37" t="n"/>
      <c r="J731" s="44" t="n"/>
      <c r="K731" s="36" t="n"/>
      <c r="L731" s="33">
        <f>IF(C731="","",Commercial_Id)</f>
        <v/>
      </c>
      <c r="M731" s="34">
        <f>IF(E731="","",IFERROR(VLOOKUP(E731,T_Produits,2,FALSE),""))</f>
        <v/>
      </c>
      <c r="N731" s="40">
        <f>IF(E731="","",IFERROR(1/(1/VLOOKUP(E731,T_Produits,3,FALSE)),""))</f>
        <v/>
      </c>
      <c r="O731" s="40">
        <f>IF(OR(D731="",F731=""),"",IF(OR(D731="Casse / avarie",D731="Perte / vol",D731="Échantillon offert"),IF(I731&lt;&gt;"",I731,IF(N731="","",F731*N731)),""))</f>
        <v/>
      </c>
      <c r="P731" s="50">
        <f>IF(OR(D731="",F731=""),"",F731*IF(OR(D731="Reçu du magasin",D731="Ajustement (+)"),1,-1))</f>
        <v/>
      </c>
      <c r="Q731" s="34">
        <f>IF(C731="","",YEAR(C731-WEEKDAY(C731,2)+4)&amp;"-S"&amp;TEXT(INT((C731-DATE(YEAR(C731-WEEKDAY(C731,2)+4),1,3)+WEEKDAY(DATE(YEAR(C731-WEEKDAY(C731,2)+4),1,3),2)+5)/7),"00"))</f>
        <v/>
      </c>
    </row>
    <row r="732" ht="18" customHeight="1">
      <c r="A732" s="39" t="n">
        <v>727</v>
      </c>
      <c r="B732" s="33">
        <f>IF(C732="","",IF(L732="À RENSEIGNER","GIC",L732)&amp;"-S"&amp;TEXT(A732,"00000"))</f>
        <v/>
      </c>
      <c r="C732" s="32" t="n"/>
      <c r="D732" s="36" t="n"/>
      <c r="E732" s="36" t="n"/>
      <c r="F732" s="42" t="n"/>
      <c r="G732" s="36" t="n"/>
      <c r="H732" s="43" t="n"/>
      <c r="I732" s="37" t="n"/>
      <c r="J732" s="44" t="n"/>
      <c r="K732" s="36" t="n"/>
      <c r="L732" s="33">
        <f>IF(C732="","",Commercial_Id)</f>
        <v/>
      </c>
      <c r="M732" s="34">
        <f>IF(E732="","",IFERROR(VLOOKUP(E732,T_Produits,2,FALSE),""))</f>
        <v/>
      </c>
      <c r="N732" s="40">
        <f>IF(E732="","",IFERROR(1/(1/VLOOKUP(E732,T_Produits,3,FALSE)),""))</f>
        <v/>
      </c>
      <c r="O732" s="40">
        <f>IF(OR(D732="",F732=""),"",IF(OR(D732="Casse / avarie",D732="Perte / vol",D732="Échantillon offert"),IF(I732&lt;&gt;"",I732,IF(N732="","",F732*N732)),""))</f>
        <v/>
      </c>
      <c r="P732" s="50">
        <f>IF(OR(D732="",F732=""),"",F732*IF(OR(D732="Reçu du magasin",D732="Ajustement (+)"),1,-1))</f>
        <v/>
      </c>
      <c r="Q732" s="34">
        <f>IF(C732="","",YEAR(C732-WEEKDAY(C732,2)+4)&amp;"-S"&amp;TEXT(INT((C732-DATE(YEAR(C732-WEEKDAY(C732,2)+4),1,3)+WEEKDAY(DATE(YEAR(C732-WEEKDAY(C732,2)+4),1,3),2)+5)/7),"00"))</f>
        <v/>
      </c>
    </row>
    <row r="733" ht="18" customHeight="1">
      <c r="A733" s="39" t="n">
        <v>728</v>
      </c>
      <c r="B733" s="33">
        <f>IF(C733="","",IF(L733="À RENSEIGNER","GIC",L733)&amp;"-S"&amp;TEXT(A733,"00000"))</f>
        <v/>
      </c>
      <c r="C733" s="32" t="n"/>
      <c r="D733" s="36" t="n"/>
      <c r="E733" s="36" t="n"/>
      <c r="F733" s="42" t="n"/>
      <c r="G733" s="36" t="n"/>
      <c r="H733" s="43" t="n"/>
      <c r="I733" s="37" t="n"/>
      <c r="J733" s="44" t="n"/>
      <c r="K733" s="36" t="n"/>
      <c r="L733" s="33">
        <f>IF(C733="","",Commercial_Id)</f>
        <v/>
      </c>
      <c r="M733" s="34">
        <f>IF(E733="","",IFERROR(VLOOKUP(E733,T_Produits,2,FALSE),""))</f>
        <v/>
      </c>
      <c r="N733" s="40">
        <f>IF(E733="","",IFERROR(1/(1/VLOOKUP(E733,T_Produits,3,FALSE)),""))</f>
        <v/>
      </c>
      <c r="O733" s="40">
        <f>IF(OR(D733="",F733=""),"",IF(OR(D733="Casse / avarie",D733="Perte / vol",D733="Échantillon offert"),IF(I733&lt;&gt;"",I733,IF(N733="","",F733*N733)),""))</f>
        <v/>
      </c>
      <c r="P733" s="50">
        <f>IF(OR(D733="",F733=""),"",F733*IF(OR(D733="Reçu du magasin",D733="Ajustement (+)"),1,-1))</f>
        <v/>
      </c>
      <c r="Q733" s="34">
        <f>IF(C733="","",YEAR(C733-WEEKDAY(C733,2)+4)&amp;"-S"&amp;TEXT(INT((C733-DATE(YEAR(C733-WEEKDAY(C733,2)+4),1,3)+WEEKDAY(DATE(YEAR(C733-WEEKDAY(C733,2)+4),1,3),2)+5)/7),"00"))</f>
        <v/>
      </c>
    </row>
    <row r="734" ht="18" customHeight="1">
      <c r="A734" s="39" t="n">
        <v>729</v>
      </c>
      <c r="B734" s="33">
        <f>IF(C734="","",IF(L734="À RENSEIGNER","GIC",L734)&amp;"-S"&amp;TEXT(A734,"00000"))</f>
        <v/>
      </c>
      <c r="C734" s="32" t="n"/>
      <c r="D734" s="36" t="n"/>
      <c r="E734" s="36" t="n"/>
      <c r="F734" s="42" t="n"/>
      <c r="G734" s="36" t="n"/>
      <c r="H734" s="43" t="n"/>
      <c r="I734" s="37" t="n"/>
      <c r="J734" s="44" t="n"/>
      <c r="K734" s="36" t="n"/>
      <c r="L734" s="33">
        <f>IF(C734="","",Commercial_Id)</f>
        <v/>
      </c>
      <c r="M734" s="34">
        <f>IF(E734="","",IFERROR(VLOOKUP(E734,T_Produits,2,FALSE),""))</f>
        <v/>
      </c>
      <c r="N734" s="40">
        <f>IF(E734="","",IFERROR(1/(1/VLOOKUP(E734,T_Produits,3,FALSE)),""))</f>
        <v/>
      </c>
      <c r="O734" s="40">
        <f>IF(OR(D734="",F734=""),"",IF(OR(D734="Casse / avarie",D734="Perte / vol",D734="Échantillon offert"),IF(I734&lt;&gt;"",I734,IF(N734="","",F734*N734)),""))</f>
        <v/>
      </c>
      <c r="P734" s="50">
        <f>IF(OR(D734="",F734=""),"",F734*IF(OR(D734="Reçu du magasin",D734="Ajustement (+)"),1,-1))</f>
        <v/>
      </c>
      <c r="Q734" s="34">
        <f>IF(C734="","",YEAR(C734-WEEKDAY(C734,2)+4)&amp;"-S"&amp;TEXT(INT((C734-DATE(YEAR(C734-WEEKDAY(C734,2)+4),1,3)+WEEKDAY(DATE(YEAR(C734-WEEKDAY(C734,2)+4),1,3),2)+5)/7),"00"))</f>
        <v/>
      </c>
    </row>
    <row r="735" ht="18" customHeight="1">
      <c r="A735" s="39" t="n">
        <v>730</v>
      </c>
      <c r="B735" s="33">
        <f>IF(C735="","",IF(L735="À RENSEIGNER","GIC",L735)&amp;"-S"&amp;TEXT(A735,"00000"))</f>
        <v/>
      </c>
      <c r="C735" s="32" t="n"/>
      <c r="D735" s="36" t="n"/>
      <c r="E735" s="36" t="n"/>
      <c r="F735" s="42" t="n"/>
      <c r="G735" s="36" t="n"/>
      <c r="H735" s="43" t="n"/>
      <c r="I735" s="37" t="n"/>
      <c r="J735" s="44" t="n"/>
      <c r="K735" s="36" t="n"/>
      <c r="L735" s="33">
        <f>IF(C735="","",Commercial_Id)</f>
        <v/>
      </c>
      <c r="M735" s="34">
        <f>IF(E735="","",IFERROR(VLOOKUP(E735,T_Produits,2,FALSE),""))</f>
        <v/>
      </c>
      <c r="N735" s="40">
        <f>IF(E735="","",IFERROR(1/(1/VLOOKUP(E735,T_Produits,3,FALSE)),""))</f>
        <v/>
      </c>
      <c r="O735" s="40">
        <f>IF(OR(D735="",F735=""),"",IF(OR(D735="Casse / avarie",D735="Perte / vol",D735="Échantillon offert"),IF(I735&lt;&gt;"",I735,IF(N735="","",F735*N735)),""))</f>
        <v/>
      </c>
      <c r="P735" s="50">
        <f>IF(OR(D735="",F735=""),"",F735*IF(OR(D735="Reçu du magasin",D735="Ajustement (+)"),1,-1))</f>
        <v/>
      </c>
      <c r="Q735" s="34">
        <f>IF(C735="","",YEAR(C735-WEEKDAY(C735,2)+4)&amp;"-S"&amp;TEXT(INT((C735-DATE(YEAR(C735-WEEKDAY(C735,2)+4),1,3)+WEEKDAY(DATE(YEAR(C735-WEEKDAY(C735,2)+4),1,3),2)+5)/7),"00"))</f>
        <v/>
      </c>
    </row>
    <row r="736" ht="18" customHeight="1">
      <c r="A736" s="39" t="n">
        <v>731</v>
      </c>
      <c r="B736" s="33">
        <f>IF(C736="","",IF(L736="À RENSEIGNER","GIC",L736)&amp;"-S"&amp;TEXT(A736,"00000"))</f>
        <v/>
      </c>
      <c r="C736" s="32" t="n"/>
      <c r="D736" s="36" t="n"/>
      <c r="E736" s="36" t="n"/>
      <c r="F736" s="42" t="n"/>
      <c r="G736" s="36" t="n"/>
      <c r="H736" s="43" t="n"/>
      <c r="I736" s="37" t="n"/>
      <c r="J736" s="44" t="n"/>
      <c r="K736" s="36" t="n"/>
      <c r="L736" s="33">
        <f>IF(C736="","",Commercial_Id)</f>
        <v/>
      </c>
      <c r="M736" s="34">
        <f>IF(E736="","",IFERROR(VLOOKUP(E736,T_Produits,2,FALSE),""))</f>
        <v/>
      </c>
      <c r="N736" s="40">
        <f>IF(E736="","",IFERROR(1/(1/VLOOKUP(E736,T_Produits,3,FALSE)),""))</f>
        <v/>
      </c>
      <c r="O736" s="40">
        <f>IF(OR(D736="",F736=""),"",IF(OR(D736="Casse / avarie",D736="Perte / vol",D736="Échantillon offert"),IF(I736&lt;&gt;"",I736,IF(N736="","",F736*N736)),""))</f>
        <v/>
      </c>
      <c r="P736" s="50">
        <f>IF(OR(D736="",F736=""),"",F736*IF(OR(D736="Reçu du magasin",D736="Ajustement (+)"),1,-1))</f>
        <v/>
      </c>
      <c r="Q736" s="34">
        <f>IF(C736="","",YEAR(C736-WEEKDAY(C736,2)+4)&amp;"-S"&amp;TEXT(INT((C736-DATE(YEAR(C736-WEEKDAY(C736,2)+4),1,3)+WEEKDAY(DATE(YEAR(C736-WEEKDAY(C736,2)+4),1,3),2)+5)/7),"00"))</f>
        <v/>
      </c>
    </row>
    <row r="737" ht="18" customHeight="1">
      <c r="A737" s="39" t="n">
        <v>732</v>
      </c>
      <c r="B737" s="33">
        <f>IF(C737="","",IF(L737="À RENSEIGNER","GIC",L737)&amp;"-S"&amp;TEXT(A737,"00000"))</f>
        <v/>
      </c>
      <c r="C737" s="32" t="n"/>
      <c r="D737" s="36" t="n"/>
      <c r="E737" s="36" t="n"/>
      <c r="F737" s="42" t="n"/>
      <c r="G737" s="36" t="n"/>
      <c r="H737" s="43" t="n"/>
      <c r="I737" s="37" t="n"/>
      <c r="J737" s="44" t="n"/>
      <c r="K737" s="36" t="n"/>
      <c r="L737" s="33">
        <f>IF(C737="","",Commercial_Id)</f>
        <v/>
      </c>
      <c r="M737" s="34">
        <f>IF(E737="","",IFERROR(VLOOKUP(E737,T_Produits,2,FALSE),""))</f>
        <v/>
      </c>
      <c r="N737" s="40">
        <f>IF(E737="","",IFERROR(1/(1/VLOOKUP(E737,T_Produits,3,FALSE)),""))</f>
        <v/>
      </c>
      <c r="O737" s="40">
        <f>IF(OR(D737="",F737=""),"",IF(OR(D737="Casse / avarie",D737="Perte / vol",D737="Échantillon offert"),IF(I737&lt;&gt;"",I737,IF(N737="","",F737*N737)),""))</f>
        <v/>
      </c>
      <c r="P737" s="50">
        <f>IF(OR(D737="",F737=""),"",F737*IF(OR(D737="Reçu du magasin",D737="Ajustement (+)"),1,-1))</f>
        <v/>
      </c>
      <c r="Q737" s="34">
        <f>IF(C737="","",YEAR(C737-WEEKDAY(C737,2)+4)&amp;"-S"&amp;TEXT(INT((C737-DATE(YEAR(C737-WEEKDAY(C737,2)+4),1,3)+WEEKDAY(DATE(YEAR(C737-WEEKDAY(C737,2)+4),1,3),2)+5)/7),"00"))</f>
        <v/>
      </c>
    </row>
    <row r="738" ht="18" customHeight="1">
      <c r="A738" s="39" t="n">
        <v>733</v>
      </c>
      <c r="B738" s="33">
        <f>IF(C738="","",IF(L738="À RENSEIGNER","GIC",L738)&amp;"-S"&amp;TEXT(A738,"00000"))</f>
        <v/>
      </c>
      <c r="C738" s="32" t="n"/>
      <c r="D738" s="36" t="n"/>
      <c r="E738" s="36" t="n"/>
      <c r="F738" s="42" t="n"/>
      <c r="G738" s="36" t="n"/>
      <c r="H738" s="43" t="n"/>
      <c r="I738" s="37" t="n"/>
      <c r="J738" s="44" t="n"/>
      <c r="K738" s="36" t="n"/>
      <c r="L738" s="33">
        <f>IF(C738="","",Commercial_Id)</f>
        <v/>
      </c>
      <c r="M738" s="34">
        <f>IF(E738="","",IFERROR(VLOOKUP(E738,T_Produits,2,FALSE),""))</f>
        <v/>
      </c>
      <c r="N738" s="40">
        <f>IF(E738="","",IFERROR(1/(1/VLOOKUP(E738,T_Produits,3,FALSE)),""))</f>
        <v/>
      </c>
      <c r="O738" s="40">
        <f>IF(OR(D738="",F738=""),"",IF(OR(D738="Casse / avarie",D738="Perte / vol",D738="Échantillon offert"),IF(I738&lt;&gt;"",I738,IF(N738="","",F738*N738)),""))</f>
        <v/>
      </c>
      <c r="P738" s="50">
        <f>IF(OR(D738="",F738=""),"",F738*IF(OR(D738="Reçu du magasin",D738="Ajustement (+)"),1,-1))</f>
        <v/>
      </c>
      <c r="Q738" s="34">
        <f>IF(C738="","",YEAR(C738-WEEKDAY(C738,2)+4)&amp;"-S"&amp;TEXT(INT((C738-DATE(YEAR(C738-WEEKDAY(C738,2)+4),1,3)+WEEKDAY(DATE(YEAR(C738-WEEKDAY(C738,2)+4),1,3),2)+5)/7),"00"))</f>
        <v/>
      </c>
    </row>
    <row r="739" ht="18" customHeight="1">
      <c r="A739" s="39" t="n">
        <v>734</v>
      </c>
      <c r="B739" s="33">
        <f>IF(C739="","",IF(L739="À RENSEIGNER","GIC",L739)&amp;"-S"&amp;TEXT(A739,"00000"))</f>
        <v/>
      </c>
      <c r="C739" s="32" t="n"/>
      <c r="D739" s="36" t="n"/>
      <c r="E739" s="36" t="n"/>
      <c r="F739" s="42" t="n"/>
      <c r="G739" s="36" t="n"/>
      <c r="H739" s="43" t="n"/>
      <c r="I739" s="37" t="n"/>
      <c r="J739" s="44" t="n"/>
      <c r="K739" s="36" t="n"/>
      <c r="L739" s="33">
        <f>IF(C739="","",Commercial_Id)</f>
        <v/>
      </c>
      <c r="M739" s="34">
        <f>IF(E739="","",IFERROR(VLOOKUP(E739,T_Produits,2,FALSE),""))</f>
        <v/>
      </c>
      <c r="N739" s="40">
        <f>IF(E739="","",IFERROR(1/(1/VLOOKUP(E739,T_Produits,3,FALSE)),""))</f>
        <v/>
      </c>
      <c r="O739" s="40">
        <f>IF(OR(D739="",F739=""),"",IF(OR(D739="Casse / avarie",D739="Perte / vol",D739="Échantillon offert"),IF(I739&lt;&gt;"",I739,IF(N739="","",F739*N739)),""))</f>
        <v/>
      </c>
      <c r="P739" s="50">
        <f>IF(OR(D739="",F739=""),"",F739*IF(OR(D739="Reçu du magasin",D739="Ajustement (+)"),1,-1))</f>
        <v/>
      </c>
      <c r="Q739" s="34">
        <f>IF(C739="","",YEAR(C739-WEEKDAY(C739,2)+4)&amp;"-S"&amp;TEXT(INT((C739-DATE(YEAR(C739-WEEKDAY(C739,2)+4),1,3)+WEEKDAY(DATE(YEAR(C739-WEEKDAY(C739,2)+4),1,3),2)+5)/7),"00"))</f>
        <v/>
      </c>
    </row>
    <row r="740" ht="18" customHeight="1">
      <c r="A740" s="39" t="n">
        <v>735</v>
      </c>
      <c r="B740" s="33">
        <f>IF(C740="","",IF(L740="À RENSEIGNER","GIC",L740)&amp;"-S"&amp;TEXT(A740,"00000"))</f>
        <v/>
      </c>
      <c r="C740" s="32" t="n"/>
      <c r="D740" s="36" t="n"/>
      <c r="E740" s="36" t="n"/>
      <c r="F740" s="42" t="n"/>
      <c r="G740" s="36" t="n"/>
      <c r="H740" s="43" t="n"/>
      <c r="I740" s="37" t="n"/>
      <c r="J740" s="44" t="n"/>
      <c r="K740" s="36" t="n"/>
      <c r="L740" s="33">
        <f>IF(C740="","",Commercial_Id)</f>
        <v/>
      </c>
      <c r="M740" s="34">
        <f>IF(E740="","",IFERROR(VLOOKUP(E740,T_Produits,2,FALSE),""))</f>
        <v/>
      </c>
      <c r="N740" s="40">
        <f>IF(E740="","",IFERROR(1/(1/VLOOKUP(E740,T_Produits,3,FALSE)),""))</f>
        <v/>
      </c>
      <c r="O740" s="40">
        <f>IF(OR(D740="",F740=""),"",IF(OR(D740="Casse / avarie",D740="Perte / vol",D740="Échantillon offert"),IF(I740&lt;&gt;"",I740,IF(N740="","",F740*N740)),""))</f>
        <v/>
      </c>
      <c r="P740" s="50">
        <f>IF(OR(D740="",F740=""),"",F740*IF(OR(D740="Reçu du magasin",D740="Ajustement (+)"),1,-1))</f>
        <v/>
      </c>
      <c r="Q740" s="34">
        <f>IF(C740="","",YEAR(C740-WEEKDAY(C740,2)+4)&amp;"-S"&amp;TEXT(INT((C740-DATE(YEAR(C740-WEEKDAY(C740,2)+4),1,3)+WEEKDAY(DATE(YEAR(C740-WEEKDAY(C740,2)+4),1,3),2)+5)/7),"00"))</f>
        <v/>
      </c>
    </row>
    <row r="741" ht="18" customHeight="1">
      <c r="A741" s="39" t="n">
        <v>736</v>
      </c>
      <c r="B741" s="33">
        <f>IF(C741="","",IF(L741="À RENSEIGNER","GIC",L741)&amp;"-S"&amp;TEXT(A741,"00000"))</f>
        <v/>
      </c>
      <c r="C741" s="32" t="n"/>
      <c r="D741" s="36" t="n"/>
      <c r="E741" s="36" t="n"/>
      <c r="F741" s="42" t="n"/>
      <c r="G741" s="36" t="n"/>
      <c r="H741" s="43" t="n"/>
      <c r="I741" s="37" t="n"/>
      <c r="J741" s="44" t="n"/>
      <c r="K741" s="36" t="n"/>
      <c r="L741" s="33">
        <f>IF(C741="","",Commercial_Id)</f>
        <v/>
      </c>
      <c r="M741" s="34">
        <f>IF(E741="","",IFERROR(VLOOKUP(E741,T_Produits,2,FALSE),""))</f>
        <v/>
      </c>
      <c r="N741" s="40">
        <f>IF(E741="","",IFERROR(1/(1/VLOOKUP(E741,T_Produits,3,FALSE)),""))</f>
        <v/>
      </c>
      <c r="O741" s="40">
        <f>IF(OR(D741="",F741=""),"",IF(OR(D741="Casse / avarie",D741="Perte / vol",D741="Échantillon offert"),IF(I741&lt;&gt;"",I741,IF(N741="","",F741*N741)),""))</f>
        <v/>
      </c>
      <c r="P741" s="50">
        <f>IF(OR(D741="",F741=""),"",F741*IF(OR(D741="Reçu du magasin",D741="Ajustement (+)"),1,-1))</f>
        <v/>
      </c>
      <c r="Q741" s="34">
        <f>IF(C741="","",YEAR(C741-WEEKDAY(C741,2)+4)&amp;"-S"&amp;TEXT(INT((C741-DATE(YEAR(C741-WEEKDAY(C741,2)+4),1,3)+WEEKDAY(DATE(YEAR(C741-WEEKDAY(C741,2)+4),1,3),2)+5)/7),"00"))</f>
        <v/>
      </c>
    </row>
    <row r="742" ht="18" customHeight="1">
      <c r="A742" s="39" t="n">
        <v>737</v>
      </c>
      <c r="B742" s="33">
        <f>IF(C742="","",IF(L742="À RENSEIGNER","GIC",L742)&amp;"-S"&amp;TEXT(A742,"00000"))</f>
        <v/>
      </c>
      <c r="C742" s="32" t="n"/>
      <c r="D742" s="36" t="n"/>
      <c r="E742" s="36" t="n"/>
      <c r="F742" s="42" t="n"/>
      <c r="G742" s="36" t="n"/>
      <c r="H742" s="43" t="n"/>
      <c r="I742" s="37" t="n"/>
      <c r="J742" s="44" t="n"/>
      <c r="K742" s="36" t="n"/>
      <c r="L742" s="33">
        <f>IF(C742="","",Commercial_Id)</f>
        <v/>
      </c>
      <c r="M742" s="34">
        <f>IF(E742="","",IFERROR(VLOOKUP(E742,T_Produits,2,FALSE),""))</f>
        <v/>
      </c>
      <c r="N742" s="40">
        <f>IF(E742="","",IFERROR(1/(1/VLOOKUP(E742,T_Produits,3,FALSE)),""))</f>
        <v/>
      </c>
      <c r="O742" s="40">
        <f>IF(OR(D742="",F742=""),"",IF(OR(D742="Casse / avarie",D742="Perte / vol",D742="Échantillon offert"),IF(I742&lt;&gt;"",I742,IF(N742="","",F742*N742)),""))</f>
        <v/>
      </c>
      <c r="P742" s="50">
        <f>IF(OR(D742="",F742=""),"",F742*IF(OR(D742="Reçu du magasin",D742="Ajustement (+)"),1,-1))</f>
        <v/>
      </c>
      <c r="Q742" s="34">
        <f>IF(C742="","",YEAR(C742-WEEKDAY(C742,2)+4)&amp;"-S"&amp;TEXT(INT((C742-DATE(YEAR(C742-WEEKDAY(C742,2)+4),1,3)+WEEKDAY(DATE(YEAR(C742-WEEKDAY(C742,2)+4),1,3),2)+5)/7),"00"))</f>
        <v/>
      </c>
    </row>
    <row r="743" ht="18" customHeight="1">
      <c r="A743" s="39" t="n">
        <v>738</v>
      </c>
      <c r="B743" s="33">
        <f>IF(C743="","",IF(L743="À RENSEIGNER","GIC",L743)&amp;"-S"&amp;TEXT(A743,"00000"))</f>
        <v/>
      </c>
      <c r="C743" s="32" t="n"/>
      <c r="D743" s="36" t="n"/>
      <c r="E743" s="36" t="n"/>
      <c r="F743" s="42" t="n"/>
      <c r="G743" s="36" t="n"/>
      <c r="H743" s="43" t="n"/>
      <c r="I743" s="37" t="n"/>
      <c r="J743" s="44" t="n"/>
      <c r="K743" s="36" t="n"/>
      <c r="L743" s="33">
        <f>IF(C743="","",Commercial_Id)</f>
        <v/>
      </c>
      <c r="M743" s="34">
        <f>IF(E743="","",IFERROR(VLOOKUP(E743,T_Produits,2,FALSE),""))</f>
        <v/>
      </c>
      <c r="N743" s="40">
        <f>IF(E743="","",IFERROR(1/(1/VLOOKUP(E743,T_Produits,3,FALSE)),""))</f>
        <v/>
      </c>
      <c r="O743" s="40">
        <f>IF(OR(D743="",F743=""),"",IF(OR(D743="Casse / avarie",D743="Perte / vol",D743="Échantillon offert"),IF(I743&lt;&gt;"",I743,IF(N743="","",F743*N743)),""))</f>
        <v/>
      </c>
      <c r="P743" s="50">
        <f>IF(OR(D743="",F743=""),"",F743*IF(OR(D743="Reçu du magasin",D743="Ajustement (+)"),1,-1))</f>
        <v/>
      </c>
      <c r="Q743" s="34">
        <f>IF(C743="","",YEAR(C743-WEEKDAY(C743,2)+4)&amp;"-S"&amp;TEXT(INT((C743-DATE(YEAR(C743-WEEKDAY(C743,2)+4),1,3)+WEEKDAY(DATE(YEAR(C743-WEEKDAY(C743,2)+4),1,3),2)+5)/7),"00"))</f>
        <v/>
      </c>
    </row>
    <row r="744" ht="18" customHeight="1">
      <c r="A744" s="39" t="n">
        <v>739</v>
      </c>
      <c r="B744" s="33">
        <f>IF(C744="","",IF(L744="À RENSEIGNER","GIC",L744)&amp;"-S"&amp;TEXT(A744,"00000"))</f>
        <v/>
      </c>
      <c r="C744" s="32" t="n"/>
      <c r="D744" s="36" t="n"/>
      <c r="E744" s="36" t="n"/>
      <c r="F744" s="42" t="n"/>
      <c r="G744" s="36" t="n"/>
      <c r="H744" s="43" t="n"/>
      <c r="I744" s="37" t="n"/>
      <c r="J744" s="44" t="n"/>
      <c r="K744" s="36" t="n"/>
      <c r="L744" s="33">
        <f>IF(C744="","",Commercial_Id)</f>
        <v/>
      </c>
      <c r="M744" s="34">
        <f>IF(E744="","",IFERROR(VLOOKUP(E744,T_Produits,2,FALSE),""))</f>
        <v/>
      </c>
      <c r="N744" s="40">
        <f>IF(E744="","",IFERROR(1/(1/VLOOKUP(E744,T_Produits,3,FALSE)),""))</f>
        <v/>
      </c>
      <c r="O744" s="40">
        <f>IF(OR(D744="",F744=""),"",IF(OR(D744="Casse / avarie",D744="Perte / vol",D744="Échantillon offert"),IF(I744&lt;&gt;"",I744,IF(N744="","",F744*N744)),""))</f>
        <v/>
      </c>
      <c r="P744" s="50">
        <f>IF(OR(D744="",F744=""),"",F744*IF(OR(D744="Reçu du magasin",D744="Ajustement (+)"),1,-1))</f>
        <v/>
      </c>
      <c r="Q744" s="34">
        <f>IF(C744="","",YEAR(C744-WEEKDAY(C744,2)+4)&amp;"-S"&amp;TEXT(INT((C744-DATE(YEAR(C744-WEEKDAY(C744,2)+4),1,3)+WEEKDAY(DATE(YEAR(C744-WEEKDAY(C744,2)+4),1,3),2)+5)/7),"00"))</f>
        <v/>
      </c>
    </row>
    <row r="745" ht="18" customHeight="1">
      <c r="A745" s="39" t="n">
        <v>740</v>
      </c>
      <c r="B745" s="33">
        <f>IF(C745="","",IF(L745="À RENSEIGNER","GIC",L745)&amp;"-S"&amp;TEXT(A745,"00000"))</f>
        <v/>
      </c>
      <c r="C745" s="32" t="n"/>
      <c r="D745" s="36" t="n"/>
      <c r="E745" s="36" t="n"/>
      <c r="F745" s="42" t="n"/>
      <c r="G745" s="36" t="n"/>
      <c r="H745" s="43" t="n"/>
      <c r="I745" s="37" t="n"/>
      <c r="J745" s="44" t="n"/>
      <c r="K745" s="36" t="n"/>
      <c r="L745" s="33">
        <f>IF(C745="","",Commercial_Id)</f>
        <v/>
      </c>
      <c r="M745" s="34">
        <f>IF(E745="","",IFERROR(VLOOKUP(E745,T_Produits,2,FALSE),""))</f>
        <v/>
      </c>
      <c r="N745" s="40">
        <f>IF(E745="","",IFERROR(1/(1/VLOOKUP(E745,T_Produits,3,FALSE)),""))</f>
        <v/>
      </c>
      <c r="O745" s="40">
        <f>IF(OR(D745="",F745=""),"",IF(OR(D745="Casse / avarie",D745="Perte / vol",D745="Échantillon offert"),IF(I745&lt;&gt;"",I745,IF(N745="","",F745*N745)),""))</f>
        <v/>
      </c>
      <c r="P745" s="50">
        <f>IF(OR(D745="",F745=""),"",F745*IF(OR(D745="Reçu du magasin",D745="Ajustement (+)"),1,-1))</f>
        <v/>
      </c>
      <c r="Q745" s="34">
        <f>IF(C745="","",YEAR(C745-WEEKDAY(C745,2)+4)&amp;"-S"&amp;TEXT(INT((C745-DATE(YEAR(C745-WEEKDAY(C745,2)+4),1,3)+WEEKDAY(DATE(YEAR(C745-WEEKDAY(C745,2)+4),1,3),2)+5)/7),"00"))</f>
        <v/>
      </c>
    </row>
    <row r="746" ht="18" customHeight="1">
      <c r="A746" s="39" t="n">
        <v>741</v>
      </c>
      <c r="B746" s="33">
        <f>IF(C746="","",IF(L746="À RENSEIGNER","GIC",L746)&amp;"-S"&amp;TEXT(A746,"00000"))</f>
        <v/>
      </c>
      <c r="C746" s="32" t="n"/>
      <c r="D746" s="36" t="n"/>
      <c r="E746" s="36" t="n"/>
      <c r="F746" s="42" t="n"/>
      <c r="G746" s="36" t="n"/>
      <c r="H746" s="43" t="n"/>
      <c r="I746" s="37" t="n"/>
      <c r="J746" s="44" t="n"/>
      <c r="K746" s="36" t="n"/>
      <c r="L746" s="33">
        <f>IF(C746="","",Commercial_Id)</f>
        <v/>
      </c>
      <c r="M746" s="34">
        <f>IF(E746="","",IFERROR(VLOOKUP(E746,T_Produits,2,FALSE),""))</f>
        <v/>
      </c>
      <c r="N746" s="40">
        <f>IF(E746="","",IFERROR(1/(1/VLOOKUP(E746,T_Produits,3,FALSE)),""))</f>
        <v/>
      </c>
      <c r="O746" s="40">
        <f>IF(OR(D746="",F746=""),"",IF(OR(D746="Casse / avarie",D746="Perte / vol",D746="Échantillon offert"),IF(I746&lt;&gt;"",I746,IF(N746="","",F746*N746)),""))</f>
        <v/>
      </c>
      <c r="P746" s="50">
        <f>IF(OR(D746="",F746=""),"",F746*IF(OR(D746="Reçu du magasin",D746="Ajustement (+)"),1,-1))</f>
        <v/>
      </c>
      <c r="Q746" s="34">
        <f>IF(C746="","",YEAR(C746-WEEKDAY(C746,2)+4)&amp;"-S"&amp;TEXT(INT((C746-DATE(YEAR(C746-WEEKDAY(C746,2)+4),1,3)+WEEKDAY(DATE(YEAR(C746-WEEKDAY(C746,2)+4),1,3),2)+5)/7),"00"))</f>
        <v/>
      </c>
    </row>
    <row r="747" ht="18" customHeight="1">
      <c r="A747" s="39" t="n">
        <v>742</v>
      </c>
      <c r="B747" s="33">
        <f>IF(C747="","",IF(L747="À RENSEIGNER","GIC",L747)&amp;"-S"&amp;TEXT(A747,"00000"))</f>
        <v/>
      </c>
      <c r="C747" s="32" t="n"/>
      <c r="D747" s="36" t="n"/>
      <c r="E747" s="36" t="n"/>
      <c r="F747" s="42" t="n"/>
      <c r="G747" s="36" t="n"/>
      <c r="H747" s="43" t="n"/>
      <c r="I747" s="37" t="n"/>
      <c r="J747" s="44" t="n"/>
      <c r="K747" s="36" t="n"/>
      <c r="L747" s="33">
        <f>IF(C747="","",Commercial_Id)</f>
        <v/>
      </c>
      <c r="M747" s="34">
        <f>IF(E747="","",IFERROR(VLOOKUP(E747,T_Produits,2,FALSE),""))</f>
        <v/>
      </c>
      <c r="N747" s="40">
        <f>IF(E747="","",IFERROR(1/(1/VLOOKUP(E747,T_Produits,3,FALSE)),""))</f>
        <v/>
      </c>
      <c r="O747" s="40">
        <f>IF(OR(D747="",F747=""),"",IF(OR(D747="Casse / avarie",D747="Perte / vol",D747="Échantillon offert"),IF(I747&lt;&gt;"",I747,IF(N747="","",F747*N747)),""))</f>
        <v/>
      </c>
      <c r="P747" s="50">
        <f>IF(OR(D747="",F747=""),"",F747*IF(OR(D747="Reçu du magasin",D747="Ajustement (+)"),1,-1))</f>
        <v/>
      </c>
      <c r="Q747" s="34">
        <f>IF(C747="","",YEAR(C747-WEEKDAY(C747,2)+4)&amp;"-S"&amp;TEXT(INT((C747-DATE(YEAR(C747-WEEKDAY(C747,2)+4),1,3)+WEEKDAY(DATE(YEAR(C747-WEEKDAY(C747,2)+4),1,3),2)+5)/7),"00"))</f>
        <v/>
      </c>
    </row>
    <row r="748" ht="18" customHeight="1">
      <c r="A748" s="39" t="n">
        <v>743</v>
      </c>
      <c r="B748" s="33">
        <f>IF(C748="","",IF(L748="À RENSEIGNER","GIC",L748)&amp;"-S"&amp;TEXT(A748,"00000"))</f>
        <v/>
      </c>
      <c r="C748" s="32" t="n"/>
      <c r="D748" s="36" t="n"/>
      <c r="E748" s="36" t="n"/>
      <c r="F748" s="42" t="n"/>
      <c r="G748" s="36" t="n"/>
      <c r="H748" s="43" t="n"/>
      <c r="I748" s="37" t="n"/>
      <c r="J748" s="44" t="n"/>
      <c r="K748" s="36" t="n"/>
      <c r="L748" s="33">
        <f>IF(C748="","",Commercial_Id)</f>
        <v/>
      </c>
      <c r="M748" s="34">
        <f>IF(E748="","",IFERROR(VLOOKUP(E748,T_Produits,2,FALSE),""))</f>
        <v/>
      </c>
      <c r="N748" s="40">
        <f>IF(E748="","",IFERROR(1/(1/VLOOKUP(E748,T_Produits,3,FALSE)),""))</f>
        <v/>
      </c>
      <c r="O748" s="40">
        <f>IF(OR(D748="",F748=""),"",IF(OR(D748="Casse / avarie",D748="Perte / vol",D748="Échantillon offert"),IF(I748&lt;&gt;"",I748,IF(N748="","",F748*N748)),""))</f>
        <v/>
      </c>
      <c r="P748" s="50">
        <f>IF(OR(D748="",F748=""),"",F748*IF(OR(D748="Reçu du magasin",D748="Ajustement (+)"),1,-1))</f>
        <v/>
      </c>
      <c r="Q748" s="34">
        <f>IF(C748="","",YEAR(C748-WEEKDAY(C748,2)+4)&amp;"-S"&amp;TEXT(INT((C748-DATE(YEAR(C748-WEEKDAY(C748,2)+4),1,3)+WEEKDAY(DATE(YEAR(C748-WEEKDAY(C748,2)+4),1,3),2)+5)/7),"00"))</f>
        <v/>
      </c>
    </row>
    <row r="749" ht="18" customHeight="1">
      <c r="A749" s="39" t="n">
        <v>744</v>
      </c>
      <c r="B749" s="33">
        <f>IF(C749="","",IF(L749="À RENSEIGNER","GIC",L749)&amp;"-S"&amp;TEXT(A749,"00000"))</f>
        <v/>
      </c>
      <c r="C749" s="32" t="n"/>
      <c r="D749" s="36" t="n"/>
      <c r="E749" s="36" t="n"/>
      <c r="F749" s="42" t="n"/>
      <c r="G749" s="36" t="n"/>
      <c r="H749" s="43" t="n"/>
      <c r="I749" s="37" t="n"/>
      <c r="J749" s="44" t="n"/>
      <c r="K749" s="36" t="n"/>
      <c r="L749" s="33">
        <f>IF(C749="","",Commercial_Id)</f>
        <v/>
      </c>
      <c r="M749" s="34">
        <f>IF(E749="","",IFERROR(VLOOKUP(E749,T_Produits,2,FALSE),""))</f>
        <v/>
      </c>
      <c r="N749" s="40">
        <f>IF(E749="","",IFERROR(1/(1/VLOOKUP(E749,T_Produits,3,FALSE)),""))</f>
        <v/>
      </c>
      <c r="O749" s="40">
        <f>IF(OR(D749="",F749=""),"",IF(OR(D749="Casse / avarie",D749="Perte / vol",D749="Échantillon offert"),IF(I749&lt;&gt;"",I749,IF(N749="","",F749*N749)),""))</f>
        <v/>
      </c>
      <c r="P749" s="50">
        <f>IF(OR(D749="",F749=""),"",F749*IF(OR(D749="Reçu du magasin",D749="Ajustement (+)"),1,-1))</f>
        <v/>
      </c>
      <c r="Q749" s="34">
        <f>IF(C749="","",YEAR(C749-WEEKDAY(C749,2)+4)&amp;"-S"&amp;TEXT(INT((C749-DATE(YEAR(C749-WEEKDAY(C749,2)+4),1,3)+WEEKDAY(DATE(YEAR(C749-WEEKDAY(C749,2)+4),1,3),2)+5)/7),"00"))</f>
        <v/>
      </c>
    </row>
    <row r="750" ht="18" customHeight="1">
      <c r="A750" s="39" t="n">
        <v>745</v>
      </c>
      <c r="B750" s="33">
        <f>IF(C750="","",IF(L750="À RENSEIGNER","GIC",L750)&amp;"-S"&amp;TEXT(A750,"00000"))</f>
        <v/>
      </c>
      <c r="C750" s="32" t="n"/>
      <c r="D750" s="36" t="n"/>
      <c r="E750" s="36" t="n"/>
      <c r="F750" s="42" t="n"/>
      <c r="G750" s="36" t="n"/>
      <c r="H750" s="43" t="n"/>
      <c r="I750" s="37" t="n"/>
      <c r="J750" s="44" t="n"/>
      <c r="K750" s="36" t="n"/>
      <c r="L750" s="33">
        <f>IF(C750="","",Commercial_Id)</f>
        <v/>
      </c>
      <c r="M750" s="34">
        <f>IF(E750="","",IFERROR(VLOOKUP(E750,T_Produits,2,FALSE),""))</f>
        <v/>
      </c>
      <c r="N750" s="40">
        <f>IF(E750="","",IFERROR(1/(1/VLOOKUP(E750,T_Produits,3,FALSE)),""))</f>
        <v/>
      </c>
      <c r="O750" s="40">
        <f>IF(OR(D750="",F750=""),"",IF(OR(D750="Casse / avarie",D750="Perte / vol",D750="Échantillon offert"),IF(I750&lt;&gt;"",I750,IF(N750="","",F750*N750)),""))</f>
        <v/>
      </c>
      <c r="P750" s="50">
        <f>IF(OR(D750="",F750=""),"",F750*IF(OR(D750="Reçu du magasin",D750="Ajustement (+)"),1,-1))</f>
        <v/>
      </c>
      <c r="Q750" s="34">
        <f>IF(C750="","",YEAR(C750-WEEKDAY(C750,2)+4)&amp;"-S"&amp;TEXT(INT((C750-DATE(YEAR(C750-WEEKDAY(C750,2)+4),1,3)+WEEKDAY(DATE(YEAR(C750-WEEKDAY(C750,2)+4),1,3),2)+5)/7),"00"))</f>
        <v/>
      </c>
    </row>
    <row r="751" ht="18" customHeight="1">
      <c r="A751" s="39" t="n">
        <v>746</v>
      </c>
      <c r="B751" s="33">
        <f>IF(C751="","",IF(L751="À RENSEIGNER","GIC",L751)&amp;"-S"&amp;TEXT(A751,"00000"))</f>
        <v/>
      </c>
      <c r="C751" s="32" t="n"/>
      <c r="D751" s="36" t="n"/>
      <c r="E751" s="36" t="n"/>
      <c r="F751" s="42" t="n"/>
      <c r="G751" s="36" t="n"/>
      <c r="H751" s="43" t="n"/>
      <c r="I751" s="37" t="n"/>
      <c r="J751" s="44" t="n"/>
      <c r="K751" s="36" t="n"/>
      <c r="L751" s="33">
        <f>IF(C751="","",Commercial_Id)</f>
        <v/>
      </c>
      <c r="M751" s="34">
        <f>IF(E751="","",IFERROR(VLOOKUP(E751,T_Produits,2,FALSE),""))</f>
        <v/>
      </c>
      <c r="N751" s="40">
        <f>IF(E751="","",IFERROR(1/(1/VLOOKUP(E751,T_Produits,3,FALSE)),""))</f>
        <v/>
      </c>
      <c r="O751" s="40">
        <f>IF(OR(D751="",F751=""),"",IF(OR(D751="Casse / avarie",D751="Perte / vol",D751="Échantillon offert"),IF(I751&lt;&gt;"",I751,IF(N751="","",F751*N751)),""))</f>
        <v/>
      </c>
      <c r="P751" s="50">
        <f>IF(OR(D751="",F751=""),"",F751*IF(OR(D751="Reçu du magasin",D751="Ajustement (+)"),1,-1))</f>
        <v/>
      </c>
      <c r="Q751" s="34">
        <f>IF(C751="","",YEAR(C751-WEEKDAY(C751,2)+4)&amp;"-S"&amp;TEXT(INT((C751-DATE(YEAR(C751-WEEKDAY(C751,2)+4),1,3)+WEEKDAY(DATE(YEAR(C751-WEEKDAY(C751,2)+4),1,3),2)+5)/7),"00"))</f>
        <v/>
      </c>
    </row>
    <row r="752" ht="18" customHeight="1">
      <c r="A752" s="39" t="n">
        <v>747</v>
      </c>
      <c r="B752" s="33">
        <f>IF(C752="","",IF(L752="À RENSEIGNER","GIC",L752)&amp;"-S"&amp;TEXT(A752,"00000"))</f>
        <v/>
      </c>
      <c r="C752" s="32" t="n"/>
      <c r="D752" s="36" t="n"/>
      <c r="E752" s="36" t="n"/>
      <c r="F752" s="42" t="n"/>
      <c r="G752" s="36" t="n"/>
      <c r="H752" s="43" t="n"/>
      <c r="I752" s="37" t="n"/>
      <c r="J752" s="44" t="n"/>
      <c r="K752" s="36" t="n"/>
      <c r="L752" s="33">
        <f>IF(C752="","",Commercial_Id)</f>
        <v/>
      </c>
      <c r="M752" s="34">
        <f>IF(E752="","",IFERROR(VLOOKUP(E752,T_Produits,2,FALSE),""))</f>
        <v/>
      </c>
      <c r="N752" s="40">
        <f>IF(E752="","",IFERROR(1/(1/VLOOKUP(E752,T_Produits,3,FALSE)),""))</f>
        <v/>
      </c>
      <c r="O752" s="40">
        <f>IF(OR(D752="",F752=""),"",IF(OR(D752="Casse / avarie",D752="Perte / vol",D752="Échantillon offert"),IF(I752&lt;&gt;"",I752,IF(N752="","",F752*N752)),""))</f>
        <v/>
      </c>
      <c r="P752" s="50">
        <f>IF(OR(D752="",F752=""),"",F752*IF(OR(D752="Reçu du magasin",D752="Ajustement (+)"),1,-1))</f>
        <v/>
      </c>
      <c r="Q752" s="34">
        <f>IF(C752="","",YEAR(C752-WEEKDAY(C752,2)+4)&amp;"-S"&amp;TEXT(INT((C752-DATE(YEAR(C752-WEEKDAY(C752,2)+4),1,3)+WEEKDAY(DATE(YEAR(C752-WEEKDAY(C752,2)+4),1,3),2)+5)/7),"00"))</f>
        <v/>
      </c>
    </row>
    <row r="753" ht="18" customHeight="1">
      <c r="A753" s="39" t="n">
        <v>748</v>
      </c>
      <c r="B753" s="33">
        <f>IF(C753="","",IF(L753="À RENSEIGNER","GIC",L753)&amp;"-S"&amp;TEXT(A753,"00000"))</f>
        <v/>
      </c>
      <c r="C753" s="32" t="n"/>
      <c r="D753" s="36" t="n"/>
      <c r="E753" s="36" t="n"/>
      <c r="F753" s="42" t="n"/>
      <c r="G753" s="36" t="n"/>
      <c r="H753" s="43" t="n"/>
      <c r="I753" s="37" t="n"/>
      <c r="J753" s="44" t="n"/>
      <c r="K753" s="36" t="n"/>
      <c r="L753" s="33">
        <f>IF(C753="","",Commercial_Id)</f>
        <v/>
      </c>
      <c r="M753" s="34">
        <f>IF(E753="","",IFERROR(VLOOKUP(E753,T_Produits,2,FALSE),""))</f>
        <v/>
      </c>
      <c r="N753" s="40">
        <f>IF(E753="","",IFERROR(1/(1/VLOOKUP(E753,T_Produits,3,FALSE)),""))</f>
        <v/>
      </c>
      <c r="O753" s="40">
        <f>IF(OR(D753="",F753=""),"",IF(OR(D753="Casse / avarie",D753="Perte / vol",D753="Échantillon offert"),IF(I753&lt;&gt;"",I753,IF(N753="","",F753*N753)),""))</f>
        <v/>
      </c>
      <c r="P753" s="50">
        <f>IF(OR(D753="",F753=""),"",F753*IF(OR(D753="Reçu du magasin",D753="Ajustement (+)"),1,-1))</f>
        <v/>
      </c>
      <c r="Q753" s="34">
        <f>IF(C753="","",YEAR(C753-WEEKDAY(C753,2)+4)&amp;"-S"&amp;TEXT(INT((C753-DATE(YEAR(C753-WEEKDAY(C753,2)+4),1,3)+WEEKDAY(DATE(YEAR(C753-WEEKDAY(C753,2)+4),1,3),2)+5)/7),"00"))</f>
        <v/>
      </c>
    </row>
    <row r="754" ht="18" customHeight="1">
      <c r="A754" s="39" t="n">
        <v>749</v>
      </c>
      <c r="B754" s="33">
        <f>IF(C754="","",IF(L754="À RENSEIGNER","GIC",L754)&amp;"-S"&amp;TEXT(A754,"00000"))</f>
        <v/>
      </c>
      <c r="C754" s="32" t="n"/>
      <c r="D754" s="36" t="n"/>
      <c r="E754" s="36" t="n"/>
      <c r="F754" s="42" t="n"/>
      <c r="G754" s="36" t="n"/>
      <c r="H754" s="43" t="n"/>
      <c r="I754" s="37" t="n"/>
      <c r="J754" s="44" t="n"/>
      <c r="K754" s="36" t="n"/>
      <c r="L754" s="33">
        <f>IF(C754="","",Commercial_Id)</f>
        <v/>
      </c>
      <c r="M754" s="34">
        <f>IF(E754="","",IFERROR(VLOOKUP(E754,T_Produits,2,FALSE),""))</f>
        <v/>
      </c>
      <c r="N754" s="40">
        <f>IF(E754="","",IFERROR(1/(1/VLOOKUP(E754,T_Produits,3,FALSE)),""))</f>
        <v/>
      </c>
      <c r="O754" s="40">
        <f>IF(OR(D754="",F754=""),"",IF(OR(D754="Casse / avarie",D754="Perte / vol",D754="Échantillon offert"),IF(I754&lt;&gt;"",I754,IF(N754="","",F754*N754)),""))</f>
        <v/>
      </c>
      <c r="P754" s="50">
        <f>IF(OR(D754="",F754=""),"",F754*IF(OR(D754="Reçu du magasin",D754="Ajustement (+)"),1,-1))</f>
        <v/>
      </c>
      <c r="Q754" s="34">
        <f>IF(C754="","",YEAR(C754-WEEKDAY(C754,2)+4)&amp;"-S"&amp;TEXT(INT((C754-DATE(YEAR(C754-WEEKDAY(C754,2)+4),1,3)+WEEKDAY(DATE(YEAR(C754-WEEKDAY(C754,2)+4),1,3),2)+5)/7),"00"))</f>
        <v/>
      </c>
    </row>
    <row r="755" ht="18" customHeight="1">
      <c r="A755" s="39" t="n">
        <v>750</v>
      </c>
      <c r="B755" s="33">
        <f>IF(C755="","",IF(L755="À RENSEIGNER","GIC",L755)&amp;"-S"&amp;TEXT(A755,"00000"))</f>
        <v/>
      </c>
      <c r="C755" s="32" t="n"/>
      <c r="D755" s="36" t="n"/>
      <c r="E755" s="36" t="n"/>
      <c r="F755" s="42" t="n"/>
      <c r="G755" s="36" t="n"/>
      <c r="H755" s="43" t="n"/>
      <c r="I755" s="37" t="n"/>
      <c r="J755" s="44" t="n"/>
      <c r="K755" s="36" t="n"/>
      <c r="L755" s="33">
        <f>IF(C755="","",Commercial_Id)</f>
        <v/>
      </c>
      <c r="M755" s="34">
        <f>IF(E755="","",IFERROR(VLOOKUP(E755,T_Produits,2,FALSE),""))</f>
        <v/>
      </c>
      <c r="N755" s="40">
        <f>IF(E755="","",IFERROR(1/(1/VLOOKUP(E755,T_Produits,3,FALSE)),""))</f>
        <v/>
      </c>
      <c r="O755" s="40">
        <f>IF(OR(D755="",F755=""),"",IF(OR(D755="Casse / avarie",D755="Perte / vol",D755="Échantillon offert"),IF(I755&lt;&gt;"",I755,IF(N755="","",F755*N755)),""))</f>
        <v/>
      </c>
      <c r="P755" s="50">
        <f>IF(OR(D755="",F755=""),"",F755*IF(OR(D755="Reçu du magasin",D755="Ajustement (+)"),1,-1))</f>
        <v/>
      </c>
      <c r="Q755" s="34">
        <f>IF(C755="","",YEAR(C755-WEEKDAY(C755,2)+4)&amp;"-S"&amp;TEXT(INT((C755-DATE(YEAR(C755-WEEKDAY(C755,2)+4),1,3)+WEEKDAY(DATE(YEAR(C755-WEEKDAY(C755,2)+4),1,3),2)+5)/7),"00"))</f>
        <v/>
      </c>
    </row>
    <row r="756" ht="18" customHeight="1">
      <c r="A756" s="39" t="n">
        <v>751</v>
      </c>
      <c r="B756" s="33">
        <f>IF(C756="","",IF(L756="À RENSEIGNER","GIC",L756)&amp;"-S"&amp;TEXT(A756,"00000"))</f>
        <v/>
      </c>
      <c r="C756" s="32" t="n"/>
      <c r="D756" s="36" t="n"/>
      <c r="E756" s="36" t="n"/>
      <c r="F756" s="42" t="n"/>
      <c r="G756" s="36" t="n"/>
      <c r="H756" s="43" t="n"/>
      <c r="I756" s="37" t="n"/>
      <c r="J756" s="44" t="n"/>
      <c r="K756" s="36" t="n"/>
      <c r="L756" s="33">
        <f>IF(C756="","",Commercial_Id)</f>
        <v/>
      </c>
      <c r="M756" s="34">
        <f>IF(E756="","",IFERROR(VLOOKUP(E756,T_Produits,2,FALSE),""))</f>
        <v/>
      </c>
      <c r="N756" s="40">
        <f>IF(E756="","",IFERROR(1/(1/VLOOKUP(E756,T_Produits,3,FALSE)),""))</f>
        <v/>
      </c>
      <c r="O756" s="40">
        <f>IF(OR(D756="",F756=""),"",IF(OR(D756="Casse / avarie",D756="Perte / vol",D756="Échantillon offert"),IF(I756&lt;&gt;"",I756,IF(N756="","",F756*N756)),""))</f>
        <v/>
      </c>
      <c r="P756" s="50">
        <f>IF(OR(D756="",F756=""),"",F756*IF(OR(D756="Reçu du magasin",D756="Ajustement (+)"),1,-1))</f>
        <v/>
      </c>
      <c r="Q756" s="34">
        <f>IF(C756="","",YEAR(C756-WEEKDAY(C756,2)+4)&amp;"-S"&amp;TEXT(INT((C756-DATE(YEAR(C756-WEEKDAY(C756,2)+4),1,3)+WEEKDAY(DATE(YEAR(C756-WEEKDAY(C756,2)+4),1,3),2)+5)/7),"00"))</f>
        <v/>
      </c>
    </row>
    <row r="757" ht="18" customHeight="1">
      <c r="A757" s="39" t="n">
        <v>752</v>
      </c>
      <c r="B757" s="33">
        <f>IF(C757="","",IF(L757="À RENSEIGNER","GIC",L757)&amp;"-S"&amp;TEXT(A757,"00000"))</f>
        <v/>
      </c>
      <c r="C757" s="32" t="n"/>
      <c r="D757" s="36" t="n"/>
      <c r="E757" s="36" t="n"/>
      <c r="F757" s="42" t="n"/>
      <c r="G757" s="36" t="n"/>
      <c r="H757" s="43" t="n"/>
      <c r="I757" s="37" t="n"/>
      <c r="J757" s="44" t="n"/>
      <c r="K757" s="36" t="n"/>
      <c r="L757" s="33">
        <f>IF(C757="","",Commercial_Id)</f>
        <v/>
      </c>
      <c r="M757" s="34">
        <f>IF(E757="","",IFERROR(VLOOKUP(E757,T_Produits,2,FALSE),""))</f>
        <v/>
      </c>
      <c r="N757" s="40">
        <f>IF(E757="","",IFERROR(1/(1/VLOOKUP(E757,T_Produits,3,FALSE)),""))</f>
        <v/>
      </c>
      <c r="O757" s="40">
        <f>IF(OR(D757="",F757=""),"",IF(OR(D757="Casse / avarie",D757="Perte / vol",D757="Échantillon offert"),IF(I757&lt;&gt;"",I757,IF(N757="","",F757*N757)),""))</f>
        <v/>
      </c>
      <c r="P757" s="50">
        <f>IF(OR(D757="",F757=""),"",F757*IF(OR(D757="Reçu du magasin",D757="Ajustement (+)"),1,-1))</f>
        <v/>
      </c>
      <c r="Q757" s="34">
        <f>IF(C757="","",YEAR(C757-WEEKDAY(C757,2)+4)&amp;"-S"&amp;TEXT(INT((C757-DATE(YEAR(C757-WEEKDAY(C757,2)+4),1,3)+WEEKDAY(DATE(YEAR(C757-WEEKDAY(C757,2)+4),1,3),2)+5)/7),"00"))</f>
        <v/>
      </c>
    </row>
    <row r="758" ht="18" customHeight="1">
      <c r="A758" s="39" t="n">
        <v>753</v>
      </c>
      <c r="B758" s="33">
        <f>IF(C758="","",IF(L758="À RENSEIGNER","GIC",L758)&amp;"-S"&amp;TEXT(A758,"00000"))</f>
        <v/>
      </c>
      <c r="C758" s="32" t="n"/>
      <c r="D758" s="36" t="n"/>
      <c r="E758" s="36" t="n"/>
      <c r="F758" s="42" t="n"/>
      <c r="G758" s="36" t="n"/>
      <c r="H758" s="43" t="n"/>
      <c r="I758" s="37" t="n"/>
      <c r="J758" s="44" t="n"/>
      <c r="K758" s="36" t="n"/>
      <c r="L758" s="33">
        <f>IF(C758="","",Commercial_Id)</f>
        <v/>
      </c>
      <c r="M758" s="34">
        <f>IF(E758="","",IFERROR(VLOOKUP(E758,T_Produits,2,FALSE),""))</f>
        <v/>
      </c>
      <c r="N758" s="40">
        <f>IF(E758="","",IFERROR(1/(1/VLOOKUP(E758,T_Produits,3,FALSE)),""))</f>
        <v/>
      </c>
      <c r="O758" s="40">
        <f>IF(OR(D758="",F758=""),"",IF(OR(D758="Casse / avarie",D758="Perte / vol",D758="Échantillon offert"),IF(I758&lt;&gt;"",I758,IF(N758="","",F758*N758)),""))</f>
        <v/>
      </c>
      <c r="P758" s="50">
        <f>IF(OR(D758="",F758=""),"",F758*IF(OR(D758="Reçu du magasin",D758="Ajustement (+)"),1,-1))</f>
        <v/>
      </c>
      <c r="Q758" s="34">
        <f>IF(C758="","",YEAR(C758-WEEKDAY(C758,2)+4)&amp;"-S"&amp;TEXT(INT((C758-DATE(YEAR(C758-WEEKDAY(C758,2)+4),1,3)+WEEKDAY(DATE(YEAR(C758-WEEKDAY(C758,2)+4),1,3),2)+5)/7),"00"))</f>
        <v/>
      </c>
    </row>
    <row r="759" ht="18" customHeight="1">
      <c r="A759" s="39" t="n">
        <v>754</v>
      </c>
      <c r="B759" s="33">
        <f>IF(C759="","",IF(L759="À RENSEIGNER","GIC",L759)&amp;"-S"&amp;TEXT(A759,"00000"))</f>
        <v/>
      </c>
      <c r="C759" s="32" t="n"/>
      <c r="D759" s="36" t="n"/>
      <c r="E759" s="36" t="n"/>
      <c r="F759" s="42" t="n"/>
      <c r="G759" s="36" t="n"/>
      <c r="H759" s="43" t="n"/>
      <c r="I759" s="37" t="n"/>
      <c r="J759" s="44" t="n"/>
      <c r="K759" s="36" t="n"/>
      <c r="L759" s="33">
        <f>IF(C759="","",Commercial_Id)</f>
        <v/>
      </c>
      <c r="M759" s="34">
        <f>IF(E759="","",IFERROR(VLOOKUP(E759,T_Produits,2,FALSE),""))</f>
        <v/>
      </c>
      <c r="N759" s="40">
        <f>IF(E759="","",IFERROR(1/(1/VLOOKUP(E759,T_Produits,3,FALSE)),""))</f>
        <v/>
      </c>
      <c r="O759" s="40">
        <f>IF(OR(D759="",F759=""),"",IF(OR(D759="Casse / avarie",D759="Perte / vol",D759="Échantillon offert"),IF(I759&lt;&gt;"",I759,IF(N759="","",F759*N759)),""))</f>
        <v/>
      </c>
      <c r="P759" s="50">
        <f>IF(OR(D759="",F759=""),"",F759*IF(OR(D759="Reçu du magasin",D759="Ajustement (+)"),1,-1))</f>
        <v/>
      </c>
      <c r="Q759" s="34">
        <f>IF(C759="","",YEAR(C759-WEEKDAY(C759,2)+4)&amp;"-S"&amp;TEXT(INT((C759-DATE(YEAR(C759-WEEKDAY(C759,2)+4),1,3)+WEEKDAY(DATE(YEAR(C759-WEEKDAY(C759,2)+4),1,3),2)+5)/7),"00"))</f>
        <v/>
      </c>
    </row>
    <row r="760" ht="18" customHeight="1">
      <c r="A760" s="39" t="n">
        <v>755</v>
      </c>
      <c r="B760" s="33">
        <f>IF(C760="","",IF(L760="À RENSEIGNER","GIC",L760)&amp;"-S"&amp;TEXT(A760,"00000"))</f>
        <v/>
      </c>
      <c r="C760" s="32" t="n"/>
      <c r="D760" s="36" t="n"/>
      <c r="E760" s="36" t="n"/>
      <c r="F760" s="42" t="n"/>
      <c r="G760" s="36" t="n"/>
      <c r="H760" s="43" t="n"/>
      <c r="I760" s="37" t="n"/>
      <c r="J760" s="44" t="n"/>
      <c r="K760" s="36" t="n"/>
      <c r="L760" s="33">
        <f>IF(C760="","",Commercial_Id)</f>
        <v/>
      </c>
      <c r="M760" s="34">
        <f>IF(E760="","",IFERROR(VLOOKUP(E760,T_Produits,2,FALSE),""))</f>
        <v/>
      </c>
      <c r="N760" s="40">
        <f>IF(E760="","",IFERROR(1/(1/VLOOKUP(E760,T_Produits,3,FALSE)),""))</f>
        <v/>
      </c>
      <c r="O760" s="40">
        <f>IF(OR(D760="",F760=""),"",IF(OR(D760="Casse / avarie",D760="Perte / vol",D760="Échantillon offert"),IF(I760&lt;&gt;"",I760,IF(N760="","",F760*N760)),""))</f>
        <v/>
      </c>
      <c r="P760" s="50">
        <f>IF(OR(D760="",F760=""),"",F760*IF(OR(D760="Reçu du magasin",D760="Ajustement (+)"),1,-1))</f>
        <v/>
      </c>
      <c r="Q760" s="34">
        <f>IF(C760="","",YEAR(C760-WEEKDAY(C760,2)+4)&amp;"-S"&amp;TEXT(INT((C760-DATE(YEAR(C760-WEEKDAY(C760,2)+4),1,3)+WEEKDAY(DATE(YEAR(C760-WEEKDAY(C760,2)+4),1,3),2)+5)/7),"00"))</f>
        <v/>
      </c>
    </row>
    <row r="761" ht="18" customHeight="1">
      <c r="A761" s="39" t="n">
        <v>756</v>
      </c>
      <c r="B761" s="33">
        <f>IF(C761="","",IF(L761="À RENSEIGNER","GIC",L761)&amp;"-S"&amp;TEXT(A761,"00000"))</f>
        <v/>
      </c>
      <c r="C761" s="32" t="n"/>
      <c r="D761" s="36" t="n"/>
      <c r="E761" s="36" t="n"/>
      <c r="F761" s="42" t="n"/>
      <c r="G761" s="36" t="n"/>
      <c r="H761" s="43" t="n"/>
      <c r="I761" s="37" t="n"/>
      <c r="J761" s="44" t="n"/>
      <c r="K761" s="36" t="n"/>
      <c r="L761" s="33">
        <f>IF(C761="","",Commercial_Id)</f>
        <v/>
      </c>
      <c r="M761" s="34">
        <f>IF(E761="","",IFERROR(VLOOKUP(E761,T_Produits,2,FALSE),""))</f>
        <v/>
      </c>
      <c r="N761" s="40">
        <f>IF(E761="","",IFERROR(1/(1/VLOOKUP(E761,T_Produits,3,FALSE)),""))</f>
        <v/>
      </c>
      <c r="O761" s="40">
        <f>IF(OR(D761="",F761=""),"",IF(OR(D761="Casse / avarie",D761="Perte / vol",D761="Échantillon offert"),IF(I761&lt;&gt;"",I761,IF(N761="","",F761*N761)),""))</f>
        <v/>
      </c>
      <c r="P761" s="50">
        <f>IF(OR(D761="",F761=""),"",F761*IF(OR(D761="Reçu du magasin",D761="Ajustement (+)"),1,-1))</f>
        <v/>
      </c>
      <c r="Q761" s="34">
        <f>IF(C761="","",YEAR(C761-WEEKDAY(C761,2)+4)&amp;"-S"&amp;TEXT(INT((C761-DATE(YEAR(C761-WEEKDAY(C761,2)+4),1,3)+WEEKDAY(DATE(YEAR(C761-WEEKDAY(C761,2)+4),1,3),2)+5)/7),"00"))</f>
        <v/>
      </c>
    </row>
    <row r="762" ht="18" customHeight="1">
      <c r="A762" s="39" t="n">
        <v>757</v>
      </c>
      <c r="B762" s="33">
        <f>IF(C762="","",IF(L762="À RENSEIGNER","GIC",L762)&amp;"-S"&amp;TEXT(A762,"00000"))</f>
        <v/>
      </c>
      <c r="C762" s="32" t="n"/>
      <c r="D762" s="36" t="n"/>
      <c r="E762" s="36" t="n"/>
      <c r="F762" s="42" t="n"/>
      <c r="G762" s="36" t="n"/>
      <c r="H762" s="43" t="n"/>
      <c r="I762" s="37" t="n"/>
      <c r="J762" s="44" t="n"/>
      <c r="K762" s="36" t="n"/>
      <c r="L762" s="33">
        <f>IF(C762="","",Commercial_Id)</f>
        <v/>
      </c>
      <c r="M762" s="34">
        <f>IF(E762="","",IFERROR(VLOOKUP(E762,T_Produits,2,FALSE),""))</f>
        <v/>
      </c>
      <c r="N762" s="40">
        <f>IF(E762="","",IFERROR(1/(1/VLOOKUP(E762,T_Produits,3,FALSE)),""))</f>
        <v/>
      </c>
      <c r="O762" s="40">
        <f>IF(OR(D762="",F762=""),"",IF(OR(D762="Casse / avarie",D762="Perte / vol",D762="Échantillon offert"),IF(I762&lt;&gt;"",I762,IF(N762="","",F762*N762)),""))</f>
        <v/>
      </c>
      <c r="P762" s="50">
        <f>IF(OR(D762="",F762=""),"",F762*IF(OR(D762="Reçu du magasin",D762="Ajustement (+)"),1,-1))</f>
        <v/>
      </c>
      <c r="Q762" s="34">
        <f>IF(C762="","",YEAR(C762-WEEKDAY(C762,2)+4)&amp;"-S"&amp;TEXT(INT((C762-DATE(YEAR(C762-WEEKDAY(C762,2)+4),1,3)+WEEKDAY(DATE(YEAR(C762-WEEKDAY(C762,2)+4),1,3),2)+5)/7),"00"))</f>
        <v/>
      </c>
    </row>
    <row r="763" ht="18" customHeight="1">
      <c r="A763" s="39" t="n">
        <v>758</v>
      </c>
      <c r="B763" s="33">
        <f>IF(C763="","",IF(L763="À RENSEIGNER","GIC",L763)&amp;"-S"&amp;TEXT(A763,"00000"))</f>
        <v/>
      </c>
      <c r="C763" s="32" t="n"/>
      <c r="D763" s="36" t="n"/>
      <c r="E763" s="36" t="n"/>
      <c r="F763" s="42" t="n"/>
      <c r="G763" s="36" t="n"/>
      <c r="H763" s="43" t="n"/>
      <c r="I763" s="37" t="n"/>
      <c r="J763" s="44" t="n"/>
      <c r="K763" s="36" t="n"/>
      <c r="L763" s="33">
        <f>IF(C763="","",Commercial_Id)</f>
        <v/>
      </c>
      <c r="M763" s="34">
        <f>IF(E763="","",IFERROR(VLOOKUP(E763,T_Produits,2,FALSE),""))</f>
        <v/>
      </c>
      <c r="N763" s="40">
        <f>IF(E763="","",IFERROR(1/(1/VLOOKUP(E763,T_Produits,3,FALSE)),""))</f>
        <v/>
      </c>
      <c r="O763" s="40">
        <f>IF(OR(D763="",F763=""),"",IF(OR(D763="Casse / avarie",D763="Perte / vol",D763="Échantillon offert"),IF(I763&lt;&gt;"",I763,IF(N763="","",F763*N763)),""))</f>
        <v/>
      </c>
      <c r="P763" s="50">
        <f>IF(OR(D763="",F763=""),"",F763*IF(OR(D763="Reçu du magasin",D763="Ajustement (+)"),1,-1))</f>
        <v/>
      </c>
      <c r="Q763" s="34">
        <f>IF(C763="","",YEAR(C763-WEEKDAY(C763,2)+4)&amp;"-S"&amp;TEXT(INT((C763-DATE(YEAR(C763-WEEKDAY(C763,2)+4),1,3)+WEEKDAY(DATE(YEAR(C763-WEEKDAY(C763,2)+4),1,3),2)+5)/7),"00"))</f>
        <v/>
      </c>
    </row>
    <row r="764" ht="18" customHeight="1">
      <c r="A764" s="39" t="n">
        <v>759</v>
      </c>
      <c r="B764" s="33">
        <f>IF(C764="","",IF(L764="À RENSEIGNER","GIC",L764)&amp;"-S"&amp;TEXT(A764,"00000"))</f>
        <v/>
      </c>
      <c r="C764" s="32" t="n"/>
      <c r="D764" s="36" t="n"/>
      <c r="E764" s="36" t="n"/>
      <c r="F764" s="42" t="n"/>
      <c r="G764" s="36" t="n"/>
      <c r="H764" s="43" t="n"/>
      <c r="I764" s="37" t="n"/>
      <c r="J764" s="44" t="n"/>
      <c r="K764" s="36" t="n"/>
      <c r="L764" s="33">
        <f>IF(C764="","",Commercial_Id)</f>
        <v/>
      </c>
      <c r="M764" s="34">
        <f>IF(E764="","",IFERROR(VLOOKUP(E764,T_Produits,2,FALSE),""))</f>
        <v/>
      </c>
      <c r="N764" s="40">
        <f>IF(E764="","",IFERROR(1/(1/VLOOKUP(E764,T_Produits,3,FALSE)),""))</f>
        <v/>
      </c>
      <c r="O764" s="40">
        <f>IF(OR(D764="",F764=""),"",IF(OR(D764="Casse / avarie",D764="Perte / vol",D764="Échantillon offert"),IF(I764&lt;&gt;"",I764,IF(N764="","",F764*N764)),""))</f>
        <v/>
      </c>
      <c r="P764" s="50">
        <f>IF(OR(D764="",F764=""),"",F764*IF(OR(D764="Reçu du magasin",D764="Ajustement (+)"),1,-1))</f>
        <v/>
      </c>
      <c r="Q764" s="34">
        <f>IF(C764="","",YEAR(C764-WEEKDAY(C764,2)+4)&amp;"-S"&amp;TEXT(INT((C764-DATE(YEAR(C764-WEEKDAY(C764,2)+4),1,3)+WEEKDAY(DATE(YEAR(C764-WEEKDAY(C764,2)+4),1,3),2)+5)/7),"00"))</f>
        <v/>
      </c>
    </row>
    <row r="765" ht="18" customHeight="1">
      <c r="A765" s="39" t="n">
        <v>760</v>
      </c>
      <c r="B765" s="33">
        <f>IF(C765="","",IF(L765="À RENSEIGNER","GIC",L765)&amp;"-S"&amp;TEXT(A765,"00000"))</f>
        <v/>
      </c>
      <c r="C765" s="32" t="n"/>
      <c r="D765" s="36" t="n"/>
      <c r="E765" s="36" t="n"/>
      <c r="F765" s="42" t="n"/>
      <c r="G765" s="36" t="n"/>
      <c r="H765" s="43" t="n"/>
      <c r="I765" s="37" t="n"/>
      <c r="J765" s="44" t="n"/>
      <c r="K765" s="36" t="n"/>
      <c r="L765" s="33">
        <f>IF(C765="","",Commercial_Id)</f>
        <v/>
      </c>
      <c r="M765" s="34">
        <f>IF(E765="","",IFERROR(VLOOKUP(E765,T_Produits,2,FALSE),""))</f>
        <v/>
      </c>
      <c r="N765" s="40">
        <f>IF(E765="","",IFERROR(1/(1/VLOOKUP(E765,T_Produits,3,FALSE)),""))</f>
        <v/>
      </c>
      <c r="O765" s="40">
        <f>IF(OR(D765="",F765=""),"",IF(OR(D765="Casse / avarie",D765="Perte / vol",D765="Échantillon offert"),IF(I765&lt;&gt;"",I765,IF(N765="","",F765*N765)),""))</f>
        <v/>
      </c>
      <c r="P765" s="50">
        <f>IF(OR(D765="",F765=""),"",F765*IF(OR(D765="Reçu du magasin",D765="Ajustement (+)"),1,-1))</f>
        <v/>
      </c>
      <c r="Q765" s="34">
        <f>IF(C765="","",YEAR(C765-WEEKDAY(C765,2)+4)&amp;"-S"&amp;TEXT(INT((C765-DATE(YEAR(C765-WEEKDAY(C765,2)+4),1,3)+WEEKDAY(DATE(YEAR(C765-WEEKDAY(C765,2)+4),1,3),2)+5)/7),"00"))</f>
        <v/>
      </c>
    </row>
    <row r="766" ht="18" customHeight="1">
      <c r="A766" s="39" t="n">
        <v>761</v>
      </c>
      <c r="B766" s="33">
        <f>IF(C766="","",IF(L766="À RENSEIGNER","GIC",L766)&amp;"-S"&amp;TEXT(A766,"00000"))</f>
        <v/>
      </c>
      <c r="C766" s="32" t="n"/>
      <c r="D766" s="36" t="n"/>
      <c r="E766" s="36" t="n"/>
      <c r="F766" s="42" t="n"/>
      <c r="G766" s="36" t="n"/>
      <c r="H766" s="43" t="n"/>
      <c r="I766" s="37" t="n"/>
      <c r="J766" s="44" t="n"/>
      <c r="K766" s="36" t="n"/>
      <c r="L766" s="33">
        <f>IF(C766="","",Commercial_Id)</f>
        <v/>
      </c>
      <c r="M766" s="34">
        <f>IF(E766="","",IFERROR(VLOOKUP(E766,T_Produits,2,FALSE),""))</f>
        <v/>
      </c>
      <c r="N766" s="40">
        <f>IF(E766="","",IFERROR(1/(1/VLOOKUP(E766,T_Produits,3,FALSE)),""))</f>
        <v/>
      </c>
      <c r="O766" s="40">
        <f>IF(OR(D766="",F766=""),"",IF(OR(D766="Casse / avarie",D766="Perte / vol",D766="Échantillon offert"),IF(I766&lt;&gt;"",I766,IF(N766="","",F766*N766)),""))</f>
        <v/>
      </c>
      <c r="P766" s="50">
        <f>IF(OR(D766="",F766=""),"",F766*IF(OR(D766="Reçu du magasin",D766="Ajustement (+)"),1,-1))</f>
        <v/>
      </c>
      <c r="Q766" s="34">
        <f>IF(C766="","",YEAR(C766-WEEKDAY(C766,2)+4)&amp;"-S"&amp;TEXT(INT((C766-DATE(YEAR(C766-WEEKDAY(C766,2)+4),1,3)+WEEKDAY(DATE(YEAR(C766-WEEKDAY(C766,2)+4),1,3),2)+5)/7),"00"))</f>
        <v/>
      </c>
    </row>
    <row r="767" ht="18" customHeight="1">
      <c r="A767" s="39" t="n">
        <v>762</v>
      </c>
      <c r="B767" s="33">
        <f>IF(C767="","",IF(L767="À RENSEIGNER","GIC",L767)&amp;"-S"&amp;TEXT(A767,"00000"))</f>
        <v/>
      </c>
      <c r="C767" s="32" t="n"/>
      <c r="D767" s="36" t="n"/>
      <c r="E767" s="36" t="n"/>
      <c r="F767" s="42" t="n"/>
      <c r="G767" s="36" t="n"/>
      <c r="H767" s="43" t="n"/>
      <c r="I767" s="37" t="n"/>
      <c r="J767" s="44" t="n"/>
      <c r="K767" s="36" t="n"/>
      <c r="L767" s="33">
        <f>IF(C767="","",Commercial_Id)</f>
        <v/>
      </c>
      <c r="M767" s="34">
        <f>IF(E767="","",IFERROR(VLOOKUP(E767,T_Produits,2,FALSE),""))</f>
        <v/>
      </c>
      <c r="N767" s="40">
        <f>IF(E767="","",IFERROR(1/(1/VLOOKUP(E767,T_Produits,3,FALSE)),""))</f>
        <v/>
      </c>
      <c r="O767" s="40">
        <f>IF(OR(D767="",F767=""),"",IF(OR(D767="Casse / avarie",D767="Perte / vol",D767="Échantillon offert"),IF(I767&lt;&gt;"",I767,IF(N767="","",F767*N767)),""))</f>
        <v/>
      </c>
      <c r="P767" s="50">
        <f>IF(OR(D767="",F767=""),"",F767*IF(OR(D767="Reçu du magasin",D767="Ajustement (+)"),1,-1))</f>
        <v/>
      </c>
      <c r="Q767" s="34">
        <f>IF(C767="","",YEAR(C767-WEEKDAY(C767,2)+4)&amp;"-S"&amp;TEXT(INT((C767-DATE(YEAR(C767-WEEKDAY(C767,2)+4),1,3)+WEEKDAY(DATE(YEAR(C767-WEEKDAY(C767,2)+4),1,3),2)+5)/7),"00"))</f>
        <v/>
      </c>
    </row>
    <row r="768" ht="18" customHeight="1">
      <c r="A768" s="39" t="n">
        <v>763</v>
      </c>
      <c r="B768" s="33">
        <f>IF(C768="","",IF(L768="À RENSEIGNER","GIC",L768)&amp;"-S"&amp;TEXT(A768,"00000"))</f>
        <v/>
      </c>
      <c r="C768" s="32" t="n"/>
      <c r="D768" s="36" t="n"/>
      <c r="E768" s="36" t="n"/>
      <c r="F768" s="42" t="n"/>
      <c r="G768" s="36" t="n"/>
      <c r="H768" s="43" t="n"/>
      <c r="I768" s="37" t="n"/>
      <c r="J768" s="44" t="n"/>
      <c r="K768" s="36" t="n"/>
      <c r="L768" s="33">
        <f>IF(C768="","",Commercial_Id)</f>
        <v/>
      </c>
      <c r="M768" s="34">
        <f>IF(E768="","",IFERROR(VLOOKUP(E768,T_Produits,2,FALSE),""))</f>
        <v/>
      </c>
      <c r="N768" s="40">
        <f>IF(E768="","",IFERROR(1/(1/VLOOKUP(E768,T_Produits,3,FALSE)),""))</f>
        <v/>
      </c>
      <c r="O768" s="40">
        <f>IF(OR(D768="",F768=""),"",IF(OR(D768="Casse / avarie",D768="Perte / vol",D768="Échantillon offert"),IF(I768&lt;&gt;"",I768,IF(N768="","",F768*N768)),""))</f>
        <v/>
      </c>
      <c r="P768" s="50">
        <f>IF(OR(D768="",F768=""),"",F768*IF(OR(D768="Reçu du magasin",D768="Ajustement (+)"),1,-1))</f>
        <v/>
      </c>
      <c r="Q768" s="34">
        <f>IF(C768="","",YEAR(C768-WEEKDAY(C768,2)+4)&amp;"-S"&amp;TEXT(INT((C768-DATE(YEAR(C768-WEEKDAY(C768,2)+4),1,3)+WEEKDAY(DATE(YEAR(C768-WEEKDAY(C768,2)+4),1,3),2)+5)/7),"00"))</f>
        <v/>
      </c>
    </row>
    <row r="769" ht="18" customHeight="1">
      <c r="A769" s="39" t="n">
        <v>764</v>
      </c>
      <c r="B769" s="33">
        <f>IF(C769="","",IF(L769="À RENSEIGNER","GIC",L769)&amp;"-S"&amp;TEXT(A769,"00000"))</f>
        <v/>
      </c>
      <c r="C769" s="32" t="n"/>
      <c r="D769" s="36" t="n"/>
      <c r="E769" s="36" t="n"/>
      <c r="F769" s="42" t="n"/>
      <c r="G769" s="36" t="n"/>
      <c r="H769" s="43" t="n"/>
      <c r="I769" s="37" t="n"/>
      <c r="J769" s="44" t="n"/>
      <c r="K769" s="36" t="n"/>
      <c r="L769" s="33">
        <f>IF(C769="","",Commercial_Id)</f>
        <v/>
      </c>
      <c r="M769" s="34">
        <f>IF(E769="","",IFERROR(VLOOKUP(E769,T_Produits,2,FALSE),""))</f>
        <v/>
      </c>
      <c r="N769" s="40">
        <f>IF(E769="","",IFERROR(1/(1/VLOOKUP(E769,T_Produits,3,FALSE)),""))</f>
        <v/>
      </c>
      <c r="O769" s="40">
        <f>IF(OR(D769="",F769=""),"",IF(OR(D769="Casse / avarie",D769="Perte / vol",D769="Échantillon offert"),IF(I769&lt;&gt;"",I769,IF(N769="","",F769*N769)),""))</f>
        <v/>
      </c>
      <c r="P769" s="50">
        <f>IF(OR(D769="",F769=""),"",F769*IF(OR(D769="Reçu du magasin",D769="Ajustement (+)"),1,-1))</f>
        <v/>
      </c>
      <c r="Q769" s="34">
        <f>IF(C769="","",YEAR(C769-WEEKDAY(C769,2)+4)&amp;"-S"&amp;TEXT(INT((C769-DATE(YEAR(C769-WEEKDAY(C769,2)+4),1,3)+WEEKDAY(DATE(YEAR(C769-WEEKDAY(C769,2)+4),1,3),2)+5)/7),"00"))</f>
        <v/>
      </c>
    </row>
    <row r="770" ht="18" customHeight="1">
      <c r="A770" s="39" t="n">
        <v>765</v>
      </c>
      <c r="B770" s="33">
        <f>IF(C770="","",IF(L770="À RENSEIGNER","GIC",L770)&amp;"-S"&amp;TEXT(A770,"00000"))</f>
        <v/>
      </c>
      <c r="C770" s="32" t="n"/>
      <c r="D770" s="36" t="n"/>
      <c r="E770" s="36" t="n"/>
      <c r="F770" s="42" t="n"/>
      <c r="G770" s="36" t="n"/>
      <c r="H770" s="43" t="n"/>
      <c r="I770" s="37" t="n"/>
      <c r="J770" s="44" t="n"/>
      <c r="K770" s="36" t="n"/>
      <c r="L770" s="33">
        <f>IF(C770="","",Commercial_Id)</f>
        <v/>
      </c>
      <c r="M770" s="34">
        <f>IF(E770="","",IFERROR(VLOOKUP(E770,T_Produits,2,FALSE),""))</f>
        <v/>
      </c>
      <c r="N770" s="40">
        <f>IF(E770="","",IFERROR(1/(1/VLOOKUP(E770,T_Produits,3,FALSE)),""))</f>
        <v/>
      </c>
      <c r="O770" s="40">
        <f>IF(OR(D770="",F770=""),"",IF(OR(D770="Casse / avarie",D770="Perte / vol",D770="Échantillon offert"),IF(I770&lt;&gt;"",I770,IF(N770="","",F770*N770)),""))</f>
        <v/>
      </c>
      <c r="P770" s="50">
        <f>IF(OR(D770="",F770=""),"",F770*IF(OR(D770="Reçu du magasin",D770="Ajustement (+)"),1,-1))</f>
        <v/>
      </c>
      <c r="Q770" s="34">
        <f>IF(C770="","",YEAR(C770-WEEKDAY(C770,2)+4)&amp;"-S"&amp;TEXT(INT((C770-DATE(YEAR(C770-WEEKDAY(C770,2)+4),1,3)+WEEKDAY(DATE(YEAR(C770-WEEKDAY(C770,2)+4),1,3),2)+5)/7),"00"))</f>
        <v/>
      </c>
    </row>
    <row r="771" ht="18" customHeight="1">
      <c r="A771" s="39" t="n">
        <v>766</v>
      </c>
      <c r="B771" s="33">
        <f>IF(C771="","",IF(L771="À RENSEIGNER","GIC",L771)&amp;"-S"&amp;TEXT(A771,"00000"))</f>
        <v/>
      </c>
      <c r="C771" s="32" t="n"/>
      <c r="D771" s="36" t="n"/>
      <c r="E771" s="36" t="n"/>
      <c r="F771" s="42" t="n"/>
      <c r="G771" s="36" t="n"/>
      <c r="H771" s="43" t="n"/>
      <c r="I771" s="37" t="n"/>
      <c r="J771" s="44" t="n"/>
      <c r="K771" s="36" t="n"/>
      <c r="L771" s="33">
        <f>IF(C771="","",Commercial_Id)</f>
        <v/>
      </c>
      <c r="M771" s="34">
        <f>IF(E771="","",IFERROR(VLOOKUP(E771,T_Produits,2,FALSE),""))</f>
        <v/>
      </c>
      <c r="N771" s="40">
        <f>IF(E771="","",IFERROR(1/(1/VLOOKUP(E771,T_Produits,3,FALSE)),""))</f>
        <v/>
      </c>
      <c r="O771" s="40">
        <f>IF(OR(D771="",F771=""),"",IF(OR(D771="Casse / avarie",D771="Perte / vol",D771="Échantillon offert"),IF(I771&lt;&gt;"",I771,IF(N771="","",F771*N771)),""))</f>
        <v/>
      </c>
      <c r="P771" s="50">
        <f>IF(OR(D771="",F771=""),"",F771*IF(OR(D771="Reçu du magasin",D771="Ajustement (+)"),1,-1))</f>
        <v/>
      </c>
      <c r="Q771" s="34">
        <f>IF(C771="","",YEAR(C771-WEEKDAY(C771,2)+4)&amp;"-S"&amp;TEXT(INT((C771-DATE(YEAR(C771-WEEKDAY(C771,2)+4),1,3)+WEEKDAY(DATE(YEAR(C771-WEEKDAY(C771,2)+4),1,3),2)+5)/7),"00"))</f>
        <v/>
      </c>
    </row>
    <row r="772" ht="18" customHeight="1">
      <c r="A772" s="39" t="n">
        <v>767</v>
      </c>
      <c r="B772" s="33">
        <f>IF(C772="","",IF(L772="À RENSEIGNER","GIC",L772)&amp;"-S"&amp;TEXT(A772,"00000"))</f>
        <v/>
      </c>
      <c r="C772" s="32" t="n"/>
      <c r="D772" s="36" t="n"/>
      <c r="E772" s="36" t="n"/>
      <c r="F772" s="42" t="n"/>
      <c r="G772" s="36" t="n"/>
      <c r="H772" s="43" t="n"/>
      <c r="I772" s="37" t="n"/>
      <c r="J772" s="44" t="n"/>
      <c r="K772" s="36" t="n"/>
      <c r="L772" s="33">
        <f>IF(C772="","",Commercial_Id)</f>
        <v/>
      </c>
      <c r="M772" s="34">
        <f>IF(E772="","",IFERROR(VLOOKUP(E772,T_Produits,2,FALSE),""))</f>
        <v/>
      </c>
      <c r="N772" s="40">
        <f>IF(E772="","",IFERROR(1/(1/VLOOKUP(E772,T_Produits,3,FALSE)),""))</f>
        <v/>
      </c>
      <c r="O772" s="40">
        <f>IF(OR(D772="",F772=""),"",IF(OR(D772="Casse / avarie",D772="Perte / vol",D772="Échantillon offert"),IF(I772&lt;&gt;"",I772,IF(N772="","",F772*N772)),""))</f>
        <v/>
      </c>
      <c r="P772" s="50">
        <f>IF(OR(D772="",F772=""),"",F772*IF(OR(D772="Reçu du magasin",D772="Ajustement (+)"),1,-1))</f>
        <v/>
      </c>
      <c r="Q772" s="34">
        <f>IF(C772="","",YEAR(C772-WEEKDAY(C772,2)+4)&amp;"-S"&amp;TEXT(INT((C772-DATE(YEAR(C772-WEEKDAY(C772,2)+4),1,3)+WEEKDAY(DATE(YEAR(C772-WEEKDAY(C772,2)+4),1,3),2)+5)/7),"00"))</f>
        <v/>
      </c>
    </row>
    <row r="773" ht="18" customHeight="1">
      <c r="A773" s="39" t="n">
        <v>768</v>
      </c>
      <c r="B773" s="33">
        <f>IF(C773="","",IF(L773="À RENSEIGNER","GIC",L773)&amp;"-S"&amp;TEXT(A773,"00000"))</f>
        <v/>
      </c>
      <c r="C773" s="32" t="n"/>
      <c r="D773" s="36" t="n"/>
      <c r="E773" s="36" t="n"/>
      <c r="F773" s="42" t="n"/>
      <c r="G773" s="36" t="n"/>
      <c r="H773" s="43" t="n"/>
      <c r="I773" s="37" t="n"/>
      <c r="J773" s="44" t="n"/>
      <c r="K773" s="36" t="n"/>
      <c r="L773" s="33">
        <f>IF(C773="","",Commercial_Id)</f>
        <v/>
      </c>
      <c r="M773" s="34">
        <f>IF(E773="","",IFERROR(VLOOKUP(E773,T_Produits,2,FALSE),""))</f>
        <v/>
      </c>
      <c r="N773" s="40">
        <f>IF(E773="","",IFERROR(1/(1/VLOOKUP(E773,T_Produits,3,FALSE)),""))</f>
        <v/>
      </c>
      <c r="O773" s="40">
        <f>IF(OR(D773="",F773=""),"",IF(OR(D773="Casse / avarie",D773="Perte / vol",D773="Échantillon offert"),IF(I773&lt;&gt;"",I773,IF(N773="","",F773*N773)),""))</f>
        <v/>
      </c>
      <c r="P773" s="50">
        <f>IF(OR(D773="",F773=""),"",F773*IF(OR(D773="Reçu du magasin",D773="Ajustement (+)"),1,-1))</f>
        <v/>
      </c>
      <c r="Q773" s="34">
        <f>IF(C773="","",YEAR(C773-WEEKDAY(C773,2)+4)&amp;"-S"&amp;TEXT(INT((C773-DATE(YEAR(C773-WEEKDAY(C773,2)+4),1,3)+WEEKDAY(DATE(YEAR(C773-WEEKDAY(C773,2)+4),1,3),2)+5)/7),"00"))</f>
        <v/>
      </c>
    </row>
    <row r="774" ht="18" customHeight="1">
      <c r="A774" s="39" t="n">
        <v>769</v>
      </c>
      <c r="B774" s="33">
        <f>IF(C774="","",IF(L774="À RENSEIGNER","GIC",L774)&amp;"-S"&amp;TEXT(A774,"00000"))</f>
        <v/>
      </c>
      <c r="C774" s="32" t="n"/>
      <c r="D774" s="36" t="n"/>
      <c r="E774" s="36" t="n"/>
      <c r="F774" s="42" t="n"/>
      <c r="G774" s="36" t="n"/>
      <c r="H774" s="43" t="n"/>
      <c r="I774" s="37" t="n"/>
      <c r="J774" s="44" t="n"/>
      <c r="K774" s="36" t="n"/>
      <c r="L774" s="33">
        <f>IF(C774="","",Commercial_Id)</f>
        <v/>
      </c>
      <c r="M774" s="34">
        <f>IF(E774="","",IFERROR(VLOOKUP(E774,T_Produits,2,FALSE),""))</f>
        <v/>
      </c>
      <c r="N774" s="40">
        <f>IF(E774="","",IFERROR(1/(1/VLOOKUP(E774,T_Produits,3,FALSE)),""))</f>
        <v/>
      </c>
      <c r="O774" s="40">
        <f>IF(OR(D774="",F774=""),"",IF(OR(D774="Casse / avarie",D774="Perte / vol",D774="Échantillon offert"),IF(I774&lt;&gt;"",I774,IF(N774="","",F774*N774)),""))</f>
        <v/>
      </c>
      <c r="P774" s="50">
        <f>IF(OR(D774="",F774=""),"",F774*IF(OR(D774="Reçu du magasin",D774="Ajustement (+)"),1,-1))</f>
        <v/>
      </c>
      <c r="Q774" s="34">
        <f>IF(C774="","",YEAR(C774-WEEKDAY(C774,2)+4)&amp;"-S"&amp;TEXT(INT((C774-DATE(YEAR(C774-WEEKDAY(C774,2)+4),1,3)+WEEKDAY(DATE(YEAR(C774-WEEKDAY(C774,2)+4),1,3),2)+5)/7),"00"))</f>
        <v/>
      </c>
    </row>
    <row r="775" ht="18" customHeight="1">
      <c r="A775" s="39" t="n">
        <v>770</v>
      </c>
      <c r="B775" s="33">
        <f>IF(C775="","",IF(L775="À RENSEIGNER","GIC",L775)&amp;"-S"&amp;TEXT(A775,"00000"))</f>
        <v/>
      </c>
      <c r="C775" s="32" t="n"/>
      <c r="D775" s="36" t="n"/>
      <c r="E775" s="36" t="n"/>
      <c r="F775" s="42" t="n"/>
      <c r="G775" s="36" t="n"/>
      <c r="H775" s="43" t="n"/>
      <c r="I775" s="37" t="n"/>
      <c r="J775" s="44" t="n"/>
      <c r="K775" s="36" t="n"/>
      <c r="L775" s="33">
        <f>IF(C775="","",Commercial_Id)</f>
        <v/>
      </c>
      <c r="M775" s="34">
        <f>IF(E775="","",IFERROR(VLOOKUP(E775,T_Produits,2,FALSE),""))</f>
        <v/>
      </c>
      <c r="N775" s="40">
        <f>IF(E775="","",IFERROR(1/(1/VLOOKUP(E775,T_Produits,3,FALSE)),""))</f>
        <v/>
      </c>
      <c r="O775" s="40">
        <f>IF(OR(D775="",F775=""),"",IF(OR(D775="Casse / avarie",D775="Perte / vol",D775="Échantillon offert"),IF(I775&lt;&gt;"",I775,IF(N775="","",F775*N775)),""))</f>
        <v/>
      </c>
      <c r="P775" s="50">
        <f>IF(OR(D775="",F775=""),"",F775*IF(OR(D775="Reçu du magasin",D775="Ajustement (+)"),1,-1))</f>
        <v/>
      </c>
      <c r="Q775" s="34">
        <f>IF(C775="","",YEAR(C775-WEEKDAY(C775,2)+4)&amp;"-S"&amp;TEXT(INT((C775-DATE(YEAR(C775-WEEKDAY(C775,2)+4),1,3)+WEEKDAY(DATE(YEAR(C775-WEEKDAY(C775,2)+4),1,3),2)+5)/7),"00"))</f>
        <v/>
      </c>
    </row>
    <row r="776" ht="18" customHeight="1">
      <c r="A776" s="39" t="n">
        <v>771</v>
      </c>
      <c r="B776" s="33">
        <f>IF(C776="","",IF(L776="À RENSEIGNER","GIC",L776)&amp;"-S"&amp;TEXT(A776,"00000"))</f>
        <v/>
      </c>
      <c r="C776" s="32" t="n"/>
      <c r="D776" s="36" t="n"/>
      <c r="E776" s="36" t="n"/>
      <c r="F776" s="42" t="n"/>
      <c r="G776" s="36" t="n"/>
      <c r="H776" s="43" t="n"/>
      <c r="I776" s="37" t="n"/>
      <c r="J776" s="44" t="n"/>
      <c r="K776" s="36" t="n"/>
      <c r="L776" s="33">
        <f>IF(C776="","",Commercial_Id)</f>
        <v/>
      </c>
      <c r="M776" s="34">
        <f>IF(E776="","",IFERROR(VLOOKUP(E776,T_Produits,2,FALSE),""))</f>
        <v/>
      </c>
      <c r="N776" s="40">
        <f>IF(E776="","",IFERROR(1/(1/VLOOKUP(E776,T_Produits,3,FALSE)),""))</f>
        <v/>
      </c>
      <c r="O776" s="40">
        <f>IF(OR(D776="",F776=""),"",IF(OR(D776="Casse / avarie",D776="Perte / vol",D776="Échantillon offert"),IF(I776&lt;&gt;"",I776,IF(N776="","",F776*N776)),""))</f>
        <v/>
      </c>
      <c r="P776" s="50">
        <f>IF(OR(D776="",F776=""),"",F776*IF(OR(D776="Reçu du magasin",D776="Ajustement (+)"),1,-1))</f>
        <v/>
      </c>
      <c r="Q776" s="34">
        <f>IF(C776="","",YEAR(C776-WEEKDAY(C776,2)+4)&amp;"-S"&amp;TEXT(INT((C776-DATE(YEAR(C776-WEEKDAY(C776,2)+4),1,3)+WEEKDAY(DATE(YEAR(C776-WEEKDAY(C776,2)+4),1,3),2)+5)/7),"00"))</f>
        <v/>
      </c>
    </row>
    <row r="777" ht="18" customHeight="1">
      <c r="A777" s="39" t="n">
        <v>772</v>
      </c>
      <c r="B777" s="33">
        <f>IF(C777="","",IF(L777="À RENSEIGNER","GIC",L777)&amp;"-S"&amp;TEXT(A777,"00000"))</f>
        <v/>
      </c>
      <c r="C777" s="32" t="n"/>
      <c r="D777" s="36" t="n"/>
      <c r="E777" s="36" t="n"/>
      <c r="F777" s="42" t="n"/>
      <c r="G777" s="36" t="n"/>
      <c r="H777" s="43" t="n"/>
      <c r="I777" s="37" t="n"/>
      <c r="J777" s="44" t="n"/>
      <c r="K777" s="36" t="n"/>
      <c r="L777" s="33">
        <f>IF(C777="","",Commercial_Id)</f>
        <v/>
      </c>
      <c r="M777" s="34">
        <f>IF(E777="","",IFERROR(VLOOKUP(E777,T_Produits,2,FALSE),""))</f>
        <v/>
      </c>
      <c r="N777" s="40">
        <f>IF(E777="","",IFERROR(1/(1/VLOOKUP(E777,T_Produits,3,FALSE)),""))</f>
        <v/>
      </c>
      <c r="O777" s="40">
        <f>IF(OR(D777="",F777=""),"",IF(OR(D777="Casse / avarie",D777="Perte / vol",D777="Échantillon offert"),IF(I777&lt;&gt;"",I777,IF(N777="","",F777*N777)),""))</f>
        <v/>
      </c>
      <c r="P777" s="50">
        <f>IF(OR(D777="",F777=""),"",F777*IF(OR(D777="Reçu du magasin",D777="Ajustement (+)"),1,-1))</f>
        <v/>
      </c>
      <c r="Q777" s="34">
        <f>IF(C777="","",YEAR(C777-WEEKDAY(C777,2)+4)&amp;"-S"&amp;TEXT(INT((C777-DATE(YEAR(C777-WEEKDAY(C777,2)+4),1,3)+WEEKDAY(DATE(YEAR(C777-WEEKDAY(C777,2)+4),1,3),2)+5)/7),"00"))</f>
        <v/>
      </c>
    </row>
    <row r="778" ht="18" customHeight="1">
      <c r="A778" s="39" t="n">
        <v>773</v>
      </c>
      <c r="B778" s="33">
        <f>IF(C778="","",IF(L778="À RENSEIGNER","GIC",L778)&amp;"-S"&amp;TEXT(A778,"00000"))</f>
        <v/>
      </c>
      <c r="C778" s="32" t="n"/>
      <c r="D778" s="36" t="n"/>
      <c r="E778" s="36" t="n"/>
      <c r="F778" s="42" t="n"/>
      <c r="G778" s="36" t="n"/>
      <c r="H778" s="43" t="n"/>
      <c r="I778" s="37" t="n"/>
      <c r="J778" s="44" t="n"/>
      <c r="K778" s="36" t="n"/>
      <c r="L778" s="33">
        <f>IF(C778="","",Commercial_Id)</f>
        <v/>
      </c>
      <c r="M778" s="34">
        <f>IF(E778="","",IFERROR(VLOOKUP(E778,T_Produits,2,FALSE),""))</f>
        <v/>
      </c>
      <c r="N778" s="40">
        <f>IF(E778="","",IFERROR(1/(1/VLOOKUP(E778,T_Produits,3,FALSE)),""))</f>
        <v/>
      </c>
      <c r="O778" s="40">
        <f>IF(OR(D778="",F778=""),"",IF(OR(D778="Casse / avarie",D778="Perte / vol",D778="Échantillon offert"),IF(I778&lt;&gt;"",I778,IF(N778="","",F778*N778)),""))</f>
        <v/>
      </c>
      <c r="P778" s="50">
        <f>IF(OR(D778="",F778=""),"",F778*IF(OR(D778="Reçu du magasin",D778="Ajustement (+)"),1,-1))</f>
        <v/>
      </c>
      <c r="Q778" s="34">
        <f>IF(C778="","",YEAR(C778-WEEKDAY(C778,2)+4)&amp;"-S"&amp;TEXT(INT((C778-DATE(YEAR(C778-WEEKDAY(C778,2)+4),1,3)+WEEKDAY(DATE(YEAR(C778-WEEKDAY(C778,2)+4),1,3),2)+5)/7),"00"))</f>
        <v/>
      </c>
    </row>
    <row r="779" ht="18" customHeight="1">
      <c r="A779" s="39" t="n">
        <v>774</v>
      </c>
      <c r="B779" s="33">
        <f>IF(C779="","",IF(L779="À RENSEIGNER","GIC",L779)&amp;"-S"&amp;TEXT(A779,"00000"))</f>
        <v/>
      </c>
      <c r="C779" s="32" t="n"/>
      <c r="D779" s="36" t="n"/>
      <c r="E779" s="36" t="n"/>
      <c r="F779" s="42" t="n"/>
      <c r="G779" s="36" t="n"/>
      <c r="H779" s="43" t="n"/>
      <c r="I779" s="37" t="n"/>
      <c r="J779" s="44" t="n"/>
      <c r="K779" s="36" t="n"/>
      <c r="L779" s="33">
        <f>IF(C779="","",Commercial_Id)</f>
        <v/>
      </c>
      <c r="M779" s="34">
        <f>IF(E779="","",IFERROR(VLOOKUP(E779,T_Produits,2,FALSE),""))</f>
        <v/>
      </c>
      <c r="N779" s="40">
        <f>IF(E779="","",IFERROR(1/(1/VLOOKUP(E779,T_Produits,3,FALSE)),""))</f>
        <v/>
      </c>
      <c r="O779" s="40">
        <f>IF(OR(D779="",F779=""),"",IF(OR(D779="Casse / avarie",D779="Perte / vol",D779="Échantillon offert"),IF(I779&lt;&gt;"",I779,IF(N779="","",F779*N779)),""))</f>
        <v/>
      </c>
      <c r="P779" s="50">
        <f>IF(OR(D779="",F779=""),"",F779*IF(OR(D779="Reçu du magasin",D779="Ajustement (+)"),1,-1))</f>
        <v/>
      </c>
      <c r="Q779" s="34">
        <f>IF(C779="","",YEAR(C779-WEEKDAY(C779,2)+4)&amp;"-S"&amp;TEXT(INT((C779-DATE(YEAR(C779-WEEKDAY(C779,2)+4),1,3)+WEEKDAY(DATE(YEAR(C779-WEEKDAY(C779,2)+4),1,3),2)+5)/7),"00"))</f>
        <v/>
      </c>
    </row>
    <row r="780" ht="18" customHeight="1">
      <c r="A780" s="39" t="n">
        <v>775</v>
      </c>
      <c r="B780" s="33">
        <f>IF(C780="","",IF(L780="À RENSEIGNER","GIC",L780)&amp;"-S"&amp;TEXT(A780,"00000"))</f>
        <v/>
      </c>
      <c r="C780" s="32" t="n"/>
      <c r="D780" s="36" t="n"/>
      <c r="E780" s="36" t="n"/>
      <c r="F780" s="42" t="n"/>
      <c r="G780" s="36" t="n"/>
      <c r="H780" s="43" t="n"/>
      <c r="I780" s="37" t="n"/>
      <c r="J780" s="44" t="n"/>
      <c r="K780" s="36" t="n"/>
      <c r="L780" s="33">
        <f>IF(C780="","",Commercial_Id)</f>
        <v/>
      </c>
      <c r="M780" s="34">
        <f>IF(E780="","",IFERROR(VLOOKUP(E780,T_Produits,2,FALSE),""))</f>
        <v/>
      </c>
      <c r="N780" s="40">
        <f>IF(E780="","",IFERROR(1/(1/VLOOKUP(E780,T_Produits,3,FALSE)),""))</f>
        <v/>
      </c>
      <c r="O780" s="40">
        <f>IF(OR(D780="",F780=""),"",IF(OR(D780="Casse / avarie",D780="Perte / vol",D780="Échantillon offert"),IF(I780&lt;&gt;"",I780,IF(N780="","",F780*N780)),""))</f>
        <v/>
      </c>
      <c r="P780" s="50">
        <f>IF(OR(D780="",F780=""),"",F780*IF(OR(D780="Reçu du magasin",D780="Ajustement (+)"),1,-1))</f>
        <v/>
      </c>
      <c r="Q780" s="34">
        <f>IF(C780="","",YEAR(C780-WEEKDAY(C780,2)+4)&amp;"-S"&amp;TEXT(INT((C780-DATE(YEAR(C780-WEEKDAY(C780,2)+4),1,3)+WEEKDAY(DATE(YEAR(C780-WEEKDAY(C780,2)+4),1,3),2)+5)/7),"00"))</f>
        <v/>
      </c>
    </row>
    <row r="781" ht="18" customHeight="1">
      <c r="A781" s="39" t="n">
        <v>776</v>
      </c>
      <c r="B781" s="33">
        <f>IF(C781="","",IF(L781="À RENSEIGNER","GIC",L781)&amp;"-S"&amp;TEXT(A781,"00000"))</f>
        <v/>
      </c>
      <c r="C781" s="32" t="n"/>
      <c r="D781" s="36" t="n"/>
      <c r="E781" s="36" t="n"/>
      <c r="F781" s="42" t="n"/>
      <c r="G781" s="36" t="n"/>
      <c r="H781" s="43" t="n"/>
      <c r="I781" s="37" t="n"/>
      <c r="J781" s="44" t="n"/>
      <c r="K781" s="36" t="n"/>
      <c r="L781" s="33">
        <f>IF(C781="","",Commercial_Id)</f>
        <v/>
      </c>
      <c r="M781" s="34">
        <f>IF(E781="","",IFERROR(VLOOKUP(E781,T_Produits,2,FALSE),""))</f>
        <v/>
      </c>
      <c r="N781" s="40">
        <f>IF(E781="","",IFERROR(1/(1/VLOOKUP(E781,T_Produits,3,FALSE)),""))</f>
        <v/>
      </c>
      <c r="O781" s="40">
        <f>IF(OR(D781="",F781=""),"",IF(OR(D781="Casse / avarie",D781="Perte / vol",D781="Échantillon offert"),IF(I781&lt;&gt;"",I781,IF(N781="","",F781*N781)),""))</f>
        <v/>
      </c>
      <c r="P781" s="50">
        <f>IF(OR(D781="",F781=""),"",F781*IF(OR(D781="Reçu du magasin",D781="Ajustement (+)"),1,-1))</f>
        <v/>
      </c>
      <c r="Q781" s="34">
        <f>IF(C781="","",YEAR(C781-WEEKDAY(C781,2)+4)&amp;"-S"&amp;TEXT(INT((C781-DATE(YEAR(C781-WEEKDAY(C781,2)+4),1,3)+WEEKDAY(DATE(YEAR(C781-WEEKDAY(C781,2)+4),1,3),2)+5)/7),"00"))</f>
        <v/>
      </c>
    </row>
    <row r="782" ht="18" customHeight="1">
      <c r="A782" s="39" t="n">
        <v>777</v>
      </c>
      <c r="B782" s="33">
        <f>IF(C782="","",IF(L782="À RENSEIGNER","GIC",L782)&amp;"-S"&amp;TEXT(A782,"00000"))</f>
        <v/>
      </c>
      <c r="C782" s="32" t="n"/>
      <c r="D782" s="36" t="n"/>
      <c r="E782" s="36" t="n"/>
      <c r="F782" s="42" t="n"/>
      <c r="G782" s="36" t="n"/>
      <c r="H782" s="43" t="n"/>
      <c r="I782" s="37" t="n"/>
      <c r="J782" s="44" t="n"/>
      <c r="K782" s="36" t="n"/>
      <c r="L782" s="33">
        <f>IF(C782="","",Commercial_Id)</f>
        <v/>
      </c>
      <c r="M782" s="34">
        <f>IF(E782="","",IFERROR(VLOOKUP(E782,T_Produits,2,FALSE),""))</f>
        <v/>
      </c>
      <c r="N782" s="40">
        <f>IF(E782="","",IFERROR(1/(1/VLOOKUP(E782,T_Produits,3,FALSE)),""))</f>
        <v/>
      </c>
      <c r="O782" s="40">
        <f>IF(OR(D782="",F782=""),"",IF(OR(D782="Casse / avarie",D782="Perte / vol",D782="Échantillon offert"),IF(I782&lt;&gt;"",I782,IF(N782="","",F782*N782)),""))</f>
        <v/>
      </c>
      <c r="P782" s="50">
        <f>IF(OR(D782="",F782=""),"",F782*IF(OR(D782="Reçu du magasin",D782="Ajustement (+)"),1,-1))</f>
        <v/>
      </c>
      <c r="Q782" s="34">
        <f>IF(C782="","",YEAR(C782-WEEKDAY(C782,2)+4)&amp;"-S"&amp;TEXT(INT((C782-DATE(YEAR(C782-WEEKDAY(C782,2)+4),1,3)+WEEKDAY(DATE(YEAR(C782-WEEKDAY(C782,2)+4),1,3),2)+5)/7),"00"))</f>
        <v/>
      </c>
    </row>
    <row r="783" ht="18" customHeight="1">
      <c r="A783" s="39" t="n">
        <v>778</v>
      </c>
      <c r="B783" s="33">
        <f>IF(C783="","",IF(L783="À RENSEIGNER","GIC",L783)&amp;"-S"&amp;TEXT(A783,"00000"))</f>
        <v/>
      </c>
      <c r="C783" s="32" t="n"/>
      <c r="D783" s="36" t="n"/>
      <c r="E783" s="36" t="n"/>
      <c r="F783" s="42" t="n"/>
      <c r="G783" s="36" t="n"/>
      <c r="H783" s="43" t="n"/>
      <c r="I783" s="37" t="n"/>
      <c r="J783" s="44" t="n"/>
      <c r="K783" s="36" t="n"/>
      <c r="L783" s="33">
        <f>IF(C783="","",Commercial_Id)</f>
        <v/>
      </c>
      <c r="M783" s="34">
        <f>IF(E783="","",IFERROR(VLOOKUP(E783,T_Produits,2,FALSE),""))</f>
        <v/>
      </c>
      <c r="N783" s="40">
        <f>IF(E783="","",IFERROR(1/(1/VLOOKUP(E783,T_Produits,3,FALSE)),""))</f>
        <v/>
      </c>
      <c r="O783" s="40">
        <f>IF(OR(D783="",F783=""),"",IF(OR(D783="Casse / avarie",D783="Perte / vol",D783="Échantillon offert"),IF(I783&lt;&gt;"",I783,IF(N783="","",F783*N783)),""))</f>
        <v/>
      </c>
      <c r="P783" s="50">
        <f>IF(OR(D783="",F783=""),"",F783*IF(OR(D783="Reçu du magasin",D783="Ajustement (+)"),1,-1))</f>
        <v/>
      </c>
      <c r="Q783" s="34">
        <f>IF(C783="","",YEAR(C783-WEEKDAY(C783,2)+4)&amp;"-S"&amp;TEXT(INT((C783-DATE(YEAR(C783-WEEKDAY(C783,2)+4),1,3)+WEEKDAY(DATE(YEAR(C783-WEEKDAY(C783,2)+4),1,3),2)+5)/7),"00"))</f>
        <v/>
      </c>
    </row>
    <row r="784" ht="18" customHeight="1">
      <c r="A784" s="39" t="n">
        <v>779</v>
      </c>
      <c r="B784" s="33">
        <f>IF(C784="","",IF(L784="À RENSEIGNER","GIC",L784)&amp;"-S"&amp;TEXT(A784,"00000"))</f>
        <v/>
      </c>
      <c r="C784" s="32" t="n"/>
      <c r="D784" s="36" t="n"/>
      <c r="E784" s="36" t="n"/>
      <c r="F784" s="42" t="n"/>
      <c r="G784" s="36" t="n"/>
      <c r="H784" s="43" t="n"/>
      <c r="I784" s="37" t="n"/>
      <c r="J784" s="44" t="n"/>
      <c r="K784" s="36" t="n"/>
      <c r="L784" s="33">
        <f>IF(C784="","",Commercial_Id)</f>
        <v/>
      </c>
      <c r="M784" s="34">
        <f>IF(E784="","",IFERROR(VLOOKUP(E784,T_Produits,2,FALSE),""))</f>
        <v/>
      </c>
      <c r="N784" s="40">
        <f>IF(E784="","",IFERROR(1/(1/VLOOKUP(E784,T_Produits,3,FALSE)),""))</f>
        <v/>
      </c>
      <c r="O784" s="40">
        <f>IF(OR(D784="",F784=""),"",IF(OR(D784="Casse / avarie",D784="Perte / vol",D784="Échantillon offert"),IF(I784&lt;&gt;"",I784,IF(N784="","",F784*N784)),""))</f>
        <v/>
      </c>
      <c r="P784" s="50">
        <f>IF(OR(D784="",F784=""),"",F784*IF(OR(D784="Reçu du magasin",D784="Ajustement (+)"),1,-1))</f>
        <v/>
      </c>
      <c r="Q784" s="34">
        <f>IF(C784="","",YEAR(C784-WEEKDAY(C784,2)+4)&amp;"-S"&amp;TEXT(INT((C784-DATE(YEAR(C784-WEEKDAY(C784,2)+4),1,3)+WEEKDAY(DATE(YEAR(C784-WEEKDAY(C784,2)+4),1,3),2)+5)/7),"00"))</f>
        <v/>
      </c>
    </row>
    <row r="785" ht="18" customHeight="1">
      <c r="A785" s="39" t="n">
        <v>780</v>
      </c>
      <c r="B785" s="33">
        <f>IF(C785="","",IF(L785="À RENSEIGNER","GIC",L785)&amp;"-S"&amp;TEXT(A785,"00000"))</f>
        <v/>
      </c>
      <c r="C785" s="32" t="n"/>
      <c r="D785" s="36" t="n"/>
      <c r="E785" s="36" t="n"/>
      <c r="F785" s="42" t="n"/>
      <c r="G785" s="36" t="n"/>
      <c r="H785" s="43" t="n"/>
      <c r="I785" s="37" t="n"/>
      <c r="J785" s="44" t="n"/>
      <c r="K785" s="36" t="n"/>
      <c r="L785" s="33">
        <f>IF(C785="","",Commercial_Id)</f>
        <v/>
      </c>
      <c r="M785" s="34">
        <f>IF(E785="","",IFERROR(VLOOKUP(E785,T_Produits,2,FALSE),""))</f>
        <v/>
      </c>
      <c r="N785" s="40">
        <f>IF(E785="","",IFERROR(1/(1/VLOOKUP(E785,T_Produits,3,FALSE)),""))</f>
        <v/>
      </c>
      <c r="O785" s="40">
        <f>IF(OR(D785="",F785=""),"",IF(OR(D785="Casse / avarie",D785="Perte / vol",D785="Échantillon offert"),IF(I785&lt;&gt;"",I785,IF(N785="","",F785*N785)),""))</f>
        <v/>
      </c>
      <c r="P785" s="50">
        <f>IF(OR(D785="",F785=""),"",F785*IF(OR(D785="Reçu du magasin",D785="Ajustement (+)"),1,-1))</f>
        <v/>
      </c>
      <c r="Q785" s="34">
        <f>IF(C785="","",YEAR(C785-WEEKDAY(C785,2)+4)&amp;"-S"&amp;TEXT(INT((C785-DATE(YEAR(C785-WEEKDAY(C785,2)+4),1,3)+WEEKDAY(DATE(YEAR(C785-WEEKDAY(C785,2)+4),1,3),2)+5)/7),"00"))</f>
        <v/>
      </c>
    </row>
    <row r="786" ht="18" customHeight="1">
      <c r="A786" s="39" t="n">
        <v>781</v>
      </c>
      <c r="B786" s="33">
        <f>IF(C786="","",IF(L786="À RENSEIGNER","GIC",L786)&amp;"-S"&amp;TEXT(A786,"00000"))</f>
        <v/>
      </c>
      <c r="C786" s="32" t="n"/>
      <c r="D786" s="36" t="n"/>
      <c r="E786" s="36" t="n"/>
      <c r="F786" s="42" t="n"/>
      <c r="G786" s="36" t="n"/>
      <c r="H786" s="43" t="n"/>
      <c r="I786" s="37" t="n"/>
      <c r="J786" s="44" t="n"/>
      <c r="K786" s="36" t="n"/>
      <c r="L786" s="33">
        <f>IF(C786="","",Commercial_Id)</f>
        <v/>
      </c>
      <c r="M786" s="34">
        <f>IF(E786="","",IFERROR(VLOOKUP(E786,T_Produits,2,FALSE),""))</f>
        <v/>
      </c>
      <c r="N786" s="40">
        <f>IF(E786="","",IFERROR(1/(1/VLOOKUP(E786,T_Produits,3,FALSE)),""))</f>
        <v/>
      </c>
      <c r="O786" s="40">
        <f>IF(OR(D786="",F786=""),"",IF(OR(D786="Casse / avarie",D786="Perte / vol",D786="Échantillon offert"),IF(I786&lt;&gt;"",I786,IF(N786="","",F786*N786)),""))</f>
        <v/>
      </c>
      <c r="P786" s="50">
        <f>IF(OR(D786="",F786=""),"",F786*IF(OR(D786="Reçu du magasin",D786="Ajustement (+)"),1,-1))</f>
        <v/>
      </c>
      <c r="Q786" s="34">
        <f>IF(C786="","",YEAR(C786-WEEKDAY(C786,2)+4)&amp;"-S"&amp;TEXT(INT((C786-DATE(YEAR(C786-WEEKDAY(C786,2)+4),1,3)+WEEKDAY(DATE(YEAR(C786-WEEKDAY(C786,2)+4),1,3),2)+5)/7),"00"))</f>
        <v/>
      </c>
    </row>
    <row r="787" ht="18" customHeight="1">
      <c r="A787" s="39" t="n">
        <v>782</v>
      </c>
      <c r="B787" s="33">
        <f>IF(C787="","",IF(L787="À RENSEIGNER","GIC",L787)&amp;"-S"&amp;TEXT(A787,"00000"))</f>
        <v/>
      </c>
      <c r="C787" s="32" t="n"/>
      <c r="D787" s="36" t="n"/>
      <c r="E787" s="36" t="n"/>
      <c r="F787" s="42" t="n"/>
      <c r="G787" s="36" t="n"/>
      <c r="H787" s="43" t="n"/>
      <c r="I787" s="37" t="n"/>
      <c r="J787" s="44" t="n"/>
      <c r="K787" s="36" t="n"/>
      <c r="L787" s="33">
        <f>IF(C787="","",Commercial_Id)</f>
        <v/>
      </c>
      <c r="M787" s="34">
        <f>IF(E787="","",IFERROR(VLOOKUP(E787,T_Produits,2,FALSE),""))</f>
        <v/>
      </c>
      <c r="N787" s="40">
        <f>IF(E787="","",IFERROR(1/(1/VLOOKUP(E787,T_Produits,3,FALSE)),""))</f>
        <v/>
      </c>
      <c r="O787" s="40">
        <f>IF(OR(D787="",F787=""),"",IF(OR(D787="Casse / avarie",D787="Perte / vol",D787="Échantillon offert"),IF(I787&lt;&gt;"",I787,IF(N787="","",F787*N787)),""))</f>
        <v/>
      </c>
      <c r="P787" s="50">
        <f>IF(OR(D787="",F787=""),"",F787*IF(OR(D787="Reçu du magasin",D787="Ajustement (+)"),1,-1))</f>
        <v/>
      </c>
      <c r="Q787" s="34">
        <f>IF(C787="","",YEAR(C787-WEEKDAY(C787,2)+4)&amp;"-S"&amp;TEXT(INT((C787-DATE(YEAR(C787-WEEKDAY(C787,2)+4),1,3)+WEEKDAY(DATE(YEAR(C787-WEEKDAY(C787,2)+4),1,3),2)+5)/7),"00"))</f>
        <v/>
      </c>
    </row>
    <row r="788" ht="18" customHeight="1">
      <c r="A788" s="39" t="n">
        <v>783</v>
      </c>
      <c r="B788" s="33">
        <f>IF(C788="","",IF(L788="À RENSEIGNER","GIC",L788)&amp;"-S"&amp;TEXT(A788,"00000"))</f>
        <v/>
      </c>
      <c r="C788" s="32" t="n"/>
      <c r="D788" s="36" t="n"/>
      <c r="E788" s="36" t="n"/>
      <c r="F788" s="42" t="n"/>
      <c r="G788" s="36" t="n"/>
      <c r="H788" s="43" t="n"/>
      <c r="I788" s="37" t="n"/>
      <c r="J788" s="44" t="n"/>
      <c r="K788" s="36" t="n"/>
      <c r="L788" s="33">
        <f>IF(C788="","",Commercial_Id)</f>
        <v/>
      </c>
      <c r="M788" s="34">
        <f>IF(E788="","",IFERROR(VLOOKUP(E788,T_Produits,2,FALSE),""))</f>
        <v/>
      </c>
      <c r="N788" s="40">
        <f>IF(E788="","",IFERROR(1/(1/VLOOKUP(E788,T_Produits,3,FALSE)),""))</f>
        <v/>
      </c>
      <c r="O788" s="40">
        <f>IF(OR(D788="",F788=""),"",IF(OR(D788="Casse / avarie",D788="Perte / vol",D788="Échantillon offert"),IF(I788&lt;&gt;"",I788,IF(N788="","",F788*N788)),""))</f>
        <v/>
      </c>
      <c r="P788" s="50">
        <f>IF(OR(D788="",F788=""),"",F788*IF(OR(D788="Reçu du magasin",D788="Ajustement (+)"),1,-1))</f>
        <v/>
      </c>
      <c r="Q788" s="34">
        <f>IF(C788="","",YEAR(C788-WEEKDAY(C788,2)+4)&amp;"-S"&amp;TEXT(INT((C788-DATE(YEAR(C788-WEEKDAY(C788,2)+4),1,3)+WEEKDAY(DATE(YEAR(C788-WEEKDAY(C788,2)+4),1,3),2)+5)/7),"00"))</f>
        <v/>
      </c>
    </row>
    <row r="789" ht="18" customHeight="1">
      <c r="A789" s="39" t="n">
        <v>784</v>
      </c>
      <c r="B789" s="33">
        <f>IF(C789="","",IF(L789="À RENSEIGNER","GIC",L789)&amp;"-S"&amp;TEXT(A789,"00000"))</f>
        <v/>
      </c>
      <c r="C789" s="32" t="n"/>
      <c r="D789" s="36" t="n"/>
      <c r="E789" s="36" t="n"/>
      <c r="F789" s="42" t="n"/>
      <c r="G789" s="36" t="n"/>
      <c r="H789" s="43" t="n"/>
      <c r="I789" s="37" t="n"/>
      <c r="J789" s="44" t="n"/>
      <c r="K789" s="36" t="n"/>
      <c r="L789" s="33">
        <f>IF(C789="","",Commercial_Id)</f>
        <v/>
      </c>
      <c r="M789" s="34">
        <f>IF(E789="","",IFERROR(VLOOKUP(E789,T_Produits,2,FALSE),""))</f>
        <v/>
      </c>
      <c r="N789" s="40">
        <f>IF(E789="","",IFERROR(1/(1/VLOOKUP(E789,T_Produits,3,FALSE)),""))</f>
        <v/>
      </c>
      <c r="O789" s="40">
        <f>IF(OR(D789="",F789=""),"",IF(OR(D789="Casse / avarie",D789="Perte / vol",D789="Échantillon offert"),IF(I789&lt;&gt;"",I789,IF(N789="","",F789*N789)),""))</f>
        <v/>
      </c>
      <c r="P789" s="50">
        <f>IF(OR(D789="",F789=""),"",F789*IF(OR(D789="Reçu du magasin",D789="Ajustement (+)"),1,-1))</f>
        <v/>
      </c>
      <c r="Q789" s="34">
        <f>IF(C789="","",YEAR(C789-WEEKDAY(C789,2)+4)&amp;"-S"&amp;TEXT(INT((C789-DATE(YEAR(C789-WEEKDAY(C789,2)+4),1,3)+WEEKDAY(DATE(YEAR(C789-WEEKDAY(C789,2)+4),1,3),2)+5)/7),"00"))</f>
        <v/>
      </c>
    </row>
    <row r="790" ht="18" customHeight="1">
      <c r="A790" s="39" t="n">
        <v>785</v>
      </c>
      <c r="B790" s="33">
        <f>IF(C790="","",IF(L790="À RENSEIGNER","GIC",L790)&amp;"-S"&amp;TEXT(A790,"00000"))</f>
        <v/>
      </c>
      <c r="C790" s="32" t="n"/>
      <c r="D790" s="36" t="n"/>
      <c r="E790" s="36" t="n"/>
      <c r="F790" s="42" t="n"/>
      <c r="G790" s="36" t="n"/>
      <c r="H790" s="43" t="n"/>
      <c r="I790" s="37" t="n"/>
      <c r="J790" s="44" t="n"/>
      <c r="K790" s="36" t="n"/>
      <c r="L790" s="33">
        <f>IF(C790="","",Commercial_Id)</f>
        <v/>
      </c>
      <c r="M790" s="34">
        <f>IF(E790="","",IFERROR(VLOOKUP(E790,T_Produits,2,FALSE),""))</f>
        <v/>
      </c>
      <c r="N790" s="40">
        <f>IF(E790="","",IFERROR(1/(1/VLOOKUP(E790,T_Produits,3,FALSE)),""))</f>
        <v/>
      </c>
      <c r="O790" s="40">
        <f>IF(OR(D790="",F790=""),"",IF(OR(D790="Casse / avarie",D790="Perte / vol",D790="Échantillon offert"),IF(I790&lt;&gt;"",I790,IF(N790="","",F790*N790)),""))</f>
        <v/>
      </c>
      <c r="P790" s="50">
        <f>IF(OR(D790="",F790=""),"",F790*IF(OR(D790="Reçu du magasin",D790="Ajustement (+)"),1,-1))</f>
        <v/>
      </c>
      <c r="Q790" s="34">
        <f>IF(C790="","",YEAR(C790-WEEKDAY(C790,2)+4)&amp;"-S"&amp;TEXT(INT((C790-DATE(YEAR(C790-WEEKDAY(C790,2)+4),1,3)+WEEKDAY(DATE(YEAR(C790-WEEKDAY(C790,2)+4),1,3),2)+5)/7),"00"))</f>
        <v/>
      </c>
    </row>
    <row r="791" ht="18" customHeight="1">
      <c r="A791" s="39" t="n">
        <v>786</v>
      </c>
      <c r="B791" s="33">
        <f>IF(C791="","",IF(L791="À RENSEIGNER","GIC",L791)&amp;"-S"&amp;TEXT(A791,"00000"))</f>
        <v/>
      </c>
      <c r="C791" s="32" t="n"/>
      <c r="D791" s="36" t="n"/>
      <c r="E791" s="36" t="n"/>
      <c r="F791" s="42" t="n"/>
      <c r="G791" s="36" t="n"/>
      <c r="H791" s="43" t="n"/>
      <c r="I791" s="37" t="n"/>
      <c r="J791" s="44" t="n"/>
      <c r="K791" s="36" t="n"/>
      <c r="L791" s="33">
        <f>IF(C791="","",Commercial_Id)</f>
        <v/>
      </c>
      <c r="M791" s="34">
        <f>IF(E791="","",IFERROR(VLOOKUP(E791,T_Produits,2,FALSE),""))</f>
        <v/>
      </c>
      <c r="N791" s="40">
        <f>IF(E791="","",IFERROR(1/(1/VLOOKUP(E791,T_Produits,3,FALSE)),""))</f>
        <v/>
      </c>
      <c r="O791" s="40">
        <f>IF(OR(D791="",F791=""),"",IF(OR(D791="Casse / avarie",D791="Perte / vol",D791="Échantillon offert"),IF(I791&lt;&gt;"",I791,IF(N791="","",F791*N791)),""))</f>
        <v/>
      </c>
      <c r="P791" s="50">
        <f>IF(OR(D791="",F791=""),"",F791*IF(OR(D791="Reçu du magasin",D791="Ajustement (+)"),1,-1))</f>
        <v/>
      </c>
      <c r="Q791" s="34">
        <f>IF(C791="","",YEAR(C791-WEEKDAY(C791,2)+4)&amp;"-S"&amp;TEXT(INT((C791-DATE(YEAR(C791-WEEKDAY(C791,2)+4),1,3)+WEEKDAY(DATE(YEAR(C791-WEEKDAY(C791,2)+4),1,3),2)+5)/7),"00"))</f>
        <v/>
      </c>
    </row>
    <row r="792" ht="18" customHeight="1">
      <c r="A792" s="39" t="n">
        <v>787</v>
      </c>
      <c r="B792" s="33">
        <f>IF(C792="","",IF(L792="À RENSEIGNER","GIC",L792)&amp;"-S"&amp;TEXT(A792,"00000"))</f>
        <v/>
      </c>
      <c r="C792" s="32" t="n"/>
      <c r="D792" s="36" t="n"/>
      <c r="E792" s="36" t="n"/>
      <c r="F792" s="42" t="n"/>
      <c r="G792" s="36" t="n"/>
      <c r="H792" s="43" t="n"/>
      <c r="I792" s="37" t="n"/>
      <c r="J792" s="44" t="n"/>
      <c r="K792" s="36" t="n"/>
      <c r="L792" s="33">
        <f>IF(C792="","",Commercial_Id)</f>
        <v/>
      </c>
      <c r="M792" s="34">
        <f>IF(E792="","",IFERROR(VLOOKUP(E792,T_Produits,2,FALSE),""))</f>
        <v/>
      </c>
      <c r="N792" s="40">
        <f>IF(E792="","",IFERROR(1/(1/VLOOKUP(E792,T_Produits,3,FALSE)),""))</f>
        <v/>
      </c>
      <c r="O792" s="40">
        <f>IF(OR(D792="",F792=""),"",IF(OR(D792="Casse / avarie",D792="Perte / vol",D792="Échantillon offert"),IF(I792&lt;&gt;"",I792,IF(N792="","",F792*N792)),""))</f>
        <v/>
      </c>
      <c r="P792" s="50">
        <f>IF(OR(D792="",F792=""),"",F792*IF(OR(D792="Reçu du magasin",D792="Ajustement (+)"),1,-1))</f>
        <v/>
      </c>
      <c r="Q792" s="34">
        <f>IF(C792="","",YEAR(C792-WEEKDAY(C792,2)+4)&amp;"-S"&amp;TEXT(INT((C792-DATE(YEAR(C792-WEEKDAY(C792,2)+4),1,3)+WEEKDAY(DATE(YEAR(C792-WEEKDAY(C792,2)+4),1,3),2)+5)/7),"00"))</f>
        <v/>
      </c>
    </row>
    <row r="793" ht="18" customHeight="1">
      <c r="A793" s="39" t="n">
        <v>788</v>
      </c>
      <c r="B793" s="33">
        <f>IF(C793="","",IF(L793="À RENSEIGNER","GIC",L793)&amp;"-S"&amp;TEXT(A793,"00000"))</f>
        <v/>
      </c>
      <c r="C793" s="32" t="n"/>
      <c r="D793" s="36" t="n"/>
      <c r="E793" s="36" t="n"/>
      <c r="F793" s="42" t="n"/>
      <c r="G793" s="36" t="n"/>
      <c r="H793" s="43" t="n"/>
      <c r="I793" s="37" t="n"/>
      <c r="J793" s="44" t="n"/>
      <c r="K793" s="36" t="n"/>
      <c r="L793" s="33">
        <f>IF(C793="","",Commercial_Id)</f>
        <v/>
      </c>
      <c r="M793" s="34">
        <f>IF(E793="","",IFERROR(VLOOKUP(E793,T_Produits,2,FALSE),""))</f>
        <v/>
      </c>
      <c r="N793" s="40">
        <f>IF(E793="","",IFERROR(1/(1/VLOOKUP(E793,T_Produits,3,FALSE)),""))</f>
        <v/>
      </c>
      <c r="O793" s="40">
        <f>IF(OR(D793="",F793=""),"",IF(OR(D793="Casse / avarie",D793="Perte / vol",D793="Échantillon offert"),IF(I793&lt;&gt;"",I793,IF(N793="","",F793*N793)),""))</f>
        <v/>
      </c>
      <c r="P793" s="50">
        <f>IF(OR(D793="",F793=""),"",F793*IF(OR(D793="Reçu du magasin",D793="Ajustement (+)"),1,-1))</f>
        <v/>
      </c>
      <c r="Q793" s="34">
        <f>IF(C793="","",YEAR(C793-WEEKDAY(C793,2)+4)&amp;"-S"&amp;TEXT(INT((C793-DATE(YEAR(C793-WEEKDAY(C793,2)+4),1,3)+WEEKDAY(DATE(YEAR(C793-WEEKDAY(C793,2)+4),1,3),2)+5)/7),"00"))</f>
        <v/>
      </c>
    </row>
    <row r="794" ht="18" customHeight="1">
      <c r="A794" s="39" t="n">
        <v>789</v>
      </c>
      <c r="B794" s="33">
        <f>IF(C794="","",IF(L794="À RENSEIGNER","GIC",L794)&amp;"-S"&amp;TEXT(A794,"00000"))</f>
        <v/>
      </c>
      <c r="C794" s="32" t="n"/>
      <c r="D794" s="36" t="n"/>
      <c r="E794" s="36" t="n"/>
      <c r="F794" s="42" t="n"/>
      <c r="G794" s="36" t="n"/>
      <c r="H794" s="43" t="n"/>
      <c r="I794" s="37" t="n"/>
      <c r="J794" s="44" t="n"/>
      <c r="K794" s="36" t="n"/>
      <c r="L794" s="33">
        <f>IF(C794="","",Commercial_Id)</f>
        <v/>
      </c>
      <c r="M794" s="34">
        <f>IF(E794="","",IFERROR(VLOOKUP(E794,T_Produits,2,FALSE),""))</f>
        <v/>
      </c>
      <c r="N794" s="40">
        <f>IF(E794="","",IFERROR(1/(1/VLOOKUP(E794,T_Produits,3,FALSE)),""))</f>
        <v/>
      </c>
      <c r="O794" s="40">
        <f>IF(OR(D794="",F794=""),"",IF(OR(D794="Casse / avarie",D794="Perte / vol",D794="Échantillon offert"),IF(I794&lt;&gt;"",I794,IF(N794="","",F794*N794)),""))</f>
        <v/>
      </c>
      <c r="P794" s="50">
        <f>IF(OR(D794="",F794=""),"",F794*IF(OR(D794="Reçu du magasin",D794="Ajustement (+)"),1,-1))</f>
        <v/>
      </c>
      <c r="Q794" s="34">
        <f>IF(C794="","",YEAR(C794-WEEKDAY(C794,2)+4)&amp;"-S"&amp;TEXT(INT((C794-DATE(YEAR(C794-WEEKDAY(C794,2)+4),1,3)+WEEKDAY(DATE(YEAR(C794-WEEKDAY(C794,2)+4),1,3),2)+5)/7),"00"))</f>
        <v/>
      </c>
    </row>
    <row r="795" ht="18" customHeight="1">
      <c r="A795" s="39" t="n">
        <v>790</v>
      </c>
      <c r="B795" s="33">
        <f>IF(C795="","",IF(L795="À RENSEIGNER","GIC",L795)&amp;"-S"&amp;TEXT(A795,"00000"))</f>
        <v/>
      </c>
      <c r="C795" s="32" t="n"/>
      <c r="D795" s="36" t="n"/>
      <c r="E795" s="36" t="n"/>
      <c r="F795" s="42" t="n"/>
      <c r="G795" s="36" t="n"/>
      <c r="H795" s="43" t="n"/>
      <c r="I795" s="37" t="n"/>
      <c r="J795" s="44" t="n"/>
      <c r="K795" s="36" t="n"/>
      <c r="L795" s="33">
        <f>IF(C795="","",Commercial_Id)</f>
        <v/>
      </c>
      <c r="M795" s="34">
        <f>IF(E795="","",IFERROR(VLOOKUP(E795,T_Produits,2,FALSE),""))</f>
        <v/>
      </c>
      <c r="N795" s="40">
        <f>IF(E795="","",IFERROR(1/(1/VLOOKUP(E795,T_Produits,3,FALSE)),""))</f>
        <v/>
      </c>
      <c r="O795" s="40">
        <f>IF(OR(D795="",F795=""),"",IF(OR(D795="Casse / avarie",D795="Perte / vol",D795="Échantillon offert"),IF(I795&lt;&gt;"",I795,IF(N795="","",F795*N795)),""))</f>
        <v/>
      </c>
      <c r="P795" s="50">
        <f>IF(OR(D795="",F795=""),"",F795*IF(OR(D795="Reçu du magasin",D795="Ajustement (+)"),1,-1))</f>
        <v/>
      </c>
      <c r="Q795" s="34">
        <f>IF(C795="","",YEAR(C795-WEEKDAY(C795,2)+4)&amp;"-S"&amp;TEXT(INT((C795-DATE(YEAR(C795-WEEKDAY(C795,2)+4),1,3)+WEEKDAY(DATE(YEAR(C795-WEEKDAY(C795,2)+4),1,3),2)+5)/7),"00"))</f>
        <v/>
      </c>
    </row>
    <row r="796" ht="18" customHeight="1">
      <c r="A796" s="39" t="n">
        <v>791</v>
      </c>
      <c r="B796" s="33">
        <f>IF(C796="","",IF(L796="À RENSEIGNER","GIC",L796)&amp;"-S"&amp;TEXT(A796,"00000"))</f>
        <v/>
      </c>
      <c r="C796" s="32" t="n"/>
      <c r="D796" s="36" t="n"/>
      <c r="E796" s="36" t="n"/>
      <c r="F796" s="42" t="n"/>
      <c r="G796" s="36" t="n"/>
      <c r="H796" s="43" t="n"/>
      <c r="I796" s="37" t="n"/>
      <c r="J796" s="44" t="n"/>
      <c r="K796" s="36" t="n"/>
      <c r="L796" s="33">
        <f>IF(C796="","",Commercial_Id)</f>
        <v/>
      </c>
      <c r="M796" s="34">
        <f>IF(E796="","",IFERROR(VLOOKUP(E796,T_Produits,2,FALSE),""))</f>
        <v/>
      </c>
      <c r="N796" s="40">
        <f>IF(E796="","",IFERROR(1/(1/VLOOKUP(E796,T_Produits,3,FALSE)),""))</f>
        <v/>
      </c>
      <c r="O796" s="40">
        <f>IF(OR(D796="",F796=""),"",IF(OR(D796="Casse / avarie",D796="Perte / vol",D796="Échantillon offert"),IF(I796&lt;&gt;"",I796,IF(N796="","",F796*N796)),""))</f>
        <v/>
      </c>
      <c r="P796" s="50">
        <f>IF(OR(D796="",F796=""),"",F796*IF(OR(D796="Reçu du magasin",D796="Ajustement (+)"),1,-1))</f>
        <v/>
      </c>
      <c r="Q796" s="34">
        <f>IF(C796="","",YEAR(C796-WEEKDAY(C796,2)+4)&amp;"-S"&amp;TEXT(INT((C796-DATE(YEAR(C796-WEEKDAY(C796,2)+4),1,3)+WEEKDAY(DATE(YEAR(C796-WEEKDAY(C796,2)+4),1,3),2)+5)/7),"00"))</f>
        <v/>
      </c>
    </row>
    <row r="797" ht="18" customHeight="1">
      <c r="A797" s="39" t="n">
        <v>792</v>
      </c>
      <c r="B797" s="33">
        <f>IF(C797="","",IF(L797="À RENSEIGNER","GIC",L797)&amp;"-S"&amp;TEXT(A797,"00000"))</f>
        <v/>
      </c>
      <c r="C797" s="32" t="n"/>
      <c r="D797" s="36" t="n"/>
      <c r="E797" s="36" t="n"/>
      <c r="F797" s="42" t="n"/>
      <c r="G797" s="36" t="n"/>
      <c r="H797" s="43" t="n"/>
      <c r="I797" s="37" t="n"/>
      <c r="J797" s="44" t="n"/>
      <c r="K797" s="36" t="n"/>
      <c r="L797" s="33">
        <f>IF(C797="","",Commercial_Id)</f>
        <v/>
      </c>
      <c r="M797" s="34">
        <f>IF(E797="","",IFERROR(VLOOKUP(E797,T_Produits,2,FALSE),""))</f>
        <v/>
      </c>
      <c r="N797" s="40">
        <f>IF(E797="","",IFERROR(1/(1/VLOOKUP(E797,T_Produits,3,FALSE)),""))</f>
        <v/>
      </c>
      <c r="O797" s="40">
        <f>IF(OR(D797="",F797=""),"",IF(OR(D797="Casse / avarie",D797="Perte / vol",D797="Échantillon offert"),IF(I797&lt;&gt;"",I797,IF(N797="","",F797*N797)),""))</f>
        <v/>
      </c>
      <c r="P797" s="50">
        <f>IF(OR(D797="",F797=""),"",F797*IF(OR(D797="Reçu du magasin",D797="Ajustement (+)"),1,-1))</f>
        <v/>
      </c>
      <c r="Q797" s="34">
        <f>IF(C797="","",YEAR(C797-WEEKDAY(C797,2)+4)&amp;"-S"&amp;TEXT(INT((C797-DATE(YEAR(C797-WEEKDAY(C797,2)+4),1,3)+WEEKDAY(DATE(YEAR(C797-WEEKDAY(C797,2)+4),1,3),2)+5)/7),"00"))</f>
        <v/>
      </c>
    </row>
    <row r="798" ht="18" customHeight="1">
      <c r="A798" s="39" t="n">
        <v>793</v>
      </c>
      <c r="B798" s="33">
        <f>IF(C798="","",IF(L798="À RENSEIGNER","GIC",L798)&amp;"-S"&amp;TEXT(A798,"00000"))</f>
        <v/>
      </c>
      <c r="C798" s="32" t="n"/>
      <c r="D798" s="36" t="n"/>
      <c r="E798" s="36" t="n"/>
      <c r="F798" s="42" t="n"/>
      <c r="G798" s="36" t="n"/>
      <c r="H798" s="43" t="n"/>
      <c r="I798" s="37" t="n"/>
      <c r="J798" s="44" t="n"/>
      <c r="K798" s="36" t="n"/>
      <c r="L798" s="33">
        <f>IF(C798="","",Commercial_Id)</f>
        <v/>
      </c>
      <c r="M798" s="34">
        <f>IF(E798="","",IFERROR(VLOOKUP(E798,T_Produits,2,FALSE),""))</f>
        <v/>
      </c>
      <c r="N798" s="40">
        <f>IF(E798="","",IFERROR(1/(1/VLOOKUP(E798,T_Produits,3,FALSE)),""))</f>
        <v/>
      </c>
      <c r="O798" s="40">
        <f>IF(OR(D798="",F798=""),"",IF(OR(D798="Casse / avarie",D798="Perte / vol",D798="Échantillon offert"),IF(I798&lt;&gt;"",I798,IF(N798="","",F798*N798)),""))</f>
        <v/>
      </c>
      <c r="P798" s="50">
        <f>IF(OR(D798="",F798=""),"",F798*IF(OR(D798="Reçu du magasin",D798="Ajustement (+)"),1,-1))</f>
        <v/>
      </c>
      <c r="Q798" s="34">
        <f>IF(C798="","",YEAR(C798-WEEKDAY(C798,2)+4)&amp;"-S"&amp;TEXT(INT((C798-DATE(YEAR(C798-WEEKDAY(C798,2)+4),1,3)+WEEKDAY(DATE(YEAR(C798-WEEKDAY(C798,2)+4),1,3),2)+5)/7),"00"))</f>
        <v/>
      </c>
    </row>
    <row r="799" ht="18" customHeight="1">
      <c r="A799" s="39" t="n">
        <v>794</v>
      </c>
      <c r="B799" s="33">
        <f>IF(C799="","",IF(L799="À RENSEIGNER","GIC",L799)&amp;"-S"&amp;TEXT(A799,"00000"))</f>
        <v/>
      </c>
      <c r="C799" s="32" t="n"/>
      <c r="D799" s="36" t="n"/>
      <c r="E799" s="36" t="n"/>
      <c r="F799" s="42" t="n"/>
      <c r="G799" s="36" t="n"/>
      <c r="H799" s="43" t="n"/>
      <c r="I799" s="37" t="n"/>
      <c r="J799" s="44" t="n"/>
      <c r="K799" s="36" t="n"/>
      <c r="L799" s="33">
        <f>IF(C799="","",Commercial_Id)</f>
        <v/>
      </c>
      <c r="M799" s="34">
        <f>IF(E799="","",IFERROR(VLOOKUP(E799,T_Produits,2,FALSE),""))</f>
        <v/>
      </c>
      <c r="N799" s="40">
        <f>IF(E799="","",IFERROR(1/(1/VLOOKUP(E799,T_Produits,3,FALSE)),""))</f>
        <v/>
      </c>
      <c r="O799" s="40">
        <f>IF(OR(D799="",F799=""),"",IF(OR(D799="Casse / avarie",D799="Perte / vol",D799="Échantillon offert"),IF(I799&lt;&gt;"",I799,IF(N799="","",F799*N799)),""))</f>
        <v/>
      </c>
      <c r="P799" s="50">
        <f>IF(OR(D799="",F799=""),"",F799*IF(OR(D799="Reçu du magasin",D799="Ajustement (+)"),1,-1))</f>
        <v/>
      </c>
      <c r="Q799" s="34">
        <f>IF(C799="","",YEAR(C799-WEEKDAY(C799,2)+4)&amp;"-S"&amp;TEXT(INT((C799-DATE(YEAR(C799-WEEKDAY(C799,2)+4),1,3)+WEEKDAY(DATE(YEAR(C799-WEEKDAY(C799,2)+4),1,3),2)+5)/7),"00"))</f>
        <v/>
      </c>
    </row>
    <row r="800" ht="18" customHeight="1">
      <c r="A800" s="39" t="n">
        <v>795</v>
      </c>
      <c r="B800" s="33">
        <f>IF(C800="","",IF(L800="À RENSEIGNER","GIC",L800)&amp;"-S"&amp;TEXT(A800,"00000"))</f>
        <v/>
      </c>
      <c r="C800" s="32" t="n"/>
      <c r="D800" s="36" t="n"/>
      <c r="E800" s="36" t="n"/>
      <c r="F800" s="42" t="n"/>
      <c r="G800" s="36" t="n"/>
      <c r="H800" s="43" t="n"/>
      <c r="I800" s="37" t="n"/>
      <c r="J800" s="44" t="n"/>
      <c r="K800" s="36" t="n"/>
      <c r="L800" s="33">
        <f>IF(C800="","",Commercial_Id)</f>
        <v/>
      </c>
      <c r="M800" s="34">
        <f>IF(E800="","",IFERROR(VLOOKUP(E800,T_Produits,2,FALSE),""))</f>
        <v/>
      </c>
      <c r="N800" s="40">
        <f>IF(E800="","",IFERROR(1/(1/VLOOKUP(E800,T_Produits,3,FALSE)),""))</f>
        <v/>
      </c>
      <c r="O800" s="40">
        <f>IF(OR(D800="",F800=""),"",IF(OR(D800="Casse / avarie",D800="Perte / vol",D800="Échantillon offert"),IF(I800&lt;&gt;"",I800,IF(N800="","",F800*N800)),""))</f>
        <v/>
      </c>
      <c r="P800" s="50">
        <f>IF(OR(D800="",F800=""),"",F800*IF(OR(D800="Reçu du magasin",D800="Ajustement (+)"),1,-1))</f>
        <v/>
      </c>
      <c r="Q800" s="34">
        <f>IF(C800="","",YEAR(C800-WEEKDAY(C800,2)+4)&amp;"-S"&amp;TEXT(INT((C800-DATE(YEAR(C800-WEEKDAY(C800,2)+4),1,3)+WEEKDAY(DATE(YEAR(C800-WEEKDAY(C800,2)+4),1,3),2)+5)/7),"00"))</f>
        <v/>
      </c>
    </row>
    <row r="801" ht="18" customHeight="1">
      <c r="A801" s="39" t="n">
        <v>796</v>
      </c>
      <c r="B801" s="33">
        <f>IF(C801="","",IF(L801="À RENSEIGNER","GIC",L801)&amp;"-S"&amp;TEXT(A801,"00000"))</f>
        <v/>
      </c>
      <c r="C801" s="32" t="n"/>
      <c r="D801" s="36" t="n"/>
      <c r="E801" s="36" t="n"/>
      <c r="F801" s="42" t="n"/>
      <c r="G801" s="36" t="n"/>
      <c r="H801" s="43" t="n"/>
      <c r="I801" s="37" t="n"/>
      <c r="J801" s="44" t="n"/>
      <c r="K801" s="36" t="n"/>
      <c r="L801" s="33">
        <f>IF(C801="","",Commercial_Id)</f>
        <v/>
      </c>
      <c r="M801" s="34">
        <f>IF(E801="","",IFERROR(VLOOKUP(E801,T_Produits,2,FALSE),""))</f>
        <v/>
      </c>
      <c r="N801" s="40">
        <f>IF(E801="","",IFERROR(1/(1/VLOOKUP(E801,T_Produits,3,FALSE)),""))</f>
        <v/>
      </c>
      <c r="O801" s="40">
        <f>IF(OR(D801="",F801=""),"",IF(OR(D801="Casse / avarie",D801="Perte / vol",D801="Échantillon offert"),IF(I801&lt;&gt;"",I801,IF(N801="","",F801*N801)),""))</f>
        <v/>
      </c>
      <c r="P801" s="50">
        <f>IF(OR(D801="",F801=""),"",F801*IF(OR(D801="Reçu du magasin",D801="Ajustement (+)"),1,-1))</f>
        <v/>
      </c>
      <c r="Q801" s="34">
        <f>IF(C801="","",YEAR(C801-WEEKDAY(C801,2)+4)&amp;"-S"&amp;TEXT(INT((C801-DATE(YEAR(C801-WEEKDAY(C801,2)+4),1,3)+WEEKDAY(DATE(YEAR(C801-WEEKDAY(C801,2)+4),1,3),2)+5)/7),"00"))</f>
        <v/>
      </c>
    </row>
    <row r="802" ht="18" customHeight="1">
      <c r="A802" s="39" t="n">
        <v>797</v>
      </c>
      <c r="B802" s="33">
        <f>IF(C802="","",IF(L802="À RENSEIGNER","GIC",L802)&amp;"-S"&amp;TEXT(A802,"00000"))</f>
        <v/>
      </c>
      <c r="C802" s="32" t="n"/>
      <c r="D802" s="36" t="n"/>
      <c r="E802" s="36" t="n"/>
      <c r="F802" s="42" t="n"/>
      <c r="G802" s="36" t="n"/>
      <c r="H802" s="43" t="n"/>
      <c r="I802" s="37" t="n"/>
      <c r="J802" s="44" t="n"/>
      <c r="K802" s="36" t="n"/>
      <c r="L802" s="33">
        <f>IF(C802="","",Commercial_Id)</f>
        <v/>
      </c>
      <c r="M802" s="34">
        <f>IF(E802="","",IFERROR(VLOOKUP(E802,T_Produits,2,FALSE),""))</f>
        <v/>
      </c>
      <c r="N802" s="40">
        <f>IF(E802="","",IFERROR(1/(1/VLOOKUP(E802,T_Produits,3,FALSE)),""))</f>
        <v/>
      </c>
      <c r="O802" s="40">
        <f>IF(OR(D802="",F802=""),"",IF(OR(D802="Casse / avarie",D802="Perte / vol",D802="Échantillon offert"),IF(I802&lt;&gt;"",I802,IF(N802="","",F802*N802)),""))</f>
        <v/>
      </c>
      <c r="P802" s="50">
        <f>IF(OR(D802="",F802=""),"",F802*IF(OR(D802="Reçu du magasin",D802="Ajustement (+)"),1,-1))</f>
        <v/>
      </c>
      <c r="Q802" s="34">
        <f>IF(C802="","",YEAR(C802-WEEKDAY(C802,2)+4)&amp;"-S"&amp;TEXT(INT((C802-DATE(YEAR(C802-WEEKDAY(C802,2)+4),1,3)+WEEKDAY(DATE(YEAR(C802-WEEKDAY(C802,2)+4),1,3),2)+5)/7),"00"))</f>
        <v/>
      </c>
    </row>
    <row r="803" ht="18" customHeight="1">
      <c r="A803" s="39" t="n">
        <v>798</v>
      </c>
      <c r="B803" s="33">
        <f>IF(C803="","",IF(L803="À RENSEIGNER","GIC",L803)&amp;"-S"&amp;TEXT(A803,"00000"))</f>
        <v/>
      </c>
      <c r="C803" s="32" t="n"/>
      <c r="D803" s="36" t="n"/>
      <c r="E803" s="36" t="n"/>
      <c r="F803" s="42" t="n"/>
      <c r="G803" s="36" t="n"/>
      <c r="H803" s="43" t="n"/>
      <c r="I803" s="37" t="n"/>
      <c r="J803" s="44" t="n"/>
      <c r="K803" s="36" t="n"/>
      <c r="L803" s="33">
        <f>IF(C803="","",Commercial_Id)</f>
        <v/>
      </c>
      <c r="M803" s="34">
        <f>IF(E803="","",IFERROR(VLOOKUP(E803,T_Produits,2,FALSE),""))</f>
        <v/>
      </c>
      <c r="N803" s="40">
        <f>IF(E803="","",IFERROR(1/(1/VLOOKUP(E803,T_Produits,3,FALSE)),""))</f>
        <v/>
      </c>
      <c r="O803" s="40">
        <f>IF(OR(D803="",F803=""),"",IF(OR(D803="Casse / avarie",D803="Perte / vol",D803="Échantillon offert"),IF(I803&lt;&gt;"",I803,IF(N803="","",F803*N803)),""))</f>
        <v/>
      </c>
      <c r="P803" s="50">
        <f>IF(OR(D803="",F803=""),"",F803*IF(OR(D803="Reçu du magasin",D803="Ajustement (+)"),1,-1))</f>
        <v/>
      </c>
      <c r="Q803" s="34">
        <f>IF(C803="","",YEAR(C803-WEEKDAY(C803,2)+4)&amp;"-S"&amp;TEXT(INT((C803-DATE(YEAR(C803-WEEKDAY(C803,2)+4),1,3)+WEEKDAY(DATE(YEAR(C803-WEEKDAY(C803,2)+4),1,3),2)+5)/7),"00"))</f>
        <v/>
      </c>
    </row>
    <row r="804" ht="18" customHeight="1">
      <c r="A804" s="39" t="n">
        <v>799</v>
      </c>
      <c r="B804" s="33">
        <f>IF(C804="","",IF(L804="À RENSEIGNER","GIC",L804)&amp;"-S"&amp;TEXT(A804,"00000"))</f>
        <v/>
      </c>
      <c r="C804" s="32" t="n"/>
      <c r="D804" s="36" t="n"/>
      <c r="E804" s="36" t="n"/>
      <c r="F804" s="42" t="n"/>
      <c r="G804" s="36" t="n"/>
      <c r="H804" s="43" t="n"/>
      <c r="I804" s="37" t="n"/>
      <c r="J804" s="44" t="n"/>
      <c r="K804" s="36" t="n"/>
      <c r="L804" s="33">
        <f>IF(C804="","",Commercial_Id)</f>
        <v/>
      </c>
      <c r="M804" s="34">
        <f>IF(E804="","",IFERROR(VLOOKUP(E804,T_Produits,2,FALSE),""))</f>
        <v/>
      </c>
      <c r="N804" s="40">
        <f>IF(E804="","",IFERROR(1/(1/VLOOKUP(E804,T_Produits,3,FALSE)),""))</f>
        <v/>
      </c>
      <c r="O804" s="40">
        <f>IF(OR(D804="",F804=""),"",IF(OR(D804="Casse / avarie",D804="Perte / vol",D804="Échantillon offert"),IF(I804&lt;&gt;"",I804,IF(N804="","",F804*N804)),""))</f>
        <v/>
      </c>
      <c r="P804" s="50">
        <f>IF(OR(D804="",F804=""),"",F804*IF(OR(D804="Reçu du magasin",D804="Ajustement (+)"),1,-1))</f>
        <v/>
      </c>
      <c r="Q804" s="34">
        <f>IF(C804="","",YEAR(C804-WEEKDAY(C804,2)+4)&amp;"-S"&amp;TEXT(INT((C804-DATE(YEAR(C804-WEEKDAY(C804,2)+4),1,3)+WEEKDAY(DATE(YEAR(C804-WEEKDAY(C804,2)+4),1,3),2)+5)/7),"00"))</f>
        <v/>
      </c>
    </row>
    <row r="805" ht="18" customHeight="1">
      <c r="A805" s="39" t="n">
        <v>800</v>
      </c>
      <c r="B805" s="33">
        <f>IF(C805="","",IF(L805="À RENSEIGNER","GIC",L805)&amp;"-S"&amp;TEXT(A805,"00000"))</f>
        <v/>
      </c>
      <c r="C805" s="32" t="n"/>
      <c r="D805" s="36" t="n"/>
      <c r="E805" s="36" t="n"/>
      <c r="F805" s="42" t="n"/>
      <c r="G805" s="36" t="n"/>
      <c r="H805" s="43" t="n"/>
      <c r="I805" s="37" t="n"/>
      <c r="J805" s="44" t="n"/>
      <c r="K805" s="36" t="n"/>
      <c r="L805" s="33">
        <f>IF(C805="","",Commercial_Id)</f>
        <v/>
      </c>
      <c r="M805" s="34">
        <f>IF(E805="","",IFERROR(VLOOKUP(E805,T_Produits,2,FALSE),""))</f>
        <v/>
      </c>
      <c r="N805" s="40">
        <f>IF(E805="","",IFERROR(1/(1/VLOOKUP(E805,T_Produits,3,FALSE)),""))</f>
        <v/>
      </c>
      <c r="O805" s="40">
        <f>IF(OR(D805="",F805=""),"",IF(OR(D805="Casse / avarie",D805="Perte / vol",D805="Échantillon offert"),IF(I805&lt;&gt;"",I805,IF(N805="","",F805*N805)),""))</f>
        <v/>
      </c>
      <c r="P805" s="50">
        <f>IF(OR(D805="",F805=""),"",F805*IF(OR(D805="Reçu du magasin",D805="Ajustement (+)"),1,-1))</f>
        <v/>
      </c>
      <c r="Q805" s="34">
        <f>IF(C805="","",YEAR(C805-WEEKDAY(C805,2)+4)&amp;"-S"&amp;TEXT(INT((C805-DATE(YEAR(C805-WEEKDAY(C805,2)+4),1,3)+WEEKDAY(DATE(YEAR(C805-WEEKDAY(C805,2)+4),1,3),2)+5)/7),"00"))</f>
        <v/>
      </c>
    </row>
    <row r="806" ht="18" customHeight="1">
      <c r="A806" s="39" t="n">
        <v>801</v>
      </c>
      <c r="B806" s="33">
        <f>IF(C806="","",IF(L806="À RENSEIGNER","GIC",L806)&amp;"-S"&amp;TEXT(A806,"00000"))</f>
        <v/>
      </c>
      <c r="C806" s="32" t="n"/>
      <c r="D806" s="36" t="n"/>
      <c r="E806" s="36" t="n"/>
      <c r="F806" s="42" t="n"/>
      <c r="G806" s="36" t="n"/>
      <c r="H806" s="43" t="n"/>
      <c r="I806" s="37" t="n"/>
      <c r="J806" s="44" t="n"/>
      <c r="K806" s="36" t="n"/>
      <c r="L806" s="33">
        <f>IF(C806="","",Commercial_Id)</f>
        <v/>
      </c>
      <c r="M806" s="34">
        <f>IF(E806="","",IFERROR(VLOOKUP(E806,T_Produits,2,FALSE),""))</f>
        <v/>
      </c>
      <c r="N806" s="40">
        <f>IF(E806="","",IFERROR(1/(1/VLOOKUP(E806,T_Produits,3,FALSE)),""))</f>
        <v/>
      </c>
      <c r="O806" s="40">
        <f>IF(OR(D806="",F806=""),"",IF(OR(D806="Casse / avarie",D806="Perte / vol",D806="Échantillon offert"),IF(I806&lt;&gt;"",I806,IF(N806="","",F806*N806)),""))</f>
        <v/>
      </c>
      <c r="P806" s="50">
        <f>IF(OR(D806="",F806=""),"",F806*IF(OR(D806="Reçu du magasin",D806="Ajustement (+)"),1,-1))</f>
        <v/>
      </c>
      <c r="Q806" s="34">
        <f>IF(C806="","",YEAR(C806-WEEKDAY(C806,2)+4)&amp;"-S"&amp;TEXT(INT((C806-DATE(YEAR(C806-WEEKDAY(C806,2)+4),1,3)+WEEKDAY(DATE(YEAR(C806-WEEKDAY(C806,2)+4),1,3),2)+5)/7),"00"))</f>
        <v/>
      </c>
    </row>
    <row r="807" ht="18" customHeight="1">
      <c r="A807" s="39" t="n">
        <v>802</v>
      </c>
      <c r="B807" s="33">
        <f>IF(C807="","",IF(L807="À RENSEIGNER","GIC",L807)&amp;"-S"&amp;TEXT(A807,"00000"))</f>
        <v/>
      </c>
      <c r="C807" s="32" t="n"/>
      <c r="D807" s="36" t="n"/>
      <c r="E807" s="36" t="n"/>
      <c r="F807" s="42" t="n"/>
      <c r="G807" s="36" t="n"/>
      <c r="H807" s="43" t="n"/>
      <c r="I807" s="37" t="n"/>
      <c r="J807" s="44" t="n"/>
      <c r="K807" s="36" t="n"/>
      <c r="L807" s="33">
        <f>IF(C807="","",Commercial_Id)</f>
        <v/>
      </c>
      <c r="M807" s="34">
        <f>IF(E807="","",IFERROR(VLOOKUP(E807,T_Produits,2,FALSE),""))</f>
        <v/>
      </c>
      <c r="N807" s="40">
        <f>IF(E807="","",IFERROR(1/(1/VLOOKUP(E807,T_Produits,3,FALSE)),""))</f>
        <v/>
      </c>
      <c r="O807" s="40">
        <f>IF(OR(D807="",F807=""),"",IF(OR(D807="Casse / avarie",D807="Perte / vol",D807="Échantillon offert"),IF(I807&lt;&gt;"",I807,IF(N807="","",F807*N807)),""))</f>
        <v/>
      </c>
      <c r="P807" s="50">
        <f>IF(OR(D807="",F807=""),"",F807*IF(OR(D807="Reçu du magasin",D807="Ajustement (+)"),1,-1))</f>
        <v/>
      </c>
      <c r="Q807" s="34">
        <f>IF(C807="","",YEAR(C807-WEEKDAY(C807,2)+4)&amp;"-S"&amp;TEXT(INT((C807-DATE(YEAR(C807-WEEKDAY(C807,2)+4),1,3)+WEEKDAY(DATE(YEAR(C807-WEEKDAY(C807,2)+4),1,3),2)+5)/7),"00"))</f>
        <v/>
      </c>
    </row>
    <row r="808" ht="18" customHeight="1">
      <c r="A808" s="39" t="n">
        <v>803</v>
      </c>
      <c r="B808" s="33">
        <f>IF(C808="","",IF(L808="À RENSEIGNER","GIC",L808)&amp;"-S"&amp;TEXT(A808,"00000"))</f>
        <v/>
      </c>
      <c r="C808" s="32" t="n"/>
      <c r="D808" s="36" t="n"/>
      <c r="E808" s="36" t="n"/>
      <c r="F808" s="42" t="n"/>
      <c r="G808" s="36" t="n"/>
      <c r="H808" s="43" t="n"/>
      <c r="I808" s="37" t="n"/>
      <c r="J808" s="44" t="n"/>
      <c r="K808" s="36" t="n"/>
      <c r="L808" s="33">
        <f>IF(C808="","",Commercial_Id)</f>
        <v/>
      </c>
      <c r="M808" s="34">
        <f>IF(E808="","",IFERROR(VLOOKUP(E808,T_Produits,2,FALSE),""))</f>
        <v/>
      </c>
      <c r="N808" s="40">
        <f>IF(E808="","",IFERROR(1/(1/VLOOKUP(E808,T_Produits,3,FALSE)),""))</f>
        <v/>
      </c>
      <c r="O808" s="40">
        <f>IF(OR(D808="",F808=""),"",IF(OR(D808="Casse / avarie",D808="Perte / vol",D808="Échantillon offert"),IF(I808&lt;&gt;"",I808,IF(N808="","",F808*N808)),""))</f>
        <v/>
      </c>
      <c r="P808" s="50">
        <f>IF(OR(D808="",F808=""),"",F808*IF(OR(D808="Reçu du magasin",D808="Ajustement (+)"),1,-1))</f>
        <v/>
      </c>
      <c r="Q808" s="34">
        <f>IF(C808="","",YEAR(C808-WEEKDAY(C808,2)+4)&amp;"-S"&amp;TEXT(INT((C808-DATE(YEAR(C808-WEEKDAY(C808,2)+4),1,3)+WEEKDAY(DATE(YEAR(C808-WEEKDAY(C808,2)+4),1,3),2)+5)/7),"00"))</f>
        <v/>
      </c>
    </row>
    <row r="809" ht="18" customHeight="1">
      <c r="A809" s="39" t="n">
        <v>804</v>
      </c>
      <c r="B809" s="33">
        <f>IF(C809="","",IF(L809="À RENSEIGNER","GIC",L809)&amp;"-S"&amp;TEXT(A809,"00000"))</f>
        <v/>
      </c>
      <c r="C809" s="32" t="n"/>
      <c r="D809" s="36" t="n"/>
      <c r="E809" s="36" t="n"/>
      <c r="F809" s="42" t="n"/>
      <c r="G809" s="36" t="n"/>
      <c r="H809" s="43" t="n"/>
      <c r="I809" s="37" t="n"/>
      <c r="J809" s="44" t="n"/>
      <c r="K809" s="36" t="n"/>
      <c r="L809" s="33">
        <f>IF(C809="","",Commercial_Id)</f>
        <v/>
      </c>
      <c r="M809" s="34">
        <f>IF(E809="","",IFERROR(VLOOKUP(E809,T_Produits,2,FALSE),""))</f>
        <v/>
      </c>
      <c r="N809" s="40">
        <f>IF(E809="","",IFERROR(1/(1/VLOOKUP(E809,T_Produits,3,FALSE)),""))</f>
        <v/>
      </c>
      <c r="O809" s="40">
        <f>IF(OR(D809="",F809=""),"",IF(OR(D809="Casse / avarie",D809="Perte / vol",D809="Échantillon offert"),IF(I809&lt;&gt;"",I809,IF(N809="","",F809*N809)),""))</f>
        <v/>
      </c>
      <c r="P809" s="50">
        <f>IF(OR(D809="",F809=""),"",F809*IF(OR(D809="Reçu du magasin",D809="Ajustement (+)"),1,-1))</f>
        <v/>
      </c>
      <c r="Q809" s="34">
        <f>IF(C809="","",YEAR(C809-WEEKDAY(C809,2)+4)&amp;"-S"&amp;TEXT(INT((C809-DATE(YEAR(C809-WEEKDAY(C809,2)+4),1,3)+WEEKDAY(DATE(YEAR(C809-WEEKDAY(C809,2)+4),1,3),2)+5)/7),"00"))</f>
        <v/>
      </c>
    </row>
    <row r="810" ht="18" customHeight="1">
      <c r="A810" s="39" t="n">
        <v>805</v>
      </c>
      <c r="B810" s="33">
        <f>IF(C810="","",IF(L810="À RENSEIGNER","GIC",L810)&amp;"-S"&amp;TEXT(A810,"00000"))</f>
        <v/>
      </c>
      <c r="C810" s="32" t="n"/>
      <c r="D810" s="36" t="n"/>
      <c r="E810" s="36" t="n"/>
      <c r="F810" s="42" t="n"/>
      <c r="G810" s="36" t="n"/>
      <c r="H810" s="43" t="n"/>
      <c r="I810" s="37" t="n"/>
      <c r="J810" s="44" t="n"/>
      <c r="K810" s="36" t="n"/>
      <c r="L810" s="33">
        <f>IF(C810="","",Commercial_Id)</f>
        <v/>
      </c>
      <c r="M810" s="34">
        <f>IF(E810="","",IFERROR(VLOOKUP(E810,T_Produits,2,FALSE),""))</f>
        <v/>
      </c>
      <c r="N810" s="40">
        <f>IF(E810="","",IFERROR(1/(1/VLOOKUP(E810,T_Produits,3,FALSE)),""))</f>
        <v/>
      </c>
      <c r="O810" s="40">
        <f>IF(OR(D810="",F810=""),"",IF(OR(D810="Casse / avarie",D810="Perte / vol",D810="Échantillon offert"),IF(I810&lt;&gt;"",I810,IF(N810="","",F810*N810)),""))</f>
        <v/>
      </c>
      <c r="P810" s="50">
        <f>IF(OR(D810="",F810=""),"",F810*IF(OR(D810="Reçu du magasin",D810="Ajustement (+)"),1,-1))</f>
        <v/>
      </c>
      <c r="Q810" s="34">
        <f>IF(C810="","",YEAR(C810-WEEKDAY(C810,2)+4)&amp;"-S"&amp;TEXT(INT((C810-DATE(YEAR(C810-WEEKDAY(C810,2)+4),1,3)+WEEKDAY(DATE(YEAR(C810-WEEKDAY(C810,2)+4),1,3),2)+5)/7),"00"))</f>
        <v/>
      </c>
    </row>
    <row r="811" ht="18" customHeight="1">
      <c r="A811" s="39" t="n">
        <v>806</v>
      </c>
      <c r="B811" s="33">
        <f>IF(C811="","",IF(L811="À RENSEIGNER","GIC",L811)&amp;"-S"&amp;TEXT(A811,"00000"))</f>
        <v/>
      </c>
      <c r="C811" s="32" t="n"/>
      <c r="D811" s="36" t="n"/>
      <c r="E811" s="36" t="n"/>
      <c r="F811" s="42" t="n"/>
      <c r="G811" s="36" t="n"/>
      <c r="H811" s="43" t="n"/>
      <c r="I811" s="37" t="n"/>
      <c r="J811" s="44" t="n"/>
      <c r="K811" s="36" t="n"/>
      <c r="L811" s="33">
        <f>IF(C811="","",Commercial_Id)</f>
        <v/>
      </c>
      <c r="M811" s="34">
        <f>IF(E811="","",IFERROR(VLOOKUP(E811,T_Produits,2,FALSE),""))</f>
        <v/>
      </c>
      <c r="N811" s="40">
        <f>IF(E811="","",IFERROR(1/(1/VLOOKUP(E811,T_Produits,3,FALSE)),""))</f>
        <v/>
      </c>
      <c r="O811" s="40">
        <f>IF(OR(D811="",F811=""),"",IF(OR(D811="Casse / avarie",D811="Perte / vol",D811="Échantillon offert"),IF(I811&lt;&gt;"",I811,IF(N811="","",F811*N811)),""))</f>
        <v/>
      </c>
      <c r="P811" s="50">
        <f>IF(OR(D811="",F811=""),"",F811*IF(OR(D811="Reçu du magasin",D811="Ajustement (+)"),1,-1))</f>
        <v/>
      </c>
      <c r="Q811" s="34">
        <f>IF(C811="","",YEAR(C811-WEEKDAY(C811,2)+4)&amp;"-S"&amp;TEXT(INT((C811-DATE(YEAR(C811-WEEKDAY(C811,2)+4),1,3)+WEEKDAY(DATE(YEAR(C811-WEEKDAY(C811,2)+4),1,3),2)+5)/7),"00"))</f>
        <v/>
      </c>
    </row>
    <row r="812" ht="18" customHeight="1">
      <c r="A812" s="39" t="n">
        <v>807</v>
      </c>
      <c r="B812" s="33">
        <f>IF(C812="","",IF(L812="À RENSEIGNER","GIC",L812)&amp;"-S"&amp;TEXT(A812,"00000"))</f>
        <v/>
      </c>
      <c r="C812" s="32" t="n"/>
      <c r="D812" s="36" t="n"/>
      <c r="E812" s="36" t="n"/>
      <c r="F812" s="42" t="n"/>
      <c r="G812" s="36" t="n"/>
      <c r="H812" s="43" t="n"/>
      <c r="I812" s="37" t="n"/>
      <c r="J812" s="44" t="n"/>
      <c r="K812" s="36" t="n"/>
      <c r="L812" s="33">
        <f>IF(C812="","",Commercial_Id)</f>
        <v/>
      </c>
      <c r="M812" s="34">
        <f>IF(E812="","",IFERROR(VLOOKUP(E812,T_Produits,2,FALSE),""))</f>
        <v/>
      </c>
      <c r="N812" s="40">
        <f>IF(E812="","",IFERROR(1/(1/VLOOKUP(E812,T_Produits,3,FALSE)),""))</f>
        <v/>
      </c>
      <c r="O812" s="40">
        <f>IF(OR(D812="",F812=""),"",IF(OR(D812="Casse / avarie",D812="Perte / vol",D812="Échantillon offert"),IF(I812&lt;&gt;"",I812,IF(N812="","",F812*N812)),""))</f>
        <v/>
      </c>
      <c r="P812" s="50">
        <f>IF(OR(D812="",F812=""),"",F812*IF(OR(D812="Reçu du magasin",D812="Ajustement (+)"),1,-1))</f>
        <v/>
      </c>
      <c r="Q812" s="34">
        <f>IF(C812="","",YEAR(C812-WEEKDAY(C812,2)+4)&amp;"-S"&amp;TEXT(INT((C812-DATE(YEAR(C812-WEEKDAY(C812,2)+4),1,3)+WEEKDAY(DATE(YEAR(C812-WEEKDAY(C812,2)+4),1,3),2)+5)/7),"00"))</f>
        <v/>
      </c>
    </row>
    <row r="813" ht="18" customHeight="1">
      <c r="A813" s="39" t="n">
        <v>808</v>
      </c>
      <c r="B813" s="33">
        <f>IF(C813="","",IF(L813="À RENSEIGNER","GIC",L813)&amp;"-S"&amp;TEXT(A813,"00000"))</f>
        <v/>
      </c>
      <c r="C813" s="32" t="n"/>
      <c r="D813" s="36" t="n"/>
      <c r="E813" s="36" t="n"/>
      <c r="F813" s="42" t="n"/>
      <c r="G813" s="36" t="n"/>
      <c r="H813" s="43" t="n"/>
      <c r="I813" s="37" t="n"/>
      <c r="J813" s="44" t="n"/>
      <c r="K813" s="36" t="n"/>
      <c r="L813" s="33">
        <f>IF(C813="","",Commercial_Id)</f>
        <v/>
      </c>
      <c r="M813" s="34">
        <f>IF(E813="","",IFERROR(VLOOKUP(E813,T_Produits,2,FALSE),""))</f>
        <v/>
      </c>
      <c r="N813" s="40">
        <f>IF(E813="","",IFERROR(1/(1/VLOOKUP(E813,T_Produits,3,FALSE)),""))</f>
        <v/>
      </c>
      <c r="O813" s="40">
        <f>IF(OR(D813="",F813=""),"",IF(OR(D813="Casse / avarie",D813="Perte / vol",D813="Échantillon offert"),IF(I813&lt;&gt;"",I813,IF(N813="","",F813*N813)),""))</f>
        <v/>
      </c>
      <c r="P813" s="50">
        <f>IF(OR(D813="",F813=""),"",F813*IF(OR(D813="Reçu du magasin",D813="Ajustement (+)"),1,-1))</f>
        <v/>
      </c>
      <c r="Q813" s="34">
        <f>IF(C813="","",YEAR(C813-WEEKDAY(C813,2)+4)&amp;"-S"&amp;TEXT(INT((C813-DATE(YEAR(C813-WEEKDAY(C813,2)+4),1,3)+WEEKDAY(DATE(YEAR(C813-WEEKDAY(C813,2)+4),1,3),2)+5)/7),"00"))</f>
        <v/>
      </c>
    </row>
    <row r="814" ht="18" customHeight="1">
      <c r="A814" s="39" t="n">
        <v>809</v>
      </c>
      <c r="B814" s="33">
        <f>IF(C814="","",IF(L814="À RENSEIGNER","GIC",L814)&amp;"-S"&amp;TEXT(A814,"00000"))</f>
        <v/>
      </c>
      <c r="C814" s="32" t="n"/>
      <c r="D814" s="36" t="n"/>
      <c r="E814" s="36" t="n"/>
      <c r="F814" s="42" t="n"/>
      <c r="G814" s="36" t="n"/>
      <c r="H814" s="43" t="n"/>
      <c r="I814" s="37" t="n"/>
      <c r="J814" s="44" t="n"/>
      <c r="K814" s="36" t="n"/>
      <c r="L814" s="33">
        <f>IF(C814="","",Commercial_Id)</f>
        <v/>
      </c>
      <c r="M814" s="34">
        <f>IF(E814="","",IFERROR(VLOOKUP(E814,T_Produits,2,FALSE),""))</f>
        <v/>
      </c>
      <c r="N814" s="40">
        <f>IF(E814="","",IFERROR(1/(1/VLOOKUP(E814,T_Produits,3,FALSE)),""))</f>
        <v/>
      </c>
      <c r="O814" s="40">
        <f>IF(OR(D814="",F814=""),"",IF(OR(D814="Casse / avarie",D814="Perte / vol",D814="Échantillon offert"),IF(I814&lt;&gt;"",I814,IF(N814="","",F814*N814)),""))</f>
        <v/>
      </c>
      <c r="P814" s="50">
        <f>IF(OR(D814="",F814=""),"",F814*IF(OR(D814="Reçu du magasin",D814="Ajustement (+)"),1,-1))</f>
        <v/>
      </c>
      <c r="Q814" s="34">
        <f>IF(C814="","",YEAR(C814-WEEKDAY(C814,2)+4)&amp;"-S"&amp;TEXT(INT((C814-DATE(YEAR(C814-WEEKDAY(C814,2)+4),1,3)+WEEKDAY(DATE(YEAR(C814-WEEKDAY(C814,2)+4),1,3),2)+5)/7),"00"))</f>
        <v/>
      </c>
    </row>
    <row r="815" ht="18" customHeight="1">
      <c r="A815" s="39" t="n">
        <v>810</v>
      </c>
      <c r="B815" s="33">
        <f>IF(C815="","",IF(L815="À RENSEIGNER","GIC",L815)&amp;"-S"&amp;TEXT(A815,"00000"))</f>
        <v/>
      </c>
      <c r="C815" s="32" t="n"/>
      <c r="D815" s="36" t="n"/>
      <c r="E815" s="36" t="n"/>
      <c r="F815" s="42" t="n"/>
      <c r="G815" s="36" t="n"/>
      <c r="H815" s="43" t="n"/>
      <c r="I815" s="37" t="n"/>
      <c r="J815" s="44" t="n"/>
      <c r="K815" s="36" t="n"/>
      <c r="L815" s="33">
        <f>IF(C815="","",Commercial_Id)</f>
        <v/>
      </c>
      <c r="M815" s="34">
        <f>IF(E815="","",IFERROR(VLOOKUP(E815,T_Produits,2,FALSE),""))</f>
        <v/>
      </c>
      <c r="N815" s="40">
        <f>IF(E815="","",IFERROR(1/(1/VLOOKUP(E815,T_Produits,3,FALSE)),""))</f>
        <v/>
      </c>
      <c r="O815" s="40">
        <f>IF(OR(D815="",F815=""),"",IF(OR(D815="Casse / avarie",D815="Perte / vol",D815="Échantillon offert"),IF(I815&lt;&gt;"",I815,IF(N815="","",F815*N815)),""))</f>
        <v/>
      </c>
      <c r="P815" s="50">
        <f>IF(OR(D815="",F815=""),"",F815*IF(OR(D815="Reçu du magasin",D815="Ajustement (+)"),1,-1))</f>
        <v/>
      </c>
      <c r="Q815" s="34">
        <f>IF(C815="","",YEAR(C815-WEEKDAY(C815,2)+4)&amp;"-S"&amp;TEXT(INT((C815-DATE(YEAR(C815-WEEKDAY(C815,2)+4),1,3)+WEEKDAY(DATE(YEAR(C815-WEEKDAY(C815,2)+4),1,3),2)+5)/7),"00"))</f>
        <v/>
      </c>
    </row>
    <row r="816" ht="18" customHeight="1">
      <c r="A816" s="39" t="n">
        <v>811</v>
      </c>
      <c r="B816" s="33">
        <f>IF(C816="","",IF(L816="À RENSEIGNER","GIC",L816)&amp;"-S"&amp;TEXT(A816,"00000"))</f>
        <v/>
      </c>
      <c r="C816" s="32" t="n"/>
      <c r="D816" s="36" t="n"/>
      <c r="E816" s="36" t="n"/>
      <c r="F816" s="42" t="n"/>
      <c r="G816" s="36" t="n"/>
      <c r="H816" s="43" t="n"/>
      <c r="I816" s="37" t="n"/>
      <c r="J816" s="44" t="n"/>
      <c r="K816" s="36" t="n"/>
      <c r="L816" s="33">
        <f>IF(C816="","",Commercial_Id)</f>
        <v/>
      </c>
      <c r="M816" s="34">
        <f>IF(E816="","",IFERROR(VLOOKUP(E816,T_Produits,2,FALSE),""))</f>
        <v/>
      </c>
      <c r="N816" s="40">
        <f>IF(E816="","",IFERROR(1/(1/VLOOKUP(E816,T_Produits,3,FALSE)),""))</f>
        <v/>
      </c>
      <c r="O816" s="40">
        <f>IF(OR(D816="",F816=""),"",IF(OR(D816="Casse / avarie",D816="Perte / vol",D816="Échantillon offert"),IF(I816&lt;&gt;"",I816,IF(N816="","",F816*N816)),""))</f>
        <v/>
      </c>
      <c r="P816" s="50">
        <f>IF(OR(D816="",F816=""),"",F816*IF(OR(D816="Reçu du magasin",D816="Ajustement (+)"),1,-1))</f>
        <v/>
      </c>
      <c r="Q816" s="34">
        <f>IF(C816="","",YEAR(C816-WEEKDAY(C816,2)+4)&amp;"-S"&amp;TEXT(INT((C816-DATE(YEAR(C816-WEEKDAY(C816,2)+4),1,3)+WEEKDAY(DATE(YEAR(C816-WEEKDAY(C816,2)+4),1,3),2)+5)/7),"00"))</f>
        <v/>
      </c>
    </row>
    <row r="817" ht="18" customHeight="1">
      <c r="A817" s="39" t="n">
        <v>812</v>
      </c>
      <c r="B817" s="33">
        <f>IF(C817="","",IF(L817="À RENSEIGNER","GIC",L817)&amp;"-S"&amp;TEXT(A817,"00000"))</f>
        <v/>
      </c>
      <c r="C817" s="32" t="n"/>
      <c r="D817" s="36" t="n"/>
      <c r="E817" s="36" t="n"/>
      <c r="F817" s="42" t="n"/>
      <c r="G817" s="36" t="n"/>
      <c r="H817" s="43" t="n"/>
      <c r="I817" s="37" t="n"/>
      <c r="J817" s="44" t="n"/>
      <c r="K817" s="36" t="n"/>
      <c r="L817" s="33">
        <f>IF(C817="","",Commercial_Id)</f>
        <v/>
      </c>
      <c r="M817" s="34">
        <f>IF(E817="","",IFERROR(VLOOKUP(E817,T_Produits,2,FALSE),""))</f>
        <v/>
      </c>
      <c r="N817" s="40">
        <f>IF(E817="","",IFERROR(1/(1/VLOOKUP(E817,T_Produits,3,FALSE)),""))</f>
        <v/>
      </c>
      <c r="O817" s="40">
        <f>IF(OR(D817="",F817=""),"",IF(OR(D817="Casse / avarie",D817="Perte / vol",D817="Échantillon offert"),IF(I817&lt;&gt;"",I817,IF(N817="","",F817*N817)),""))</f>
        <v/>
      </c>
      <c r="P817" s="50">
        <f>IF(OR(D817="",F817=""),"",F817*IF(OR(D817="Reçu du magasin",D817="Ajustement (+)"),1,-1))</f>
        <v/>
      </c>
      <c r="Q817" s="34">
        <f>IF(C817="","",YEAR(C817-WEEKDAY(C817,2)+4)&amp;"-S"&amp;TEXT(INT((C817-DATE(YEAR(C817-WEEKDAY(C817,2)+4),1,3)+WEEKDAY(DATE(YEAR(C817-WEEKDAY(C817,2)+4),1,3),2)+5)/7),"00"))</f>
        <v/>
      </c>
    </row>
    <row r="818" ht="18" customHeight="1">
      <c r="A818" s="39" t="n">
        <v>813</v>
      </c>
      <c r="B818" s="33">
        <f>IF(C818="","",IF(L818="À RENSEIGNER","GIC",L818)&amp;"-S"&amp;TEXT(A818,"00000"))</f>
        <v/>
      </c>
      <c r="C818" s="32" t="n"/>
      <c r="D818" s="36" t="n"/>
      <c r="E818" s="36" t="n"/>
      <c r="F818" s="42" t="n"/>
      <c r="G818" s="36" t="n"/>
      <c r="H818" s="43" t="n"/>
      <c r="I818" s="37" t="n"/>
      <c r="J818" s="44" t="n"/>
      <c r="K818" s="36" t="n"/>
      <c r="L818" s="33">
        <f>IF(C818="","",Commercial_Id)</f>
        <v/>
      </c>
      <c r="M818" s="34">
        <f>IF(E818="","",IFERROR(VLOOKUP(E818,T_Produits,2,FALSE),""))</f>
        <v/>
      </c>
      <c r="N818" s="40">
        <f>IF(E818="","",IFERROR(1/(1/VLOOKUP(E818,T_Produits,3,FALSE)),""))</f>
        <v/>
      </c>
      <c r="O818" s="40">
        <f>IF(OR(D818="",F818=""),"",IF(OR(D818="Casse / avarie",D818="Perte / vol",D818="Échantillon offert"),IF(I818&lt;&gt;"",I818,IF(N818="","",F818*N818)),""))</f>
        <v/>
      </c>
      <c r="P818" s="50">
        <f>IF(OR(D818="",F818=""),"",F818*IF(OR(D818="Reçu du magasin",D818="Ajustement (+)"),1,-1))</f>
        <v/>
      </c>
      <c r="Q818" s="34">
        <f>IF(C818="","",YEAR(C818-WEEKDAY(C818,2)+4)&amp;"-S"&amp;TEXT(INT((C818-DATE(YEAR(C818-WEEKDAY(C818,2)+4),1,3)+WEEKDAY(DATE(YEAR(C818-WEEKDAY(C818,2)+4),1,3),2)+5)/7),"00"))</f>
        <v/>
      </c>
    </row>
    <row r="819" ht="18" customHeight="1">
      <c r="A819" s="39" t="n">
        <v>814</v>
      </c>
      <c r="B819" s="33">
        <f>IF(C819="","",IF(L819="À RENSEIGNER","GIC",L819)&amp;"-S"&amp;TEXT(A819,"00000"))</f>
        <v/>
      </c>
      <c r="C819" s="32" t="n"/>
      <c r="D819" s="36" t="n"/>
      <c r="E819" s="36" t="n"/>
      <c r="F819" s="42" t="n"/>
      <c r="G819" s="36" t="n"/>
      <c r="H819" s="43" t="n"/>
      <c r="I819" s="37" t="n"/>
      <c r="J819" s="44" t="n"/>
      <c r="K819" s="36" t="n"/>
      <c r="L819" s="33">
        <f>IF(C819="","",Commercial_Id)</f>
        <v/>
      </c>
      <c r="M819" s="34">
        <f>IF(E819="","",IFERROR(VLOOKUP(E819,T_Produits,2,FALSE),""))</f>
        <v/>
      </c>
      <c r="N819" s="40">
        <f>IF(E819="","",IFERROR(1/(1/VLOOKUP(E819,T_Produits,3,FALSE)),""))</f>
        <v/>
      </c>
      <c r="O819" s="40">
        <f>IF(OR(D819="",F819=""),"",IF(OR(D819="Casse / avarie",D819="Perte / vol",D819="Échantillon offert"),IF(I819&lt;&gt;"",I819,IF(N819="","",F819*N819)),""))</f>
        <v/>
      </c>
      <c r="P819" s="50">
        <f>IF(OR(D819="",F819=""),"",F819*IF(OR(D819="Reçu du magasin",D819="Ajustement (+)"),1,-1))</f>
        <v/>
      </c>
      <c r="Q819" s="34">
        <f>IF(C819="","",YEAR(C819-WEEKDAY(C819,2)+4)&amp;"-S"&amp;TEXT(INT((C819-DATE(YEAR(C819-WEEKDAY(C819,2)+4),1,3)+WEEKDAY(DATE(YEAR(C819-WEEKDAY(C819,2)+4),1,3),2)+5)/7),"00"))</f>
        <v/>
      </c>
    </row>
    <row r="820" ht="18" customHeight="1">
      <c r="A820" s="39" t="n">
        <v>815</v>
      </c>
      <c r="B820" s="33">
        <f>IF(C820="","",IF(L820="À RENSEIGNER","GIC",L820)&amp;"-S"&amp;TEXT(A820,"00000"))</f>
        <v/>
      </c>
      <c r="C820" s="32" t="n"/>
      <c r="D820" s="36" t="n"/>
      <c r="E820" s="36" t="n"/>
      <c r="F820" s="42" t="n"/>
      <c r="G820" s="36" t="n"/>
      <c r="H820" s="43" t="n"/>
      <c r="I820" s="37" t="n"/>
      <c r="J820" s="44" t="n"/>
      <c r="K820" s="36" t="n"/>
      <c r="L820" s="33">
        <f>IF(C820="","",Commercial_Id)</f>
        <v/>
      </c>
      <c r="M820" s="34">
        <f>IF(E820="","",IFERROR(VLOOKUP(E820,T_Produits,2,FALSE),""))</f>
        <v/>
      </c>
      <c r="N820" s="40">
        <f>IF(E820="","",IFERROR(1/(1/VLOOKUP(E820,T_Produits,3,FALSE)),""))</f>
        <v/>
      </c>
      <c r="O820" s="40">
        <f>IF(OR(D820="",F820=""),"",IF(OR(D820="Casse / avarie",D820="Perte / vol",D820="Échantillon offert"),IF(I820&lt;&gt;"",I820,IF(N820="","",F820*N820)),""))</f>
        <v/>
      </c>
      <c r="P820" s="50">
        <f>IF(OR(D820="",F820=""),"",F820*IF(OR(D820="Reçu du magasin",D820="Ajustement (+)"),1,-1))</f>
        <v/>
      </c>
      <c r="Q820" s="34">
        <f>IF(C820="","",YEAR(C820-WEEKDAY(C820,2)+4)&amp;"-S"&amp;TEXT(INT((C820-DATE(YEAR(C820-WEEKDAY(C820,2)+4),1,3)+WEEKDAY(DATE(YEAR(C820-WEEKDAY(C820,2)+4),1,3),2)+5)/7),"00"))</f>
        <v/>
      </c>
    </row>
    <row r="821" ht="18" customHeight="1">
      <c r="A821" s="39" t="n">
        <v>816</v>
      </c>
      <c r="B821" s="33">
        <f>IF(C821="","",IF(L821="À RENSEIGNER","GIC",L821)&amp;"-S"&amp;TEXT(A821,"00000"))</f>
        <v/>
      </c>
      <c r="C821" s="32" t="n"/>
      <c r="D821" s="36" t="n"/>
      <c r="E821" s="36" t="n"/>
      <c r="F821" s="42" t="n"/>
      <c r="G821" s="36" t="n"/>
      <c r="H821" s="43" t="n"/>
      <c r="I821" s="37" t="n"/>
      <c r="J821" s="44" t="n"/>
      <c r="K821" s="36" t="n"/>
      <c r="L821" s="33">
        <f>IF(C821="","",Commercial_Id)</f>
        <v/>
      </c>
      <c r="M821" s="34">
        <f>IF(E821="","",IFERROR(VLOOKUP(E821,T_Produits,2,FALSE),""))</f>
        <v/>
      </c>
      <c r="N821" s="40">
        <f>IF(E821="","",IFERROR(1/(1/VLOOKUP(E821,T_Produits,3,FALSE)),""))</f>
        <v/>
      </c>
      <c r="O821" s="40">
        <f>IF(OR(D821="",F821=""),"",IF(OR(D821="Casse / avarie",D821="Perte / vol",D821="Échantillon offert"),IF(I821&lt;&gt;"",I821,IF(N821="","",F821*N821)),""))</f>
        <v/>
      </c>
      <c r="P821" s="50">
        <f>IF(OR(D821="",F821=""),"",F821*IF(OR(D821="Reçu du magasin",D821="Ajustement (+)"),1,-1))</f>
        <v/>
      </c>
      <c r="Q821" s="34">
        <f>IF(C821="","",YEAR(C821-WEEKDAY(C821,2)+4)&amp;"-S"&amp;TEXT(INT((C821-DATE(YEAR(C821-WEEKDAY(C821,2)+4),1,3)+WEEKDAY(DATE(YEAR(C821-WEEKDAY(C821,2)+4),1,3),2)+5)/7),"00"))</f>
        <v/>
      </c>
    </row>
    <row r="822" ht="18" customHeight="1">
      <c r="A822" s="39" t="n">
        <v>817</v>
      </c>
      <c r="B822" s="33">
        <f>IF(C822="","",IF(L822="À RENSEIGNER","GIC",L822)&amp;"-S"&amp;TEXT(A822,"00000"))</f>
        <v/>
      </c>
      <c r="C822" s="32" t="n"/>
      <c r="D822" s="36" t="n"/>
      <c r="E822" s="36" t="n"/>
      <c r="F822" s="42" t="n"/>
      <c r="G822" s="36" t="n"/>
      <c r="H822" s="43" t="n"/>
      <c r="I822" s="37" t="n"/>
      <c r="J822" s="44" t="n"/>
      <c r="K822" s="36" t="n"/>
      <c r="L822" s="33">
        <f>IF(C822="","",Commercial_Id)</f>
        <v/>
      </c>
      <c r="M822" s="34">
        <f>IF(E822="","",IFERROR(VLOOKUP(E822,T_Produits,2,FALSE),""))</f>
        <v/>
      </c>
      <c r="N822" s="40">
        <f>IF(E822="","",IFERROR(1/(1/VLOOKUP(E822,T_Produits,3,FALSE)),""))</f>
        <v/>
      </c>
      <c r="O822" s="40">
        <f>IF(OR(D822="",F822=""),"",IF(OR(D822="Casse / avarie",D822="Perte / vol",D822="Échantillon offert"),IF(I822&lt;&gt;"",I822,IF(N822="","",F822*N822)),""))</f>
        <v/>
      </c>
      <c r="P822" s="50">
        <f>IF(OR(D822="",F822=""),"",F822*IF(OR(D822="Reçu du magasin",D822="Ajustement (+)"),1,-1))</f>
        <v/>
      </c>
      <c r="Q822" s="34">
        <f>IF(C822="","",YEAR(C822-WEEKDAY(C822,2)+4)&amp;"-S"&amp;TEXT(INT((C822-DATE(YEAR(C822-WEEKDAY(C822,2)+4),1,3)+WEEKDAY(DATE(YEAR(C822-WEEKDAY(C822,2)+4),1,3),2)+5)/7),"00"))</f>
        <v/>
      </c>
    </row>
    <row r="823" ht="18" customHeight="1">
      <c r="A823" s="39" t="n">
        <v>818</v>
      </c>
      <c r="B823" s="33">
        <f>IF(C823="","",IF(L823="À RENSEIGNER","GIC",L823)&amp;"-S"&amp;TEXT(A823,"00000"))</f>
        <v/>
      </c>
      <c r="C823" s="32" t="n"/>
      <c r="D823" s="36" t="n"/>
      <c r="E823" s="36" t="n"/>
      <c r="F823" s="42" t="n"/>
      <c r="G823" s="36" t="n"/>
      <c r="H823" s="43" t="n"/>
      <c r="I823" s="37" t="n"/>
      <c r="J823" s="44" t="n"/>
      <c r="K823" s="36" t="n"/>
      <c r="L823" s="33">
        <f>IF(C823="","",Commercial_Id)</f>
        <v/>
      </c>
      <c r="M823" s="34">
        <f>IF(E823="","",IFERROR(VLOOKUP(E823,T_Produits,2,FALSE),""))</f>
        <v/>
      </c>
      <c r="N823" s="40">
        <f>IF(E823="","",IFERROR(1/(1/VLOOKUP(E823,T_Produits,3,FALSE)),""))</f>
        <v/>
      </c>
      <c r="O823" s="40">
        <f>IF(OR(D823="",F823=""),"",IF(OR(D823="Casse / avarie",D823="Perte / vol",D823="Échantillon offert"),IF(I823&lt;&gt;"",I823,IF(N823="","",F823*N823)),""))</f>
        <v/>
      </c>
      <c r="P823" s="50">
        <f>IF(OR(D823="",F823=""),"",F823*IF(OR(D823="Reçu du magasin",D823="Ajustement (+)"),1,-1))</f>
        <v/>
      </c>
      <c r="Q823" s="34">
        <f>IF(C823="","",YEAR(C823-WEEKDAY(C823,2)+4)&amp;"-S"&amp;TEXT(INT((C823-DATE(YEAR(C823-WEEKDAY(C823,2)+4),1,3)+WEEKDAY(DATE(YEAR(C823-WEEKDAY(C823,2)+4),1,3),2)+5)/7),"00"))</f>
        <v/>
      </c>
    </row>
    <row r="824" ht="18" customHeight="1">
      <c r="A824" s="39" t="n">
        <v>819</v>
      </c>
      <c r="B824" s="33">
        <f>IF(C824="","",IF(L824="À RENSEIGNER","GIC",L824)&amp;"-S"&amp;TEXT(A824,"00000"))</f>
        <v/>
      </c>
      <c r="C824" s="32" t="n"/>
      <c r="D824" s="36" t="n"/>
      <c r="E824" s="36" t="n"/>
      <c r="F824" s="42" t="n"/>
      <c r="G824" s="36" t="n"/>
      <c r="H824" s="43" t="n"/>
      <c r="I824" s="37" t="n"/>
      <c r="J824" s="44" t="n"/>
      <c r="K824" s="36" t="n"/>
      <c r="L824" s="33">
        <f>IF(C824="","",Commercial_Id)</f>
        <v/>
      </c>
      <c r="M824" s="34">
        <f>IF(E824="","",IFERROR(VLOOKUP(E824,T_Produits,2,FALSE),""))</f>
        <v/>
      </c>
      <c r="N824" s="40">
        <f>IF(E824="","",IFERROR(1/(1/VLOOKUP(E824,T_Produits,3,FALSE)),""))</f>
        <v/>
      </c>
      <c r="O824" s="40">
        <f>IF(OR(D824="",F824=""),"",IF(OR(D824="Casse / avarie",D824="Perte / vol",D824="Échantillon offert"),IF(I824&lt;&gt;"",I824,IF(N824="","",F824*N824)),""))</f>
        <v/>
      </c>
      <c r="P824" s="50">
        <f>IF(OR(D824="",F824=""),"",F824*IF(OR(D824="Reçu du magasin",D824="Ajustement (+)"),1,-1))</f>
        <v/>
      </c>
      <c r="Q824" s="34">
        <f>IF(C824="","",YEAR(C824-WEEKDAY(C824,2)+4)&amp;"-S"&amp;TEXT(INT((C824-DATE(YEAR(C824-WEEKDAY(C824,2)+4),1,3)+WEEKDAY(DATE(YEAR(C824-WEEKDAY(C824,2)+4),1,3),2)+5)/7),"00"))</f>
        <v/>
      </c>
    </row>
    <row r="825" ht="18" customHeight="1">
      <c r="A825" s="39" t="n">
        <v>820</v>
      </c>
      <c r="B825" s="33">
        <f>IF(C825="","",IF(L825="À RENSEIGNER","GIC",L825)&amp;"-S"&amp;TEXT(A825,"00000"))</f>
        <v/>
      </c>
      <c r="C825" s="32" t="n"/>
      <c r="D825" s="36" t="n"/>
      <c r="E825" s="36" t="n"/>
      <c r="F825" s="42" t="n"/>
      <c r="G825" s="36" t="n"/>
      <c r="H825" s="43" t="n"/>
      <c r="I825" s="37" t="n"/>
      <c r="J825" s="44" t="n"/>
      <c r="K825" s="36" t="n"/>
      <c r="L825" s="33">
        <f>IF(C825="","",Commercial_Id)</f>
        <v/>
      </c>
      <c r="M825" s="34">
        <f>IF(E825="","",IFERROR(VLOOKUP(E825,T_Produits,2,FALSE),""))</f>
        <v/>
      </c>
      <c r="N825" s="40">
        <f>IF(E825="","",IFERROR(1/(1/VLOOKUP(E825,T_Produits,3,FALSE)),""))</f>
        <v/>
      </c>
      <c r="O825" s="40">
        <f>IF(OR(D825="",F825=""),"",IF(OR(D825="Casse / avarie",D825="Perte / vol",D825="Échantillon offert"),IF(I825&lt;&gt;"",I825,IF(N825="","",F825*N825)),""))</f>
        <v/>
      </c>
      <c r="P825" s="50">
        <f>IF(OR(D825="",F825=""),"",F825*IF(OR(D825="Reçu du magasin",D825="Ajustement (+)"),1,-1))</f>
        <v/>
      </c>
      <c r="Q825" s="34">
        <f>IF(C825="","",YEAR(C825-WEEKDAY(C825,2)+4)&amp;"-S"&amp;TEXT(INT((C825-DATE(YEAR(C825-WEEKDAY(C825,2)+4),1,3)+WEEKDAY(DATE(YEAR(C825-WEEKDAY(C825,2)+4),1,3),2)+5)/7),"00"))</f>
        <v/>
      </c>
    </row>
    <row r="826" ht="18" customHeight="1">
      <c r="A826" s="39" t="n">
        <v>821</v>
      </c>
      <c r="B826" s="33">
        <f>IF(C826="","",IF(L826="À RENSEIGNER","GIC",L826)&amp;"-S"&amp;TEXT(A826,"00000"))</f>
        <v/>
      </c>
      <c r="C826" s="32" t="n"/>
      <c r="D826" s="36" t="n"/>
      <c r="E826" s="36" t="n"/>
      <c r="F826" s="42" t="n"/>
      <c r="G826" s="36" t="n"/>
      <c r="H826" s="43" t="n"/>
      <c r="I826" s="37" t="n"/>
      <c r="J826" s="44" t="n"/>
      <c r="K826" s="36" t="n"/>
      <c r="L826" s="33">
        <f>IF(C826="","",Commercial_Id)</f>
        <v/>
      </c>
      <c r="M826" s="34">
        <f>IF(E826="","",IFERROR(VLOOKUP(E826,T_Produits,2,FALSE),""))</f>
        <v/>
      </c>
      <c r="N826" s="40">
        <f>IF(E826="","",IFERROR(1/(1/VLOOKUP(E826,T_Produits,3,FALSE)),""))</f>
        <v/>
      </c>
      <c r="O826" s="40">
        <f>IF(OR(D826="",F826=""),"",IF(OR(D826="Casse / avarie",D826="Perte / vol",D826="Échantillon offert"),IF(I826&lt;&gt;"",I826,IF(N826="","",F826*N826)),""))</f>
        <v/>
      </c>
      <c r="P826" s="50">
        <f>IF(OR(D826="",F826=""),"",F826*IF(OR(D826="Reçu du magasin",D826="Ajustement (+)"),1,-1))</f>
        <v/>
      </c>
      <c r="Q826" s="34">
        <f>IF(C826="","",YEAR(C826-WEEKDAY(C826,2)+4)&amp;"-S"&amp;TEXT(INT((C826-DATE(YEAR(C826-WEEKDAY(C826,2)+4),1,3)+WEEKDAY(DATE(YEAR(C826-WEEKDAY(C826,2)+4),1,3),2)+5)/7),"00"))</f>
        <v/>
      </c>
    </row>
    <row r="827" ht="18" customHeight="1">
      <c r="A827" s="39" t="n">
        <v>822</v>
      </c>
      <c r="B827" s="33">
        <f>IF(C827="","",IF(L827="À RENSEIGNER","GIC",L827)&amp;"-S"&amp;TEXT(A827,"00000"))</f>
        <v/>
      </c>
      <c r="C827" s="32" t="n"/>
      <c r="D827" s="36" t="n"/>
      <c r="E827" s="36" t="n"/>
      <c r="F827" s="42" t="n"/>
      <c r="G827" s="36" t="n"/>
      <c r="H827" s="43" t="n"/>
      <c r="I827" s="37" t="n"/>
      <c r="J827" s="44" t="n"/>
      <c r="K827" s="36" t="n"/>
      <c r="L827" s="33">
        <f>IF(C827="","",Commercial_Id)</f>
        <v/>
      </c>
      <c r="M827" s="34">
        <f>IF(E827="","",IFERROR(VLOOKUP(E827,T_Produits,2,FALSE),""))</f>
        <v/>
      </c>
      <c r="N827" s="40">
        <f>IF(E827="","",IFERROR(1/(1/VLOOKUP(E827,T_Produits,3,FALSE)),""))</f>
        <v/>
      </c>
      <c r="O827" s="40">
        <f>IF(OR(D827="",F827=""),"",IF(OR(D827="Casse / avarie",D827="Perte / vol",D827="Échantillon offert"),IF(I827&lt;&gt;"",I827,IF(N827="","",F827*N827)),""))</f>
        <v/>
      </c>
      <c r="P827" s="50">
        <f>IF(OR(D827="",F827=""),"",F827*IF(OR(D827="Reçu du magasin",D827="Ajustement (+)"),1,-1))</f>
        <v/>
      </c>
      <c r="Q827" s="34">
        <f>IF(C827="","",YEAR(C827-WEEKDAY(C827,2)+4)&amp;"-S"&amp;TEXT(INT((C827-DATE(YEAR(C827-WEEKDAY(C827,2)+4),1,3)+WEEKDAY(DATE(YEAR(C827-WEEKDAY(C827,2)+4),1,3),2)+5)/7),"00"))</f>
        <v/>
      </c>
    </row>
    <row r="828" ht="18" customHeight="1">
      <c r="A828" s="39" t="n">
        <v>823</v>
      </c>
      <c r="B828" s="33">
        <f>IF(C828="","",IF(L828="À RENSEIGNER","GIC",L828)&amp;"-S"&amp;TEXT(A828,"00000"))</f>
        <v/>
      </c>
      <c r="C828" s="32" t="n"/>
      <c r="D828" s="36" t="n"/>
      <c r="E828" s="36" t="n"/>
      <c r="F828" s="42" t="n"/>
      <c r="G828" s="36" t="n"/>
      <c r="H828" s="43" t="n"/>
      <c r="I828" s="37" t="n"/>
      <c r="J828" s="44" t="n"/>
      <c r="K828" s="36" t="n"/>
      <c r="L828" s="33">
        <f>IF(C828="","",Commercial_Id)</f>
        <v/>
      </c>
      <c r="M828" s="34">
        <f>IF(E828="","",IFERROR(VLOOKUP(E828,T_Produits,2,FALSE),""))</f>
        <v/>
      </c>
      <c r="N828" s="40">
        <f>IF(E828="","",IFERROR(1/(1/VLOOKUP(E828,T_Produits,3,FALSE)),""))</f>
        <v/>
      </c>
      <c r="O828" s="40">
        <f>IF(OR(D828="",F828=""),"",IF(OR(D828="Casse / avarie",D828="Perte / vol",D828="Échantillon offert"),IF(I828&lt;&gt;"",I828,IF(N828="","",F828*N828)),""))</f>
        <v/>
      </c>
      <c r="P828" s="50">
        <f>IF(OR(D828="",F828=""),"",F828*IF(OR(D828="Reçu du magasin",D828="Ajustement (+)"),1,-1))</f>
        <v/>
      </c>
      <c r="Q828" s="34">
        <f>IF(C828="","",YEAR(C828-WEEKDAY(C828,2)+4)&amp;"-S"&amp;TEXT(INT((C828-DATE(YEAR(C828-WEEKDAY(C828,2)+4),1,3)+WEEKDAY(DATE(YEAR(C828-WEEKDAY(C828,2)+4),1,3),2)+5)/7),"00"))</f>
        <v/>
      </c>
    </row>
    <row r="829" ht="18" customHeight="1">
      <c r="A829" s="39" t="n">
        <v>824</v>
      </c>
      <c r="B829" s="33">
        <f>IF(C829="","",IF(L829="À RENSEIGNER","GIC",L829)&amp;"-S"&amp;TEXT(A829,"00000"))</f>
        <v/>
      </c>
      <c r="C829" s="32" t="n"/>
      <c r="D829" s="36" t="n"/>
      <c r="E829" s="36" t="n"/>
      <c r="F829" s="42" t="n"/>
      <c r="G829" s="36" t="n"/>
      <c r="H829" s="43" t="n"/>
      <c r="I829" s="37" t="n"/>
      <c r="J829" s="44" t="n"/>
      <c r="K829" s="36" t="n"/>
      <c r="L829" s="33">
        <f>IF(C829="","",Commercial_Id)</f>
        <v/>
      </c>
      <c r="M829" s="34">
        <f>IF(E829="","",IFERROR(VLOOKUP(E829,T_Produits,2,FALSE),""))</f>
        <v/>
      </c>
      <c r="N829" s="40">
        <f>IF(E829="","",IFERROR(1/(1/VLOOKUP(E829,T_Produits,3,FALSE)),""))</f>
        <v/>
      </c>
      <c r="O829" s="40">
        <f>IF(OR(D829="",F829=""),"",IF(OR(D829="Casse / avarie",D829="Perte / vol",D829="Échantillon offert"),IF(I829&lt;&gt;"",I829,IF(N829="","",F829*N829)),""))</f>
        <v/>
      </c>
      <c r="P829" s="50">
        <f>IF(OR(D829="",F829=""),"",F829*IF(OR(D829="Reçu du magasin",D829="Ajustement (+)"),1,-1))</f>
        <v/>
      </c>
      <c r="Q829" s="34">
        <f>IF(C829="","",YEAR(C829-WEEKDAY(C829,2)+4)&amp;"-S"&amp;TEXT(INT((C829-DATE(YEAR(C829-WEEKDAY(C829,2)+4),1,3)+WEEKDAY(DATE(YEAR(C829-WEEKDAY(C829,2)+4),1,3),2)+5)/7),"00"))</f>
        <v/>
      </c>
    </row>
    <row r="830" ht="18" customHeight="1">
      <c r="A830" s="39" t="n">
        <v>825</v>
      </c>
      <c r="B830" s="33">
        <f>IF(C830="","",IF(L830="À RENSEIGNER","GIC",L830)&amp;"-S"&amp;TEXT(A830,"00000"))</f>
        <v/>
      </c>
      <c r="C830" s="32" t="n"/>
      <c r="D830" s="36" t="n"/>
      <c r="E830" s="36" t="n"/>
      <c r="F830" s="42" t="n"/>
      <c r="G830" s="36" t="n"/>
      <c r="H830" s="43" t="n"/>
      <c r="I830" s="37" t="n"/>
      <c r="J830" s="44" t="n"/>
      <c r="K830" s="36" t="n"/>
      <c r="L830" s="33">
        <f>IF(C830="","",Commercial_Id)</f>
        <v/>
      </c>
      <c r="M830" s="34">
        <f>IF(E830="","",IFERROR(VLOOKUP(E830,T_Produits,2,FALSE),""))</f>
        <v/>
      </c>
      <c r="N830" s="40">
        <f>IF(E830="","",IFERROR(1/(1/VLOOKUP(E830,T_Produits,3,FALSE)),""))</f>
        <v/>
      </c>
      <c r="O830" s="40">
        <f>IF(OR(D830="",F830=""),"",IF(OR(D830="Casse / avarie",D830="Perte / vol",D830="Échantillon offert"),IF(I830&lt;&gt;"",I830,IF(N830="","",F830*N830)),""))</f>
        <v/>
      </c>
      <c r="P830" s="50">
        <f>IF(OR(D830="",F830=""),"",F830*IF(OR(D830="Reçu du magasin",D830="Ajustement (+)"),1,-1))</f>
        <v/>
      </c>
      <c r="Q830" s="34">
        <f>IF(C830="","",YEAR(C830-WEEKDAY(C830,2)+4)&amp;"-S"&amp;TEXT(INT((C830-DATE(YEAR(C830-WEEKDAY(C830,2)+4),1,3)+WEEKDAY(DATE(YEAR(C830-WEEKDAY(C830,2)+4),1,3),2)+5)/7),"00"))</f>
        <v/>
      </c>
    </row>
    <row r="831" ht="18" customHeight="1">
      <c r="A831" s="39" t="n">
        <v>826</v>
      </c>
      <c r="B831" s="33">
        <f>IF(C831="","",IF(L831="À RENSEIGNER","GIC",L831)&amp;"-S"&amp;TEXT(A831,"00000"))</f>
        <v/>
      </c>
      <c r="C831" s="32" t="n"/>
      <c r="D831" s="36" t="n"/>
      <c r="E831" s="36" t="n"/>
      <c r="F831" s="42" t="n"/>
      <c r="G831" s="36" t="n"/>
      <c r="H831" s="43" t="n"/>
      <c r="I831" s="37" t="n"/>
      <c r="J831" s="44" t="n"/>
      <c r="K831" s="36" t="n"/>
      <c r="L831" s="33">
        <f>IF(C831="","",Commercial_Id)</f>
        <v/>
      </c>
      <c r="M831" s="34">
        <f>IF(E831="","",IFERROR(VLOOKUP(E831,T_Produits,2,FALSE),""))</f>
        <v/>
      </c>
      <c r="N831" s="40">
        <f>IF(E831="","",IFERROR(1/(1/VLOOKUP(E831,T_Produits,3,FALSE)),""))</f>
        <v/>
      </c>
      <c r="O831" s="40">
        <f>IF(OR(D831="",F831=""),"",IF(OR(D831="Casse / avarie",D831="Perte / vol",D831="Échantillon offert"),IF(I831&lt;&gt;"",I831,IF(N831="","",F831*N831)),""))</f>
        <v/>
      </c>
      <c r="P831" s="50">
        <f>IF(OR(D831="",F831=""),"",F831*IF(OR(D831="Reçu du magasin",D831="Ajustement (+)"),1,-1))</f>
        <v/>
      </c>
      <c r="Q831" s="34">
        <f>IF(C831="","",YEAR(C831-WEEKDAY(C831,2)+4)&amp;"-S"&amp;TEXT(INT((C831-DATE(YEAR(C831-WEEKDAY(C831,2)+4),1,3)+WEEKDAY(DATE(YEAR(C831-WEEKDAY(C831,2)+4),1,3),2)+5)/7),"00"))</f>
        <v/>
      </c>
    </row>
    <row r="832" ht="18" customHeight="1">
      <c r="A832" s="39" t="n">
        <v>827</v>
      </c>
      <c r="B832" s="33">
        <f>IF(C832="","",IF(L832="À RENSEIGNER","GIC",L832)&amp;"-S"&amp;TEXT(A832,"00000"))</f>
        <v/>
      </c>
      <c r="C832" s="32" t="n"/>
      <c r="D832" s="36" t="n"/>
      <c r="E832" s="36" t="n"/>
      <c r="F832" s="42" t="n"/>
      <c r="G832" s="36" t="n"/>
      <c r="H832" s="43" t="n"/>
      <c r="I832" s="37" t="n"/>
      <c r="J832" s="44" t="n"/>
      <c r="K832" s="36" t="n"/>
      <c r="L832" s="33">
        <f>IF(C832="","",Commercial_Id)</f>
        <v/>
      </c>
      <c r="M832" s="34">
        <f>IF(E832="","",IFERROR(VLOOKUP(E832,T_Produits,2,FALSE),""))</f>
        <v/>
      </c>
      <c r="N832" s="40">
        <f>IF(E832="","",IFERROR(1/(1/VLOOKUP(E832,T_Produits,3,FALSE)),""))</f>
        <v/>
      </c>
      <c r="O832" s="40">
        <f>IF(OR(D832="",F832=""),"",IF(OR(D832="Casse / avarie",D832="Perte / vol",D832="Échantillon offert"),IF(I832&lt;&gt;"",I832,IF(N832="","",F832*N832)),""))</f>
        <v/>
      </c>
      <c r="P832" s="50">
        <f>IF(OR(D832="",F832=""),"",F832*IF(OR(D832="Reçu du magasin",D832="Ajustement (+)"),1,-1))</f>
        <v/>
      </c>
      <c r="Q832" s="34">
        <f>IF(C832="","",YEAR(C832-WEEKDAY(C832,2)+4)&amp;"-S"&amp;TEXT(INT((C832-DATE(YEAR(C832-WEEKDAY(C832,2)+4),1,3)+WEEKDAY(DATE(YEAR(C832-WEEKDAY(C832,2)+4),1,3),2)+5)/7),"00"))</f>
        <v/>
      </c>
    </row>
    <row r="833" ht="18" customHeight="1">
      <c r="A833" s="39" t="n">
        <v>828</v>
      </c>
      <c r="B833" s="33">
        <f>IF(C833="","",IF(L833="À RENSEIGNER","GIC",L833)&amp;"-S"&amp;TEXT(A833,"00000"))</f>
        <v/>
      </c>
      <c r="C833" s="32" t="n"/>
      <c r="D833" s="36" t="n"/>
      <c r="E833" s="36" t="n"/>
      <c r="F833" s="42" t="n"/>
      <c r="G833" s="36" t="n"/>
      <c r="H833" s="43" t="n"/>
      <c r="I833" s="37" t="n"/>
      <c r="J833" s="44" t="n"/>
      <c r="K833" s="36" t="n"/>
      <c r="L833" s="33">
        <f>IF(C833="","",Commercial_Id)</f>
        <v/>
      </c>
      <c r="M833" s="34">
        <f>IF(E833="","",IFERROR(VLOOKUP(E833,T_Produits,2,FALSE),""))</f>
        <v/>
      </c>
      <c r="N833" s="40">
        <f>IF(E833="","",IFERROR(1/(1/VLOOKUP(E833,T_Produits,3,FALSE)),""))</f>
        <v/>
      </c>
      <c r="O833" s="40">
        <f>IF(OR(D833="",F833=""),"",IF(OR(D833="Casse / avarie",D833="Perte / vol",D833="Échantillon offert"),IF(I833&lt;&gt;"",I833,IF(N833="","",F833*N833)),""))</f>
        <v/>
      </c>
      <c r="P833" s="50">
        <f>IF(OR(D833="",F833=""),"",F833*IF(OR(D833="Reçu du magasin",D833="Ajustement (+)"),1,-1))</f>
        <v/>
      </c>
      <c r="Q833" s="34">
        <f>IF(C833="","",YEAR(C833-WEEKDAY(C833,2)+4)&amp;"-S"&amp;TEXT(INT((C833-DATE(YEAR(C833-WEEKDAY(C833,2)+4),1,3)+WEEKDAY(DATE(YEAR(C833-WEEKDAY(C833,2)+4),1,3),2)+5)/7),"00"))</f>
        <v/>
      </c>
    </row>
    <row r="834" ht="18" customHeight="1">
      <c r="A834" s="39" t="n">
        <v>829</v>
      </c>
      <c r="B834" s="33">
        <f>IF(C834="","",IF(L834="À RENSEIGNER","GIC",L834)&amp;"-S"&amp;TEXT(A834,"00000"))</f>
        <v/>
      </c>
      <c r="C834" s="32" t="n"/>
      <c r="D834" s="36" t="n"/>
      <c r="E834" s="36" t="n"/>
      <c r="F834" s="42" t="n"/>
      <c r="G834" s="36" t="n"/>
      <c r="H834" s="43" t="n"/>
      <c r="I834" s="37" t="n"/>
      <c r="J834" s="44" t="n"/>
      <c r="K834" s="36" t="n"/>
      <c r="L834" s="33">
        <f>IF(C834="","",Commercial_Id)</f>
        <v/>
      </c>
      <c r="M834" s="34">
        <f>IF(E834="","",IFERROR(VLOOKUP(E834,T_Produits,2,FALSE),""))</f>
        <v/>
      </c>
      <c r="N834" s="40">
        <f>IF(E834="","",IFERROR(1/(1/VLOOKUP(E834,T_Produits,3,FALSE)),""))</f>
        <v/>
      </c>
      <c r="O834" s="40">
        <f>IF(OR(D834="",F834=""),"",IF(OR(D834="Casse / avarie",D834="Perte / vol",D834="Échantillon offert"),IF(I834&lt;&gt;"",I834,IF(N834="","",F834*N834)),""))</f>
        <v/>
      </c>
      <c r="P834" s="50">
        <f>IF(OR(D834="",F834=""),"",F834*IF(OR(D834="Reçu du magasin",D834="Ajustement (+)"),1,-1))</f>
        <v/>
      </c>
      <c r="Q834" s="34">
        <f>IF(C834="","",YEAR(C834-WEEKDAY(C834,2)+4)&amp;"-S"&amp;TEXT(INT((C834-DATE(YEAR(C834-WEEKDAY(C834,2)+4),1,3)+WEEKDAY(DATE(YEAR(C834-WEEKDAY(C834,2)+4),1,3),2)+5)/7),"00"))</f>
        <v/>
      </c>
    </row>
    <row r="835" ht="18" customHeight="1">
      <c r="A835" s="39" t="n">
        <v>830</v>
      </c>
      <c r="B835" s="33">
        <f>IF(C835="","",IF(L835="À RENSEIGNER","GIC",L835)&amp;"-S"&amp;TEXT(A835,"00000"))</f>
        <v/>
      </c>
      <c r="C835" s="32" t="n"/>
      <c r="D835" s="36" t="n"/>
      <c r="E835" s="36" t="n"/>
      <c r="F835" s="42" t="n"/>
      <c r="G835" s="36" t="n"/>
      <c r="H835" s="43" t="n"/>
      <c r="I835" s="37" t="n"/>
      <c r="J835" s="44" t="n"/>
      <c r="K835" s="36" t="n"/>
      <c r="L835" s="33">
        <f>IF(C835="","",Commercial_Id)</f>
        <v/>
      </c>
      <c r="M835" s="34">
        <f>IF(E835="","",IFERROR(VLOOKUP(E835,T_Produits,2,FALSE),""))</f>
        <v/>
      </c>
      <c r="N835" s="40">
        <f>IF(E835="","",IFERROR(1/(1/VLOOKUP(E835,T_Produits,3,FALSE)),""))</f>
        <v/>
      </c>
      <c r="O835" s="40">
        <f>IF(OR(D835="",F835=""),"",IF(OR(D835="Casse / avarie",D835="Perte / vol",D835="Échantillon offert"),IF(I835&lt;&gt;"",I835,IF(N835="","",F835*N835)),""))</f>
        <v/>
      </c>
      <c r="P835" s="50">
        <f>IF(OR(D835="",F835=""),"",F835*IF(OR(D835="Reçu du magasin",D835="Ajustement (+)"),1,-1))</f>
        <v/>
      </c>
      <c r="Q835" s="34">
        <f>IF(C835="","",YEAR(C835-WEEKDAY(C835,2)+4)&amp;"-S"&amp;TEXT(INT((C835-DATE(YEAR(C835-WEEKDAY(C835,2)+4),1,3)+WEEKDAY(DATE(YEAR(C835-WEEKDAY(C835,2)+4),1,3),2)+5)/7),"00"))</f>
        <v/>
      </c>
    </row>
    <row r="836" ht="18" customHeight="1">
      <c r="A836" s="39" t="n">
        <v>831</v>
      </c>
      <c r="B836" s="33">
        <f>IF(C836="","",IF(L836="À RENSEIGNER","GIC",L836)&amp;"-S"&amp;TEXT(A836,"00000"))</f>
        <v/>
      </c>
      <c r="C836" s="32" t="n"/>
      <c r="D836" s="36" t="n"/>
      <c r="E836" s="36" t="n"/>
      <c r="F836" s="42" t="n"/>
      <c r="G836" s="36" t="n"/>
      <c r="H836" s="43" t="n"/>
      <c r="I836" s="37" t="n"/>
      <c r="J836" s="44" t="n"/>
      <c r="K836" s="36" t="n"/>
      <c r="L836" s="33">
        <f>IF(C836="","",Commercial_Id)</f>
        <v/>
      </c>
      <c r="M836" s="34">
        <f>IF(E836="","",IFERROR(VLOOKUP(E836,T_Produits,2,FALSE),""))</f>
        <v/>
      </c>
      <c r="N836" s="40">
        <f>IF(E836="","",IFERROR(1/(1/VLOOKUP(E836,T_Produits,3,FALSE)),""))</f>
        <v/>
      </c>
      <c r="O836" s="40">
        <f>IF(OR(D836="",F836=""),"",IF(OR(D836="Casse / avarie",D836="Perte / vol",D836="Échantillon offert"),IF(I836&lt;&gt;"",I836,IF(N836="","",F836*N836)),""))</f>
        <v/>
      </c>
      <c r="P836" s="50">
        <f>IF(OR(D836="",F836=""),"",F836*IF(OR(D836="Reçu du magasin",D836="Ajustement (+)"),1,-1))</f>
        <v/>
      </c>
      <c r="Q836" s="34">
        <f>IF(C836="","",YEAR(C836-WEEKDAY(C836,2)+4)&amp;"-S"&amp;TEXT(INT((C836-DATE(YEAR(C836-WEEKDAY(C836,2)+4),1,3)+WEEKDAY(DATE(YEAR(C836-WEEKDAY(C836,2)+4),1,3),2)+5)/7),"00"))</f>
        <v/>
      </c>
    </row>
    <row r="837" ht="18" customHeight="1">
      <c r="A837" s="39" t="n">
        <v>832</v>
      </c>
      <c r="B837" s="33">
        <f>IF(C837="","",IF(L837="À RENSEIGNER","GIC",L837)&amp;"-S"&amp;TEXT(A837,"00000"))</f>
        <v/>
      </c>
      <c r="C837" s="32" t="n"/>
      <c r="D837" s="36" t="n"/>
      <c r="E837" s="36" t="n"/>
      <c r="F837" s="42" t="n"/>
      <c r="G837" s="36" t="n"/>
      <c r="H837" s="43" t="n"/>
      <c r="I837" s="37" t="n"/>
      <c r="J837" s="44" t="n"/>
      <c r="K837" s="36" t="n"/>
      <c r="L837" s="33">
        <f>IF(C837="","",Commercial_Id)</f>
        <v/>
      </c>
      <c r="M837" s="34">
        <f>IF(E837="","",IFERROR(VLOOKUP(E837,T_Produits,2,FALSE),""))</f>
        <v/>
      </c>
      <c r="N837" s="40">
        <f>IF(E837="","",IFERROR(1/(1/VLOOKUP(E837,T_Produits,3,FALSE)),""))</f>
        <v/>
      </c>
      <c r="O837" s="40">
        <f>IF(OR(D837="",F837=""),"",IF(OR(D837="Casse / avarie",D837="Perte / vol",D837="Échantillon offert"),IF(I837&lt;&gt;"",I837,IF(N837="","",F837*N837)),""))</f>
        <v/>
      </c>
      <c r="P837" s="50">
        <f>IF(OR(D837="",F837=""),"",F837*IF(OR(D837="Reçu du magasin",D837="Ajustement (+)"),1,-1))</f>
        <v/>
      </c>
      <c r="Q837" s="34">
        <f>IF(C837="","",YEAR(C837-WEEKDAY(C837,2)+4)&amp;"-S"&amp;TEXT(INT((C837-DATE(YEAR(C837-WEEKDAY(C837,2)+4),1,3)+WEEKDAY(DATE(YEAR(C837-WEEKDAY(C837,2)+4),1,3),2)+5)/7),"00"))</f>
        <v/>
      </c>
    </row>
    <row r="838" ht="18" customHeight="1">
      <c r="A838" s="39" t="n">
        <v>833</v>
      </c>
      <c r="B838" s="33">
        <f>IF(C838="","",IF(L838="À RENSEIGNER","GIC",L838)&amp;"-S"&amp;TEXT(A838,"00000"))</f>
        <v/>
      </c>
      <c r="C838" s="32" t="n"/>
      <c r="D838" s="36" t="n"/>
      <c r="E838" s="36" t="n"/>
      <c r="F838" s="42" t="n"/>
      <c r="G838" s="36" t="n"/>
      <c r="H838" s="43" t="n"/>
      <c r="I838" s="37" t="n"/>
      <c r="J838" s="44" t="n"/>
      <c r="K838" s="36" t="n"/>
      <c r="L838" s="33">
        <f>IF(C838="","",Commercial_Id)</f>
        <v/>
      </c>
      <c r="M838" s="34">
        <f>IF(E838="","",IFERROR(VLOOKUP(E838,T_Produits,2,FALSE),""))</f>
        <v/>
      </c>
      <c r="N838" s="40">
        <f>IF(E838="","",IFERROR(1/(1/VLOOKUP(E838,T_Produits,3,FALSE)),""))</f>
        <v/>
      </c>
      <c r="O838" s="40">
        <f>IF(OR(D838="",F838=""),"",IF(OR(D838="Casse / avarie",D838="Perte / vol",D838="Échantillon offert"),IF(I838&lt;&gt;"",I838,IF(N838="","",F838*N838)),""))</f>
        <v/>
      </c>
      <c r="P838" s="50">
        <f>IF(OR(D838="",F838=""),"",F838*IF(OR(D838="Reçu du magasin",D838="Ajustement (+)"),1,-1))</f>
        <v/>
      </c>
      <c r="Q838" s="34">
        <f>IF(C838="","",YEAR(C838-WEEKDAY(C838,2)+4)&amp;"-S"&amp;TEXT(INT((C838-DATE(YEAR(C838-WEEKDAY(C838,2)+4),1,3)+WEEKDAY(DATE(YEAR(C838-WEEKDAY(C838,2)+4),1,3),2)+5)/7),"00"))</f>
        <v/>
      </c>
    </row>
    <row r="839" ht="18" customHeight="1">
      <c r="A839" s="39" t="n">
        <v>834</v>
      </c>
      <c r="B839" s="33">
        <f>IF(C839="","",IF(L839="À RENSEIGNER","GIC",L839)&amp;"-S"&amp;TEXT(A839,"00000"))</f>
        <v/>
      </c>
      <c r="C839" s="32" t="n"/>
      <c r="D839" s="36" t="n"/>
      <c r="E839" s="36" t="n"/>
      <c r="F839" s="42" t="n"/>
      <c r="G839" s="36" t="n"/>
      <c r="H839" s="43" t="n"/>
      <c r="I839" s="37" t="n"/>
      <c r="J839" s="44" t="n"/>
      <c r="K839" s="36" t="n"/>
      <c r="L839" s="33">
        <f>IF(C839="","",Commercial_Id)</f>
        <v/>
      </c>
      <c r="M839" s="34">
        <f>IF(E839="","",IFERROR(VLOOKUP(E839,T_Produits,2,FALSE),""))</f>
        <v/>
      </c>
      <c r="N839" s="40">
        <f>IF(E839="","",IFERROR(1/(1/VLOOKUP(E839,T_Produits,3,FALSE)),""))</f>
        <v/>
      </c>
      <c r="O839" s="40">
        <f>IF(OR(D839="",F839=""),"",IF(OR(D839="Casse / avarie",D839="Perte / vol",D839="Échantillon offert"),IF(I839&lt;&gt;"",I839,IF(N839="","",F839*N839)),""))</f>
        <v/>
      </c>
      <c r="P839" s="50">
        <f>IF(OR(D839="",F839=""),"",F839*IF(OR(D839="Reçu du magasin",D839="Ajustement (+)"),1,-1))</f>
        <v/>
      </c>
      <c r="Q839" s="34">
        <f>IF(C839="","",YEAR(C839-WEEKDAY(C839,2)+4)&amp;"-S"&amp;TEXT(INT((C839-DATE(YEAR(C839-WEEKDAY(C839,2)+4),1,3)+WEEKDAY(DATE(YEAR(C839-WEEKDAY(C839,2)+4),1,3),2)+5)/7),"00"))</f>
        <v/>
      </c>
    </row>
    <row r="840" ht="18" customHeight="1">
      <c r="A840" s="39" t="n">
        <v>835</v>
      </c>
      <c r="B840" s="33">
        <f>IF(C840="","",IF(L840="À RENSEIGNER","GIC",L840)&amp;"-S"&amp;TEXT(A840,"00000"))</f>
        <v/>
      </c>
      <c r="C840" s="32" t="n"/>
      <c r="D840" s="36" t="n"/>
      <c r="E840" s="36" t="n"/>
      <c r="F840" s="42" t="n"/>
      <c r="G840" s="36" t="n"/>
      <c r="H840" s="43" t="n"/>
      <c r="I840" s="37" t="n"/>
      <c r="J840" s="44" t="n"/>
      <c r="K840" s="36" t="n"/>
      <c r="L840" s="33">
        <f>IF(C840="","",Commercial_Id)</f>
        <v/>
      </c>
      <c r="M840" s="34">
        <f>IF(E840="","",IFERROR(VLOOKUP(E840,T_Produits,2,FALSE),""))</f>
        <v/>
      </c>
      <c r="N840" s="40">
        <f>IF(E840="","",IFERROR(1/(1/VLOOKUP(E840,T_Produits,3,FALSE)),""))</f>
        <v/>
      </c>
      <c r="O840" s="40">
        <f>IF(OR(D840="",F840=""),"",IF(OR(D840="Casse / avarie",D840="Perte / vol",D840="Échantillon offert"),IF(I840&lt;&gt;"",I840,IF(N840="","",F840*N840)),""))</f>
        <v/>
      </c>
      <c r="P840" s="50">
        <f>IF(OR(D840="",F840=""),"",F840*IF(OR(D840="Reçu du magasin",D840="Ajustement (+)"),1,-1))</f>
        <v/>
      </c>
      <c r="Q840" s="34">
        <f>IF(C840="","",YEAR(C840-WEEKDAY(C840,2)+4)&amp;"-S"&amp;TEXT(INT((C840-DATE(YEAR(C840-WEEKDAY(C840,2)+4),1,3)+WEEKDAY(DATE(YEAR(C840-WEEKDAY(C840,2)+4),1,3),2)+5)/7),"00"))</f>
        <v/>
      </c>
    </row>
    <row r="841" ht="18" customHeight="1">
      <c r="A841" s="39" t="n">
        <v>836</v>
      </c>
      <c r="B841" s="33">
        <f>IF(C841="","",IF(L841="À RENSEIGNER","GIC",L841)&amp;"-S"&amp;TEXT(A841,"00000"))</f>
        <v/>
      </c>
      <c r="C841" s="32" t="n"/>
      <c r="D841" s="36" t="n"/>
      <c r="E841" s="36" t="n"/>
      <c r="F841" s="42" t="n"/>
      <c r="G841" s="36" t="n"/>
      <c r="H841" s="43" t="n"/>
      <c r="I841" s="37" t="n"/>
      <c r="J841" s="44" t="n"/>
      <c r="K841" s="36" t="n"/>
      <c r="L841" s="33">
        <f>IF(C841="","",Commercial_Id)</f>
        <v/>
      </c>
      <c r="M841" s="34">
        <f>IF(E841="","",IFERROR(VLOOKUP(E841,T_Produits,2,FALSE),""))</f>
        <v/>
      </c>
      <c r="N841" s="40">
        <f>IF(E841="","",IFERROR(1/(1/VLOOKUP(E841,T_Produits,3,FALSE)),""))</f>
        <v/>
      </c>
      <c r="O841" s="40">
        <f>IF(OR(D841="",F841=""),"",IF(OR(D841="Casse / avarie",D841="Perte / vol",D841="Échantillon offert"),IF(I841&lt;&gt;"",I841,IF(N841="","",F841*N841)),""))</f>
        <v/>
      </c>
      <c r="P841" s="50">
        <f>IF(OR(D841="",F841=""),"",F841*IF(OR(D841="Reçu du magasin",D841="Ajustement (+)"),1,-1))</f>
        <v/>
      </c>
      <c r="Q841" s="34">
        <f>IF(C841="","",YEAR(C841-WEEKDAY(C841,2)+4)&amp;"-S"&amp;TEXT(INT((C841-DATE(YEAR(C841-WEEKDAY(C841,2)+4),1,3)+WEEKDAY(DATE(YEAR(C841-WEEKDAY(C841,2)+4),1,3),2)+5)/7),"00"))</f>
        <v/>
      </c>
    </row>
    <row r="842" ht="18" customHeight="1">
      <c r="A842" s="39" t="n">
        <v>837</v>
      </c>
      <c r="B842" s="33">
        <f>IF(C842="","",IF(L842="À RENSEIGNER","GIC",L842)&amp;"-S"&amp;TEXT(A842,"00000"))</f>
        <v/>
      </c>
      <c r="C842" s="32" t="n"/>
      <c r="D842" s="36" t="n"/>
      <c r="E842" s="36" t="n"/>
      <c r="F842" s="42" t="n"/>
      <c r="G842" s="36" t="n"/>
      <c r="H842" s="43" t="n"/>
      <c r="I842" s="37" t="n"/>
      <c r="J842" s="44" t="n"/>
      <c r="K842" s="36" t="n"/>
      <c r="L842" s="33">
        <f>IF(C842="","",Commercial_Id)</f>
        <v/>
      </c>
      <c r="M842" s="34">
        <f>IF(E842="","",IFERROR(VLOOKUP(E842,T_Produits,2,FALSE),""))</f>
        <v/>
      </c>
      <c r="N842" s="40">
        <f>IF(E842="","",IFERROR(1/(1/VLOOKUP(E842,T_Produits,3,FALSE)),""))</f>
        <v/>
      </c>
      <c r="O842" s="40">
        <f>IF(OR(D842="",F842=""),"",IF(OR(D842="Casse / avarie",D842="Perte / vol",D842="Échantillon offert"),IF(I842&lt;&gt;"",I842,IF(N842="","",F842*N842)),""))</f>
        <v/>
      </c>
      <c r="P842" s="50">
        <f>IF(OR(D842="",F842=""),"",F842*IF(OR(D842="Reçu du magasin",D842="Ajustement (+)"),1,-1))</f>
        <v/>
      </c>
      <c r="Q842" s="34">
        <f>IF(C842="","",YEAR(C842-WEEKDAY(C842,2)+4)&amp;"-S"&amp;TEXT(INT((C842-DATE(YEAR(C842-WEEKDAY(C842,2)+4),1,3)+WEEKDAY(DATE(YEAR(C842-WEEKDAY(C842,2)+4),1,3),2)+5)/7),"00"))</f>
        <v/>
      </c>
    </row>
    <row r="843" ht="18" customHeight="1">
      <c r="A843" s="39" t="n">
        <v>838</v>
      </c>
      <c r="B843" s="33">
        <f>IF(C843="","",IF(L843="À RENSEIGNER","GIC",L843)&amp;"-S"&amp;TEXT(A843,"00000"))</f>
        <v/>
      </c>
      <c r="C843" s="32" t="n"/>
      <c r="D843" s="36" t="n"/>
      <c r="E843" s="36" t="n"/>
      <c r="F843" s="42" t="n"/>
      <c r="G843" s="36" t="n"/>
      <c r="H843" s="43" t="n"/>
      <c r="I843" s="37" t="n"/>
      <c r="J843" s="44" t="n"/>
      <c r="K843" s="36" t="n"/>
      <c r="L843" s="33">
        <f>IF(C843="","",Commercial_Id)</f>
        <v/>
      </c>
      <c r="M843" s="34">
        <f>IF(E843="","",IFERROR(VLOOKUP(E843,T_Produits,2,FALSE),""))</f>
        <v/>
      </c>
      <c r="N843" s="40">
        <f>IF(E843="","",IFERROR(1/(1/VLOOKUP(E843,T_Produits,3,FALSE)),""))</f>
        <v/>
      </c>
      <c r="O843" s="40">
        <f>IF(OR(D843="",F843=""),"",IF(OR(D843="Casse / avarie",D843="Perte / vol",D843="Échantillon offert"),IF(I843&lt;&gt;"",I843,IF(N843="","",F843*N843)),""))</f>
        <v/>
      </c>
      <c r="P843" s="50">
        <f>IF(OR(D843="",F843=""),"",F843*IF(OR(D843="Reçu du magasin",D843="Ajustement (+)"),1,-1))</f>
        <v/>
      </c>
      <c r="Q843" s="34">
        <f>IF(C843="","",YEAR(C843-WEEKDAY(C843,2)+4)&amp;"-S"&amp;TEXT(INT((C843-DATE(YEAR(C843-WEEKDAY(C843,2)+4),1,3)+WEEKDAY(DATE(YEAR(C843-WEEKDAY(C843,2)+4),1,3),2)+5)/7),"00"))</f>
        <v/>
      </c>
    </row>
    <row r="844" ht="18" customHeight="1">
      <c r="A844" s="39" t="n">
        <v>839</v>
      </c>
      <c r="B844" s="33">
        <f>IF(C844="","",IF(L844="À RENSEIGNER","GIC",L844)&amp;"-S"&amp;TEXT(A844,"00000"))</f>
        <v/>
      </c>
      <c r="C844" s="32" t="n"/>
      <c r="D844" s="36" t="n"/>
      <c r="E844" s="36" t="n"/>
      <c r="F844" s="42" t="n"/>
      <c r="G844" s="36" t="n"/>
      <c r="H844" s="43" t="n"/>
      <c r="I844" s="37" t="n"/>
      <c r="J844" s="44" t="n"/>
      <c r="K844" s="36" t="n"/>
      <c r="L844" s="33">
        <f>IF(C844="","",Commercial_Id)</f>
        <v/>
      </c>
      <c r="M844" s="34">
        <f>IF(E844="","",IFERROR(VLOOKUP(E844,T_Produits,2,FALSE),""))</f>
        <v/>
      </c>
      <c r="N844" s="40">
        <f>IF(E844="","",IFERROR(1/(1/VLOOKUP(E844,T_Produits,3,FALSE)),""))</f>
        <v/>
      </c>
      <c r="O844" s="40">
        <f>IF(OR(D844="",F844=""),"",IF(OR(D844="Casse / avarie",D844="Perte / vol",D844="Échantillon offert"),IF(I844&lt;&gt;"",I844,IF(N844="","",F844*N844)),""))</f>
        <v/>
      </c>
      <c r="P844" s="50">
        <f>IF(OR(D844="",F844=""),"",F844*IF(OR(D844="Reçu du magasin",D844="Ajustement (+)"),1,-1))</f>
        <v/>
      </c>
      <c r="Q844" s="34">
        <f>IF(C844="","",YEAR(C844-WEEKDAY(C844,2)+4)&amp;"-S"&amp;TEXT(INT((C844-DATE(YEAR(C844-WEEKDAY(C844,2)+4),1,3)+WEEKDAY(DATE(YEAR(C844-WEEKDAY(C844,2)+4),1,3),2)+5)/7),"00"))</f>
        <v/>
      </c>
    </row>
    <row r="845" ht="18" customHeight="1">
      <c r="A845" s="39" t="n">
        <v>840</v>
      </c>
      <c r="B845" s="33">
        <f>IF(C845="","",IF(L845="À RENSEIGNER","GIC",L845)&amp;"-S"&amp;TEXT(A845,"00000"))</f>
        <v/>
      </c>
      <c r="C845" s="32" t="n"/>
      <c r="D845" s="36" t="n"/>
      <c r="E845" s="36" t="n"/>
      <c r="F845" s="42" t="n"/>
      <c r="G845" s="36" t="n"/>
      <c r="H845" s="43" t="n"/>
      <c r="I845" s="37" t="n"/>
      <c r="J845" s="44" t="n"/>
      <c r="K845" s="36" t="n"/>
      <c r="L845" s="33">
        <f>IF(C845="","",Commercial_Id)</f>
        <v/>
      </c>
      <c r="M845" s="34">
        <f>IF(E845="","",IFERROR(VLOOKUP(E845,T_Produits,2,FALSE),""))</f>
        <v/>
      </c>
      <c r="N845" s="40">
        <f>IF(E845="","",IFERROR(1/(1/VLOOKUP(E845,T_Produits,3,FALSE)),""))</f>
        <v/>
      </c>
      <c r="O845" s="40">
        <f>IF(OR(D845="",F845=""),"",IF(OR(D845="Casse / avarie",D845="Perte / vol",D845="Échantillon offert"),IF(I845&lt;&gt;"",I845,IF(N845="","",F845*N845)),""))</f>
        <v/>
      </c>
      <c r="P845" s="50">
        <f>IF(OR(D845="",F845=""),"",F845*IF(OR(D845="Reçu du magasin",D845="Ajustement (+)"),1,-1))</f>
        <v/>
      </c>
      <c r="Q845" s="34">
        <f>IF(C845="","",YEAR(C845-WEEKDAY(C845,2)+4)&amp;"-S"&amp;TEXT(INT((C845-DATE(YEAR(C845-WEEKDAY(C845,2)+4),1,3)+WEEKDAY(DATE(YEAR(C845-WEEKDAY(C845,2)+4),1,3),2)+5)/7),"00"))</f>
        <v/>
      </c>
    </row>
    <row r="846" ht="18" customHeight="1">
      <c r="A846" s="39" t="n">
        <v>841</v>
      </c>
      <c r="B846" s="33">
        <f>IF(C846="","",IF(L846="À RENSEIGNER","GIC",L846)&amp;"-S"&amp;TEXT(A846,"00000"))</f>
        <v/>
      </c>
      <c r="C846" s="32" t="n"/>
      <c r="D846" s="36" t="n"/>
      <c r="E846" s="36" t="n"/>
      <c r="F846" s="42" t="n"/>
      <c r="G846" s="36" t="n"/>
      <c r="H846" s="43" t="n"/>
      <c r="I846" s="37" t="n"/>
      <c r="J846" s="44" t="n"/>
      <c r="K846" s="36" t="n"/>
      <c r="L846" s="33">
        <f>IF(C846="","",Commercial_Id)</f>
        <v/>
      </c>
      <c r="M846" s="34">
        <f>IF(E846="","",IFERROR(VLOOKUP(E846,T_Produits,2,FALSE),""))</f>
        <v/>
      </c>
      <c r="N846" s="40">
        <f>IF(E846="","",IFERROR(1/(1/VLOOKUP(E846,T_Produits,3,FALSE)),""))</f>
        <v/>
      </c>
      <c r="O846" s="40">
        <f>IF(OR(D846="",F846=""),"",IF(OR(D846="Casse / avarie",D846="Perte / vol",D846="Échantillon offert"),IF(I846&lt;&gt;"",I846,IF(N846="","",F846*N846)),""))</f>
        <v/>
      </c>
      <c r="P846" s="50">
        <f>IF(OR(D846="",F846=""),"",F846*IF(OR(D846="Reçu du magasin",D846="Ajustement (+)"),1,-1))</f>
        <v/>
      </c>
      <c r="Q846" s="34">
        <f>IF(C846="","",YEAR(C846-WEEKDAY(C846,2)+4)&amp;"-S"&amp;TEXT(INT((C846-DATE(YEAR(C846-WEEKDAY(C846,2)+4),1,3)+WEEKDAY(DATE(YEAR(C846-WEEKDAY(C846,2)+4),1,3),2)+5)/7),"00"))</f>
        <v/>
      </c>
    </row>
    <row r="847" ht="18" customHeight="1">
      <c r="A847" s="39" t="n">
        <v>842</v>
      </c>
      <c r="B847" s="33">
        <f>IF(C847="","",IF(L847="À RENSEIGNER","GIC",L847)&amp;"-S"&amp;TEXT(A847,"00000"))</f>
        <v/>
      </c>
      <c r="C847" s="32" t="n"/>
      <c r="D847" s="36" t="n"/>
      <c r="E847" s="36" t="n"/>
      <c r="F847" s="42" t="n"/>
      <c r="G847" s="36" t="n"/>
      <c r="H847" s="43" t="n"/>
      <c r="I847" s="37" t="n"/>
      <c r="J847" s="44" t="n"/>
      <c r="K847" s="36" t="n"/>
      <c r="L847" s="33">
        <f>IF(C847="","",Commercial_Id)</f>
        <v/>
      </c>
      <c r="M847" s="34">
        <f>IF(E847="","",IFERROR(VLOOKUP(E847,T_Produits,2,FALSE),""))</f>
        <v/>
      </c>
      <c r="N847" s="40">
        <f>IF(E847="","",IFERROR(1/(1/VLOOKUP(E847,T_Produits,3,FALSE)),""))</f>
        <v/>
      </c>
      <c r="O847" s="40">
        <f>IF(OR(D847="",F847=""),"",IF(OR(D847="Casse / avarie",D847="Perte / vol",D847="Échantillon offert"),IF(I847&lt;&gt;"",I847,IF(N847="","",F847*N847)),""))</f>
        <v/>
      </c>
      <c r="P847" s="50">
        <f>IF(OR(D847="",F847=""),"",F847*IF(OR(D847="Reçu du magasin",D847="Ajustement (+)"),1,-1))</f>
        <v/>
      </c>
      <c r="Q847" s="34">
        <f>IF(C847="","",YEAR(C847-WEEKDAY(C847,2)+4)&amp;"-S"&amp;TEXT(INT((C847-DATE(YEAR(C847-WEEKDAY(C847,2)+4),1,3)+WEEKDAY(DATE(YEAR(C847-WEEKDAY(C847,2)+4),1,3),2)+5)/7),"00"))</f>
        <v/>
      </c>
    </row>
    <row r="848" ht="18" customHeight="1">
      <c r="A848" s="39" t="n">
        <v>843</v>
      </c>
      <c r="B848" s="33">
        <f>IF(C848="","",IF(L848="À RENSEIGNER","GIC",L848)&amp;"-S"&amp;TEXT(A848,"00000"))</f>
        <v/>
      </c>
      <c r="C848" s="32" t="n"/>
      <c r="D848" s="36" t="n"/>
      <c r="E848" s="36" t="n"/>
      <c r="F848" s="42" t="n"/>
      <c r="G848" s="36" t="n"/>
      <c r="H848" s="43" t="n"/>
      <c r="I848" s="37" t="n"/>
      <c r="J848" s="44" t="n"/>
      <c r="K848" s="36" t="n"/>
      <c r="L848" s="33">
        <f>IF(C848="","",Commercial_Id)</f>
        <v/>
      </c>
      <c r="M848" s="34">
        <f>IF(E848="","",IFERROR(VLOOKUP(E848,T_Produits,2,FALSE),""))</f>
        <v/>
      </c>
      <c r="N848" s="40">
        <f>IF(E848="","",IFERROR(1/(1/VLOOKUP(E848,T_Produits,3,FALSE)),""))</f>
        <v/>
      </c>
      <c r="O848" s="40">
        <f>IF(OR(D848="",F848=""),"",IF(OR(D848="Casse / avarie",D848="Perte / vol",D848="Échantillon offert"),IF(I848&lt;&gt;"",I848,IF(N848="","",F848*N848)),""))</f>
        <v/>
      </c>
      <c r="P848" s="50">
        <f>IF(OR(D848="",F848=""),"",F848*IF(OR(D848="Reçu du magasin",D848="Ajustement (+)"),1,-1))</f>
        <v/>
      </c>
      <c r="Q848" s="34">
        <f>IF(C848="","",YEAR(C848-WEEKDAY(C848,2)+4)&amp;"-S"&amp;TEXT(INT((C848-DATE(YEAR(C848-WEEKDAY(C848,2)+4),1,3)+WEEKDAY(DATE(YEAR(C848-WEEKDAY(C848,2)+4),1,3),2)+5)/7),"00"))</f>
        <v/>
      </c>
    </row>
    <row r="849" ht="18" customHeight="1">
      <c r="A849" s="39" t="n">
        <v>844</v>
      </c>
      <c r="B849" s="33">
        <f>IF(C849="","",IF(L849="À RENSEIGNER","GIC",L849)&amp;"-S"&amp;TEXT(A849,"00000"))</f>
        <v/>
      </c>
      <c r="C849" s="32" t="n"/>
      <c r="D849" s="36" t="n"/>
      <c r="E849" s="36" t="n"/>
      <c r="F849" s="42" t="n"/>
      <c r="G849" s="36" t="n"/>
      <c r="H849" s="43" t="n"/>
      <c r="I849" s="37" t="n"/>
      <c r="J849" s="44" t="n"/>
      <c r="K849" s="36" t="n"/>
      <c r="L849" s="33">
        <f>IF(C849="","",Commercial_Id)</f>
        <v/>
      </c>
      <c r="M849" s="34">
        <f>IF(E849="","",IFERROR(VLOOKUP(E849,T_Produits,2,FALSE),""))</f>
        <v/>
      </c>
      <c r="N849" s="40">
        <f>IF(E849="","",IFERROR(1/(1/VLOOKUP(E849,T_Produits,3,FALSE)),""))</f>
        <v/>
      </c>
      <c r="O849" s="40">
        <f>IF(OR(D849="",F849=""),"",IF(OR(D849="Casse / avarie",D849="Perte / vol",D849="Échantillon offert"),IF(I849&lt;&gt;"",I849,IF(N849="","",F849*N849)),""))</f>
        <v/>
      </c>
      <c r="P849" s="50">
        <f>IF(OR(D849="",F849=""),"",F849*IF(OR(D849="Reçu du magasin",D849="Ajustement (+)"),1,-1))</f>
        <v/>
      </c>
      <c r="Q849" s="34">
        <f>IF(C849="","",YEAR(C849-WEEKDAY(C849,2)+4)&amp;"-S"&amp;TEXT(INT((C849-DATE(YEAR(C849-WEEKDAY(C849,2)+4),1,3)+WEEKDAY(DATE(YEAR(C849-WEEKDAY(C849,2)+4),1,3),2)+5)/7),"00"))</f>
        <v/>
      </c>
    </row>
    <row r="850" ht="18" customHeight="1">
      <c r="A850" s="39" t="n">
        <v>845</v>
      </c>
      <c r="B850" s="33">
        <f>IF(C850="","",IF(L850="À RENSEIGNER","GIC",L850)&amp;"-S"&amp;TEXT(A850,"00000"))</f>
        <v/>
      </c>
      <c r="C850" s="32" t="n"/>
      <c r="D850" s="36" t="n"/>
      <c r="E850" s="36" t="n"/>
      <c r="F850" s="42" t="n"/>
      <c r="G850" s="36" t="n"/>
      <c r="H850" s="43" t="n"/>
      <c r="I850" s="37" t="n"/>
      <c r="J850" s="44" t="n"/>
      <c r="K850" s="36" t="n"/>
      <c r="L850" s="33">
        <f>IF(C850="","",Commercial_Id)</f>
        <v/>
      </c>
      <c r="M850" s="34">
        <f>IF(E850="","",IFERROR(VLOOKUP(E850,T_Produits,2,FALSE),""))</f>
        <v/>
      </c>
      <c r="N850" s="40">
        <f>IF(E850="","",IFERROR(1/(1/VLOOKUP(E850,T_Produits,3,FALSE)),""))</f>
        <v/>
      </c>
      <c r="O850" s="40">
        <f>IF(OR(D850="",F850=""),"",IF(OR(D850="Casse / avarie",D850="Perte / vol",D850="Échantillon offert"),IF(I850&lt;&gt;"",I850,IF(N850="","",F850*N850)),""))</f>
        <v/>
      </c>
      <c r="P850" s="50">
        <f>IF(OR(D850="",F850=""),"",F850*IF(OR(D850="Reçu du magasin",D850="Ajustement (+)"),1,-1))</f>
        <v/>
      </c>
      <c r="Q850" s="34">
        <f>IF(C850="","",YEAR(C850-WEEKDAY(C850,2)+4)&amp;"-S"&amp;TEXT(INT((C850-DATE(YEAR(C850-WEEKDAY(C850,2)+4),1,3)+WEEKDAY(DATE(YEAR(C850-WEEKDAY(C850,2)+4),1,3),2)+5)/7),"00"))</f>
        <v/>
      </c>
    </row>
    <row r="851" ht="18" customHeight="1">
      <c r="A851" s="39" t="n">
        <v>846</v>
      </c>
      <c r="B851" s="33">
        <f>IF(C851="","",IF(L851="À RENSEIGNER","GIC",L851)&amp;"-S"&amp;TEXT(A851,"00000"))</f>
        <v/>
      </c>
      <c r="C851" s="32" t="n"/>
      <c r="D851" s="36" t="n"/>
      <c r="E851" s="36" t="n"/>
      <c r="F851" s="42" t="n"/>
      <c r="G851" s="36" t="n"/>
      <c r="H851" s="43" t="n"/>
      <c r="I851" s="37" t="n"/>
      <c r="J851" s="44" t="n"/>
      <c r="K851" s="36" t="n"/>
      <c r="L851" s="33">
        <f>IF(C851="","",Commercial_Id)</f>
        <v/>
      </c>
      <c r="M851" s="34">
        <f>IF(E851="","",IFERROR(VLOOKUP(E851,T_Produits,2,FALSE),""))</f>
        <v/>
      </c>
      <c r="N851" s="40">
        <f>IF(E851="","",IFERROR(1/(1/VLOOKUP(E851,T_Produits,3,FALSE)),""))</f>
        <v/>
      </c>
      <c r="O851" s="40">
        <f>IF(OR(D851="",F851=""),"",IF(OR(D851="Casse / avarie",D851="Perte / vol",D851="Échantillon offert"),IF(I851&lt;&gt;"",I851,IF(N851="","",F851*N851)),""))</f>
        <v/>
      </c>
      <c r="P851" s="50">
        <f>IF(OR(D851="",F851=""),"",F851*IF(OR(D851="Reçu du magasin",D851="Ajustement (+)"),1,-1))</f>
        <v/>
      </c>
      <c r="Q851" s="34">
        <f>IF(C851="","",YEAR(C851-WEEKDAY(C851,2)+4)&amp;"-S"&amp;TEXT(INT((C851-DATE(YEAR(C851-WEEKDAY(C851,2)+4),1,3)+WEEKDAY(DATE(YEAR(C851-WEEKDAY(C851,2)+4),1,3),2)+5)/7),"00"))</f>
        <v/>
      </c>
    </row>
    <row r="852" ht="18" customHeight="1">
      <c r="A852" s="39" t="n">
        <v>847</v>
      </c>
      <c r="B852" s="33">
        <f>IF(C852="","",IF(L852="À RENSEIGNER","GIC",L852)&amp;"-S"&amp;TEXT(A852,"00000"))</f>
        <v/>
      </c>
      <c r="C852" s="32" t="n"/>
      <c r="D852" s="36" t="n"/>
      <c r="E852" s="36" t="n"/>
      <c r="F852" s="42" t="n"/>
      <c r="G852" s="36" t="n"/>
      <c r="H852" s="43" t="n"/>
      <c r="I852" s="37" t="n"/>
      <c r="J852" s="44" t="n"/>
      <c r="K852" s="36" t="n"/>
      <c r="L852" s="33">
        <f>IF(C852="","",Commercial_Id)</f>
        <v/>
      </c>
      <c r="M852" s="34">
        <f>IF(E852="","",IFERROR(VLOOKUP(E852,T_Produits,2,FALSE),""))</f>
        <v/>
      </c>
      <c r="N852" s="40">
        <f>IF(E852="","",IFERROR(1/(1/VLOOKUP(E852,T_Produits,3,FALSE)),""))</f>
        <v/>
      </c>
      <c r="O852" s="40">
        <f>IF(OR(D852="",F852=""),"",IF(OR(D852="Casse / avarie",D852="Perte / vol",D852="Échantillon offert"),IF(I852&lt;&gt;"",I852,IF(N852="","",F852*N852)),""))</f>
        <v/>
      </c>
      <c r="P852" s="50">
        <f>IF(OR(D852="",F852=""),"",F852*IF(OR(D852="Reçu du magasin",D852="Ajustement (+)"),1,-1))</f>
        <v/>
      </c>
      <c r="Q852" s="34">
        <f>IF(C852="","",YEAR(C852-WEEKDAY(C852,2)+4)&amp;"-S"&amp;TEXT(INT((C852-DATE(YEAR(C852-WEEKDAY(C852,2)+4),1,3)+WEEKDAY(DATE(YEAR(C852-WEEKDAY(C852,2)+4),1,3),2)+5)/7),"00"))</f>
        <v/>
      </c>
    </row>
    <row r="853" ht="18" customHeight="1">
      <c r="A853" s="39" t="n">
        <v>848</v>
      </c>
      <c r="B853" s="33">
        <f>IF(C853="","",IF(L853="À RENSEIGNER","GIC",L853)&amp;"-S"&amp;TEXT(A853,"00000"))</f>
        <v/>
      </c>
      <c r="C853" s="32" t="n"/>
      <c r="D853" s="36" t="n"/>
      <c r="E853" s="36" t="n"/>
      <c r="F853" s="42" t="n"/>
      <c r="G853" s="36" t="n"/>
      <c r="H853" s="43" t="n"/>
      <c r="I853" s="37" t="n"/>
      <c r="J853" s="44" t="n"/>
      <c r="K853" s="36" t="n"/>
      <c r="L853" s="33">
        <f>IF(C853="","",Commercial_Id)</f>
        <v/>
      </c>
      <c r="M853" s="34">
        <f>IF(E853="","",IFERROR(VLOOKUP(E853,T_Produits,2,FALSE),""))</f>
        <v/>
      </c>
      <c r="N853" s="40">
        <f>IF(E853="","",IFERROR(1/(1/VLOOKUP(E853,T_Produits,3,FALSE)),""))</f>
        <v/>
      </c>
      <c r="O853" s="40">
        <f>IF(OR(D853="",F853=""),"",IF(OR(D853="Casse / avarie",D853="Perte / vol",D853="Échantillon offert"),IF(I853&lt;&gt;"",I853,IF(N853="","",F853*N853)),""))</f>
        <v/>
      </c>
      <c r="P853" s="50">
        <f>IF(OR(D853="",F853=""),"",F853*IF(OR(D853="Reçu du magasin",D853="Ajustement (+)"),1,-1))</f>
        <v/>
      </c>
      <c r="Q853" s="34">
        <f>IF(C853="","",YEAR(C853-WEEKDAY(C853,2)+4)&amp;"-S"&amp;TEXT(INT((C853-DATE(YEAR(C853-WEEKDAY(C853,2)+4),1,3)+WEEKDAY(DATE(YEAR(C853-WEEKDAY(C853,2)+4),1,3),2)+5)/7),"00"))</f>
        <v/>
      </c>
    </row>
    <row r="854" ht="18" customHeight="1">
      <c r="A854" s="39" t="n">
        <v>849</v>
      </c>
      <c r="B854" s="33">
        <f>IF(C854="","",IF(L854="À RENSEIGNER","GIC",L854)&amp;"-S"&amp;TEXT(A854,"00000"))</f>
        <v/>
      </c>
      <c r="C854" s="32" t="n"/>
      <c r="D854" s="36" t="n"/>
      <c r="E854" s="36" t="n"/>
      <c r="F854" s="42" t="n"/>
      <c r="G854" s="36" t="n"/>
      <c r="H854" s="43" t="n"/>
      <c r="I854" s="37" t="n"/>
      <c r="J854" s="44" t="n"/>
      <c r="K854" s="36" t="n"/>
      <c r="L854" s="33">
        <f>IF(C854="","",Commercial_Id)</f>
        <v/>
      </c>
      <c r="M854" s="34">
        <f>IF(E854="","",IFERROR(VLOOKUP(E854,T_Produits,2,FALSE),""))</f>
        <v/>
      </c>
      <c r="N854" s="40">
        <f>IF(E854="","",IFERROR(1/(1/VLOOKUP(E854,T_Produits,3,FALSE)),""))</f>
        <v/>
      </c>
      <c r="O854" s="40">
        <f>IF(OR(D854="",F854=""),"",IF(OR(D854="Casse / avarie",D854="Perte / vol",D854="Échantillon offert"),IF(I854&lt;&gt;"",I854,IF(N854="","",F854*N854)),""))</f>
        <v/>
      </c>
      <c r="P854" s="50">
        <f>IF(OR(D854="",F854=""),"",F854*IF(OR(D854="Reçu du magasin",D854="Ajustement (+)"),1,-1))</f>
        <v/>
      </c>
      <c r="Q854" s="34">
        <f>IF(C854="","",YEAR(C854-WEEKDAY(C854,2)+4)&amp;"-S"&amp;TEXT(INT((C854-DATE(YEAR(C854-WEEKDAY(C854,2)+4),1,3)+WEEKDAY(DATE(YEAR(C854-WEEKDAY(C854,2)+4),1,3),2)+5)/7),"00"))</f>
        <v/>
      </c>
    </row>
    <row r="855" ht="18" customHeight="1">
      <c r="A855" s="39" t="n">
        <v>850</v>
      </c>
      <c r="B855" s="33">
        <f>IF(C855="","",IF(L855="À RENSEIGNER","GIC",L855)&amp;"-S"&amp;TEXT(A855,"00000"))</f>
        <v/>
      </c>
      <c r="C855" s="32" t="n"/>
      <c r="D855" s="36" t="n"/>
      <c r="E855" s="36" t="n"/>
      <c r="F855" s="42" t="n"/>
      <c r="G855" s="36" t="n"/>
      <c r="H855" s="43" t="n"/>
      <c r="I855" s="37" t="n"/>
      <c r="J855" s="44" t="n"/>
      <c r="K855" s="36" t="n"/>
      <c r="L855" s="33">
        <f>IF(C855="","",Commercial_Id)</f>
        <v/>
      </c>
      <c r="M855" s="34">
        <f>IF(E855="","",IFERROR(VLOOKUP(E855,T_Produits,2,FALSE),""))</f>
        <v/>
      </c>
      <c r="N855" s="40">
        <f>IF(E855="","",IFERROR(1/(1/VLOOKUP(E855,T_Produits,3,FALSE)),""))</f>
        <v/>
      </c>
      <c r="O855" s="40">
        <f>IF(OR(D855="",F855=""),"",IF(OR(D855="Casse / avarie",D855="Perte / vol",D855="Échantillon offert"),IF(I855&lt;&gt;"",I855,IF(N855="","",F855*N855)),""))</f>
        <v/>
      </c>
      <c r="P855" s="50">
        <f>IF(OR(D855="",F855=""),"",F855*IF(OR(D855="Reçu du magasin",D855="Ajustement (+)"),1,-1))</f>
        <v/>
      </c>
      <c r="Q855" s="34">
        <f>IF(C855="","",YEAR(C855-WEEKDAY(C855,2)+4)&amp;"-S"&amp;TEXT(INT((C855-DATE(YEAR(C855-WEEKDAY(C855,2)+4),1,3)+WEEKDAY(DATE(YEAR(C855-WEEKDAY(C855,2)+4),1,3),2)+5)/7),"00"))</f>
        <v/>
      </c>
    </row>
    <row r="856" ht="18" customHeight="1">
      <c r="A856" s="39" t="n">
        <v>851</v>
      </c>
      <c r="B856" s="33">
        <f>IF(C856="","",IF(L856="À RENSEIGNER","GIC",L856)&amp;"-S"&amp;TEXT(A856,"00000"))</f>
        <v/>
      </c>
      <c r="C856" s="32" t="n"/>
      <c r="D856" s="36" t="n"/>
      <c r="E856" s="36" t="n"/>
      <c r="F856" s="42" t="n"/>
      <c r="G856" s="36" t="n"/>
      <c r="H856" s="43" t="n"/>
      <c r="I856" s="37" t="n"/>
      <c r="J856" s="44" t="n"/>
      <c r="K856" s="36" t="n"/>
      <c r="L856" s="33">
        <f>IF(C856="","",Commercial_Id)</f>
        <v/>
      </c>
      <c r="M856" s="34">
        <f>IF(E856="","",IFERROR(VLOOKUP(E856,T_Produits,2,FALSE),""))</f>
        <v/>
      </c>
      <c r="N856" s="40">
        <f>IF(E856="","",IFERROR(1/(1/VLOOKUP(E856,T_Produits,3,FALSE)),""))</f>
        <v/>
      </c>
      <c r="O856" s="40">
        <f>IF(OR(D856="",F856=""),"",IF(OR(D856="Casse / avarie",D856="Perte / vol",D856="Échantillon offert"),IF(I856&lt;&gt;"",I856,IF(N856="","",F856*N856)),""))</f>
        <v/>
      </c>
      <c r="P856" s="50">
        <f>IF(OR(D856="",F856=""),"",F856*IF(OR(D856="Reçu du magasin",D856="Ajustement (+)"),1,-1))</f>
        <v/>
      </c>
      <c r="Q856" s="34">
        <f>IF(C856="","",YEAR(C856-WEEKDAY(C856,2)+4)&amp;"-S"&amp;TEXT(INT((C856-DATE(YEAR(C856-WEEKDAY(C856,2)+4),1,3)+WEEKDAY(DATE(YEAR(C856-WEEKDAY(C856,2)+4),1,3),2)+5)/7),"00"))</f>
        <v/>
      </c>
    </row>
    <row r="857" ht="18" customHeight="1">
      <c r="A857" s="39" t="n">
        <v>852</v>
      </c>
      <c r="B857" s="33">
        <f>IF(C857="","",IF(L857="À RENSEIGNER","GIC",L857)&amp;"-S"&amp;TEXT(A857,"00000"))</f>
        <v/>
      </c>
      <c r="C857" s="32" t="n"/>
      <c r="D857" s="36" t="n"/>
      <c r="E857" s="36" t="n"/>
      <c r="F857" s="42" t="n"/>
      <c r="G857" s="36" t="n"/>
      <c r="H857" s="43" t="n"/>
      <c r="I857" s="37" t="n"/>
      <c r="J857" s="44" t="n"/>
      <c r="K857" s="36" t="n"/>
      <c r="L857" s="33">
        <f>IF(C857="","",Commercial_Id)</f>
        <v/>
      </c>
      <c r="M857" s="34">
        <f>IF(E857="","",IFERROR(VLOOKUP(E857,T_Produits,2,FALSE),""))</f>
        <v/>
      </c>
      <c r="N857" s="40">
        <f>IF(E857="","",IFERROR(1/(1/VLOOKUP(E857,T_Produits,3,FALSE)),""))</f>
        <v/>
      </c>
      <c r="O857" s="40">
        <f>IF(OR(D857="",F857=""),"",IF(OR(D857="Casse / avarie",D857="Perte / vol",D857="Échantillon offert"),IF(I857&lt;&gt;"",I857,IF(N857="","",F857*N857)),""))</f>
        <v/>
      </c>
      <c r="P857" s="50">
        <f>IF(OR(D857="",F857=""),"",F857*IF(OR(D857="Reçu du magasin",D857="Ajustement (+)"),1,-1))</f>
        <v/>
      </c>
      <c r="Q857" s="34">
        <f>IF(C857="","",YEAR(C857-WEEKDAY(C857,2)+4)&amp;"-S"&amp;TEXT(INT((C857-DATE(YEAR(C857-WEEKDAY(C857,2)+4),1,3)+WEEKDAY(DATE(YEAR(C857-WEEKDAY(C857,2)+4),1,3),2)+5)/7),"00"))</f>
        <v/>
      </c>
    </row>
    <row r="858" ht="18" customHeight="1">
      <c r="A858" s="39" t="n">
        <v>853</v>
      </c>
      <c r="B858" s="33">
        <f>IF(C858="","",IF(L858="À RENSEIGNER","GIC",L858)&amp;"-S"&amp;TEXT(A858,"00000"))</f>
        <v/>
      </c>
      <c r="C858" s="32" t="n"/>
      <c r="D858" s="36" t="n"/>
      <c r="E858" s="36" t="n"/>
      <c r="F858" s="42" t="n"/>
      <c r="G858" s="36" t="n"/>
      <c r="H858" s="43" t="n"/>
      <c r="I858" s="37" t="n"/>
      <c r="J858" s="44" t="n"/>
      <c r="K858" s="36" t="n"/>
      <c r="L858" s="33">
        <f>IF(C858="","",Commercial_Id)</f>
        <v/>
      </c>
      <c r="M858" s="34">
        <f>IF(E858="","",IFERROR(VLOOKUP(E858,T_Produits,2,FALSE),""))</f>
        <v/>
      </c>
      <c r="N858" s="40">
        <f>IF(E858="","",IFERROR(1/(1/VLOOKUP(E858,T_Produits,3,FALSE)),""))</f>
        <v/>
      </c>
      <c r="O858" s="40">
        <f>IF(OR(D858="",F858=""),"",IF(OR(D858="Casse / avarie",D858="Perte / vol",D858="Échantillon offert"),IF(I858&lt;&gt;"",I858,IF(N858="","",F858*N858)),""))</f>
        <v/>
      </c>
      <c r="P858" s="50">
        <f>IF(OR(D858="",F858=""),"",F858*IF(OR(D858="Reçu du magasin",D858="Ajustement (+)"),1,-1))</f>
        <v/>
      </c>
      <c r="Q858" s="34">
        <f>IF(C858="","",YEAR(C858-WEEKDAY(C858,2)+4)&amp;"-S"&amp;TEXT(INT((C858-DATE(YEAR(C858-WEEKDAY(C858,2)+4),1,3)+WEEKDAY(DATE(YEAR(C858-WEEKDAY(C858,2)+4),1,3),2)+5)/7),"00"))</f>
        <v/>
      </c>
    </row>
    <row r="859" ht="18" customHeight="1">
      <c r="A859" s="39" t="n">
        <v>854</v>
      </c>
      <c r="B859" s="33">
        <f>IF(C859="","",IF(L859="À RENSEIGNER","GIC",L859)&amp;"-S"&amp;TEXT(A859,"00000"))</f>
        <v/>
      </c>
      <c r="C859" s="32" t="n"/>
      <c r="D859" s="36" t="n"/>
      <c r="E859" s="36" t="n"/>
      <c r="F859" s="42" t="n"/>
      <c r="G859" s="36" t="n"/>
      <c r="H859" s="43" t="n"/>
      <c r="I859" s="37" t="n"/>
      <c r="J859" s="44" t="n"/>
      <c r="K859" s="36" t="n"/>
      <c r="L859" s="33">
        <f>IF(C859="","",Commercial_Id)</f>
        <v/>
      </c>
      <c r="M859" s="34">
        <f>IF(E859="","",IFERROR(VLOOKUP(E859,T_Produits,2,FALSE),""))</f>
        <v/>
      </c>
      <c r="N859" s="40">
        <f>IF(E859="","",IFERROR(1/(1/VLOOKUP(E859,T_Produits,3,FALSE)),""))</f>
        <v/>
      </c>
      <c r="O859" s="40">
        <f>IF(OR(D859="",F859=""),"",IF(OR(D859="Casse / avarie",D859="Perte / vol",D859="Échantillon offert"),IF(I859&lt;&gt;"",I859,IF(N859="","",F859*N859)),""))</f>
        <v/>
      </c>
      <c r="P859" s="50">
        <f>IF(OR(D859="",F859=""),"",F859*IF(OR(D859="Reçu du magasin",D859="Ajustement (+)"),1,-1))</f>
        <v/>
      </c>
      <c r="Q859" s="34">
        <f>IF(C859="","",YEAR(C859-WEEKDAY(C859,2)+4)&amp;"-S"&amp;TEXT(INT((C859-DATE(YEAR(C859-WEEKDAY(C859,2)+4),1,3)+WEEKDAY(DATE(YEAR(C859-WEEKDAY(C859,2)+4),1,3),2)+5)/7),"00"))</f>
        <v/>
      </c>
    </row>
    <row r="860" ht="18" customHeight="1">
      <c r="A860" s="39" t="n">
        <v>855</v>
      </c>
      <c r="B860" s="33">
        <f>IF(C860="","",IF(L860="À RENSEIGNER","GIC",L860)&amp;"-S"&amp;TEXT(A860,"00000"))</f>
        <v/>
      </c>
      <c r="C860" s="32" t="n"/>
      <c r="D860" s="36" t="n"/>
      <c r="E860" s="36" t="n"/>
      <c r="F860" s="42" t="n"/>
      <c r="G860" s="36" t="n"/>
      <c r="H860" s="43" t="n"/>
      <c r="I860" s="37" t="n"/>
      <c r="J860" s="44" t="n"/>
      <c r="K860" s="36" t="n"/>
      <c r="L860" s="33">
        <f>IF(C860="","",Commercial_Id)</f>
        <v/>
      </c>
      <c r="M860" s="34">
        <f>IF(E860="","",IFERROR(VLOOKUP(E860,T_Produits,2,FALSE),""))</f>
        <v/>
      </c>
      <c r="N860" s="40">
        <f>IF(E860="","",IFERROR(1/(1/VLOOKUP(E860,T_Produits,3,FALSE)),""))</f>
        <v/>
      </c>
      <c r="O860" s="40">
        <f>IF(OR(D860="",F860=""),"",IF(OR(D860="Casse / avarie",D860="Perte / vol",D860="Échantillon offert"),IF(I860&lt;&gt;"",I860,IF(N860="","",F860*N860)),""))</f>
        <v/>
      </c>
      <c r="P860" s="50">
        <f>IF(OR(D860="",F860=""),"",F860*IF(OR(D860="Reçu du magasin",D860="Ajustement (+)"),1,-1))</f>
        <v/>
      </c>
      <c r="Q860" s="34">
        <f>IF(C860="","",YEAR(C860-WEEKDAY(C860,2)+4)&amp;"-S"&amp;TEXT(INT((C860-DATE(YEAR(C860-WEEKDAY(C860,2)+4),1,3)+WEEKDAY(DATE(YEAR(C860-WEEKDAY(C860,2)+4),1,3),2)+5)/7),"00"))</f>
        <v/>
      </c>
    </row>
    <row r="861" ht="18" customHeight="1">
      <c r="A861" s="39" t="n">
        <v>856</v>
      </c>
      <c r="B861" s="33">
        <f>IF(C861="","",IF(L861="À RENSEIGNER","GIC",L861)&amp;"-S"&amp;TEXT(A861,"00000"))</f>
        <v/>
      </c>
      <c r="C861" s="32" t="n"/>
      <c r="D861" s="36" t="n"/>
      <c r="E861" s="36" t="n"/>
      <c r="F861" s="42" t="n"/>
      <c r="G861" s="36" t="n"/>
      <c r="H861" s="43" t="n"/>
      <c r="I861" s="37" t="n"/>
      <c r="J861" s="44" t="n"/>
      <c r="K861" s="36" t="n"/>
      <c r="L861" s="33">
        <f>IF(C861="","",Commercial_Id)</f>
        <v/>
      </c>
      <c r="M861" s="34">
        <f>IF(E861="","",IFERROR(VLOOKUP(E861,T_Produits,2,FALSE),""))</f>
        <v/>
      </c>
      <c r="N861" s="40">
        <f>IF(E861="","",IFERROR(1/(1/VLOOKUP(E861,T_Produits,3,FALSE)),""))</f>
        <v/>
      </c>
      <c r="O861" s="40">
        <f>IF(OR(D861="",F861=""),"",IF(OR(D861="Casse / avarie",D861="Perte / vol",D861="Échantillon offert"),IF(I861&lt;&gt;"",I861,IF(N861="","",F861*N861)),""))</f>
        <v/>
      </c>
      <c r="P861" s="50">
        <f>IF(OR(D861="",F861=""),"",F861*IF(OR(D861="Reçu du magasin",D861="Ajustement (+)"),1,-1))</f>
        <v/>
      </c>
      <c r="Q861" s="34">
        <f>IF(C861="","",YEAR(C861-WEEKDAY(C861,2)+4)&amp;"-S"&amp;TEXT(INT((C861-DATE(YEAR(C861-WEEKDAY(C861,2)+4),1,3)+WEEKDAY(DATE(YEAR(C861-WEEKDAY(C861,2)+4),1,3),2)+5)/7),"00"))</f>
        <v/>
      </c>
    </row>
    <row r="862" ht="18" customHeight="1">
      <c r="A862" s="39" t="n">
        <v>857</v>
      </c>
      <c r="B862" s="33">
        <f>IF(C862="","",IF(L862="À RENSEIGNER","GIC",L862)&amp;"-S"&amp;TEXT(A862,"00000"))</f>
        <v/>
      </c>
      <c r="C862" s="32" t="n"/>
      <c r="D862" s="36" t="n"/>
      <c r="E862" s="36" t="n"/>
      <c r="F862" s="42" t="n"/>
      <c r="G862" s="36" t="n"/>
      <c r="H862" s="43" t="n"/>
      <c r="I862" s="37" t="n"/>
      <c r="J862" s="44" t="n"/>
      <c r="K862" s="36" t="n"/>
      <c r="L862" s="33">
        <f>IF(C862="","",Commercial_Id)</f>
        <v/>
      </c>
      <c r="M862" s="34">
        <f>IF(E862="","",IFERROR(VLOOKUP(E862,T_Produits,2,FALSE),""))</f>
        <v/>
      </c>
      <c r="N862" s="40">
        <f>IF(E862="","",IFERROR(1/(1/VLOOKUP(E862,T_Produits,3,FALSE)),""))</f>
        <v/>
      </c>
      <c r="O862" s="40">
        <f>IF(OR(D862="",F862=""),"",IF(OR(D862="Casse / avarie",D862="Perte / vol",D862="Échantillon offert"),IF(I862&lt;&gt;"",I862,IF(N862="","",F862*N862)),""))</f>
        <v/>
      </c>
      <c r="P862" s="50">
        <f>IF(OR(D862="",F862=""),"",F862*IF(OR(D862="Reçu du magasin",D862="Ajustement (+)"),1,-1))</f>
        <v/>
      </c>
      <c r="Q862" s="34">
        <f>IF(C862="","",YEAR(C862-WEEKDAY(C862,2)+4)&amp;"-S"&amp;TEXT(INT((C862-DATE(YEAR(C862-WEEKDAY(C862,2)+4),1,3)+WEEKDAY(DATE(YEAR(C862-WEEKDAY(C862,2)+4),1,3),2)+5)/7),"00"))</f>
        <v/>
      </c>
    </row>
    <row r="863" ht="18" customHeight="1">
      <c r="A863" s="39" t="n">
        <v>858</v>
      </c>
      <c r="B863" s="33">
        <f>IF(C863="","",IF(L863="À RENSEIGNER","GIC",L863)&amp;"-S"&amp;TEXT(A863,"00000"))</f>
        <v/>
      </c>
      <c r="C863" s="32" t="n"/>
      <c r="D863" s="36" t="n"/>
      <c r="E863" s="36" t="n"/>
      <c r="F863" s="42" t="n"/>
      <c r="G863" s="36" t="n"/>
      <c r="H863" s="43" t="n"/>
      <c r="I863" s="37" t="n"/>
      <c r="J863" s="44" t="n"/>
      <c r="K863" s="36" t="n"/>
      <c r="L863" s="33">
        <f>IF(C863="","",Commercial_Id)</f>
        <v/>
      </c>
      <c r="M863" s="34">
        <f>IF(E863="","",IFERROR(VLOOKUP(E863,T_Produits,2,FALSE),""))</f>
        <v/>
      </c>
      <c r="N863" s="40">
        <f>IF(E863="","",IFERROR(1/(1/VLOOKUP(E863,T_Produits,3,FALSE)),""))</f>
        <v/>
      </c>
      <c r="O863" s="40">
        <f>IF(OR(D863="",F863=""),"",IF(OR(D863="Casse / avarie",D863="Perte / vol",D863="Échantillon offert"),IF(I863&lt;&gt;"",I863,IF(N863="","",F863*N863)),""))</f>
        <v/>
      </c>
      <c r="P863" s="50">
        <f>IF(OR(D863="",F863=""),"",F863*IF(OR(D863="Reçu du magasin",D863="Ajustement (+)"),1,-1))</f>
        <v/>
      </c>
      <c r="Q863" s="34">
        <f>IF(C863="","",YEAR(C863-WEEKDAY(C863,2)+4)&amp;"-S"&amp;TEXT(INT((C863-DATE(YEAR(C863-WEEKDAY(C863,2)+4),1,3)+WEEKDAY(DATE(YEAR(C863-WEEKDAY(C863,2)+4),1,3),2)+5)/7),"00"))</f>
        <v/>
      </c>
    </row>
    <row r="864" ht="18" customHeight="1">
      <c r="A864" s="39" t="n">
        <v>859</v>
      </c>
      <c r="B864" s="33">
        <f>IF(C864="","",IF(L864="À RENSEIGNER","GIC",L864)&amp;"-S"&amp;TEXT(A864,"00000"))</f>
        <v/>
      </c>
      <c r="C864" s="32" t="n"/>
      <c r="D864" s="36" t="n"/>
      <c r="E864" s="36" t="n"/>
      <c r="F864" s="42" t="n"/>
      <c r="G864" s="36" t="n"/>
      <c r="H864" s="43" t="n"/>
      <c r="I864" s="37" t="n"/>
      <c r="J864" s="44" t="n"/>
      <c r="K864" s="36" t="n"/>
      <c r="L864" s="33">
        <f>IF(C864="","",Commercial_Id)</f>
        <v/>
      </c>
      <c r="M864" s="34">
        <f>IF(E864="","",IFERROR(VLOOKUP(E864,T_Produits,2,FALSE),""))</f>
        <v/>
      </c>
      <c r="N864" s="40">
        <f>IF(E864="","",IFERROR(1/(1/VLOOKUP(E864,T_Produits,3,FALSE)),""))</f>
        <v/>
      </c>
      <c r="O864" s="40">
        <f>IF(OR(D864="",F864=""),"",IF(OR(D864="Casse / avarie",D864="Perte / vol",D864="Échantillon offert"),IF(I864&lt;&gt;"",I864,IF(N864="","",F864*N864)),""))</f>
        <v/>
      </c>
      <c r="P864" s="50">
        <f>IF(OR(D864="",F864=""),"",F864*IF(OR(D864="Reçu du magasin",D864="Ajustement (+)"),1,-1))</f>
        <v/>
      </c>
      <c r="Q864" s="34">
        <f>IF(C864="","",YEAR(C864-WEEKDAY(C864,2)+4)&amp;"-S"&amp;TEXT(INT((C864-DATE(YEAR(C864-WEEKDAY(C864,2)+4),1,3)+WEEKDAY(DATE(YEAR(C864-WEEKDAY(C864,2)+4),1,3),2)+5)/7),"00"))</f>
        <v/>
      </c>
    </row>
    <row r="865" ht="18" customHeight="1">
      <c r="A865" s="39" t="n">
        <v>860</v>
      </c>
      <c r="B865" s="33">
        <f>IF(C865="","",IF(L865="À RENSEIGNER","GIC",L865)&amp;"-S"&amp;TEXT(A865,"00000"))</f>
        <v/>
      </c>
      <c r="C865" s="32" t="n"/>
      <c r="D865" s="36" t="n"/>
      <c r="E865" s="36" t="n"/>
      <c r="F865" s="42" t="n"/>
      <c r="G865" s="36" t="n"/>
      <c r="H865" s="43" t="n"/>
      <c r="I865" s="37" t="n"/>
      <c r="J865" s="44" t="n"/>
      <c r="K865" s="36" t="n"/>
      <c r="L865" s="33">
        <f>IF(C865="","",Commercial_Id)</f>
        <v/>
      </c>
      <c r="M865" s="34">
        <f>IF(E865="","",IFERROR(VLOOKUP(E865,T_Produits,2,FALSE),""))</f>
        <v/>
      </c>
      <c r="N865" s="40">
        <f>IF(E865="","",IFERROR(1/(1/VLOOKUP(E865,T_Produits,3,FALSE)),""))</f>
        <v/>
      </c>
      <c r="O865" s="40">
        <f>IF(OR(D865="",F865=""),"",IF(OR(D865="Casse / avarie",D865="Perte / vol",D865="Échantillon offert"),IF(I865&lt;&gt;"",I865,IF(N865="","",F865*N865)),""))</f>
        <v/>
      </c>
      <c r="P865" s="50">
        <f>IF(OR(D865="",F865=""),"",F865*IF(OR(D865="Reçu du magasin",D865="Ajustement (+)"),1,-1))</f>
        <v/>
      </c>
      <c r="Q865" s="34">
        <f>IF(C865="","",YEAR(C865-WEEKDAY(C865,2)+4)&amp;"-S"&amp;TEXT(INT((C865-DATE(YEAR(C865-WEEKDAY(C865,2)+4),1,3)+WEEKDAY(DATE(YEAR(C865-WEEKDAY(C865,2)+4),1,3),2)+5)/7),"00"))</f>
        <v/>
      </c>
    </row>
    <row r="866" ht="18" customHeight="1">
      <c r="A866" s="39" t="n">
        <v>861</v>
      </c>
      <c r="B866" s="33">
        <f>IF(C866="","",IF(L866="À RENSEIGNER","GIC",L866)&amp;"-S"&amp;TEXT(A866,"00000"))</f>
        <v/>
      </c>
      <c r="C866" s="32" t="n"/>
      <c r="D866" s="36" t="n"/>
      <c r="E866" s="36" t="n"/>
      <c r="F866" s="42" t="n"/>
      <c r="G866" s="36" t="n"/>
      <c r="H866" s="43" t="n"/>
      <c r="I866" s="37" t="n"/>
      <c r="J866" s="44" t="n"/>
      <c r="K866" s="36" t="n"/>
      <c r="L866" s="33">
        <f>IF(C866="","",Commercial_Id)</f>
        <v/>
      </c>
      <c r="M866" s="34">
        <f>IF(E866="","",IFERROR(VLOOKUP(E866,T_Produits,2,FALSE),""))</f>
        <v/>
      </c>
      <c r="N866" s="40">
        <f>IF(E866="","",IFERROR(1/(1/VLOOKUP(E866,T_Produits,3,FALSE)),""))</f>
        <v/>
      </c>
      <c r="O866" s="40">
        <f>IF(OR(D866="",F866=""),"",IF(OR(D866="Casse / avarie",D866="Perte / vol",D866="Échantillon offert"),IF(I866&lt;&gt;"",I866,IF(N866="","",F866*N866)),""))</f>
        <v/>
      </c>
      <c r="P866" s="50">
        <f>IF(OR(D866="",F866=""),"",F866*IF(OR(D866="Reçu du magasin",D866="Ajustement (+)"),1,-1))</f>
        <v/>
      </c>
      <c r="Q866" s="34">
        <f>IF(C866="","",YEAR(C866-WEEKDAY(C866,2)+4)&amp;"-S"&amp;TEXT(INT((C866-DATE(YEAR(C866-WEEKDAY(C866,2)+4),1,3)+WEEKDAY(DATE(YEAR(C866-WEEKDAY(C866,2)+4),1,3),2)+5)/7),"00"))</f>
        <v/>
      </c>
    </row>
    <row r="867" ht="18" customHeight="1">
      <c r="A867" s="39" t="n">
        <v>862</v>
      </c>
      <c r="B867" s="33">
        <f>IF(C867="","",IF(L867="À RENSEIGNER","GIC",L867)&amp;"-S"&amp;TEXT(A867,"00000"))</f>
        <v/>
      </c>
      <c r="C867" s="32" t="n"/>
      <c r="D867" s="36" t="n"/>
      <c r="E867" s="36" t="n"/>
      <c r="F867" s="42" t="n"/>
      <c r="G867" s="36" t="n"/>
      <c r="H867" s="43" t="n"/>
      <c r="I867" s="37" t="n"/>
      <c r="J867" s="44" t="n"/>
      <c r="K867" s="36" t="n"/>
      <c r="L867" s="33">
        <f>IF(C867="","",Commercial_Id)</f>
        <v/>
      </c>
      <c r="M867" s="34">
        <f>IF(E867="","",IFERROR(VLOOKUP(E867,T_Produits,2,FALSE),""))</f>
        <v/>
      </c>
      <c r="N867" s="40">
        <f>IF(E867="","",IFERROR(1/(1/VLOOKUP(E867,T_Produits,3,FALSE)),""))</f>
        <v/>
      </c>
      <c r="O867" s="40">
        <f>IF(OR(D867="",F867=""),"",IF(OR(D867="Casse / avarie",D867="Perte / vol",D867="Échantillon offert"),IF(I867&lt;&gt;"",I867,IF(N867="","",F867*N867)),""))</f>
        <v/>
      </c>
      <c r="P867" s="50">
        <f>IF(OR(D867="",F867=""),"",F867*IF(OR(D867="Reçu du magasin",D867="Ajustement (+)"),1,-1))</f>
        <v/>
      </c>
      <c r="Q867" s="34">
        <f>IF(C867="","",YEAR(C867-WEEKDAY(C867,2)+4)&amp;"-S"&amp;TEXT(INT((C867-DATE(YEAR(C867-WEEKDAY(C867,2)+4),1,3)+WEEKDAY(DATE(YEAR(C867-WEEKDAY(C867,2)+4),1,3),2)+5)/7),"00"))</f>
        <v/>
      </c>
    </row>
    <row r="868" ht="18" customHeight="1">
      <c r="A868" s="39" t="n">
        <v>863</v>
      </c>
      <c r="B868" s="33">
        <f>IF(C868="","",IF(L868="À RENSEIGNER","GIC",L868)&amp;"-S"&amp;TEXT(A868,"00000"))</f>
        <v/>
      </c>
      <c r="C868" s="32" t="n"/>
      <c r="D868" s="36" t="n"/>
      <c r="E868" s="36" t="n"/>
      <c r="F868" s="42" t="n"/>
      <c r="G868" s="36" t="n"/>
      <c r="H868" s="43" t="n"/>
      <c r="I868" s="37" t="n"/>
      <c r="J868" s="44" t="n"/>
      <c r="K868" s="36" t="n"/>
      <c r="L868" s="33">
        <f>IF(C868="","",Commercial_Id)</f>
        <v/>
      </c>
      <c r="M868" s="34">
        <f>IF(E868="","",IFERROR(VLOOKUP(E868,T_Produits,2,FALSE),""))</f>
        <v/>
      </c>
      <c r="N868" s="40">
        <f>IF(E868="","",IFERROR(1/(1/VLOOKUP(E868,T_Produits,3,FALSE)),""))</f>
        <v/>
      </c>
      <c r="O868" s="40">
        <f>IF(OR(D868="",F868=""),"",IF(OR(D868="Casse / avarie",D868="Perte / vol",D868="Échantillon offert"),IF(I868&lt;&gt;"",I868,IF(N868="","",F868*N868)),""))</f>
        <v/>
      </c>
      <c r="P868" s="50">
        <f>IF(OR(D868="",F868=""),"",F868*IF(OR(D868="Reçu du magasin",D868="Ajustement (+)"),1,-1))</f>
        <v/>
      </c>
      <c r="Q868" s="34">
        <f>IF(C868="","",YEAR(C868-WEEKDAY(C868,2)+4)&amp;"-S"&amp;TEXT(INT((C868-DATE(YEAR(C868-WEEKDAY(C868,2)+4),1,3)+WEEKDAY(DATE(YEAR(C868-WEEKDAY(C868,2)+4),1,3),2)+5)/7),"00"))</f>
        <v/>
      </c>
    </row>
    <row r="869" ht="18" customHeight="1">
      <c r="A869" s="39" t="n">
        <v>864</v>
      </c>
      <c r="B869" s="33">
        <f>IF(C869="","",IF(L869="À RENSEIGNER","GIC",L869)&amp;"-S"&amp;TEXT(A869,"00000"))</f>
        <v/>
      </c>
      <c r="C869" s="32" t="n"/>
      <c r="D869" s="36" t="n"/>
      <c r="E869" s="36" t="n"/>
      <c r="F869" s="42" t="n"/>
      <c r="G869" s="36" t="n"/>
      <c r="H869" s="43" t="n"/>
      <c r="I869" s="37" t="n"/>
      <c r="J869" s="44" t="n"/>
      <c r="K869" s="36" t="n"/>
      <c r="L869" s="33">
        <f>IF(C869="","",Commercial_Id)</f>
        <v/>
      </c>
      <c r="M869" s="34">
        <f>IF(E869="","",IFERROR(VLOOKUP(E869,T_Produits,2,FALSE),""))</f>
        <v/>
      </c>
      <c r="N869" s="40">
        <f>IF(E869="","",IFERROR(1/(1/VLOOKUP(E869,T_Produits,3,FALSE)),""))</f>
        <v/>
      </c>
      <c r="O869" s="40">
        <f>IF(OR(D869="",F869=""),"",IF(OR(D869="Casse / avarie",D869="Perte / vol",D869="Échantillon offert"),IF(I869&lt;&gt;"",I869,IF(N869="","",F869*N869)),""))</f>
        <v/>
      </c>
      <c r="P869" s="50">
        <f>IF(OR(D869="",F869=""),"",F869*IF(OR(D869="Reçu du magasin",D869="Ajustement (+)"),1,-1))</f>
        <v/>
      </c>
      <c r="Q869" s="34">
        <f>IF(C869="","",YEAR(C869-WEEKDAY(C869,2)+4)&amp;"-S"&amp;TEXT(INT((C869-DATE(YEAR(C869-WEEKDAY(C869,2)+4),1,3)+WEEKDAY(DATE(YEAR(C869-WEEKDAY(C869,2)+4),1,3),2)+5)/7),"00"))</f>
        <v/>
      </c>
    </row>
    <row r="870" ht="18" customHeight="1">
      <c r="A870" s="39" t="n">
        <v>865</v>
      </c>
      <c r="B870" s="33">
        <f>IF(C870="","",IF(L870="À RENSEIGNER","GIC",L870)&amp;"-S"&amp;TEXT(A870,"00000"))</f>
        <v/>
      </c>
      <c r="C870" s="32" t="n"/>
      <c r="D870" s="36" t="n"/>
      <c r="E870" s="36" t="n"/>
      <c r="F870" s="42" t="n"/>
      <c r="G870" s="36" t="n"/>
      <c r="H870" s="43" t="n"/>
      <c r="I870" s="37" t="n"/>
      <c r="J870" s="44" t="n"/>
      <c r="K870" s="36" t="n"/>
      <c r="L870" s="33">
        <f>IF(C870="","",Commercial_Id)</f>
        <v/>
      </c>
      <c r="M870" s="34">
        <f>IF(E870="","",IFERROR(VLOOKUP(E870,T_Produits,2,FALSE),""))</f>
        <v/>
      </c>
      <c r="N870" s="40">
        <f>IF(E870="","",IFERROR(1/(1/VLOOKUP(E870,T_Produits,3,FALSE)),""))</f>
        <v/>
      </c>
      <c r="O870" s="40">
        <f>IF(OR(D870="",F870=""),"",IF(OR(D870="Casse / avarie",D870="Perte / vol",D870="Échantillon offert"),IF(I870&lt;&gt;"",I870,IF(N870="","",F870*N870)),""))</f>
        <v/>
      </c>
      <c r="P870" s="50">
        <f>IF(OR(D870="",F870=""),"",F870*IF(OR(D870="Reçu du magasin",D870="Ajustement (+)"),1,-1))</f>
        <v/>
      </c>
      <c r="Q870" s="34">
        <f>IF(C870="","",YEAR(C870-WEEKDAY(C870,2)+4)&amp;"-S"&amp;TEXT(INT((C870-DATE(YEAR(C870-WEEKDAY(C870,2)+4),1,3)+WEEKDAY(DATE(YEAR(C870-WEEKDAY(C870,2)+4),1,3),2)+5)/7),"00"))</f>
        <v/>
      </c>
    </row>
    <row r="871" ht="18" customHeight="1">
      <c r="A871" s="39" t="n">
        <v>866</v>
      </c>
      <c r="B871" s="33">
        <f>IF(C871="","",IF(L871="À RENSEIGNER","GIC",L871)&amp;"-S"&amp;TEXT(A871,"00000"))</f>
        <v/>
      </c>
      <c r="C871" s="32" t="n"/>
      <c r="D871" s="36" t="n"/>
      <c r="E871" s="36" t="n"/>
      <c r="F871" s="42" t="n"/>
      <c r="G871" s="36" t="n"/>
      <c r="H871" s="43" t="n"/>
      <c r="I871" s="37" t="n"/>
      <c r="J871" s="44" t="n"/>
      <c r="K871" s="36" t="n"/>
      <c r="L871" s="33">
        <f>IF(C871="","",Commercial_Id)</f>
        <v/>
      </c>
      <c r="M871" s="34">
        <f>IF(E871="","",IFERROR(VLOOKUP(E871,T_Produits,2,FALSE),""))</f>
        <v/>
      </c>
      <c r="N871" s="40">
        <f>IF(E871="","",IFERROR(1/(1/VLOOKUP(E871,T_Produits,3,FALSE)),""))</f>
        <v/>
      </c>
      <c r="O871" s="40">
        <f>IF(OR(D871="",F871=""),"",IF(OR(D871="Casse / avarie",D871="Perte / vol",D871="Échantillon offert"),IF(I871&lt;&gt;"",I871,IF(N871="","",F871*N871)),""))</f>
        <v/>
      </c>
      <c r="P871" s="50">
        <f>IF(OR(D871="",F871=""),"",F871*IF(OR(D871="Reçu du magasin",D871="Ajustement (+)"),1,-1))</f>
        <v/>
      </c>
      <c r="Q871" s="34">
        <f>IF(C871="","",YEAR(C871-WEEKDAY(C871,2)+4)&amp;"-S"&amp;TEXT(INT((C871-DATE(YEAR(C871-WEEKDAY(C871,2)+4),1,3)+WEEKDAY(DATE(YEAR(C871-WEEKDAY(C871,2)+4),1,3),2)+5)/7),"00"))</f>
        <v/>
      </c>
    </row>
    <row r="872" ht="18" customHeight="1">
      <c r="A872" s="39" t="n">
        <v>867</v>
      </c>
      <c r="B872" s="33">
        <f>IF(C872="","",IF(L872="À RENSEIGNER","GIC",L872)&amp;"-S"&amp;TEXT(A872,"00000"))</f>
        <v/>
      </c>
      <c r="C872" s="32" t="n"/>
      <c r="D872" s="36" t="n"/>
      <c r="E872" s="36" t="n"/>
      <c r="F872" s="42" t="n"/>
      <c r="G872" s="36" t="n"/>
      <c r="H872" s="43" t="n"/>
      <c r="I872" s="37" t="n"/>
      <c r="J872" s="44" t="n"/>
      <c r="K872" s="36" t="n"/>
      <c r="L872" s="33">
        <f>IF(C872="","",Commercial_Id)</f>
        <v/>
      </c>
      <c r="M872" s="34">
        <f>IF(E872="","",IFERROR(VLOOKUP(E872,T_Produits,2,FALSE),""))</f>
        <v/>
      </c>
      <c r="N872" s="40">
        <f>IF(E872="","",IFERROR(1/(1/VLOOKUP(E872,T_Produits,3,FALSE)),""))</f>
        <v/>
      </c>
      <c r="O872" s="40">
        <f>IF(OR(D872="",F872=""),"",IF(OR(D872="Casse / avarie",D872="Perte / vol",D872="Échantillon offert"),IF(I872&lt;&gt;"",I872,IF(N872="","",F872*N872)),""))</f>
        <v/>
      </c>
      <c r="P872" s="50">
        <f>IF(OR(D872="",F872=""),"",F872*IF(OR(D872="Reçu du magasin",D872="Ajustement (+)"),1,-1))</f>
        <v/>
      </c>
      <c r="Q872" s="34">
        <f>IF(C872="","",YEAR(C872-WEEKDAY(C872,2)+4)&amp;"-S"&amp;TEXT(INT((C872-DATE(YEAR(C872-WEEKDAY(C872,2)+4),1,3)+WEEKDAY(DATE(YEAR(C872-WEEKDAY(C872,2)+4),1,3),2)+5)/7),"00"))</f>
        <v/>
      </c>
    </row>
    <row r="873" ht="18" customHeight="1">
      <c r="A873" s="39" t="n">
        <v>868</v>
      </c>
      <c r="B873" s="33">
        <f>IF(C873="","",IF(L873="À RENSEIGNER","GIC",L873)&amp;"-S"&amp;TEXT(A873,"00000"))</f>
        <v/>
      </c>
      <c r="C873" s="32" t="n"/>
      <c r="D873" s="36" t="n"/>
      <c r="E873" s="36" t="n"/>
      <c r="F873" s="42" t="n"/>
      <c r="G873" s="36" t="n"/>
      <c r="H873" s="43" t="n"/>
      <c r="I873" s="37" t="n"/>
      <c r="J873" s="44" t="n"/>
      <c r="K873" s="36" t="n"/>
      <c r="L873" s="33">
        <f>IF(C873="","",Commercial_Id)</f>
        <v/>
      </c>
      <c r="M873" s="34">
        <f>IF(E873="","",IFERROR(VLOOKUP(E873,T_Produits,2,FALSE),""))</f>
        <v/>
      </c>
      <c r="N873" s="40">
        <f>IF(E873="","",IFERROR(1/(1/VLOOKUP(E873,T_Produits,3,FALSE)),""))</f>
        <v/>
      </c>
      <c r="O873" s="40">
        <f>IF(OR(D873="",F873=""),"",IF(OR(D873="Casse / avarie",D873="Perte / vol",D873="Échantillon offert"),IF(I873&lt;&gt;"",I873,IF(N873="","",F873*N873)),""))</f>
        <v/>
      </c>
      <c r="P873" s="50">
        <f>IF(OR(D873="",F873=""),"",F873*IF(OR(D873="Reçu du magasin",D873="Ajustement (+)"),1,-1))</f>
        <v/>
      </c>
      <c r="Q873" s="34">
        <f>IF(C873="","",YEAR(C873-WEEKDAY(C873,2)+4)&amp;"-S"&amp;TEXT(INT((C873-DATE(YEAR(C873-WEEKDAY(C873,2)+4),1,3)+WEEKDAY(DATE(YEAR(C873-WEEKDAY(C873,2)+4),1,3),2)+5)/7),"00"))</f>
        <v/>
      </c>
    </row>
    <row r="874" ht="18" customHeight="1">
      <c r="A874" s="39" t="n">
        <v>869</v>
      </c>
      <c r="B874" s="33">
        <f>IF(C874="","",IF(L874="À RENSEIGNER","GIC",L874)&amp;"-S"&amp;TEXT(A874,"00000"))</f>
        <v/>
      </c>
      <c r="C874" s="32" t="n"/>
      <c r="D874" s="36" t="n"/>
      <c r="E874" s="36" t="n"/>
      <c r="F874" s="42" t="n"/>
      <c r="G874" s="36" t="n"/>
      <c r="H874" s="43" t="n"/>
      <c r="I874" s="37" t="n"/>
      <c r="J874" s="44" t="n"/>
      <c r="K874" s="36" t="n"/>
      <c r="L874" s="33">
        <f>IF(C874="","",Commercial_Id)</f>
        <v/>
      </c>
      <c r="M874" s="34">
        <f>IF(E874="","",IFERROR(VLOOKUP(E874,T_Produits,2,FALSE),""))</f>
        <v/>
      </c>
      <c r="N874" s="40">
        <f>IF(E874="","",IFERROR(1/(1/VLOOKUP(E874,T_Produits,3,FALSE)),""))</f>
        <v/>
      </c>
      <c r="O874" s="40">
        <f>IF(OR(D874="",F874=""),"",IF(OR(D874="Casse / avarie",D874="Perte / vol",D874="Échantillon offert"),IF(I874&lt;&gt;"",I874,IF(N874="","",F874*N874)),""))</f>
        <v/>
      </c>
      <c r="P874" s="50">
        <f>IF(OR(D874="",F874=""),"",F874*IF(OR(D874="Reçu du magasin",D874="Ajustement (+)"),1,-1))</f>
        <v/>
      </c>
      <c r="Q874" s="34">
        <f>IF(C874="","",YEAR(C874-WEEKDAY(C874,2)+4)&amp;"-S"&amp;TEXT(INT((C874-DATE(YEAR(C874-WEEKDAY(C874,2)+4),1,3)+WEEKDAY(DATE(YEAR(C874-WEEKDAY(C874,2)+4),1,3),2)+5)/7),"00"))</f>
        <v/>
      </c>
    </row>
    <row r="875" ht="18" customHeight="1">
      <c r="A875" s="39" t="n">
        <v>870</v>
      </c>
      <c r="B875" s="33">
        <f>IF(C875="","",IF(L875="À RENSEIGNER","GIC",L875)&amp;"-S"&amp;TEXT(A875,"00000"))</f>
        <v/>
      </c>
      <c r="C875" s="32" t="n"/>
      <c r="D875" s="36" t="n"/>
      <c r="E875" s="36" t="n"/>
      <c r="F875" s="42" t="n"/>
      <c r="G875" s="36" t="n"/>
      <c r="H875" s="43" t="n"/>
      <c r="I875" s="37" t="n"/>
      <c r="J875" s="44" t="n"/>
      <c r="K875" s="36" t="n"/>
      <c r="L875" s="33">
        <f>IF(C875="","",Commercial_Id)</f>
        <v/>
      </c>
      <c r="M875" s="34">
        <f>IF(E875="","",IFERROR(VLOOKUP(E875,T_Produits,2,FALSE),""))</f>
        <v/>
      </c>
      <c r="N875" s="40">
        <f>IF(E875="","",IFERROR(1/(1/VLOOKUP(E875,T_Produits,3,FALSE)),""))</f>
        <v/>
      </c>
      <c r="O875" s="40">
        <f>IF(OR(D875="",F875=""),"",IF(OR(D875="Casse / avarie",D875="Perte / vol",D875="Échantillon offert"),IF(I875&lt;&gt;"",I875,IF(N875="","",F875*N875)),""))</f>
        <v/>
      </c>
      <c r="P875" s="50">
        <f>IF(OR(D875="",F875=""),"",F875*IF(OR(D875="Reçu du magasin",D875="Ajustement (+)"),1,-1))</f>
        <v/>
      </c>
      <c r="Q875" s="34">
        <f>IF(C875="","",YEAR(C875-WEEKDAY(C875,2)+4)&amp;"-S"&amp;TEXT(INT((C875-DATE(YEAR(C875-WEEKDAY(C875,2)+4),1,3)+WEEKDAY(DATE(YEAR(C875-WEEKDAY(C875,2)+4),1,3),2)+5)/7),"00"))</f>
        <v/>
      </c>
    </row>
    <row r="876" ht="18" customHeight="1">
      <c r="A876" s="39" t="n">
        <v>871</v>
      </c>
      <c r="B876" s="33">
        <f>IF(C876="","",IF(L876="À RENSEIGNER","GIC",L876)&amp;"-S"&amp;TEXT(A876,"00000"))</f>
        <v/>
      </c>
      <c r="C876" s="32" t="n"/>
      <c r="D876" s="36" t="n"/>
      <c r="E876" s="36" t="n"/>
      <c r="F876" s="42" t="n"/>
      <c r="G876" s="36" t="n"/>
      <c r="H876" s="43" t="n"/>
      <c r="I876" s="37" t="n"/>
      <c r="J876" s="44" t="n"/>
      <c r="K876" s="36" t="n"/>
      <c r="L876" s="33">
        <f>IF(C876="","",Commercial_Id)</f>
        <v/>
      </c>
      <c r="M876" s="34">
        <f>IF(E876="","",IFERROR(VLOOKUP(E876,T_Produits,2,FALSE),""))</f>
        <v/>
      </c>
      <c r="N876" s="40">
        <f>IF(E876="","",IFERROR(1/(1/VLOOKUP(E876,T_Produits,3,FALSE)),""))</f>
        <v/>
      </c>
      <c r="O876" s="40">
        <f>IF(OR(D876="",F876=""),"",IF(OR(D876="Casse / avarie",D876="Perte / vol",D876="Échantillon offert"),IF(I876&lt;&gt;"",I876,IF(N876="","",F876*N876)),""))</f>
        <v/>
      </c>
      <c r="P876" s="50">
        <f>IF(OR(D876="",F876=""),"",F876*IF(OR(D876="Reçu du magasin",D876="Ajustement (+)"),1,-1))</f>
        <v/>
      </c>
      <c r="Q876" s="34">
        <f>IF(C876="","",YEAR(C876-WEEKDAY(C876,2)+4)&amp;"-S"&amp;TEXT(INT((C876-DATE(YEAR(C876-WEEKDAY(C876,2)+4),1,3)+WEEKDAY(DATE(YEAR(C876-WEEKDAY(C876,2)+4),1,3),2)+5)/7),"00"))</f>
        <v/>
      </c>
    </row>
    <row r="877" ht="18" customHeight="1">
      <c r="A877" s="39" t="n">
        <v>872</v>
      </c>
      <c r="B877" s="33">
        <f>IF(C877="","",IF(L877="À RENSEIGNER","GIC",L877)&amp;"-S"&amp;TEXT(A877,"00000"))</f>
        <v/>
      </c>
      <c r="C877" s="32" t="n"/>
      <c r="D877" s="36" t="n"/>
      <c r="E877" s="36" t="n"/>
      <c r="F877" s="42" t="n"/>
      <c r="G877" s="36" t="n"/>
      <c r="H877" s="43" t="n"/>
      <c r="I877" s="37" t="n"/>
      <c r="J877" s="44" t="n"/>
      <c r="K877" s="36" t="n"/>
      <c r="L877" s="33">
        <f>IF(C877="","",Commercial_Id)</f>
        <v/>
      </c>
      <c r="M877" s="34">
        <f>IF(E877="","",IFERROR(VLOOKUP(E877,T_Produits,2,FALSE),""))</f>
        <v/>
      </c>
      <c r="N877" s="40">
        <f>IF(E877="","",IFERROR(1/(1/VLOOKUP(E877,T_Produits,3,FALSE)),""))</f>
        <v/>
      </c>
      <c r="O877" s="40">
        <f>IF(OR(D877="",F877=""),"",IF(OR(D877="Casse / avarie",D877="Perte / vol",D877="Échantillon offert"),IF(I877&lt;&gt;"",I877,IF(N877="","",F877*N877)),""))</f>
        <v/>
      </c>
      <c r="P877" s="50">
        <f>IF(OR(D877="",F877=""),"",F877*IF(OR(D877="Reçu du magasin",D877="Ajustement (+)"),1,-1))</f>
        <v/>
      </c>
      <c r="Q877" s="34">
        <f>IF(C877="","",YEAR(C877-WEEKDAY(C877,2)+4)&amp;"-S"&amp;TEXT(INT((C877-DATE(YEAR(C877-WEEKDAY(C877,2)+4),1,3)+WEEKDAY(DATE(YEAR(C877-WEEKDAY(C877,2)+4),1,3),2)+5)/7),"00"))</f>
        <v/>
      </c>
    </row>
    <row r="878" ht="18" customHeight="1">
      <c r="A878" s="39" t="n">
        <v>873</v>
      </c>
      <c r="B878" s="33">
        <f>IF(C878="","",IF(L878="À RENSEIGNER","GIC",L878)&amp;"-S"&amp;TEXT(A878,"00000"))</f>
        <v/>
      </c>
      <c r="C878" s="32" t="n"/>
      <c r="D878" s="36" t="n"/>
      <c r="E878" s="36" t="n"/>
      <c r="F878" s="42" t="n"/>
      <c r="G878" s="36" t="n"/>
      <c r="H878" s="43" t="n"/>
      <c r="I878" s="37" t="n"/>
      <c r="J878" s="44" t="n"/>
      <c r="K878" s="36" t="n"/>
      <c r="L878" s="33">
        <f>IF(C878="","",Commercial_Id)</f>
        <v/>
      </c>
      <c r="M878" s="34">
        <f>IF(E878="","",IFERROR(VLOOKUP(E878,T_Produits,2,FALSE),""))</f>
        <v/>
      </c>
      <c r="N878" s="40">
        <f>IF(E878="","",IFERROR(1/(1/VLOOKUP(E878,T_Produits,3,FALSE)),""))</f>
        <v/>
      </c>
      <c r="O878" s="40">
        <f>IF(OR(D878="",F878=""),"",IF(OR(D878="Casse / avarie",D878="Perte / vol",D878="Échantillon offert"),IF(I878&lt;&gt;"",I878,IF(N878="","",F878*N878)),""))</f>
        <v/>
      </c>
      <c r="P878" s="50">
        <f>IF(OR(D878="",F878=""),"",F878*IF(OR(D878="Reçu du magasin",D878="Ajustement (+)"),1,-1))</f>
        <v/>
      </c>
      <c r="Q878" s="34">
        <f>IF(C878="","",YEAR(C878-WEEKDAY(C878,2)+4)&amp;"-S"&amp;TEXT(INT((C878-DATE(YEAR(C878-WEEKDAY(C878,2)+4),1,3)+WEEKDAY(DATE(YEAR(C878-WEEKDAY(C878,2)+4),1,3),2)+5)/7),"00"))</f>
        <v/>
      </c>
    </row>
    <row r="879" ht="18" customHeight="1">
      <c r="A879" s="39" t="n">
        <v>874</v>
      </c>
      <c r="B879" s="33">
        <f>IF(C879="","",IF(L879="À RENSEIGNER","GIC",L879)&amp;"-S"&amp;TEXT(A879,"00000"))</f>
        <v/>
      </c>
      <c r="C879" s="32" t="n"/>
      <c r="D879" s="36" t="n"/>
      <c r="E879" s="36" t="n"/>
      <c r="F879" s="42" t="n"/>
      <c r="G879" s="36" t="n"/>
      <c r="H879" s="43" t="n"/>
      <c r="I879" s="37" t="n"/>
      <c r="J879" s="44" t="n"/>
      <c r="K879" s="36" t="n"/>
      <c r="L879" s="33">
        <f>IF(C879="","",Commercial_Id)</f>
        <v/>
      </c>
      <c r="M879" s="34">
        <f>IF(E879="","",IFERROR(VLOOKUP(E879,T_Produits,2,FALSE),""))</f>
        <v/>
      </c>
      <c r="N879" s="40">
        <f>IF(E879="","",IFERROR(1/(1/VLOOKUP(E879,T_Produits,3,FALSE)),""))</f>
        <v/>
      </c>
      <c r="O879" s="40">
        <f>IF(OR(D879="",F879=""),"",IF(OR(D879="Casse / avarie",D879="Perte / vol",D879="Échantillon offert"),IF(I879&lt;&gt;"",I879,IF(N879="","",F879*N879)),""))</f>
        <v/>
      </c>
      <c r="P879" s="50">
        <f>IF(OR(D879="",F879=""),"",F879*IF(OR(D879="Reçu du magasin",D879="Ajustement (+)"),1,-1))</f>
        <v/>
      </c>
      <c r="Q879" s="34">
        <f>IF(C879="","",YEAR(C879-WEEKDAY(C879,2)+4)&amp;"-S"&amp;TEXT(INT((C879-DATE(YEAR(C879-WEEKDAY(C879,2)+4),1,3)+WEEKDAY(DATE(YEAR(C879-WEEKDAY(C879,2)+4),1,3),2)+5)/7),"00"))</f>
        <v/>
      </c>
    </row>
    <row r="880" ht="18" customHeight="1">
      <c r="A880" s="39" t="n">
        <v>875</v>
      </c>
      <c r="B880" s="33">
        <f>IF(C880="","",IF(L880="À RENSEIGNER","GIC",L880)&amp;"-S"&amp;TEXT(A880,"00000"))</f>
        <v/>
      </c>
      <c r="C880" s="32" t="n"/>
      <c r="D880" s="36" t="n"/>
      <c r="E880" s="36" t="n"/>
      <c r="F880" s="42" t="n"/>
      <c r="G880" s="36" t="n"/>
      <c r="H880" s="43" t="n"/>
      <c r="I880" s="37" t="n"/>
      <c r="J880" s="44" t="n"/>
      <c r="K880" s="36" t="n"/>
      <c r="L880" s="33">
        <f>IF(C880="","",Commercial_Id)</f>
        <v/>
      </c>
      <c r="M880" s="34">
        <f>IF(E880="","",IFERROR(VLOOKUP(E880,T_Produits,2,FALSE),""))</f>
        <v/>
      </c>
      <c r="N880" s="40">
        <f>IF(E880="","",IFERROR(1/(1/VLOOKUP(E880,T_Produits,3,FALSE)),""))</f>
        <v/>
      </c>
      <c r="O880" s="40">
        <f>IF(OR(D880="",F880=""),"",IF(OR(D880="Casse / avarie",D880="Perte / vol",D880="Échantillon offert"),IF(I880&lt;&gt;"",I880,IF(N880="","",F880*N880)),""))</f>
        <v/>
      </c>
      <c r="P880" s="50">
        <f>IF(OR(D880="",F880=""),"",F880*IF(OR(D880="Reçu du magasin",D880="Ajustement (+)"),1,-1))</f>
        <v/>
      </c>
      <c r="Q880" s="34">
        <f>IF(C880="","",YEAR(C880-WEEKDAY(C880,2)+4)&amp;"-S"&amp;TEXT(INT((C880-DATE(YEAR(C880-WEEKDAY(C880,2)+4),1,3)+WEEKDAY(DATE(YEAR(C880-WEEKDAY(C880,2)+4),1,3),2)+5)/7),"00"))</f>
        <v/>
      </c>
    </row>
    <row r="881" ht="18" customHeight="1">
      <c r="A881" s="39" t="n">
        <v>876</v>
      </c>
      <c r="B881" s="33">
        <f>IF(C881="","",IF(L881="À RENSEIGNER","GIC",L881)&amp;"-S"&amp;TEXT(A881,"00000"))</f>
        <v/>
      </c>
      <c r="C881" s="32" t="n"/>
      <c r="D881" s="36" t="n"/>
      <c r="E881" s="36" t="n"/>
      <c r="F881" s="42" t="n"/>
      <c r="G881" s="36" t="n"/>
      <c r="H881" s="43" t="n"/>
      <c r="I881" s="37" t="n"/>
      <c r="J881" s="44" t="n"/>
      <c r="K881" s="36" t="n"/>
      <c r="L881" s="33">
        <f>IF(C881="","",Commercial_Id)</f>
        <v/>
      </c>
      <c r="M881" s="34">
        <f>IF(E881="","",IFERROR(VLOOKUP(E881,T_Produits,2,FALSE),""))</f>
        <v/>
      </c>
      <c r="N881" s="40">
        <f>IF(E881="","",IFERROR(1/(1/VLOOKUP(E881,T_Produits,3,FALSE)),""))</f>
        <v/>
      </c>
      <c r="O881" s="40">
        <f>IF(OR(D881="",F881=""),"",IF(OR(D881="Casse / avarie",D881="Perte / vol",D881="Échantillon offert"),IF(I881&lt;&gt;"",I881,IF(N881="","",F881*N881)),""))</f>
        <v/>
      </c>
      <c r="P881" s="50">
        <f>IF(OR(D881="",F881=""),"",F881*IF(OR(D881="Reçu du magasin",D881="Ajustement (+)"),1,-1))</f>
        <v/>
      </c>
      <c r="Q881" s="34">
        <f>IF(C881="","",YEAR(C881-WEEKDAY(C881,2)+4)&amp;"-S"&amp;TEXT(INT((C881-DATE(YEAR(C881-WEEKDAY(C881,2)+4),1,3)+WEEKDAY(DATE(YEAR(C881-WEEKDAY(C881,2)+4),1,3),2)+5)/7),"00"))</f>
        <v/>
      </c>
    </row>
    <row r="882" ht="18" customHeight="1">
      <c r="A882" s="39" t="n">
        <v>877</v>
      </c>
      <c r="B882" s="33">
        <f>IF(C882="","",IF(L882="À RENSEIGNER","GIC",L882)&amp;"-S"&amp;TEXT(A882,"00000"))</f>
        <v/>
      </c>
      <c r="C882" s="32" t="n"/>
      <c r="D882" s="36" t="n"/>
      <c r="E882" s="36" t="n"/>
      <c r="F882" s="42" t="n"/>
      <c r="G882" s="36" t="n"/>
      <c r="H882" s="43" t="n"/>
      <c r="I882" s="37" t="n"/>
      <c r="J882" s="44" t="n"/>
      <c r="K882" s="36" t="n"/>
      <c r="L882" s="33">
        <f>IF(C882="","",Commercial_Id)</f>
        <v/>
      </c>
      <c r="M882" s="34">
        <f>IF(E882="","",IFERROR(VLOOKUP(E882,T_Produits,2,FALSE),""))</f>
        <v/>
      </c>
      <c r="N882" s="40">
        <f>IF(E882="","",IFERROR(1/(1/VLOOKUP(E882,T_Produits,3,FALSE)),""))</f>
        <v/>
      </c>
      <c r="O882" s="40">
        <f>IF(OR(D882="",F882=""),"",IF(OR(D882="Casse / avarie",D882="Perte / vol",D882="Échantillon offert"),IF(I882&lt;&gt;"",I882,IF(N882="","",F882*N882)),""))</f>
        <v/>
      </c>
      <c r="P882" s="50">
        <f>IF(OR(D882="",F882=""),"",F882*IF(OR(D882="Reçu du magasin",D882="Ajustement (+)"),1,-1))</f>
        <v/>
      </c>
      <c r="Q882" s="34">
        <f>IF(C882="","",YEAR(C882-WEEKDAY(C882,2)+4)&amp;"-S"&amp;TEXT(INT((C882-DATE(YEAR(C882-WEEKDAY(C882,2)+4),1,3)+WEEKDAY(DATE(YEAR(C882-WEEKDAY(C882,2)+4),1,3),2)+5)/7),"00"))</f>
        <v/>
      </c>
    </row>
    <row r="883" ht="18" customHeight="1">
      <c r="A883" s="39" t="n">
        <v>878</v>
      </c>
      <c r="B883" s="33">
        <f>IF(C883="","",IF(L883="À RENSEIGNER","GIC",L883)&amp;"-S"&amp;TEXT(A883,"00000"))</f>
        <v/>
      </c>
      <c r="C883" s="32" t="n"/>
      <c r="D883" s="36" t="n"/>
      <c r="E883" s="36" t="n"/>
      <c r="F883" s="42" t="n"/>
      <c r="G883" s="36" t="n"/>
      <c r="H883" s="43" t="n"/>
      <c r="I883" s="37" t="n"/>
      <c r="J883" s="44" t="n"/>
      <c r="K883" s="36" t="n"/>
      <c r="L883" s="33">
        <f>IF(C883="","",Commercial_Id)</f>
        <v/>
      </c>
      <c r="M883" s="34">
        <f>IF(E883="","",IFERROR(VLOOKUP(E883,T_Produits,2,FALSE),""))</f>
        <v/>
      </c>
      <c r="N883" s="40">
        <f>IF(E883="","",IFERROR(1/(1/VLOOKUP(E883,T_Produits,3,FALSE)),""))</f>
        <v/>
      </c>
      <c r="O883" s="40">
        <f>IF(OR(D883="",F883=""),"",IF(OR(D883="Casse / avarie",D883="Perte / vol",D883="Échantillon offert"),IF(I883&lt;&gt;"",I883,IF(N883="","",F883*N883)),""))</f>
        <v/>
      </c>
      <c r="P883" s="50">
        <f>IF(OR(D883="",F883=""),"",F883*IF(OR(D883="Reçu du magasin",D883="Ajustement (+)"),1,-1))</f>
        <v/>
      </c>
      <c r="Q883" s="34">
        <f>IF(C883="","",YEAR(C883-WEEKDAY(C883,2)+4)&amp;"-S"&amp;TEXT(INT((C883-DATE(YEAR(C883-WEEKDAY(C883,2)+4),1,3)+WEEKDAY(DATE(YEAR(C883-WEEKDAY(C883,2)+4),1,3),2)+5)/7),"00"))</f>
        <v/>
      </c>
    </row>
    <row r="884" ht="18" customHeight="1">
      <c r="A884" s="39" t="n">
        <v>879</v>
      </c>
      <c r="B884" s="33">
        <f>IF(C884="","",IF(L884="À RENSEIGNER","GIC",L884)&amp;"-S"&amp;TEXT(A884,"00000"))</f>
        <v/>
      </c>
      <c r="C884" s="32" t="n"/>
      <c r="D884" s="36" t="n"/>
      <c r="E884" s="36" t="n"/>
      <c r="F884" s="42" t="n"/>
      <c r="G884" s="36" t="n"/>
      <c r="H884" s="43" t="n"/>
      <c r="I884" s="37" t="n"/>
      <c r="J884" s="44" t="n"/>
      <c r="K884" s="36" t="n"/>
      <c r="L884" s="33">
        <f>IF(C884="","",Commercial_Id)</f>
        <v/>
      </c>
      <c r="M884" s="34">
        <f>IF(E884="","",IFERROR(VLOOKUP(E884,T_Produits,2,FALSE),""))</f>
        <v/>
      </c>
      <c r="N884" s="40">
        <f>IF(E884="","",IFERROR(1/(1/VLOOKUP(E884,T_Produits,3,FALSE)),""))</f>
        <v/>
      </c>
      <c r="O884" s="40">
        <f>IF(OR(D884="",F884=""),"",IF(OR(D884="Casse / avarie",D884="Perte / vol",D884="Échantillon offert"),IF(I884&lt;&gt;"",I884,IF(N884="","",F884*N884)),""))</f>
        <v/>
      </c>
      <c r="P884" s="50">
        <f>IF(OR(D884="",F884=""),"",F884*IF(OR(D884="Reçu du magasin",D884="Ajustement (+)"),1,-1))</f>
        <v/>
      </c>
      <c r="Q884" s="34">
        <f>IF(C884="","",YEAR(C884-WEEKDAY(C884,2)+4)&amp;"-S"&amp;TEXT(INT((C884-DATE(YEAR(C884-WEEKDAY(C884,2)+4),1,3)+WEEKDAY(DATE(YEAR(C884-WEEKDAY(C884,2)+4),1,3),2)+5)/7),"00"))</f>
        <v/>
      </c>
    </row>
    <row r="885" ht="18" customHeight="1">
      <c r="A885" s="39" t="n">
        <v>880</v>
      </c>
      <c r="B885" s="33">
        <f>IF(C885="","",IF(L885="À RENSEIGNER","GIC",L885)&amp;"-S"&amp;TEXT(A885,"00000"))</f>
        <v/>
      </c>
      <c r="C885" s="32" t="n"/>
      <c r="D885" s="36" t="n"/>
      <c r="E885" s="36" t="n"/>
      <c r="F885" s="42" t="n"/>
      <c r="G885" s="36" t="n"/>
      <c r="H885" s="43" t="n"/>
      <c r="I885" s="37" t="n"/>
      <c r="J885" s="44" t="n"/>
      <c r="K885" s="36" t="n"/>
      <c r="L885" s="33">
        <f>IF(C885="","",Commercial_Id)</f>
        <v/>
      </c>
      <c r="M885" s="34">
        <f>IF(E885="","",IFERROR(VLOOKUP(E885,T_Produits,2,FALSE),""))</f>
        <v/>
      </c>
      <c r="N885" s="40">
        <f>IF(E885="","",IFERROR(1/(1/VLOOKUP(E885,T_Produits,3,FALSE)),""))</f>
        <v/>
      </c>
      <c r="O885" s="40">
        <f>IF(OR(D885="",F885=""),"",IF(OR(D885="Casse / avarie",D885="Perte / vol",D885="Échantillon offert"),IF(I885&lt;&gt;"",I885,IF(N885="","",F885*N885)),""))</f>
        <v/>
      </c>
      <c r="P885" s="50">
        <f>IF(OR(D885="",F885=""),"",F885*IF(OR(D885="Reçu du magasin",D885="Ajustement (+)"),1,-1))</f>
        <v/>
      </c>
      <c r="Q885" s="34">
        <f>IF(C885="","",YEAR(C885-WEEKDAY(C885,2)+4)&amp;"-S"&amp;TEXT(INT((C885-DATE(YEAR(C885-WEEKDAY(C885,2)+4),1,3)+WEEKDAY(DATE(YEAR(C885-WEEKDAY(C885,2)+4),1,3),2)+5)/7),"00"))</f>
        <v/>
      </c>
    </row>
    <row r="886" ht="18" customHeight="1">
      <c r="A886" s="39" t="n">
        <v>881</v>
      </c>
      <c r="B886" s="33">
        <f>IF(C886="","",IF(L886="À RENSEIGNER","GIC",L886)&amp;"-S"&amp;TEXT(A886,"00000"))</f>
        <v/>
      </c>
      <c r="C886" s="32" t="n"/>
      <c r="D886" s="36" t="n"/>
      <c r="E886" s="36" t="n"/>
      <c r="F886" s="42" t="n"/>
      <c r="G886" s="36" t="n"/>
      <c r="H886" s="43" t="n"/>
      <c r="I886" s="37" t="n"/>
      <c r="J886" s="44" t="n"/>
      <c r="K886" s="36" t="n"/>
      <c r="L886" s="33">
        <f>IF(C886="","",Commercial_Id)</f>
        <v/>
      </c>
      <c r="M886" s="34">
        <f>IF(E886="","",IFERROR(VLOOKUP(E886,T_Produits,2,FALSE),""))</f>
        <v/>
      </c>
      <c r="N886" s="40">
        <f>IF(E886="","",IFERROR(1/(1/VLOOKUP(E886,T_Produits,3,FALSE)),""))</f>
        <v/>
      </c>
      <c r="O886" s="40">
        <f>IF(OR(D886="",F886=""),"",IF(OR(D886="Casse / avarie",D886="Perte / vol",D886="Échantillon offert"),IF(I886&lt;&gt;"",I886,IF(N886="","",F886*N886)),""))</f>
        <v/>
      </c>
      <c r="P886" s="50">
        <f>IF(OR(D886="",F886=""),"",F886*IF(OR(D886="Reçu du magasin",D886="Ajustement (+)"),1,-1))</f>
        <v/>
      </c>
      <c r="Q886" s="34">
        <f>IF(C886="","",YEAR(C886-WEEKDAY(C886,2)+4)&amp;"-S"&amp;TEXT(INT((C886-DATE(YEAR(C886-WEEKDAY(C886,2)+4),1,3)+WEEKDAY(DATE(YEAR(C886-WEEKDAY(C886,2)+4),1,3),2)+5)/7),"00"))</f>
        <v/>
      </c>
    </row>
    <row r="887" ht="18" customHeight="1">
      <c r="A887" s="39" t="n">
        <v>882</v>
      </c>
      <c r="B887" s="33">
        <f>IF(C887="","",IF(L887="À RENSEIGNER","GIC",L887)&amp;"-S"&amp;TEXT(A887,"00000"))</f>
        <v/>
      </c>
      <c r="C887" s="32" t="n"/>
      <c r="D887" s="36" t="n"/>
      <c r="E887" s="36" t="n"/>
      <c r="F887" s="42" t="n"/>
      <c r="G887" s="36" t="n"/>
      <c r="H887" s="43" t="n"/>
      <c r="I887" s="37" t="n"/>
      <c r="J887" s="44" t="n"/>
      <c r="K887" s="36" t="n"/>
      <c r="L887" s="33">
        <f>IF(C887="","",Commercial_Id)</f>
        <v/>
      </c>
      <c r="M887" s="34">
        <f>IF(E887="","",IFERROR(VLOOKUP(E887,T_Produits,2,FALSE),""))</f>
        <v/>
      </c>
      <c r="N887" s="40">
        <f>IF(E887="","",IFERROR(1/(1/VLOOKUP(E887,T_Produits,3,FALSE)),""))</f>
        <v/>
      </c>
      <c r="O887" s="40">
        <f>IF(OR(D887="",F887=""),"",IF(OR(D887="Casse / avarie",D887="Perte / vol",D887="Échantillon offert"),IF(I887&lt;&gt;"",I887,IF(N887="","",F887*N887)),""))</f>
        <v/>
      </c>
      <c r="P887" s="50">
        <f>IF(OR(D887="",F887=""),"",F887*IF(OR(D887="Reçu du magasin",D887="Ajustement (+)"),1,-1))</f>
        <v/>
      </c>
      <c r="Q887" s="34">
        <f>IF(C887="","",YEAR(C887-WEEKDAY(C887,2)+4)&amp;"-S"&amp;TEXT(INT((C887-DATE(YEAR(C887-WEEKDAY(C887,2)+4),1,3)+WEEKDAY(DATE(YEAR(C887-WEEKDAY(C887,2)+4),1,3),2)+5)/7),"00"))</f>
        <v/>
      </c>
    </row>
    <row r="888" ht="18" customHeight="1">
      <c r="A888" s="39" t="n">
        <v>883</v>
      </c>
      <c r="B888" s="33">
        <f>IF(C888="","",IF(L888="À RENSEIGNER","GIC",L888)&amp;"-S"&amp;TEXT(A888,"00000"))</f>
        <v/>
      </c>
      <c r="C888" s="32" t="n"/>
      <c r="D888" s="36" t="n"/>
      <c r="E888" s="36" t="n"/>
      <c r="F888" s="42" t="n"/>
      <c r="G888" s="36" t="n"/>
      <c r="H888" s="43" t="n"/>
      <c r="I888" s="37" t="n"/>
      <c r="J888" s="44" t="n"/>
      <c r="K888" s="36" t="n"/>
      <c r="L888" s="33">
        <f>IF(C888="","",Commercial_Id)</f>
        <v/>
      </c>
      <c r="M888" s="34">
        <f>IF(E888="","",IFERROR(VLOOKUP(E888,T_Produits,2,FALSE),""))</f>
        <v/>
      </c>
      <c r="N888" s="40">
        <f>IF(E888="","",IFERROR(1/(1/VLOOKUP(E888,T_Produits,3,FALSE)),""))</f>
        <v/>
      </c>
      <c r="O888" s="40">
        <f>IF(OR(D888="",F888=""),"",IF(OR(D888="Casse / avarie",D888="Perte / vol",D888="Échantillon offert"),IF(I888&lt;&gt;"",I888,IF(N888="","",F888*N888)),""))</f>
        <v/>
      </c>
      <c r="P888" s="50">
        <f>IF(OR(D888="",F888=""),"",F888*IF(OR(D888="Reçu du magasin",D888="Ajustement (+)"),1,-1))</f>
        <v/>
      </c>
      <c r="Q888" s="34">
        <f>IF(C888="","",YEAR(C888-WEEKDAY(C888,2)+4)&amp;"-S"&amp;TEXT(INT((C888-DATE(YEAR(C888-WEEKDAY(C888,2)+4),1,3)+WEEKDAY(DATE(YEAR(C888-WEEKDAY(C888,2)+4),1,3),2)+5)/7),"00"))</f>
        <v/>
      </c>
    </row>
    <row r="889" ht="18" customHeight="1">
      <c r="A889" s="39" t="n">
        <v>884</v>
      </c>
      <c r="B889" s="33">
        <f>IF(C889="","",IF(L889="À RENSEIGNER","GIC",L889)&amp;"-S"&amp;TEXT(A889,"00000"))</f>
        <v/>
      </c>
      <c r="C889" s="32" t="n"/>
      <c r="D889" s="36" t="n"/>
      <c r="E889" s="36" t="n"/>
      <c r="F889" s="42" t="n"/>
      <c r="G889" s="36" t="n"/>
      <c r="H889" s="43" t="n"/>
      <c r="I889" s="37" t="n"/>
      <c r="J889" s="44" t="n"/>
      <c r="K889" s="36" t="n"/>
      <c r="L889" s="33">
        <f>IF(C889="","",Commercial_Id)</f>
        <v/>
      </c>
      <c r="M889" s="34">
        <f>IF(E889="","",IFERROR(VLOOKUP(E889,T_Produits,2,FALSE),""))</f>
        <v/>
      </c>
      <c r="N889" s="40">
        <f>IF(E889="","",IFERROR(1/(1/VLOOKUP(E889,T_Produits,3,FALSE)),""))</f>
        <v/>
      </c>
      <c r="O889" s="40">
        <f>IF(OR(D889="",F889=""),"",IF(OR(D889="Casse / avarie",D889="Perte / vol",D889="Échantillon offert"),IF(I889&lt;&gt;"",I889,IF(N889="","",F889*N889)),""))</f>
        <v/>
      </c>
      <c r="P889" s="50">
        <f>IF(OR(D889="",F889=""),"",F889*IF(OR(D889="Reçu du magasin",D889="Ajustement (+)"),1,-1))</f>
        <v/>
      </c>
      <c r="Q889" s="34">
        <f>IF(C889="","",YEAR(C889-WEEKDAY(C889,2)+4)&amp;"-S"&amp;TEXT(INT((C889-DATE(YEAR(C889-WEEKDAY(C889,2)+4),1,3)+WEEKDAY(DATE(YEAR(C889-WEEKDAY(C889,2)+4),1,3),2)+5)/7),"00"))</f>
        <v/>
      </c>
    </row>
    <row r="890" ht="18" customHeight="1">
      <c r="A890" s="39" t="n">
        <v>885</v>
      </c>
      <c r="B890" s="33">
        <f>IF(C890="","",IF(L890="À RENSEIGNER","GIC",L890)&amp;"-S"&amp;TEXT(A890,"00000"))</f>
        <v/>
      </c>
      <c r="C890" s="32" t="n"/>
      <c r="D890" s="36" t="n"/>
      <c r="E890" s="36" t="n"/>
      <c r="F890" s="42" t="n"/>
      <c r="G890" s="36" t="n"/>
      <c r="H890" s="43" t="n"/>
      <c r="I890" s="37" t="n"/>
      <c r="J890" s="44" t="n"/>
      <c r="K890" s="36" t="n"/>
      <c r="L890" s="33">
        <f>IF(C890="","",Commercial_Id)</f>
        <v/>
      </c>
      <c r="M890" s="34">
        <f>IF(E890="","",IFERROR(VLOOKUP(E890,T_Produits,2,FALSE),""))</f>
        <v/>
      </c>
      <c r="N890" s="40">
        <f>IF(E890="","",IFERROR(1/(1/VLOOKUP(E890,T_Produits,3,FALSE)),""))</f>
        <v/>
      </c>
      <c r="O890" s="40">
        <f>IF(OR(D890="",F890=""),"",IF(OR(D890="Casse / avarie",D890="Perte / vol",D890="Échantillon offert"),IF(I890&lt;&gt;"",I890,IF(N890="","",F890*N890)),""))</f>
        <v/>
      </c>
      <c r="P890" s="50">
        <f>IF(OR(D890="",F890=""),"",F890*IF(OR(D890="Reçu du magasin",D890="Ajustement (+)"),1,-1))</f>
        <v/>
      </c>
      <c r="Q890" s="34">
        <f>IF(C890="","",YEAR(C890-WEEKDAY(C890,2)+4)&amp;"-S"&amp;TEXT(INT((C890-DATE(YEAR(C890-WEEKDAY(C890,2)+4),1,3)+WEEKDAY(DATE(YEAR(C890-WEEKDAY(C890,2)+4),1,3),2)+5)/7),"00"))</f>
        <v/>
      </c>
    </row>
    <row r="891" ht="18" customHeight="1">
      <c r="A891" s="39" t="n">
        <v>886</v>
      </c>
      <c r="B891" s="33">
        <f>IF(C891="","",IF(L891="À RENSEIGNER","GIC",L891)&amp;"-S"&amp;TEXT(A891,"00000"))</f>
        <v/>
      </c>
      <c r="C891" s="32" t="n"/>
      <c r="D891" s="36" t="n"/>
      <c r="E891" s="36" t="n"/>
      <c r="F891" s="42" t="n"/>
      <c r="G891" s="36" t="n"/>
      <c r="H891" s="43" t="n"/>
      <c r="I891" s="37" t="n"/>
      <c r="J891" s="44" t="n"/>
      <c r="K891" s="36" t="n"/>
      <c r="L891" s="33">
        <f>IF(C891="","",Commercial_Id)</f>
        <v/>
      </c>
      <c r="M891" s="34">
        <f>IF(E891="","",IFERROR(VLOOKUP(E891,T_Produits,2,FALSE),""))</f>
        <v/>
      </c>
      <c r="N891" s="40">
        <f>IF(E891="","",IFERROR(1/(1/VLOOKUP(E891,T_Produits,3,FALSE)),""))</f>
        <v/>
      </c>
      <c r="O891" s="40">
        <f>IF(OR(D891="",F891=""),"",IF(OR(D891="Casse / avarie",D891="Perte / vol",D891="Échantillon offert"),IF(I891&lt;&gt;"",I891,IF(N891="","",F891*N891)),""))</f>
        <v/>
      </c>
      <c r="P891" s="50">
        <f>IF(OR(D891="",F891=""),"",F891*IF(OR(D891="Reçu du magasin",D891="Ajustement (+)"),1,-1))</f>
        <v/>
      </c>
      <c r="Q891" s="34">
        <f>IF(C891="","",YEAR(C891-WEEKDAY(C891,2)+4)&amp;"-S"&amp;TEXT(INT((C891-DATE(YEAR(C891-WEEKDAY(C891,2)+4),1,3)+WEEKDAY(DATE(YEAR(C891-WEEKDAY(C891,2)+4),1,3),2)+5)/7),"00"))</f>
        <v/>
      </c>
    </row>
    <row r="892" ht="18" customHeight="1">
      <c r="A892" s="39" t="n">
        <v>887</v>
      </c>
      <c r="B892" s="33">
        <f>IF(C892="","",IF(L892="À RENSEIGNER","GIC",L892)&amp;"-S"&amp;TEXT(A892,"00000"))</f>
        <v/>
      </c>
      <c r="C892" s="32" t="n"/>
      <c r="D892" s="36" t="n"/>
      <c r="E892" s="36" t="n"/>
      <c r="F892" s="42" t="n"/>
      <c r="G892" s="36" t="n"/>
      <c r="H892" s="43" t="n"/>
      <c r="I892" s="37" t="n"/>
      <c r="J892" s="44" t="n"/>
      <c r="K892" s="36" t="n"/>
      <c r="L892" s="33">
        <f>IF(C892="","",Commercial_Id)</f>
        <v/>
      </c>
      <c r="M892" s="34">
        <f>IF(E892="","",IFERROR(VLOOKUP(E892,T_Produits,2,FALSE),""))</f>
        <v/>
      </c>
      <c r="N892" s="40">
        <f>IF(E892="","",IFERROR(1/(1/VLOOKUP(E892,T_Produits,3,FALSE)),""))</f>
        <v/>
      </c>
      <c r="O892" s="40">
        <f>IF(OR(D892="",F892=""),"",IF(OR(D892="Casse / avarie",D892="Perte / vol",D892="Échantillon offert"),IF(I892&lt;&gt;"",I892,IF(N892="","",F892*N892)),""))</f>
        <v/>
      </c>
      <c r="P892" s="50">
        <f>IF(OR(D892="",F892=""),"",F892*IF(OR(D892="Reçu du magasin",D892="Ajustement (+)"),1,-1))</f>
        <v/>
      </c>
      <c r="Q892" s="34">
        <f>IF(C892="","",YEAR(C892-WEEKDAY(C892,2)+4)&amp;"-S"&amp;TEXT(INT((C892-DATE(YEAR(C892-WEEKDAY(C892,2)+4),1,3)+WEEKDAY(DATE(YEAR(C892-WEEKDAY(C892,2)+4),1,3),2)+5)/7),"00"))</f>
        <v/>
      </c>
    </row>
    <row r="893" ht="18" customHeight="1">
      <c r="A893" s="39" t="n">
        <v>888</v>
      </c>
      <c r="B893" s="33">
        <f>IF(C893="","",IF(L893="À RENSEIGNER","GIC",L893)&amp;"-S"&amp;TEXT(A893,"00000"))</f>
        <v/>
      </c>
      <c r="C893" s="32" t="n"/>
      <c r="D893" s="36" t="n"/>
      <c r="E893" s="36" t="n"/>
      <c r="F893" s="42" t="n"/>
      <c r="G893" s="36" t="n"/>
      <c r="H893" s="43" t="n"/>
      <c r="I893" s="37" t="n"/>
      <c r="J893" s="44" t="n"/>
      <c r="K893" s="36" t="n"/>
      <c r="L893" s="33">
        <f>IF(C893="","",Commercial_Id)</f>
        <v/>
      </c>
      <c r="M893" s="34">
        <f>IF(E893="","",IFERROR(VLOOKUP(E893,T_Produits,2,FALSE),""))</f>
        <v/>
      </c>
      <c r="N893" s="40">
        <f>IF(E893="","",IFERROR(1/(1/VLOOKUP(E893,T_Produits,3,FALSE)),""))</f>
        <v/>
      </c>
      <c r="O893" s="40">
        <f>IF(OR(D893="",F893=""),"",IF(OR(D893="Casse / avarie",D893="Perte / vol",D893="Échantillon offert"),IF(I893&lt;&gt;"",I893,IF(N893="","",F893*N893)),""))</f>
        <v/>
      </c>
      <c r="P893" s="50">
        <f>IF(OR(D893="",F893=""),"",F893*IF(OR(D893="Reçu du magasin",D893="Ajustement (+)"),1,-1))</f>
        <v/>
      </c>
      <c r="Q893" s="34">
        <f>IF(C893="","",YEAR(C893-WEEKDAY(C893,2)+4)&amp;"-S"&amp;TEXT(INT((C893-DATE(YEAR(C893-WEEKDAY(C893,2)+4),1,3)+WEEKDAY(DATE(YEAR(C893-WEEKDAY(C893,2)+4),1,3),2)+5)/7),"00"))</f>
        <v/>
      </c>
    </row>
    <row r="894" ht="18" customHeight="1">
      <c r="A894" s="39" t="n">
        <v>889</v>
      </c>
      <c r="B894" s="33">
        <f>IF(C894="","",IF(L894="À RENSEIGNER","GIC",L894)&amp;"-S"&amp;TEXT(A894,"00000"))</f>
        <v/>
      </c>
      <c r="C894" s="32" t="n"/>
      <c r="D894" s="36" t="n"/>
      <c r="E894" s="36" t="n"/>
      <c r="F894" s="42" t="n"/>
      <c r="G894" s="36" t="n"/>
      <c r="H894" s="43" t="n"/>
      <c r="I894" s="37" t="n"/>
      <c r="J894" s="44" t="n"/>
      <c r="K894" s="36" t="n"/>
      <c r="L894" s="33">
        <f>IF(C894="","",Commercial_Id)</f>
        <v/>
      </c>
      <c r="M894" s="34">
        <f>IF(E894="","",IFERROR(VLOOKUP(E894,T_Produits,2,FALSE),""))</f>
        <v/>
      </c>
      <c r="N894" s="40">
        <f>IF(E894="","",IFERROR(1/(1/VLOOKUP(E894,T_Produits,3,FALSE)),""))</f>
        <v/>
      </c>
      <c r="O894" s="40">
        <f>IF(OR(D894="",F894=""),"",IF(OR(D894="Casse / avarie",D894="Perte / vol",D894="Échantillon offert"),IF(I894&lt;&gt;"",I894,IF(N894="","",F894*N894)),""))</f>
        <v/>
      </c>
      <c r="P894" s="50">
        <f>IF(OR(D894="",F894=""),"",F894*IF(OR(D894="Reçu du magasin",D894="Ajustement (+)"),1,-1))</f>
        <v/>
      </c>
      <c r="Q894" s="34">
        <f>IF(C894="","",YEAR(C894-WEEKDAY(C894,2)+4)&amp;"-S"&amp;TEXT(INT((C894-DATE(YEAR(C894-WEEKDAY(C894,2)+4),1,3)+WEEKDAY(DATE(YEAR(C894-WEEKDAY(C894,2)+4),1,3),2)+5)/7),"00"))</f>
        <v/>
      </c>
    </row>
    <row r="895" ht="18" customHeight="1">
      <c r="A895" s="39" t="n">
        <v>890</v>
      </c>
      <c r="B895" s="33">
        <f>IF(C895="","",IF(L895="À RENSEIGNER","GIC",L895)&amp;"-S"&amp;TEXT(A895,"00000"))</f>
        <v/>
      </c>
      <c r="C895" s="32" t="n"/>
      <c r="D895" s="36" t="n"/>
      <c r="E895" s="36" t="n"/>
      <c r="F895" s="42" t="n"/>
      <c r="G895" s="36" t="n"/>
      <c r="H895" s="43" t="n"/>
      <c r="I895" s="37" t="n"/>
      <c r="J895" s="44" t="n"/>
      <c r="K895" s="36" t="n"/>
      <c r="L895" s="33">
        <f>IF(C895="","",Commercial_Id)</f>
        <v/>
      </c>
      <c r="M895" s="34">
        <f>IF(E895="","",IFERROR(VLOOKUP(E895,T_Produits,2,FALSE),""))</f>
        <v/>
      </c>
      <c r="N895" s="40">
        <f>IF(E895="","",IFERROR(1/(1/VLOOKUP(E895,T_Produits,3,FALSE)),""))</f>
        <v/>
      </c>
      <c r="O895" s="40">
        <f>IF(OR(D895="",F895=""),"",IF(OR(D895="Casse / avarie",D895="Perte / vol",D895="Échantillon offert"),IF(I895&lt;&gt;"",I895,IF(N895="","",F895*N895)),""))</f>
        <v/>
      </c>
      <c r="P895" s="50">
        <f>IF(OR(D895="",F895=""),"",F895*IF(OR(D895="Reçu du magasin",D895="Ajustement (+)"),1,-1))</f>
        <v/>
      </c>
      <c r="Q895" s="34">
        <f>IF(C895="","",YEAR(C895-WEEKDAY(C895,2)+4)&amp;"-S"&amp;TEXT(INT((C895-DATE(YEAR(C895-WEEKDAY(C895,2)+4),1,3)+WEEKDAY(DATE(YEAR(C895-WEEKDAY(C895,2)+4),1,3),2)+5)/7),"00"))</f>
        <v/>
      </c>
    </row>
    <row r="896" ht="18" customHeight="1">
      <c r="A896" s="39" t="n">
        <v>891</v>
      </c>
      <c r="B896" s="33">
        <f>IF(C896="","",IF(L896="À RENSEIGNER","GIC",L896)&amp;"-S"&amp;TEXT(A896,"00000"))</f>
        <v/>
      </c>
      <c r="C896" s="32" t="n"/>
      <c r="D896" s="36" t="n"/>
      <c r="E896" s="36" t="n"/>
      <c r="F896" s="42" t="n"/>
      <c r="G896" s="36" t="n"/>
      <c r="H896" s="43" t="n"/>
      <c r="I896" s="37" t="n"/>
      <c r="J896" s="44" t="n"/>
      <c r="K896" s="36" t="n"/>
      <c r="L896" s="33">
        <f>IF(C896="","",Commercial_Id)</f>
        <v/>
      </c>
      <c r="M896" s="34">
        <f>IF(E896="","",IFERROR(VLOOKUP(E896,T_Produits,2,FALSE),""))</f>
        <v/>
      </c>
      <c r="N896" s="40">
        <f>IF(E896="","",IFERROR(1/(1/VLOOKUP(E896,T_Produits,3,FALSE)),""))</f>
        <v/>
      </c>
      <c r="O896" s="40">
        <f>IF(OR(D896="",F896=""),"",IF(OR(D896="Casse / avarie",D896="Perte / vol",D896="Échantillon offert"),IF(I896&lt;&gt;"",I896,IF(N896="","",F896*N896)),""))</f>
        <v/>
      </c>
      <c r="P896" s="50">
        <f>IF(OR(D896="",F896=""),"",F896*IF(OR(D896="Reçu du magasin",D896="Ajustement (+)"),1,-1))</f>
        <v/>
      </c>
      <c r="Q896" s="34">
        <f>IF(C896="","",YEAR(C896-WEEKDAY(C896,2)+4)&amp;"-S"&amp;TEXT(INT((C896-DATE(YEAR(C896-WEEKDAY(C896,2)+4),1,3)+WEEKDAY(DATE(YEAR(C896-WEEKDAY(C896,2)+4),1,3),2)+5)/7),"00"))</f>
        <v/>
      </c>
    </row>
    <row r="897" ht="18" customHeight="1">
      <c r="A897" s="39" t="n">
        <v>892</v>
      </c>
      <c r="B897" s="33">
        <f>IF(C897="","",IF(L897="À RENSEIGNER","GIC",L897)&amp;"-S"&amp;TEXT(A897,"00000"))</f>
        <v/>
      </c>
      <c r="C897" s="32" t="n"/>
      <c r="D897" s="36" t="n"/>
      <c r="E897" s="36" t="n"/>
      <c r="F897" s="42" t="n"/>
      <c r="G897" s="36" t="n"/>
      <c r="H897" s="43" t="n"/>
      <c r="I897" s="37" t="n"/>
      <c r="J897" s="44" t="n"/>
      <c r="K897" s="36" t="n"/>
      <c r="L897" s="33">
        <f>IF(C897="","",Commercial_Id)</f>
        <v/>
      </c>
      <c r="M897" s="34">
        <f>IF(E897="","",IFERROR(VLOOKUP(E897,T_Produits,2,FALSE),""))</f>
        <v/>
      </c>
      <c r="N897" s="40">
        <f>IF(E897="","",IFERROR(1/(1/VLOOKUP(E897,T_Produits,3,FALSE)),""))</f>
        <v/>
      </c>
      <c r="O897" s="40">
        <f>IF(OR(D897="",F897=""),"",IF(OR(D897="Casse / avarie",D897="Perte / vol",D897="Échantillon offert"),IF(I897&lt;&gt;"",I897,IF(N897="","",F897*N897)),""))</f>
        <v/>
      </c>
      <c r="P897" s="50">
        <f>IF(OR(D897="",F897=""),"",F897*IF(OR(D897="Reçu du magasin",D897="Ajustement (+)"),1,-1))</f>
        <v/>
      </c>
      <c r="Q897" s="34">
        <f>IF(C897="","",YEAR(C897-WEEKDAY(C897,2)+4)&amp;"-S"&amp;TEXT(INT((C897-DATE(YEAR(C897-WEEKDAY(C897,2)+4),1,3)+WEEKDAY(DATE(YEAR(C897-WEEKDAY(C897,2)+4),1,3),2)+5)/7),"00"))</f>
        <v/>
      </c>
    </row>
    <row r="898" ht="18" customHeight="1">
      <c r="A898" s="39" t="n">
        <v>893</v>
      </c>
      <c r="B898" s="33">
        <f>IF(C898="","",IF(L898="À RENSEIGNER","GIC",L898)&amp;"-S"&amp;TEXT(A898,"00000"))</f>
        <v/>
      </c>
      <c r="C898" s="32" t="n"/>
      <c r="D898" s="36" t="n"/>
      <c r="E898" s="36" t="n"/>
      <c r="F898" s="42" t="n"/>
      <c r="G898" s="36" t="n"/>
      <c r="H898" s="43" t="n"/>
      <c r="I898" s="37" t="n"/>
      <c r="J898" s="44" t="n"/>
      <c r="K898" s="36" t="n"/>
      <c r="L898" s="33">
        <f>IF(C898="","",Commercial_Id)</f>
        <v/>
      </c>
      <c r="M898" s="34">
        <f>IF(E898="","",IFERROR(VLOOKUP(E898,T_Produits,2,FALSE),""))</f>
        <v/>
      </c>
      <c r="N898" s="40">
        <f>IF(E898="","",IFERROR(1/(1/VLOOKUP(E898,T_Produits,3,FALSE)),""))</f>
        <v/>
      </c>
      <c r="O898" s="40">
        <f>IF(OR(D898="",F898=""),"",IF(OR(D898="Casse / avarie",D898="Perte / vol",D898="Échantillon offert"),IF(I898&lt;&gt;"",I898,IF(N898="","",F898*N898)),""))</f>
        <v/>
      </c>
      <c r="P898" s="50">
        <f>IF(OR(D898="",F898=""),"",F898*IF(OR(D898="Reçu du magasin",D898="Ajustement (+)"),1,-1))</f>
        <v/>
      </c>
      <c r="Q898" s="34">
        <f>IF(C898="","",YEAR(C898-WEEKDAY(C898,2)+4)&amp;"-S"&amp;TEXT(INT((C898-DATE(YEAR(C898-WEEKDAY(C898,2)+4),1,3)+WEEKDAY(DATE(YEAR(C898-WEEKDAY(C898,2)+4),1,3),2)+5)/7),"00"))</f>
        <v/>
      </c>
    </row>
    <row r="899" ht="18" customHeight="1">
      <c r="A899" s="39" t="n">
        <v>894</v>
      </c>
      <c r="B899" s="33">
        <f>IF(C899="","",IF(L899="À RENSEIGNER","GIC",L899)&amp;"-S"&amp;TEXT(A899,"00000"))</f>
        <v/>
      </c>
      <c r="C899" s="32" t="n"/>
      <c r="D899" s="36" t="n"/>
      <c r="E899" s="36" t="n"/>
      <c r="F899" s="42" t="n"/>
      <c r="G899" s="36" t="n"/>
      <c r="H899" s="43" t="n"/>
      <c r="I899" s="37" t="n"/>
      <c r="J899" s="44" t="n"/>
      <c r="K899" s="36" t="n"/>
      <c r="L899" s="33">
        <f>IF(C899="","",Commercial_Id)</f>
        <v/>
      </c>
      <c r="M899" s="34">
        <f>IF(E899="","",IFERROR(VLOOKUP(E899,T_Produits,2,FALSE),""))</f>
        <v/>
      </c>
      <c r="N899" s="40">
        <f>IF(E899="","",IFERROR(1/(1/VLOOKUP(E899,T_Produits,3,FALSE)),""))</f>
        <v/>
      </c>
      <c r="O899" s="40">
        <f>IF(OR(D899="",F899=""),"",IF(OR(D899="Casse / avarie",D899="Perte / vol",D899="Échantillon offert"),IF(I899&lt;&gt;"",I899,IF(N899="","",F899*N899)),""))</f>
        <v/>
      </c>
      <c r="P899" s="50">
        <f>IF(OR(D899="",F899=""),"",F899*IF(OR(D899="Reçu du magasin",D899="Ajustement (+)"),1,-1))</f>
        <v/>
      </c>
      <c r="Q899" s="34">
        <f>IF(C899="","",YEAR(C899-WEEKDAY(C899,2)+4)&amp;"-S"&amp;TEXT(INT((C899-DATE(YEAR(C899-WEEKDAY(C899,2)+4),1,3)+WEEKDAY(DATE(YEAR(C899-WEEKDAY(C899,2)+4),1,3),2)+5)/7),"00"))</f>
        <v/>
      </c>
    </row>
    <row r="900" ht="18" customHeight="1">
      <c r="A900" s="39" t="n">
        <v>895</v>
      </c>
      <c r="B900" s="33">
        <f>IF(C900="","",IF(L900="À RENSEIGNER","GIC",L900)&amp;"-S"&amp;TEXT(A900,"00000"))</f>
        <v/>
      </c>
      <c r="C900" s="32" t="n"/>
      <c r="D900" s="36" t="n"/>
      <c r="E900" s="36" t="n"/>
      <c r="F900" s="42" t="n"/>
      <c r="G900" s="36" t="n"/>
      <c r="H900" s="43" t="n"/>
      <c r="I900" s="37" t="n"/>
      <c r="J900" s="44" t="n"/>
      <c r="K900" s="36" t="n"/>
      <c r="L900" s="33">
        <f>IF(C900="","",Commercial_Id)</f>
        <v/>
      </c>
      <c r="M900" s="34">
        <f>IF(E900="","",IFERROR(VLOOKUP(E900,T_Produits,2,FALSE),""))</f>
        <v/>
      </c>
      <c r="N900" s="40">
        <f>IF(E900="","",IFERROR(1/(1/VLOOKUP(E900,T_Produits,3,FALSE)),""))</f>
        <v/>
      </c>
      <c r="O900" s="40">
        <f>IF(OR(D900="",F900=""),"",IF(OR(D900="Casse / avarie",D900="Perte / vol",D900="Échantillon offert"),IF(I900&lt;&gt;"",I900,IF(N900="","",F900*N900)),""))</f>
        <v/>
      </c>
      <c r="P900" s="50">
        <f>IF(OR(D900="",F900=""),"",F900*IF(OR(D900="Reçu du magasin",D900="Ajustement (+)"),1,-1))</f>
        <v/>
      </c>
      <c r="Q900" s="34">
        <f>IF(C900="","",YEAR(C900-WEEKDAY(C900,2)+4)&amp;"-S"&amp;TEXT(INT((C900-DATE(YEAR(C900-WEEKDAY(C900,2)+4),1,3)+WEEKDAY(DATE(YEAR(C900-WEEKDAY(C900,2)+4),1,3),2)+5)/7),"00"))</f>
        <v/>
      </c>
    </row>
    <row r="901" ht="18" customHeight="1">
      <c r="A901" s="39" t="n">
        <v>896</v>
      </c>
      <c r="B901" s="33">
        <f>IF(C901="","",IF(L901="À RENSEIGNER","GIC",L901)&amp;"-S"&amp;TEXT(A901,"00000"))</f>
        <v/>
      </c>
      <c r="C901" s="32" t="n"/>
      <c r="D901" s="36" t="n"/>
      <c r="E901" s="36" t="n"/>
      <c r="F901" s="42" t="n"/>
      <c r="G901" s="36" t="n"/>
      <c r="H901" s="43" t="n"/>
      <c r="I901" s="37" t="n"/>
      <c r="J901" s="44" t="n"/>
      <c r="K901" s="36" t="n"/>
      <c r="L901" s="33">
        <f>IF(C901="","",Commercial_Id)</f>
        <v/>
      </c>
      <c r="M901" s="34">
        <f>IF(E901="","",IFERROR(VLOOKUP(E901,T_Produits,2,FALSE),""))</f>
        <v/>
      </c>
      <c r="N901" s="40">
        <f>IF(E901="","",IFERROR(1/(1/VLOOKUP(E901,T_Produits,3,FALSE)),""))</f>
        <v/>
      </c>
      <c r="O901" s="40">
        <f>IF(OR(D901="",F901=""),"",IF(OR(D901="Casse / avarie",D901="Perte / vol",D901="Échantillon offert"),IF(I901&lt;&gt;"",I901,IF(N901="","",F901*N901)),""))</f>
        <v/>
      </c>
      <c r="P901" s="50">
        <f>IF(OR(D901="",F901=""),"",F901*IF(OR(D901="Reçu du magasin",D901="Ajustement (+)"),1,-1))</f>
        <v/>
      </c>
      <c r="Q901" s="34">
        <f>IF(C901="","",YEAR(C901-WEEKDAY(C901,2)+4)&amp;"-S"&amp;TEXT(INT((C901-DATE(YEAR(C901-WEEKDAY(C901,2)+4),1,3)+WEEKDAY(DATE(YEAR(C901-WEEKDAY(C901,2)+4),1,3),2)+5)/7),"00"))</f>
        <v/>
      </c>
    </row>
    <row r="902" ht="18" customHeight="1">
      <c r="A902" s="39" t="n">
        <v>897</v>
      </c>
      <c r="B902" s="33">
        <f>IF(C902="","",IF(L902="À RENSEIGNER","GIC",L902)&amp;"-S"&amp;TEXT(A902,"00000"))</f>
        <v/>
      </c>
      <c r="C902" s="32" t="n"/>
      <c r="D902" s="36" t="n"/>
      <c r="E902" s="36" t="n"/>
      <c r="F902" s="42" t="n"/>
      <c r="G902" s="36" t="n"/>
      <c r="H902" s="43" t="n"/>
      <c r="I902" s="37" t="n"/>
      <c r="J902" s="44" t="n"/>
      <c r="K902" s="36" t="n"/>
      <c r="L902" s="33">
        <f>IF(C902="","",Commercial_Id)</f>
        <v/>
      </c>
      <c r="M902" s="34">
        <f>IF(E902="","",IFERROR(VLOOKUP(E902,T_Produits,2,FALSE),""))</f>
        <v/>
      </c>
      <c r="N902" s="40">
        <f>IF(E902="","",IFERROR(1/(1/VLOOKUP(E902,T_Produits,3,FALSE)),""))</f>
        <v/>
      </c>
      <c r="O902" s="40">
        <f>IF(OR(D902="",F902=""),"",IF(OR(D902="Casse / avarie",D902="Perte / vol",D902="Échantillon offert"),IF(I902&lt;&gt;"",I902,IF(N902="","",F902*N902)),""))</f>
        <v/>
      </c>
      <c r="P902" s="50">
        <f>IF(OR(D902="",F902=""),"",F902*IF(OR(D902="Reçu du magasin",D902="Ajustement (+)"),1,-1))</f>
        <v/>
      </c>
      <c r="Q902" s="34">
        <f>IF(C902="","",YEAR(C902-WEEKDAY(C902,2)+4)&amp;"-S"&amp;TEXT(INT((C902-DATE(YEAR(C902-WEEKDAY(C902,2)+4),1,3)+WEEKDAY(DATE(YEAR(C902-WEEKDAY(C902,2)+4),1,3),2)+5)/7),"00"))</f>
        <v/>
      </c>
    </row>
    <row r="903" ht="18" customHeight="1">
      <c r="A903" s="39" t="n">
        <v>898</v>
      </c>
      <c r="B903" s="33">
        <f>IF(C903="","",IF(L903="À RENSEIGNER","GIC",L903)&amp;"-S"&amp;TEXT(A903,"00000"))</f>
        <v/>
      </c>
      <c r="C903" s="32" t="n"/>
      <c r="D903" s="36" t="n"/>
      <c r="E903" s="36" t="n"/>
      <c r="F903" s="42" t="n"/>
      <c r="G903" s="36" t="n"/>
      <c r="H903" s="43" t="n"/>
      <c r="I903" s="37" t="n"/>
      <c r="J903" s="44" t="n"/>
      <c r="K903" s="36" t="n"/>
      <c r="L903" s="33">
        <f>IF(C903="","",Commercial_Id)</f>
        <v/>
      </c>
      <c r="M903" s="34">
        <f>IF(E903="","",IFERROR(VLOOKUP(E903,T_Produits,2,FALSE),""))</f>
        <v/>
      </c>
      <c r="N903" s="40">
        <f>IF(E903="","",IFERROR(1/(1/VLOOKUP(E903,T_Produits,3,FALSE)),""))</f>
        <v/>
      </c>
      <c r="O903" s="40">
        <f>IF(OR(D903="",F903=""),"",IF(OR(D903="Casse / avarie",D903="Perte / vol",D903="Échantillon offert"),IF(I903&lt;&gt;"",I903,IF(N903="","",F903*N903)),""))</f>
        <v/>
      </c>
      <c r="P903" s="50">
        <f>IF(OR(D903="",F903=""),"",F903*IF(OR(D903="Reçu du magasin",D903="Ajustement (+)"),1,-1))</f>
        <v/>
      </c>
      <c r="Q903" s="34">
        <f>IF(C903="","",YEAR(C903-WEEKDAY(C903,2)+4)&amp;"-S"&amp;TEXT(INT((C903-DATE(YEAR(C903-WEEKDAY(C903,2)+4),1,3)+WEEKDAY(DATE(YEAR(C903-WEEKDAY(C903,2)+4),1,3),2)+5)/7),"00"))</f>
        <v/>
      </c>
    </row>
    <row r="904" ht="18" customHeight="1">
      <c r="A904" s="39" t="n">
        <v>899</v>
      </c>
      <c r="B904" s="33">
        <f>IF(C904="","",IF(L904="À RENSEIGNER","GIC",L904)&amp;"-S"&amp;TEXT(A904,"00000"))</f>
        <v/>
      </c>
      <c r="C904" s="32" t="n"/>
      <c r="D904" s="36" t="n"/>
      <c r="E904" s="36" t="n"/>
      <c r="F904" s="42" t="n"/>
      <c r="G904" s="36" t="n"/>
      <c r="H904" s="43" t="n"/>
      <c r="I904" s="37" t="n"/>
      <c r="J904" s="44" t="n"/>
      <c r="K904" s="36" t="n"/>
      <c r="L904" s="33">
        <f>IF(C904="","",Commercial_Id)</f>
        <v/>
      </c>
      <c r="M904" s="34">
        <f>IF(E904="","",IFERROR(VLOOKUP(E904,T_Produits,2,FALSE),""))</f>
        <v/>
      </c>
      <c r="N904" s="40">
        <f>IF(E904="","",IFERROR(1/(1/VLOOKUP(E904,T_Produits,3,FALSE)),""))</f>
        <v/>
      </c>
      <c r="O904" s="40">
        <f>IF(OR(D904="",F904=""),"",IF(OR(D904="Casse / avarie",D904="Perte / vol",D904="Échantillon offert"),IF(I904&lt;&gt;"",I904,IF(N904="","",F904*N904)),""))</f>
        <v/>
      </c>
      <c r="P904" s="50">
        <f>IF(OR(D904="",F904=""),"",F904*IF(OR(D904="Reçu du magasin",D904="Ajustement (+)"),1,-1))</f>
        <v/>
      </c>
      <c r="Q904" s="34">
        <f>IF(C904="","",YEAR(C904-WEEKDAY(C904,2)+4)&amp;"-S"&amp;TEXT(INT((C904-DATE(YEAR(C904-WEEKDAY(C904,2)+4),1,3)+WEEKDAY(DATE(YEAR(C904-WEEKDAY(C904,2)+4),1,3),2)+5)/7),"00"))</f>
        <v/>
      </c>
    </row>
    <row r="905" ht="18" customHeight="1">
      <c r="A905" s="39" t="n">
        <v>900</v>
      </c>
      <c r="B905" s="33">
        <f>IF(C905="","",IF(L905="À RENSEIGNER","GIC",L905)&amp;"-S"&amp;TEXT(A905,"00000"))</f>
        <v/>
      </c>
      <c r="C905" s="32" t="n"/>
      <c r="D905" s="36" t="n"/>
      <c r="E905" s="36" t="n"/>
      <c r="F905" s="42" t="n"/>
      <c r="G905" s="36" t="n"/>
      <c r="H905" s="43" t="n"/>
      <c r="I905" s="37" t="n"/>
      <c r="J905" s="44" t="n"/>
      <c r="K905" s="36" t="n"/>
      <c r="L905" s="33">
        <f>IF(C905="","",Commercial_Id)</f>
        <v/>
      </c>
      <c r="M905" s="34">
        <f>IF(E905="","",IFERROR(VLOOKUP(E905,T_Produits,2,FALSE),""))</f>
        <v/>
      </c>
      <c r="N905" s="40">
        <f>IF(E905="","",IFERROR(1/(1/VLOOKUP(E905,T_Produits,3,FALSE)),""))</f>
        <v/>
      </c>
      <c r="O905" s="40">
        <f>IF(OR(D905="",F905=""),"",IF(OR(D905="Casse / avarie",D905="Perte / vol",D905="Échantillon offert"),IF(I905&lt;&gt;"",I905,IF(N905="","",F905*N905)),""))</f>
        <v/>
      </c>
      <c r="P905" s="50">
        <f>IF(OR(D905="",F905=""),"",F905*IF(OR(D905="Reçu du magasin",D905="Ajustement (+)"),1,-1))</f>
        <v/>
      </c>
      <c r="Q905" s="34">
        <f>IF(C905="","",YEAR(C905-WEEKDAY(C905,2)+4)&amp;"-S"&amp;TEXT(INT((C905-DATE(YEAR(C905-WEEKDAY(C905,2)+4),1,3)+WEEKDAY(DATE(YEAR(C905-WEEKDAY(C905,2)+4),1,3),2)+5)/7),"00"))</f>
        <v/>
      </c>
    </row>
    <row r="906" ht="18" customHeight="1">
      <c r="A906" s="39" t="n">
        <v>901</v>
      </c>
      <c r="B906" s="33">
        <f>IF(C906="","",IF(L906="À RENSEIGNER","GIC",L906)&amp;"-S"&amp;TEXT(A906,"00000"))</f>
        <v/>
      </c>
      <c r="C906" s="32" t="n"/>
      <c r="D906" s="36" t="n"/>
      <c r="E906" s="36" t="n"/>
      <c r="F906" s="42" t="n"/>
      <c r="G906" s="36" t="n"/>
      <c r="H906" s="43" t="n"/>
      <c r="I906" s="37" t="n"/>
      <c r="J906" s="44" t="n"/>
      <c r="K906" s="36" t="n"/>
      <c r="L906" s="33">
        <f>IF(C906="","",Commercial_Id)</f>
        <v/>
      </c>
      <c r="M906" s="34">
        <f>IF(E906="","",IFERROR(VLOOKUP(E906,T_Produits,2,FALSE),""))</f>
        <v/>
      </c>
      <c r="N906" s="40">
        <f>IF(E906="","",IFERROR(1/(1/VLOOKUP(E906,T_Produits,3,FALSE)),""))</f>
        <v/>
      </c>
      <c r="O906" s="40">
        <f>IF(OR(D906="",F906=""),"",IF(OR(D906="Casse / avarie",D906="Perte / vol",D906="Échantillon offert"),IF(I906&lt;&gt;"",I906,IF(N906="","",F906*N906)),""))</f>
        <v/>
      </c>
      <c r="P906" s="50">
        <f>IF(OR(D906="",F906=""),"",F906*IF(OR(D906="Reçu du magasin",D906="Ajustement (+)"),1,-1))</f>
        <v/>
      </c>
      <c r="Q906" s="34">
        <f>IF(C906="","",YEAR(C906-WEEKDAY(C906,2)+4)&amp;"-S"&amp;TEXT(INT((C906-DATE(YEAR(C906-WEEKDAY(C906,2)+4),1,3)+WEEKDAY(DATE(YEAR(C906-WEEKDAY(C906,2)+4),1,3),2)+5)/7),"00"))</f>
        <v/>
      </c>
    </row>
    <row r="907" ht="18" customHeight="1">
      <c r="A907" s="39" t="n">
        <v>902</v>
      </c>
      <c r="B907" s="33">
        <f>IF(C907="","",IF(L907="À RENSEIGNER","GIC",L907)&amp;"-S"&amp;TEXT(A907,"00000"))</f>
        <v/>
      </c>
      <c r="C907" s="32" t="n"/>
      <c r="D907" s="36" t="n"/>
      <c r="E907" s="36" t="n"/>
      <c r="F907" s="42" t="n"/>
      <c r="G907" s="36" t="n"/>
      <c r="H907" s="43" t="n"/>
      <c r="I907" s="37" t="n"/>
      <c r="J907" s="44" t="n"/>
      <c r="K907" s="36" t="n"/>
      <c r="L907" s="33">
        <f>IF(C907="","",Commercial_Id)</f>
        <v/>
      </c>
      <c r="M907" s="34">
        <f>IF(E907="","",IFERROR(VLOOKUP(E907,T_Produits,2,FALSE),""))</f>
        <v/>
      </c>
      <c r="N907" s="40">
        <f>IF(E907="","",IFERROR(1/(1/VLOOKUP(E907,T_Produits,3,FALSE)),""))</f>
        <v/>
      </c>
      <c r="O907" s="40">
        <f>IF(OR(D907="",F907=""),"",IF(OR(D907="Casse / avarie",D907="Perte / vol",D907="Échantillon offert"),IF(I907&lt;&gt;"",I907,IF(N907="","",F907*N907)),""))</f>
        <v/>
      </c>
      <c r="P907" s="50">
        <f>IF(OR(D907="",F907=""),"",F907*IF(OR(D907="Reçu du magasin",D907="Ajustement (+)"),1,-1))</f>
        <v/>
      </c>
      <c r="Q907" s="34">
        <f>IF(C907="","",YEAR(C907-WEEKDAY(C907,2)+4)&amp;"-S"&amp;TEXT(INT((C907-DATE(YEAR(C907-WEEKDAY(C907,2)+4),1,3)+WEEKDAY(DATE(YEAR(C907-WEEKDAY(C907,2)+4),1,3),2)+5)/7),"00"))</f>
        <v/>
      </c>
    </row>
    <row r="908" ht="18" customHeight="1">
      <c r="A908" s="39" t="n">
        <v>903</v>
      </c>
      <c r="B908" s="33">
        <f>IF(C908="","",IF(L908="À RENSEIGNER","GIC",L908)&amp;"-S"&amp;TEXT(A908,"00000"))</f>
        <v/>
      </c>
      <c r="C908" s="32" t="n"/>
      <c r="D908" s="36" t="n"/>
      <c r="E908" s="36" t="n"/>
      <c r="F908" s="42" t="n"/>
      <c r="G908" s="36" t="n"/>
      <c r="H908" s="43" t="n"/>
      <c r="I908" s="37" t="n"/>
      <c r="J908" s="44" t="n"/>
      <c r="K908" s="36" t="n"/>
      <c r="L908" s="33">
        <f>IF(C908="","",Commercial_Id)</f>
        <v/>
      </c>
      <c r="M908" s="34">
        <f>IF(E908="","",IFERROR(VLOOKUP(E908,T_Produits,2,FALSE),""))</f>
        <v/>
      </c>
      <c r="N908" s="40">
        <f>IF(E908="","",IFERROR(1/(1/VLOOKUP(E908,T_Produits,3,FALSE)),""))</f>
        <v/>
      </c>
      <c r="O908" s="40">
        <f>IF(OR(D908="",F908=""),"",IF(OR(D908="Casse / avarie",D908="Perte / vol",D908="Échantillon offert"),IF(I908&lt;&gt;"",I908,IF(N908="","",F908*N908)),""))</f>
        <v/>
      </c>
      <c r="P908" s="50">
        <f>IF(OR(D908="",F908=""),"",F908*IF(OR(D908="Reçu du magasin",D908="Ajustement (+)"),1,-1))</f>
        <v/>
      </c>
      <c r="Q908" s="34">
        <f>IF(C908="","",YEAR(C908-WEEKDAY(C908,2)+4)&amp;"-S"&amp;TEXT(INT((C908-DATE(YEAR(C908-WEEKDAY(C908,2)+4),1,3)+WEEKDAY(DATE(YEAR(C908-WEEKDAY(C908,2)+4),1,3),2)+5)/7),"00"))</f>
        <v/>
      </c>
    </row>
    <row r="909" ht="18" customHeight="1">
      <c r="A909" s="39" t="n">
        <v>904</v>
      </c>
      <c r="B909" s="33">
        <f>IF(C909="","",IF(L909="À RENSEIGNER","GIC",L909)&amp;"-S"&amp;TEXT(A909,"00000"))</f>
        <v/>
      </c>
      <c r="C909" s="32" t="n"/>
      <c r="D909" s="36" t="n"/>
      <c r="E909" s="36" t="n"/>
      <c r="F909" s="42" t="n"/>
      <c r="G909" s="36" t="n"/>
      <c r="H909" s="43" t="n"/>
      <c r="I909" s="37" t="n"/>
      <c r="J909" s="44" t="n"/>
      <c r="K909" s="36" t="n"/>
      <c r="L909" s="33">
        <f>IF(C909="","",Commercial_Id)</f>
        <v/>
      </c>
      <c r="M909" s="34">
        <f>IF(E909="","",IFERROR(VLOOKUP(E909,T_Produits,2,FALSE),""))</f>
        <v/>
      </c>
      <c r="N909" s="40">
        <f>IF(E909="","",IFERROR(1/(1/VLOOKUP(E909,T_Produits,3,FALSE)),""))</f>
        <v/>
      </c>
      <c r="O909" s="40">
        <f>IF(OR(D909="",F909=""),"",IF(OR(D909="Casse / avarie",D909="Perte / vol",D909="Échantillon offert"),IF(I909&lt;&gt;"",I909,IF(N909="","",F909*N909)),""))</f>
        <v/>
      </c>
      <c r="P909" s="50">
        <f>IF(OR(D909="",F909=""),"",F909*IF(OR(D909="Reçu du magasin",D909="Ajustement (+)"),1,-1))</f>
        <v/>
      </c>
      <c r="Q909" s="34">
        <f>IF(C909="","",YEAR(C909-WEEKDAY(C909,2)+4)&amp;"-S"&amp;TEXT(INT((C909-DATE(YEAR(C909-WEEKDAY(C909,2)+4),1,3)+WEEKDAY(DATE(YEAR(C909-WEEKDAY(C909,2)+4),1,3),2)+5)/7),"00"))</f>
        <v/>
      </c>
    </row>
    <row r="910" ht="18" customHeight="1">
      <c r="A910" s="39" t="n">
        <v>905</v>
      </c>
      <c r="B910" s="33">
        <f>IF(C910="","",IF(L910="À RENSEIGNER","GIC",L910)&amp;"-S"&amp;TEXT(A910,"00000"))</f>
        <v/>
      </c>
      <c r="C910" s="32" t="n"/>
      <c r="D910" s="36" t="n"/>
      <c r="E910" s="36" t="n"/>
      <c r="F910" s="42" t="n"/>
      <c r="G910" s="36" t="n"/>
      <c r="H910" s="43" t="n"/>
      <c r="I910" s="37" t="n"/>
      <c r="J910" s="44" t="n"/>
      <c r="K910" s="36" t="n"/>
      <c r="L910" s="33">
        <f>IF(C910="","",Commercial_Id)</f>
        <v/>
      </c>
      <c r="M910" s="34">
        <f>IF(E910="","",IFERROR(VLOOKUP(E910,T_Produits,2,FALSE),""))</f>
        <v/>
      </c>
      <c r="N910" s="40">
        <f>IF(E910="","",IFERROR(1/(1/VLOOKUP(E910,T_Produits,3,FALSE)),""))</f>
        <v/>
      </c>
      <c r="O910" s="40">
        <f>IF(OR(D910="",F910=""),"",IF(OR(D910="Casse / avarie",D910="Perte / vol",D910="Échantillon offert"),IF(I910&lt;&gt;"",I910,IF(N910="","",F910*N910)),""))</f>
        <v/>
      </c>
      <c r="P910" s="50">
        <f>IF(OR(D910="",F910=""),"",F910*IF(OR(D910="Reçu du magasin",D910="Ajustement (+)"),1,-1))</f>
        <v/>
      </c>
      <c r="Q910" s="34">
        <f>IF(C910="","",YEAR(C910-WEEKDAY(C910,2)+4)&amp;"-S"&amp;TEXT(INT((C910-DATE(YEAR(C910-WEEKDAY(C910,2)+4),1,3)+WEEKDAY(DATE(YEAR(C910-WEEKDAY(C910,2)+4),1,3),2)+5)/7),"00"))</f>
        <v/>
      </c>
    </row>
    <row r="911" ht="18" customHeight="1">
      <c r="A911" s="39" t="n">
        <v>906</v>
      </c>
      <c r="B911" s="33">
        <f>IF(C911="","",IF(L911="À RENSEIGNER","GIC",L911)&amp;"-S"&amp;TEXT(A911,"00000"))</f>
        <v/>
      </c>
      <c r="C911" s="32" t="n"/>
      <c r="D911" s="36" t="n"/>
      <c r="E911" s="36" t="n"/>
      <c r="F911" s="42" t="n"/>
      <c r="G911" s="36" t="n"/>
      <c r="H911" s="43" t="n"/>
      <c r="I911" s="37" t="n"/>
      <c r="J911" s="44" t="n"/>
      <c r="K911" s="36" t="n"/>
      <c r="L911" s="33">
        <f>IF(C911="","",Commercial_Id)</f>
        <v/>
      </c>
      <c r="M911" s="34">
        <f>IF(E911="","",IFERROR(VLOOKUP(E911,T_Produits,2,FALSE),""))</f>
        <v/>
      </c>
      <c r="N911" s="40">
        <f>IF(E911="","",IFERROR(1/(1/VLOOKUP(E911,T_Produits,3,FALSE)),""))</f>
        <v/>
      </c>
      <c r="O911" s="40">
        <f>IF(OR(D911="",F911=""),"",IF(OR(D911="Casse / avarie",D911="Perte / vol",D911="Échantillon offert"),IF(I911&lt;&gt;"",I911,IF(N911="","",F911*N911)),""))</f>
        <v/>
      </c>
      <c r="P911" s="50">
        <f>IF(OR(D911="",F911=""),"",F911*IF(OR(D911="Reçu du magasin",D911="Ajustement (+)"),1,-1))</f>
        <v/>
      </c>
      <c r="Q911" s="34">
        <f>IF(C911="","",YEAR(C911-WEEKDAY(C911,2)+4)&amp;"-S"&amp;TEXT(INT((C911-DATE(YEAR(C911-WEEKDAY(C911,2)+4),1,3)+WEEKDAY(DATE(YEAR(C911-WEEKDAY(C911,2)+4),1,3),2)+5)/7),"00"))</f>
        <v/>
      </c>
    </row>
    <row r="912" ht="18" customHeight="1">
      <c r="A912" s="39" t="n">
        <v>907</v>
      </c>
      <c r="B912" s="33">
        <f>IF(C912="","",IF(L912="À RENSEIGNER","GIC",L912)&amp;"-S"&amp;TEXT(A912,"00000"))</f>
        <v/>
      </c>
      <c r="C912" s="32" t="n"/>
      <c r="D912" s="36" t="n"/>
      <c r="E912" s="36" t="n"/>
      <c r="F912" s="42" t="n"/>
      <c r="G912" s="36" t="n"/>
      <c r="H912" s="43" t="n"/>
      <c r="I912" s="37" t="n"/>
      <c r="J912" s="44" t="n"/>
      <c r="K912" s="36" t="n"/>
      <c r="L912" s="33">
        <f>IF(C912="","",Commercial_Id)</f>
        <v/>
      </c>
      <c r="M912" s="34">
        <f>IF(E912="","",IFERROR(VLOOKUP(E912,T_Produits,2,FALSE),""))</f>
        <v/>
      </c>
      <c r="N912" s="40">
        <f>IF(E912="","",IFERROR(1/(1/VLOOKUP(E912,T_Produits,3,FALSE)),""))</f>
        <v/>
      </c>
      <c r="O912" s="40">
        <f>IF(OR(D912="",F912=""),"",IF(OR(D912="Casse / avarie",D912="Perte / vol",D912="Échantillon offert"),IF(I912&lt;&gt;"",I912,IF(N912="","",F912*N912)),""))</f>
        <v/>
      </c>
      <c r="P912" s="50">
        <f>IF(OR(D912="",F912=""),"",F912*IF(OR(D912="Reçu du magasin",D912="Ajustement (+)"),1,-1))</f>
        <v/>
      </c>
      <c r="Q912" s="34">
        <f>IF(C912="","",YEAR(C912-WEEKDAY(C912,2)+4)&amp;"-S"&amp;TEXT(INT((C912-DATE(YEAR(C912-WEEKDAY(C912,2)+4),1,3)+WEEKDAY(DATE(YEAR(C912-WEEKDAY(C912,2)+4),1,3),2)+5)/7),"00"))</f>
        <v/>
      </c>
    </row>
    <row r="913" ht="18" customHeight="1">
      <c r="A913" s="39" t="n">
        <v>908</v>
      </c>
      <c r="B913" s="33">
        <f>IF(C913="","",IF(L913="À RENSEIGNER","GIC",L913)&amp;"-S"&amp;TEXT(A913,"00000"))</f>
        <v/>
      </c>
      <c r="C913" s="32" t="n"/>
      <c r="D913" s="36" t="n"/>
      <c r="E913" s="36" t="n"/>
      <c r="F913" s="42" t="n"/>
      <c r="G913" s="36" t="n"/>
      <c r="H913" s="43" t="n"/>
      <c r="I913" s="37" t="n"/>
      <c r="J913" s="44" t="n"/>
      <c r="K913" s="36" t="n"/>
      <c r="L913" s="33">
        <f>IF(C913="","",Commercial_Id)</f>
        <v/>
      </c>
      <c r="M913" s="34">
        <f>IF(E913="","",IFERROR(VLOOKUP(E913,T_Produits,2,FALSE),""))</f>
        <v/>
      </c>
      <c r="N913" s="40">
        <f>IF(E913="","",IFERROR(1/(1/VLOOKUP(E913,T_Produits,3,FALSE)),""))</f>
        <v/>
      </c>
      <c r="O913" s="40">
        <f>IF(OR(D913="",F913=""),"",IF(OR(D913="Casse / avarie",D913="Perte / vol",D913="Échantillon offert"),IF(I913&lt;&gt;"",I913,IF(N913="","",F913*N913)),""))</f>
        <v/>
      </c>
      <c r="P913" s="50">
        <f>IF(OR(D913="",F913=""),"",F913*IF(OR(D913="Reçu du magasin",D913="Ajustement (+)"),1,-1))</f>
        <v/>
      </c>
      <c r="Q913" s="34">
        <f>IF(C913="","",YEAR(C913-WEEKDAY(C913,2)+4)&amp;"-S"&amp;TEXT(INT((C913-DATE(YEAR(C913-WEEKDAY(C913,2)+4),1,3)+WEEKDAY(DATE(YEAR(C913-WEEKDAY(C913,2)+4),1,3),2)+5)/7),"00"))</f>
        <v/>
      </c>
    </row>
    <row r="914" ht="18" customHeight="1">
      <c r="A914" s="39" t="n">
        <v>909</v>
      </c>
      <c r="B914" s="33">
        <f>IF(C914="","",IF(L914="À RENSEIGNER","GIC",L914)&amp;"-S"&amp;TEXT(A914,"00000"))</f>
        <v/>
      </c>
      <c r="C914" s="32" t="n"/>
      <c r="D914" s="36" t="n"/>
      <c r="E914" s="36" t="n"/>
      <c r="F914" s="42" t="n"/>
      <c r="G914" s="36" t="n"/>
      <c r="H914" s="43" t="n"/>
      <c r="I914" s="37" t="n"/>
      <c r="J914" s="44" t="n"/>
      <c r="K914" s="36" t="n"/>
      <c r="L914" s="33">
        <f>IF(C914="","",Commercial_Id)</f>
        <v/>
      </c>
      <c r="M914" s="34">
        <f>IF(E914="","",IFERROR(VLOOKUP(E914,T_Produits,2,FALSE),""))</f>
        <v/>
      </c>
      <c r="N914" s="40">
        <f>IF(E914="","",IFERROR(1/(1/VLOOKUP(E914,T_Produits,3,FALSE)),""))</f>
        <v/>
      </c>
      <c r="O914" s="40">
        <f>IF(OR(D914="",F914=""),"",IF(OR(D914="Casse / avarie",D914="Perte / vol",D914="Échantillon offert"),IF(I914&lt;&gt;"",I914,IF(N914="","",F914*N914)),""))</f>
        <v/>
      </c>
      <c r="P914" s="50">
        <f>IF(OR(D914="",F914=""),"",F914*IF(OR(D914="Reçu du magasin",D914="Ajustement (+)"),1,-1))</f>
        <v/>
      </c>
      <c r="Q914" s="34">
        <f>IF(C914="","",YEAR(C914-WEEKDAY(C914,2)+4)&amp;"-S"&amp;TEXT(INT((C914-DATE(YEAR(C914-WEEKDAY(C914,2)+4),1,3)+WEEKDAY(DATE(YEAR(C914-WEEKDAY(C914,2)+4),1,3),2)+5)/7),"00"))</f>
        <v/>
      </c>
    </row>
    <row r="915" ht="18" customHeight="1">
      <c r="A915" s="39" t="n">
        <v>910</v>
      </c>
      <c r="B915" s="33">
        <f>IF(C915="","",IF(L915="À RENSEIGNER","GIC",L915)&amp;"-S"&amp;TEXT(A915,"00000"))</f>
        <v/>
      </c>
      <c r="C915" s="32" t="n"/>
      <c r="D915" s="36" t="n"/>
      <c r="E915" s="36" t="n"/>
      <c r="F915" s="42" t="n"/>
      <c r="G915" s="36" t="n"/>
      <c r="H915" s="43" t="n"/>
      <c r="I915" s="37" t="n"/>
      <c r="J915" s="44" t="n"/>
      <c r="K915" s="36" t="n"/>
      <c r="L915" s="33">
        <f>IF(C915="","",Commercial_Id)</f>
        <v/>
      </c>
      <c r="M915" s="34">
        <f>IF(E915="","",IFERROR(VLOOKUP(E915,T_Produits,2,FALSE),""))</f>
        <v/>
      </c>
      <c r="N915" s="40">
        <f>IF(E915="","",IFERROR(1/(1/VLOOKUP(E915,T_Produits,3,FALSE)),""))</f>
        <v/>
      </c>
      <c r="O915" s="40">
        <f>IF(OR(D915="",F915=""),"",IF(OR(D915="Casse / avarie",D915="Perte / vol",D915="Échantillon offert"),IF(I915&lt;&gt;"",I915,IF(N915="","",F915*N915)),""))</f>
        <v/>
      </c>
      <c r="P915" s="50">
        <f>IF(OR(D915="",F915=""),"",F915*IF(OR(D915="Reçu du magasin",D915="Ajustement (+)"),1,-1))</f>
        <v/>
      </c>
      <c r="Q915" s="34">
        <f>IF(C915="","",YEAR(C915-WEEKDAY(C915,2)+4)&amp;"-S"&amp;TEXT(INT((C915-DATE(YEAR(C915-WEEKDAY(C915,2)+4),1,3)+WEEKDAY(DATE(YEAR(C915-WEEKDAY(C915,2)+4),1,3),2)+5)/7),"00"))</f>
        <v/>
      </c>
    </row>
    <row r="916" ht="18" customHeight="1">
      <c r="A916" s="39" t="n">
        <v>911</v>
      </c>
      <c r="B916" s="33">
        <f>IF(C916="","",IF(L916="À RENSEIGNER","GIC",L916)&amp;"-S"&amp;TEXT(A916,"00000"))</f>
        <v/>
      </c>
      <c r="C916" s="32" t="n"/>
      <c r="D916" s="36" t="n"/>
      <c r="E916" s="36" t="n"/>
      <c r="F916" s="42" t="n"/>
      <c r="G916" s="36" t="n"/>
      <c r="H916" s="43" t="n"/>
      <c r="I916" s="37" t="n"/>
      <c r="J916" s="44" t="n"/>
      <c r="K916" s="36" t="n"/>
      <c r="L916" s="33">
        <f>IF(C916="","",Commercial_Id)</f>
        <v/>
      </c>
      <c r="M916" s="34">
        <f>IF(E916="","",IFERROR(VLOOKUP(E916,T_Produits,2,FALSE),""))</f>
        <v/>
      </c>
      <c r="N916" s="40">
        <f>IF(E916="","",IFERROR(1/(1/VLOOKUP(E916,T_Produits,3,FALSE)),""))</f>
        <v/>
      </c>
      <c r="O916" s="40">
        <f>IF(OR(D916="",F916=""),"",IF(OR(D916="Casse / avarie",D916="Perte / vol",D916="Échantillon offert"),IF(I916&lt;&gt;"",I916,IF(N916="","",F916*N916)),""))</f>
        <v/>
      </c>
      <c r="P916" s="50">
        <f>IF(OR(D916="",F916=""),"",F916*IF(OR(D916="Reçu du magasin",D916="Ajustement (+)"),1,-1))</f>
        <v/>
      </c>
      <c r="Q916" s="34">
        <f>IF(C916="","",YEAR(C916-WEEKDAY(C916,2)+4)&amp;"-S"&amp;TEXT(INT((C916-DATE(YEAR(C916-WEEKDAY(C916,2)+4),1,3)+WEEKDAY(DATE(YEAR(C916-WEEKDAY(C916,2)+4),1,3),2)+5)/7),"00"))</f>
        <v/>
      </c>
    </row>
    <row r="917" ht="18" customHeight="1">
      <c r="A917" s="39" t="n">
        <v>912</v>
      </c>
      <c r="B917" s="33">
        <f>IF(C917="","",IF(L917="À RENSEIGNER","GIC",L917)&amp;"-S"&amp;TEXT(A917,"00000"))</f>
        <v/>
      </c>
      <c r="C917" s="32" t="n"/>
      <c r="D917" s="36" t="n"/>
      <c r="E917" s="36" t="n"/>
      <c r="F917" s="42" t="n"/>
      <c r="G917" s="36" t="n"/>
      <c r="H917" s="43" t="n"/>
      <c r="I917" s="37" t="n"/>
      <c r="J917" s="44" t="n"/>
      <c r="K917" s="36" t="n"/>
      <c r="L917" s="33">
        <f>IF(C917="","",Commercial_Id)</f>
        <v/>
      </c>
      <c r="M917" s="34">
        <f>IF(E917="","",IFERROR(VLOOKUP(E917,T_Produits,2,FALSE),""))</f>
        <v/>
      </c>
      <c r="N917" s="40">
        <f>IF(E917="","",IFERROR(1/(1/VLOOKUP(E917,T_Produits,3,FALSE)),""))</f>
        <v/>
      </c>
      <c r="O917" s="40">
        <f>IF(OR(D917="",F917=""),"",IF(OR(D917="Casse / avarie",D917="Perte / vol",D917="Échantillon offert"),IF(I917&lt;&gt;"",I917,IF(N917="","",F917*N917)),""))</f>
        <v/>
      </c>
      <c r="P917" s="50">
        <f>IF(OR(D917="",F917=""),"",F917*IF(OR(D917="Reçu du magasin",D917="Ajustement (+)"),1,-1))</f>
        <v/>
      </c>
      <c r="Q917" s="34">
        <f>IF(C917="","",YEAR(C917-WEEKDAY(C917,2)+4)&amp;"-S"&amp;TEXT(INT((C917-DATE(YEAR(C917-WEEKDAY(C917,2)+4),1,3)+WEEKDAY(DATE(YEAR(C917-WEEKDAY(C917,2)+4),1,3),2)+5)/7),"00"))</f>
        <v/>
      </c>
    </row>
    <row r="918" ht="18" customHeight="1">
      <c r="A918" s="39" t="n">
        <v>913</v>
      </c>
      <c r="B918" s="33">
        <f>IF(C918="","",IF(L918="À RENSEIGNER","GIC",L918)&amp;"-S"&amp;TEXT(A918,"00000"))</f>
        <v/>
      </c>
      <c r="C918" s="32" t="n"/>
      <c r="D918" s="36" t="n"/>
      <c r="E918" s="36" t="n"/>
      <c r="F918" s="42" t="n"/>
      <c r="G918" s="36" t="n"/>
      <c r="H918" s="43" t="n"/>
      <c r="I918" s="37" t="n"/>
      <c r="J918" s="44" t="n"/>
      <c r="K918" s="36" t="n"/>
      <c r="L918" s="33">
        <f>IF(C918="","",Commercial_Id)</f>
        <v/>
      </c>
      <c r="M918" s="34">
        <f>IF(E918="","",IFERROR(VLOOKUP(E918,T_Produits,2,FALSE),""))</f>
        <v/>
      </c>
      <c r="N918" s="40">
        <f>IF(E918="","",IFERROR(1/(1/VLOOKUP(E918,T_Produits,3,FALSE)),""))</f>
        <v/>
      </c>
      <c r="O918" s="40">
        <f>IF(OR(D918="",F918=""),"",IF(OR(D918="Casse / avarie",D918="Perte / vol",D918="Échantillon offert"),IF(I918&lt;&gt;"",I918,IF(N918="","",F918*N918)),""))</f>
        <v/>
      </c>
      <c r="P918" s="50">
        <f>IF(OR(D918="",F918=""),"",F918*IF(OR(D918="Reçu du magasin",D918="Ajustement (+)"),1,-1))</f>
        <v/>
      </c>
      <c r="Q918" s="34">
        <f>IF(C918="","",YEAR(C918-WEEKDAY(C918,2)+4)&amp;"-S"&amp;TEXT(INT((C918-DATE(YEAR(C918-WEEKDAY(C918,2)+4),1,3)+WEEKDAY(DATE(YEAR(C918-WEEKDAY(C918,2)+4),1,3),2)+5)/7),"00"))</f>
        <v/>
      </c>
    </row>
    <row r="919" ht="18" customHeight="1">
      <c r="A919" s="39" t="n">
        <v>914</v>
      </c>
      <c r="B919" s="33">
        <f>IF(C919="","",IF(L919="À RENSEIGNER","GIC",L919)&amp;"-S"&amp;TEXT(A919,"00000"))</f>
        <v/>
      </c>
      <c r="C919" s="32" t="n"/>
      <c r="D919" s="36" t="n"/>
      <c r="E919" s="36" t="n"/>
      <c r="F919" s="42" t="n"/>
      <c r="G919" s="36" t="n"/>
      <c r="H919" s="43" t="n"/>
      <c r="I919" s="37" t="n"/>
      <c r="J919" s="44" t="n"/>
      <c r="K919" s="36" t="n"/>
      <c r="L919" s="33">
        <f>IF(C919="","",Commercial_Id)</f>
        <v/>
      </c>
      <c r="M919" s="34">
        <f>IF(E919="","",IFERROR(VLOOKUP(E919,T_Produits,2,FALSE),""))</f>
        <v/>
      </c>
      <c r="N919" s="40">
        <f>IF(E919="","",IFERROR(1/(1/VLOOKUP(E919,T_Produits,3,FALSE)),""))</f>
        <v/>
      </c>
      <c r="O919" s="40">
        <f>IF(OR(D919="",F919=""),"",IF(OR(D919="Casse / avarie",D919="Perte / vol",D919="Échantillon offert"),IF(I919&lt;&gt;"",I919,IF(N919="","",F919*N919)),""))</f>
        <v/>
      </c>
      <c r="P919" s="50">
        <f>IF(OR(D919="",F919=""),"",F919*IF(OR(D919="Reçu du magasin",D919="Ajustement (+)"),1,-1))</f>
        <v/>
      </c>
      <c r="Q919" s="34">
        <f>IF(C919="","",YEAR(C919-WEEKDAY(C919,2)+4)&amp;"-S"&amp;TEXT(INT((C919-DATE(YEAR(C919-WEEKDAY(C919,2)+4),1,3)+WEEKDAY(DATE(YEAR(C919-WEEKDAY(C919,2)+4),1,3),2)+5)/7),"00"))</f>
        <v/>
      </c>
    </row>
    <row r="920" ht="18" customHeight="1">
      <c r="A920" s="39" t="n">
        <v>915</v>
      </c>
      <c r="B920" s="33">
        <f>IF(C920="","",IF(L920="À RENSEIGNER","GIC",L920)&amp;"-S"&amp;TEXT(A920,"00000"))</f>
        <v/>
      </c>
      <c r="C920" s="32" t="n"/>
      <c r="D920" s="36" t="n"/>
      <c r="E920" s="36" t="n"/>
      <c r="F920" s="42" t="n"/>
      <c r="G920" s="36" t="n"/>
      <c r="H920" s="43" t="n"/>
      <c r="I920" s="37" t="n"/>
      <c r="J920" s="44" t="n"/>
      <c r="K920" s="36" t="n"/>
      <c r="L920" s="33">
        <f>IF(C920="","",Commercial_Id)</f>
        <v/>
      </c>
      <c r="M920" s="34">
        <f>IF(E920="","",IFERROR(VLOOKUP(E920,T_Produits,2,FALSE),""))</f>
        <v/>
      </c>
      <c r="N920" s="40">
        <f>IF(E920="","",IFERROR(1/(1/VLOOKUP(E920,T_Produits,3,FALSE)),""))</f>
        <v/>
      </c>
      <c r="O920" s="40">
        <f>IF(OR(D920="",F920=""),"",IF(OR(D920="Casse / avarie",D920="Perte / vol",D920="Échantillon offert"),IF(I920&lt;&gt;"",I920,IF(N920="","",F920*N920)),""))</f>
        <v/>
      </c>
      <c r="P920" s="50">
        <f>IF(OR(D920="",F920=""),"",F920*IF(OR(D920="Reçu du magasin",D920="Ajustement (+)"),1,-1))</f>
        <v/>
      </c>
      <c r="Q920" s="34">
        <f>IF(C920="","",YEAR(C920-WEEKDAY(C920,2)+4)&amp;"-S"&amp;TEXT(INT((C920-DATE(YEAR(C920-WEEKDAY(C920,2)+4),1,3)+WEEKDAY(DATE(YEAR(C920-WEEKDAY(C920,2)+4),1,3),2)+5)/7),"00"))</f>
        <v/>
      </c>
    </row>
    <row r="921" ht="18" customHeight="1">
      <c r="A921" s="39" t="n">
        <v>916</v>
      </c>
      <c r="B921" s="33">
        <f>IF(C921="","",IF(L921="À RENSEIGNER","GIC",L921)&amp;"-S"&amp;TEXT(A921,"00000"))</f>
        <v/>
      </c>
      <c r="C921" s="32" t="n"/>
      <c r="D921" s="36" t="n"/>
      <c r="E921" s="36" t="n"/>
      <c r="F921" s="42" t="n"/>
      <c r="G921" s="36" t="n"/>
      <c r="H921" s="43" t="n"/>
      <c r="I921" s="37" t="n"/>
      <c r="J921" s="44" t="n"/>
      <c r="K921" s="36" t="n"/>
      <c r="L921" s="33">
        <f>IF(C921="","",Commercial_Id)</f>
        <v/>
      </c>
      <c r="M921" s="34">
        <f>IF(E921="","",IFERROR(VLOOKUP(E921,T_Produits,2,FALSE),""))</f>
        <v/>
      </c>
      <c r="N921" s="40">
        <f>IF(E921="","",IFERROR(1/(1/VLOOKUP(E921,T_Produits,3,FALSE)),""))</f>
        <v/>
      </c>
      <c r="O921" s="40">
        <f>IF(OR(D921="",F921=""),"",IF(OR(D921="Casse / avarie",D921="Perte / vol",D921="Échantillon offert"),IF(I921&lt;&gt;"",I921,IF(N921="","",F921*N921)),""))</f>
        <v/>
      </c>
      <c r="P921" s="50">
        <f>IF(OR(D921="",F921=""),"",F921*IF(OR(D921="Reçu du magasin",D921="Ajustement (+)"),1,-1))</f>
        <v/>
      </c>
      <c r="Q921" s="34">
        <f>IF(C921="","",YEAR(C921-WEEKDAY(C921,2)+4)&amp;"-S"&amp;TEXT(INT((C921-DATE(YEAR(C921-WEEKDAY(C921,2)+4),1,3)+WEEKDAY(DATE(YEAR(C921-WEEKDAY(C921,2)+4),1,3),2)+5)/7),"00"))</f>
        <v/>
      </c>
    </row>
    <row r="922" ht="18" customHeight="1">
      <c r="A922" s="39" t="n">
        <v>917</v>
      </c>
      <c r="B922" s="33">
        <f>IF(C922="","",IF(L922="À RENSEIGNER","GIC",L922)&amp;"-S"&amp;TEXT(A922,"00000"))</f>
        <v/>
      </c>
      <c r="C922" s="32" t="n"/>
      <c r="D922" s="36" t="n"/>
      <c r="E922" s="36" t="n"/>
      <c r="F922" s="42" t="n"/>
      <c r="G922" s="36" t="n"/>
      <c r="H922" s="43" t="n"/>
      <c r="I922" s="37" t="n"/>
      <c r="J922" s="44" t="n"/>
      <c r="K922" s="36" t="n"/>
      <c r="L922" s="33">
        <f>IF(C922="","",Commercial_Id)</f>
        <v/>
      </c>
      <c r="M922" s="34">
        <f>IF(E922="","",IFERROR(VLOOKUP(E922,T_Produits,2,FALSE),""))</f>
        <v/>
      </c>
      <c r="N922" s="40">
        <f>IF(E922="","",IFERROR(1/(1/VLOOKUP(E922,T_Produits,3,FALSE)),""))</f>
        <v/>
      </c>
      <c r="O922" s="40">
        <f>IF(OR(D922="",F922=""),"",IF(OR(D922="Casse / avarie",D922="Perte / vol",D922="Échantillon offert"),IF(I922&lt;&gt;"",I922,IF(N922="","",F922*N922)),""))</f>
        <v/>
      </c>
      <c r="P922" s="50">
        <f>IF(OR(D922="",F922=""),"",F922*IF(OR(D922="Reçu du magasin",D922="Ajustement (+)"),1,-1))</f>
        <v/>
      </c>
      <c r="Q922" s="34">
        <f>IF(C922="","",YEAR(C922-WEEKDAY(C922,2)+4)&amp;"-S"&amp;TEXT(INT((C922-DATE(YEAR(C922-WEEKDAY(C922,2)+4),1,3)+WEEKDAY(DATE(YEAR(C922-WEEKDAY(C922,2)+4),1,3),2)+5)/7),"00"))</f>
        <v/>
      </c>
    </row>
    <row r="923" ht="18" customHeight="1">
      <c r="A923" s="39" t="n">
        <v>918</v>
      </c>
      <c r="B923" s="33">
        <f>IF(C923="","",IF(L923="À RENSEIGNER","GIC",L923)&amp;"-S"&amp;TEXT(A923,"00000"))</f>
        <v/>
      </c>
      <c r="C923" s="32" t="n"/>
      <c r="D923" s="36" t="n"/>
      <c r="E923" s="36" t="n"/>
      <c r="F923" s="42" t="n"/>
      <c r="G923" s="36" t="n"/>
      <c r="H923" s="43" t="n"/>
      <c r="I923" s="37" t="n"/>
      <c r="J923" s="44" t="n"/>
      <c r="K923" s="36" t="n"/>
      <c r="L923" s="33">
        <f>IF(C923="","",Commercial_Id)</f>
        <v/>
      </c>
      <c r="M923" s="34">
        <f>IF(E923="","",IFERROR(VLOOKUP(E923,T_Produits,2,FALSE),""))</f>
        <v/>
      </c>
      <c r="N923" s="40">
        <f>IF(E923="","",IFERROR(1/(1/VLOOKUP(E923,T_Produits,3,FALSE)),""))</f>
        <v/>
      </c>
      <c r="O923" s="40">
        <f>IF(OR(D923="",F923=""),"",IF(OR(D923="Casse / avarie",D923="Perte / vol",D923="Échantillon offert"),IF(I923&lt;&gt;"",I923,IF(N923="","",F923*N923)),""))</f>
        <v/>
      </c>
      <c r="P923" s="50">
        <f>IF(OR(D923="",F923=""),"",F923*IF(OR(D923="Reçu du magasin",D923="Ajustement (+)"),1,-1))</f>
        <v/>
      </c>
      <c r="Q923" s="34">
        <f>IF(C923="","",YEAR(C923-WEEKDAY(C923,2)+4)&amp;"-S"&amp;TEXT(INT((C923-DATE(YEAR(C923-WEEKDAY(C923,2)+4),1,3)+WEEKDAY(DATE(YEAR(C923-WEEKDAY(C923,2)+4),1,3),2)+5)/7),"00"))</f>
        <v/>
      </c>
    </row>
    <row r="924" ht="18" customHeight="1">
      <c r="A924" s="39" t="n">
        <v>919</v>
      </c>
      <c r="B924" s="33">
        <f>IF(C924="","",IF(L924="À RENSEIGNER","GIC",L924)&amp;"-S"&amp;TEXT(A924,"00000"))</f>
        <v/>
      </c>
      <c r="C924" s="32" t="n"/>
      <c r="D924" s="36" t="n"/>
      <c r="E924" s="36" t="n"/>
      <c r="F924" s="42" t="n"/>
      <c r="G924" s="36" t="n"/>
      <c r="H924" s="43" t="n"/>
      <c r="I924" s="37" t="n"/>
      <c r="J924" s="44" t="n"/>
      <c r="K924" s="36" t="n"/>
      <c r="L924" s="33">
        <f>IF(C924="","",Commercial_Id)</f>
        <v/>
      </c>
      <c r="M924" s="34">
        <f>IF(E924="","",IFERROR(VLOOKUP(E924,T_Produits,2,FALSE),""))</f>
        <v/>
      </c>
      <c r="N924" s="40">
        <f>IF(E924="","",IFERROR(1/(1/VLOOKUP(E924,T_Produits,3,FALSE)),""))</f>
        <v/>
      </c>
      <c r="O924" s="40">
        <f>IF(OR(D924="",F924=""),"",IF(OR(D924="Casse / avarie",D924="Perte / vol",D924="Échantillon offert"),IF(I924&lt;&gt;"",I924,IF(N924="","",F924*N924)),""))</f>
        <v/>
      </c>
      <c r="P924" s="50">
        <f>IF(OR(D924="",F924=""),"",F924*IF(OR(D924="Reçu du magasin",D924="Ajustement (+)"),1,-1))</f>
        <v/>
      </c>
      <c r="Q924" s="34">
        <f>IF(C924="","",YEAR(C924-WEEKDAY(C924,2)+4)&amp;"-S"&amp;TEXT(INT((C924-DATE(YEAR(C924-WEEKDAY(C924,2)+4),1,3)+WEEKDAY(DATE(YEAR(C924-WEEKDAY(C924,2)+4),1,3),2)+5)/7),"00"))</f>
        <v/>
      </c>
    </row>
    <row r="925" ht="18" customHeight="1">
      <c r="A925" s="39" t="n">
        <v>920</v>
      </c>
      <c r="B925" s="33">
        <f>IF(C925="","",IF(L925="À RENSEIGNER","GIC",L925)&amp;"-S"&amp;TEXT(A925,"00000"))</f>
        <v/>
      </c>
      <c r="C925" s="32" t="n"/>
      <c r="D925" s="36" t="n"/>
      <c r="E925" s="36" t="n"/>
      <c r="F925" s="42" t="n"/>
      <c r="G925" s="36" t="n"/>
      <c r="H925" s="43" t="n"/>
      <c r="I925" s="37" t="n"/>
      <c r="J925" s="44" t="n"/>
      <c r="K925" s="36" t="n"/>
      <c r="L925" s="33">
        <f>IF(C925="","",Commercial_Id)</f>
        <v/>
      </c>
      <c r="M925" s="34">
        <f>IF(E925="","",IFERROR(VLOOKUP(E925,T_Produits,2,FALSE),""))</f>
        <v/>
      </c>
      <c r="N925" s="40">
        <f>IF(E925="","",IFERROR(1/(1/VLOOKUP(E925,T_Produits,3,FALSE)),""))</f>
        <v/>
      </c>
      <c r="O925" s="40">
        <f>IF(OR(D925="",F925=""),"",IF(OR(D925="Casse / avarie",D925="Perte / vol",D925="Échantillon offert"),IF(I925&lt;&gt;"",I925,IF(N925="","",F925*N925)),""))</f>
        <v/>
      </c>
      <c r="P925" s="50">
        <f>IF(OR(D925="",F925=""),"",F925*IF(OR(D925="Reçu du magasin",D925="Ajustement (+)"),1,-1))</f>
        <v/>
      </c>
      <c r="Q925" s="34">
        <f>IF(C925="","",YEAR(C925-WEEKDAY(C925,2)+4)&amp;"-S"&amp;TEXT(INT((C925-DATE(YEAR(C925-WEEKDAY(C925,2)+4),1,3)+WEEKDAY(DATE(YEAR(C925-WEEKDAY(C925,2)+4),1,3),2)+5)/7),"00"))</f>
        <v/>
      </c>
    </row>
    <row r="926" ht="18" customHeight="1">
      <c r="A926" s="39" t="n">
        <v>921</v>
      </c>
      <c r="B926" s="33">
        <f>IF(C926="","",IF(L926="À RENSEIGNER","GIC",L926)&amp;"-S"&amp;TEXT(A926,"00000"))</f>
        <v/>
      </c>
      <c r="C926" s="32" t="n"/>
      <c r="D926" s="36" t="n"/>
      <c r="E926" s="36" t="n"/>
      <c r="F926" s="42" t="n"/>
      <c r="G926" s="36" t="n"/>
      <c r="H926" s="43" t="n"/>
      <c r="I926" s="37" t="n"/>
      <c r="J926" s="44" t="n"/>
      <c r="K926" s="36" t="n"/>
      <c r="L926" s="33">
        <f>IF(C926="","",Commercial_Id)</f>
        <v/>
      </c>
      <c r="M926" s="34">
        <f>IF(E926="","",IFERROR(VLOOKUP(E926,T_Produits,2,FALSE),""))</f>
        <v/>
      </c>
      <c r="N926" s="40">
        <f>IF(E926="","",IFERROR(1/(1/VLOOKUP(E926,T_Produits,3,FALSE)),""))</f>
        <v/>
      </c>
      <c r="O926" s="40">
        <f>IF(OR(D926="",F926=""),"",IF(OR(D926="Casse / avarie",D926="Perte / vol",D926="Échantillon offert"),IF(I926&lt;&gt;"",I926,IF(N926="","",F926*N926)),""))</f>
        <v/>
      </c>
      <c r="P926" s="50">
        <f>IF(OR(D926="",F926=""),"",F926*IF(OR(D926="Reçu du magasin",D926="Ajustement (+)"),1,-1))</f>
        <v/>
      </c>
      <c r="Q926" s="34">
        <f>IF(C926="","",YEAR(C926-WEEKDAY(C926,2)+4)&amp;"-S"&amp;TEXT(INT((C926-DATE(YEAR(C926-WEEKDAY(C926,2)+4),1,3)+WEEKDAY(DATE(YEAR(C926-WEEKDAY(C926,2)+4),1,3),2)+5)/7),"00"))</f>
        <v/>
      </c>
    </row>
    <row r="927" ht="18" customHeight="1">
      <c r="A927" s="39" t="n">
        <v>922</v>
      </c>
      <c r="B927" s="33">
        <f>IF(C927="","",IF(L927="À RENSEIGNER","GIC",L927)&amp;"-S"&amp;TEXT(A927,"00000"))</f>
        <v/>
      </c>
      <c r="C927" s="32" t="n"/>
      <c r="D927" s="36" t="n"/>
      <c r="E927" s="36" t="n"/>
      <c r="F927" s="42" t="n"/>
      <c r="G927" s="36" t="n"/>
      <c r="H927" s="43" t="n"/>
      <c r="I927" s="37" t="n"/>
      <c r="J927" s="44" t="n"/>
      <c r="K927" s="36" t="n"/>
      <c r="L927" s="33">
        <f>IF(C927="","",Commercial_Id)</f>
        <v/>
      </c>
      <c r="M927" s="34">
        <f>IF(E927="","",IFERROR(VLOOKUP(E927,T_Produits,2,FALSE),""))</f>
        <v/>
      </c>
      <c r="N927" s="40">
        <f>IF(E927="","",IFERROR(1/(1/VLOOKUP(E927,T_Produits,3,FALSE)),""))</f>
        <v/>
      </c>
      <c r="O927" s="40">
        <f>IF(OR(D927="",F927=""),"",IF(OR(D927="Casse / avarie",D927="Perte / vol",D927="Échantillon offert"),IF(I927&lt;&gt;"",I927,IF(N927="","",F927*N927)),""))</f>
        <v/>
      </c>
      <c r="P927" s="50">
        <f>IF(OR(D927="",F927=""),"",F927*IF(OR(D927="Reçu du magasin",D927="Ajustement (+)"),1,-1))</f>
        <v/>
      </c>
      <c r="Q927" s="34">
        <f>IF(C927="","",YEAR(C927-WEEKDAY(C927,2)+4)&amp;"-S"&amp;TEXT(INT((C927-DATE(YEAR(C927-WEEKDAY(C927,2)+4),1,3)+WEEKDAY(DATE(YEAR(C927-WEEKDAY(C927,2)+4),1,3),2)+5)/7),"00"))</f>
        <v/>
      </c>
    </row>
    <row r="928" ht="18" customHeight="1">
      <c r="A928" s="39" t="n">
        <v>923</v>
      </c>
      <c r="B928" s="33">
        <f>IF(C928="","",IF(L928="À RENSEIGNER","GIC",L928)&amp;"-S"&amp;TEXT(A928,"00000"))</f>
        <v/>
      </c>
      <c r="C928" s="32" t="n"/>
      <c r="D928" s="36" t="n"/>
      <c r="E928" s="36" t="n"/>
      <c r="F928" s="42" t="n"/>
      <c r="G928" s="36" t="n"/>
      <c r="H928" s="43" t="n"/>
      <c r="I928" s="37" t="n"/>
      <c r="J928" s="44" t="n"/>
      <c r="K928" s="36" t="n"/>
      <c r="L928" s="33">
        <f>IF(C928="","",Commercial_Id)</f>
        <v/>
      </c>
      <c r="M928" s="34">
        <f>IF(E928="","",IFERROR(VLOOKUP(E928,T_Produits,2,FALSE),""))</f>
        <v/>
      </c>
      <c r="N928" s="40">
        <f>IF(E928="","",IFERROR(1/(1/VLOOKUP(E928,T_Produits,3,FALSE)),""))</f>
        <v/>
      </c>
      <c r="O928" s="40">
        <f>IF(OR(D928="",F928=""),"",IF(OR(D928="Casse / avarie",D928="Perte / vol",D928="Échantillon offert"),IF(I928&lt;&gt;"",I928,IF(N928="","",F928*N928)),""))</f>
        <v/>
      </c>
      <c r="P928" s="50">
        <f>IF(OR(D928="",F928=""),"",F928*IF(OR(D928="Reçu du magasin",D928="Ajustement (+)"),1,-1))</f>
        <v/>
      </c>
      <c r="Q928" s="34">
        <f>IF(C928="","",YEAR(C928-WEEKDAY(C928,2)+4)&amp;"-S"&amp;TEXT(INT((C928-DATE(YEAR(C928-WEEKDAY(C928,2)+4),1,3)+WEEKDAY(DATE(YEAR(C928-WEEKDAY(C928,2)+4),1,3),2)+5)/7),"00"))</f>
        <v/>
      </c>
    </row>
    <row r="929" ht="18" customHeight="1">
      <c r="A929" s="39" t="n">
        <v>924</v>
      </c>
      <c r="B929" s="33">
        <f>IF(C929="","",IF(L929="À RENSEIGNER","GIC",L929)&amp;"-S"&amp;TEXT(A929,"00000"))</f>
        <v/>
      </c>
      <c r="C929" s="32" t="n"/>
      <c r="D929" s="36" t="n"/>
      <c r="E929" s="36" t="n"/>
      <c r="F929" s="42" t="n"/>
      <c r="G929" s="36" t="n"/>
      <c r="H929" s="43" t="n"/>
      <c r="I929" s="37" t="n"/>
      <c r="J929" s="44" t="n"/>
      <c r="K929" s="36" t="n"/>
      <c r="L929" s="33">
        <f>IF(C929="","",Commercial_Id)</f>
        <v/>
      </c>
      <c r="M929" s="34">
        <f>IF(E929="","",IFERROR(VLOOKUP(E929,T_Produits,2,FALSE),""))</f>
        <v/>
      </c>
      <c r="N929" s="40">
        <f>IF(E929="","",IFERROR(1/(1/VLOOKUP(E929,T_Produits,3,FALSE)),""))</f>
        <v/>
      </c>
      <c r="O929" s="40">
        <f>IF(OR(D929="",F929=""),"",IF(OR(D929="Casse / avarie",D929="Perte / vol",D929="Échantillon offert"),IF(I929&lt;&gt;"",I929,IF(N929="","",F929*N929)),""))</f>
        <v/>
      </c>
      <c r="P929" s="50">
        <f>IF(OR(D929="",F929=""),"",F929*IF(OR(D929="Reçu du magasin",D929="Ajustement (+)"),1,-1))</f>
        <v/>
      </c>
      <c r="Q929" s="34">
        <f>IF(C929="","",YEAR(C929-WEEKDAY(C929,2)+4)&amp;"-S"&amp;TEXT(INT((C929-DATE(YEAR(C929-WEEKDAY(C929,2)+4),1,3)+WEEKDAY(DATE(YEAR(C929-WEEKDAY(C929,2)+4),1,3),2)+5)/7),"00"))</f>
        <v/>
      </c>
    </row>
    <row r="930" ht="18" customHeight="1">
      <c r="A930" s="39" t="n">
        <v>925</v>
      </c>
      <c r="B930" s="33">
        <f>IF(C930="","",IF(L930="À RENSEIGNER","GIC",L930)&amp;"-S"&amp;TEXT(A930,"00000"))</f>
        <v/>
      </c>
      <c r="C930" s="32" t="n"/>
      <c r="D930" s="36" t="n"/>
      <c r="E930" s="36" t="n"/>
      <c r="F930" s="42" t="n"/>
      <c r="G930" s="36" t="n"/>
      <c r="H930" s="43" t="n"/>
      <c r="I930" s="37" t="n"/>
      <c r="J930" s="44" t="n"/>
      <c r="K930" s="36" t="n"/>
      <c r="L930" s="33">
        <f>IF(C930="","",Commercial_Id)</f>
        <v/>
      </c>
      <c r="M930" s="34">
        <f>IF(E930="","",IFERROR(VLOOKUP(E930,T_Produits,2,FALSE),""))</f>
        <v/>
      </c>
      <c r="N930" s="40">
        <f>IF(E930="","",IFERROR(1/(1/VLOOKUP(E930,T_Produits,3,FALSE)),""))</f>
        <v/>
      </c>
      <c r="O930" s="40">
        <f>IF(OR(D930="",F930=""),"",IF(OR(D930="Casse / avarie",D930="Perte / vol",D930="Échantillon offert"),IF(I930&lt;&gt;"",I930,IF(N930="","",F930*N930)),""))</f>
        <v/>
      </c>
      <c r="P930" s="50">
        <f>IF(OR(D930="",F930=""),"",F930*IF(OR(D930="Reçu du magasin",D930="Ajustement (+)"),1,-1))</f>
        <v/>
      </c>
      <c r="Q930" s="34">
        <f>IF(C930="","",YEAR(C930-WEEKDAY(C930,2)+4)&amp;"-S"&amp;TEXT(INT((C930-DATE(YEAR(C930-WEEKDAY(C930,2)+4),1,3)+WEEKDAY(DATE(YEAR(C930-WEEKDAY(C930,2)+4),1,3),2)+5)/7),"00"))</f>
        <v/>
      </c>
    </row>
    <row r="931" ht="18" customHeight="1">
      <c r="A931" s="39" t="n">
        <v>926</v>
      </c>
      <c r="B931" s="33">
        <f>IF(C931="","",IF(L931="À RENSEIGNER","GIC",L931)&amp;"-S"&amp;TEXT(A931,"00000"))</f>
        <v/>
      </c>
      <c r="C931" s="32" t="n"/>
      <c r="D931" s="36" t="n"/>
      <c r="E931" s="36" t="n"/>
      <c r="F931" s="42" t="n"/>
      <c r="G931" s="36" t="n"/>
      <c r="H931" s="43" t="n"/>
      <c r="I931" s="37" t="n"/>
      <c r="J931" s="44" t="n"/>
      <c r="K931" s="36" t="n"/>
      <c r="L931" s="33">
        <f>IF(C931="","",Commercial_Id)</f>
        <v/>
      </c>
      <c r="M931" s="34">
        <f>IF(E931="","",IFERROR(VLOOKUP(E931,T_Produits,2,FALSE),""))</f>
        <v/>
      </c>
      <c r="N931" s="40">
        <f>IF(E931="","",IFERROR(1/(1/VLOOKUP(E931,T_Produits,3,FALSE)),""))</f>
        <v/>
      </c>
      <c r="O931" s="40">
        <f>IF(OR(D931="",F931=""),"",IF(OR(D931="Casse / avarie",D931="Perte / vol",D931="Échantillon offert"),IF(I931&lt;&gt;"",I931,IF(N931="","",F931*N931)),""))</f>
        <v/>
      </c>
      <c r="P931" s="50">
        <f>IF(OR(D931="",F931=""),"",F931*IF(OR(D931="Reçu du magasin",D931="Ajustement (+)"),1,-1))</f>
        <v/>
      </c>
      <c r="Q931" s="34">
        <f>IF(C931="","",YEAR(C931-WEEKDAY(C931,2)+4)&amp;"-S"&amp;TEXT(INT((C931-DATE(YEAR(C931-WEEKDAY(C931,2)+4),1,3)+WEEKDAY(DATE(YEAR(C931-WEEKDAY(C931,2)+4),1,3),2)+5)/7),"00"))</f>
        <v/>
      </c>
    </row>
    <row r="932" ht="18" customHeight="1">
      <c r="A932" s="39" t="n">
        <v>927</v>
      </c>
      <c r="B932" s="33">
        <f>IF(C932="","",IF(L932="À RENSEIGNER","GIC",L932)&amp;"-S"&amp;TEXT(A932,"00000"))</f>
        <v/>
      </c>
      <c r="C932" s="32" t="n"/>
      <c r="D932" s="36" t="n"/>
      <c r="E932" s="36" t="n"/>
      <c r="F932" s="42" t="n"/>
      <c r="G932" s="36" t="n"/>
      <c r="H932" s="43" t="n"/>
      <c r="I932" s="37" t="n"/>
      <c r="J932" s="44" t="n"/>
      <c r="K932" s="36" t="n"/>
      <c r="L932" s="33">
        <f>IF(C932="","",Commercial_Id)</f>
        <v/>
      </c>
      <c r="M932" s="34">
        <f>IF(E932="","",IFERROR(VLOOKUP(E932,T_Produits,2,FALSE),""))</f>
        <v/>
      </c>
      <c r="N932" s="40">
        <f>IF(E932="","",IFERROR(1/(1/VLOOKUP(E932,T_Produits,3,FALSE)),""))</f>
        <v/>
      </c>
      <c r="O932" s="40">
        <f>IF(OR(D932="",F932=""),"",IF(OR(D932="Casse / avarie",D932="Perte / vol",D932="Échantillon offert"),IF(I932&lt;&gt;"",I932,IF(N932="","",F932*N932)),""))</f>
        <v/>
      </c>
      <c r="P932" s="50">
        <f>IF(OR(D932="",F932=""),"",F932*IF(OR(D932="Reçu du magasin",D932="Ajustement (+)"),1,-1))</f>
        <v/>
      </c>
      <c r="Q932" s="34">
        <f>IF(C932="","",YEAR(C932-WEEKDAY(C932,2)+4)&amp;"-S"&amp;TEXT(INT((C932-DATE(YEAR(C932-WEEKDAY(C932,2)+4),1,3)+WEEKDAY(DATE(YEAR(C932-WEEKDAY(C932,2)+4),1,3),2)+5)/7),"00"))</f>
        <v/>
      </c>
    </row>
    <row r="933" ht="18" customHeight="1">
      <c r="A933" s="39" t="n">
        <v>928</v>
      </c>
      <c r="B933" s="33">
        <f>IF(C933="","",IF(L933="À RENSEIGNER","GIC",L933)&amp;"-S"&amp;TEXT(A933,"00000"))</f>
        <v/>
      </c>
      <c r="C933" s="32" t="n"/>
      <c r="D933" s="36" t="n"/>
      <c r="E933" s="36" t="n"/>
      <c r="F933" s="42" t="n"/>
      <c r="G933" s="36" t="n"/>
      <c r="H933" s="43" t="n"/>
      <c r="I933" s="37" t="n"/>
      <c r="J933" s="44" t="n"/>
      <c r="K933" s="36" t="n"/>
      <c r="L933" s="33">
        <f>IF(C933="","",Commercial_Id)</f>
        <v/>
      </c>
      <c r="M933" s="34">
        <f>IF(E933="","",IFERROR(VLOOKUP(E933,T_Produits,2,FALSE),""))</f>
        <v/>
      </c>
      <c r="N933" s="40">
        <f>IF(E933="","",IFERROR(1/(1/VLOOKUP(E933,T_Produits,3,FALSE)),""))</f>
        <v/>
      </c>
      <c r="O933" s="40">
        <f>IF(OR(D933="",F933=""),"",IF(OR(D933="Casse / avarie",D933="Perte / vol",D933="Échantillon offert"),IF(I933&lt;&gt;"",I933,IF(N933="","",F933*N933)),""))</f>
        <v/>
      </c>
      <c r="P933" s="50">
        <f>IF(OR(D933="",F933=""),"",F933*IF(OR(D933="Reçu du magasin",D933="Ajustement (+)"),1,-1))</f>
        <v/>
      </c>
      <c r="Q933" s="34">
        <f>IF(C933="","",YEAR(C933-WEEKDAY(C933,2)+4)&amp;"-S"&amp;TEXT(INT((C933-DATE(YEAR(C933-WEEKDAY(C933,2)+4),1,3)+WEEKDAY(DATE(YEAR(C933-WEEKDAY(C933,2)+4),1,3),2)+5)/7),"00"))</f>
        <v/>
      </c>
    </row>
    <row r="934" ht="18" customHeight="1">
      <c r="A934" s="39" t="n">
        <v>929</v>
      </c>
      <c r="B934" s="33">
        <f>IF(C934="","",IF(L934="À RENSEIGNER","GIC",L934)&amp;"-S"&amp;TEXT(A934,"00000"))</f>
        <v/>
      </c>
      <c r="C934" s="32" t="n"/>
      <c r="D934" s="36" t="n"/>
      <c r="E934" s="36" t="n"/>
      <c r="F934" s="42" t="n"/>
      <c r="G934" s="36" t="n"/>
      <c r="H934" s="43" t="n"/>
      <c r="I934" s="37" t="n"/>
      <c r="J934" s="44" t="n"/>
      <c r="K934" s="36" t="n"/>
      <c r="L934" s="33">
        <f>IF(C934="","",Commercial_Id)</f>
        <v/>
      </c>
      <c r="M934" s="34">
        <f>IF(E934="","",IFERROR(VLOOKUP(E934,T_Produits,2,FALSE),""))</f>
        <v/>
      </c>
      <c r="N934" s="40">
        <f>IF(E934="","",IFERROR(1/(1/VLOOKUP(E934,T_Produits,3,FALSE)),""))</f>
        <v/>
      </c>
      <c r="O934" s="40">
        <f>IF(OR(D934="",F934=""),"",IF(OR(D934="Casse / avarie",D934="Perte / vol",D934="Échantillon offert"),IF(I934&lt;&gt;"",I934,IF(N934="","",F934*N934)),""))</f>
        <v/>
      </c>
      <c r="P934" s="50">
        <f>IF(OR(D934="",F934=""),"",F934*IF(OR(D934="Reçu du magasin",D934="Ajustement (+)"),1,-1))</f>
        <v/>
      </c>
      <c r="Q934" s="34">
        <f>IF(C934="","",YEAR(C934-WEEKDAY(C934,2)+4)&amp;"-S"&amp;TEXT(INT((C934-DATE(YEAR(C934-WEEKDAY(C934,2)+4),1,3)+WEEKDAY(DATE(YEAR(C934-WEEKDAY(C934,2)+4),1,3),2)+5)/7),"00"))</f>
        <v/>
      </c>
    </row>
    <row r="935" ht="18" customHeight="1">
      <c r="A935" s="39" t="n">
        <v>930</v>
      </c>
      <c r="B935" s="33">
        <f>IF(C935="","",IF(L935="À RENSEIGNER","GIC",L935)&amp;"-S"&amp;TEXT(A935,"00000"))</f>
        <v/>
      </c>
      <c r="C935" s="32" t="n"/>
      <c r="D935" s="36" t="n"/>
      <c r="E935" s="36" t="n"/>
      <c r="F935" s="42" t="n"/>
      <c r="G935" s="36" t="n"/>
      <c r="H935" s="43" t="n"/>
      <c r="I935" s="37" t="n"/>
      <c r="J935" s="44" t="n"/>
      <c r="K935" s="36" t="n"/>
      <c r="L935" s="33">
        <f>IF(C935="","",Commercial_Id)</f>
        <v/>
      </c>
      <c r="M935" s="34">
        <f>IF(E935="","",IFERROR(VLOOKUP(E935,T_Produits,2,FALSE),""))</f>
        <v/>
      </c>
      <c r="N935" s="40">
        <f>IF(E935="","",IFERROR(1/(1/VLOOKUP(E935,T_Produits,3,FALSE)),""))</f>
        <v/>
      </c>
      <c r="O935" s="40">
        <f>IF(OR(D935="",F935=""),"",IF(OR(D935="Casse / avarie",D935="Perte / vol",D935="Échantillon offert"),IF(I935&lt;&gt;"",I935,IF(N935="","",F935*N935)),""))</f>
        <v/>
      </c>
      <c r="P935" s="50">
        <f>IF(OR(D935="",F935=""),"",F935*IF(OR(D935="Reçu du magasin",D935="Ajustement (+)"),1,-1))</f>
        <v/>
      </c>
      <c r="Q935" s="34">
        <f>IF(C935="","",YEAR(C935-WEEKDAY(C935,2)+4)&amp;"-S"&amp;TEXT(INT((C935-DATE(YEAR(C935-WEEKDAY(C935,2)+4),1,3)+WEEKDAY(DATE(YEAR(C935-WEEKDAY(C935,2)+4),1,3),2)+5)/7),"00"))</f>
        <v/>
      </c>
    </row>
    <row r="936" ht="18" customHeight="1">
      <c r="A936" s="39" t="n">
        <v>931</v>
      </c>
      <c r="B936" s="33">
        <f>IF(C936="","",IF(L936="À RENSEIGNER","GIC",L936)&amp;"-S"&amp;TEXT(A936,"00000"))</f>
        <v/>
      </c>
      <c r="C936" s="32" t="n"/>
      <c r="D936" s="36" t="n"/>
      <c r="E936" s="36" t="n"/>
      <c r="F936" s="42" t="n"/>
      <c r="G936" s="36" t="n"/>
      <c r="H936" s="43" t="n"/>
      <c r="I936" s="37" t="n"/>
      <c r="J936" s="44" t="n"/>
      <c r="K936" s="36" t="n"/>
      <c r="L936" s="33">
        <f>IF(C936="","",Commercial_Id)</f>
        <v/>
      </c>
      <c r="M936" s="34">
        <f>IF(E936="","",IFERROR(VLOOKUP(E936,T_Produits,2,FALSE),""))</f>
        <v/>
      </c>
      <c r="N936" s="40">
        <f>IF(E936="","",IFERROR(1/(1/VLOOKUP(E936,T_Produits,3,FALSE)),""))</f>
        <v/>
      </c>
      <c r="O936" s="40">
        <f>IF(OR(D936="",F936=""),"",IF(OR(D936="Casse / avarie",D936="Perte / vol",D936="Échantillon offert"),IF(I936&lt;&gt;"",I936,IF(N936="","",F936*N936)),""))</f>
        <v/>
      </c>
      <c r="P936" s="50">
        <f>IF(OR(D936="",F936=""),"",F936*IF(OR(D936="Reçu du magasin",D936="Ajustement (+)"),1,-1))</f>
        <v/>
      </c>
      <c r="Q936" s="34">
        <f>IF(C936="","",YEAR(C936-WEEKDAY(C936,2)+4)&amp;"-S"&amp;TEXT(INT((C936-DATE(YEAR(C936-WEEKDAY(C936,2)+4),1,3)+WEEKDAY(DATE(YEAR(C936-WEEKDAY(C936,2)+4),1,3),2)+5)/7),"00"))</f>
        <v/>
      </c>
    </row>
    <row r="937" ht="18" customHeight="1">
      <c r="A937" s="39" t="n">
        <v>932</v>
      </c>
      <c r="B937" s="33">
        <f>IF(C937="","",IF(L937="À RENSEIGNER","GIC",L937)&amp;"-S"&amp;TEXT(A937,"00000"))</f>
        <v/>
      </c>
      <c r="C937" s="32" t="n"/>
      <c r="D937" s="36" t="n"/>
      <c r="E937" s="36" t="n"/>
      <c r="F937" s="42" t="n"/>
      <c r="G937" s="36" t="n"/>
      <c r="H937" s="43" t="n"/>
      <c r="I937" s="37" t="n"/>
      <c r="J937" s="44" t="n"/>
      <c r="K937" s="36" t="n"/>
      <c r="L937" s="33">
        <f>IF(C937="","",Commercial_Id)</f>
        <v/>
      </c>
      <c r="M937" s="34">
        <f>IF(E937="","",IFERROR(VLOOKUP(E937,T_Produits,2,FALSE),""))</f>
        <v/>
      </c>
      <c r="N937" s="40">
        <f>IF(E937="","",IFERROR(1/(1/VLOOKUP(E937,T_Produits,3,FALSE)),""))</f>
        <v/>
      </c>
      <c r="O937" s="40">
        <f>IF(OR(D937="",F937=""),"",IF(OR(D937="Casse / avarie",D937="Perte / vol",D937="Échantillon offert"),IF(I937&lt;&gt;"",I937,IF(N937="","",F937*N937)),""))</f>
        <v/>
      </c>
      <c r="P937" s="50">
        <f>IF(OR(D937="",F937=""),"",F937*IF(OR(D937="Reçu du magasin",D937="Ajustement (+)"),1,-1))</f>
        <v/>
      </c>
      <c r="Q937" s="34">
        <f>IF(C937="","",YEAR(C937-WEEKDAY(C937,2)+4)&amp;"-S"&amp;TEXT(INT((C937-DATE(YEAR(C937-WEEKDAY(C937,2)+4),1,3)+WEEKDAY(DATE(YEAR(C937-WEEKDAY(C937,2)+4),1,3),2)+5)/7),"00"))</f>
        <v/>
      </c>
    </row>
    <row r="938" ht="18" customHeight="1">
      <c r="A938" s="39" t="n">
        <v>933</v>
      </c>
      <c r="B938" s="33">
        <f>IF(C938="","",IF(L938="À RENSEIGNER","GIC",L938)&amp;"-S"&amp;TEXT(A938,"00000"))</f>
        <v/>
      </c>
      <c r="C938" s="32" t="n"/>
      <c r="D938" s="36" t="n"/>
      <c r="E938" s="36" t="n"/>
      <c r="F938" s="42" t="n"/>
      <c r="G938" s="36" t="n"/>
      <c r="H938" s="43" t="n"/>
      <c r="I938" s="37" t="n"/>
      <c r="J938" s="44" t="n"/>
      <c r="K938" s="36" t="n"/>
      <c r="L938" s="33">
        <f>IF(C938="","",Commercial_Id)</f>
        <v/>
      </c>
      <c r="M938" s="34">
        <f>IF(E938="","",IFERROR(VLOOKUP(E938,T_Produits,2,FALSE),""))</f>
        <v/>
      </c>
      <c r="N938" s="40">
        <f>IF(E938="","",IFERROR(1/(1/VLOOKUP(E938,T_Produits,3,FALSE)),""))</f>
        <v/>
      </c>
      <c r="O938" s="40">
        <f>IF(OR(D938="",F938=""),"",IF(OR(D938="Casse / avarie",D938="Perte / vol",D938="Échantillon offert"),IF(I938&lt;&gt;"",I938,IF(N938="","",F938*N938)),""))</f>
        <v/>
      </c>
      <c r="P938" s="50">
        <f>IF(OR(D938="",F938=""),"",F938*IF(OR(D938="Reçu du magasin",D938="Ajustement (+)"),1,-1))</f>
        <v/>
      </c>
      <c r="Q938" s="34">
        <f>IF(C938="","",YEAR(C938-WEEKDAY(C938,2)+4)&amp;"-S"&amp;TEXT(INT((C938-DATE(YEAR(C938-WEEKDAY(C938,2)+4),1,3)+WEEKDAY(DATE(YEAR(C938-WEEKDAY(C938,2)+4),1,3),2)+5)/7),"00"))</f>
        <v/>
      </c>
    </row>
    <row r="939" ht="18" customHeight="1">
      <c r="A939" s="39" t="n">
        <v>934</v>
      </c>
      <c r="B939" s="33">
        <f>IF(C939="","",IF(L939="À RENSEIGNER","GIC",L939)&amp;"-S"&amp;TEXT(A939,"00000"))</f>
        <v/>
      </c>
      <c r="C939" s="32" t="n"/>
      <c r="D939" s="36" t="n"/>
      <c r="E939" s="36" t="n"/>
      <c r="F939" s="42" t="n"/>
      <c r="G939" s="36" t="n"/>
      <c r="H939" s="43" t="n"/>
      <c r="I939" s="37" t="n"/>
      <c r="J939" s="44" t="n"/>
      <c r="K939" s="36" t="n"/>
      <c r="L939" s="33">
        <f>IF(C939="","",Commercial_Id)</f>
        <v/>
      </c>
      <c r="M939" s="34">
        <f>IF(E939="","",IFERROR(VLOOKUP(E939,T_Produits,2,FALSE),""))</f>
        <v/>
      </c>
      <c r="N939" s="40">
        <f>IF(E939="","",IFERROR(1/(1/VLOOKUP(E939,T_Produits,3,FALSE)),""))</f>
        <v/>
      </c>
      <c r="O939" s="40">
        <f>IF(OR(D939="",F939=""),"",IF(OR(D939="Casse / avarie",D939="Perte / vol",D939="Échantillon offert"),IF(I939&lt;&gt;"",I939,IF(N939="","",F939*N939)),""))</f>
        <v/>
      </c>
      <c r="P939" s="50">
        <f>IF(OR(D939="",F939=""),"",F939*IF(OR(D939="Reçu du magasin",D939="Ajustement (+)"),1,-1))</f>
        <v/>
      </c>
      <c r="Q939" s="34">
        <f>IF(C939="","",YEAR(C939-WEEKDAY(C939,2)+4)&amp;"-S"&amp;TEXT(INT((C939-DATE(YEAR(C939-WEEKDAY(C939,2)+4),1,3)+WEEKDAY(DATE(YEAR(C939-WEEKDAY(C939,2)+4),1,3),2)+5)/7),"00"))</f>
        <v/>
      </c>
    </row>
    <row r="940" ht="18" customHeight="1">
      <c r="A940" s="39" t="n">
        <v>935</v>
      </c>
      <c r="B940" s="33">
        <f>IF(C940="","",IF(L940="À RENSEIGNER","GIC",L940)&amp;"-S"&amp;TEXT(A940,"00000"))</f>
        <v/>
      </c>
      <c r="C940" s="32" t="n"/>
      <c r="D940" s="36" t="n"/>
      <c r="E940" s="36" t="n"/>
      <c r="F940" s="42" t="n"/>
      <c r="G940" s="36" t="n"/>
      <c r="H940" s="43" t="n"/>
      <c r="I940" s="37" t="n"/>
      <c r="J940" s="44" t="n"/>
      <c r="K940" s="36" t="n"/>
      <c r="L940" s="33">
        <f>IF(C940="","",Commercial_Id)</f>
        <v/>
      </c>
      <c r="M940" s="34">
        <f>IF(E940="","",IFERROR(VLOOKUP(E940,T_Produits,2,FALSE),""))</f>
        <v/>
      </c>
      <c r="N940" s="40">
        <f>IF(E940="","",IFERROR(1/(1/VLOOKUP(E940,T_Produits,3,FALSE)),""))</f>
        <v/>
      </c>
      <c r="O940" s="40">
        <f>IF(OR(D940="",F940=""),"",IF(OR(D940="Casse / avarie",D940="Perte / vol",D940="Échantillon offert"),IF(I940&lt;&gt;"",I940,IF(N940="","",F940*N940)),""))</f>
        <v/>
      </c>
      <c r="P940" s="50">
        <f>IF(OR(D940="",F940=""),"",F940*IF(OR(D940="Reçu du magasin",D940="Ajustement (+)"),1,-1))</f>
        <v/>
      </c>
      <c r="Q940" s="34">
        <f>IF(C940="","",YEAR(C940-WEEKDAY(C940,2)+4)&amp;"-S"&amp;TEXT(INT((C940-DATE(YEAR(C940-WEEKDAY(C940,2)+4),1,3)+WEEKDAY(DATE(YEAR(C940-WEEKDAY(C940,2)+4),1,3),2)+5)/7),"00"))</f>
        <v/>
      </c>
    </row>
    <row r="941" ht="18" customHeight="1">
      <c r="A941" s="39" t="n">
        <v>936</v>
      </c>
      <c r="B941" s="33">
        <f>IF(C941="","",IF(L941="À RENSEIGNER","GIC",L941)&amp;"-S"&amp;TEXT(A941,"00000"))</f>
        <v/>
      </c>
      <c r="C941" s="32" t="n"/>
      <c r="D941" s="36" t="n"/>
      <c r="E941" s="36" t="n"/>
      <c r="F941" s="42" t="n"/>
      <c r="G941" s="36" t="n"/>
      <c r="H941" s="43" t="n"/>
      <c r="I941" s="37" t="n"/>
      <c r="J941" s="44" t="n"/>
      <c r="K941" s="36" t="n"/>
      <c r="L941" s="33">
        <f>IF(C941="","",Commercial_Id)</f>
        <v/>
      </c>
      <c r="M941" s="34">
        <f>IF(E941="","",IFERROR(VLOOKUP(E941,T_Produits,2,FALSE),""))</f>
        <v/>
      </c>
      <c r="N941" s="40">
        <f>IF(E941="","",IFERROR(1/(1/VLOOKUP(E941,T_Produits,3,FALSE)),""))</f>
        <v/>
      </c>
      <c r="O941" s="40">
        <f>IF(OR(D941="",F941=""),"",IF(OR(D941="Casse / avarie",D941="Perte / vol",D941="Échantillon offert"),IF(I941&lt;&gt;"",I941,IF(N941="","",F941*N941)),""))</f>
        <v/>
      </c>
      <c r="P941" s="50">
        <f>IF(OR(D941="",F941=""),"",F941*IF(OR(D941="Reçu du magasin",D941="Ajustement (+)"),1,-1))</f>
        <v/>
      </c>
      <c r="Q941" s="34">
        <f>IF(C941="","",YEAR(C941-WEEKDAY(C941,2)+4)&amp;"-S"&amp;TEXT(INT((C941-DATE(YEAR(C941-WEEKDAY(C941,2)+4),1,3)+WEEKDAY(DATE(YEAR(C941-WEEKDAY(C941,2)+4),1,3),2)+5)/7),"00"))</f>
        <v/>
      </c>
    </row>
    <row r="942" ht="18" customHeight="1">
      <c r="A942" s="39" t="n">
        <v>937</v>
      </c>
      <c r="B942" s="33">
        <f>IF(C942="","",IF(L942="À RENSEIGNER","GIC",L942)&amp;"-S"&amp;TEXT(A942,"00000"))</f>
        <v/>
      </c>
      <c r="C942" s="32" t="n"/>
      <c r="D942" s="36" t="n"/>
      <c r="E942" s="36" t="n"/>
      <c r="F942" s="42" t="n"/>
      <c r="G942" s="36" t="n"/>
      <c r="H942" s="43" t="n"/>
      <c r="I942" s="37" t="n"/>
      <c r="J942" s="44" t="n"/>
      <c r="K942" s="36" t="n"/>
      <c r="L942" s="33">
        <f>IF(C942="","",Commercial_Id)</f>
        <v/>
      </c>
      <c r="M942" s="34">
        <f>IF(E942="","",IFERROR(VLOOKUP(E942,T_Produits,2,FALSE),""))</f>
        <v/>
      </c>
      <c r="N942" s="40">
        <f>IF(E942="","",IFERROR(1/(1/VLOOKUP(E942,T_Produits,3,FALSE)),""))</f>
        <v/>
      </c>
      <c r="O942" s="40">
        <f>IF(OR(D942="",F942=""),"",IF(OR(D942="Casse / avarie",D942="Perte / vol",D942="Échantillon offert"),IF(I942&lt;&gt;"",I942,IF(N942="","",F942*N942)),""))</f>
        <v/>
      </c>
      <c r="P942" s="50">
        <f>IF(OR(D942="",F942=""),"",F942*IF(OR(D942="Reçu du magasin",D942="Ajustement (+)"),1,-1))</f>
        <v/>
      </c>
      <c r="Q942" s="34">
        <f>IF(C942="","",YEAR(C942-WEEKDAY(C942,2)+4)&amp;"-S"&amp;TEXT(INT((C942-DATE(YEAR(C942-WEEKDAY(C942,2)+4),1,3)+WEEKDAY(DATE(YEAR(C942-WEEKDAY(C942,2)+4),1,3),2)+5)/7),"00"))</f>
        <v/>
      </c>
    </row>
    <row r="943" ht="18" customHeight="1">
      <c r="A943" s="39" t="n">
        <v>938</v>
      </c>
      <c r="B943" s="33">
        <f>IF(C943="","",IF(L943="À RENSEIGNER","GIC",L943)&amp;"-S"&amp;TEXT(A943,"00000"))</f>
        <v/>
      </c>
      <c r="C943" s="32" t="n"/>
      <c r="D943" s="36" t="n"/>
      <c r="E943" s="36" t="n"/>
      <c r="F943" s="42" t="n"/>
      <c r="G943" s="36" t="n"/>
      <c r="H943" s="43" t="n"/>
      <c r="I943" s="37" t="n"/>
      <c r="J943" s="44" t="n"/>
      <c r="K943" s="36" t="n"/>
      <c r="L943" s="33">
        <f>IF(C943="","",Commercial_Id)</f>
        <v/>
      </c>
      <c r="M943" s="34">
        <f>IF(E943="","",IFERROR(VLOOKUP(E943,T_Produits,2,FALSE),""))</f>
        <v/>
      </c>
      <c r="N943" s="40">
        <f>IF(E943="","",IFERROR(1/(1/VLOOKUP(E943,T_Produits,3,FALSE)),""))</f>
        <v/>
      </c>
      <c r="O943" s="40">
        <f>IF(OR(D943="",F943=""),"",IF(OR(D943="Casse / avarie",D943="Perte / vol",D943="Échantillon offert"),IF(I943&lt;&gt;"",I943,IF(N943="","",F943*N943)),""))</f>
        <v/>
      </c>
      <c r="P943" s="50">
        <f>IF(OR(D943="",F943=""),"",F943*IF(OR(D943="Reçu du magasin",D943="Ajustement (+)"),1,-1))</f>
        <v/>
      </c>
      <c r="Q943" s="34">
        <f>IF(C943="","",YEAR(C943-WEEKDAY(C943,2)+4)&amp;"-S"&amp;TEXT(INT((C943-DATE(YEAR(C943-WEEKDAY(C943,2)+4),1,3)+WEEKDAY(DATE(YEAR(C943-WEEKDAY(C943,2)+4),1,3),2)+5)/7),"00"))</f>
        <v/>
      </c>
    </row>
    <row r="944" ht="18" customHeight="1">
      <c r="A944" s="39" t="n">
        <v>939</v>
      </c>
      <c r="B944" s="33">
        <f>IF(C944="","",IF(L944="À RENSEIGNER","GIC",L944)&amp;"-S"&amp;TEXT(A944,"00000"))</f>
        <v/>
      </c>
      <c r="C944" s="32" t="n"/>
      <c r="D944" s="36" t="n"/>
      <c r="E944" s="36" t="n"/>
      <c r="F944" s="42" t="n"/>
      <c r="G944" s="36" t="n"/>
      <c r="H944" s="43" t="n"/>
      <c r="I944" s="37" t="n"/>
      <c r="J944" s="44" t="n"/>
      <c r="K944" s="36" t="n"/>
      <c r="L944" s="33">
        <f>IF(C944="","",Commercial_Id)</f>
        <v/>
      </c>
      <c r="M944" s="34">
        <f>IF(E944="","",IFERROR(VLOOKUP(E944,T_Produits,2,FALSE),""))</f>
        <v/>
      </c>
      <c r="N944" s="40">
        <f>IF(E944="","",IFERROR(1/(1/VLOOKUP(E944,T_Produits,3,FALSE)),""))</f>
        <v/>
      </c>
      <c r="O944" s="40">
        <f>IF(OR(D944="",F944=""),"",IF(OR(D944="Casse / avarie",D944="Perte / vol",D944="Échantillon offert"),IF(I944&lt;&gt;"",I944,IF(N944="","",F944*N944)),""))</f>
        <v/>
      </c>
      <c r="P944" s="50">
        <f>IF(OR(D944="",F944=""),"",F944*IF(OR(D944="Reçu du magasin",D944="Ajustement (+)"),1,-1))</f>
        <v/>
      </c>
      <c r="Q944" s="34">
        <f>IF(C944="","",YEAR(C944-WEEKDAY(C944,2)+4)&amp;"-S"&amp;TEXT(INT((C944-DATE(YEAR(C944-WEEKDAY(C944,2)+4),1,3)+WEEKDAY(DATE(YEAR(C944-WEEKDAY(C944,2)+4),1,3),2)+5)/7),"00"))</f>
        <v/>
      </c>
    </row>
    <row r="945" ht="18" customHeight="1">
      <c r="A945" s="39" t="n">
        <v>940</v>
      </c>
      <c r="B945" s="33">
        <f>IF(C945="","",IF(L945="À RENSEIGNER","GIC",L945)&amp;"-S"&amp;TEXT(A945,"00000"))</f>
        <v/>
      </c>
      <c r="C945" s="32" t="n"/>
      <c r="D945" s="36" t="n"/>
      <c r="E945" s="36" t="n"/>
      <c r="F945" s="42" t="n"/>
      <c r="G945" s="36" t="n"/>
      <c r="H945" s="43" t="n"/>
      <c r="I945" s="37" t="n"/>
      <c r="J945" s="44" t="n"/>
      <c r="K945" s="36" t="n"/>
      <c r="L945" s="33">
        <f>IF(C945="","",Commercial_Id)</f>
        <v/>
      </c>
      <c r="M945" s="34">
        <f>IF(E945="","",IFERROR(VLOOKUP(E945,T_Produits,2,FALSE),""))</f>
        <v/>
      </c>
      <c r="N945" s="40">
        <f>IF(E945="","",IFERROR(1/(1/VLOOKUP(E945,T_Produits,3,FALSE)),""))</f>
        <v/>
      </c>
      <c r="O945" s="40">
        <f>IF(OR(D945="",F945=""),"",IF(OR(D945="Casse / avarie",D945="Perte / vol",D945="Échantillon offert"),IF(I945&lt;&gt;"",I945,IF(N945="","",F945*N945)),""))</f>
        <v/>
      </c>
      <c r="P945" s="50">
        <f>IF(OR(D945="",F945=""),"",F945*IF(OR(D945="Reçu du magasin",D945="Ajustement (+)"),1,-1))</f>
        <v/>
      </c>
      <c r="Q945" s="34">
        <f>IF(C945="","",YEAR(C945-WEEKDAY(C945,2)+4)&amp;"-S"&amp;TEXT(INT((C945-DATE(YEAR(C945-WEEKDAY(C945,2)+4),1,3)+WEEKDAY(DATE(YEAR(C945-WEEKDAY(C945,2)+4),1,3),2)+5)/7),"00"))</f>
        <v/>
      </c>
    </row>
    <row r="946" ht="18" customHeight="1">
      <c r="A946" s="39" t="n">
        <v>941</v>
      </c>
      <c r="B946" s="33">
        <f>IF(C946="","",IF(L946="À RENSEIGNER","GIC",L946)&amp;"-S"&amp;TEXT(A946,"00000"))</f>
        <v/>
      </c>
      <c r="C946" s="32" t="n"/>
      <c r="D946" s="36" t="n"/>
      <c r="E946" s="36" t="n"/>
      <c r="F946" s="42" t="n"/>
      <c r="G946" s="36" t="n"/>
      <c r="H946" s="43" t="n"/>
      <c r="I946" s="37" t="n"/>
      <c r="J946" s="44" t="n"/>
      <c r="K946" s="36" t="n"/>
      <c r="L946" s="33">
        <f>IF(C946="","",Commercial_Id)</f>
        <v/>
      </c>
      <c r="M946" s="34">
        <f>IF(E946="","",IFERROR(VLOOKUP(E946,T_Produits,2,FALSE),""))</f>
        <v/>
      </c>
      <c r="N946" s="40">
        <f>IF(E946="","",IFERROR(1/(1/VLOOKUP(E946,T_Produits,3,FALSE)),""))</f>
        <v/>
      </c>
      <c r="O946" s="40">
        <f>IF(OR(D946="",F946=""),"",IF(OR(D946="Casse / avarie",D946="Perte / vol",D946="Échantillon offert"),IF(I946&lt;&gt;"",I946,IF(N946="","",F946*N946)),""))</f>
        <v/>
      </c>
      <c r="P946" s="50">
        <f>IF(OR(D946="",F946=""),"",F946*IF(OR(D946="Reçu du magasin",D946="Ajustement (+)"),1,-1))</f>
        <v/>
      </c>
      <c r="Q946" s="34">
        <f>IF(C946="","",YEAR(C946-WEEKDAY(C946,2)+4)&amp;"-S"&amp;TEXT(INT((C946-DATE(YEAR(C946-WEEKDAY(C946,2)+4),1,3)+WEEKDAY(DATE(YEAR(C946-WEEKDAY(C946,2)+4),1,3),2)+5)/7),"00"))</f>
        <v/>
      </c>
    </row>
    <row r="947" ht="18" customHeight="1">
      <c r="A947" s="39" t="n">
        <v>942</v>
      </c>
      <c r="B947" s="33">
        <f>IF(C947="","",IF(L947="À RENSEIGNER","GIC",L947)&amp;"-S"&amp;TEXT(A947,"00000"))</f>
        <v/>
      </c>
      <c r="C947" s="32" t="n"/>
      <c r="D947" s="36" t="n"/>
      <c r="E947" s="36" t="n"/>
      <c r="F947" s="42" t="n"/>
      <c r="G947" s="36" t="n"/>
      <c r="H947" s="43" t="n"/>
      <c r="I947" s="37" t="n"/>
      <c r="J947" s="44" t="n"/>
      <c r="K947" s="36" t="n"/>
      <c r="L947" s="33">
        <f>IF(C947="","",Commercial_Id)</f>
        <v/>
      </c>
      <c r="M947" s="34">
        <f>IF(E947="","",IFERROR(VLOOKUP(E947,T_Produits,2,FALSE),""))</f>
        <v/>
      </c>
      <c r="N947" s="40">
        <f>IF(E947="","",IFERROR(1/(1/VLOOKUP(E947,T_Produits,3,FALSE)),""))</f>
        <v/>
      </c>
      <c r="O947" s="40">
        <f>IF(OR(D947="",F947=""),"",IF(OR(D947="Casse / avarie",D947="Perte / vol",D947="Échantillon offert"),IF(I947&lt;&gt;"",I947,IF(N947="","",F947*N947)),""))</f>
        <v/>
      </c>
      <c r="P947" s="50">
        <f>IF(OR(D947="",F947=""),"",F947*IF(OR(D947="Reçu du magasin",D947="Ajustement (+)"),1,-1))</f>
        <v/>
      </c>
      <c r="Q947" s="34">
        <f>IF(C947="","",YEAR(C947-WEEKDAY(C947,2)+4)&amp;"-S"&amp;TEXT(INT((C947-DATE(YEAR(C947-WEEKDAY(C947,2)+4),1,3)+WEEKDAY(DATE(YEAR(C947-WEEKDAY(C947,2)+4),1,3),2)+5)/7),"00"))</f>
        <v/>
      </c>
    </row>
    <row r="948" ht="18" customHeight="1">
      <c r="A948" s="39" t="n">
        <v>943</v>
      </c>
      <c r="B948" s="33">
        <f>IF(C948="","",IF(L948="À RENSEIGNER","GIC",L948)&amp;"-S"&amp;TEXT(A948,"00000"))</f>
        <v/>
      </c>
      <c r="C948" s="32" t="n"/>
      <c r="D948" s="36" t="n"/>
      <c r="E948" s="36" t="n"/>
      <c r="F948" s="42" t="n"/>
      <c r="G948" s="36" t="n"/>
      <c r="H948" s="43" t="n"/>
      <c r="I948" s="37" t="n"/>
      <c r="J948" s="44" t="n"/>
      <c r="K948" s="36" t="n"/>
      <c r="L948" s="33">
        <f>IF(C948="","",Commercial_Id)</f>
        <v/>
      </c>
      <c r="M948" s="34">
        <f>IF(E948="","",IFERROR(VLOOKUP(E948,T_Produits,2,FALSE),""))</f>
        <v/>
      </c>
      <c r="N948" s="40">
        <f>IF(E948="","",IFERROR(1/(1/VLOOKUP(E948,T_Produits,3,FALSE)),""))</f>
        <v/>
      </c>
      <c r="O948" s="40">
        <f>IF(OR(D948="",F948=""),"",IF(OR(D948="Casse / avarie",D948="Perte / vol",D948="Échantillon offert"),IF(I948&lt;&gt;"",I948,IF(N948="","",F948*N948)),""))</f>
        <v/>
      </c>
      <c r="P948" s="50">
        <f>IF(OR(D948="",F948=""),"",F948*IF(OR(D948="Reçu du magasin",D948="Ajustement (+)"),1,-1))</f>
        <v/>
      </c>
      <c r="Q948" s="34">
        <f>IF(C948="","",YEAR(C948-WEEKDAY(C948,2)+4)&amp;"-S"&amp;TEXT(INT((C948-DATE(YEAR(C948-WEEKDAY(C948,2)+4),1,3)+WEEKDAY(DATE(YEAR(C948-WEEKDAY(C948,2)+4),1,3),2)+5)/7),"00"))</f>
        <v/>
      </c>
    </row>
    <row r="949" ht="18" customHeight="1">
      <c r="A949" s="39" t="n">
        <v>944</v>
      </c>
      <c r="B949" s="33">
        <f>IF(C949="","",IF(L949="À RENSEIGNER","GIC",L949)&amp;"-S"&amp;TEXT(A949,"00000"))</f>
        <v/>
      </c>
      <c r="C949" s="32" t="n"/>
      <c r="D949" s="36" t="n"/>
      <c r="E949" s="36" t="n"/>
      <c r="F949" s="42" t="n"/>
      <c r="G949" s="36" t="n"/>
      <c r="H949" s="43" t="n"/>
      <c r="I949" s="37" t="n"/>
      <c r="J949" s="44" t="n"/>
      <c r="K949" s="36" t="n"/>
      <c r="L949" s="33">
        <f>IF(C949="","",Commercial_Id)</f>
        <v/>
      </c>
      <c r="M949" s="34">
        <f>IF(E949="","",IFERROR(VLOOKUP(E949,T_Produits,2,FALSE),""))</f>
        <v/>
      </c>
      <c r="N949" s="40">
        <f>IF(E949="","",IFERROR(1/(1/VLOOKUP(E949,T_Produits,3,FALSE)),""))</f>
        <v/>
      </c>
      <c r="O949" s="40">
        <f>IF(OR(D949="",F949=""),"",IF(OR(D949="Casse / avarie",D949="Perte / vol",D949="Échantillon offert"),IF(I949&lt;&gt;"",I949,IF(N949="","",F949*N949)),""))</f>
        <v/>
      </c>
      <c r="P949" s="50">
        <f>IF(OR(D949="",F949=""),"",F949*IF(OR(D949="Reçu du magasin",D949="Ajustement (+)"),1,-1))</f>
        <v/>
      </c>
      <c r="Q949" s="34">
        <f>IF(C949="","",YEAR(C949-WEEKDAY(C949,2)+4)&amp;"-S"&amp;TEXT(INT((C949-DATE(YEAR(C949-WEEKDAY(C949,2)+4),1,3)+WEEKDAY(DATE(YEAR(C949-WEEKDAY(C949,2)+4),1,3),2)+5)/7),"00"))</f>
        <v/>
      </c>
    </row>
    <row r="950" ht="18" customHeight="1">
      <c r="A950" s="39" t="n">
        <v>945</v>
      </c>
      <c r="B950" s="33">
        <f>IF(C950="","",IF(L950="À RENSEIGNER","GIC",L950)&amp;"-S"&amp;TEXT(A950,"00000"))</f>
        <v/>
      </c>
      <c r="C950" s="32" t="n"/>
      <c r="D950" s="36" t="n"/>
      <c r="E950" s="36" t="n"/>
      <c r="F950" s="42" t="n"/>
      <c r="G950" s="36" t="n"/>
      <c r="H950" s="43" t="n"/>
      <c r="I950" s="37" t="n"/>
      <c r="J950" s="44" t="n"/>
      <c r="K950" s="36" t="n"/>
      <c r="L950" s="33">
        <f>IF(C950="","",Commercial_Id)</f>
        <v/>
      </c>
      <c r="M950" s="34">
        <f>IF(E950="","",IFERROR(VLOOKUP(E950,T_Produits,2,FALSE),""))</f>
        <v/>
      </c>
      <c r="N950" s="40">
        <f>IF(E950="","",IFERROR(1/(1/VLOOKUP(E950,T_Produits,3,FALSE)),""))</f>
        <v/>
      </c>
      <c r="O950" s="40">
        <f>IF(OR(D950="",F950=""),"",IF(OR(D950="Casse / avarie",D950="Perte / vol",D950="Échantillon offert"),IF(I950&lt;&gt;"",I950,IF(N950="","",F950*N950)),""))</f>
        <v/>
      </c>
      <c r="P950" s="50">
        <f>IF(OR(D950="",F950=""),"",F950*IF(OR(D950="Reçu du magasin",D950="Ajustement (+)"),1,-1))</f>
        <v/>
      </c>
      <c r="Q950" s="34">
        <f>IF(C950="","",YEAR(C950-WEEKDAY(C950,2)+4)&amp;"-S"&amp;TEXT(INT((C950-DATE(YEAR(C950-WEEKDAY(C950,2)+4),1,3)+WEEKDAY(DATE(YEAR(C950-WEEKDAY(C950,2)+4),1,3),2)+5)/7),"00"))</f>
        <v/>
      </c>
    </row>
    <row r="951" ht="18" customHeight="1">
      <c r="A951" s="39" t="n">
        <v>946</v>
      </c>
      <c r="B951" s="33">
        <f>IF(C951="","",IF(L951="À RENSEIGNER","GIC",L951)&amp;"-S"&amp;TEXT(A951,"00000"))</f>
        <v/>
      </c>
      <c r="C951" s="32" t="n"/>
      <c r="D951" s="36" t="n"/>
      <c r="E951" s="36" t="n"/>
      <c r="F951" s="42" t="n"/>
      <c r="G951" s="36" t="n"/>
      <c r="H951" s="43" t="n"/>
      <c r="I951" s="37" t="n"/>
      <c r="J951" s="44" t="n"/>
      <c r="K951" s="36" t="n"/>
      <c r="L951" s="33">
        <f>IF(C951="","",Commercial_Id)</f>
        <v/>
      </c>
      <c r="M951" s="34">
        <f>IF(E951="","",IFERROR(VLOOKUP(E951,T_Produits,2,FALSE),""))</f>
        <v/>
      </c>
      <c r="N951" s="40">
        <f>IF(E951="","",IFERROR(1/(1/VLOOKUP(E951,T_Produits,3,FALSE)),""))</f>
        <v/>
      </c>
      <c r="O951" s="40">
        <f>IF(OR(D951="",F951=""),"",IF(OR(D951="Casse / avarie",D951="Perte / vol",D951="Échantillon offert"),IF(I951&lt;&gt;"",I951,IF(N951="","",F951*N951)),""))</f>
        <v/>
      </c>
      <c r="P951" s="50">
        <f>IF(OR(D951="",F951=""),"",F951*IF(OR(D951="Reçu du magasin",D951="Ajustement (+)"),1,-1))</f>
        <v/>
      </c>
      <c r="Q951" s="34">
        <f>IF(C951="","",YEAR(C951-WEEKDAY(C951,2)+4)&amp;"-S"&amp;TEXT(INT((C951-DATE(YEAR(C951-WEEKDAY(C951,2)+4),1,3)+WEEKDAY(DATE(YEAR(C951-WEEKDAY(C951,2)+4),1,3),2)+5)/7),"00"))</f>
        <v/>
      </c>
    </row>
    <row r="952" ht="18" customHeight="1">
      <c r="A952" s="39" t="n">
        <v>947</v>
      </c>
      <c r="B952" s="33">
        <f>IF(C952="","",IF(L952="À RENSEIGNER","GIC",L952)&amp;"-S"&amp;TEXT(A952,"00000"))</f>
        <v/>
      </c>
      <c r="C952" s="32" t="n"/>
      <c r="D952" s="36" t="n"/>
      <c r="E952" s="36" t="n"/>
      <c r="F952" s="42" t="n"/>
      <c r="G952" s="36" t="n"/>
      <c r="H952" s="43" t="n"/>
      <c r="I952" s="37" t="n"/>
      <c r="J952" s="44" t="n"/>
      <c r="K952" s="36" t="n"/>
      <c r="L952" s="33">
        <f>IF(C952="","",Commercial_Id)</f>
        <v/>
      </c>
      <c r="M952" s="34">
        <f>IF(E952="","",IFERROR(VLOOKUP(E952,T_Produits,2,FALSE),""))</f>
        <v/>
      </c>
      <c r="N952" s="40">
        <f>IF(E952="","",IFERROR(1/(1/VLOOKUP(E952,T_Produits,3,FALSE)),""))</f>
        <v/>
      </c>
      <c r="O952" s="40">
        <f>IF(OR(D952="",F952=""),"",IF(OR(D952="Casse / avarie",D952="Perte / vol",D952="Échantillon offert"),IF(I952&lt;&gt;"",I952,IF(N952="","",F952*N952)),""))</f>
        <v/>
      </c>
      <c r="P952" s="50">
        <f>IF(OR(D952="",F952=""),"",F952*IF(OR(D952="Reçu du magasin",D952="Ajustement (+)"),1,-1))</f>
        <v/>
      </c>
      <c r="Q952" s="34">
        <f>IF(C952="","",YEAR(C952-WEEKDAY(C952,2)+4)&amp;"-S"&amp;TEXT(INT((C952-DATE(YEAR(C952-WEEKDAY(C952,2)+4),1,3)+WEEKDAY(DATE(YEAR(C952-WEEKDAY(C952,2)+4),1,3),2)+5)/7),"00"))</f>
        <v/>
      </c>
    </row>
    <row r="953" ht="18" customHeight="1">
      <c r="A953" s="39" t="n">
        <v>948</v>
      </c>
      <c r="B953" s="33">
        <f>IF(C953="","",IF(L953="À RENSEIGNER","GIC",L953)&amp;"-S"&amp;TEXT(A953,"00000"))</f>
        <v/>
      </c>
      <c r="C953" s="32" t="n"/>
      <c r="D953" s="36" t="n"/>
      <c r="E953" s="36" t="n"/>
      <c r="F953" s="42" t="n"/>
      <c r="G953" s="36" t="n"/>
      <c r="H953" s="43" t="n"/>
      <c r="I953" s="37" t="n"/>
      <c r="J953" s="44" t="n"/>
      <c r="K953" s="36" t="n"/>
      <c r="L953" s="33">
        <f>IF(C953="","",Commercial_Id)</f>
        <v/>
      </c>
      <c r="M953" s="34">
        <f>IF(E953="","",IFERROR(VLOOKUP(E953,T_Produits,2,FALSE),""))</f>
        <v/>
      </c>
      <c r="N953" s="40">
        <f>IF(E953="","",IFERROR(1/(1/VLOOKUP(E953,T_Produits,3,FALSE)),""))</f>
        <v/>
      </c>
      <c r="O953" s="40">
        <f>IF(OR(D953="",F953=""),"",IF(OR(D953="Casse / avarie",D953="Perte / vol",D953="Échantillon offert"),IF(I953&lt;&gt;"",I953,IF(N953="","",F953*N953)),""))</f>
        <v/>
      </c>
      <c r="P953" s="50">
        <f>IF(OR(D953="",F953=""),"",F953*IF(OR(D953="Reçu du magasin",D953="Ajustement (+)"),1,-1))</f>
        <v/>
      </c>
      <c r="Q953" s="34">
        <f>IF(C953="","",YEAR(C953-WEEKDAY(C953,2)+4)&amp;"-S"&amp;TEXT(INT((C953-DATE(YEAR(C953-WEEKDAY(C953,2)+4),1,3)+WEEKDAY(DATE(YEAR(C953-WEEKDAY(C953,2)+4),1,3),2)+5)/7),"00"))</f>
        <v/>
      </c>
    </row>
    <row r="954" ht="18" customHeight="1">
      <c r="A954" s="39" t="n">
        <v>949</v>
      </c>
      <c r="B954" s="33">
        <f>IF(C954="","",IF(L954="À RENSEIGNER","GIC",L954)&amp;"-S"&amp;TEXT(A954,"00000"))</f>
        <v/>
      </c>
      <c r="C954" s="32" t="n"/>
      <c r="D954" s="36" t="n"/>
      <c r="E954" s="36" t="n"/>
      <c r="F954" s="42" t="n"/>
      <c r="G954" s="36" t="n"/>
      <c r="H954" s="43" t="n"/>
      <c r="I954" s="37" t="n"/>
      <c r="J954" s="44" t="n"/>
      <c r="K954" s="36" t="n"/>
      <c r="L954" s="33">
        <f>IF(C954="","",Commercial_Id)</f>
        <v/>
      </c>
      <c r="M954" s="34">
        <f>IF(E954="","",IFERROR(VLOOKUP(E954,T_Produits,2,FALSE),""))</f>
        <v/>
      </c>
      <c r="N954" s="40">
        <f>IF(E954="","",IFERROR(1/(1/VLOOKUP(E954,T_Produits,3,FALSE)),""))</f>
        <v/>
      </c>
      <c r="O954" s="40">
        <f>IF(OR(D954="",F954=""),"",IF(OR(D954="Casse / avarie",D954="Perte / vol",D954="Échantillon offert"),IF(I954&lt;&gt;"",I954,IF(N954="","",F954*N954)),""))</f>
        <v/>
      </c>
      <c r="P954" s="50">
        <f>IF(OR(D954="",F954=""),"",F954*IF(OR(D954="Reçu du magasin",D954="Ajustement (+)"),1,-1))</f>
        <v/>
      </c>
      <c r="Q954" s="34">
        <f>IF(C954="","",YEAR(C954-WEEKDAY(C954,2)+4)&amp;"-S"&amp;TEXT(INT((C954-DATE(YEAR(C954-WEEKDAY(C954,2)+4),1,3)+WEEKDAY(DATE(YEAR(C954-WEEKDAY(C954,2)+4),1,3),2)+5)/7),"00"))</f>
        <v/>
      </c>
    </row>
    <row r="955" ht="18" customHeight="1">
      <c r="A955" s="39" t="n">
        <v>950</v>
      </c>
      <c r="B955" s="33">
        <f>IF(C955="","",IF(L955="À RENSEIGNER","GIC",L955)&amp;"-S"&amp;TEXT(A955,"00000"))</f>
        <v/>
      </c>
      <c r="C955" s="32" t="n"/>
      <c r="D955" s="36" t="n"/>
      <c r="E955" s="36" t="n"/>
      <c r="F955" s="42" t="n"/>
      <c r="G955" s="36" t="n"/>
      <c r="H955" s="43" t="n"/>
      <c r="I955" s="37" t="n"/>
      <c r="J955" s="44" t="n"/>
      <c r="K955" s="36" t="n"/>
      <c r="L955" s="33">
        <f>IF(C955="","",Commercial_Id)</f>
        <v/>
      </c>
      <c r="M955" s="34">
        <f>IF(E955="","",IFERROR(VLOOKUP(E955,T_Produits,2,FALSE),""))</f>
        <v/>
      </c>
      <c r="N955" s="40">
        <f>IF(E955="","",IFERROR(1/(1/VLOOKUP(E955,T_Produits,3,FALSE)),""))</f>
        <v/>
      </c>
      <c r="O955" s="40">
        <f>IF(OR(D955="",F955=""),"",IF(OR(D955="Casse / avarie",D955="Perte / vol",D955="Échantillon offert"),IF(I955&lt;&gt;"",I955,IF(N955="","",F955*N955)),""))</f>
        <v/>
      </c>
      <c r="P955" s="50">
        <f>IF(OR(D955="",F955=""),"",F955*IF(OR(D955="Reçu du magasin",D955="Ajustement (+)"),1,-1))</f>
        <v/>
      </c>
      <c r="Q955" s="34">
        <f>IF(C955="","",YEAR(C955-WEEKDAY(C955,2)+4)&amp;"-S"&amp;TEXT(INT((C955-DATE(YEAR(C955-WEEKDAY(C955,2)+4),1,3)+WEEKDAY(DATE(YEAR(C955-WEEKDAY(C955,2)+4),1,3),2)+5)/7),"00"))</f>
        <v/>
      </c>
    </row>
    <row r="956" ht="18" customHeight="1">
      <c r="A956" s="39" t="n">
        <v>951</v>
      </c>
      <c r="B956" s="33">
        <f>IF(C956="","",IF(L956="À RENSEIGNER","GIC",L956)&amp;"-S"&amp;TEXT(A956,"00000"))</f>
        <v/>
      </c>
      <c r="C956" s="32" t="n"/>
      <c r="D956" s="36" t="n"/>
      <c r="E956" s="36" t="n"/>
      <c r="F956" s="42" t="n"/>
      <c r="G956" s="36" t="n"/>
      <c r="H956" s="43" t="n"/>
      <c r="I956" s="37" t="n"/>
      <c r="J956" s="44" t="n"/>
      <c r="K956" s="36" t="n"/>
      <c r="L956" s="33">
        <f>IF(C956="","",Commercial_Id)</f>
        <v/>
      </c>
      <c r="M956" s="34">
        <f>IF(E956="","",IFERROR(VLOOKUP(E956,T_Produits,2,FALSE),""))</f>
        <v/>
      </c>
      <c r="N956" s="40">
        <f>IF(E956="","",IFERROR(1/(1/VLOOKUP(E956,T_Produits,3,FALSE)),""))</f>
        <v/>
      </c>
      <c r="O956" s="40">
        <f>IF(OR(D956="",F956=""),"",IF(OR(D956="Casse / avarie",D956="Perte / vol",D956="Échantillon offert"),IF(I956&lt;&gt;"",I956,IF(N956="","",F956*N956)),""))</f>
        <v/>
      </c>
      <c r="P956" s="50">
        <f>IF(OR(D956="",F956=""),"",F956*IF(OR(D956="Reçu du magasin",D956="Ajustement (+)"),1,-1))</f>
        <v/>
      </c>
      <c r="Q956" s="34">
        <f>IF(C956="","",YEAR(C956-WEEKDAY(C956,2)+4)&amp;"-S"&amp;TEXT(INT((C956-DATE(YEAR(C956-WEEKDAY(C956,2)+4),1,3)+WEEKDAY(DATE(YEAR(C956-WEEKDAY(C956,2)+4),1,3),2)+5)/7),"00"))</f>
        <v/>
      </c>
    </row>
    <row r="957" ht="18" customHeight="1">
      <c r="A957" s="39" t="n">
        <v>952</v>
      </c>
      <c r="B957" s="33">
        <f>IF(C957="","",IF(L957="À RENSEIGNER","GIC",L957)&amp;"-S"&amp;TEXT(A957,"00000"))</f>
        <v/>
      </c>
      <c r="C957" s="32" t="n"/>
      <c r="D957" s="36" t="n"/>
      <c r="E957" s="36" t="n"/>
      <c r="F957" s="42" t="n"/>
      <c r="G957" s="36" t="n"/>
      <c r="H957" s="43" t="n"/>
      <c r="I957" s="37" t="n"/>
      <c r="J957" s="44" t="n"/>
      <c r="K957" s="36" t="n"/>
      <c r="L957" s="33">
        <f>IF(C957="","",Commercial_Id)</f>
        <v/>
      </c>
      <c r="M957" s="34">
        <f>IF(E957="","",IFERROR(VLOOKUP(E957,T_Produits,2,FALSE),""))</f>
        <v/>
      </c>
      <c r="N957" s="40">
        <f>IF(E957="","",IFERROR(1/(1/VLOOKUP(E957,T_Produits,3,FALSE)),""))</f>
        <v/>
      </c>
      <c r="O957" s="40">
        <f>IF(OR(D957="",F957=""),"",IF(OR(D957="Casse / avarie",D957="Perte / vol",D957="Échantillon offert"),IF(I957&lt;&gt;"",I957,IF(N957="","",F957*N957)),""))</f>
        <v/>
      </c>
      <c r="P957" s="50">
        <f>IF(OR(D957="",F957=""),"",F957*IF(OR(D957="Reçu du magasin",D957="Ajustement (+)"),1,-1))</f>
        <v/>
      </c>
      <c r="Q957" s="34">
        <f>IF(C957="","",YEAR(C957-WEEKDAY(C957,2)+4)&amp;"-S"&amp;TEXT(INT((C957-DATE(YEAR(C957-WEEKDAY(C957,2)+4),1,3)+WEEKDAY(DATE(YEAR(C957-WEEKDAY(C957,2)+4),1,3),2)+5)/7),"00"))</f>
        <v/>
      </c>
    </row>
    <row r="958" ht="18" customHeight="1">
      <c r="A958" s="39" t="n">
        <v>953</v>
      </c>
      <c r="B958" s="33">
        <f>IF(C958="","",IF(L958="À RENSEIGNER","GIC",L958)&amp;"-S"&amp;TEXT(A958,"00000"))</f>
        <v/>
      </c>
      <c r="C958" s="32" t="n"/>
      <c r="D958" s="36" t="n"/>
      <c r="E958" s="36" t="n"/>
      <c r="F958" s="42" t="n"/>
      <c r="G958" s="36" t="n"/>
      <c r="H958" s="43" t="n"/>
      <c r="I958" s="37" t="n"/>
      <c r="J958" s="44" t="n"/>
      <c r="K958" s="36" t="n"/>
      <c r="L958" s="33">
        <f>IF(C958="","",Commercial_Id)</f>
        <v/>
      </c>
      <c r="M958" s="34">
        <f>IF(E958="","",IFERROR(VLOOKUP(E958,T_Produits,2,FALSE),""))</f>
        <v/>
      </c>
      <c r="N958" s="40">
        <f>IF(E958="","",IFERROR(1/(1/VLOOKUP(E958,T_Produits,3,FALSE)),""))</f>
        <v/>
      </c>
      <c r="O958" s="40">
        <f>IF(OR(D958="",F958=""),"",IF(OR(D958="Casse / avarie",D958="Perte / vol",D958="Échantillon offert"),IF(I958&lt;&gt;"",I958,IF(N958="","",F958*N958)),""))</f>
        <v/>
      </c>
      <c r="P958" s="50">
        <f>IF(OR(D958="",F958=""),"",F958*IF(OR(D958="Reçu du magasin",D958="Ajustement (+)"),1,-1))</f>
        <v/>
      </c>
      <c r="Q958" s="34">
        <f>IF(C958="","",YEAR(C958-WEEKDAY(C958,2)+4)&amp;"-S"&amp;TEXT(INT((C958-DATE(YEAR(C958-WEEKDAY(C958,2)+4),1,3)+WEEKDAY(DATE(YEAR(C958-WEEKDAY(C958,2)+4),1,3),2)+5)/7),"00"))</f>
        <v/>
      </c>
    </row>
    <row r="959" ht="18" customHeight="1">
      <c r="A959" s="39" t="n">
        <v>954</v>
      </c>
      <c r="B959" s="33">
        <f>IF(C959="","",IF(L959="À RENSEIGNER","GIC",L959)&amp;"-S"&amp;TEXT(A959,"00000"))</f>
        <v/>
      </c>
      <c r="C959" s="32" t="n"/>
      <c r="D959" s="36" t="n"/>
      <c r="E959" s="36" t="n"/>
      <c r="F959" s="42" t="n"/>
      <c r="G959" s="36" t="n"/>
      <c r="H959" s="43" t="n"/>
      <c r="I959" s="37" t="n"/>
      <c r="J959" s="44" t="n"/>
      <c r="K959" s="36" t="n"/>
      <c r="L959" s="33">
        <f>IF(C959="","",Commercial_Id)</f>
        <v/>
      </c>
      <c r="M959" s="34">
        <f>IF(E959="","",IFERROR(VLOOKUP(E959,T_Produits,2,FALSE),""))</f>
        <v/>
      </c>
      <c r="N959" s="40">
        <f>IF(E959="","",IFERROR(1/(1/VLOOKUP(E959,T_Produits,3,FALSE)),""))</f>
        <v/>
      </c>
      <c r="O959" s="40">
        <f>IF(OR(D959="",F959=""),"",IF(OR(D959="Casse / avarie",D959="Perte / vol",D959="Échantillon offert"),IF(I959&lt;&gt;"",I959,IF(N959="","",F959*N959)),""))</f>
        <v/>
      </c>
      <c r="P959" s="50">
        <f>IF(OR(D959="",F959=""),"",F959*IF(OR(D959="Reçu du magasin",D959="Ajustement (+)"),1,-1))</f>
        <v/>
      </c>
      <c r="Q959" s="34">
        <f>IF(C959="","",YEAR(C959-WEEKDAY(C959,2)+4)&amp;"-S"&amp;TEXT(INT((C959-DATE(YEAR(C959-WEEKDAY(C959,2)+4),1,3)+WEEKDAY(DATE(YEAR(C959-WEEKDAY(C959,2)+4),1,3),2)+5)/7),"00"))</f>
        <v/>
      </c>
    </row>
    <row r="960" ht="18" customHeight="1">
      <c r="A960" s="39" t="n">
        <v>955</v>
      </c>
      <c r="B960" s="33">
        <f>IF(C960="","",IF(L960="À RENSEIGNER","GIC",L960)&amp;"-S"&amp;TEXT(A960,"00000"))</f>
        <v/>
      </c>
      <c r="C960" s="32" t="n"/>
      <c r="D960" s="36" t="n"/>
      <c r="E960" s="36" t="n"/>
      <c r="F960" s="42" t="n"/>
      <c r="G960" s="36" t="n"/>
      <c r="H960" s="43" t="n"/>
      <c r="I960" s="37" t="n"/>
      <c r="J960" s="44" t="n"/>
      <c r="K960" s="36" t="n"/>
      <c r="L960" s="33">
        <f>IF(C960="","",Commercial_Id)</f>
        <v/>
      </c>
      <c r="M960" s="34">
        <f>IF(E960="","",IFERROR(VLOOKUP(E960,T_Produits,2,FALSE),""))</f>
        <v/>
      </c>
      <c r="N960" s="40">
        <f>IF(E960="","",IFERROR(1/(1/VLOOKUP(E960,T_Produits,3,FALSE)),""))</f>
        <v/>
      </c>
      <c r="O960" s="40">
        <f>IF(OR(D960="",F960=""),"",IF(OR(D960="Casse / avarie",D960="Perte / vol",D960="Échantillon offert"),IF(I960&lt;&gt;"",I960,IF(N960="","",F960*N960)),""))</f>
        <v/>
      </c>
      <c r="P960" s="50">
        <f>IF(OR(D960="",F960=""),"",F960*IF(OR(D960="Reçu du magasin",D960="Ajustement (+)"),1,-1))</f>
        <v/>
      </c>
      <c r="Q960" s="34">
        <f>IF(C960="","",YEAR(C960-WEEKDAY(C960,2)+4)&amp;"-S"&amp;TEXT(INT((C960-DATE(YEAR(C960-WEEKDAY(C960,2)+4),1,3)+WEEKDAY(DATE(YEAR(C960-WEEKDAY(C960,2)+4),1,3),2)+5)/7),"00"))</f>
        <v/>
      </c>
    </row>
    <row r="961" ht="18" customHeight="1">
      <c r="A961" s="39" t="n">
        <v>956</v>
      </c>
      <c r="B961" s="33">
        <f>IF(C961="","",IF(L961="À RENSEIGNER","GIC",L961)&amp;"-S"&amp;TEXT(A961,"00000"))</f>
        <v/>
      </c>
      <c r="C961" s="32" t="n"/>
      <c r="D961" s="36" t="n"/>
      <c r="E961" s="36" t="n"/>
      <c r="F961" s="42" t="n"/>
      <c r="G961" s="36" t="n"/>
      <c r="H961" s="43" t="n"/>
      <c r="I961" s="37" t="n"/>
      <c r="J961" s="44" t="n"/>
      <c r="K961" s="36" t="n"/>
      <c r="L961" s="33">
        <f>IF(C961="","",Commercial_Id)</f>
        <v/>
      </c>
      <c r="M961" s="34">
        <f>IF(E961="","",IFERROR(VLOOKUP(E961,T_Produits,2,FALSE),""))</f>
        <v/>
      </c>
      <c r="N961" s="40">
        <f>IF(E961="","",IFERROR(1/(1/VLOOKUP(E961,T_Produits,3,FALSE)),""))</f>
        <v/>
      </c>
      <c r="O961" s="40">
        <f>IF(OR(D961="",F961=""),"",IF(OR(D961="Casse / avarie",D961="Perte / vol",D961="Échantillon offert"),IF(I961&lt;&gt;"",I961,IF(N961="","",F961*N961)),""))</f>
        <v/>
      </c>
      <c r="P961" s="50">
        <f>IF(OR(D961="",F961=""),"",F961*IF(OR(D961="Reçu du magasin",D961="Ajustement (+)"),1,-1))</f>
        <v/>
      </c>
      <c r="Q961" s="34">
        <f>IF(C961="","",YEAR(C961-WEEKDAY(C961,2)+4)&amp;"-S"&amp;TEXT(INT((C961-DATE(YEAR(C961-WEEKDAY(C961,2)+4),1,3)+WEEKDAY(DATE(YEAR(C961-WEEKDAY(C961,2)+4),1,3),2)+5)/7),"00"))</f>
        <v/>
      </c>
    </row>
    <row r="962" ht="18" customHeight="1">
      <c r="A962" s="39" t="n">
        <v>957</v>
      </c>
      <c r="B962" s="33">
        <f>IF(C962="","",IF(L962="À RENSEIGNER","GIC",L962)&amp;"-S"&amp;TEXT(A962,"00000"))</f>
        <v/>
      </c>
      <c r="C962" s="32" t="n"/>
      <c r="D962" s="36" t="n"/>
      <c r="E962" s="36" t="n"/>
      <c r="F962" s="42" t="n"/>
      <c r="G962" s="36" t="n"/>
      <c r="H962" s="43" t="n"/>
      <c r="I962" s="37" t="n"/>
      <c r="J962" s="44" t="n"/>
      <c r="K962" s="36" t="n"/>
      <c r="L962" s="33">
        <f>IF(C962="","",Commercial_Id)</f>
        <v/>
      </c>
      <c r="M962" s="34">
        <f>IF(E962="","",IFERROR(VLOOKUP(E962,T_Produits,2,FALSE),""))</f>
        <v/>
      </c>
      <c r="N962" s="40">
        <f>IF(E962="","",IFERROR(1/(1/VLOOKUP(E962,T_Produits,3,FALSE)),""))</f>
        <v/>
      </c>
      <c r="O962" s="40">
        <f>IF(OR(D962="",F962=""),"",IF(OR(D962="Casse / avarie",D962="Perte / vol",D962="Échantillon offert"),IF(I962&lt;&gt;"",I962,IF(N962="","",F962*N962)),""))</f>
        <v/>
      </c>
      <c r="P962" s="50">
        <f>IF(OR(D962="",F962=""),"",F962*IF(OR(D962="Reçu du magasin",D962="Ajustement (+)"),1,-1))</f>
        <v/>
      </c>
      <c r="Q962" s="34">
        <f>IF(C962="","",YEAR(C962-WEEKDAY(C962,2)+4)&amp;"-S"&amp;TEXT(INT((C962-DATE(YEAR(C962-WEEKDAY(C962,2)+4),1,3)+WEEKDAY(DATE(YEAR(C962-WEEKDAY(C962,2)+4),1,3),2)+5)/7),"00"))</f>
        <v/>
      </c>
    </row>
    <row r="963" ht="18" customHeight="1">
      <c r="A963" s="39" t="n">
        <v>958</v>
      </c>
      <c r="B963" s="33">
        <f>IF(C963="","",IF(L963="À RENSEIGNER","GIC",L963)&amp;"-S"&amp;TEXT(A963,"00000"))</f>
        <v/>
      </c>
      <c r="C963" s="32" t="n"/>
      <c r="D963" s="36" t="n"/>
      <c r="E963" s="36" t="n"/>
      <c r="F963" s="42" t="n"/>
      <c r="G963" s="36" t="n"/>
      <c r="H963" s="43" t="n"/>
      <c r="I963" s="37" t="n"/>
      <c r="J963" s="44" t="n"/>
      <c r="K963" s="36" t="n"/>
      <c r="L963" s="33">
        <f>IF(C963="","",Commercial_Id)</f>
        <v/>
      </c>
      <c r="M963" s="34">
        <f>IF(E963="","",IFERROR(VLOOKUP(E963,T_Produits,2,FALSE),""))</f>
        <v/>
      </c>
      <c r="N963" s="40">
        <f>IF(E963="","",IFERROR(1/(1/VLOOKUP(E963,T_Produits,3,FALSE)),""))</f>
        <v/>
      </c>
      <c r="O963" s="40">
        <f>IF(OR(D963="",F963=""),"",IF(OR(D963="Casse / avarie",D963="Perte / vol",D963="Échantillon offert"),IF(I963&lt;&gt;"",I963,IF(N963="","",F963*N963)),""))</f>
        <v/>
      </c>
      <c r="P963" s="50">
        <f>IF(OR(D963="",F963=""),"",F963*IF(OR(D963="Reçu du magasin",D963="Ajustement (+)"),1,-1))</f>
        <v/>
      </c>
      <c r="Q963" s="34">
        <f>IF(C963="","",YEAR(C963-WEEKDAY(C963,2)+4)&amp;"-S"&amp;TEXT(INT((C963-DATE(YEAR(C963-WEEKDAY(C963,2)+4),1,3)+WEEKDAY(DATE(YEAR(C963-WEEKDAY(C963,2)+4),1,3),2)+5)/7),"00"))</f>
        <v/>
      </c>
    </row>
    <row r="964" ht="18" customHeight="1">
      <c r="A964" s="39" t="n">
        <v>959</v>
      </c>
      <c r="B964" s="33">
        <f>IF(C964="","",IF(L964="À RENSEIGNER","GIC",L964)&amp;"-S"&amp;TEXT(A964,"00000"))</f>
        <v/>
      </c>
      <c r="C964" s="32" t="n"/>
      <c r="D964" s="36" t="n"/>
      <c r="E964" s="36" t="n"/>
      <c r="F964" s="42" t="n"/>
      <c r="G964" s="36" t="n"/>
      <c r="H964" s="43" t="n"/>
      <c r="I964" s="37" t="n"/>
      <c r="J964" s="44" t="n"/>
      <c r="K964" s="36" t="n"/>
      <c r="L964" s="33">
        <f>IF(C964="","",Commercial_Id)</f>
        <v/>
      </c>
      <c r="M964" s="34">
        <f>IF(E964="","",IFERROR(VLOOKUP(E964,T_Produits,2,FALSE),""))</f>
        <v/>
      </c>
      <c r="N964" s="40">
        <f>IF(E964="","",IFERROR(1/(1/VLOOKUP(E964,T_Produits,3,FALSE)),""))</f>
        <v/>
      </c>
      <c r="O964" s="40">
        <f>IF(OR(D964="",F964=""),"",IF(OR(D964="Casse / avarie",D964="Perte / vol",D964="Échantillon offert"),IF(I964&lt;&gt;"",I964,IF(N964="","",F964*N964)),""))</f>
        <v/>
      </c>
      <c r="P964" s="50">
        <f>IF(OR(D964="",F964=""),"",F964*IF(OR(D964="Reçu du magasin",D964="Ajustement (+)"),1,-1))</f>
        <v/>
      </c>
      <c r="Q964" s="34">
        <f>IF(C964="","",YEAR(C964-WEEKDAY(C964,2)+4)&amp;"-S"&amp;TEXT(INT((C964-DATE(YEAR(C964-WEEKDAY(C964,2)+4),1,3)+WEEKDAY(DATE(YEAR(C964-WEEKDAY(C964,2)+4),1,3),2)+5)/7),"00"))</f>
        <v/>
      </c>
    </row>
    <row r="965" ht="18" customHeight="1">
      <c r="A965" s="39" t="n">
        <v>960</v>
      </c>
      <c r="B965" s="33">
        <f>IF(C965="","",IF(L965="À RENSEIGNER","GIC",L965)&amp;"-S"&amp;TEXT(A965,"00000"))</f>
        <v/>
      </c>
      <c r="C965" s="32" t="n"/>
      <c r="D965" s="36" t="n"/>
      <c r="E965" s="36" t="n"/>
      <c r="F965" s="42" t="n"/>
      <c r="G965" s="36" t="n"/>
      <c r="H965" s="43" t="n"/>
      <c r="I965" s="37" t="n"/>
      <c r="J965" s="44" t="n"/>
      <c r="K965" s="36" t="n"/>
      <c r="L965" s="33">
        <f>IF(C965="","",Commercial_Id)</f>
        <v/>
      </c>
      <c r="M965" s="34">
        <f>IF(E965="","",IFERROR(VLOOKUP(E965,T_Produits,2,FALSE),""))</f>
        <v/>
      </c>
      <c r="N965" s="40">
        <f>IF(E965="","",IFERROR(1/(1/VLOOKUP(E965,T_Produits,3,FALSE)),""))</f>
        <v/>
      </c>
      <c r="O965" s="40">
        <f>IF(OR(D965="",F965=""),"",IF(OR(D965="Casse / avarie",D965="Perte / vol",D965="Échantillon offert"),IF(I965&lt;&gt;"",I965,IF(N965="","",F965*N965)),""))</f>
        <v/>
      </c>
      <c r="P965" s="50">
        <f>IF(OR(D965="",F965=""),"",F965*IF(OR(D965="Reçu du magasin",D965="Ajustement (+)"),1,-1))</f>
        <v/>
      </c>
      <c r="Q965" s="34">
        <f>IF(C965="","",YEAR(C965-WEEKDAY(C965,2)+4)&amp;"-S"&amp;TEXT(INT((C965-DATE(YEAR(C965-WEEKDAY(C965,2)+4),1,3)+WEEKDAY(DATE(YEAR(C965-WEEKDAY(C965,2)+4),1,3),2)+5)/7),"00"))</f>
        <v/>
      </c>
    </row>
    <row r="966" ht="18" customHeight="1">
      <c r="A966" s="39" t="n">
        <v>961</v>
      </c>
      <c r="B966" s="33">
        <f>IF(C966="","",IF(L966="À RENSEIGNER","GIC",L966)&amp;"-S"&amp;TEXT(A966,"00000"))</f>
        <v/>
      </c>
      <c r="C966" s="32" t="n"/>
      <c r="D966" s="36" t="n"/>
      <c r="E966" s="36" t="n"/>
      <c r="F966" s="42" t="n"/>
      <c r="G966" s="36" t="n"/>
      <c r="H966" s="43" t="n"/>
      <c r="I966" s="37" t="n"/>
      <c r="J966" s="44" t="n"/>
      <c r="K966" s="36" t="n"/>
      <c r="L966" s="33">
        <f>IF(C966="","",Commercial_Id)</f>
        <v/>
      </c>
      <c r="M966" s="34">
        <f>IF(E966="","",IFERROR(VLOOKUP(E966,T_Produits,2,FALSE),""))</f>
        <v/>
      </c>
      <c r="N966" s="40">
        <f>IF(E966="","",IFERROR(1/(1/VLOOKUP(E966,T_Produits,3,FALSE)),""))</f>
        <v/>
      </c>
      <c r="O966" s="40">
        <f>IF(OR(D966="",F966=""),"",IF(OR(D966="Casse / avarie",D966="Perte / vol",D966="Échantillon offert"),IF(I966&lt;&gt;"",I966,IF(N966="","",F966*N966)),""))</f>
        <v/>
      </c>
      <c r="P966" s="50">
        <f>IF(OR(D966="",F966=""),"",F966*IF(OR(D966="Reçu du magasin",D966="Ajustement (+)"),1,-1))</f>
        <v/>
      </c>
      <c r="Q966" s="34">
        <f>IF(C966="","",YEAR(C966-WEEKDAY(C966,2)+4)&amp;"-S"&amp;TEXT(INT((C966-DATE(YEAR(C966-WEEKDAY(C966,2)+4),1,3)+WEEKDAY(DATE(YEAR(C966-WEEKDAY(C966,2)+4),1,3),2)+5)/7),"00"))</f>
        <v/>
      </c>
    </row>
    <row r="967" ht="18" customHeight="1">
      <c r="A967" s="39" t="n">
        <v>962</v>
      </c>
      <c r="B967" s="33">
        <f>IF(C967="","",IF(L967="À RENSEIGNER","GIC",L967)&amp;"-S"&amp;TEXT(A967,"00000"))</f>
        <v/>
      </c>
      <c r="C967" s="32" t="n"/>
      <c r="D967" s="36" t="n"/>
      <c r="E967" s="36" t="n"/>
      <c r="F967" s="42" t="n"/>
      <c r="G967" s="36" t="n"/>
      <c r="H967" s="43" t="n"/>
      <c r="I967" s="37" t="n"/>
      <c r="J967" s="44" t="n"/>
      <c r="K967" s="36" t="n"/>
      <c r="L967" s="33">
        <f>IF(C967="","",Commercial_Id)</f>
        <v/>
      </c>
      <c r="M967" s="34">
        <f>IF(E967="","",IFERROR(VLOOKUP(E967,T_Produits,2,FALSE),""))</f>
        <v/>
      </c>
      <c r="N967" s="40">
        <f>IF(E967="","",IFERROR(1/(1/VLOOKUP(E967,T_Produits,3,FALSE)),""))</f>
        <v/>
      </c>
      <c r="O967" s="40">
        <f>IF(OR(D967="",F967=""),"",IF(OR(D967="Casse / avarie",D967="Perte / vol",D967="Échantillon offert"),IF(I967&lt;&gt;"",I967,IF(N967="","",F967*N967)),""))</f>
        <v/>
      </c>
      <c r="P967" s="50">
        <f>IF(OR(D967="",F967=""),"",F967*IF(OR(D967="Reçu du magasin",D967="Ajustement (+)"),1,-1))</f>
        <v/>
      </c>
      <c r="Q967" s="34">
        <f>IF(C967="","",YEAR(C967-WEEKDAY(C967,2)+4)&amp;"-S"&amp;TEXT(INT((C967-DATE(YEAR(C967-WEEKDAY(C967,2)+4),1,3)+WEEKDAY(DATE(YEAR(C967-WEEKDAY(C967,2)+4),1,3),2)+5)/7),"00"))</f>
        <v/>
      </c>
    </row>
    <row r="968" ht="18" customHeight="1">
      <c r="A968" s="39" t="n">
        <v>963</v>
      </c>
      <c r="B968" s="33">
        <f>IF(C968="","",IF(L968="À RENSEIGNER","GIC",L968)&amp;"-S"&amp;TEXT(A968,"00000"))</f>
        <v/>
      </c>
      <c r="C968" s="32" t="n"/>
      <c r="D968" s="36" t="n"/>
      <c r="E968" s="36" t="n"/>
      <c r="F968" s="42" t="n"/>
      <c r="G968" s="36" t="n"/>
      <c r="H968" s="43" t="n"/>
      <c r="I968" s="37" t="n"/>
      <c r="J968" s="44" t="n"/>
      <c r="K968" s="36" t="n"/>
      <c r="L968" s="33">
        <f>IF(C968="","",Commercial_Id)</f>
        <v/>
      </c>
      <c r="M968" s="34">
        <f>IF(E968="","",IFERROR(VLOOKUP(E968,T_Produits,2,FALSE),""))</f>
        <v/>
      </c>
      <c r="N968" s="40">
        <f>IF(E968="","",IFERROR(1/(1/VLOOKUP(E968,T_Produits,3,FALSE)),""))</f>
        <v/>
      </c>
      <c r="O968" s="40">
        <f>IF(OR(D968="",F968=""),"",IF(OR(D968="Casse / avarie",D968="Perte / vol",D968="Échantillon offert"),IF(I968&lt;&gt;"",I968,IF(N968="","",F968*N968)),""))</f>
        <v/>
      </c>
      <c r="P968" s="50">
        <f>IF(OR(D968="",F968=""),"",F968*IF(OR(D968="Reçu du magasin",D968="Ajustement (+)"),1,-1))</f>
        <v/>
      </c>
      <c r="Q968" s="34">
        <f>IF(C968="","",YEAR(C968-WEEKDAY(C968,2)+4)&amp;"-S"&amp;TEXT(INT((C968-DATE(YEAR(C968-WEEKDAY(C968,2)+4),1,3)+WEEKDAY(DATE(YEAR(C968-WEEKDAY(C968,2)+4),1,3),2)+5)/7),"00"))</f>
        <v/>
      </c>
    </row>
    <row r="969" ht="18" customHeight="1">
      <c r="A969" s="39" t="n">
        <v>964</v>
      </c>
      <c r="B969" s="33">
        <f>IF(C969="","",IF(L969="À RENSEIGNER","GIC",L969)&amp;"-S"&amp;TEXT(A969,"00000"))</f>
        <v/>
      </c>
      <c r="C969" s="32" t="n"/>
      <c r="D969" s="36" t="n"/>
      <c r="E969" s="36" t="n"/>
      <c r="F969" s="42" t="n"/>
      <c r="G969" s="36" t="n"/>
      <c r="H969" s="43" t="n"/>
      <c r="I969" s="37" t="n"/>
      <c r="J969" s="44" t="n"/>
      <c r="K969" s="36" t="n"/>
      <c r="L969" s="33">
        <f>IF(C969="","",Commercial_Id)</f>
        <v/>
      </c>
      <c r="M969" s="34">
        <f>IF(E969="","",IFERROR(VLOOKUP(E969,T_Produits,2,FALSE),""))</f>
        <v/>
      </c>
      <c r="N969" s="40">
        <f>IF(E969="","",IFERROR(1/(1/VLOOKUP(E969,T_Produits,3,FALSE)),""))</f>
        <v/>
      </c>
      <c r="O969" s="40">
        <f>IF(OR(D969="",F969=""),"",IF(OR(D969="Casse / avarie",D969="Perte / vol",D969="Échantillon offert"),IF(I969&lt;&gt;"",I969,IF(N969="","",F969*N969)),""))</f>
        <v/>
      </c>
      <c r="P969" s="50">
        <f>IF(OR(D969="",F969=""),"",F969*IF(OR(D969="Reçu du magasin",D969="Ajustement (+)"),1,-1))</f>
        <v/>
      </c>
      <c r="Q969" s="34">
        <f>IF(C969="","",YEAR(C969-WEEKDAY(C969,2)+4)&amp;"-S"&amp;TEXT(INT((C969-DATE(YEAR(C969-WEEKDAY(C969,2)+4),1,3)+WEEKDAY(DATE(YEAR(C969-WEEKDAY(C969,2)+4),1,3),2)+5)/7),"00"))</f>
        <v/>
      </c>
    </row>
    <row r="970" ht="18" customHeight="1">
      <c r="A970" s="39" t="n">
        <v>965</v>
      </c>
      <c r="B970" s="33">
        <f>IF(C970="","",IF(L970="À RENSEIGNER","GIC",L970)&amp;"-S"&amp;TEXT(A970,"00000"))</f>
        <v/>
      </c>
      <c r="C970" s="32" t="n"/>
      <c r="D970" s="36" t="n"/>
      <c r="E970" s="36" t="n"/>
      <c r="F970" s="42" t="n"/>
      <c r="G970" s="36" t="n"/>
      <c r="H970" s="43" t="n"/>
      <c r="I970" s="37" t="n"/>
      <c r="J970" s="44" t="n"/>
      <c r="K970" s="36" t="n"/>
      <c r="L970" s="33">
        <f>IF(C970="","",Commercial_Id)</f>
        <v/>
      </c>
      <c r="M970" s="34">
        <f>IF(E970="","",IFERROR(VLOOKUP(E970,T_Produits,2,FALSE),""))</f>
        <v/>
      </c>
      <c r="N970" s="40">
        <f>IF(E970="","",IFERROR(1/(1/VLOOKUP(E970,T_Produits,3,FALSE)),""))</f>
        <v/>
      </c>
      <c r="O970" s="40">
        <f>IF(OR(D970="",F970=""),"",IF(OR(D970="Casse / avarie",D970="Perte / vol",D970="Échantillon offert"),IF(I970&lt;&gt;"",I970,IF(N970="","",F970*N970)),""))</f>
        <v/>
      </c>
      <c r="P970" s="50">
        <f>IF(OR(D970="",F970=""),"",F970*IF(OR(D970="Reçu du magasin",D970="Ajustement (+)"),1,-1))</f>
        <v/>
      </c>
      <c r="Q970" s="34">
        <f>IF(C970="","",YEAR(C970-WEEKDAY(C970,2)+4)&amp;"-S"&amp;TEXT(INT((C970-DATE(YEAR(C970-WEEKDAY(C970,2)+4),1,3)+WEEKDAY(DATE(YEAR(C970-WEEKDAY(C970,2)+4),1,3),2)+5)/7),"00"))</f>
        <v/>
      </c>
    </row>
    <row r="971" ht="18" customHeight="1">
      <c r="A971" s="39" t="n">
        <v>966</v>
      </c>
      <c r="B971" s="33">
        <f>IF(C971="","",IF(L971="À RENSEIGNER","GIC",L971)&amp;"-S"&amp;TEXT(A971,"00000"))</f>
        <v/>
      </c>
      <c r="C971" s="32" t="n"/>
      <c r="D971" s="36" t="n"/>
      <c r="E971" s="36" t="n"/>
      <c r="F971" s="42" t="n"/>
      <c r="G971" s="36" t="n"/>
      <c r="H971" s="43" t="n"/>
      <c r="I971" s="37" t="n"/>
      <c r="J971" s="44" t="n"/>
      <c r="K971" s="36" t="n"/>
      <c r="L971" s="33">
        <f>IF(C971="","",Commercial_Id)</f>
        <v/>
      </c>
      <c r="M971" s="34">
        <f>IF(E971="","",IFERROR(VLOOKUP(E971,T_Produits,2,FALSE),""))</f>
        <v/>
      </c>
      <c r="N971" s="40">
        <f>IF(E971="","",IFERROR(1/(1/VLOOKUP(E971,T_Produits,3,FALSE)),""))</f>
        <v/>
      </c>
      <c r="O971" s="40">
        <f>IF(OR(D971="",F971=""),"",IF(OR(D971="Casse / avarie",D971="Perte / vol",D971="Échantillon offert"),IF(I971&lt;&gt;"",I971,IF(N971="","",F971*N971)),""))</f>
        <v/>
      </c>
      <c r="P971" s="50">
        <f>IF(OR(D971="",F971=""),"",F971*IF(OR(D971="Reçu du magasin",D971="Ajustement (+)"),1,-1))</f>
        <v/>
      </c>
      <c r="Q971" s="34">
        <f>IF(C971="","",YEAR(C971-WEEKDAY(C971,2)+4)&amp;"-S"&amp;TEXT(INT((C971-DATE(YEAR(C971-WEEKDAY(C971,2)+4),1,3)+WEEKDAY(DATE(YEAR(C971-WEEKDAY(C971,2)+4),1,3),2)+5)/7),"00"))</f>
        <v/>
      </c>
    </row>
    <row r="972" ht="18" customHeight="1">
      <c r="A972" s="39" t="n">
        <v>967</v>
      </c>
      <c r="B972" s="33">
        <f>IF(C972="","",IF(L972="À RENSEIGNER","GIC",L972)&amp;"-S"&amp;TEXT(A972,"00000"))</f>
        <v/>
      </c>
      <c r="C972" s="32" t="n"/>
      <c r="D972" s="36" t="n"/>
      <c r="E972" s="36" t="n"/>
      <c r="F972" s="42" t="n"/>
      <c r="G972" s="36" t="n"/>
      <c r="H972" s="43" t="n"/>
      <c r="I972" s="37" t="n"/>
      <c r="J972" s="44" t="n"/>
      <c r="K972" s="36" t="n"/>
      <c r="L972" s="33">
        <f>IF(C972="","",Commercial_Id)</f>
        <v/>
      </c>
      <c r="M972" s="34">
        <f>IF(E972="","",IFERROR(VLOOKUP(E972,T_Produits,2,FALSE),""))</f>
        <v/>
      </c>
      <c r="N972" s="40">
        <f>IF(E972="","",IFERROR(1/(1/VLOOKUP(E972,T_Produits,3,FALSE)),""))</f>
        <v/>
      </c>
      <c r="O972" s="40">
        <f>IF(OR(D972="",F972=""),"",IF(OR(D972="Casse / avarie",D972="Perte / vol",D972="Échantillon offert"),IF(I972&lt;&gt;"",I972,IF(N972="","",F972*N972)),""))</f>
        <v/>
      </c>
      <c r="P972" s="50">
        <f>IF(OR(D972="",F972=""),"",F972*IF(OR(D972="Reçu du magasin",D972="Ajustement (+)"),1,-1))</f>
        <v/>
      </c>
      <c r="Q972" s="34">
        <f>IF(C972="","",YEAR(C972-WEEKDAY(C972,2)+4)&amp;"-S"&amp;TEXT(INT((C972-DATE(YEAR(C972-WEEKDAY(C972,2)+4),1,3)+WEEKDAY(DATE(YEAR(C972-WEEKDAY(C972,2)+4),1,3),2)+5)/7),"00"))</f>
        <v/>
      </c>
    </row>
    <row r="973" ht="18" customHeight="1">
      <c r="A973" s="39" t="n">
        <v>968</v>
      </c>
      <c r="B973" s="33">
        <f>IF(C973="","",IF(L973="À RENSEIGNER","GIC",L973)&amp;"-S"&amp;TEXT(A973,"00000"))</f>
        <v/>
      </c>
      <c r="C973" s="32" t="n"/>
      <c r="D973" s="36" t="n"/>
      <c r="E973" s="36" t="n"/>
      <c r="F973" s="42" t="n"/>
      <c r="G973" s="36" t="n"/>
      <c r="H973" s="43" t="n"/>
      <c r="I973" s="37" t="n"/>
      <c r="J973" s="44" t="n"/>
      <c r="K973" s="36" t="n"/>
      <c r="L973" s="33">
        <f>IF(C973="","",Commercial_Id)</f>
        <v/>
      </c>
      <c r="M973" s="34">
        <f>IF(E973="","",IFERROR(VLOOKUP(E973,T_Produits,2,FALSE),""))</f>
        <v/>
      </c>
      <c r="N973" s="40">
        <f>IF(E973="","",IFERROR(1/(1/VLOOKUP(E973,T_Produits,3,FALSE)),""))</f>
        <v/>
      </c>
      <c r="O973" s="40">
        <f>IF(OR(D973="",F973=""),"",IF(OR(D973="Casse / avarie",D973="Perte / vol",D973="Échantillon offert"),IF(I973&lt;&gt;"",I973,IF(N973="","",F973*N973)),""))</f>
        <v/>
      </c>
      <c r="P973" s="50">
        <f>IF(OR(D973="",F973=""),"",F973*IF(OR(D973="Reçu du magasin",D973="Ajustement (+)"),1,-1))</f>
        <v/>
      </c>
      <c r="Q973" s="34">
        <f>IF(C973="","",YEAR(C973-WEEKDAY(C973,2)+4)&amp;"-S"&amp;TEXT(INT((C973-DATE(YEAR(C973-WEEKDAY(C973,2)+4),1,3)+WEEKDAY(DATE(YEAR(C973-WEEKDAY(C973,2)+4),1,3),2)+5)/7),"00"))</f>
        <v/>
      </c>
    </row>
    <row r="974" ht="18" customHeight="1">
      <c r="A974" s="39" t="n">
        <v>969</v>
      </c>
      <c r="B974" s="33">
        <f>IF(C974="","",IF(L974="À RENSEIGNER","GIC",L974)&amp;"-S"&amp;TEXT(A974,"00000"))</f>
        <v/>
      </c>
      <c r="C974" s="32" t="n"/>
      <c r="D974" s="36" t="n"/>
      <c r="E974" s="36" t="n"/>
      <c r="F974" s="42" t="n"/>
      <c r="G974" s="36" t="n"/>
      <c r="H974" s="43" t="n"/>
      <c r="I974" s="37" t="n"/>
      <c r="J974" s="44" t="n"/>
      <c r="K974" s="36" t="n"/>
      <c r="L974" s="33">
        <f>IF(C974="","",Commercial_Id)</f>
        <v/>
      </c>
      <c r="M974" s="34">
        <f>IF(E974="","",IFERROR(VLOOKUP(E974,T_Produits,2,FALSE),""))</f>
        <v/>
      </c>
      <c r="N974" s="40">
        <f>IF(E974="","",IFERROR(1/(1/VLOOKUP(E974,T_Produits,3,FALSE)),""))</f>
        <v/>
      </c>
      <c r="O974" s="40">
        <f>IF(OR(D974="",F974=""),"",IF(OR(D974="Casse / avarie",D974="Perte / vol",D974="Échantillon offert"),IF(I974&lt;&gt;"",I974,IF(N974="","",F974*N974)),""))</f>
        <v/>
      </c>
      <c r="P974" s="50">
        <f>IF(OR(D974="",F974=""),"",F974*IF(OR(D974="Reçu du magasin",D974="Ajustement (+)"),1,-1))</f>
        <v/>
      </c>
      <c r="Q974" s="34">
        <f>IF(C974="","",YEAR(C974-WEEKDAY(C974,2)+4)&amp;"-S"&amp;TEXT(INT((C974-DATE(YEAR(C974-WEEKDAY(C974,2)+4),1,3)+WEEKDAY(DATE(YEAR(C974-WEEKDAY(C974,2)+4),1,3),2)+5)/7),"00"))</f>
        <v/>
      </c>
    </row>
    <row r="975" ht="18" customHeight="1">
      <c r="A975" s="39" t="n">
        <v>970</v>
      </c>
      <c r="B975" s="33">
        <f>IF(C975="","",IF(L975="À RENSEIGNER","GIC",L975)&amp;"-S"&amp;TEXT(A975,"00000"))</f>
        <v/>
      </c>
      <c r="C975" s="32" t="n"/>
      <c r="D975" s="36" t="n"/>
      <c r="E975" s="36" t="n"/>
      <c r="F975" s="42" t="n"/>
      <c r="G975" s="36" t="n"/>
      <c r="H975" s="43" t="n"/>
      <c r="I975" s="37" t="n"/>
      <c r="J975" s="44" t="n"/>
      <c r="K975" s="36" t="n"/>
      <c r="L975" s="33">
        <f>IF(C975="","",Commercial_Id)</f>
        <v/>
      </c>
      <c r="M975" s="34">
        <f>IF(E975="","",IFERROR(VLOOKUP(E975,T_Produits,2,FALSE),""))</f>
        <v/>
      </c>
      <c r="N975" s="40">
        <f>IF(E975="","",IFERROR(1/(1/VLOOKUP(E975,T_Produits,3,FALSE)),""))</f>
        <v/>
      </c>
      <c r="O975" s="40">
        <f>IF(OR(D975="",F975=""),"",IF(OR(D975="Casse / avarie",D975="Perte / vol",D975="Échantillon offert"),IF(I975&lt;&gt;"",I975,IF(N975="","",F975*N975)),""))</f>
        <v/>
      </c>
      <c r="P975" s="50">
        <f>IF(OR(D975="",F975=""),"",F975*IF(OR(D975="Reçu du magasin",D975="Ajustement (+)"),1,-1))</f>
        <v/>
      </c>
      <c r="Q975" s="34">
        <f>IF(C975="","",YEAR(C975-WEEKDAY(C975,2)+4)&amp;"-S"&amp;TEXT(INT((C975-DATE(YEAR(C975-WEEKDAY(C975,2)+4),1,3)+WEEKDAY(DATE(YEAR(C975-WEEKDAY(C975,2)+4),1,3),2)+5)/7),"00"))</f>
        <v/>
      </c>
    </row>
    <row r="976" ht="18" customHeight="1">
      <c r="A976" s="39" t="n">
        <v>971</v>
      </c>
      <c r="B976" s="33">
        <f>IF(C976="","",IF(L976="À RENSEIGNER","GIC",L976)&amp;"-S"&amp;TEXT(A976,"00000"))</f>
        <v/>
      </c>
      <c r="C976" s="32" t="n"/>
      <c r="D976" s="36" t="n"/>
      <c r="E976" s="36" t="n"/>
      <c r="F976" s="42" t="n"/>
      <c r="G976" s="36" t="n"/>
      <c r="H976" s="43" t="n"/>
      <c r="I976" s="37" t="n"/>
      <c r="J976" s="44" t="n"/>
      <c r="K976" s="36" t="n"/>
      <c r="L976" s="33">
        <f>IF(C976="","",Commercial_Id)</f>
        <v/>
      </c>
      <c r="M976" s="34">
        <f>IF(E976="","",IFERROR(VLOOKUP(E976,T_Produits,2,FALSE),""))</f>
        <v/>
      </c>
      <c r="N976" s="40">
        <f>IF(E976="","",IFERROR(1/(1/VLOOKUP(E976,T_Produits,3,FALSE)),""))</f>
        <v/>
      </c>
      <c r="O976" s="40">
        <f>IF(OR(D976="",F976=""),"",IF(OR(D976="Casse / avarie",D976="Perte / vol",D976="Échantillon offert"),IF(I976&lt;&gt;"",I976,IF(N976="","",F976*N976)),""))</f>
        <v/>
      </c>
      <c r="P976" s="50">
        <f>IF(OR(D976="",F976=""),"",F976*IF(OR(D976="Reçu du magasin",D976="Ajustement (+)"),1,-1))</f>
        <v/>
      </c>
      <c r="Q976" s="34">
        <f>IF(C976="","",YEAR(C976-WEEKDAY(C976,2)+4)&amp;"-S"&amp;TEXT(INT((C976-DATE(YEAR(C976-WEEKDAY(C976,2)+4),1,3)+WEEKDAY(DATE(YEAR(C976-WEEKDAY(C976,2)+4),1,3),2)+5)/7),"00"))</f>
        <v/>
      </c>
    </row>
    <row r="977" ht="18" customHeight="1">
      <c r="A977" s="39" t="n">
        <v>972</v>
      </c>
      <c r="B977" s="33">
        <f>IF(C977="","",IF(L977="À RENSEIGNER","GIC",L977)&amp;"-S"&amp;TEXT(A977,"00000"))</f>
        <v/>
      </c>
      <c r="C977" s="32" t="n"/>
      <c r="D977" s="36" t="n"/>
      <c r="E977" s="36" t="n"/>
      <c r="F977" s="42" t="n"/>
      <c r="G977" s="36" t="n"/>
      <c r="H977" s="43" t="n"/>
      <c r="I977" s="37" t="n"/>
      <c r="J977" s="44" t="n"/>
      <c r="K977" s="36" t="n"/>
      <c r="L977" s="33">
        <f>IF(C977="","",Commercial_Id)</f>
        <v/>
      </c>
      <c r="M977" s="34">
        <f>IF(E977="","",IFERROR(VLOOKUP(E977,T_Produits,2,FALSE),""))</f>
        <v/>
      </c>
      <c r="N977" s="40">
        <f>IF(E977="","",IFERROR(1/(1/VLOOKUP(E977,T_Produits,3,FALSE)),""))</f>
        <v/>
      </c>
      <c r="O977" s="40">
        <f>IF(OR(D977="",F977=""),"",IF(OR(D977="Casse / avarie",D977="Perte / vol",D977="Échantillon offert"),IF(I977&lt;&gt;"",I977,IF(N977="","",F977*N977)),""))</f>
        <v/>
      </c>
      <c r="P977" s="50">
        <f>IF(OR(D977="",F977=""),"",F977*IF(OR(D977="Reçu du magasin",D977="Ajustement (+)"),1,-1))</f>
        <v/>
      </c>
      <c r="Q977" s="34">
        <f>IF(C977="","",YEAR(C977-WEEKDAY(C977,2)+4)&amp;"-S"&amp;TEXT(INT((C977-DATE(YEAR(C977-WEEKDAY(C977,2)+4),1,3)+WEEKDAY(DATE(YEAR(C977-WEEKDAY(C977,2)+4),1,3),2)+5)/7),"00"))</f>
        <v/>
      </c>
    </row>
    <row r="978" ht="18" customHeight="1">
      <c r="A978" s="39" t="n">
        <v>973</v>
      </c>
      <c r="B978" s="33">
        <f>IF(C978="","",IF(L978="À RENSEIGNER","GIC",L978)&amp;"-S"&amp;TEXT(A978,"00000"))</f>
        <v/>
      </c>
      <c r="C978" s="32" t="n"/>
      <c r="D978" s="36" t="n"/>
      <c r="E978" s="36" t="n"/>
      <c r="F978" s="42" t="n"/>
      <c r="G978" s="36" t="n"/>
      <c r="H978" s="43" t="n"/>
      <c r="I978" s="37" t="n"/>
      <c r="J978" s="44" t="n"/>
      <c r="K978" s="36" t="n"/>
      <c r="L978" s="33">
        <f>IF(C978="","",Commercial_Id)</f>
        <v/>
      </c>
      <c r="M978" s="34">
        <f>IF(E978="","",IFERROR(VLOOKUP(E978,T_Produits,2,FALSE),""))</f>
        <v/>
      </c>
      <c r="N978" s="40">
        <f>IF(E978="","",IFERROR(1/(1/VLOOKUP(E978,T_Produits,3,FALSE)),""))</f>
        <v/>
      </c>
      <c r="O978" s="40">
        <f>IF(OR(D978="",F978=""),"",IF(OR(D978="Casse / avarie",D978="Perte / vol",D978="Échantillon offert"),IF(I978&lt;&gt;"",I978,IF(N978="","",F978*N978)),""))</f>
        <v/>
      </c>
      <c r="P978" s="50">
        <f>IF(OR(D978="",F978=""),"",F978*IF(OR(D978="Reçu du magasin",D978="Ajustement (+)"),1,-1))</f>
        <v/>
      </c>
      <c r="Q978" s="34">
        <f>IF(C978="","",YEAR(C978-WEEKDAY(C978,2)+4)&amp;"-S"&amp;TEXT(INT((C978-DATE(YEAR(C978-WEEKDAY(C978,2)+4),1,3)+WEEKDAY(DATE(YEAR(C978-WEEKDAY(C978,2)+4),1,3),2)+5)/7),"00"))</f>
        <v/>
      </c>
    </row>
    <row r="979" ht="18" customHeight="1">
      <c r="A979" s="39" t="n">
        <v>974</v>
      </c>
      <c r="B979" s="33">
        <f>IF(C979="","",IF(L979="À RENSEIGNER","GIC",L979)&amp;"-S"&amp;TEXT(A979,"00000"))</f>
        <v/>
      </c>
      <c r="C979" s="32" t="n"/>
      <c r="D979" s="36" t="n"/>
      <c r="E979" s="36" t="n"/>
      <c r="F979" s="42" t="n"/>
      <c r="G979" s="36" t="n"/>
      <c r="H979" s="43" t="n"/>
      <c r="I979" s="37" t="n"/>
      <c r="J979" s="44" t="n"/>
      <c r="K979" s="36" t="n"/>
      <c r="L979" s="33">
        <f>IF(C979="","",Commercial_Id)</f>
        <v/>
      </c>
      <c r="M979" s="34">
        <f>IF(E979="","",IFERROR(VLOOKUP(E979,T_Produits,2,FALSE),""))</f>
        <v/>
      </c>
      <c r="N979" s="40">
        <f>IF(E979="","",IFERROR(1/(1/VLOOKUP(E979,T_Produits,3,FALSE)),""))</f>
        <v/>
      </c>
      <c r="O979" s="40">
        <f>IF(OR(D979="",F979=""),"",IF(OR(D979="Casse / avarie",D979="Perte / vol",D979="Échantillon offert"),IF(I979&lt;&gt;"",I979,IF(N979="","",F979*N979)),""))</f>
        <v/>
      </c>
      <c r="P979" s="50">
        <f>IF(OR(D979="",F979=""),"",F979*IF(OR(D979="Reçu du magasin",D979="Ajustement (+)"),1,-1))</f>
        <v/>
      </c>
      <c r="Q979" s="34">
        <f>IF(C979="","",YEAR(C979-WEEKDAY(C979,2)+4)&amp;"-S"&amp;TEXT(INT((C979-DATE(YEAR(C979-WEEKDAY(C979,2)+4),1,3)+WEEKDAY(DATE(YEAR(C979-WEEKDAY(C979,2)+4),1,3),2)+5)/7),"00"))</f>
        <v/>
      </c>
    </row>
    <row r="980" ht="18" customHeight="1">
      <c r="A980" s="39" t="n">
        <v>975</v>
      </c>
      <c r="B980" s="33">
        <f>IF(C980="","",IF(L980="À RENSEIGNER","GIC",L980)&amp;"-S"&amp;TEXT(A980,"00000"))</f>
        <v/>
      </c>
      <c r="C980" s="32" t="n"/>
      <c r="D980" s="36" t="n"/>
      <c r="E980" s="36" t="n"/>
      <c r="F980" s="42" t="n"/>
      <c r="G980" s="36" t="n"/>
      <c r="H980" s="43" t="n"/>
      <c r="I980" s="37" t="n"/>
      <c r="J980" s="44" t="n"/>
      <c r="K980" s="36" t="n"/>
      <c r="L980" s="33">
        <f>IF(C980="","",Commercial_Id)</f>
        <v/>
      </c>
      <c r="M980" s="34">
        <f>IF(E980="","",IFERROR(VLOOKUP(E980,T_Produits,2,FALSE),""))</f>
        <v/>
      </c>
      <c r="N980" s="40">
        <f>IF(E980="","",IFERROR(1/(1/VLOOKUP(E980,T_Produits,3,FALSE)),""))</f>
        <v/>
      </c>
      <c r="O980" s="40">
        <f>IF(OR(D980="",F980=""),"",IF(OR(D980="Casse / avarie",D980="Perte / vol",D980="Échantillon offert"),IF(I980&lt;&gt;"",I980,IF(N980="","",F980*N980)),""))</f>
        <v/>
      </c>
      <c r="P980" s="50">
        <f>IF(OR(D980="",F980=""),"",F980*IF(OR(D980="Reçu du magasin",D980="Ajustement (+)"),1,-1))</f>
        <v/>
      </c>
      <c r="Q980" s="34">
        <f>IF(C980="","",YEAR(C980-WEEKDAY(C980,2)+4)&amp;"-S"&amp;TEXT(INT((C980-DATE(YEAR(C980-WEEKDAY(C980,2)+4),1,3)+WEEKDAY(DATE(YEAR(C980-WEEKDAY(C980,2)+4),1,3),2)+5)/7),"00"))</f>
        <v/>
      </c>
    </row>
    <row r="981" ht="18" customHeight="1">
      <c r="A981" s="39" t="n">
        <v>976</v>
      </c>
      <c r="B981" s="33">
        <f>IF(C981="","",IF(L981="À RENSEIGNER","GIC",L981)&amp;"-S"&amp;TEXT(A981,"00000"))</f>
        <v/>
      </c>
      <c r="C981" s="32" t="n"/>
      <c r="D981" s="36" t="n"/>
      <c r="E981" s="36" t="n"/>
      <c r="F981" s="42" t="n"/>
      <c r="G981" s="36" t="n"/>
      <c r="H981" s="43" t="n"/>
      <c r="I981" s="37" t="n"/>
      <c r="J981" s="44" t="n"/>
      <c r="K981" s="36" t="n"/>
      <c r="L981" s="33">
        <f>IF(C981="","",Commercial_Id)</f>
        <v/>
      </c>
      <c r="M981" s="34">
        <f>IF(E981="","",IFERROR(VLOOKUP(E981,T_Produits,2,FALSE),""))</f>
        <v/>
      </c>
      <c r="N981" s="40">
        <f>IF(E981="","",IFERROR(1/(1/VLOOKUP(E981,T_Produits,3,FALSE)),""))</f>
        <v/>
      </c>
      <c r="O981" s="40">
        <f>IF(OR(D981="",F981=""),"",IF(OR(D981="Casse / avarie",D981="Perte / vol",D981="Échantillon offert"),IF(I981&lt;&gt;"",I981,IF(N981="","",F981*N981)),""))</f>
        <v/>
      </c>
      <c r="P981" s="50">
        <f>IF(OR(D981="",F981=""),"",F981*IF(OR(D981="Reçu du magasin",D981="Ajustement (+)"),1,-1))</f>
        <v/>
      </c>
      <c r="Q981" s="34">
        <f>IF(C981="","",YEAR(C981-WEEKDAY(C981,2)+4)&amp;"-S"&amp;TEXT(INT((C981-DATE(YEAR(C981-WEEKDAY(C981,2)+4),1,3)+WEEKDAY(DATE(YEAR(C981-WEEKDAY(C981,2)+4),1,3),2)+5)/7),"00"))</f>
        <v/>
      </c>
    </row>
    <row r="982" ht="18" customHeight="1">
      <c r="A982" s="39" t="n">
        <v>977</v>
      </c>
      <c r="B982" s="33">
        <f>IF(C982="","",IF(L982="À RENSEIGNER","GIC",L982)&amp;"-S"&amp;TEXT(A982,"00000"))</f>
        <v/>
      </c>
      <c r="C982" s="32" t="n"/>
      <c r="D982" s="36" t="n"/>
      <c r="E982" s="36" t="n"/>
      <c r="F982" s="42" t="n"/>
      <c r="G982" s="36" t="n"/>
      <c r="H982" s="43" t="n"/>
      <c r="I982" s="37" t="n"/>
      <c r="J982" s="44" t="n"/>
      <c r="K982" s="36" t="n"/>
      <c r="L982" s="33">
        <f>IF(C982="","",Commercial_Id)</f>
        <v/>
      </c>
      <c r="M982" s="34">
        <f>IF(E982="","",IFERROR(VLOOKUP(E982,T_Produits,2,FALSE),""))</f>
        <v/>
      </c>
      <c r="N982" s="40">
        <f>IF(E982="","",IFERROR(1/(1/VLOOKUP(E982,T_Produits,3,FALSE)),""))</f>
        <v/>
      </c>
      <c r="O982" s="40">
        <f>IF(OR(D982="",F982=""),"",IF(OR(D982="Casse / avarie",D982="Perte / vol",D982="Échantillon offert"),IF(I982&lt;&gt;"",I982,IF(N982="","",F982*N982)),""))</f>
        <v/>
      </c>
      <c r="P982" s="50">
        <f>IF(OR(D982="",F982=""),"",F982*IF(OR(D982="Reçu du magasin",D982="Ajustement (+)"),1,-1))</f>
        <v/>
      </c>
      <c r="Q982" s="34">
        <f>IF(C982="","",YEAR(C982-WEEKDAY(C982,2)+4)&amp;"-S"&amp;TEXT(INT((C982-DATE(YEAR(C982-WEEKDAY(C982,2)+4),1,3)+WEEKDAY(DATE(YEAR(C982-WEEKDAY(C982,2)+4),1,3),2)+5)/7),"00"))</f>
        <v/>
      </c>
    </row>
    <row r="983" ht="18" customHeight="1">
      <c r="A983" s="39" t="n">
        <v>978</v>
      </c>
      <c r="B983" s="33">
        <f>IF(C983="","",IF(L983="À RENSEIGNER","GIC",L983)&amp;"-S"&amp;TEXT(A983,"00000"))</f>
        <v/>
      </c>
      <c r="C983" s="32" t="n"/>
      <c r="D983" s="36" t="n"/>
      <c r="E983" s="36" t="n"/>
      <c r="F983" s="42" t="n"/>
      <c r="G983" s="36" t="n"/>
      <c r="H983" s="43" t="n"/>
      <c r="I983" s="37" t="n"/>
      <c r="J983" s="44" t="n"/>
      <c r="K983" s="36" t="n"/>
      <c r="L983" s="33">
        <f>IF(C983="","",Commercial_Id)</f>
        <v/>
      </c>
      <c r="M983" s="34">
        <f>IF(E983="","",IFERROR(VLOOKUP(E983,T_Produits,2,FALSE),""))</f>
        <v/>
      </c>
      <c r="N983" s="40">
        <f>IF(E983="","",IFERROR(1/(1/VLOOKUP(E983,T_Produits,3,FALSE)),""))</f>
        <v/>
      </c>
      <c r="O983" s="40">
        <f>IF(OR(D983="",F983=""),"",IF(OR(D983="Casse / avarie",D983="Perte / vol",D983="Échantillon offert"),IF(I983&lt;&gt;"",I983,IF(N983="","",F983*N983)),""))</f>
        <v/>
      </c>
      <c r="P983" s="50">
        <f>IF(OR(D983="",F983=""),"",F983*IF(OR(D983="Reçu du magasin",D983="Ajustement (+)"),1,-1))</f>
        <v/>
      </c>
      <c r="Q983" s="34">
        <f>IF(C983="","",YEAR(C983-WEEKDAY(C983,2)+4)&amp;"-S"&amp;TEXT(INT((C983-DATE(YEAR(C983-WEEKDAY(C983,2)+4),1,3)+WEEKDAY(DATE(YEAR(C983-WEEKDAY(C983,2)+4),1,3),2)+5)/7),"00"))</f>
        <v/>
      </c>
    </row>
    <row r="984" ht="18" customHeight="1">
      <c r="A984" s="39" t="n">
        <v>979</v>
      </c>
      <c r="B984" s="33">
        <f>IF(C984="","",IF(L984="À RENSEIGNER","GIC",L984)&amp;"-S"&amp;TEXT(A984,"00000"))</f>
        <v/>
      </c>
      <c r="C984" s="32" t="n"/>
      <c r="D984" s="36" t="n"/>
      <c r="E984" s="36" t="n"/>
      <c r="F984" s="42" t="n"/>
      <c r="G984" s="36" t="n"/>
      <c r="H984" s="43" t="n"/>
      <c r="I984" s="37" t="n"/>
      <c r="J984" s="44" t="n"/>
      <c r="K984" s="36" t="n"/>
      <c r="L984" s="33">
        <f>IF(C984="","",Commercial_Id)</f>
        <v/>
      </c>
      <c r="M984" s="34">
        <f>IF(E984="","",IFERROR(VLOOKUP(E984,T_Produits,2,FALSE),""))</f>
        <v/>
      </c>
      <c r="N984" s="40">
        <f>IF(E984="","",IFERROR(1/(1/VLOOKUP(E984,T_Produits,3,FALSE)),""))</f>
        <v/>
      </c>
      <c r="O984" s="40">
        <f>IF(OR(D984="",F984=""),"",IF(OR(D984="Casse / avarie",D984="Perte / vol",D984="Échantillon offert"),IF(I984&lt;&gt;"",I984,IF(N984="","",F984*N984)),""))</f>
        <v/>
      </c>
      <c r="P984" s="50">
        <f>IF(OR(D984="",F984=""),"",F984*IF(OR(D984="Reçu du magasin",D984="Ajustement (+)"),1,-1))</f>
        <v/>
      </c>
      <c r="Q984" s="34">
        <f>IF(C984="","",YEAR(C984-WEEKDAY(C984,2)+4)&amp;"-S"&amp;TEXT(INT((C984-DATE(YEAR(C984-WEEKDAY(C984,2)+4),1,3)+WEEKDAY(DATE(YEAR(C984-WEEKDAY(C984,2)+4),1,3),2)+5)/7),"00"))</f>
        <v/>
      </c>
    </row>
    <row r="985" ht="18" customHeight="1">
      <c r="A985" s="39" t="n">
        <v>980</v>
      </c>
      <c r="B985" s="33">
        <f>IF(C985="","",IF(L985="À RENSEIGNER","GIC",L985)&amp;"-S"&amp;TEXT(A985,"00000"))</f>
        <v/>
      </c>
      <c r="C985" s="32" t="n"/>
      <c r="D985" s="36" t="n"/>
      <c r="E985" s="36" t="n"/>
      <c r="F985" s="42" t="n"/>
      <c r="G985" s="36" t="n"/>
      <c r="H985" s="43" t="n"/>
      <c r="I985" s="37" t="n"/>
      <c r="J985" s="44" t="n"/>
      <c r="K985" s="36" t="n"/>
      <c r="L985" s="33">
        <f>IF(C985="","",Commercial_Id)</f>
        <v/>
      </c>
      <c r="M985" s="34">
        <f>IF(E985="","",IFERROR(VLOOKUP(E985,T_Produits,2,FALSE),""))</f>
        <v/>
      </c>
      <c r="N985" s="40">
        <f>IF(E985="","",IFERROR(1/(1/VLOOKUP(E985,T_Produits,3,FALSE)),""))</f>
        <v/>
      </c>
      <c r="O985" s="40">
        <f>IF(OR(D985="",F985=""),"",IF(OR(D985="Casse / avarie",D985="Perte / vol",D985="Échantillon offert"),IF(I985&lt;&gt;"",I985,IF(N985="","",F985*N985)),""))</f>
        <v/>
      </c>
      <c r="P985" s="50">
        <f>IF(OR(D985="",F985=""),"",F985*IF(OR(D985="Reçu du magasin",D985="Ajustement (+)"),1,-1))</f>
        <v/>
      </c>
      <c r="Q985" s="34">
        <f>IF(C985="","",YEAR(C985-WEEKDAY(C985,2)+4)&amp;"-S"&amp;TEXT(INT((C985-DATE(YEAR(C985-WEEKDAY(C985,2)+4),1,3)+WEEKDAY(DATE(YEAR(C985-WEEKDAY(C985,2)+4),1,3),2)+5)/7),"00"))</f>
        <v/>
      </c>
    </row>
    <row r="986" ht="18" customHeight="1">
      <c r="A986" s="39" t="n">
        <v>981</v>
      </c>
      <c r="B986" s="33">
        <f>IF(C986="","",IF(L986="À RENSEIGNER","GIC",L986)&amp;"-S"&amp;TEXT(A986,"00000"))</f>
        <v/>
      </c>
      <c r="C986" s="32" t="n"/>
      <c r="D986" s="36" t="n"/>
      <c r="E986" s="36" t="n"/>
      <c r="F986" s="42" t="n"/>
      <c r="G986" s="36" t="n"/>
      <c r="H986" s="43" t="n"/>
      <c r="I986" s="37" t="n"/>
      <c r="J986" s="44" t="n"/>
      <c r="K986" s="36" t="n"/>
      <c r="L986" s="33">
        <f>IF(C986="","",Commercial_Id)</f>
        <v/>
      </c>
      <c r="M986" s="34">
        <f>IF(E986="","",IFERROR(VLOOKUP(E986,T_Produits,2,FALSE),""))</f>
        <v/>
      </c>
      <c r="N986" s="40">
        <f>IF(E986="","",IFERROR(1/(1/VLOOKUP(E986,T_Produits,3,FALSE)),""))</f>
        <v/>
      </c>
      <c r="O986" s="40">
        <f>IF(OR(D986="",F986=""),"",IF(OR(D986="Casse / avarie",D986="Perte / vol",D986="Échantillon offert"),IF(I986&lt;&gt;"",I986,IF(N986="","",F986*N986)),""))</f>
        <v/>
      </c>
      <c r="P986" s="50">
        <f>IF(OR(D986="",F986=""),"",F986*IF(OR(D986="Reçu du magasin",D986="Ajustement (+)"),1,-1))</f>
        <v/>
      </c>
      <c r="Q986" s="34">
        <f>IF(C986="","",YEAR(C986-WEEKDAY(C986,2)+4)&amp;"-S"&amp;TEXT(INT((C986-DATE(YEAR(C986-WEEKDAY(C986,2)+4),1,3)+WEEKDAY(DATE(YEAR(C986-WEEKDAY(C986,2)+4),1,3),2)+5)/7),"00"))</f>
        <v/>
      </c>
    </row>
    <row r="987" ht="18" customHeight="1">
      <c r="A987" s="39" t="n">
        <v>982</v>
      </c>
      <c r="B987" s="33">
        <f>IF(C987="","",IF(L987="À RENSEIGNER","GIC",L987)&amp;"-S"&amp;TEXT(A987,"00000"))</f>
        <v/>
      </c>
      <c r="C987" s="32" t="n"/>
      <c r="D987" s="36" t="n"/>
      <c r="E987" s="36" t="n"/>
      <c r="F987" s="42" t="n"/>
      <c r="G987" s="36" t="n"/>
      <c r="H987" s="43" t="n"/>
      <c r="I987" s="37" t="n"/>
      <c r="J987" s="44" t="n"/>
      <c r="K987" s="36" t="n"/>
      <c r="L987" s="33">
        <f>IF(C987="","",Commercial_Id)</f>
        <v/>
      </c>
      <c r="M987" s="34">
        <f>IF(E987="","",IFERROR(VLOOKUP(E987,T_Produits,2,FALSE),""))</f>
        <v/>
      </c>
      <c r="N987" s="40">
        <f>IF(E987="","",IFERROR(1/(1/VLOOKUP(E987,T_Produits,3,FALSE)),""))</f>
        <v/>
      </c>
      <c r="O987" s="40">
        <f>IF(OR(D987="",F987=""),"",IF(OR(D987="Casse / avarie",D987="Perte / vol",D987="Échantillon offert"),IF(I987&lt;&gt;"",I987,IF(N987="","",F987*N987)),""))</f>
        <v/>
      </c>
      <c r="P987" s="50">
        <f>IF(OR(D987="",F987=""),"",F987*IF(OR(D987="Reçu du magasin",D987="Ajustement (+)"),1,-1))</f>
        <v/>
      </c>
      <c r="Q987" s="34">
        <f>IF(C987="","",YEAR(C987-WEEKDAY(C987,2)+4)&amp;"-S"&amp;TEXT(INT((C987-DATE(YEAR(C987-WEEKDAY(C987,2)+4),1,3)+WEEKDAY(DATE(YEAR(C987-WEEKDAY(C987,2)+4),1,3),2)+5)/7),"00"))</f>
        <v/>
      </c>
    </row>
    <row r="988" ht="18" customHeight="1">
      <c r="A988" s="39" t="n">
        <v>983</v>
      </c>
      <c r="B988" s="33">
        <f>IF(C988="","",IF(L988="À RENSEIGNER","GIC",L988)&amp;"-S"&amp;TEXT(A988,"00000"))</f>
        <v/>
      </c>
      <c r="C988" s="32" t="n"/>
      <c r="D988" s="36" t="n"/>
      <c r="E988" s="36" t="n"/>
      <c r="F988" s="42" t="n"/>
      <c r="G988" s="36" t="n"/>
      <c r="H988" s="43" t="n"/>
      <c r="I988" s="37" t="n"/>
      <c r="J988" s="44" t="n"/>
      <c r="K988" s="36" t="n"/>
      <c r="L988" s="33">
        <f>IF(C988="","",Commercial_Id)</f>
        <v/>
      </c>
      <c r="M988" s="34">
        <f>IF(E988="","",IFERROR(VLOOKUP(E988,T_Produits,2,FALSE),""))</f>
        <v/>
      </c>
      <c r="N988" s="40">
        <f>IF(E988="","",IFERROR(1/(1/VLOOKUP(E988,T_Produits,3,FALSE)),""))</f>
        <v/>
      </c>
      <c r="O988" s="40">
        <f>IF(OR(D988="",F988=""),"",IF(OR(D988="Casse / avarie",D988="Perte / vol",D988="Échantillon offert"),IF(I988&lt;&gt;"",I988,IF(N988="","",F988*N988)),""))</f>
        <v/>
      </c>
      <c r="P988" s="50">
        <f>IF(OR(D988="",F988=""),"",F988*IF(OR(D988="Reçu du magasin",D988="Ajustement (+)"),1,-1))</f>
        <v/>
      </c>
      <c r="Q988" s="34">
        <f>IF(C988="","",YEAR(C988-WEEKDAY(C988,2)+4)&amp;"-S"&amp;TEXT(INT((C988-DATE(YEAR(C988-WEEKDAY(C988,2)+4),1,3)+WEEKDAY(DATE(YEAR(C988-WEEKDAY(C988,2)+4),1,3),2)+5)/7),"00"))</f>
        <v/>
      </c>
    </row>
    <row r="989" ht="18" customHeight="1">
      <c r="A989" s="39" t="n">
        <v>984</v>
      </c>
      <c r="B989" s="33">
        <f>IF(C989="","",IF(L989="À RENSEIGNER","GIC",L989)&amp;"-S"&amp;TEXT(A989,"00000"))</f>
        <v/>
      </c>
      <c r="C989" s="32" t="n"/>
      <c r="D989" s="36" t="n"/>
      <c r="E989" s="36" t="n"/>
      <c r="F989" s="42" t="n"/>
      <c r="G989" s="36" t="n"/>
      <c r="H989" s="43" t="n"/>
      <c r="I989" s="37" t="n"/>
      <c r="J989" s="44" t="n"/>
      <c r="K989" s="36" t="n"/>
      <c r="L989" s="33">
        <f>IF(C989="","",Commercial_Id)</f>
        <v/>
      </c>
      <c r="M989" s="34">
        <f>IF(E989="","",IFERROR(VLOOKUP(E989,T_Produits,2,FALSE),""))</f>
        <v/>
      </c>
      <c r="N989" s="40">
        <f>IF(E989="","",IFERROR(1/(1/VLOOKUP(E989,T_Produits,3,FALSE)),""))</f>
        <v/>
      </c>
      <c r="O989" s="40">
        <f>IF(OR(D989="",F989=""),"",IF(OR(D989="Casse / avarie",D989="Perte / vol",D989="Échantillon offert"),IF(I989&lt;&gt;"",I989,IF(N989="","",F989*N989)),""))</f>
        <v/>
      </c>
      <c r="P989" s="50">
        <f>IF(OR(D989="",F989=""),"",F989*IF(OR(D989="Reçu du magasin",D989="Ajustement (+)"),1,-1))</f>
        <v/>
      </c>
      <c r="Q989" s="34">
        <f>IF(C989="","",YEAR(C989-WEEKDAY(C989,2)+4)&amp;"-S"&amp;TEXT(INT((C989-DATE(YEAR(C989-WEEKDAY(C989,2)+4),1,3)+WEEKDAY(DATE(YEAR(C989-WEEKDAY(C989,2)+4),1,3),2)+5)/7),"00"))</f>
        <v/>
      </c>
    </row>
    <row r="990" ht="18" customHeight="1">
      <c r="A990" s="39" t="n">
        <v>985</v>
      </c>
      <c r="B990" s="33">
        <f>IF(C990="","",IF(L990="À RENSEIGNER","GIC",L990)&amp;"-S"&amp;TEXT(A990,"00000"))</f>
        <v/>
      </c>
      <c r="C990" s="32" t="n"/>
      <c r="D990" s="36" t="n"/>
      <c r="E990" s="36" t="n"/>
      <c r="F990" s="42" t="n"/>
      <c r="G990" s="36" t="n"/>
      <c r="H990" s="43" t="n"/>
      <c r="I990" s="37" t="n"/>
      <c r="J990" s="44" t="n"/>
      <c r="K990" s="36" t="n"/>
      <c r="L990" s="33">
        <f>IF(C990="","",Commercial_Id)</f>
        <v/>
      </c>
      <c r="M990" s="34">
        <f>IF(E990="","",IFERROR(VLOOKUP(E990,T_Produits,2,FALSE),""))</f>
        <v/>
      </c>
      <c r="N990" s="40">
        <f>IF(E990="","",IFERROR(1/(1/VLOOKUP(E990,T_Produits,3,FALSE)),""))</f>
        <v/>
      </c>
      <c r="O990" s="40">
        <f>IF(OR(D990="",F990=""),"",IF(OR(D990="Casse / avarie",D990="Perte / vol",D990="Échantillon offert"),IF(I990&lt;&gt;"",I990,IF(N990="","",F990*N990)),""))</f>
        <v/>
      </c>
      <c r="P990" s="50">
        <f>IF(OR(D990="",F990=""),"",F990*IF(OR(D990="Reçu du magasin",D990="Ajustement (+)"),1,-1))</f>
        <v/>
      </c>
      <c r="Q990" s="34">
        <f>IF(C990="","",YEAR(C990-WEEKDAY(C990,2)+4)&amp;"-S"&amp;TEXT(INT((C990-DATE(YEAR(C990-WEEKDAY(C990,2)+4),1,3)+WEEKDAY(DATE(YEAR(C990-WEEKDAY(C990,2)+4),1,3),2)+5)/7),"00"))</f>
        <v/>
      </c>
    </row>
    <row r="991" ht="18" customHeight="1">
      <c r="A991" s="39" t="n">
        <v>986</v>
      </c>
      <c r="B991" s="33">
        <f>IF(C991="","",IF(L991="À RENSEIGNER","GIC",L991)&amp;"-S"&amp;TEXT(A991,"00000"))</f>
        <v/>
      </c>
      <c r="C991" s="32" t="n"/>
      <c r="D991" s="36" t="n"/>
      <c r="E991" s="36" t="n"/>
      <c r="F991" s="42" t="n"/>
      <c r="G991" s="36" t="n"/>
      <c r="H991" s="43" t="n"/>
      <c r="I991" s="37" t="n"/>
      <c r="J991" s="44" t="n"/>
      <c r="K991" s="36" t="n"/>
      <c r="L991" s="33">
        <f>IF(C991="","",Commercial_Id)</f>
        <v/>
      </c>
      <c r="M991" s="34">
        <f>IF(E991="","",IFERROR(VLOOKUP(E991,T_Produits,2,FALSE),""))</f>
        <v/>
      </c>
      <c r="N991" s="40">
        <f>IF(E991="","",IFERROR(1/(1/VLOOKUP(E991,T_Produits,3,FALSE)),""))</f>
        <v/>
      </c>
      <c r="O991" s="40">
        <f>IF(OR(D991="",F991=""),"",IF(OR(D991="Casse / avarie",D991="Perte / vol",D991="Échantillon offert"),IF(I991&lt;&gt;"",I991,IF(N991="","",F991*N991)),""))</f>
        <v/>
      </c>
      <c r="P991" s="50">
        <f>IF(OR(D991="",F991=""),"",F991*IF(OR(D991="Reçu du magasin",D991="Ajustement (+)"),1,-1))</f>
        <v/>
      </c>
      <c r="Q991" s="34">
        <f>IF(C991="","",YEAR(C991-WEEKDAY(C991,2)+4)&amp;"-S"&amp;TEXT(INT((C991-DATE(YEAR(C991-WEEKDAY(C991,2)+4),1,3)+WEEKDAY(DATE(YEAR(C991-WEEKDAY(C991,2)+4),1,3),2)+5)/7),"00"))</f>
        <v/>
      </c>
    </row>
    <row r="992" ht="18" customHeight="1">
      <c r="A992" s="39" t="n">
        <v>987</v>
      </c>
      <c r="B992" s="33">
        <f>IF(C992="","",IF(L992="À RENSEIGNER","GIC",L992)&amp;"-S"&amp;TEXT(A992,"00000"))</f>
        <v/>
      </c>
      <c r="C992" s="32" t="n"/>
      <c r="D992" s="36" t="n"/>
      <c r="E992" s="36" t="n"/>
      <c r="F992" s="42" t="n"/>
      <c r="G992" s="36" t="n"/>
      <c r="H992" s="43" t="n"/>
      <c r="I992" s="37" t="n"/>
      <c r="J992" s="44" t="n"/>
      <c r="K992" s="36" t="n"/>
      <c r="L992" s="33">
        <f>IF(C992="","",Commercial_Id)</f>
        <v/>
      </c>
      <c r="M992" s="34">
        <f>IF(E992="","",IFERROR(VLOOKUP(E992,T_Produits,2,FALSE),""))</f>
        <v/>
      </c>
      <c r="N992" s="40">
        <f>IF(E992="","",IFERROR(1/(1/VLOOKUP(E992,T_Produits,3,FALSE)),""))</f>
        <v/>
      </c>
      <c r="O992" s="40">
        <f>IF(OR(D992="",F992=""),"",IF(OR(D992="Casse / avarie",D992="Perte / vol",D992="Échantillon offert"),IF(I992&lt;&gt;"",I992,IF(N992="","",F992*N992)),""))</f>
        <v/>
      </c>
      <c r="P992" s="50">
        <f>IF(OR(D992="",F992=""),"",F992*IF(OR(D992="Reçu du magasin",D992="Ajustement (+)"),1,-1))</f>
        <v/>
      </c>
      <c r="Q992" s="34">
        <f>IF(C992="","",YEAR(C992-WEEKDAY(C992,2)+4)&amp;"-S"&amp;TEXT(INT((C992-DATE(YEAR(C992-WEEKDAY(C992,2)+4),1,3)+WEEKDAY(DATE(YEAR(C992-WEEKDAY(C992,2)+4),1,3),2)+5)/7),"00"))</f>
        <v/>
      </c>
    </row>
    <row r="993" ht="18" customHeight="1">
      <c r="A993" s="39" t="n">
        <v>988</v>
      </c>
      <c r="B993" s="33">
        <f>IF(C993="","",IF(L993="À RENSEIGNER","GIC",L993)&amp;"-S"&amp;TEXT(A993,"00000"))</f>
        <v/>
      </c>
      <c r="C993" s="32" t="n"/>
      <c r="D993" s="36" t="n"/>
      <c r="E993" s="36" t="n"/>
      <c r="F993" s="42" t="n"/>
      <c r="G993" s="36" t="n"/>
      <c r="H993" s="43" t="n"/>
      <c r="I993" s="37" t="n"/>
      <c r="J993" s="44" t="n"/>
      <c r="K993" s="36" t="n"/>
      <c r="L993" s="33">
        <f>IF(C993="","",Commercial_Id)</f>
        <v/>
      </c>
      <c r="M993" s="34">
        <f>IF(E993="","",IFERROR(VLOOKUP(E993,T_Produits,2,FALSE),""))</f>
        <v/>
      </c>
      <c r="N993" s="40">
        <f>IF(E993="","",IFERROR(1/(1/VLOOKUP(E993,T_Produits,3,FALSE)),""))</f>
        <v/>
      </c>
      <c r="O993" s="40">
        <f>IF(OR(D993="",F993=""),"",IF(OR(D993="Casse / avarie",D993="Perte / vol",D993="Échantillon offert"),IF(I993&lt;&gt;"",I993,IF(N993="","",F993*N993)),""))</f>
        <v/>
      </c>
      <c r="P993" s="50">
        <f>IF(OR(D993="",F993=""),"",F993*IF(OR(D993="Reçu du magasin",D993="Ajustement (+)"),1,-1))</f>
        <v/>
      </c>
      <c r="Q993" s="34">
        <f>IF(C993="","",YEAR(C993-WEEKDAY(C993,2)+4)&amp;"-S"&amp;TEXT(INT((C993-DATE(YEAR(C993-WEEKDAY(C993,2)+4),1,3)+WEEKDAY(DATE(YEAR(C993-WEEKDAY(C993,2)+4),1,3),2)+5)/7),"00"))</f>
        <v/>
      </c>
    </row>
    <row r="994" ht="18" customHeight="1">
      <c r="A994" s="39" t="n">
        <v>989</v>
      </c>
      <c r="B994" s="33">
        <f>IF(C994="","",IF(L994="À RENSEIGNER","GIC",L994)&amp;"-S"&amp;TEXT(A994,"00000"))</f>
        <v/>
      </c>
      <c r="C994" s="32" t="n"/>
      <c r="D994" s="36" t="n"/>
      <c r="E994" s="36" t="n"/>
      <c r="F994" s="42" t="n"/>
      <c r="G994" s="36" t="n"/>
      <c r="H994" s="43" t="n"/>
      <c r="I994" s="37" t="n"/>
      <c r="J994" s="44" t="n"/>
      <c r="K994" s="36" t="n"/>
      <c r="L994" s="33">
        <f>IF(C994="","",Commercial_Id)</f>
        <v/>
      </c>
      <c r="M994" s="34">
        <f>IF(E994="","",IFERROR(VLOOKUP(E994,T_Produits,2,FALSE),""))</f>
        <v/>
      </c>
      <c r="N994" s="40">
        <f>IF(E994="","",IFERROR(1/(1/VLOOKUP(E994,T_Produits,3,FALSE)),""))</f>
        <v/>
      </c>
      <c r="O994" s="40">
        <f>IF(OR(D994="",F994=""),"",IF(OR(D994="Casse / avarie",D994="Perte / vol",D994="Échantillon offert"),IF(I994&lt;&gt;"",I994,IF(N994="","",F994*N994)),""))</f>
        <v/>
      </c>
      <c r="P994" s="50">
        <f>IF(OR(D994="",F994=""),"",F994*IF(OR(D994="Reçu du magasin",D994="Ajustement (+)"),1,-1))</f>
        <v/>
      </c>
      <c r="Q994" s="34">
        <f>IF(C994="","",YEAR(C994-WEEKDAY(C994,2)+4)&amp;"-S"&amp;TEXT(INT((C994-DATE(YEAR(C994-WEEKDAY(C994,2)+4),1,3)+WEEKDAY(DATE(YEAR(C994-WEEKDAY(C994,2)+4),1,3),2)+5)/7),"00"))</f>
        <v/>
      </c>
    </row>
    <row r="995" ht="18" customHeight="1">
      <c r="A995" s="39" t="n">
        <v>990</v>
      </c>
      <c r="B995" s="33">
        <f>IF(C995="","",IF(L995="À RENSEIGNER","GIC",L995)&amp;"-S"&amp;TEXT(A995,"00000"))</f>
        <v/>
      </c>
      <c r="C995" s="32" t="n"/>
      <c r="D995" s="36" t="n"/>
      <c r="E995" s="36" t="n"/>
      <c r="F995" s="42" t="n"/>
      <c r="G995" s="36" t="n"/>
      <c r="H995" s="43" t="n"/>
      <c r="I995" s="37" t="n"/>
      <c r="J995" s="44" t="n"/>
      <c r="K995" s="36" t="n"/>
      <c r="L995" s="33">
        <f>IF(C995="","",Commercial_Id)</f>
        <v/>
      </c>
      <c r="M995" s="34">
        <f>IF(E995="","",IFERROR(VLOOKUP(E995,T_Produits,2,FALSE),""))</f>
        <v/>
      </c>
      <c r="N995" s="40">
        <f>IF(E995="","",IFERROR(1/(1/VLOOKUP(E995,T_Produits,3,FALSE)),""))</f>
        <v/>
      </c>
      <c r="O995" s="40">
        <f>IF(OR(D995="",F995=""),"",IF(OR(D995="Casse / avarie",D995="Perte / vol",D995="Échantillon offert"),IF(I995&lt;&gt;"",I995,IF(N995="","",F995*N995)),""))</f>
        <v/>
      </c>
      <c r="P995" s="50">
        <f>IF(OR(D995="",F995=""),"",F995*IF(OR(D995="Reçu du magasin",D995="Ajustement (+)"),1,-1))</f>
        <v/>
      </c>
      <c r="Q995" s="34">
        <f>IF(C995="","",YEAR(C995-WEEKDAY(C995,2)+4)&amp;"-S"&amp;TEXT(INT((C995-DATE(YEAR(C995-WEEKDAY(C995,2)+4),1,3)+WEEKDAY(DATE(YEAR(C995-WEEKDAY(C995,2)+4),1,3),2)+5)/7),"00"))</f>
        <v/>
      </c>
    </row>
    <row r="996" ht="18" customHeight="1">
      <c r="A996" s="39" t="n">
        <v>991</v>
      </c>
      <c r="B996" s="33">
        <f>IF(C996="","",IF(L996="À RENSEIGNER","GIC",L996)&amp;"-S"&amp;TEXT(A996,"00000"))</f>
        <v/>
      </c>
      <c r="C996" s="32" t="n"/>
      <c r="D996" s="36" t="n"/>
      <c r="E996" s="36" t="n"/>
      <c r="F996" s="42" t="n"/>
      <c r="G996" s="36" t="n"/>
      <c r="H996" s="43" t="n"/>
      <c r="I996" s="37" t="n"/>
      <c r="J996" s="44" t="n"/>
      <c r="K996" s="36" t="n"/>
      <c r="L996" s="33">
        <f>IF(C996="","",Commercial_Id)</f>
        <v/>
      </c>
      <c r="M996" s="34">
        <f>IF(E996="","",IFERROR(VLOOKUP(E996,T_Produits,2,FALSE),""))</f>
        <v/>
      </c>
      <c r="N996" s="40">
        <f>IF(E996="","",IFERROR(1/(1/VLOOKUP(E996,T_Produits,3,FALSE)),""))</f>
        <v/>
      </c>
      <c r="O996" s="40">
        <f>IF(OR(D996="",F996=""),"",IF(OR(D996="Casse / avarie",D996="Perte / vol",D996="Échantillon offert"),IF(I996&lt;&gt;"",I996,IF(N996="","",F996*N996)),""))</f>
        <v/>
      </c>
      <c r="P996" s="50">
        <f>IF(OR(D996="",F996=""),"",F996*IF(OR(D996="Reçu du magasin",D996="Ajustement (+)"),1,-1))</f>
        <v/>
      </c>
      <c r="Q996" s="34">
        <f>IF(C996="","",YEAR(C996-WEEKDAY(C996,2)+4)&amp;"-S"&amp;TEXT(INT((C996-DATE(YEAR(C996-WEEKDAY(C996,2)+4),1,3)+WEEKDAY(DATE(YEAR(C996-WEEKDAY(C996,2)+4),1,3),2)+5)/7),"00"))</f>
        <v/>
      </c>
    </row>
    <row r="997" ht="18" customHeight="1">
      <c r="A997" s="39" t="n">
        <v>992</v>
      </c>
      <c r="B997" s="33">
        <f>IF(C997="","",IF(L997="À RENSEIGNER","GIC",L997)&amp;"-S"&amp;TEXT(A997,"00000"))</f>
        <v/>
      </c>
      <c r="C997" s="32" t="n"/>
      <c r="D997" s="36" t="n"/>
      <c r="E997" s="36" t="n"/>
      <c r="F997" s="42" t="n"/>
      <c r="G997" s="36" t="n"/>
      <c r="H997" s="43" t="n"/>
      <c r="I997" s="37" t="n"/>
      <c r="J997" s="44" t="n"/>
      <c r="K997" s="36" t="n"/>
      <c r="L997" s="33">
        <f>IF(C997="","",Commercial_Id)</f>
        <v/>
      </c>
      <c r="M997" s="34">
        <f>IF(E997="","",IFERROR(VLOOKUP(E997,T_Produits,2,FALSE),""))</f>
        <v/>
      </c>
      <c r="N997" s="40">
        <f>IF(E997="","",IFERROR(1/(1/VLOOKUP(E997,T_Produits,3,FALSE)),""))</f>
        <v/>
      </c>
      <c r="O997" s="40">
        <f>IF(OR(D997="",F997=""),"",IF(OR(D997="Casse / avarie",D997="Perte / vol",D997="Échantillon offert"),IF(I997&lt;&gt;"",I997,IF(N997="","",F997*N997)),""))</f>
        <v/>
      </c>
      <c r="P997" s="50">
        <f>IF(OR(D997="",F997=""),"",F997*IF(OR(D997="Reçu du magasin",D997="Ajustement (+)"),1,-1))</f>
        <v/>
      </c>
      <c r="Q997" s="34">
        <f>IF(C997="","",YEAR(C997-WEEKDAY(C997,2)+4)&amp;"-S"&amp;TEXT(INT((C997-DATE(YEAR(C997-WEEKDAY(C997,2)+4),1,3)+WEEKDAY(DATE(YEAR(C997-WEEKDAY(C997,2)+4),1,3),2)+5)/7),"00"))</f>
        <v/>
      </c>
    </row>
    <row r="998" ht="18" customHeight="1">
      <c r="A998" s="39" t="n">
        <v>993</v>
      </c>
      <c r="B998" s="33">
        <f>IF(C998="","",IF(L998="À RENSEIGNER","GIC",L998)&amp;"-S"&amp;TEXT(A998,"00000"))</f>
        <v/>
      </c>
      <c r="C998" s="32" t="n"/>
      <c r="D998" s="36" t="n"/>
      <c r="E998" s="36" t="n"/>
      <c r="F998" s="42" t="n"/>
      <c r="G998" s="36" t="n"/>
      <c r="H998" s="43" t="n"/>
      <c r="I998" s="37" t="n"/>
      <c r="J998" s="44" t="n"/>
      <c r="K998" s="36" t="n"/>
      <c r="L998" s="33">
        <f>IF(C998="","",Commercial_Id)</f>
        <v/>
      </c>
      <c r="M998" s="34">
        <f>IF(E998="","",IFERROR(VLOOKUP(E998,T_Produits,2,FALSE),""))</f>
        <v/>
      </c>
      <c r="N998" s="40">
        <f>IF(E998="","",IFERROR(1/(1/VLOOKUP(E998,T_Produits,3,FALSE)),""))</f>
        <v/>
      </c>
      <c r="O998" s="40">
        <f>IF(OR(D998="",F998=""),"",IF(OR(D998="Casse / avarie",D998="Perte / vol",D998="Échantillon offert"),IF(I998&lt;&gt;"",I998,IF(N998="","",F998*N998)),""))</f>
        <v/>
      </c>
      <c r="P998" s="50">
        <f>IF(OR(D998="",F998=""),"",F998*IF(OR(D998="Reçu du magasin",D998="Ajustement (+)"),1,-1))</f>
        <v/>
      </c>
      <c r="Q998" s="34">
        <f>IF(C998="","",YEAR(C998-WEEKDAY(C998,2)+4)&amp;"-S"&amp;TEXT(INT((C998-DATE(YEAR(C998-WEEKDAY(C998,2)+4),1,3)+WEEKDAY(DATE(YEAR(C998-WEEKDAY(C998,2)+4),1,3),2)+5)/7),"00"))</f>
        <v/>
      </c>
    </row>
    <row r="999" ht="18" customHeight="1">
      <c r="A999" s="39" t="n">
        <v>994</v>
      </c>
      <c r="B999" s="33">
        <f>IF(C999="","",IF(L999="À RENSEIGNER","GIC",L999)&amp;"-S"&amp;TEXT(A999,"00000"))</f>
        <v/>
      </c>
      <c r="C999" s="32" t="n"/>
      <c r="D999" s="36" t="n"/>
      <c r="E999" s="36" t="n"/>
      <c r="F999" s="42" t="n"/>
      <c r="G999" s="36" t="n"/>
      <c r="H999" s="43" t="n"/>
      <c r="I999" s="37" t="n"/>
      <c r="J999" s="44" t="n"/>
      <c r="K999" s="36" t="n"/>
      <c r="L999" s="33">
        <f>IF(C999="","",Commercial_Id)</f>
        <v/>
      </c>
      <c r="M999" s="34">
        <f>IF(E999="","",IFERROR(VLOOKUP(E999,T_Produits,2,FALSE),""))</f>
        <v/>
      </c>
      <c r="N999" s="40">
        <f>IF(E999="","",IFERROR(1/(1/VLOOKUP(E999,T_Produits,3,FALSE)),""))</f>
        <v/>
      </c>
      <c r="O999" s="40">
        <f>IF(OR(D999="",F999=""),"",IF(OR(D999="Casse / avarie",D999="Perte / vol",D999="Échantillon offert"),IF(I999&lt;&gt;"",I999,IF(N999="","",F999*N999)),""))</f>
        <v/>
      </c>
      <c r="P999" s="50">
        <f>IF(OR(D999="",F999=""),"",F999*IF(OR(D999="Reçu du magasin",D999="Ajustement (+)"),1,-1))</f>
        <v/>
      </c>
      <c r="Q999" s="34">
        <f>IF(C999="","",YEAR(C999-WEEKDAY(C999,2)+4)&amp;"-S"&amp;TEXT(INT((C999-DATE(YEAR(C999-WEEKDAY(C999,2)+4),1,3)+WEEKDAY(DATE(YEAR(C999-WEEKDAY(C999,2)+4),1,3),2)+5)/7),"00"))</f>
        <v/>
      </c>
    </row>
    <row r="1000" ht="18" customHeight="1">
      <c r="A1000" s="39" t="n">
        <v>995</v>
      </c>
      <c r="B1000" s="33">
        <f>IF(C1000="","",IF(L1000="À RENSEIGNER","GIC",L1000)&amp;"-S"&amp;TEXT(A1000,"00000"))</f>
        <v/>
      </c>
      <c r="C1000" s="32" t="n"/>
      <c r="D1000" s="36" t="n"/>
      <c r="E1000" s="36" t="n"/>
      <c r="F1000" s="42" t="n"/>
      <c r="G1000" s="36" t="n"/>
      <c r="H1000" s="43" t="n"/>
      <c r="I1000" s="37" t="n"/>
      <c r="J1000" s="44" t="n"/>
      <c r="K1000" s="36" t="n"/>
      <c r="L1000" s="33">
        <f>IF(C1000="","",Commercial_Id)</f>
        <v/>
      </c>
      <c r="M1000" s="34">
        <f>IF(E1000="","",IFERROR(VLOOKUP(E1000,T_Produits,2,FALSE),""))</f>
        <v/>
      </c>
      <c r="N1000" s="40">
        <f>IF(E1000="","",IFERROR(1/(1/VLOOKUP(E1000,T_Produits,3,FALSE)),""))</f>
        <v/>
      </c>
      <c r="O1000" s="40">
        <f>IF(OR(D1000="",F1000=""),"",IF(OR(D1000="Casse / avarie",D1000="Perte / vol",D1000="Échantillon offert"),IF(I1000&lt;&gt;"",I1000,IF(N1000="","",F1000*N1000)),""))</f>
        <v/>
      </c>
      <c r="P1000" s="50">
        <f>IF(OR(D1000="",F1000=""),"",F1000*IF(OR(D1000="Reçu du magasin",D1000="Ajustement (+)"),1,-1))</f>
        <v/>
      </c>
      <c r="Q1000" s="34">
        <f>IF(C1000="","",YEAR(C1000-WEEKDAY(C1000,2)+4)&amp;"-S"&amp;TEXT(INT((C1000-DATE(YEAR(C1000-WEEKDAY(C1000,2)+4),1,3)+WEEKDAY(DATE(YEAR(C1000-WEEKDAY(C1000,2)+4),1,3),2)+5)/7),"00"))</f>
        <v/>
      </c>
    </row>
    <row r="1001" ht="18" customHeight="1">
      <c r="A1001" s="39" t="n">
        <v>996</v>
      </c>
      <c r="B1001" s="33">
        <f>IF(C1001="","",IF(L1001="À RENSEIGNER","GIC",L1001)&amp;"-S"&amp;TEXT(A1001,"00000"))</f>
        <v/>
      </c>
      <c r="C1001" s="32" t="n"/>
      <c r="D1001" s="36" t="n"/>
      <c r="E1001" s="36" t="n"/>
      <c r="F1001" s="42" t="n"/>
      <c r="G1001" s="36" t="n"/>
      <c r="H1001" s="43" t="n"/>
      <c r="I1001" s="37" t="n"/>
      <c r="J1001" s="44" t="n"/>
      <c r="K1001" s="36" t="n"/>
      <c r="L1001" s="33">
        <f>IF(C1001="","",Commercial_Id)</f>
        <v/>
      </c>
      <c r="M1001" s="34">
        <f>IF(E1001="","",IFERROR(VLOOKUP(E1001,T_Produits,2,FALSE),""))</f>
        <v/>
      </c>
      <c r="N1001" s="40">
        <f>IF(E1001="","",IFERROR(1/(1/VLOOKUP(E1001,T_Produits,3,FALSE)),""))</f>
        <v/>
      </c>
      <c r="O1001" s="40">
        <f>IF(OR(D1001="",F1001=""),"",IF(OR(D1001="Casse / avarie",D1001="Perte / vol",D1001="Échantillon offert"),IF(I1001&lt;&gt;"",I1001,IF(N1001="","",F1001*N1001)),""))</f>
        <v/>
      </c>
      <c r="P1001" s="50">
        <f>IF(OR(D1001="",F1001=""),"",F1001*IF(OR(D1001="Reçu du magasin",D1001="Ajustement (+)"),1,-1))</f>
        <v/>
      </c>
      <c r="Q1001" s="34">
        <f>IF(C1001="","",YEAR(C1001-WEEKDAY(C1001,2)+4)&amp;"-S"&amp;TEXT(INT((C1001-DATE(YEAR(C1001-WEEKDAY(C1001,2)+4),1,3)+WEEKDAY(DATE(YEAR(C1001-WEEKDAY(C1001,2)+4),1,3),2)+5)/7),"00"))</f>
        <v/>
      </c>
    </row>
    <row r="1002" ht="18" customHeight="1">
      <c r="A1002" s="39" t="n">
        <v>997</v>
      </c>
      <c r="B1002" s="33">
        <f>IF(C1002="","",IF(L1002="À RENSEIGNER","GIC",L1002)&amp;"-S"&amp;TEXT(A1002,"00000"))</f>
        <v/>
      </c>
      <c r="C1002" s="32" t="n"/>
      <c r="D1002" s="36" t="n"/>
      <c r="E1002" s="36" t="n"/>
      <c r="F1002" s="42" t="n"/>
      <c r="G1002" s="36" t="n"/>
      <c r="H1002" s="43" t="n"/>
      <c r="I1002" s="37" t="n"/>
      <c r="J1002" s="44" t="n"/>
      <c r="K1002" s="36" t="n"/>
      <c r="L1002" s="33">
        <f>IF(C1002="","",Commercial_Id)</f>
        <v/>
      </c>
      <c r="M1002" s="34">
        <f>IF(E1002="","",IFERROR(VLOOKUP(E1002,T_Produits,2,FALSE),""))</f>
        <v/>
      </c>
      <c r="N1002" s="40">
        <f>IF(E1002="","",IFERROR(1/(1/VLOOKUP(E1002,T_Produits,3,FALSE)),""))</f>
        <v/>
      </c>
      <c r="O1002" s="40">
        <f>IF(OR(D1002="",F1002=""),"",IF(OR(D1002="Casse / avarie",D1002="Perte / vol",D1002="Échantillon offert"),IF(I1002&lt;&gt;"",I1002,IF(N1002="","",F1002*N1002)),""))</f>
        <v/>
      </c>
      <c r="P1002" s="50">
        <f>IF(OR(D1002="",F1002=""),"",F1002*IF(OR(D1002="Reçu du magasin",D1002="Ajustement (+)"),1,-1))</f>
        <v/>
      </c>
      <c r="Q1002" s="34">
        <f>IF(C1002="","",YEAR(C1002-WEEKDAY(C1002,2)+4)&amp;"-S"&amp;TEXT(INT((C1002-DATE(YEAR(C1002-WEEKDAY(C1002,2)+4),1,3)+WEEKDAY(DATE(YEAR(C1002-WEEKDAY(C1002,2)+4),1,3),2)+5)/7),"00"))</f>
        <v/>
      </c>
    </row>
    <row r="1003" ht="18" customHeight="1">
      <c r="A1003" s="39" t="n">
        <v>998</v>
      </c>
      <c r="B1003" s="33">
        <f>IF(C1003="","",IF(L1003="À RENSEIGNER","GIC",L1003)&amp;"-S"&amp;TEXT(A1003,"00000"))</f>
        <v/>
      </c>
      <c r="C1003" s="32" t="n"/>
      <c r="D1003" s="36" t="n"/>
      <c r="E1003" s="36" t="n"/>
      <c r="F1003" s="42" t="n"/>
      <c r="G1003" s="36" t="n"/>
      <c r="H1003" s="43" t="n"/>
      <c r="I1003" s="37" t="n"/>
      <c r="J1003" s="44" t="n"/>
      <c r="K1003" s="36" t="n"/>
      <c r="L1003" s="33">
        <f>IF(C1003="","",Commercial_Id)</f>
        <v/>
      </c>
      <c r="M1003" s="34">
        <f>IF(E1003="","",IFERROR(VLOOKUP(E1003,T_Produits,2,FALSE),""))</f>
        <v/>
      </c>
      <c r="N1003" s="40">
        <f>IF(E1003="","",IFERROR(1/(1/VLOOKUP(E1003,T_Produits,3,FALSE)),""))</f>
        <v/>
      </c>
      <c r="O1003" s="40">
        <f>IF(OR(D1003="",F1003=""),"",IF(OR(D1003="Casse / avarie",D1003="Perte / vol",D1003="Échantillon offert"),IF(I1003&lt;&gt;"",I1003,IF(N1003="","",F1003*N1003)),""))</f>
        <v/>
      </c>
      <c r="P1003" s="50">
        <f>IF(OR(D1003="",F1003=""),"",F1003*IF(OR(D1003="Reçu du magasin",D1003="Ajustement (+)"),1,-1))</f>
        <v/>
      </c>
      <c r="Q1003" s="34">
        <f>IF(C1003="","",YEAR(C1003-WEEKDAY(C1003,2)+4)&amp;"-S"&amp;TEXT(INT((C1003-DATE(YEAR(C1003-WEEKDAY(C1003,2)+4),1,3)+WEEKDAY(DATE(YEAR(C1003-WEEKDAY(C1003,2)+4),1,3),2)+5)/7),"00"))</f>
        <v/>
      </c>
    </row>
    <row r="1004" ht="18" customHeight="1">
      <c r="A1004" s="39" t="n">
        <v>999</v>
      </c>
      <c r="B1004" s="33">
        <f>IF(C1004="","",IF(L1004="À RENSEIGNER","GIC",L1004)&amp;"-S"&amp;TEXT(A1004,"00000"))</f>
        <v/>
      </c>
      <c r="C1004" s="32" t="n"/>
      <c r="D1004" s="36" t="n"/>
      <c r="E1004" s="36" t="n"/>
      <c r="F1004" s="42" t="n"/>
      <c r="G1004" s="36" t="n"/>
      <c r="H1004" s="43" t="n"/>
      <c r="I1004" s="37" t="n"/>
      <c r="J1004" s="44" t="n"/>
      <c r="K1004" s="36" t="n"/>
      <c r="L1004" s="33">
        <f>IF(C1004="","",Commercial_Id)</f>
        <v/>
      </c>
      <c r="M1004" s="34">
        <f>IF(E1004="","",IFERROR(VLOOKUP(E1004,T_Produits,2,FALSE),""))</f>
        <v/>
      </c>
      <c r="N1004" s="40">
        <f>IF(E1004="","",IFERROR(1/(1/VLOOKUP(E1004,T_Produits,3,FALSE)),""))</f>
        <v/>
      </c>
      <c r="O1004" s="40">
        <f>IF(OR(D1004="",F1004=""),"",IF(OR(D1004="Casse / avarie",D1004="Perte / vol",D1004="Échantillon offert"),IF(I1004&lt;&gt;"",I1004,IF(N1004="","",F1004*N1004)),""))</f>
        <v/>
      </c>
      <c r="P1004" s="50">
        <f>IF(OR(D1004="",F1004=""),"",F1004*IF(OR(D1004="Reçu du magasin",D1004="Ajustement (+)"),1,-1))</f>
        <v/>
      </c>
      <c r="Q1004" s="34">
        <f>IF(C1004="","",YEAR(C1004-WEEKDAY(C1004,2)+4)&amp;"-S"&amp;TEXT(INT((C1004-DATE(YEAR(C1004-WEEKDAY(C1004,2)+4),1,3)+WEEKDAY(DATE(YEAR(C1004-WEEKDAY(C1004,2)+4),1,3),2)+5)/7),"00"))</f>
        <v/>
      </c>
    </row>
    <row r="1005" ht="18" customHeight="1">
      <c r="A1005" s="39" t="n">
        <v>1000</v>
      </c>
      <c r="B1005" s="33">
        <f>IF(C1005="","",IF(L1005="À RENSEIGNER","GIC",L1005)&amp;"-S"&amp;TEXT(A1005,"00000"))</f>
        <v/>
      </c>
      <c r="C1005" s="32" t="n"/>
      <c r="D1005" s="36" t="n"/>
      <c r="E1005" s="36" t="n"/>
      <c r="F1005" s="42" t="n"/>
      <c r="G1005" s="36" t="n"/>
      <c r="H1005" s="43" t="n"/>
      <c r="I1005" s="37" t="n"/>
      <c r="J1005" s="44" t="n"/>
      <c r="K1005" s="36" t="n"/>
      <c r="L1005" s="33">
        <f>IF(C1005="","",Commercial_Id)</f>
        <v/>
      </c>
      <c r="M1005" s="34">
        <f>IF(E1005="","",IFERROR(VLOOKUP(E1005,T_Produits,2,FALSE),""))</f>
        <v/>
      </c>
      <c r="N1005" s="40">
        <f>IF(E1005="","",IFERROR(1/(1/VLOOKUP(E1005,T_Produits,3,FALSE)),""))</f>
        <v/>
      </c>
      <c r="O1005" s="40">
        <f>IF(OR(D1005="",F1005=""),"",IF(OR(D1005="Casse / avarie",D1005="Perte / vol",D1005="Échantillon offert"),IF(I1005&lt;&gt;"",I1005,IF(N1005="","",F1005*N1005)),""))</f>
        <v/>
      </c>
      <c r="P1005" s="50">
        <f>IF(OR(D1005="",F1005=""),"",F1005*IF(OR(D1005="Reçu du magasin",D1005="Ajustement (+)"),1,-1))</f>
        <v/>
      </c>
      <c r="Q1005" s="34">
        <f>IF(C1005="","",YEAR(C1005-WEEKDAY(C1005,2)+4)&amp;"-S"&amp;TEXT(INT((C1005-DATE(YEAR(C1005-WEEKDAY(C1005,2)+4),1,3)+WEEKDAY(DATE(YEAR(C1005-WEEKDAY(C1005,2)+4),1,3),2)+5)/7),"00"))</f>
        <v/>
      </c>
    </row>
    <row r="1006" ht="18" customHeight="1">
      <c r="A1006" s="39" t="n">
        <v>1001</v>
      </c>
      <c r="B1006" s="33">
        <f>IF(C1006="","",IF(L1006="À RENSEIGNER","GIC",L1006)&amp;"-S"&amp;TEXT(A1006,"00000"))</f>
        <v/>
      </c>
      <c r="C1006" s="32" t="n"/>
      <c r="D1006" s="36" t="n"/>
      <c r="E1006" s="36" t="n"/>
      <c r="F1006" s="42" t="n"/>
      <c r="G1006" s="36" t="n"/>
      <c r="H1006" s="43" t="n"/>
      <c r="I1006" s="37" t="n"/>
      <c r="J1006" s="44" t="n"/>
      <c r="K1006" s="36" t="n"/>
      <c r="L1006" s="33">
        <f>IF(C1006="","",Commercial_Id)</f>
        <v/>
      </c>
      <c r="M1006" s="34">
        <f>IF(E1006="","",IFERROR(VLOOKUP(E1006,T_Produits,2,FALSE),""))</f>
        <v/>
      </c>
      <c r="N1006" s="40">
        <f>IF(E1006="","",IFERROR(1/(1/VLOOKUP(E1006,T_Produits,3,FALSE)),""))</f>
        <v/>
      </c>
      <c r="O1006" s="40">
        <f>IF(OR(D1006="",F1006=""),"",IF(OR(D1006="Casse / avarie",D1006="Perte / vol",D1006="Échantillon offert"),IF(I1006&lt;&gt;"",I1006,IF(N1006="","",F1006*N1006)),""))</f>
        <v/>
      </c>
      <c r="P1006" s="50">
        <f>IF(OR(D1006="",F1006=""),"",F1006*IF(OR(D1006="Reçu du magasin",D1006="Ajustement (+)"),1,-1))</f>
        <v/>
      </c>
      <c r="Q1006" s="34">
        <f>IF(C1006="","",YEAR(C1006-WEEKDAY(C1006,2)+4)&amp;"-S"&amp;TEXT(INT((C1006-DATE(YEAR(C1006-WEEKDAY(C1006,2)+4),1,3)+WEEKDAY(DATE(YEAR(C1006-WEEKDAY(C1006,2)+4),1,3),2)+5)/7),"00"))</f>
        <v/>
      </c>
    </row>
    <row r="1007" ht="18" customHeight="1">
      <c r="A1007" s="39" t="n">
        <v>1002</v>
      </c>
      <c r="B1007" s="33">
        <f>IF(C1007="","",IF(L1007="À RENSEIGNER","GIC",L1007)&amp;"-S"&amp;TEXT(A1007,"00000"))</f>
        <v/>
      </c>
      <c r="C1007" s="32" t="n"/>
      <c r="D1007" s="36" t="n"/>
      <c r="E1007" s="36" t="n"/>
      <c r="F1007" s="42" t="n"/>
      <c r="G1007" s="36" t="n"/>
      <c r="H1007" s="43" t="n"/>
      <c r="I1007" s="37" t="n"/>
      <c r="J1007" s="44" t="n"/>
      <c r="K1007" s="36" t="n"/>
      <c r="L1007" s="33">
        <f>IF(C1007="","",Commercial_Id)</f>
        <v/>
      </c>
      <c r="M1007" s="34">
        <f>IF(E1007="","",IFERROR(VLOOKUP(E1007,T_Produits,2,FALSE),""))</f>
        <v/>
      </c>
      <c r="N1007" s="40">
        <f>IF(E1007="","",IFERROR(1/(1/VLOOKUP(E1007,T_Produits,3,FALSE)),""))</f>
        <v/>
      </c>
      <c r="O1007" s="40">
        <f>IF(OR(D1007="",F1007=""),"",IF(OR(D1007="Casse / avarie",D1007="Perte / vol",D1007="Échantillon offert"),IF(I1007&lt;&gt;"",I1007,IF(N1007="","",F1007*N1007)),""))</f>
        <v/>
      </c>
      <c r="P1007" s="50">
        <f>IF(OR(D1007="",F1007=""),"",F1007*IF(OR(D1007="Reçu du magasin",D1007="Ajustement (+)"),1,-1))</f>
        <v/>
      </c>
      <c r="Q1007" s="34">
        <f>IF(C1007="","",YEAR(C1007-WEEKDAY(C1007,2)+4)&amp;"-S"&amp;TEXT(INT((C1007-DATE(YEAR(C1007-WEEKDAY(C1007,2)+4),1,3)+WEEKDAY(DATE(YEAR(C1007-WEEKDAY(C1007,2)+4),1,3),2)+5)/7),"00"))</f>
        <v/>
      </c>
    </row>
    <row r="1008" ht="18" customHeight="1">
      <c r="A1008" s="39" t="n">
        <v>1003</v>
      </c>
      <c r="B1008" s="33">
        <f>IF(C1008="","",IF(L1008="À RENSEIGNER","GIC",L1008)&amp;"-S"&amp;TEXT(A1008,"00000"))</f>
        <v/>
      </c>
      <c r="C1008" s="32" t="n"/>
      <c r="D1008" s="36" t="n"/>
      <c r="E1008" s="36" t="n"/>
      <c r="F1008" s="42" t="n"/>
      <c r="G1008" s="36" t="n"/>
      <c r="H1008" s="43" t="n"/>
      <c r="I1008" s="37" t="n"/>
      <c r="J1008" s="44" t="n"/>
      <c r="K1008" s="36" t="n"/>
      <c r="L1008" s="33">
        <f>IF(C1008="","",Commercial_Id)</f>
        <v/>
      </c>
      <c r="M1008" s="34">
        <f>IF(E1008="","",IFERROR(VLOOKUP(E1008,T_Produits,2,FALSE),""))</f>
        <v/>
      </c>
      <c r="N1008" s="40">
        <f>IF(E1008="","",IFERROR(1/(1/VLOOKUP(E1008,T_Produits,3,FALSE)),""))</f>
        <v/>
      </c>
      <c r="O1008" s="40">
        <f>IF(OR(D1008="",F1008=""),"",IF(OR(D1008="Casse / avarie",D1008="Perte / vol",D1008="Échantillon offert"),IF(I1008&lt;&gt;"",I1008,IF(N1008="","",F1008*N1008)),""))</f>
        <v/>
      </c>
      <c r="P1008" s="50">
        <f>IF(OR(D1008="",F1008=""),"",F1008*IF(OR(D1008="Reçu du magasin",D1008="Ajustement (+)"),1,-1))</f>
        <v/>
      </c>
      <c r="Q1008" s="34">
        <f>IF(C1008="","",YEAR(C1008-WEEKDAY(C1008,2)+4)&amp;"-S"&amp;TEXT(INT((C1008-DATE(YEAR(C1008-WEEKDAY(C1008,2)+4),1,3)+WEEKDAY(DATE(YEAR(C1008-WEEKDAY(C1008,2)+4),1,3),2)+5)/7),"00"))</f>
        <v/>
      </c>
    </row>
    <row r="1009" ht="18" customHeight="1">
      <c r="A1009" s="39" t="n">
        <v>1004</v>
      </c>
      <c r="B1009" s="33">
        <f>IF(C1009="","",IF(L1009="À RENSEIGNER","GIC",L1009)&amp;"-S"&amp;TEXT(A1009,"00000"))</f>
        <v/>
      </c>
      <c r="C1009" s="32" t="n"/>
      <c r="D1009" s="36" t="n"/>
      <c r="E1009" s="36" t="n"/>
      <c r="F1009" s="42" t="n"/>
      <c r="G1009" s="36" t="n"/>
      <c r="H1009" s="43" t="n"/>
      <c r="I1009" s="37" t="n"/>
      <c r="J1009" s="44" t="n"/>
      <c r="K1009" s="36" t="n"/>
      <c r="L1009" s="33">
        <f>IF(C1009="","",Commercial_Id)</f>
        <v/>
      </c>
      <c r="M1009" s="34">
        <f>IF(E1009="","",IFERROR(VLOOKUP(E1009,T_Produits,2,FALSE),""))</f>
        <v/>
      </c>
      <c r="N1009" s="40">
        <f>IF(E1009="","",IFERROR(1/(1/VLOOKUP(E1009,T_Produits,3,FALSE)),""))</f>
        <v/>
      </c>
      <c r="O1009" s="40">
        <f>IF(OR(D1009="",F1009=""),"",IF(OR(D1009="Casse / avarie",D1009="Perte / vol",D1009="Échantillon offert"),IF(I1009&lt;&gt;"",I1009,IF(N1009="","",F1009*N1009)),""))</f>
        <v/>
      </c>
      <c r="P1009" s="50">
        <f>IF(OR(D1009="",F1009=""),"",F1009*IF(OR(D1009="Reçu du magasin",D1009="Ajustement (+)"),1,-1))</f>
        <v/>
      </c>
      <c r="Q1009" s="34">
        <f>IF(C1009="","",YEAR(C1009-WEEKDAY(C1009,2)+4)&amp;"-S"&amp;TEXT(INT((C1009-DATE(YEAR(C1009-WEEKDAY(C1009,2)+4),1,3)+WEEKDAY(DATE(YEAR(C1009-WEEKDAY(C1009,2)+4),1,3),2)+5)/7),"00"))</f>
        <v/>
      </c>
    </row>
    <row r="1010" ht="18" customHeight="1">
      <c r="A1010" s="39" t="n">
        <v>1005</v>
      </c>
      <c r="B1010" s="33">
        <f>IF(C1010="","",IF(L1010="À RENSEIGNER","GIC",L1010)&amp;"-S"&amp;TEXT(A1010,"00000"))</f>
        <v/>
      </c>
      <c r="C1010" s="32" t="n"/>
      <c r="D1010" s="36" t="n"/>
      <c r="E1010" s="36" t="n"/>
      <c r="F1010" s="42" t="n"/>
      <c r="G1010" s="36" t="n"/>
      <c r="H1010" s="43" t="n"/>
      <c r="I1010" s="37" t="n"/>
      <c r="J1010" s="44" t="n"/>
      <c r="K1010" s="36" t="n"/>
      <c r="L1010" s="33">
        <f>IF(C1010="","",Commercial_Id)</f>
        <v/>
      </c>
      <c r="M1010" s="34">
        <f>IF(E1010="","",IFERROR(VLOOKUP(E1010,T_Produits,2,FALSE),""))</f>
        <v/>
      </c>
      <c r="N1010" s="40">
        <f>IF(E1010="","",IFERROR(1/(1/VLOOKUP(E1010,T_Produits,3,FALSE)),""))</f>
        <v/>
      </c>
      <c r="O1010" s="40">
        <f>IF(OR(D1010="",F1010=""),"",IF(OR(D1010="Casse / avarie",D1010="Perte / vol",D1010="Échantillon offert"),IF(I1010&lt;&gt;"",I1010,IF(N1010="","",F1010*N1010)),""))</f>
        <v/>
      </c>
      <c r="P1010" s="50">
        <f>IF(OR(D1010="",F1010=""),"",F1010*IF(OR(D1010="Reçu du magasin",D1010="Ajustement (+)"),1,-1))</f>
        <v/>
      </c>
      <c r="Q1010" s="34">
        <f>IF(C1010="","",YEAR(C1010-WEEKDAY(C1010,2)+4)&amp;"-S"&amp;TEXT(INT((C1010-DATE(YEAR(C1010-WEEKDAY(C1010,2)+4),1,3)+WEEKDAY(DATE(YEAR(C1010-WEEKDAY(C1010,2)+4),1,3),2)+5)/7),"00"))</f>
        <v/>
      </c>
    </row>
    <row r="1011" ht="18" customHeight="1">
      <c r="A1011" s="39" t="n">
        <v>1006</v>
      </c>
      <c r="B1011" s="33">
        <f>IF(C1011="","",IF(L1011="À RENSEIGNER","GIC",L1011)&amp;"-S"&amp;TEXT(A1011,"00000"))</f>
        <v/>
      </c>
      <c r="C1011" s="32" t="n"/>
      <c r="D1011" s="36" t="n"/>
      <c r="E1011" s="36" t="n"/>
      <c r="F1011" s="42" t="n"/>
      <c r="G1011" s="36" t="n"/>
      <c r="H1011" s="43" t="n"/>
      <c r="I1011" s="37" t="n"/>
      <c r="J1011" s="44" t="n"/>
      <c r="K1011" s="36" t="n"/>
      <c r="L1011" s="33">
        <f>IF(C1011="","",Commercial_Id)</f>
        <v/>
      </c>
      <c r="M1011" s="34">
        <f>IF(E1011="","",IFERROR(VLOOKUP(E1011,T_Produits,2,FALSE),""))</f>
        <v/>
      </c>
      <c r="N1011" s="40">
        <f>IF(E1011="","",IFERROR(1/(1/VLOOKUP(E1011,T_Produits,3,FALSE)),""))</f>
        <v/>
      </c>
      <c r="O1011" s="40">
        <f>IF(OR(D1011="",F1011=""),"",IF(OR(D1011="Casse / avarie",D1011="Perte / vol",D1011="Échantillon offert"),IF(I1011&lt;&gt;"",I1011,IF(N1011="","",F1011*N1011)),""))</f>
        <v/>
      </c>
      <c r="P1011" s="50">
        <f>IF(OR(D1011="",F1011=""),"",F1011*IF(OR(D1011="Reçu du magasin",D1011="Ajustement (+)"),1,-1))</f>
        <v/>
      </c>
      <c r="Q1011" s="34">
        <f>IF(C1011="","",YEAR(C1011-WEEKDAY(C1011,2)+4)&amp;"-S"&amp;TEXT(INT((C1011-DATE(YEAR(C1011-WEEKDAY(C1011,2)+4),1,3)+WEEKDAY(DATE(YEAR(C1011-WEEKDAY(C1011,2)+4),1,3),2)+5)/7),"00"))</f>
        <v/>
      </c>
    </row>
    <row r="1012" ht="18" customHeight="1">
      <c r="A1012" s="39" t="n">
        <v>1007</v>
      </c>
      <c r="B1012" s="33">
        <f>IF(C1012="","",IF(L1012="À RENSEIGNER","GIC",L1012)&amp;"-S"&amp;TEXT(A1012,"00000"))</f>
        <v/>
      </c>
      <c r="C1012" s="32" t="n"/>
      <c r="D1012" s="36" t="n"/>
      <c r="E1012" s="36" t="n"/>
      <c r="F1012" s="42" t="n"/>
      <c r="G1012" s="36" t="n"/>
      <c r="H1012" s="43" t="n"/>
      <c r="I1012" s="37" t="n"/>
      <c r="J1012" s="44" t="n"/>
      <c r="K1012" s="36" t="n"/>
      <c r="L1012" s="33">
        <f>IF(C1012="","",Commercial_Id)</f>
        <v/>
      </c>
      <c r="M1012" s="34">
        <f>IF(E1012="","",IFERROR(VLOOKUP(E1012,T_Produits,2,FALSE),""))</f>
        <v/>
      </c>
      <c r="N1012" s="40">
        <f>IF(E1012="","",IFERROR(1/(1/VLOOKUP(E1012,T_Produits,3,FALSE)),""))</f>
        <v/>
      </c>
      <c r="O1012" s="40">
        <f>IF(OR(D1012="",F1012=""),"",IF(OR(D1012="Casse / avarie",D1012="Perte / vol",D1012="Échantillon offert"),IF(I1012&lt;&gt;"",I1012,IF(N1012="","",F1012*N1012)),""))</f>
        <v/>
      </c>
      <c r="P1012" s="50">
        <f>IF(OR(D1012="",F1012=""),"",F1012*IF(OR(D1012="Reçu du magasin",D1012="Ajustement (+)"),1,-1))</f>
        <v/>
      </c>
      <c r="Q1012" s="34">
        <f>IF(C1012="","",YEAR(C1012-WEEKDAY(C1012,2)+4)&amp;"-S"&amp;TEXT(INT((C1012-DATE(YEAR(C1012-WEEKDAY(C1012,2)+4),1,3)+WEEKDAY(DATE(YEAR(C1012-WEEKDAY(C1012,2)+4),1,3),2)+5)/7),"00"))</f>
        <v/>
      </c>
    </row>
    <row r="1013" ht="18" customHeight="1">
      <c r="A1013" s="39" t="n">
        <v>1008</v>
      </c>
      <c r="B1013" s="33">
        <f>IF(C1013="","",IF(L1013="À RENSEIGNER","GIC",L1013)&amp;"-S"&amp;TEXT(A1013,"00000"))</f>
        <v/>
      </c>
      <c r="C1013" s="32" t="n"/>
      <c r="D1013" s="36" t="n"/>
      <c r="E1013" s="36" t="n"/>
      <c r="F1013" s="42" t="n"/>
      <c r="G1013" s="36" t="n"/>
      <c r="H1013" s="43" t="n"/>
      <c r="I1013" s="37" t="n"/>
      <c r="J1013" s="44" t="n"/>
      <c r="K1013" s="36" t="n"/>
      <c r="L1013" s="33">
        <f>IF(C1013="","",Commercial_Id)</f>
        <v/>
      </c>
      <c r="M1013" s="34">
        <f>IF(E1013="","",IFERROR(VLOOKUP(E1013,T_Produits,2,FALSE),""))</f>
        <v/>
      </c>
      <c r="N1013" s="40">
        <f>IF(E1013="","",IFERROR(1/(1/VLOOKUP(E1013,T_Produits,3,FALSE)),""))</f>
        <v/>
      </c>
      <c r="O1013" s="40">
        <f>IF(OR(D1013="",F1013=""),"",IF(OR(D1013="Casse / avarie",D1013="Perte / vol",D1013="Échantillon offert"),IF(I1013&lt;&gt;"",I1013,IF(N1013="","",F1013*N1013)),""))</f>
        <v/>
      </c>
      <c r="P1013" s="50">
        <f>IF(OR(D1013="",F1013=""),"",F1013*IF(OR(D1013="Reçu du magasin",D1013="Ajustement (+)"),1,-1))</f>
        <v/>
      </c>
      <c r="Q1013" s="34">
        <f>IF(C1013="","",YEAR(C1013-WEEKDAY(C1013,2)+4)&amp;"-S"&amp;TEXT(INT((C1013-DATE(YEAR(C1013-WEEKDAY(C1013,2)+4),1,3)+WEEKDAY(DATE(YEAR(C1013-WEEKDAY(C1013,2)+4),1,3),2)+5)/7),"00"))</f>
        <v/>
      </c>
    </row>
    <row r="1014" ht="18" customHeight="1">
      <c r="A1014" s="39" t="n">
        <v>1009</v>
      </c>
      <c r="B1014" s="33">
        <f>IF(C1014="","",IF(L1014="À RENSEIGNER","GIC",L1014)&amp;"-S"&amp;TEXT(A1014,"00000"))</f>
        <v/>
      </c>
      <c r="C1014" s="32" t="n"/>
      <c r="D1014" s="36" t="n"/>
      <c r="E1014" s="36" t="n"/>
      <c r="F1014" s="42" t="n"/>
      <c r="G1014" s="36" t="n"/>
      <c r="H1014" s="43" t="n"/>
      <c r="I1014" s="37" t="n"/>
      <c r="J1014" s="44" t="n"/>
      <c r="K1014" s="36" t="n"/>
      <c r="L1014" s="33">
        <f>IF(C1014="","",Commercial_Id)</f>
        <v/>
      </c>
      <c r="M1014" s="34">
        <f>IF(E1014="","",IFERROR(VLOOKUP(E1014,T_Produits,2,FALSE),""))</f>
        <v/>
      </c>
      <c r="N1014" s="40">
        <f>IF(E1014="","",IFERROR(1/(1/VLOOKUP(E1014,T_Produits,3,FALSE)),""))</f>
        <v/>
      </c>
      <c r="O1014" s="40">
        <f>IF(OR(D1014="",F1014=""),"",IF(OR(D1014="Casse / avarie",D1014="Perte / vol",D1014="Échantillon offert"),IF(I1014&lt;&gt;"",I1014,IF(N1014="","",F1014*N1014)),""))</f>
        <v/>
      </c>
      <c r="P1014" s="50">
        <f>IF(OR(D1014="",F1014=""),"",F1014*IF(OR(D1014="Reçu du magasin",D1014="Ajustement (+)"),1,-1))</f>
        <v/>
      </c>
      <c r="Q1014" s="34">
        <f>IF(C1014="","",YEAR(C1014-WEEKDAY(C1014,2)+4)&amp;"-S"&amp;TEXT(INT((C1014-DATE(YEAR(C1014-WEEKDAY(C1014,2)+4),1,3)+WEEKDAY(DATE(YEAR(C1014-WEEKDAY(C1014,2)+4),1,3),2)+5)/7),"00"))</f>
        <v/>
      </c>
    </row>
    <row r="1015" ht="18" customHeight="1">
      <c r="A1015" s="39" t="n">
        <v>1010</v>
      </c>
      <c r="B1015" s="33">
        <f>IF(C1015="","",IF(L1015="À RENSEIGNER","GIC",L1015)&amp;"-S"&amp;TEXT(A1015,"00000"))</f>
        <v/>
      </c>
      <c r="C1015" s="32" t="n"/>
      <c r="D1015" s="36" t="n"/>
      <c r="E1015" s="36" t="n"/>
      <c r="F1015" s="42" t="n"/>
      <c r="G1015" s="36" t="n"/>
      <c r="H1015" s="43" t="n"/>
      <c r="I1015" s="37" t="n"/>
      <c r="J1015" s="44" t="n"/>
      <c r="K1015" s="36" t="n"/>
      <c r="L1015" s="33">
        <f>IF(C1015="","",Commercial_Id)</f>
        <v/>
      </c>
      <c r="M1015" s="34">
        <f>IF(E1015="","",IFERROR(VLOOKUP(E1015,T_Produits,2,FALSE),""))</f>
        <v/>
      </c>
      <c r="N1015" s="40">
        <f>IF(E1015="","",IFERROR(1/(1/VLOOKUP(E1015,T_Produits,3,FALSE)),""))</f>
        <v/>
      </c>
      <c r="O1015" s="40">
        <f>IF(OR(D1015="",F1015=""),"",IF(OR(D1015="Casse / avarie",D1015="Perte / vol",D1015="Échantillon offert"),IF(I1015&lt;&gt;"",I1015,IF(N1015="","",F1015*N1015)),""))</f>
        <v/>
      </c>
      <c r="P1015" s="50">
        <f>IF(OR(D1015="",F1015=""),"",F1015*IF(OR(D1015="Reçu du magasin",D1015="Ajustement (+)"),1,-1))</f>
        <v/>
      </c>
      <c r="Q1015" s="34">
        <f>IF(C1015="","",YEAR(C1015-WEEKDAY(C1015,2)+4)&amp;"-S"&amp;TEXT(INT((C1015-DATE(YEAR(C1015-WEEKDAY(C1015,2)+4),1,3)+WEEKDAY(DATE(YEAR(C1015-WEEKDAY(C1015,2)+4),1,3),2)+5)/7),"00"))</f>
        <v/>
      </c>
    </row>
    <row r="1016" ht="18" customHeight="1">
      <c r="A1016" s="39" t="n">
        <v>1011</v>
      </c>
      <c r="B1016" s="33">
        <f>IF(C1016="","",IF(L1016="À RENSEIGNER","GIC",L1016)&amp;"-S"&amp;TEXT(A1016,"00000"))</f>
        <v/>
      </c>
      <c r="C1016" s="32" t="n"/>
      <c r="D1016" s="36" t="n"/>
      <c r="E1016" s="36" t="n"/>
      <c r="F1016" s="42" t="n"/>
      <c r="G1016" s="36" t="n"/>
      <c r="H1016" s="43" t="n"/>
      <c r="I1016" s="37" t="n"/>
      <c r="J1016" s="44" t="n"/>
      <c r="K1016" s="36" t="n"/>
      <c r="L1016" s="33">
        <f>IF(C1016="","",Commercial_Id)</f>
        <v/>
      </c>
      <c r="M1016" s="34">
        <f>IF(E1016="","",IFERROR(VLOOKUP(E1016,T_Produits,2,FALSE),""))</f>
        <v/>
      </c>
      <c r="N1016" s="40">
        <f>IF(E1016="","",IFERROR(1/(1/VLOOKUP(E1016,T_Produits,3,FALSE)),""))</f>
        <v/>
      </c>
      <c r="O1016" s="40">
        <f>IF(OR(D1016="",F1016=""),"",IF(OR(D1016="Casse / avarie",D1016="Perte / vol",D1016="Échantillon offert"),IF(I1016&lt;&gt;"",I1016,IF(N1016="","",F1016*N1016)),""))</f>
        <v/>
      </c>
      <c r="P1016" s="50">
        <f>IF(OR(D1016="",F1016=""),"",F1016*IF(OR(D1016="Reçu du magasin",D1016="Ajustement (+)"),1,-1))</f>
        <v/>
      </c>
      <c r="Q1016" s="34">
        <f>IF(C1016="","",YEAR(C1016-WEEKDAY(C1016,2)+4)&amp;"-S"&amp;TEXT(INT((C1016-DATE(YEAR(C1016-WEEKDAY(C1016,2)+4),1,3)+WEEKDAY(DATE(YEAR(C1016-WEEKDAY(C1016,2)+4),1,3),2)+5)/7),"00"))</f>
        <v/>
      </c>
    </row>
    <row r="1017" ht="18" customHeight="1">
      <c r="A1017" s="39" t="n">
        <v>1012</v>
      </c>
      <c r="B1017" s="33">
        <f>IF(C1017="","",IF(L1017="À RENSEIGNER","GIC",L1017)&amp;"-S"&amp;TEXT(A1017,"00000"))</f>
        <v/>
      </c>
      <c r="C1017" s="32" t="n"/>
      <c r="D1017" s="36" t="n"/>
      <c r="E1017" s="36" t="n"/>
      <c r="F1017" s="42" t="n"/>
      <c r="G1017" s="36" t="n"/>
      <c r="H1017" s="43" t="n"/>
      <c r="I1017" s="37" t="n"/>
      <c r="J1017" s="44" t="n"/>
      <c r="K1017" s="36" t="n"/>
      <c r="L1017" s="33">
        <f>IF(C1017="","",Commercial_Id)</f>
        <v/>
      </c>
      <c r="M1017" s="34">
        <f>IF(E1017="","",IFERROR(VLOOKUP(E1017,T_Produits,2,FALSE),""))</f>
        <v/>
      </c>
      <c r="N1017" s="40">
        <f>IF(E1017="","",IFERROR(1/(1/VLOOKUP(E1017,T_Produits,3,FALSE)),""))</f>
        <v/>
      </c>
      <c r="O1017" s="40">
        <f>IF(OR(D1017="",F1017=""),"",IF(OR(D1017="Casse / avarie",D1017="Perte / vol",D1017="Échantillon offert"),IF(I1017&lt;&gt;"",I1017,IF(N1017="","",F1017*N1017)),""))</f>
        <v/>
      </c>
      <c r="P1017" s="50">
        <f>IF(OR(D1017="",F1017=""),"",F1017*IF(OR(D1017="Reçu du magasin",D1017="Ajustement (+)"),1,-1))</f>
        <v/>
      </c>
      <c r="Q1017" s="34">
        <f>IF(C1017="","",YEAR(C1017-WEEKDAY(C1017,2)+4)&amp;"-S"&amp;TEXT(INT((C1017-DATE(YEAR(C1017-WEEKDAY(C1017,2)+4),1,3)+WEEKDAY(DATE(YEAR(C1017-WEEKDAY(C1017,2)+4),1,3),2)+5)/7),"00"))</f>
        <v/>
      </c>
    </row>
    <row r="1018" ht="18" customHeight="1">
      <c r="A1018" s="39" t="n">
        <v>1013</v>
      </c>
      <c r="B1018" s="33">
        <f>IF(C1018="","",IF(L1018="À RENSEIGNER","GIC",L1018)&amp;"-S"&amp;TEXT(A1018,"00000"))</f>
        <v/>
      </c>
      <c r="C1018" s="32" t="n"/>
      <c r="D1018" s="36" t="n"/>
      <c r="E1018" s="36" t="n"/>
      <c r="F1018" s="42" t="n"/>
      <c r="G1018" s="36" t="n"/>
      <c r="H1018" s="43" t="n"/>
      <c r="I1018" s="37" t="n"/>
      <c r="J1018" s="44" t="n"/>
      <c r="K1018" s="36" t="n"/>
      <c r="L1018" s="33">
        <f>IF(C1018="","",Commercial_Id)</f>
        <v/>
      </c>
      <c r="M1018" s="34">
        <f>IF(E1018="","",IFERROR(VLOOKUP(E1018,T_Produits,2,FALSE),""))</f>
        <v/>
      </c>
      <c r="N1018" s="40">
        <f>IF(E1018="","",IFERROR(1/(1/VLOOKUP(E1018,T_Produits,3,FALSE)),""))</f>
        <v/>
      </c>
      <c r="O1018" s="40">
        <f>IF(OR(D1018="",F1018=""),"",IF(OR(D1018="Casse / avarie",D1018="Perte / vol",D1018="Échantillon offert"),IF(I1018&lt;&gt;"",I1018,IF(N1018="","",F1018*N1018)),""))</f>
        <v/>
      </c>
      <c r="P1018" s="50">
        <f>IF(OR(D1018="",F1018=""),"",F1018*IF(OR(D1018="Reçu du magasin",D1018="Ajustement (+)"),1,-1))</f>
        <v/>
      </c>
      <c r="Q1018" s="34">
        <f>IF(C1018="","",YEAR(C1018-WEEKDAY(C1018,2)+4)&amp;"-S"&amp;TEXT(INT((C1018-DATE(YEAR(C1018-WEEKDAY(C1018,2)+4),1,3)+WEEKDAY(DATE(YEAR(C1018-WEEKDAY(C1018,2)+4),1,3),2)+5)/7),"00"))</f>
        <v/>
      </c>
    </row>
    <row r="1019" ht="18" customHeight="1">
      <c r="A1019" s="39" t="n">
        <v>1014</v>
      </c>
      <c r="B1019" s="33">
        <f>IF(C1019="","",IF(L1019="À RENSEIGNER","GIC",L1019)&amp;"-S"&amp;TEXT(A1019,"00000"))</f>
        <v/>
      </c>
      <c r="C1019" s="32" t="n"/>
      <c r="D1019" s="36" t="n"/>
      <c r="E1019" s="36" t="n"/>
      <c r="F1019" s="42" t="n"/>
      <c r="G1019" s="36" t="n"/>
      <c r="H1019" s="43" t="n"/>
      <c r="I1019" s="37" t="n"/>
      <c r="J1019" s="44" t="n"/>
      <c r="K1019" s="36" t="n"/>
      <c r="L1019" s="33">
        <f>IF(C1019="","",Commercial_Id)</f>
        <v/>
      </c>
      <c r="M1019" s="34">
        <f>IF(E1019="","",IFERROR(VLOOKUP(E1019,T_Produits,2,FALSE),""))</f>
        <v/>
      </c>
      <c r="N1019" s="40">
        <f>IF(E1019="","",IFERROR(1/(1/VLOOKUP(E1019,T_Produits,3,FALSE)),""))</f>
        <v/>
      </c>
      <c r="O1019" s="40">
        <f>IF(OR(D1019="",F1019=""),"",IF(OR(D1019="Casse / avarie",D1019="Perte / vol",D1019="Échantillon offert"),IF(I1019&lt;&gt;"",I1019,IF(N1019="","",F1019*N1019)),""))</f>
        <v/>
      </c>
      <c r="P1019" s="50">
        <f>IF(OR(D1019="",F1019=""),"",F1019*IF(OR(D1019="Reçu du magasin",D1019="Ajustement (+)"),1,-1))</f>
        <v/>
      </c>
      <c r="Q1019" s="34">
        <f>IF(C1019="","",YEAR(C1019-WEEKDAY(C1019,2)+4)&amp;"-S"&amp;TEXT(INT((C1019-DATE(YEAR(C1019-WEEKDAY(C1019,2)+4),1,3)+WEEKDAY(DATE(YEAR(C1019-WEEKDAY(C1019,2)+4),1,3),2)+5)/7),"00"))</f>
        <v/>
      </c>
    </row>
    <row r="1020" ht="18" customHeight="1">
      <c r="A1020" s="39" t="n">
        <v>1015</v>
      </c>
      <c r="B1020" s="33">
        <f>IF(C1020="","",IF(L1020="À RENSEIGNER","GIC",L1020)&amp;"-S"&amp;TEXT(A1020,"00000"))</f>
        <v/>
      </c>
      <c r="C1020" s="32" t="n"/>
      <c r="D1020" s="36" t="n"/>
      <c r="E1020" s="36" t="n"/>
      <c r="F1020" s="42" t="n"/>
      <c r="G1020" s="36" t="n"/>
      <c r="H1020" s="43" t="n"/>
      <c r="I1020" s="37" t="n"/>
      <c r="J1020" s="44" t="n"/>
      <c r="K1020" s="36" t="n"/>
      <c r="L1020" s="33">
        <f>IF(C1020="","",Commercial_Id)</f>
        <v/>
      </c>
      <c r="M1020" s="34">
        <f>IF(E1020="","",IFERROR(VLOOKUP(E1020,T_Produits,2,FALSE),""))</f>
        <v/>
      </c>
      <c r="N1020" s="40">
        <f>IF(E1020="","",IFERROR(1/(1/VLOOKUP(E1020,T_Produits,3,FALSE)),""))</f>
        <v/>
      </c>
      <c r="O1020" s="40">
        <f>IF(OR(D1020="",F1020=""),"",IF(OR(D1020="Casse / avarie",D1020="Perte / vol",D1020="Échantillon offert"),IF(I1020&lt;&gt;"",I1020,IF(N1020="","",F1020*N1020)),""))</f>
        <v/>
      </c>
      <c r="P1020" s="50">
        <f>IF(OR(D1020="",F1020=""),"",F1020*IF(OR(D1020="Reçu du magasin",D1020="Ajustement (+)"),1,-1))</f>
        <v/>
      </c>
      <c r="Q1020" s="34">
        <f>IF(C1020="","",YEAR(C1020-WEEKDAY(C1020,2)+4)&amp;"-S"&amp;TEXT(INT((C1020-DATE(YEAR(C1020-WEEKDAY(C1020,2)+4),1,3)+WEEKDAY(DATE(YEAR(C1020-WEEKDAY(C1020,2)+4),1,3),2)+5)/7),"00"))</f>
        <v/>
      </c>
    </row>
    <row r="1021" ht="18" customHeight="1">
      <c r="A1021" s="39" t="n">
        <v>1016</v>
      </c>
      <c r="B1021" s="33">
        <f>IF(C1021="","",IF(L1021="À RENSEIGNER","GIC",L1021)&amp;"-S"&amp;TEXT(A1021,"00000"))</f>
        <v/>
      </c>
      <c r="C1021" s="32" t="n"/>
      <c r="D1021" s="36" t="n"/>
      <c r="E1021" s="36" t="n"/>
      <c r="F1021" s="42" t="n"/>
      <c r="G1021" s="36" t="n"/>
      <c r="H1021" s="43" t="n"/>
      <c r="I1021" s="37" t="n"/>
      <c r="J1021" s="44" t="n"/>
      <c r="K1021" s="36" t="n"/>
      <c r="L1021" s="33">
        <f>IF(C1021="","",Commercial_Id)</f>
        <v/>
      </c>
      <c r="M1021" s="34">
        <f>IF(E1021="","",IFERROR(VLOOKUP(E1021,T_Produits,2,FALSE),""))</f>
        <v/>
      </c>
      <c r="N1021" s="40">
        <f>IF(E1021="","",IFERROR(1/(1/VLOOKUP(E1021,T_Produits,3,FALSE)),""))</f>
        <v/>
      </c>
      <c r="O1021" s="40">
        <f>IF(OR(D1021="",F1021=""),"",IF(OR(D1021="Casse / avarie",D1021="Perte / vol",D1021="Échantillon offert"),IF(I1021&lt;&gt;"",I1021,IF(N1021="","",F1021*N1021)),""))</f>
        <v/>
      </c>
      <c r="P1021" s="50">
        <f>IF(OR(D1021="",F1021=""),"",F1021*IF(OR(D1021="Reçu du magasin",D1021="Ajustement (+)"),1,-1))</f>
        <v/>
      </c>
      <c r="Q1021" s="34">
        <f>IF(C1021="","",YEAR(C1021-WEEKDAY(C1021,2)+4)&amp;"-S"&amp;TEXT(INT((C1021-DATE(YEAR(C1021-WEEKDAY(C1021,2)+4),1,3)+WEEKDAY(DATE(YEAR(C1021-WEEKDAY(C1021,2)+4),1,3),2)+5)/7),"00"))</f>
        <v/>
      </c>
    </row>
    <row r="1022" ht="18" customHeight="1">
      <c r="A1022" s="39" t="n">
        <v>1017</v>
      </c>
      <c r="B1022" s="33">
        <f>IF(C1022="","",IF(L1022="À RENSEIGNER","GIC",L1022)&amp;"-S"&amp;TEXT(A1022,"00000"))</f>
        <v/>
      </c>
      <c r="C1022" s="32" t="n"/>
      <c r="D1022" s="36" t="n"/>
      <c r="E1022" s="36" t="n"/>
      <c r="F1022" s="42" t="n"/>
      <c r="G1022" s="36" t="n"/>
      <c r="H1022" s="43" t="n"/>
      <c r="I1022" s="37" t="n"/>
      <c r="J1022" s="44" t="n"/>
      <c r="K1022" s="36" t="n"/>
      <c r="L1022" s="33">
        <f>IF(C1022="","",Commercial_Id)</f>
        <v/>
      </c>
      <c r="M1022" s="34">
        <f>IF(E1022="","",IFERROR(VLOOKUP(E1022,T_Produits,2,FALSE),""))</f>
        <v/>
      </c>
      <c r="N1022" s="40">
        <f>IF(E1022="","",IFERROR(1/(1/VLOOKUP(E1022,T_Produits,3,FALSE)),""))</f>
        <v/>
      </c>
      <c r="O1022" s="40">
        <f>IF(OR(D1022="",F1022=""),"",IF(OR(D1022="Casse / avarie",D1022="Perte / vol",D1022="Échantillon offert"),IF(I1022&lt;&gt;"",I1022,IF(N1022="","",F1022*N1022)),""))</f>
        <v/>
      </c>
      <c r="P1022" s="50">
        <f>IF(OR(D1022="",F1022=""),"",F1022*IF(OR(D1022="Reçu du magasin",D1022="Ajustement (+)"),1,-1))</f>
        <v/>
      </c>
      <c r="Q1022" s="34">
        <f>IF(C1022="","",YEAR(C1022-WEEKDAY(C1022,2)+4)&amp;"-S"&amp;TEXT(INT((C1022-DATE(YEAR(C1022-WEEKDAY(C1022,2)+4),1,3)+WEEKDAY(DATE(YEAR(C1022-WEEKDAY(C1022,2)+4),1,3),2)+5)/7),"00"))</f>
        <v/>
      </c>
    </row>
    <row r="1023" ht="18" customHeight="1">
      <c r="A1023" s="39" t="n">
        <v>1018</v>
      </c>
      <c r="B1023" s="33">
        <f>IF(C1023="","",IF(L1023="À RENSEIGNER","GIC",L1023)&amp;"-S"&amp;TEXT(A1023,"00000"))</f>
        <v/>
      </c>
      <c r="C1023" s="32" t="n"/>
      <c r="D1023" s="36" t="n"/>
      <c r="E1023" s="36" t="n"/>
      <c r="F1023" s="42" t="n"/>
      <c r="G1023" s="36" t="n"/>
      <c r="H1023" s="43" t="n"/>
      <c r="I1023" s="37" t="n"/>
      <c r="J1023" s="44" t="n"/>
      <c r="K1023" s="36" t="n"/>
      <c r="L1023" s="33">
        <f>IF(C1023="","",Commercial_Id)</f>
        <v/>
      </c>
      <c r="M1023" s="34">
        <f>IF(E1023="","",IFERROR(VLOOKUP(E1023,T_Produits,2,FALSE),""))</f>
        <v/>
      </c>
      <c r="N1023" s="40">
        <f>IF(E1023="","",IFERROR(1/(1/VLOOKUP(E1023,T_Produits,3,FALSE)),""))</f>
        <v/>
      </c>
      <c r="O1023" s="40">
        <f>IF(OR(D1023="",F1023=""),"",IF(OR(D1023="Casse / avarie",D1023="Perte / vol",D1023="Échantillon offert"),IF(I1023&lt;&gt;"",I1023,IF(N1023="","",F1023*N1023)),""))</f>
        <v/>
      </c>
      <c r="P1023" s="50">
        <f>IF(OR(D1023="",F1023=""),"",F1023*IF(OR(D1023="Reçu du magasin",D1023="Ajustement (+)"),1,-1))</f>
        <v/>
      </c>
      <c r="Q1023" s="34">
        <f>IF(C1023="","",YEAR(C1023-WEEKDAY(C1023,2)+4)&amp;"-S"&amp;TEXT(INT((C1023-DATE(YEAR(C1023-WEEKDAY(C1023,2)+4),1,3)+WEEKDAY(DATE(YEAR(C1023-WEEKDAY(C1023,2)+4),1,3),2)+5)/7),"00"))</f>
        <v/>
      </c>
    </row>
    <row r="1024" ht="18" customHeight="1">
      <c r="A1024" s="39" t="n">
        <v>1019</v>
      </c>
      <c r="B1024" s="33">
        <f>IF(C1024="","",IF(L1024="À RENSEIGNER","GIC",L1024)&amp;"-S"&amp;TEXT(A1024,"00000"))</f>
        <v/>
      </c>
      <c r="C1024" s="32" t="n"/>
      <c r="D1024" s="36" t="n"/>
      <c r="E1024" s="36" t="n"/>
      <c r="F1024" s="42" t="n"/>
      <c r="G1024" s="36" t="n"/>
      <c r="H1024" s="43" t="n"/>
      <c r="I1024" s="37" t="n"/>
      <c r="J1024" s="44" t="n"/>
      <c r="K1024" s="36" t="n"/>
      <c r="L1024" s="33">
        <f>IF(C1024="","",Commercial_Id)</f>
        <v/>
      </c>
      <c r="M1024" s="34">
        <f>IF(E1024="","",IFERROR(VLOOKUP(E1024,T_Produits,2,FALSE),""))</f>
        <v/>
      </c>
      <c r="N1024" s="40">
        <f>IF(E1024="","",IFERROR(1/(1/VLOOKUP(E1024,T_Produits,3,FALSE)),""))</f>
        <v/>
      </c>
      <c r="O1024" s="40">
        <f>IF(OR(D1024="",F1024=""),"",IF(OR(D1024="Casse / avarie",D1024="Perte / vol",D1024="Échantillon offert"),IF(I1024&lt;&gt;"",I1024,IF(N1024="","",F1024*N1024)),""))</f>
        <v/>
      </c>
      <c r="P1024" s="50">
        <f>IF(OR(D1024="",F1024=""),"",F1024*IF(OR(D1024="Reçu du magasin",D1024="Ajustement (+)"),1,-1))</f>
        <v/>
      </c>
      <c r="Q1024" s="34">
        <f>IF(C1024="","",YEAR(C1024-WEEKDAY(C1024,2)+4)&amp;"-S"&amp;TEXT(INT((C1024-DATE(YEAR(C1024-WEEKDAY(C1024,2)+4),1,3)+WEEKDAY(DATE(YEAR(C1024-WEEKDAY(C1024,2)+4),1,3),2)+5)/7),"00"))</f>
        <v/>
      </c>
    </row>
    <row r="1025" ht="18" customHeight="1">
      <c r="A1025" s="39" t="n">
        <v>1020</v>
      </c>
      <c r="B1025" s="33">
        <f>IF(C1025="","",IF(L1025="À RENSEIGNER","GIC",L1025)&amp;"-S"&amp;TEXT(A1025,"00000"))</f>
        <v/>
      </c>
      <c r="C1025" s="32" t="n"/>
      <c r="D1025" s="36" t="n"/>
      <c r="E1025" s="36" t="n"/>
      <c r="F1025" s="42" t="n"/>
      <c r="G1025" s="36" t="n"/>
      <c r="H1025" s="43" t="n"/>
      <c r="I1025" s="37" t="n"/>
      <c r="J1025" s="44" t="n"/>
      <c r="K1025" s="36" t="n"/>
      <c r="L1025" s="33">
        <f>IF(C1025="","",Commercial_Id)</f>
        <v/>
      </c>
      <c r="M1025" s="34">
        <f>IF(E1025="","",IFERROR(VLOOKUP(E1025,T_Produits,2,FALSE),""))</f>
        <v/>
      </c>
      <c r="N1025" s="40">
        <f>IF(E1025="","",IFERROR(1/(1/VLOOKUP(E1025,T_Produits,3,FALSE)),""))</f>
        <v/>
      </c>
      <c r="O1025" s="40">
        <f>IF(OR(D1025="",F1025=""),"",IF(OR(D1025="Casse / avarie",D1025="Perte / vol",D1025="Échantillon offert"),IF(I1025&lt;&gt;"",I1025,IF(N1025="","",F1025*N1025)),""))</f>
        <v/>
      </c>
      <c r="P1025" s="50">
        <f>IF(OR(D1025="",F1025=""),"",F1025*IF(OR(D1025="Reçu du magasin",D1025="Ajustement (+)"),1,-1))</f>
        <v/>
      </c>
      <c r="Q1025" s="34">
        <f>IF(C1025="","",YEAR(C1025-WEEKDAY(C1025,2)+4)&amp;"-S"&amp;TEXT(INT((C1025-DATE(YEAR(C1025-WEEKDAY(C1025,2)+4),1,3)+WEEKDAY(DATE(YEAR(C1025-WEEKDAY(C1025,2)+4),1,3),2)+5)/7),"00"))</f>
        <v/>
      </c>
    </row>
    <row r="1026" ht="18" customHeight="1">
      <c r="A1026" s="39" t="n">
        <v>1021</v>
      </c>
      <c r="B1026" s="33">
        <f>IF(C1026="","",IF(L1026="À RENSEIGNER","GIC",L1026)&amp;"-S"&amp;TEXT(A1026,"00000"))</f>
        <v/>
      </c>
      <c r="C1026" s="32" t="n"/>
      <c r="D1026" s="36" t="n"/>
      <c r="E1026" s="36" t="n"/>
      <c r="F1026" s="42" t="n"/>
      <c r="G1026" s="36" t="n"/>
      <c r="H1026" s="43" t="n"/>
      <c r="I1026" s="37" t="n"/>
      <c r="J1026" s="44" t="n"/>
      <c r="K1026" s="36" t="n"/>
      <c r="L1026" s="33">
        <f>IF(C1026="","",Commercial_Id)</f>
        <v/>
      </c>
      <c r="M1026" s="34">
        <f>IF(E1026="","",IFERROR(VLOOKUP(E1026,T_Produits,2,FALSE),""))</f>
        <v/>
      </c>
      <c r="N1026" s="40">
        <f>IF(E1026="","",IFERROR(1/(1/VLOOKUP(E1026,T_Produits,3,FALSE)),""))</f>
        <v/>
      </c>
      <c r="O1026" s="40">
        <f>IF(OR(D1026="",F1026=""),"",IF(OR(D1026="Casse / avarie",D1026="Perte / vol",D1026="Échantillon offert"),IF(I1026&lt;&gt;"",I1026,IF(N1026="","",F1026*N1026)),""))</f>
        <v/>
      </c>
      <c r="P1026" s="50">
        <f>IF(OR(D1026="",F1026=""),"",F1026*IF(OR(D1026="Reçu du magasin",D1026="Ajustement (+)"),1,-1))</f>
        <v/>
      </c>
      <c r="Q1026" s="34">
        <f>IF(C1026="","",YEAR(C1026-WEEKDAY(C1026,2)+4)&amp;"-S"&amp;TEXT(INT((C1026-DATE(YEAR(C1026-WEEKDAY(C1026,2)+4),1,3)+WEEKDAY(DATE(YEAR(C1026-WEEKDAY(C1026,2)+4),1,3),2)+5)/7),"00"))</f>
        <v/>
      </c>
    </row>
    <row r="1027" ht="18" customHeight="1">
      <c r="A1027" s="39" t="n">
        <v>1022</v>
      </c>
      <c r="B1027" s="33">
        <f>IF(C1027="","",IF(L1027="À RENSEIGNER","GIC",L1027)&amp;"-S"&amp;TEXT(A1027,"00000"))</f>
        <v/>
      </c>
      <c r="C1027" s="32" t="n"/>
      <c r="D1027" s="36" t="n"/>
      <c r="E1027" s="36" t="n"/>
      <c r="F1027" s="42" t="n"/>
      <c r="G1027" s="36" t="n"/>
      <c r="H1027" s="43" t="n"/>
      <c r="I1027" s="37" t="n"/>
      <c r="J1027" s="44" t="n"/>
      <c r="K1027" s="36" t="n"/>
      <c r="L1027" s="33">
        <f>IF(C1027="","",Commercial_Id)</f>
        <v/>
      </c>
      <c r="M1027" s="34">
        <f>IF(E1027="","",IFERROR(VLOOKUP(E1027,T_Produits,2,FALSE),""))</f>
        <v/>
      </c>
      <c r="N1027" s="40">
        <f>IF(E1027="","",IFERROR(1/(1/VLOOKUP(E1027,T_Produits,3,FALSE)),""))</f>
        <v/>
      </c>
      <c r="O1027" s="40">
        <f>IF(OR(D1027="",F1027=""),"",IF(OR(D1027="Casse / avarie",D1027="Perte / vol",D1027="Échantillon offert"),IF(I1027&lt;&gt;"",I1027,IF(N1027="","",F1027*N1027)),""))</f>
        <v/>
      </c>
      <c r="P1027" s="50">
        <f>IF(OR(D1027="",F1027=""),"",F1027*IF(OR(D1027="Reçu du magasin",D1027="Ajustement (+)"),1,-1))</f>
        <v/>
      </c>
      <c r="Q1027" s="34">
        <f>IF(C1027="","",YEAR(C1027-WEEKDAY(C1027,2)+4)&amp;"-S"&amp;TEXT(INT((C1027-DATE(YEAR(C1027-WEEKDAY(C1027,2)+4),1,3)+WEEKDAY(DATE(YEAR(C1027-WEEKDAY(C1027,2)+4),1,3),2)+5)/7),"00"))</f>
        <v/>
      </c>
    </row>
    <row r="1028" ht="18" customHeight="1">
      <c r="A1028" s="39" t="n">
        <v>1023</v>
      </c>
      <c r="B1028" s="33">
        <f>IF(C1028="","",IF(L1028="À RENSEIGNER","GIC",L1028)&amp;"-S"&amp;TEXT(A1028,"00000"))</f>
        <v/>
      </c>
      <c r="C1028" s="32" t="n"/>
      <c r="D1028" s="36" t="n"/>
      <c r="E1028" s="36" t="n"/>
      <c r="F1028" s="42" t="n"/>
      <c r="G1028" s="36" t="n"/>
      <c r="H1028" s="43" t="n"/>
      <c r="I1028" s="37" t="n"/>
      <c r="J1028" s="44" t="n"/>
      <c r="K1028" s="36" t="n"/>
      <c r="L1028" s="33">
        <f>IF(C1028="","",Commercial_Id)</f>
        <v/>
      </c>
      <c r="M1028" s="34">
        <f>IF(E1028="","",IFERROR(VLOOKUP(E1028,T_Produits,2,FALSE),""))</f>
        <v/>
      </c>
      <c r="N1028" s="40">
        <f>IF(E1028="","",IFERROR(1/(1/VLOOKUP(E1028,T_Produits,3,FALSE)),""))</f>
        <v/>
      </c>
      <c r="O1028" s="40">
        <f>IF(OR(D1028="",F1028=""),"",IF(OR(D1028="Casse / avarie",D1028="Perte / vol",D1028="Échantillon offert"),IF(I1028&lt;&gt;"",I1028,IF(N1028="","",F1028*N1028)),""))</f>
        <v/>
      </c>
      <c r="P1028" s="50">
        <f>IF(OR(D1028="",F1028=""),"",F1028*IF(OR(D1028="Reçu du magasin",D1028="Ajustement (+)"),1,-1))</f>
        <v/>
      </c>
      <c r="Q1028" s="34">
        <f>IF(C1028="","",YEAR(C1028-WEEKDAY(C1028,2)+4)&amp;"-S"&amp;TEXT(INT((C1028-DATE(YEAR(C1028-WEEKDAY(C1028,2)+4),1,3)+WEEKDAY(DATE(YEAR(C1028-WEEKDAY(C1028,2)+4),1,3),2)+5)/7),"00"))</f>
        <v/>
      </c>
    </row>
    <row r="1029" ht="18" customHeight="1">
      <c r="A1029" s="39" t="n">
        <v>1024</v>
      </c>
      <c r="B1029" s="33">
        <f>IF(C1029="","",IF(L1029="À RENSEIGNER","GIC",L1029)&amp;"-S"&amp;TEXT(A1029,"00000"))</f>
        <v/>
      </c>
      <c r="C1029" s="32" t="n"/>
      <c r="D1029" s="36" t="n"/>
      <c r="E1029" s="36" t="n"/>
      <c r="F1029" s="42" t="n"/>
      <c r="G1029" s="36" t="n"/>
      <c r="H1029" s="43" t="n"/>
      <c r="I1029" s="37" t="n"/>
      <c r="J1029" s="44" t="n"/>
      <c r="K1029" s="36" t="n"/>
      <c r="L1029" s="33">
        <f>IF(C1029="","",Commercial_Id)</f>
        <v/>
      </c>
      <c r="M1029" s="34">
        <f>IF(E1029="","",IFERROR(VLOOKUP(E1029,T_Produits,2,FALSE),""))</f>
        <v/>
      </c>
      <c r="N1029" s="40">
        <f>IF(E1029="","",IFERROR(1/(1/VLOOKUP(E1029,T_Produits,3,FALSE)),""))</f>
        <v/>
      </c>
      <c r="O1029" s="40">
        <f>IF(OR(D1029="",F1029=""),"",IF(OR(D1029="Casse / avarie",D1029="Perte / vol",D1029="Échantillon offert"),IF(I1029&lt;&gt;"",I1029,IF(N1029="","",F1029*N1029)),""))</f>
        <v/>
      </c>
      <c r="P1029" s="50">
        <f>IF(OR(D1029="",F1029=""),"",F1029*IF(OR(D1029="Reçu du magasin",D1029="Ajustement (+)"),1,-1))</f>
        <v/>
      </c>
      <c r="Q1029" s="34">
        <f>IF(C1029="","",YEAR(C1029-WEEKDAY(C1029,2)+4)&amp;"-S"&amp;TEXT(INT((C1029-DATE(YEAR(C1029-WEEKDAY(C1029,2)+4),1,3)+WEEKDAY(DATE(YEAR(C1029-WEEKDAY(C1029,2)+4),1,3),2)+5)/7),"00"))</f>
        <v/>
      </c>
    </row>
    <row r="1030" ht="18" customHeight="1">
      <c r="A1030" s="39" t="n">
        <v>1025</v>
      </c>
      <c r="B1030" s="33">
        <f>IF(C1030="","",IF(L1030="À RENSEIGNER","GIC",L1030)&amp;"-S"&amp;TEXT(A1030,"00000"))</f>
        <v/>
      </c>
      <c r="C1030" s="32" t="n"/>
      <c r="D1030" s="36" t="n"/>
      <c r="E1030" s="36" t="n"/>
      <c r="F1030" s="42" t="n"/>
      <c r="G1030" s="36" t="n"/>
      <c r="H1030" s="43" t="n"/>
      <c r="I1030" s="37" t="n"/>
      <c r="J1030" s="44" t="n"/>
      <c r="K1030" s="36" t="n"/>
      <c r="L1030" s="33">
        <f>IF(C1030="","",Commercial_Id)</f>
        <v/>
      </c>
      <c r="M1030" s="34">
        <f>IF(E1030="","",IFERROR(VLOOKUP(E1030,T_Produits,2,FALSE),""))</f>
        <v/>
      </c>
      <c r="N1030" s="40">
        <f>IF(E1030="","",IFERROR(1/(1/VLOOKUP(E1030,T_Produits,3,FALSE)),""))</f>
        <v/>
      </c>
      <c r="O1030" s="40">
        <f>IF(OR(D1030="",F1030=""),"",IF(OR(D1030="Casse / avarie",D1030="Perte / vol",D1030="Échantillon offert"),IF(I1030&lt;&gt;"",I1030,IF(N1030="","",F1030*N1030)),""))</f>
        <v/>
      </c>
      <c r="P1030" s="50">
        <f>IF(OR(D1030="",F1030=""),"",F1030*IF(OR(D1030="Reçu du magasin",D1030="Ajustement (+)"),1,-1))</f>
        <v/>
      </c>
      <c r="Q1030" s="34">
        <f>IF(C1030="","",YEAR(C1030-WEEKDAY(C1030,2)+4)&amp;"-S"&amp;TEXT(INT((C1030-DATE(YEAR(C1030-WEEKDAY(C1030,2)+4),1,3)+WEEKDAY(DATE(YEAR(C1030-WEEKDAY(C1030,2)+4),1,3),2)+5)/7),"00"))</f>
        <v/>
      </c>
    </row>
    <row r="1031" ht="18" customHeight="1">
      <c r="A1031" s="39" t="n">
        <v>1026</v>
      </c>
      <c r="B1031" s="33">
        <f>IF(C1031="","",IF(L1031="À RENSEIGNER","GIC",L1031)&amp;"-S"&amp;TEXT(A1031,"00000"))</f>
        <v/>
      </c>
      <c r="C1031" s="32" t="n"/>
      <c r="D1031" s="36" t="n"/>
      <c r="E1031" s="36" t="n"/>
      <c r="F1031" s="42" t="n"/>
      <c r="G1031" s="36" t="n"/>
      <c r="H1031" s="43" t="n"/>
      <c r="I1031" s="37" t="n"/>
      <c r="J1031" s="44" t="n"/>
      <c r="K1031" s="36" t="n"/>
      <c r="L1031" s="33">
        <f>IF(C1031="","",Commercial_Id)</f>
        <v/>
      </c>
      <c r="M1031" s="34">
        <f>IF(E1031="","",IFERROR(VLOOKUP(E1031,T_Produits,2,FALSE),""))</f>
        <v/>
      </c>
      <c r="N1031" s="40">
        <f>IF(E1031="","",IFERROR(1/(1/VLOOKUP(E1031,T_Produits,3,FALSE)),""))</f>
        <v/>
      </c>
      <c r="O1031" s="40">
        <f>IF(OR(D1031="",F1031=""),"",IF(OR(D1031="Casse / avarie",D1031="Perte / vol",D1031="Échantillon offert"),IF(I1031&lt;&gt;"",I1031,IF(N1031="","",F1031*N1031)),""))</f>
        <v/>
      </c>
      <c r="P1031" s="50">
        <f>IF(OR(D1031="",F1031=""),"",F1031*IF(OR(D1031="Reçu du magasin",D1031="Ajustement (+)"),1,-1))</f>
        <v/>
      </c>
      <c r="Q1031" s="34">
        <f>IF(C1031="","",YEAR(C1031-WEEKDAY(C1031,2)+4)&amp;"-S"&amp;TEXT(INT((C1031-DATE(YEAR(C1031-WEEKDAY(C1031,2)+4),1,3)+WEEKDAY(DATE(YEAR(C1031-WEEKDAY(C1031,2)+4),1,3),2)+5)/7),"00"))</f>
        <v/>
      </c>
    </row>
    <row r="1032" ht="18" customHeight="1">
      <c r="A1032" s="39" t="n">
        <v>1027</v>
      </c>
      <c r="B1032" s="33">
        <f>IF(C1032="","",IF(L1032="À RENSEIGNER","GIC",L1032)&amp;"-S"&amp;TEXT(A1032,"00000"))</f>
        <v/>
      </c>
      <c r="C1032" s="32" t="n"/>
      <c r="D1032" s="36" t="n"/>
      <c r="E1032" s="36" t="n"/>
      <c r="F1032" s="42" t="n"/>
      <c r="G1032" s="36" t="n"/>
      <c r="H1032" s="43" t="n"/>
      <c r="I1032" s="37" t="n"/>
      <c r="J1032" s="44" t="n"/>
      <c r="K1032" s="36" t="n"/>
      <c r="L1032" s="33">
        <f>IF(C1032="","",Commercial_Id)</f>
        <v/>
      </c>
      <c r="M1032" s="34">
        <f>IF(E1032="","",IFERROR(VLOOKUP(E1032,T_Produits,2,FALSE),""))</f>
        <v/>
      </c>
      <c r="N1032" s="40">
        <f>IF(E1032="","",IFERROR(1/(1/VLOOKUP(E1032,T_Produits,3,FALSE)),""))</f>
        <v/>
      </c>
      <c r="O1032" s="40">
        <f>IF(OR(D1032="",F1032=""),"",IF(OR(D1032="Casse / avarie",D1032="Perte / vol",D1032="Échantillon offert"),IF(I1032&lt;&gt;"",I1032,IF(N1032="","",F1032*N1032)),""))</f>
        <v/>
      </c>
      <c r="P1032" s="50">
        <f>IF(OR(D1032="",F1032=""),"",F1032*IF(OR(D1032="Reçu du magasin",D1032="Ajustement (+)"),1,-1))</f>
        <v/>
      </c>
      <c r="Q1032" s="34">
        <f>IF(C1032="","",YEAR(C1032-WEEKDAY(C1032,2)+4)&amp;"-S"&amp;TEXT(INT((C1032-DATE(YEAR(C1032-WEEKDAY(C1032,2)+4),1,3)+WEEKDAY(DATE(YEAR(C1032-WEEKDAY(C1032,2)+4),1,3),2)+5)/7),"00"))</f>
        <v/>
      </c>
    </row>
    <row r="1033" ht="18" customHeight="1">
      <c r="A1033" s="39" t="n">
        <v>1028</v>
      </c>
      <c r="B1033" s="33">
        <f>IF(C1033="","",IF(L1033="À RENSEIGNER","GIC",L1033)&amp;"-S"&amp;TEXT(A1033,"00000"))</f>
        <v/>
      </c>
      <c r="C1033" s="32" t="n"/>
      <c r="D1033" s="36" t="n"/>
      <c r="E1033" s="36" t="n"/>
      <c r="F1033" s="42" t="n"/>
      <c r="G1033" s="36" t="n"/>
      <c r="H1033" s="43" t="n"/>
      <c r="I1033" s="37" t="n"/>
      <c r="J1033" s="44" t="n"/>
      <c r="K1033" s="36" t="n"/>
      <c r="L1033" s="33">
        <f>IF(C1033="","",Commercial_Id)</f>
        <v/>
      </c>
      <c r="M1033" s="34">
        <f>IF(E1033="","",IFERROR(VLOOKUP(E1033,T_Produits,2,FALSE),""))</f>
        <v/>
      </c>
      <c r="N1033" s="40">
        <f>IF(E1033="","",IFERROR(1/(1/VLOOKUP(E1033,T_Produits,3,FALSE)),""))</f>
        <v/>
      </c>
      <c r="O1033" s="40">
        <f>IF(OR(D1033="",F1033=""),"",IF(OR(D1033="Casse / avarie",D1033="Perte / vol",D1033="Échantillon offert"),IF(I1033&lt;&gt;"",I1033,IF(N1033="","",F1033*N1033)),""))</f>
        <v/>
      </c>
      <c r="P1033" s="50">
        <f>IF(OR(D1033="",F1033=""),"",F1033*IF(OR(D1033="Reçu du magasin",D1033="Ajustement (+)"),1,-1))</f>
        <v/>
      </c>
      <c r="Q1033" s="34">
        <f>IF(C1033="","",YEAR(C1033-WEEKDAY(C1033,2)+4)&amp;"-S"&amp;TEXT(INT((C1033-DATE(YEAR(C1033-WEEKDAY(C1033,2)+4),1,3)+WEEKDAY(DATE(YEAR(C1033-WEEKDAY(C1033,2)+4),1,3),2)+5)/7),"00"))</f>
        <v/>
      </c>
    </row>
    <row r="1034" ht="18" customHeight="1">
      <c r="A1034" s="39" t="n">
        <v>1029</v>
      </c>
      <c r="B1034" s="33">
        <f>IF(C1034="","",IF(L1034="À RENSEIGNER","GIC",L1034)&amp;"-S"&amp;TEXT(A1034,"00000"))</f>
        <v/>
      </c>
      <c r="C1034" s="32" t="n"/>
      <c r="D1034" s="36" t="n"/>
      <c r="E1034" s="36" t="n"/>
      <c r="F1034" s="42" t="n"/>
      <c r="G1034" s="36" t="n"/>
      <c r="H1034" s="43" t="n"/>
      <c r="I1034" s="37" t="n"/>
      <c r="J1034" s="44" t="n"/>
      <c r="K1034" s="36" t="n"/>
      <c r="L1034" s="33">
        <f>IF(C1034="","",Commercial_Id)</f>
        <v/>
      </c>
      <c r="M1034" s="34">
        <f>IF(E1034="","",IFERROR(VLOOKUP(E1034,T_Produits,2,FALSE),""))</f>
        <v/>
      </c>
      <c r="N1034" s="40">
        <f>IF(E1034="","",IFERROR(1/(1/VLOOKUP(E1034,T_Produits,3,FALSE)),""))</f>
        <v/>
      </c>
      <c r="O1034" s="40">
        <f>IF(OR(D1034="",F1034=""),"",IF(OR(D1034="Casse / avarie",D1034="Perte / vol",D1034="Échantillon offert"),IF(I1034&lt;&gt;"",I1034,IF(N1034="","",F1034*N1034)),""))</f>
        <v/>
      </c>
      <c r="P1034" s="50">
        <f>IF(OR(D1034="",F1034=""),"",F1034*IF(OR(D1034="Reçu du magasin",D1034="Ajustement (+)"),1,-1))</f>
        <v/>
      </c>
      <c r="Q1034" s="34">
        <f>IF(C1034="","",YEAR(C1034-WEEKDAY(C1034,2)+4)&amp;"-S"&amp;TEXT(INT((C1034-DATE(YEAR(C1034-WEEKDAY(C1034,2)+4),1,3)+WEEKDAY(DATE(YEAR(C1034-WEEKDAY(C1034,2)+4),1,3),2)+5)/7),"00"))</f>
        <v/>
      </c>
    </row>
    <row r="1035" ht="18" customHeight="1">
      <c r="A1035" s="39" t="n">
        <v>1030</v>
      </c>
      <c r="B1035" s="33">
        <f>IF(C1035="","",IF(L1035="À RENSEIGNER","GIC",L1035)&amp;"-S"&amp;TEXT(A1035,"00000"))</f>
        <v/>
      </c>
      <c r="C1035" s="32" t="n"/>
      <c r="D1035" s="36" t="n"/>
      <c r="E1035" s="36" t="n"/>
      <c r="F1035" s="42" t="n"/>
      <c r="G1035" s="36" t="n"/>
      <c r="H1035" s="43" t="n"/>
      <c r="I1035" s="37" t="n"/>
      <c r="J1035" s="44" t="n"/>
      <c r="K1035" s="36" t="n"/>
      <c r="L1035" s="33">
        <f>IF(C1035="","",Commercial_Id)</f>
        <v/>
      </c>
      <c r="M1035" s="34">
        <f>IF(E1035="","",IFERROR(VLOOKUP(E1035,T_Produits,2,FALSE),""))</f>
        <v/>
      </c>
      <c r="N1035" s="40">
        <f>IF(E1035="","",IFERROR(1/(1/VLOOKUP(E1035,T_Produits,3,FALSE)),""))</f>
        <v/>
      </c>
      <c r="O1035" s="40">
        <f>IF(OR(D1035="",F1035=""),"",IF(OR(D1035="Casse / avarie",D1035="Perte / vol",D1035="Échantillon offert"),IF(I1035&lt;&gt;"",I1035,IF(N1035="","",F1035*N1035)),""))</f>
        <v/>
      </c>
      <c r="P1035" s="50">
        <f>IF(OR(D1035="",F1035=""),"",F1035*IF(OR(D1035="Reçu du magasin",D1035="Ajustement (+)"),1,-1))</f>
        <v/>
      </c>
      <c r="Q1035" s="34">
        <f>IF(C1035="","",YEAR(C1035-WEEKDAY(C1035,2)+4)&amp;"-S"&amp;TEXT(INT((C1035-DATE(YEAR(C1035-WEEKDAY(C1035,2)+4),1,3)+WEEKDAY(DATE(YEAR(C1035-WEEKDAY(C1035,2)+4),1,3),2)+5)/7),"00"))</f>
        <v/>
      </c>
    </row>
    <row r="1036" ht="18" customHeight="1">
      <c r="A1036" s="39" t="n">
        <v>1031</v>
      </c>
      <c r="B1036" s="33">
        <f>IF(C1036="","",IF(L1036="À RENSEIGNER","GIC",L1036)&amp;"-S"&amp;TEXT(A1036,"00000"))</f>
        <v/>
      </c>
      <c r="C1036" s="32" t="n"/>
      <c r="D1036" s="36" t="n"/>
      <c r="E1036" s="36" t="n"/>
      <c r="F1036" s="42" t="n"/>
      <c r="G1036" s="36" t="n"/>
      <c r="H1036" s="43" t="n"/>
      <c r="I1036" s="37" t="n"/>
      <c r="J1036" s="44" t="n"/>
      <c r="K1036" s="36" t="n"/>
      <c r="L1036" s="33">
        <f>IF(C1036="","",Commercial_Id)</f>
        <v/>
      </c>
      <c r="M1036" s="34">
        <f>IF(E1036="","",IFERROR(VLOOKUP(E1036,T_Produits,2,FALSE),""))</f>
        <v/>
      </c>
      <c r="N1036" s="40">
        <f>IF(E1036="","",IFERROR(1/(1/VLOOKUP(E1036,T_Produits,3,FALSE)),""))</f>
        <v/>
      </c>
      <c r="O1036" s="40">
        <f>IF(OR(D1036="",F1036=""),"",IF(OR(D1036="Casse / avarie",D1036="Perte / vol",D1036="Échantillon offert"),IF(I1036&lt;&gt;"",I1036,IF(N1036="","",F1036*N1036)),""))</f>
        <v/>
      </c>
      <c r="P1036" s="50">
        <f>IF(OR(D1036="",F1036=""),"",F1036*IF(OR(D1036="Reçu du magasin",D1036="Ajustement (+)"),1,-1))</f>
        <v/>
      </c>
      <c r="Q1036" s="34">
        <f>IF(C1036="","",YEAR(C1036-WEEKDAY(C1036,2)+4)&amp;"-S"&amp;TEXT(INT((C1036-DATE(YEAR(C1036-WEEKDAY(C1036,2)+4),1,3)+WEEKDAY(DATE(YEAR(C1036-WEEKDAY(C1036,2)+4),1,3),2)+5)/7),"00"))</f>
        <v/>
      </c>
    </row>
    <row r="1037" ht="18" customHeight="1">
      <c r="A1037" s="39" t="n">
        <v>1032</v>
      </c>
      <c r="B1037" s="33">
        <f>IF(C1037="","",IF(L1037="À RENSEIGNER","GIC",L1037)&amp;"-S"&amp;TEXT(A1037,"00000"))</f>
        <v/>
      </c>
      <c r="C1037" s="32" t="n"/>
      <c r="D1037" s="36" t="n"/>
      <c r="E1037" s="36" t="n"/>
      <c r="F1037" s="42" t="n"/>
      <c r="G1037" s="36" t="n"/>
      <c r="H1037" s="43" t="n"/>
      <c r="I1037" s="37" t="n"/>
      <c r="J1037" s="44" t="n"/>
      <c r="K1037" s="36" t="n"/>
      <c r="L1037" s="33">
        <f>IF(C1037="","",Commercial_Id)</f>
        <v/>
      </c>
      <c r="M1037" s="34">
        <f>IF(E1037="","",IFERROR(VLOOKUP(E1037,T_Produits,2,FALSE),""))</f>
        <v/>
      </c>
      <c r="N1037" s="40">
        <f>IF(E1037="","",IFERROR(1/(1/VLOOKUP(E1037,T_Produits,3,FALSE)),""))</f>
        <v/>
      </c>
      <c r="O1037" s="40">
        <f>IF(OR(D1037="",F1037=""),"",IF(OR(D1037="Casse / avarie",D1037="Perte / vol",D1037="Échantillon offert"),IF(I1037&lt;&gt;"",I1037,IF(N1037="","",F1037*N1037)),""))</f>
        <v/>
      </c>
      <c r="P1037" s="50">
        <f>IF(OR(D1037="",F1037=""),"",F1037*IF(OR(D1037="Reçu du magasin",D1037="Ajustement (+)"),1,-1))</f>
        <v/>
      </c>
      <c r="Q1037" s="34">
        <f>IF(C1037="","",YEAR(C1037-WEEKDAY(C1037,2)+4)&amp;"-S"&amp;TEXT(INT((C1037-DATE(YEAR(C1037-WEEKDAY(C1037,2)+4),1,3)+WEEKDAY(DATE(YEAR(C1037-WEEKDAY(C1037,2)+4),1,3),2)+5)/7),"00"))</f>
        <v/>
      </c>
    </row>
    <row r="1038" ht="18" customHeight="1">
      <c r="A1038" s="39" t="n">
        <v>1033</v>
      </c>
      <c r="B1038" s="33">
        <f>IF(C1038="","",IF(L1038="À RENSEIGNER","GIC",L1038)&amp;"-S"&amp;TEXT(A1038,"00000"))</f>
        <v/>
      </c>
      <c r="C1038" s="32" t="n"/>
      <c r="D1038" s="36" t="n"/>
      <c r="E1038" s="36" t="n"/>
      <c r="F1038" s="42" t="n"/>
      <c r="G1038" s="36" t="n"/>
      <c r="H1038" s="43" t="n"/>
      <c r="I1038" s="37" t="n"/>
      <c r="J1038" s="44" t="n"/>
      <c r="K1038" s="36" t="n"/>
      <c r="L1038" s="33">
        <f>IF(C1038="","",Commercial_Id)</f>
        <v/>
      </c>
      <c r="M1038" s="34">
        <f>IF(E1038="","",IFERROR(VLOOKUP(E1038,T_Produits,2,FALSE),""))</f>
        <v/>
      </c>
      <c r="N1038" s="40">
        <f>IF(E1038="","",IFERROR(1/(1/VLOOKUP(E1038,T_Produits,3,FALSE)),""))</f>
        <v/>
      </c>
      <c r="O1038" s="40">
        <f>IF(OR(D1038="",F1038=""),"",IF(OR(D1038="Casse / avarie",D1038="Perte / vol",D1038="Échantillon offert"),IF(I1038&lt;&gt;"",I1038,IF(N1038="","",F1038*N1038)),""))</f>
        <v/>
      </c>
      <c r="P1038" s="50">
        <f>IF(OR(D1038="",F1038=""),"",F1038*IF(OR(D1038="Reçu du magasin",D1038="Ajustement (+)"),1,-1))</f>
        <v/>
      </c>
      <c r="Q1038" s="34">
        <f>IF(C1038="","",YEAR(C1038-WEEKDAY(C1038,2)+4)&amp;"-S"&amp;TEXT(INT((C1038-DATE(YEAR(C1038-WEEKDAY(C1038,2)+4),1,3)+WEEKDAY(DATE(YEAR(C1038-WEEKDAY(C1038,2)+4),1,3),2)+5)/7),"00"))</f>
        <v/>
      </c>
    </row>
    <row r="1039" ht="18" customHeight="1">
      <c r="A1039" s="39" t="n">
        <v>1034</v>
      </c>
      <c r="B1039" s="33">
        <f>IF(C1039="","",IF(L1039="À RENSEIGNER","GIC",L1039)&amp;"-S"&amp;TEXT(A1039,"00000"))</f>
        <v/>
      </c>
      <c r="C1039" s="32" t="n"/>
      <c r="D1039" s="36" t="n"/>
      <c r="E1039" s="36" t="n"/>
      <c r="F1039" s="42" t="n"/>
      <c r="G1039" s="36" t="n"/>
      <c r="H1039" s="43" t="n"/>
      <c r="I1039" s="37" t="n"/>
      <c r="J1039" s="44" t="n"/>
      <c r="K1039" s="36" t="n"/>
      <c r="L1039" s="33">
        <f>IF(C1039="","",Commercial_Id)</f>
        <v/>
      </c>
      <c r="M1039" s="34">
        <f>IF(E1039="","",IFERROR(VLOOKUP(E1039,T_Produits,2,FALSE),""))</f>
        <v/>
      </c>
      <c r="N1039" s="40">
        <f>IF(E1039="","",IFERROR(1/(1/VLOOKUP(E1039,T_Produits,3,FALSE)),""))</f>
        <v/>
      </c>
      <c r="O1039" s="40">
        <f>IF(OR(D1039="",F1039=""),"",IF(OR(D1039="Casse / avarie",D1039="Perte / vol",D1039="Échantillon offert"),IF(I1039&lt;&gt;"",I1039,IF(N1039="","",F1039*N1039)),""))</f>
        <v/>
      </c>
      <c r="P1039" s="50">
        <f>IF(OR(D1039="",F1039=""),"",F1039*IF(OR(D1039="Reçu du magasin",D1039="Ajustement (+)"),1,-1))</f>
        <v/>
      </c>
      <c r="Q1039" s="34">
        <f>IF(C1039="","",YEAR(C1039-WEEKDAY(C1039,2)+4)&amp;"-S"&amp;TEXT(INT((C1039-DATE(YEAR(C1039-WEEKDAY(C1039,2)+4),1,3)+WEEKDAY(DATE(YEAR(C1039-WEEKDAY(C1039,2)+4),1,3),2)+5)/7),"00"))</f>
        <v/>
      </c>
    </row>
    <row r="1040" ht="18" customHeight="1">
      <c r="A1040" s="39" t="n">
        <v>1035</v>
      </c>
      <c r="B1040" s="33">
        <f>IF(C1040="","",IF(L1040="À RENSEIGNER","GIC",L1040)&amp;"-S"&amp;TEXT(A1040,"00000"))</f>
        <v/>
      </c>
      <c r="C1040" s="32" t="n"/>
      <c r="D1040" s="36" t="n"/>
      <c r="E1040" s="36" t="n"/>
      <c r="F1040" s="42" t="n"/>
      <c r="G1040" s="36" t="n"/>
      <c r="H1040" s="43" t="n"/>
      <c r="I1040" s="37" t="n"/>
      <c r="J1040" s="44" t="n"/>
      <c r="K1040" s="36" t="n"/>
      <c r="L1040" s="33">
        <f>IF(C1040="","",Commercial_Id)</f>
        <v/>
      </c>
      <c r="M1040" s="34">
        <f>IF(E1040="","",IFERROR(VLOOKUP(E1040,T_Produits,2,FALSE),""))</f>
        <v/>
      </c>
      <c r="N1040" s="40">
        <f>IF(E1040="","",IFERROR(1/(1/VLOOKUP(E1040,T_Produits,3,FALSE)),""))</f>
        <v/>
      </c>
      <c r="O1040" s="40">
        <f>IF(OR(D1040="",F1040=""),"",IF(OR(D1040="Casse / avarie",D1040="Perte / vol",D1040="Échantillon offert"),IF(I1040&lt;&gt;"",I1040,IF(N1040="","",F1040*N1040)),""))</f>
        <v/>
      </c>
      <c r="P1040" s="50">
        <f>IF(OR(D1040="",F1040=""),"",F1040*IF(OR(D1040="Reçu du magasin",D1040="Ajustement (+)"),1,-1))</f>
        <v/>
      </c>
      <c r="Q1040" s="34">
        <f>IF(C1040="","",YEAR(C1040-WEEKDAY(C1040,2)+4)&amp;"-S"&amp;TEXT(INT((C1040-DATE(YEAR(C1040-WEEKDAY(C1040,2)+4),1,3)+WEEKDAY(DATE(YEAR(C1040-WEEKDAY(C1040,2)+4),1,3),2)+5)/7),"00"))</f>
        <v/>
      </c>
    </row>
    <row r="1041" ht="18" customHeight="1">
      <c r="A1041" s="39" t="n">
        <v>1036</v>
      </c>
      <c r="B1041" s="33">
        <f>IF(C1041="","",IF(L1041="À RENSEIGNER","GIC",L1041)&amp;"-S"&amp;TEXT(A1041,"00000"))</f>
        <v/>
      </c>
      <c r="C1041" s="32" t="n"/>
      <c r="D1041" s="36" t="n"/>
      <c r="E1041" s="36" t="n"/>
      <c r="F1041" s="42" t="n"/>
      <c r="G1041" s="36" t="n"/>
      <c r="H1041" s="43" t="n"/>
      <c r="I1041" s="37" t="n"/>
      <c r="J1041" s="44" t="n"/>
      <c r="K1041" s="36" t="n"/>
      <c r="L1041" s="33">
        <f>IF(C1041="","",Commercial_Id)</f>
        <v/>
      </c>
      <c r="M1041" s="34">
        <f>IF(E1041="","",IFERROR(VLOOKUP(E1041,T_Produits,2,FALSE),""))</f>
        <v/>
      </c>
      <c r="N1041" s="40">
        <f>IF(E1041="","",IFERROR(1/(1/VLOOKUP(E1041,T_Produits,3,FALSE)),""))</f>
        <v/>
      </c>
      <c r="O1041" s="40">
        <f>IF(OR(D1041="",F1041=""),"",IF(OR(D1041="Casse / avarie",D1041="Perte / vol",D1041="Échantillon offert"),IF(I1041&lt;&gt;"",I1041,IF(N1041="","",F1041*N1041)),""))</f>
        <v/>
      </c>
      <c r="P1041" s="50">
        <f>IF(OR(D1041="",F1041=""),"",F1041*IF(OR(D1041="Reçu du magasin",D1041="Ajustement (+)"),1,-1))</f>
        <v/>
      </c>
      <c r="Q1041" s="34">
        <f>IF(C1041="","",YEAR(C1041-WEEKDAY(C1041,2)+4)&amp;"-S"&amp;TEXT(INT((C1041-DATE(YEAR(C1041-WEEKDAY(C1041,2)+4),1,3)+WEEKDAY(DATE(YEAR(C1041-WEEKDAY(C1041,2)+4),1,3),2)+5)/7),"00"))</f>
        <v/>
      </c>
    </row>
    <row r="1042" ht="18" customHeight="1">
      <c r="A1042" s="39" t="n">
        <v>1037</v>
      </c>
      <c r="B1042" s="33">
        <f>IF(C1042="","",IF(L1042="À RENSEIGNER","GIC",L1042)&amp;"-S"&amp;TEXT(A1042,"00000"))</f>
        <v/>
      </c>
      <c r="C1042" s="32" t="n"/>
      <c r="D1042" s="36" t="n"/>
      <c r="E1042" s="36" t="n"/>
      <c r="F1042" s="42" t="n"/>
      <c r="G1042" s="36" t="n"/>
      <c r="H1042" s="43" t="n"/>
      <c r="I1042" s="37" t="n"/>
      <c r="J1042" s="44" t="n"/>
      <c r="K1042" s="36" t="n"/>
      <c r="L1042" s="33">
        <f>IF(C1042="","",Commercial_Id)</f>
        <v/>
      </c>
      <c r="M1042" s="34">
        <f>IF(E1042="","",IFERROR(VLOOKUP(E1042,T_Produits,2,FALSE),""))</f>
        <v/>
      </c>
      <c r="N1042" s="40">
        <f>IF(E1042="","",IFERROR(1/(1/VLOOKUP(E1042,T_Produits,3,FALSE)),""))</f>
        <v/>
      </c>
      <c r="O1042" s="40">
        <f>IF(OR(D1042="",F1042=""),"",IF(OR(D1042="Casse / avarie",D1042="Perte / vol",D1042="Échantillon offert"),IF(I1042&lt;&gt;"",I1042,IF(N1042="","",F1042*N1042)),""))</f>
        <v/>
      </c>
      <c r="P1042" s="50">
        <f>IF(OR(D1042="",F1042=""),"",F1042*IF(OR(D1042="Reçu du magasin",D1042="Ajustement (+)"),1,-1))</f>
        <v/>
      </c>
      <c r="Q1042" s="34">
        <f>IF(C1042="","",YEAR(C1042-WEEKDAY(C1042,2)+4)&amp;"-S"&amp;TEXT(INT((C1042-DATE(YEAR(C1042-WEEKDAY(C1042,2)+4),1,3)+WEEKDAY(DATE(YEAR(C1042-WEEKDAY(C1042,2)+4),1,3),2)+5)/7),"00"))</f>
        <v/>
      </c>
    </row>
    <row r="1043" ht="18" customHeight="1">
      <c r="A1043" s="39" t="n">
        <v>1038</v>
      </c>
      <c r="B1043" s="33">
        <f>IF(C1043="","",IF(L1043="À RENSEIGNER","GIC",L1043)&amp;"-S"&amp;TEXT(A1043,"00000"))</f>
        <v/>
      </c>
      <c r="C1043" s="32" t="n"/>
      <c r="D1043" s="36" t="n"/>
      <c r="E1043" s="36" t="n"/>
      <c r="F1043" s="42" t="n"/>
      <c r="G1043" s="36" t="n"/>
      <c r="H1043" s="43" t="n"/>
      <c r="I1043" s="37" t="n"/>
      <c r="J1043" s="44" t="n"/>
      <c r="K1043" s="36" t="n"/>
      <c r="L1043" s="33">
        <f>IF(C1043="","",Commercial_Id)</f>
        <v/>
      </c>
      <c r="M1043" s="34">
        <f>IF(E1043="","",IFERROR(VLOOKUP(E1043,T_Produits,2,FALSE),""))</f>
        <v/>
      </c>
      <c r="N1043" s="40">
        <f>IF(E1043="","",IFERROR(1/(1/VLOOKUP(E1043,T_Produits,3,FALSE)),""))</f>
        <v/>
      </c>
      <c r="O1043" s="40">
        <f>IF(OR(D1043="",F1043=""),"",IF(OR(D1043="Casse / avarie",D1043="Perte / vol",D1043="Échantillon offert"),IF(I1043&lt;&gt;"",I1043,IF(N1043="","",F1043*N1043)),""))</f>
        <v/>
      </c>
      <c r="P1043" s="50">
        <f>IF(OR(D1043="",F1043=""),"",F1043*IF(OR(D1043="Reçu du magasin",D1043="Ajustement (+)"),1,-1))</f>
        <v/>
      </c>
      <c r="Q1043" s="34">
        <f>IF(C1043="","",YEAR(C1043-WEEKDAY(C1043,2)+4)&amp;"-S"&amp;TEXT(INT((C1043-DATE(YEAR(C1043-WEEKDAY(C1043,2)+4),1,3)+WEEKDAY(DATE(YEAR(C1043-WEEKDAY(C1043,2)+4),1,3),2)+5)/7),"00"))</f>
        <v/>
      </c>
    </row>
    <row r="1044" ht="18" customHeight="1">
      <c r="A1044" s="39" t="n">
        <v>1039</v>
      </c>
      <c r="B1044" s="33">
        <f>IF(C1044="","",IF(L1044="À RENSEIGNER","GIC",L1044)&amp;"-S"&amp;TEXT(A1044,"00000"))</f>
        <v/>
      </c>
      <c r="C1044" s="32" t="n"/>
      <c r="D1044" s="36" t="n"/>
      <c r="E1044" s="36" t="n"/>
      <c r="F1044" s="42" t="n"/>
      <c r="G1044" s="36" t="n"/>
      <c r="H1044" s="43" t="n"/>
      <c r="I1044" s="37" t="n"/>
      <c r="J1044" s="44" t="n"/>
      <c r="K1044" s="36" t="n"/>
      <c r="L1044" s="33">
        <f>IF(C1044="","",Commercial_Id)</f>
        <v/>
      </c>
      <c r="M1044" s="34">
        <f>IF(E1044="","",IFERROR(VLOOKUP(E1044,T_Produits,2,FALSE),""))</f>
        <v/>
      </c>
      <c r="N1044" s="40">
        <f>IF(E1044="","",IFERROR(1/(1/VLOOKUP(E1044,T_Produits,3,FALSE)),""))</f>
        <v/>
      </c>
      <c r="O1044" s="40">
        <f>IF(OR(D1044="",F1044=""),"",IF(OR(D1044="Casse / avarie",D1044="Perte / vol",D1044="Échantillon offert"),IF(I1044&lt;&gt;"",I1044,IF(N1044="","",F1044*N1044)),""))</f>
        <v/>
      </c>
      <c r="P1044" s="50">
        <f>IF(OR(D1044="",F1044=""),"",F1044*IF(OR(D1044="Reçu du magasin",D1044="Ajustement (+)"),1,-1))</f>
        <v/>
      </c>
      <c r="Q1044" s="34">
        <f>IF(C1044="","",YEAR(C1044-WEEKDAY(C1044,2)+4)&amp;"-S"&amp;TEXT(INT((C1044-DATE(YEAR(C1044-WEEKDAY(C1044,2)+4),1,3)+WEEKDAY(DATE(YEAR(C1044-WEEKDAY(C1044,2)+4),1,3),2)+5)/7),"00"))</f>
        <v/>
      </c>
    </row>
    <row r="1045" ht="18" customHeight="1">
      <c r="A1045" s="39" t="n">
        <v>1040</v>
      </c>
      <c r="B1045" s="33">
        <f>IF(C1045="","",IF(L1045="À RENSEIGNER","GIC",L1045)&amp;"-S"&amp;TEXT(A1045,"00000"))</f>
        <v/>
      </c>
      <c r="C1045" s="32" t="n"/>
      <c r="D1045" s="36" t="n"/>
      <c r="E1045" s="36" t="n"/>
      <c r="F1045" s="42" t="n"/>
      <c r="G1045" s="36" t="n"/>
      <c r="H1045" s="43" t="n"/>
      <c r="I1045" s="37" t="n"/>
      <c r="J1045" s="44" t="n"/>
      <c r="K1045" s="36" t="n"/>
      <c r="L1045" s="33">
        <f>IF(C1045="","",Commercial_Id)</f>
        <v/>
      </c>
      <c r="M1045" s="34">
        <f>IF(E1045="","",IFERROR(VLOOKUP(E1045,T_Produits,2,FALSE),""))</f>
        <v/>
      </c>
      <c r="N1045" s="40">
        <f>IF(E1045="","",IFERROR(1/(1/VLOOKUP(E1045,T_Produits,3,FALSE)),""))</f>
        <v/>
      </c>
      <c r="O1045" s="40">
        <f>IF(OR(D1045="",F1045=""),"",IF(OR(D1045="Casse / avarie",D1045="Perte / vol",D1045="Échantillon offert"),IF(I1045&lt;&gt;"",I1045,IF(N1045="","",F1045*N1045)),""))</f>
        <v/>
      </c>
      <c r="P1045" s="50">
        <f>IF(OR(D1045="",F1045=""),"",F1045*IF(OR(D1045="Reçu du magasin",D1045="Ajustement (+)"),1,-1))</f>
        <v/>
      </c>
      <c r="Q1045" s="34">
        <f>IF(C1045="","",YEAR(C1045-WEEKDAY(C1045,2)+4)&amp;"-S"&amp;TEXT(INT((C1045-DATE(YEAR(C1045-WEEKDAY(C1045,2)+4),1,3)+WEEKDAY(DATE(YEAR(C1045-WEEKDAY(C1045,2)+4),1,3),2)+5)/7),"00"))</f>
        <v/>
      </c>
    </row>
    <row r="1046" ht="18" customHeight="1">
      <c r="A1046" s="39" t="n">
        <v>1041</v>
      </c>
      <c r="B1046" s="33">
        <f>IF(C1046="","",IF(L1046="À RENSEIGNER","GIC",L1046)&amp;"-S"&amp;TEXT(A1046,"00000"))</f>
        <v/>
      </c>
      <c r="C1046" s="32" t="n"/>
      <c r="D1046" s="36" t="n"/>
      <c r="E1046" s="36" t="n"/>
      <c r="F1046" s="42" t="n"/>
      <c r="G1046" s="36" t="n"/>
      <c r="H1046" s="43" t="n"/>
      <c r="I1046" s="37" t="n"/>
      <c r="J1046" s="44" t="n"/>
      <c r="K1046" s="36" t="n"/>
      <c r="L1046" s="33">
        <f>IF(C1046="","",Commercial_Id)</f>
        <v/>
      </c>
      <c r="M1046" s="34">
        <f>IF(E1046="","",IFERROR(VLOOKUP(E1046,T_Produits,2,FALSE),""))</f>
        <v/>
      </c>
      <c r="N1046" s="40">
        <f>IF(E1046="","",IFERROR(1/(1/VLOOKUP(E1046,T_Produits,3,FALSE)),""))</f>
        <v/>
      </c>
      <c r="O1046" s="40">
        <f>IF(OR(D1046="",F1046=""),"",IF(OR(D1046="Casse / avarie",D1046="Perte / vol",D1046="Échantillon offert"),IF(I1046&lt;&gt;"",I1046,IF(N1046="","",F1046*N1046)),""))</f>
        <v/>
      </c>
      <c r="P1046" s="50">
        <f>IF(OR(D1046="",F1046=""),"",F1046*IF(OR(D1046="Reçu du magasin",D1046="Ajustement (+)"),1,-1))</f>
        <v/>
      </c>
      <c r="Q1046" s="34">
        <f>IF(C1046="","",YEAR(C1046-WEEKDAY(C1046,2)+4)&amp;"-S"&amp;TEXT(INT((C1046-DATE(YEAR(C1046-WEEKDAY(C1046,2)+4),1,3)+WEEKDAY(DATE(YEAR(C1046-WEEKDAY(C1046,2)+4),1,3),2)+5)/7),"00"))</f>
        <v/>
      </c>
    </row>
    <row r="1047" ht="18" customHeight="1">
      <c r="A1047" s="39" t="n">
        <v>1042</v>
      </c>
      <c r="B1047" s="33">
        <f>IF(C1047="","",IF(L1047="À RENSEIGNER","GIC",L1047)&amp;"-S"&amp;TEXT(A1047,"00000"))</f>
        <v/>
      </c>
      <c r="C1047" s="32" t="n"/>
      <c r="D1047" s="36" t="n"/>
      <c r="E1047" s="36" t="n"/>
      <c r="F1047" s="42" t="n"/>
      <c r="G1047" s="36" t="n"/>
      <c r="H1047" s="43" t="n"/>
      <c r="I1047" s="37" t="n"/>
      <c r="J1047" s="44" t="n"/>
      <c r="K1047" s="36" t="n"/>
      <c r="L1047" s="33">
        <f>IF(C1047="","",Commercial_Id)</f>
        <v/>
      </c>
      <c r="M1047" s="34">
        <f>IF(E1047="","",IFERROR(VLOOKUP(E1047,T_Produits,2,FALSE),""))</f>
        <v/>
      </c>
      <c r="N1047" s="40">
        <f>IF(E1047="","",IFERROR(1/(1/VLOOKUP(E1047,T_Produits,3,FALSE)),""))</f>
        <v/>
      </c>
      <c r="O1047" s="40">
        <f>IF(OR(D1047="",F1047=""),"",IF(OR(D1047="Casse / avarie",D1047="Perte / vol",D1047="Échantillon offert"),IF(I1047&lt;&gt;"",I1047,IF(N1047="","",F1047*N1047)),""))</f>
        <v/>
      </c>
      <c r="P1047" s="50">
        <f>IF(OR(D1047="",F1047=""),"",F1047*IF(OR(D1047="Reçu du magasin",D1047="Ajustement (+)"),1,-1))</f>
        <v/>
      </c>
      <c r="Q1047" s="34">
        <f>IF(C1047="","",YEAR(C1047-WEEKDAY(C1047,2)+4)&amp;"-S"&amp;TEXT(INT((C1047-DATE(YEAR(C1047-WEEKDAY(C1047,2)+4),1,3)+WEEKDAY(DATE(YEAR(C1047-WEEKDAY(C1047,2)+4),1,3),2)+5)/7),"00"))</f>
        <v/>
      </c>
    </row>
    <row r="1048" ht="18" customHeight="1">
      <c r="A1048" s="39" t="n">
        <v>1043</v>
      </c>
      <c r="B1048" s="33">
        <f>IF(C1048="","",IF(L1048="À RENSEIGNER","GIC",L1048)&amp;"-S"&amp;TEXT(A1048,"00000"))</f>
        <v/>
      </c>
      <c r="C1048" s="32" t="n"/>
      <c r="D1048" s="36" t="n"/>
      <c r="E1048" s="36" t="n"/>
      <c r="F1048" s="42" t="n"/>
      <c r="G1048" s="36" t="n"/>
      <c r="H1048" s="43" t="n"/>
      <c r="I1048" s="37" t="n"/>
      <c r="J1048" s="44" t="n"/>
      <c r="K1048" s="36" t="n"/>
      <c r="L1048" s="33">
        <f>IF(C1048="","",Commercial_Id)</f>
        <v/>
      </c>
      <c r="M1048" s="34">
        <f>IF(E1048="","",IFERROR(VLOOKUP(E1048,T_Produits,2,FALSE),""))</f>
        <v/>
      </c>
      <c r="N1048" s="40">
        <f>IF(E1048="","",IFERROR(1/(1/VLOOKUP(E1048,T_Produits,3,FALSE)),""))</f>
        <v/>
      </c>
      <c r="O1048" s="40">
        <f>IF(OR(D1048="",F1048=""),"",IF(OR(D1048="Casse / avarie",D1048="Perte / vol",D1048="Échantillon offert"),IF(I1048&lt;&gt;"",I1048,IF(N1048="","",F1048*N1048)),""))</f>
        <v/>
      </c>
      <c r="P1048" s="50">
        <f>IF(OR(D1048="",F1048=""),"",F1048*IF(OR(D1048="Reçu du magasin",D1048="Ajustement (+)"),1,-1))</f>
        <v/>
      </c>
      <c r="Q1048" s="34">
        <f>IF(C1048="","",YEAR(C1048-WEEKDAY(C1048,2)+4)&amp;"-S"&amp;TEXT(INT((C1048-DATE(YEAR(C1048-WEEKDAY(C1048,2)+4),1,3)+WEEKDAY(DATE(YEAR(C1048-WEEKDAY(C1048,2)+4),1,3),2)+5)/7),"00"))</f>
        <v/>
      </c>
    </row>
    <row r="1049" ht="18" customHeight="1">
      <c r="A1049" s="39" t="n">
        <v>1044</v>
      </c>
      <c r="B1049" s="33">
        <f>IF(C1049="","",IF(L1049="À RENSEIGNER","GIC",L1049)&amp;"-S"&amp;TEXT(A1049,"00000"))</f>
        <v/>
      </c>
      <c r="C1049" s="32" t="n"/>
      <c r="D1049" s="36" t="n"/>
      <c r="E1049" s="36" t="n"/>
      <c r="F1049" s="42" t="n"/>
      <c r="G1049" s="36" t="n"/>
      <c r="H1049" s="43" t="n"/>
      <c r="I1049" s="37" t="n"/>
      <c r="J1049" s="44" t="n"/>
      <c r="K1049" s="36" t="n"/>
      <c r="L1049" s="33">
        <f>IF(C1049="","",Commercial_Id)</f>
        <v/>
      </c>
      <c r="M1049" s="34">
        <f>IF(E1049="","",IFERROR(VLOOKUP(E1049,T_Produits,2,FALSE),""))</f>
        <v/>
      </c>
      <c r="N1049" s="40">
        <f>IF(E1049="","",IFERROR(1/(1/VLOOKUP(E1049,T_Produits,3,FALSE)),""))</f>
        <v/>
      </c>
      <c r="O1049" s="40">
        <f>IF(OR(D1049="",F1049=""),"",IF(OR(D1049="Casse / avarie",D1049="Perte / vol",D1049="Échantillon offert"),IF(I1049&lt;&gt;"",I1049,IF(N1049="","",F1049*N1049)),""))</f>
        <v/>
      </c>
      <c r="P1049" s="50">
        <f>IF(OR(D1049="",F1049=""),"",F1049*IF(OR(D1049="Reçu du magasin",D1049="Ajustement (+)"),1,-1))</f>
        <v/>
      </c>
      <c r="Q1049" s="34">
        <f>IF(C1049="","",YEAR(C1049-WEEKDAY(C1049,2)+4)&amp;"-S"&amp;TEXT(INT((C1049-DATE(YEAR(C1049-WEEKDAY(C1049,2)+4),1,3)+WEEKDAY(DATE(YEAR(C1049-WEEKDAY(C1049,2)+4),1,3),2)+5)/7),"00"))</f>
        <v/>
      </c>
    </row>
    <row r="1050" ht="18" customHeight="1">
      <c r="A1050" s="39" t="n">
        <v>1045</v>
      </c>
      <c r="B1050" s="33">
        <f>IF(C1050="","",IF(L1050="À RENSEIGNER","GIC",L1050)&amp;"-S"&amp;TEXT(A1050,"00000"))</f>
        <v/>
      </c>
      <c r="C1050" s="32" t="n"/>
      <c r="D1050" s="36" t="n"/>
      <c r="E1050" s="36" t="n"/>
      <c r="F1050" s="42" t="n"/>
      <c r="G1050" s="36" t="n"/>
      <c r="H1050" s="43" t="n"/>
      <c r="I1050" s="37" t="n"/>
      <c r="J1050" s="44" t="n"/>
      <c r="K1050" s="36" t="n"/>
      <c r="L1050" s="33">
        <f>IF(C1050="","",Commercial_Id)</f>
        <v/>
      </c>
      <c r="M1050" s="34">
        <f>IF(E1050="","",IFERROR(VLOOKUP(E1050,T_Produits,2,FALSE),""))</f>
        <v/>
      </c>
      <c r="N1050" s="40">
        <f>IF(E1050="","",IFERROR(1/(1/VLOOKUP(E1050,T_Produits,3,FALSE)),""))</f>
        <v/>
      </c>
      <c r="O1050" s="40">
        <f>IF(OR(D1050="",F1050=""),"",IF(OR(D1050="Casse / avarie",D1050="Perte / vol",D1050="Échantillon offert"),IF(I1050&lt;&gt;"",I1050,IF(N1050="","",F1050*N1050)),""))</f>
        <v/>
      </c>
      <c r="P1050" s="50">
        <f>IF(OR(D1050="",F1050=""),"",F1050*IF(OR(D1050="Reçu du magasin",D1050="Ajustement (+)"),1,-1))</f>
        <v/>
      </c>
      <c r="Q1050" s="34">
        <f>IF(C1050="","",YEAR(C1050-WEEKDAY(C1050,2)+4)&amp;"-S"&amp;TEXT(INT((C1050-DATE(YEAR(C1050-WEEKDAY(C1050,2)+4),1,3)+WEEKDAY(DATE(YEAR(C1050-WEEKDAY(C1050,2)+4),1,3),2)+5)/7),"00"))</f>
        <v/>
      </c>
    </row>
    <row r="1051" ht="18" customHeight="1">
      <c r="A1051" s="39" t="n">
        <v>1046</v>
      </c>
      <c r="B1051" s="33">
        <f>IF(C1051="","",IF(L1051="À RENSEIGNER","GIC",L1051)&amp;"-S"&amp;TEXT(A1051,"00000"))</f>
        <v/>
      </c>
      <c r="C1051" s="32" t="n"/>
      <c r="D1051" s="36" t="n"/>
      <c r="E1051" s="36" t="n"/>
      <c r="F1051" s="42" t="n"/>
      <c r="G1051" s="36" t="n"/>
      <c r="H1051" s="43" t="n"/>
      <c r="I1051" s="37" t="n"/>
      <c r="J1051" s="44" t="n"/>
      <c r="K1051" s="36" t="n"/>
      <c r="L1051" s="33">
        <f>IF(C1051="","",Commercial_Id)</f>
        <v/>
      </c>
      <c r="M1051" s="34">
        <f>IF(E1051="","",IFERROR(VLOOKUP(E1051,T_Produits,2,FALSE),""))</f>
        <v/>
      </c>
      <c r="N1051" s="40">
        <f>IF(E1051="","",IFERROR(1/(1/VLOOKUP(E1051,T_Produits,3,FALSE)),""))</f>
        <v/>
      </c>
      <c r="O1051" s="40">
        <f>IF(OR(D1051="",F1051=""),"",IF(OR(D1051="Casse / avarie",D1051="Perte / vol",D1051="Échantillon offert"),IF(I1051&lt;&gt;"",I1051,IF(N1051="","",F1051*N1051)),""))</f>
        <v/>
      </c>
      <c r="P1051" s="50">
        <f>IF(OR(D1051="",F1051=""),"",F1051*IF(OR(D1051="Reçu du magasin",D1051="Ajustement (+)"),1,-1))</f>
        <v/>
      </c>
      <c r="Q1051" s="34">
        <f>IF(C1051="","",YEAR(C1051-WEEKDAY(C1051,2)+4)&amp;"-S"&amp;TEXT(INT((C1051-DATE(YEAR(C1051-WEEKDAY(C1051,2)+4),1,3)+WEEKDAY(DATE(YEAR(C1051-WEEKDAY(C1051,2)+4),1,3),2)+5)/7),"00"))</f>
        <v/>
      </c>
    </row>
    <row r="1052" ht="18" customHeight="1">
      <c r="A1052" s="39" t="n">
        <v>1047</v>
      </c>
      <c r="B1052" s="33">
        <f>IF(C1052="","",IF(L1052="À RENSEIGNER","GIC",L1052)&amp;"-S"&amp;TEXT(A1052,"00000"))</f>
        <v/>
      </c>
      <c r="C1052" s="32" t="n"/>
      <c r="D1052" s="36" t="n"/>
      <c r="E1052" s="36" t="n"/>
      <c r="F1052" s="42" t="n"/>
      <c r="G1052" s="36" t="n"/>
      <c r="H1052" s="43" t="n"/>
      <c r="I1052" s="37" t="n"/>
      <c r="J1052" s="44" t="n"/>
      <c r="K1052" s="36" t="n"/>
      <c r="L1052" s="33">
        <f>IF(C1052="","",Commercial_Id)</f>
        <v/>
      </c>
      <c r="M1052" s="34">
        <f>IF(E1052="","",IFERROR(VLOOKUP(E1052,T_Produits,2,FALSE),""))</f>
        <v/>
      </c>
      <c r="N1052" s="40">
        <f>IF(E1052="","",IFERROR(1/(1/VLOOKUP(E1052,T_Produits,3,FALSE)),""))</f>
        <v/>
      </c>
      <c r="O1052" s="40">
        <f>IF(OR(D1052="",F1052=""),"",IF(OR(D1052="Casse / avarie",D1052="Perte / vol",D1052="Échantillon offert"),IF(I1052&lt;&gt;"",I1052,IF(N1052="","",F1052*N1052)),""))</f>
        <v/>
      </c>
      <c r="P1052" s="50">
        <f>IF(OR(D1052="",F1052=""),"",F1052*IF(OR(D1052="Reçu du magasin",D1052="Ajustement (+)"),1,-1))</f>
        <v/>
      </c>
      <c r="Q1052" s="34">
        <f>IF(C1052="","",YEAR(C1052-WEEKDAY(C1052,2)+4)&amp;"-S"&amp;TEXT(INT((C1052-DATE(YEAR(C1052-WEEKDAY(C1052,2)+4),1,3)+WEEKDAY(DATE(YEAR(C1052-WEEKDAY(C1052,2)+4),1,3),2)+5)/7),"00"))</f>
        <v/>
      </c>
    </row>
    <row r="1053" ht="18" customHeight="1">
      <c r="A1053" s="39" t="n">
        <v>1048</v>
      </c>
      <c r="B1053" s="33">
        <f>IF(C1053="","",IF(L1053="À RENSEIGNER","GIC",L1053)&amp;"-S"&amp;TEXT(A1053,"00000"))</f>
        <v/>
      </c>
      <c r="C1053" s="32" t="n"/>
      <c r="D1053" s="36" t="n"/>
      <c r="E1053" s="36" t="n"/>
      <c r="F1053" s="42" t="n"/>
      <c r="G1053" s="36" t="n"/>
      <c r="H1053" s="43" t="n"/>
      <c r="I1053" s="37" t="n"/>
      <c r="J1053" s="44" t="n"/>
      <c r="K1053" s="36" t="n"/>
      <c r="L1053" s="33">
        <f>IF(C1053="","",Commercial_Id)</f>
        <v/>
      </c>
      <c r="M1053" s="34">
        <f>IF(E1053="","",IFERROR(VLOOKUP(E1053,T_Produits,2,FALSE),""))</f>
        <v/>
      </c>
      <c r="N1053" s="40">
        <f>IF(E1053="","",IFERROR(1/(1/VLOOKUP(E1053,T_Produits,3,FALSE)),""))</f>
        <v/>
      </c>
      <c r="O1053" s="40">
        <f>IF(OR(D1053="",F1053=""),"",IF(OR(D1053="Casse / avarie",D1053="Perte / vol",D1053="Échantillon offert"),IF(I1053&lt;&gt;"",I1053,IF(N1053="","",F1053*N1053)),""))</f>
        <v/>
      </c>
      <c r="P1053" s="50">
        <f>IF(OR(D1053="",F1053=""),"",F1053*IF(OR(D1053="Reçu du magasin",D1053="Ajustement (+)"),1,-1))</f>
        <v/>
      </c>
      <c r="Q1053" s="34">
        <f>IF(C1053="","",YEAR(C1053-WEEKDAY(C1053,2)+4)&amp;"-S"&amp;TEXT(INT((C1053-DATE(YEAR(C1053-WEEKDAY(C1053,2)+4),1,3)+WEEKDAY(DATE(YEAR(C1053-WEEKDAY(C1053,2)+4),1,3),2)+5)/7),"00"))</f>
        <v/>
      </c>
    </row>
    <row r="1054" ht="18" customHeight="1">
      <c r="A1054" s="39" t="n">
        <v>1049</v>
      </c>
      <c r="B1054" s="33">
        <f>IF(C1054="","",IF(L1054="À RENSEIGNER","GIC",L1054)&amp;"-S"&amp;TEXT(A1054,"00000"))</f>
        <v/>
      </c>
      <c r="C1054" s="32" t="n"/>
      <c r="D1054" s="36" t="n"/>
      <c r="E1054" s="36" t="n"/>
      <c r="F1054" s="42" t="n"/>
      <c r="G1054" s="36" t="n"/>
      <c r="H1054" s="43" t="n"/>
      <c r="I1054" s="37" t="n"/>
      <c r="J1054" s="44" t="n"/>
      <c r="K1054" s="36" t="n"/>
      <c r="L1054" s="33">
        <f>IF(C1054="","",Commercial_Id)</f>
        <v/>
      </c>
      <c r="M1054" s="34">
        <f>IF(E1054="","",IFERROR(VLOOKUP(E1054,T_Produits,2,FALSE),""))</f>
        <v/>
      </c>
      <c r="N1054" s="40">
        <f>IF(E1054="","",IFERROR(1/(1/VLOOKUP(E1054,T_Produits,3,FALSE)),""))</f>
        <v/>
      </c>
      <c r="O1054" s="40">
        <f>IF(OR(D1054="",F1054=""),"",IF(OR(D1054="Casse / avarie",D1054="Perte / vol",D1054="Échantillon offert"),IF(I1054&lt;&gt;"",I1054,IF(N1054="","",F1054*N1054)),""))</f>
        <v/>
      </c>
      <c r="P1054" s="50">
        <f>IF(OR(D1054="",F1054=""),"",F1054*IF(OR(D1054="Reçu du magasin",D1054="Ajustement (+)"),1,-1))</f>
        <v/>
      </c>
      <c r="Q1054" s="34">
        <f>IF(C1054="","",YEAR(C1054-WEEKDAY(C1054,2)+4)&amp;"-S"&amp;TEXT(INT((C1054-DATE(YEAR(C1054-WEEKDAY(C1054,2)+4),1,3)+WEEKDAY(DATE(YEAR(C1054-WEEKDAY(C1054,2)+4),1,3),2)+5)/7),"00"))</f>
        <v/>
      </c>
    </row>
    <row r="1055" ht="18" customHeight="1">
      <c r="A1055" s="39" t="n">
        <v>1050</v>
      </c>
      <c r="B1055" s="33">
        <f>IF(C1055="","",IF(L1055="À RENSEIGNER","GIC",L1055)&amp;"-S"&amp;TEXT(A1055,"00000"))</f>
        <v/>
      </c>
      <c r="C1055" s="32" t="n"/>
      <c r="D1055" s="36" t="n"/>
      <c r="E1055" s="36" t="n"/>
      <c r="F1055" s="42" t="n"/>
      <c r="G1055" s="36" t="n"/>
      <c r="H1055" s="43" t="n"/>
      <c r="I1055" s="37" t="n"/>
      <c r="J1055" s="44" t="n"/>
      <c r="K1055" s="36" t="n"/>
      <c r="L1055" s="33">
        <f>IF(C1055="","",Commercial_Id)</f>
        <v/>
      </c>
      <c r="M1055" s="34">
        <f>IF(E1055="","",IFERROR(VLOOKUP(E1055,T_Produits,2,FALSE),""))</f>
        <v/>
      </c>
      <c r="N1055" s="40">
        <f>IF(E1055="","",IFERROR(1/(1/VLOOKUP(E1055,T_Produits,3,FALSE)),""))</f>
        <v/>
      </c>
      <c r="O1055" s="40">
        <f>IF(OR(D1055="",F1055=""),"",IF(OR(D1055="Casse / avarie",D1055="Perte / vol",D1055="Échantillon offert"),IF(I1055&lt;&gt;"",I1055,IF(N1055="","",F1055*N1055)),""))</f>
        <v/>
      </c>
      <c r="P1055" s="50">
        <f>IF(OR(D1055="",F1055=""),"",F1055*IF(OR(D1055="Reçu du magasin",D1055="Ajustement (+)"),1,-1))</f>
        <v/>
      </c>
      <c r="Q1055" s="34">
        <f>IF(C1055="","",YEAR(C1055-WEEKDAY(C1055,2)+4)&amp;"-S"&amp;TEXT(INT((C1055-DATE(YEAR(C1055-WEEKDAY(C1055,2)+4),1,3)+WEEKDAY(DATE(YEAR(C1055-WEEKDAY(C1055,2)+4),1,3),2)+5)/7),"00"))</f>
        <v/>
      </c>
    </row>
    <row r="1056" ht="18" customHeight="1">
      <c r="A1056" s="39" t="n">
        <v>1051</v>
      </c>
      <c r="B1056" s="33">
        <f>IF(C1056="","",IF(L1056="À RENSEIGNER","GIC",L1056)&amp;"-S"&amp;TEXT(A1056,"00000"))</f>
        <v/>
      </c>
      <c r="C1056" s="32" t="n"/>
      <c r="D1056" s="36" t="n"/>
      <c r="E1056" s="36" t="n"/>
      <c r="F1056" s="42" t="n"/>
      <c r="G1056" s="36" t="n"/>
      <c r="H1056" s="43" t="n"/>
      <c r="I1056" s="37" t="n"/>
      <c r="J1056" s="44" t="n"/>
      <c r="K1056" s="36" t="n"/>
      <c r="L1056" s="33">
        <f>IF(C1056="","",Commercial_Id)</f>
        <v/>
      </c>
      <c r="M1056" s="34">
        <f>IF(E1056="","",IFERROR(VLOOKUP(E1056,T_Produits,2,FALSE),""))</f>
        <v/>
      </c>
      <c r="N1056" s="40">
        <f>IF(E1056="","",IFERROR(1/(1/VLOOKUP(E1056,T_Produits,3,FALSE)),""))</f>
        <v/>
      </c>
      <c r="O1056" s="40">
        <f>IF(OR(D1056="",F1056=""),"",IF(OR(D1056="Casse / avarie",D1056="Perte / vol",D1056="Échantillon offert"),IF(I1056&lt;&gt;"",I1056,IF(N1056="","",F1056*N1056)),""))</f>
        <v/>
      </c>
      <c r="P1056" s="50">
        <f>IF(OR(D1056="",F1056=""),"",F1056*IF(OR(D1056="Reçu du magasin",D1056="Ajustement (+)"),1,-1))</f>
        <v/>
      </c>
      <c r="Q1056" s="34">
        <f>IF(C1056="","",YEAR(C1056-WEEKDAY(C1056,2)+4)&amp;"-S"&amp;TEXT(INT((C1056-DATE(YEAR(C1056-WEEKDAY(C1056,2)+4),1,3)+WEEKDAY(DATE(YEAR(C1056-WEEKDAY(C1056,2)+4),1,3),2)+5)/7),"00"))</f>
        <v/>
      </c>
    </row>
    <row r="1057" ht="18" customHeight="1">
      <c r="A1057" s="39" t="n">
        <v>1052</v>
      </c>
      <c r="B1057" s="33">
        <f>IF(C1057="","",IF(L1057="À RENSEIGNER","GIC",L1057)&amp;"-S"&amp;TEXT(A1057,"00000"))</f>
        <v/>
      </c>
      <c r="C1057" s="32" t="n"/>
      <c r="D1057" s="36" t="n"/>
      <c r="E1057" s="36" t="n"/>
      <c r="F1057" s="42" t="n"/>
      <c r="G1057" s="36" t="n"/>
      <c r="H1057" s="43" t="n"/>
      <c r="I1057" s="37" t="n"/>
      <c r="J1057" s="44" t="n"/>
      <c r="K1057" s="36" t="n"/>
      <c r="L1057" s="33">
        <f>IF(C1057="","",Commercial_Id)</f>
        <v/>
      </c>
      <c r="M1057" s="34">
        <f>IF(E1057="","",IFERROR(VLOOKUP(E1057,T_Produits,2,FALSE),""))</f>
        <v/>
      </c>
      <c r="N1057" s="40">
        <f>IF(E1057="","",IFERROR(1/(1/VLOOKUP(E1057,T_Produits,3,FALSE)),""))</f>
        <v/>
      </c>
      <c r="O1057" s="40">
        <f>IF(OR(D1057="",F1057=""),"",IF(OR(D1057="Casse / avarie",D1057="Perte / vol",D1057="Échantillon offert"),IF(I1057&lt;&gt;"",I1057,IF(N1057="","",F1057*N1057)),""))</f>
        <v/>
      </c>
      <c r="P1057" s="50">
        <f>IF(OR(D1057="",F1057=""),"",F1057*IF(OR(D1057="Reçu du magasin",D1057="Ajustement (+)"),1,-1))</f>
        <v/>
      </c>
      <c r="Q1057" s="34">
        <f>IF(C1057="","",YEAR(C1057-WEEKDAY(C1057,2)+4)&amp;"-S"&amp;TEXT(INT((C1057-DATE(YEAR(C1057-WEEKDAY(C1057,2)+4),1,3)+WEEKDAY(DATE(YEAR(C1057-WEEKDAY(C1057,2)+4),1,3),2)+5)/7),"00"))</f>
        <v/>
      </c>
    </row>
    <row r="1058" ht="18" customHeight="1">
      <c r="A1058" s="39" t="n">
        <v>1053</v>
      </c>
      <c r="B1058" s="33">
        <f>IF(C1058="","",IF(L1058="À RENSEIGNER","GIC",L1058)&amp;"-S"&amp;TEXT(A1058,"00000"))</f>
        <v/>
      </c>
      <c r="C1058" s="32" t="n"/>
      <c r="D1058" s="36" t="n"/>
      <c r="E1058" s="36" t="n"/>
      <c r="F1058" s="42" t="n"/>
      <c r="G1058" s="36" t="n"/>
      <c r="H1058" s="43" t="n"/>
      <c r="I1058" s="37" t="n"/>
      <c r="J1058" s="44" t="n"/>
      <c r="K1058" s="36" t="n"/>
      <c r="L1058" s="33">
        <f>IF(C1058="","",Commercial_Id)</f>
        <v/>
      </c>
      <c r="M1058" s="34">
        <f>IF(E1058="","",IFERROR(VLOOKUP(E1058,T_Produits,2,FALSE),""))</f>
        <v/>
      </c>
      <c r="N1058" s="40">
        <f>IF(E1058="","",IFERROR(1/(1/VLOOKUP(E1058,T_Produits,3,FALSE)),""))</f>
        <v/>
      </c>
      <c r="O1058" s="40">
        <f>IF(OR(D1058="",F1058=""),"",IF(OR(D1058="Casse / avarie",D1058="Perte / vol",D1058="Échantillon offert"),IF(I1058&lt;&gt;"",I1058,IF(N1058="","",F1058*N1058)),""))</f>
        <v/>
      </c>
      <c r="P1058" s="50">
        <f>IF(OR(D1058="",F1058=""),"",F1058*IF(OR(D1058="Reçu du magasin",D1058="Ajustement (+)"),1,-1))</f>
        <v/>
      </c>
      <c r="Q1058" s="34">
        <f>IF(C1058="","",YEAR(C1058-WEEKDAY(C1058,2)+4)&amp;"-S"&amp;TEXT(INT((C1058-DATE(YEAR(C1058-WEEKDAY(C1058,2)+4),1,3)+WEEKDAY(DATE(YEAR(C1058-WEEKDAY(C1058,2)+4),1,3),2)+5)/7),"00"))</f>
        <v/>
      </c>
    </row>
    <row r="1059" ht="18" customHeight="1">
      <c r="A1059" s="39" t="n">
        <v>1054</v>
      </c>
      <c r="B1059" s="33">
        <f>IF(C1059="","",IF(L1059="À RENSEIGNER","GIC",L1059)&amp;"-S"&amp;TEXT(A1059,"00000"))</f>
        <v/>
      </c>
      <c r="C1059" s="32" t="n"/>
      <c r="D1059" s="36" t="n"/>
      <c r="E1059" s="36" t="n"/>
      <c r="F1059" s="42" t="n"/>
      <c r="G1059" s="36" t="n"/>
      <c r="H1059" s="43" t="n"/>
      <c r="I1059" s="37" t="n"/>
      <c r="J1059" s="44" t="n"/>
      <c r="K1059" s="36" t="n"/>
      <c r="L1059" s="33">
        <f>IF(C1059="","",Commercial_Id)</f>
        <v/>
      </c>
      <c r="M1059" s="34">
        <f>IF(E1059="","",IFERROR(VLOOKUP(E1059,T_Produits,2,FALSE),""))</f>
        <v/>
      </c>
      <c r="N1059" s="40">
        <f>IF(E1059="","",IFERROR(1/(1/VLOOKUP(E1059,T_Produits,3,FALSE)),""))</f>
        <v/>
      </c>
      <c r="O1059" s="40">
        <f>IF(OR(D1059="",F1059=""),"",IF(OR(D1059="Casse / avarie",D1059="Perte / vol",D1059="Échantillon offert"),IF(I1059&lt;&gt;"",I1059,IF(N1059="","",F1059*N1059)),""))</f>
        <v/>
      </c>
      <c r="P1059" s="50">
        <f>IF(OR(D1059="",F1059=""),"",F1059*IF(OR(D1059="Reçu du magasin",D1059="Ajustement (+)"),1,-1))</f>
        <v/>
      </c>
      <c r="Q1059" s="34">
        <f>IF(C1059="","",YEAR(C1059-WEEKDAY(C1059,2)+4)&amp;"-S"&amp;TEXT(INT((C1059-DATE(YEAR(C1059-WEEKDAY(C1059,2)+4),1,3)+WEEKDAY(DATE(YEAR(C1059-WEEKDAY(C1059,2)+4),1,3),2)+5)/7),"00"))</f>
        <v/>
      </c>
    </row>
    <row r="1060" ht="18" customHeight="1">
      <c r="A1060" s="39" t="n">
        <v>1055</v>
      </c>
      <c r="B1060" s="33">
        <f>IF(C1060="","",IF(L1060="À RENSEIGNER","GIC",L1060)&amp;"-S"&amp;TEXT(A1060,"00000"))</f>
        <v/>
      </c>
      <c r="C1060" s="32" t="n"/>
      <c r="D1060" s="36" t="n"/>
      <c r="E1060" s="36" t="n"/>
      <c r="F1060" s="42" t="n"/>
      <c r="G1060" s="36" t="n"/>
      <c r="H1060" s="43" t="n"/>
      <c r="I1060" s="37" t="n"/>
      <c r="J1060" s="44" t="n"/>
      <c r="K1060" s="36" t="n"/>
      <c r="L1060" s="33">
        <f>IF(C1060="","",Commercial_Id)</f>
        <v/>
      </c>
      <c r="M1060" s="34">
        <f>IF(E1060="","",IFERROR(VLOOKUP(E1060,T_Produits,2,FALSE),""))</f>
        <v/>
      </c>
      <c r="N1060" s="40">
        <f>IF(E1060="","",IFERROR(1/(1/VLOOKUP(E1060,T_Produits,3,FALSE)),""))</f>
        <v/>
      </c>
      <c r="O1060" s="40">
        <f>IF(OR(D1060="",F1060=""),"",IF(OR(D1060="Casse / avarie",D1060="Perte / vol",D1060="Échantillon offert"),IF(I1060&lt;&gt;"",I1060,IF(N1060="","",F1060*N1060)),""))</f>
        <v/>
      </c>
      <c r="P1060" s="50">
        <f>IF(OR(D1060="",F1060=""),"",F1060*IF(OR(D1060="Reçu du magasin",D1060="Ajustement (+)"),1,-1))</f>
        <v/>
      </c>
      <c r="Q1060" s="34">
        <f>IF(C1060="","",YEAR(C1060-WEEKDAY(C1060,2)+4)&amp;"-S"&amp;TEXT(INT((C1060-DATE(YEAR(C1060-WEEKDAY(C1060,2)+4),1,3)+WEEKDAY(DATE(YEAR(C1060-WEEKDAY(C1060,2)+4),1,3),2)+5)/7),"00"))</f>
        <v/>
      </c>
    </row>
    <row r="1061" ht="18" customHeight="1">
      <c r="A1061" s="39" t="n">
        <v>1056</v>
      </c>
      <c r="B1061" s="33">
        <f>IF(C1061="","",IF(L1061="À RENSEIGNER","GIC",L1061)&amp;"-S"&amp;TEXT(A1061,"00000"))</f>
        <v/>
      </c>
      <c r="C1061" s="32" t="n"/>
      <c r="D1061" s="36" t="n"/>
      <c r="E1061" s="36" t="n"/>
      <c r="F1061" s="42" t="n"/>
      <c r="G1061" s="36" t="n"/>
      <c r="H1061" s="43" t="n"/>
      <c r="I1061" s="37" t="n"/>
      <c r="J1061" s="44" t="n"/>
      <c r="K1061" s="36" t="n"/>
      <c r="L1061" s="33">
        <f>IF(C1061="","",Commercial_Id)</f>
        <v/>
      </c>
      <c r="M1061" s="34">
        <f>IF(E1061="","",IFERROR(VLOOKUP(E1061,T_Produits,2,FALSE),""))</f>
        <v/>
      </c>
      <c r="N1061" s="40">
        <f>IF(E1061="","",IFERROR(1/(1/VLOOKUP(E1061,T_Produits,3,FALSE)),""))</f>
        <v/>
      </c>
      <c r="O1061" s="40">
        <f>IF(OR(D1061="",F1061=""),"",IF(OR(D1061="Casse / avarie",D1061="Perte / vol",D1061="Échantillon offert"),IF(I1061&lt;&gt;"",I1061,IF(N1061="","",F1061*N1061)),""))</f>
        <v/>
      </c>
      <c r="P1061" s="50">
        <f>IF(OR(D1061="",F1061=""),"",F1061*IF(OR(D1061="Reçu du magasin",D1061="Ajustement (+)"),1,-1))</f>
        <v/>
      </c>
      <c r="Q1061" s="34">
        <f>IF(C1061="","",YEAR(C1061-WEEKDAY(C1061,2)+4)&amp;"-S"&amp;TEXT(INT((C1061-DATE(YEAR(C1061-WEEKDAY(C1061,2)+4),1,3)+WEEKDAY(DATE(YEAR(C1061-WEEKDAY(C1061,2)+4),1,3),2)+5)/7),"00"))</f>
        <v/>
      </c>
    </row>
    <row r="1062" ht="18" customHeight="1">
      <c r="A1062" s="39" t="n">
        <v>1057</v>
      </c>
      <c r="B1062" s="33">
        <f>IF(C1062="","",IF(L1062="À RENSEIGNER","GIC",L1062)&amp;"-S"&amp;TEXT(A1062,"00000"))</f>
        <v/>
      </c>
      <c r="C1062" s="32" t="n"/>
      <c r="D1062" s="36" t="n"/>
      <c r="E1062" s="36" t="n"/>
      <c r="F1062" s="42" t="n"/>
      <c r="G1062" s="36" t="n"/>
      <c r="H1062" s="43" t="n"/>
      <c r="I1062" s="37" t="n"/>
      <c r="J1062" s="44" t="n"/>
      <c r="K1062" s="36" t="n"/>
      <c r="L1062" s="33">
        <f>IF(C1062="","",Commercial_Id)</f>
        <v/>
      </c>
      <c r="M1062" s="34">
        <f>IF(E1062="","",IFERROR(VLOOKUP(E1062,T_Produits,2,FALSE),""))</f>
        <v/>
      </c>
      <c r="N1062" s="40">
        <f>IF(E1062="","",IFERROR(1/(1/VLOOKUP(E1062,T_Produits,3,FALSE)),""))</f>
        <v/>
      </c>
      <c r="O1062" s="40">
        <f>IF(OR(D1062="",F1062=""),"",IF(OR(D1062="Casse / avarie",D1062="Perte / vol",D1062="Échantillon offert"),IF(I1062&lt;&gt;"",I1062,IF(N1062="","",F1062*N1062)),""))</f>
        <v/>
      </c>
      <c r="P1062" s="50">
        <f>IF(OR(D1062="",F1062=""),"",F1062*IF(OR(D1062="Reçu du magasin",D1062="Ajustement (+)"),1,-1))</f>
        <v/>
      </c>
      <c r="Q1062" s="34">
        <f>IF(C1062="","",YEAR(C1062-WEEKDAY(C1062,2)+4)&amp;"-S"&amp;TEXT(INT((C1062-DATE(YEAR(C1062-WEEKDAY(C1062,2)+4),1,3)+WEEKDAY(DATE(YEAR(C1062-WEEKDAY(C1062,2)+4),1,3),2)+5)/7),"00"))</f>
        <v/>
      </c>
    </row>
    <row r="1063" ht="18" customHeight="1">
      <c r="A1063" s="39" t="n">
        <v>1058</v>
      </c>
      <c r="B1063" s="33">
        <f>IF(C1063="","",IF(L1063="À RENSEIGNER","GIC",L1063)&amp;"-S"&amp;TEXT(A1063,"00000"))</f>
        <v/>
      </c>
      <c r="C1063" s="32" t="n"/>
      <c r="D1063" s="36" t="n"/>
      <c r="E1063" s="36" t="n"/>
      <c r="F1063" s="42" t="n"/>
      <c r="G1063" s="36" t="n"/>
      <c r="H1063" s="43" t="n"/>
      <c r="I1063" s="37" t="n"/>
      <c r="J1063" s="44" t="n"/>
      <c r="K1063" s="36" t="n"/>
      <c r="L1063" s="33">
        <f>IF(C1063="","",Commercial_Id)</f>
        <v/>
      </c>
      <c r="M1063" s="34">
        <f>IF(E1063="","",IFERROR(VLOOKUP(E1063,T_Produits,2,FALSE),""))</f>
        <v/>
      </c>
      <c r="N1063" s="40">
        <f>IF(E1063="","",IFERROR(1/(1/VLOOKUP(E1063,T_Produits,3,FALSE)),""))</f>
        <v/>
      </c>
      <c r="O1063" s="40">
        <f>IF(OR(D1063="",F1063=""),"",IF(OR(D1063="Casse / avarie",D1063="Perte / vol",D1063="Échantillon offert"),IF(I1063&lt;&gt;"",I1063,IF(N1063="","",F1063*N1063)),""))</f>
        <v/>
      </c>
      <c r="P1063" s="50">
        <f>IF(OR(D1063="",F1063=""),"",F1063*IF(OR(D1063="Reçu du magasin",D1063="Ajustement (+)"),1,-1))</f>
        <v/>
      </c>
      <c r="Q1063" s="34">
        <f>IF(C1063="","",YEAR(C1063-WEEKDAY(C1063,2)+4)&amp;"-S"&amp;TEXT(INT((C1063-DATE(YEAR(C1063-WEEKDAY(C1063,2)+4),1,3)+WEEKDAY(DATE(YEAR(C1063-WEEKDAY(C1063,2)+4),1,3),2)+5)/7),"00"))</f>
        <v/>
      </c>
    </row>
    <row r="1064" ht="18" customHeight="1">
      <c r="A1064" s="39" t="n">
        <v>1059</v>
      </c>
      <c r="B1064" s="33">
        <f>IF(C1064="","",IF(L1064="À RENSEIGNER","GIC",L1064)&amp;"-S"&amp;TEXT(A1064,"00000"))</f>
        <v/>
      </c>
      <c r="C1064" s="32" t="n"/>
      <c r="D1064" s="36" t="n"/>
      <c r="E1064" s="36" t="n"/>
      <c r="F1064" s="42" t="n"/>
      <c r="G1064" s="36" t="n"/>
      <c r="H1064" s="43" t="n"/>
      <c r="I1064" s="37" t="n"/>
      <c r="J1064" s="44" t="n"/>
      <c r="K1064" s="36" t="n"/>
      <c r="L1064" s="33">
        <f>IF(C1064="","",Commercial_Id)</f>
        <v/>
      </c>
      <c r="M1064" s="34">
        <f>IF(E1064="","",IFERROR(VLOOKUP(E1064,T_Produits,2,FALSE),""))</f>
        <v/>
      </c>
      <c r="N1064" s="40">
        <f>IF(E1064="","",IFERROR(1/(1/VLOOKUP(E1064,T_Produits,3,FALSE)),""))</f>
        <v/>
      </c>
      <c r="O1064" s="40">
        <f>IF(OR(D1064="",F1064=""),"",IF(OR(D1064="Casse / avarie",D1064="Perte / vol",D1064="Échantillon offert"),IF(I1064&lt;&gt;"",I1064,IF(N1064="","",F1064*N1064)),""))</f>
        <v/>
      </c>
      <c r="P1064" s="50">
        <f>IF(OR(D1064="",F1064=""),"",F1064*IF(OR(D1064="Reçu du magasin",D1064="Ajustement (+)"),1,-1))</f>
        <v/>
      </c>
      <c r="Q1064" s="34">
        <f>IF(C1064="","",YEAR(C1064-WEEKDAY(C1064,2)+4)&amp;"-S"&amp;TEXT(INT((C1064-DATE(YEAR(C1064-WEEKDAY(C1064,2)+4),1,3)+WEEKDAY(DATE(YEAR(C1064-WEEKDAY(C1064,2)+4),1,3),2)+5)/7),"00"))</f>
        <v/>
      </c>
    </row>
    <row r="1065" ht="18" customHeight="1">
      <c r="A1065" s="39" t="n">
        <v>1060</v>
      </c>
      <c r="B1065" s="33">
        <f>IF(C1065="","",IF(L1065="À RENSEIGNER","GIC",L1065)&amp;"-S"&amp;TEXT(A1065,"00000"))</f>
        <v/>
      </c>
      <c r="C1065" s="32" t="n"/>
      <c r="D1065" s="36" t="n"/>
      <c r="E1065" s="36" t="n"/>
      <c r="F1065" s="42" t="n"/>
      <c r="G1065" s="36" t="n"/>
      <c r="H1065" s="43" t="n"/>
      <c r="I1065" s="37" t="n"/>
      <c r="J1065" s="44" t="n"/>
      <c r="K1065" s="36" t="n"/>
      <c r="L1065" s="33">
        <f>IF(C1065="","",Commercial_Id)</f>
        <v/>
      </c>
      <c r="M1065" s="34">
        <f>IF(E1065="","",IFERROR(VLOOKUP(E1065,T_Produits,2,FALSE),""))</f>
        <v/>
      </c>
      <c r="N1065" s="40">
        <f>IF(E1065="","",IFERROR(1/(1/VLOOKUP(E1065,T_Produits,3,FALSE)),""))</f>
        <v/>
      </c>
      <c r="O1065" s="40">
        <f>IF(OR(D1065="",F1065=""),"",IF(OR(D1065="Casse / avarie",D1065="Perte / vol",D1065="Échantillon offert"),IF(I1065&lt;&gt;"",I1065,IF(N1065="","",F1065*N1065)),""))</f>
        <v/>
      </c>
      <c r="P1065" s="50">
        <f>IF(OR(D1065="",F1065=""),"",F1065*IF(OR(D1065="Reçu du magasin",D1065="Ajustement (+)"),1,-1))</f>
        <v/>
      </c>
      <c r="Q1065" s="34">
        <f>IF(C1065="","",YEAR(C1065-WEEKDAY(C1065,2)+4)&amp;"-S"&amp;TEXT(INT((C1065-DATE(YEAR(C1065-WEEKDAY(C1065,2)+4),1,3)+WEEKDAY(DATE(YEAR(C1065-WEEKDAY(C1065,2)+4),1,3),2)+5)/7),"00"))</f>
        <v/>
      </c>
    </row>
    <row r="1066" ht="18" customHeight="1">
      <c r="A1066" s="39" t="n">
        <v>1061</v>
      </c>
      <c r="B1066" s="33">
        <f>IF(C1066="","",IF(L1066="À RENSEIGNER","GIC",L1066)&amp;"-S"&amp;TEXT(A1066,"00000"))</f>
        <v/>
      </c>
      <c r="C1066" s="32" t="n"/>
      <c r="D1066" s="36" t="n"/>
      <c r="E1066" s="36" t="n"/>
      <c r="F1066" s="42" t="n"/>
      <c r="G1066" s="36" t="n"/>
      <c r="H1066" s="43" t="n"/>
      <c r="I1066" s="37" t="n"/>
      <c r="J1066" s="44" t="n"/>
      <c r="K1066" s="36" t="n"/>
      <c r="L1066" s="33">
        <f>IF(C1066="","",Commercial_Id)</f>
        <v/>
      </c>
      <c r="M1066" s="34">
        <f>IF(E1066="","",IFERROR(VLOOKUP(E1066,T_Produits,2,FALSE),""))</f>
        <v/>
      </c>
      <c r="N1066" s="40">
        <f>IF(E1066="","",IFERROR(1/(1/VLOOKUP(E1066,T_Produits,3,FALSE)),""))</f>
        <v/>
      </c>
      <c r="O1066" s="40">
        <f>IF(OR(D1066="",F1066=""),"",IF(OR(D1066="Casse / avarie",D1066="Perte / vol",D1066="Échantillon offert"),IF(I1066&lt;&gt;"",I1066,IF(N1066="","",F1066*N1066)),""))</f>
        <v/>
      </c>
      <c r="P1066" s="50">
        <f>IF(OR(D1066="",F1066=""),"",F1066*IF(OR(D1066="Reçu du magasin",D1066="Ajustement (+)"),1,-1))</f>
        <v/>
      </c>
      <c r="Q1066" s="34">
        <f>IF(C1066="","",YEAR(C1066-WEEKDAY(C1066,2)+4)&amp;"-S"&amp;TEXT(INT((C1066-DATE(YEAR(C1066-WEEKDAY(C1066,2)+4),1,3)+WEEKDAY(DATE(YEAR(C1066-WEEKDAY(C1066,2)+4),1,3),2)+5)/7),"00"))</f>
        <v/>
      </c>
    </row>
    <row r="1067" ht="18" customHeight="1">
      <c r="A1067" s="39" t="n">
        <v>1062</v>
      </c>
      <c r="B1067" s="33">
        <f>IF(C1067="","",IF(L1067="À RENSEIGNER","GIC",L1067)&amp;"-S"&amp;TEXT(A1067,"00000"))</f>
        <v/>
      </c>
      <c r="C1067" s="32" t="n"/>
      <c r="D1067" s="36" t="n"/>
      <c r="E1067" s="36" t="n"/>
      <c r="F1067" s="42" t="n"/>
      <c r="G1067" s="36" t="n"/>
      <c r="H1067" s="43" t="n"/>
      <c r="I1067" s="37" t="n"/>
      <c r="J1067" s="44" t="n"/>
      <c r="K1067" s="36" t="n"/>
      <c r="L1067" s="33">
        <f>IF(C1067="","",Commercial_Id)</f>
        <v/>
      </c>
      <c r="M1067" s="34">
        <f>IF(E1067="","",IFERROR(VLOOKUP(E1067,T_Produits,2,FALSE),""))</f>
        <v/>
      </c>
      <c r="N1067" s="40">
        <f>IF(E1067="","",IFERROR(1/(1/VLOOKUP(E1067,T_Produits,3,FALSE)),""))</f>
        <v/>
      </c>
      <c r="O1067" s="40">
        <f>IF(OR(D1067="",F1067=""),"",IF(OR(D1067="Casse / avarie",D1067="Perte / vol",D1067="Échantillon offert"),IF(I1067&lt;&gt;"",I1067,IF(N1067="","",F1067*N1067)),""))</f>
        <v/>
      </c>
      <c r="P1067" s="50">
        <f>IF(OR(D1067="",F1067=""),"",F1067*IF(OR(D1067="Reçu du magasin",D1067="Ajustement (+)"),1,-1))</f>
        <v/>
      </c>
      <c r="Q1067" s="34">
        <f>IF(C1067="","",YEAR(C1067-WEEKDAY(C1067,2)+4)&amp;"-S"&amp;TEXT(INT((C1067-DATE(YEAR(C1067-WEEKDAY(C1067,2)+4),1,3)+WEEKDAY(DATE(YEAR(C1067-WEEKDAY(C1067,2)+4),1,3),2)+5)/7),"00"))</f>
        <v/>
      </c>
    </row>
    <row r="1068" ht="18" customHeight="1">
      <c r="A1068" s="39" t="n">
        <v>1063</v>
      </c>
      <c r="B1068" s="33">
        <f>IF(C1068="","",IF(L1068="À RENSEIGNER","GIC",L1068)&amp;"-S"&amp;TEXT(A1068,"00000"))</f>
        <v/>
      </c>
      <c r="C1068" s="32" t="n"/>
      <c r="D1068" s="36" t="n"/>
      <c r="E1068" s="36" t="n"/>
      <c r="F1068" s="42" t="n"/>
      <c r="G1068" s="36" t="n"/>
      <c r="H1068" s="43" t="n"/>
      <c r="I1068" s="37" t="n"/>
      <c r="J1068" s="44" t="n"/>
      <c r="K1068" s="36" t="n"/>
      <c r="L1068" s="33">
        <f>IF(C1068="","",Commercial_Id)</f>
        <v/>
      </c>
      <c r="M1068" s="34">
        <f>IF(E1068="","",IFERROR(VLOOKUP(E1068,T_Produits,2,FALSE),""))</f>
        <v/>
      </c>
      <c r="N1068" s="40">
        <f>IF(E1068="","",IFERROR(1/(1/VLOOKUP(E1068,T_Produits,3,FALSE)),""))</f>
        <v/>
      </c>
      <c r="O1068" s="40">
        <f>IF(OR(D1068="",F1068=""),"",IF(OR(D1068="Casse / avarie",D1068="Perte / vol",D1068="Échantillon offert"),IF(I1068&lt;&gt;"",I1068,IF(N1068="","",F1068*N1068)),""))</f>
        <v/>
      </c>
      <c r="P1068" s="50">
        <f>IF(OR(D1068="",F1068=""),"",F1068*IF(OR(D1068="Reçu du magasin",D1068="Ajustement (+)"),1,-1))</f>
        <v/>
      </c>
      <c r="Q1068" s="34">
        <f>IF(C1068="","",YEAR(C1068-WEEKDAY(C1068,2)+4)&amp;"-S"&amp;TEXT(INT((C1068-DATE(YEAR(C1068-WEEKDAY(C1068,2)+4),1,3)+WEEKDAY(DATE(YEAR(C1068-WEEKDAY(C1068,2)+4),1,3),2)+5)/7),"00"))</f>
        <v/>
      </c>
    </row>
    <row r="1069" ht="18" customHeight="1">
      <c r="A1069" s="39" t="n">
        <v>1064</v>
      </c>
      <c r="B1069" s="33">
        <f>IF(C1069="","",IF(L1069="À RENSEIGNER","GIC",L1069)&amp;"-S"&amp;TEXT(A1069,"00000"))</f>
        <v/>
      </c>
      <c r="C1069" s="32" t="n"/>
      <c r="D1069" s="36" t="n"/>
      <c r="E1069" s="36" t="n"/>
      <c r="F1069" s="42" t="n"/>
      <c r="G1069" s="36" t="n"/>
      <c r="H1069" s="43" t="n"/>
      <c r="I1069" s="37" t="n"/>
      <c r="J1069" s="44" t="n"/>
      <c r="K1069" s="36" t="n"/>
      <c r="L1069" s="33">
        <f>IF(C1069="","",Commercial_Id)</f>
        <v/>
      </c>
      <c r="M1069" s="34">
        <f>IF(E1069="","",IFERROR(VLOOKUP(E1069,T_Produits,2,FALSE),""))</f>
        <v/>
      </c>
      <c r="N1069" s="40">
        <f>IF(E1069="","",IFERROR(1/(1/VLOOKUP(E1069,T_Produits,3,FALSE)),""))</f>
        <v/>
      </c>
      <c r="O1069" s="40">
        <f>IF(OR(D1069="",F1069=""),"",IF(OR(D1069="Casse / avarie",D1069="Perte / vol",D1069="Échantillon offert"),IF(I1069&lt;&gt;"",I1069,IF(N1069="","",F1069*N1069)),""))</f>
        <v/>
      </c>
      <c r="P1069" s="50">
        <f>IF(OR(D1069="",F1069=""),"",F1069*IF(OR(D1069="Reçu du magasin",D1069="Ajustement (+)"),1,-1))</f>
        <v/>
      </c>
      <c r="Q1069" s="34">
        <f>IF(C1069="","",YEAR(C1069-WEEKDAY(C1069,2)+4)&amp;"-S"&amp;TEXT(INT((C1069-DATE(YEAR(C1069-WEEKDAY(C1069,2)+4),1,3)+WEEKDAY(DATE(YEAR(C1069-WEEKDAY(C1069,2)+4),1,3),2)+5)/7),"00"))</f>
        <v/>
      </c>
    </row>
    <row r="1070" ht="18" customHeight="1">
      <c r="A1070" s="39" t="n">
        <v>1065</v>
      </c>
      <c r="B1070" s="33">
        <f>IF(C1070="","",IF(L1070="À RENSEIGNER","GIC",L1070)&amp;"-S"&amp;TEXT(A1070,"00000"))</f>
        <v/>
      </c>
      <c r="C1070" s="32" t="n"/>
      <c r="D1070" s="36" t="n"/>
      <c r="E1070" s="36" t="n"/>
      <c r="F1070" s="42" t="n"/>
      <c r="G1070" s="36" t="n"/>
      <c r="H1070" s="43" t="n"/>
      <c r="I1070" s="37" t="n"/>
      <c r="J1070" s="44" t="n"/>
      <c r="K1070" s="36" t="n"/>
      <c r="L1070" s="33">
        <f>IF(C1070="","",Commercial_Id)</f>
        <v/>
      </c>
      <c r="M1070" s="34">
        <f>IF(E1070="","",IFERROR(VLOOKUP(E1070,T_Produits,2,FALSE),""))</f>
        <v/>
      </c>
      <c r="N1070" s="40">
        <f>IF(E1070="","",IFERROR(1/(1/VLOOKUP(E1070,T_Produits,3,FALSE)),""))</f>
        <v/>
      </c>
      <c r="O1070" s="40">
        <f>IF(OR(D1070="",F1070=""),"",IF(OR(D1070="Casse / avarie",D1070="Perte / vol",D1070="Échantillon offert"),IF(I1070&lt;&gt;"",I1070,IF(N1070="","",F1070*N1070)),""))</f>
        <v/>
      </c>
      <c r="P1070" s="50">
        <f>IF(OR(D1070="",F1070=""),"",F1070*IF(OR(D1070="Reçu du magasin",D1070="Ajustement (+)"),1,-1))</f>
        <v/>
      </c>
      <c r="Q1070" s="34">
        <f>IF(C1070="","",YEAR(C1070-WEEKDAY(C1070,2)+4)&amp;"-S"&amp;TEXT(INT((C1070-DATE(YEAR(C1070-WEEKDAY(C1070,2)+4),1,3)+WEEKDAY(DATE(YEAR(C1070-WEEKDAY(C1070,2)+4),1,3),2)+5)/7),"00"))</f>
        <v/>
      </c>
    </row>
    <row r="1071" ht="18" customHeight="1">
      <c r="A1071" s="39" t="n">
        <v>1066</v>
      </c>
      <c r="B1071" s="33">
        <f>IF(C1071="","",IF(L1071="À RENSEIGNER","GIC",L1071)&amp;"-S"&amp;TEXT(A1071,"00000"))</f>
        <v/>
      </c>
      <c r="C1071" s="32" t="n"/>
      <c r="D1071" s="36" t="n"/>
      <c r="E1071" s="36" t="n"/>
      <c r="F1071" s="42" t="n"/>
      <c r="G1071" s="36" t="n"/>
      <c r="H1071" s="43" t="n"/>
      <c r="I1071" s="37" t="n"/>
      <c r="J1071" s="44" t="n"/>
      <c r="K1071" s="36" t="n"/>
      <c r="L1071" s="33">
        <f>IF(C1071="","",Commercial_Id)</f>
        <v/>
      </c>
      <c r="M1071" s="34">
        <f>IF(E1071="","",IFERROR(VLOOKUP(E1071,T_Produits,2,FALSE),""))</f>
        <v/>
      </c>
      <c r="N1071" s="40">
        <f>IF(E1071="","",IFERROR(1/(1/VLOOKUP(E1071,T_Produits,3,FALSE)),""))</f>
        <v/>
      </c>
      <c r="O1071" s="40">
        <f>IF(OR(D1071="",F1071=""),"",IF(OR(D1071="Casse / avarie",D1071="Perte / vol",D1071="Échantillon offert"),IF(I1071&lt;&gt;"",I1071,IF(N1071="","",F1071*N1071)),""))</f>
        <v/>
      </c>
      <c r="P1071" s="50">
        <f>IF(OR(D1071="",F1071=""),"",F1071*IF(OR(D1071="Reçu du magasin",D1071="Ajustement (+)"),1,-1))</f>
        <v/>
      </c>
      <c r="Q1071" s="34">
        <f>IF(C1071="","",YEAR(C1071-WEEKDAY(C1071,2)+4)&amp;"-S"&amp;TEXT(INT((C1071-DATE(YEAR(C1071-WEEKDAY(C1071,2)+4),1,3)+WEEKDAY(DATE(YEAR(C1071-WEEKDAY(C1071,2)+4),1,3),2)+5)/7),"00"))</f>
        <v/>
      </c>
    </row>
    <row r="1072" ht="18" customHeight="1">
      <c r="A1072" s="39" t="n">
        <v>1067</v>
      </c>
      <c r="B1072" s="33">
        <f>IF(C1072="","",IF(L1072="À RENSEIGNER","GIC",L1072)&amp;"-S"&amp;TEXT(A1072,"00000"))</f>
        <v/>
      </c>
      <c r="C1072" s="32" t="n"/>
      <c r="D1072" s="36" t="n"/>
      <c r="E1072" s="36" t="n"/>
      <c r="F1072" s="42" t="n"/>
      <c r="G1072" s="36" t="n"/>
      <c r="H1072" s="43" t="n"/>
      <c r="I1072" s="37" t="n"/>
      <c r="J1072" s="44" t="n"/>
      <c r="K1072" s="36" t="n"/>
      <c r="L1072" s="33">
        <f>IF(C1072="","",Commercial_Id)</f>
        <v/>
      </c>
      <c r="M1072" s="34">
        <f>IF(E1072="","",IFERROR(VLOOKUP(E1072,T_Produits,2,FALSE),""))</f>
        <v/>
      </c>
      <c r="N1072" s="40">
        <f>IF(E1072="","",IFERROR(1/(1/VLOOKUP(E1072,T_Produits,3,FALSE)),""))</f>
        <v/>
      </c>
      <c r="O1072" s="40">
        <f>IF(OR(D1072="",F1072=""),"",IF(OR(D1072="Casse / avarie",D1072="Perte / vol",D1072="Échantillon offert"),IF(I1072&lt;&gt;"",I1072,IF(N1072="","",F1072*N1072)),""))</f>
        <v/>
      </c>
      <c r="P1072" s="50">
        <f>IF(OR(D1072="",F1072=""),"",F1072*IF(OR(D1072="Reçu du magasin",D1072="Ajustement (+)"),1,-1))</f>
        <v/>
      </c>
      <c r="Q1072" s="34">
        <f>IF(C1072="","",YEAR(C1072-WEEKDAY(C1072,2)+4)&amp;"-S"&amp;TEXT(INT((C1072-DATE(YEAR(C1072-WEEKDAY(C1072,2)+4),1,3)+WEEKDAY(DATE(YEAR(C1072-WEEKDAY(C1072,2)+4),1,3),2)+5)/7),"00"))</f>
        <v/>
      </c>
    </row>
    <row r="1073" ht="18" customHeight="1">
      <c r="A1073" s="39" t="n">
        <v>1068</v>
      </c>
      <c r="B1073" s="33">
        <f>IF(C1073="","",IF(L1073="À RENSEIGNER","GIC",L1073)&amp;"-S"&amp;TEXT(A1073,"00000"))</f>
        <v/>
      </c>
      <c r="C1073" s="32" t="n"/>
      <c r="D1073" s="36" t="n"/>
      <c r="E1073" s="36" t="n"/>
      <c r="F1073" s="42" t="n"/>
      <c r="G1073" s="36" t="n"/>
      <c r="H1073" s="43" t="n"/>
      <c r="I1073" s="37" t="n"/>
      <c r="J1073" s="44" t="n"/>
      <c r="K1073" s="36" t="n"/>
      <c r="L1073" s="33">
        <f>IF(C1073="","",Commercial_Id)</f>
        <v/>
      </c>
      <c r="M1073" s="34">
        <f>IF(E1073="","",IFERROR(VLOOKUP(E1073,T_Produits,2,FALSE),""))</f>
        <v/>
      </c>
      <c r="N1073" s="40">
        <f>IF(E1073="","",IFERROR(1/(1/VLOOKUP(E1073,T_Produits,3,FALSE)),""))</f>
        <v/>
      </c>
      <c r="O1073" s="40">
        <f>IF(OR(D1073="",F1073=""),"",IF(OR(D1073="Casse / avarie",D1073="Perte / vol",D1073="Échantillon offert"),IF(I1073&lt;&gt;"",I1073,IF(N1073="","",F1073*N1073)),""))</f>
        <v/>
      </c>
      <c r="P1073" s="50">
        <f>IF(OR(D1073="",F1073=""),"",F1073*IF(OR(D1073="Reçu du magasin",D1073="Ajustement (+)"),1,-1))</f>
        <v/>
      </c>
      <c r="Q1073" s="34">
        <f>IF(C1073="","",YEAR(C1073-WEEKDAY(C1073,2)+4)&amp;"-S"&amp;TEXT(INT((C1073-DATE(YEAR(C1073-WEEKDAY(C1073,2)+4),1,3)+WEEKDAY(DATE(YEAR(C1073-WEEKDAY(C1073,2)+4),1,3),2)+5)/7),"00"))</f>
        <v/>
      </c>
    </row>
    <row r="1074" ht="18" customHeight="1">
      <c r="A1074" s="39" t="n">
        <v>1069</v>
      </c>
      <c r="B1074" s="33">
        <f>IF(C1074="","",IF(L1074="À RENSEIGNER","GIC",L1074)&amp;"-S"&amp;TEXT(A1074,"00000"))</f>
        <v/>
      </c>
      <c r="C1074" s="32" t="n"/>
      <c r="D1074" s="36" t="n"/>
      <c r="E1074" s="36" t="n"/>
      <c r="F1074" s="42" t="n"/>
      <c r="G1074" s="36" t="n"/>
      <c r="H1074" s="43" t="n"/>
      <c r="I1074" s="37" t="n"/>
      <c r="J1074" s="44" t="n"/>
      <c r="K1074" s="36" t="n"/>
      <c r="L1074" s="33">
        <f>IF(C1074="","",Commercial_Id)</f>
        <v/>
      </c>
      <c r="M1074" s="34">
        <f>IF(E1074="","",IFERROR(VLOOKUP(E1074,T_Produits,2,FALSE),""))</f>
        <v/>
      </c>
      <c r="N1074" s="40">
        <f>IF(E1074="","",IFERROR(1/(1/VLOOKUP(E1074,T_Produits,3,FALSE)),""))</f>
        <v/>
      </c>
      <c r="O1074" s="40">
        <f>IF(OR(D1074="",F1074=""),"",IF(OR(D1074="Casse / avarie",D1074="Perte / vol",D1074="Échantillon offert"),IF(I1074&lt;&gt;"",I1074,IF(N1074="","",F1074*N1074)),""))</f>
        <v/>
      </c>
      <c r="P1074" s="50">
        <f>IF(OR(D1074="",F1074=""),"",F1074*IF(OR(D1074="Reçu du magasin",D1074="Ajustement (+)"),1,-1))</f>
        <v/>
      </c>
      <c r="Q1074" s="34">
        <f>IF(C1074="","",YEAR(C1074-WEEKDAY(C1074,2)+4)&amp;"-S"&amp;TEXT(INT((C1074-DATE(YEAR(C1074-WEEKDAY(C1074,2)+4),1,3)+WEEKDAY(DATE(YEAR(C1074-WEEKDAY(C1074,2)+4),1,3),2)+5)/7),"00"))</f>
        <v/>
      </c>
    </row>
    <row r="1075" ht="18" customHeight="1">
      <c r="A1075" s="39" t="n">
        <v>1070</v>
      </c>
      <c r="B1075" s="33">
        <f>IF(C1075="","",IF(L1075="À RENSEIGNER","GIC",L1075)&amp;"-S"&amp;TEXT(A1075,"00000"))</f>
        <v/>
      </c>
      <c r="C1075" s="32" t="n"/>
      <c r="D1075" s="36" t="n"/>
      <c r="E1075" s="36" t="n"/>
      <c r="F1075" s="42" t="n"/>
      <c r="G1075" s="36" t="n"/>
      <c r="H1075" s="43" t="n"/>
      <c r="I1075" s="37" t="n"/>
      <c r="J1075" s="44" t="n"/>
      <c r="K1075" s="36" t="n"/>
      <c r="L1075" s="33">
        <f>IF(C1075="","",Commercial_Id)</f>
        <v/>
      </c>
      <c r="M1075" s="34">
        <f>IF(E1075="","",IFERROR(VLOOKUP(E1075,T_Produits,2,FALSE),""))</f>
        <v/>
      </c>
      <c r="N1075" s="40">
        <f>IF(E1075="","",IFERROR(1/(1/VLOOKUP(E1075,T_Produits,3,FALSE)),""))</f>
        <v/>
      </c>
      <c r="O1075" s="40">
        <f>IF(OR(D1075="",F1075=""),"",IF(OR(D1075="Casse / avarie",D1075="Perte / vol",D1075="Échantillon offert"),IF(I1075&lt;&gt;"",I1075,IF(N1075="","",F1075*N1075)),""))</f>
        <v/>
      </c>
      <c r="P1075" s="50">
        <f>IF(OR(D1075="",F1075=""),"",F1075*IF(OR(D1075="Reçu du magasin",D1075="Ajustement (+)"),1,-1))</f>
        <v/>
      </c>
      <c r="Q1075" s="34">
        <f>IF(C1075="","",YEAR(C1075-WEEKDAY(C1075,2)+4)&amp;"-S"&amp;TEXT(INT((C1075-DATE(YEAR(C1075-WEEKDAY(C1075,2)+4),1,3)+WEEKDAY(DATE(YEAR(C1075-WEEKDAY(C1075,2)+4),1,3),2)+5)/7),"00"))</f>
        <v/>
      </c>
    </row>
    <row r="1076" ht="18" customHeight="1">
      <c r="A1076" s="39" t="n">
        <v>1071</v>
      </c>
      <c r="B1076" s="33">
        <f>IF(C1076="","",IF(L1076="À RENSEIGNER","GIC",L1076)&amp;"-S"&amp;TEXT(A1076,"00000"))</f>
        <v/>
      </c>
      <c r="C1076" s="32" t="n"/>
      <c r="D1076" s="36" t="n"/>
      <c r="E1076" s="36" t="n"/>
      <c r="F1076" s="42" t="n"/>
      <c r="G1076" s="36" t="n"/>
      <c r="H1076" s="43" t="n"/>
      <c r="I1076" s="37" t="n"/>
      <c r="J1076" s="44" t="n"/>
      <c r="K1076" s="36" t="n"/>
      <c r="L1076" s="33">
        <f>IF(C1076="","",Commercial_Id)</f>
        <v/>
      </c>
      <c r="M1076" s="34">
        <f>IF(E1076="","",IFERROR(VLOOKUP(E1076,T_Produits,2,FALSE),""))</f>
        <v/>
      </c>
      <c r="N1076" s="40">
        <f>IF(E1076="","",IFERROR(1/(1/VLOOKUP(E1076,T_Produits,3,FALSE)),""))</f>
        <v/>
      </c>
      <c r="O1076" s="40">
        <f>IF(OR(D1076="",F1076=""),"",IF(OR(D1076="Casse / avarie",D1076="Perte / vol",D1076="Échantillon offert"),IF(I1076&lt;&gt;"",I1076,IF(N1076="","",F1076*N1076)),""))</f>
        <v/>
      </c>
      <c r="P1076" s="50">
        <f>IF(OR(D1076="",F1076=""),"",F1076*IF(OR(D1076="Reçu du magasin",D1076="Ajustement (+)"),1,-1))</f>
        <v/>
      </c>
      <c r="Q1076" s="34">
        <f>IF(C1076="","",YEAR(C1076-WEEKDAY(C1076,2)+4)&amp;"-S"&amp;TEXT(INT((C1076-DATE(YEAR(C1076-WEEKDAY(C1076,2)+4),1,3)+WEEKDAY(DATE(YEAR(C1076-WEEKDAY(C1076,2)+4),1,3),2)+5)/7),"00"))</f>
        <v/>
      </c>
    </row>
    <row r="1077" ht="18" customHeight="1">
      <c r="A1077" s="39" t="n">
        <v>1072</v>
      </c>
      <c r="B1077" s="33">
        <f>IF(C1077="","",IF(L1077="À RENSEIGNER","GIC",L1077)&amp;"-S"&amp;TEXT(A1077,"00000"))</f>
        <v/>
      </c>
      <c r="C1077" s="32" t="n"/>
      <c r="D1077" s="36" t="n"/>
      <c r="E1077" s="36" t="n"/>
      <c r="F1077" s="42" t="n"/>
      <c r="G1077" s="36" t="n"/>
      <c r="H1077" s="43" t="n"/>
      <c r="I1077" s="37" t="n"/>
      <c r="J1077" s="44" t="n"/>
      <c r="K1077" s="36" t="n"/>
      <c r="L1077" s="33">
        <f>IF(C1077="","",Commercial_Id)</f>
        <v/>
      </c>
      <c r="M1077" s="34">
        <f>IF(E1077="","",IFERROR(VLOOKUP(E1077,T_Produits,2,FALSE),""))</f>
        <v/>
      </c>
      <c r="N1077" s="40">
        <f>IF(E1077="","",IFERROR(1/(1/VLOOKUP(E1077,T_Produits,3,FALSE)),""))</f>
        <v/>
      </c>
      <c r="O1077" s="40">
        <f>IF(OR(D1077="",F1077=""),"",IF(OR(D1077="Casse / avarie",D1077="Perte / vol",D1077="Échantillon offert"),IF(I1077&lt;&gt;"",I1077,IF(N1077="","",F1077*N1077)),""))</f>
        <v/>
      </c>
      <c r="P1077" s="50">
        <f>IF(OR(D1077="",F1077=""),"",F1077*IF(OR(D1077="Reçu du magasin",D1077="Ajustement (+)"),1,-1))</f>
        <v/>
      </c>
      <c r="Q1077" s="34">
        <f>IF(C1077="","",YEAR(C1077-WEEKDAY(C1077,2)+4)&amp;"-S"&amp;TEXT(INT((C1077-DATE(YEAR(C1077-WEEKDAY(C1077,2)+4),1,3)+WEEKDAY(DATE(YEAR(C1077-WEEKDAY(C1077,2)+4),1,3),2)+5)/7),"00"))</f>
        <v/>
      </c>
    </row>
    <row r="1078" ht="18" customHeight="1">
      <c r="A1078" s="39" t="n">
        <v>1073</v>
      </c>
      <c r="B1078" s="33">
        <f>IF(C1078="","",IF(L1078="À RENSEIGNER","GIC",L1078)&amp;"-S"&amp;TEXT(A1078,"00000"))</f>
        <v/>
      </c>
      <c r="C1078" s="32" t="n"/>
      <c r="D1078" s="36" t="n"/>
      <c r="E1078" s="36" t="n"/>
      <c r="F1078" s="42" t="n"/>
      <c r="G1078" s="36" t="n"/>
      <c r="H1078" s="43" t="n"/>
      <c r="I1078" s="37" t="n"/>
      <c r="J1078" s="44" t="n"/>
      <c r="K1078" s="36" t="n"/>
      <c r="L1078" s="33">
        <f>IF(C1078="","",Commercial_Id)</f>
        <v/>
      </c>
      <c r="M1078" s="34">
        <f>IF(E1078="","",IFERROR(VLOOKUP(E1078,T_Produits,2,FALSE),""))</f>
        <v/>
      </c>
      <c r="N1078" s="40">
        <f>IF(E1078="","",IFERROR(1/(1/VLOOKUP(E1078,T_Produits,3,FALSE)),""))</f>
        <v/>
      </c>
      <c r="O1078" s="40">
        <f>IF(OR(D1078="",F1078=""),"",IF(OR(D1078="Casse / avarie",D1078="Perte / vol",D1078="Échantillon offert"),IF(I1078&lt;&gt;"",I1078,IF(N1078="","",F1078*N1078)),""))</f>
        <v/>
      </c>
      <c r="P1078" s="50">
        <f>IF(OR(D1078="",F1078=""),"",F1078*IF(OR(D1078="Reçu du magasin",D1078="Ajustement (+)"),1,-1))</f>
        <v/>
      </c>
      <c r="Q1078" s="34">
        <f>IF(C1078="","",YEAR(C1078-WEEKDAY(C1078,2)+4)&amp;"-S"&amp;TEXT(INT((C1078-DATE(YEAR(C1078-WEEKDAY(C1078,2)+4),1,3)+WEEKDAY(DATE(YEAR(C1078-WEEKDAY(C1078,2)+4),1,3),2)+5)/7),"00"))</f>
        <v/>
      </c>
    </row>
    <row r="1079" ht="18" customHeight="1">
      <c r="A1079" s="39" t="n">
        <v>1074</v>
      </c>
      <c r="B1079" s="33">
        <f>IF(C1079="","",IF(L1079="À RENSEIGNER","GIC",L1079)&amp;"-S"&amp;TEXT(A1079,"00000"))</f>
        <v/>
      </c>
      <c r="C1079" s="32" t="n"/>
      <c r="D1079" s="36" t="n"/>
      <c r="E1079" s="36" t="n"/>
      <c r="F1079" s="42" t="n"/>
      <c r="G1079" s="36" t="n"/>
      <c r="H1079" s="43" t="n"/>
      <c r="I1079" s="37" t="n"/>
      <c r="J1079" s="44" t="n"/>
      <c r="K1079" s="36" t="n"/>
      <c r="L1079" s="33">
        <f>IF(C1079="","",Commercial_Id)</f>
        <v/>
      </c>
      <c r="M1079" s="34">
        <f>IF(E1079="","",IFERROR(VLOOKUP(E1079,T_Produits,2,FALSE),""))</f>
        <v/>
      </c>
      <c r="N1079" s="40">
        <f>IF(E1079="","",IFERROR(1/(1/VLOOKUP(E1079,T_Produits,3,FALSE)),""))</f>
        <v/>
      </c>
      <c r="O1079" s="40">
        <f>IF(OR(D1079="",F1079=""),"",IF(OR(D1079="Casse / avarie",D1079="Perte / vol",D1079="Échantillon offert"),IF(I1079&lt;&gt;"",I1079,IF(N1079="","",F1079*N1079)),""))</f>
        <v/>
      </c>
      <c r="P1079" s="50">
        <f>IF(OR(D1079="",F1079=""),"",F1079*IF(OR(D1079="Reçu du magasin",D1079="Ajustement (+)"),1,-1))</f>
        <v/>
      </c>
      <c r="Q1079" s="34">
        <f>IF(C1079="","",YEAR(C1079-WEEKDAY(C1079,2)+4)&amp;"-S"&amp;TEXT(INT((C1079-DATE(YEAR(C1079-WEEKDAY(C1079,2)+4),1,3)+WEEKDAY(DATE(YEAR(C1079-WEEKDAY(C1079,2)+4),1,3),2)+5)/7),"00"))</f>
        <v/>
      </c>
    </row>
    <row r="1080" ht="18" customHeight="1">
      <c r="A1080" s="39" t="n">
        <v>1075</v>
      </c>
      <c r="B1080" s="33">
        <f>IF(C1080="","",IF(L1080="À RENSEIGNER","GIC",L1080)&amp;"-S"&amp;TEXT(A1080,"00000"))</f>
        <v/>
      </c>
      <c r="C1080" s="32" t="n"/>
      <c r="D1080" s="36" t="n"/>
      <c r="E1080" s="36" t="n"/>
      <c r="F1080" s="42" t="n"/>
      <c r="G1080" s="36" t="n"/>
      <c r="H1080" s="43" t="n"/>
      <c r="I1080" s="37" t="n"/>
      <c r="J1080" s="44" t="n"/>
      <c r="K1080" s="36" t="n"/>
      <c r="L1080" s="33">
        <f>IF(C1080="","",Commercial_Id)</f>
        <v/>
      </c>
      <c r="M1080" s="34">
        <f>IF(E1080="","",IFERROR(VLOOKUP(E1080,T_Produits,2,FALSE),""))</f>
        <v/>
      </c>
      <c r="N1080" s="40">
        <f>IF(E1080="","",IFERROR(1/(1/VLOOKUP(E1080,T_Produits,3,FALSE)),""))</f>
        <v/>
      </c>
      <c r="O1080" s="40">
        <f>IF(OR(D1080="",F1080=""),"",IF(OR(D1080="Casse / avarie",D1080="Perte / vol",D1080="Échantillon offert"),IF(I1080&lt;&gt;"",I1080,IF(N1080="","",F1080*N1080)),""))</f>
        <v/>
      </c>
      <c r="P1080" s="50">
        <f>IF(OR(D1080="",F1080=""),"",F1080*IF(OR(D1080="Reçu du magasin",D1080="Ajustement (+)"),1,-1))</f>
        <v/>
      </c>
      <c r="Q1080" s="34">
        <f>IF(C1080="","",YEAR(C1080-WEEKDAY(C1080,2)+4)&amp;"-S"&amp;TEXT(INT((C1080-DATE(YEAR(C1080-WEEKDAY(C1080,2)+4),1,3)+WEEKDAY(DATE(YEAR(C1080-WEEKDAY(C1080,2)+4),1,3),2)+5)/7),"00"))</f>
        <v/>
      </c>
    </row>
    <row r="1081" ht="18" customHeight="1">
      <c r="A1081" s="39" t="n">
        <v>1076</v>
      </c>
      <c r="B1081" s="33">
        <f>IF(C1081="","",IF(L1081="À RENSEIGNER","GIC",L1081)&amp;"-S"&amp;TEXT(A1081,"00000"))</f>
        <v/>
      </c>
      <c r="C1081" s="32" t="n"/>
      <c r="D1081" s="36" t="n"/>
      <c r="E1081" s="36" t="n"/>
      <c r="F1081" s="42" t="n"/>
      <c r="G1081" s="36" t="n"/>
      <c r="H1081" s="43" t="n"/>
      <c r="I1081" s="37" t="n"/>
      <c r="J1081" s="44" t="n"/>
      <c r="K1081" s="36" t="n"/>
      <c r="L1081" s="33">
        <f>IF(C1081="","",Commercial_Id)</f>
        <v/>
      </c>
      <c r="M1081" s="34">
        <f>IF(E1081="","",IFERROR(VLOOKUP(E1081,T_Produits,2,FALSE),""))</f>
        <v/>
      </c>
      <c r="N1081" s="40">
        <f>IF(E1081="","",IFERROR(1/(1/VLOOKUP(E1081,T_Produits,3,FALSE)),""))</f>
        <v/>
      </c>
      <c r="O1081" s="40">
        <f>IF(OR(D1081="",F1081=""),"",IF(OR(D1081="Casse / avarie",D1081="Perte / vol",D1081="Échantillon offert"),IF(I1081&lt;&gt;"",I1081,IF(N1081="","",F1081*N1081)),""))</f>
        <v/>
      </c>
      <c r="P1081" s="50">
        <f>IF(OR(D1081="",F1081=""),"",F1081*IF(OR(D1081="Reçu du magasin",D1081="Ajustement (+)"),1,-1))</f>
        <v/>
      </c>
      <c r="Q1081" s="34">
        <f>IF(C1081="","",YEAR(C1081-WEEKDAY(C1081,2)+4)&amp;"-S"&amp;TEXT(INT((C1081-DATE(YEAR(C1081-WEEKDAY(C1081,2)+4),1,3)+WEEKDAY(DATE(YEAR(C1081-WEEKDAY(C1081,2)+4),1,3),2)+5)/7),"00"))</f>
        <v/>
      </c>
    </row>
    <row r="1082" ht="18" customHeight="1">
      <c r="A1082" s="39" t="n">
        <v>1077</v>
      </c>
      <c r="B1082" s="33">
        <f>IF(C1082="","",IF(L1082="À RENSEIGNER","GIC",L1082)&amp;"-S"&amp;TEXT(A1082,"00000"))</f>
        <v/>
      </c>
      <c r="C1082" s="32" t="n"/>
      <c r="D1082" s="36" t="n"/>
      <c r="E1082" s="36" t="n"/>
      <c r="F1082" s="42" t="n"/>
      <c r="G1082" s="36" t="n"/>
      <c r="H1082" s="43" t="n"/>
      <c r="I1082" s="37" t="n"/>
      <c r="J1082" s="44" t="n"/>
      <c r="K1082" s="36" t="n"/>
      <c r="L1082" s="33">
        <f>IF(C1082="","",Commercial_Id)</f>
        <v/>
      </c>
      <c r="M1082" s="34">
        <f>IF(E1082="","",IFERROR(VLOOKUP(E1082,T_Produits,2,FALSE),""))</f>
        <v/>
      </c>
      <c r="N1082" s="40">
        <f>IF(E1082="","",IFERROR(1/(1/VLOOKUP(E1082,T_Produits,3,FALSE)),""))</f>
        <v/>
      </c>
      <c r="O1082" s="40">
        <f>IF(OR(D1082="",F1082=""),"",IF(OR(D1082="Casse / avarie",D1082="Perte / vol",D1082="Échantillon offert"),IF(I1082&lt;&gt;"",I1082,IF(N1082="","",F1082*N1082)),""))</f>
        <v/>
      </c>
      <c r="P1082" s="50">
        <f>IF(OR(D1082="",F1082=""),"",F1082*IF(OR(D1082="Reçu du magasin",D1082="Ajustement (+)"),1,-1))</f>
        <v/>
      </c>
      <c r="Q1082" s="34">
        <f>IF(C1082="","",YEAR(C1082-WEEKDAY(C1082,2)+4)&amp;"-S"&amp;TEXT(INT((C1082-DATE(YEAR(C1082-WEEKDAY(C1082,2)+4),1,3)+WEEKDAY(DATE(YEAR(C1082-WEEKDAY(C1082,2)+4),1,3),2)+5)/7),"00"))</f>
        <v/>
      </c>
    </row>
    <row r="1083" ht="18" customHeight="1">
      <c r="A1083" s="39" t="n">
        <v>1078</v>
      </c>
      <c r="B1083" s="33">
        <f>IF(C1083="","",IF(L1083="À RENSEIGNER","GIC",L1083)&amp;"-S"&amp;TEXT(A1083,"00000"))</f>
        <v/>
      </c>
      <c r="C1083" s="32" t="n"/>
      <c r="D1083" s="36" t="n"/>
      <c r="E1083" s="36" t="n"/>
      <c r="F1083" s="42" t="n"/>
      <c r="G1083" s="36" t="n"/>
      <c r="H1083" s="43" t="n"/>
      <c r="I1083" s="37" t="n"/>
      <c r="J1083" s="44" t="n"/>
      <c r="K1083" s="36" t="n"/>
      <c r="L1083" s="33">
        <f>IF(C1083="","",Commercial_Id)</f>
        <v/>
      </c>
      <c r="M1083" s="34">
        <f>IF(E1083="","",IFERROR(VLOOKUP(E1083,T_Produits,2,FALSE),""))</f>
        <v/>
      </c>
      <c r="N1083" s="40">
        <f>IF(E1083="","",IFERROR(1/(1/VLOOKUP(E1083,T_Produits,3,FALSE)),""))</f>
        <v/>
      </c>
      <c r="O1083" s="40">
        <f>IF(OR(D1083="",F1083=""),"",IF(OR(D1083="Casse / avarie",D1083="Perte / vol",D1083="Échantillon offert"),IF(I1083&lt;&gt;"",I1083,IF(N1083="","",F1083*N1083)),""))</f>
        <v/>
      </c>
      <c r="P1083" s="50">
        <f>IF(OR(D1083="",F1083=""),"",F1083*IF(OR(D1083="Reçu du magasin",D1083="Ajustement (+)"),1,-1))</f>
        <v/>
      </c>
      <c r="Q1083" s="34">
        <f>IF(C1083="","",YEAR(C1083-WEEKDAY(C1083,2)+4)&amp;"-S"&amp;TEXT(INT((C1083-DATE(YEAR(C1083-WEEKDAY(C1083,2)+4),1,3)+WEEKDAY(DATE(YEAR(C1083-WEEKDAY(C1083,2)+4),1,3),2)+5)/7),"00"))</f>
        <v/>
      </c>
    </row>
    <row r="1084" ht="18" customHeight="1">
      <c r="A1084" s="39" t="n">
        <v>1079</v>
      </c>
      <c r="B1084" s="33">
        <f>IF(C1084="","",IF(L1084="À RENSEIGNER","GIC",L1084)&amp;"-S"&amp;TEXT(A1084,"00000"))</f>
        <v/>
      </c>
      <c r="C1084" s="32" t="n"/>
      <c r="D1084" s="36" t="n"/>
      <c r="E1084" s="36" t="n"/>
      <c r="F1084" s="42" t="n"/>
      <c r="G1084" s="36" t="n"/>
      <c r="H1084" s="43" t="n"/>
      <c r="I1084" s="37" t="n"/>
      <c r="J1084" s="44" t="n"/>
      <c r="K1084" s="36" t="n"/>
      <c r="L1084" s="33">
        <f>IF(C1084="","",Commercial_Id)</f>
        <v/>
      </c>
      <c r="M1084" s="34">
        <f>IF(E1084="","",IFERROR(VLOOKUP(E1084,T_Produits,2,FALSE),""))</f>
        <v/>
      </c>
      <c r="N1084" s="40">
        <f>IF(E1084="","",IFERROR(1/(1/VLOOKUP(E1084,T_Produits,3,FALSE)),""))</f>
        <v/>
      </c>
      <c r="O1084" s="40">
        <f>IF(OR(D1084="",F1084=""),"",IF(OR(D1084="Casse / avarie",D1084="Perte / vol",D1084="Échantillon offert"),IF(I1084&lt;&gt;"",I1084,IF(N1084="","",F1084*N1084)),""))</f>
        <v/>
      </c>
      <c r="P1084" s="50">
        <f>IF(OR(D1084="",F1084=""),"",F1084*IF(OR(D1084="Reçu du magasin",D1084="Ajustement (+)"),1,-1))</f>
        <v/>
      </c>
      <c r="Q1084" s="34">
        <f>IF(C1084="","",YEAR(C1084-WEEKDAY(C1084,2)+4)&amp;"-S"&amp;TEXT(INT((C1084-DATE(YEAR(C1084-WEEKDAY(C1084,2)+4),1,3)+WEEKDAY(DATE(YEAR(C1084-WEEKDAY(C1084,2)+4),1,3),2)+5)/7),"00"))</f>
        <v/>
      </c>
    </row>
    <row r="1085" ht="18" customHeight="1">
      <c r="A1085" s="39" t="n">
        <v>1080</v>
      </c>
      <c r="B1085" s="33">
        <f>IF(C1085="","",IF(L1085="À RENSEIGNER","GIC",L1085)&amp;"-S"&amp;TEXT(A1085,"00000"))</f>
        <v/>
      </c>
      <c r="C1085" s="32" t="n"/>
      <c r="D1085" s="36" t="n"/>
      <c r="E1085" s="36" t="n"/>
      <c r="F1085" s="42" t="n"/>
      <c r="G1085" s="36" t="n"/>
      <c r="H1085" s="43" t="n"/>
      <c r="I1085" s="37" t="n"/>
      <c r="J1085" s="44" t="n"/>
      <c r="K1085" s="36" t="n"/>
      <c r="L1085" s="33">
        <f>IF(C1085="","",Commercial_Id)</f>
        <v/>
      </c>
      <c r="M1085" s="34">
        <f>IF(E1085="","",IFERROR(VLOOKUP(E1085,T_Produits,2,FALSE),""))</f>
        <v/>
      </c>
      <c r="N1085" s="40">
        <f>IF(E1085="","",IFERROR(1/(1/VLOOKUP(E1085,T_Produits,3,FALSE)),""))</f>
        <v/>
      </c>
      <c r="O1085" s="40">
        <f>IF(OR(D1085="",F1085=""),"",IF(OR(D1085="Casse / avarie",D1085="Perte / vol",D1085="Échantillon offert"),IF(I1085&lt;&gt;"",I1085,IF(N1085="","",F1085*N1085)),""))</f>
        <v/>
      </c>
      <c r="P1085" s="50">
        <f>IF(OR(D1085="",F1085=""),"",F1085*IF(OR(D1085="Reçu du magasin",D1085="Ajustement (+)"),1,-1))</f>
        <v/>
      </c>
      <c r="Q1085" s="34">
        <f>IF(C1085="","",YEAR(C1085-WEEKDAY(C1085,2)+4)&amp;"-S"&amp;TEXT(INT((C1085-DATE(YEAR(C1085-WEEKDAY(C1085,2)+4),1,3)+WEEKDAY(DATE(YEAR(C1085-WEEKDAY(C1085,2)+4),1,3),2)+5)/7),"00"))</f>
        <v/>
      </c>
    </row>
    <row r="1086" ht="18" customHeight="1">
      <c r="A1086" s="39" t="n">
        <v>1081</v>
      </c>
      <c r="B1086" s="33">
        <f>IF(C1086="","",IF(L1086="À RENSEIGNER","GIC",L1086)&amp;"-S"&amp;TEXT(A1086,"00000"))</f>
        <v/>
      </c>
      <c r="C1086" s="32" t="n"/>
      <c r="D1086" s="36" t="n"/>
      <c r="E1086" s="36" t="n"/>
      <c r="F1086" s="42" t="n"/>
      <c r="G1086" s="36" t="n"/>
      <c r="H1086" s="43" t="n"/>
      <c r="I1086" s="37" t="n"/>
      <c r="J1086" s="44" t="n"/>
      <c r="K1086" s="36" t="n"/>
      <c r="L1086" s="33">
        <f>IF(C1086="","",Commercial_Id)</f>
        <v/>
      </c>
      <c r="M1086" s="34">
        <f>IF(E1086="","",IFERROR(VLOOKUP(E1086,T_Produits,2,FALSE),""))</f>
        <v/>
      </c>
      <c r="N1086" s="40">
        <f>IF(E1086="","",IFERROR(1/(1/VLOOKUP(E1086,T_Produits,3,FALSE)),""))</f>
        <v/>
      </c>
      <c r="O1086" s="40">
        <f>IF(OR(D1086="",F1086=""),"",IF(OR(D1086="Casse / avarie",D1086="Perte / vol",D1086="Échantillon offert"),IF(I1086&lt;&gt;"",I1086,IF(N1086="","",F1086*N1086)),""))</f>
        <v/>
      </c>
      <c r="P1086" s="50">
        <f>IF(OR(D1086="",F1086=""),"",F1086*IF(OR(D1086="Reçu du magasin",D1086="Ajustement (+)"),1,-1))</f>
        <v/>
      </c>
      <c r="Q1086" s="34">
        <f>IF(C1086="","",YEAR(C1086-WEEKDAY(C1086,2)+4)&amp;"-S"&amp;TEXT(INT((C1086-DATE(YEAR(C1086-WEEKDAY(C1086,2)+4),1,3)+WEEKDAY(DATE(YEAR(C1086-WEEKDAY(C1086,2)+4),1,3),2)+5)/7),"00"))</f>
        <v/>
      </c>
    </row>
    <row r="1087" ht="18" customHeight="1">
      <c r="A1087" s="39" t="n">
        <v>1082</v>
      </c>
      <c r="B1087" s="33">
        <f>IF(C1087="","",IF(L1087="À RENSEIGNER","GIC",L1087)&amp;"-S"&amp;TEXT(A1087,"00000"))</f>
        <v/>
      </c>
      <c r="C1087" s="32" t="n"/>
      <c r="D1087" s="36" t="n"/>
      <c r="E1087" s="36" t="n"/>
      <c r="F1087" s="42" t="n"/>
      <c r="G1087" s="36" t="n"/>
      <c r="H1087" s="43" t="n"/>
      <c r="I1087" s="37" t="n"/>
      <c r="J1087" s="44" t="n"/>
      <c r="K1087" s="36" t="n"/>
      <c r="L1087" s="33">
        <f>IF(C1087="","",Commercial_Id)</f>
        <v/>
      </c>
      <c r="M1087" s="34">
        <f>IF(E1087="","",IFERROR(VLOOKUP(E1087,T_Produits,2,FALSE),""))</f>
        <v/>
      </c>
      <c r="N1087" s="40">
        <f>IF(E1087="","",IFERROR(1/(1/VLOOKUP(E1087,T_Produits,3,FALSE)),""))</f>
        <v/>
      </c>
      <c r="O1087" s="40">
        <f>IF(OR(D1087="",F1087=""),"",IF(OR(D1087="Casse / avarie",D1087="Perte / vol",D1087="Échantillon offert"),IF(I1087&lt;&gt;"",I1087,IF(N1087="","",F1087*N1087)),""))</f>
        <v/>
      </c>
      <c r="P1087" s="50">
        <f>IF(OR(D1087="",F1087=""),"",F1087*IF(OR(D1087="Reçu du magasin",D1087="Ajustement (+)"),1,-1))</f>
        <v/>
      </c>
      <c r="Q1087" s="34">
        <f>IF(C1087="","",YEAR(C1087-WEEKDAY(C1087,2)+4)&amp;"-S"&amp;TEXT(INT((C1087-DATE(YEAR(C1087-WEEKDAY(C1087,2)+4),1,3)+WEEKDAY(DATE(YEAR(C1087-WEEKDAY(C1087,2)+4),1,3),2)+5)/7),"00"))</f>
        <v/>
      </c>
    </row>
    <row r="1088" ht="18" customHeight="1">
      <c r="A1088" s="39" t="n">
        <v>1083</v>
      </c>
      <c r="B1088" s="33">
        <f>IF(C1088="","",IF(L1088="À RENSEIGNER","GIC",L1088)&amp;"-S"&amp;TEXT(A1088,"00000"))</f>
        <v/>
      </c>
      <c r="C1088" s="32" t="n"/>
      <c r="D1088" s="36" t="n"/>
      <c r="E1088" s="36" t="n"/>
      <c r="F1088" s="42" t="n"/>
      <c r="G1088" s="36" t="n"/>
      <c r="H1088" s="43" t="n"/>
      <c r="I1088" s="37" t="n"/>
      <c r="J1088" s="44" t="n"/>
      <c r="K1088" s="36" t="n"/>
      <c r="L1088" s="33">
        <f>IF(C1088="","",Commercial_Id)</f>
        <v/>
      </c>
      <c r="M1088" s="34">
        <f>IF(E1088="","",IFERROR(VLOOKUP(E1088,T_Produits,2,FALSE),""))</f>
        <v/>
      </c>
      <c r="N1088" s="40">
        <f>IF(E1088="","",IFERROR(1/(1/VLOOKUP(E1088,T_Produits,3,FALSE)),""))</f>
        <v/>
      </c>
      <c r="O1088" s="40">
        <f>IF(OR(D1088="",F1088=""),"",IF(OR(D1088="Casse / avarie",D1088="Perte / vol",D1088="Échantillon offert"),IF(I1088&lt;&gt;"",I1088,IF(N1088="","",F1088*N1088)),""))</f>
        <v/>
      </c>
      <c r="P1088" s="50">
        <f>IF(OR(D1088="",F1088=""),"",F1088*IF(OR(D1088="Reçu du magasin",D1088="Ajustement (+)"),1,-1))</f>
        <v/>
      </c>
      <c r="Q1088" s="34">
        <f>IF(C1088="","",YEAR(C1088-WEEKDAY(C1088,2)+4)&amp;"-S"&amp;TEXT(INT((C1088-DATE(YEAR(C1088-WEEKDAY(C1088,2)+4),1,3)+WEEKDAY(DATE(YEAR(C1088-WEEKDAY(C1088,2)+4),1,3),2)+5)/7),"00"))</f>
        <v/>
      </c>
    </row>
    <row r="1089" ht="18" customHeight="1">
      <c r="A1089" s="39" t="n">
        <v>1084</v>
      </c>
      <c r="B1089" s="33">
        <f>IF(C1089="","",IF(L1089="À RENSEIGNER","GIC",L1089)&amp;"-S"&amp;TEXT(A1089,"00000"))</f>
        <v/>
      </c>
      <c r="C1089" s="32" t="n"/>
      <c r="D1089" s="36" t="n"/>
      <c r="E1089" s="36" t="n"/>
      <c r="F1089" s="42" t="n"/>
      <c r="G1089" s="36" t="n"/>
      <c r="H1089" s="43" t="n"/>
      <c r="I1089" s="37" t="n"/>
      <c r="J1089" s="44" t="n"/>
      <c r="K1089" s="36" t="n"/>
      <c r="L1089" s="33">
        <f>IF(C1089="","",Commercial_Id)</f>
        <v/>
      </c>
      <c r="M1089" s="34">
        <f>IF(E1089="","",IFERROR(VLOOKUP(E1089,T_Produits,2,FALSE),""))</f>
        <v/>
      </c>
      <c r="N1089" s="40">
        <f>IF(E1089="","",IFERROR(1/(1/VLOOKUP(E1089,T_Produits,3,FALSE)),""))</f>
        <v/>
      </c>
      <c r="O1089" s="40">
        <f>IF(OR(D1089="",F1089=""),"",IF(OR(D1089="Casse / avarie",D1089="Perte / vol",D1089="Échantillon offert"),IF(I1089&lt;&gt;"",I1089,IF(N1089="","",F1089*N1089)),""))</f>
        <v/>
      </c>
      <c r="P1089" s="50">
        <f>IF(OR(D1089="",F1089=""),"",F1089*IF(OR(D1089="Reçu du magasin",D1089="Ajustement (+)"),1,-1))</f>
        <v/>
      </c>
      <c r="Q1089" s="34">
        <f>IF(C1089="","",YEAR(C1089-WEEKDAY(C1089,2)+4)&amp;"-S"&amp;TEXT(INT((C1089-DATE(YEAR(C1089-WEEKDAY(C1089,2)+4),1,3)+WEEKDAY(DATE(YEAR(C1089-WEEKDAY(C1089,2)+4),1,3),2)+5)/7),"00"))</f>
        <v/>
      </c>
    </row>
    <row r="1090" ht="18" customHeight="1">
      <c r="A1090" s="39" t="n">
        <v>1085</v>
      </c>
      <c r="B1090" s="33">
        <f>IF(C1090="","",IF(L1090="À RENSEIGNER","GIC",L1090)&amp;"-S"&amp;TEXT(A1090,"00000"))</f>
        <v/>
      </c>
      <c r="C1090" s="32" t="n"/>
      <c r="D1090" s="36" t="n"/>
      <c r="E1090" s="36" t="n"/>
      <c r="F1090" s="42" t="n"/>
      <c r="G1090" s="36" t="n"/>
      <c r="H1090" s="43" t="n"/>
      <c r="I1090" s="37" t="n"/>
      <c r="J1090" s="44" t="n"/>
      <c r="K1090" s="36" t="n"/>
      <c r="L1090" s="33">
        <f>IF(C1090="","",Commercial_Id)</f>
        <v/>
      </c>
      <c r="M1090" s="34">
        <f>IF(E1090="","",IFERROR(VLOOKUP(E1090,T_Produits,2,FALSE),""))</f>
        <v/>
      </c>
      <c r="N1090" s="40">
        <f>IF(E1090="","",IFERROR(1/(1/VLOOKUP(E1090,T_Produits,3,FALSE)),""))</f>
        <v/>
      </c>
      <c r="O1090" s="40">
        <f>IF(OR(D1090="",F1090=""),"",IF(OR(D1090="Casse / avarie",D1090="Perte / vol",D1090="Échantillon offert"),IF(I1090&lt;&gt;"",I1090,IF(N1090="","",F1090*N1090)),""))</f>
        <v/>
      </c>
      <c r="P1090" s="50">
        <f>IF(OR(D1090="",F1090=""),"",F1090*IF(OR(D1090="Reçu du magasin",D1090="Ajustement (+)"),1,-1))</f>
        <v/>
      </c>
      <c r="Q1090" s="34">
        <f>IF(C1090="","",YEAR(C1090-WEEKDAY(C1090,2)+4)&amp;"-S"&amp;TEXT(INT((C1090-DATE(YEAR(C1090-WEEKDAY(C1090,2)+4),1,3)+WEEKDAY(DATE(YEAR(C1090-WEEKDAY(C1090,2)+4),1,3),2)+5)/7),"00"))</f>
        <v/>
      </c>
    </row>
    <row r="1091" ht="18" customHeight="1">
      <c r="A1091" s="39" t="n">
        <v>1086</v>
      </c>
      <c r="B1091" s="33">
        <f>IF(C1091="","",IF(L1091="À RENSEIGNER","GIC",L1091)&amp;"-S"&amp;TEXT(A1091,"00000"))</f>
        <v/>
      </c>
      <c r="C1091" s="32" t="n"/>
      <c r="D1091" s="36" t="n"/>
      <c r="E1091" s="36" t="n"/>
      <c r="F1091" s="42" t="n"/>
      <c r="G1091" s="36" t="n"/>
      <c r="H1091" s="43" t="n"/>
      <c r="I1091" s="37" t="n"/>
      <c r="J1091" s="44" t="n"/>
      <c r="K1091" s="36" t="n"/>
      <c r="L1091" s="33">
        <f>IF(C1091="","",Commercial_Id)</f>
        <v/>
      </c>
      <c r="M1091" s="34">
        <f>IF(E1091="","",IFERROR(VLOOKUP(E1091,T_Produits,2,FALSE),""))</f>
        <v/>
      </c>
      <c r="N1091" s="40">
        <f>IF(E1091="","",IFERROR(1/(1/VLOOKUP(E1091,T_Produits,3,FALSE)),""))</f>
        <v/>
      </c>
      <c r="O1091" s="40">
        <f>IF(OR(D1091="",F1091=""),"",IF(OR(D1091="Casse / avarie",D1091="Perte / vol",D1091="Échantillon offert"),IF(I1091&lt;&gt;"",I1091,IF(N1091="","",F1091*N1091)),""))</f>
        <v/>
      </c>
      <c r="P1091" s="50">
        <f>IF(OR(D1091="",F1091=""),"",F1091*IF(OR(D1091="Reçu du magasin",D1091="Ajustement (+)"),1,-1))</f>
        <v/>
      </c>
      <c r="Q1091" s="34">
        <f>IF(C1091="","",YEAR(C1091-WEEKDAY(C1091,2)+4)&amp;"-S"&amp;TEXT(INT((C1091-DATE(YEAR(C1091-WEEKDAY(C1091,2)+4),1,3)+WEEKDAY(DATE(YEAR(C1091-WEEKDAY(C1091,2)+4),1,3),2)+5)/7),"00"))</f>
        <v/>
      </c>
    </row>
    <row r="1092" ht="18" customHeight="1">
      <c r="A1092" s="39" t="n">
        <v>1087</v>
      </c>
      <c r="B1092" s="33">
        <f>IF(C1092="","",IF(L1092="À RENSEIGNER","GIC",L1092)&amp;"-S"&amp;TEXT(A1092,"00000"))</f>
        <v/>
      </c>
      <c r="C1092" s="32" t="n"/>
      <c r="D1092" s="36" t="n"/>
      <c r="E1092" s="36" t="n"/>
      <c r="F1092" s="42" t="n"/>
      <c r="G1092" s="36" t="n"/>
      <c r="H1092" s="43" t="n"/>
      <c r="I1092" s="37" t="n"/>
      <c r="J1092" s="44" t="n"/>
      <c r="K1092" s="36" t="n"/>
      <c r="L1092" s="33">
        <f>IF(C1092="","",Commercial_Id)</f>
        <v/>
      </c>
      <c r="M1092" s="34">
        <f>IF(E1092="","",IFERROR(VLOOKUP(E1092,T_Produits,2,FALSE),""))</f>
        <v/>
      </c>
      <c r="N1092" s="40">
        <f>IF(E1092="","",IFERROR(1/(1/VLOOKUP(E1092,T_Produits,3,FALSE)),""))</f>
        <v/>
      </c>
      <c r="O1092" s="40">
        <f>IF(OR(D1092="",F1092=""),"",IF(OR(D1092="Casse / avarie",D1092="Perte / vol",D1092="Échantillon offert"),IF(I1092&lt;&gt;"",I1092,IF(N1092="","",F1092*N1092)),""))</f>
        <v/>
      </c>
      <c r="P1092" s="50">
        <f>IF(OR(D1092="",F1092=""),"",F1092*IF(OR(D1092="Reçu du magasin",D1092="Ajustement (+)"),1,-1))</f>
        <v/>
      </c>
      <c r="Q1092" s="34">
        <f>IF(C1092="","",YEAR(C1092-WEEKDAY(C1092,2)+4)&amp;"-S"&amp;TEXT(INT((C1092-DATE(YEAR(C1092-WEEKDAY(C1092,2)+4),1,3)+WEEKDAY(DATE(YEAR(C1092-WEEKDAY(C1092,2)+4),1,3),2)+5)/7),"00"))</f>
        <v/>
      </c>
    </row>
    <row r="1093" ht="18" customHeight="1">
      <c r="A1093" s="39" t="n">
        <v>1088</v>
      </c>
      <c r="B1093" s="33">
        <f>IF(C1093="","",IF(L1093="À RENSEIGNER","GIC",L1093)&amp;"-S"&amp;TEXT(A1093,"00000"))</f>
        <v/>
      </c>
      <c r="C1093" s="32" t="n"/>
      <c r="D1093" s="36" t="n"/>
      <c r="E1093" s="36" t="n"/>
      <c r="F1093" s="42" t="n"/>
      <c r="G1093" s="36" t="n"/>
      <c r="H1093" s="43" t="n"/>
      <c r="I1093" s="37" t="n"/>
      <c r="J1093" s="44" t="n"/>
      <c r="K1093" s="36" t="n"/>
      <c r="L1093" s="33">
        <f>IF(C1093="","",Commercial_Id)</f>
        <v/>
      </c>
      <c r="M1093" s="34">
        <f>IF(E1093="","",IFERROR(VLOOKUP(E1093,T_Produits,2,FALSE),""))</f>
        <v/>
      </c>
      <c r="N1093" s="40">
        <f>IF(E1093="","",IFERROR(1/(1/VLOOKUP(E1093,T_Produits,3,FALSE)),""))</f>
        <v/>
      </c>
      <c r="O1093" s="40">
        <f>IF(OR(D1093="",F1093=""),"",IF(OR(D1093="Casse / avarie",D1093="Perte / vol",D1093="Échantillon offert"),IF(I1093&lt;&gt;"",I1093,IF(N1093="","",F1093*N1093)),""))</f>
        <v/>
      </c>
      <c r="P1093" s="50">
        <f>IF(OR(D1093="",F1093=""),"",F1093*IF(OR(D1093="Reçu du magasin",D1093="Ajustement (+)"),1,-1))</f>
        <v/>
      </c>
      <c r="Q1093" s="34">
        <f>IF(C1093="","",YEAR(C1093-WEEKDAY(C1093,2)+4)&amp;"-S"&amp;TEXT(INT((C1093-DATE(YEAR(C1093-WEEKDAY(C1093,2)+4),1,3)+WEEKDAY(DATE(YEAR(C1093-WEEKDAY(C1093,2)+4),1,3),2)+5)/7),"00"))</f>
        <v/>
      </c>
    </row>
    <row r="1094" ht="18" customHeight="1">
      <c r="A1094" s="39" t="n">
        <v>1089</v>
      </c>
      <c r="B1094" s="33">
        <f>IF(C1094="","",IF(L1094="À RENSEIGNER","GIC",L1094)&amp;"-S"&amp;TEXT(A1094,"00000"))</f>
        <v/>
      </c>
      <c r="C1094" s="32" t="n"/>
      <c r="D1094" s="36" t="n"/>
      <c r="E1094" s="36" t="n"/>
      <c r="F1094" s="42" t="n"/>
      <c r="G1094" s="36" t="n"/>
      <c r="H1094" s="43" t="n"/>
      <c r="I1094" s="37" t="n"/>
      <c r="J1094" s="44" t="n"/>
      <c r="K1094" s="36" t="n"/>
      <c r="L1094" s="33">
        <f>IF(C1094="","",Commercial_Id)</f>
        <v/>
      </c>
      <c r="M1094" s="34">
        <f>IF(E1094="","",IFERROR(VLOOKUP(E1094,T_Produits,2,FALSE),""))</f>
        <v/>
      </c>
      <c r="N1094" s="40">
        <f>IF(E1094="","",IFERROR(1/(1/VLOOKUP(E1094,T_Produits,3,FALSE)),""))</f>
        <v/>
      </c>
      <c r="O1094" s="40">
        <f>IF(OR(D1094="",F1094=""),"",IF(OR(D1094="Casse / avarie",D1094="Perte / vol",D1094="Échantillon offert"),IF(I1094&lt;&gt;"",I1094,IF(N1094="","",F1094*N1094)),""))</f>
        <v/>
      </c>
      <c r="P1094" s="50">
        <f>IF(OR(D1094="",F1094=""),"",F1094*IF(OR(D1094="Reçu du magasin",D1094="Ajustement (+)"),1,-1))</f>
        <v/>
      </c>
      <c r="Q1094" s="34">
        <f>IF(C1094="","",YEAR(C1094-WEEKDAY(C1094,2)+4)&amp;"-S"&amp;TEXT(INT((C1094-DATE(YEAR(C1094-WEEKDAY(C1094,2)+4),1,3)+WEEKDAY(DATE(YEAR(C1094-WEEKDAY(C1094,2)+4),1,3),2)+5)/7),"00"))</f>
        <v/>
      </c>
    </row>
    <row r="1095" ht="18" customHeight="1">
      <c r="A1095" s="39" t="n">
        <v>1090</v>
      </c>
      <c r="B1095" s="33">
        <f>IF(C1095="","",IF(L1095="À RENSEIGNER","GIC",L1095)&amp;"-S"&amp;TEXT(A1095,"00000"))</f>
        <v/>
      </c>
      <c r="C1095" s="32" t="n"/>
      <c r="D1095" s="36" t="n"/>
      <c r="E1095" s="36" t="n"/>
      <c r="F1095" s="42" t="n"/>
      <c r="G1095" s="36" t="n"/>
      <c r="H1095" s="43" t="n"/>
      <c r="I1095" s="37" t="n"/>
      <c r="J1095" s="44" t="n"/>
      <c r="K1095" s="36" t="n"/>
      <c r="L1095" s="33">
        <f>IF(C1095="","",Commercial_Id)</f>
        <v/>
      </c>
      <c r="M1095" s="34">
        <f>IF(E1095="","",IFERROR(VLOOKUP(E1095,T_Produits,2,FALSE),""))</f>
        <v/>
      </c>
      <c r="N1095" s="40">
        <f>IF(E1095="","",IFERROR(1/(1/VLOOKUP(E1095,T_Produits,3,FALSE)),""))</f>
        <v/>
      </c>
      <c r="O1095" s="40">
        <f>IF(OR(D1095="",F1095=""),"",IF(OR(D1095="Casse / avarie",D1095="Perte / vol",D1095="Échantillon offert"),IF(I1095&lt;&gt;"",I1095,IF(N1095="","",F1095*N1095)),""))</f>
        <v/>
      </c>
      <c r="P1095" s="50">
        <f>IF(OR(D1095="",F1095=""),"",F1095*IF(OR(D1095="Reçu du magasin",D1095="Ajustement (+)"),1,-1))</f>
        <v/>
      </c>
      <c r="Q1095" s="34">
        <f>IF(C1095="","",YEAR(C1095-WEEKDAY(C1095,2)+4)&amp;"-S"&amp;TEXT(INT((C1095-DATE(YEAR(C1095-WEEKDAY(C1095,2)+4),1,3)+WEEKDAY(DATE(YEAR(C1095-WEEKDAY(C1095,2)+4),1,3),2)+5)/7),"00"))</f>
        <v/>
      </c>
    </row>
    <row r="1096" ht="18" customHeight="1">
      <c r="A1096" s="39" t="n">
        <v>1091</v>
      </c>
      <c r="B1096" s="33">
        <f>IF(C1096="","",IF(L1096="À RENSEIGNER","GIC",L1096)&amp;"-S"&amp;TEXT(A1096,"00000"))</f>
        <v/>
      </c>
      <c r="C1096" s="32" t="n"/>
      <c r="D1096" s="36" t="n"/>
      <c r="E1096" s="36" t="n"/>
      <c r="F1096" s="42" t="n"/>
      <c r="G1096" s="36" t="n"/>
      <c r="H1096" s="43" t="n"/>
      <c r="I1096" s="37" t="n"/>
      <c r="J1096" s="44" t="n"/>
      <c r="K1096" s="36" t="n"/>
      <c r="L1096" s="33">
        <f>IF(C1096="","",Commercial_Id)</f>
        <v/>
      </c>
      <c r="M1096" s="34">
        <f>IF(E1096="","",IFERROR(VLOOKUP(E1096,T_Produits,2,FALSE),""))</f>
        <v/>
      </c>
      <c r="N1096" s="40">
        <f>IF(E1096="","",IFERROR(1/(1/VLOOKUP(E1096,T_Produits,3,FALSE)),""))</f>
        <v/>
      </c>
      <c r="O1096" s="40">
        <f>IF(OR(D1096="",F1096=""),"",IF(OR(D1096="Casse / avarie",D1096="Perte / vol",D1096="Échantillon offert"),IF(I1096&lt;&gt;"",I1096,IF(N1096="","",F1096*N1096)),""))</f>
        <v/>
      </c>
      <c r="P1096" s="50">
        <f>IF(OR(D1096="",F1096=""),"",F1096*IF(OR(D1096="Reçu du magasin",D1096="Ajustement (+)"),1,-1))</f>
        <v/>
      </c>
      <c r="Q1096" s="34">
        <f>IF(C1096="","",YEAR(C1096-WEEKDAY(C1096,2)+4)&amp;"-S"&amp;TEXT(INT((C1096-DATE(YEAR(C1096-WEEKDAY(C1096,2)+4),1,3)+WEEKDAY(DATE(YEAR(C1096-WEEKDAY(C1096,2)+4),1,3),2)+5)/7),"00"))</f>
        <v/>
      </c>
    </row>
    <row r="1097" ht="18" customHeight="1">
      <c r="A1097" s="39" t="n">
        <v>1092</v>
      </c>
      <c r="B1097" s="33">
        <f>IF(C1097="","",IF(L1097="À RENSEIGNER","GIC",L1097)&amp;"-S"&amp;TEXT(A1097,"00000"))</f>
        <v/>
      </c>
      <c r="C1097" s="32" t="n"/>
      <c r="D1097" s="36" t="n"/>
      <c r="E1097" s="36" t="n"/>
      <c r="F1097" s="42" t="n"/>
      <c r="G1097" s="36" t="n"/>
      <c r="H1097" s="43" t="n"/>
      <c r="I1097" s="37" t="n"/>
      <c r="J1097" s="44" t="n"/>
      <c r="K1097" s="36" t="n"/>
      <c r="L1097" s="33">
        <f>IF(C1097="","",Commercial_Id)</f>
        <v/>
      </c>
      <c r="M1097" s="34">
        <f>IF(E1097="","",IFERROR(VLOOKUP(E1097,T_Produits,2,FALSE),""))</f>
        <v/>
      </c>
      <c r="N1097" s="40">
        <f>IF(E1097="","",IFERROR(1/(1/VLOOKUP(E1097,T_Produits,3,FALSE)),""))</f>
        <v/>
      </c>
      <c r="O1097" s="40">
        <f>IF(OR(D1097="",F1097=""),"",IF(OR(D1097="Casse / avarie",D1097="Perte / vol",D1097="Échantillon offert"),IF(I1097&lt;&gt;"",I1097,IF(N1097="","",F1097*N1097)),""))</f>
        <v/>
      </c>
      <c r="P1097" s="50">
        <f>IF(OR(D1097="",F1097=""),"",F1097*IF(OR(D1097="Reçu du magasin",D1097="Ajustement (+)"),1,-1))</f>
        <v/>
      </c>
      <c r="Q1097" s="34">
        <f>IF(C1097="","",YEAR(C1097-WEEKDAY(C1097,2)+4)&amp;"-S"&amp;TEXT(INT((C1097-DATE(YEAR(C1097-WEEKDAY(C1097,2)+4),1,3)+WEEKDAY(DATE(YEAR(C1097-WEEKDAY(C1097,2)+4),1,3),2)+5)/7),"00"))</f>
        <v/>
      </c>
    </row>
    <row r="1098" ht="18" customHeight="1">
      <c r="A1098" s="39" t="n">
        <v>1093</v>
      </c>
      <c r="B1098" s="33">
        <f>IF(C1098="","",IF(L1098="À RENSEIGNER","GIC",L1098)&amp;"-S"&amp;TEXT(A1098,"00000"))</f>
        <v/>
      </c>
      <c r="C1098" s="32" t="n"/>
      <c r="D1098" s="36" t="n"/>
      <c r="E1098" s="36" t="n"/>
      <c r="F1098" s="42" t="n"/>
      <c r="G1098" s="36" t="n"/>
      <c r="H1098" s="43" t="n"/>
      <c r="I1098" s="37" t="n"/>
      <c r="J1098" s="44" t="n"/>
      <c r="K1098" s="36" t="n"/>
      <c r="L1098" s="33">
        <f>IF(C1098="","",Commercial_Id)</f>
        <v/>
      </c>
      <c r="M1098" s="34">
        <f>IF(E1098="","",IFERROR(VLOOKUP(E1098,T_Produits,2,FALSE),""))</f>
        <v/>
      </c>
      <c r="N1098" s="40">
        <f>IF(E1098="","",IFERROR(1/(1/VLOOKUP(E1098,T_Produits,3,FALSE)),""))</f>
        <v/>
      </c>
      <c r="O1098" s="40">
        <f>IF(OR(D1098="",F1098=""),"",IF(OR(D1098="Casse / avarie",D1098="Perte / vol",D1098="Échantillon offert"),IF(I1098&lt;&gt;"",I1098,IF(N1098="","",F1098*N1098)),""))</f>
        <v/>
      </c>
      <c r="P1098" s="50">
        <f>IF(OR(D1098="",F1098=""),"",F1098*IF(OR(D1098="Reçu du magasin",D1098="Ajustement (+)"),1,-1))</f>
        <v/>
      </c>
      <c r="Q1098" s="34">
        <f>IF(C1098="","",YEAR(C1098-WEEKDAY(C1098,2)+4)&amp;"-S"&amp;TEXT(INT((C1098-DATE(YEAR(C1098-WEEKDAY(C1098,2)+4),1,3)+WEEKDAY(DATE(YEAR(C1098-WEEKDAY(C1098,2)+4),1,3),2)+5)/7),"00"))</f>
        <v/>
      </c>
    </row>
    <row r="1099" ht="18" customHeight="1">
      <c r="A1099" s="39" t="n">
        <v>1094</v>
      </c>
      <c r="B1099" s="33">
        <f>IF(C1099="","",IF(L1099="À RENSEIGNER","GIC",L1099)&amp;"-S"&amp;TEXT(A1099,"00000"))</f>
        <v/>
      </c>
      <c r="C1099" s="32" t="n"/>
      <c r="D1099" s="36" t="n"/>
      <c r="E1099" s="36" t="n"/>
      <c r="F1099" s="42" t="n"/>
      <c r="G1099" s="36" t="n"/>
      <c r="H1099" s="43" t="n"/>
      <c r="I1099" s="37" t="n"/>
      <c r="J1099" s="44" t="n"/>
      <c r="K1099" s="36" t="n"/>
      <c r="L1099" s="33">
        <f>IF(C1099="","",Commercial_Id)</f>
        <v/>
      </c>
      <c r="M1099" s="34">
        <f>IF(E1099="","",IFERROR(VLOOKUP(E1099,T_Produits,2,FALSE),""))</f>
        <v/>
      </c>
      <c r="N1099" s="40">
        <f>IF(E1099="","",IFERROR(1/(1/VLOOKUP(E1099,T_Produits,3,FALSE)),""))</f>
        <v/>
      </c>
      <c r="O1099" s="40">
        <f>IF(OR(D1099="",F1099=""),"",IF(OR(D1099="Casse / avarie",D1099="Perte / vol",D1099="Échantillon offert"),IF(I1099&lt;&gt;"",I1099,IF(N1099="","",F1099*N1099)),""))</f>
        <v/>
      </c>
      <c r="P1099" s="50">
        <f>IF(OR(D1099="",F1099=""),"",F1099*IF(OR(D1099="Reçu du magasin",D1099="Ajustement (+)"),1,-1))</f>
        <v/>
      </c>
      <c r="Q1099" s="34">
        <f>IF(C1099="","",YEAR(C1099-WEEKDAY(C1099,2)+4)&amp;"-S"&amp;TEXT(INT((C1099-DATE(YEAR(C1099-WEEKDAY(C1099,2)+4),1,3)+WEEKDAY(DATE(YEAR(C1099-WEEKDAY(C1099,2)+4),1,3),2)+5)/7),"00"))</f>
        <v/>
      </c>
    </row>
    <row r="1100" ht="18" customHeight="1">
      <c r="A1100" s="39" t="n">
        <v>1095</v>
      </c>
      <c r="B1100" s="33">
        <f>IF(C1100="","",IF(L1100="À RENSEIGNER","GIC",L1100)&amp;"-S"&amp;TEXT(A1100,"00000"))</f>
        <v/>
      </c>
      <c r="C1100" s="32" t="n"/>
      <c r="D1100" s="36" t="n"/>
      <c r="E1100" s="36" t="n"/>
      <c r="F1100" s="42" t="n"/>
      <c r="G1100" s="36" t="n"/>
      <c r="H1100" s="43" t="n"/>
      <c r="I1100" s="37" t="n"/>
      <c r="J1100" s="44" t="n"/>
      <c r="K1100" s="36" t="n"/>
      <c r="L1100" s="33">
        <f>IF(C1100="","",Commercial_Id)</f>
        <v/>
      </c>
      <c r="M1100" s="34">
        <f>IF(E1100="","",IFERROR(VLOOKUP(E1100,T_Produits,2,FALSE),""))</f>
        <v/>
      </c>
      <c r="N1100" s="40">
        <f>IF(E1100="","",IFERROR(1/(1/VLOOKUP(E1100,T_Produits,3,FALSE)),""))</f>
        <v/>
      </c>
      <c r="O1100" s="40">
        <f>IF(OR(D1100="",F1100=""),"",IF(OR(D1100="Casse / avarie",D1100="Perte / vol",D1100="Échantillon offert"),IF(I1100&lt;&gt;"",I1100,IF(N1100="","",F1100*N1100)),""))</f>
        <v/>
      </c>
      <c r="P1100" s="50">
        <f>IF(OR(D1100="",F1100=""),"",F1100*IF(OR(D1100="Reçu du magasin",D1100="Ajustement (+)"),1,-1))</f>
        <v/>
      </c>
      <c r="Q1100" s="34">
        <f>IF(C1100="","",YEAR(C1100-WEEKDAY(C1100,2)+4)&amp;"-S"&amp;TEXT(INT((C1100-DATE(YEAR(C1100-WEEKDAY(C1100,2)+4),1,3)+WEEKDAY(DATE(YEAR(C1100-WEEKDAY(C1100,2)+4),1,3),2)+5)/7),"00"))</f>
        <v/>
      </c>
    </row>
    <row r="1101" ht="18" customHeight="1">
      <c r="A1101" s="39" t="n">
        <v>1096</v>
      </c>
      <c r="B1101" s="33">
        <f>IF(C1101="","",IF(L1101="À RENSEIGNER","GIC",L1101)&amp;"-S"&amp;TEXT(A1101,"00000"))</f>
        <v/>
      </c>
      <c r="C1101" s="32" t="n"/>
      <c r="D1101" s="36" t="n"/>
      <c r="E1101" s="36" t="n"/>
      <c r="F1101" s="42" t="n"/>
      <c r="G1101" s="36" t="n"/>
      <c r="H1101" s="43" t="n"/>
      <c r="I1101" s="37" t="n"/>
      <c r="J1101" s="44" t="n"/>
      <c r="K1101" s="36" t="n"/>
      <c r="L1101" s="33">
        <f>IF(C1101="","",Commercial_Id)</f>
        <v/>
      </c>
      <c r="M1101" s="34">
        <f>IF(E1101="","",IFERROR(VLOOKUP(E1101,T_Produits,2,FALSE),""))</f>
        <v/>
      </c>
      <c r="N1101" s="40">
        <f>IF(E1101="","",IFERROR(1/(1/VLOOKUP(E1101,T_Produits,3,FALSE)),""))</f>
        <v/>
      </c>
      <c r="O1101" s="40">
        <f>IF(OR(D1101="",F1101=""),"",IF(OR(D1101="Casse / avarie",D1101="Perte / vol",D1101="Échantillon offert"),IF(I1101&lt;&gt;"",I1101,IF(N1101="","",F1101*N1101)),""))</f>
        <v/>
      </c>
      <c r="P1101" s="50">
        <f>IF(OR(D1101="",F1101=""),"",F1101*IF(OR(D1101="Reçu du magasin",D1101="Ajustement (+)"),1,-1))</f>
        <v/>
      </c>
      <c r="Q1101" s="34">
        <f>IF(C1101="","",YEAR(C1101-WEEKDAY(C1101,2)+4)&amp;"-S"&amp;TEXT(INT((C1101-DATE(YEAR(C1101-WEEKDAY(C1101,2)+4),1,3)+WEEKDAY(DATE(YEAR(C1101-WEEKDAY(C1101,2)+4),1,3),2)+5)/7),"00"))</f>
        <v/>
      </c>
    </row>
    <row r="1102" ht="18" customHeight="1">
      <c r="A1102" s="39" t="n">
        <v>1097</v>
      </c>
      <c r="B1102" s="33">
        <f>IF(C1102="","",IF(L1102="À RENSEIGNER","GIC",L1102)&amp;"-S"&amp;TEXT(A1102,"00000"))</f>
        <v/>
      </c>
      <c r="C1102" s="32" t="n"/>
      <c r="D1102" s="36" t="n"/>
      <c r="E1102" s="36" t="n"/>
      <c r="F1102" s="42" t="n"/>
      <c r="G1102" s="36" t="n"/>
      <c r="H1102" s="43" t="n"/>
      <c r="I1102" s="37" t="n"/>
      <c r="J1102" s="44" t="n"/>
      <c r="K1102" s="36" t="n"/>
      <c r="L1102" s="33">
        <f>IF(C1102="","",Commercial_Id)</f>
        <v/>
      </c>
      <c r="M1102" s="34">
        <f>IF(E1102="","",IFERROR(VLOOKUP(E1102,T_Produits,2,FALSE),""))</f>
        <v/>
      </c>
      <c r="N1102" s="40">
        <f>IF(E1102="","",IFERROR(1/(1/VLOOKUP(E1102,T_Produits,3,FALSE)),""))</f>
        <v/>
      </c>
      <c r="O1102" s="40">
        <f>IF(OR(D1102="",F1102=""),"",IF(OR(D1102="Casse / avarie",D1102="Perte / vol",D1102="Échantillon offert"),IF(I1102&lt;&gt;"",I1102,IF(N1102="","",F1102*N1102)),""))</f>
        <v/>
      </c>
      <c r="P1102" s="50">
        <f>IF(OR(D1102="",F1102=""),"",F1102*IF(OR(D1102="Reçu du magasin",D1102="Ajustement (+)"),1,-1))</f>
        <v/>
      </c>
      <c r="Q1102" s="34">
        <f>IF(C1102="","",YEAR(C1102-WEEKDAY(C1102,2)+4)&amp;"-S"&amp;TEXT(INT((C1102-DATE(YEAR(C1102-WEEKDAY(C1102,2)+4),1,3)+WEEKDAY(DATE(YEAR(C1102-WEEKDAY(C1102,2)+4),1,3),2)+5)/7),"00"))</f>
        <v/>
      </c>
    </row>
    <row r="1103" ht="18" customHeight="1">
      <c r="A1103" s="39" t="n">
        <v>1098</v>
      </c>
      <c r="B1103" s="33">
        <f>IF(C1103="","",IF(L1103="À RENSEIGNER","GIC",L1103)&amp;"-S"&amp;TEXT(A1103,"00000"))</f>
        <v/>
      </c>
      <c r="C1103" s="32" t="n"/>
      <c r="D1103" s="36" t="n"/>
      <c r="E1103" s="36" t="n"/>
      <c r="F1103" s="42" t="n"/>
      <c r="G1103" s="36" t="n"/>
      <c r="H1103" s="43" t="n"/>
      <c r="I1103" s="37" t="n"/>
      <c r="J1103" s="44" t="n"/>
      <c r="K1103" s="36" t="n"/>
      <c r="L1103" s="33">
        <f>IF(C1103="","",Commercial_Id)</f>
        <v/>
      </c>
      <c r="M1103" s="34">
        <f>IF(E1103="","",IFERROR(VLOOKUP(E1103,T_Produits,2,FALSE),""))</f>
        <v/>
      </c>
      <c r="N1103" s="40">
        <f>IF(E1103="","",IFERROR(1/(1/VLOOKUP(E1103,T_Produits,3,FALSE)),""))</f>
        <v/>
      </c>
      <c r="O1103" s="40">
        <f>IF(OR(D1103="",F1103=""),"",IF(OR(D1103="Casse / avarie",D1103="Perte / vol",D1103="Échantillon offert"),IF(I1103&lt;&gt;"",I1103,IF(N1103="","",F1103*N1103)),""))</f>
        <v/>
      </c>
      <c r="P1103" s="50">
        <f>IF(OR(D1103="",F1103=""),"",F1103*IF(OR(D1103="Reçu du magasin",D1103="Ajustement (+)"),1,-1))</f>
        <v/>
      </c>
      <c r="Q1103" s="34">
        <f>IF(C1103="","",YEAR(C1103-WEEKDAY(C1103,2)+4)&amp;"-S"&amp;TEXT(INT((C1103-DATE(YEAR(C1103-WEEKDAY(C1103,2)+4),1,3)+WEEKDAY(DATE(YEAR(C1103-WEEKDAY(C1103,2)+4),1,3),2)+5)/7),"00"))</f>
        <v/>
      </c>
    </row>
    <row r="1104" ht="18" customHeight="1">
      <c r="A1104" s="39" t="n">
        <v>1099</v>
      </c>
      <c r="B1104" s="33">
        <f>IF(C1104="","",IF(L1104="À RENSEIGNER","GIC",L1104)&amp;"-S"&amp;TEXT(A1104,"00000"))</f>
        <v/>
      </c>
      <c r="C1104" s="32" t="n"/>
      <c r="D1104" s="36" t="n"/>
      <c r="E1104" s="36" t="n"/>
      <c r="F1104" s="42" t="n"/>
      <c r="G1104" s="36" t="n"/>
      <c r="H1104" s="43" t="n"/>
      <c r="I1104" s="37" t="n"/>
      <c r="J1104" s="44" t="n"/>
      <c r="K1104" s="36" t="n"/>
      <c r="L1104" s="33">
        <f>IF(C1104="","",Commercial_Id)</f>
        <v/>
      </c>
      <c r="M1104" s="34">
        <f>IF(E1104="","",IFERROR(VLOOKUP(E1104,T_Produits,2,FALSE),""))</f>
        <v/>
      </c>
      <c r="N1104" s="40">
        <f>IF(E1104="","",IFERROR(1/(1/VLOOKUP(E1104,T_Produits,3,FALSE)),""))</f>
        <v/>
      </c>
      <c r="O1104" s="40">
        <f>IF(OR(D1104="",F1104=""),"",IF(OR(D1104="Casse / avarie",D1104="Perte / vol",D1104="Échantillon offert"),IF(I1104&lt;&gt;"",I1104,IF(N1104="","",F1104*N1104)),""))</f>
        <v/>
      </c>
      <c r="P1104" s="50">
        <f>IF(OR(D1104="",F1104=""),"",F1104*IF(OR(D1104="Reçu du magasin",D1104="Ajustement (+)"),1,-1))</f>
        <v/>
      </c>
      <c r="Q1104" s="34">
        <f>IF(C1104="","",YEAR(C1104-WEEKDAY(C1104,2)+4)&amp;"-S"&amp;TEXT(INT((C1104-DATE(YEAR(C1104-WEEKDAY(C1104,2)+4),1,3)+WEEKDAY(DATE(YEAR(C1104-WEEKDAY(C1104,2)+4),1,3),2)+5)/7),"00"))</f>
        <v/>
      </c>
    </row>
    <row r="1105" ht="18" customHeight="1">
      <c r="A1105" s="39" t="n">
        <v>1100</v>
      </c>
      <c r="B1105" s="33">
        <f>IF(C1105="","",IF(L1105="À RENSEIGNER","GIC",L1105)&amp;"-S"&amp;TEXT(A1105,"00000"))</f>
        <v/>
      </c>
      <c r="C1105" s="32" t="n"/>
      <c r="D1105" s="36" t="n"/>
      <c r="E1105" s="36" t="n"/>
      <c r="F1105" s="42" t="n"/>
      <c r="G1105" s="36" t="n"/>
      <c r="H1105" s="43" t="n"/>
      <c r="I1105" s="37" t="n"/>
      <c r="J1105" s="44" t="n"/>
      <c r="K1105" s="36" t="n"/>
      <c r="L1105" s="33">
        <f>IF(C1105="","",Commercial_Id)</f>
        <v/>
      </c>
      <c r="M1105" s="34">
        <f>IF(E1105="","",IFERROR(VLOOKUP(E1105,T_Produits,2,FALSE),""))</f>
        <v/>
      </c>
      <c r="N1105" s="40">
        <f>IF(E1105="","",IFERROR(1/(1/VLOOKUP(E1105,T_Produits,3,FALSE)),""))</f>
        <v/>
      </c>
      <c r="O1105" s="40">
        <f>IF(OR(D1105="",F1105=""),"",IF(OR(D1105="Casse / avarie",D1105="Perte / vol",D1105="Échantillon offert"),IF(I1105&lt;&gt;"",I1105,IF(N1105="","",F1105*N1105)),""))</f>
        <v/>
      </c>
      <c r="P1105" s="50">
        <f>IF(OR(D1105="",F1105=""),"",F1105*IF(OR(D1105="Reçu du magasin",D1105="Ajustement (+)"),1,-1))</f>
        <v/>
      </c>
      <c r="Q1105" s="34">
        <f>IF(C1105="","",YEAR(C1105-WEEKDAY(C1105,2)+4)&amp;"-S"&amp;TEXT(INT((C1105-DATE(YEAR(C1105-WEEKDAY(C1105,2)+4),1,3)+WEEKDAY(DATE(YEAR(C1105-WEEKDAY(C1105,2)+4),1,3),2)+5)/7),"00"))</f>
        <v/>
      </c>
    </row>
    <row r="1106" ht="18" customHeight="1">
      <c r="A1106" s="39" t="n">
        <v>1101</v>
      </c>
      <c r="B1106" s="33">
        <f>IF(C1106="","",IF(L1106="À RENSEIGNER","GIC",L1106)&amp;"-S"&amp;TEXT(A1106,"00000"))</f>
        <v/>
      </c>
      <c r="C1106" s="32" t="n"/>
      <c r="D1106" s="36" t="n"/>
      <c r="E1106" s="36" t="n"/>
      <c r="F1106" s="42" t="n"/>
      <c r="G1106" s="36" t="n"/>
      <c r="H1106" s="43" t="n"/>
      <c r="I1106" s="37" t="n"/>
      <c r="J1106" s="44" t="n"/>
      <c r="K1106" s="36" t="n"/>
      <c r="L1106" s="33">
        <f>IF(C1106="","",Commercial_Id)</f>
        <v/>
      </c>
      <c r="M1106" s="34">
        <f>IF(E1106="","",IFERROR(VLOOKUP(E1106,T_Produits,2,FALSE),""))</f>
        <v/>
      </c>
      <c r="N1106" s="40">
        <f>IF(E1106="","",IFERROR(1/(1/VLOOKUP(E1106,T_Produits,3,FALSE)),""))</f>
        <v/>
      </c>
      <c r="O1106" s="40">
        <f>IF(OR(D1106="",F1106=""),"",IF(OR(D1106="Casse / avarie",D1106="Perte / vol",D1106="Échantillon offert"),IF(I1106&lt;&gt;"",I1106,IF(N1106="","",F1106*N1106)),""))</f>
        <v/>
      </c>
      <c r="P1106" s="50">
        <f>IF(OR(D1106="",F1106=""),"",F1106*IF(OR(D1106="Reçu du magasin",D1106="Ajustement (+)"),1,-1))</f>
        <v/>
      </c>
      <c r="Q1106" s="34">
        <f>IF(C1106="","",YEAR(C1106-WEEKDAY(C1106,2)+4)&amp;"-S"&amp;TEXT(INT((C1106-DATE(YEAR(C1106-WEEKDAY(C1106,2)+4),1,3)+WEEKDAY(DATE(YEAR(C1106-WEEKDAY(C1106,2)+4),1,3),2)+5)/7),"00"))</f>
        <v/>
      </c>
    </row>
    <row r="1107" ht="18" customHeight="1">
      <c r="A1107" s="39" t="n">
        <v>1102</v>
      </c>
      <c r="B1107" s="33">
        <f>IF(C1107="","",IF(L1107="À RENSEIGNER","GIC",L1107)&amp;"-S"&amp;TEXT(A1107,"00000"))</f>
        <v/>
      </c>
      <c r="C1107" s="32" t="n"/>
      <c r="D1107" s="36" t="n"/>
      <c r="E1107" s="36" t="n"/>
      <c r="F1107" s="42" t="n"/>
      <c r="G1107" s="36" t="n"/>
      <c r="H1107" s="43" t="n"/>
      <c r="I1107" s="37" t="n"/>
      <c r="J1107" s="44" t="n"/>
      <c r="K1107" s="36" t="n"/>
      <c r="L1107" s="33">
        <f>IF(C1107="","",Commercial_Id)</f>
        <v/>
      </c>
      <c r="M1107" s="34">
        <f>IF(E1107="","",IFERROR(VLOOKUP(E1107,T_Produits,2,FALSE),""))</f>
        <v/>
      </c>
      <c r="N1107" s="40">
        <f>IF(E1107="","",IFERROR(1/(1/VLOOKUP(E1107,T_Produits,3,FALSE)),""))</f>
        <v/>
      </c>
      <c r="O1107" s="40">
        <f>IF(OR(D1107="",F1107=""),"",IF(OR(D1107="Casse / avarie",D1107="Perte / vol",D1107="Échantillon offert"),IF(I1107&lt;&gt;"",I1107,IF(N1107="","",F1107*N1107)),""))</f>
        <v/>
      </c>
      <c r="P1107" s="50">
        <f>IF(OR(D1107="",F1107=""),"",F1107*IF(OR(D1107="Reçu du magasin",D1107="Ajustement (+)"),1,-1))</f>
        <v/>
      </c>
      <c r="Q1107" s="34">
        <f>IF(C1107="","",YEAR(C1107-WEEKDAY(C1107,2)+4)&amp;"-S"&amp;TEXT(INT((C1107-DATE(YEAR(C1107-WEEKDAY(C1107,2)+4),1,3)+WEEKDAY(DATE(YEAR(C1107-WEEKDAY(C1107,2)+4),1,3),2)+5)/7),"00"))</f>
        <v/>
      </c>
    </row>
    <row r="1108" ht="18" customHeight="1">
      <c r="A1108" s="39" t="n">
        <v>1103</v>
      </c>
      <c r="B1108" s="33">
        <f>IF(C1108="","",IF(L1108="À RENSEIGNER","GIC",L1108)&amp;"-S"&amp;TEXT(A1108,"00000"))</f>
        <v/>
      </c>
      <c r="C1108" s="32" t="n"/>
      <c r="D1108" s="36" t="n"/>
      <c r="E1108" s="36" t="n"/>
      <c r="F1108" s="42" t="n"/>
      <c r="G1108" s="36" t="n"/>
      <c r="H1108" s="43" t="n"/>
      <c r="I1108" s="37" t="n"/>
      <c r="J1108" s="44" t="n"/>
      <c r="K1108" s="36" t="n"/>
      <c r="L1108" s="33">
        <f>IF(C1108="","",Commercial_Id)</f>
        <v/>
      </c>
      <c r="M1108" s="34">
        <f>IF(E1108="","",IFERROR(VLOOKUP(E1108,T_Produits,2,FALSE),""))</f>
        <v/>
      </c>
      <c r="N1108" s="40">
        <f>IF(E1108="","",IFERROR(1/(1/VLOOKUP(E1108,T_Produits,3,FALSE)),""))</f>
        <v/>
      </c>
      <c r="O1108" s="40">
        <f>IF(OR(D1108="",F1108=""),"",IF(OR(D1108="Casse / avarie",D1108="Perte / vol",D1108="Échantillon offert"),IF(I1108&lt;&gt;"",I1108,IF(N1108="","",F1108*N1108)),""))</f>
        <v/>
      </c>
      <c r="P1108" s="50">
        <f>IF(OR(D1108="",F1108=""),"",F1108*IF(OR(D1108="Reçu du magasin",D1108="Ajustement (+)"),1,-1))</f>
        <v/>
      </c>
      <c r="Q1108" s="34">
        <f>IF(C1108="","",YEAR(C1108-WEEKDAY(C1108,2)+4)&amp;"-S"&amp;TEXT(INT((C1108-DATE(YEAR(C1108-WEEKDAY(C1108,2)+4),1,3)+WEEKDAY(DATE(YEAR(C1108-WEEKDAY(C1108,2)+4),1,3),2)+5)/7),"00"))</f>
        <v/>
      </c>
    </row>
    <row r="1109" ht="18" customHeight="1">
      <c r="A1109" s="39" t="n">
        <v>1104</v>
      </c>
      <c r="B1109" s="33">
        <f>IF(C1109="","",IF(L1109="À RENSEIGNER","GIC",L1109)&amp;"-S"&amp;TEXT(A1109,"00000"))</f>
        <v/>
      </c>
      <c r="C1109" s="32" t="n"/>
      <c r="D1109" s="36" t="n"/>
      <c r="E1109" s="36" t="n"/>
      <c r="F1109" s="42" t="n"/>
      <c r="G1109" s="36" t="n"/>
      <c r="H1109" s="43" t="n"/>
      <c r="I1109" s="37" t="n"/>
      <c r="J1109" s="44" t="n"/>
      <c r="K1109" s="36" t="n"/>
      <c r="L1109" s="33">
        <f>IF(C1109="","",Commercial_Id)</f>
        <v/>
      </c>
      <c r="M1109" s="34">
        <f>IF(E1109="","",IFERROR(VLOOKUP(E1109,T_Produits,2,FALSE),""))</f>
        <v/>
      </c>
      <c r="N1109" s="40">
        <f>IF(E1109="","",IFERROR(1/(1/VLOOKUP(E1109,T_Produits,3,FALSE)),""))</f>
        <v/>
      </c>
      <c r="O1109" s="40">
        <f>IF(OR(D1109="",F1109=""),"",IF(OR(D1109="Casse / avarie",D1109="Perte / vol",D1109="Échantillon offert"),IF(I1109&lt;&gt;"",I1109,IF(N1109="","",F1109*N1109)),""))</f>
        <v/>
      </c>
      <c r="P1109" s="50">
        <f>IF(OR(D1109="",F1109=""),"",F1109*IF(OR(D1109="Reçu du magasin",D1109="Ajustement (+)"),1,-1))</f>
        <v/>
      </c>
      <c r="Q1109" s="34">
        <f>IF(C1109="","",YEAR(C1109-WEEKDAY(C1109,2)+4)&amp;"-S"&amp;TEXT(INT((C1109-DATE(YEAR(C1109-WEEKDAY(C1109,2)+4),1,3)+WEEKDAY(DATE(YEAR(C1109-WEEKDAY(C1109,2)+4),1,3),2)+5)/7),"00"))</f>
        <v/>
      </c>
    </row>
    <row r="1110" ht="18" customHeight="1">
      <c r="A1110" s="39" t="n">
        <v>1105</v>
      </c>
      <c r="B1110" s="33">
        <f>IF(C1110="","",IF(L1110="À RENSEIGNER","GIC",L1110)&amp;"-S"&amp;TEXT(A1110,"00000"))</f>
        <v/>
      </c>
      <c r="C1110" s="32" t="n"/>
      <c r="D1110" s="36" t="n"/>
      <c r="E1110" s="36" t="n"/>
      <c r="F1110" s="42" t="n"/>
      <c r="G1110" s="36" t="n"/>
      <c r="H1110" s="43" t="n"/>
      <c r="I1110" s="37" t="n"/>
      <c r="J1110" s="44" t="n"/>
      <c r="K1110" s="36" t="n"/>
      <c r="L1110" s="33">
        <f>IF(C1110="","",Commercial_Id)</f>
        <v/>
      </c>
      <c r="M1110" s="34">
        <f>IF(E1110="","",IFERROR(VLOOKUP(E1110,T_Produits,2,FALSE),""))</f>
        <v/>
      </c>
      <c r="N1110" s="40">
        <f>IF(E1110="","",IFERROR(1/(1/VLOOKUP(E1110,T_Produits,3,FALSE)),""))</f>
        <v/>
      </c>
      <c r="O1110" s="40">
        <f>IF(OR(D1110="",F1110=""),"",IF(OR(D1110="Casse / avarie",D1110="Perte / vol",D1110="Échantillon offert"),IF(I1110&lt;&gt;"",I1110,IF(N1110="","",F1110*N1110)),""))</f>
        <v/>
      </c>
      <c r="P1110" s="50">
        <f>IF(OR(D1110="",F1110=""),"",F1110*IF(OR(D1110="Reçu du magasin",D1110="Ajustement (+)"),1,-1))</f>
        <v/>
      </c>
      <c r="Q1110" s="34">
        <f>IF(C1110="","",YEAR(C1110-WEEKDAY(C1110,2)+4)&amp;"-S"&amp;TEXT(INT((C1110-DATE(YEAR(C1110-WEEKDAY(C1110,2)+4),1,3)+WEEKDAY(DATE(YEAR(C1110-WEEKDAY(C1110,2)+4),1,3),2)+5)/7),"00"))</f>
        <v/>
      </c>
    </row>
    <row r="1111" ht="18" customHeight="1">
      <c r="A1111" s="39" t="n">
        <v>1106</v>
      </c>
      <c r="B1111" s="33">
        <f>IF(C1111="","",IF(L1111="À RENSEIGNER","GIC",L1111)&amp;"-S"&amp;TEXT(A1111,"00000"))</f>
        <v/>
      </c>
      <c r="C1111" s="32" t="n"/>
      <c r="D1111" s="36" t="n"/>
      <c r="E1111" s="36" t="n"/>
      <c r="F1111" s="42" t="n"/>
      <c r="G1111" s="36" t="n"/>
      <c r="H1111" s="43" t="n"/>
      <c r="I1111" s="37" t="n"/>
      <c r="J1111" s="44" t="n"/>
      <c r="K1111" s="36" t="n"/>
      <c r="L1111" s="33">
        <f>IF(C1111="","",Commercial_Id)</f>
        <v/>
      </c>
      <c r="M1111" s="34">
        <f>IF(E1111="","",IFERROR(VLOOKUP(E1111,T_Produits,2,FALSE),""))</f>
        <v/>
      </c>
      <c r="N1111" s="40">
        <f>IF(E1111="","",IFERROR(1/(1/VLOOKUP(E1111,T_Produits,3,FALSE)),""))</f>
        <v/>
      </c>
      <c r="O1111" s="40">
        <f>IF(OR(D1111="",F1111=""),"",IF(OR(D1111="Casse / avarie",D1111="Perte / vol",D1111="Échantillon offert"),IF(I1111&lt;&gt;"",I1111,IF(N1111="","",F1111*N1111)),""))</f>
        <v/>
      </c>
      <c r="P1111" s="50">
        <f>IF(OR(D1111="",F1111=""),"",F1111*IF(OR(D1111="Reçu du magasin",D1111="Ajustement (+)"),1,-1))</f>
        <v/>
      </c>
      <c r="Q1111" s="34">
        <f>IF(C1111="","",YEAR(C1111-WEEKDAY(C1111,2)+4)&amp;"-S"&amp;TEXT(INT((C1111-DATE(YEAR(C1111-WEEKDAY(C1111,2)+4),1,3)+WEEKDAY(DATE(YEAR(C1111-WEEKDAY(C1111,2)+4),1,3),2)+5)/7),"00"))</f>
        <v/>
      </c>
    </row>
    <row r="1112" ht="18" customHeight="1">
      <c r="A1112" s="39" t="n">
        <v>1107</v>
      </c>
      <c r="B1112" s="33">
        <f>IF(C1112="","",IF(L1112="À RENSEIGNER","GIC",L1112)&amp;"-S"&amp;TEXT(A1112,"00000"))</f>
        <v/>
      </c>
      <c r="C1112" s="32" t="n"/>
      <c r="D1112" s="36" t="n"/>
      <c r="E1112" s="36" t="n"/>
      <c r="F1112" s="42" t="n"/>
      <c r="G1112" s="36" t="n"/>
      <c r="H1112" s="43" t="n"/>
      <c r="I1112" s="37" t="n"/>
      <c r="J1112" s="44" t="n"/>
      <c r="K1112" s="36" t="n"/>
      <c r="L1112" s="33">
        <f>IF(C1112="","",Commercial_Id)</f>
        <v/>
      </c>
      <c r="M1112" s="34">
        <f>IF(E1112="","",IFERROR(VLOOKUP(E1112,T_Produits,2,FALSE),""))</f>
        <v/>
      </c>
      <c r="N1112" s="40">
        <f>IF(E1112="","",IFERROR(1/(1/VLOOKUP(E1112,T_Produits,3,FALSE)),""))</f>
        <v/>
      </c>
      <c r="O1112" s="40">
        <f>IF(OR(D1112="",F1112=""),"",IF(OR(D1112="Casse / avarie",D1112="Perte / vol",D1112="Échantillon offert"),IF(I1112&lt;&gt;"",I1112,IF(N1112="","",F1112*N1112)),""))</f>
        <v/>
      </c>
      <c r="P1112" s="50">
        <f>IF(OR(D1112="",F1112=""),"",F1112*IF(OR(D1112="Reçu du magasin",D1112="Ajustement (+)"),1,-1))</f>
        <v/>
      </c>
      <c r="Q1112" s="34">
        <f>IF(C1112="","",YEAR(C1112-WEEKDAY(C1112,2)+4)&amp;"-S"&amp;TEXT(INT((C1112-DATE(YEAR(C1112-WEEKDAY(C1112,2)+4),1,3)+WEEKDAY(DATE(YEAR(C1112-WEEKDAY(C1112,2)+4),1,3),2)+5)/7),"00"))</f>
        <v/>
      </c>
    </row>
    <row r="1113" ht="18" customHeight="1">
      <c r="A1113" s="39" t="n">
        <v>1108</v>
      </c>
      <c r="B1113" s="33">
        <f>IF(C1113="","",IF(L1113="À RENSEIGNER","GIC",L1113)&amp;"-S"&amp;TEXT(A1113,"00000"))</f>
        <v/>
      </c>
      <c r="C1113" s="32" t="n"/>
      <c r="D1113" s="36" t="n"/>
      <c r="E1113" s="36" t="n"/>
      <c r="F1113" s="42" t="n"/>
      <c r="G1113" s="36" t="n"/>
      <c r="H1113" s="43" t="n"/>
      <c r="I1113" s="37" t="n"/>
      <c r="J1113" s="44" t="n"/>
      <c r="K1113" s="36" t="n"/>
      <c r="L1113" s="33">
        <f>IF(C1113="","",Commercial_Id)</f>
        <v/>
      </c>
      <c r="M1113" s="34">
        <f>IF(E1113="","",IFERROR(VLOOKUP(E1113,T_Produits,2,FALSE),""))</f>
        <v/>
      </c>
      <c r="N1113" s="40">
        <f>IF(E1113="","",IFERROR(1/(1/VLOOKUP(E1113,T_Produits,3,FALSE)),""))</f>
        <v/>
      </c>
      <c r="O1113" s="40">
        <f>IF(OR(D1113="",F1113=""),"",IF(OR(D1113="Casse / avarie",D1113="Perte / vol",D1113="Échantillon offert"),IF(I1113&lt;&gt;"",I1113,IF(N1113="","",F1113*N1113)),""))</f>
        <v/>
      </c>
      <c r="P1113" s="50">
        <f>IF(OR(D1113="",F1113=""),"",F1113*IF(OR(D1113="Reçu du magasin",D1113="Ajustement (+)"),1,-1))</f>
        <v/>
      </c>
      <c r="Q1113" s="34">
        <f>IF(C1113="","",YEAR(C1113-WEEKDAY(C1113,2)+4)&amp;"-S"&amp;TEXT(INT((C1113-DATE(YEAR(C1113-WEEKDAY(C1113,2)+4),1,3)+WEEKDAY(DATE(YEAR(C1113-WEEKDAY(C1113,2)+4),1,3),2)+5)/7),"00"))</f>
        <v/>
      </c>
    </row>
    <row r="1114" ht="18" customHeight="1">
      <c r="A1114" s="39" t="n">
        <v>1109</v>
      </c>
      <c r="B1114" s="33">
        <f>IF(C1114="","",IF(L1114="À RENSEIGNER","GIC",L1114)&amp;"-S"&amp;TEXT(A1114,"00000"))</f>
        <v/>
      </c>
      <c r="C1114" s="32" t="n"/>
      <c r="D1114" s="36" t="n"/>
      <c r="E1114" s="36" t="n"/>
      <c r="F1114" s="42" t="n"/>
      <c r="G1114" s="36" t="n"/>
      <c r="H1114" s="43" t="n"/>
      <c r="I1114" s="37" t="n"/>
      <c r="J1114" s="44" t="n"/>
      <c r="K1114" s="36" t="n"/>
      <c r="L1114" s="33">
        <f>IF(C1114="","",Commercial_Id)</f>
        <v/>
      </c>
      <c r="M1114" s="34">
        <f>IF(E1114="","",IFERROR(VLOOKUP(E1114,T_Produits,2,FALSE),""))</f>
        <v/>
      </c>
      <c r="N1114" s="40">
        <f>IF(E1114="","",IFERROR(1/(1/VLOOKUP(E1114,T_Produits,3,FALSE)),""))</f>
        <v/>
      </c>
      <c r="O1114" s="40">
        <f>IF(OR(D1114="",F1114=""),"",IF(OR(D1114="Casse / avarie",D1114="Perte / vol",D1114="Échantillon offert"),IF(I1114&lt;&gt;"",I1114,IF(N1114="","",F1114*N1114)),""))</f>
        <v/>
      </c>
      <c r="P1114" s="50">
        <f>IF(OR(D1114="",F1114=""),"",F1114*IF(OR(D1114="Reçu du magasin",D1114="Ajustement (+)"),1,-1))</f>
        <v/>
      </c>
      <c r="Q1114" s="34">
        <f>IF(C1114="","",YEAR(C1114-WEEKDAY(C1114,2)+4)&amp;"-S"&amp;TEXT(INT((C1114-DATE(YEAR(C1114-WEEKDAY(C1114,2)+4),1,3)+WEEKDAY(DATE(YEAR(C1114-WEEKDAY(C1114,2)+4),1,3),2)+5)/7),"00"))</f>
        <v/>
      </c>
    </row>
    <row r="1115" ht="18" customHeight="1">
      <c r="A1115" s="39" t="n">
        <v>1110</v>
      </c>
      <c r="B1115" s="33">
        <f>IF(C1115="","",IF(L1115="À RENSEIGNER","GIC",L1115)&amp;"-S"&amp;TEXT(A1115,"00000"))</f>
        <v/>
      </c>
      <c r="C1115" s="32" t="n"/>
      <c r="D1115" s="36" t="n"/>
      <c r="E1115" s="36" t="n"/>
      <c r="F1115" s="42" t="n"/>
      <c r="G1115" s="36" t="n"/>
      <c r="H1115" s="43" t="n"/>
      <c r="I1115" s="37" t="n"/>
      <c r="J1115" s="44" t="n"/>
      <c r="K1115" s="36" t="n"/>
      <c r="L1115" s="33">
        <f>IF(C1115="","",Commercial_Id)</f>
        <v/>
      </c>
      <c r="M1115" s="34">
        <f>IF(E1115="","",IFERROR(VLOOKUP(E1115,T_Produits,2,FALSE),""))</f>
        <v/>
      </c>
      <c r="N1115" s="40">
        <f>IF(E1115="","",IFERROR(1/(1/VLOOKUP(E1115,T_Produits,3,FALSE)),""))</f>
        <v/>
      </c>
      <c r="O1115" s="40">
        <f>IF(OR(D1115="",F1115=""),"",IF(OR(D1115="Casse / avarie",D1115="Perte / vol",D1115="Échantillon offert"),IF(I1115&lt;&gt;"",I1115,IF(N1115="","",F1115*N1115)),""))</f>
        <v/>
      </c>
      <c r="P1115" s="50">
        <f>IF(OR(D1115="",F1115=""),"",F1115*IF(OR(D1115="Reçu du magasin",D1115="Ajustement (+)"),1,-1))</f>
        <v/>
      </c>
      <c r="Q1115" s="34">
        <f>IF(C1115="","",YEAR(C1115-WEEKDAY(C1115,2)+4)&amp;"-S"&amp;TEXT(INT((C1115-DATE(YEAR(C1115-WEEKDAY(C1115,2)+4),1,3)+WEEKDAY(DATE(YEAR(C1115-WEEKDAY(C1115,2)+4),1,3),2)+5)/7),"00"))</f>
        <v/>
      </c>
    </row>
    <row r="1116" ht="18" customHeight="1">
      <c r="A1116" s="39" t="n">
        <v>1111</v>
      </c>
      <c r="B1116" s="33">
        <f>IF(C1116="","",IF(L1116="À RENSEIGNER","GIC",L1116)&amp;"-S"&amp;TEXT(A1116,"00000"))</f>
        <v/>
      </c>
      <c r="C1116" s="32" t="n"/>
      <c r="D1116" s="36" t="n"/>
      <c r="E1116" s="36" t="n"/>
      <c r="F1116" s="42" t="n"/>
      <c r="G1116" s="36" t="n"/>
      <c r="H1116" s="43" t="n"/>
      <c r="I1116" s="37" t="n"/>
      <c r="J1116" s="44" t="n"/>
      <c r="K1116" s="36" t="n"/>
      <c r="L1116" s="33">
        <f>IF(C1116="","",Commercial_Id)</f>
        <v/>
      </c>
      <c r="M1116" s="34">
        <f>IF(E1116="","",IFERROR(VLOOKUP(E1116,T_Produits,2,FALSE),""))</f>
        <v/>
      </c>
      <c r="N1116" s="40">
        <f>IF(E1116="","",IFERROR(1/(1/VLOOKUP(E1116,T_Produits,3,FALSE)),""))</f>
        <v/>
      </c>
      <c r="O1116" s="40">
        <f>IF(OR(D1116="",F1116=""),"",IF(OR(D1116="Casse / avarie",D1116="Perte / vol",D1116="Échantillon offert"),IF(I1116&lt;&gt;"",I1116,IF(N1116="","",F1116*N1116)),""))</f>
        <v/>
      </c>
      <c r="P1116" s="50">
        <f>IF(OR(D1116="",F1116=""),"",F1116*IF(OR(D1116="Reçu du magasin",D1116="Ajustement (+)"),1,-1))</f>
        <v/>
      </c>
      <c r="Q1116" s="34">
        <f>IF(C1116="","",YEAR(C1116-WEEKDAY(C1116,2)+4)&amp;"-S"&amp;TEXT(INT((C1116-DATE(YEAR(C1116-WEEKDAY(C1116,2)+4),1,3)+WEEKDAY(DATE(YEAR(C1116-WEEKDAY(C1116,2)+4),1,3),2)+5)/7),"00"))</f>
        <v/>
      </c>
    </row>
    <row r="1117" ht="18" customHeight="1">
      <c r="A1117" s="39" t="n">
        <v>1112</v>
      </c>
      <c r="B1117" s="33">
        <f>IF(C1117="","",IF(L1117="À RENSEIGNER","GIC",L1117)&amp;"-S"&amp;TEXT(A1117,"00000"))</f>
        <v/>
      </c>
      <c r="C1117" s="32" t="n"/>
      <c r="D1117" s="36" t="n"/>
      <c r="E1117" s="36" t="n"/>
      <c r="F1117" s="42" t="n"/>
      <c r="G1117" s="36" t="n"/>
      <c r="H1117" s="43" t="n"/>
      <c r="I1117" s="37" t="n"/>
      <c r="J1117" s="44" t="n"/>
      <c r="K1117" s="36" t="n"/>
      <c r="L1117" s="33">
        <f>IF(C1117="","",Commercial_Id)</f>
        <v/>
      </c>
      <c r="M1117" s="34">
        <f>IF(E1117="","",IFERROR(VLOOKUP(E1117,T_Produits,2,FALSE),""))</f>
        <v/>
      </c>
      <c r="N1117" s="40">
        <f>IF(E1117="","",IFERROR(1/(1/VLOOKUP(E1117,T_Produits,3,FALSE)),""))</f>
        <v/>
      </c>
      <c r="O1117" s="40">
        <f>IF(OR(D1117="",F1117=""),"",IF(OR(D1117="Casse / avarie",D1117="Perte / vol",D1117="Échantillon offert"),IF(I1117&lt;&gt;"",I1117,IF(N1117="","",F1117*N1117)),""))</f>
        <v/>
      </c>
      <c r="P1117" s="50">
        <f>IF(OR(D1117="",F1117=""),"",F1117*IF(OR(D1117="Reçu du magasin",D1117="Ajustement (+)"),1,-1))</f>
        <v/>
      </c>
      <c r="Q1117" s="34">
        <f>IF(C1117="","",YEAR(C1117-WEEKDAY(C1117,2)+4)&amp;"-S"&amp;TEXT(INT((C1117-DATE(YEAR(C1117-WEEKDAY(C1117,2)+4),1,3)+WEEKDAY(DATE(YEAR(C1117-WEEKDAY(C1117,2)+4),1,3),2)+5)/7),"00"))</f>
        <v/>
      </c>
    </row>
    <row r="1118" ht="18" customHeight="1">
      <c r="A1118" s="39" t="n">
        <v>1113</v>
      </c>
      <c r="B1118" s="33">
        <f>IF(C1118="","",IF(L1118="À RENSEIGNER","GIC",L1118)&amp;"-S"&amp;TEXT(A1118,"00000"))</f>
        <v/>
      </c>
      <c r="C1118" s="32" t="n"/>
      <c r="D1118" s="36" t="n"/>
      <c r="E1118" s="36" t="n"/>
      <c r="F1118" s="42" t="n"/>
      <c r="G1118" s="36" t="n"/>
      <c r="H1118" s="43" t="n"/>
      <c r="I1118" s="37" t="n"/>
      <c r="J1118" s="44" t="n"/>
      <c r="K1118" s="36" t="n"/>
      <c r="L1118" s="33">
        <f>IF(C1118="","",Commercial_Id)</f>
        <v/>
      </c>
      <c r="M1118" s="34">
        <f>IF(E1118="","",IFERROR(VLOOKUP(E1118,T_Produits,2,FALSE),""))</f>
        <v/>
      </c>
      <c r="N1118" s="40">
        <f>IF(E1118="","",IFERROR(1/(1/VLOOKUP(E1118,T_Produits,3,FALSE)),""))</f>
        <v/>
      </c>
      <c r="O1118" s="40">
        <f>IF(OR(D1118="",F1118=""),"",IF(OR(D1118="Casse / avarie",D1118="Perte / vol",D1118="Échantillon offert"),IF(I1118&lt;&gt;"",I1118,IF(N1118="","",F1118*N1118)),""))</f>
        <v/>
      </c>
      <c r="P1118" s="50">
        <f>IF(OR(D1118="",F1118=""),"",F1118*IF(OR(D1118="Reçu du magasin",D1118="Ajustement (+)"),1,-1))</f>
        <v/>
      </c>
      <c r="Q1118" s="34">
        <f>IF(C1118="","",YEAR(C1118-WEEKDAY(C1118,2)+4)&amp;"-S"&amp;TEXT(INT((C1118-DATE(YEAR(C1118-WEEKDAY(C1118,2)+4),1,3)+WEEKDAY(DATE(YEAR(C1118-WEEKDAY(C1118,2)+4),1,3),2)+5)/7),"00"))</f>
        <v/>
      </c>
    </row>
    <row r="1119" ht="18" customHeight="1">
      <c r="A1119" s="39" t="n">
        <v>1114</v>
      </c>
      <c r="B1119" s="33">
        <f>IF(C1119="","",IF(L1119="À RENSEIGNER","GIC",L1119)&amp;"-S"&amp;TEXT(A1119,"00000"))</f>
        <v/>
      </c>
      <c r="C1119" s="32" t="n"/>
      <c r="D1119" s="36" t="n"/>
      <c r="E1119" s="36" t="n"/>
      <c r="F1119" s="42" t="n"/>
      <c r="G1119" s="36" t="n"/>
      <c r="H1119" s="43" t="n"/>
      <c r="I1119" s="37" t="n"/>
      <c r="J1119" s="44" t="n"/>
      <c r="K1119" s="36" t="n"/>
      <c r="L1119" s="33">
        <f>IF(C1119="","",Commercial_Id)</f>
        <v/>
      </c>
      <c r="M1119" s="34">
        <f>IF(E1119="","",IFERROR(VLOOKUP(E1119,T_Produits,2,FALSE),""))</f>
        <v/>
      </c>
      <c r="N1119" s="40">
        <f>IF(E1119="","",IFERROR(1/(1/VLOOKUP(E1119,T_Produits,3,FALSE)),""))</f>
        <v/>
      </c>
      <c r="O1119" s="40">
        <f>IF(OR(D1119="",F1119=""),"",IF(OR(D1119="Casse / avarie",D1119="Perte / vol",D1119="Échantillon offert"),IF(I1119&lt;&gt;"",I1119,IF(N1119="","",F1119*N1119)),""))</f>
        <v/>
      </c>
      <c r="P1119" s="50">
        <f>IF(OR(D1119="",F1119=""),"",F1119*IF(OR(D1119="Reçu du magasin",D1119="Ajustement (+)"),1,-1))</f>
        <v/>
      </c>
      <c r="Q1119" s="34">
        <f>IF(C1119="","",YEAR(C1119-WEEKDAY(C1119,2)+4)&amp;"-S"&amp;TEXT(INT((C1119-DATE(YEAR(C1119-WEEKDAY(C1119,2)+4),1,3)+WEEKDAY(DATE(YEAR(C1119-WEEKDAY(C1119,2)+4),1,3),2)+5)/7),"00"))</f>
        <v/>
      </c>
    </row>
    <row r="1120" ht="18" customHeight="1">
      <c r="A1120" s="39" t="n">
        <v>1115</v>
      </c>
      <c r="B1120" s="33">
        <f>IF(C1120="","",IF(L1120="À RENSEIGNER","GIC",L1120)&amp;"-S"&amp;TEXT(A1120,"00000"))</f>
        <v/>
      </c>
      <c r="C1120" s="32" t="n"/>
      <c r="D1120" s="36" t="n"/>
      <c r="E1120" s="36" t="n"/>
      <c r="F1120" s="42" t="n"/>
      <c r="G1120" s="36" t="n"/>
      <c r="H1120" s="43" t="n"/>
      <c r="I1120" s="37" t="n"/>
      <c r="J1120" s="44" t="n"/>
      <c r="K1120" s="36" t="n"/>
      <c r="L1120" s="33">
        <f>IF(C1120="","",Commercial_Id)</f>
        <v/>
      </c>
      <c r="M1120" s="34">
        <f>IF(E1120="","",IFERROR(VLOOKUP(E1120,T_Produits,2,FALSE),""))</f>
        <v/>
      </c>
      <c r="N1120" s="40">
        <f>IF(E1120="","",IFERROR(1/(1/VLOOKUP(E1120,T_Produits,3,FALSE)),""))</f>
        <v/>
      </c>
      <c r="O1120" s="40">
        <f>IF(OR(D1120="",F1120=""),"",IF(OR(D1120="Casse / avarie",D1120="Perte / vol",D1120="Échantillon offert"),IF(I1120&lt;&gt;"",I1120,IF(N1120="","",F1120*N1120)),""))</f>
        <v/>
      </c>
      <c r="P1120" s="50">
        <f>IF(OR(D1120="",F1120=""),"",F1120*IF(OR(D1120="Reçu du magasin",D1120="Ajustement (+)"),1,-1))</f>
        <v/>
      </c>
      <c r="Q1120" s="34">
        <f>IF(C1120="","",YEAR(C1120-WEEKDAY(C1120,2)+4)&amp;"-S"&amp;TEXT(INT((C1120-DATE(YEAR(C1120-WEEKDAY(C1120,2)+4),1,3)+WEEKDAY(DATE(YEAR(C1120-WEEKDAY(C1120,2)+4),1,3),2)+5)/7),"00"))</f>
        <v/>
      </c>
    </row>
    <row r="1121" ht="18" customHeight="1">
      <c r="A1121" s="39" t="n">
        <v>1116</v>
      </c>
      <c r="B1121" s="33">
        <f>IF(C1121="","",IF(L1121="À RENSEIGNER","GIC",L1121)&amp;"-S"&amp;TEXT(A1121,"00000"))</f>
        <v/>
      </c>
      <c r="C1121" s="32" t="n"/>
      <c r="D1121" s="36" t="n"/>
      <c r="E1121" s="36" t="n"/>
      <c r="F1121" s="42" t="n"/>
      <c r="G1121" s="36" t="n"/>
      <c r="H1121" s="43" t="n"/>
      <c r="I1121" s="37" t="n"/>
      <c r="J1121" s="44" t="n"/>
      <c r="K1121" s="36" t="n"/>
      <c r="L1121" s="33">
        <f>IF(C1121="","",Commercial_Id)</f>
        <v/>
      </c>
      <c r="M1121" s="34">
        <f>IF(E1121="","",IFERROR(VLOOKUP(E1121,T_Produits,2,FALSE),""))</f>
        <v/>
      </c>
      <c r="N1121" s="40">
        <f>IF(E1121="","",IFERROR(1/(1/VLOOKUP(E1121,T_Produits,3,FALSE)),""))</f>
        <v/>
      </c>
      <c r="O1121" s="40">
        <f>IF(OR(D1121="",F1121=""),"",IF(OR(D1121="Casse / avarie",D1121="Perte / vol",D1121="Échantillon offert"),IF(I1121&lt;&gt;"",I1121,IF(N1121="","",F1121*N1121)),""))</f>
        <v/>
      </c>
      <c r="P1121" s="50">
        <f>IF(OR(D1121="",F1121=""),"",F1121*IF(OR(D1121="Reçu du magasin",D1121="Ajustement (+)"),1,-1))</f>
        <v/>
      </c>
      <c r="Q1121" s="34">
        <f>IF(C1121="","",YEAR(C1121-WEEKDAY(C1121,2)+4)&amp;"-S"&amp;TEXT(INT((C1121-DATE(YEAR(C1121-WEEKDAY(C1121,2)+4),1,3)+WEEKDAY(DATE(YEAR(C1121-WEEKDAY(C1121,2)+4),1,3),2)+5)/7),"00"))</f>
        <v/>
      </c>
    </row>
    <row r="1122" ht="18" customHeight="1">
      <c r="A1122" s="39" t="n">
        <v>1117</v>
      </c>
      <c r="B1122" s="33">
        <f>IF(C1122="","",IF(L1122="À RENSEIGNER","GIC",L1122)&amp;"-S"&amp;TEXT(A1122,"00000"))</f>
        <v/>
      </c>
      <c r="C1122" s="32" t="n"/>
      <c r="D1122" s="36" t="n"/>
      <c r="E1122" s="36" t="n"/>
      <c r="F1122" s="42" t="n"/>
      <c r="G1122" s="36" t="n"/>
      <c r="H1122" s="43" t="n"/>
      <c r="I1122" s="37" t="n"/>
      <c r="J1122" s="44" t="n"/>
      <c r="K1122" s="36" t="n"/>
      <c r="L1122" s="33">
        <f>IF(C1122="","",Commercial_Id)</f>
        <v/>
      </c>
      <c r="M1122" s="34">
        <f>IF(E1122="","",IFERROR(VLOOKUP(E1122,T_Produits,2,FALSE),""))</f>
        <v/>
      </c>
      <c r="N1122" s="40">
        <f>IF(E1122="","",IFERROR(1/(1/VLOOKUP(E1122,T_Produits,3,FALSE)),""))</f>
        <v/>
      </c>
      <c r="O1122" s="40">
        <f>IF(OR(D1122="",F1122=""),"",IF(OR(D1122="Casse / avarie",D1122="Perte / vol",D1122="Échantillon offert"),IF(I1122&lt;&gt;"",I1122,IF(N1122="","",F1122*N1122)),""))</f>
        <v/>
      </c>
      <c r="P1122" s="50">
        <f>IF(OR(D1122="",F1122=""),"",F1122*IF(OR(D1122="Reçu du magasin",D1122="Ajustement (+)"),1,-1))</f>
        <v/>
      </c>
      <c r="Q1122" s="34">
        <f>IF(C1122="","",YEAR(C1122-WEEKDAY(C1122,2)+4)&amp;"-S"&amp;TEXT(INT((C1122-DATE(YEAR(C1122-WEEKDAY(C1122,2)+4),1,3)+WEEKDAY(DATE(YEAR(C1122-WEEKDAY(C1122,2)+4),1,3),2)+5)/7),"00"))</f>
        <v/>
      </c>
    </row>
    <row r="1123" ht="18" customHeight="1">
      <c r="A1123" s="39" t="n">
        <v>1118</v>
      </c>
      <c r="B1123" s="33">
        <f>IF(C1123="","",IF(L1123="À RENSEIGNER","GIC",L1123)&amp;"-S"&amp;TEXT(A1123,"00000"))</f>
        <v/>
      </c>
      <c r="C1123" s="32" t="n"/>
      <c r="D1123" s="36" t="n"/>
      <c r="E1123" s="36" t="n"/>
      <c r="F1123" s="42" t="n"/>
      <c r="G1123" s="36" t="n"/>
      <c r="H1123" s="43" t="n"/>
      <c r="I1123" s="37" t="n"/>
      <c r="J1123" s="44" t="n"/>
      <c r="K1123" s="36" t="n"/>
      <c r="L1123" s="33">
        <f>IF(C1123="","",Commercial_Id)</f>
        <v/>
      </c>
      <c r="M1123" s="34">
        <f>IF(E1123="","",IFERROR(VLOOKUP(E1123,T_Produits,2,FALSE),""))</f>
        <v/>
      </c>
      <c r="N1123" s="40">
        <f>IF(E1123="","",IFERROR(1/(1/VLOOKUP(E1123,T_Produits,3,FALSE)),""))</f>
        <v/>
      </c>
      <c r="O1123" s="40">
        <f>IF(OR(D1123="",F1123=""),"",IF(OR(D1123="Casse / avarie",D1123="Perte / vol",D1123="Échantillon offert"),IF(I1123&lt;&gt;"",I1123,IF(N1123="","",F1123*N1123)),""))</f>
        <v/>
      </c>
      <c r="P1123" s="50">
        <f>IF(OR(D1123="",F1123=""),"",F1123*IF(OR(D1123="Reçu du magasin",D1123="Ajustement (+)"),1,-1))</f>
        <v/>
      </c>
      <c r="Q1123" s="34">
        <f>IF(C1123="","",YEAR(C1123-WEEKDAY(C1123,2)+4)&amp;"-S"&amp;TEXT(INT((C1123-DATE(YEAR(C1123-WEEKDAY(C1123,2)+4),1,3)+WEEKDAY(DATE(YEAR(C1123-WEEKDAY(C1123,2)+4),1,3),2)+5)/7),"00"))</f>
        <v/>
      </c>
    </row>
    <row r="1124" ht="18" customHeight="1">
      <c r="A1124" s="39" t="n">
        <v>1119</v>
      </c>
      <c r="B1124" s="33">
        <f>IF(C1124="","",IF(L1124="À RENSEIGNER","GIC",L1124)&amp;"-S"&amp;TEXT(A1124,"00000"))</f>
        <v/>
      </c>
      <c r="C1124" s="32" t="n"/>
      <c r="D1124" s="36" t="n"/>
      <c r="E1124" s="36" t="n"/>
      <c r="F1124" s="42" t="n"/>
      <c r="G1124" s="36" t="n"/>
      <c r="H1124" s="43" t="n"/>
      <c r="I1124" s="37" t="n"/>
      <c r="J1124" s="44" t="n"/>
      <c r="K1124" s="36" t="n"/>
      <c r="L1124" s="33">
        <f>IF(C1124="","",Commercial_Id)</f>
        <v/>
      </c>
      <c r="M1124" s="34">
        <f>IF(E1124="","",IFERROR(VLOOKUP(E1124,T_Produits,2,FALSE),""))</f>
        <v/>
      </c>
      <c r="N1124" s="40">
        <f>IF(E1124="","",IFERROR(1/(1/VLOOKUP(E1124,T_Produits,3,FALSE)),""))</f>
        <v/>
      </c>
      <c r="O1124" s="40">
        <f>IF(OR(D1124="",F1124=""),"",IF(OR(D1124="Casse / avarie",D1124="Perte / vol",D1124="Échantillon offert"),IF(I1124&lt;&gt;"",I1124,IF(N1124="","",F1124*N1124)),""))</f>
        <v/>
      </c>
      <c r="P1124" s="50">
        <f>IF(OR(D1124="",F1124=""),"",F1124*IF(OR(D1124="Reçu du magasin",D1124="Ajustement (+)"),1,-1))</f>
        <v/>
      </c>
      <c r="Q1124" s="34">
        <f>IF(C1124="","",YEAR(C1124-WEEKDAY(C1124,2)+4)&amp;"-S"&amp;TEXT(INT((C1124-DATE(YEAR(C1124-WEEKDAY(C1124,2)+4),1,3)+WEEKDAY(DATE(YEAR(C1124-WEEKDAY(C1124,2)+4),1,3),2)+5)/7),"00"))</f>
        <v/>
      </c>
    </row>
    <row r="1125" ht="18" customHeight="1">
      <c r="A1125" s="39" t="n">
        <v>1120</v>
      </c>
      <c r="B1125" s="33">
        <f>IF(C1125="","",IF(L1125="À RENSEIGNER","GIC",L1125)&amp;"-S"&amp;TEXT(A1125,"00000"))</f>
        <v/>
      </c>
      <c r="C1125" s="32" t="n"/>
      <c r="D1125" s="36" t="n"/>
      <c r="E1125" s="36" t="n"/>
      <c r="F1125" s="42" t="n"/>
      <c r="G1125" s="36" t="n"/>
      <c r="H1125" s="43" t="n"/>
      <c r="I1125" s="37" t="n"/>
      <c r="J1125" s="44" t="n"/>
      <c r="K1125" s="36" t="n"/>
      <c r="L1125" s="33">
        <f>IF(C1125="","",Commercial_Id)</f>
        <v/>
      </c>
      <c r="M1125" s="34">
        <f>IF(E1125="","",IFERROR(VLOOKUP(E1125,T_Produits,2,FALSE),""))</f>
        <v/>
      </c>
      <c r="N1125" s="40">
        <f>IF(E1125="","",IFERROR(1/(1/VLOOKUP(E1125,T_Produits,3,FALSE)),""))</f>
        <v/>
      </c>
      <c r="O1125" s="40">
        <f>IF(OR(D1125="",F1125=""),"",IF(OR(D1125="Casse / avarie",D1125="Perte / vol",D1125="Échantillon offert"),IF(I1125&lt;&gt;"",I1125,IF(N1125="","",F1125*N1125)),""))</f>
        <v/>
      </c>
      <c r="P1125" s="50">
        <f>IF(OR(D1125="",F1125=""),"",F1125*IF(OR(D1125="Reçu du magasin",D1125="Ajustement (+)"),1,-1))</f>
        <v/>
      </c>
      <c r="Q1125" s="34">
        <f>IF(C1125="","",YEAR(C1125-WEEKDAY(C1125,2)+4)&amp;"-S"&amp;TEXT(INT((C1125-DATE(YEAR(C1125-WEEKDAY(C1125,2)+4),1,3)+WEEKDAY(DATE(YEAR(C1125-WEEKDAY(C1125,2)+4),1,3),2)+5)/7),"00"))</f>
        <v/>
      </c>
    </row>
    <row r="1126" ht="18" customHeight="1">
      <c r="A1126" s="39" t="n">
        <v>1121</v>
      </c>
      <c r="B1126" s="33">
        <f>IF(C1126="","",IF(L1126="À RENSEIGNER","GIC",L1126)&amp;"-S"&amp;TEXT(A1126,"00000"))</f>
        <v/>
      </c>
      <c r="C1126" s="32" t="n"/>
      <c r="D1126" s="36" t="n"/>
      <c r="E1126" s="36" t="n"/>
      <c r="F1126" s="42" t="n"/>
      <c r="G1126" s="36" t="n"/>
      <c r="H1126" s="43" t="n"/>
      <c r="I1126" s="37" t="n"/>
      <c r="J1126" s="44" t="n"/>
      <c r="K1126" s="36" t="n"/>
      <c r="L1126" s="33">
        <f>IF(C1126="","",Commercial_Id)</f>
        <v/>
      </c>
      <c r="M1126" s="34">
        <f>IF(E1126="","",IFERROR(VLOOKUP(E1126,T_Produits,2,FALSE),""))</f>
        <v/>
      </c>
      <c r="N1126" s="40">
        <f>IF(E1126="","",IFERROR(1/(1/VLOOKUP(E1126,T_Produits,3,FALSE)),""))</f>
        <v/>
      </c>
      <c r="O1126" s="40">
        <f>IF(OR(D1126="",F1126=""),"",IF(OR(D1126="Casse / avarie",D1126="Perte / vol",D1126="Échantillon offert"),IF(I1126&lt;&gt;"",I1126,IF(N1126="","",F1126*N1126)),""))</f>
        <v/>
      </c>
      <c r="P1126" s="50">
        <f>IF(OR(D1126="",F1126=""),"",F1126*IF(OR(D1126="Reçu du magasin",D1126="Ajustement (+)"),1,-1))</f>
        <v/>
      </c>
      <c r="Q1126" s="34">
        <f>IF(C1126="","",YEAR(C1126-WEEKDAY(C1126,2)+4)&amp;"-S"&amp;TEXT(INT((C1126-DATE(YEAR(C1126-WEEKDAY(C1126,2)+4),1,3)+WEEKDAY(DATE(YEAR(C1126-WEEKDAY(C1126,2)+4),1,3),2)+5)/7),"00"))</f>
        <v/>
      </c>
    </row>
    <row r="1127" ht="18" customHeight="1">
      <c r="A1127" s="39" t="n">
        <v>1122</v>
      </c>
      <c r="B1127" s="33">
        <f>IF(C1127="","",IF(L1127="À RENSEIGNER","GIC",L1127)&amp;"-S"&amp;TEXT(A1127,"00000"))</f>
        <v/>
      </c>
      <c r="C1127" s="32" t="n"/>
      <c r="D1127" s="36" t="n"/>
      <c r="E1127" s="36" t="n"/>
      <c r="F1127" s="42" t="n"/>
      <c r="G1127" s="36" t="n"/>
      <c r="H1127" s="43" t="n"/>
      <c r="I1127" s="37" t="n"/>
      <c r="J1127" s="44" t="n"/>
      <c r="K1127" s="36" t="n"/>
      <c r="L1127" s="33">
        <f>IF(C1127="","",Commercial_Id)</f>
        <v/>
      </c>
      <c r="M1127" s="34">
        <f>IF(E1127="","",IFERROR(VLOOKUP(E1127,T_Produits,2,FALSE),""))</f>
        <v/>
      </c>
      <c r="N1127" s="40">
        <f>IF(E1127="","",IFERROR(1/(1/VLOOKUP(E1127,T_Produits,3,FALSE)),""))</f>
        <v/>
      </c>
      <c r="O1127" s="40">
        <f>IF(OR(D1127="",F1127=""),"",IF(OR(D1127="Casse / avarie",D1127="Perte / vol",D1127="Échantillon offert"),IF(I1127&lt;&gt;"",I1127,IF(N1127="","",F1127*N1127)),""))</f>
        <v/>
      </c>
      <c r="P1127" s="50">
        <f>IF(OR(D1127="",F1127=""),"",F1127*IF(OR(D1127="Reçu du magasin",D1127="Ajustement (+)"),1,-1))</f>
        <v/>
      </c>
      <c r="Q1127" s="34">
        <f>IF(C1127="","",YEAR(C1127-WEEKDAY(C1127,2)+4)&amp;"-S"&amp;TEXT(INT((C1127-DATE(YEAR(C1127-WEEKDAY(C1127,2)+4),1,3)+WEEKDAY(DATE(YEAR(C1127-WEEKDAY(C1127,2)+4),1,3),2)+5)/7),"00"))</f>
        <v/>
      </c>
    </row>
    <row r="1128" ht="18" customHeight="1">
      <c r="A1128" s="39" t="n">
        <v>1123</v>
      </c>
      <c r="B1128" s="33">
        <f>IF(C1128="","",IF(L1128="À RENSEIGNER","GIC",L1128)&amp;"-S"&amp;TEXT(A1128,"00000"))</f>
        <v/>
      </c>
      <c r="C1128" s="32" t="n"/>
      <c r="D1128" s="36" t="n"/>
      <c r="E1128" s="36" t="n"/>
      <c r="F1128" s="42" t="n"/>
      <c r="G1128" s="36" t="n"/>
      <c r="H1128" s="43" t="n"/>
      <c r="I1128" s="37" t="n"/>
      <c r="J1128" s="44" t="n"/>
      <c r="K1128" s="36" t="n"/>
      <c r="L1128" s="33">
        <f>IF(C1128="","",Commercial_Id)</f>
        <v/>
      </c>
      <c r="M1128" s="34">
        <f>IF(E1128="","",IFERROR(VLOOKUP(E1128,T_Produits,2,FALSE),""))</f>
        <v/>
      </c>
      <c r="N1128" s="40">
        <f>IF(E1128="","",IFERROR(1/(1/VLOOKUP(E1128,T_Produits,3,FALSE)),""))</f>
        <v/>
      </c>
      <c r="O1128" s="40">
        <f>IF(OR(D1128="",F1128=""),"",IF(OR(D1128="Casse / avarie",D1128="Perte / vol",D1128="Échantillon offert"),IF(I1128&lt;&gt;"",I1128,IF(N1128="","",F1128*N1128)),""))</f>
        <v/>
      </c>
      <c r="P1128" s="50">
        <f>IF(OR(D1128="",F1128=""),"",F1128*IF(OR(D1128="Reçu du magasin",D1128="Ajustement (+)"),1,-1))</f>
        <v/>
      </c>
      <c r="Q1128" s="34">
        <f>IF(C1128="","",YEAR(C1128-WEEKDAY(C1128,2)+4)&amp;"-S"&amp;TEXT(INT((C1128-DATE(YEAR(C1128-WEEKDAY(C1128,2)+4),1,3)+WEEKDAY(DATE(YEAR(C1128-WEEKDAY(C1128,2)+4),1,3),2)+5)/7),"00"))</f>
        <v/>
      </c>
    </row>
    <row r="1129" ht="18" customHeight="1">
      <c r="A1129" s="39" t="n">
        <v>1124</v>
      </c>
      <c r="B1129" s="33">
        <f>IF(C1129="","",IF(L1129="À RENSEIGNER","GIC",L1129)&amp;"-S"&amp;TEXT(A1129,"00000"))</f>
        <v/>
      </c>
      <c r="C1129" s="32" t="n"/>
      <c r="D1129" s="36" t="n"/>
      <c r="E1129" s="36" t="n"/>
      <c r="F1129" s="42" t="n"/>
      <c r="G1129" s="36" t="n"/>
      <c r="H1129" s="43" t="n"/>
      <c r="I1129" s="37" t="n"/>
      <c r="J1129" s="44" t="n"/>
      <c r="K1129" s="36" t="n"/>
      <c r="L1129" s="33">
        <f>IF(C1129="","",Commercial_Id)</f>
        <v/>
      </c>
      <c r="M1129" s="34">
        <f>IF(E1129="","",IFERROR(VLOOKUP(E1129,T_Produits,2,FALSE),""))</f>
        <v/>
      </c>
      <c r="N1129" s="40">
        <f>IF(E1129="","",IFERROR(1/(1/VLOOKUP(E1129,T_Produits,3,FALSE)),""))</f>
        <v/>
      </c>
      <c r="O1129" s="40">
        <f>IF(OR(D1129="",F1129=""),"",IF(OR(D1129="Casse / avarie",D1129="Perte / vol",D1129="Échantillon offert"),IF(I1129&lt;&gt;"",I1129,IF(N1129="","",F1129*N1129)),""))</f>
        <v/>
      </c>
      <c r="P1129" s="50">
        <f>IF(OR(D1129="",F1129=""),"",F1129*IF(OR(D1129="Reçu du magasin",D1129="Ajustement (+)"),1,-1))</f>
        <v/>
      </c>
      <c r="Q1129" s="34">
        <f>IF(C1129="","",YEAR(C1129-WEEKDAY(C1129,2)+4)&amp;"-S"&amp;TEXT(INT((C1129-DATE(YEAR(C1129-WEEKDAY(C1129,2)+4),1,3)+WEEKDAY(DATE(YEAR(C1129-WEEKDAY(C1129,2)+4),1,3),2)+5)/7),"00"))</f>
        <v/>
      </c>
    </row>
    <row r="1130" ht="18" customHeight="1">
      <c r="A1130" s="39" t="n">
        <v>1125</v>
      </c>
      <c r="B1130" s="33">
        <f>IF(C1130="","",IF(L1130="À RENSEIGNER","GIC",L1130)&amp;"-S"&amp;TEXT(A1130,"00000"))</f>
        <v/>
      </c>
      <c r="C1130" s="32" t="n"/>
      <c r="D1130" s="36" t="n"/>
      <c r="E1130" s="36" t="n"/>
      <c r="F1130" s="42" t="n"/>
      <c r="G1130" s="36" t="n"/>
      <c r="H1130" s="43" t="n"/>
      <c r="I1130" s="37" t="n"/>
      <c r="J1130" s="44" t="n"/>
      <c r="K1130" s="36" t="n"/>
      <c r="L1130" s="33">
        <f>IF(C1130="","",Commercial_Id)</f>
        <v/>
      </c>
      <c r="M1130" s="34">
        <f>IF(E1130="","",IFERROR(VLOOKUP(E1130,T_Produits,2,FALSE),""))</f>
        <v/>
      </c>
      <c r="N1130" s="40">
        <f>IF(E1130="","",IFERROR(1/(1/VLOOKUP(E1130,T_Produits,3,FALSE)),""))</f>
        <v/>
      </c>
      <c r="O1130" s="40">
        <f>IF(OR(D1130="",F1130=""),"",IF(OR(D1130="Casse / avarie",D1130="Perte / vol",D1130="Échantillon offert"),IF(I1130&lt;&gt;"",I1130,IF(N1130="","",F1130*N1130)),""))</f>
        <v/>
      </c>
      <c r="P1130" s="50">
        <f>IF(OR(D1130="",F1130=""),"",F1130*IF(OR(D1130="Reçu du magasin",D1130="Ajustement (+)"),1,-1))</f>
        <v/>
      </c>
      <c r="Q1130" s="34">
        <f>IF(C1130="","",YEAR(C1130-WEEKDAY(C1130,2)+4)&amp;"-S"&amp;TEXT(INT((C1130-DATE(YEAR(C1130-WEEKDAY(C1130,2)+4),1,3)+WEEKDAY(DATE(YEAR(C1130-WEEKDAY(C1130,2)+4),1,3),2)+5)/7),"00"))</f>
        <v/>
      </c>
    </row>
    <row r="1131" ht="18" customHeight="1">
      <c r="A1131" s="39" t="n">
        <v>1126</v>
      </c>
      <c r="B1131" s="33">
        <f>IF(C1131="","",IF(L1131="À RENSEIGNER","GIC",L1131)&amp;"-S"&amp;TEXT(A1131,"00000"))</f>
        <v/>
      </c>
      <c r="C1131" s="32" t="n"/>
      <c r="D1131" s="36" t="n"/>
      <c r="E1131" s="36" t="n"/>
      <c r="F1131" s="42" t="n"/>
      <c r="G1131" s="36" t="n"/>
      <c r="H1131" s="43" t="n"/>
      <c r="I1131" s="37" t="n"/>
      <c r="J1131" s="44" t="n"/>
      <c r="K1131" s="36" t="n"/>
      <c r="L1131" s="33">
        <f>IF(C1131="","",Commercial_Id)</f>
        <v/>
      </c>
      <c r="M1131" s="34">
        <f>IF(E1131="","",IFERROR(VLOOKUP(E1131,T_Produits,2,FALSE),""))</f>
        <v/>
      </c>
      <c r="N1131" s="40">
        <f>IF(E1131="","",IFERROR(1/(1/VLOOKUP(E1131,T_Produits,3,FALSE)),""))</f>
        <v/>
      </c>
      <c r="O1131" s="40">
        <f>IF(OR(D1131="",F1131=""),"",IF(OR(D1131="Casse / avarie",D1131="Perte / vol",D1131="Échantillon offert"),IF(I1131&lt;&gt;"",I1131,IF(N1131="","",F1131*N1131)),""))</f>
        <v/>
      </c>
      <c r="P1131" s="50">
        <f>IF(OR(D1131="",F1131=""),"",F1131*IF(OR(D1131="Reçu du magasin",D1131="Ajustement (+)"),1,-1))</f>
        <v/>
      </c>
      <c r="Q1131" s="34">
        <f>IF(C1131="","",YEAR(C1131-WEEKDAY(C1131,2)+4)&amp;"-S"&amp;TEXT(INT((C1131-DATE(YEAR(C1131-WEEKDAY(C1131,2)+4),1,3)+WEEKDAY(DATE(YEAR(C1131-WEEKDAY(C1131,2)+4),1,3),2)+5)/7),"00"))</f>
        <v/>
      </c>
    </row>
    <row r="1132" ht="18" customHeight="1">
      <c r="A1132" s="39" t="n">
        <v>1127</v>
      </c>
      <c r="B1132" s="33">
        <f>IF(C1132="","",IF(L1132="À RENSEIGNER","GIC",L1132)&amp;"-S"&amp;TEXT(A1132,"00000"))</f>
        <v/>
      </c>
      <c r="C1132" s="32" t="n"/>
      <c r="D1132" s="36" t="n"/>
      <c r="E1132" s="36" t="n"/>
      <c r="F1132" s="42" t="n"/>
      <c r="G1132" s="36" t="n"/>
      <c r="H1132" s="43" t="n"/>
      <c r="I1132" s="37" t="n"/>
      <c r="J1132" s="44" t="n"/>
      <c r="K1132" s="36" t="n"/>
      <c r="L1132" s="33">
        <f>IF(C1132="","",Commercial_Id)</f>
        <v/>
      </c>
      <c r="M1132" s="34">
        <f>IF(E1132="","",IFERROR(VLOOKUP(E1132,T_Produits,2,FALSE),""))</f>
        <v/>
      </c>
      <c r="N1132" s="40">
        <f>IF(E1132="","",IFERROR(1/(1/VLOOKUP(E1132,T_Produits,3,FALSE)),""))</f>
        <v/>
      </c>
      <c r="O1132" s="40">
        <f>IF(OR(D1132="",F1132=""),"",IF(OR(D1132="Casse / avarie",D1132="Perte / vol",D1132="Échantillon offert"),IF(I1132&lt;&gt;"",I1132,IF(N1132="","",F1132*N1132)),""))</f>
        <v/>
      </c>
      <c r="P1132" s="50">
        <f>IF(OR(D1132="",F1132=""),"",F1132*IF(OR(D1132="Reçu du magasin",D1132="Ajustement (+)"),1,-1))</f>
        <v/>
      </c>
      <c r="Q1132" s="34">
        <f>IF(C1132="","",YEAR(C1132-WEEKDAY(C1132,2)+4)&amp;"-S"&amp;TEXT(INT((C1132-DATE(YEAR(C1132-WEEKDAY(C1132,2)+4),1,3)+WEEKDAY(DATE(YEAR(C1132-WEEKDAY(C1132,2)+4),1,3),2)+5)/7),"00"))</f>
        <v/>
      </c>
    </row>
    <row r="1133" ht="18" customHeight="1">
      <c r="A1133" s="39" t="n">
        <v>1128</v>
      </c>
      <c r="B1133" s="33">
        <f>IF(C1133="","",IF(L1133="À RENSEIGNER","GIC",L1133)&amp;"-S"&amp;TEXT(A1133,"00000"))</f>
        <v/>
      </c>
      <c r="C1133" s="32" t="n"/>
      <c r="D1133" s="36" t="n"/>
      <c r="E1133" s="36" t="n"/>
      <c r="F1133" s="42" t="n"/>
      <c r="G1133" s="36" t="n"/>
      <c r="H1133" s="43" t="n"/>
      <c r="I1133" s="37" t="n"/>
      <c r="J1133" s="44" t="n"/>
      <c r="K1133" s="36" t="n"/>
      <c r="L1133" s="33">
        <f>IF(C1133="","",Commercial_Id)</f>
        <v/>
      </c>
      <c r="M1133" s="34">
        <f>IF(E1133="","",IFERROR(VLOOKUP(E1133,T_Produits,2,FALSE),""))</f>
        <v/>
      </c>
      <c r="N1133" s="40">
        <f>IF(E1133="","",IFERROR(1/(1/VLOOKUP(E1133,T_Produits,3,FALSE)),""))</f>
        <v/>
      </c>
      <c r="O1133" s="40">
        <f>IF(OR(D1133="",F1133=""),"",IF(OR(D1133="Casse / avarie",D1133="Perte / vol",D1133="Échantillon offert"),IF(I1133&lt;&gt;"",I1133,IF(N1133="","",F1133*N1133)),""))</f>
        <v/>
      </c>
      <c r="P1133" s="50">
        <f>IF(OR(D1133="",F1133=""),"",F1133*IF(OR(D1133="Reçu du magasin",D1133="Ajustement (+)"),1,-1))</f>
        <v/>
      </c>
      <c r="Q1133" s="34">
        <f>IF(C1133="","",YEAR(C1133-WEEKDAY(C1133,2)+4)&amp;"-S"&amp;TEXT(INT((C1133-DATE(YEAR(C1133-WEEKDAY(C1133,2)+4),1,3)+WEEKDAY(DATE(YEAR(C1133-WEEKDAY(C1133,2)+4),1,3),2)+5)/7),"00"))</f>
        <v/>
      </c>
    </row>
    <row r="1134" ht="18" customHeight="1">
      <c r="A1134" s="39" t="n">
        <v>1129</v>
      </c>
      <c r="B1134" s="33">
        <f>IF(C1134="","",IF(L1134="À RENSEIGNER","GIC",L1134)&amp;"-S"&amp;TEXT(A1134,"00000"))</f>
        <v/>
      </c>
      <c r="C1134" s="32" t="n"/>
      <c r="D1134" s="36" t="n"/>
      <c r="E1134" s="36" t="n"/>
      <c r="F1134" s="42" t="n"/>
      <c r="G1134" s="36" t="n"/>
      <c r="H1134" s="43" t="n"/>
      <c r="I1134" s="37" t="n"/>
      <c r="J1134" s="44" t="n"/>
      <c r="K1134" s="36" t="n"/>
      <c r="L1134" s="33">
        <f>IF(C1134="","",Commercial_Id)</f>
        <v/>
      </c>
      <c r="M1134" s="34">
        <f>IF(E1134="","",IFERROR(VLOOKUP(E1134,T_Produits,2,FALSE),""))</f>
        <v/>
      </c>
      <c r="N1134" s="40">
        <f>IF(E1134="","",IFERROR(1/(1/VLOOKUP(E1134,T_Produits,3,FALSE)),""))</f>
        <v/>
      </c>
      <c r="O1134" s="40">
        <f>IF(OR(D1134="",F1134=""),"",IF(OR(D1134="Casse / avarie",D1134="Perte / vol",D1134="Échantillon offert"),IF(I1134&lt;&gt;"",I1134,IF(N1134="","",F1134*N1134)),""))</f>
        <v/>
      </c>
      <c r="P1134" s="50">
        <f>IF(OR(D1134="",F1134=""),"",F1134*IF(OR(D1134="Reçu du magasin",D1134="Ajustement (+)"),1,-1))</f>
        <v/>
      </c>
      <c r="Q1134" s="34">
        <f>IF(C1134="","",YEAR(C1134-WEEKDAY(C1134,2)+4)&amp;"-S"&amp;TEXT(INT((C1134-DATE(YEAR(C1134-WEEKDAY(C1134,2)+4),1,3)+WEEKDAY(DATE(YEAR(C1134-WEEKDAY(C1134,2)+4),1,3),2)+5)/7),"00"))</f>
        <v/>
      </c>
    </row>
    <row r="1135" ht="18" customHeight="1">
      <c r="A1135" s="39" t="n">
        <v>1130</v>
      </c>
      <c r="B1135" s="33">
        <f>IF(C1135="","",IF(L1135="À RENSEIGNER","GIC",L1135)&amp;"-S"&amp;TEXT(A1135,"00000"))</f>
        <v/>
      </c>
      <c r="C1135" s="32" t="n"/>
      <c r="D1135" s="36" t="n"/>
      <c r="E1135" s="36" t="n"/>
      <c r="F1135" s="42" t="n"/>
      <c r="G1135" s="36" t="n"/>
      <c r="H1135" s="43" t="n"/>
      <c r="I1135" s="37" t="n"/>
      <c r="J1135" s="44" t="n"/>
      <c r="K1135" s="36" t="n"/>
      <c r="L1135" s="33">
        <f>IF(C1135="","",Commercial_Id)</f>
        <v/>
      </c>
      <c r="M1135" s="34">
        <f>IF(E1135="","",IFERROR(VLOOKUP(E1135,T_Produits,2,FALSE),""))</f>
        <v/>
      </c>
      <c r="N1135" s="40">
        <f>IF(E1135="","",IFERROR(1/(1/VLOOKUP(E1135,T_Produits,3,FALSE)),""))</f>
        <v/>
      </c>
      <c r="O1135" s="40">
        <f>IF(OR(D1135="",F1135=""),"",IF(OR(D1135="Casse / avarie",D1135="Perte / vol",D1135="Échantillon offert"),IF(I1135&lt;&gt;"",I1135,IF(N1135="","",F1135*N1135)),""))</f>
        <v/>
      </c>
      <c r="P1135" s="50">
        <f>IF(OR(D1135="",F1135=""),"",F1135*IF(OR(D1135="Reçu du magasin",D1135="Ajustement (+)"),1,-1))</f>
        <v/>
      </c>
      <c r="Q1135" s="34">
        <f>IF(C1135="","",YEAR(C1135-WEEKDAY(C1135,2)+4)&amp;"-S"&amp;TEXT(INT((C1135-DATE(YEAR(C1135-WEEKDAY(C1135,2)+4),1,3)+WEEKDAY(DATE(YEAR(C1135-WEEKDAY(C1135,2)+4),1,3),2)+5)/7),"00"))</f>
        <v/>
      </c>
    </row>
    <row r="1136" ht="18" customHeight="1">
      <c r="A1136" s="39" t="n">
        <v>1131</v>
      </c>
      <c r="B1136" s="33">
        <f>IF(C1136="","",IF(L1136="À RENSEIGNER","GIC",L1136)&amp;"-S"&amp;TEXT(A1136,"00000"))</f>
        <v/>
      </c>
      <c r="C1136" s="32" t="n"/>
      <c r="D1136" s="36" t="n"/>
      <c r="E1136" s="36" t="n"/>
      <c r="F1136" s="42" t="n"/>
      <c r="G1136" s="36" t="n"/>
      <c r="H1136" s="43" t="n"/>
      <c r="I1136" s="37" t="n"/>
      <c r="J1136" s="44" t="n"/>
      <c r="K1136" s="36" t="n"/>
      <c r="L1136" s="33">
        <f>IF(C1136="","",Commercial_Id)</f>
        <v/>
      </c>
      <c r="M1136" s="34">
        <f>IF(E1136="","",IFERROR(VLOOKUP(E1136,T_Produits,2,FALSE),""))</f>
        <v/>
      </c>
      <c r="N1136" s="40">
        <f>IF(E1136="","",IFERROR(1/(1/VLOOKUP(E1136,T_Produits,3,FALSE)),""))</f>
        <v/>
      </c>
      <c r="O1136" s="40">
        <f>IF(OR(D1136="",F1136=""),"",IF(OR(D1136="Casse / avarie",D1136="Perte / vol",D1136="Échantillon offert"),IF(I1136&lt;&gt;"",I1136,IF(N1136="","",F1136*N1136)),""))</f>
        <v/>
      </c>
      <c r="P1136" s="50">
        <f>IF(OR(D1136="",F1136=""),"",F1136*IF(OR(D1136="Reçu du magasin",D1136="Ajustement (+)"),1,-1))</f>
        <v/>
      </c>
      <c r="Q1136" s="34">
        <f>IF(C1136="","",YEAR(C1136-WEEKDAY(C1136,2)+4)&amp;"-S"&amp;TEXT(INT((C1136-DATE(YEAR(C1136-WEEKDAY(C1136,2)+4),1,3)+WEEKDAY(DATE(YEAR(C1136-WEEKDAY(C1136,2)+4),1,3),2)+5)/7),"00"))</f>
        <v/>
      </c>
    </row>
    <row r="1137" ht="18" customHeight="1">
      <c r="A1137" s="39" t="n">
        <v>1132</v>
      </c>
      <c r="B1137" s="33">
        <f>IF(C1137="","",IF(L1137="À RENSEIGNER","GIC",L1137)&amp;"-S"&amp;TEXT(A1137,"00000"))</f>
        <v/>
      </c>
      <c r="C1137" s="32" t="n"/>
      <c r="D1137" s="36" t="n"/>
      <c r="E1137" s="36" t="n"/>
      <c r="F1137" s="42" t="n"/>
      <c r="G1137" s="36" t="n"/>
      <c r="H1137" s="43" t="n"/>
      <c r="I1137" s="37" t="n"/>
      <c r="J1137" s="44" t="n"/>
      <c r="K1137" s="36" t="n"/>
      <c r="L1137" s="33">
        <f>IF(C1137="","",Commercial_Id)</f>
        <v/>
      </c>
      <c r="M1137" s="34">
        <f>IF(E1137="","",IFERROR(VLOOKUP(E1137,T_Produits,2,FALSE),""))</f>
        <v/>
      </c>
      <c r="N1137" s="40">
        <f>IF(E1137="","",IFERROR(1/(1/VLOOKUP(E1137,T_Produits,3,FALSE)),""))</f>
        <v/>
      </c>
      <c r="O1137" s="40">
        <f>IF(OR(D1137="",F1137=""),"",IF(OR(D1137="Casse / avarie",D1137="Perte / vol",D1137="Échantillon offert"),IF(I1137&lt;&gt;"",I1137,IF(N1137="","",F1137*N1137)),""))</f>
        <v/>
      </c>
      <c r="P1137" s="50">
        <f>IF(OR(D1137="",F1137=""),"",F1137*IF(OR(D1137="Reçu du magasin",D1137="Ajustement (+)"),1,-1))</f>
        <v/>
      </c>
      <c r="Q1137" s="34">
        <f>IF(C1137="","",YEAR(C1137-WEEKDAY(C1137,2)+4)&amp;"-S"&amp;TEXT(INT((C1137-DATE(YEAR(C1137-WEEKDAY(C1137,2)+4),1,3)+WEEKDAY(DATE(YEAR(C1137-WEEKDAY(C1137,2)+4),1,3),2)+5)/7),"00"))</f>
        <v/>
      </c>
    </row>
    <row r="1138" ht="18" customHeight="1">
      <c r="A1138" s="39" t="n">
        <v>1133</v>
      </c>
      <c r="B1138" s="33">
        <f>IF(C1138="","",IF(L1138="À RENSEIGNER","GIC",L1138)&amp;"-S"&amp;TEXT(A1138,"00000"))</f>
        <v/>
      </c>
      <c r="C1138" s="32" t="n"/>
      <c r="D1138" s="36" t="n"/>
      <c r="E1138" s="36" t="n"/>
      <c r="F1138" s="42" t="n"/>
      <c r="G1138" s="36" t="n"/>
      <c r="H1138" s="43" t="n"/>
      <c r="I1138" s="37" t="n"/>
      <c r="J1138" s="44" t="n"/>
      <c r="K1138" s="36" t="n"/>
      <c r="L1138" s="33">
        <f>IF(C1138="","",Commercial_Id)</f>
        <v/>
      </c>
      <c r="M1138" s="34">
        <f>IF(E1138="","",IFERROR(VLOOKUP(E1138,T_Produits,2,FALSE),""))</f>
        <v/>
      </c>
      <c r="N1138" s="40">
        <f>IF(E1138="","",IFERROR(1/(1/VLOOKUP(E1138,T_Produits,3,FALSE)),""))</f>
        <v/>
      </c>
      <c r="O1138" s="40">
        <f>IF(OR(D1138="",F1138=""),"",IF(OR(D1138="Casse / avarie",D1138="Perte / vol",D1138="Échantillon offert"),IF(I1138&lt;&gt;"",I1138,IF(N1138="","",F1138*N1138)),""))</f>
        <v/>
      </c>
      <c r="P1138" s="50">
        <f>IF(OR(D1138="",F1138=""),"",F1138*IF(OR(D1138="Reçu du magasin",D1138="Ajustement (+)"),1,-1))</f>
        <v/>
      </c>
      <c r="Q1138" s="34">
        <f>IF(C1138="","",YEAR(C1138-WEEKDAY(C1138,2)+4)&amp;"-S"&amp;TEXT(INT((C1138-DATE(YEAR(C1138-WEEKDAY(C1138,2)+4),1,3)+WEEKDAY(DATE(YEAR(C1138-WEEKDAY(C1138,2)+4),1,3),2)+5)/7),"00"))</f>
        <v/>
      </c>
    </row>
    <row r="1139" ht="18" customHeight="1">
      <c r="A1139" s="39" t="n">
        <v>1134</v>
      </c>
      <c r="B1139" s="33">
        <f>IF(C1139="","",IF(L1139="À RENSEIGNER","GIC",L1139)&amp;"-S"&amp;TEXT(A1139,"00000"))</f>
        <v/>
      </c>
      <c r="C1139" s="32" t="n"/>
      <c r="D1139" s="36" t="n"/>
      <c r="E1139" s="36" t="n"/>
      <c r="F1139" s="42" t="n"/>
      <c r="G1139" s="36" t="n"/>
      <c r="H1139" s="43" t="n"/>
      <c r="I1139" s="37" t="n"/>
      <c r="J1139" s="44" t="n"/>
      <c r="K1139" s="36" t="n"/>
      <c r="L1139" s="33">
        <f>IF(C1139="","",Commercial_Id)</f>
        <v/>
      </c>
      <c r="M1139" s="34">
        <f>IF(E1139="","",IFERROR(VLOOKUP(E1139,T_Produits,2,FALSE),""))</f>
        <v/>
      </c>
      <c r="N1139" s="40">
        <f>IF(E1139="","",IFERROR(1/(1/VLOOKUP(E1139,T_Produits,3,FALSE)),""))</f>
        <v/>
      </c>
      <c r="O1139" s="40">
        <f>IF(OR(D1139="",F1139=""),"",IF(OR(D1139="Casse / avarie",D1139="Perte / vol",D1139="Échantillon offert"),IF(I1139&lt;&gt;"",I1139,IF(N1139="","",F1139*N1139)),""))</f>
        <v/>
      </c>
      <c r="P1139" s="50">
        <f>IF(OR(D1139="",F1139=""),"",F1139*IF(OR(D1139="Reçu du magasin",D1139="Ajustement (+)"),1,-1))</f>
        <v/>
      </c>
      <c r="Q1139" s="34">
        <f>IF(C1139="","",YEAR(C1139-WEEKDAY(C1139,2)+4)&amp;"-S"&amp;TEXT(INT((C1139-DATE(YEAR(C1139-WEEKDAY(C1139,2)+4),1,3)+WEEKDAY(DATE(YEAR(C1139-WEEKDAY(C1139,2)+4),1,3),2)+5)/7),"00"))</f>
        <v/>
      </c>
    </row>
    <row r="1140" ht="18" customHeight="1">
      <c r="A1140" s="39" t="n">
        <v>1135</v>
      </c>
      <c r="B1140" s="33">
        <f>IF(C1140="","",IF(L1140="À RENSEIGNER","GIC",L1140)&amp;"-S"&amp;TEXT(A1140,"00000"))</f>
        <v/>
      </c>
      <c r="C1140" s="32" t="n"/>
      <c r="D1140" s="36" t="n"/>
      <c r="E1140" s="36" t="n"/>
      <c r="F1140" s="42" t="n"/>
      <c r="G1140" s="36" t="n"/>
      <c r="H1140" s="43" t="n"/>
      <c r="I1140" s="37" t="n"/>
      <c r="J1140" s="44" t="n"/>
      <c r="K1140" s="36" t="n"/>
      <c r="L1140" s="33">
        <f>IF(C1140="","",Commercial_Id)</f>
        <v/>
      </c>
      <c r="M1140" s="34">
        <f>IF(E1140="","",IFERROR(VLOOKUP(E1140,T_Produits,2,FALSE),""))</f>
        <v/>
      </c>
      <c r="N1140" s="40">
        <f>IF(E1140="","",IFERROR(1/(1/VLOOKUP(E1140,T_Produits,3,FALSE)),""))</f>
        <v/>
      </c>
      <c r="O1140" s="40">
        <f>IF(OR(D1140="",F1140=""),"",IF(OR(D1140="Casse / avarie",D1140="Perte / vol",D1140="Échantillon offert"),IF(I1140&lt;&gt;"",I1140,IF(N1140="","",F1140*N1140)),""))</f>
        <v/>
      </c>
      <c r="P1140" s="50">
        <f>IF(OR(D1140="",F1140=""),"",F1140*IF(OR(D1140="Reçu du magasin",D1140="Ajustement (+)"),1,-1))</f>
        <v/>
      </c>
      <c r="Q1140" s="34">
        <f>IF(C1140="","",YEAR(C1140-WEEKDAY(C1140,2)+4)&amp;"-S"&amp;TEXT(INT((C1140-DATE(YEAR(C1140-WEEKDAY(C1140,2)+4),1,3)+WEEKDAY(DATE(YEAR(C1140-WEEKDAY(C1140,2)+4),1,3),2)+5)/7),"00"))</f>
        <v/>
      </c>
    </row>
    <row r="1141" ht="18" customHeight="1">
      <c r="A1141" s="39" t="n">
        <v>1136</v>
      </c>
      <c r="B1141" s="33">
        <f>IF(C1141="","",IF(L1141="À RENSEIGNER","GIC",L1141)&amp;"-S"&amp;TEXT(A1141,"00000"))</f>
        <v/>
      </c>
      <c r="C1141" s="32" t="n"/>
      <c r="D1141" s="36" t="n"/>
      <c r="E1141" s="36" t="n"/>
      <c r="F1141" s="42" t="n"/>
      <c r="G1141" s="36" t="n"/>
      <c r="H1141" s="43" t="n"/>
      <c r="I1141" s="37" t="n"/>
      <c r="J1141" s="44" t="n"/>
      <c r="K1141" s="36" t="n"/>
      <c r="L1141" s="33">
        <f>IF(C1141="","",Commercial_Id)</f>
        <v/>
      </c>
      <c r="M1141" s="34">
        <f>IF(E1141="","",IFERROR(VLOOKUP(E1141,T_Produits,2,FALSE),""))</f>
        <v/>
      </c>
      <c r="N1141" s="40">
        <f>IF(E1141="","",IFERROR(1/(1/VLOOKUP(E1141,T_Produits,3,FALSE)),""))</f>
        <v/>
      </c>
      <c r="O1141" s="40">
        <f>IF(OR(D1141="",F1141=""),"",IF(OR(D1141="Casse / avarie",D1141="Perte / vol",D1141="Échantillon offert"),IF(I1141&lt;&gt;"",I1141,IF(N1141="","",F1141*N1141)),""))</f>
        <v/>
      </c>
      <c r="P1141" s="50">
        <f>IF(OR(D1141="",F1141=""),"",F1141*IF(OR(D1141="Reçu du magasin",D1141="Ajustement (+)"),1,-1))</f>
        <v/>
      </c>
      <c r="Q1141" s="34">
        <f>IF(C1141="","",YEAR(C1141-WEEKDAY(C1141,2)+4)&amp;"-S"&amp;TEXT(INT((C1141-DATE(YEAR(C1141-WEEKDAY(C1141,2)+4),1,3)+WEEKDAY(DATE(YEAR(C1141-WEEKDAY(C1141,2)+4),1,3),2)+5)/7),"00"))</f>
        <v/>
      </c>
    </row>
    <row r="1142" ht="18" customHeight="1">
      <c r="A1142" s="39" t="n">
        <v>1137</v>
      </c>
      <c r="B1142" s="33">
        <f>IF(C1142="","",IF(L1142="À RENSEIGNER","GIC",L1142)&amp;"-S"&amp;TEXT(A1142,"00000"))</f>
        <v/>
      </c>
      <c r="C1142" s="32" t="n"/>
      <c r="D1142" s="36" t="n"/>
      <c r="E1142" s="36" t="n"/>
      <c r="F1142" s="42" t="n"/>
      <c r="G1142" s="36" t="n"/>
      <c r="H1142" s="43" t="n"/>
      <c r="I1142" s="37" t="n"/>
      <c r="J1142" s="44" t="n"/>
      <c r="K1142" s="36" t="n"/>
      <c r="L1142" s="33">
        <f>IF(C1142="","",Commercial_Id)</f>
        <v/>
      </c>
      <c r="M1142" s="34">
        <f>IF(E1142="","",IFERROR(VLOOKUP(E1142,T_Produits,2,FALSE),""))</f>
        <v/>
      </c>
      <c r="N1142" s="40">
        <f>IF(E1142="","",IFERROR(1/(1/VLOOKUP(E1142,T_Produits,3,FALSE)),""))</f>
        <v/>
      </c>
      <c r="O1142" s="40">
        <f>IF(OR(D1142="",F1142=""),"",IF(OR(D1142="Casse / avarie",D1142="Perte / vol",D1142="Échantillon offert"),IF(I1142&lt;&gt;"",I1142,IF(N1142="","",F1142*N1142)),""))</f>
        <v/>
      </c>
      <c r="P1142" s="50">
        <f>IF(OR(D1142="",F1142=""),"",F1142*IF(OR(D1142="Reçu du magasin",D1142="Ajustement (+)"),1,-1))</f>
        <v/>
      </c>
      <c r="Q1142" s="34">
        <f>IF(C1142="","",YEAR(C1142-WEEKDAY(C1142,2)+4)&amp;"-S"&amp;TEXT(INT((C1142-DATE(YEAR(C1142-WEEKDAY(C1142,2)+4),1,3)+WEEKDAY(DATE(YEAR(C1142-WEEKDAY(C1142,2)+4),1,3),2)+5)/7),"00"))</f>
        <v/>
      </c>
    </row>
    <row r="1143" ht="18" customHeight="1">
      <c r="A1143" s="39" t="n">
        <v>1138</v>
      </c>
      <c r="B1143" s="33">
        <f>IF(C1143="","",IF(L1143="À RENSEIGNER","GIC",L1143)&amp;"-S"&amp;TEXT(A1143,"00000"))</f>
        <v/>
      </c>
      <c r="C1143" s="32" t="n"/>
      <c r="D1143" s="36" t="n"/>
      <c r="E1143" s="36" t="n"/>
      <c r="F1143" s="42" t="n"/>
      <c r="G1143" s="36" t="n"/>
      <c r="H1143" s="43" t="n"/>
      <c r="I1143" s="37" t="n"/>
      <c r="J1143" s="44" t="n"/>
      <c r="K1143" s="36" t="n"/>
      <c r="L1143" s="33">
        <f>IF(C1143="","",Commercial_Id)</f>
        <v/>
      </c>
      <c r="M1143" s="34">
        <f>IF(E1143="","",IFERROR(VLOOKUP(E1143,T_Produits,2,FALSE),""))</f>
        <v/>
      </c>
      <c r="N1143" s="40">
        <f>IF(E1143="","",IFERROR(1/(1/VLOOKUP(E1143,T_Produits,3,FALSE)),""))</f>
        <v/>
      </c>
      <c r="O1143" s="40">
        <f>IF(OR(D1143="",F1143=""),"",IF(OR(D1143="Casse / avarie",D1143="Perte / vol",D1143="Échantillon offert"),IF(I1143&lt;&gt;"",I1143,IF(N1143="","",F1143*N1143)),""))</f>
        <v/>
      </c>
      <c r="P1143" s="50">
        <f>IF(OR(D1143="",F1143=""),"",F1143*IF(OR(D1143="Reçu du magasin",D1143="Ajustement (+)"),1,-1))</f>
        <v/>
      </c>
      <c r="Q1143" s="34">
        <f>IF(C1143="","",YEAR(C1143-WEEKDAY(C1143,2)+4)&amp;"-S"&amp;TEXT(INT((C1143-DATE(YEAR(C1143-WEEKDAY(C1143,2)+4),1,3)+WEEKDAY(DATE(YEAR(C1143-WEEKDAY(C1143,2)+4),1,3),2)+5)/7),"00"))</f>
        <v/>
      </c>
    </row>
    <row r="1144" ht="18" customHeight="1">
      <c r="A1144" s="39" t="n">
        <v>1139</v>
      </c>
      <c r="B1144" s="33">
        <f>IF(C1144="","",IF(L1144="À RENSEIGNER","GIC",L1144)&amp;"-S"&amp;TEXT(A1144,"00000"))</f>
        <v/>
      </c>
      <c r="C1144" s="32" t="n"/>
      <c r="D1144" s="36" t="n"/>
      <c r="E1144" s="36" t="n"/>
      <c r="F1144" s="42" t="n"/>
      <c r="G1144" s="36" t="n"/>
      <c r="H1144" s="43" t="n"/>
      <c r="I1144" s="37" t="n"/>
      <c r="J1144" s="44" t="n"/>
      <c r="K1144" s="36" t="n"/>
      <c r="L1144" s="33">
        <f>IF(C1144="","",Commercial_Id)</f>
        <v/>
      </c>
      <c r="M1144" s="34">
        <f>IF(E1144="","",IFERROR(VLOOKUP(E1144,T_Produits,2,FALSE),""))</f>
        <v/>
      </c>
      <c r="N1144" s="40">
        <f>IF(E1144="","",IFERROR(1/(1/VLOOKUP(E1144,T_Produits,3,FALSE)),""))</f>
        <v/>
      </c>
      <c r="O1144" s="40">
        <f>IF(OR(D1144="",F1144=""),"",IF(OR(D1144="Casse / avarie",D1144="Perte / vol",D1144="Échantillon offert"),IF(I1144&lt;&gt;"",I1144,IF(N1144="","",F1144*N1144)),""))</f>
        <v/>
      </c>
      <c r="P1144" s="50">
        <f>IF(OR(D1144="",F1144=""),"",F1144*IF(OR(D1144="Reçu du magasin",D1144="Ajustement (+)"),1,-1))</f>
        <v/>
      </c>
      <c r="Q1144" s="34">
        <f>IF(C1144="","",YEAR(C1144-WEEKDAY(C1144,2)+4)&amp;"-S"&amp;TEXT(INT((C1144-DATE(YEAR(C1144-WEEKDAY(C1144,2)+4),1,3)+WEEKDAY(DATE(YEAR(C1144-WEEKDAY(C1144,2)+4),1,3),2)+5)/7),"00"))</f>
        <v/>
      </c>
    </row>
    <row r="1145" ht="18" customHeight="1">
      <c r="A1145" s="39" t="n">
        <v>1140</v>
      </c>
      <c r="B1145" s="33">
        <f>IF(C1145="","",IF(L1145="À RENSEIGNER","GIC",L1145)&amp;"-S"&amp;TEXT(A1145,"00000"))</f>
        <v/>
      </c>
      <c r="C1145" s="32" t="n"/>
      <c r="D1145" s="36" t="n"/>
      <c r="E1145" s="36" t="n"/>
      <c r="F1145" s="42" t="n"/>
      <c r="G1145" s="36" t="n"/>
      <c r="H1145" s="43" t="n"/>
      <c r="I1145" s="37" t="n"/>
      <c r="J1145" s="44" t="n"/>
      <c r="K1145" s="36" t="n"/>
      <c r="L1145" s="33">
        <f>IF(C1145="","",Commercial_Id)</f>
        <v/>
      </c>
      <c r="M1145" s="34">
        <f>IF(E1145="","",IFERROR(VLOOKUP(E1145,T_Produits,2,FALSE),""))</f>
        <v/>
      </c>
      <c r="N1145" s="40">
        <f>IF(E1145="","",IFERROR(1/(1/VLOOKUP(E1145,T_Produits,3,FALSE)),""))</f>
        <v/>
      </c>
      <c r="O1145" s="40">
        <f>IF(OR(D1145="",F1145=""),"",IF(OR(D1145="Casse / avarie",D1145="Perte / vol",D1145="Échantillon offert"),IF(I1145&lt;&gt;"",I1145,IF(N1145="","",F1145*N1145)),""))</f>
        <v/>
      </c>
      <c r="P1145" s="50">
        <f>IF(OR(D1145="",F1145=""),"",F1145*IF(OR(D1145="Reçu du magasin",D1145="Ajustement (+)"),1,-1))</f>
        <v/>
      </c>
      <c r="Q1145" s="34">
        <f>IF(C1145="","",YEAR(C1145-WEEKDAY(C1145,2)+4)&amp;"-S"&amp;TEXT(INT((C1145-DATE(YEAR(C1145-WEEKDAY(C1145,2)+4),1,3)+WEEKDAY(DATE(YEAR(C1145-WEEKDAY(C1145,2)+4),1,3),2)+5)/7),"00"))</f>
        <v/>
      </c>
    </row>
    <row r="1146" ht="18" customHeight="1">
      <c r="A1146" s="39" t="n">
        <v>1141</v>
      </c>
      <c r="B1146" s="33">
        <f>IF(C1146="","",IF(L1146="À RENSEIGNER","GIC",L1146)&amp;"-S"&amp;TEXT(A1146,"00000"))</f>
        <v/>
      </c>
      <c r="C1146" s="32" t="n"/>
      <c r="D1146" s="36" t="n"/>
      <c r="E1146" s="36" t="n"/>
      <c r="F1146" s="42" t="n"/>
      <c r="G1146" s="36" t="n"/>
      <c r="H1146" s="43" t="n"/>
      <c r="I1146" s="37" t="n"/>
      <c r="J1146" s="44" t="n"/>
      <c r="K1146" s="36" t="n"/>
      <c r="L1146" s="33">
        <f>IF(C1146="","",Commercial_Id)</f>
        <v/>
      </c>
      <c r="M1146" s="34">
        <f>IF(E1146="","",IFERROR(VLOOKUP(E1146,T_Produits,2,FALSE),""))</f>
        <v/>
      </c>
      <c r="N1146" s="40">
        <f>IF(E1146="","",IFERROR(1/(1/VLOOKUP(E1146,T_Produits,3,FALSE)),""))</f>
        <v/>
      </c>
      <c r="O1146" s="40">
        <f>IF(OR(D1146="",F1146=""),"",IF(OR(D1146="Casse / avarie",D1146="Perte / vol",D1146="Échantillon offert"),IF(I1146&lt;&gt;"",I1146,IF(N1146="","",F1146*N1146)),""))</f>
        <v/>
      </c>
      <c r="P1146" s="50">
        <f>IF(OR(D1146="",F1146=""),"",F1146*IF(OR(D1146="Reçu du magasin",D1146="Ajustement (+)"),1,-1))</f>
        <v/>
      </c>
      <c r="Q1146" s="34">
        <f>IF(C1146="","",YEAR(C1146-WEEKDAY(C1146,2)+4)&amp;"-S"&amp;TEXT(INT((C1146-DATE(YEAR(C1146-WEEKDAY(C1146,2)+4),1,3)+WEEKDAY(DATE(YEAR(C1146-WEEKDAY(C1146,2)+4),1,3),2)+5)/7),"00"))</f>
        <v/>
      </c>
    </row>
    <row r="1147" ht="18" customHeight="1">
      <c r="A1147" s="39" t="n">
        <v>1142</v>
      </c>
      <c r="B1147" s="33">
        <f>IF(C1147="","",IF(L1147="À RENSEIGNER","GIC",L1147)&amp;"-S"&amp;TEXT(A1147,"00000"))</f>
        <v/>
      </c>
      <c r="C1147" s="32" t="n"/>
      <c r="D1147" s="36" t="n"/>
      <c r="E1147" s="36" t="n"/>
      <c r="F1147" s="42" t="n"/>
      <c r="G1147" s="36" t="n"/>
      <c r="H1147" s="43" t="n"/>
      <c r="I1147" s="37" t="n"/>
      <c r="J1147" s="44" t="n"/>
      <c r="K1147" s="36" t="n"/>
      <c r="L1147" s="33">
        <f>IF(C1147="","",Commercial_Id)</f>
        <v/>
      </c>
      <c r="M1147" s="34">
        <f>IF(E1147="","",IFERROR(VLOOKUP(E1147,T_Produits,2,FALSE),""))</f>
        <v/>
      </c>
      <c r="N1147" s="40">
        <f>IF(E1147="","",IFERROR(1/(1/VLOOKUP(E1147,T_Produits,3,FALSE)),""))</f>
        <v/>
      </c>
      <c r="O1147" s="40">
        <f>IF(OR(D1147="",F1147=""),"",IF(OR(D1147="Casse / avarie",D1147="Perte / vol",D1147="Échantillon offert"),IF(I1147&lt;&gt;"",I1147,IF(N1147="","",F1147*N1147)),""))</f>
        <v/>
      </c>
      <c r="P1147" s="50">
        <f>IF(OR(D1147="",F1147=""),"",F1147*IF(OR(D1147="Reçu du magasin",D1147="Ajustement (+)"),1,-1))</f>
        <v/>
      </c>
      <c r="Q1147" s="34">
        <f>IF(C1147="","",YEAR(C1147-WEEKDAY(C1147,2)+4)&amp;"-S"&amp;TEXT(INT((C1147-DATE(YEAR(C1147-WEEKDAY(C1147,2)+4),1,3)+WEEKDAY(DATE(YEAR(C1147-WEEKDAY(C1147,2)+4),1,3),2)+5)/7),"00"))</f>
        <v/>
      </c>
    </row>
    <row r="1148" ht="18" customHeight="1">
      <c r="A1148" s="39" t="n">
        <v>1143</v>
      </c>
      <c r="B1148" s="33">
        <f>IF(C1148="","",IF(L1148="À RENSEIGNER","GIC",L1148)&amp;"-S"&amp;TEXT(A1148,"00000"))</f>
        <v/>
      </c>
      <c r="C1148" s="32" t="n"/>
      <c r="D1148" s="36" t="n"/>
      <c r="E1148" s="36" t="n"/>
      <c r="F1148" s="42" t="n"/>
      <c r="G1148" s="36" t="n"/>
      <c r="H1148" s="43" t="n"/>
      <c r="I1148" s="37" t="n"/>
      <c r="J1148" s="44" t="n"/>
      <c r="K1148" s="36" t="n"/>
      <c r="L1148" s="33">
        <f>IF(C1148="","",Commercial_Id)</f>
        <v/>
      </c>
      <c r="M1148" s="34">
        <f>IF(E1148="","",IFERROR(VLOOKUP(E1148,T_Produits,2,FALSE),""))</f>
        <v/>
      </c>
      <c r="N1148" s="40">
        <f>IF(E1148="","",IFERROR(1/(1/VLOOKUP(E1148,T_Produits,3,FALSE)),""))</f>
        <v/>
      </c>
      <c r="O1148" s="40">
        <f>IF(OR(D1148="",F1148=""),"",IF(OR(D1148="Casse / avarie",D1148="Perte / vol",D1148="Échantillon offert"),IF(I1148&lt;&gt;"",I1148,IF(N1148="","",F1148*N1148)),""))</f>
        <v/>
      </c>
      <c r="P1148" s="50">
        <f>IF(OR(D1148="",F1148=""),"",F1148*IF(OR(D1148="Reçu du magasin",D1148="Ajustement (+)"),1,-1))</f>
        <v/>
      </c>
      <c r="Q1148" s="34">
        <f>IF(C1148="","",YEAR(C1148-WEEKDAY(C1148,2)+4)&amp;"-S"&amp;TEXT(INT((C1148-DATE(YEAR(C1148-WEEKDAY(C1148,2)+4),1,3)+WEEKDAY(DATE(YEAR(C1148-WEEKDAY(C1148,2)+4),1,3),2)+5)/7),"00"))</f>
        <v/>
      </c>
    </row>
    <row r="1149" ht="18" customHeight="1">
      <c r="A1149" s="39" t="n">
        <v>1144</v>
      </c>
      <c r="B1149" s="33">
        <f>IF(C1149="","",IF(L1149="À RENSEIGNER","GIC",L1149)&amp;"-S"&amp;TEXT(A1149,"00000"))</f>
        <v/>
      </c>
      <c r="C1149" s="32" t="n"/>
      <c r="D1149" s="36" t="n"/>
      <c r="E1149" s="36" t="n"/>
      <c r="F1149" s="42" t="n"/>
      <c r="G1149" s="36" t="n"/>
      <c r="H1149" s="43" t="n"/>
      <c r="I1149" s="37" t="n"/>
      <c r="J1149" s="44" t="n"/>
      <c r="K1149" s="36" t="n"/>
      <c r="L1149" s="33">
        <f>IF(C1149="","",Commercial_Id)</f>
        <v/>
      </c>
      <c r="M1149" s="34">
        <f>IF(E1149="","",IFERROR(VLOOKUP(E1149,T_Produits,2,FALSE),""))</f>
        <v/>
      </c>
      <c r="N1149" s="40">
        <f>IF(E1149="","",IFERROR(1/(1/VLOOKUP(E1149,T_Produits,3,FALSE)),""))</f>
        <v/>
      </c>
      <c r="O1149" s="40">
        <f>IF(OR(D1149="",F1149=""),"",IF(OR(D1149="Casse / avarie",D1149="Perte / vol",D1149="Échantillon offert"),IF(I1149&lt;&gt;"",I1149,IF(N1149="","",F1149*N1149)),""))</f>
        <v/>
      </c>
      <c r="P1149" s="50">
        <f>IF(OR(D1149="",F1149=""),"",F1149*IF(OR(D1149="Reçu du magasin",D1149="Ajustement (+)"),1,-1))</f>
        <v/>
      </c>
      <c r="Q1149" s="34">
        <f>IF(C1149="","",YEAR(C1149-WEEKDAY(C1149,2)+4)&amp;"-S"&amp;TEXT(INT((C1149-DATE(YEAR(C1149-WEEKDAY(C1149,2)+4),1,3)+WEEKDAY(DATE(YEAR(C1149-WEEKDAY(C1149,2)+4),1,3),2)+5)/7),"00"))</f>
        <v/>
      </c>
    </row>
    <row r="1150" ht="18" customHeight="1">
      <c r="A1150" s="39" t="n">
        <v>1145</v>
      </c>
      <c r="B1150" s="33">
        <f>IF(C1150="","",IF(L1150="À RENSEIGNER","GIC",L1150)&amp;"-S"&amp;TEXT(A1150,"00000"))</f>
        <v/>
      </c>
      <c r="C1150" s="32" t="n"/>
      <c r="D1150" s="36" t="n"/>
      <c r="E1150" s="36" t="n"/>
      <c r="F1150" s="42" t="n"/>
      <c r="G1150" s="36" t="n"/>
      <c r="H1150" s="43" t="n"/>
      <c r="I1150" s="37" t="n"/>
      <c r="J1150" s="44" t="n"/>
      <c r="K1150" s="36" t="n"/>
      <c r="L1150" s="33">
        <f>IF(C1150="","",Commercial_Id)</f>
        <v/>
      </c>
      <c r="M1150" s="34">
        <f>IF(E1150="","",IFERROR(VLOOKUP(E1150,T_Produits,2,FALSE),""))</f>
        <v/>
      </c>
      <c r="N1150" s="40">
        <f>IF(E1150="","",IFERROR(1/(1/VLOOKUP(E1150,T_Produits,3,FALSE)),""))</f>
        <v/>
      </c>
      <c r="O1150" s="40">
        <f>IF(OR(D1150="",F1150=""),"",IF(OR(D1150="Casse / avarie",D1150="Perte / vol",D1150="Échantillon offert"),IF(I1150&lt;&gt;"",I1150,IF(N1150="","",F1150*N1150)),""))</f>
        <v/>
      </c>
      <c r="P1150" s="50">
        <f>IF(OR(D1150="",F1150=""),"",F1150*IF(OR(D1150="Reçu du magasin",D1150="Ajustement (+)"),1,-1))</f>
        <v/>
      </c>
      <c r="Q1150" s="34">
        <f>IF(C1150="","",YEAR(C1150-WEEKDAY(C1150,2)+4)&amp;"-S"&amp;TEXT(INT((C1150-DATE(YEAR(C1150-WEEKDAY(C1150,2)+4),1,3)+WEEKDAY(DATE(YEAR(C1150-WEEKDAY(C1150,2)+4),1,3),2)+5)/7),"00"))</f>
        <v/>
      </c>
    </row>
    <row r="1151" ht="18" customHeight="1">
      <c r="A1151" s="39" t="n">
        <v>1146</v>
      </c>
      <c r="B1151" s="33">
        <f>IF(C1151="","",IF(L1151="À RENSEIGNER","GIC",L1151)&amp;"-S"&amp;TEXT(A1151,"00000"))</f>
        <v/>
      </c>
      <c r="C1151" s="32" t="n"/>
      <c r="D1151" s="36" t="n"/>
      <c r="E1151" s="36" t="n"/>
      <c r="F1151" s="42" t="n"/>
      <c r="G1151" s="36" t="n"/>
      <c r="H1151" s="43" t="n"/>
      <c r="I1151" s="37" t="n"/>
      <c r="J1151" s="44" t="n"/>
      <c r="K1151" s="36" t="n"/>
      <c r="L1151" s="33">
        <f>IF(C1151="","",Commercial_Id)</f>
        <v/>
      </c>
      <c r="M1151" s="34">
        <f>IF(E1151="","",IFERROR(VLOOKUP(E1151,T_Produits,2,FALSE),""))</f>
        <v/>
      </c>
      <c r="N1151" s="40">
        <f>IF(E1151="","",IFERROR(1/(1/VLOOKUP(E1151,T_Produits,3,FALSE)),""))</f>
        <v/>
      </c>
      <c r="O1151" s="40">
        <f>IF(OR(D1151="",F1151=""),"",IF(OR(D1151="Casse / avarie",D1151="Perte / vol",D1151="Échantillon offert"),IF(I1151&lt;&gt;"",I1151,IF(N1151="","",F1151*N1151)),""))</f>
        <v/>
      </c>
      <c r="P1151" s="50">
        <f>IF(OR(D1151="",F1151=""),"",F1151*IF(OR(D1151="Reçu du magasin",D1151="Ajustement (+)"),1,-1))</f>
        <v/>
      </c>
      <c r="Q1151" s="34">
        <f>IF(C1151="","",YEAR(C1151-WEEKDAY(C1151,2)+4)&amp;"-S"&amp;TEXT(INT((C1151-DATE(YEAR(C1151-WEEKDAY(C1151,2)+4),1,3)+WEEKDAY(DATE(YEAR(C1151-WEEKDAY(C1151,2)+4),1,3),2)+5)/7),"00"))</f>
        <v/>
      </c>
    </row>
    <row r="1152" ht="18" customHeight="1">
      <c r="A1152" s="39" t="n">
        <v>1147</v>
      </c>
      <c r="B1152" s="33">
        <f>IF(C1152="","",IF(L1152="À RENSEIGNER","GIC",L1152)&amp;"-S"&amp;TEXT(A1152,"00000"))</f>
        <v/>
      </c>
      <c r="C1152" s="32" t="n"/>
      <c r="D1152" s="36" t="n"/>
      <c r="E1152" s="36" t="n"/>
      <c r="F1152" s="42" t="n"/>
      <c r="G1152" s="36" t="n"/>
      <c r="H1152" s="43" t="n"/>
      <c r="I1152" s="37" t="n"/>
      <c r="J1152" s="44" t="n"/>
      <c r="K1152" s="36" t="n"/>
      <c r="L1152" s="33">
        <f>IF(C1152="","",Commercial_Id)</f>
        <v/>
      </c>
      <c r="M1152" s="34">
        <f>IF(E1152="","",IFERROR(VLOOKUP(E1152,T_Produits,2,FALSE),""))</f>
        <v/>
      </c>
      <c r="N1152" s="40">
        <f>IF(E1152="","",IFERROR(1/(1/VLOOKUP(E1152,T_Produits,3,FALSE)),""))</f>
        <v/>
      </c>
      <c r="O1152" s="40">
        <f>IF(OR(D1152="",F1152=""),"",IF(OR(D1152="Casse / avarie",D1152="Perte / vol",D1152="Échantillon offert"),IF(I1152&lt;&gt;"",I1152,IF(N1152="","",F1152*N1152)),""))</f>
        <v/>
      </c>
      <c r="P1152" s="50">
        <f>IF(OR(D1152="",F1152=""),"",F1152*IF(OR(D1152="Reçu du magasin",D1152="Ajustement (+)"),1,-1))</f>
        <v/>
      </c>
      <c r="Q1152" s="34">
        <f>IF(C1152="","",YEAR(C1152-WEEKDAY(C1152,2)+4)&amp;"-S"&amp;TEXT(INT((C1152-DATE(YEAR(C1152-WEEKDAY(C1152,2)+4),1,3)+WEEKDAY(DATE(YEAR(C1152-WEEKDAY(C1152,2)+4),1,3),2)+5)/7),"00"))</f>
        <v/>
      </c>
    </row>
    <row r="1153" ht="18" customHeight="1">
      <c r="A1153" s="39" t="n">
        <v>1148</v>
      </c>
      <c r="B1153" s="33">
        <f>IF(C1153="","",IF(L1153="À RENSEIGNER","GIC",L1153)&amp;"-S"&amp;TEXT(A1153,"00000"))</f>
        <v/>
      </c>
      <c r="C1153" s="32" t="n"/>
      <c r="D1153" s="36" t="n"/>
      <c r="E1153" s="36" t="n"/>
      <c r="F1153" s="42" t="n"/>
      <c r="G1153" s="36" t="n"/>
      <c r="H1153" s="43" t="n"/>
      <c r="I1153" s="37" t="n"/>
      <c r="J1153" s="44" t="n"/>
      <c r="K1153" s="36" t="n"/>
      <c r="L1153" s="33">
        <f>IF(C1153="","",Commercial_Id)</f>
        <v/>
      </c>
      <c r="M1153" s="34">
        <f>IF(E1153="","",IFERROR(VLOOKUP(E1153,T_Produits,2,FALSE),""))</f>
        <v/>
      </c>
      <c r="N1153" s="40">
        <f>IF(E1153="","",IFERROR(1/(1/VLOOKUP(E1153,T_Produits,3,FALSE)),""))</f>
        <v/>
      </c>
      <c r="O1153" s="40">
        <f>IF(OR(D1153="",F1153=""),"",IF(OR(D1153="Casse / avarie",D1153="Perte / vol",D1153="Échantillon offert"),IF(I1153&lt;&gt;"",I1153,IF(N1153="","",F1153*N1153)),""))</f>
        <v/>
      </c>
      <c r="P1153" s="50">
        <f>IF(OR(D1153="",F1153=""),"",F1153*IF(OR(D1153="Reçu du magasin",D1153="Ajustement (+)"),1,-1))</f>
        <v/>
      </c>
      <c r="Q1153" s="34">
        <f>IF(C1153="","",YEAR(C1153-WEEKDAY(C1153,2)+4)&amp;"-S"&amp;TEXT(INT((C1153-DATE(YEAR(C1153-WEEKDAY(C1153,2)+4),1,3)+WEEKDAY(DATE(YEAR(C1153-WEEKDAY(C1153,2)+4),1,3),2)+5)/7),"00"))</f>
        <v/>
      </c>
    </row>
    <row r="1154" ht="18" customHeight="1">
      <c r="A1154" s="39" t="n">
        <v>1149</v>
      </c>
      <c r="B1154" s="33">
        <f>IF(C1154="","",IF(L1154="À RENSEIGNER","GIC",L1154)&amp;"-S"&amp;TEXT(A1154,"00000"))</f>
        <v/>
      </c>
      <c r="C1154" s="32" t="n"/>
      <c r="D1154" s="36" t="n"/>
      <c r="E1154" s="36" t="n"/>
      <c r="F1154" s="42" t="n"/>
      <c r="G1154" s="36" t="n"/>
      <c r="H1154" s="43" t="n"/>
      <c r="I1154" s="37" t="n"/>
      <c r="J1154" s="44" t="n"/>
      <c r="K1154" s="36" t="n"/>
      <c r="L1154" s="33">
        <f>IF(C1154="","",Commercial_Id)</f>
        <v/>
      </c>
      <c r="M1154" s="34">
        <f>IF(E1154="","",IFERROR(VLOOKUP(E1154,T_Produits,2,FALSE),""))</f>
        <v/>
      </c>
      <c r="N1154" s="40">
        <f>IF(E1154="","",IFERROR(1/(1/VLOOKUP(E1154,T_Produits,3,FALSE)),""))</f>
        <v/>
      </c>
      <c r="O1154" s="40">
        <f>IF(OR(D1154="",F1154=""),"",IF(OR(D1154="Casse / avarie",D1154="Perte / vol",D1154="Échantillon offert"),IF(I1154&lt;&gt;"",I1154,IF(N1154="","",F1154*N1154)),""))</f>
        <v/>
      </c>
      <c r="P1154" s="50">
        <f>IF(OR(D1154="",F1154=""),"",F1154*IF(OR(D1154="Reçu du magasin",D1154="Ajustement (+)"),1,-1))</f>
        <v/>
      </c>
      <c r="Q1154" s="34">
        <f>IF(C1154="","",YEAR(C1154-WEEKDAY(C1154,2)+4)&amp;"-S"&amp;TEXT(INT((C1154-DATE(YEAR(C1154-WEEKDAY(C1154,2)+4),1,3)+WEEKDAY(DATE(YEAR(C1154-WEEKDAY(C1154,2)+4),1,3),2)+5)/7),"00"))</f>
        <v/>
      </c>
    </row>
    <row r="1155" ht="18" customHeight="1">
      <c r="A1155" s="39" t="n">
        <v>1150</v>
      </c>
      <c r="B1155" s="33">
        <f>IF(C1155="","",IF(L1155="À RENSEIGNER","GIC",L1155)&amp;"-S"&amp;TEXT(A1155,"00000"))</f>
        <v/>
      </c>
      <c r="C1155" s="32" t="n"/>
      <c r="D1155" s="36" t="n"/>
      <c r="E1155" s="36" t="n"/>
      <c r="F1155" s="42" t="n"/>
      <c r="G1155" s="36" t="n"/>
      <c r="H1155" s="43" t="n"/>
      <c r="I1155" s="37" t="n"/>
      <c r="J1155" s="44" t="n"/>
      <c r="K1155" s="36" t="n"/>
      <c r="L1155" s="33">
        <f>IF(C1155="","",Commercial_Id)</f>
        <v/>
      </c>
      <c r="M1155" s="34">
        <f>IF(E1155="","",IFERROR(VLOOKUP(E1155,T_Produits,2,FALSE),""))</f>
        <v/>
      </c>
      <c r="N1155" s="40">
        <f>IF(E1155="","",IFERROR(1/(1/VLOOKUP(E1155,T_Produits,3,FALSE)),""))</f>
        <v/>
      </c>
      <c r="O1155" s="40">
        <f>IF(OR(D1155="",F1155=""),"",IF(OR(D1155="Casse / avarie",D1155="Perte / vol",D1155="Échantillon offert"),IF(I1155&lt;&gt;"",I1155,IF(N1155="","",F1155*N1155)),""))</f>
        <v/>
      </c>
      <c r="P1155" s="50">
        <f>IF(OR(D1155="",F1155=""),"",F1155*IF(OR(D1155="Reçu du magasin",D1155="Ajustement (+)"),1,-1))</f>
        <v/>
      </c>
      <c r="Q1155" s="34">
        <f>IF(C1155="","",YEAR(C1155-WEEKDAY(C1155,2)+4)&amp;"-S"&amp;TEXT(INT((C1155-DATE(YEAR(C1155-WEEKDAY(C1155,2)+4),1,3)+WEEKDAY(DATE(YEAR(C1155-WEEKDAY(C1155,2)+4),1,3),2)+5)/7),"00"))</f>
        <v/>
      </c>
    </row>
    <row r="1156" ht="18" customHeight="1">
      <c r="A1156" s="39" t="n">
        <v>1151</v>
      </c>
      <c r="B1156" s="33">
        <f>IF(C1156="","",IF(L1156="À RENSEIGNER","GIC",L1156)&amp;"-S"&amp;TEXT(A1156,"00000"))</f>
        <v/>
      </c>
      <c r="C1156" s="32" t="n"/>
      <c r="D1156" s="36" t="n"/>
      <c r="E1156" s="36" t="n"/>
      <c r="F1156" s="42" t="n"/>
      <c r="G1156" s="36" t="n"/>
      <c r="H1156" s="43" t="n"/>
      <c r="I1156" s="37" t="n"/>
      <c r="J1156" s="44" t="n"/>
      <c r="K1156" s="36" t="n"/>
      <c r="L1156" s="33">
        <f>IF(C1156="","",Commercial_Id)</f>
        <v/>
      </c>
      <c r="M1156" s="34">
        <f>IF(E1156="","",IFERROR(VLOOKUP(E1156,T_Produits,2,FALSE),""))</f>
        <v/>
      </c>
      <c r="N1156" s="40">
        <f>IF(E1156="","",IFERROR(1/(1/VLOOKUP(E1156,T_Produits,3,FALSE)),""))</f>
        <v/>
      </c>
      <c r="O1156" s="40">
        <f>IF(OR(D1156="",F1156=""),"",IF(OR(D1156="Casse / avarie",D1156="Perte / vol",D1156="Échantillon offert"),IF(I1156&lt;&gt;"",I1156,IF(N1156="","",F1156*N1156)),""))</f>
        <v/>
      </c>
      <c r="P1156" s="50">
        <f>IF(OR(D1156="",F1156=""),"",F1156*IF(OR(D1156="Reçu du magasin",D1156="Ajustement (+)"),1,-1))</f>
        <v/>
      </c>
      <c r="Q1156" s="34">
        <f>IF(C1156="","",YEAR(C1156-WEEKDAY(C1156,2)+4)&amp;"-S"&amp;TEXT(INT((C1156-DATE(YEAR(C1156-WEEKDAY(C1156,2)+4),1,3)+WEEKDAY(DATE(YEAR(C1156-WEEKDAY(C1156,2)+4),1,3),2)+5)/7),"00"))</f>
        <v/>
      </c>
    </row>
    <row r="1157" ht="18" customHeight="1">
      <c r="A1157" s="39" t="n">
        <v>1152</v>
      </c>
      <c r="B1157" s="33">
        <f>IF(C1157="","",IF(L1157="À RENSEIGNER","GIC",L1157)&amp;"-S"&amp;TEXT(A1157,"00000"))</f>
        <v/>
      </c>
      <c r="C1157" s="32" t="n"/>
      <c r="D1157" s="36" t="n"/>
      <c r="E1157" s="36" t="n"/>
      <c r="F1157" s="42" t="n"/>
      <c r="G1157" s="36" t="n"/>
      <c r="H1157" s="43" t="n"/>
      <c r="I1157" s="37" t="n"/>
      <c r="J1157" s="44" t="n"/>
      <c r="K1157" s="36" t="n"/>
      <c r="L1157" s="33">
        <f>IF(C1157="","",Commercial_Id)</f>
        <v/>
      </c>
      <c r="M1157" s="34">
        <f>IF(E1157="","",IFERROR(VLOOKUP(E1157,T_Produits,2,FALSE),""))</f>
        <v/>
      </c>
      <c r="N1157" s="40">
        <f>IF(E1157="","",IFERROR(1/(1/VLOOKUP(E1157,T_Produits,3,FALSE)),""))</f>
        <v/>
      </c>
      <c r="O1157" s="40">
        <f>IF(OR(D1157="",F1157=""),"",IF(OR(D1157="Casse / avarie",D1157="Perte / vol",D1157="Échantillon offert"),IF(I1157&lt;&gt;"",I1157,IF(N1157="","",F1157*N1157)),""))</f>
        <v/>
      </c>
      <c r="P1157" s="50">
        <f>IF(OR(D1157="",F1157=""),"",F1157*IF(OR(D1157="Reçu du magasin",D1157="Ajustement (+)"),1,-1))</f>
        <v/>
      </c>
      <c r="Q1157" s="34">
        <f>IF(C1157="","",YEAR(C1157-WEEKDAY(C1157,2)+4)&amp;"-S"&amp;TEXT(INT((C1157-DATE(YEAR(C1157-WEEKDAY(C1157,2)+4),1,3)+WEEKDAY(DATE(YEAR(C1157-WEEKDAY(C1157,2)+4),1,3),2)+5)/7),"00"))</f>
        <v/>
      </c>
    </row>
    <row r="1158" ht="18" customHeight="1">
      <c r="A1158" s="39" t="n">
        <v>1153</v>
      </c>
      <c r="B1158" s="33">
        <f>IF(C1158="","",IF(L1158="À RENSEIGNER","GIC",L1158)&amp;"-S"&amp;TEXT(A1158,"00000"))</f>
        <v/>
      </c>
      <c r="C1158" s="32" t="n"/>
      <c r="D1158" s="36" t="n"/>
      <c r="E1158" s="36" t="n"/>
      <c r="F1158" s="42" t="n"/>
      <c r="G1158" s="36" t="n"/>
      <c r="H1158" s="43" t="n"/>
      <c r="I1158" s="37" t="n"/>
      <c r="J1158" s="44" t="n"/>
      <c r="K1158" s="36" t="n"/>
      <c r="L1158" s="33">
        <f>IF(C1158="","",Commercial_Id)</f>
        <v/>
      </c>
      <c r="M1158" s="34">
        <f>IF(E1158="","",IFERROR(VLOOKUP(E1158,T_Produits,2,FALSE),""))</f>
        <v/>
      </c>
      <c r="N1158" s="40">
        <f>IF(E1158="","",IFERROR(1/(1/VLOOKUP(E1158,T_Produits,3,FALSE)),""))</f>
        <v/>
      </c>
      <c r="O1158" s="40">
        <f>IF(OR(D1158="",F1158=""),"",IF(OR(D1158="Casse / avarie",D1158="Perte / vol",D1158="Échantillon offert"),IF(I1158&lt;&gt;"",I1158,IF(N1158="","",F1158*N1158)),""))</f>
        <v/>
      </c>
      <c r="P1158" s="50">
        <f>IF(OR(D1158="",F1158=""),"",F1158*IF(OR(D1158="Reçu du magasin",D1158="Ajustement (+)"),1,-1))</f>
        <v/>
      </c>
      <c r="Q1158" s="34">
        <f>IF(C1158="","",YEAR(C1158-WEEKDAY(C1158,2)+4)&amp;"-S"&amp;TEXT(INT((C1158-DATE(YEAR(C1158-WEEKDAY(C1158,2)+4),1,3)+WEEKDAY(DATE(YEAR(C1158-WEEKDAY(C1158,2)+4),1,3),2)+5)/7),"00"))</f>
        <v/>
      </c>
    </row>
    <row r="1159" ht="18" customHeight="1">
      <c r="A1159" s="39" t="n">
        <v>1154</v>
      </c>
      <c r="B1159" s="33">
        <f>IF(C1159="","",IF(L1159="À RENSEIGNER","GIC",L1159)&amp;"-S"&amp;TEXT(A1159,"00000"))</f>
        <v/>
      </c>
      <c r="C1159" s="32" t="n"/>
      <c r="D1159" s="36" t="n"/>
      <c r="E1159" s="36" t="n"/>
      <c r="F1159" s="42" t="n"/>
      <c r="G1159" s="36" t="n"/>
      <c r="H1159" s="43" t="n"/>
      <c r="I1159" s="37" t="n"/>
      <c r="J1159" s="44" t="n"/>
      <c r="K1159" s="36" t="n"/>
      <c r="L1159" s="33">
        <f>IF(C1159="","",Commercial_Id)</f>
        <v/>
      </c>
      <c r="M1159" s="34">
        <f>IF(E1159="","",IFERROR(VLOOKUP(E1159,T_Produits,2,FALSE),""))</f>
        <v/>
      </c>
      <c r="N1159" s="40">
        <f>IF(E1159="","",IFERROR(1/(1/VLOOKUP(E1159,T_Produits,3,FALSE)),""))</f>
        <v/>
      </c>
      <c r="O1159" s="40">
        <f>IF(OR(D1159="",F1159=""),"",IF(OR(D1159="Casse / avarie",D1159="Perte / vol",D1159="Échantillon offert"),IF(I1159&lt;&gt;"",I1159,IF(N1159="","",F1159*N1159)),""))</f>
        <v/>
      </c>
      <c r="P1159" s="50">
        <f>IF(OR(D1159="",F1159=""),"",F1159*IF(OR(D1159="Reçu du magasin",D1159="Ajustement (+)"),1,-1))</f>
        <v/>
      </c>
      <c r="Q1159" s="34">
        <f>IF(C1159="","",YEAR(C1159-WEEKDAY(C1159,2)+4)&amp;"-S"&amp;TEXT(INT((C1159-DATE(YEAR(C1159-WEEKDAY(C1159,2)+4),1,3)+WEEKDAY(DATE(YEAR(C1159-WEEKDAY(C1159,2)+4),1,3),2)+5)/7),"00"))</f>
        <v/>
      </c>
    </row>
    <row r="1160" ht="18" customHeight="1">
      <c r="A1160" s="39" t="n">
        <v>1155</v>
      </c>
      <c r="B1160" s="33">
        <f>IF(C1160="","",IF(L1160="À RENSEIGNER","GIC",L1160)&amp;"-S"&amp;TEXT(A1160,"00000"))</f>
        <v/>
      </c>
      <c r="C1160" s="32" t="n"/>
      <c r="D1160" s="36" t="n"/>
      <c r="E1160" s="36" t="n"/>
      <c r="F1160" s="42" t="n"/>
      <c r="G1160" s="36" t="n"/>
      <c r="H1160" s="43" t="n"/>
      <c r="I1160" s="37" t="n"/>
      <c r="J1160" s="44" t="n"/>
      <c r="K1160" s="36" t="n"/>
      <c r="L1160" s="33">
        <f>IF(C1160="","",Commercial_Id)</f>
        <v/>
      </c>
      <c r="M1160" s="34">
        <f>IF(E1160="","",IFERROR(VLOOKUP(E1160,T_Produits,2,FALSE),""))</f>
        <v/>
      </c>
      <c r="N1160" s="40">
        <f>IF(E1160="","",IFERROR(1/(1/VLOOKUP(E1160,T_Produits,3,FALSE)),""))</f>
        <v/>
      </c>
      <c r="O1160" s="40">
        <f>IF(OR(D1160="",F1160=""),"",IF(OR(D1160="Casse / avarie",D1160="Perte / vol",D1160="Échantillon offert"),IF(I1160&lt;&gt;"",I1160,IF(N1160="","",F1160*N1160)),""))</f>
        <v/>
      </c>
      <c r="P1160" s="50">
        <f>IF(OR(D1160="",F1160=""),"",F1160*IF(OR(D1160="Reçu du magasin",D1160="Ajustement (+)"),1,-1))</f>
        <v/>
      </c>
      <c r="Q1160" s="34">
        <f>IF(C1160="","",YEAR(C1160-WEEKDAY(C1160,2)+4)&amp;"-S"&amp;TEXT(INT((C1160-DATE(YEAR(C1160-WEEKDAY(C1160,2)+4),1,3)+WEEKDAY(DATE(YEAR(C1160-WEEKDAY(C1160,2)+4),1,3),2)+5)/7),"00"))</f>
        <v/>
      </c>
    </row>
    <row r="1161" ht="18" customHeight="1">
      <c r="A1161" s="39" t="n">
        <v>1156</v>
      </c>
      <c r="B1161" s="33">
        <f>IF(C1161="","",IF(L1161="À RENSEIGNER","GIC",L1161)&amp;"-S"&amp;TEXT(A1161,"00000"))</f>
        <v/>
      </c>
      <c r="C1161" s="32" t="n"/>
      <c r="D1161" s="36" t="n"/>
      <c r="E1161" s="36" t="n"/>
      <c r="F1161" s="42" t="n"/>
      <c r="G1161" s="36" t="n"/>
      <c r="H1161" s="43" t="n"/>
      <c r="I1161" s="37" t="n"/>
      <c r="J1161" s="44" t="n"/>
      <c r="K1161" s="36" t="n"/>
      <c r="L1161" s="33">
        <f>IF(C1161="","",Commercial_Id)</f>
        <v/>
      </c>
      <c r="M1161" s="34">
        <f>IF(E1161="","",IFERROR(VLOOKUP(E1161,T_Produits,2,FALSE),""))</f>
        <v/>
      </c>
      <c r="N1161" s="40">
        <f>IF(E1161="","",IFERROR(1/(1/VLOOKUP(E1161,T_Produits,3,FALSE)),""))</f>
        <v/>
      </c>
      <c r="O1161" s="40">
        <f>IF(OR(D1161="",F1161=""),"",IF(OR(D1161="Casse / avarie",D1161="Perte / vol",D1161="Échantillon offert"),IF(I1161&lt;&gt;"",I1161,IF(N1161="","",F1161*N1161)),""))</f>
        <v/>
      </c>
      <c r="P1161" s="50">
        <f>IF(OR(D1161="",F1161=""),"",F1161*IF(OR(D1161="Reçu du magasin",D1161="Ajustement (+)"),1,-1))</f>
        <v/>
      </c>
      <c r="Q1161" s="34">
        <f>IF(C1161="","",YEAR(C1161-WEEKDAY(C1161,2)+4)&amp;"-S"&amp;TEXT(INT((C1161-DATE(YEAR(C1161-WEEKDAY(C1161,2)+4),1,3)+WEEKDAY(DATE(YEAR(C1161-WEEKDAY(C1161,2)+4),1,3),2)+5)/7),"00"))</f>
        <v/>
      </c>
    </row>
    <row r="1162" ht="18" customHeight="1">
      <c r="A1162" s="39" t="n">
        <v>1157</v>
      </c>
      <c r="B1162" s="33">
        <f>IF(C1162="","",IF(L1162="À RENSEIGNER","GIC",L1162)&amp;"-S"&amp;TEXT(A1162,"00000"))</f>
        <v/>
      </c>
      <c r="C1162" s="32" t="n"/>
      <c r="D1162" s="36" t="n"/>
      <c r="E1162" s="36" t="n"/>
      <c r="F1162" s="42" t="n"/>
      <c r="G1162" s="36" t="n"/>
      <c r="H1162" s="43" t="n"/>
      <c r="I1162" s="37" t="n"/>
      <c r="J1162" s="44" t="n"/>
      <c r="K1162" s="36" t="n"/>
      <c r="L1162" s="33">
        <f>IF(C1162="","",Commercial_Id)</f>
        <v/>
      </c>
      <c r="M1162" s="34">
        <f>IF(E1162="","",IFERROR(VLOOKUP(E1162,T_Produits,2,FALSE),""))</f>
        <v/>
      </c>
      <c r="N1162" s="40">
        <f>IF(E1162="","",IFERROR(1/(1/VLOOKUP(E1162,T_Produits,3,FALSE)),""))</f>
        <v/>
      </c>
      <c r="O1162" s="40">
        <f>IF(OR(D1162="",F1162=""),"",IF(OR(D1162="Casse / avarie",D1162="Perte / vol",D1162="Échantillon offert"),IF(I1162&lt;&gt;"",I1162,IF(N1162="","",F1162*N1162)),""))</f>
        <v/>
      </c>
      <c r="P1162" s="50">
        <f>IF(OR(D1162="",F1162=""),"",F1162*IF(OR(D1162="Reçu du magasin",D1162="Ajustement (+)"),1,-1))</f>
        <v/>
      </c>
      <c r="Q1162" s="34">
        <f>IF(C1162="","",YEAR(C1162-WEEKDAY(C1162,2)+4)&amp;"-S"&amp;TEXT(INT((C1162-DATE(YEAR(C1162-WEEKDAY(C1162,2)+4),1,3)+WEEKDAY(DATE(YEAR(C1162-WEEKDAY(C1162,2)+4),1,3),2)+5)/7),"00"))</f>
        <v/>
      </c>
    </row>
    <row r="1163" ht="18" customHeight="1">
      <c r="A1163" s="39" t="n">
        <v>1158</v>
      </c>
      <c r="B1163" s="33">
        <f>IF(C1163="","",IF(L1163="À RENSEIGNER","GIC",L1163)&amp;"-S"&amp;TEXT(A1163,"00000"))</f>
        <v/>
      </c>
      <c r="C1163" s="32" t="n"/>
      <c r="D1163" s="36" t="n"/>
      <c r="E1163" s="36" t="n"/>
      <c r="F1163" s="42" t="n"/>
      <c r="G1163" s="36" t="n"/>
      <c r="H1163" s="43" t="n"/>
      <c r="I1163" s="37" t="n"/>
      <c r="J1163" s="44" t="n"/>
      <c r="K1163" s="36" t="n"/>
      <c r="L1163" s="33">
        <f>IF(C1163="","",Commercial_Id)</f>
        <v/>
      </c>
      <c r="M1163" s="34">
        <f>IF(E1163="","",IFERROR(VLOOKUP(E1163,T_Produits,2,FALSE),""))</f>
        <v/>
      </c>
      <c r="N1163" s="40">
        <f>IF(E1163="","",IFERROR(1/(1/VLOOKUP(E1163,T_Produits,3,FALSE)),""))</f>
        <v/>
      </c>
      <c r="O1163" s="40">
        <f>IF(OR(D1163="",F1163=""),"",IF(OR(D1163="Casse / avarie",D1163="Perte / vol",D1163="Échantillon offert"),IF(I1163&lt;&gt;"",I1163,IF(N1163="","",F1163*N1163)),""))</f>
        <v/>
      </c>
      <c r="P1163" s="50">
        <f>IF(OR(D1163="",F1163=""),"",F1163*IF(OR(D1163="Reçu du magasin",D1163="Ajustement (+)"),1,-1))</f>
        <v/>
      </c>
      <c r="Q1163" s="34">
        <f>IF(C1163="","",YEAR(C1163-WEEKDAY(C1163,2)+4)&amp;"-S"&amp;TEXT(INT((C1163-DATE(YEAR(C1163-WEEKDAY(C1163,2)+4),1,3)+WEEKDAY(DATE(YEAR(C1163-WEEKDAY(C1163,2)+4),1,3),2)+5)/7),"00"))</f>
        <v/>
      </c>
    </row>
    <row r="1164" ht="18" customHeight="1">
      <c r="A1164" s="39" t="n">
        <v>1159</v>
      </c>
      <c r="B1164" s="33">
        <f>IF(C1164="","",IF(L1164="À RENSEIGNER","GIC",L1164)&amp;"-S"&amp;TEXT(A1164,"00000"))</f>
        <v/>
      </c>
      <c r="C1164" s="32" t="n"/>
      <c r="D1164" s="36" t="n"/>
      <c r="E1164" s="36" t="n"/>
      <c r="F1164" s="42" t="n"/>
      <c r="G1164" s="36" t="n"/>
      <c r="H1164" s="43" t="n"/>
      <c r="I1164" s="37" t="n"/>
      <c r="J1164" s="44" t="n"/>
      <c r="K1164" s="36" t="n"/>
      <c r="L1164" s="33">
        <f>IF(C1164="","",Commercial_Id)</f>
        <v/>
      </c>
      <c r="M1164" s="34">
        <f>IF(E1164="","",IFERROR(VLOOKUP(E1164,T_Produits,2,FALSE),""))</f>
        <v/>
      </c>
      <c r="N1164" s="40">
        <f>IF(E1164="","",IFERROR(1/(1/VLOOKUP(E1164,T_Produits,3,FALSE)),""))</f>
        <v/>
      </c>
      <c r="O1164" s="40">
        <f>IF(OR(D1164="",F1164=""),"",IF(OR(D1164="Casse / avarie",D1164="Perte / vol",D1164="Échantillon offert"),IF(I1164&lt;&gt;"",I1164,IF(N1164="","",F1164*N1164)),""))</f>
        <v/>
      </c>
      <c r="P1164" s="50">
        <f>IF(OR(D1164="",F1164=""),"",F1164*IF(OR(D1164="Reçu du magasin",D1164="Ajustement (+)"),1,-1))</f>
        <v/>
      </c>
      <c r="Q1164" s="34">
        <f>IF(C1164="","",YEAR(C1164-WEEKDAY(C1164,2)+4)&amp;"-S"&amp;TEXT(INT((C1164-DATE(YEAR(C1164-WEEKDAY(C1164,2)+4),1,3)+WEEKDAY(DATE(YEAR(C1164-WEEKDAY(C1164,2)+4),1,3),2)+5)/7),"00"))</f>
        <v/>
      </c>
    </row>
    <row r="1165" ht="18" customHeight="1">
      <c r="A1165" s="39" t="n">
        <v>1160</v>
      </c>
      <c r="B1165" s="33">
        <f>IF(C1165="","",IF(L1165="À RENSEIGNER","GIC",L1165)&amp;"-S"&amp;TEXT(A1165,"00000"))</f>
        <v/>
      </c>
      <c r="C1165" s="32" t="n"/>
      <c r="D1165" s="36" t="n"/>
      <c r="E1165" s="36" t="n"/>
      <c r="F1165" s="42" t="n"/>
      <c r="G1165" s="36" t="n"/>
      <c r="H1165" s="43" t="n"/>
      <c r="I1165" s="37" t="n"/>
      <c r="J1165" s="44" t="n"/>
      <c r="K1165" s="36" t="n"/>
      <c r="L1165" s="33">
        <f>IF(C1165="","",Commercial_Id)</f>
        <v/>
      </c>
      <c r="M1165" s="34">
        <f>IF(E1165="","",IFERROR(VLOOKUP(E1165,T_Produits,2,FALSE),""))</f>
        <v/>
      </c>
      <c r="N1165" s="40">
        <f>IF(E1165="","",IFERROR(1/(1/VLOOKUP(E1165,T_Produits,3,FALSE)),""))</f>
        <v/>
      </c>
      <c r="O1165" s="40">
        <f>IF(OR(D1165="",F1165=""),"",IF(OR(D1165="Casse / avarie",D1165="Perte / vol",D1165="Échantillon offert"),IF(I1165&lt;&gt;"",I1165,IF(N1165="","",F1165*N1165)),""))</f>
        <v/>
      </c>
      <c r="P1165" s="50">
        <f>IF(OR(D1165="",F1165=""),"",F1165*IF(OR(D1165="Reçu du magasin",D1165="Ajustement (+)"),1,-1))</f>
        <v/>
      </c>
      <c r="Q1165" s="34">
        <f>IF(C1165="","",YEAR(C1165-WEEKDAY(C1165,2)+4)&amp;"-S"&amp;TEXT(INT((C1165-DATE(YEAR(C1165-WEEKDAY(C1165,2)+4),1,3)+WEEKDAY(DATE(YEAR(C1165-WEEKDAY(C1165,2)+4),1,3),2)+5)/7),"00"))</f>
        <v/>
      </c>
    </row>
    <row r="1166" ht="18" customHeight="1">
      <c r="A1166" s="39" t="n">
        <v>1161</v>
      </c>
      <c r="B1166" s="33">
        <f>IF(C1166="","",IF(L1166="À RENSEIGNER","GIC",L1166)&amp;"-S"&amp;TEXT(A1166,"00000"))</f>
        <v/>
      </c>
      <c r="C1166" s="32" t="n"/>
      <c r="D1166" s="36" t="n"/>
      <c r="E1166" s="36" t="n"/>
      <c r="F1166" s="42" t="n"/>
      <c r="G1166" s="36" t="n"/>
      <c r="H1166" s="43" t="n"/>
      <c r="I1166" s="37" t="n"/>
      <c r="J1166" s="44" t="n"/>
      <c r="K1166" s="36" t="n"/>
      <c r="L1166" s="33">
        <f>IF(C1166="","",Commercial_Id)</f>
        <v/>
      </c>
      <c r="M1166" s="34">
        <f>IF(E1166="","",IFERROR(VLOOKUP(E1166,T_Produits,2,FALSE),""))</f>
        <v/>
      </c>
      <c r="N1166" s="40">
        <f>IF(E1166="","",IFERROR(1/(1/VLOOKUP(E1166,T_Produits,3,FALSE)),""))</f>
        <v/>
      </c>
      <c r="O1166" s="40">
        <f>IF(OR(D1166="",F1166=""),"",IF(OR(D1166="Casse / avarie",D1166="Perte / vol",D1166="Échantillon offert"),IF(I1166&lt;&gt;"",I1166,IF(N1166="","",F1166*N1166)),""))</f>
        <v/>
      </c>
      <c r="P1166" s="50">
        <f>IF(OR(D1166="",F1166=""),"",F1166*IF(OR(D1166="Reçu du magasin",D1166="Ajustement (+)"),1,-1))</f>
        <v/>
      </c>
      <c r="Q1166" s="34">
        <f>IF(C1166="","",YEAR(C1166-WEEKDAY(C1166,2)+4)&amp;"-S"&amp;TEXT(INT((C1166-DATE(YEAR(C1166-WEEKDAY(C1166,2)+4),1,3)+WEEKDAY(DATE(YEAR(C1166-WEEKDAY(C1166,2)+4),1,3),2)+5)/7),"00"))</f>
        <v/>
      </c>
    </row>
    <row r="1167" ht="18" customHeight="1">
      <c r="A1167" s="39" t="n">
        <v>1162</v>
      </c>
      <c r="B1167" s="33">
        <f>IF(C1167="","",IF(L1167="À RENSEIGNER","GIC",L1167)&amp;"-S"&amp;TEXT(A1167,"00000"))</f>
        <v/>
      </c>
      <c r="C1167" s="32" t="n"/>
      <c r="D1167" s="36" t="n"/>
      <c r="E1167" s="36" t="n"/>
      <c r="F1167" s="42" t="n"/>
      <c r="G1167" s="36" t="n"/>
      <c r="H1167" s="43" t="n"/>
      <c r="I1167" s="37" t="n"/>
      <c r="J1167" s="44" t="n"/>
      <c r="K1167" s="36" t="n"/>
      <c r="L1167" s="33">
        <f>IF(C1167="","",Commercial_Id)</f>
        <v/>
      </c>
      <c r="M1167" s="34">
        <f>IF(E1167="","",IFERROR(VLOOKUP(E1167,T_Produits,2,FALSE),""))</f>
        <v/>
      </c>
      <c r="N1167" s="40">
        <f>IF(E1167="","",IFERROR(1/(1/VLOOKUP(E1167,T_Produits,3,FALSE)),""))</f>
        <v/>
      </c>
      <c r="O1167" s="40">
        <f>IF(OR(D1167="",F1167=""),"",IF(OR(D1167="Casse / avarie",D1167="Perte / vol",D1167="Échantillon offert"),IF(I1167&lt;&gt;"",I1167,IF(N1167="","",F1167*N1167)),""))</f>
        <v/>
      </c>
      <c r="P1167" s="50">
        <f>IF(OR(D1167="",F1167=""),"",F1167*IF(OR(D1167="Reçu du magasin",D1167="Ajustement (+)"),1,-1))</f>
        <v/>
      </c>
      <c r="Q1167" s="34">
        <f>IF(C1167="","",YEAR(C1167-WEEKDAY(C1167,2)+4)&amp;"-S"&amp;TEXT(INT((C1167-DATE(YEAR(C1167-WEEKDAY(C1167,2)+4),1,3)+WEEKDAY(DATE(YEAR(C1167-WEEKDAY(C1167,2)+4),1,3),2)+5)/7),"00"))</f>
        <v/>
      </c>
    </row>
    <row r="1168" ht="18" customHeight="1">
      <c r="A1168" s="39" t="n">
        <v>1163</v>
      </c>
      <c r="B1168" s="33">
        <f>IF(C1168="","",IF(L1168="À RENSEIGNER","GIC",L1168)&amp;"-S"&amp;TEXT(A1168,"00000"))</f>
        <v/>
      </c>
      <c r="C1168" s="32" t="n"/>
      <c r="D1168" s="36" t="n"/>
      <c r="E1168" s="36" t="n"/>
      <c r="F1168" s="42" t="n"/>
      <c r="G1168" s="36" t="n"/>
      <c r="H1168" s="43" t="n"/>
      <c r="I1168" s="37" t="n"/>
      <c r="J1168" s="44" t="n"/>
      <c r="K1168" s="36" t="n"/>
      <c r="L1168" s="33">
        <f>IF(C1168="","",Commercial_Id)</f>
        <v/>
      </c>
      <c r="M1168" s="34">
        <f>IF(E1168="","",IFERROR(VLOOKUP(E1168,T_Produits,2,FALSE),""))</f>
        <v/>
      </c>
      <c r="N1168" s="40">
        <f>IF(E1168="","",IFERROR(1/(1/VLOOKUP(E1168,T_Produits,3,FALSE)),""))</f>
        <v/>
      </c>
      <c r="O1168" s="40">
        <f>IF(OR(D1168="",F1168=""),"",IF(OR(D1168="Casse / avarie",D1168="Perte / vol",D1168="Échantillon offert"),IF(I1168&lt;&gt;"",I1168,IF(N1168="","",F1168*N1168)),""))</f>
        <v/>
      </c>
      <c r="P1168" s="50">
        <f>IF(OR(D1168="",F1168=""),"",F1168*IF(OR(D1168="Reçu du magasin",D1168="Ajustement (+)"),1,-1))</f>
        <v/>
      </c>
      <c r="Q1168" s="34">
        <f>IF(C1168="","",YEAR(C1168-WEEKDAY(C1168,2)+4)&amp;"-S"&amp;TEXT(INT((C1168-DATE(YEAR(C1168-WEEKDAY(C1168,2)+4),1,3)+WEEKDAY(DATE(YEAR(C1168-WEEKDAY(C1168,2)+4),1,3),2)+5)/7),"00"))</f>
        <v/>
      </c>
    </row>
    <row r="1169" ht="18" customHeight="1">
      <c r="A1169" s="39" t="n">
        <v>1164</v>
      </c>
      <c r="B1169" s="33">
        <f>IF(C1169="","",IF(L1169="À RENSEIGNER","GIC",L1169)&amp;"-S"&amp;TEXT(A1169,"00000"))</f>
        <v/>
      </c>
      <c r="C1169" s="32" t="n"/>
      <c r="D1169" s="36" t="n"/>
      <c r="E1169" s="36" t="n"/>
      <c r="F1169" s="42" t="n"/>
      <c r="G1169" s="36" t="n"/>
      <c r="H1169" s="43" t="n"/>
      <c r="I1169" s="37" t="n"/>
      <c r="J1169" s="44" t="n"/>
      <c r="K1169" s="36" t="n"/>
      <c r="L1169" s="33">
        <f>IF(C1169="","",Commercial_Id)</f>
        <v/>
      </c>
      <c r="M1169" s="34">
        <f>IF(E1169="","",IFERROR(VLOOKUP(E1169,T_Produits,2,FALSE),""))</f>
        <v/>
      </c>
      <c r="N1169" s="40">
        <f>IF(E1169="","",IFERROR(1/(1/VLOOKUP(E1169,T_Produits,3,FALSE)),""))</f>
        <v/>
      </c>
      <c r="O1169" s="40">
        <f>IF(OR(D1169="",F1169=""),"",IF(OR(D1169="Casse / avarie",D1169="Perte / vol",D1169="Échantillon offert"),IF(I1169&lt;&gt;"",I1169,IF(N1169="","",F1169*N1169)),""))</f>
        <v/>
      </c>
      <c r="P1169" s="50">
        <f>IF(OR(D1169="",F1169=""),"",F1169*IF(OR(D1169="Reçu du magasin",D1169="Ajustement (+)"),1,-1))</f>
        <v/>
      </c>
      <c r="Q1169" s="34">
        <f>IF(C1169="","",YEAR(C1169-WEEKDAY(C1169,2)+4)&amp;"-S"&amp;TEXT(INT((C1169-DATE(YEAR(C1169-WEEKDAY(C1169,2)+4),1,3)+WEEKDAY(DATE(YEAR(C1169-WEEKDAY(C1169,2)+4),1,3),2)+5)/7),"00"))</f>
        <v/>
      </c>
    </row>
    <row r="1170" ht="18" customHeight="1">
      <c r="A1170" s="39" t="n">
        <v>1165</v>
      </c>
      <c r="B1170" s="33">
        <f>IF(C1170="","",IF(L1170="À RENSEIGNER","GIC",L1170)&amp;"-S"&amp;TEXT(A1170,"00000"))</f>
        <v/>
      </c>
      <c r="C1170" s="32" t="n"/>
      <c r="D1170" s="36" t="n"/>
      <c r="E1170" s="36" t="n"/>
      <c r="F1170" s="42" t="n"/>
      <c r="G1170" s="36" t="n"/>
      <c r="H1170" s="43" t="n"/>
      <c r="I1170" s="37" t="n"/>
      <c r="J1170" s="44" t="n"/>
      <c r="K1170" s="36" t="n"/>
      <c r="L1170" s="33">
        <f>IF(C1170="","",Commercial_Id)</f>
        <v/>
      </c>
      <c r="M1170" s="34">
        <f>IF(E1170="","",IFERROR(VLOOKUP(E1170,T_Produits,2,FALSE),""))</f>
        <v/>
      </c>
      <c r="N1170" s="40">
        <f>IF(E1170="","",IFERROR(1/(1/VLOOKUP(E1170,T_Produits,3,FALSE)),""))</f>
        <v/>
      </c>
      <c r="O1170" s="40">
        <f>IF(OR(D1170="",F1170=""),"",IF(OR(D1170="Casse / avarie",D1170="Perte / vol",D1170="Échantillon offert"),IF(I1170&lt;&gt;"",I1170,IF(N1170="","",F1170*N1170)),""))</f>
        <v/>
      </c>
      <c r="P1170" s="50">
        <f>IF(OR(D1170="",F1170=""),"",F1170*IF(OR(D1170="Reçu du magasin",D1170="Ajustement (+)"),1,-1))</f>
        <v/>
      </c>
      <c r="Q1170" s="34">
        <f>IF(C1170="","",YEAR(C1170-WEEKDAY(C1170,2)+4)&amp;"-S"&amp;TEXT(INT((C1170-DATE(YEAR(C1170-WEEKDAY(C1170,2)+4),1,3)+WEEKDAY(DATE(YEAR(C1170-WEEKDAY(C1170,2)+4),1,3),2)+5)/7),"00"))</f>
        <v/>
      </c>
    </row>
    <row r="1171" ht="18" customHeight="1">
      <c r="A1171" s="39" t="n">
        <v>1166</v>
      </c>
      <c r="B1171" s="33">
        <f>IF(C1171="","",IF(L1171="À RENSEIGNER","GIC",L1171)&amp;"-S"&amp;TEXT(A1171,"00000"))</f>
        <v/>
      </c>
      <c r="C1171" s="32" t="n"/>
      <c r="D1171" s="36" t="n"/>
      <c r="E1171" s="36" t="n"/>
      <c r="F1171" s="42" t="n"/>
      <c r="G1171" s="36" t="n"/>
      <c r="H1171" s="43" t="n"/>
      <c r="I1171" s="37" t="n"/>
      <c r="J1171" s="44" t="n"/>
      <c r="K1171" s="36" t="n"/>
      <c r="L1171" s="33">
        <f>IF(C1171="","",Commercial_Id)</f>
        <v/>
      </c>
      <c r="M1171" s="34">
        <f>IF(E1171="","",IFERROR(VLOOKUP(E1171,T_Produits,2,FALSE),""))</f>
        <v/>
      </c>
      <c r="N1171" s="40">
        <f>IF(E1171="","",IFERROR(1/(1/VLOOKUP(E1171,T_Produits,3,FALSE)),""))</f>
        <v/>
      </c>
      <c r="O1171" s="40">
        <f>IF(OR(D1171="",F1171=""),"",IF(OR(D1171="Casse / avarie",D1171="Perte / vol",D1171="Échantillon offert"),IF(I1171&lt;&gt;"",I1171,IF(N1171="","",F1171*N1171)),""))</f>
        <v/>
      </c>
      <c r="P1171" s="50">
        <f>IF(OR(D1171="",F1171=""),"",F1171*IF(OR(D1171="Reçu du magasin",D1171="Ajustement (+)"),1,-1))</f>
        <v/>
      </c>
      <c r="Q1171" s="34">
        <f>IF(C1171="","",YEAR(C1171-WEEKDAY(C1171,2)+4)&amp;"-S"&amp;TEXT(INT((C1171-DATE(YEAR(C1171-WEEKDAY(C1171,2)+4),1,3)+WEEKDAY(DATE(YEAR(C1171-WEEKDAY(C1171,2)+4),1,3),2)+5)/7),"00"))</f>
        <v/>
      </c>
    </row>
    <row r="1172" ht="18" customHeight="1">
      <c r="A1172" s="39" t="n">
        <v>1167</v>
      </c>
      <c r="B1172" s="33">
        <f>IF(C1172="","",IF(L1172="À RENSEIGNER","GIC",L1172)&amp;"-S"&amp;TEXT(A1172,"00000"))</f>
        <v/>
      </c>
      <c r="C1172" s="32" t="n"/>
      <c r="D1172" s="36" t="n"/>
      <c r="E1172" s="36" t="n"/>
      <c r="F1172" s="42" t="n"/>
      <c r="G1172" s="36" t="n"/>
      <c r="H1172" s="43" t="n"/>
      <c r="I1172" s="37" t="n"/>
      <c r="J1172" s="44" t="n"/>
      <c r="K1172" s="36" t="n"/>
      <c r="L1172" s="33">
        <f>IF(C1172="","",Commercial_Id)</f>
        <v/>
      </c>
      <c r="M1172" s="34">
        <f>IF(E1172="","",IFERROR(VLOOKUP(E1172,T_Produits,2,FALSE),""))</f>
        <v/>
      </c>
      <c r="N1172" s="40">
        <f>IF(E1172="","",IFERROR(1/(1/VLOOKUP(E1172,T_Produits,3,FALSE)),""))</f>
        <v/>
      </c>
      <c r="O1172" s="40">
        <f>IF(OR(D1172="",F1172=""),"",IF(OR(D1172="Casse / avarie",D1172="Perte / vol",D1172="Échantillon offert"),IF(I1172&lt;&gt;"",I1172,IF(N1172="","",F1172*N1172)),""))</f>
        <v/>
      </c>
      <c r="P1172" s="50">
        <f>IF(OR(D1172="",F1172=""),"",F1172*IF(OR(D1172="Reçu du magasin",D1172="Ajustement (+)"),1,-1))</f>
        <v/>
      </c>
      <c r="Q1172" s="34">
        <f>IF(C1172="","",YEAR(C1172-WEEKDAY(C1172,2)+4)&amp;"-S"&amp;TEXT(INT((C1172-DATE(YEAR(C1172-WEEKDAY(C1172,2)+4),1,3)+WEEKDAY(DATE(YEAR(C1172-WEEKDAY(C1172,2)+4),1,3),2)+5)/7),"00"))</f>
        <v/>
      </c>
    </row>
    <row r="1173" ht="18" customHeight="1">
      <c r="A1173" s="39" t="n">
        <v>1168</v>
      </c>
      <c r="B1173" s="33">
        <f>IF(C1173="","",IF(L1173="À RENSEIGNER","GIC",L1173)&amp;"-S"&amp;TEXT(A1173,"00000"))</f>
        <v/>
      </c>
      <c r="C1173" s="32" t="n"/>
      <c r="D1173" s="36" t="n"/>
      <c r="E1173" s="36" t="n"/>
      <c r="F1173" s="42" t="n"/>
      <c r="G1173" s="36" t="n"/>
      <c r="H1173" s="43" t="n"/>
      <c r="I1173" s="37" t="n"/>
      <c r="J1173" s="44" t="n"/>
      <c r="K1173" s="36" t="n"/>
      <c r="L1173" s="33">
        <f>IF(C1173="","",Commercial_Id)</f>
        <v/>
      </c>
      <c r="M1173" s="34">
        <f>IF(E1173="","",IFERROR(VLOOKUP(E1173,T_Produits,2,FALSE),""))</f>
        <v/>
      </c>
      <c r="N1173" s="40">
        <f>IF(E1173="","",IFERROR(1/(1/VLOOKUP(E1173,T_Produits,3,FALSE)),""))</f>
        <v/>
      </c>
      <c r="O1173" s="40">
        <f>IF(OR(D1173="",F1173=""),"",IF(OR(D1173="Casse / avarie",D1173="Perte / vol",D1173="Échantillon offert"),IF(I1173&lt;&gt;"",I1173,IF(N1173="","",F1173*N1173)),""))</f>
        <v/>
      </c>
      <c r="P1173" s="50">
        <f>IF(OR(D1173="",F1173=""),"",F1173*IF(OR(D1173="Reçu du magasin",D1173="Ajustement (+)"),1,-1))</f>
        <v/>
      </c>
      <c r="Q1173" s="34">
        <f>IF(C1173="","",YEAR(C1173-WEEKDAY(C1173,2)+4)&amp;"-S"&amp;TEXT(INT((C1173-DATE(YEAR(C1173-WEEKDAY(C1173,2)+4),1,3)+WEEKDAY(DATE(YEAR(C1173-WEEKDAY(C1173,2)+4),1,3),2)+5)/7),"00"))</f>
        <v/>
      </c>
    </row>
    <row r="1174" ht="18" customHeight="1">
      <c r="A1174" s="39" t="n">
        <v>1169</v>
      </c>
      <c r="B1174" s="33">
        <f>IF(C1174="","",IF(L1174="À RENSEIGNER","GIC",L1174)&amp;"-S"&amp;TEXT(A1174,"00000"))</f>
        <v/>
      </c>
      <c r="C1174" s="32" t="n"/>
      <c r="D1174" s="36" t="n"/>
      <c r="E1174" s="36" t="n"/>
      <c r="F1174" s="42" t="n"/>
      <c r="G1174" s="36" t="n"/>
      <c r="H1174" s="43" t="n"/>
      <c r="I1174" s="37" t="n"/>
      <c r="J1174" s="44" t="n"/>
      <c r="K1174" s="36" t="n"/>
      <c r="L1174" s="33">
        <f>IF(C1174="","",Commercial_Id)</f>
        <v/>
      </c>
      <c r="M1174" s="34">
        <f>IF(E1174="","",IFERROR(VLOOKUP(E1174,T_Produits,2,FALSE),""))</f>
        <v/>
      </c>
      <c r="N1174" s="40">
        <f>IF(E1174="","",IFERROR(1/(1/VLOOKUP(E1174,T_Produits,3,FALSE)),""))</f>
        <v/>
      </c>
      <c r="O1174" s="40">
        <f>IF(OR(D1174="",F1174=""),"",IF(OR(D1174="Casse / avarie",D1174="Perte / vol",D1174="Échantillon offert"),IF(I1174&lt;&gt;"",I1174,IF(N1174="","",F1174*N1174)),""))</f>
        <v/>
      </c>
      <c r="P1174" s="50">
        <f>IF(OR(D1174="",F1174=""),"",F1174*IF(OR(D1174="Reçu du magasin",D1174="Ajustement (+)"),1,-1))</f>
        <v/>
      </c>
      <c r="Q1174" s="34">
        <f>IF(C1174="","",YEAR(C1174-WEEKDAY(C1174,2)+4)&amp;"-S"&amp;TEXT(INT((C1174-DATE(YEAR(C1174-WEEKDAY(C1174,2)+4),1,3)+WEEKDAY(DATE(YEAR(C1174-WEEKDAY(C1174,2)+4),1,3),2)+5)/7),"00"))</f>
        <v/>
      </c>
    </row>
    <row r="1175" ht="18" customHeight="1">
      <c r="A1175" s="39" t="n">
        <v>1170</v>
      </c>
      <c r="B1175" s="33">
        <f>IF(C1175="","",IF(L1175="À RENSEIGNER","GIC",L1175)&amp;"-S"&amp;TEXT(A1175,"00000"))</f>
        <v/>
      </c>
      <c r="C1175" s="32" t="n"/>
      <c r="D1175" s="36" t="n"/>
      <c r="E1175" s="36" t="n"/>
      <c r="F1175" s="42" t="n"/>
      <c r="G1175" s="36" t="n"/>
      <c r="H1175" s="43" t="n"/>
      <c r="I1175" s="37" t="n"/>
      <c r="J1175" s="44" t="n"/>
      <c r="K1175" s="36" t="n"/>
      <c r="L1175" s="33">
        <f>IF(C1175="","",Commercial_Id)</f>
        <v/>
      </c>
      <c r="M1175" s="34">
        <f>IF(E1175="","",IFERROR(VLOOKUP(E1175,T_Produits,2,FALSE),""))</f>
        <v/>
      </c>
      <c r="N1175" s="40">
        <f>IF(E1175="","",IFERROR(1/(1/VLOOKUP(E1175,T_Produits,3,FALSE)),""))</f>
        <v/>
      </c>
      <c r="O1175" s="40">
        <f>IF(OR(D1175="",F1175=""),"",IF(OR(D1175="Casse / avarie",D1175="Perte / vol",D1175="Échantillon offert"),IF(I1175&lt;&gt;"",I1175,IF(N1175="","",F1175*N1175)),""))</f>
        <v/>
      </c>
      <c r="P1175" s="50">
        <f>IF(OR(D1175="",F1175=""),"",F1175*IF(OR(D1175="Reçu du magasin",D1175="Ajustement (+)"),1,-1))</f>
        <v/>
      </c>
      <c r="Q1175" s="34">
        <f>IF(C1175="","",YEAR(C1175-WEEKDAY(C1175,2)+4)&amp;"-S"&amp;TEXT(INT((C1175-DATE(YEAR(C1175-WEEKDAY(C1175,2)+4),1,3)+WEEKDAY(DATE(YEAR(C1175-WEEKDAY(C1175,2)+4),1,3),2)+5)/7),"00"))</f>
        <v/>
      </c>
    </row>
    <row r="1176" ht="18" customHeight="1">
      <c r="A1176" s="39" t="n">
        <v>1171</v>
      </c>
      <c r="B1176" s="33">
        <f>IF(C1176="","",IF(L1176="À RENSEIGNER","GIC",L1176)&amp;"-S"&amp;TEXT(A1176,"00000"))</f>
        <v/>
      </c>
      <c r="C1176" s="32" t="n"/>
      <c r="D1176" s="36" t="n"/>
      <c r="E1176" s="36" t="n"/>
      <c r="F1176" s="42" t="n"/>
      <c r="G1176" s="36" t="n"/>
      <c r="H1176" s="43" t="n"/>
      <c r="I1176" s="37" t="n"/>
      <c r="J1176" s="44" t="n"/>
      <c r="K1176" s="36" t="n"/>
      <c r="L1176" s="33">
        <f>IF(C1176="","",Commercial_Id)</f>
        <v/>
      </c>
      <c r="M1176" s="34">
        <f>IF(E1176="","",IFERROR(VLOOKUP(E1176,T_Produits,2,FALSE),""))</f>
        <v/>
      </c>
      <c r="N1176" s="40">
        <f>IF(E1176="","",IFERROR(1/(1/VLOOKUP(E1176,T_Produits,3,FALSE)),""))</f>
        <v/>
      </c>
      <c r="O1176" s="40">
        <f>IF(OR(D1176="",F1176=""),"",IF(OR(D1176="Casse / avarie",D1176="Perte / vol",D1176="Échantillon offert"),IF(I1176&lt;&gt;"",I1176,IF(N1176="","",F1176*N1176)),""))</f>
        <v/>
      </c>
      <c r="P1176" s="50">
        <f>IF(OR(D1176="",F1176=""),"",F1176*IF(OR(D1176="Reçu du magasin",D1176="Ajustement (+)"),1,-1))</f>
        <v/>
      </c>
      <c r="Q1176" s="34">
        <f>IF(C1176="","",YEAR(C1176-WEEKDAY(C1176,2)+4)&amp;"-S"&amp;TEXT(INT((C1176-DATE(YEAR(C1176-WEEKDAY(C1176,2)+4),1,3)+WEEKDAY(DATE(YEAR(C1176-WEEKDAY(C1176,2)+4),1,3),2)+5)/7),"00"))</f>
        <v/>
      </c>
    </row>
    <row r="1177" ht="18" customHeight="1">
      <c r="A1177" s="39" t="n">
        <v>1172</v>
      </c>
      <c r="B1177" s="33">
        <f>IF(C1177="","",IF(L1177="À RENSEIGNER","GIC",L1177)&amp;"-S"&amp;TEXT(A1177,"00000"))</f>
        <v/>
      </c>
      <c r="C1177" s="32" t="n"/>
      <c r="D1177" s="36" t="n"/>
      <c r="E1177" s="36" t="n"/>
      <c r="F1177" s="42" t="n"/>
      <c r="G1177" s="36" t="n"/>
      <c r="H1177" s="43" t="n"/>
      <c r="I1177" s="37" t="n"/>
      <c r="J1177" s="44" t="n"/>
      <c r="K1177" s="36" t="n"/>
      <c r="L1177" s="33">
        <f>IF(C1177="","",Commercial_Id)</f>
        <v/>
      </c>
      <c r="M1177" s="34">
        <f>IF(E1177="","",IFERROR(VLOOKUP(E1177,T_Produits,2,FALSE),""))</f>
        <v/>
      </c>
      <c r="N1177" s="40">
        <f>IF(E1177="","",IFERROR(1/(1/VLOOKUP(E1177,T_Produits,3,FALSE)),""))</f>
        <v/>
      </c>
      <c r="O1177" s="40">
        <f>IF(OR(D1177="",F1177=""),"",IF(OR(D1177="Casse / avarie",D1177="Perte / vol",D1177="Échantillon offert"),IF(I1177&lt;&gt;"",I1177,IF(N1177="","",F1177*N1177)),""))</f>
        <v/>
      </c>
      <c r="P1177" s="50">
        <f>IF(OR(D1177="",F1177=""),"",F1177*IF(OR(D1177="Reçu du magasin",D1177="Ajustement (+)"),1,-1))</f>
        <v/>
      </c>
      <c r="Q1177" s="34">
        <f>IF(C1177="","",YEAR(C1177-WEEKDAY(C1177,2)+4)&amp;"-S"&amp;TEXT(INT((C1177-DATE(YEAR(C1177-WEEKDAY(C1177,2)+4),1,3)+WEEKDAY(DATE(YEAR(C1177-WEEKDAY(C1177,2)+4),1,3),2)+5)/7),"00"))</f>
        <v/>
      </c>
    </row>
    <row r="1178" ht="18" customHeight="1">
      <c r="A1178" s="39" t="n">
        <v>1173</v>
      </c>
      <c r="B1178" s="33">
        <f>IF(C1178="","",IF(L1178="À RENSEIGNER","GIC",L1178)&amp;"-S"&amp;TEXT(A1178,"00000"))</f>
        <v/>
      </c>
      <c r="C1178" s="32" t="n"/>
      <c r="D1178" s="36" t="n"/>
      <c r="E1178" s="36" t="n"/>
      <c r="F1178" s="42" t="n"/>
      <c r="G1178" s="36" t="n"/>
      <c r="H1178" s="43" t="n"/>
      <c r="I1178" s="37" t="n"/>
      <c r="J1178" s="44" t="n"/>
      <c r="K1178" s="36" t="n"/>
      <c r="L1178" s="33">
        <f>IF(C1178="","",Commercial_Id)</f>
        <v/>
      </c>
      <c r="M1178" s="34">
        <f>IF(E1178="","",IFERROR(VLOOKUP(E1178,T_Produits,2,FALSE),""))</f>
        <v/>
      </c>
      <c r="N1178" s="40">
        <f>IF(E1178="","",IFERROR(1/(1/VLOOKUP(E1178,T_Produits,3,FALSE)),""))</f>
        <v/>
      </c>
      <c r="O1178" s="40">
        <f>IF(OR(D1178="",F1178=""),"",IF(OR(D1178="Casse / avarie",D1178="Perte / vol",D1178="Échantillon offert"),IF(I1178&lt;&gt;"",I1178,IF(N1178="","",F1178*N1178)),""))</f>
        <v/>
      </c>
      <c r="P1178" s="50">
        <f>IF(OR(D1178="",F1178=""),"",F1178*IF(OR(D1178="Reçu du magasin",D1178="Ajustement (+)"),1,-1))</f>
        <v/>
      </c>
      <c r="Q1178" s="34">
        <f>IF(C1178="","",YEAR(C1178-WEEKDAY(C1178,2)+4)&amp;"-S"&amp;TEXT(INT((C1178-DATE(YEAR(C1178-WEEKDAY(C1178,2)+4),1,3)+WEEKDAY(DATE(YEAR(C1178-WEEKDAY(C1178,2)+4),1,3),2)+5)/7),"00"))</f>
        <v/>
      </c>
    </row>
    <row r="1179" ht="18" customHeight="1">
      <c r="A1179" s="39" t="n">
        <v>1174</v>
      </c>
      <c r="B1179" s="33">
        <f>IF(C1179="","",IF(L1179="À RENSEIGNER","GIC",L1179)&amp;"-S"&amp;TEXT(A1179,"00000"))</f>
        <v/>
      </c>
      <c r="C1179" s="32" t="n"/>
      <c r="D1179" s="36" t="n"/>
      <c r="E1179" s="36" t="n"/>
      <c r="F1179" s="42" t="n"/>
      <c r="G1179" s="36" t="n"/>
      <c r="H1179" s="43" t="n"/>
      <c r="I1179" s="37" t="n"/>
      <c r="J1179" s="44" t="n"/>
      <c r="K1179" s="36" t="n"/>
      <c r="L1179" s="33">
        <f>IF(C1179="","",Commercial_Id)</f>
        <v/>
      </c>
      <c r="M1179" s="34">
        <f>IF(E1179="","",IFERROR(VLOOKUP(E1179,T_Produits,2,FALSE),""))</f>
        <v/>
      </c>
      <c r="N1179" s="40">
        <f>IF(E1179="","",IFERROR(1/(1/VLOOKUP(E1179,T_Produits,3,FALSE)),""))</f>
        <v/>
      </c>
      <c r="O1179" s="40">
        <f>IF(OR(D1179="",F1179=""),"",IF(OR(D1179="Casse / avarie",D1179="Perte / vol",D1179="Échantillon offert"),IF(I1179&lt;&gt;"",I1179,IF(N1179="","",F1179*N1179)),""))</f>
        <v/>
      </c>
      <c r="P1179" s="50">
        <f>IF(OR(D1179="",F1179=""),"",F1179*IF(OR(D1179="Reçu du magasin",D1179="Ajustement (+)"),1,-1))</f>
        <v/>
      </c>
      <c r="Q1179" s="34">
        <f>IF(C1179="","",YEAR(C1179-WEEKDAY(C1179,2)+4)&amp;"-S"&amp;TEXT(INT((C1179-DATE(YEAR(C1179-WEEKDAY(C1179,2)+4),1,3)+WEEKDAY(DATE(YEAR(C1179-WEEKDAY(C1179,2)+4),1,3),2)+5)/7),"00"))</f>
        <v/>
      </c>
    </row>
    <row r="1180" ht="18" customHeight="1">
      <c r="A1180" s="39" t="n">
        <v>1175</v>
      </c>
      <c r="B1180" s="33">
        <f>IF(C1180="","",IF(L1180="À RENSEIGNER","GIC",L1180)&amp;"-S"&amp;TEXT(A1180,"00000"))</f>
        <v/>
      </c>
      <c r="C1180" s="32" t="n"/>
      <c r="D1180" s="36" t="n"/>
      <c r="E1180" s="36" t="n"/>
      <c r="F1180" s="42" t="n"/>
      <c r="G1180" s="36" t="n"/>
      <c r="H1180" s="43" t="n"/>
      <c r="I1180" s="37" t="n"/>
      <c r="J1180" s="44" t="n"/>
      <c r="K1180" s="36" t="n"/>
      <c r="L1180" s="33">
        <f>IF(C1180="","",Commercial_Id)</f>
        <v/>
      </c>
      <c r="M1180" s="34">
        <f>IF(E1180="","",IFERROR(VLOOKUP(E1180,T_Produits,2,FALSE),""))</f>
        <v/>
      </c>
      <c r="N1180" s="40">
        <f>IF(E1180="","",IFERROR(1/(1/VLOOKUP(E1180,T_Produits,3,FALSE)),""))</f>
        <v/>
      </c>
      <c r="O1180" s="40">
        <f>IF(OR(D1180="",F1180=""),"",IF(OR(D1180="Casse / avarie",D1180="Perte / vol",D1180="Échantillon offert"),IF(I1180&lt;&gt;"",I1180,IF(N1180="","",F1180*N1180)),""))</f>
        <v/>
      </c>
      <c r="P1180" s="50">
        <f>IF(OR(D1180="",F1180=""),"",F1180*IF(OR(D1180="Reçu du magasin",D1180="Ajustement (+)"),1,-1))</f>
        <v/>
      </c>
      <c r="Q1180" s="34">
        <f>IF(C1180="","",YEAR(C1180-WEEKDAY(C1180,2)+4)&amp;"-S"&amp;TEXT(INT((C1180-DATE(YEAR(C1180-WEEKDAY(C1180,2)+4),1,3)+WEEKDAY(DATE(YEAR(C1180-WEEKDAY(C1180,2)+4),1,3),2)+5)/7),"00"))</f>
        <v/>
      </c>
    </row>
    <row r="1181" ht="18" customHeight="1">
      <c r="A1181" s="39" t="n">
        <v>1176</v>
      </c>
      <c r="B1181" s="33">
        <f>IF(C1181="","",IF(L1181="À RENSEIGNER","GIC",L1181)&amp;"-S"&amp;TEXT(A1181,"00000"))</f>
        <v/>
      </c>
      <c r="C1181" s="32" t="n"/>
      <c r="D1181" s="36" t="n"/>
      <c r="E1181" s="36" t="n"/>
      <c r="F1181" s="42" t="n"/>
      <c r="G1181" s="36" t="n"/>
      <c r="H1181" s="43" t="n"/>
      <c r="I1181" s="37" t="n"/>
      <c r="J1181" s="44" t="n"/>
      <c r="K1181" s="36" t="n"/>
      <c r="L1181" s="33">
        <f>IF(C1181="","",Commercial_Id)</f>
        <v/>
      </c>
      <c r="M1181" s="34">
        <f>IF(E1181="","",IFERROR(VLOOKUP(E1181,T_Produits,2,FALSE),""))</f>
        <v/>
      </c>
      <c r="N1181" s="40">
        <f>IF(E1181="","",IFERROR(1/(1/VLOOKUP(E1181,T_Produits,3,FALSE)),""))</f>
        <v/>
      </c>
      <c r="O1181" s="40">
        <f>IF(OR(D1181="",F1181=""),"",IF(OR(D1181="Casse / avarie",D1181="Perte / vol",D1181="Échantillon offert"),IF(I1181&lt;&gt;"",I1181,IF(N1181="","",F1181*N1181)),""))</f>
        <v/>
      </c>
      <c r="P1181" s="50">
        <f>IF(OR(D1181="",F1181=""),"",F1181*IF(OR(D1181="Reçu du magasin",D1181="Ajustement (+)"),1,-1))</f>
        <v/>
      </c>
      <c r="Q1181" s="34">
        <f>IF(C1181="","",YEAR(C1181-WEEKDAY(C1181,2)+4)&amp;"-S"&amp;TEXT(INT((C1181-DATE(YEAR(C1181-WEEKDAY(C1181,2)+4),1,3)+WEEKDAY(DATE(YEAR(C1181-WEEKDAY(C1181,2)+4),1,3),2)+5)/7),"00"))</f>
        <v/>
      </c>
    </row>
    <row r="1182" ht="18" customHeight="1">
      <c r="A1182" s="39" t="n">
        <v>1177</v>
      </c>
      <c r="B1182" s="33">
        <f>IF(C1182="","",IF(L1182="À RENSEIGNER","GIC",L1182)&amp;"-S"&amp;TEXT(A1182,"00000"))</f>
        <v/>
      </c>
      <c r="C1182" s="32" t="n"/>
      <c r="D1182" s="36" t="n"/>
      <c r="E1182" s="36" t="n"/>
      <c r="F1182" s="42" t="n"/>
      <c r="G1182" s="36" t="n"/>
      <c r="H1182" s="43" t="n"/>
      <c r="I1182" s="37" t="n"/>
      <c r="J1182" s="44" t="n"/>
      <c r="K1182" s="36" t="n"/>
      <c r="L1182" s="33">
        <f>IF(C1182="","",Commercial_Id)</f>
        <v/>
      </c>
      <c r="M1182" s="34">
        <f>IF(E1182="","",IFERROR(VLOOKUP(E1182,T_Produits,2,FALSE),""))</f>
        <v/>
      </c>
      <c r="N1182" s="40">
        <f>IF(E1182="","",IFERROR(1/(1/VLOOKUP(E1182,T_Produits,3,FALSE)),""))</f>
        <v/>
      </c>
      <c r="O1182" s="40">
        <f>IF(OR(D1182="",F1182=""),"",IF(OR(D1182="Casse / avarie",D1182="Perte / vol",D1182="Échantillon offert"),IF(I1182&lt;&gt;"",I1182,IF(N1182="","",F1182*N1182)),""))</f>
        <v/>
      </c>
      <c r="P1182" s="50">
        <f>IF(OR(D1182="",F1182=""),"",F1182*IF(OR(D1182="Reçu du magasin",D1182="Ajustement (+)"),1,-1))</f>
        <v/>
      </c>
      <c r="Q1182" s="34">
        <f>IF(C1182="","",YEAR(C1182-WEEKDAY(C1182,2)+4)&amp;"-S"&amp;TEXT(INT((C1182-DATE(YEAR(C1182-WEEKDAY(C1182,2)+4),1,3)+WEEKDAY(DATE(YEAR(C1182-WEEKDAY(C1182,2)+4),1,3),2)+5)/7),"00"))</f>
        <v/>
      </c>
    </row>
    <row r="1183" ht="18" customHeight="1">
      <c r="A1183" s="39" t="n">
        <v>1178</v>
      </c>
      <c r="B1183" s="33">
        <f>IF(C1183="","",IF(L1183="À RENSEIGNER","GIC",L1183)&amp;"-S"&amp;TEXT(A1183,"00000"))</f>
        <v/>
      </c>
      <c r="C1183" s="32" t="n"/>
      <c r="D1183" s="36" t="n"/>
      <c r="E1183" s="36" t="n"/>
      <c r="F1183" s="42" t="n"/>
      <c r="G1183" s="36" t="n"/>
      <c r="H1183" s="43" t="n"/>
      <c r="I1183" s="37" t="n"/>
      <c r="J1183" s="44" t="n"/>
      <c r="K1183" s="36" t="n"/>
      <c r="L1183" s="33">
        <f>IF(C1183="","",Commercial_Id)</f>
        <v/>
      </c>
      <c r="M1183" s="34">
        <f>IF(E1183="","",IFERROR(VLOOKUP(E1183,T_Produits,2,FALSE),""))</f>
        <v/>
      </c>
      <c r="N1183" s="40">
        <f>IF(E1183="","",IFERROR(1/(1/VLOOKUP(E1183,T_Produits,3,FALSE)),""))</f>
        <v/>
      </c>
      <c r="O1183" s="40">
        <f>IF(OR(D1183="",F1183=""),"",IF(OR(D1183="Casse / avarie",D1183="Perte / vol",D1183="Échantillon offert"),IF(I1183&lt;&gt;"",I1183,IF(N1183="","",F1183*N1183)),""))</f>
        <v/>
      </c>
      <c r="P1183" s="50">
        <f>IF(OR(D1183="",F1183=""),"",F1183*IF(OR(D1183="Reçu du magasin",D1183="Ajustement (+)"),1,-1))</f>
        <v/>
      </c>
      <c r="Q1183" s="34">
        <f>IF(C1183="","",YEAR(C1183-WEEKDAY(C1183,2)+4)&amp;"-S"&amp;TEXT(INT((C1183-DATE(YEAR(C1183-WEEKDAY(C1183,2)+4),1,3)+WEEKDAY(DATE(YEAR(C1183-WEEKDAY(C1183,2)+4),1,3),2)+5)/7),"00"))</f>
        <v/>
      </c>
    </row>
    <row r="1184" ht="18" customHeight="1">
      <c r="A1184" s="39" t="n">
        <v>1179</v>
      </c>
      <c r="B1184" s="33">
        <f>IF(C1184="","",IF(L1184="À RENSEIGNER","GIC",L1184)&amp;"-S"&amp;TEXT(A1184,"00000"))</f>
        <v/>
      </c>
      <c r="C1184" s="32" t="n"/>
      <c r="D1184" s="36" t="n"/>
      <c r="E1184" s="36" t="n"/>
      <c r="F1184" s="42" t="n"/>
      <c r="G1184" s="36" t="n"/>
      <c r="H1184" s="43" t="n"/>
      <c r="I1184" s="37" t="n"/>
      <c r="J1184" s="44" t="n"/>
      <c r="K1184" s="36" t="n"/>
      <c r="L1184" s="33">
        <f>IF(C1184="","",Commercial_Id)</f>
        <v/>
      </c>
      <c r="M1184" s="34">
        <f>IF(E1184="","",IFERROR(VLOOKUP(E1184,T_Produits,2,FALSE),""))</f>
        <v/>
      </c>
      <c r="N1184" s="40">
        <f>IF(E1184="","",IFERROR(1/(1/VLOOKUP(E1184,T_Produits,3,FALSE)),""))</f>
        <v/>
      </c>
      <c r="O1184" s="40">
        <f>IF(OR(D1184="",F1184=""),"",IF(OR(D1184="Casse / avarie",D1184="Perte / vol",D1184="Échantillon offert"),IF(I1184&lt;&gt;"",I1184,IF(N1184="","",F1184*N1184)),""))</f>
        <v/>
      </c>
      <c r="P1184" s="50">
        <f>IF(OR(D1184="",F1184=""),"",F1184*IF(OR(D1184="Reçu du magasin",D1184="Ajustement (+)"),1,-1))</f>
        <v/>
      </c>
      <c r="Q1184" s="34">
        <f>IF(C1184="","",YEAR(C1184-WEEKDAY(C1184,2)+4)&amp;"-S"&amp;TEXT(INT((C1184-DATE(YEAR(C1184-WEEKDAY(C1184,2)+4),1,3)+WEEKDAY(DATE(YEAR(C1184-WEEKDAY(C1184,2)+4),1,3),2)+5)/7),"00"))</f>
        <v/>
      </c>
    </row>
    <row r="1185" ht="18" customHeight="1">
      <c r="A1185" s="39" t="n">
        <v>1180</v>
      </c>
      <c r="B1185" s="33">
        <f>IF(C1185="","",IF(L1185="À RENSEIGNER","GIC",L1185)&amp;"-S"&amp;TEXT(A1185,"00000"))</f>
        <v/>
      </c>
      <c r="C1185" s="32" t="n"/>
      <c r="D1185" s="36" t="n"/>
      <c r="E1185" s="36" t="n"/>
      <c r="F1185" s="42" t="n"/>
      <c r="G1185" s="36" t="n"/>
      <c r="H1185" s="43" t="n"/>
      <c r="I1185" s="37" t="n"/>
      <c r="J1185" s="44" t="n"/>
      <c r="K1185" s="36" t="n"/>
      <c r="L1185" s="33">
        <f>IF(C1185="","",Commercial_Id)</f>
        <v/>
      </c>
      <c r="M1185" s="34">
        <f>IF(E1185="","",IFERROR(VLOOKUP(E1185,T_Produits,2,FALSE),""))</f>
        <v/>
      </c>
      <c r="N1185" s="40">
        <f>IF(E1185="","",IFERROR(1/(1/VLOOKUP(E1185,T_Produits,3,FALSE)),""))</f>
        <v/>
      </c>
      <c r="O1185" s="40">
        <f>IF(OR(D1185="",F1185=""),"",IF(OR(D1185="Casse / avarie",D1185="Perte / vol",D1185="Échantillon offert"),IF(I1185&lt;&gt;"",I1185,IF(N1185="","",F1185*N1185)),""))</f>
        <v/>
      </c>
      <c r="P1185" s="50">
        <f>IF(OR(D1185="",F1185=""),"",F1185*IF(OR(D1185="Reçu du magasin",D1185="Ajustement (+)"),1,-1))</f>
        <v/>
      </c>
      <c r="Q1185" s="34">
        <f>IF(C1185="","",YEAR(C1185-WEEKDAY(C1185,2)+4)&amp;"-S"&amp;TEXT(INT((C1185-DATE(YEAR(C1185-WEEKDAY(C1185,2)+4),1,3)+WEEKDAY(DATE(YEAR(C1185-WEEKDAY(C1185,2)+4),1,3),2)+5)/7),"00"))</f>
        <v/>
      </c>
    </row>
    <row r="1186" ht="18" customHeight="1">
      <c r="A1186" s="39" t="n">
        <v>1181</v>
      </c>
      <c r="B1186" s="33">
        <f>IF(C1186="","",IF(L1186="À RENSEIGNER","GIC",L1186)&amp;"-S"&amp;TEXT(A1186,"00000"))</f>
        <v/>
      </c>
      <c r="C1186" s="32" t="n"/>
      <c r="D1186" s="36" t="n"/>
      <c r="E1186" s="36" t="n"/>
      <c r="F1186" s="42" t="n"/>
      <c r="G1186" s="36" t="n"/>
      <c r="H1186" s="43" t="n"/>
      <c r="I1186" s="37" t="n"/>
      <c r="J1186" s="44" t="n"/>
      <c r="K1186" s="36" t="n"/>
      <c r="L1186" s="33">
        <f>IF(C1186="","",Commercial_Id)</f>
        <v/>
      </c>
      <c r="M1186" s="34">
        <f>IF(E1186="","",IFERROR(VLOOKUP(E1186,T_Produits,2,FALSE),""))</f>
        <v/>
      </c>
      <c r="N1186" s="40">
        <f>IF(E1186="","",IFERROR(1/(1/VLOOKUP(E1186,T_Produits,3,FALSE)),""))</f>
        <v/>
      </c>
      <c r="O1186" s="40">
        <f>IF(OR(D1186="",F1186=""),"",IF(OR(D1186="Casse / avarie",D1186="Perte / vol",D1186="Échantillon offert"),IF(I1186&lt;&gt;"",I1186,IF(N1186="","",F1186*N1186)),""))</f>
        <v/>
      </c>
      <c r="P1186" s="50">
        <f>IF(OR(D1186="",F1186=""),"",F1186*IF(OR(D1186="Reçu du magasin",D1186="Ajustement (+)"),1,-1))</f>
        <v/>
      </c>
      <c r="Q1186" s="34">
        <f>IF(C1186="","",YEAR(C1186-WEEKDAY(C1186,2)+4)&amp;"-S"&amp;TEXT(INT((C1186-DATE(YEAR(C1186-WEEKDAY(C1186,2)+4),1,3)+WEEKDAY(DATE(YEAR(C1186-WEEKDAY(C1186,2)+4),1,3),2)+5)/7),"00"))</f>
        <v/>
      </c>
    </row>
    <row r="1187" ht="18" customHeight="1">
      <c r="A1187" s="39" t="n">
        <v>1182</v>
      </c>
      <c r="B1187" s="33">
        <f>IF(C1187="","",IF(L1187="À RENSEIGNER","GIC",L1187)&amp;"-S"&amp;TEXT(A1187,"00000"))</f>
        <v/>
      </c>
      <c r="C1187" s="32" t="n"/>
      <c r="D1187" s="36" t="n"/>
      <c r="E1187" s="36" t="n"/>
      <c r="F1187" s="42" t="n"/>
      <c r="G1187" s="36" t="n"/>
      <c r="H1187" s="43" t="n"/>
      <c r="I1187" s="37" t="n"/>
      <c r="J1187" s="44" t="n"/>
      <c r="K1187" s="36" t="n"/>
      <c r="L1187" s="33">
        <f>IF(C1187="","",Commercial_Id)</f>
        <v/>
      </c>
      <c r="M1187" s="34">
        <f>IF(E1187="","",IFERROR(VLOOKUP(E1187,T_Produits,2,FALSE),""))</f>
        <v/>
      </c>
      <c r="N1187" s="40">
        <f>IF(E1187="","",IFERROR(1/(1/VLOOKUP(E1187,T_Produits,3,FALSE)),""))</f>
        <v/>
      </c>
      <c r="O1187" s="40">
        <f>IF(OR(D1187="",F1187=""),"",IF(OR(D1187="Casse / avarie",D1187="Perte / vol",D1187="Échantillon offert"),IF(I1187&lt;&gt;"",I1187,IF(N1187="","",F1187*N1187)),""))</f>
        <v/>
      </c>
      <c r="P1187" s="50">
        <f>IF(OR(D1187="",F1187=""),"",F1187*IF(OR(D1187="Reçu du magasin",D1187="Ajustement (+)"),1,-1))</f>
        <v/>
      </c>
      <c r="Q1187" s="34">
        <f>IF(C1187="","",YEAR(C1187-WEEKDAY(C1187,2)+4)&amp;"-S"&amp;TEXT(INT((C1187-DATE(YEAR(C1187-WEEKDAY(C1187,2)+4),1,3)+WEEKDAY(DATE(YEAR(C1187-WEEKDAY(C1187,2)+4),1,3),2)+5)/7),"00"))</f>
        <v/>
      </c>
    </row>
    <row r="1188" ht="18" customHeight="1">
      <c r="A1188" s="39" t="n">
        <v>1183</v>
      </c>
      <c r="B1188" s="33">
        <f>IF(C1188="","",IF(L1188="À RENSEIGNER","GIC",L1188)&amp;"-S"&amp;TEXT(A1188,"00000"))</f>
        <v/>
      </c>
      <c r="C1188" s="32" t="n"/>
      <c r="D1188" s="36" t="n"/>
      <c r="E1188" s="36" t="n"/>
      <c r="F1188" s="42" t="n"/>
      <c r="G1188" s="36" t="n"/>
      <c r="H1188" s="43" t="n"/>
      <c r="I1188" s="37" t="n"/>
      <c r="J1188" s="44" t="n"/>
      <c r="K1188" s="36" t="n"/>
      <c r="L1188" s="33">
        <f>IF(C1188="","",Commercial_Id)</f>
        <v/>
      </c>
      <c r="M1188" s="34">
        <f>IF(E1188="","",IFERROR(VLOOKUP(E1188,T_Produits,2,FALSE),""))</f>
        <v/>
      </c>
      <c r="N1188" s="40">
        <f>IF(E1188="","",IFERROR(1/(1/VLOOKUP(E1188,T_Produits,3,FALSE)),""))</f>
        <v/>
      </c>
      <c r="O1188" s="40">
        <f>IF(OR(D1188="",F1188=""),"",IF(OR(D1188="Casse / avarie",D1188="Perte / vol",D1188="Échantillon offert"),IF(I1188&lt;&gt;"",I1188,IF(N1188="","",F1188*N1188)),""))</f>
        <v/>
      </c>
      <c r="P1188" s="50">
        <f>IF(OR(D1188="",F1188=""),"",F1188*IF(OR(D1188="Reçu du magasin",D1188="Ajustement (+)"),1,-1))</f>
        <v/>
      </c>
      <c r="Q1188" s="34">
        <f>IF(C1188="","",YEAR(C1188-WEEKDAY(C1188,2)+4)&amp;"-S"&amp;TEXT(INT((C1188-DATE(YEAR(C1188-WEEKDAY(C1188,2)+4),1,3)+WEEKDAY(DATE(YEAR(C1188-WEEKDAY(C1188,2)+4),1,3),2)+5)/7),"00"))</f>
        <v/>
      </c>
    </row>
    <row r="1189" ht="18" customHeight="1">
      <c r="A1189" s="39" t="n">
        <v>1184</v>
      </c>
      <c r="B1189" s="33">
        <f>IF(C1189="","",IF(L1189="À RENSEIGNER","GIC",L1189)&amp;"-S"&amp;TEXT(A1189,"00000"))</f>
        <v/>
      </c>
      <c r="C1189" s="32" t="n"/>
      <c r="D1189" s="36" t="n"/>
      <c r="E1189" s="36" t="n"/>
      <c r="F1189" s="42" t="n"/>
      <c r="G1189" s="36" t="n"/>
      <c r="H1189" s="43" t="n"/>
      <c r="I1189" s="37" t="n"/>
      <c r="J1189" s="44" t="n"/>
      <c r="K1189" s="36" t="n"/>
      <c r="L1189" s="33">
        <f>IF(C1189="","",Commercial_Id)</f>
        <v/>
      </c>
      <c r="M1189" s="34">
        <f>IF(E1189="","",IFERROR(VLOOKUP(E1189,T_Produits,2,FALSE),""))</f>
        <v/>
      </c>
      <c r="N1189" s="40">
        <f>IF(E1189="","",IFERROR(1/(1/VLOOKUP(E1189,T_Produits,3,FALSE)),""))</f>
        <v/>
      </c>
      <c r="O1189" s="40">
        <f>IF(OR(D1189="",F1189=""),"",IF(OR(D1189="Casse / avarie",D1189="Perte / vol",D1189="Échantillon offert"),IF(I1189&lt;&gt;"",I1189,IF(N1189="","",F1189*N1189)),""))</f>
        <v/>
      </c>
      <c r="P1189" s="50">
        <f>IF(OR(D1189="",F1189=""),"",F1189*IF(OR(D1189="Reçu du magasin",D1189="Ajustement (+)"),1,-1))</f>
        <v/>
      </c>
      <c r="Q1189" s="34">
        <f>IF(C1189="","",YEAR(C1189-WEEKDAY(C1189,2)+4)&amp;"-S"&amp;TEXT(INT((C1189-DATE(YEAR(C1189-WEEKDAY(C1189,2)+4),1,3)+WEEKDAY(DATE(YEAR(C1189-WEEKDAY(C1189,2)+4),1,3),2)+5)/7),"00"))</f>
        <v/>
      </c>
    </row>
    <row r="1190" ht="18" customHeight="1">
      <c r="A1190" s="39" t="n">
        <v>1185</v>
      </c>
      <c r="B1190" s="33">
        <f>IF(C1190="","",IF(L1190="À RENSEIGNER","GIC",L1190)&amp;"-S"&amp;TEXT(A1190,"00000"))</f>
        <v/>
      </c>
      <c r="C1190" s="32" t="n"/>
      <c r="D1190" s="36" t="n"/>
      <c r="E1190" s="36" t="n"/>
      <c r="F1190" s="42" t="n"/>
      <c r="G1190" s="36" t="n"/>
      <c r="H1190" s="43" t="n"/>
      <c r="I1190" s="37" t="n"/>
      <c r="J1190" s="44" t="n"/>
      <c r="K1190" s="36" t="n"/>
      <c r="L1190" s="33">
        <f>IF(C1190="","",Commercial_Id)</f>
        <v/>
      </c>
      <c r="M1190" s="34">
        <f>IF(E1190="","",IFERROR(VLOOKUP(E1190,T_Produits,2,FALSE),""))</f>
        <v/>
      </c>
      <c r="N1190" s="40">
        <f>IF(E1190="","",IFERROR(1/(1/VLOOKUP(E1190,T_Produits,3,FALSE)),""))</f>
        <v/>
      </c>
      <c r="O1190" s="40">
        <f>IF(OR(D1190="",F1190=""),"",IF(OR(D1190="Casse / avarie",D1190="Perte / vol",D1190="Échantillon offert"),IF(I1190&lt;&gt;"",I1190,IF(N1190="","",F1190*N1190)),""))</f>
        <v/>
      </c>
      <c r="P1190" s="50">
        <f>IF(OR(D1190="",F1190=""),"",F1190*IF(OR(D1190="Reçu du magasin",D1190="Ajustement (+)"),1,-1))</f>
        <v/>
      </c>
      <c r="Q1190" s="34">
        <f>IF(C1190="","",YEAR(C1190-WEEKDAY(C1190,2)+4)&amp;"-S"&amp;TEXT(INT((C1190-DATE(YEAR(C1190-WEEKDAY(C1190,2)+4),1,3)+WEEKDAY(DATE(YEAR(C1190-WEEKDAY(C1190,2)+4),1,3),2)+5)/7),"00"))</f>
        <v/>
      </c>
    </row>
    <row r="1191" ht="18" customHeight="1">
      <c r="A1191" s="39" t="n">
        <v>1186</v>
      </c>
      <c r="B1191" s="33">
        <f>IF(C1191="","",IF(L1191="À RENSEIGNER","GIC",L1191)&amp;"-S"&amp;TEXT(A1191,"00000"))</f>
        <v/>
      </c>
      <c r="C1191" s="32" t="n"/>
      <c r="D1191" s="36" t="n"/>
      <c r="E1191" s="36" t="n"/>
      <c r="F1191" s="42" t="n"/>
      <c r="G1191" s="36" t="n"/>
      <c r="H1191" s="43" t="n"/>
      <c r="I1191" s="37" t="n"/>
      <c r="J1191" s="44" t="n"/>
      <c r="K1191" s="36" t="n"/>
      <c r="L1191" s="33">
        <f>IF(C1191="","",Commercial_Id)</f>
        <v/>
      </c>
      <c r="M1191" s="34">
        <f>IF(E1191="","",IFERROR(VLOOKUP(E1191,T_Produits,2,FALSE),""))</f>
        <v/>
      </c>
      <c r="N1191" s="40">
        <f>IF(E1191="","",IFERROR(1/(1/VLOOKUP(E1191,T_Produits,3,FALSE)),""))</f>
        <v/>
      </c>
      <c r="O1191" s="40">
        <f>IF(OR(D1191="",F1191=""),"",IF(OR(D1191="Casse / avarie",D1191="Perte / vol",D1191="Échantillon offert"),IF(I1191&lt;&gt;"",I1191,IF(N1191="","",F1191*N1191)),""))</f>
        <v/>
      </c>
      <c r="P1191" s="50">
        <f>IF(OR(D1191="",F1191=""),"",F1191*IF(OR(D1191="Reçu du magasin",D1191="Ajustement (+)"),1,-1))</f>
        <v/>
      </c>
      <c r="Q1191" s="34">
        <f>IF(C1191="","",YEAR(C1191-WEEKDAY(C1191,2)+4)&amp;"-S"&amp;TEXT(INT((C1191-DATE(YEAR(C1191-WEEKDAY(C1191,2)+4),1,3)+WEEKDAY(DATE(YEAR(C1191-WEEKDAY(C1191,2)+4),1,3),2)+5)/7),"00"))</f>
        <v/>
      </c>
    </row>
    <row r="1192" ht="18" customHeight="1">
      <c r="A1192" s="39" t="n">
        <v>1187</v>
      </c>
      <c r="B1192" s="33">
        <f>IF(C1192="","",IF(L1192="À RENSEIGNER","GIC",L1192)&amp;"-S"&amp;TEXT(A1192,"00000"))</f>
        <v/>
      </c>
      <c r="C1192" s="32" t="n"/>
      <c r="D1192" s="36" t="n"/>
      <c r="E1192" s="36" t="n"/>
      <c r="F1192" s="42" t="n"/>
      <c r="G1192" s="36" t="n"/>
      <c r="H1192" s="43" t="n"/>
      <c r="I1192" s="37" t="n"/>
      <c r="J1192" s="44" t="n"/>
      <c r="K1192" s="36" t="n"/>
      <c r="L1192" s="33">
        <f>IF(C1192="","",Commercial_Id)</f>
        <v/>
      </c>
      <c r="M1192" s="34">
        <f>IF(E1192="","",IFERROR(VLOOKUP(E1192,T_Produits,2,FALSE),""))</f>
        <v/>
      </c>
      <c r="N1192" s="40">
        <f>IF(E1192="","",IFERROR(1/(1/VLOOKUP(E1192,T_Produits,3,FALSE)),""))</f>
        <v/>
      </c>
      <c r="O1192" s="40">
        <f>IF(OR(D1192="",F1192=""),"",IF(OR(D1192="Casse / avarie",D1192="Perte / vol",D1192="Échantillon offert"),IF(I1192&lt;&gt;"",I1192,IF(N1192="","",F1192*N1192)),""))</f>
        <v/>
      </c>
      <c r="P1192" s="50">
        <f>IF(OR(D1192="",F1192=""),"",F1192*IF(OR(D1192="Reçu du magasin",D1192="Ajustement (+)"),1,-1))</f>
        <v/>
      </c>
      <c r="Q1192" s="34">
        <f>IF(C1192="","",YEAR(C1192-WEEKDAY(C1192,2)+4)&amp;"-S"&amp;TEXT(INT((C1192-DATE(YEAR(C1192-WEEKDAY(C1192,2)+4),1,3)+WEEKDAY(DATE(YEAR(C1192-WEEKDAY(C1192,2)+4),1,3),2)+5)/7),"00"))</f>
        <v/>
      </c>
    </row>
    <row r="1193" ht="18" customHeight="1">
      <c r="A1193" s="39" t="n">
        <v>1188</v>
      </c>
      <c r="B1193" s="33">
        <f>IF(C1193="","",IF(L1193="À RENSEIGNER","GIC",L1193)&amp;"-S"&amp;TEXT(A1193,"00000"))</f>
        <v/>
      </c>
      <c r="C1193" s="32" t="n"/>
      <c r="D1193" s="36" t="n"/>
      <c r="E1193" s="36" t="n"/>
      <c r="F1193" s="42" t="n"/>
      <c r="G1193" s="36" t="n"/>
      <c r="H1193" s="43" t="n"/>
      <c r="I1193" s="37" t="n"/>
      <c r="J1193" s="44" t="n"/>
      <c r="K1193" s="36" t="n"/>
      <c r="L1193" s="33">
        <f>IF(C1193="","",Commercial_Id)</f>
        <v/>
      </c>
      <c r="M1193" s="34">
        <f>IF(E1193="","",IFERROR(VLOOKUP(E1193,T_Produits,2,FALSE),""))</f>
        <v/>
      </c>
      <c r="N1193" s="40">
        <f>IF(E1193="","",IFERROR(1/(1/VLOOKUP(E1193,T_Produits,3,FALSE)),""))</f>
        <v/>
      </c>
      <c r="O1193" s="40">
        <f>IF(OR(D1193="",F1193=""),"",IF(OR(D1193="Casse / avarie",D1193="Perte / vol",D1193="Échantillon offert"),IF(I1193&lt;&gt;"",I1193,IF(N1193="","",F1193*N1193)),""))</f>
        <v/>
      </c>
      <c r="P1193" s="50">
        <f>IF(OR(D1193="",F1193=""),"",F1193*IF(OR(D1193="Reçu du magasin",D1193="Ajustement (+)"),1,-1))</f>
        <v/>
      </c>
      <c r="Q1193" s="34">
        <f>IF(C1193="","",YEAR(C1193-WEEKDAY(C1193,2)+4)&amp;"-S"&amp;TEXT(INT((C1193-DATE(YEAR(C1193-WEEKDAY(C1193,2)+4),1,3)+WEEKDAY(DATE(YEAR(C1193-WEEKDAY(C1193,2)+4),1,3),2)+5)/7),"00"))</f>
        <v/>
      </c>
    </row>
    <row r="1194" ht="18" customHeight="1">
      <c r="A1194" s="39" t="n">
        <v>1189</v>
      </c>
      <c r="B1194" s="33">
        <f>IF(C1194="","",IF(L1194="À RENSEIGNER","GIC",L1194)&amp;"-S"&amp;TEXT(A1194,"00000"))</f>
        <v/>
      </c>
      <c r="C1194" s="32" t="n"/>
      <c r="D1194" s="36" t="n"/>
      <c r="E1194" s="36" t="n"/>
      <c r="F1194" s="42" t="n"/>
      <c r="G1194" s="36" t="n"/>
      <c r="H1194" s="43" t="n"/>
      <c r="I1194" s="37" t="n"/>
      <c r="J1194" s="44" t="n"/>
      <c r="K1194" s="36" t="n"/>
      <c r="L1194" s="33">
        <f>IF(C1194="","",Commercial_Id)</f>
        <v/>
      </c>
      <c r="M1194" s="34">
        <f>IF(E1194="","",IFERROR(VLOOKUP(E1194,T_Produits,2,FALSE),""))</f>
        <v/>
      </c>
      <c r="N1194" s="40">
        <f>IF(E1194="","",IFERROR(1/(1/VLOOKUP(E1194,T_Produits,3,FALSE)),""))</f>
        <v/>
      </c>
      <c r="O1194" s="40">
        <f>IF(OR(D1194="",F1194=""),"",IF(OR(D1194="Casse / avarie",D1194="Perte / vol",D1194="Échantillon offert"),IF(I1194&lt;&gt;"",I1194,IF(N1194="","",F1194*N1194)),""))</f>
        <v/>
      </c>
      <c r="P1194" s="50">
        <f>IF(OR(D1194="",F1194=""),"",F1194*IF(OR(D1194="Reçu du magasin",D1194="Ajustement (+)"),1,-1))</f>
        <v/>
      </c>
      <c r="Q1194" s="34">
        <f>IF(C1194="","",YEAR(C1194-WEEKDAY(C1194,2)+4)&amp;"-S"&amp;TEXT(INT((C1194-DATE(YEAR(C1194-WEEKDAY(C1194,2)+4),1,3)+WEEKDAY(DATE(YEAR(C1194-WEEKDAY(C1194,2)+4),1,3),2)+5)/7),"00"))</f>
        <v/>
      </c>
    </row>
    <row r="1195" ht="18" customHeight="1">
      <c r="A1195" s="39" t="n">
        <v>1190</v>
      </c>
      <c r="B1195" s="33">
        <f>IF(C1195="","",IF(L1195="À RENSEIGNER","GIC",L1195)&amp;"-S"&amp;TEXT(A1195,"00000"))</f>
        <v/>
      </c>
      <c r="C1195" s="32" t="n"/>
      <c r="D1195" s="36" t="n"/>
      <c r="E1195" s="36" t="n"/>
      <c r="F1195" s="42" t="n"/>
      <c r="G1195" s="36" t="n"/>
      <c r="H1195" s="43" t="n"/>
      <c r="I1195" s="37" t="n"/>
      <c r="J1195" s="44" t="n"/>
      <c r="K1195" s="36" t="n"/>
      <c r="L1195" s="33">
        <f>IF(C1195="","",Commercial_Id)</f>
        <v/>
      </c>
      <c r="M1195" s="34">
        <f>IF(E1195="","",IFERROR(VLOOKUP(E1195,T_Produits,2,FALSE),""))</f>
        <v/>
      </c>
      <c r="N1195" s="40">
        <f>IF(E1195="","",IFERROR(1/(1/VLOOKUP(E1195,T_Produits,3,FALSE)),""))</f>
        <v/>
      </c>
      <c r="O1195" s="40">
        <f>IF(OR(D1195="",F1195=""),"",IF(OR(D1195="Casse / avarie",D1195="Perte / vol",D1195="Échantillon offert"),IF(I1195&lt;&gt;"",I1195,IF(N1195="","",F1195*N1195)),""))</f>
        <v/>
      </c>
      <c r="P1195" s="50">
        <f>IF(OR(D1195="",F1195=""),"",F1195*IF(OR(D1195="Reçu du magasin",D1195="Ajustement (+)"),1,-1))</f>
        <v/>
      </c>
      <c r="Q1195" s="34">
        <f>IF(C1195="","",YEAR(C1195-WEEKDAY(C1195,2)+4)&amp;"-S"&amp;TEXT(INT((C1195-DATE(YEAR(C1195-WEEKDAY(C1195,2)+4),1,3)+WEEKDAY(DATE(YEAR(C1195-WEEKDAY(C1195,2)+4),1,3),2)+5)/7),"00"))</f>
        <v/>
      </c>
    </row>
    <row r="1196" ht="18" customHeight="1">
      <c r="A1196" s="39" t="n">
        <v>1191</v>
      </c>
      <c r="B1196" s="33">
        <f>IF(C1196="","",IF(L1196="À RENSEIGNER","GIC",L1196)&amp;"-S"&amp;TEXT(A1196,"00000"))</f>
        <v/>
      </c>
      <c r="C1196" s="32" t="n"/>
      <c r="D1196" s="36" t="n"/>
      <c r="E1196" s="36" t="n"/>
      <c r="F1196" s="42" t="n"/>
      <c r="G1196" s="36" t="n"/>
      <c r="H1196" s="43" t="n"/>
      <c r="I1196" s="37" t="n"/>
      <c r="J1196" s="44" t="n"/>
      <c r="K1196" s="36" t="n"/>
      <c r="L1196" s="33">
        <f>IF(C1196="","",Commercial_Id)</f>
        <v/>
      </c>
      <c r="M1196" s="34">
        <f>IF(E1196="","",IFERROR(VLOOKUP(E1196,T_Produits,2,FALSE),""))</f>
        <v/>
      </c>
      <c r="N1196" s="40">
        <f>IF(E1196="","",IFERROR(1/(1/VLOOKUP(E1196,T_Produits,3,FALSE)),""))</f>
        <v/>
      </c>
      <c r="O1196" s="40">
        <f>IF(OR(D1196="",F1196=""),"",IF(OR(D1196="Casse / avarie",D1196="Perte / vol",D1196="Échantillon offert"),IF(I1196&lt;&gt;"",I1196,IF(N1196="","",F1196*N1196)),""))</f>
        <v/>
      </c>
      <c r="P1196" s="50">
        <f>IF(OR(D1196="",F1196=""),"",F1196*IF(OR(D1196="Reçu du magasin",D1196="Ajustement (+)"),1,-1))</f>
        <v/>
      </c>
      <c r="Q1196" s="34">
        <f>IF(C1196="","",YEAR(C1196-WEEKDAY(C1196,2)+4)&amp;"-S"&amp;TEXT(INT((C1196-DATE(YEAR(C1196-WEEKDAY(C1196,2)+4),1,3)+WEEKDAY(DATE(YEAR(C1196-WEEKDAY(C1196,2)+4),1,3),2)+5)/7),"00"))</f>
        <v/>
      </c>
    </row>
    <row r="1197" ht="18" customHeight="1">
      <c r="A1197" s="39" t="n">
        <v>1192</v>
      </c>
      <c r="B1197" s="33">
        <f>IF(C1197="","",IF(L1197="À RENSEIGNER","GIC",L1197)&amp;"-S"&amp;TEXT(A1197,"00000"))</f>
        <v/>
      </c>
      <c r="C1197" s="32" t="n"/>
      <c r="D1197" s="36" t="n"/>
      <c r="E1197" s="36" t="n"/>
      <c r="F1197" s="42" t="n"/>
      <c r="G1197" s="36" t="n"/>
      <c r="H1197" s="43" t="n"/>
      <c r="I1197" s="37" t="n"/>
      <c r="J1197" s="44" t="n"/>
      <c r="K1197" s="36" t="n"/>
      <c r="L1197" s="33">
        <f>IF(C1197="","",Commercial_Id)</f>
        <v/>
      </c>
      <c r="M1197" s="34">
        <f>IF(E1197="","",IFERROR(VLOOKUP(E1197,T_Produits,2,FALSE),""))</f>
        <v/>
      </c>
      <c r="N1197" s="40">
        <f>IF(E1197="","",IFERROR(1/(1/VLOOKUP(E1197,T_Produits,3,FALSE)),""))</f>
        <v/>
      </c>
      <c r="O1197" s="40">
        <f>IF(OR(D1197="",F1197=""),"",IF(OR(D1197="Casse / avarie",D1197="Perte / vol",D1197="Échantillon offert"),IF(I1197&lt;&gt;"",I1197,IF(N1197="","",F1197*N1197)),""))</f>
        <v/>
      </c>
      <c r="P1197" s="50">
        <f>IF(OR(D1197="",F1197=""),"",F1197*IF(OR(D1197="Reçu du magasin",D1197="Ajustement (+)"),1,-1))</f>
        <v/>
      </c>
      <c r="Q1197" s="34">
        <f>IF(C1197="","",YEAR(C1197-WEEKDAY(C1197,2)+4)&amp;"-S"&amp;TEXT(INT((C1197-DATE(YEAR(C1197-WEEKDAY(C1197,2)+4),1,3)+WEEKDAY(DATE(YEAR(C1197-WEEKDAY(C1197,2)+4),1,3),2)+5)/7),"00"))</f>
        <v/>
      </c>
    </row>
    <row r="1198" ht="18" customHeight="1">
      <c r="A1198" s="39" t="n">
        <v>1193</v>
      </c>
      <c r="B1198" s="33">
        <f>IF(C1198="","",IF(L1198="À RENSEIGNER","GIC",L1198)&amp;"-S"&amp;TEXT(A1198,"00000"))</f>
        <v/>
      </c>
      <c r="C1198" s="32" t="n"/>
      <c r="D1198" s="36" t="n"/>
      <c r="E1198" s="36" t="n"/>
      <c r="F1198" s="42" t="n"/>
      <c r="G1198" s="36" t="n"/>
      <c r="H1198" s="43" t="n"/>
      <c r="I1198" s="37" t="n"/>
      <c r="J1198" s="44" t="n"/>
      <c r="K1198" s="36" t="n"/>
      <c r="L1198" s="33">
        <f>IF(C1198="","",Commercial_Id)</f>
        <v/>
      </c>
      <c r="M1198" s="34">
        <f>IF(E1198="","",IFERROR(VLOOKUP(E1198,T_Produits,2,FALSE),""))</f>
        <v/>
      </c>
      <c r="N1198" s="40">
        <f>IF(E1198="","",IFERROR(1/(1/VLOOKUP(E1198,T_Produits,3,FALSE)),""))</f>
        <v/>
      </c>
      <c r="O1198" s="40">
        <f>IF(OR(D1198="",F1198=""),"",IF(OR(D1198="Casse / avarie",D1198="Perte / vol",D1198="Échantillon offert"),IF(I1198&lt;&gt;"",I1198,IF(N1198="","",F1198*N1198)),""))</f>
        <v/>
      </c>
      <c r="P1198" s="50">
        <f>IF(OR(D1198="",F1198=""),"",F1198*IF(OR(D1198="Reçu du magasin",D1198="Ajustement (+)"),1,-1))</f>
        <v/>
      </c>
      <c r="Q1198" s="34">
        <f>IF(C1198="","",YEAR(C1198-WEEKDAY(C1198,2)+4)&amp;"-S"&amp;TEXT(INT((C1198-DATE(YEAR(C1198-WEEKDAY(C1198,2)+4),1,3)+WEEKDAY(DATE(YEAR(C1198-WEEKDAY(C1198,2)+4),1,3),2)+5)/7),"00"))</f>
        <v/>
      </c>
    </row>
    <row r="1199" ht="18" customHeight="1">
      <c r="A1199" s="39" t="n">
        <v>1194</v>
      </c>
      <c r="B1199" s="33">
        <f>IF(C1199="","",IF(L1199="À RENSEIGNER","GIC",L1199)&amp;"-S"&amp;TEXT(A1199,"00000"))</f>
        <v/>
      </c>
      <c r="C1199" s="32" t="n"/>
      <c r="D1199" s="36" t="n"/>
      <c r="E1199" s="36" t="n"/>
      <c r="F1199" s="42" t="n"/>
      <c r="G1199" s="36" t="n"/>
      <c r="H1199" s="43" t="n"/>
      <c r="I1199" s="37" t="n"/>
      <c r="J1199" s="44" t="n"/>
      <c r="K1199" s="36" t="n"/>
      <c r="L1199" s="33">
        <f>IF(C1199="","",Commercial_Id)</f>
        <v/>
      </c>
      <c r="M1199" s="34">
        <f>IF(E1199="","",IFERROR(VLOOKUP(E1199,T_Produits,2,FALSE),""))</f>
        <v/>
      </c>
      <c r="N1199" s="40">
        <f>IF(E1199="","",IFERROR(1/(1/VLOOKUP(E1199,T_Produits,3,FALSE)),""))</f>
        <v/>
      </c>
      <c r="O1199" s="40">
        <f>IF(OR(D1199="",F1199=""),"",IF(OR(D1199="Casse / avarie",D1199="Perte / vol",D1199="Échantillon offert"),IF(I1199&lt;&gt;"",I1199,IF(N1199="","",F1199*N1199)),""))</f>
        <v/>
      </c>
      <c r="P1199" s="50">
        <f>IF(OR(D1199="",F1199=""),"",F1199*IF(OR(D1199="Reçu du magasin",D1199="Ajustement (+)"),1,-1))</f>
        <v/>
      </c>
      <c r="Q1199" s="34">
        <f>IF(C1199="","",YEAR(C1199-WEEKDAY(C1199,2)+4)&amp;"-S"&amp;TEXT(INT((C1199-DATE(YEAR(C1199-WEEKDAY(C1199,2)+4),1,3)+WEEKDAY(DATE(YEAR(C1199-WEEKDAY(C1199,2)+4),1,3),2)+5)/7),"00"))</f>
        <v/>
      </c>
    </row>
    <row r="1200" ht="18" customHeight="1">
      <c r="A1200" s="39" t="n">
        <v>1195</v>
      </c>
      <c r="B1200" s="33">
        <f>IF(C1200="","",IF(L1200="À RENSEIGNER","GIC",L1200)&amp;"-S"&amp;TEXT(A1200,"00000"))</f>
        <v/>
      </c>
      <c r="C1200" s="32" t="n"/>
      <c r="D1200" s="36" t="n"/>
      <c r="E1200" s="36" t="n"/>
      <c r="F1200" s="42" t="n"/>
      <c r="G1200" s="36" t="n"/>
      <c r="H1200" s="43" t="n"/>
      <c r="I1200" s="37" t="n"/>
      <c r="J1200" s="44" t="n"/>
      <c r="K1200" s="36" t="n"/>
      <c r="L1200" s="33">
        <f>IF(C1200="","",Commercial_Id)</f>
        <v/>
      </c>
      <c r="M1200" s="34">
        <f>IF(E1200="","",IFERROR(VLOOKUP(E1200,T_Produits,2,FALSE),""))</f>
        <v/>
      </c>
      <c r="N1200" s="40">
        <f>IF(E1200="","",IFERROR(1/(1/VLOOKUP(E1200,T_Produits,3,FALSE)),""))</f>
        <v/>
      </c>
      <c r="O1200" s="40">
        <f>IF(OR(D1200="",F1200=""),"",IF(OR(D1200="Casse / avarie",D1200="Perte / vol",D1200="Échantillon offert"),IF(I1200&lt;&gt;"",I1200,IF(N1200="","",F1200*N1200)),""))</f>
        <v/>
      </c>
      <c r="P1200" s="50">
        <f>IF(OR(D1200="",F1200=""),"",F1200*IF(OR(D1200="Reçu du magasin",D1200="Ajustement (+)"),1,-1))</f>
        <v/>
      </c>
      <c r="Q1200" s="34">
        <f>IF(C1200="","",YEAR(C1200-WEEKDAY(C1200,2)+4)&amp;"-S"&amp;TEXT(INT((C1200-DATE(YEAR(C1200-WEEKDAY(C1200,2)+4),1,3)+WEEKDAY(DATE(YEAR(C1200-WEEKDAY(C1200,2)+4),1,3),2)+5)/7),"00"))</f>
        <v/>
      </c>
    </row>
    <row r="1201" ht="18" customHeight="1">
      <c r="A1201" s="39" t="n">
        <v>1196</v>
      </c>
      <c r="B1201" s="33">
        <f>IF(C1201="","",IF(L1201="À RENSEIGNER","GIC",L1201)&amp;"-S"&amp;TEXT(A1201,"00000"))</f>
        <v/>
      </c>
      <c r="C1201" s="32" t="n"/>
      <c r="D1201" s="36" t="n"/>
      <c r="E1201" s="36" t="n"/>
      <c r="F1201" s="42" t="n"/>
      <c r="G1201" s="36" t="n"/>
      <c r="H1201" s="43" t="n"/>
      <c r="I1201" s="37" t="n"/>
      <c r="J1201" s="44" t="n"/>
      <c r="K1201" s="36" t="n"/>
      <c r="L1201" s="33">
        <f>IF(C1201="","",Commercial_Id)</f>
        <v/>
      </c>
      <c r="M1201" s="34">
        <f>IF(E1201="","",IFERROR(VLOOKUP(E1201,T_Produits,2,FALSE),""))</f>
        <v/>
      </c>
      <c r="N1201" s="40">
        <f>IF(E1201="","",IFERROR(1/(1/VLOOKUP(E1201,T_Produits,3,FALSE)),""))</f>
        <v/>
      </c>
      <c r="O1201" s="40">
        <f>IF(OR(D1201="",F1201=""),"",IF(OR(D1201="Casse / avarie",D1201="Perte / vol",D1201="Échantillon offert"),IF(I1201&lt;&gt;"",I1201,IF(N1201="","",F1201*N1201)),""))</f>
        <v/>
      </c>
      <c r="P1201" s="50">
        <f>IF(OR(D1201="",F1201=""),"",F1201*IF(OR(D1201="Reçu du magasin",D1201="Ajustement (+)"),1,-1))</f>
        <v/>
      </c>
      <c r="Q1201" s="34">
        <f>IF(C1201="","",YEAR(C1201-WEEKDAY(C1201,2)+4)&amp;"-S"&amp;TEXT(INT((C1201-DATE(YEAR(C1201-WEEKDAY(C1201,2)+4),1,3)+WEEKDAY(DATE(YEAR(C1201-WEEKDAY(C1201,2)+4),1,3),2)+5)/7),"00"))</f>
        <v/>
      </c>
    </row>
    <row r="1202" ht="18" customHeight="1">
      <c r="A1202" s="39" t="n">
        <v>1197</v>
      </c>
      <c r="B1202" s="33">
        <f>IF(C1202="","",IF(L1202="À RENSEIGNER","GIC",L1202)&amp;"-S"&amp;TEXT(A1202,"00000"))</f>
        <v/>
      </c>
      <c r="C1202" s="32" t="n"/>
      <c r="D1202" s="36" t="n"/>
      <c r="E1202" s="36" t="n"/>
      <c r="F1202" s="42" t="n"/>
      <c r="G1202" s="36" t="n"/>
      <c r="H1202" s="43" t="n"/>
      <c r="I1202" s="37" t="n"/>
      <c r="J1202" s="44" t="n"/>
      <c r="K1202" s="36" t="n"/>
      <c r="L1202" s="33">
        <f>IF(C1202="","",Commercial_Id)</f>
        <v/>
      </c>
      <c r="M1202" s="34">
        <f>IF(E1202="","",IFERROR(VLOOKUP(E1202,T_Produits,2,FALSE),""))</f>
        <v/>
      </c>
      <c r="N1202" s="40">
        <f>IF(E1202="","",IFERROR(1/(1/VLOOKUP(E1202,T_Produits,3,FALSE)),""))</f>
        <v/>
      </c>
      <c r="O1202" s="40">
        <f>IF(OR(D1202="",F1202=""),"",IF(OR(D1202="Casse / avarie",D1202="Perte / vol",D1202="Échantillon offert"),IF(I1202&lt;&gt;"",I1202,IF(N1202="","",F1202*N1202)),""))</f>
        <v/>
      </c>
      <c r="P1202" s="50">
        <f>IF(OR(D1202="",F1202=""),"",F1202*IF(OR(D1202="Reçu du magasin",D1202="Ajustement (+)"),1,-1))</f>
        <v/>
      </c>
      <c r="Q1202" s="34">
        <f>IF(C1202="","",YEAR(C1202-WEEKDAY(C1202,2)+4)&amp;"-S"&amp;TEXT(INT((C1202-DATE(YEAR(C1202-WEEKDAY(C1202,2)+4),1,3)+WEEKDAY(DATE(YEAR(C1202-WEEKDAY(C1202,2)+4),1,3),2)+5)/7),"00"))</f>
        <v/>
      </c>
    </row>
    <row r="1203" ht="18" customHeight="1">
      <c r="A1203" s="39" t="n">
        <v>1198</v>
      </c>
      <c r="B1203" s="33">
        <f>IF(C1203="","",IF(L1203="À RENSEIGNER","GIC",L1203)&amp;"-S"&amp;TEXT(A1203,"00000"))</f>
        <v/>
      </c>
      <c r="C1203" s="32" t="n"/>
      <c r="D1203" s="36" t="n"/>
      <c r="E1203" s="36" t="n"/>
      <c r="F1203" s="42" t="n"/>
      <c r="G1203" s="36" t="n"/>
      <c r="H1203" s="43" t="n"/>
      <c r="I1203" s="37" t="n"/>
      <c r="J1203" s="44" t="n"/>
      <c r="K1203" s="36" t="n"/>
      <c r="L1203" s="33">
        <f>IF(C1203="","",Commercial_Id)</f>
        <v/>
      </c>
      <c r="M1203" s="34">
        <f>IF(E1203="","",IFERROR(VLOOKUP(E1203,T_Produits,2,FALSE),""))</f>
        <v/>
      </c>
      <c r="N1203" s="40">
        <f>IF(E1203="","",IFERROR(1/(1/VLOOKUP(E1203,T_Produits,3,FALSE)),""))</f>
        <v/>
      </c>
      <c r="O1203" s="40">
        <f>IF(OR(D1203="",F1203=""),"",IF(OR(D1203="Casse / avarie",D1203="Perte / vol",D1203="Échantillon offert"),IF(I1203&lt;&gt;"",I1203,IF(N1203="","",F1203*N1203)),""))</f>
        <v/>
      </c>
      <c r="P1203" s="50">
        <f>IF(OR(D1203="",F1203=""),"",F1203*IF(OR(D1203="Reçu du magasin",D1203="Ajustement (+)"),1,-1))</f>
        <v/>
      </c>
      <c r="Q1203" s="34">
        <f>IF(C1203="","",YEAR(C1203-WEEKDAY(C1203,2)+4)&amp;"-S"&amp;TEXT(INT((C1203-DATE(YEAR(C1203-WEEKDAY(C1203,2)+4),1,3)+WEEKDAY(DATE(YEAR(C1203-WEEKDAY(C1203,2)+4),1,3),2)+5)/7),"00"))</f>
        <v/>
      </c>
    </row>
    <row r="1204" ht="18" customHeight="1">
      <c r="A1204" s="39" t="n">
        <v>1199</v>
      </c>
      <c r="B1204" s="33">
        <f>IF(C1204="","",IF(L1204="À RENSEIGNER","GIC",L1204)&amp;"-S"&amp;TEXT(A1204,"00000"))</f>
        <v/>
      </c>
      <c r="C1204" s="32" t="n"/>
      <c r="D1204" s="36" t="n"/>
      <c r="E1204" s="36" t="n"/>
      <c r="F1204" s="42" t="n"/>
      <c r="G1204" s="36" t="n"/>
      <c r="H1204" s="43" t="n"/>
      <c r="I1204" s="37" t="n"/>
      <c r="J1204" s="44" t="n"/>
      <c r="K1204" s="36" t="n"/>
      <c r="L1204" s="33">
        <f>IF(C1204="","",Commercial_Id)</f>
        <v/>
      </c>
      <c r="M1204" s="34">
        <f>IF(E1204="","",IFERROR(VLOOKUP(E1204,T_Produits,2,FALSE),""))</f>
        <v/>
      </c>
      <c r="N1204" s="40">
        <f>IF(E1204="","",IFERROR(1/(1/VLOOKUP(E1204,T_Produits,3,FALSE)),""))</f>
        <v/>
      </c>
      <c r="O1204" s="40">
        <f>IF(OR(D1204="",F1204=""),"",IF(OR(D1204="Casse / avarie",D1204="Perte / vol",D1204="Échantillon offert"),IF(I1204&lt;&gt;"",I1204,IF(N1204="","",F1204*N1204)),""))</f>
        <v/>
      </c>
      <c r="P1204" s="50">
        <f>IF(OR(D1204="",F1204=""),"",F1204*IF(OR(D1204="Reçu du magasin",D1204="Ajustement (+)"),1,-1))</f>
        <v/>
      </c>
      <c r="Q1204" s="34">
        <f>IF(C1204="","",YEAR(C1204-WEEKDAY(C1204,2)+4)&amp;"-S"&amp;TEXT(INT((C1204-DATE(YEAR(C1204-WEEKDAY(C1204,2)+4),1,3)+WEEKDAY(DATE(YEAR(C1204-WEEKDAY(C1204,2)+4),1,3),2)+5)/7),"00"))</f>
        <v/>
      </c>
    </row>
    <row r="1205" ht="18" customHeight="1">
      <c r="A1205" s="39" t="n">
        <v>1200</v>
      </c>
      <c r="B1205" s="33">
        <f>IF(C1205="","",IF(L1205="À RENSEIGNER","GIC",L1205)&amp;"-S"&amp;TEXT(A1205,"00000"))</f>
        <v/>
      </c>
      <c r="C1205" s="32" t="n"/>
      <c r="D1205" s="36" t="n"/>
      <c r="E1205" s="36" t="n"/>
      <c r="F1205" s="42" t="n"/>
      <c r="G1205" s="36" t="n"/>
      <c r="H1205" s="43" t="n"/>
      <c r="I1205" s="37" t="n"/>
      <c r="J1205" s="44" t="n"/>
      <c r="K1205" s="36" t="n"/>
      <c r="L1205" s="33">
        <f>IF(C1205="","",Commercial_Id)</f>
        <v/>
      </c>
      <c r="M1205" s="34">
        <f>IF(E1205="","",IFERROR(VLOOKUP(E1205,T_Produits,2,FALSE),""))</f>
        <v/>
      </c>
      <c r="N1205" s="40">
        <f>IF(E1205="","",IFERROR(1/(1/VLOOKUP(E1205,T_Produits,3,FALSE)),""))</f>
        <v/>
      </c>
      <c r="O1205" s="40">
        <f>IF(OR(D1205="",F1205=""),"",IF(OR(D1205="Casse / avarie",D1205="Perte / vol",D1205="Échantillon offert"),IF(I1205&lt;&gt;"",I1205,IF(N1205="","",F1205*N1205)),""))</f>
        <v/>
      </c>
      <c r="P1205" s="50">
        <f>IF(OR(D1205="",F1205=""),"",F1205*IF(OR(D1205="Reçu du magasin",D1205="Ajustement (+)"),1,-1))</f>
        <v/>
      </c>
      <c r="Q1205" s="34">
        <f>IF(C1205="","",YEAR(C1205-WEEKDAY(C1205,2)+4)&amp;"-S"&amp;TEXT(INT((C1205-DATE(YEAR(C1205-WEEKDAY(C1205,2)+4),1,3)+WEEKDAY(DATE(YEAR(C1205-WEEKDAY(C1205,2)+4),1,3),2)+5)/7),"00"))</f>
        <v/>
      </c>
    </row>
    <row r="1206" ht="18" customHeight="1">
      <c r="A1206" s="39" t="n">
        <v>1201</v>
      </c>
      <c r="B1206" s="33">
        <f>IF(C1206="","",IF(L1206="À RENSEIGNER","GIC",L1206)&amp;"-S"&amp;TEXT(A1206,"00000"))</f>
        <v/>
      </c>
      <c r="C1206" s="32" t="n"/>
      <c r="D1206" s="36" t="n"/>
      <c r="E1206" s="36" t="n"/>
      <c r="F1206" s="42" t="n"/>
      <c r="G1206" s="36" t="n"/>
      <c r="H1206" s="43" t="n"/>
      <c r="I1206" s="37" t="n"/>
      <c r="J1206" s="44" t="n"/>
      <c r="K1206" s="36" t="n"/>
      <c r="L1206" s="33">
        <f>IF(C1206="","",Commercial_Id)</f>
        <v/>
      </c>
      <c r="M1206" s="34">
        <f>IF(E1206="","",IFERROR(VLOOKUP(E1206,T_Produits,2,FALSE),""))</f>
        <v/>
      </c>
      <c r="N1206" s="40">
        <f>IF(E1206="","",IFERROR(1/(1/VLOOKUP(E1206,T_Produits,3,FALSE)),""))</f>
        <v/>
      </c>
      <c r="O1206" s="40">
        <f>IF(OR(D1206="",F1206=""),"",IF(OR(D1206="Casse / avarie",D1206="Perte / vol",D1206="Échantillon offert"),IF(I1206&lt;&gt;"",I1206,IF(N1206="","",F1206*N1206)),""))</f>
        <v/>
      </c>
      <c r="P1206" s="50">
        <f>IF(OR(D1206="",F1206=""),"",F1206*IF(OR(D1206="Reçu du magasin",D1206="Ajustement (+)"),1,-1))</f>
        <v/>
      </c>
      <c r="Q1206" s="34">
        <f>IF(C1206="","",YEAR(C1206-WEEKDAY(C1206,2)+4)&amp;"-S"&amp;TEXT(INT((C1206-DATE(YEAR(C1206-WEEKDAY(C1206,2)+4),1,3)+WEEKDAY(DATE(YEAR(C1206-WEEKDAY(C1206,2)+4),1,3),2)+5)/7),"00"))</f>
        <v/>
      </c>
    </row>
    <row r="1207" ht="18" customHeight="1">
      <c r="A1207" s="39" t="n">
        <v>1202</v>
      </c>
      <c r="B1207" s="33">
        <f>IF(C1207="","",IF(L1207="À RENSEIGNER","GIC",L1207)&amp;"-S"&amp;TEXT(A1207,"00000"))</f>
        <v/>
      </c>
      <c r="C1207" s="32" t="n"/>
      <c r="D1207" s="36" t="n"/>
      <c r="E1207" s="36" t="n"/>
      <c r="F1207" s="42" t="n"/>
      <c r="G1207" s="36" t="n"/>
      <c r="H1207" s="43" t="n"/>
      <c r="I1207" s="37" t="n"/>
      <c r="J1207" s="44" t="n"/>
      <c r="K1207" s="36" t="n"/>
      <c r="L1207" s="33">
        <f>IF(C1207="","",Commercial_Id)</f>
        <v/>
      </c>
      <c r="M1207" s="34">
        <f>IF(E1207="","",IFERROR(VLOOKUP(E1207,T_Produits,2,FALSE),""))</f>
        <v/>
      </c>
      <c r="N1207" s="40">
        <f>IF(E1207="","",IFERROR(1/(1/VLOOKUP(E1207,T_Produits,3,FALSE)),""))</f>
        <v/>
      </c>
      <c r="O1207" s="40">
        <f>IF(OR(D1207="",F1207=""),"",IF(OR(D1207="Casse / avarie",D1207="Perte / vol",D1207="Échantillon offert"),IF(I1207&lt;&gt;"",I1207,IF(N1207="","",F1207*N1207)),""))</f>
        <v/>
      </c>
      <c r="P1207" s="50">
        <f>IF(OR(D1207="",F1207=""),"",F1207*IF(OR(D1207="Reçu du magasin",D1207="Ajustement (+)"),1,-1))</f>
        <v/>
      </c>
      <c r="Q1207" s="34">
        <f>IF(C1207="","",YEAR(C1207-WEEKDAY(C1207,2)+4)&amp;"-S"&amp;TEXT(INT((C1207-DATE(YEAR(C1207-WEEKDAY(C1207,2)+4),1,3)+WEEKDAY(DATE(YEAR(C1207-WEEKDAY(C1207,2)+4),1,3),2)+5)/7),"00"))</f>
        <v/>
      </c>
    </row>
    <row r="1208" ht="18" customHeight="1">
      <c r="A1208" s="39" t="n">
        <v>1203</v>
      </c>
      <c r="B1208" s="33">
        <f>IF(C1208="","",IF(L1208="À RENSEIGNER","GIC",L1208)&amp;"-S"&amp;TEXT(A1208,"00000"))</f>
        <v/>
      </c>
      <c r="C1208" s="32" t="n"/>
      <c r="D1208" s="36" t="n"/>
      <c r="E1208" s="36" t="n"/>
      <c r="F1208" s="42" t="n"/>
      <c r="G1208" s="36" t="n"/>
      <c r="H1208" s="43" t="n"/>
      <c r="I1208" s="37" t="n"/>
      <c r="J1208" s="44" t="n"/>
      <c r="K1208" s="36" t="n"/>
      <c r="L1208" s="33">
        <f>IF(C1208="","",Commercial_Id)</f>
        <v/>
      </c>
      <c r="M1208" s="34">
        <f>IF(E1208="","",IFERROR(VLOOKUP(E1208,T_Produits,2,FALSE),""))</f>
        <v/>
      </c>
      <c r="N1208" s="40">
        <f>IF(E1208="","",IFERROR(1/(1/VLOOKUP(E1208,T_Produits,3,FALSE)),""))</f>
        <v/>
      </c>
      <c r="O1208" s="40">
        <f>IF(OR(D1208="",F1208=""),"",IF(OR(D1208="Casse / avarie",D1208="Perte / vol",D1208="Échantillon offert"),IF(I1208&lt;&gt;"",I1208,IF(N1208="","",F1208*N1208)),""))</f>
        <v/>
      </c>
      <c r="P1208" s="50">
        <f>IF(OR(D1208="",F1208=""),"",F1208*IF(OR(D1208="Reçu du magasin",D1208="Ajustement (+)"),1,-1))</f>
        <v/>
      </c>
      <c r="Q1208" s="34">
        <f>IF(C1208="","",YEAR(C1208-WEEKDAY(C1208,2)+4)&amp;"-S"&amp;TEXT(INT((C1208-DATE(YEAR(C1208-WEEKDAY(C1208,2)+4),1,3)+WEEKDAY(DATE(YEAR(C1208-WEEKDAY(C1208,2)+4),1,3),2)+5)/7),"00"))</f>
        <v/>
      </c>
    </row>
    <row r="1209" ht="18" customHeight="1">
      <c r="A1209" s="39" t="n">
        <v>1204</v>
      </c>
      <c r="B1209" s="33">
        <f>IF(C1209="","",IF(L1209="À RENSEIGNER","GIC",L1209)&amp;"-S"&amp;TEXT(A1209,"00000"))</f>
        <v/>
      </c>
      <c r="C1209" s="32" t="n"/>
      <c r="D1209" s="36" t="n"/>
      <c r="E1209" s="36" t="n"/>
      <c r="F1209" s="42" t="n"/>
      <c r="G1209" s="36" t="n"/>
      <c r="H1209" s="43" t="n"/>
      <c r="I1209" s="37" t="n"/>
      <c r="J1209" s="44" t="n"/>
      <c r="K1209" s="36" t="n"/>
      <c r="L1209" s="33">
        <f>IF(C1209="","",Commercial_Id)</f>
        <v/>
      </c>
      <c r="M1209" s="34">
        <f>IF(E1209="","",IFERROR(VLOOKUP(E1209,T_Produits,2,FALSE),""))</f>
        <v/>
      </c>
      <c r="N1209" s="40">
        <f>IF(E1209="","",IFERROR(1/(1/VLOOKUP(E1209,T_Produits,3,FALSE)),""))</f>
        <v/>
      </c>
      <c r="O1209" s="40">
        <f>IF(OR(D1209="",F1209=""),"",IF(OR(D1209="Casse / avarie",D1209="Perte / vol",D1209="Échantillon offert"),IF(I1209&lt;&gt;"",I1209,IF(N1209="","",F1209*N1209)),""))</f>
        <v/>
      </c>
      <c r="P1209" s="50">
        <f>IF(OR(D1209="",F1209=""),"",F1209*IF(OR(D1209="Reçu du magasin",D1209="Ajustement (+)"),1,-1))</f>
        <v/>
      </c>
      <c r="Q1209" s="34">
        <f>IF(C1209="","",YEAR(C1209-WEEKDAY(C1209,2)+4)&amp;"-S"&amp;TEXT(INT((C1209-DATE(YEAR(C1209-WEEKDAY(C1209,2)+4),1,3)+WEEKDAY(DATE(YEAR(C1209-WEEKDAY(C1209,2)+4),1,3),2)+5)/7),"00"))</f>
        <v/>
      </c>
    </row>
    <row r="1210" ht="18" customHeight="1">
      <c r="A1210" s="39" t="n">
        <v>1205</v>
      </c>
      <c r="B1210" s="33">
        <f>IF(C1210="","",IF(L1210="À RENSEIGNER","GIC",L1210)&amp;"-S"&amp;TEXT(A1210,"00000"))</f>
        <v/>
      </c>
      <c r="C1210" s="32" t="n"/>
      <c r="D1210" s="36" t="n"/>
      <c r="E1210" s="36" t="n"/>
      <c r="F1210" s="42" t="n"/>
      <c r="G1210" s="36" t="n"/>
      <c r="H1210" s="43" t="n"/>
      <c r="I1210" s="37" t="n"/>
      <c r="J1210" s="44" t="n"/>
      <c r="K1210" s="36" t="n"/>
      <c r="L1210" s="33">
        <f>IF(C1210="","",Commercial_Id)</f>
        <v/>
      </c>
      <c r="M1210" s="34">
        <f>IF(E1210="","",IFERROR(VLOOKUP(E1210,T_Produits,2,FALSE),""))</f>
        <v/>
      </c>
      <c r="N1210" s="40">
        <f>IF(E1210="","",IFERROR(1/(1/VLOOKUP(E1210,T_Produits,3,FALSE)),""))</f>
        <v/>
      </c>
      <c r="O1210" s="40">
        <f>IF(OR(D1210="",F1210=""),"",IF(OR(D1210="Casse / avarie",D1210="Perte / vol",D1210="Échantillon offert"),IF(I1210&lt;&gt;"",I1210,IF(N1210="","",F1210*N1210)),""))</f>
        <v/>
      </c>
      <c r="P1210" s="50">
        <f>IF(OR(D1210="",F1210=""),"",F1210*IF(OR(D1210="Reçu du magasin",D1210="Ajustement (+)"),1,-1))</f>
        <v/>
      </c>
      <c r="Q1210" s="34">
        <f>IF(C1210="","",YEAR(C1210-WEEKDAY(C1210,2)+4)&amp;"-S"&amp;TEXT(INT((C1210-DATE(YEAR(C1210-WEEKDAY(C1210,2)+4),1,3)+WEEKDAY(DATE(YEAR(C1210-WEEKDAY(C1210,2)+4),1,3),2)+5)/7),"00"))</f>
        <v/>
      </c>
    </row>
    <row r="1211" ht="18" customHeight="1">
      <c r="A1211" s="39" t="n">
        <v>1206</v>
      </c>
      <c r="B1211" s="33">
        <f>IF(C1211="","",IF(L1211="À RENSEIGNER","GIC",L1211)&amp;"-S"&amp;TEXT(A1211,"00000"))</f>
        <v/>
      </c>
      <c r="C1211" s="32" t="n"/>
      <c r="D1211" s="36" t="n"/>
      <c r="E1211" s="36" t="n"/>
      <c r="F1211" s="42" t="n"/>
      <c r="G1211" s="36" t="n"/>
      <c r="H1211" s="43" t="n"/>
      <c r="I1211" s="37" t="n"/>
      <c r="J1211" s="44" t="n"/>
      <c r="K1211" s="36" t="n"/>
      <c r="L1211" s="33">
        <f>IF(C1211="","",Commercial_Id)</f>
        <v/>
      </c>
      <c r="M1211" s="34">
        <f>IF(E1211="","",IFERROR(VLOOKUP(E1211,T_Produits,2,FALSE),""))</f>
        <v/>
      </c>
      <c r="N1211" s="40">
        <f>IF(E1211="","",IFERROR(1/(1/VLOOKUP(E1211,T_Produits,3,FALSE)),""))</f>
        <v/>
      </c>
      <c r="O1211" s="40">
        <f>IF(OR(D1211="",F1211=""),"",IF(OR(D1211="Casse / avarie",D1211="Perte / vol",D1211="Échantillon offert"),IF(I1211&lt;&gt;"",I1211,IF(N1211="","",F1211*N1211)),""))</f>
        <v/>
      </c>
      <c r="P1211" s="50">
        <f>IF(OR(D1211="",F1211=""),"",F1211*IF(OR(D1211="Reçu du magasin",D1211="Ajustement (+)"),1,-1))</f>
        <v/>
      </c>
      <c r="Q1211" s="34">
        <f>IF(C1211="","",YEAR(C1211-WEEKDAY(C1211,2)+4)&amp;"-S"&amp;TEXT(INT((C1211-DATE(YEAR(C1211-WEEKDAY(C1211,2)+4),1,3)+WEEKDAY(DATE(YEAR(C1211-WEEKDAY(C1211,2)+4),1,3),2)+5)/7),"00"))</f>
        <v/>
      </c>
    </row>
    <row r="1212" ht="18" customHeight="1">
      <c r="A1212" s="39" t="n">
        <v>1207</v>
      </c>
      <c r="B1212" s="33">
        <f>IF(C1212="","",IF(L1212="À RENSEIGNER","GIC",L1212)&amp;"-S"&amp;TEXT(A1212,"00000"))</f>
        <v/>
      </c>
      <c r="C1212" s="32" t="n"/>
      <c r="D1212" s="36" t="n"/>
      <c r="E1212" s="36" t="n"/>
      <c r="F1212" s="42" t="n"/>
      <c r="G1212" s="36" t="n"/>
      <c r="H1212" s="43" t="n"/>
      <c r="I1212" s="37" t="n"/>
      <c r="J1212" s="44" t="n"/>
      <c r="K1212" s="36" t="n"/>
      <c r="L1212" s="33">
        <f>IF(C1212="","",Commercial_Id)</f>
        <v/>
      </c>
      <c r="M1212" s="34">
        <f>IF(E1212="","",IFERROR(VLOOKUP(E1212,T_Produits,2,FALSE),""))</f>
        <v/>
      </c>
      <c r="N1212" s="40">
        <f>IF(E1212="","",IFERROR(1/(1/VLOOKUP(E1212,T_Produits,3,FALSE)),""))</f>
        <v/>
      </c>
      <c r="O1212" s="40">
        <f>IF(OR(D1212="",F1212=""),"",IF(OR(D1212="Casse / avarie",D1212="Perte / vol",D1212="Échantillon offert"),IF(I1212&lt;&gt;"",I1212,IF(N1212="","",F1212*N1212)),""))</f>
        <v/>
      </c>
      <c r="P1212" s="50">
        <f>IF(OR(D1212="",F1212=""),"",F1212*IF(OR(D1212="Reçu du magasin",D1212="Ajustement (+)"),1,-1))</f>
        <v/>
      </c>
      <c r="Q1212" s="34">
        <f>IF(C1212="","",YEAR(C1212-WEEKDAY(C1212,2)+4)&amp;"-S"&amp;TEXT(INT((C1212-DATE(YEAR(C1212-WEEKDAY(C1212,2)+4),1,3)+WEEKDAY(DATE(YEAR(C1212-WEEKDAY(C1212,2)+4),1,3),2)+5)/7),"00"))</f>
        <v/>
      </c>
    </row>
    <row r="1213" ht="18" customHeight="1">
      <c r="A1213" s="39" t="n">
        <v>1208</v>
      </c>
      <c r="B1213" s="33">
        <f>IF(C1213="","",IF(L1213="À RENSEIGNER","GIC",L1213)&amp;"-S"&amp;TEXT(A1213,"00000"))</f>
        <v/>
      </c>
      <c r="C1213" s="32" t="n"/>
      <c r="D1213" s="36" t="n"/>
      <c r="E1213" s="36" t="n"/>
      <c r="F1213" s="42" t="n"/>
      <c r="G1213" s="36" t="n"/>
      <c r="H1213" s="43" t="n"/>
      <c r="I1213" s="37" t="n"/>
      <c r="J1213" s="44" t="n"/>
      <c r="K1213" s="36" t="n"/>
      <c r="L1213" s="33">
        <f>IF(C1213="","",Commercial_Id)</f>
        <v/>
      </c>
      <c r="M1213" s="34">
        <f>IF(E1213="","",IFERROR(VLOOKUP(E1213,T_Produits,2,FALSE),""))</f>
        <v/>
      </c>
      <c r="N1213" s="40">
        <f>IF(E1213="","",IFERROR(1/(1/VLOOKUP(E1213,T_Produits,3,FALSE)),""))</f>
        <v/>
      </c>
      <c r="O1213" s="40">
        <f>IF(OR(D1213="",F1213=""),"",IF(OR(D1213="Casse / avarie",D1213="Perte / vol",D1213="Échantillon offert"),IF(I1213&lt;&gt;"",I1213,IF(N1213="","",F1213*N1213)),""))</f>
        <v/>
      </c>
      <c r="P1213" s="50">
        <f>IF(OR(D1213="",F1213=""),"",F1213*IF(OR(D1213="Reçu du magasin",D1213="Ajustement (+)"),1,-1))</f>
        <v/>
      </c>
      <c r="Q1213" s="34">
        <f>IF(C1213="","",YEAR(C1213-WEEKDAY(C1213,2)+4)&amp;"-S"&amp;TEXT(INT((C1213-DATE(YEAR(C1213-WEEKDAY(C1213,2)+4),1,3)+WEEKDAY(DATE(YEAR(C1213-WEEKDAY(C1213,2)+4),1,3),2)+5)/7),"00"))</f>
        <v/>
      </c>
    </row>
    <row r="1214" ht="18" customHeight="1">
      <c r="A1214" s="39" t="n">
        <v>1209</v>
      </c>
      <c r="B1214" s="33">
        <f>IF(C1214="","",IF(L1214="À RENSEIGNER","GIC",L1214)&amp;"-S"&amp;TEXT(A1214,"00000"))</f>
        <v/>
      </c>
      <c r="C1214" s="32" t="n"/>
      <c r="D1214" s="36" t="n"/>
      <c r="E1214" s="36" t="n"/>
      <c r="F1214" s="42" t="n"/>
      <c r="G1214" s="36" t="n"/>
      <c r="H1214" s="43" t="n"/>
      <c r="I1214" s="37" t="n"/>
      <c r="J1214" s="44" t="n"/>
      <c r="K1214" s="36" t="n"/>
      <c r="L1214" s="33">
        <f>IF(C1214="","",Commercial_Id)</f>
        <v/>
      </c>
      <c r="M1214" s="34">
        <f>IF(E1214="","",IFERROR(VLOOKUP(E1214,T_Produits,2,FALSE),""))</f>
        <v/>
      </c>
      <c r="N1214" s="40">
        <f>IF(E1214="","",IFERROR(1/(1/VLOOKUP(E1214,T_Produits,3,FALSE)),""))</f>
        <v/>
      </c>
      <c r="O1214" s="40">
        <f>IF(OR(D1214="",F1214=""),"",IF(OR(D1214="Casse / avarie",D1214="Perte / vol",D1214="Échantillon offert"),IF(I1214&lt;&gt;"",I1214,IF(N1214="","",F1214*N1214)),""))</f>
        <v/>
      </c>
      <c r="P1214" s="50">
        <f>IF(OR(D1214="",F1214=""),"",F1214*IF(OR(D1214="Reçu du magasin",D1214="Ajustement (+)"),1,-1))</f>
        <v/>
      </c>
      <c r="Q1214" s="34">
        <f>IF(C1214="","",YEAR(C1214-WEEKDAY(C1214,2)+4)&amp;"-S"&amp;TEXT(INT((C1214-DATE(YEAR(C1214-WEEKDAY(C1214,2)+4),1,3)+WEEKDAY(DATE(YEAR(C1214-WEEKDAY(C1214,2)+4),1,3),2)+5)/7),"00"))</f>
        <v/>
      </c>
    </row>
    <row r="1215" ht="18" customHeight="1">
      <c r="A1215" s="39" t="n">
        <v>1210</v>
      </c>
      <c r="B1215" s="33">
        <f>IF(C1215="","",IF(L1215="À RENSEIGNER","GIC",L1215)&amp;"-S"&amp;TEXT(A1215,"00000"))</f>
        <v/>
      </c>
      <c r="C1215" s="32" t="n"/>
      <c r="D1215" s="36" t="n"/>
      <c r="E1215" s="36" t="n"/>
      <c r="F1215" s="42" t="n"/>
      <c r="G1215" s="36" t="n"/>
      <c r="H1215" s="43" t="n"/>
      <c r="I1215" s="37" t="n"/>
      <c r="J1215" s="44" t="n"/>
      <c r="K1215" s="36" t="n"/>
      <c r="L1215" s="33">
        <f>IF(C1215="","",Commercial_Id)</f>
        <v/>
      </c>
      <c r="M1215" s="34">
        <f>IF(E1215="","",IFERROR(VLOOKUP(E1215,T_Produits,2,FALSE),""))</f>
        <v/>
      </c>
      <c r="N1215" s="40">
        <f>IF(E1215="","",IFERROR(1/(1/VLOOKUP(E1215,T_Produits,3,FALSE)),""))</f>
        <v/>
      </c>
      <c r="O1215" s="40">
        <f>IF(OR(D1215="",F1215=""),"",IF(OR(D1215="Casse / avarie",D1215="Perte / vol",D1215="Échantillon offert"),IF(I1215&lt;&gt;"",I1215,IF(N1215="","",F1215*N1215)),""))</f>
        <v/>
      </c>
      <c r="P1215" s="50">
        <f>IF(OR(D1215="",F1215=""),"",F1215*IF(OR(D1215="Reçu du magasin",D1215="Ajustement (+)"),1,-1))</f>
        <v/>
      </c>
      <c r="Q1215" s="34">
        <f>IF(C1215="","",YEAR(C1215-WEEKDAY(C1215,2)+4)&amp;"-S"&amp;TEXT(INT((C1215-DATE(YEAR(C1215-WEEKDAY(C1215,2)+4),1,3)+WEEKDAY(DATE(YEAR(C1215-WEEKDAY(C1215,2)+4),1,3),2)+5)/7),"00"))</f>
        <v/>
      </c>
    </row>
    <row r="1216" ht="18" customHeight="1">
      <c r="A1216" s="39" t="n">
        <v>1211</v>
      </c>
      <c r="B1216" s="33">
        <f>IF(C1216="","",IF(L1216="À RENSEIGNER","GIC",L1216)&amp;"-S"&amp;TEXT(A1216,"00000"))</f>
        <v/>
      </c>
      <c r="C1216" s="32" t="n"/>
      <c r="D1216" s="36" t="n"/>
      <c r="E1216" s="36" t="n"/>
      <c r="F1216" s="42" t="n"/>
      <c r="G1216" s="36" t="n"/>
      <c r="H1216" s="43" t="n"/>
      <c r="I1216" s="37" t="n"/>
      <c r="J1216" s="44" t="n"/>
      <c r="K1216" s="36" t="n"/>
      <c r="L1216" s="33">
        <f>IF(C1216="","",Commercial_Id)</f>
        <v/>
      </c>
      <c r="M1216" s="34">
        <f>IF(E1216="","",IFERROR(VLOOKUP(E1216,T_Produits,2,FALSE),""))</f>
        <v/>
      </c>
      <c r="N1216" s="40">
        <f>IF(E1216="","",IFERROR(1/(1/VLOOKUP(E1216,T_Produits,3,FALSE)),""))</f>
        <v/>
      </c>
      <c r="O1216" s="40">
        <f>IF(OR(D1216="",F1216=""),"",IF(OR(D1216="Casse / avarie",D1216="Perte / vol",D1216="Échantillon offert"),IF(I1216&lt;&gt;"",I1216,IF(N1216="","",F1216*N1216)),""))</f>
        <v/>
      </c>
      <c r="P1216" s="50">
        <f>IF(OR(D1216="",F1216=""),"",F1216*IF(OR(D1216="Reçu du magasin",D1216="Ajustement (+)"),1,-1))</f>
        <v/>
      </c>
      <c r="Q1216" s="34">
        <f>IF(C1216="","",YEAR(C1216-WEEKDAY(C1216,2)+4)&amp;"-S"&amp;TEXT(INT((C1216-DATE(YEAR(C1216-WEEKDAY(C1216,2)+4),1,3)+WEEKDAY(DATE(YEAR(C1216-WEEKDAY(C1216,2)+4),1,3),2)+5)/7),"00"))</f>
        <v/>
      </c>
    </row>
    <row r="1217" ht="18" customHeight="1">
      <c r="A1217" s="39" t="n">
        <v>1212</v>
      </c>
      <c r="B1217" s="33">
        <f>IF(C1217="","",IF(L1217="À RENSEIGNER","GIC",L1217)&amp;"-S"&amp;TEXT(A1217,"00000"))</f>
        <v/>
      </c>
      <c r="C1217" s="32" t="n"/>
      <c r="D1217" s="36" t="n"/>
      <c r="E1217" s="36" t="n"/>
      <c r="F1217" s="42" t="n"/>
      <c r="G1217" s="36" t="n"/>
      <c r="H1217" s="43" t="n"/>
      <c r="I1217" s="37" t="n"/>
      <c r="J1217" s="44" t="n"/>
      <c r="K1217" s="36" t="n"/>
      <c r="L1217" s="33">
        <f>IF(C1217="","",Commercial_Id)</f>
        <v/>
      </c>
      <c r="M1217" s="34">
        <f>IF(E1217="","",IFERROR(VLOOKUP(E1217,T_Produits,2,FALSE),""))</f>
        <v/>
      </c>
      <c r="N1217" s="40">
        <f>IF(E1217="","",IFERROR(1/(1/VLOOKUP(E1217,T_Produits,3,FALSE)),""))</f>
        <v/>
      </c>
      <c r="O1217" s="40">
        <f>IF(OR(D1217="",F1217=""),"",IF(OR(D1217="Casse / avarie",D1217="Perte / vol",D1217="Échantillon offert"),IF(I1217&lt;&gt;"",I1217,IF(N1217="","",F1217*N1217)),""))</f>
        <v/>
      </c>
      <c r="P1217" s="50">
        <f>IF(OR(D1217="",F1217=""),"",F1217*IF(OR(D1217="Reçu du magasin",D1217="Ajustement (+)"),1,-1))</f>
        <v/>
      </c>
      <c r="Q1217" s="34">
        <f>IF(C1217="","",YEAR(C1217-WEEKDAY(C1217,2)+4)&amp;"-S"&amp;TEXT(INT((C1217-DATE(YEAR(C1217-WEEKDAY(C1217,2)+4),1,3)+WEEKDAY(DATE(YEAR(C1217-WEEKDAY(C1217,2)+4),1,3),2)+5)/7),"00"))</f>
        <v/>
      </c>
    </row>
    <row r="1218" ht="18" customHeight="1">
      <c r="A1218" s="39" t="n">
        <v>1213</v>
      </c>
      <c r="B1218" s="33">
        <f>IF(C1218="","",IF(L1218="À RENSEIGNER","GIC",L1218)&amp;"-S"&amp;TEXT(A1218,"00000"))</f>
        <v/>
      </c>
      <c r="C1218" s="32" t="n"/>
      <c r="D1218" s="36" t="n"/>
      <c r="E1218" s="36" t="n"/>
      <c r="F1218" s="42" t="n"/>
      <c r="G1218" s="36" t="n"/>
      <c r="H1218" s="43" t="n"/>
      <c r="I1218" s="37" t="n"/>
      <c r="J1218" s="44" t="n"/>
      <c r="K1218" s="36" t="n"/>
      <c r="L1218" s="33">
        <f>IF(C1218="","",Commercial_Id)</f>
        <v/>
      </c>
      <c r="M1218" s="34">
        <f>IF(E1218="","",IFERROR(VLOOKUP(E1218,T_Produits,2,FALSE),""))</f>
        <v/>
      </c>
      <c r="N1218" s="40">
        <f>IF(E1218="","",IFERROR(1/(1/VLOOKUP(E1218,T_Produits,3,FALSE)),""))</f>
        <v/>
      </c>
      <c r="O1218" s="40">
        <f>IF(OR(D1218="",F1218=""),"",IF(OR(D1218="Casse / avarie",D1218="Perte / vol",D1218="Échantillon offert"),IF(I1218&lt;&gt;"",I1218,IF(N1218="","",F1218*N1218)),""))</f>
        <v/>
      </c>
      <c r="P1218" s="50">
        <f>IF(OR(D1218="",F1218=""),"",F1218*IF(OR(D1218="Reçu du magasin",D1218="Ajustement (+)"),1,-1))</f>
        <v/>
      </c>
      <c r="Q1218" s="34">
        <f>IF(C1218="","",YEAR(C1218-WEEKDAY(C1218,2)+4)&amp;"-S"&amp;TEXT(INT((C1218-DATE(YEAR(C1218-WEEKDAY(C1218,2)+4),1,3)+WEEKDAY(DATE(YEAR(C1218-WEEKDAY(C1218,2)+4),1,3),2)+5)/7),"00"))</f>
        <v/>
      </c>
    </row>
    <row r="1219" ht="18" customHeight="1">
      <c r="A1219" s="39" t="n">
        <v>1214</v>
      </c>
      <c r="B1219" s="33">
        <f>IF(C1219="","",IF(L1219="À RENSEIGNER","GIC",L1219)&amp;"-S"&amp;TEXT(A1219,"00000"))</f>
        <v/>
      </c>
      <c r="C1219" s="32" t="n"/>
      <c r="D1219" s="36" t="n"/>
      <c r="E1219" s="36" t="n"/>
      <c r="F1219" s="42" t="n"/>
      <c r="G1219" s="36" t="n"/>
      <c r="H1219" s="43" t="n"/>
      <c r="I1219" s="37" t="n"/>
      <c r="J1219" s="44" t="n"/>
      <c r="K1219" s="36" t="n"/>
      <c r="L1219" s="33">
        <f>IF(C1219="","",Commercial_Id)</f>
        <v/>
      </c>
      <c r="M1219" s="34">
        <f>IF(E1219="","",IFERROR(VLOOKUP(E1219,T_Produits,2,FALSE),""))</f>
        <v/>
      </c>
      <c r="N1219" s="40">
        <f>IF(E1219="","",IFERROR(1/(1/VLOOKUP(E1219,T_Produits,3,FALSE)),""))</f>
        <v/>
      </c>
      <c r="O1219" s="40">
        <f>IF(OR(D1219="",F1219=""),"",IF(OR(D1219="Casse / avarie",D1219="Perte / vol",D1219="Échantillon offert"),IF(I1219&lt;&gt;"",I1219,IF(N1219="","",F1219*N1219)),""))</f>
        <v/>
      </c>
      <c r="P1219" s="50">
        <f>IF(OR(D1219="",F1219=""),"",F1219*IF(OR(D1219="Reçu du magasin",D1219="Ajustement (+)"),1,-1))</f>
        <v/>
      </c>
      <c r="Q1219" s="34">
        <f>IF(C1219="","",YEAR(C1219-WEEKDAY(C1219,2)+4)&amp;"-S"&amp;TEXT(INT((C1219-DATE(YEAR(C1219-WEEKDAY(C1219,2)+4),1,3)+WEEKDAY(DATE(YEAR(C1219-WEEKDAY(C1219,2)+4),1,3),2)+5)/7),"00"))</f>
        <v/>
      </c>
    </row>
    <row r="1220" ht="18" customHeight="1">
      <c r="A1220" s="39" t="n">
        <v>1215</v>
      </c>
      <c r="B1220" s="33">
        <f>IF(C1220="","",IF(L1220="À RENSEIGNER","GIC",L1220)&amp;"-S"&amp;TEXT(A1220,"00000"))</f>
        <v/>
      </c>
      <c r="C1220" s="32" t="n"/>
      <c r="D1220" s="36" t="n"/>
      <c r="E1220" s="36" t="n"/>
      <c r="F1220" s="42" t="n"/>
      <c r="G1220" s="36" t="n"/>
      <c r="H1220" s="43" t="n"/>
      <c r="I1220" s="37" t="n"/>
      <c r="J1220" s="44" t="n"/>
      <c r="K1220" s="36" t="n"/>
      <c r="L1220" s="33">
        <f>IF(C1220="","",Commercial_Id)</f>
        <v/>
      </c>
      <c r="M1220" s="34">
        <f>IF(E1220="","",IFERROR(VLOOKUP(E1220,T_Produits,2,FALSE),""))</f>
        <v/>
      </c>
      <c r="N1220" s="40">
        <f>IF(E1220="","",IFERROR(1/(1/VLOOKUP(E1220,T_Produits,3,FALSE)),""))</f>
        <v/>
      </c>
      <c r="O1220" s="40">
        <f>IF(OR(D1220="",F1220=""),"",IF(OR(D1220="Casse / avarie",D1220="Perte / vol",D1220="Échantillon offert"),IF(I1220&lt;&gt;"",I1220,IF(N1220="","",F1220*N1220)),""))</f>
        <v/>
      </c>
      <c r="P1220" s="50">
        <f>IF(OR(D1220="",F1220=""),"",F1220*IF(OR(D1220="Reçu du magasin",D1220="Ajustement (+)"),1,-1))</f>
        <v/>
      </c>
      <c r="Q1220" s="34">
        <f>IF(C1220="","",YEAR(C1220-WEEKDAY(C1220,2)+4)&amp;"-S"&amp;TEXT(INT((C1220-DATE(YEAR(C1220-WEEKDAY(C1220,2)+4),1,3)+WEEKDAY(DATE(YEAR(C1220-WEEKDAY(C1220,2)+4),1,3),2)+5)/7),"00"))</f>
        <v/>
      </c>
    </row>
    <row r="1221" ht="18" customHeight="1">
      <c r="A1221" s="39" t="n">
        <v>1216</v>
      </c>
      <c r="B1221" s="33">
        <f>IF(C1221="","",IF(L1221="À RENSEIGNER","GIC",L1221)&amp;"-S"&amp;TEXT(A1221,"00000"))</f>
        <v/>
      </c>
      <c r="C1221" s="32" t="n"/>
      <c r="D1221" s="36" t="n"/>
      <c r="E1221" s="36" t="n"/>
      <c r="F1221" s="42" t="n"/>
      <c r="G1221" s="36" t="n"/>
      <c r="H1221" s="43" t="n"/>
      <c r="I1221" s="37" t="n"/>
      <c r="J1221" s="44" t="n"/>
      <c r="K1221" s="36" t="n"/>
      <c r="L1221" s="33">
        <f>IF(C1221="","",Commercial_Id)</f>
        <v/>
      </c>
      <c r="M1221" s="34">
        <f>IF(E1221="","",IFERROR(VLOOKUP(E1221,T_Produits,2,FALSE),""))</f>
        <v/>
      </c>
      <c r="N1221" s="40">
        <f>IF(E1221="","",IFERROR(1/(1/VLOOKUP(E1221,T_Produits,3,FALSE)),""))</f>
        <v/>
      </c>
      <c r="O1221" s="40">
        <f>IF(OR(D1221="",F1221=""),"",IF(OR(D1221="Casse / avarie",D1221="Perte / vol",D1221="Échantillon offert"),IF(I1221&lt;&gt;"",I1221,IF(N1221="","",F1221*N1221)),""))</f>
        <v/>
      </c>
      <c r="P1221" s="50">
        <f>IF(OR(D1221="",F1221=""),"",F1221*IF(OR(D1221="Reçu du magasin",D1221="Ajustement (+)"),1,-1))</f>
        <v/>
      </c>
      <c r="Q1221" s="34">
        <f>IF(C1221="","",YEAR(C1221-WEEKDAY(C1221,2)+4)&amp;"-S"&amp;TEXT(INT((C1221-DATE(YEAR(C1221-WEEKDAY(C1221,2)+4),1,3)+WEEKDAY(DATE(YEAR(C1221-WEEKDAY(C1221,2)+4),1,3),2)+5)/7),"00"))</f>
        <v/>
      </c>
    </row>
    <row r="1222" ht="18" customHeight="1">
      <c r="A1222" s="39" t="n">
        <v>1217</v>
      </c>
      <c r="B1222" s="33">
        <f>IF(C1222="","",IF(L1222="À RENSEIGNER","GIC",L1222)&amp;"-S"&amp;TEXT(A1222,"00000"))</f>
        <v/>
      </c>
      <c r="C1222" s="32" t="n"/>
      <c r="D1222" s="36" t="n"/>
      <c r="E1222" s="36" t="n"/>
      <c r="F1222" s="42" t="n"/>
      <c r="G1222" s="36" t="n"/>
      <c r="H1222" s="43" t="n"/>
      <c r="I1222" s="37" t="n"/>
      <c r="J1222" s="44" t="n"/>
      <c r="K1222" s="36" t="n"/>
      <c r="L1222" s="33">
        <f>IF(C1222="","",Commercial_Id)</f>
        <v/>
      </c>
      <c r="M1222" s="34">
        <f>IF(E1222="","",IFERROR(VLOOKUP(E1222,T_Produits,2,FALSE),""))</f>
        <v/>
      </c>
      <c r="N1222" s="40">
        <f>IF(E1222="","",IFERROR(1/(1/VLOOKUP(E1222,T_Produits,3,FALSE)),""))</f>
        <v/>
      </c>
      <c r="O1222" s="40">
        <f>IF(OR(D1222="",F1222=""),"",IF(OR(D1222="Casse / avarie",D1222="Perte / vol",D1222="Échantillon offert"),IF(I1222&lt;&gt;"",I1222,IF(N1222="","",F1222*N1222)),""))</f>
        <v/>
      </c>
      <c r="P1222" s="50">
        <f>IF(OR(D1222="",F1222=""),"",F1222*IF(OR(D1222="Reçu du magasin",D1222="Ajustement (+)"),1,-1))</f>
        <v/>
      </c>
      <c r="Q1222" s="34">
        <f>IF(C1222="","",YEAR(C1222-WEEKDAY(C1222,2)+4)&amp;"-S"&amp;TEXT(INT((C1222-DATE(YEAR(C1222-WEEKDAY(C1222,2)+4),1,3)+WEEKDAY(DATE(YEAR(C1222-WEEKDAY(C1222,2)+4),1,3),2)+5)/7),"00"))</f>
        <v/>
      </c>
    </row>
    <row r="1223" ht="18" customHeight="1">
      <c r="A1223" s="39" t="n">
        <v>1218</v>
      </c>
      <c r="B1223" s="33">
        <f>IF(C1223="","",IF(L1223="À RENSEIGNER","GIC",L1223)&amp;"-S"&amp;TEXT(A1223,"00000"))</f>
        <v/>
      </c>
      <c r="C1223" s="32" t="n"/>
      <c r="D1223" s="36" t="n"/>
      <c r="E1223" s="36" t="n"/>
      <c r="F1223" s="42" t="n"/>
      <c r="G1223" s="36" t="n"/>
      <c r="H1223" s="43" t="n"/>
      <c r="I1223" s="37" t="n"/>
      <c r="J1223" s="44" t="n"/>
      <c r="K1223" s="36" t="n"/>
      <c r="L1223" s="33">
        <f>IF(C1223="","",Commercial_Id)</f>
        <v/>
      </c>
      <c r="M1223" s="34">
        <f>IF(E1223="","",IFERROR(VLOOKUP(E1223,T_Produits,2,FALSE),""))</f>
        <v/>
      </c>
      <c r="N1223" s="40">
        <f>IF(E1223="","",IFERROR(1/(1/VLOOKUP(E1223,T_Produits,3,FALSE)),""))</f>
        <v/>
      </c>
      <c r="O1223" s="40">
        <f>IF(OR(D1223="",F1223=""),"",IF(OR(D1223="Casse / avarie",D1223="Perte / vol",D1223="Échantillon offert"),IF(I1223&lt;&gt;"",I1223,IF(N1223="","",F1223*N1223)),""))</f>
        <v/>
      </c>
      <c r="P1223" s="50">
        <f>IF(OR(D1223="",F1223=""),"",F1223*IF(OR(D1223="Reçu du magasin",D1223="Ajustement (+)"),1,-1))</f>
        <v/>
      </c>
      <c r="Q1223" s="34">
        <f>IF(C1223="","",YEAR(C1223-WEEKDAY(C1223,2)+4)&amp;"-S"&amp;TEXT(INT((C1223-DATE(YEAR(C1223-WEEKDAY(C1223,2)+4),1,3)+WEEKDAY(DATE(YEAR(C1223-WEEKDAY(C1223,2)+4),1,3),2)+5)/7),"00"))</f>
        <v/>
      </c>
    </row>
    <row r="1224" ht="18" customHeight="1">
      <c r="A1224" s="39" t="n">
        <v>1219</v>
      </c>
      <c r="B1224" s="33">
        <f>IF(C1224="","",IF(L1224="À RENSEIGNER","GIC",L1224)&amp;"-S"&amp;TEXT(A1224,"00000"))</f>
        <v/>
      </c>
      <c r="C1224" s="32" t="n"/>
      <c r="D1224" s="36" t="n"/>
      <c r="E1224" s="36" t="n"/>
      <c r="F1224" s="42" t="n"/>
      <c r="G1224" s="36" t="n"/>
      <c r="H1224" s="43" t="n"/>
      <c r="I1224" s="37" t="n"/>
      <c r="J1224" s="44" t="n"/>
      <c r="K1224" s="36" t="n"/>
      <c r="L1224" s="33">
        <f>IF(C1224="","",Commercial_Id)</f>
        <v/>
      </c>
      <c r="M1224" s="34">
        <f>IF(E1224="","",IFERROR(VLOOKUP(E1224,T_Produits,2,FALSE),""))</f>
        <v/>
      </c>
      <c r="N1224" s="40">
        <f>IF(E1224="","",IFERROR(1/(1/VLOOKUP(E1224,T_Produits,3,FALSE)),""))</f>
        <v/>
      </c>
      <c r="O1224" s="40">
        <f>IF(OR(D1224="",F1224=""),"",IF(OR(D1224="Casse / avarie",D1224="Perte / vol",D1224="Échantillon offert"),IF(I1224&lt;&gt;"",I1224,IF(N1224="","",F1224*N1224)),""))</f>
        <v/>
      </c>
      <c r="P1224" s="50">
        <f>IF(OR(D1224="",F1224=""),"",F1224*IF(OR(D1224="Reçu du magasin",D1224="Ajustement (+)"),1,-1))</f>
        <v/>
      </c>
      <c r="Q1224" s="34">
        <f>IF(C1224="","",YEAR(C1224-WEEKDAY(C1224,2)+4)&amp;"-S"&amp;TEXT(INT((C1224-DATE(YEAR(C1224-WEEKDAY(C1224,2)+4),1,3)+WEEKDAY(DATE(YEAR(C1224-WEEKDAY(C1224,2)+4),1,3),2)+5)/7),"00"))</f>
        <v/>
      </c>
    </row>
    <row r="1225" ht="18" customHeight="1">
      <c r="A1225" s="39" t="n">
        <v>1220</v>
      </c>
      <c r="B1225" s="33">
        <f>IF(C1225="","",IF(L1225="À RENSEIGNER","GIC",L1225)&amp;"-S"&amp;TEXT(A1225,"00000"))</f>
        <v/>
      </c>
      <c r="C1225" s="32" t="n"/>
      <c r="D1225" s="36" t="n"/>
      <c r="E1225" s="36" t="n"/>
      <c r="F1225" s="42" t="n"/>
      <c r="G1225" s="36" t="n"/>
      <c r="H1225" s="43" t="n"/>
      <c r="I1225" s="37" t="n"/>
      <c r="J1225" s="44" t="n"/>
      <c r="K1225" s="36" t="n"/>
      <c r="L1225" s="33">
        <f>IF(C1225="","",Commercial_Id)</f>
        <v/>
      </c>
      <c r="M1225" s="34">
        <f>IF(E1225="","",IFERROR(VLOOKUP(E1225,T_Produits,2,FALSE),""))</f>
        <v/>
      </c>
      <c r="N1225" s="40">
        <f>IF(E1225="","",IFERROR(1/(1/VLOOKUP(E1225,T_Produits,3,FALSE)),""))</f>
        <v/>
      </c>
      <c r="O1225" s="40">
        <f>IF(OR(D1225="",F1225=""),"",IF(OR(D1225="Casse / avarie",D1225="Perte / vol",D1225="Échantillon offert"),IF(I1225&lt;&gt;"",I1225,IF(N1225="","",F1225*N1225)),""))</f>
        <v/>
      </c>
      <c r="P1225" s="50">
        <f>IF(OR(D1225="",F1225=""),"",F1225*IF(OR(D1225="Reçu du magasin",D1225="Ajustement (+)"),1,-1))</f>
        <v/>
      </c>
      <c r="Q1225" s="34">
        <f>IF(C1225="","",YEAR(C1225-WEEKDAY(C1225,2)+4)&amp;"-S"&amp;TEXT(INT((C1225-DATE(YEAR(C1225-WEEKDAY(C1225,2)+4),1,3)+WEEKDAY(DATE(YEAR(C1225-WEEKDAY(C1225,2)+4),1,3),2)+5)/7),"00"))</f>
        <v/>
      </c>
    </row>
    <row r="1226" ht="18" customHeight="1">
      <c r="A1226" s="39" t="n">
        <v>1221</v>
      </c>
      <c r="B1226" s="33">
        <f>IF(C1226="","",IF(L1226="À RENSEIGNER","GIC",L1226)&amp;"-S"&amp;TEXT(A1226,"00000"))</f>
        <v/>
      </c>
      <c r="C1226" s="32" t="n"/>
      <c r="D1226" s="36" t="n"/>
      <c r="E1226" s="36" t="n"/>
      <c r="F1226" s="42" t="n"/>
      <c r="G1226" s="36" t="n"/>
      <c r="H1226" s="43" t="n"/>
      <c r="I1226" s="37" t="n"/>
      <c r="J1226" s="44" t="n"/>
      <c r="K1226" s="36" t="n"/>
      <c r="L1226" s="33">
        <f>IF(C1226="","",Commercial_Id)</f>
        <v/>
      </c>
      <c r="M1226" s="34">
        <f>IF(E1226="","",IFERROR(VLOOKUP(E1226,T_Produits,2,FALSE),""))</f>
        <v/>
      </c>
      <c r="N1226" s="40">
        <f>IF(E1226="","",IFERROR(1/(1/VLOOKUP(E1226,T_Produits,3,FALSE)),""))</f>
        <v/>
      </c>
      <c r="O1226" s="40">
        <f>IF(OR(D1226="",F1226=""),"",IF(OR(D1226="Casse / avarie",D1226="Perte / vol",D1226="Échantillon offert"),IF(I1226&lt;&gt;"",I1226,IF(N1226="","",F1226*N1226)),""))</f>
        <v/>
      </c>
      <c r="P1226" s="50">
        <f>IF(OR(D1226="",F1226=""),"",F1226*IF(OR(D1226="Reçu du magasin",D1226="Ajustement (+)"),1,-1))</f>
        <v/>
      </c>
      <c r="Q1226" s="34">
        <f>IF(C1226="","",YEAR(C1226-WEEKDAY(C1226,2)+4)&amp;"-S"&amp;TEXT(INT((C1226-DATE(YEAR(C1226-WEEKDAY(C1226,2)+4),1,3)+WEEKDAY(DATE(YEAR(C1226-WEEKDAY(C1226,2)+4),1,3),2)+5)/7),"00"))</f>
        <v/>
      </c>
    </row>
    <row r="1227" ht="18" customHeight="1">
      <c r="A1227" s="39" t="n">
        <v>1222</v>
      </c>
      <c r="B1227" s="33">
        <f>IF(C1227="","",IF(L1227="À RENSEIGNER","GIC",L1227)&amp;"-S"&amp;TEXT(A1227,"00000"))</f>
        <v/>
      </c>
      <c r="C1227" s="32" t="n"/>
      <c r="D1227" s="36" t="n"/>
      <c r="E1227" s="36" t="n"/>
      <c r="F1227" s="42" t="n"/>
      <c r="G1227" s="36" t="n"/>
      <c r="H1227" s="43" t="n"/>
      <c r="I1227" s="37" t="n"/>
      <c r="J1227" s="44" t="n"/>
      <c r="K1227" s="36" t="n"/>
      <c r="L1227" s="33">
        <f>IF(C1227="","",Commercial_Id)</f>
        <v/>
      </c>
      <c r="M1227" s="34">
        <f>IF(E1227="","",IFERROR(VLOOKUP(E1227,T_Produits,2,FALSE),""))</f>
        <v/>
      </c>
      <c r="N1227" s="40">
        <f>IF(E1227="","",IFERROR(1/(1/VLOOKUP(E1227,T_Produits,3,FALSE)),""))</f>
        <v/>
      </c>
      <c r="O1227" s="40">
        <f>IF(OR(D1227="",F1227=""),"",IF(OR(D1227="Casse / avarie",D1227="Perte / vol",D1227="Échantillon offert"),IF(I1227&lt;&gt;"",I1227,IF(N1227="","",F1227*N1227)),""))</f>
        <v/>
      </c>
      <c r="P1227" s="50">
        <f>IF(OR(D1227="",F1227=""),"",F1227*IF(OR(D1227="Reçu du magasin",D1227="Ajustement (+)"),1,-1))</f>
        <v/>
      </c>
      <c r="Q1227" s="34">
        <f>IF(C1227="","",YEAR(C1227-WEEKDAY(C1227,2)+4)&amp;"-S"&amp;TEXT(INT((C1227-DATE(YEAR(C1227-WEEKDAY(C1227,2)+4),1,3)+WEEKDAY(DATE(YEAR(C1227-WEEKDAY(C1227,2)+4),1,3),2)+5)/7),"00"))</f>
        <v/>
      </c>
    </row>
    <row r="1228" ht="18" customHeight="1">
      <c r="A1228" s="39" t="n">
        <v>1223</v>
      </c>
      <c r="B1228" s="33">
        <f>IF(C1228="","",IF(L1228="À RENSEIGNER","GIC",L1228)&amp;"-S"&amp;TEXT(A1228,"00000"))</f>
        <v/>
      </c>
      <c r="C1228" s="32" t="n"/>
      <c r="D1228" s="36" t="n"/>
      <c r="E1228" s="36" t="n"/>
      <c r="F1228" s="42" t="n"/>
      <c r="G1228" s="36" t="n"/>
      <c r="H1228" s="43" t="n"/>
      <c r="I1228" s="37" t="n"/>
      <c r="J1228" s="44" t="n"/>
      <c r="K1228" s="36" t="n"/>
      <c r="L1228" s="33">
        <f>IF(C1228="","",Commercial_Id)</f>
        <v/>
      </c>
      <c r="M1228" s="34">
        <f>IF(E1228="","",IFERROR(VLOOKUP(E1228,T_Produits,2,FALSE),""))</f>
        <v/>
      </c>
      <c r="N1228" s="40">
        <f>IF(E1228="","",IFERROR(1/(1/VLOOKUP(E1228,T_Produits,3,FALSE)),""))</f>
        <v/>
      </c>
      <c r="O1228" s="40">
        <f>IF(OR(D1228="",F1228=""),"",IF(OR(D1228="Casse / avarie",D1228="Perte / vol",D1228="Échantillon offert"),IF(I1228&lt;&gt;"",I1228,IF(N1228="","",F1228*N1228)),""))</f>
        <v/>
      </c>
      <c r="P1228" s="50">
        <f>IF(OR(D1228="",F1228=""),"",F1228*IF(OR(D1228="Reçu du magasin",D1228="Ajustement (+)"),1,-1))</f>
        <v/>
      </c>
      <c r="Q1228" s="34">
        <f>IF(C1228="","",YEAR(C1228-WEEKDAY(C1228,2)+4)&amp;"-S"&amp;TEXT(INT((C1228-DATE(YEAR(C1228-WEEKDAY(C1228,2)+4),1,3)+WEEKDAY(DATE(YEAR(C1228-WEEKDAY(C1228,2)+4),1,3),2)+5)/7),"00"))</f>
        <v/>
      </c>
    </row>
    <row r="1229" ht="18" customHeight="1">
      <c r="A1229" s="39" t="n">
        <v>1224</v>
      </c>
      <c r="B1229" s="33">
        <f>IF(C1229="","",IF(L1229="À RENSEIGNER","GIC",L1229)&amp;"-S"&amp;TEXT(A1229,"00000"))</f>
        <v/>
      </c>
      <c r="C1229" s="32" t="n"/>
      <c r="D1229" s="36" t="n"/>
      <c r="E1229" s="36" t="n"/>
      <c r="F1229" s="42" t="n"/>
      <c r="G1229" s="36" t="n"/>
      <c r="H1229" s="43" t="n"/>
      <c r="I1229" s="37" t="n"/>
      <c r="J1229" s="44" t="n"/>
      <c r="K1229" s="36" t="n"/>
      <c r="L1229" s="33">
        <f>IF(C1229="","",Commercial_Id)</f>
        <v/>
      </c>
      <c r="M1229" s="34">
        <f>IF(E1229="","",IFERROR(VLOOKUP(E1229,T_Produits,2,FALSE),""))</f>
        <v/>
      </c>
      <c r="N1229" s="40">
        <f>IF(E1229="","",IFERROR(1/(1/VLOOKUP(E1229,T_Produits,3,FALSE)),""))</f>
        <v/>
      </c>
      <c r="O1229" s="40">
        <f>IF(OR(D1229="",F1229=""),"",IF(OR(D1229="Casse / avarie",D1229="Perte / vol",D1229="Échantillon offert"),IF(I1229&lt;&gt;"",I1229,IF(N1229="","",F1229*N1229)),""))</f>
        <v/>
      </c>
      <c r="P1229" s="50">
        <f>IF(OR(D1229="",F1229=""),"",F1229*IF(OR(D1229="Reçu du magasin",D1229="Ajustement (+)"),1,-1))</f>
        <v/>
      </c>
      <c r="Q1229" s="34">
        <f>IF(C1229="","",YEAR(C1229-WEEKDAY(C1229,2)+4)&amp;"-S"&amp;TEXT(INT((C1229-DATE(YEAR(C1229-WEEKDAY(C1229,2)+4),1,3)+WEEKDAY(DATE(YEAR(C1229-WEEKDAY(C1229,2)+4),1,3),2)+5)/7),"00"))</f>
        <v/>
      </c>
    </row>
    <row r="1230" ht="18" customHeight="1">
      <c r="A1230" s="39" t="n">
        <v>1225</v>
      </c>
      <c r="B1230" s="33">
        <f>IF(C1230="","",IF(L1230="À RENSEIGNER","GIC",L1230)&amp;"-S"&amp;TEXT(A1230,"00000"))</f>
        <v/>
      </c>
      <c r="C1230" s="32" t="n"/>
      <c r="D1230" s="36" t="n"/>
      <c r="E1230" s="36" t="n"/>
      <c r="F1230" s="42" t="n"/>
      <c r="G1230" s="36" t="n"/>
      <c r="H1230" s="43" t="n"/>
      <c r="I1230" s="37" t="n"/>
      <c r="J1230" s="44" t="n"/>
      <c r="K1230" s="36" t="n"/>
      <c r="L1230" s="33">
        <f>IF(C1230="","",Commercial_Id)</f>
        <v/>
      </c>
      <c r="M1230" s="34">
        <f>IF(E1230="","",IFERROR(VLOOKUP(E1230,T_Produits,2,FALSE),""))</f>
        <v/>
      </c>
      <c r="N1230" s="40">
        <f>IF(E1230="","",IFERROR(1/(1/VLOOKUP(E1230,T_Produits,3,FALSE)),""))</f>
        <v/>
      </c>
      <c r="O1230" s="40">
        <f>IF(OR(D1230="",F1230=""),"",IF(OR(D1230="Casse / avarie",D1230="Perte / vol",D1230="Échantillon offert"),IF(I1230&lt;&gt;"",I1230,IF(N1230="","",F1230*N1230)),""))</f>
        <v/>
      </c>
      <c r="P1230" s="50">
        <f>IF(OR(D1230="",F1230=""),"",F1230*IF(OR(D1230="Reçu du magasin",D1230="Ajustement (+)"),1,-1))</f>
        <v/>
      </c>
      <c r="Q1230" s="34">
        <f>IF(C1230="","",YEAR(C1230-WEEKDAY(C1230,2)+4)&amp;"-S"&amp;TEXT(INT((C1230-DATE(YEAR(C1230-WEEKDAY(C1230,2)+4),1,3)+WEEKDAY(DATE(YEAR(C1230-WEEKDAY(C1230,2)+4),1,3),2)+5)/7),"00"))</f>
        <v/>
      </c>
    </row>
    <row r="1231" ht="18" customHeight="1">
      <c r="A1231" s="39" t="n">
        <v>1226</v>
      </c>
      <c r="B1231" s="33">
        <f>IF(C1231="","",IF(L1231="À RENSEIGNER","GIC",L1231)&amp;"-S"&amp;TEXT(A1231,"00000"))</f>
        <v/>
      </c>
      <c r="C1231" s="32" t="n"/>
      <c r="D1231" s="36" t="n"/>
      <c r="E1231" s="36" t="n"/>
      <c r="F1231" s="42" t="n"/>
      <c r="G1231" s="36" t="n"/>
      <c r="H1231" s="43" t="n"/>
      <c r="I1231" s="37" t="n"/>
      <c r="J1231" s="44" t="n"/>
      <c r="K1231" s="36" t="n"/>
      <c r="L1231" s="33">
        <f>IF(C1231="","",Commercial_Id)</f>
        <v/>
      </c>
      <c r="M1231" s="34">
        <f>IF(E1231="","",IFERROR(VLOOKUP(E1231,T_Produits,2,FALSE),""))</f>
        <v/>
      </c>
      <c r="N1231" s="40">
        <f>IF(E1231="","",IFERROR(1/(1/VLOOKUP(E1231,T_Produits,3,FALSE)),""))</f>
        <v/>
      </c>
      <c r="O1231" s="40">
        <f>IF(OR(D1231="",F1231=""),"",IF(OR(D1231="Casse / avarie",D1231="Perte / vol",D1231="Échantillon offert"),IF(I1231&lt;&gt;"",I1231,IF(N1231="","",F1231*N1231)),""))</f>
        <v/>
      </c>
      <c r="P1231" s="50">
        <f>IF(OR(D1231="",F1231=""),"",F1231*IF(OR(D1231="Reçu du magasin",D1231="Ajustement (+)"),1,-1))</f>
        <v/>
      </c>
      <c r="Q1231" s="34">
        <f>IF(C1231="","",YEAR(C1231-WEEKDAY(C1231,2)+4)&amp;"-S"&amp;TEXT(INT((C1231-DATE(YEAR(C1231-WEEKDAY(C1231,2)+4),1,3)+WEEKDAY(DATE(YEAR(C1231-WEEKDAY(C1231,2)+4),1,3),2)+5)/7),"00"))</f>
        <v/>
      </c>
    </row>
    <row r="1232" ht="18" customHeight="1">
      <c r="A1232" s="39" t="n">
        <v>1227</v>
      </c>
      <c r="B1232" s="33">
        <f>IF(C1232="","",IF(L1232="À RENSEIGNER","GIC",L1232)&amp;"-S"&amp;TEXT(A1232,"00000"))</f>
        <v/>
      </c>
      <c r="C1232" s="32" t="n"/>
      <c r="D1232" s="36" t="n"/>
      <c r="E1232" s="36" t="n"/>
      <c r="F1232" s="42" t="n"/>
      <c r="G1232" s="36" t="n"/>
      <c r="H1232" s="43" t="n"/>
      <c r="I1232" s="37" t="n"/>
      <c r="J1232" s="44" t="n"/>
      <c r="K1232" s="36" t="n"/>
      <c r="L1232" s="33">
        <f>IF(C1232="","",Commercial_Id)</f>
        <v/>
      </c>
      <c r="M1232" s="34">
        <f>IF(E1232="","",IFERROR(VLOOKUP(E1232,T_Produits,2,FALSE),""))</f>
        <v/>
      </c>
      <c r="N1232" s="40">
        <f>IF(E1232="","",IFERROR(1/(1/VLOOKUP(E1232,T_Produits,3,FALSE)),""))</f>
        <v/>
      </c>
      <c r="O1232" s="40">
        <f>IF(OR(D1232="",F1232=""),"",IF(OR(D1232="Casse / avarie",D1232="Perte / vol",D1232="Échantillon offert"),IF(I1232&lt;&gt;"",I1232,IF(N1232="","",F1232*N1232)),""))</f>
        <v/>
      </c>
      <c r="P1232" s="50">
        <f>IF(OR(D1232="",F1232=""),"",F1232*IF(OR(D1232="Reçu du magasin",D1232="Ajustement (+)"),1,-1))</f>
        <v/>
      </c>
      <c r="Q1232" s="34">
        <f>IF(C1232="","",YEAR(C1232-WEEKDAY(C1232,2)+4)&amp;"-S"&amp;TEXT(INT((C1232-DATE(YEAR(C1232-WEEKDAY(C1232,2)+4),1,3)+WEEKDAY(DATE(YEAR(C1232-WEEKDAY(C1232,2)+4),1,3),2)+5)/7),"00"))</f>
        <v/>
      </c>
    </row>
    <row r="1233" ht="18" customHeight="1">
      <c r="A1233" s="39" t="n">
        <v>1228</v>
      </c>
      <c r="B1233" s="33">
        <f>IF(C1233="","",IF(L1233="À RENSEIGNER","GIC",L1233)&amp;"-S"&amp;TEXT(A1233,"00000"))</f>
        <v/>
      </c>
      <c r="C1233" s="32" t="n"/>
      <c r="D1233" s="36" t="n"/>
      <c r="E1233" s="36" t="n"/>
      <c r="F1233" s="42" t="n"/>
      <c r="G1233" s="36" t="n"/>
      <c r="H1233" s="43" t="n"/>
      <c r="I1233" s="37" t="n"/>
      <c r="J1233" s="44" t="n"/>
      <c r="K1233" s="36" t="n"/>
      <c r="L1233" s="33">
        <f>IF(C1233="","",Commercial_Id)</f>
        <v/>
      </c>
      <c r="M1233" s="34">
        <f>IF(E1233="","",IFERROR(VLOOKUP(E1233,T_Produits,2,FALSE),""))</f>
        <v/>
      </c>
      <c r="N1233" s="40">
        <f>IF(E1233="","",IFERROR(1/(1/VLOOKUP(E1233,T_Produits,3,FALSE)),""))</f>
        <v/>
      </c>
      <c r="O1233" s="40">
        <f>IF(OR(D1233="",F1233=""),"",IF(OR(D1233="Casse / avarie",D1233="Perte / vol",D1233="Échantillon offert"),IF(I1233&lt;&gt;"",I1233,IF(N1233="","",F1233*N1233)),""))</f>
        <v/>
      </c>
      <c r="P1233" s="50">
        <f>IF(OR(D1233="",F1233=""),"",F1233*IF(OR(D1233="Reçu du magasin",D1233="Ajustement (+)"),1,-1))</f>
        <v/>
      </c>
      <c r="Q1233" s="34">
        <f>IF(C1233="","",YEAR(C1233-WEEKDAY(C1233,2)+4)&amp;"-S"&amp;TEXT(INT((C1233-DATE(YEAR(C1233-WEEKDAY(C1233,2)+4),1,3)+WEEKDAY(DATE(YEAR(C1233-WEEKDAY(C1233,2)+4),1,3),2)+5)/7),"00"))</f>
        <v/>
      </c>
    </row>
    <row r="1234" ht="18" customHeight="1">
      <c r="A1234" s="39" t="n">
        <v>1229</v>
      </c>
      <c r="B1234" s="33">
        <f>IF(C1234="","",IF(L1234="À RENSEIGNER","GIC",L1234)&amp;"-S"&amp;TEXT(A1234,"00000"))</f>
        <v/>
      </c>
      <c r="C1234" s="32" t="n"/>
      <c r="D1234" s="36" t="n"/>
      <c r="E1234" s="36" t="n"/>
      <c r="F1234" s="42" t="n"/>
      <c r="G1234" s="36" t="n"/>
      <c r="H1234" s="43" t="n"/>
      <c r="I1234" s="37" t="n"/>
      <c r="J1234" s="44" t="n"/>
      <c r="K1234" s="36" t="n"/>
      <c r="L1234" s="33">
        <f>IF(C1234="","",Commercial_Id)</f>
        <v/>
      </c>
      <c r="M1234" s="34">
        <f>IF(E1234="","",IFERROR(VLOOKUP(E1234,T_Produits,2,FALSE),""))</f>
        <v/>
      </c>
      <c r="N1234" s="40">
        <f>IF(E1234="","",IFERROR(1/(1/VLOOKUP(E1234,T_Produits,3,FALSE)),""))</f>
        <v/>
      </c>
      <c r="O1234" s="40">
        <f>IF(OR(D1234="",F1234=""),"",IF(OR(D1234="Casse / avarie",D1234="Perte / vol",D1234="Échantillon offert"),IF(I1234&lt;&gt;"",I1234,IF(N1234="","",F1234*N1234)),""))</f>
        <v/>
      </c>
      <c r="P1234" s="50">
        <f>IF(OR(D1234="",F1234=""),"",F1234*IF(OR(D1234="Reçu du magasin",D1234="Ajustement (+)"),1,-1))</f>
        <v/>
      </c>
      <c r="Q1234" s="34">
        <f>IF(C1234="","",YEAR(C1234-WEEKDAY(C1234,2)+4)&amp;"-S"&amp;TEXT(INT((C1234-DATE(YEAR(C1234-WEEKDAY(C1234,2)+4),1,3)+WEEKDAY(DATE(YEAR(C1234-WEEKDAY(C1234,2)+4),1,3),2)+5)/7),"00"))</f>
        <v/>
      </c>
    </row>
    <row r="1235" ht="18" customHeight="1">
      <c r="A1235" s="39" t="n">
        <v>1230</v>
      </c>
      <c r="B1235" s="33">
        <f>IF(C1235="","",IF(L1235="À RENSEIGNER","GIC",L1235)&amp;"-S"&amp;TEXT(A1235,"00000"))</f>
        <v/>
      </c>
      <c r="C1235" s="32" t="n"/>
      <c r="D1235" s="36" t="n"/>
      <c r="E1235" s="36" t="n"/>
      <c r="F1235" s="42" t="n"/>
      <c r="G1235" s="36" t="n"/>
      <c r="H1235" s="43" t="n"/>
      <c r="I1235" s="37" t="n"/>
      <c r="J1235" s="44" t="n"/>
      <c r="K1235" s="36" t="n"/>
      <c r="L1235" s="33">
        <f>IF(C1235="","",Commercial_Id)</f>
        <v/>
      </c>
      <c r="M1235" s="34">
        <f>IF(E1235="","",IFERROR(VLOOKUP(E1235,T_Produits,2,FALSE),""))</f>
        <v/>
      </c>
      <c r="N1235" s="40">
        <f>IF(E1235="","",IFERROR(1/(1/VLOOKUP(E1235,T_Produits,3,FALSE)),""))</f>
        <v/>
      </c>
      <c r="O1235" s="40">
        <f>IF(OR(D1235="",F1235=""),"",IF(OR(D1235="Casse / avarie",D1235="Perte / vol",D1235="Échantillon offert"),IF(I1235&lt;&gt;"",I1235,IF(N1235="","",F1235*N1235)),""))</f>
        <v/>
      </c>
      <c r="P1235" s="50">
        <f>IF(OR(D1235="",F1235=""),"",F1235*IF(OR(D1235="Reçu du magasin",D1235="Ajustement (+)"),1,-1))</f>
        <v/>
      </c>
      <c r="Q1235" s="34">
        <f>IF(C1235="","",YEAR(C1235-WEEKDAY(C1235,2)+4)&amp;"-S"&amp;TEXT(INT((C1235-DATE(YEAR(C1235-WEEKDAY(C1235,2)+4),1,3)+WEEKDAY(DATE(YEAR(C1235-WEEKDAY(C1235,2)+4),1,3),2)+5)/7),"00"))</f>
        <v/>
      </c>
    </row>
    <row r="1236" ht="18" customHeight="1">
      <c r="A1236" s="39" t="n">
        <v>1231</v>
      </c>
      <c r="B1236" s="33">
        <f>IF(C1236="","",IF(L1236="À RENSEIGNER","GIC",L1236)&amp;"-S"&amp;TEXT(A1236,"00000"))</f>
        <v/>
      </c>
      <c r="C1236" s="32" t="n"/>
      <c r="D1236" s="36" t="n"/>
      <c r="E1236" s="36" t="n"/>
      <c r="F1236" s="42" t="n"/>
      <c r="G1236" s="36" t="n"/>
      <c r="H1236" s="43" t="n"/>
      <c r="I1236" s="37" t="n"/>
      <c r="J1236" s="44" t="n"/>
      <c r="K1236" s="36" t="n"/>
      <c r="L1236" s="33">
        <f>IF(C1236="","",Commercial_Id)</f>
        <v/>
      </c>
      <c r="M1236" s="34">
        <f>IF(E1236="","",IFERROR(VLOOKUP(E1236,T_Produits,2,FALSE),""))</f>
        <v/>
      </c>
      <c r="N1236" s="40">
        <f>IF(E1236="","",IFERROR(1/(1/VLOOKUP(E1236,T_Produits,3,FALSE)),""))</f>
        <v/>
      </c>
      <c r="O1236" s="40">
        <f>IF(OR(D1236="",F1236=""),"",IF(OR(D1236="Casse / avarie",D1236="Perte / vol",D1236="Échantillon offert"),IF(I1236&lt;&gt;"",I1236,IF(N1236="","",F1236*N1236)),""))</f>
        <v/>
      </c>
      <c r="P1236" s="50">
        <f>IF(OR(D1236="",F1236=""),"",F1236*IF(OR(D1236="Reçu du magasin",D1236="Ajustement (+)"),1,-1))</f>
        <v/>
      </c>
      <c r="Q1236" s="34">
        <f>IF(C1236="","",YEAR(C1236-WEEKDAY(C1236,2)+4)&amp;"-S"&amp;TEXT(INT((C1236-DATE(YEAR(C1236-WEEKDAY(C1236,2)+4),1,3)+WEEKDAY(DATE(YEAR(C1236-WEEKDAY(C1236,2)+4),1,3),2)+5)/7),"00"))</f>
        <v/>
      </c>
    </row>
    <row r="1237" ht="18" customHeight="1">
      <c r="A1237" s="39" t="n">
        <v>1232</v>
      </c>
      <c r="B1237" s="33">
        <f>IF(C1237="","",IF(L1237="À RENSEIGNER","GIC",L1237)&amp;"-S"&amp;TEXT(A1237,"00000"))</f>
        <v/>
      </c>
      <c r="C1237" s="32" t="n"/>
      <c r="D1237" s="36" t="n"/>
      <c r="E1237" s="36" t="n"/>
      <c r="F1237" s="42" t="n"/>
      <c r="G1237" s="36" t="n"/>
      <c r="H1237" s="43" t="n"/>
      <c r="I1237" s="37" t="n"/>
      <c r="J1237" s="44" t="n"/>
      <c r="K1237" s="36" t="n"/>
      <c r="L1237" s="33">
        <f>IF(C1237="","",Commercial_Id)</f>
        <v/>
      </c>
      <c r="M1237" s="34">
        <f>IF(E1237="","",IFERROR(VLOOKUP(E1237,T_Produits,2,FALSE),""))</f>
        <v/>
      </c>
      <c r="N1237" s="40">
        <f>IF(E1237="","",IFERROR(1/(1/VLOOKUP(E1237,T_Produits,3,FALSE)),""))</f>
        <v/>
      </c>
      <c r="O1237" s="40">
        <f>IF(OR(D1237="",F1237=""),"",IF(OR(D1237="Casse / avarie",D1237="Perte / vol",D1237="Échantillon offert"),IF(I1237&lt;&gt;"",I1237,IF(N1237="","",F1237*N1237)),""))</f>
        <v/>
      </c>
      <c r="P1237" s="50">
        <f>IF(OR(D1237="",F1237=""),"",F1237*IF(OR(D1237="Reçu du magasin",D1237="Ajustement (+)"),1,-1))</f>
        <v/>
      </c>
      <c r="Q1237" s="34">
        <f>IF(C1237="","",YEAR(C1237-WEEKDAY(C1237,2)+4)&amp;"-S"&amp;TEXT(INT((C1237-DATE(YEAR(C1237-WEEKDAY(C1237,2)+4),1,3)+WEEKDAY(DATE(YEAR(C1237-WEEKDAY(C1237,2)+4),1,3),2)+5)/7),"00"))</f>
        <v/>
      </c>
    </row>
    <row r="1238" ht="18" customHeight="1">
      <c r="A1238" s="39" t="n">
        <v>1233</v>
      </c>
      <c r="B1238" s="33">
        <f>IF(C1238="","",IF(L1238="À RENSEIGNER","GIC",L1238)&amp;"-S"&amp;TEXT(A1238,"00000"))</f>
        <v/>
      </c>
      <c r="C1238" s="32" t="n"/>
      <c r="D1238" s="36" t="n"/>
      <c r="E1238" s="36" t="n"/>
      <c r="F1238" s="42" t="n"/>
      <c r="G1238" s="36" t="n"/>
      <c r="H1238" s="43" t="n"/>
      <c r="I1238" s="37" t="n"/>
      <c r="J1238" s="44" t="n"/>
      <c r="K1238" s="36" t="n"/>
      <c r="L1238" s="33">
        <f>IF(C1238="","",Commercial_Id)</f>
        <v/>
      </c>
      <c r="M1238" s="34">
        <f>IF(E1238="","",IFERROR(VLOOKUP(E1238,T_Produits,2,FALSE),""))</f>
        <v/>
      </c>
      <c r="N1238" s="40">
        <f>IF(E1238="","",IFERROR(1/(1/VLOOKUP(E1238,T_Produits,3,FALSE)),""))</f>
        <v/>
      </c>
      <c r="O1238" s="40">
        <f>IF(OR(D1238="",F1238=""),"",IF(OR(D1238="Casse / avarie",D1238="Perte / vol",D1238="Échantillon offert"),IF(I1238&lt;&gt;"",I1238,IF(N1238="","",F1238*N1238)),""))</f>
        <v/>
      </c>
      <c r="P1238" s="50">
        <f>IF(OR(D1238="",F1238=""),"",F1238*IF(OR(D1238="Reçu du magasin",D1238="Ajustement (+)"),1,-1))</f>
        <v/>
      </c>
      <c r="Q1238" s="34">
        <f>IF(C1238="","",YEAR(C1238-WEEKDAY(C1238,2)+4)&amp;"-S"&amp;TEXT(INT((C1238-DATE(YEAR(C1238-WEEKDAY(C1238,2)+4),1,3)+WEEKDAY(DATE(YEAR(C1238-WEEKDAY(C1238,2)+4),1,3),2)+5)/7),"00"))</f>
        <v/>
      </c>
    </row>
    <row r="1239" ht="18" customHeight="1">
      <c r="A1239" s="39" t="n">
        <v>1234</v>
      </c>
      <c r="B1239" s="33">
        <f>IF(C1239="","",IF(L1239="À RENSEIGNER","GIC",L1239)&amp;"-S"&amp;TEXT(A1239,"00000"))</f>
        <v/>
      </c>
      <c r="C1239" s="32" t="n"/>
      <c r="D1239" s="36" t="n"/>
      <c r="E1239" s="36" t="n"/>
      <c r="F1239" s="42" t="n"/>
      <c r="G1239" s="36" t="n"/>
      <c r="H1239" s="43" t="n"/>
      <c r="I1239" s="37" t="n"/>
      <c r="J1239" s="44" t="n"/>
      <c r="K1239" s="36" t="n"/>
      <c r="L1239" s="33">
        <f>IF(C1239="","",Commercial_Id)</f>
        <v/>
      </c>
      <c r="M1239" s="34">
        <f>IF(E1239="","",IFERROR(VLOOKUP(E1239,T_Produits,2,FALSE),""))</f>
        <v/>
      </c>
      <c r="N1239" s="40">
        <f>IF(E1239="","",IFERROR(1/(1/VLOOKUP(E1239,T_Produits,3,FALSE)),""))</f>
        <v/>
      </c>
      <c r="O1239" s="40">
        <f>IF(OR(D1239="",F1239=""),"",IF(OR(D1239="Casse / avarie",D1239="Perte / vol",D1239="Échantillon offert"),IF(I1239&lt;&gt;"",I1239,IF(N1239="","",F1239*N1239)),""))</f>
        <v/>
      </c>
      <c r="P1239" s="50">
        <f>IF(OR(D1239="",F1239=""),"",F1239*IF(OR(D1239="Reçu du magasin",D1239="Ajustement (+)"),1,-1))</f>
        <v/>
      </c>
      <c r="Q1239" s="34">
        <f>IF(C1239="","",YEAR(C1239-WEEKDAY(C1239,2)+4)&amp;"-S"&amp;TEXT(INT((C1239-DATE(YEAR(C1239-WEEKDAY(C1239,2)+4),1,3)+WEEKDAY(DATE(YEAR(C1239-WEEKDAY(C1239,2)+4),1,3),2)+5)/7),"00"))</f>
        <v/>
      </c>
    </row>
    <row r="1240" ht="18" customHeight="1">
      <c r="A1240" s="39" t="n">
        <v>1235</v>
      </c>
      <c r="B1240" s="33">
        <f>IF(C1240="","",IF(L1240="À RENSEIGNER","GIC",L1240)&amp;"-S"&amp;TEXT(A1240,"00000"))</f>
        <v/>
      </c>
      <c r="C1240" s="32" t="n"/>
      <c r="D1240" s="36" t="n"/>
      <c r="E1240" s="36" t="n"/>
      <c r="F1240" s="42" t="n"/>
      <c r="G1240" s="36" t="n"/>
      <c r="H1240" s="43" t="n"/>
      <c r="I1240" s="37" t="n"/>
      <c r="J1240" s="44" t="n"/>
      <c r="K1240" s="36" t="n"/>
      <c r="L1240" s="33">
        <f>IF(C1240="","",Commercial_Id)</f>
        <v/>
      </c>
      <c r="M1240" s="34">
        <f>IF(E1240="","",IFERROR(VLOOKUP(E1240,T_Produits,2,FALSE),""))</f>
        <v/>
      </c>
      <c r="N1240" s="40">
        <f>IF(E1240="","",IFERROR(1/(1/VLOOKUP(E1240,T_Produits,3,FALSE)),""))</f>
        <v/>
      </c>
      <c r="O1240" s="40">
        <f>IF(OR(D1240="",F1240=""),"",IF(OR(D1240="Casse / avarie",D1240="Perte / vol",D1240="Échantillon offert"),IF(I1240&lt;&gt;"",I1240,IF(N1240="","",F1240*N1240)),""))</f>
        <v/>
      </c>
      <c r="P1240" s="50">
        <f>IF(OR(D1240="",F1240=""),"",F1240*IF(OR(D1240="Reçu du magasin",D1240="Ajustement (+)"),1,-1))</f>
        <v/>
      </c>
      <c r="Q1240" s="34">
        <f>IF(C1240="","",YEAR(C1240-WEEKDAY(C1240,2)+4)&amp;"-S"&amp;TEXT(INT((C1240-DATE(YEAR(C1240-WEEKDAY(C1240,2)+4),1,3)+WEEKDAY(DATE(YEAR(C1240-WEEKDAY(C1240,2)+4),1,3),2)+5)/7),"00"))</f>
        <v/>
      </c>
    </row>
    <row r="1241" ht="18" customHeight="1">
      <c r="A1241" s="39" t="n">
        <v>1236</v>
      </c>
      <c r="B1241" s="33">
        <f>IF(C1241="","",IF(L1241="À RENSEIGNER","GIC",L1241)&amp;"-S"&amp;TEXT(A1241,"00000"))</f>
        <v/>
      </c>
      <c r="C1241" s="32" t="n"/>
      <c r="D1241" s="36" t="n"/>
      <c r="E1241" s="36" t="n"/>
      <c r="F1241" s="42" t="n"/>
      <c r="G1241" s="36" t="n"/>
      <c r="H1241" s="43" t="n"/>
      <c r="I1241" s="37" t="n"/>
      <c r="J1241" s="44" t="n"/>
      <c r="K1241" s="36" t="n"/>
      <c r="L1241" s="33">
        <f>IF(C1241="","",Commercial_Id)</f>
        <v/>
      </c>
      <c r="M1241" s="34">
        <f>IF(E1241="","",IFERROR(VLOOKUP(E1241,T_Produits,2,FALSE),""))</f>
        <v/>
      </c>
      <c r="N1241" s="40">
        <f>IF(E1241="","",IFERROR(1/(1/VLOOKUP(E1241,T_Produits,3,FALSE)),""))</f>
        <v/>
      </c>
      <c r="O1241" s="40">
        <f>IF(OR(D1241="",F1241=""),"",IF(OR(D1241="Casse / avarie",D1241="Perte / vol",D1241="Échantillon offert"),IF(I1241&lt;&gt;"",I1241,IF(N1241="","",F1241*N1241)),""))</f>
        <v/>
      </c>
      <c r="P1241" s="50">
        <f>IF(OR(D1241="",F1241=""),"",F1241*IF(OR(D1241="Reçu du magasin",D1241="Ajustement (+)"),1,-1))</f>
        <v/>
      </c>
      <c r="Q1241" s="34">
        <f>IF(C1241="","",YEAR(C1241-WEEKDAY(C1241,2)+4)&amp;"-S"&amp;TEXT(INT((C1241-DATE(YEAR(C1241-WEEKDAY(C1241,2)+4),1,3)+WEEKDAY(DATE(YEAR(C1241-WEEKDAY(C1241,2)+4),1,3),2)+5)/7),"00"))</f>
        <v/>
      </c>
    </row>
    <row r="1242" ht="18" customHeight="1">
      <c r="A1242" s="39" t="n">
        <v>1237</v>
      </c>
      <c r="B1242" s="33">
        <f>IF(C1242="","",IF(L1242="À RENSEIGNER","GIC",L1242)&amp;"-S"&amp;TEXT(A1242,"00000"))</f>
        <v/>
      </c>
      <c r="C1242" s="32" t="n"/>
      <c r="D1242" s="36" t="n"/>
      <c r="E1242" s="36" t="n"/>
      <c r="F1242" s="42" t="n"/>
      <c r="G1242" s="36" t="n"/>
      <c r="H1242" s="43" t="n"/>
      <c r="I1242" s="37" t="n"/>
      <c r="J1242" s="44" t="n"/>
      <c r="K1242" s="36" t="n"/>
      <c r="L1242" s="33">
        <f>IF(C1242="","",Commercial_Id)</f>
        <v/>
      </c>
      <c r="M1242" s="34">
        <f>IF(E1242="","",IFERROR(VLOOKUP(E1242,T_Produits,2,FALSE),""))</f>
        <v/>
      </c>
      <c r="N1242" s="40">
        <f>IF(E1242="","",IFERROR(1/(1/VLOOKUP(E1242,T_Produits,3,FALSE)),""))</f>
        <v/>
      </c>
      <c r="O1242" s="40">
        <f>IF(OR(D1242="",F1242=""),"",IF(OR(D1242="Casse / avarie",D1242="Perte / vol",D1242="Échantillon offert"),IF(I1242&lt;&gt;"",I1242,IF(N1242="","",F1242*N1242)),""))</f>
        <v/>
      </c>
      <c r="P1242" s="50">
        <f>IF(OR(D1242="",F1242=""),"",F1242*IF(OR(D1242="Reçu du magasin",D1242="Ajustement (+)"),1,-1))</f>
        <v/>
      </c>
      <c r="Q1242" s="34">
        <f>IF(C1242="","",YEAR(C1242-WEEKDAY(C1242,2)+4)&amp;"-S"&amp;TEXT(INT((C1242-DATE(YEAR(C1242-WEEKDAY(C1242,2)+4),1,3)+WEEKDAY(DATE(YEAR(C1242-WEEKDAY(C1242,2)+4),1,3),2)+5)/7),"00"))</f>
        <v/>
      </c>
    </row>
    <row r="1243" ht="18" customHeight="1">
      <c r="A1243" s="39" t="n">
        <v>1238</v>
      </c>
      <c r="B1243" s="33">
        <f>IF(C1243="","",IF(L1243="À RENSEIGNER","GIC",L1243)&amp;"-S"&amp;TEXT(A1243,"00000"))</f>
        <v/>
      </c>
      <c r="C1243" s="32" t="n"/>
      <c r="D1243" s="36" t="n"/>
      <c r="E1243" s="36" t="n"/>
      <c r="F1243" s="42" t="n"/>
      <c r="G1243" s="36" t="n"/>
      <c r="H1243" s="43" t="n"/>
      <c r="I1243" s="37" t="n"/>
      <c r="J1243" s="44" t="n"/>
      <c r="K1243" s="36" t="n"/>
      <c r="L1243" s="33">
        <f>IF(C1243="","",Commercial_Id)</f>
        <v/>
      </c>
      <c r="M1243" s="34">
        <f>IF(E1243="","",IFERROR(VLOOKUP(E1243,T_Produits,2,FALSE),""))</f>
        <v/>
      </c>
      <c r="N1243" s="40">
        <f>IF(E1243="","",IFERROR(1/(1/VLOOKUP(E1243,T_Produits,3,FALSE)),""))</f>
        <v/>
      </c>
      <c r="O1243" s="40">
        <f>IF(OR(D1243="",F1243=""),"",IF(OR(D1243="Casse / avarie",D1243="Perte / vol",D1243="Échantillon offert"),IF(I1243&lt;&gt;"",I1243,IF(N1243="","",F1243*N1243)),""))</f>
        <v/>
      </c>
      <c r="P1243" s="50">
        <f>IF(OR(D1243="",F1243=""),"",F1243*IF(OR(D1243="Reçu du magasin",D1243="Ajustement (+)"),1,-1))</f>
        <v/>
      </c>
      <c r="Q1243" s="34">
        <f>IF(C1243="","",YEAR(C1243-WEEKDAY(C1243,2)+4)&amp;"-S"&amp;TEXT(INT((C1243-DATE(YEAR(C1243-WEEKDAY(C1243,2)+4),1,3)+WEEKDAY(DATE(YEAR(C1243-WEEKDAY(C1243,2)+4),1,3),2)+5)/7),"00"))</f>
        <v/>
      </c>
    </row>
    <row r="1244" ht="18" customHeight="1">
      <c r="A1244" s="39" t="n">
        <v>1239</v>
      </c>
      <c r="B1244" s="33">
        <f>IF(C1244="","",IF(L1244="À RENSEIGNER","GIC",L1244)&amp;"-S"&amp;TEXT(A1244,"00000"))</f>
        <v/>
      </c>
      <c r="C1244" s="32" t="n"/>
      <c r="D1244" s="36" t="n"/>
      <c r="E1244" s="36" t="n"/>
      <c r="F1244" s="42" t="n"/>
      <c r="G1244" s="36" t="n"/>
      <c r="H1244" s="43" t="n"/>
      <c r="I1244" s="37" t="n"/>
      <c r="J1244" s="44" t="n"/>
      <c r="K1244" s="36" t="n"/>
      <c r="L1244" s="33">
        <f>IF(C1244="","",Commercial_Id)</f>
        <v/>
      </c>
      <c r="M1244" s="34">
        <f>IF(E1244="","",IFERROR(VLOOKUP(E1244,T_Produits,2,FALSE),""))</f>
        <v/>
      </c>
      <c r="N1244" s="40">
        <f>IF(E1244="","",IFERROR(1/(1/VLOOKUP(E1244,T_Produits,3,FALSE)),""))</f>
        <v/>
      </c>
      <c r="O1244" s="40">
        <f>IF(OR(D1244="",F1244=""),"",IF(OR(D1244="Casse / avarie",D1244="Perte / vol",D1244="Échantillon offert"),IF(I1244&lt;&gt;"",I1244,IF(N1244="","",F1244*N1244)),""))</f>
        <v/>
      </c>
      <c r="P1244" s="50">
        <f>IF(OR(D1244="",F1244=""),"",F1244*IF(OR(D1244="Reçu du magasin",D1244="Ajustement (+)"),1,-1))</f>
        <v/>
      </c>
      <c r="Q1244" s="34">
        <f>IF(C1244="","",YEAR(C1244-WEEKDAY(C1244,2)+4)&amp;"-S"&amp;TEXT(INT((C1244-DATE(YEAR(C1244-WEEKDAY(C1244,2)+4),1,3)+WEEKDAY(DATE(YEAR(C1244-WEEKDAY(C1244,2)+4),1,3),2)+5)/7),"00"))</f>
        <v/>
      </c>
    </row>
    <row r="1245" ht="18" customHeight="1">
      <c r="A1245" s="39" t="n">
        <v>1240</v>
      </c>
      <c r="B1245" s="33">
        <f>IF(C1245="","",IF(L1245="À RENSEIGNER","GIC",L1245)&amp;"-S"&amp;TEXT(A1245,"00000"))</f>
        <v/>
      </c>
      <c r="C1245" s="32" t="n"/>
      <c r="D1245" s="36" t="n"/>
      <c r="E1245" s="36" t="n"/>
      <c r="F1245" s="42" t="n"/>
      <c r="G1245" s="36" t="n"/>
      <c r="H1245" s="43" t="n"/>
      <c r="I1245" s="37" t="n"/>
      <c r="J1245" s="44" t="n"/>
      <c r="K1245" s="36" t="n"/>
      <c r="L1245" s="33">
        <f>IF(C1245="","",Commercial_Id)</f>
        <v/>
      </c>
      <c r="M1245" s="34">
        <f>IF(E1245="","",IFERROR(VLOOKUP(E1245,T_Produits,2,FALSE),""))</f>
        <v/>
      </c>
      <c r="N1245" s="40">
        <f>IF(E1245="","",IFERROR(1/(1/VLOOKUP(E1245,T_Produits,3,FALSE)),""))</f>
        <v/>
      </c>
      <c r="O1245" s="40">
        <f>IF(OR(D1245="",F1245=""),"",IF(OR(D1245="Casse / avarie",D1245="Perte / vol",D1245="Échantillon offert"),IF(I1245&lt;&gt;"",I1245,IF(N1245="","",F1245*N1245)),""))</f>
        <v/>
      </c>
      <c r="P1245" s="50">
        <f>IF(OR(D1245="",F1245=""),"",F1245*IF(OR(D1245="Reçu du magasin",D1245="Ajustement (+)"),1,-1))</f>
        <v/>
      </c>
      <c r="Q1245" s="34">
        <f>IF(C1245="","",YEAR(C1245-WEEKDAY(C1245,2)+4)&amp;"-S"&amp;TEXT(INT((C1245-DATE(YEAR(C1245-WEEKDAY(C1245,2)+4),1,3)+WEEKDAY(DATE(YEAR(C1245-WEEKDAY(C1245,2)+4),1,3),2)+5)/7),"00"))</f>
        <v/>
      </c>
    </row>
    <row r="1246" ht="18" customHeight="1">
      <c r="A1246" s="39" t="n">
        <v>1241</v>
      </c>
      <c r="B1246" s="33">
        <f>IF(C1246="","",IF(L1246="À RENSEIGNER","GIC",L1246)&amp;"-S"&amp;TEXT(A1246,"00000"))</f>
        <v/>
      </c>
      <c r="C1246" s="32" t="n"/>
      <c r="D1246" s="36" t="n"/>
      <c r="E1246" s="36" t="n"/>
      <c r="F1246" s="42" t="n"/>
      <c r="G1246" s="36" t="n"/>
      <c r="H1246" s="43" t="n"/>
      <c r="I1246" s="37" t="n"/>
      <c r="J1246" s="44" t="n"/>
      <c r="K1246" s="36" t="n"/>
      <c r="L1246" s="33">
        <f>IF(C1246="","",Commercial_Id)</f>
        <v/>
      </c>
      <c r="M1246" s="34">
        <f>IF(E1246="","",IFERROR(VLOOKUP(E1246,T_Produits,2,FALSE),""))</f>
        <v/>
      </c>
      <c r="N1246" s="40">
        <f>IF(E1246="","",IFERROR(1/(1/VLOOKUP(E1246,T_Produits,3,FALSE)),""))</f>
        <v/>
      </c>
      <c r="O1246" s="40">
        <f>IF(OR(D1246="",F1246=""),"",IF(OR(D1246="Casse / avarie",D1246="Perte / vol",D1246="Échantillon offert"),IF(I1246&lt;&gt;"",I1246,IF(N1246="","",F1246*N1246)),""))</f>
        <v/>
      </c>
      <c r="P1246" s="50">
        <f>IF(OR(D1246="",F1246=""),"",F1246*IF(OR(D1246="Reçu du magasin",D1246="Ajustement (+)"),1,-1))</f>
        <v/>
      </c>
      <c r="Q1246" s="34">
        <f>IF(C1246="","",YEAR(C1246-WEEKDAY(C1246,2)+4)&amp;"-S"&amp;TEXT(INT((C1246-DATE(YEAR(C1246-WEEKDAY(C1246,2)+4),1,3)+WEEKDAY(DATE(YEAR(C1246-WEEKDAY(C1246,2)+4),1,3),2)+5)/7),"00"))</f>
        <v/>
      </c>
    </row>
    <row r="1247" ht="18" customHeight="1">
      <c r="A1247" s="39" t="n">
        <v>1242</v>
      </c>
      <c r="B1247" s="33">
        <f>IF(C1247="","",IF(L1247="À RENSEIGNER","GIC",L1247)&amp;"-S"&amp;TEXT(A1247,"00000"))</f>
        <v/>
      </c>
      <c r="C1247" s="32" t="n"/>
      <c r="D1247" s="36" t="n"/>
      <c r="E1247" s="36" t="n"/>
      <c r="F1247" s="42" t="n"/>
      <c r="G1247" s="36" t="n"/>
      <c r="H1247" s="43" t="n"/>
      <c r="I1247" s="37" t="n"/>
      <c r="J1247" s="44" t="n"/>
      <c r="K1247" s="36" t="n"/>
      <c r="L1247" s="33">
        <f>IF(C1247="","",Commercial_Id)</f>
        <v/>
      </c>
      <c r="M1247" s="34">
        <f>IF(E1247="","",IFERROR(VLOOKUP(E1247,T_Produits,2,FALSE),""))</f>
        <v/>
      </c>
      <c r="N1247" s="40">
        <f>IF(E1247="","",IFERROR(1/(1/VLOOKUP(E1247,T_Produits,3,FALSE)),""))</f>
        <v/>
      </c>
      <c r="O1247" s="40">
        <f>IF(OR(D1247="",F1247=""),"",IF(OR(D1247="Casse / avarie",D1247="Perte / vol",D1247="Échantillon offert"),IF(I1247&lt;&gt;"",I1247,IF(N1247="","",F1247*N1247)),""))</f>
        <v/>
      </c>
      <c r="P1247" s="50">
        <f>IF(OR(D1247="",F1247=""),"",F1247*IF(OR(D1247="Reçu du magasin",D1247="Ajustement (+)"),1,-1))</f>
        <v/>
      </c>
      <c r="Q1247" s="34">
        <f>IF(C1247="","",YEAR(C1247-WEEKDAY(C1247,2)+4)&amp;"-S"&amp;TEXT(INT((C1247-DATE(YEAR(C1247-WEEKDAY(C1247,2)+4),1,3)+WEEKDAY(DATE(YEAR(C1247-WEEKDAY(C1247,2)+4),1,3),2)+5)/7),"00"))</f>
        <v/>
      </c>
    </row>
    <row r="1248" ht="18" customHeight="1">
      <c r="A1248" s="39" t="n">
        <v>1243</v>
      </c>
      <c r="B1248" s="33">
        <f>IF(C1248="","",IF(L1248="À RENSEIGNER","GIC",L1248)&amp;"-S"&amp;TEXT(A1248,"00000"))</f>
        <v/>
      </c>
      <c r="C1248" s="32" t="n"/>
      <c r="D1248" s="36" t="n"/>
      <c r="E1248" s="36" t="n"/>
      <c r="F1248" s="42" t="n"/>
      <c r="G1248" s="36" t="n"/>
      <c r="H1248" s="43" t="n"/>
      <c r="I1248" s="37" t="n"/>
      <c r="J1248" s="44" t="n"/>
      <c r="K1248" s="36" t="n"/>
      <c r="L1248" s="33">
        <f>IF(C1248="","",Commercial_Id)</f>
        <v/>
      </c>
      <c r="M1248" s="34">
        <f>IF(E1248="","",IFERROR(VLOOKUP(E1248,T_Produits,2,FALSE),""))</f>
        <v/>
      </c>
      <c r="N1248" s="40">
        <f>IF(E1248="","",IFERROR(1/(1/VLOOKUP(E1248,T_Produits,3,FALSE)),""))</f>
        <v/>
      </c>
      <c r="O1248" s="40">
        <f>IF(OR(D1248="",F1248=""),"",IF(OR(D1248="Casse / avarie",D1248="Perte / vol",D1248="Échantillon offert"),IF(I1248&lt;&gt;"",I1248,IF(N1248="","",F1248*N1248)),""))</f>
        <v/>
      </c>
      <c r="P1248" s="50">
        <f>IF(OR(D1248="",F1248=""),"",F1248*IF(OR(D1248="Reçu du magasin",D1248="Ajustement (+)"),1,-1))</f>
        <v/>
      </c>
      <c r="Q1248" s="34">
        <f>IF(C1248="","",YEAR(C1248-WEEKDAY(C1248,2)+4)&amp;"-S"&amp;TEXT(INT((C1248-DATE(YEAR(C1248-WEEKDAY(C1248,2)+4),1,3)+WEEKDAY(DATE(YEAR(C1248-WEEKDAY(C1248,2)+4),1,3),2)+5)/7),"00"))</f>
        <v/>
      </c>
    </row>
    <row r="1249" ht="18" customHeight="1">
      <c r="A1249" s="39" t="n">
        <v>1244</v>
      </c>
      <c r="B1249" s="33">
        <f>IF(C1249="","",IF(L1249="À RENSEIGNER","GIC",L1249)&amp;"-S"&amp;TEXT(A1249,"00000"))</f>
        <v/>
      </c>
      <c r="C1249" s="32" t="n"/>
      <c r="D1249" s="36" t="n"/>
      <c r="E1249" s="36" t="n"/>
      <c r="F1249" s="42" t="n"/>
      <c r="G1249" s="36" t="n"/>
      <c r="H1249" s="43" t="n"/>
      <c r="I1249" s="37" t="n"/>
      <c r="J1249" s="44" t="n"/>
      <c r="K1249" s="36" t="n"/>
      <c r="L1249" s="33">
        <f>IF(C1249="","",Commercial_Id)</f>
        <v/>
      </c>
      <c r="M1249" s="34">
        <f>IF(E1249="","",IFERROR(VLOOKUP(E1249,T_Produits,2,FALSE),""))</f>
        <v/>
      </c>
      <c r="N1249" s="40">
        <f>IF(E1249="","",IFERROR(1/(1/VLOOKUP(E1249,T_Produits,3,FALSE)),""))</f>
        <v/>
      </c>
      <c r="O1249" s="40">
        <f>IF(OR(D1249="",F1249=""),"",IF(OR(D1249="Casse / avarie",D1249="Perte / vol",D1249="Échantillon offert"),IF(I1249&lt;&gt;"",I1249,IF(N1249="","",F1249*N1249)),""))</f>
        <v/>
      </c>
      <c r="P1249" s="50">
        <f>IF(OR(D1249="",F1249=""),"",F1249*IF(OR(D1249="Reçu du magasin",D1249="Ajustement (+)"),1,-1))</f>
        <v/>
      </c>
      <c r="Q1249" s="34">
        <f>IF(C1249="","",YEAR(C1249-WEEKDAY(C1249,2)+4)&amp;"-S"&amp;TEXT(INT((C1249-DATE(YEAR(C1249-WEEKDAY(C1249,2)+4),1,3)+WEEKDAY(DATE(YEAR(C1249-WEEKDAY(C1249,2)+4),1,3),2)+5)/7),"00"))</f>
        <v/>
      </c>
    </row>
    <row r="1250" ht="18" customHeight="1">
      <c r="A1250" s="39" t="n">
        <v>1245</v>
      </c>
      <c r="B1250" s="33">
        <f>IF(C1250="","",IF(L1250="À RENSEIGNER","GIC",L1250)&amp;"-S"&amp;TEXT(A1250,"00000"))</f>
        <v/>
      </c>
      <c r="C1250" s="32" t="n"/>
      <c r="D1250" s="36" t="n"/>
      <c r="E1250" s="36" t="n"/>
      <c r="F1250" s="42" t="n"/>
      <c r="G1250" s="36" t="n"/>
      <c r="H1250" s="43" t="n"/>
      <c r="I1250" s="37" t="n"/>
      <c r="J1250" s="44" t="n"/>
      <c r="K1250" s="36" t="n"/>
      <c r="L1250" s="33">
        <f>IF(C1250="","",Commercial_Id)</f>
        <v/>
      </c>
      <c r="M1250" s="34">
        <f>IF(E1250="","",IFERROR(VLOOKUP(E1250,T_Produits,2,FALSE),""))</f>
        <v/>
      </c>
      <c r="N1250" s="40">
        <f>IF(E1250="","",IFERROR(1/(1/VLOOKUP(E1250,T_Produits,3,FALSE)),""))</f>
        <v/>
      </c>
      <c r="O1250" s="40">
        <f>IF(OR(D1250="",F1250=""),"",IF(OR(D1250="Casse / avarie",D1250="Perte / vol",D1250="Échantillon offert"),IF(I1250&lt;&gt;"",I1250,IF(N1250="","",F1250*N1250)),""))</f>
        <v/>
      </c>
      <c r="P1250" s="50">
        <f>IF(OR(D1250="",F1250=""),"",F1250*IF(OR(D1250="Reçu du magasin",D1250="Ajustement (+)"),1,-1))</f>
        <v/>
      </c>
      <c r="Q1250" s="34">
        <f>IF(C1250="","",YEAR(C1250-WEEKDAY(C1250,2)+4)&amp;"-S"&amp;TEXT(INT((C1250-DATE(YEAR(C1250-WEEKDAY(C1250,2)+4),1,3)+WEEKDAY(DATE(YEAR(C1250-WEEKDAY(C1250,2)+4),1,3),2)+5)/7),"00"))</f>
        <v/>
      </c>
    </row>
    <row r="1251" ht="18" customHeight="1">
      <c r="A1251" s="39" t="n">
        <v>1246</v>
      </c>
      <c r="B1251" s="33">
        <f>IF(C1251="","",IF(L1251="À RENSEIGNER","GIC",L1251)&amp;"-S"&amp;TEXT(A1251,"00000"))</f>
        <v/>
      </c>
      <c r="C1251" s="32" t="n"/>
      <c r="D1251" s="36" t="n"/>
      <c r="E1251" s="36" t="n"/>
      <c r="F1251" s="42" t="n"/>
      <c r="G1251" s="36" t="n"/>
      <c r="H1251" s="43" t="n"/>
      <c r="I1251" s="37" t="n"/>
      <c r="J1251" s="44" t="n"/>
      <c r="K1251" s="36" t="n"/>
      <c r="L1251" s="33">
        <f>IF(C1251="","",Commercial_Id)</f>
        <v/>
      </c>
      <c r="M1251" s="34">
        <f>IF(E1251="","",IFERROR(VLOOKUP(E1251,T_Produits,2,FALSE),""))</f>
        <v/>
      </c>
      <c r="N1251" s="40">
        <f>IF(E1251="","",IFERROR(1/(1/VLOOKUP(E1251,T_Produits,3,FALSE)),""))</f>
        <v/>
      </c>
      <c r="O1251" s="40">
        <f>IF(OR(D1251="",F1251=""),"",IF(OR(D1251="Casse / avarie",D1251="Perte / vol",D1251="Échantillon offert"),IF(I1251&lt;&gt;"",I1251,IF(N1251="","",F1251*N1251)),""))</f>
        <v/>
      </c>
      <c r="P1251" s="50">
        <f>IF(OR(D1251="",F1251=""),"",F1251*IF(OR(D1251="Reçu du magasin",D1251="Ajustement (+)"),1,-1))</f>
        <v/>
      </c>
      <c r="Q1251" s="34">
        <f>IF(C1251="","",YEAR(C1251-WEEKDAY(C1251,2)+4)&amp;"-S"&amp;TEXT(INT((C1251-DATE(YEAR(C1251-WEEKDAY(C1251,2)+4),1,3)+WEEKDAY(DATE(YEAR(C1251-WEEKDAY(C1251,2)+4),1,3),2)+5)/7),"00"))</f>
        <v/>
      </c>
    </row>
    <row r="1252" ht="18" customHeight="1">
      <c r="A1252" s="39" t="n">
        <v>1247</v>
      </c>
      <c r="B1252" s="33">
        <f>IF(C1252="","",IF(L1252="À RENSEIGNER","GIC",L1252)&amp;"-S"&amp;TEXT(A1252,"00000"))</f>
        <v/>
      </c>
      <c r="C1252" s="32" t="n"/>
      <c r="D1252" s="36" t="n"/>
      <c r="E1252" s="36" t="n"/>
      <c r="F1252" s="42" t="n"/>
      <c r="G1252" s="36" t="n"/>
      <c r="H1252" s="43" t="n"/>
      <c r="I1252" s="37" t="n"/>
      <c r="J1252" s="44" t="n"/>
      <c r="K1252" s="36" t="n"/>
      <c r="L1252" s="33">
        <f>IF(C1252="","",Commercial_Id)</f>
        <v/>
      </c>
      <c r="M1252" s="34">
        <f>IF(E1252="","",IFERROR(VLOOKUP(E1252,T_Produits,2,FALSE),""))</f>
        <v/>
      </c>
      <c r="N1252" s="40">
        <f>IF(E1252="","",IFERROR(1/(1/VLOOKUP(E1252,T_Produits,3,FALSE)),""))</f>
        <v/>
      </c>
      <c r="O1252" s="40">
        <f>IF(OR(D1252="",F1252=""),"",IF(OR(D1252="Casse / avarie",D1252="Perte / vol",D1252="Échantillon offert"),IF(I1252&lt;&gt;"",I1252,IF(N1252="","",F1252*N1252)),""))</f>
        <v/>
      </c>
      <c r="P1252" s="50">
        <f>IF(OR(D1252="",F1252=""),"",F1252*IF(OR(D1252="Reçu du magasin",D1252="Ajustement (+)"),1,-1))</f>
        <v/>
      </c>
      <c r="Q1252" s="34">
        <f>IF(C1252="","",YEAR(C1252-WEEKDAY(C1252,2)+4)&amp;"-S"&amp;TEXT(INT((C1252-DATE(YEAR(C1252-WEEKDAY(C1252,2)+4),1,3)+WEEKDAY(DATE(YEAR(C1252-WEEKDAY(C1252,2)+4),1,3),2)+5)/7),"00"))</f>
        <v/>
      </c>
    </row>
    <row r="1253" ht="18" customHeight="1">
      <c r="A1253" s="39" t="n">
        <v>1248</v>
      </c>
      <c r="B1253" s="33">
        <f>IF(C1253="","",IF(L1253="À RENSEIGNER","GIC",L1253)&amp;"-S"&amp;TEXT(A1253,"00000"))</f>
        <v/>
      </c>
      <c r="C1253" s="32" t="n"/>
      <c r="D1253" s="36" t="n"/>
      <c r="E1253" s="36" t="n"/>
      <c r="F1253" s="42" t="n"/>
      <c r="G1253" s="36" t="n"/>
      <c r="H1253" s="43" t="n"/>
      <c r="I1253" s="37" t="n"/>
      <c r="J1253" s="44" t="n"/>
      <c r="K1253" s="36" t="n"/>
      <c r="L1253" s="33">
        <f>IF(C1253="","",Commercial_Id)</f>
        <v/>
      </c>
      <c r="M1253" s="34">
        <f>IF(E1253="","",IFERROR(VLOOKUP(E1253,T_Produits,2,FALSE),""))</f>
        <v/>
      </c>
      <c r="N1253" s="40">
        <f>IF(E1253="","",IFERROR(1/(1/VLOOKUP(E1253,T_Produits,3,FALSE)),""))</f>
        <v/>
      </c>
      <c r="O1253" s="40">
        <f>IF(OR(D1253="",F1253=""),"",IF(OR(D1253="Casse / avarie",D1253="Perte / vol",D1253="Échantillon offert"),IF(I1253&lt;&gt;"",I1253,IF(N1253="","",F1253*N1253)),""))</f>
        <v/>
      </c>
      <c r="P1253" s="50">
        <f>IF(OR(D1253="",F1253=""),"",F1253*IF(OR(D1253="Reçu du magasin",D1253="Ajustement (+)"),1,-1))</f>
        <v/>
      </c>
      <c r="Q1253" s="34">
        <f>IF(C1253="","",YEAR(C1253-WEEKDAY(C1253,2)+4)&amp;"-S"&amp;TEXT(INT((C1253-DATE(YEAR(C1253-WEEKDAY(C1253,2)+4),1,3)+WEEKDAY(DATE(YEAR(C1253-WEEKDAY(C1253,2)+4),1,3),2)+5)/7),"00"))</f>
        <v/>
      </c>
    </row>
    <row r="1254" ht="18" customHeight="1">
      <c r="A1254" s="39" t="n">
        <v>1249</v>
      </c>
      <c r="B1254" s="33">
        <f>IF(C1254="","",IF(L1254="À RENSEIGNER","GIC",L1254)&amp;"-S"&amp;TEXT(A1254,"00000"))</f>
        <v/>
      </c>
      <c r="C1254" s="32" t="n"/>
      <c r="D1254" s="36" t="n"/>
      <c r="E1254" s="36" t="n"/>
      <c r="F1254" s="42" t="n"/>
      <c r="G1254" s="36" t="n"/>
      <c r="H1254" s="43" t="n"/>
      <c r="I1254" s="37" t="n"/>
      <c r="J1254" s="44" t="n"/>
      <c r="K1254" s="36" t="n"/>
      <c r="L1254" s="33">
        <f>IF(C1254="","",Commercial_Id)</f>
        <v/>
      </c>
      <c r="M1254" s="34">
        <f>IF(E1254="","",IFERROR(VLOOKUP(E1254,T_Produits,2,FALSE),""))</f>
        <v/>
      </c>
      <c r="N1254" s="40">
        <f>IF(E1254="","",IFERROR(1/(1/VLOOKUP(E1254,T_Produits,3,FALSE)),""))</f>
        <v/>
      </c>
      <c r="O1254" s="40">
        <f>IF(OR(D1254="",F1254=""),"",IF(OR(D1254="Casse / avarie",D1254="Perte / vol",D1254="Échantillon offert"),IF(I1254&lt;&gt;"",I1254,IF(N1254="","",F1254*N1254)),""))</f>
        <v/>
      </c>
      <c r="P1254" s="50">
        <f>IF(OR(D1254="",F1254=""),"",F1254*IF(OR(D1254="Reçu du magasin",D1254="Ajustement (+)"),1,-1))</f>
        <v/>
      </c>
      <c r="Q1254" s="34">
        <f>IF(C1254="","",YEAR(C1254-WEEKDAY(C1254,2)+4)&amp;"-S"&amp;TEXT(INT((C1254-DATE(YEAR(C1254-WEEKDAY(C1254,2)+4),1,3)+WEEKDAY(DATE(YEAR(C1254-WEEKDAY(C1254,2)+4),1,3),2)+5)/7),"00"))</f>
        <v/>
      </c>
    </row>
    <row r="1255" ht="18" customHeight="1">
      <c r="A1255" s="39" t="n">
        <v>1250</v>
      </c>
      <c r="B1255" s="33">
        <f>IF(C1255="","",IF(L1255="À RENSEIGNER","GIC",L1255)&amp;"-S"&amp;TEXT(A1255,"00000"))</f>
        <v/>
      </c>
      <c r="C1255" s="32" t="n"/>
      <c r="D1255" s="36" t="n"/>
      <c r="E1255" s="36" t="n"/>
      <c r="F1255" s="42" t="n"/>
      <c r="G1255" s="36" t="n"/>
      <c r="H1255" s="43" t="n"/>
      <c r="I1255" s="37" t="n"/>
      <c r="J1255" s="44" t="n"/>
      <c r="K1255" s="36" t="n"/>
      <c r="L1255" s="33">
        <f>IF(C1255="","",Commercial_Id)</f>
        <v/>
      </c>
      <c r="M1255" s="34">
        <f>IF(E1255="","",IFERROR(VLOOKUP(E1255,T_Produits,2,FALSE),""))</f>
        <v/>
      </c>
      <c r="N1255" s="40">
        <f>IF(E1255="","",IFERROR(1/(1/VLOOKUP(E1255,T_Produits,3,FALSE)),""))</f>
        <v/>
      </c>
      <c r="O1255" s="40">
        <f>IF(OR(D1255="",F1255=""),"",IF(OR(D1255="Casse / avarie",D1255="Perte / vol",D1255="Échantillon offert"),IF(I1255&lt;&gt;"",I1255,IF(N1255="","",F1255*N1255)),""))</f>
        <v/>
      </c>
      <c r="P1255" s="50">
        <f>IF(OR(D1255="",F1255=""),"",F1255*IF(OR(D1255="Reçu du magasin",D1255="Ajustement (+)"),1,-1))</f>
        <v/>
      </c>
      <c r="Q1255" s="34">
        <f>IF(C1255="","",YEAR(C1255-WEEKDAY(C1255,2)+4)&amp;"-S"&amp;TEXT(INT((C1255-DATE(YEAR(C1255-WEEKDAY(C1255,2)+4),1,3)+WEEKDAY(DATE(YEAR(C1255-WEEKDAY(C1255,2)+4),1,3),2)+5)/7),"00"))</f>
        <v/>
      </c>
    </row>
    <row r="1256" ht="18" customHeight="1">
      <c r="A1256" s="39" t="n">
        <v>1251</v>
      </c>
      <c r="B1256" s="33">
        <f>IF(C1256="","",IF(L1256="À RENSEIGNER","GIC",L1256)&amp;"-S"&amp;TEXT(A1256,"00000"))</f>
        <v/>
      </c>
      <c r="C1256" s="32" t="n"/>
      <c r="D1256" s="36" t="n"/>
      <c r="E1256" s="36" t="n"/>
      <c r="F1256" s="42" t="n"/>
      <c r="G1256" s="36" t="n"/>
      <c r="H1256" s="43" t="n"/>
      <c r="I1256" s="37" t="n"/>
      <c r="J1256" s="44" t="n"/>
      <c r="K1256" s="36" t="n"/>
      <c r="L1256" s="33">
        <f>IF(C1256="","",Commercial_Id)</f>
        <v/>
      </c>
      <c r="M1256" s="34">
        <f>IF(E1256="","",IFERROR(VLOOKUP(E1256,T_Produits,2,FALSE),""))</f>
        <v/>
      </c>
      <c r="N1256" s="40">
        <f>IF(E1256="","",IFERROR(1/(1/VLOOKUP(E1256,T_Produits,3,FALSE)),""))</f>
        <v/>
      </c>
      <c r="O1256" s="40">
        <f>IF(OR(D1256="",F1256=""),"",IF(OR(D1256="Casse / avarie",D1256="Perte / vol",D1256="Échantillon offert"),IF(I1256&lt;&gt;"",I1256,IF(N1256="","",F1256*N1256)),""))</f>
        <v/>
      </c>
      <c r="P1256" s="50">
        <f>IF(OR(D1256="",F1256=""),"",F1256*IF(OR(D1256="Reçu du magasin",D1256="Ajustement (+)"),1,-1))</f>
        <v/>
      </c>
      <c r="Q1256" s="34">
        <f>IF(C1256="","",YEAR(C1256-WEEKDAY(C1256,2)+4)&amp;"-S"&amp;TEXT(INT((C1256-DATE(YEAR(C1256-WEEKDAY(C1256,2)+4),1,3)+WEEKDAY(DATE(YEAR(C1256-WEEKDAY(C1256,2)+4),1,3),2)+5)/7),"00"))</f>
        <v/>
      </c>
    </row>
    <row r="1257" ht="18" customHeight="1">
      <c r="A1257" s="39" t="n">
        <v>1252</v>
      </c>
      <c r="B1257" s="33">
        <f>IF(C1257="","",IF(L1257="À RENSEIGNER","GIC",L1257)&amp;"-S"&amp;TEXT(A1257,"00000"))</f>
        <v/>
      </c>
      <c r="C1257" s="32" t="n"/>
      <c r="D1257" s="36" t="n"/>
      <c r="E1257" s="36" t="n"/>
      <c r="F1257" s="42" t="n"/>
      <c r="G1257" s="36" t="n"/>
      <c r="H1257" s="43" t="n"/>
      <c r="I1257" s="37" t="n"/>
      <c r="J1257" s="44" t="n"/>
      <c r="K1257" s="36" t="n"/>
      <c r="L1257" s="33">
        <f>IF(C1257="","",Commercial_Id)</f>
        <v/>
      </c>
      <c r="M1257" s="34">
        <f>IF(E1257="","",IFERROR(VLOOKUP(E1257,T_Produits,2,FALSE),""))</f>
        <v/>
      </c>
      <c r="N1257" s="40">
        <f>IF(E1257="","",IFERROR(1/(1/VLOOKUP(E1257,T_Produits,3,FALSE)),""))</f>
        <v/>
      </c>
      <c r="O1257" s="40">
        <f>IF(OR(D1257="",F1257=""),"",IF(OR(D1257="Casse / avarie",D1257="Perte / vol",D1257="Échantillon offert"),IF(I1257&lt;&gt;"",I1257,IF(N1257="","",F1257*N1257)),""))</f>
        <v/>
      </c>
      <c r="P1257" s="50">
        <f>IF(OR(D1257="",F1257=""),"",F1257*IF(OR(D1257="Reçu du magasin",D1257="Ajustement (+)"),1,-1))</f>
        <v/>
      </c>
      <c r="Q1257" s="34">
        <f>IF(C1257="","",YEAR(C1257-WEEKDAY(C1257,2)+4)&amp;"-S"&amp;TEXT(INT((C1257-DATE(YEAR(C1257-WEEKDAY(C1257,2)+4),1,3)+WEEKDAY(DATE(YEAR(C1257-WEEKDAY(C1257,2)+4),1,3),2)+5)/7),"00"))</f>
        <v/>
      </c>
    </row>
    <row r="1258" ht="18" customHeight="1">
      <c r="A1258" s="39" t="n">
        <v>1253</v>
      </c>
      <c r="B1258" s="33">
        <f>IF(C1258="","",IF(L1258="À RENSEIGNER","GIC",L1258)&amp;"-S"&amp;TEXT(A1258,"00000"))</f>
        <v/>
      </c>
      <c r="C1258" s="32" t="n"/>
      <c r="D1258" s="36" t="n"/>
      <c r="E1258" s="36" t="n"/>
      <c r="F1258" s="42" t="n"/>
      <c r="G1258" s="36" t="n"/>
      <c r="H1258" s="43" t="n"/>
      <c r="I1258" s="37" t="n"/>
      <c r="J1258" s="44" t="n"/>
      <c r="K1258" s="36" t="n"/>
      <c r="L1258" s="33">
        <f>IF(C1258="","",Commercial_Id)</f>
        <v/>
      </c>
      <c r="M1258" s="34">
        <f>IF(E1258="","",IFERROR(VLOOKUP(E1258,T_Produits,2,FALSE),""))</f>
        <v/>
      </c>
      <c r="N1258" s="40">
        <f>IF(E1258="","",IFERROR(1/(1/VLOOKUP(E1258,T_Produits,3,FALSE)),""))</f>
        <v/>
      </c>
      <c r="O1258" s="40">
        <f>IF(OR(D1258="",F1258=""),"",IF(OR(D1258="Casse / avarie",D1258="Perte / vol",D1258="Échantillon offert"),IF(I1258&lt;&gt;"",I1258,IF(N1258="","",F1258*N1258)),""))</f>
        <v/>
      </c>
      <c r="P1258" s="50">
        <f>IF(OR(D1258="",F1258=""),"",F1258*IF(OR(D1258="Reçu du magasin",D1258="Ajustement (+)"),1,-1))</f>
        <v/>
      </c>
      <c r="Q1258" s="34">
        <f>IF(C1258="","",YEAR(C1258-WEEKDAY(C1258,2)+4)&amp;"-S"&amp;TEXT(INT((C1258-DATE(YEAR(C1258-WEEKDAY(C1258,2)+4),1,3)+WEEKDAY(DATE(YEAR(C1258-WEEKDAY(C1258,2)+4),1,3),2)+5)/7),"00"))</f>
        <v/>
      </c>
    </row>
    <row r="1259" ht="18" customHeight="1">
      <c r="A1259" s="39" t="n">
        <v>1254</v>
      </c>
      <c r="B1259" s="33">
        <f>IF(C1259="","",IF(L1259="À RENSEIGNER","GIC",L1259)&amp;"-S"&amp;TEXT(A1259,"00000"))</f>
        <v/>
      </c>
      <c r="C1259" s="32" t="n"/>
      <c r="D1259" s="36" t="n"/>
      <c r="E1259" s="36" t="n"/>
      <c r="F1259" s="42" t="n"/>
      <c r="G1259" s="36" t="n"/>
      <c r="H1259" s="43" t="n"/>
      <c r="I1259" s="37" t="n"/>
      <c r="J1259" s="44" t="n"/>
      <c r="K1259" s="36" t="n"/>
      <c r="L1259" s="33">
        <f>IF(C1259="","",Commercial_Id)</f>
        <v/>
      </c>
      <c r="M1259" s="34">
        <f>IF(E1259="","",IFERROR(VLOOKUP(E1259,T_Produits,2,FALSE),""))</f>
        <v/>
      </c>
      <c r="N1259" s="40">
        <f>IF(E1259="","",IFERROR(1/(1/VLOOKUP(E1259,T_Produits,3,FALSE)),""))</f>
        <v/>
      </c>
      <c r="O1259" s="40">
        <f>IF(OR(D1259="",F1259=""),"",IF(OR(D1259="Casse / avarie",D1259="Perte / vol",D1259="Échantillon offert"),IF(I1259&lt;&gt;"",I1259,IF(N1259="","",F1259*N1259)),""))</f>
        <v/>
      </c>
      <c r="P1259" s="50">
        <f>IF(OR(D1259="",F1259=""),"",F1259*IF(OR(D1259="Reçu du magasin",D1259="Ajustement (+)"),1,-1))</f>
        <v/>
      </c>
      <c r="Q1259" s="34">
        <f>IF(C1259="","",YEAR(C1259-WEEKDAY(C1259,2)+4)&amp;"-S"&amp;TEXT(INT((C1259-DATE(YEAR(C1259-WEEKDAY(C1259,2)+4),1,3)+WEEKDAY(DATE(YEAR(C1259-WEEKDAY(C1259,2)+4),1,3),2)+5)/7),"00"))</f>
        <v/>
      </c>
    </row>
    <row r="1260" ht="18" customHeight="1">
      <c r="A1260" s="39" t="n">
        <v>1255</v>
      </c>
      <c r="B1260" s="33">
        <f>IF(C1260="","",IF(L1260="À RENSEIGNER","GIC",L1260)&amp;"-S"&amp;TEXT(A1260,"00000"))</f>
        <v/>
      </c>
      <c r="C1260" s="32" t="n"/>
      <c r="D1260" s="36" t="n"/>
      <c r="E1260" s="36" t="n"/>
      <c r="F1260" s="42" t="n"/>
      <c r="G1260" s="36" t="n"/>
      <c r="H1260" s="43" t="n"/>
      <c r="I1260" s="37" t="n"/>
      <c r="J1260" s="44" t="n"/>
      <c r="K1260" s="36" t="n"/>
      <c r="L1260" s="33">
        <f>IF(C1260="","",Commercial_Id)</f>
        <v/>
      </c>
      <c r="M1260" s="34">
        <f>IF(E1260="","",IFERROR(VLOOKUP(E1260,T_Produits,2,FALSE),""))</f>
        <v/>
      </c>
      <c r="N1260" s="40">
        <f>IF(E1260="","",IFERROR(1/(1/VLOOKUP(E1260,T_Produits,3,FALSE)),""))</f>
        <v/>
      </c>
      <c r="O1260" s="40">
        <f>IF(OR(D1260="",F1260=""),"",IF(OR(D1260="Casse / avarie",D1260="Perte / vol",D1260="Échantillon offert"),IF(I1260&lt;&gt;"",I1260,IF(N1260="","",F1260*N1260)),""))</f>
        <v/>
      </c>
      <c r="P1260" s="50">
        <f>IF(OR(D1260="",F1260=""),"",F1260*IF(OR(D1260="Reçu du magasin",D1260="Ajustement (+)"),1,-1))</f>
        <v/>
      </c>
      <c r="Q1260" s="34">
        <f>IF(C1260="","",YEAR(C1260-WEEKDAY(C1260,2)+4)&amp;"-S"&amp;TEXT(INT((C1260-DATE(YEAR(C1260-WEEKDAY(C1260,2)+4),1,3)+WEEKDAY(DATE(YEAR(C1260-WEEKDAY(C1260,2)+4),1,3),2)+5)/7),"00"))</f>
        <v/>
      </c>
    </row>
    <row r="1261" ht="18" customHeight="1">
      <c r="A1261" s="39" t="n">
        <v>1256</v>
      </c>
      <c r="B1261" s="33">
        <f>IF(C1261="","",IF(L1261="À RENSEIGNER","GIC",L1261)&amp;"-S"&amp;TEXT(A1261,"00000"))</f>
        <v/>
      </c>
      <c r="C1261" s="32" t="n"/>
      <c r="D1261" s="36" t="n"/>
      <c r="E1261" s="36" t="n"/>
      <c r="F1261" s="42" t="n"/>
      <c r="G1261" s="36" t="n"/>
      <c r="H1261" s="43" t="n"/>
      <c r="I1261" s="37" t="n"/>
      <c r="J1261" s="44" t="n"/>
      <c r="K1261" s="36" t="n"/>
      <c r="L1261" s="33">
        <f>IF(C1261="","",Commercial_Id)</f>
        <v/>
      </c>
      <c r="M1261" s="34">
        <f>IF(E1261="","",IFERROR(VLOOKUP(E1261,T_Produits,2,FALSE),""))</f>
        <v/>
      </c>
      <c r="N1261" s="40">
        <f>IF(E1261="","",IFERROR(1/(1/VLOOKUP(E1261,T_Produits,3,FALSE)),""))</f>
        <v/>
      </c>
      <c r="O1261" s="40">
        <f>IF(OR(D1261="",F1261=""),"",IF(OR(D1261="Casse / avarie",D1261="Perte / vol",D1261="Échantillon offert"),IF(I1261&lt;&gt;"",I1261,IF(N1261="","",F1261*N1261)),""))</f>
        <v/>
      </c>
      <c r="P1261" s="50">
        <f>IF(OR(D1261="",F1261=""),"",F1261*IF(OR(D1261="Reçu du magasin",D1261="Ajustement (+)"),1,-1))</f>
        <v/>
      </c>
      <c r="Q1261" s="34">
        <f>IF(C1261="","",YEAR(C1261-WEEKDAY(C1261,2)+4)&amp;"-S"&amp;TEXT(INT((C1261-DATE(YEAR(C1261-WEEKDAY(C1261,2)+4),1,3)+WEEKDAY(DATE(YEAR(C1261-WEEKDAY(C1261,2)+4),1,3),2)+5)/7),"00"))</f>
        <v/>
      </c>
    </row>
    <row r="1262" ht="18" customHeight="1">
      <c r="A1262" s="39" t="n">
        <v>1257</v>
      </c>
      <c r="B1262" s="33">
        <f>IF(C1262="","",IF(L1262="À RENSEIGNER","GIC",L1262)&amp;"-S"&amp;TEXT(A1262,"00000"))</f>
        <v/>
      </c>
      <c r="C1262" s="32" t="n"/>
      <c r="D1262" s="36" t="n"/>
      <c r="E1262" s="36" t="n"/>
      <c r="F1262" s="42" t="n"/>
      <c r="G1262" s="36" t="n"/>
      <c r="H1262" s="43" t="n"/>
      <c r="I1262" s="37" t="n"/>
      <c r="J1262" s="44" t="n"/>
      <c r="K1262" s="36" t="n"/>
      <c r="L1262" s="33">
        <f>IF(C1262="","",Commercial_Id)</f>
        <v/>
      </c>
      <c r="M1262" s="34">
        <f>IF(E1262="","",IFERROR(VLOOKUP(E1262,T_Produits,2,FALSE),""))</f>
        <v/>
      </c>
      <c r="N1262" s="40">
        <f>IF(E1262="","",IFERROR(1/(1/VLOOKUP(E1262,T_Produits,3,FALSE)),""))</f>
        <v/>
      </c>
      <c r="O1262" s="40">
        <f>IF(OR(D1262="",F1262=""),"",IF(OR(D1262="Casse / avarie",D1262="Perte / vol",D1262="Échantillon offert"),IF(I1262&lt;&gt;"",I1262,IF(N1262="","",F1262*N1262)),""))</f>
        <v/>
      </c>
      <c r="P1262" s="50">
        <f>IF(OR(D1262="",F1262=""),"",F1262*IF(OR(D1262="Reçu du magasin",D1262="Ajustement (+)"),1,-1))</f>
        <v/>
      </c>
      <c r="Q1262" s="34">
        <f>IF(C1262="","",YEAR(C1262-WEEKDAY(C1262,2)+4)&amp;"-S"&amp;TEXT(INT((C1262-DATE(YEAR(C1262-WEEKDAY(C1262,2)+4),1,3)+WEEKDAY(DATE(YEAR(C1262-WEEKDAY(C1262,2)+4),1,3),2)+5)/7),"00"))</f>
        <v/>
      </c>
    </row>
    <row r="1263" ht="18" customHeight="1">
      <c r="A1263" s="39" t="n">
        <v>1258</v>
      </c>
      <c r="B1263" s="33">
        <f>IF(C1263="","",IF(L1263="À RENSEIGNER","GIC",L1263)&amp;"-S"&amp;TEXT(A1263,"00000"))</f>
        <v/>
      </c>
      <c r="C1263" s="32" t="n"/>
      <c r="D1263" s="36" t="n"/>
      <c r="E1263" s="36" t="n"/>
      <c r="F1263" s="42" t="n"/>
      <c r="G1263" s="36" t="n"/>
      <c r="H1263" s="43" t="n"/>
      <c r="I1263" s="37" t="n"/>
      <c r="J1263" s="44" t="n"/>
      <c r="K1263" s="36" t="n"/>
      <c r="L1263" s="33">
        <f>IF(C1263="","",Commercial_Id)</f>
        <v/>
      </c>
      <c r="M1263" s="34">
        <f>IF(E1263="","",IFERROR(VLOOKUP(E1263,T_Produits,2,FALSE),""))</f>
        <v/>
      </c>
      <c r="N1263" s="40">
        <f>IF(E1263="","",IFERROR(1/(1/VLOOKUP(E1263,T_Produits,3,FALSE)),""))</f>
        <v/>
      </c>
      <c r="O1263" s="40">
        <f>IF(OR(D1263="",F1263=""),"",IF(OR(D1263="Casse / avarie",D1263="Perte / vol",D1263="Échantillon offert"),IF(I1263&lt;&gt;"",I1263,IF(N1263="","",F1263*N1263)),""))</f>
        <v/>
      </c>
      <c r="P1263" s="50">
        <f>IF(OR(D1263="",F1263=""),"",F1263*IF(OR(D1263="Reçu du magasin",D1263="Ajustement (+)"),1,-1))</f>
        <v/>
      </c>
      <c r="Q1263" s="34">
        <f>IF(C1263="","",YEAR(C1263-WEEKDAY(C1263,2)+4)&amp;"-S"&amp;TEXT(INT((C1263-DATE(YEAR(C1263-WEEKDAY(C1263,2)+4),1,3)+WEEKDAY(DATE(YEAR(C1263-WEEKDAY(C1263,2)+4),1,3),2)+5)/7),"00"))</f>
        <v/>
      </c>
    </row>
    <row r="1264" ht="18" customHeight="1">
      <c r="A1264" s="39" t="n">
        <v>1259</v>
      </c>
      <c r="B1264" s="33">
        <f>IF(C1264="","",IF(L1264="À RENSEIGNER","GIC",L1264)&amp;"-S"&amp;TEXT(A1264,"00000"))</f>
        <v/>
      </c>
      <c r="C1264" s="32" t="n"/>
      <c r="D1264" s="36" t="n"/>
      <c r="E1264" s="36" t="n"/>
      <c r="F1264" s="42" t="n"/>
      <c r="G1264" s="36" t="n"/>
      <c r="H1264" s="43" t="n"/>
      <c r="I1264" s="37" t="n"/>
      <c r="J1264" s="44" t="n"/>
      <c r="K1264" s="36" t="n"/>
      <c r="L1264" s="33">
        <f>IF(C1264="","",Commercial_Id)</f>
        <v/>
      </c>
      <c r="M1264" s="34">
        <f>IF(E1264="","",IFERROR(VLOOKUP(E1264,T_Produits,2,FALSE),""))</f>
        <v/>
      </c>
      <c r="N1264" s="40">
        <f>IF(E1264="","",IFERROR(1/(1/VLOOKUP(E1264,T_Produits,3,FALSE)),""))</f>
        <v/>
      </c>
      <c r="O1264" s="40">
        <f>IF(OR(D1264="",F1264=""),"",IF(OR(D1264="Casse / avarie",D1264="Perte / vol",D1264="Échantillon offert"),IF(I1264&lt;&gt;"",I1264,IF(N1264="","",F1264*N1264)),""))</f>
        <v/>
      </c>
      <c r="P1264" s="50">
        <f>IF(OR(D1264="",F1264=""),"",F1264*IF(OR(D1264="Reçu du magasin",D1264="Ajustement (+)"),1,-1))</f>
        <v/>
      </c>
      <c r="Q1264" s="34">
        <f>IF(C1264="","",YEAR(C1264-WEEKDAY(C1264,2)+4)&amp;"-S"&amp;TEXT(INT((C1264-DATE(YEAR(C1264-WEEKDAY(C1264,2)+4),1,3)+WEEKDAY(DATE(YEAR(C1264-WEEKDAY(C1264,2)+4),1,3),2)+5)/7),"00"))</f>
        <v/>
      </c>
    </row>
    <row r="1265" ht="18" customHeight="1">
      <c r="A1265" s="39" t="n">
        <v>1260</v>
      </c>
      <c r="B1265" s="33">
        <f>IF(C1265="","",IF(L1265="À RENSEIGNER","GIC",L1265)&amp;"-S"&amp;TEXT(A1265,"00000"))</f>
        <v/>
      </c>
      <c r="C1265" s="32" t="n"/>
      <c r="D1265" s="36" t="n"/>
      <c r="E1265" s="36" t="n"/>
      <c r="F1265" s="42" t="n"/>
      <c r="G1265" s="36" t="n"/>
      <c r="H1265" s="43" t="n"/>
      <c r="I1265" s="37" t="n"/>
      <c r="J1265" s="44" t="n"/>
      <c r="K1265" s="36" t="n"/>
      <c r="L1265" s="33">
        <f>IF(C1265="","",Commercial_Id)</f>
        <v/>
      </c>
      <c r="M1265" s="34">
        <f>IF(E1265="","",IFERROR(VLOOKUP(E1265,T_Produits,2,FALSE),""))</f>
        <v/>
      </c>
      <c r="N1265" s="40">
        <f>IF(E1265="","",IFERROR(1/(1/VLOOKUP(E1265,T_Produits,3,FALSE)),""))</f>
        <v/>
      </c>
      <c r="O1265" s="40">
        <f>IF(OR(D1265="",F1265=""),"",IF(OR(D1265="Casse / avarie",D1265="Perte / vol",D1265="Échantillon offert"),IF(I1265&lt;&gt;"",I1265,IF(N1265="","",F1265*N1265)),""))</f>
        <v/>
      </c>
      <c r="P1265" s="50">
        <f>IF(OR(D1265="",F1265=""),"",F1265*IF(OR(D1265="Reçu du magasin",D1265="Ajustement (+)"),1,-1))</f>
        <v/>
      </c>
      <c r="Q1265" s="34">
        <f>IF(C1265="","",YEAR(C1265-WEEKDAY(C1265,2)+4)&amp;"-S"&amp;TEXT(INT((C1265-DATE(YEAR(C1265-WEEKDAY(C1265,2)+4),1,3)+WEEKDAY(DATE(YEAR(C1265-WEEKDAY(C1265,2)+4),1,3),2)+5)/7),"00"))</f>
        <v/>
      </c>
    </row>
    <row r="1266" ht="18" customHeight="1">
      <c r="A1266" s="39" t="n">
        <v>1261</v>
      </c>
      <c r="B1266" s="33">
        <f>IF(C1266="","",IF(L1266="À RENSEIGNER","GIC",L1266)&amp;"-S"&amp;TEXT(A1266,"00000"))</f>
        <v/>
      </c>
      <c r="C1266" s="32" t="n"/>
      <c r="D1266" s="36" t="n"/>
      <c r="E1266" s="36" t="n"/>
      <c r="F1266" s="42" t="n"/>
      <c r="G1266" s="36" t="n"/>
      <c r="H1266" s="43" t="n"/>
      <c r="I1266" s="37" t="n"/>
      <c r="J1266" s="44" t="n"/>
      <c r="K1266" s="36" t="n"/>
      <c r="L1266" s="33">
        <f>IF(C1266="","",Commercial_Id)</f>
        <v/>
      </c>
      <c r="M1266" s="34">
        <f>IF(E1266="","",IFERROR(VLOOKUP(E1266,T_Produits,2,FALSE),""))</f>
        <v/>
      </c>
      <c r="N1266" s="40">
        <f>IF(E1266="","",IFERROR(1/(1/VLOOKUP(E1266,T_Produits,3,FALSE)),""))</f>
        <v/>
      </c>
      <c r="O1266" s="40">
        <f>IF(OR(D1266="",F1266=""),"",IF(OR(D1266="Casse / avarie",D1266="Perte / vol",D1266="Échantillon offert"),IF(I1266&lt;&gt;"",I1266,IF(N1266="","",F1266*N1266)),""))</f>
        <v/>
      </c>
      <c r="P1266" s="50">
        <f>IF(OR(D1266="",F1266=""),"",F1266*IF(OR(D1266="Reçu du magasin",D1266="Ajustement (+)"),1,-1))</f>
        <v/>
      </c>
      <c r="Q1266" s="34">
        <f>IF(C1266="","",YEAR(C1266-WEEKDAY(C1266,2)+4)&amp;"-S"&amp;TEXT(INT((C1266-DATE(YEAR(C1266-WEEKDAY(C1266,2)+4),1,3)+WEEKDAY(DATE(YEAR(C1266-WEEKDAY(C1266,2)+4),1,3),2)+5)/7),"00"))</f>
        <v/>
      </c>
    </row>
    <row r="1267" ht="18" customHeight="1">
      <c r="A1267" s="39" t="n">
        <v>1262</v>
      </c>
      <c r="B1267" s="33">
        <f>IF(C1267="","",IF(L1267="À RENSEIGNER","GIC",L1267)&amp;"-S"&amp;TEXT(A1267,"00000"))</f>
        <v/>
      </c>
      <c r="C1267" s="32" t="n"/>
      <c r="D1267" s="36" t="n"/>
      <c r="E1267" s="36" t="n"/>
      <c r="F1267" s="42" t="n"/>
      <c r="G1267" s="36" t="n"/>
      <c r="H1267" s="43" t="n"/>
      <c r="I1267" s="37" t="n"/>
      <c r="J1267" s="44" t="n"/>
      <c r="K1267" s="36" t="n"/>
      <c r="L1267" s="33">
        <f>IF(C1267="","",Commercial_Id)</f>
        <v/>
      </c>
      <c r="M1267" s="34">
        <f>IF(E1267="","",IFERROR(VLOOKUP(E1267,T_Produits,2,FALSE),""))</f>
        <v/>
      </c>
      <c r="N1267" s="40">
        <f>IF(E1267="","",IFERROR(1/(1/VLOOKUP(E1267,T_Produits,3,FALSE)),""))</f>
        <v/>
      </c>
      <c r="O1267" s="40">
        <f>IF(OR(D1267="",F1267=""),"",IF(OR(D1267="Casse / avarie",D1267="Perte / vol",D1267="Échantillon offert"),IF(I1267&lt;&gt;"",I1267,IF(N1267="","",F1267*N1267)),""))</f>
        <v/>
      </c>
      <c r="P1267" s="50">
        <f>IF(OR(D1267="",F1267=""),"",F1267*IF(OR(D1267="Reçu du magasin",D1267="Ajustement (+)"),1,-1))</f>
        <v/>
      </c>
      <c r="Q1267" s="34">
        <f>IF(C1267="","",YEAR(C1267-WEEKDAY(C1267,2)+4)&amp;"-S"&amp;TEXT(INT((C1267-DATE(YEAR(C1267-WEEKDAY(C1267,2)+4),1,3)+WEEKDAY(DATE(YEAR(C1267-WEEKDAY(C1267,2)+4),1,3),2)+5)/7),"00"))</f>
        <v/>
      </c>
    </row>
    <row r="1268" ht="18" customHeight="1">
      <c r="A1268" s="39" t="n">
        <v>1263</v>
      </c>
      <c r="B1268" s="33">
        <f>IF(C1268="","",IF(L1268="À RENSEIGNER","GIC",L1268)&amp;"-S"&amp;TEXT(A1268,"00000"))</f>
        <v/>
      </c>
      <c r="C1268" s="32" t="n"/>
      <c r="D1268" s="36" t="n"/>
      <c r="E1268" s="36" t="n"/>
      <c r="F1268" s="42" t="n"/>
      <c r="G1268" s="36" t="n"/>
      <c r="H1268" s="43" t="n"/>
      <c r="I1268" s="37" t="n"/>
      <c r="J1268" s="44" t="n"/>
      <c r="K1268" s="36" t="n"/>
      <c r="L1268" s="33">
        <f>IF(C1268="","",Commercial_Id)</f>
        <v/>
      </c>
      <c r="M1268" s="34">
        <f>IF(E1268="","",IFERROR(VLOOKUP(E1268,T_Produits,2,FALSE),""))</f>
        <v/>
      </c>
      <c r="N1268" s="40">
        <f>IF(E1268="","",IFERROR(1/(1/VLOOKUP(E1268,T_Produits,3,FALSE)),""))</f>
        <v/>
      </c>
      <c r="O1268" s="40">
        <f>IF(OR(D1268="",F1268=""),"",IF(OR(D1268="Casse / avarie",D1268="Perte / vol",D1268="Échantillon offert"),IF(I1268&lt;&gt;"",I1268,IF(N1268="","",F1268*N1268)),""))</f>
        <v/>
      </c>
      <c r="P1268" s="50">
        <f>IF(OR(D1268="",F1268=""),"",F1268*IF(OR(D1268="Reçu du magasin",D1268="Ajustement (+)"),1,-1))</f>
        <v/>
      </c>
      <c r="Q1268" s="34">
        <f>IF(C1268="","",YEAR(C1268-WEEKDAY(C1268,2)+4)&amp;"-S"&amp;TEXT(INT((C1268-DATE(YEAR(C1268-WEEKDAY(C1268,2)+4),1,3)+WEEKDAY(DATE(YEAR(C1268-WEEKDAY(C1268,2)+4),1,3),2)+5)/7),"00"))</f>
        <v/>
      </c>
    </row>
    <row r="1269" ht="18" customHeight="1">
      <c r="A1269" s="39" t="n">
        <v>1264</v>
      </c>
      <c r="B1269" s="33">
        <f>IF(C1269="","",IF(L1269="À RENSEIGNER","GIC",L1269)&amp;"-S"&amp;TEXT(A1269,"00000"))</f>
        <v/>
      </c>
      <c r="C1269" s="32" t="n"/>
      <c r="D1269" s="36" t="n"/>
      <c r="E1269" s="36" t="n"/>
      <c r="F1269" s="42" t="n"/>
      <c r="G1269" s="36" t="n"/>
      <c r="H1269" s="43" t="n"/>
      <c r="I1269" s="37" t="n"/>
      <c r="J1269" s="44" t="n"/>
      <c r="K1269" s="36" t="n"/>
      <c r="L1269" s="33">
        <f>IF(C1269="","",Commercial_Id)</f>
        <v/>
      </c>
      <c r="M1269" s="34">
        <f>IF(E1269="","",IFERROR(VLOOKUP(E1269,T_Produits,2,FALSE),""))</f>
        <v/>
      </c>
      <c r="N1269" s="40">
        <f>IF(E1269="","",IFERROR(1/(1/VLOOKUP(E1269,T_Produits,3,FALSE)),""))</f>
        <v/>
      </c>
      <c r="O1269" s="40">
        <f>IF(OR(D1269="",F1269=""),"",IF(OR(D1269="Casse / avarie",D1269="Perte / vol",D1269="Échantillon offert"),IF(I1269&lt;&gt;"",I1269,IF(N1269="","",F1269*N1269)),""))</f>
        <v/>
      </c>
      <c r="P1269" s="50">
        <f>IF(OR(D1269="",F1269=""),"",F1269*IF(OR(D1269="Reçu du magasin",D1269="Ajustement (+)"),1,-1))</f>
        <v/>
      </c>
      <c r="Q1269" s="34">
        <f>IF(C1269="","",YEAR(C1269-WEEKDAY(C1269,2)+4)&amp;"-S"&amp;TEXT(INT((C1269-DATE(YEAR(C1269-WEEKDAY(C1269,2)+4),1,3)+WEEKDAY(DATE(YEAR(C1269-WEEKDAY(C1269,2)+4),1,3),2)+5)/7),"00"))</f>
        <v/>
      </c>
    </row>
    <row r="1270" ht="18" customHeight="1">
      <c r="A1270" s="39" t="n">
        <v>1265</v>
      </c>
      <c r="B1270" s="33">
        <f>IF(C1270="","",IF(L1270="À RENSEIGNER","GIC",L1270)&amp;"-S"&amp;TEXT(A1270,"00000"))</f>
        <v/>
      </c>
      <c r="C1270" s="32" t="n"/>
      <c r="D1270" s="36" t="n"/>
      <c r="E1270" s="36" t="n"/>
      <c r="F1270" s="42" t="n"/>
      <c r="G1270" s="36" t="n"/>
      <c r="H1270" s="43" t="n"/>
      <c r="I1270" s="37" t="n"/>
      <c r="J1270" s="44" t="n"/>
      <c r="K1270" s="36" t="n"/>
      <c r="L1270" s="33">
        <f>IF(C1270="","",Commercial_Id)</f>
        <v/>
      </c>
      <c r="M1270" s="34">
        <f>IF(E1270="","",IFERROR(VLOOKUP(E1270,T_Produits,2,FALSE),""))</f>
        <v/>
      </c>
      <c r="N1270" s="40">
        <f>IF(E1270="","",IFERROR(1/(1/VLOOKUP(E1270,T_Produits,3,FALSE)),""))</f>
        <v/>
      </c>
      <c r="O1270" s="40">
        <f>IF(OR(D1270="",F1270=""),"",IF(OR(D1270="Casse / avarie",D1270="Perte / vol",D1270="Échantillon offert"),IF(I1270&lt;&gt;"",I1270,IF(N1270="","",F1270*N1270)),""))</f>
        <v/>
      </c>
      <c r="P1270" s="50">
        <f>IF(OR(D1270="",F1270=""),"",F1270*IF(OR(D1270="Reçu du magasin",D1270="Ajustement (+)"),1,-1))</f>
        <v/>
      </c>
      <c r="Q1270" s="34">
        <f>IF(C1270="","",YEAR(C1270-WEEKDAY(C1270,2)+4)&amp;"-S"&amp;TEXT(INT((C1270-DATE(YEAR(C1270-WEEKDAY(C1270,2)+4),1,3)+WEEKDAY(DATE(YEAR(C1270-WEEKDAY(C1270,2)+4),1,3),2)+5)/7),"00"))</f>
        <v/>
      </c>
    </row>
    <row r="1271" ht="18" customHeight="1">
      <c r="A1271" s="39" t="n">
        <v>1266</v>
      </c>
      <c r="B1271" s="33">
        <f>IF(C1271="","",IF(L1271="À RENSEIGNER","GIC",L1271)&amp;"-S"&amp;TEXT(A1271,"00000"))</f>
        <v/>
      </c>
      <c r="C1271" s="32" t="n"/>
      <c r="D1271" s="36" t="n"/>
      <c r="E1271" s="36" t="n"/>
      <c r="F1271" s="42" t="n"/>
      <c r="G1271" s="36" t="n"/>
      <c r="H1271" s="43" t="n"/>
      <c r="I1271" s="37" t="n"/>
      <c r="J1271" s="44" t="n"/>
      <c r="K1271" s="36" t="n"/>
      <c r="L1271" s="33">
        <f>IF(C1271="","",Commercial_Id)</f>
        <v/>
      </c>
      <c r="M1271" s="34">
        <f>IF(E1271="","",IFERROR(VLOOKUP(E1271,T_Produits,2,FALSE),""))</f>
        <v/>
      </c>
      <c r="N1271" s="40">
        <f>IF(E1271="","",IFERROR(1/(1/VLOOKUP(E1271,T_Produits,3,FALSE)),""))</f>
        <v/>
      </c>
      <c r="O1271" s="40">
        <f>IF(OR(D1271="",F1271=""),"",IF(OR(D1271="Casse / avarie",D1271="Perte / vol",D1271="Échantillon offert"),IF(I1271&lt;&gt;"",I1271,IF(N1271="","",F1271*N1271)),""))</f>
        <v/>
      </c>
      <c r="P1271" s="50">
        <f>IF(OR(D1271="",F1271=""),"",F1271*IF(OR(D1271="Reçu du magasin",D1271="Ajustement (+)"),1,-1))</f>
        <v/>
      </c>
      <c r="Q1271" s="34">
        <f>IF(C1271="","",YEAR(C1271-WEEKDAY(C1271,2)+4)&amp;"-S"&amp;TEXT(INT((C1271-DATE(YEAR(C1271-WEEKDAY(C1271,2)+4),1,3)+WEEKDAY(DATE(YEAR(C1271-WEEKDAY(C1271,2)+4),1,3),2)+5)/7),"00"))</f>
        <v/>
      </c>
    </row>
    <row r="1272" ht="18" customHeight="1">
      <c r="A1272" s="39" t="n">
        <v>1267</v>
      </c>
      <c r="B1272" s="33">
        <f>IF(C1272="","",IF(L1272="À RENSEIGNER","GIC",L1272)&amp;"-S"&amp;TEXT(A1272,"00000"))</f>
        <v/>
      </c>
      <c r="C1272" s="32" t="n"/>
      <c r="D1272" s="36" t="n"/>
      <c r="E1272" s="36" t="n"/>
      <c r="F1272" s="42" t="n"/>
      <c r="G1272" s="36" t="n"/>
      <c r="H1272" s="43" t="n"/>
      <c r="I1272" s="37" t="n"/>
      <c r="J1272" s="44" t="n"/>
      <c r="K1272" s="36" t="n"/>
      <c r="L1272" s="33">
        <f>IF(C1272="","",Commercial_Id)</f>
        <v/>
      </c>
      <c r="M1272" s="34">
        <f>IF(E1272="","",IFERROR(VLOOKUP(E1272,T_Produits,2,FALSE),""))</f>
        <v/>
      </c>
      <c r="N1272" s="40">
        <f>IF(E1272="","",IFERROR(1/(1/VLOOKUP(E1272,T_Produits,3,FALSE)),""))</f>
        <v/>
      </c>
      <c r="O1272" s="40">
        <f>IF(OR(D1272="",F1272=""),"",IF(OR(D1272="Casse / avarie",D1272="Perte / vol",D1272="Échantillon offert"),IF(I1272&lt;&gt;"",I1272,IF(N1272="","",F1272*N1272)),""))</f>
        <v/>
      </c>
      <c r="P1272" s="50">
        <f>IF(OR(D1272="",F1272=""),"",F1272*IF(OR(D1272="Reçu du magasin",D1272="Ajustement (+)"),1,-1))</f>
        <v/>
      </c>
      <c r="Q1272" s="34">
        <f>IF(C1272="","",YEAR(C1272-WEEKDAY(C1272,2)+4)&amp;"-S"&amp;TEXT(INT((C1272-DATE(YEAR(C1272-WEEKDAY(C1272,2)+4),1,3)+WEEKDAY(DATE(YEAR(C1272-WEEKDAY(C1272,2)+4),1,3),2)+5)/7),"00"))</f>
        <v/>
      </c>
    </row>
    <row r="1273" ht="18" customHeight="1">
      <c r="A1273" s="39" t="n">
        <v>1268</v>
      </c>
      <c r="B1273" s="33">
        <f>IF(C1273="","",IF(L1273="À RENSEIGNER","GIC",L1273)&amp;"-S"&amp;TEXT(A1273,"00000"))</f>
        <v/>
      </c>
      <c r="C1273" s="32" t="n"/>
      <c r="D1273" s="36" t="n"/>
      <c r="E1273" s="36" t="n"/>
      <c r="F1273" s="42" t="n"/>
      <c r="G1273" s="36" t="n"/>
      <c r="H1273" s="43" t="n"/>
      <c r="I1273" s="37" t="n"/>
      <c r="J1273" s="44" t="n"/>
      <c r="K1273" s="36" t="n"/>
      <c r="L1273" s="33">
        <f>IF(C1273="","",Commercial_Id)</f>
        <v/>
      </c>
      <c r="M1273" s="34">
        <f>IF(E1273="","",IFERROR(VLOOKUP(E1273,T_Produits,2,FALSE),""))</f>
        <v/>
      </c>
      <c r="N1273" s="40">
        <f>IF(E1273="","",IFERROR(1/(1/VLOOKUP(E1273,T_Produits,3,FALSE)),""))</f>
        <v/>
      </c>
      <c r="O1273" s="40">
        <f>IF(OR(D1273="",F1273=""),"",IF(OR(D1273="Casse / avarie",D1273="Perte / vol",D1273="Échantillon offert"),IF(I1273&lt;&gt;"",I1273,IF(N1273="","",F1273*N1273)),""))</f>
        <v/>
      </c>
      <c r="P1273" s="50">
        <f>IF(OR(D1273="",F1273=""),"",F1273*IF(OR(D1273="Reçu du magasin",D1273="Ajustement (+)"),1,-1))</f>
        <v/>
      </c>
      <c r="Q1273" s="34">
        <f>IF(C1273="","",YEAR(C1273-WEEKDAY(C1273,2)+4)&amp;"-S"&amp;TEXT(INT((C1273-DATE(YEAR(C1273-WEEKDAY(C1273,2)+4),1,3)+WEEKDAY(DATE(YEAR(C1273-WEEKDAY(C1273,2)+4),1,3),2)+5)/7),"00"))</f>
        <v/>
      </c>
    </row>
    <row r="1274" ht="18" customHeight="1">
      <c r="A1274" s="39" t="n">
        <v>1269</v>
      </c>
      <c r="B1274" s="33">
        <f>IF(C1274="","",IF(L1274="À RENSEIGNER","GIC",L1274)&amp;"-S"&amp;TEXT(A1274,"00000"))</f>
        <v/>
      </c>
      <c r="C1274" s="32" t="n"/>
      <c r="D1274" s="36" t="n"/>
      <c r="E1274" s="36" t="n"/>
      <c r="F1274" s="42" t="n"/>
      <c r="G1274" s="36" t="n"/>
      <c r="H1274" s="43" t="n"/>
      <c r="I1274" s="37" t="n"/>
      <c r="J1274" s="44" t="n"/>
      <c r="K1274" s="36" t="n"/>
      <c r="L1274" s="33">
        <f>IF(C1274="","",Commercial_Id)</f>
        <v/>
      </c>
      <c r="M1274" s="34">
        <f>IF(E1274="","",IFERROR(VLOOKUP(E1274,T_Produits,2,FALSE),""))</f>
        <v/>
      </c>
      <c r="N1274" s="40">
        <f>IF(E1274="","",IFERROR(1/(1/VLOOKUP(E1274,T_Produits,3,FALSE)),""))</f>
        <v/>
      </c>
      <c r="O1274" s="40">
        <f>IF(OR(D1274="",F1274=""),"",IF(OR(D1274="Casse / avarie",D1274="Perte / vol",D1274="Échantillon offert"),IF(I1274&lt;&gt;"",I1274,IF(N1274="","",F1274*N1274)),""))</f>
        <v/>
      </c>
      <c r="P1274" s="50">
        <f>IF(OR(D1274="",F1274=""),"",F1274*IF(OR(D1274="Reçu du magasin",D1274="Ajustement (+)"),1,-1))</f>
        <v/>
      </c>
      <c r="Q1274" s="34">
        <f>IF(C1274="","",YEAR(C1274-WEEKDAY(C1274,2)+4)&amp;"-S"&amp;TEXT(INT((C1274-DATE(YEAR(C1274-WEEKDAY(C1274,2)+4),1,3)+WEEKDAY(DATE(YEAR(C1274-WEEKDAY(C1274,2)+4),1,3),2)+5)/7),"00"))</f>
        <v/>
      </c>
    </row>
    <row r="1275" ht="18" customHeight="1">
      <c r="A1275" s="39" t="n">
        <v>1270</v>
      </c>
      <c r="B1275" s="33">
        <f>IF(C1275="","",IF(L1275="À RENSEIGNER","GIC",L1275)&amp;"-S"&amp;TEXT(A1275,"00000"))</f>
        <v/>
      </c>
      <c r="C1275" s="32" t="n"/>
      <c r="D1275" s="36" t="n"/>
      <c r="E1275" s="36" t="n"/>
      <c r="F1275" s="42" t="n"/>
      <c r="G1275" s="36" t="n"/>
      <c r="H1275" s="43" t="n"/>
      <c r="I1275" s="37" t="n"/>
      <c r="J1275" s="44" t="n"/>
      <c r="K1275" s="36" t="n"/>
      <c r="L1275" s="33">
        <f>IF(C1275="","",Commercial_Id)</f>
        <v/>
      </c>
      <c r="M1275" s="34">
        <f>IF(E1275="","",IFERROR(VLOOKUP(E1275,T_Produits,2,FALSE),""))</f>
        <v/>
      </c>
      <c r="N1275" s="40">
        <f>IF(E1275="","",IFERROR(1/(1/VLOOKUP(E1275,T_Produits,3,FALSE)),""))</f>
        <v/>
      </c>
      <c r="O1275" s="40">
        <f>IF(OR(D1275="",F1275=""),"",IF(OR(D1275="Casse / avarie",D1275="Perte / vol",D1275="Échantillon offert"),IF(I1275&lt;&gt;"",I1275,IF(N1275="","",F1275*N1275)),""))</f>
        <v/>
      </c>
      <c r="P1275" s="50">
        <f>IF(OR(D1275="",F1275=""),"",F1275*IF(OR(D1275="Reçu du magasin",D1275="Ajustement (+)"),1,-1))</f>
        <v/>
      </c>
      <c r="Q1275" s="34">
        <f>IF(C1275="","",YEAR(C1275-WEEKDAY(C1275,2)+4)&amp;"-S"&amp;TEXT(INT((C1275-DATE(YEAR(C1275-WEEKDAY(C1275,2)+4),1,3)+WEEKDAY(DATE(YEAR(C1275-WEEKDAY(C1275,2)+4),1,3),2)+5)/7),"00"))</f>
        <v/>
      </c>
    </row>
    <row r="1276" ht="18" customHeight="1">
      <c r="A1276" s="39" t="n">
        <v>1271</v>
      </c>
      <c r="B1276" s="33">
        <f>IF(C1276="","",IF(L1276="À RENSEIGNER","GIC",L1276)&amp;"-S"&amp;TEXT(A1276,"00000"))</f>
        <v/>
      </c>
      <c r="C1276" s="32" t="n"/>
      <c r="D1276" s="36" t="n"/>
      <c r="E1276" s="36" t="n"/>
      <c r="F1276" s="42" t="n"/>
      <c r="G1276" s="36" t="n"/>
      <c r="H1276" s="43" t="n"/>
      <c r="I1276" s="37" t="n"/>
      <c r="J1276" s="44" t="n"/>
      <c r="K1276" s="36" t="n"/>
      <c r="L1276" s="33">
        <f>IF(C1276="","",Commercial_Id)</f>
        <v/>
      </c>
      <c r="M1276" s="34">
        <f>IF(E1276="","",IFERROR(VLOOKUP(E1276,T_Produits,2,FALSE),""))</f>
        <v/>
      </c>
      <c r="N1276" s="40">
        <f>IF(E1276="","",IFERROR(1/(1/VLOOKUP(E1276,T_Produits,3,FALSE)),""))</f>
        <v/>
      </c>
      <c r="O1276" s="40">
        <f>IF(OR(D1276="",F1276=""),"",IF(OR(D1276="Casse / avarie",D1276="Perte / vol",D1276="Échantillon offert"),IF(I1276&lt;&gt;"",I1276,IF(N1276="","",F1276*N1276)),""))</f>
        <v/>
      </c>
      <c r="P1276" s="50">
        <f>IF(OR(D1276="",F1276=""),"",F1276*IF(OR(D1276="Reçu du magasin",D1276="Ajustement (+)"),1,-1))</f>
        <v/>
      </c>
      <c r="Q1276" s="34">
        <f>IF(C1276="","",YEAR(C1276-WEEKDAY(C1276,2)+4)&amp;"-S"&amp;TEXT(INT((C1276-DATE(YEAR(C1276-WEEKDAY(C1276,2)+4),1,3)+WEEKDAY(DATE(YEAR(C1276-WEEKDAY(C1276,2)+4),1,3),2)+5)/7),"00"))</f>
        <v/>
      </c>
    </row>
    <row r="1277" ht="18" customHeight="1">
      <c r="A1277" s="39" t="n">
        <v>1272</v>
      </c>
      <c r="B1277" s="33">
        <f>IF(C1277="","",IF(L1277="À RENSEIGNER","GIC",L1277)&amp;"-S"&amp;TEXT(A1277,"00000"))</f>
        <v/>
      </c>
      <c r="C1277" s="32" t="n"/>
      <c r="D1277" s="36" t="n"/>
      <c r="E1277" s="36" t="n"/>
      <c r="F1277" s="42" t="n"/>
      <c r="G1277" s="36" t="n"/>
      <c r="H1277" s="43" t="n"/>
      <c r="I1277" s="37" t="n"/>
      <c r="J1277" s="44" t="n"/>
      <c r="K1277" s="36" t="n"/>
      <c r="L1277" s="33">
        <f>IF(C1277="","",Commercial_Id)</f>
        <v/>
      </c>
      <c r="M1277" s="34">
        <f>IF(E1277="","",IFERROR(VLOOKUP(E1277,T_Produits,2,FALSE),""))</f>
        <v/>
      </c>
      <c r="N1277" s="40">
        <f>IF(E1277="","",IFERROR(1/(1/VLOOKUP(E1277,T_Produits,3,FALSE)),""))</f>
        <v/>
      </c>
      <c r="O1277" s="40">
        <f>IF(OR(D1277="",F1277=""),"",IF(OR(D1277="Casse / avarie",D1277="Perte / vol",D1277="Échantillon offert"),IF(I1277&lt;&gt;"",I1277,IF(N1277="","",F1277*N1277)),""))</f>
        <v/>
      </c>
      <c r="P1277" s="50">
        <f>IF(OR(D1277="",F1277=""),"",F1277*IF(OR(D1277="Reçu du magasin",D1277="Ajustement (+)"),1,-1))</f>
        <v/>
      </c>
      <c r="Q1277" s="34">
        <f>IF(C1277="","",YEAR(C1277-WEEKDAY(C1277,2)+4)&amp;"-S"&amp;TEXT(INT((C1277-DATE(YEAR(C1277-WEEKDAY(C1277,2)+4),1,3)+WEEKDAY(DATE(YEAR(C1277-WEEKDAY(C1277,2)+4),1,3),2)+5)/7),"00"))</f>
        <v/>
      </c>
    </row>
    <row r="1278" ht="18" customHeight="1">
      <c r="A1278" s="39" t="n">
        <v>1273</v>
      </c>
      <c r="B1278" s="33">
        <f>IF(C1278="","",IF(L1278="À RENSEIGNER","GIC",L1278)&amp;"-S"&amp;TEXT(A1278,"00000"))</f>
        <v/>
      </c>
      <c r="C1278" s="32" t="n"/>
      <c r="D1278" s="36" t="n"/>
      <c r="E1278" s="36" t="n"/>
      <c r="F1278" s="42" t="n"/>
      <c r="G1278" s="36" t="n"/>
      <c r="H1278" s="43" t="n"/>
      <c r="I1278" s="37" t="n"/>
      <c r="J1278" s="44" t="n"/>
      <c r="K1278" s="36" t="n"/>
      <c r="L1278" s="33">
        <f>IF(C1278="","",Commercial_Id)</f>
        <v/>
      </c>
      <c r="M1278" s="34">
        <f>IF(E1278="","",IFERROR(VLOOKUP(E1278,T_Produits,2,FALSE),""))</f>
        <v/>
      </c>
      <c r="N1278" s="40">
        <f>IF(E1278="","",IFERROR(1/(1/VLOOKUP(E1278,T_Produits,3,FALSE)),""))</f>
        <v/>
      </c>
      <c r="O1278" s="40">
        <f>IF(OR(D1278="",F1278=""),"",IF(OR(D1278="Casse / avarie",D1278="Perte / vol",D1278="Échantillon offert"),IF(I1278&lt;&gt;"",I1278,IF(N1278="","",F1278*N1278)),""))</f>
        <v/>
      </c>
      <c r="P1278" s="50">
        <f>IF(OR(D1278="",F1278=""),"",F1278*IF(OR(D1278="Reçu du magasin",D1278="Ajustement (+)"),1,-1))</f>
        <v/>
      </c>
      <c r="Q1278" s="34">
        <f>IF(C1278="","",YEAR(C1278-WEEKDAY(C1278,2)+4)&amp;"-S"&amp;TEXT(INT((C1278-DATE(YEAR(C1278-WEEKDAY(C1278,2)+4),1,3)+WEEKDAY(DATE(YEAR(C1278-WEEKDAY(C1278,2)+4),1,3),2)+5)/7),"00"))</f>
        <v/>
      </c>
    </row>
    <row r="1279" ht="18" customHeight="1">
      <c r="A1279" s="39" t="n">
        <v>1274</v>
      </c>
      <c r="B1279" s="33">
        <f>IF(C1279="","",IF(L1279="À RENSEIGNER","GIC",L1279)&amp;"-S"&amp;TEXT(A1279,"00000"))</f>
        <v/>
      </c>
      <c r="C1279" s="32" t="n"/>
      <c r="D1279" s="36" t="n"/>
      <c r="E1279" s="36" t="n"/>
      <c r="F1279" s="42" t="n"/>
      <c r="G1279" s="36" t="n"/>
      <c r="H1279" s="43" t="n"/>
      <c r="I1279" s="37" t="n"/>
      <c r="J1279" s="44" t="n"/>
      <c r="K1279" s="36" t="n"/>
      <c r="L1279" s="33">
        <f>IF(C1279="","",Commercial_Id)</f>
        <v/>
      </c>
      <c r="M1279" s="34">
        <f>IF(E1279="","",IFERROR(VLOOKUP(E1279,T_Produits,2,FALSE),""))</f>
        <v/>
      </c>
      <c r="N1279" s="40">
        <f>IF(E1279="","",IFERROR(1/(1/VLOOKUP(E1279,T_Produits,3,FALSE)),""))</f>
        <v/>
      </c>
      <c r="O1279" s="40">
        <f>IF(OR(D1279="",F1279=""),"",IF(OR(D1279="Casse / avarie",D1279="Perte / vol",D1279="Échantillon offert"),IF(I1279&lt;&gt;"",I1279,IF(N1279="","",F1279*N1279)),""))</f>
        <v/>
      </c>
      <c r="P1279" s="50">
        <f>IF(OR(D1279="",F1279=""),"",F1279*IF(OR(D1279="Reçu du magasin",D1279="Ajustement (+)"),1,-1))</f>
        <v/>
      </c>
      <c r="Q1279" s="34">
        <f>IF(C1279="","",YEAR(C1279-WEEKDAY(C1279,2)+4)&amp;"-S"&amp;TEXT(INT((C1279-DATE(YEAR(C1279-WEEKDAY(C1279,2)+4),1,3)+WEEKDAY(DATE(YEAR(C1279-WEEKDAY(C1279,2)+4),1,3),2)+5)/7),"00"))</f>
        <v/>
      </c>
    </row>
    <row r="1280" ht="18" customHeight="1">
      <c r="A1280" s="39" t="n">
        <v>1275</v>
      </c>
      <c r="B1280" s="33">
        <f>IF(C1280="","",IF(L1280="À RENSEIGNER","GIC",L1280)&amp;"-S"&amp;TEXT(A1280,"00000"))</f>
        <v/>
      </c>
      <c r="C1280" s="32" t="n"/>
      <c r="D1280" s="36" t="n"/>
      <c r="E1280" s="36" t="n"/>
      <c r="F1280" s="42" t="n"/>
      <c r="G1280" s="36" t="n"/>
      <c r="H1280" s="43" t="n"/>
      <c r="I1280" s="37" t="n"/>
      <c r="J1280" s="44" t="n"/>
      <c r="K1280" s="36" t="n"/>
      <c r="L1280" s="33">
        <f>IF(C1280="","",Commercial_Id)</f>
        <v/>
      </c>
      <c r="M1280" s="34">
        <f>IF(E1280="","",IFERROR(VLOOKUP(E1280,T_Produits,2,FALSE),""))</f>
        <v/>
      </c>
      <c r="N1280" s="40">
        <f>IF(E1280="","",IFERROR(1/(1/VLOOKUP(E1280,T_Produits,3,FALSE)),""))</f>
        <v/>
      </c>
      <c r="O1280" s="40">
        <f>IF(OR(D1280="",F1280=""),"",IF(OR(D1280="Casse / avarie",D1280="Perte / vol",D1280="Échantillon offert"),IF(I1280&lt;&gt;"",I1280,IF(N1280="","",F1280*N1280)),""))</f>
        <v/>
      </c>
      <c r="P1280" s="50">
        <f>IF(OR(D1280="",F1280=""),"",F1280*IF(OR(D1280="Reçu du magasin",D1280="Ajustement (+)"),1,-1))</f>
        <v/>
      </c>
      <c r="Q1280" s="34">
        <f>IF(C1280="","",YEAR(C1280-WEEKDAY(C1280,2)+4)&amp;"-S"&amp;TEXT(INT((C1280-DATE(YEAR(C1280-WEEKDAY(C1280,2)+4),1,3)+WEEKDAY(DATE(YEAR(C1280-WEEKDAY(C1280,2)+4),1,3),2)+5)/7),"00"))</f>
        <v/>
      </c>
    </row>
    <row r="1281" ht="18" customHeight="1">
      <c r="A1281" s="39" t="n">
        <v>1276</v>
      </c>
      <c r="B1281" s="33">
        <f>IF(C1281="","",IF(L1281="À RENSEIGNER","GIC",L1281)&amp;"-S"&amp;TEXT(A1281,"00000"))</f>
        <v/>
      </c>
      <c r="C1281" s="32" t="n"/>
      <c r="D1281" s="36" t="n"/>
      <c r="E1281" s="36" t="n"/>
      <c r="F1281" s="42" t="n"/>
      <c r="G1281" s="36" t="n"/>
      <c r="H1281" s="43" t="n"/>
      <c r="I1281" s="37" t="n"/>
      <c r="J1281" s="44" t="n"/>
      <c r="K1281" s="36" t="n"/>
      <c r="L1281" s="33">
        <f>IF(C1281="","",Commercial_Id)</f>
        <v/>
      </c>
      <c r="M1281" s="34">
        <f>IF(E1281="","",IFERROR(VLOOKUP(E1281,T_Produits,2,FALSE),""))</f>
        <v/>
      </c>
      <c r="N1281" s="40">
        <f>IF(E1281="","",IFERROR(1/(1/VLOOKUP(E1281,T_Produits,3,FALSE)),""))</f>
        <v/>
      </c>
      <c r="O1281" s="40">
        <f>IF(OR(D1281="",F1281=""),"",IF(OR(D1281="Casse / avarie",D1281="Perte / vol",D1281="Échantillon offert"),IF(I1281&lt;&gt;"",I1281,IF(N1281="","",F1281*N1281)),""))</f>
        <v/>
      </c>
      <c r="P1281" s="50">
        <f>IF(OR(D1281="",F1281=""),"",F1281*IF(OR(D1281="Reçu du magasin",D1281="Ajustement (+)"),1,-1))</f>
        <v/>
      </c>
      <c r="Q1281" s="34">
        <f>IF(C1281="","",YEAR(C1281-WEEKDAY(C1281,2)+4)&amp;"-S"&amp;TEXT(INT((C1281-DATE(YEAR(C1281-WEEKDAY(C1281,2)+4),1,3)+WEEKDAY(DATE(YEAR(C1281-WEEKDAY(C1281,2)+4),1,3),2)+5)/7),"00"))</f>
        <v/>
      </c>
    </row>
    <row r="1282" ht="18" customHeight="1">
      <c r="A1282" s="39" t="n">
        <v>1277</v>
      </c>
      <c r="B1282" s="33">
        <f>IF(C1282="","",IF(L1282="À RENSEIGNER","GIC",L1282)&amp;"-S"&amp;TEXT(A1282,"00000"))</f>
        <v/>
      </c>
      <c r="C1282" s="32" t="n"/>
      <c r="D1282" s="36" t="n"/>
      <c r="E1282" s="36" t="n"/>
      <c r="F1282" s="42" t="n"/>
      <c r="G1282" s="36" t="n"/>
      <c r="H1282" s="43" t="n"/>
      <c r="I1282" s="37" t="n"/>
      <c r="J1282" s="44" t="n"/>
      <c r="K1282" s="36" t="n"/>
      <c r="L1282" s="33">
        <f>IF(C1282="","",Commercial_Id)</f>
        <v/>
      </c>
      <c r="M1282" s="34">
        <f>IF(E1282="","",IFERROR(VLOOKUP(E1282,T_Produits,2,FALSE),""))</f>
        <v/>
      </c>
      <c r="N1282" s="40">
        <f>IF(E1282="","",IFERROR(1/(1/VLOOKUP(E1282,T_Produits,3,FALSE)),""))</f>
        <v/>
      </c>
      <c r="O1282" s="40">
        <f>IF(OR(D1282="",F1282=""),"",IF(OR(D1282="Casse / avarie",D1282="Perte / vol",D1282="Échantillon offert"),IF(I1282&lt;&gt;"",I1282,IF(N1282="","",F1282*N1282)),""))</f>
        <v/>
      </c>
      <c r="P1282" s="50">
        <f>IF(OR(D1282="",F1282=""),"",F1282*IF(OR(D1282="Reçu du magasin",D1282="Ajustement (+)"),1,-1))</f>
        <v/>
      </c>
      <c r="Q1282" s="34">
        <f>IF(C1282="","",YEAR(C1282-WEEKDAY(C1282,2)+4)&amp;"-S"&amp;TEXT(INT((C1282-DATE(YEAR(C1282-WEEKDAY(C1282,2)+4),1,3)+WEEKDAY(DATE(YEAR(C1282-WEEKDAY(C1282,2)+4),1,3),2)+5)/7),"00"))</f>
        <v/>
      </c>
    </row>
    <row r="1283" ht="18" customHeight="1">
      <c r="A1283" s="39" t="n">
        <v>1278</v>
      </c>
      <c r="B1283" s="33">
        <f>IF(C1283="","",IF(L1283="À RENSEIGNER","GIC",L1283)&amp;"-S"&amp;TEXT(A1283,"00000"))</f>
        <v/>
      </c>
      <c r="C1283" s="32" t="n"/>
      <c r="D1283" s="36" t="n"/>
      <c r="E1283" s="36" t="n"/>
      <c r="F1283" s="42" t="n"/>
      <c r="G1283" s="36" t="n"/>
      <c r="H1283" s="43" t="n"/>
      <c r="I1283" s="37" t="n"/>
      <c r="J1283" s="44" t="n"/>
      <c r="K1283" s="36" t="n"/>
      <c r="L1283" s="33">
        <f>IF(C1283="","",Commercial_Id)</f>
        <v/>
      </c>
      <c r="M1283" s="34">
        <f>IF(E1283="","",IFERROR(VLOOKUP(E1283,T_Produits,2,FALSE),""))</f>
        <v/>
      </c>
      <c r="N1283" s="40">
        <f>IF(E1283="","",IFERROR(1/(1/VLOOKUP(E1283,T_Produits,3,FALSE)),""))</f>
        <v/>
      </c>
      <c r="O1283" s="40">
        <f>IF(OR(D1283="",F1283=""),"",IF(OR(D1283="Casse / avarie",D1283="Perte / vol",D1283="Échantillon offert"),IF(I1283&lt;&gt;"",I1283,IF(N1283="","",F1283*N1283)),""))</f>
        <v/>
      </c>
      <c r="P1283" s="50">
        <f>IF(OR(D1283="",F1283=""),"",F1283*IF(OR(D1283="Reçu du magasin",D1283="Ajustement (+)"),1,-1))</f>
        <v/>
      </c>
      <c r="Q1283" s="34">
        <f>IF(C1283="","",YEAR(C1283-WEEKDAY(C1283,2)+4)&amp;"-S"&amp;TEXT(INT((C1283-DATE(YEAR(C1283-WEEKDAY(C1283,2)+4),1,3)+WEEKDAY(DATE(YEAR(C1283-WEEKDAY(C1283,2)+4),1,3),2)+5)/7),"00"))</f>
        <v/>
      </c>
    </row>
    <row r="1284" ht="18" customHeight="1">
      <c r="A1284" s="39" t="n">
        <v>1279</v>
      </c>
      <c r="B1284" s="33">
        <f>IF(C1284="","",IF(L1284="À RENSEIGNER","GIC",L1284)&amp;"-S"&amp;TEXT(A1284,"00000"))</f>
        <v/>
      </c>
      <c r="C1284" s="32" t="n"/>
      <c r="D1284" s="36" t="n"/>
      <c r="E1284" s="36" t="n"/>
      <c r="F1284" s="42" t="n"/>
      <c r="G1284" s="36" t="n"/>
      <c r="H1284" s="43" t="n"/>
      <c r="I1284" s="37" t="n"/>
      <c r="J1284" s="44" t="n"/>
      <c r="K1284" s="36" t="n"/>
      <c r="L1284" s="33">
        <f>IF(C1284="","",Commercial_Id)</f>
        <v/>
      </c>
      <c r="M1284" s="34">
        <f>IF(E1284="","",IFERROR(VLOOKUP(E1284,T_Produits,2,FALSE),""))</f>
        <v/>
      </c>
      <c r="N1284" s="40">
        <f>IF(E1284="","",IFERROR(1/(1/VLOOKUP(E1284,T_Produits,3,FALSE)),""))</f>
        <v/>
      </c>
      <c r="O1284" s="40">
        <f>IF(OR(D1284="",F1284=""),"",IF(OR(D1284="Casse / avarie",D1284="Perte / vol",D1284="Échantillon offert"),IF(I1284&lt;&gt;"",I1284,IF(N1284="","",F1284*N1284)),""))</f>
        <v/>
      </c>
      <c r="P1284" s="50">
        <f>IF(OR(D1284="",F1284=""),"",F1284*IF(OR(D1284="Reçu du magasin",D1284="Ajustement (+)"),1,-1))</f>
        <v/>
      </c>
      <c r="Q1284" s="34">
        <f>IF(C1284="","",YEAR(C1284-WEEKDAY(C1284,2)+4)&amp;"-S"&amp;TEXT(INT((C1284-DATE(YEAR(C1284-WEEKDAY(C1284,2)+4),1,3)+WEEKDAY(DATE(YEAR(C1284-WEEKDAY(C1284,2)+4),1,3),2)+5)/7),"00"))</f>
        <v/>
      </c>
    </row>
    <row r="1285" ht="18" customHeight="1">
      <c r="A1285" s="39" t="n">
        <v>1280</v>
      </c>
      <c r="B1285" s="33">
        <f>IF(C1285="","",IF(L1285="À RENSEIGNER","GIC",L1285)&amp;"-S"&amp;TEXT(A1285,"00000"))</f>
        <v/>
      </c>
      <c r="C1285" s="32" t="n"/>
      <c r="D1285" s="36" t="n"/>
      <c r="E1285" s="36" t="n"/>
      <c r="F1285" s="42" t="n"/>
      <c r="G1285" s="36" t="n"/>
      <c r="H1285" s="43" t="n"/>
      <c r="I1285" s="37" t="n"/>
      <c r="J1285" s="44" t="n"/>
      <c r="K1285" s="36" t="n"/>
      <c r="L1285" s="33">
        <f>IF(C1285="","",Commercial_Id)</f>
        <v/>
      </c>
      <c r="M1285" s="34">
        <f>IF(E1285="","",IFERROR(VLOOKUP(E1285,T_Produits,2,FALSE),""))</f>
        <v/>
      </c>
      <c r="N1285" s="40">
        <f>IF(E1285="","",IFERROR(1/(1/VLOOKUP(E1285,T_Produits,3,FALSE)),""))</f>
        <v/>
      </c>
      <c r="O1285" s="40">
        <f>IF(OR(D1285="",F1285=""),"",IF(OR(D1285="Casse / avarie",D1285="Perte / vol",D1285="Échantillon offert"),IF(I1285&lt;&gt;"",I1285,IF(N1285="","",F1285*N1285)),""))</f>
        <v/>
      </c>
      <c r="P1285" s="50">
        <f>IF(OR(D1285="",F1285=""),"",F1285*IF(OR(D1285="Reçu du magasin",D1285="Ajustement (+)"),1,-1))</f>
        <v/>
      </c>
      <c r="Q1285" s="34">
        <f>IF(C1285="","",YEAR(C1285-WEEKDAY(C1285,2)+4)&amp;"-S"&amp;TEXT(INT((C1285-DATE(YEAR(C1285-WEEKDAY(C1285,2)+4),1,3)+WEEKDAY(DATE(YEAR(C1285-WEEKDAY(C1285,2)+4),1,3),2)+5)/7),"00"))</f>
        <v/>
      </c>
    </row>
    <row r="1286" ht="18" customHeight="1">
      <c r="A1286" s="39" t="n">
        <v>1281</v>
      </c>
      <c r="B1286" s="33">
        <f>IF(C1286="","",IF(L1286="À RENSEIGNER","GIC",L1286)&amp;"-S"&amp;TEXT(A1286,"00000"))</f>
        <v/>
      </c>
      <c r="C1286" s="32" t="n"/>
      <c r="D1286" s="36" t="n"/>
      <c r="E1286" s="36" t="n"/>
      <c r="F1286" s="42" t="n"/>
      <c r="G1286" s="36" t="n"/>
      <c r="H1286" s="43" t="n"/>
      <c r="I1286" s="37" t="n"/>
      <c r="J1286" s="44" t="n"/>
      <c r="K1286" s="36" t="n"/>
      <c r="L1286" s="33">
        <f>IF(C1286="","",Commercial_Id)</f>
        <v/>
      </c>
      <c r="M1286" s="34">
        <f>IF(E1286="","",IFERROR(VLOOKUP(E1286,T_Produits,2,FALSE),""))</f>
        <v/>
      </c>
      <c r="N1286" s="40">
        <f>IF(E1286="","",IFERROR(1/(1/VLOOKUP(E1286,T_Produits,3,FALSE)),""))</f>
        <v/>
      </c>
      <c r="O1286" s="40">
        <f>IF(OR(D1286="",F1286=""),"",IF(OR(D1286="Casse / avarie",D1286="Perte / vol",D1286="Échantillon offert"),IF(I1286&lt;&gt;"",I1286,IF(N1286="","",F1286*N1286)),""))</f>
        <v/>
      </c>
      <c r="P1286" s="50">
        <f>IF(OR(D1286="",F1286=""),"",F1286*IF(OR(D1286="Reçu du magasin",D1286="Ajustement (+)"),1,-1))</f>
        <v/>
      </c>
      <c r="Q1286" s="34">
        <f>IF(C1286="","",YEAR(C1286-WEEKDAY(C1286,2)+4)&amp;"-S"&amp;TEXT(INT((C1286-DATE(YEAR(C1286-WEEKDAY(C1286,2)+4),1,3)+WEEKDAY(DATE(YEAR(C1286-WEEKDAY(C1286,2)+4),1,3),2)+5)/7),"00"))</f>
        <v/>
      </c>
    </row>
    <row r="1287" ht="18" customHeight="1">
      <c r="A1287" s="39" t="n">
        <v>1282</v>
      </c>
      <c r="B1287" s="33">
        <f>IF(C1287="","",IF(L1287="À RENSEIGNER","GIC",L1287)&amp;"-S"&amp;TEXT(A1287,"00000"))</f>
        <v/>
      </c>
      <c r="C1287" s="32" t="n"/>
      <c r="D1287" s="36" t="n"/>
      <c r="E1287" s="36" t="n"/>
      <c r="F1287" s="42" t="n"/>
      <c r="G1287" s="36" t="n"/>
      <c r="H1287" s="43" t="n"/>
      <c r="I1287" s="37" t="n"/>
      <c r="J1287" s="44" t="n"/>
      <c r="K1287" s="36" t="n"/>
      <c r="L1287" s="33">
        <f>IF(C1287="","",Commercial_Id)</f>
        <v/>
      </c>
      <c r="M1287" s="34">
        <f>IF(E1287="","",IFERROR(VLOOKUP(E1287,T_Produits,2,FALSE),""))</f>
        <v/>
      </c>
      <c r="N1287" s="40">
        <f>IF(E1287="","",IFERROR(1/(1/VLOOKUP(E1287,T_Produits,3,FALSE)),""))</f>
        <v/>
      </c>
      <c r="O1287" s="40">
        <f>IF(OR(D1287="",F1287=""),"",IF(OR(D1287="Casse / avarie",D1287="Perte / vol",D1287="Échantillon offert"),IF(I1287&lt;&gt;"",I1287,IF(N1287="","",F1287*N1287)),""))</f>
        <v/>
      </c>
      <c r="P1287" s="50">
        <f>IF(OR(D1287="",F1287=""),"",F1287*IF(OR(D1287="Reçu du magasin",D1287="Ajustement (+)"),1,-1))</f>
        <v/>
      </c>
      <c r="Q1287" s="34">
        <f>IF(C1287="","",YEAR(C1287-WEEKDAY(C1287,2)+4)&amp;"-S"&amp;TEXT(INT((C1287-DATE(YEAR(C1287-WEEKDAY(C1287,2)+4),1,3)+WEEKDAY(DATE(YEAR(C1287-WEEKDAY(C1287,2)+4),1,3),2)+5)/7),"00"))</f>
        <v/>
      </c>
    </row>
    <row r="1288" ht="18" customHeight="1">
      <c r="A1288" s="39" t="n">
        <v>1283</v>
      </c>
      <c r="B1288" s="33">
        <f>IF(C1288="","",IF(L1288="À RENSEIGNER","GIC",L1288)&amp;"-S"&amp;TEXT(A1288,"00000"))</f>
        <v/>
      </c>
      <c r="C1288" s="32" t="n"/>
      <c r="D1288" s="36" t="n"/>
      <c r="E1288" s="36" t="n"/>
      <c r="F1288" s="42" t="n"/>
      <c r="G1288" s="36" t="n"/>
      <c r="H1288" s="43" t="n"/>
      <c r="I1288" s="37" t="n"/>
      <c r="J1288" s="44" t="n"/>
      <c r="K1288" s="36" t="n"/>
      <c r="L1288" s="33">
        <f>IF(C1288="","",Commercial_Id)</f>
        <v/>
      </c>
      <c r="M1288" s="34">
        <f>IF(E1288="","",IFERROR(VLOOKUP(E1288,T_Produits,2,FALSE),""))</f>
        <v/>
      </c>
      <c r="N1288" s="40">
        <f>IF(E1288="","",IFERROR(1/(1/VLOOKUP(E1288,T_Produits,3,FALSE)),""))</f>
        <v/>
      </c>
      <c r="O1288" s="40">
        <f>IF(OR(D1288="",F1288=""),"",IF(OR(D1288="Casse / avarie",D1288="Perte / vol",D1288="Échantillon offert"),IF(I1288&lt;&gt;"",I1288,IF(N1288="","",F1288*N1288)),""))</f>
        <v/>
      </c>
      <c r="P1288" s="50">
        <f>IF(OR(D1288="",F1288=""),"",F1288*IF(OR(D1288="Reçu du magasin",D1288="Ajustement (+)"),1,-1))</f>
        <v/>
      </c>
      <c r="Q1288" s="34">
        <f>IF(C1288="","",YEAR(C1288-WEEKDAY(C1288,2)+4)&amp;"-S"&amp;TEXT(INT((C1288-DATE(YEAR(C1288-WEEKDAY(C1288,2)+4),1,3)+WEEKDAY(DATE(YEAR(C1288-WEEKDAY(C1288,2)+4),1,3),2)+5)/7),"00"))</f>
        <v/>
      </c>
    </row>
    <row r="1289" ht="18" customHeight="1">
      <c r="A1289" s="39" t="n">
        <v>1284</v>
      </c>
      <c r="B1289" s="33">
        <f>IF(C1289="","",IF(L1289="À RENSEIGNER","GIC",L1289)&amp;"-S"&amp;TEXT(A1289,"00000"))</f>
        <v/>
      </c>
      <c r="C1289" s="32" t="n"/>
      <c r="D1289" s="36" t="n"/>
      <c r="E1289" s="36" t="n"/>
      <c r="F1289" s="42" t="n"/>
      <c r="G1289" s="36" t="n"/>
      <c r="H1289" s="43" t="n"/>
      <c r="I1289" s="37" t="n"/>
      <c r="J1289" s="44" t="n"/>
      <c r="K1289" s="36" t="n"/>
      <c r="L1289" s="33">
        <f>IF(C1289="","",Commercial_Id)</f>
        <v/>
      </c>
      <c r="M1289" s="34">
        <f>IF(E1289="","",IFERROR(VLOOKUP(E1289,T_Produits,2,FALSE),""))</f>
        <v/>
      </c>
      <c r="N1289" s="40">
        <f>IF(E1289="","",IFERROR(1/(1/VLOOKUP(E1289,T_Produits,3,FALSE)),""))</f>
        <v/>
      </c>
      <c r="O1289" s="40">
        <f>IF(OR(D1289="",F1289=""),"",IF(OR(D1289="Casse / avarie",D1289="Perte / vol",D1289="Échantillon offert"),IF(I1289&lt;&gt;"",I1289,IF(N1289="","",F1289*N1289)),""))</f>
        <v/>
      </c>
      <c r="P1289" s="50">
        <f>IF(OR(D1289="",F1289=""),"",F1289*IF(OR(D1289="Reçu du magasin",D1289="Ajustement (+)"),1,-1))</f>
        <v/>
      </c>
      <c r="Q1289" s="34">
        <f>IF(C1289="","",YEAR(C1289-WEEKDAY(C1289,2)+4)&amp;"-S"&amp;TEXT(INT((C1289-DATE(YEAR(C1289-WEEKDAY(C1289,2)+4),1,3)+WEEKDAY(DATE(YEAR(C1289-WEEKDAY(C1289,2)+4),1,3),2)+5)/7),"00"))</f>
        <v/>
      </c>
    </row>
    <row r="1290" ht="18" customHeight="1">
      <c r="A1290" s="39" t="n">
        <v>1285</v>
      </c>
      <c r="B1290" s="33">
        <f>IF(C1290="","",IF(L1290="À RENSEIGNER","GIC",L1290)&amp;"-S"&amp;TEXT(A1290,"00000"))</f>
        <v/>
      </c>
      <c r="C1290" s="32" t="n"/>
      <c r="D1290" s="36" t="n"/>
      <c r="E1290" s="36" t="n"/>
      <c r="F1290" s="42" t="n"/>
      <c r="G1290" s="36" t="n"/>
      <c r="H1290" s="43" t="n"/>
      <c r="I1290" s="37" t="n"/>
      <c r="J1290" s="44" t="n"/>
      <c r="K1290" s="36" t="n"/>
      <c r="L1290" s="33">
        <f>IF(C1290="","",Commercial_Id)</f>
        <v/>
      </c>
      <c r="M1290" s="34">
        <f>IF(E1290="","",IFERROR(VLOOKUP(E1290,T_Produits,2,FALSE),""))</f>
        <v/>
      </c>
      <c r="N1290" s="40">
        <f>IF(E1290="","",IFERROR(1/(1/VLOOKUP(E1290,T_Produits,3,FALSE)),""))</f>
        <v/>
      </c>
      <c r="O1290" s="40">
        <f>IF(OR(D1290="",F1290=""),"",IF(OR(D1290="Casse / avarie",D1290="Perte / vol",D1290="Échantillon offert"),IF(I1290&lt;&gt;"",I1290,IF(N1290="","",F1290*N1290)),""))</f>
        <v/>
      </c>
      <c r="P1290" s="50">
        <f>IF(OR(D1290="",F1290=""),"",F1290*IF(OR(D1290="Reçu du magasin",D1290="Ajustement (+)"),1,-1))</f>
        <v/>
      </c>
      <c r="Q1290" s="34">
        <f>IF(C1290="","",YEAR(C1290-WEEKDAY(C1290,2)+4)&amp;"-S"&amp;TEXT(INT((C1290-DATE(YEAR(C1290-WEEKDAY(C1290,2)+4),1,3)+WEEKDAY(DATE(YEAR(C1290-WEEKDAY(C1290,2)+4),1,3),2)+5)/7),"00"))</f>
        <v/>
      </c>
    </row>
    <row r="1291" ht="18" customHeight="1">
      <c r="A1291" s="39" t="n">
        <v>1286</v>
      </c>
      <c r="B1291" s="33">
        <f>IF(C1291="","",IF(L1291="À RENSEIGNER","GIC",L1291)&amp;"-S"&amp;TEXT(A1291,"00000"))</f>
        <v/>
      </c>
      <c r="C1291" s="32" t="n"/>
      <c r="D1291" s="36" t="n"/>
      <c r="E1291" s="36" t="n"/>
      <c r="F1291" s="42" t="n"/>
      <c r="G1291" s="36" t="n"/>
      <c r="H1291" s="43" t="n"/>
      <c r="I1291" s="37" t="n"/>
      <c r="J1291" s="44" t="n"/>
      <c r="K1291" s="36" t="n"/>
      <c r="L1291" s="33">
        <f>IF(C1291="","",Commercial_Id)</f>
        <v/>
      </c>
      <c r="M1291" s="34">
        <f>IF(E1291="","",IFERROR(VLOOKUP(E1291,T_Produits,2,FALSE),""))</f>
        <v/>
      </c>
      <c r="N1291" s="40">
        <f>IF(E1291="","",IFERROR(1/(1/VLOOKUP(E1291,T_Produits,3,FALSE)),""))</f>
        <v/>
      </c>
      <c r="O1291" s="40">
        <f>IF(OR(D1291="",F1291=""),"",IF(OR(D1291="Casse / avarie",D1291="Perte / vol",D1291="Échantillon offert"),IF(I1291&lt;&gt;"",I1291,IF(N1291="","",F1291*N1291)),""))</f>
        <v/>
      </c>
      <c r="P1291" s="50">
        <f>IF(OR(D1291="",F1291=""),"",F1291*IF(OR(D1291="Reçu du magasin",D1291="Ajustement (+)"),1,-1))</f>
        <v/>
      </c>
      <c r="Q1291" s="34">
        <f>IF(C1291="","",YEAR(C1291-WEEKDAY(C1291,2)+4)&amp;"-S"&amp;TEXT(INT((C1291-DATE(YEAR(C1291-WEEKDAY(C1291,2)+4),1,3)+WEEKDAY(DATE(YEAR(C1291-WEEKDAY(C1291,2)+4),1,3),2)+5)/7),"00"))</f>
        <v/>
      </c>
    </row>
    <row r="1292" ht="18" customHeight="1">
      <c r="A1292" s="39" t="n">
        <v>1287</v>
      </c>
      <c r="B1292" s="33">
        <f>IF(C1292="","",IF(L1292="À RENSEIGNER","GIC",L1292)&amp;"-S"&amp;TEXT(A1292,"00000"))</f>
        <v/>
      </c>
      <c r="C1292" s="32" t="n"/>
      <c r="D1292" s="36" t="n"/>
      <c r="E1292" s="36" t="n"/>
      <c r="F1292" s="42" t="n"/>
      <c r="G1292" s="36" t="n"/>
      <c r="H1292" s="43" t="n"/>
      <c r="I1292" s="37" t="n"/>
      <c r="J1292" s="44" t="n"/>
      <c r="K1292" s="36" t="n"/>
      <c r="L1292" s="33">
        <f>IF(C1292="","",Commercial_Id)</f>
        <v/>
      </c>
      <c r="M1292" s="34">
        <f>IF(E1292="","",IFERROR(VLOOKUP(E1292,T_Produits,2,FALSE),""))</f>
        <v/>
      </c>
      <c r="N1292" s="40">
        <f>IF(E1292="","",IFERROR(1/(1/VLOOKUP(E1292,T_Produits,3,FALSE)),""))</f>
        <v/>
      </c>
      <c r="O1292" s="40">
        <f>IF(OR(D1292="",F1292=""),"",IF(OR(D1292="Casse / avarie",D1292="Perte / vol",D1292="Échantillon offert"),IF(I1292&lt;&gt;"",I1292,IF(N1292="","",F1292*N1292)),""))</f>
        <v/>
      </c>
      <c r="P1292" s="50">
        <f>IF(OR(D1292="",F1292=""),"",F1292*IF(OR(D1292="Reçu du magasin",D1292="Ajustement (+)"),1,-1))</f>
        <v/>
      </c>
      <c r="Q1292" s="34">
        <f>IF(C1292="","",YEAR(C1292-WEEKDAY(C1292,2)+4)&amp;"-S"&amp;TEXT(INT((C1292-DATE(YEAR(C1292-WEEKDAY(C1292,2)+4),1,3)+WEEKDAY(DATE(YEAR(C1292-WEEKDAY(C1292,2)+4),1,3),2)+5)/7),"00"))</f>
        <v/>
      </c>
    </row>
    <row r="1293" ht="18" customHeight="1">
      <c r="A1293" s="39" t="n">
        <v>1288</v>
      </c>
      <c r="B1293" s="33">
        <f>IF(C1293="","",IF(L1293="À RENSEIGNER","GIC",L1293)&amp;"-S"&amp;TEXT(A1293,"00000"))</f>
        <v/>
      </c>
      <c r="C1293" s="32" t="n"/>
      <c r="D1293" s="36" t="n"/>
      <c r="E1293" s="36" t="n"/>
      <c r="F1293" s="42" t="n"/>
      <c r="G1293" s="36" t="n"/>
      <c r="H1293" s="43" t="n"/>
      <c r="I1293" s="37" t="n"/>
      <c r="J1293" s="44" t="n"/>
      <c r="K1293" s="36" t="n"/>
      <c r="L1293" s="33">
        <f>IF(C1293="","",Commercial_Id)</f>
        <v/>
      </c>
      <c r="M1293" s="34">
        <f>IF(E1293="","",IFERROR(VLOOKUP(E1293,T_Produits,2,FALSE),""))</f>
        <v/>
      </c>
      <c r="N1293" s="40">
        <f>IF(E1293="","",IFERROR(1/(1/VLOOKUP(E1293,T_Produits,3,FALSE)),""))</f>
        <v/>
      </c>
      <c r="O1293" s="40">
        <f>IF(OR(D1293="",F1293=""),"",IF(OR(D1293="Casse / avarie",D1293="Perte / vol",D1293="Échantillon offert"),IF(I1293&lt;&gt;"",I1293,IF(N1293="","",F1293*N1293)),""))</f>
        <v/>
      </c>
      <c r="P1293" s="50">
        <f>IF(OR(D1293="",F1293=""),"",F1293*IF(OR(D1293="Reçu du magasin",D1293="Ajustement (+)"),1,-1))</f>
        <v/>
      </c>
      <c r="Q1293" s="34">
        <f>IF(C1293="","",YEAR(C1293-WEEKDAY(C1293,2)+4)&amp;"-S"&amp;TEXT(INT((C1293-DATE(YEAR(C1293-WEEKDAY(C1293,2)+4),1,3)+WEEKDAY(DATE(YEAR(C1293-WEEKDAY(C1293,2)+4),1,3),2)+5)/7),"00"))</f>
        <v/>
      </c>
    </row>
    <row r="1294" ht="18" customHeight="1">
      <c r="A1294" s="39" t="n">
        <v>1289</v>
      </c>
      <c r="B1294" s="33">
        <f>IF(C1294="","",IF(L1294="À RENSEIGNER","GIC",L1294)&amp;"-S"&amp;TEXT(A1294,"00000"))</f>
        <v/>
      </c>
      <c r="C1294" s="32" t="n"/>
      <c r="D1294" s="36" t="n"/>
      <c r="E1294" s="36" t="n"/>
      <c r="F1294" s="42" t="n"/>
      <c r="G1294" s="36" t="n"/>
      <c r="H1294" s="43" t="n"/>
      <c r="I1294" s="37" t="n"/>
      <c r="J1294" s="44" t="n"/>
      <c r="K1294" s="36" t="n"/>
      <c r="L1294" s="33">
        <f>IF(C1294="","",Commercial_Id)</f>
        <v/>
      </c>
      <c r="M1294" s="34">
        <f>IF(E1294="","",IFERROR(VLOOKUP(E1294,T_Produits,2,FALSE),""))</f>
        <v/>
      </c>
      <c r="N1294" s="40">
        <f>IF(E1294="","",IFERROR(1/(1/VLOOKUP(E1294,T_Produits,3,FALSE)),""))</f>
        <v/>
      </c>
      <c r="O1294" s="40">
        <f>IF(OR(D1294="",F1294=""),"",IF(OR(D1294="Casse / avarie",D1294="Perte / vol",D1294="Échantillon offert"),IF(I1294&lt;&gt;"",I1294,IF(N1294="","",F1294*N1294)),""))</f>
        <v/>
      </c>
      <c r="P1294" s="50">
        <f>IF(OR(D1294="",F1294=""),"",F1294*IF(OR(D1294="Reçu du magasin",D1294="Ajustement (+)"),1,-1))</f>
        <v/>
      </c>
      <c r="Q1294" s="34">
        <f>IF(C1294="","",YEAR(C1294-WEEKDAY(C1294,2)+4)&amp;"-S"&amp;TEXT(INT((C1294-DATE(YEAR(C1294-WEEKDAY(C1294,2)+4),1,3)+WEEKDAY(DATE(YEAR(C1294-WEEKDAY(C1294,2)+4),1,3),2)+5)/7),"00"))</f>
        <v/>
      </c>
    </row>
    <row r="1295" ht="18" customHeight="1">
      <c r="A1295" s="39" t="n">
        <v>1290</v>
      </c>
      <c r="B1295" s="33">
        <f>IF(C1295="","",IF(L1295="À RENSEIGNER","GIC",L1295)&amp;"-S"&amp;TEXT(A1295,"00000"))</f>
        <v/>
      </c>
      <c r="C1295" s="32" t="n"/>
      <c r="D1295" s="36" t="n"/>
      <c r="E1295" s="36" t="n"/>
      <c r="F1295" s="42" t="n"/>
      <c r="G1295" s="36" t="n"/>
      <c r="H1295" s="43" t="n"/>
      <c r="I1295" s="37" t="n"/>
      <c r="J1295" s="44" t="n"/>
      <c r="K1295" s="36" t="n"/>
      <c r="L1295" s="33">
        <f>IF(C1295="","",Commercial_Id)</f>
        <v/>
      </c>
      <c r="M1295" s="34">
        <f>IF(E1295="","",IFERROR(VLOOKUP(E1295,T_Produits,2,FALSE),""))</f>
        <v/>
      </c>
      <c r="N1295" s="40">
        <f>IF(E1295="","",IFERROR(1/(1/VLOOKUP(E1295,T_Produits,3,FALSE)),""))</f>
        <v/>
      </c>
      <c r="O1295" s="40">
        <f>IF(OR(D1295="",F1295=""),"",IF(OR(D1295="Casse / avarie",D1295="Perte / vol",D1295="Échantillon offert"),IF(I1295&lt;&gt;"",I1295,IF(N1295="","",F1295*N1295)),""))</f>
        <v/>
      </c>
      <c r="P1295" s="50">
        <f>IF(OR(D1295="",F1295=""),"",F1295*IF(OR(D1295="Reçu du magasin",D1295="Ajustement (+)"),1,-1))</f>
        <v/>
      </c>
      <c r="Q1295" s="34">
        <f>IF(C1295="","",YEAR(C1295-WEEKDAY(C1295,2)+4)&amp;"-S"&amp;TEXT(INT((C1295-DATE(YEAR(C1295-WEEKDAY(C1295,2)+4),1,3)+WEEKDAY(DATE(YEAR(C1295-WEEKDAY(C1295,2)+4),1,3),2)+5)/7),"00"))</f>
        <v/>
      </c>
    </row>
    <row r="1296" ht="18" customHeight="1">
      <c r="A1296" s="39" t="n">
        <v>1291</v>
      </c>
      <c r="B1296" s="33">
        <f>IF(C1296="","",IF(L1296="À RENSEIGNER","GIC",L1296)&amp;"-S"&amp;TEXT(A1296,"00000"))</f>
        <v/>
      </c>
      <c r="C1296" s="32" t="n"/>
      <c r="D1296" s="36" t="n"/>
      <c r="E1296" s="36" t="n"/>
      <c r="F1296" s="42" t="n"/>
      <c r="G1296" s="36" t="n"/>
      <c r="H1296" s="43" t="n"/>
      <c r="I1296" s="37" t="n"/>
      <c r="J1296" s="44" t="n"/>
      <c r="K1296" s="36" t="n"/>
      <c r="L1296" s="33">
        <f>IF(C1296="","",Commercial_Id)</f>
        <v/>
      </c>
      <c r="M1296" s="34">
        <f>IF(E1296="","",IFERROR(VLOOKUP(E1296,T_Produits,2,FALSE),""))</f>
        <v/>
      </c>
      <c r="N1296" s="40">
        <f>IF(E1296="","",IFERROR(1/(1/VLOOKUP(E1296,T_Produits,3,FALSE)),""))</f>
        <v/>
      </c>
      <c r="O1296" s="40">
        <f>IF(OR(D1296="",F1296=""),"",IF(OR(D1296="Casse / avarie",D1296="Perte / vol",D1296="Échantillon offert"),IF(I1296&lt;&gt;"",I1296,IF(N1296="","",F1296*N1296)),""))</f>
        <v/>
      </c>
      <c r="P1296" s="50">
        <f>IF(OR(D1296="",F1296=""),"",F1296*IF(OR(D1296="Reçu du magasin",D1296="Ajustement (+)"),1,-1))</f>
        <v/>
      </c>
      <c r="Q1296" s="34">
        <f>IF(C1296="","",YEAR(C1296-WEEKDAY(C1296,2)+4)&amp;"-S"&amp;TEXT(INT((C1296-DATE(YEAR(C1296-WEEKDAY(C1296,2)+4),1,3)+WEEKDAY(DATE(YEAR(C1296-WEEKDAY(C1296,2)+4),1,3),2)+5)/7),"00"))</f>
        <v/>
      </c>
    </row>
    <row r="1297" ht="18" customHeight="1">
      <c r="A1297" s="39" t="n">
        <v>1292</v>
      </c>
      <c r="B1297" s="33">
        <f>IF(C1297="","",IF(L1297="À RENSEIGNER","GIC",L1297)&amp;"-S"&amp;TEXT(A1297,"00000"))</f>
        <v/>
      </c>
      <c r="C1297" s="32" t="n"/>
      <c r="D1297" s="36" t="n"/>
      <c r="E1297" s="36" t="n"/>
      <c r="F1297" s="42" t="n"/>
      <c r="G1297" s="36" t="n"/>
      <c r="H1297" s="43" t="n"/>
      <c r="I1297" s="37" t="n"/>
      <c r="J1297" s="44" t="n"/>
      <c r="K1297" s="36" t="n"/>
      <c r="L1297" s="33">
        <f>IF(C1297="","",Commercial_Id)</f>
        <v/>
      </c>
      <c r="M1297" s="34">
        <f>IF(E1297="","",IFERROR(VLOOKUP(E1297,T_Produits,2,FALSE),""))</f>
        <v/>
      </c>
      <c r="N1297" s="40">
        <f>IF(E1297="","",IFERROR(1/(1/VLOOKUP(E1297,T_Produits,3,FALSE)),""))</f>
        <v/>
      </c>
      <c r="O1297" s="40">
        <f>IF(OR(D1297="",F1297=""),"",IF(OR(D1297="Casse / avarie",D1297="Perte / vol",D1297="Échantillon offert"),IF(I1297&lt;&gt;"",I1297,IF(N1297="","",F1297*N1297)),""))</f>
        <v/>
      </c>
      <c r="P1297" s="50">
        <f>IF(OR(D1297="",F1297=""),"",F1297*IF(OR(D1297="Reçu du magasin",D1297="Ajustement (+)"),1,-1))</f>
        <v/>
      </c>
      <c r="Q1297" s="34">
        <f>IF(C1297="","",YEAR(C1297-WEEKDAY(C1297,2)+4)&amp;"-S"&amp;TEXT(INT((C1297-DATE(YEAR(C1297-WEEKDAY(C1297,2)+4),1,3)+WEEKDAY(DATE(YEAR(C1297-WEEKDAY(C1297,2)+4),1,3),2)+5)/7),"00"))</f>
        <v/>
      </c>
    </row>
    <row r="1298" ht="18" customHeight="1">
      <c r="A1298" s="39" t="n">
        <v>1293</v>
      </c>
      <c r="B1298" s="33">
        <f>IF(C1298="","",IF(L1298="À RENSEIGNER","GIC",L1298)&amp;"-S"&amp;TEXT(A1298,"00000"))</f>
        <v/>
      </c>
      <c r="C1298" s="32" t="n"/>
      <c r="D1298" s="36" t="n"/>
      <c r="E1298" s="36" t="n"/>
      <c r="F1298" s="42" t="n"/>
      <c r="G1298" s="36" t="n"/>
      <c r="H1298" s="43" t="n"/>
      <c r="I1298" s="37" t="n"/>
      <c r="J1298" s="44" t="n"/>
      <c r="K1298" s="36" t="n"/>
      <c r="L1298" s="33">
        <f>IF(C1298="","",Commercial_Id)</f>
        <v/>
      </c>
      <c r="M1298" s="34">
        <f>IF(E1298="","",IFERROR(VLOOKUP(E1298,T_Produits,2,FALSE),""))</f>
        <v/>
      </c>
      <c r="N1298" s="40">
        <f>IF(E1298="","",IFERROR(1/(1/VLOOKUP(E1298,T_Produits,3,FALSE)),""))</f>
        <v/>
      </c>
      <c r="O1298" s="40">
        <f>IF(OR(D1298="",F1298=""),"",IF(OR(D1298="Casse / avarie",D1298="Perte / vol",D1298="Échantillon offert"),IF(I1298&lt;&gt;"",I1298,IF(N1298="","",F1298*N1298)),""))</f>
        <v/>
      </c>
      <c r="P1298" s="50">
        <f>IF(OR(D1298="",F1298=""),"",F1298*IF(OR(D1298="Reçu du magasin",D1298="Ajustement (+)"),1,-1))</f>
        <v/>
      </c>
      <c r="Q1298" s="34">
        <f>IF(C1298="","",YEAR(C1298-WEEKDAY(C1298,2)+4)&amp;"-S"&amp;TEXT(INT((C1298-DATE(YEAR(C1298-WEEKDAY(C1298,2)+4),1,3)+WEEKDAY(DATE(YEAR(C1298-WEEKDAY(C1298,2)+4),1,3),2)+5)/7),"00"))</f>
        <v/>
      </c>
    </row>
    <row r="1299" ht="18" customHeight="1">
      <c r="A1299" s="39" t="n">
        <v>1294</v>
      </c>
      <c r="B1299" s="33">
        <f>IF(C1299="","",IF(L1299="À RENSEIGNER","GIC",L1299)&amp;"-S"&amp;TEXT(A1299,"00000"))</f>
        <v/>
      </c>
      <c r="C1299" s="32" t="n"/>
      <c r="D1299" s="36" t="n"/>
      <c r="E1299" s="36" t="n"/>
      <c r="F1299" s="42" t="n"/>
      <c r="G1299" s="36" t="n"/>
      <c r="H1299" s="43" t="n"/>
      <c r="I1299" s="37" t="n"/>
      <c r="J1299" s="44" t="n"/>
      <c r="K1299" s="36" t="n"/>
      <c r="L1299" s="33">
        <f>IF(C1299="","",Commercial_Id)</f>
        <v/>
      </c>
      <c r="M1299" s="34">
        <f>IF(E1299="","",IFERROR(VLOOKUP(E1299,T_Produits,2,FALSE),""))</f>
        <v/>
      </c>
      <c r="N1299" s="40">
        <f>IF(E1299="","",IFERROR(1/(1/VLOOKUP(E1299,T_Produits,3,FALSE)),""))</f>
        <v/>
      </c>
      <c r="O1299" s="40">
        <f>IF(OR(D1299="",F1299=""),"",IF(OR(D1299="Casse / avarie",D1299="Perte / vol",D1299="Échantillon offert"),IF(I1299&lt;&gt;"",I1299,IF(N1299="","",F1299*N1299)),""))</f>
        <v/>
      </c>
      <c r="P1299" s="50">
        <f>IF(OR(D1299="",F1299=""),"",F1299*IF(OR(D1299="Reçu du magasin",D1299="Ajustement (+)"),1,-1))</f>
        <v/>
      </c>
      <c r="Q1299" s="34">
        <f>IF(C1299="","",YEAR(C1299-WEEKDAY(C1299,2)+4)&amp;"-S"&amp;TEXT(INT((C1299-DATE(YEAR(C1299-WEEKDAY(C1299,2)+4),1,3)+WEEKDAY(DATE(YEAR(C1299-WEEKDAY(C1299,2)+4),1,3),2)+5)/7),"00"))</f>
        <v/>
      </c>
    </row>
    <row r="1300" ht="18" customHeight="1">
      <c r="A1300" s="39" t="n">
        <v>1295</v>
      </c>
      <c r="B1300" s="33">
        <f>IF(C1300="","",IF(L1300="À RENSEIGNER","GIC",L1300)&amp;"-S"&amp;TEXT(A1300,"00000"))</f>
        <v/>
      </c>
      <c r="C1300" s="32" t="n"/>
      <c r="D1300" s="36" t="n"/>
      <c r="E1300" s="36" t="n"/>
      <c r="F1300" s="42" t="n"/>
      <c r="G1300" s="36" t="n"/>
      <c r="H1300" s="43" t="n"/>
      <c r="I1300" s="37" t="n"/>
      <c r="J1300" s="44" t="n"/>
      <c r="K1300" s="36" t="n"/>
      <c r="L1300" s="33">
        <f>IF(C1300="","",Commercial_Id)</f>
        <v/>
      </c>
      <c r="M1300" s="34">
        <f>IF(E1300="","",IFERROR(VLOOKUP(E1300,T_Produits,2,FALSE),""))</f>
        <v/>
      </c>
      <c r="N1300" s="40">
        <f>IF(E1300="","",IFERROR(1/(1/VLOOKUP(E1300,T_Produits,3,FALSE)),""))</f>
        <v/>
      </c>
      <c r="O1300" s="40">
        <f>IF(OR(D1300="",F1300=""),"",IF(OR(D1300="Casse / avarie",D1300="Perte / vol",D1300="Échantillon offert"),IF(I1300&lt;&gt;"",I1300,IF(N1300="","",F1300*N1300)),""))</f>
        <v/>
      </c>
      <c r="P1300" s="50">
        <f>IF(OR(D1300="",F1300=""),"",F1300*IF(OR(D1300="Reçu du magasin",D1300="Ajustement (+)"),1,-1))</f>
        <v/>
      </c>
      <c r="Q1300" s="34">
        <f>IF(C1300="","",YEAR(C1300-WEEKDAY(C1300,2)+4)&amp;"-S"&amp;TEXT(INT((C1300-DATE(YEAR(C1300-WEEKDAY(C1300,2)+4),1,3)+WEEKDAY(DATE(YEAR(C1300-WEEKDAY(C1300,2)+4),1,3),2)+5)/7),"00"))</f>
        <v/>
      </c>
    </row>
    <row r="1301" ht="18" customHeight="1">
      <c r="A1301" s="39" t="n">
        <v>1296</v>
      </c>
      <c r="B1301" s="33">
        <f>IF(C1301="","",IF(L1301="À RENSEIGNER","GIC",L1301)&amp;"-S"&amp;TEXT(A1301,"00000"))</f>
        <v/>
      </c>
      <c r="C1301" s="32" t="n"/>
      <c r="D1301" s="36" t="n"/>
      <c r="E1301" s="36" t="n"/>
      <c r="F1301" s="42" t="n"/>
      <c r="G1301" s="36" t="n"/>
      <c r="H1301" s="43" t="n"/>
      <c r="I1301" s="37" t="n"/>
      <c r="J1301" s="44" t="n"/>
      <c r="K1301" s="36" t="n"/>
      <c r="L1301" s="33">
        <f>IF(C1301="","",Commercial_Id)</f>
        <v/>
      </c>
      <c r="M1301" s="34">
        <f>IF(E1301="","",IFERROR(VLOOKUP(E1301,T_Produits,2,FALSE),""))</f>
        <v/>
      </c>
      <c r="N1301" s="40">
        <f>IF(E1301="","",IFERROR(1/(1/VLOOKUP(E1301,T_Produits,3,FALSE)),""))</f>
        <v/>
      </c>
      <c r="O1301" s="40">
        <f>IF(OR(D1301="",F1301=""),"",IF(OR(D1301="Casse / avarie",D1301="Perte / vol",D1301="Échantillon offert"),IF(I1301&lt;&gt;"",I1301,IF(N1301="","",F1301*N1301)),""))</f>
        <v/>
      </c>
      <c r="P1301" s="50">
        <f>IF(OR(D1301="",F1301=""),"",F1301*IF(OR(D1301="Reçu du magasin",D1301="Ajustement (+)"),1,-1))</f>
        <v/>
      </c>
      <c r="Q1301" s="34">
        <f>IF(C1301="","",YEAR(C1301-WEEKDAY(C1301,2)+4)&amp;"-S"&amp;TEXT(INT((C1301-DATE(YEAR(C1301-WEEKDAY(C1301,2)+4),1,3)+WEEKDAY(DATE(YEAR(C1301-WEEKDAY(C1301,2)+4),1,3),2)+5)/7),"00"))</f>
        <v/>
      </c>
    </row>
    <row r="1302" ht="18" customHeight="1">
      <c r="A1302" s="39" t="n">
        <v>1297</v>
      </c>
      <c r="B1302" s="33">
        <f>IF(C1302="","",IF(L1302="À RENSEIGNER","GIC",L1302)&amp;"-S"&amp;TEXT(A1302,"00000"))</f>
        <v/>
      </c>
      <c r="C1302" s="32" t="n"/>
      <c r="D1302" s="36" t="n"/>
      <c r="E1302" s="36" t="n"/>
      <c r="F1302" s="42" t="n"/>
      <c r="G1302" s="36" t="n"/>
      <c r="H1302" s="43" t="n"/>
      <c r="I1302" s="37" t="n"/>
      <c r="J1302" s="44" t="n"/>
      <c r="K1302" s="36" t="n"/>
      <c r="L1302" s="33">
        <f>IF(C1302="","",Commercial_Id)</f>
        <v/>
      </c>
      <c r="M1302" s="34">
        <f>IF(E1302="","",IFERROR(VLOOKUP(E1302,T_Produits,2,FALSE),""))</f>
        <v/>
      </c>
      <c r="N1302" s="40">
        <f>IF(E1302="","",IFERROR(1/(1/VLOOKUP(E1302,T_Produits,3,FALSE)),""))</f>
        <v/>
      </c>
      <c r="O1302" s="40">
        <f>IF(OR(D1302="",F1302=""),"",IF(OR(D1302="Casse / avarie",D1302="Perte / vol",D1302="Échantillon offert"),IF(I1302&lt;&gt;"",I1302,IF(N1302="","",F1302*N1302)),""))</f>
        <v/>
      </c>
      <c r="P1302" s="50">
        <f>IF(OR(D1302="",F1302=""),"",F1302*IF(OR(D1302="Reçu du magasin",D1302="Ajustement (+)"),1,-1))</f>
        <v/>
      </c>
      <c r="Q1302" s="34">
        <f>IF(C1302="","",YEAR(C1302-WEEKDAY(C1302,2)+4)&amp;"-S"&amp;TEXT(INT((C1302-DATE(YEAR(C1302-WEEKDAY(C1302,2)+4),1,3)+WEEKDAY(DATE(YEAR(C1302-WEEKDAY(C1302,2)+4),1,3),2)+5)/7),"00"))</f>
        <v/>
      </c>
    </row>
    <row r="1303" ht="18" customHeight="1">
      <c r="A1303" s="39" t="n">
        <v>1298</v>
      </c>
      <c r="B1303" s="33">
        <f>IF(C1303="","",IF(L1303="À RENSEIGNER","GIC",L1303)&amp;"-S"&amp;TEXT(A1303,"00000"))</f>
        <v/>
      </c>
      <c r="C1303" s="32" t="n"/>
      <c r="D1303" s="36" t="n"/>
      <c r="E1303" s="36" t="n"/>
      <c r="F1303" s="42" t="n"/>
      <c r="G1303" s="36" t="n"/>
      <c r="H1303" s="43" t="n"/>
      <c r="I1303" s="37" t="n"/>
      <c r="J1303" s="44" t="n"/>
      <c r="K1303" s="36" t="n"/>
      <c r="L1303" s="33">
        <f>IF(C1303="","",Commercial_Id)</f>
        <v/>
      </c>
      <c r="M1303" s="34">
        <f>IF(E1303="","",IFERROR(VLOOKUP(E1303,T_Produits,2,FALSE),""))</f>
        <v/>
      </c>
      <c r="N1303" s="40">
        <f>IF(E1303="","",IFERROR(1/(1/VLOOKUP(E1303,T_Produits,3,FALSE)),""))</f>
        <v/>
      </c>
      <c r="O1303" s="40">
        <f>IF(OR(D1303="",F1303=""),"",IF(OR(D1303="Casse / avarie",D1303="Perte / vol",D1303="Échantillon offert"),IF(I1303&lt;&gt;"",I1303,IF(N1303="","",F1303*N1303)),""))</f>
        <v/>
      </c>
      <c r="P1303" s="50">
        <f>IF(OR(D1303="",F1303=""),"",F1303*IF(OR(D1303="Reçu du magasin",D1303="Ajustement (+)"),1,-1))</f>
        <v/>
      </c>
      <c r="Q1303" s="34">
        <f>IF(C1303="","",YEAR(C1303-WEEKDAY(C1303,2)+4)&amp;"-S"&amp;TEXT(INT((C1303-DATE(YEAR(C1303-WEEKDAY(C1303,2)+4),1,3)+WEEKDAY(DATE(YEAR(C1303-WEEKDAY(C1303,2)+4),1,3),2)+5)/7),"00"))</f>
        <v/>
      </c>
    </row>
    <row r="1304" ht="18" customHeight="1">
      <c r="A1304" s="39" t="n">
        <v>1299</v>
      </c>
      <c r="B1304" s="33">
        <f>IF(C1304="","",IF(L1304="À RENSEIGNER","GIC",L1304)&amp;"-S"&amp;TEXT(A1304,"00000"))</f>
        <v/>
      </c>
      <c r="C1304" s="32" t="n"/>
      <c r="D1304" s="36" t="n"/>
      <c r="E1304" s="36" t="n"/>
      <c r="F1304" s="42" t="n"/>
      <c r="G1304" s="36" t="n"/>
      <c r="H1304" s="43" t="n"/>
      <c r="I1304" s="37" t="n"/>
      <c r="J1304" s="44" t="n"/>
      <c r="K1304" s="36" t="n"/>
      <c r="L1304" s="33">
        <f>IF(C1304="","",Commercial_Id)</f>
        <v/>
      </c>
      <c r="M1304" s="34">
        <f>IF(E1304="","",IFERROR(VLOOKUP(E1304,T_Produits,2,FALSE),""))</f>
        <v/>
      </c>
      <c r="N1304" s="40">
        <f>IF(E1304="","",IFERROR(1/(1/VLOOKUP(E1304,T_Produits,3,FALSE)),""))</f>
        <v/>
      </c>
      <c r="O1304" s="40">
        <f>IF(OR(D1304="",F1304=""),"",IF(OR(D1304="Casse / avarie",D1304="Perte / vol",D1304="Échantillon offert"),IF(I1304&lt;&gt;"",I1304,IF(N1304="","",F1304*N1304)),""))</f>
        <v/>
      </c>
      <c r="P1304" s="50">
        <f>IF(OR(D1304="",F1304=""),"",F1304*IF(OR(D1304="Reçu du magasin",D1304="Ajustement (+)"),1,-1))</f>
        <v/>
      </c>
      <c r="Q1304" s="34">
        <f>IF(C1304="","",YEAR(C1304-WEEKDAY(C1304,2)+4)&amp;"-S"&amp;TEXT(INT((C1304-DATE(YEAR(C1304-WEEKDAY(C1304,2)+4),1,3)+WEEKDAY(DATE(YEAR(C1304-WEEKDAY(C1304,2)+4),1,3),2)+5)/7),"00"))</f>
        <v/>
      </c>
    </row>
    <row r="1305" ht="18" customHeight="1">
      <c r="A1305" s="39" t="n">
        <v>1300</v>
      </c>
      <c r="B1305" s="33">
        <f>IF(C1305="","",IF(L1305="À RENSEIGNER","GIC",L1305)&amp;"-S"&amp;TEXT(A1305,"00000"))</f>
        <v/>
      </c>
      <c r="C1305" s="32" t="n"/>
      <c r="D1305" s="36" t="n"/>
      <c r="E1305" s="36" t="n"/>
      <c r="F1305" s="42" t="n"/>
      <c r="G1305" s="36" t="n"/>
      <c r="H1305" s="43" t="n"/>
      <c r="I1305" s="37" t="n"/>
      <c r="J1305" s="44" t="n"/>
      <c r="K1305" s="36" t="n"/>
      <c r="L1305" s="33">
        <f>IF(C1305="","",Commercial_Id)</f>
        <v/>
      </c>
      <c r="M1305" s="34">
        <f>IF(E1305="","",IFERROR(VLOOKUP(E1305,T_Produits,2,FALSE),""))</f>
        <v/>
      </c>
      <c r="N1305" s="40">
        <f>IF(E1305="","",IFERROR(1/(1/VLOOKUP(E1305,T_Produits,3,FALSE)),""))</f>
        <v/>
      </c>
      <c r="O1305" s="40">
        <f>IF(OR(D1305="",F1305=""),"",IF(OR(D1305="Casse / avarie",D1305="Perte / vol",D1305="Échantillon offert"),IF(I1305&lt;&gt;"",I1305,IF(N1305="","",F1305*N1305)),""))</f>
        <v/>
      </c>
      <c r="P1305" s="50">
        <f>IF(OR(D1305="",F1305=""),"",F1305*IF(OR(D1305="Reçu du magasin",D1305="Ajustement (+)"),1,-1))</f>
        <v/>
      </c>
      <c r="Q1305" s="34">
        <f>IF(C1305="","",YEAR(C1305-WEEKDAY(C1305,2)+4)&amp;"-S"&amp;TEXT(INT((C1305-DATE(YEAR(C1305-WEEKDAY(C1305,2)+4),1,3)+WEEKDAY(DATE(YEAR(C1305-WEEKDAY(C1305,2)+4),1,3),2)+5)/7),"00"))</f>
        <v/>
      </c>
    </row>
    <row r="1306" ht="18" customHeight="1">
      <c r="A1306" s="39" t="n">
        <v>1301</v>
      </c>
      <c r="B1306" s="33">
        <f>IF(C1306="","",IF(L1306="À RENSEIGNER","GIC",L1306)&amp;"-S"&amp;TEXT(A1306,"00000"))</f>
        <v/>
      </c>
      <c r="C1306" s="32" t="n"/>
      <c r="D1306" s="36" t="n"/>
      <c r="E1306" s="36" t="n"/>
      <c r="F1306" s="42" t="n"/>
      <c r="G1306" s="36" t="n"/>
      <c r="H1306" s="43" t="n"/>
      <c r="I1306" s="37" t="n"/>
      <c r="J1306" s="44" t="n"/>
      <c r="K1306" s="36" t="n"/>
      <c r="L1306" s="33">
        <f>IF(C1306="","",Commercial_Id)</f>
        <v/>
      </c>
      <c r="M1306" s="34">
        <f>IF(E1306="","",IFERROR(VLOOKUP(E1306,T_Produits,2,FALSE),""))</f>
        <v/>
      </c>
      <c r="N1306" s="40">
        <f>IF(E1306="","",IFERROR(1/(1/VLOOKUP(E1306,T_Produits,3,FALSE)),""))</f>
        <v/>
      </c>
      <c r="O1306" s="40">
        <f>IF(OR(D1306="",F1306=""),"",IF(OR(D1306="Casse / avarie",D1306="Perte / vol",D1306="Échantillon offert"),IF(I1306&lt;&gt;"",I1306,IF(N1306="","",F1306*N1306)),""))</f>
        <v/>
      </c>
      <c r="P1306" s="50">
        <f>IF(OR(D1306="",F1306=""),"",F1306*IF(OR(D1306="Reçu du magasin",D1306="Ajustement (+)"),1,-1))</f>
        <v/>
      </c>
      <c r="Q1306" s="34">
        <f>IF(C1306="","",YEAR(C1306-WEEKDAY(C1306,2)+4)&amp;"-S"&amp;TEXT(INT((C1306-DATE(YEAR(C1306-WEEKDAY(C1306,2)+4),1,3)+WEEKDAY(DATE(YEAR(C1306-WEEKDAY(C1306,2)+4),1,3),2)+5)/7),"00"))</f>
        <v/>
      </c>
    </row>
    <row r="1307" ht="18" customHeight="1">
      <c r="A1307" s="39" t="n">
        <v>1302</v>
      </c>
      <c r="B1307" s="33">
        <f>IF(C1307="","",IF(L1307="À RENSEIGNER","GIC",L1307)&amp;"-S"&amp;TEXT(A1307,"00000"))</f>
        <v/>
      </c>
      <c r="C1307" s="32" t="n"/>
      <c r="D1307" s="36" t="n"/>
      <c r="E1307" s="36" t="n"/>
      <c r="F1307" s="42" t="n"/>
      <c r="G1307" s="36" t="n"/>
      <c r="H1307" s="43" t="n"/>
      <c r="I1307" s="37" t="n"/>
      <c r="J1307" s="44" t="n"/>
      <c r="K1307" s="36" t="n"/>
      <c r="L1307" s="33">
        <f>IF(C1307="","",Commercial_Id)</f>
        <v/>
      </c>
      <c r="M1307" s="34">
        <f>IF(E1307="","",IFERROR(VLOOKUP(E1307,T_Produits,2,FALSE),""))</f>
        <v/>
      </c>
      <c r="N1307" s="40">
        <f>IF(E1307="","",IFERROR(1/(1/VLOOKUP(E1307,T_Produits,3,FALSE)),""))</f>
        <v/>
      </c>
      <c r="O1307" s="40">
        <f>IF(OR(D1307="",F1307=""),"",IF(OR(D1307="Casse / avarie",D1307="Perte / vol",D1307="Échantillon offert"),IF(I1307&lt;&gt;"",I1307,IF(N1307="","",F1307*N1307)),""))</f>
        <v/>
      </c>
      <c r="P1307" s="50">
        <f>IF(OR(D1307="",F1307=""),"",F1307*IF(OR(D1307="Reçu du magasin",D1307="Ajustement (+)"),1,-1))</f>
        <v/>
      </c>
      <c r="Q1307" s="34">
        <f>IF(C1307="","",YEAR(C1307-WEEKDAY(C1307,2)+4)&amp;"-S"&amp;TEXT(INT((C1307-DATE(YEAR(C1307-WEEKDAY(C1307,2)+4),1,3)+WEEKDAY(DATE(YEAR(C1307-WEEKDAY(C1307,2)+4),1,3),2)+5)/7),"00"))</f>
        <v/>
      </c>
    </row>
    <row r="1308" ht="18" customHeight="1">
      <c r="A1308" s="39" t="n">
        <v>1303</v>
      </c>
      <c r="B1308" s="33">
        <f>IF(C1308="","",IF(L1308="À RENSEIGNER","GIC",L1308)&amp;"-S"&amp;TEXT(A1308,"00000"))</f>
        <v/>
      </c>
      <c r="C1308" s="32" t="n"/>
      <c r="D1308" s="36" t="n"/>
      <c r="E1308" s="36" t="n"/>
      <c r="F1308" s="42" t="n"/>
      <c r="G1308" s="36" t="n"/>
      <c r="H1308" s="43" t="n"/>
      <c r="I1308" s="37" t="n"/>
      <c r="J1308" s="44" t="n"/>
      <c r="K1308" s="36" t="n"/>
      <c r="L1308" s="33">
        <f>IF(C1308="","",Commercial_Id)</f>
        <v/>
      </c>
      <c r="M1308" s="34">
        <f>IF(E1308="","",IFERROR(VLOOKUP(E1308,T_Produits,2,FALSE),""))</f>
        <v/>
      </c>
      <c r="N1308" s="40">
        <f>IF(E1308="","",IFERROR(1/(1/VLOOKUP(E1308,T_Produits,3,FALSE)),""))</f>
        <v/>
      </c>
      <c r="O1308" s="40">
        <f>IF(OR(D1308="",F1308=""),"",IF(OR(D1308="Casse / avarie",D1308="Perte / vol",D1308="Échantillon offert"),IF(I1308&lt;&gt;"",I1308,IF(N1308="","",F1308*N1308)),""))</f>
        <v/>
      </c>
      <c r="P1308" s="50">
        <f>IF(OR(D1308="",F1308=""),"",F1308*IF(OR(D1308="Reçu du magasin",D1308="Ajustement (+)"),1,-1))</f>
        <v/>
      </c>
      <c r="Q1308" s="34">
        <f>IF(C1308="","",YEAR(C1308-WEEKDAY(C1308,2)+4)&amp;"-S"&amp;TEXT(INT((C1308-DATE(YEAR(C1308-WEEKDAY(C1308,2)+4),1,3)+WEEKDAY(DATE(YEAR(C1308-WEEKDAY(C1308,2)+4),1,3),2)+5)/7),"00"))</f>
        <v/>
      </c>
    </row>
    <row r="1309" ht="18" customHeight="1">
      <c r="A1309" s="39" t="n">
        <v>1304</v>
      </c>
      <c r="B1309" s="33">
        <f>IF(C1309="","",IF(L1309="À RENSEIGNER","GIC",L1309)&amp;"-S"&amp;TEXT(A1309,"00000"))</f>
        <v/>
      </c>
      <c r="C1309" s="32" t="n"/>
      <c r="D1309" s="36" t="n"/>
      <c r="E1309" s="36" t="n"/>
      <c r="F1309" s="42" t="n"/>
      <c r="G1309" s="36" t="n"/>
      <c r="H1309" s="43" t="n"/>
      <c r="I1309" s="37" t="n"/>
      <c r="J1309" s="44" t="n"/>
      <c r="K1309" s="36" t="n"/>
      <c r="L1309" s="33">
        <f>IF(C1309="","",Commercial_Id)</f>
        <v/>
      </c>
      <c r="M1309" s="34">
        <f>IF(E1309="","",IFERROR(VLOOKUP(E1309,T_Produits,2,FALSE),""))</f>
        <v/>
      </c>
      <c r="N1309" s="40">
        <f>IF(E1309="","",IFERROR(1/(1/VLOOKUP(E1309,T_Produits,3,FALSE)),""))</f>
        <v/>
      </c>
      <c r="O1309" s="40">
        <f>IF(OR(D1309="",F1309=""),"",IF(OR(D1309="Casse / avarie",D1309="Perte / vol",D1309="Échantillon offert"),IF(I1309&lt;&gt;"",I1309,IF(N1309="","",F1309*N1309)),""))</f>
        <v/>
      </c>
      <c r="P1309" s="50">
        <f>IF(OR(D1309="",F1309=""),"",F1309*IF(OR(D1309="Reçu du magasin",D1309="Ajustement (+)"),1,-1))</f>
        <v/>
      </c>
      <c r="Q1309" s="34">
        <f>IF(C1309="","",YEAR(C1309-WEEKDAY(C1309,2)+4)&amp;"-S"&amp;TEXT(INT((C1309-DATE(YEAR(C1309-WEEKDAY(C1309,2)+4),1,3)+WEEKDAY(DATE(YEAR(C1309-WEEKDAY(C1309,2)+4),1,3),2)+5)/7),"00"))</f>
        <v/>
      </c>
    </row>
    <row r="1310" ht="18" customHeight="1">
      <c r="A1310" s="39" t="n">
        <v>1305</v>
      </c>
      <c r="B1310" s="33">
        <f>IF(C1310="","",IF(L1310="À RENSEIGNER","GIC",L1310)&amp;"-S"&amp;TEXT(A1310,"00000"))</f>
        <v/>
      </c>
      <c r="C1310" s="32" t="n"/>
      <c r="D1310" s="36" t="n"/>
      <c r="E1310" s="36" t="n"/>
      <c r="F1310" s="42" t="n"/>
      <c r="G1310" s="36" t="n"/>
      <c r="H1310" s="43" t="n"/>
      <c r="I1310" s="37" t="n"/>
      <c r="J1310" s="44" t="n"/>
      <c r="K1310" s="36" t="n"/>
      <c r="L1310" s="33">
        <f>IF(C1310="","",Commercial_Id)</f>
        <v/>
      </c>
      <c r="M1310" s="34">
        <f>IF(E1310="","",IFERROR(VLOOKUP(E1310,T_Produits,2,FALSE),""))</f>
        <v/>
      </c>
      <c r="N1310" s="40">
        <f>IF(E1310="","",IFERROR(1/(1/VLOOKUP(E1310,T_Produits,3,FALSE)),""))</f>
        <v/>
      </c>
      <c r="O1310" s="40">
        <f>IF(OR(D1310="",F1310=""),"",IF(OR(D1310="Casse / avarie",D1310="Perte / vol",D1310="Échantillon offert"),IF(I1310&lt;&gt;"",I1310,IF(N1310="","",F1310*N1310)),""))</f>
        <v/>
      </c>
      <c r="P1310" s="50">
        <f>IF(OR(D1310="",F1310=""),"",F1310*IF(OR(D1310="Reçu du magasin",D1310="Ajustement (+)"),1,-1))</f>
        <v/>
      </c>
      <c r="Q1310" s="34">
        <f>IF(C1310="","",YEAR(C1310-WEEKDAY(C1310,2)+4)&amp;"-S"&amp;TEXT(INT((C1310-DATE(YEAR(C1310-WEEKDAY(C1310,2)+4),1,3)+WEEKDAY(DATE(YEAR(C1310-WEEKDAY(C1310,2)+4),1,3),2)+5)/7),"00"))</f>
        <v/>
      </c>
    </row>
    <row r="1311" ht="18" customHeight="1">
      <c r="A1311" s="39" t="n">
        <v>1306</v>
      </c>
      <c r="B1311" s="33">
        <f>IF(C1311="","",IF(L1311="À RENSEIGNER","GIC",L1311)&amp;"-S"&amp;TEXT(A1311,"00000"))</f>
        <v/>
      </c>
      <c r="C1311" s="32" t="n"/>
      <c r="D1311" s="36" t="n"/>
      <c r="E1311" s="36" t="n"/>
      <c r="F1311" s="42" t="n"/>
      <c r="G1311" s="36" t="n"/>
      <c r="H1311" s="43" t="n"/>
      <c r="I1311" s="37" t="n"/>
      <c r="J1311" s="44" t="n"/>
      <c r="K1311" s="36" t="n"/>
      <c r="L1311" s="33">
        <f>IF(C1311="","",Commercial_Id)</f>
        <v/>
      </c>
      <c r="M1311" s="34">
        <f>IF(E1311="","",IFERROR(VLOOKUP(E1311,T_Produits,2,FALSE),""))</f>
        <v/>
      </c>
      <c r="N1311" s="40">
        <f>IF(E1311="","",IFERROR(1/(1/VLOOKUP(E1311,T_Produits,3,FALSE)),""))</f>
        <v/>
      </c>
      <c r="O1311" s="40">
        <f>IF(OR(D1311="",F1311=""),"",IF(OR(D1311="Casse / avarie",D1311="Perte / vol",D1311="Échantillon offert"),IF(I1311&lt;&gt;"",I1311,IF(N1311="","",F1311*N1311)),""))</f>
        <v/>
      </c>
      <c r="P1311" s="50">
        <f>IF(OR(D1311="",F1311=""),"",F1311*IF(OR(D1311="Reçu du magasin",D1311="Ajustement (+)"),1,-1))</f>
        <v/>
      </c>
      <c r="Q1311" s="34">
        <f>IF(C1311="","",YEAR(C1311-WEEKDAY(C1311,2)+4)&amp;"-S"&amp;TEXT(INT((C1311-DATE(YEAR(C1311-WEEKDAY(C1311,2)+4),1,3)+WEEKDAY(DATE(YEAR(C1311-WEEKDAY(C1311,2)+4),1,3),2)+5)/7),"00"))</f>
        <v/>
      </c>
    </row>
    <row r="1312" ht="18" customHeight="1">
      <c r="A1312" s="39" t="n">
        <v>1307</v>
      </c>
      <c r="B1312" s="33">
        <f>IF(C1312="","",IF(L1312="À RENSEIGNER","GIC",L1312)&amp;"-S"&amp;TEXT(A1312,"00000"))</f>
        <v/>
      </c>
      <c r="C1312" s="32" t="n"/>
      <c r="D1312" s="36" t="n"/>
      <c r="E1312" s="36" t="n"/>
      <c r="F1312" s="42" t="n"/>
      <c r="G1312" s="36" t="n"/>
      <c r="H1312" s="43" t="n"/>
      <c r="I1312" s="37" t="n"/>
      <c r="J1312" s="44" t="n"/>
      <c r="K1312" s="36" t="n"/>
      <c r="L1312" s="33">
        <f>IF(C1312="","",Commercial_Id)</f>
        <v/>
      </c>
      <c r="M1312" s="34">
        <f>IF(E1312="","",IFERROR(VLOOKUP(E1312,T_Produits,2,FALSE),""))</f>
        <v/>
      </c>
      <c r="N1312" s="40">
        <f>IF(E1312="","",IFERROR(1/(1/VLOOKUP(E1312,T_Produits,3,FALSE)),""))</f>
        <v/>
      </c>
      <c r="O1312" s="40">
        <f>IF(OR(D1312="",F1312=""),"",IF(OR(D1312="Casse / avarie",D1312="Perte / vol",D1312="Échantillon offert"),IF(I1312&lt;&gt;"",I1312,IF(N1312="","",F1312*N1312)),""))</f>
        <v/>
      </c>
      <c r="P1312" s="50">
        <f>IF(OR(D1312="",F1312=""),"",F1312*IF(OR(D1312="Reçu du magasin",D1312="Ajustement (+)"),1,-1))</f>
        <v/>
      </c>
      <c r="Q1312" s="34">
        <f>IF(C1312="","",YEAR(C1312-WEEKDAY(C1312,2)+4)&amp;"-S"&amp;TEXT(INT((C1312-DATE(YEAR(C1312-WEEKDAY(C1312,2)+4),1,3)+WEEKDAY(DATE(YEAR(C1312-WEEKDAY(C1312,2)+4),1,3),2)+5)/7),"00"))</f>
        <v/>
      </c>
    </row>
    <row r="1313" ht="18" customHeight="1">
      <c r="A1313" s="39" t="n">
        <v>1308</v>
      </c>
      <c r="B1313" s="33">
        <f>IF(C1313="","",IF(L1313="À RENSEIGNER","GIC",L1313)&amp;"-S"&amp;TEXT(A1313,"00000"))</f>
        <v/>
      </c>
      <c r="C1313" s="32" t="n"/>
      <c r="D1313" s="36" t="n"/>
      <c r="E1313" s="36" t="n"/>
      <c r="F1313" s="42" t="n"/>
      <c r="G1313" s="36" t="n"/>
      <c r="H1313" s="43" t="n"/>
      <c r="I1313" s="37" t="n"/>
      <c r="J1313" s="44" t="n"/>
      <c r="K1313" s="36" t="n"/>
      <c r="L1313" s="33">
        <f>IF(C1313="","",Commercial_Id)</f>
        <v/>
      </c>
      <c r="M1313" s="34">
        <f>IF(E1313="","",IFERROR(VLOOKUP(E1313,T_Produits,2,FALSE),""))</f>
        <v/>
      </c>
      <c r="N1313" s="40">
        <f>IF(E1313="","",IFERROR(1/(1/VLOOKUP(E1313,T_Produits,3,FALSE)),""))</f>
        <v/>
      </c>
      <c r="O1313" s="40">
        <f>IF(OR(D1313="",F1313=""),"",IF(OR(D1313="Casse / avarie",D1313="Perte / vol",D1313="Échantillon offert"),IF(I1313&lt;&gt;"",I1313,IF(N1313="","",F1313*N1313)),""))</f>
        <v/>
      </c>
      <c r="P1313" s="50">
        <f>IF(OR(D1313="",F1313=""),"",F1313*IF(OR(D1313="Reçu du magasin",D1313="Ajustement (+)"),1,-1))</f>
        <v/>
      </c>
      <c r="Q1313" s="34">
        <f>IF(C1313="","",YEAR(C1313-WEEKDAY(C1313,2)+4)&amp;"-S"&amp;TEXT(INT((C1313-DATE(YEAR(C1313-WEEKDAY(C1313,2)+4),1,3)+WEEKDAY(DATE(YEAR(C1313-WEEKDAY(C1313,2)+4),1,3),2)+5)/7),"00"))</f>
        <v/>
      </c>
    </row>
    <row r="1314" ht="18" customHeight="1">
      <c r="A1314" s="39" t="n">
        <v>1309</v>
      </c>
      <c r="B1314" s="33">
        <f>IF(C1314="","",IF(L1314="À RENSEIGNER","GIC",L1314)&amp;"-S"&amp;TEXT(A1314,"00000"))</f>
        <v/>
      </c>
      <c r="C1314" s="32" t="n"/>
      <c r="D1314" s="36" t="n"/>
      <c r="E1314" s="36" t="n"/>
      <c r="F1314" s="42" t="n"/>
      <c r="G1314" s="36" t="n"/>
      <c r="H1314" s="43" t="n"/>
      <c r="I1314" s="37" t="n"/>
      <c r="J1314" s="44" t="n"/>
      <c r="K1314" s="36" t="n"/>
      <c r="L1314" s="33">
        <f>IF(C1314="","",Commercial_Id)</f>
        <v/>
      </c>
      <c r="M1314" s="34">
        <f>IF(E1314="","",IFERROR(VLOOKUP(E1314,T_Produits,2,FALSE),""))</f>
        <v/>
      </c>
      <c r="N1314" s="40">
        <f>IF(E1314="","",IFERROR(1/(1/VLOOKUP(E1314,T_Produits,3,FALSE)),""))</f>
        <v/>
      </c>
      <c r="O1314" s="40">
        <f>IF(OR(D1314="",F1314=""),"",IF(OR(D1314="Casse / avarie",D1314="Perte / vol",D1314="Échantillon offert"),IF(I1314&lt;&gt;"",I1314,IF(N1314="","",F1314*N1314)),""))</f>
        <v/>
      </c>
      <c r="P1314" s="50">
        <f>IF(OR(D1314="",F1314=""),"",F1314*IF(OR(D1314="Reçu du magasin",D1314="Ajustement (+)"),1,-1))</f>
        <v/>
      </c>
      <c r="Q1314" s="34">
        <f>IF(C1314="","",YEAR(C1314-WEEKDAY(C1314,2)+4)&amp;"-S"&amp;TEXT(INT((C1314-DATE(YEAR(C1314-WEEKDAY(C1314,2)+4),1,3)+WEEKDAY(DATE(YEAR(C1314-WEEKDAY(C1314,2)+4),1,3),2)+5)/7),"00"))</f>
        <v/>
      </c>
    </row>
    <row r="1315" ht="18" customHeight="1">
      <c r="A1315" s="39" t="n">
        <v>1310</v>
      </c>
      <c r="B1315" s="33">
        <f>IF(C1315="","",IF(L1315="À RENSEIGNER","GIC",L1315)&amp;"-S"&amp;TEXT(A1315,"00000"))</f>
        <v/>
      </c>
      <c r="C1315" s="32" t="n"/>
      <c r="D1315" s="36" t="n"/>
      <c r="E1315" s="36" t="n"/>
      <c r="F1315" s="42" t="n"/>
      <c r="G1315" s="36" t="n"/>
      <c r="H1315" s="43" t="n"/>
      <c r="I1315" s="37" t="n"/>
      <c r="J1315" s="44" t="n"/>
      <c r="K1315" s="36" t="n"/>
      <c r="L1315" s="33">
        <f>IF(C1315="","",Commercial_Id)</f>
        <v/>
      </c>
      <c r="M1315" s="34">
        <f>IF(E1315="","",IFERROR(VLOOKUP(E1315,T_Produits,2,FALSE),""))</f>
        <v/>
      </c>
      <c r="N1315" s="40">
        <f>IF(E1315="","",IFERROR(1/(1/VLOOKUP(E1315,T_Produits,3,FALSE)),""))</f>
        <v/>
      </c>
      <c r="O1315" s="40">
        <f>IF(OR(D1315="",F1315=""),"",IF(OR(D1315="Casse / avarie",D1315="Perte / vol",D1315="Échantillon offert"),IF(I1315&lt;&gt;"",I1315,IF(N1315="","",F1315*N1315)),""))</f>
        <v/>
      </c>
      <c r="P1315" s="50">
        <f>IF(OR(D1315="",F1315=""),"",F1315*IF(OR(D1315="Reçu du magasin",D1315="Ajustement (+)"),1,-1))</f>
        <v/>
      </c>
      <c r="Q1315" s="34">
        <f>IF(C1315="","",YEAR(C1315-WEEKDAY(C1315,2)+4)&amp;"-S"&amp;TEXT(INT((C1315-DATE(YEAR(C1315-WEEKDAY(C1315,2)+4),1,3)+WEEKDAY(DATE(YEAR(C1315-WEEKDAY(C1315,2)+4),1,3),2)+5)/7),"00"))</f>
        <v/>
      </c>
    </row>
    <row r="1316" ht="18" customHeight="1">
      <c r="A1316" s="39" t="n">
        <v>1311</v>
      </c>
      <c r="B1316" s="33">
        <f>IF(C1316="","",IF(L1316="À RENSEIGNER","GIC",L1316)&amp;"-S"&amp;TEXT(A1316,"00000"))</f>
        <v/>
      </c>
      <c r="C1316" s="32" t="n"/>
      <c r="D1316" s="36" t="n"/>
      <c r="E1316" s="36" t="n"/>
      <c r="F1316" s="42" t="n"/>
      <c r="G1316" s="36" t="n"/>
      <c r="H1316" s="43" t="n"/>
      <c r="I1316" s="37" t="n"/>
      <c r="J1316" s="44" t="n"/>
      <c r="K1316" s="36" t="n"/>
      <c r="L1316" s="33">
        <f>IF(C1316="","",Commercial_Id)</f>
        <v/>
      </c>
      <c r="M1316" s="34">
        <f>IF(E1316="","",IFERROR(VLOOKUP(E1316,T_Produits,2,FALSE),""))</f>
        <v/>
      </c>
      <c r="N1316" s="40">
        <f>IF(E1316="","",IFERROR(1/(1/VLOOKUP(E1316,T_Produits,3,FALSE)),""))</f>
        <v/>
      </c>
      <c r="O1316" s="40">
        <f>IF(OR(D1316="",F1316=""),"",IF(OR(D1316="Casse / avarie",D1316="Perte / vol",D1316="Échantillon offert"),IF(I1316&lt;&gt;"",I1316,IF(N1316="","",F1316*N1316)),""))</f>
        <v/>
      </c>
      <c r="P1316" s="50">
        <f>IF(OR(D1316="",F1316=""),"",F1316*IF(OR(D1316="Reçu du magasin",D1316="Ajustement (+)"),1,-1))</f>
        <v/>
      </c>
      <c r="Q1316" s="34">
        <f>IF(C1316="","",YEAR(C1316-WEEKDAY(C1316,2)+4)&amp;"-S"&amp;TEXT(INT((C1316-DATE(YEAR(C1316-WEEKDAY(C1316,2)+4),1,3)+WEEKDAY(DATE(YEAR(C1316-WEEKDAY(C1316,2)+4),1,3),2)+5)/7),"00"))</f>
        <v/>
      </c>
    </row>
    <row r="1317" ht="18" customHeight="1">
      <c r="A1317" s="39" t="n">
        <v>1312</v>
      </c>
      <c r="B1317" s="33">
        <f>IF(C1317="","",IF(L1317="À RENSEIGNER","GIC",L1317)&amp;"-S"&amp;TEXT(A1317,"00000"))</f>
        <v/>
      </c>
      <c r="C1317" s="32" t="n"/>
      <c r="D1317" s="36" t="n"/>
      <c r="E1317" s="36" t="n"/>
      <c r="F1317" s="42" t="n"/>
      <c r="G1317" s="36" t="n"/>
      <c r="H1317" s="43" t="n"/>
      <c r="I1317" s="37" t="n"/>
      <c r="J1317" s="44" t="n"/>
      <c r="K1317" s="36" t="n"/>
      <c r="L1317" s="33">
        <f>IF(C1317="","",Commercial_Id)</f>
        <v/>
      </c>
      <c r="M1317" s="34">
        <f>IF(E1317="","",IFERROR(VLOOKUP(E1317,T_Produits,2,FALSE),""))</f>
        <v/>
      </c>
      <c r="N1317" s="40">
        <f>IF(E1317="","",IFERROR(1/(1/VLOOKUP(E1317,T_Produits,3,FALSE)),""))</f>
        <v/>
      </c>
      <c r="O1317" s="40">
        <f>IF(OR(D1317="",F1317=""),"",IF(OR(D1317="Casse / avarie",D1317="Perte / vol",D1317="Échantillon offert"),IF(I1317&lt;&gt;"",I1317,IF(N1317="","",F1317*N1317)),""))</f>
        <v/>
      </c>
      <c r="P1317" s="50">
        <f>IF(OR(D1317="",F1317=""),"",F1317*IF(OR(D1317="Reçu du magasin",D1317="Ajustement (+)"),1,-1))</f>
        <v/>
      </c>
      <c r="Q1317" s="34">
        <f>IF(C1317="","",YEAR(C1317-WEEKDAY(C1317,2)+4)&amp;"-S"&amp;TEXT(INT((C1317-DATE(YEAR(C1317-WEEKDAY(C1317,2)+4),1,3)+WEEKDAY(DATE(YEAR(C1317-WEEKDAY(C1317,2)+4),1,3),2)+5)/7),"00"))</f>
        <v/>
      </c>
    </row>
    <row r="1318" ht="18" customHeight="1">
      <c r="A1318" s="39" t="n">
        <v>1313</v>
      </c>
      <c r="B1318" s="33">
        <f>IF(C1318="","",IF(L1318="À RENSEIGNER","GIC",L1318)&amp;"-S"&amp;TEXT(A1318,"00000"))</f>
        <v/>
      </c>
      <c r="C1318" s="32" t="n"/>
      <c r="D1318" s="36" t="n"/>
      <c r="E1318" s="36" t="n"/>
      <c r="F1318" s="42" t="n"/>
      <c r="G1318" s="36" t="n"/>
      <c r="H1318" s="43" t="n"/>
      <c r="I1318" s="37" t="n"/>
      <c r="J1318" s="44" t="n"/>
      <c r="K1318" s="36" t="n"/>
      <c r="L1318" s="33">
        <f>IF(C1318="","",Commercial_Id)</f>
        <v/>
      </c>
      <c r="M1318" s="34">
        <f>IF(E1318="","",IFERROR(VLOOKUP(E1318,T_Produits,2,FALSE),""))</f>
        <v/>
      </c>
      <c r="N1318" s="40">
        <f>IF(E1318="","",IFERROR(1/(1/VLOOKUP(E1318,T_Produits,3,FALSE)),""))</f>
        <v/>
      </c>
      <c r="O1318" s="40">
        <f>IF(OR(D1318="",F1318=""),"",IF(OR(D1318="Casse / avarie",D1318="Perte / vol",D1318="Échantillon offert"),IF(I1318&lt;&gt;"",I1318,IF(N1318="","",F1318*N1318)),""))</f>
        <v/>
      </c>
      <c r="P1318" s="50">
        <f>IF(OR(D1318="",F1318=""),"",F1318*IF(OR(D1318="Reçu du magasin",D1318="Ajustement (+)"),1,-1))</f>
        <v/>
      </c>
      <c r="Q1318" s="34">
        <f>IF(C1318="","",YEAR(C1318-WEEKDAY(C1318,2)+4)&amp;"-S"&amp;TEXT(INT((C1318-DATE(YEAR(C1318-WEEKDAY(C1318,2)+4),1,3)+WEEKDAY(DATE(YEAR(C1318-WEEKDAY(C1318,2)+4),1,3),2)+5)/7),"00"))</f>
        <v/>
      </c>
    </row>
    <row r="1319" ht="18" customHeight="1">
      <c r="A1319" s="39" t="n">
        <v>1314</v>
      </c>
      <c r="B1319" s="33">
        <f>IF(C1319="","",IF(L1319="À RENSEIGNER","GIC",L1319)&amp;"-S"&amp;TEXT(A1319,"00000"))</f>
        <v/>
      </c>
      <c r="C1319" s="32" t="n"/>
      <c r="D1319" s="36" t="n"/>
      <c r="E1319" s="36" t="n"/>
      <c r="F1319" s="42" t="n"/>
      <c r="G1319" s="36" t="n"/>
      <c r="H1319" s="43" t="n"/>
      <c r="I1319" s="37" t="n"/>
      <c r="J1319" s="44" t="n"/>
      <c r="K1319" s="36" t="n"/>
      <c r="L1319" s="33">
        <f>IF(C1319="","",Commercial_Id)</f>
        <v/>
      </c>
      <c r="M1319" s="34">
        <f>IF(E1319="","",IFERROR(VLOOKUP(E1319,T_Produits,2,FALSE),""))</f>
        <v/>
      </c>
      <c r="N1319" s="40">
        <f>IF(E1319="","",IFERROR(1/(1/VLOOKUP(E1319,T_Produits,3,FALSE)),""))</f>
        <v/>
      </c>
      <c r="O1319" s="40">
        <f>IF(OR(D1319="",F1319=""),"",IF(OR(D1319="Casse / avarie",D1319="Perte / vol",D1319="Échantillon offert"),IF(I1319&lt;&gt;"",I1319,IF(N1319="","",F1319*N1319)),""))</f>
        <v/>
      </c>
      <c r="P1319" s="50">
        <f>IF(OR(D1319="",F1319=""),"",F1319*IF(OR(D1319="Reçu du magasin",D1319="Ajustement (+)"),1,-1))</f>
        <v/>
      </c>
      <c r="Q1319" s="34">
        <f>IF(C1319="","",YEAR(C1319-WEEKDAY(C1319,2)+4)&amp;"-S"&amp;TEXT(INT((C1319-DATE(YEAR(C1319-WEEKDAY(C1319,2)+4),1,3)+WEEKDAY(DATE(YEAR(C1319-WEEKDAY(C1319,2)+4),1,3),2)+5)/7),"00"))</f>
        <v/>
      </c>
    </row>
    <row r="1320" ht="18" customHeight="1">
      <c r="A1320" s="39" t="n">
        <v>1315</v>
      </c>
      <c r="B1320" s="33">
        <f>IF(C1320="","",IF(L1320="À RENSEIGNER","GIC",L1320)&amp;"-S"&amp;TEXT(A1320,"00000"))</f>
        <v/>
      </c>
      <c r="C1320" s="32" t="n"/>
      <c r="D1320" s="36" t="n"/>
      <c r="E1320" s="36" t="n"/>
      <c r="F1320" s="42" t="n"/>
      <c r="G1320" s="36" t="n"/>
      <c r="H1320" s="43" t="n"/>
      <c r="I1320" s="37" t="n"/>
      <c r="J1320" s="44" t="n"/>
      <c r="K1320" s="36" t="n"/>
      <c r="L1320" s="33">
        <f>IF(C1320="","",Commercial_Id)</f>
        <v/>
      </c>
      <c r="M1320" s="34">
        <f>IF(E1320="","",IFERROR(VLOOKUP(E1320,T_Produits,2,FALSE),""))</f>
        <v/>
      </c>
      <c r="N1320" s="40">
        <f>IF(E1320="","",IFERROR(1/(1/VLOOKUP(E1320,T_Produits,3,FALSE)),""))</f>
        <v/>
      </c>
      <c r="O1320" s="40">
        <f>IF(OR(D1320="",F1320=""),"",IF(OR(D1320="Casse / avarie",D1320="Perte / vol",D1320="Échantillon offert"),IF(I1320&lt;&gt;"",I1320,IF(N1320="","",F1320*N1320)),""))</f>
        <v/>
      </c>
      <c r="P1320" s="50">
        <f>IF(OR(D1320="",F1320=""),"",F1320*IF(OR(D1320="Reçu du magasin",D1320="Ajustement (+)"),1,-1))</f>
        <v/>
      </c>
      <c r="Q1320" s="34">
        <f>IF(C1320="","",YEAR(C1320-WEEKDAY(C1320,2)+4)&amp;"-S"&amp;TEXT(INT((C1320-DATE(YEAR(C1320-WEEKDAY(C1320,2)+4),1,3)+WEEKDAY(DATE(YEAR(C1320-WEEKDAY(C1320,2)+4),1,3),2)+5)/7),"00"))</f>
        <v/>
      </c>
    </row>
    <row r="1321" ht="18" customHeight="1">
      <c r="A1321" s="39" t="n">
        <v>1316</v>
      </c>
      <c r="B1321" s="33">
        <f>IF(C1321="","",IF(L1321="À RENSEIGNER","GIC",L1321)&amp;"-S"&amp;TEXT(A1321,"00000"))</f>
        <v/>
      </c>
      <c r="C1321" s="32" t="n"/>
      <c r="D1321" s="36" t="n"/>
      <c r="E1321" s="36" t="n"/>
      <c r="F1321" s="42" t="n"/>
      <c r="G1321" s="36" t="n"/>
      <c r="H1321" s="43" t="n"/>
      <c r="I1321" s="37" t="n"/>
      <c r="J1321" s="44" t="n"/>
      <c r="K1321" s="36" t="n"/>
      <c r="L1321" s="33">
        <f>IF(C1321="","",Commercial_Id)</f>
        <v/>
      </c>
      <c r="M1321" s="34">
        <f>IF(E1321="","",IFERROR(VLOOKUP(E1321,T_Produits,2,FALSE),""))</f>
        <v/>
      </c>
      <c r="N1321" s="40">
        <f>IF(E1321="","",IFERROR(1/(1/VLOOKUP(E1321,T_Produits,3,FALSE)),""))</f>
        <v/>
      </c>
      <c r="O1321" s="40">
        <f>IF(OR(D1321="",F1321=""),"",IF(OR(D1321="Casse / avarie",D1321="Perte / vol",D1321="Échantillon offert"),IF(I1321&lt;&gt;"",I1321,IF(N1321="","",F1321*N1321)),""))</f>
        <v/>
      </c>
      <c r="P1321" s="50">
        <f>IF(OR(D1321="",F1321=""),"",F1321*IF(OR(D1321="Reçu du magasin",D1321="Ajustement (+)"),1,-1))</f>
        <v/>
      </c>
      <c r="Q1321" s="34">
        <f>IF(C1321="","",YEAR(C1321-WEEKDAY(C1321,2)+4)&amp;"-S"&amp;TEXT(INT((C1321-DATE(YEAR(C1321-WEEKDAY(C1321,2)+4),1,3)+WEEKDAY(DATE(YEAR(C1321-WEEKDAY(C1321,2)+4),1,3),2)+5)/7),"00"))</f>
        <v/>
      </c>
    </row>
    <row r="1322" ht="18" customHeight="1">
      <c r="A1322" s="39" t="n">
        <v>1317</v>
      </c>
      <c r="B1322" s="33">
        <f>IF(C1322="","",IF(L1322="À RENSEIGNER","GIC",L1322)&amp;"-S"&amp;TEXT(A1322,"00000"))</f>
        <v/>
      </c>
      <c r="C1322" s="32" t="n"/>
      <c r="D1322" s="36" t="n"/>
      <c r="E1322" s="36" t="n"/>
      <c r="F1322" s="42" t="n"/>
      <c r="G1322" s="36" t="n"/>
      <c r="H1322" s="43" t="n"/>
      <c r="I1322" s="37" t="n"/>
      <c r="J1322" s="44" t="n"/>
      <c r="K1322" s="36" t="n"/>
      <c r="L1322" s="33">
        <f>IF(C1322="","",Commercial_Id)</f>
        <v/>
      </c>
      <c r="M1322" s="34">
        <f>IF(E1322="","",IFERROR(VLOOKUP(E1322,T_Produits,2,FALSE),""))</f>
        <v/>
      </c>
      <c r="N1322" s="40">
        <f>IF(E1322="","",IFERROR(1/(1/VLOOKUP(E1322,T_Produits,3,FALSE)),""))</f>
        <v/>
      </c>
      <c r="O1322" s="40">
        <f>IF(OR(D1322="",F1322=""),"",IF(OR(D1322="Casse / avarie",D1322="Perte / vol",D1322="Échantillon offert"),IF(I1322&lt;&gt;"",I1322,IF(N1322="","",F1322*N1322)),""))</f>
        <v/>
      </c>
      <c r="P1322" s="50">
        <f>IF(OR(D1322="",F1322=""),"",F1322*IF(OR(D1322="Reçu du magasin",D1322="Ajustement (+)"),1,-1))</f>
        <v/>
      </c>
      <c r="Q1322" s="34">
        <f>IF(C1322="","",YEAR(C1322-WEEKDAY(C1322,2)+4)&amp;"-S"&amp;TEXT(INT((C1322-DATE(YEAR(C1322-WEEKDAY(C1322,2)+4),1,3)+WEEKDAY(DATE(YEAR(C1322-WEEKDAY(C1322,2)+4),1,3),2)+5)/7),"00"))</f>
        <v/>
      </c>
    </row>
    <row r="1323" ht="18" customHeight="1">
      <c r="A1323" s="39" t="n">
        <v>1318</v>
      </c>
      <c r="B1323" s="33">
        <f>IF(C1323="","",IF(L1323="À RENSEIGNER","GIC",L1323)&amp;"-S"&amp;TEXT(A1323,"00000"))</f>
        <v/>
      </c>
      <c r="C1323" s="32" t="n"/>
      <c r="D1323" s="36" t="n"/>
      <c r="E1323" s="36" t="n"/>
      <c r="F1323" s="42" t="n"/>
      <c r="G1323" s="36" t="n"/>
      <c r="H1323" s="43" t="n"/>
      <c r="I1323" s="37" t="n"/>
      <c r="J1323" s="44" t="n"/>
      <c r="K1323" s="36" t="n"/>
      <c r="L1323" s="33">
        <f>IF(C1323="","",Commercial_Id)</f>
        <v/>
      </c>
      <c r="M1323" s="34">
        <f>IF(E1323="","",IFERROR(VLOOKUP(E1323,T_Produits,2,FALSE),""))</f>
        <v/>
      </c>
      <c r="N1323" s="40">
        <f>IF(E1323="","",IFERROR(1/(1/VLOOKUP(E1323,T_Produits,3,FALSE)),""))</f>
        <v/>
      </c>
      <c r="O1323" s="40">
        <f>IF(OR(D1323="",F1323=""),"",IF(OR(D1323="Casse / avarie",D1323="Perte / vol",D1323="Échantillon offert"),IF(I1323&lt;&gt;"",I1323,IF(N1323="","",F1323*N1323)),""))</f>
        <v/>
      </c>
      <c r="P1323" s="50">
        <f>IF(OR(D1323="",F1323=""),"",F1323*IF(OR(D1323="Reçu du magasin",D1323="Ajustement (+)"),1,-1))</f>
        <v/>
      </c>
      <c r="Q1323" s="34">
        <f>IF(C1323="","",YEAR(C1323-WEEKDAY(C1323,2)+4)&amp;"-S"&amp;TEXT(INT((C1323-DATE(YEAR(C1323-WEEKDAY(C1323,2)+4),1,3)+WEEKDAY(DATE(YEAR(C1323-WEEKDAY(C1323,2)+4),1,3),2)+5)/7),"00"))</f>
        <v/>
      </c>
    </row>
    <row r="1324" ht="18" customHeight="1">
      <c r="A1324" s="39" t="n">
        <v>1319</v>
      </c>
      <c r="B1324" s="33">
        <f>IF(C1324="","",IF(L1324="À RENSEIGNER","GIC",L1324)&amp;"-S"&amp;TEXT(A1324,"00000"))</f>
        <v/>
      </c>
      <c r="C1324" s="32" t="n"/>
      <c r="D1324" s="36" t="n"/>
      <c r="E1324" s="36" t="n"/>
      <c r="F1324" s="42" t="n"/>
      <c r="G1324" s="36" t="n"/>
      <c r="H1324" s="43" t="n"/>
      <c r="I1324" s="37" t="n"/>
      <c r="J1324" s="44" t="n"/>
      <c r="K1324" s="36" t="n"/>
      <c r="L1324" s="33">
        <f>IF(C1324="","",Commercial_Id)</f>
        <v/>
      </c>
      <c r="M1324" s="34">
        <f>IF(E1324="","",IFERROR(VLOOKUP(E1324,T_Produits,2,FALSE),""))</f>
        <v/>
      </c>
      <c r="N1324" s="40">
        <f>IF(E1324="","",IFERROR(1/(1/VLOOKUP(E1324,T_Produits,3,FALSE)),""))</f>
        <v/>
      </c>
      <c r="O1324" s="40">
        <f>IF(OR(D1324="",F1324=""),"",IF(OR(D1324="Casse / avarie",D1324="Perte / vol",D1324="Échantillon offert"),IF(I1324&lt;&gt;"",I1324,IF(N1324="","",F1324*N1324)),""))</f>
        <v/>
      </c>
      <c r="P1324" s="50">
        <f>IF(OR(D1324="",F1324=""),"",F1324*IF(OR(D1324="Reçu du magasin",D1324="Ajustement (+)"),1,-1))</f>
        <v/>
      </c>
      <c r="Q1324" s="34">
        <f>IF(C1324="","",YEAR(C1324-WEEKDAY(C1324,2)+4)&amp;"-S"&amp;TEXT(INT((C1324-DATE(YEAR(C1324-WEEKDAY(C1324,2)+4),1,3)+WEEKDAY(DATE(YEAR(C1324-WEEKDAY(C1324,2)+4),1,3),2)+5)/7),"00"))</f>
        <v/>
      </c>
    </row>
    <row r="1325" ht="18" customHeight="1">
      <c r="A1325" s="39" t="n">
        <v>1320</v>
      </c>
      <c r="B1325" s="33">
        <f>IF(C1325="","",IF(L1325="À RENSEIGNER","GIC",L1325)&amp;"-S"&amp;TEXT(A1325,"00000"))</f>
        <v/>
      </c>
      <c r="C1325" s="32" t="n"/>
      <c r="D1325" s="36" t="n"/>
      <c r="E1325" s="36" t="n"/>
      <c r="F1325" s="42" t="n"/>
      <c r="G1325" s="36" t="n"/>
      <c r="H1325" s="43" t="n"/>
      <c r="I1325" s="37" t="n"/>
      <c r="J1325" s="44" t="n"/>
      <c r="K1325" s="36" t="n"/>
      <c r="L1325" s="33">
        <f>IF(C1325="","",Commercial_Id)</f>
        <v/>
      </c>
      <c r="M1325" s="34">
        <f>IF(E1325="","",IFERROR(VLOOKUP(E1325,T_Produits,2,FALSE),""))</f>
        <v/>
      </c>
      <c r="N1325" s="40">
        <f>IF(E1325="","",IFERROR(1/(1/VLOOKUP(E1325,T_Produits,3,FALSE)),""))</f>
        <v/>
      </c>
      <c r="O1325" s="40">
        <f>IF(OR(D1325="",F1325=""),"",IF(OR(D1325="Casse / avarie",D1325="Perte / vol",D1325="Échantillon offert"),IF(I1325&lt;&gt;"",I1325,IF(N1325="","",F1325*N1325)),""))</f>
        <v/>
      </c>
      <c r="P1325" s="50">
        <f>IF(OR(D1325="",F1325=""),"",F1325*IF(OR(D1325="Reçu du magasin",D1325="Ajustement (+)"),1,-1))</f>
        <v/>
      </c>
      <c r="Q1325" s="34">
        <f>IF(C1325="","",YEAR(C1325-WEEKDAY(C1325,2)+4)&amp;"-S"&amp;TEXT(INT((C1325-DATE(YEAR(C1325-WEEKDAY(C1325,2)+4),1,3)+WEEKDAY(DATE(YEAR(C1325-WEEKDAY(C1325,2)+4),1,3),2)+5)/7),"00"))</f>
        <v/>
      </c>
    </row>
    <row r="1326" ht="18" customHeight="1">
      <c r="A1326" s="39" t="n">
        <v>1321</v>
      </c>
      <c r="B1326" s="33">
        <f>IF(C1326="","",IF(L1326="À RENSEIGNER","GIC",L1326)&amp;"-S"&amp;TEXT(A1326,"00000"))</f>
        <v/>
      </c>
      <c r="C1326" s="32" t="n"/>
      <c r="D1326" s="36" t="n"/>
      <c r="E1326" s="36" t="n"/>
      <c r="F1326" s="42" t="n"/>
      <c r="G1326" s="36" t="n"/>
      <c r="H1326" s="43" t="n"/>
      <c r="I1326" s="37" t="n"/>
      <c r="J1326" s="44" t="n"/>
      <c r="K1326" s="36" t="n"/>
      <c r="L1326" s="33">
        <f>IF(C1326="","",Commercial_Id)</f>
        <v/>
      </c>
      <c r="M1326" s="34">
        <f>IF(E1326="","",IFERROR(VLOOKUP(E1326,T_Produits,2,FALSE),""))</f>
        <v/>
      </c>
      <c r="N1326" s="40">
        <f>IF(E1326="","",IFERROR(1/(1/VLOOKUP(E1326,T_Produits,3,FALSE)),""))</f>
        <v/>
      </c>
      <c r="O1326" s="40">
        <f>IF(OR(D1326="",F1326=""),"",IF(OR(D1326="Casse / avarie",D1326="Perte / vol",D1326="Échantillon offert"),IF(I1326&lt;&gt;"",I1326,IF(N1326="","",F1326*N1326)),""))</f>
        <v/>
      </c>
      <c r="P1326" s="50">
        <f>IF(OR(D1326="",F1326=""),"",F1326*IF(OR(D1326="Reçu du magasin",D1326="Ajustement (+)"),1,-1))</f>
        <v/>
      </c>
      <c r="Q1326" s="34">
        <f>IF(C1326="","",YEAR(C1326-WEEKDAY(C1326,2)+4)&amp;"-S"&amp;TEXT(INT((C1326-DATE(YEAR(C1326-WEEKDAY(C1326,2)+4),1,3)+WEEKDAY(DATE(YEAR(C1326-WEEKDAY(C1326,2)+4),1,3),2)+5)/7),"00"))</f>
        <v/>
      </c>
    </row>
    <row r="1327" ht="18" customHeight="1">
      <c r="A1327" s="39" t="n">
        <v>1322</v>
      </c>
      <c r="B1327" s="33">
        <f>IF(C1327="","",IF(L1327="À RENSEIGNER","GIC",L1327)&amp;"-S"&amp;TEXT(A1327,"00000"))</f>
        <v/>
      </c>
      <c r="C1327" s="32" t="n"/>
      <c r="D1327" s="36" t="n"/>
      <c r="E1327" s="36" t="n"/>
      <c r="F1327" s="42" t="n"/>
      <c r="G1327" s="36" t="n"/>
      <c r="H1327" s="43" t="n"/>
      <c r="I1327" s="37" t="n"/>
      <c r="J1327" s="44" t="n"/>
      <c r="K1327" s="36" t="n"/>
      <c r="L1327" s="33">
        <f>IF(C1327="","",Commercial_Id)</f>
        <v/>
      </c>
      <c r="M1327" s="34">
        <f>IF(E1327="","",IFERROR(VLOOKUP(E1327,T_Produits,2,FALSE),""))</f>
        <v/>
      </c>
      <c r="N1327" s="40">
        <f>IF(E1327="","",IFERROR(1/(1/VLOOKUP(E1327,T_Produits,3,FALSE)),""))</f>
        <v/>
      </c>
      <c r="O1327" s="40">
        <f>IF(OR(D1327="",F1327=""),"",IF(OR(D1327="Casse / avarie",D1327="Perte / vol",D1327="Échantillon offert"),IF(I1327&lt;&gt;"",I1327,IF(N1327="","",F1327*N1327)),""))</f>
        <v/>
      </c>
      <c r="P1327" s="50">
        <f>IF(OR(D1327="",F1327=""),"",F1327*IF(OR(D1327="Reçu du magasin",D1327="Ajustement (+)"),1,-1))</f>
        <v/>
      </c>
      <c r="Q1327" s="34">
        <f>IF(C1327="","",YEAR(C1327-WEEKDAY(C1327,2)+4)&amp;"-S"&amp;TEXT(INT((C1327-DATE(YEAR(C1327-WEEKDAY(C1327,2)+4),1,3)+WEEKDAY(DATE(YEAR(C1327-WEEKDAY(C1327,2)+4),1,3),2)+5)/7),"00"))</f>
        <v/>
      </c>
    </row>
    <row r="1328" ht="18" customHeight="1">
      <c r="A1328" s="39" t="n">
        <v>1323</v>
      </c>
      <c r="B1328" s="33">
        <f>IF(C1328="","",IF(L1328="À RENSEIGNER","GIC",L1328)&amp;"-S"&amp;TEXT(A1328,"00000"))</f>
        <v/>
      </c>
      <c r="C1328" s="32" t="n"/>
      <c r="D1328" s="36" t="n"/>
      <c r="E1328" s="36" t="n"/>
      <c r="F1328" s="42" t="n"/>
      <c r="G1328" s="36" t="n"/>
      <c r="H1328" s="43" t="n"/>
      <c r="I1328" s="37" t="n"/>
      <c r="J1328" s="44" t="n"/>
      <c r="K1328" s="36" t="n"/>
      <c r="L1328" s="33">
        <f>IF(C1328="","",Commercial_Id)</f>
        <v/>
      </c>
      <c r="M1328" s="34">
        <f>IF(E1328="","",IFERROR(VLOOKUP(E1328,T_Produits,2,FALSE),""))</f>
        <v/>
      </c>
      <c r="N1328" s="40">
        <f>IF(E1328="","",IFERROR(1/(1/VLOOKUP(E1328,T_Produits,3,FALSE)),""))</f>
        <v/>
      </c>
      <c r="O1328" s="40">
        <f>IF(OR(D1328="",F1328=""),"",IF(OR(D1328="Casse / avarie",D1328="Perte / vol",D1328="Échantillon offert"),IF(I1328&lt;&gt;"",I1328,IF(N1328="","",F1328*N1328)),""))</f>
        <v/>
      </c>
      <c r="P1328" s="50">
        <f>IF(OR(D1328="",F1328=""),"",F1328*IF(OR(D1328="Reçu du magasin",D1328="Ajustement (+)"),1,-1))</f>
        <v/>
      </c>
      <c r="Q1328" s="34">
        <f>IF(C1328="","",YEAR(C1328-WEEKDAY(C1328,2)+4)&amp;"-S"&amp;TEXT(INT((C1328-DATE(YEAR(C1328-WEEKDAY(C1328,2)+4),1,3)+WEEKDAY(DATE(YEAR(C1328-WEEKDAY(C1328,2)+4),1,3),2)+5)/7),"00"))</f>
        <v/>
      </c>
    </row>
    <row r="1329" ht="18" customHeight="1">
      <c r="A1329" s="39" t="n">
        <v>1324</v>
      </c>
      <c r="B1329" s="33">
        <f>IF(C1329="","",IF(L1329="À RENSEIGNER","GIC",L1329)&amp;"-S"&amp;TEXT(A1329,"00000"))</f>
        <v/>
      </c>
      <c r="C1329" s="32" t="n"/>
      <c r="D1329" s="36" t="n"/>
      <c r="E1329" s="36" t="n"/>
      <c r="F1329" s="42" t="n"/>
      <c r="G1329" s="36" t="n"/>
      <c r="H1329" s="43" t="n"/>
      <c r="I1329" s="37" t="n"/>
      <c r="J1329" s="44" t="n"/>
      <c r="K1329" s="36" t="n"/>
      <c r="L1329" s="33">
        <f>IF(C1329="","",Commercial_Id)</f>
        <v/>
      </c>
      <c r="M1329" s="34">
        <f>IF(E1329="","",IFERROR(VLOOKUP(E1329,T_Produits,2,FALSE),""))</f>
        <v/>
      </c>
      <c r="N1329" s="40">
        <f>IF(E1329="","",IFERROR(1/(1/VLOOKUP(E1329,T_Produits,3,FALSE)),""))</f>
        <v/>
      </c>
      <c r="O1329" s="40">
        <f>IF(OR(D1329="",F1329=""),"",IF(OR(D1329="Casse / avarie",D1329="Perte / vol",D1329="Échantillon offert"),IF(I1329&lt;&gt;"",I1329,IF(N1329="","",F1329*N1329)),""))</f>
        <v/>
      </c>
      <c r="P1329" s="50">
        <f>IF(OR(D1329="",F1329=""),"",F1329*IF(OR(D1329="Reçu du magasin",D1329="Ajustement (+)"),1,-1))</f>
        <v/>
      </c>
      <c r="Q1329" s="34">
        <f>IF(C1329="","",YEAR(C1329-WEEKDAY(C1329,2)+4)&amp;"-S"&amp;TEXT(INT((C1329-DATE(YEAR(C1329-WEEKDAY(C1329,2)+4),1,3)+WEEKDAY(DATE(YEAR(C1329-WEEKDAY(C1329,2)+4),1,3),2)+5)/7),"00"))</f>
        <v/>
      </c>
    </row>
    <row r="1330" ht="18" customHeight="1">
      <c r="A1330" s="39" t="n">
        <v>1325</v>
      </c>
      <c r="B1330" s="33">
        <f>IF(C1330="","",IF(L1330="À RENSEIGNER","GIC",L1330)&amp;"-S"&amp;TEXT(A1330,"00000"))</f>
        <v/>
      </c>
      <c r="C1330" s="32" t="n"/>
      <c r="D1330" s="36" t="n"/>
      <c r="E1330" s="36" t="n"/>
      <c r="F1330" s="42" t="n"/>
      <c r="G1330" s="36" t="n"/>
      <c r="H1330" s="43" t="n"/>
      <c r="I1330" s="37" t="n"/>
      <c r="J1330" s="44" t="n"/>
      <c r="K1330" s="36" t="n"/>
      <c r="L1330" s="33">
        <f>IF(C1330="","",Commercial_Id)</f>
        <v/>
      </c>
      <c r="M1330" s="34">
        <f>IF(E1330="","",IFERROR(VLOOKUP(E1330,T_Produits,2,FALSE),""))</f>
        <v/>
      </c>
      <c r="N1330" s="40">
        <f>IF(E1330="","",IFERROR(1/(1/VLOOKUP(E1330,T_Produits,3,FALSE)),""))</f>
        <v/>
      </c>
      <c r="O1330" s="40">
        <f>IF(OR(D1330="",F1330=""),"",IF(OR(D1330="Casse / avarie",D1330="Perte / vol",D1330="Échantillon offert"),IF(I1330&lt;&gt;"",I1330,IF(N1330="","",F1330*N1330)),""))</f>
        <v/>
      </c>
      <c r="P1330" s="50">
        <f>IF(OR(D1330="",F1330=""),"",F1330*IF(OR(D1330="Reçu du magasin",D1330="Ajustement (+)"),1,-1))</f>
        <v/>
      </c>
      <c r="Q1330" s="34">
        <f>IF(C1330="","",YEAR(C1330-WEEKDAY(C1330,2)+4)&amp;"-S"&amp;TEXT(INT((C1330-DATE(YEAR(C1330-WEEKDAY(C1330,2)+4),1,3)+WEEKDAY(DATE(YEAR(C1330-WEEKDAY(C1330,2)+4),1,3),2)+5)/7),"00"))</f>
        <v/>
      </c>
    </row>
    <row r="1331" ht="18" customHeight="1">
      <c r="A1331" s="39" t="n">
        <v>1326</v>
      </c>
      <c r="B1331" s="33">
        <f>IF(C1331="","",IF(L1331="À RENSEIGNER","GIC",L1331)&amp;"-S"&amp;TEXT(A1331,"00000"))</f>
        <v/>
      </c>
      <c r="C1331" s="32" t="n"/>
      <c r="D1331" s="36" t="n"/>
      <c r="E1331" s="36" t="n"/>
      <c r="F1331" s="42" t="n"/>
      <c r="G1331" s="36" t="n"/>
      <c r="H1331" s="43" t="n"/>
      <c r="I1331" s="37" t="n"/>
      <c r="J1331" s="44" t="n"/>
      <c r="K1331" s="36" t="n"/>
      <c r="L1331" s="33">
        <f>IF(C1331="","",Commercial_Id)</f>
        <v/>
      </c>
      <c r="M1331" s="34">
        <f>IF(E1331="","",IFERROR(VLOOKUP(E1331,T_Produits,2,FALSE),""))</f>
        <v/>
      </c>
      <c r="N1331" s="40">
        <f>IF(E1331="","",IFERROR(1/(1/VLOOKUP(E1331,T_Produits,3,FALSE)),""))</f>
        <v/>
      </c>
      <c r="O1331" s="40">
        <f>IF(OR(D1331="",F1331=""),"",IF(OR(D1331="Casse / avarie",D1331="Perte / vol",D1331="Échantillon offert"),IF(I1331&lt;&gt;"",I1331,IF(N1331="","",F1331*N1331)),""))</f>
        <v/>
      </c>
      <c r="P1331" s="50">
        <f>IF(OR(D1331="",F1331=""),"",F1331*IF(OR(D1331="Reçu du magasin",D1331="Ajustement (+)"),1,-1))</f>
        <v/>
      </c>
      <c r="Q1331" s="34">
        <f>IF(C1331="","",YEAR(C1331-WEEKDAY(C1331,2)+4)&amp;"-S"&amp;TEXT(INT((C1331-DATE(YEAR(C1331-WEEKDAY(C1331,2)+4),1,3)+WEEKDAY(DATE(YEAR(C1331-WEEKDAY(C1331,2)+4),1,3),2)+5)/7),"00"))</f>
        <v/>
      </c>
    </row>
    <row r="1332" ht="18" customHeight="1">
      <c r="A1332" s="39" t="n">
        <v>1327</v>
      </c>
      <c r="B1332" s="33">
        <f>IF(C1332="","",IF(L1332="À RENSEIGNER","GIC",L1332)&amp;"-S"&amp;TEXT(A1332,"00000"))</f>
        <v/>
      </c>
      <c r="C1332" s="32" t="n"/>
      <c r="D1332" s="36" t="n"/>
      <c r="E1332" s="36" t="n"/>
      <c r="F1332" s="42" t="n"/>
      <c r="G1332" s="36" t="n"/>
      <c r="H1332" s="43" t="n"/>
      <c r="I1332" s="37" t="n"/>
      <c r="J1332" s="44" t="n"/>
      <c r="K1332" s="36" t="n"/>
      <c r="L1332" s="33">
        <f>IF(C1332="","",Commercial_Id)</f>
        <v/>
      </c>
      <c r="M1332" s="34">
        <f>IF(E1332="","",IFERROR(VLOOKUP(E1332,T_Produits,2,FALSE),""))</f>
        <v/>
      </c>
      <c r="N1332" s="40">
        <f>IF(E1332="","",IFERROR(1/(1/VLOOKUP(E1332,T_Produits,3,FALSE)),""))</f>
        <v/>
      </c>
      <c r="O1332" s="40">
        <f>IF(OR(D1332="",F1332=""),"",IF(OR(D1332="Casse / avarie",D1332="Perte / vol",D1332="Échantillon offert"),IF(I1332&lt;&gt;"",I1332,IF(N1332="","",F1332*N1332)),""))</f>
        <v/>
      </c>
      <c r="P1332" s="50">
        <f>IF(OR(D1332="",F1332=""),"",F1332*IF(OR(D1332="Reçu du magasin",D1332="Ajustement (+)"),1,-1))</f>
        <v/>
      </c>
      <c r="Q1332" s="34">
        <f>IF(C1332="","",YEAR(C1332-WEEKDAY(C1332,2)+4)&amp;"-S"&amp;TEXT(INT((C1332-DATE(YEAR(C1332-WEEKDAY(C1332,2)+4),1,3)+WEEKDAY(DATE(YEAR(C1332-WEEKDAY(C1332,2)+4),1,3),2)+5)/7),"00"))</f>
        <v/>
      </c>
    </row>
    <row r="1333" ht="18" customHeight="1">
      <c r="A1333" s="39" t="n">
        <v>1328</v>
      </c>
      <c r="B1333" s="33">
        <f>IF(C1333="","",IF(L1333="À RENSEIGNER","GIC",L1333)&amp;"-S"&amp;TEXT(A1333,"00000"))</f>
        <v/>
      </c>
      <c r="C1333" s="32" t="n"/>
      <c r="D1333" s="36" t="n"/>
      <c r="E1333" s="36" t="n"/>
      <c r="F1333" s="42" t="n"/>
      <c r="G1333" s="36" t="n"/>
      <c r="H1333" s="43" t="n"/>
      <c r="I1333" s="37" t="n"/>
      <c r="J1333" s="44" t="n"/>
      <c r="K1333" s="36" t="n"/>
      <c r="L1333" s="33">
        <f>IF(C1333="","",Commercial_Id)</f>
        <v/>
      </c>
      <c r="M1333" s="34">
        <f>IF(E1333="","",IFERROR(VLOOKUP(E1333,T_Produits,2,FALSE),""))</f>
        <v/>
      </c>
      <c r="N1333" s="40">
        <f>IF(E1333="","",IFERROR(1/(1/VLOOKUP(E1333,T_Produits,3,FALSE)),""))</f>
        <v/>
      </c>
      <c r="O1333" s="40">
        <f>IF(OR(D1333="",F1333=""),"",IF(OR(D1333="Casse / avarie",D1333="Perte / vol",D1333="Échantillon offert"),IF(I1333&lt;&gt;"",I1333,IF(N1333="","",F1333*N1333)),""))</f>
        <v/>
      </c>
      <c r="P1333" s="50">
        <f>IF(OR(D1333="",F1333=""),"",F1333*IF(OR(D1333="Reçu du magasin",D1333="Ajustement (+)"),1,-1))</f>
        <v/>
      </c>
      <c r="Q1333" s="34">
        <f>IF(C1333="","",YEAR(C1333-WEEKDAY(C1333,2)+4)&amp;"-S"&amp;TEXT(INT((C1333-DATE(YEAR(C1333-WEEKDAY(C1333,2)+4),1,3)+WEEKDAY(DATE(YEAR(C1333-WEEKDAY(C1333,2)+4),1,3),2)+5)/7),"00"))</f>
        <v/>
      </c>
    </row>
    <row r="1334" ht="18" customHeight="1">
      <c r="A1334" s="39" t="n">
        <v>1329</v>
      </c>
      <c r="B1334" s="33">
        <f>IF(C1334="","",IF(L1334="À RENSEIGNER","GIC",L1334)&amp;"-S"&amp;TEXT(A1334,"00000"))</f>
        <v/>
      </c>
      <c r="C1334" s="32" t="n"/>
      <c r="D1334" s="36" t="n"/>
      <c r="E1334" s="36" t="n"/>
      <c r="F1334" s="42" t="n"/>
      <c r="G1334" s="36" t="n"/>
      <c r="H1334" s="43" t="n"/>
      <c r="I1334" s="37" t="n"/>
      <c r="J1334" s="44" t="n"/>
      <c r="K1334" s="36" t="n"/>
      <c r="L1334" s="33">
        <f>IF(C1334="","",Commercial_Id)</f>
        <v/>
      </c>
      <c r="M1334" s="34">
        <f>IF(E1334="","",IFERROR(VLOOKUP(E1334,T_Produits,2,FALSE),""))</f>
        <v/>
      </c>
      <c r="N1334" s="40">
        <f>IF(E1334="","",IFERROR(1/(1/VLOOKUP(E1334,T_Produits,3,FALSE)),""))</f>
        <v/>
      </c>
      <c r="O1334" s="40">
        <f>IF(OR(D1334="",F1334=""),"",IF(OR(D1334="Casse / avarie",D1334="Perte / vol",D1334="Échantillon offert"),IF(I1334&lt;&gt;"",I1334,IF(N1334="","",F1334*N1334)),""))</f>
        <v/>
      </c>
      <c r="P1334" s="50">
        <f>IF(OR(D1334="",F1334=""),"",F1334*IF(OR(D1334="Reçu du magasin",D1334="Ajustement (+)"),1,-1))</f>
        <v/>
      </c>
      <c r="Q1334" s="34">
        <f>IF(C1334="","",YEAR(C1334-WEEKDAY(C1334,2)+4)&amp;"-S"&amp;TEXT(INT((C1334-DATE(YEAR(C1334-WEEKDAY(C1334,2)+4),1,3)+WEEKDAY(DATE(YEAR(C1334-WEEKDAY(C1334,2)+4),1,3),2)+5)/7),"00"))</f>
        <v/>
      </c>
    </row>
    <row r="1335" ht="18" customHeight="1">
      <c r="A1335" s="39" t="n">
        <v>1330</v>
      </c>
      <c r="B1335" s="33">
        <f>IF(C1335="","",IF(L1335="À RENSEIGNER","GIC",L1335)&amp;"-S"&amp;TEXT(A1335,"00000"))</f>
        <v/>
      </c>
      <c r="C1335" s="32" t="n"/>
      <c r="D1335" s="36" t="n"/>
      <c r="E1335" s="36" t="n"/>
      <c r="F1335" s="42" t="n"/>
      <c r="G1335" s="36" t="n"/>
      <c r="H1335" s="43" t="n"/>
      <c r="I1335" s="37" t="n"/>
      <c r="J1335" s="44" t="n"/>
      <c r="K1335" s="36" t="n"/>
      <c r="L1335" s="33">
        <f>IF(C1335="","",Commercial_Id)</f>
        <v/>
      </c>
      <c r="M1335" s="34">
        <f>IF(E1335="","",IFERROR(VLOOKUP(E1335,T_Produits,2,FALSE),""))</f>
        <v/>
      </c>
      <c r="N1335" s="40">
        <f>IF(E1335="","",IFERROR(1/(1/VLOOKUP(E1335,T_Produits,3,FALSE)),""))</f>
        <v/>
      </c>
      <c r="O1335" s="40">
        <f>IF(OR(D1335="",F1335=""),"",IF(OR(D1335="Casse / avarie",D1335="Perte / vol",D1335="Échantillon offert"),IF(I1335&lt;&gt;"",I1335,IF(N1335="","",F1335*N1335)),""))</f>
        <v/>
      </c>
      <c r="P1335" s="50">
        <f>IF(OR(D1335="",F1335=""),"",F1335*IF(OR(D1335="Reçu du magasin",D1335="Ajustement (+)"),1,-1))</f>
        <v/>
      </c>
      <c r="Q1335" s="34">
        <f>IF(C1335="","",YEAR(C1335-WEEKDAY(C1335,2)+4)&amp;"-S"&amp;TEXT(INT((C1335-DATE(YEAR(C1335-WEEKDAY(C1335,2)+4),1,3)+WEEKDAY(DATE(YEAR(C1335-WEEKDAY(C1335,2)+4),1,3),2)+5)/7),"00"))</f>
        <v/>
      </c>
    </row>
    <row r="1336" ht="18" customHeight="1">
      <c r="A1336" s="39" t="n">
        <v>1331</v>
      </c>
      <c r="B1336" s="33">
        <f>IF(C1336="","",IF(L1336="À RENSEIGNER","GIC",L1336)&amp;"-S"&amp;TEXT(A1336,"00000"))</f>
        <v/>
      </c>
      <c r="C1336" s="32" t="n"/>
      <c r="D1336" s="36" t="n"/>
      <c r="E1336" s="36" t="n"/>
      <c r="F1336" s="42" t="n"/>
      <c r="G1336" s="36" t="n"/>
      <c r="H1336" s="43" t="n"/>
      <c r="I1336" s="37" t="n"/>
      <c r="J1336" s="44" t="n"/>
      <c r="K1336" s="36" t="n"/>
      <c r="L1336" s="33">
        <f>IF(C1336="","",Commercial_Id)</f>
        <v/>
      </c>
      <c r="M1336" s="34">
        <f>IF(E1336="","",IFERROR(VLOOKUP(E1336,T_Produits,2,FALSE),""))</f>
        <v/>
      </c>
      <c r="N1336" s="40">
        <f>IF(E1336="","",IFERROR(1/(1/VLOOKUP(E1336,T_Produits,3,FALSE)),""))</f>
        <v/>
      </c>
      <c r="O1336" s="40">
        <f>IF(OR(D1336="",F1336=""),"",IF(OR(D1336="Casse / avarie",D1336="Perte / vol",D1336="Échantillon offert"),IF(I1336&lt;&gt;"",I1336,IF(N1336="","",F1336*N1336)),""))</f>
        <v/>
      </c>
      <c r="P1336" s="50">
        <f>IF(OR(D1336="",F1336=""),"",F1336*IF(OR(D1336="Reçu du magasin",D1336="Ajustement (+)"),1,-1))</f>
        <v/>
      </c>
      <c r="Q1336" s="34">
        <f>IF(C1336="","",YEAR(C1336-WEEKDAY(C1336,2)+4)&amp;"-S"&amp;TEXT(INT((C1336-DATE(YEAR(C1336-WEEKDAY(C1336,2)+4),1,3)+WEEKDAY(DATE(YEAR(C1336-WEEKDAY(C1336,2)+4),1,3),2)+5)/7),"00"))</f>
        <v/>
      </c>
    </row>
    <row r="1337" ht="18" customHeight="1">
      <c r="A1337" s="39" t="n">
        <v>1332</v>
      </c>
      <c r="B1337" s="33">
        <f>IF(C1337="","",IF(L1337="À RENSEIGNER","GIC",L1337)&amp;"-S"&amp;TEXT(A1337,"00000"))</f>
        <v/>
      </c>
      <c r="C1337" s="32" t="n"/>
      <c r="D1337" s="36" t="n"/>
      <c r="E1337" s="36" t="n"/>
      <c r="F1337" s="42" t="n"/>
      <c r="G1337" s="36" t="n"/>
      <c r="H1337" s="43" t="n"/>
      <c r="I1337" s="37" t="n"/>
      <c r="J1337" s="44" t="n"/>
      <c r="K1337" s="36" t="n"/>
      <c r="L1337" s="33">
        <f>IF(C1337="","",Commercial_Id)</f>
        <v/>
      </c>
      <c r="M1337" s="34">
        <f>IF(E1337="","",IFERROR(VLOOKUP(E1337,T_Produits,2,FALSE),""))</f>
        <v/>
      </c>
      <c r="N1337" s="40">
        <f>IF(E1337="","",IFERROR(1/(1/VLOOKUP(E1337,T_Produits,3,FALSE)),""))</f>
        <v/>
      </c>
      <c r="O1337" s="40">
        <f>IF(OR(D1337="",F1337=""),"",IF(OR(D1337="Casse / avarie",D1337="Perte / vol",D1337="Échantillon offert"),IF(I1337&lt;&gt;"",I1337,IF(N1337="","",F1337*N1337)),""))</f>
        <v/>
      </c>
      <c r="P1337" s="50">
        <f>IF(OR(D1337="",F1337=""),"",F1337*IF(OR(D1337="Reçu du magasin",D1337="Ajustement (+)"),1,-1))</f>
        <v/>
      </c>
      <c r="Q1337" s="34">
        <f>IF(C1337="","",YEAR(C1337-WEEKDAY(C1337,2)+4)&amp;"-S"&amp;TEXT(INT((C1337-DATE(YEAR(C1337-WEEKDAY(C1337,2)+4),1,3)+WEEKDAY(DATE(YEAR(C1337-WEEKDAY(C1337,2)+4),1,3),2)+5)/7),"00"))</f>
        <v/>
      </c>
    </row>
    <row r="1338" ht="18" customHeight="1">
      <c r="A1338" s="39" t="n">
        <v>1333</v>
      </c>
      <c r="B1338" s="33">
        <f>IF(C1338="","",IF(L1338="À RENSEIGNER","GIC",L1338)&amp;"-S"&amp;TEXT(A1338,"00000"))</f>
        <v/>
      </c>
      <c r="C1338" s="32" t="n"/>
      <c r="D1338" s="36" t="n"/>
      <c r="E1338" s="36" t="n"/>
      <c r="F1338" s="42" t="n"/>
      <c r="G1338" s="36" t="n"/>
      <c r="H1338" s="43" t="n"/>
      <c r="I1338" s="37" t="n"/>
      <c r="J1338" s="44" t="n"/>
      <c r="K1338" s="36" t="n"/>
      <c r="L1338" s="33">
        <f>IF(C1338="","",Commercial_Id)</f>
        <v/>
      </c>
      <c r="M1338" s="34">
        <f>IF(E1338="","",IFERROR(VLOOKUP(E1338,T_Produits,2,FALSE),""))</f>
        <v/>
      </c>
      <c r="N1338" s="40">
        <f>IF(E1338="","",IFERROR(1/(1/VLOOKUP(E1338,T_Produits,3,FALSE)),""))</f>
        <v/>
      </c>
      <c r="O1338" s="40">
        <f>IF(OR(D1338="",F1338=""),"",IF(OR(D1338="Casse / avarie",D1338="Perte / vol",D1338="Échantillon offert"),IF(I1338&lt;&gt;"",I1338,IF(N1338="","",F1338*N1338)),""))</f>
        <v/>
      </c>
      <c r="P1338" s="50">
        <f>IF(OR(D1338="",F1338=""),"",F1338*IF(OR(D1338="Reçu du magasin",D1338="Ajustement (+)"),1,-1))</f>
        <v/>
      </c>
      <c r="Q1338" s="34">
        <f>IF(C1338="","",YEAR(C1338-WEEKDAY(C1338,2)+4)&amp;"-S"&amp;TEXT(INT((C1338-DATE(YEAR(C1338-WEEKDAY(C1338,2)+4),1,3)+WEEKDAY(DATE(YEAR(C1338-WEEKDAY(C1338,2)+4),1,3),2)+5)/7),"00"))</f>
        <v/>
      </c>
    </row>
    <row r="1339" ht="18" customHeight="1">
      <c r="A1339" s="39" t="n">
        <v>1334</v>
      </c>
      <c r="B1339" s="33">
        <f>IF(C1339="","",IF(L1339="À RENSEIGNER","GIC",L1339)&amp;"-S"&amp;TEXT(A1339,"00000"))</f>
        <v/>
      </c>
      <c r="C1339" s="32" t="n"/>
      <c r="D1339" s="36" t="n"/>
      <c r="E1339" s="36" t="n"/>
      <c r="F1339" s="42" t="n"/>
      <c r="G1339" s="36" t="n"/>
      <c r="H1339" s="43" t="n"/>
      <c r="I1339" s="37" t="n"/>
      <c r="J1339" s="44" t="n"/>
      <c r="K1339" s="36" t="n"/>
      <c r="L1339" s="33">
        <f>IF(C1339="","",Commercial_Id)</f>
        <v/>
      </c>
      <c r="M1339" s="34">
        <f>IF(E1339="","",IFERROR(VLOOKUP(E1339,T_Produits,2,FALSE),""))</f>
        <v/>
      </c>
      <c r="N1339" s="40">
        <f>IF(E1339="","",IFERROR(1/(1/VLOOKUP(E1339,T_Produits,3,FALSE)),""))</f>
        <v/>
      </c>
      <c r="O1339" s="40">
        <f>IF(OR(D1339="",F1339=""),"",IF(OR(D1339="Casse / avarie",D1339="Perte / vol",D1339="Échantillon offert"),IF(I1339&lt;&gt;"",I1339,IF(N1339="","",F1339*N1339)),""))</f>
        <v/>
      </c>
      <c r="P1339" s="50">
        <f>IF(OR(D1339="",F1339=""),"",F1339*IF(OR(D1339="Reçu du magasin",D1339="Ajustement (+)"),1,-1))</f>
        <v/>
      </c>
      <c r="Q1339" s="34">
        <f>IF(C1339="","",YEAR(C1339-WEEKDAY(C1339,2)+4)&amp;"-S"&amp;TEXT(INT((C1339-DATE(YEAR(C1339-WEEKDAY(C1339,2)+4),1,3)+WEEKDAY(DATE(YEAR(C1339-WEEKDAY(C1339,2)+4),1,3),2)+5)/7),"00"))</f>
        <v/>
      </c>
    </row>
    <row r="1340" ht="18" customHeight="1">
      <c r="A1340" s="39" t="n">
        <v>1335</v>
      </c>
      <c r="B1340" s="33">
        <f>IF(C1340="","",IF(L1340="À RENSEIGNER","GIC",L1340)&amp;"-S"&amp;TEXT(A1340,"00000"))</f>
        <v/>
      </c>
      <c r="C1340" s="32" t="n"/>
      <c r="D1340" s="36" t="n"/>
      <c r="E1340" s="36" t="n"/>
      <c r="F1340" s="42" t="n"/>
      <c r="G1340" s="36" t="n"/>
      <c r="H1340" s="43" t="n"/>
      <c r="I1340" s="37" t="n"/>
      <c r="J1340" s="44" t="n"/>
      <c r="K1340" s="36" t="n"/>
      <c r="L1340" s="33">
        <f>IF(C1340="","",Commercial_Id)</f>
        <v/>
      </c>
      <c r="M1340" s="34">
        <f>IF(E1340="","",IFERROR(VLOOKUP(E1340,T_Produits,2,FALSE),""))</f>
        <v/>
      </c>
      <c r="N1340" s="40">
        <f>IF(E1340="","",IFERROR(1/(1/VLOOKUP(E1340,T_Produits,3,FALSE)),""))</f>
        <v/>
      </c>
      <c r="O1340" s="40">
        <f>IF(OR(D1340="",F1340=""),"",IF(OR(D1340="Casse / avarie",D1340="Perte / vol",D1340="Échantillon offert"),IF(I1340&lt;&gt;"",I1340,IF(N1340="","",F1340*N1340)),""))</f>
        <v/>
      </c>
      <c r="P1340" s="50">
        <f>IF(OR(D1340="",F1340=""),"",F1340*IF(OR(D1340="Reçu du magasin",D1340="Ajustement (+)"),1,-1))</f>
        <v/>
      </c>
      <c r="Q1340" s="34">
        <f>IF(C1340="","",YEAR(C1340-WEEKDAY(C1340,2)+4)&amp;"-S"&amp;TEXT(INT((C1340-DATE(YEAR(C1340-WEEKDAY(C1340,2)+4),1,3)+WEEKDAY(DATE(YEAR(C1340-WEEKDAY(C1340,2)+4),1,3),2)+5)/7),"00"))</f>
        <v/>
      </c>
    </row>
    <row r="1341" ht="18" customHeight="1">
      <c r="A1341" s="39" t="n">
        <v>1336</v>
      </c>
      <c r="B1341" s="33">
        <f>IF(C1341="","",IF(L1341="À RENSEIGNER","GIC",L1341)&amp;"-S"&amp;TEXT(A1341,"00000"))</f>
        <v/>
      </c>
      <c r="C1341" s="32" t="n"/>
      <c r="D1341" s="36" t="n"/>
      <c r="E1341" s="36" t="n"/>
      <c r="F1341" s="42" t="n"/>
      <c r="G1341" s="36" t="n"/>
      <c r="H1341" s="43" t="n"/>
      <c r="I1341" s="37" t="n"/>
      <c r="J1341" s="44" t="n"/>
      <c r="K1341" s="36" t="n"/>
      <c r="L1341" s="33">
        <f>IF(C1341="","",Commercial_Id)</f>
        <v/>
      </c>
      <c r="M1341" s="34">
        <f>IF(E1341="","",IFERROR(VLOOKUP(E1341,T_Produits,2,FALSE),""))</f>
        <v/>
      </c>
      <c r="N1341" s="40">
        <f>IF(E1341="","",IFERROR(1/(1/VLOOKUP(E1341,T_Produits,3,FALSE)),""))</f>
        <v/>
      </c>
      <c r="O1341" s="40">
        <f>IF(OR(D1341="",F1341=""),"",IF(OR(D1341="Casse / avarie",D1341="Perte / vol",D1341="Échantillon offert"),IF(I1341&lt;&gt;"",I1341,IF(N1341="","",F1341*N1341)),""))</f>
        <v/>
      </c>
      <c r="P1341" s="50">
        <f>IF(OR(D1341="",F1341=""),"",F1341*IF(OR(D1341="Reçu du magasin",D1341="Ajustement (+)"),1,-1))</f>
        <v/>
      </c>
      <c r="Q1341" s="34">
        <f>IF(C1341="","",YEAR(C1341-WEEKDAY(C1341,2)+4)&amp;"-S"&amp;TEXT(INT((C1341-DATE(YEAR(C1341-WEEKDAY(C1341,2)+4),1,3)+WEEKDAY(DATE(YEAR(C1341-WEEKDAY(C1341,2)+4),1,3),2)+5)/7),"00"))</f>
        <v/>
      </c>
    </row>
    <row r="1342" ht="18" customHeight="1">
      <c r="A1342" s="39" t="n">
        <v>1337</v>
      </c>
      <c r="B1342" s="33">
        <f>IF(C1342="","",IF(L1342="À RENSEIGNER","GIC",L1342)&amp;"-S"&amp;TEXT(A1342,"00000"))</f>
        <v/>
      </c>
      <c r="C1342" s="32" t="n"/>
      <c r="D1342" s="36" t="n"/>
      <c r="E1342" s="36" t="n"/>
      <c r="F1342" s="42" t="n"/>
      <c r="G1342" s="36" t="n"/>
      <c r="H1342" s="43" t="n"/>
      <c r="I1342" s="37" t="n"/>
      <c r="J1342" s="44" t="n"/>
      <c r="K1342" s="36" t="n"/>
      <c r="L1342" s="33">
        <f>IF(C1342="","",Commercial_Id)</f>
        <v/>
      </c>
      <c r="M1342" s="34">
        <f>IF(E1342="","",IFERROR(VLOOKUP(E1342,T_Produits,2,FALSE),""))</f>
        <v/>
      </c>
      <c r="N1342" s="40">
        <f>IF(E1342="","",IFERROR(1/(1/VLOOKUP(E1342,T_Produits,3,FALSE)),""))</f>
        <v/>
      </c>
      <c r="O1342" s="40">
        <f>IF(OR(D1342="",F1342=""),"",IF(OR(D1342="Casse / avarie",D1342="Perte / vol",D1342="Échantillon offert"),IF(I1342&lt;&gt;"",I1342,IF(N1342="","",F1342*N1342)),""))</f>
        <v/>
      </c>
      <c r="P1342" s="50">
        <f>IF(OR(D1342="",F1342=""),"",F1342*IF(OR(D1342="Reçu du magasin",D1342="Ajustement (+)"),1,-1))</f>
        <v/>
      </c>
      <c r="Q1342" s="34">
        <f>IF(C1342="","",YEAR(C1342-WEEKDAY(C1342,2)+4)&amp;"-S"&amp;TEXT(INT((C1342-DATE(YEAR(C1342-WEEKDAY(C1342,2)+4),1,3)+WEEKDAY(DATE(YEAR(C1342-WEEKDAY(C1342,2)+4),1,3),2)+5)/7),"00"))</f>
        <v/>
      </c>
    </row>
    <row r="1343" ht="18" customHeight="1">
      <c r="A1343" s="39" t="n">
        <v>1338</v>
      </c>
      <c r="B1343" s="33">
        <f>IF(C1343="","",IF(L1343="À RENSEIGNER","GIC",L1343)&amp;"-S"&amp;TEXT(A1343,"00000"))</f>
        <v/>
      </c>
      <c r="C1343" s="32" t="n"/>
      <c r="D1343" s="36" t="n"/>
      <c r="E1343" s="36" t="n"/>
      <c r="F1343" s="42" t="n"/>
      <c r="G1343" s="36" t="n"/>
      <c r="H1343" s="43" t="n"/>
      <c r="I1343" s="37" t="n"/>
      <c r="J1343" s="44" t="n"/>
      <c r="K1343" s="36" t="n"/>
      <c r="L1343" s="33">
        <f>IF(C1343="","",Commercial_Id)</f>
        <v/>
      </c>
      <c r="M1343" s="34">
        <f>IF(E1343="","",IFERROR(VLOOKUP(E1343,T_Produits,2,FALSE),""))</f>
        <v/>
      </c>
      <c r="N1343" s="40">
        <f>IF(E1343="","",IFERROR(1/(1/VLOOKUP(E1343,T_Produits,3,FALSE)),""))</f>
        <v/>
      </c>
      <c r="O1343" s="40">
        <f>IF(OR(D1343="",F1343=""),"",IF(OR(D1343="Casse / avarie",D1343="Perte / vol",D1343="Échantillon offert"),IF(I1343&lt;&gt;"",I1343,IF(N1343="","",F1343*N1343)),""))</f>
        <v/>
      </c>
      <c r="P1343" s="50">
        <f>IF(OR(D1343="",F1343=""),"",F1343*IF(OR(D1343="Reçu du magasin",D1343="Ajustement (+)"),1,-1))</f>
        <v/>
      </c>
      <c r="Q1343" s="34">
        <f>IF(C1343="","",YEAR(C1343-WEEKDAY(C1343,2)+4)&amp;"-S"&amp;TEXT(INT((C1343-DATE(YEAR(C1343-WEEKDAY(C1343,2)+4),1,3)+WEEKDAY(DATE(YEAR(C1343-WEEKDAY(C1343,2)+4),1,3),2)+5)/7),"00"))</f>
        <v/>
      </c>
    </row>
    <row r="1344" ht="18" customHeight="1">
      <c r="A1344" s="39" t="n">
        <v>1339</v>
      </c>
      <c r="B1344" s="33">
        <f>IF(C1344="","",IF(L1344="À RENSEIGNER","GIC",L1344)&amp;"-S"&amp;TEXT(A1344,"00000"))</f>
        <v/>
      </c>
      <c r="C1344" s="32" t="n"/>
      <c r="D1344" s="36" t="n"/>
      <c r="E1344" s="36" t="n"/>
      <c r="F1344" s="42" t="n"/>
      <c r="G1344" s="36" t="n"/>
      <c r="H1344" s="43" t="n"/>
      <c r="I1344" s="37" t="n"/>
      <c r="J1344" s="44" t="n"/>
      <c r="K1344" s="36" t="n"/>
      <c r="L1344" s="33">
        <f>IF(C1344="","",Commercial_Id)</f>
        <v/>
      </c>
      <c r="M1344" s="34">
        <f>IF(E1344="","",IFERROR(VLOOKUP(E1344,T_Produits,2,FALSE),""))</f>
        <v/>
      </c>
      <c r="N1344" s="40">
        <f>IF(E1344="","",IFERROR(1/(1/VLOOKUP(E1344,T_Produits,3,FALSE)),""))</f>
        <v/>
      </c>
      <c r="O1344" s="40">
        <f>IF(OR(D1344="",F1344=""),"",IF(OR(D1344="Casse / avarie",D1344="Perte / vol",D1344="Échantillon offert"),IF(I1344&lt;&gt;"",I1344,IF(N1344="","",F1344*N1344)),""))</f>
        <v/>
      </c>
      <c r="P1344" s="50">
        <f>IF(OR(D1344="",F1344=""),"",F1344*IF(OR(D1344="Reçu du magasin",D1344="Ajustement (+)"),1,-1))</f>
        <v/>
      </c>
      <c r="Q1344" s="34">
        <f>IF(C1344="","",YEAR(C1344-WEEKDAY(C1344,2)+4)&amp;"-S"&amp;TEXT(INT((C1344-DATE(YEAR(C1344-WEEKDAY(C1344,2)+4),1,3)+WEEKDAY(DATE(YEAR(C1344-WEEKDAY(C1344,2)+4),1,3),2)+5)/7),"00"))</f>
        <v/>
      </c>
    </row>
    <row r="1345" ht="18" customHeight="1">
      <c r="A1345" s="39" t="n">
        <v>1340</v>
      </c>
      <c r="B1345" s="33">
        <f>IF(C1345="","",IF(L1345="À RENSEIGNER","GIC",L1345)&amp;"-S"&amp;TEXT(A1345,"00000"))</f>
        <v/>
      </c>
      <c r="C1345" s="32" t="n"/>
      <c r="D1345" s="36" t="n"/>
      <c r="E1345" s="36" t="n"/>
      <c r="F1345" s="42" t="n"/>
      <c r="G1345" s="36" t="n"/>
      <c r="H1345" s="43" t="n"/>
      <c r="I1345" s="37" t="n"/>
      <c r="J1345" s="44" t="n"/>
      <c r="K1345" s="36" t="n"/>
      <c r="L1345" s="33">
        <f>IF(C1345="","",Commercial_Id)</f>
        <v/>
      </c>
      <c r="M1345" s="34">
        <f>IF(E1345="","",IFERROR(VLOOKUP(E1345,T_Produits,2,FALSE),""))</f>
        <v/>
      </c>
      <c r="N1345" s="40">
        <f>IF(E1345="","",IFERROR(1/(1/VLOOKUP(E1345,T_Produits,3,FALSE)),""))</f>
        <v/>
      </c>
      <c r="O1345" s="40">
        <f>IF(OR(D1345="",F1345=""),"",IF(OR(D1345="Casse / avarie",D1345="Perte / vol",D1345="Échantillon offert"),IF(I1345&lt;&gt;"",I1345,IF(N1345="","",F1345*N1345)),""))</f>
        <v/>
      </c>
      <c r="P1345" s="50">
        <f>IF(OR(D1345="",F1345=""),"",F1345*IF(OR(D1345="Reçu du magasin",D1345="Ajustement (+)"),1,-1))</f>
        <v/>
      </c>
      <c r="Q1345" s="34">
        <f>IF(C1345="","",YEAR(C1345-WEEKDAY(C1345,2)+4)&amp;"-S"&amp;TEXT(INT((C1345-DATE(YEAR(C1345-WEEKDAY(C1345,2)+4),1,3)+WEEKDAY(DATE(YEAR(C1345-WEEKDAY(C1345,2)+4),1,3),2)+5)/7),"00"))</f>
        <v/>
      </c>
    </row>
    <row r="1346" ht="18" customHeight="1">
      <c r="A1346" s="39" t="n">
        <v>1341</v>
      </c>
      <c r="B1346" s="33">
        <f>IF(C1346="","",IF(L1346="À RENSEIGNER","GIC",L1346)&amp;"-S"&amp;TEXT(A1346,"00000"))</f>
        <v/>
      </c>
      <c r="C1346" s="32" t="n"/>
      <c r="D1346" s="36" t="n"/>
      <c r="E1346" s="36" t="n"/>
      <c r="F1346" s="42" t="n"/>
      <c r="G1346" s="36" t="n"/>
      <c r="H1346" s="43" t="n"/>
      <c r="I1346" s="37" t="n"/>
      <c r="J1346" s="44" t="n"/>
      <c r="K1346" s="36" t="n"/>
      <c r="L1346" s="33">
        <f>IF(C1346="","",Commercial_Id)</f>
        <v/>
      </c>
      <c r="M1346" s="34">
        <f>IF(E1346="","",IFERROR(VLOOKUP(E1346,T_Produits,2,FALSE),""))</f>
        <v/>
      </c>
      <c r="N1346" s="40">
        <f>IF(E1346="","",IFERROR(1/(1/VLOOKUP(E1346,T_Produits,3,FALSE)),""))</f>
        <v/>
      </c>
      <c r="O1346" s="40">
        <f>IF(OR(D1346="",F1346=""),"",IF(OR(D1346="Casse / avarie",D1346="Perte / vol",D1346="Échantillon offert"),IF(I1346&lt;&gt;"",I1346,IF(N1346="","",F1346*N1346)),""))</f>
        <v/>
      </c>
      <c r="P1346" s="50">
        <f>IF(OR(D1346="",F1346=""),"",F1346*IF(OR(D1346="Reçu du magasin",D1346="Ajustement (+)"),1,-1))</f>
        <v/>
      </c>
      <c r="Q1346" s="34">
        <f>IF(C1346="","",YEAR(C1346-WEEKDAY(C1346,2)+4)&amp;"-S"&amp;TEXT(INT((C1346-DATE(YEAR(C1346-WEEKDAY(C1346,2)+4),1,3)+WEEKDAY(DATE(YEAR(C1346-WEEKDAY(C1346,2)+4),1,3),2)+5)/7),"00"))</f>
        <v/>
      </c>
    </row>
    <row r="1347" ht="18" customHeight="1">
      <c r="A1347" s="39" t="n">
        <v>1342</v>
      </c>
      <c r="B1347" s="33">
        <f>IF(C1347="","",IF(L1347="À RENSEIGNER","GIC",L1347)&amp;"-S"&amp;TEXT(A1347,"00000"))</f>
        <v/>
      </c>
      <c r="C1347" s="32" t="n"/>
      <c r="D1347" s="36" t="n"/>
      <c r="E1347" s="36" t="n"/>
      <c r="F1347" s="42" t="n"/>
      <c r="G1347" s="36" t="n"/>
      <c r="H1347" s="43" t="n"/>
      <c r="I1347" s="37" t="n"/>
      <c r="J1347" s="44" t="n"/>
      <c r="K1347" s="36" t="n"/>
      <c r="L1347" s="33">
        <f>IF(C1347="","",Commercial_Id)</f>
        <v/>
      </c>
      <c r="M1347" s="34">
        <f>IF(E1347="","",IFERROR(VLOOKUP(E1347,T_Produits,2,FALSE),""))</f>
        <v/>
      </c>
      <c r="N1347" s="40">
        <f>IF(E1347="","",IFERROR(1/(1/VLOOKUP(E1347,T_Produits,3,FALSE)),""))</f>
        <v/>
      </c>
      <c r="O1347" s="40">
        <f>IF(OR(D1347="",F1347=""),"",IF(OR(D1347="Casse / avarie",D1347="Perte / vol",D1347="Échantillon offert"),IF(I1347&lt;&gt;"",I1347,IF(N1347="","",F1347*N1347)),""))</f>
        <v/>
      </c>
      <c r="P1347" s="50">
        <f>IF(OR(D1347="",F1347=""),"",F1347*IF(OR(D1347="Reçu du magasin",D1347="Ajustement (+)"),1,-1))</f>
        <v/>
      </c>
      <c r="Q1347" s="34">
        <f>IF(C1347="","",YEAR(C1347-WEEKDAY(C1347,2)+4)&amp;"-S"&amp;TEXT(INT((C1347-DATE(YEAR(C1347-WEEKDAY(C1347,2)+4),1,3)+WEEKDAY(DATE(YEAR(C1347-WEEKDAY(C1347,2)+4),1,3),2)+5)/7),"00"))</f>
        <v/>
      </c>
    </row>
    <row r="1348" ht="18" customHeight="1">
      <c r="A1348" s="39" t="n">
        <v>1343</v>
      </c>
      <c r="B1348" s="33">
        <f>IF(C1348="","",IF(L1348="À RENSEIGNER","GIC",L1348)&amp;"-S"&amp;TEXT(A1348,"00000"))</f>
        <v/>
      </c>
      <c r="C1348" s="32" t="n"/>
      <c r="D1348" s="36" t="n"/>
      <c r="E1348" s="36" t="n"/>
      <c r="F1348" s="42" t="n"/>
      <c r="G1348" s="36" t="n"/>
      <c r="H1348" s="43" t="n"/>
      <c r="I1348" s="37" t="n"/>
      <c r="J1348" s="44" t="n"/>
      <c r="K1348" s="36" t="n"/>
      <c r="L1348" s="33">
        <f>IF(C1348="","",Commercial_Id)</f>
        <v/>
      </c>
      <c r="M1348" s="34">
        <f>IF(E1348="","",IFERROR(VLOOKUP(E1348,T_Produits,2,FALSE),""))</f>
        <v/>
      </c>
      <c r="N1348" s="40">
        <f>IF(E1348="","",IFERROR(1/(1/VLOOKUP(E1348,T_Produits,3,FALSE)),""))</f>
        <v/>
      </c>
      <c r="O1348" s="40">
        <f>IF(OR(D1348="",F1348=""),"",IF(OR(D1348="Casse / avarie",D1348="Perte / vol",D1348="Échantillon offert"),IF(I1348&lt;&gt;"",I1348,IF(N1348="","",F1348*N1348)),""))</f>
        <v/>
      </c>
      <c r="P1348" s="50">
        <f>IF(OR(D1348="",F1348=""),"",F1348*IF(OR(D1348="Reçu du magasin",D1348="Ajustement (+)"),1,-1))</f>
        <v/>
      </c>
      <c r="Q1348" s="34">
        <f>IF(C1348="","",YEAR(C1348-WEEKDAY(C1348,2)+4)&amp;"-S"&amp;TEXT(INT((C1348-DATE(YEAR(C1348-WEEKDAY(C1348,2)+4),1,3)+WEEKDAY(DATE(YEAR(C1348-WEEKDAY(C1348,2)+4),1,3),2)+5)/7),"00"))</f>
        <v/>
      </c>
    </row>
    <row r="1349" ht="18" customHeight="1">
      <c r="A1349" s="39" t="n">
        <v>1344</v>
      </c>
      <c r="B1349" s="33">
        <f>IF(C1349="","",IF(L1349="À RENSEIGNER","GIC",L1349)&amp;"-S"&amp;TEXT(A1349,"00000"))</f>
        <v/>
      </c>
      <c r="C1349" s="32" t="n"/>
      <c r="D1349" s="36" t="n"/>
      <c r="E1349" s="36" t="n"/>
      <c r="F1349" s="42" t="n"/>
      <c r="G1349" s="36" t="n"/>
      <c r="H1349" s="43" t="n"/>
      <c r="I1349" s="37" t="n"/>
      <c r="J1349" s="44" t="n"/>
      <c r="K1349" s="36" t="n"/>
      <c r="L1349" s="33">
        <f>IF(C1349="","",Commercial_Id)</f>
        <v/>
      </c>
      <c r="M1349" s="34">
        <f>IF(E1349="","",IFERROR(VLOOKUP(E1349,T_Produits,2,FALSE),""))</f>
        <v/>
      </c>
      <c r="N1349" s="40">
        <f>IF(E1349="","",IFERROR(1/(1/VLOOKUP(E1349,T_Produits,3,FALSE)),""))</f>
        <v/>
      </c>
      <c r="O1349" s="40">
        <f>IF(OR(D1349="",F1349=""),"",IF(OR(D1349="Casse / avarie",D1349="Perte / vol",D1349="Échantillon offert"),IF(I1349&lt;&gt;"",I1349,IF(N1349="","",F1349*N1349)),""))</f>
        <v/>
      </c>
      <c r="P1349" s="50">
        <f>IF(OR(D1349="",F1349=""),"",F1349*IF(OR(D1349="Reçu du magasin",D1349="Ajustement (+)"),1,-1))</f>
        <v/>
      </c>
      <c r="Q1349" s="34">
        <f>IF(C1349="","",YEAR(C1349-WEEKDAY(C1349,2)+4)&amp;"-S"&amp;TEXT(INT((C1349-DATE(YEAR(C1349-WEEKDAY(C1349,2)+4),1,3)+WEEKDAY(DATE(YEAR(C1349-WEEKDAY(C1349,2)+4),1,3),2)+5)/7),"00"))</f>
        <v/>
      </c>
    </row>
    <row r="1350" ht="18" customHeight="1">
      <c r="A1350" s="39" t="n">
        <v>1345</v>
      </c>
      <c r="B1350" s="33">
        <f>IF(C1350="","",IF(L1350="À RENSEIGNER","GIC",L1350)&amp;"-S"&amp;TEXT(A1350,"00000"))</f>
        <v/>
      </c>
      <c r="C1350" s="32" t="n"/>
      <c r="D1350" s="36" t="n"/>
      <c r="E1350" s="36" t="n"/>
      <c r="F1350" s="42" t="n"/>
      <c r="G1350" s="36" t="n"/>
      <c r="H1350" s="43" t="n"/>
      <c r="I1350" s="37" t="n"/>
      <c r="J1350" s="44" t="n"/>
      <c r="K1350" s="36" t="n"/>
      <c r="L1350" s="33">
        <f>IF(C1350="","",Commercial_Id)</f>
        <v/>
      </c>
      <c r="M1350" s="34">
        <f>IF(E1350="","",IFERROR(VLOOKUP(E1350,T_Produits,2,FALSE),""))</f>
        <v/>
      </c>
      <c r="N1350" s="40">
        <f>IF(E1350="","",IFERROR(1/(1/VLOOKUP(E1350,T_Produits,3,FALSE)),""))</f>
        <v/>
      </c>
      <c r="O1350" s="40">
        <f>IF(OR(D1350="",F1350=""),"",IF(OR(D1350="Casse / avarie",D1350="Perte / vol",D1350="Échantillon offert"),IF(I1350&lt;&gt;"",I1350,IF(N1350="","",F1350*N1350)),""))</f>
        <v/>
      </c>
      <c r="P1350" s="50">
        <f>IF(OR(D1350="",F1350=""),"",F1350*IF(OR(D1350="Reçu du magasin",D1350="Ajustement (+)"),1,-1))</f>
        <v/>
      </c>
      <c r="Q1350" s="34">
        <f>IF(C1350="","",YEAR(C1350-WEEKDAY(C1350,2)+4)&amp;"-S"&amp;TEXT(INT((C1350-DATE(YEAR(C1350-WEEKDAY(C1350,2)+4),1,3)+WEEKDAY(DATE(YEAR(C1350-WEEKDAY(C1350,2)+4),1,3),2)+5)/7),"00"))</f>
        <v/>
      </c>
    </row>
    <row r="1351" ht="18" customHeight="1">
      <c r="A1351" s="39" t="n">
        <v>1346</v>
      </c>
      <c r="B1351" s="33">
        <f>IF(C1351="","",IF(L1351="À RENSEIGNER","GIC",L1351)&amp;"-S"&amp;TEXT(A1351,"00000"))</f>
        <v/>
      </c>
      <c r="C1351" s="32" t="n"/>
      <c r="D1351" s="36" t="n"/>
      <c r="E1351" s="36" t="n"/>
      <c r="F1351" s="42" t="n"/>
      <c r="G1351" s="36" t="n"/>
      <c r="H1351" s="43" t="n"/>
      <c r="I1351" s="37" t="n"/>
      <c r="J1351" s="44" t="n"/>
      <c r="K1351" s="36" t="n"/>
      <c r="L1351" s="33">
        <f>IF(C1351="","",Commercial_Id)</f>
        <v/>
      </c>
      <c r="M1351" s="34">
        <f>IF(E1351="","",IFERROR(VLOOKUP(E1351,T_Produits,2,FALSE),""))</f>
        <v/>
      </c>
      <c r="N1351" s="40">
        <f>IF(E1351="","",IFERROR(1/(1/VLOOKUP(E1351,T_Produits,3,FALSE)),""))</f>
        <v/>
      </c>
      <c r="O1351" s="40">
        <f>IF(OR(D1351="",F1351=""),"",IF(OR(D1351="Casse / avarie",D1351="Perte / vol",D1351="Échantillon offert"),IF(I1351&lt;&gt;"",I1351,IF(N1351="","",F1351*N1351)),""))</f>
        <v/>
      </c>
      <c r="P1351" s="50">
        <f>IF(OR(D1351="",F1351=""),"",F1351*IF(OR(D1351="Reçu du magasin",D1351="Ajustement (+)"),1,-1))</f>
        <v/>
      </c>
      <c r="Q1351" s="34">
        <f>IF(C1351="","",YEAR(C1351-WEEKDAY(C1351,2)+4)&amp;"-S"&amp;TEXT(INT((C1351-DATE(YEAR(C1351-WEEKDAY(C1351,2)+4),1,3)+WEEKDAY(DATE(YEAR(C1351-WEEKDAY(C1351,2)+4),1,3),2)+5)/7),"00"))</f>
        <v/>
      </c>
    </row>
    <row r="1352" ht="18" customHeight="1">
      <c r="A1352" s="39" t="n">
        <v>1347</v>
      </c>
      <c r="B1352" s="33">
        <f>IF(C1352="","",IF(L1352="À RENSEIGNER","GIC",L1352)&amp;"-S"&amp;TEXT(A1352,"00000"))</f>
        <v/>
      </c>
      <c r="C1352" s="32" t="n"/>
      <c r="D1352" s="36" t="n"/>
      <c r="E1352" s="36" t="n"/>
      <c r="F1352" s="42" t="n"/>
      <c r="G1352" s="36" t="n"/>
      <c r="H1352" s="43" t="n"/>
      <c r="I1352" s="37" t="n"/>
      <c r="J1352" s="44" t="n"/>
      <c r="K1352" s="36" t="n"/>
      <c r="L1352" s="33">
        <f>IF(C1352="","",Commercial_Id)</f>
        <v/>
      </c>
      <c r="M1352" s="34">
        <f>IF(E1352="","",IFERROR(VLOOKUP(E1352,T_Produits,2,FALSE),""))</f>
        <v/>
      </c>
      <c r="N1352" s="40">
        <f>IF(E1352="","",IFERROR(1/(1/VLOOKUP(E1352,T_Produits,3,FALSE)),""))</f>
        <v/>
      </c>
      <c r="O1352" s="40">
        <f>IF(OR(D1352="",F1352=""),"",IF(OR(D1352="Casse / avarie",D1352="Perte / vol",D1352="Échantillon offert"),IF(I1352&lt;&gt;"",I1352,IF(N1352="","",F1352*N1352)),""))</f>
        <v/>
      </c>
      <c r="P1352" s="50">
        <f>IF(OR(D1352="",F1352=""),"",F1352*IF(OR(D1352="Reçu du magasin",D1352="Ajustement (+)"),1,-1))</f>
        <v/>
      </c>
      <c r="Q1352" s="34">
        <f>IF(C1352="","",YEAR(C1352-WEEKDAY(C1352,2)+4)&amp;"-S"&amp;TEXT(INT((C1352-DATE(YEAR(C1352-WEEKDAY(C1352,2)+4),1,3)+WEEKDAY(DATE(YEAR(C1352-WEEKDAY(C1352,2)+4),1,3),2)+5)/7),"00"))</f>
        <v/>
      </c>
    </row>
    <row r="1353" ht="18" customHeight="1">
      <c r="A1353" s="39" t="n">
        <v>1348</v>
      </c>
      <c r="B1353" s="33">
        <f>IF(C1353="","",IF(L1353="À RENSEIGNER","GIC",L1353)&amp;"-S"&amp;TEXT(A1353,"00000"))</f>
        <v/>
      </c>
      <c r="C1353" s="32" t="n"/>
      <c r="D1353" s="36" t="n"/>
      <c r="E1353" s="36" t="n"/>
      <c r="F1353" s="42" t="n"/>
      <c r="G1353" s="36" t="n"/>
      <c r="H1353" s="43" t="n"/>
      <c r="I1353" s="37" t="n"/>
      <c r="J1353" s="44" t="n"/>
      <c r="K1353" s="36" t="n"/>
      <c r="L1353" s="33">
        <f>IF(C1353="","",Commercial_Id)</f>
        <v/>
      </c>
      <c r="M1353" s="34">
        <f>IF(E1353="","",IFERROR(VLOOKUP(E1353,T_Produits,2,FALSE),""))</f>
        <v/>
      </c>
      <c r="N1353" s="40">
        <f>IF(E1353="","",IFERROR(1/(1/VLOOKUP(E1353,T_Produits,3,FALSE)),""))</f>
        <v/>
      </c>
      <c r="O1353" s="40">
        <f>IF(OR(D1353="",F1353=""),"",IF(OR(D1353="Casse / avarie",D1353="Perte / vol",D1353="Échantillon offert"),IF(I1353&lt;&gt;"",I1353,IF(N1353="","",F1353*N1353)),""))</f>
        <v/>
      </c>
      <c r="P1353" s="50">
        <f>IF(OR(D1353="",F1353=""),"",F1353*IF(OR(D1353="Reçu du magasin",D1353="Ajustement (+)"),1,-1))</f>
        <v/>
      </c>
      <c r="Q1353" s="34">
        <f>IF(C1353="","",YEAR(C1353-WEEKDAY(C1353,2)+4)&amp;"-S"&amp;TEXT(INT((C1353-DATE(YEAR(C1353-WEEKDAY(C1353,2)+4),1,3)+WEEKDAY(DATE(YEAR(C1353-WEEKDAY(C1353,2)+4),1,3),2)+5)/7),"00"))</f>
        <v/>
      </c>
    </row>
    <row r="1354" ht="18" customHeight="1">
      <c r="A1354" s="39" t="n">
        <v>1349</v>
      </c>
      <c r="B1354" s="33">
        <f>IF(C1354="","",IF(L1354="À RENSEIGNER","GIC",L1354)&amp;"-S"&amp;TEXT(A1354,"00000"))</f>
        <v/>
      </c>
      <c r="C1354" s="32" t="n"/>
      <c r="D1354" s="36" t="n"/>
      <c r="E1354" s="36" t="n"/>
      <c r="F1354" s="42" t="n"/>
      <c r="G1354" s="36" t="n"/>
      <c r="H1354" s="43" t="n"/>
      <c r="I1354" s="37" t="n"/>
      <c r="J1354" s="44" t="n"/>
      <c r="K1354" s="36" t="n"/>
      <c r="L1354" s="33">
        <f>IF(C1354="","",Commercial_Id)</f>
        <v/>
      </c>
      <c r="M1354" s="34">
        <f>IF(E1354="","",IFERROR(VLOOKUP(E1354,T_Produits,2,FALSE),""))</f>
        <v/>
      </c>
      <c r="N1354" s="40">
        <f>IF(E1354="","",IFERROR(1/(1/VLOOKUP(E1354,T_Produits,3,FALSE)),""))</f>
        <v/>
      </c>
      <c r="O1354" s="40">
        <f>IF(OR(D1354="",F1354=""),"",IF(OR(D1354="Casse / avarie",D1354="Perte / vol",D1354="Échantillon offert"),IF(I1354&lt;&gt;"",I1354,IF(N1354="","",F1354*N1354)),""))</f>
        <v/>
      </c>
      <c r="P1354" s="50">
        <f>IF(OR(D1354="",F1354=""),"",F1354*IF(OR(D1354="Reçu du magasin",D1354="Ajustement (+)"),1,-1))</f>
        <v/>
      </c>
      <c r="Q1354" s="34">
        <f>IF(C1354="","",YEAR(C1354-WEEKDAY(C1354,2)+4)&amp;"-S"&amp;TEXT(INT((C1354-DATE(YEAR(C1354-WEEKDAY(C1354,2)+4),1,3)+WEEKDAY(DATE(YEAR(C1354-WEEKDAY(C1354,2)+4),1,3),2)+5)/7),"00"))</f>
        <v/>
      </c>
    </row>
    <row r="1355" ht="18" customHeight="1">
      <c r="A1355" s="39" t="n">
        <v>1350</v>
      </c>
      <c r="B1355" s="33">
        <f>IF(C1355="","",IF(L1355="À RENSEIGNER","GIC",L1355)&amp;"-S"&amp;TEXT(A1355,"00000"))</f>
        <v/>
      </c>
      <c r="C1355" s="32" t="n"/>
      <c r="D1355" s="36" t="n"/>
      <c r="E1355" s="36" t="n"/>
      <c r="F1355" s="42" t="n"/>
      <c r="G1355" s="36" t="n"/>
      <c r="H1355" s="43" t="n"/>
      <c r="I1355" s="37" t="n"/>
      <c r="J1355" s="44" t="n"/>
      <c r="K1355" s="36" t="n"/>
      <c r="L1355" s="33">
        <f>IF(C1355="","",Commercial_Id)</f>
        <v/>
      </c>
      <c r="M1355" s="34">
        <f>IF(E1355="","",IFERROR(VLOOKUP(E1355,T_Produits,2,FALSE),""))</f>
        <v/>
      </c>
      <c r="N1355" s="40">
        <f>IF(E1355="","",IFERROR(1/(1/VLOOKUP(E1355,T_Produits,3,FALSE)),""))</f>
        <v/>
      </c>
      <c r="O1355" s="40">
        <f>IF(OR(D1355="",F1355=""),"",IF(OR(D1355="Casse / avarie",D1355="Perte / vol",D1355="Échantillon offert"),IF(I1355&lt;&gt;"",I1355,IF(N1355="","",F1355*N1355)),""))</f>
        <v/>
      </c>
      <c r="P1355" s="50">
        <f>IF(OR(D1355="",F1355=""),"",F1355*IF(OR(D1355="Reçu du magasin",D1355="Ajustement (+)"),1,-1))</f>
        <v/>
      </c>
      <c r="Q1355" s="34">
        <f>IF(C1355="","",YEAR(C1355-WEEKDAY(C1355,2)+4)&amp;"-S"&amp;TEXT(INT((C1355-DATE(YEAR(C1355-WEEKDAY(C1355,2)+4),1,3)+WEEKDAY(DATE(YEAR(C1355-WEEKDAY(C1355,2)+4),1,3),2)+5)/7),"00"))</f>
        <v/>
      </c>
    </row>
    <row r="1356" ht="18" customHeight="1">
      <c r="A1356" s="39" t="n">
        <v>1351</v>
      </c>
      <c r="B1356" s="33">
        <f>IF(C1356="","",IF(L1356="À RENSEIGNER","GIC",L1356)&amp;"-S"&amp;TEXT(A1356,"00000"))</f>
        <v/>
      </c>
      <c r="C1356" s="32" t="n"/>
      <c r="D1356" s="36" t="n"/>
      <c r="E1356" s="36" t="n"/>
      <c r="F1356" s="42" t="n"/>
      <c r="G1356" s="36" t="n"/>
      <c r="H1356" s="43" t="n"/>
      <c r="I1356" s="37" t="n"/>
      <c r="J1356" s="44" t="n"/>
      <c r="K1356" s="36" t="n"/>
      <c r="L1356" s="33">
        <f>IF(C1356="","",Commercial_Id)</f>
        <v/>
      </c>
      <c r="M1356" s="34">
        <f>IF(E1356="","",IFERROR(VLOOKUP(E1356,T_Produits,2,FALSE),""))</f>
        <v/>
      </c>
      <c r="N1356" s="40">
        <f>IF(E1356="","",IFERROR(1/(1/VLOOKUP(E1356,T_Produits,3,FALSE)),""))</f>
        <v/>
      </c>
      <c r="O1356" s="40">
        <f>IF(OR(D1356="",F1356=""),"",IF(OR(D1356="Casse / avarie",D1356="Perte / vol",D1356="Échantillon offert"),IF(I1356&lt;&gt;"",I1356,IF(N1356="","",F1356*N1356)),""))</f>
        <v/>
      </c>
      <c r="P1356" s="50">
        <f>IF(OR(D1356="",F1356=""),"",F1356*IF(OR(D1356="Reçu du magasin",D1356="Ajustement (+)"),1,-1))</f>
        <v/>
      </c>
      <c r="Q1356" s="34">
        <f>IF(C1356="","",YEAR(C1356-WEEKDAY(C1356,2)+4)&amp;"-S"&amp;TEXT(INT((C1356-DATE(YEAR(C1356-WEEKDAY(C1356,2)+4),1,3)+WEEKDAY(DATE(YEAR(C1356-WEEKDAY(C1356,2)+4),1,3),2)+5)/7),"00"))</f>
        <v/>
      </c>
    </row>
    <row r="1357" ht="18" customHeight="1">
      <c r="A1357" s="39" t="n">
        <v>1352</v>
      </c>
      <c r="B1357" s="33">
        <f>IF(C1357="","",IF(L1357="À RENSEIGNER","GIC",L1357)&amp;"-S"&amp;TEXT(A1357,"00000"))</f>
        <v/>
      </c>
      <c r="C1357" s="32" t="n"/>
      <c r="D1357" s="36" t="n"/>
      <c r="E1357" s="36" t="n"/>
      <c r="F1357" s="42" t="n"/>
      <c r="G1357" s="36" t="n"/>
      <c r="H1357" s="43" t="n"/>
      <c r="I1357" s="37" t="n"/>
      <c r="J1357" s="44" t="n"/>
      <c r="K1357" s="36" t="n"/>
      <c r="L1357" s="33">
        <f>IF(C1357="","",Commercial_Id)</f>
        <v/>
      </c>
      <c r="M1357" s="34">
        <f>IF(E1357="","",IFERROR(VLOOKUP(E1357,T_Produits,2,FALSE),""))</f>
        <v/>
      </c>
      <c r="N1357" s="40">
        <f>IF(E1357="","",IFERROR(1/(1/VLOOKUP(E1357,T_Produits,3,FALSE)),""))</f>
        <v/>
      </c>
      <c r="O1357" s="40">
        <f>IF(OR(D1357="",F1357=""),"",IF(OR(D1357="Casse / avarie",D1357="Perte / vol",D1357="Échantillon offert"),IF(I1357&lt;&gt;"",I1357,IF(N1357="","",F1357*N1357)),""))</f>
        <v/>
      </c>
      <c r="P1357" s="50">
        <f>IF(OR(D1357="",F1357=""),"",F1357*IF(OR(D1357="Reçu du magasin",D1357="Ajustement (+)"),1,-1))</f>
        <v/>
      </c>
      <c r="Q1357" s="34">
        <f>IF(C1357="","",YEAR(C1357-WEEKDAY(C1357,2)+4)&amp;"-S"&amp;TEXT(INT((C1357-DATE(YEAR(C1357-WEEKDAY(C1357,2)+4),1,3)+WEEKDAY(DATE(YEAR(C1357-WEEKDAY(C1357,2)+4),1,3),2)+5)/7),"00"))</f>
        <v/>
      </c>
    </row>
    <row r="1358" ht="18" customHeight="1">
      <c r="A1358" s="39" t="n">
        <v>1353</v>
      </c>
      <c r="B1358" s="33">
        <f>IF(C1358="","",IF(L1358="À RENSEIGNER","GIC",L1358)&amp;"-S"&amp;TEXT(A1358,"00000"))</f>
        <v/>
      </c>
      <c r="C1358" s="32" t="n"/>
      <c r="D1358" s="36" t="n"/>
      <c r="E1358" s="36" t="n"/>
      <c r="F1358" s="42" t="n"/>
      <c r="G1358" s="36" t="n"/>
      <c r="H1358" s="43" t="n"/>
      <c r="I1358" s="37" t="n"/>
      <c r="J1358" s="44" t="n"/>
      <c r="K1358" s="36" t="n"/>
      <c r="L1358" s="33">
        <f>IF(C1358="","",Commercial_Id)</f>
        <v/>
      </c>
      <c r="M1358" s="34">
        <f>IF(E1358="","",IFERROR(VLOOKUP(E1358,T_Produits,2,FALSE),""))</f>
        <v/>
      </c>
      <c r="N1358" s="40">
        <f>IF(E1358="","",IFERROR(1/(1/VLOOKUP(E1358,T_Produits,3,FALSE)),""))</f>
        <v/>
      </c>
      <c r="O1358" s="40">
        <f>IF(OR(D1358="",F1358=""),"",IF(OR(D1358="Casse / avarie",D1358="Perte / vol",D1358="Échantillon offert"),IF(I1358&lt;&gt;"",I1358,IF(N1358="","",F1358*N1358)),""))</f>
        <v/>
      </c>
      <c r="P1358" s="50">
        <f>IF(OR(D1358="",F1358=""),"",F1358*IF(OR(D1358="Reçu du magasin",D1358="Ajustement (+)"),1,-1))</f>
        <v/>
      </c>
      <c r="Q1358" s="34">
        <f>IF(C1358="","",YEAR(C1358-WEEKDAY(C1358,2)+4)&amp;"-S"&amp;TEXT(INT((C1358-DATE(YEAR(C1358-WEEKDAY(C1358,2)+4),1,3)+WEEKDAY(DATE(YEAR(C1358-WEEKDAY(C1358,2)+4),1,3),2)+5)/7),"00"))</f>
        <v/>
      </c>
    </row>
    <row r="1359" ht="18" customHeight="1">
      <c r="A1359" s="39" t="n">
        <v>1354</v>
      </c>
      <c r="B1359" s="33">
        <f>IF(C1359="","",IF(L1359="À RENSEIGNER","GIC",L1359)&amp;"-S"&amp;TEXT(A1359,"00000"))</f>
        <v/>
      </c>
      <c r="C1359" s="32" t="n"/>
      <c r="D1359" s="36" t="n"/>
      <c r="E1359" s="36" t="n"/>
      <c r="F1359" s="42" t="n"/>
      <c r="G1359" s="36" t="n"/>
      <c r="H1359" s="43" t="n"/>
      <c r="I1359" s="37" t="n"/>
      <c r="J1359" s="44" t="n"/>
      <c r="K1359" s="36" t="n"/>
      <c r="L1359" s="33">
        <f>IF(C1359="","",Commercial_Id)</f>
        <v/>
      </c>
      <c r="M1359" s="34">
        <f>IF(E1359="","",IFERROR(VLOOKUP(E1359,T_Produits,2,FALSE),""))</f>
        <v/>
      </c>
      <c r="N1359" s="40">
        <f>IF(E1359="","",IFERROR(1/(1/VLOOKUP(E1359,T_Produits,3,FALSE)),""))</f>
        <v/>
      </c>
      <c r="O1359" s="40">
        <f>IF(OR(D1359="",F1359=""),"",IF(OR(D1359="Casse / avarie",D1359="Perte / vol",D1359="Échantillon offert"),IF(I1359&lt;&gt;"",I1359,IF(N1359="","",F1359*N1359)),""))</f>
        <v/>
      </c>
      <c r="P1359" s="50">
        <f>IF(OR(D1359="",F1359=""),"",F1359*IF(OR(D1359="Reçu du magasin",D1359="Ajustement (+)"),1,-1))</f>
        <v/>
      </c>
      <c r="Q1359" s="34">
        <f>IF(C1359="","",YEAR(C1359-WEEKDAY(C1359,2)+4)&amp;"-S"&amp;TEXT(INT((C1359-DATE(YEAR(C1359-WEEKDAY(C1359,2)+4),1,3)+WEEKDAY(DATE(YEAR(C1359-WEEKDAY(C1359,2)+4),1,3),2)+5)/7),"00"))</f>
        <v/>
      </c>
    </row>
    <row r="1360" ht="18" customHeight="1">
      <c r="A1360" s="39" t="n">
        <v>1355</v>
      </c>
      <c r="B1360" s="33">
        <f>IF(C1360="","",IF(L1360="À RENSEIGNER","GIC",L1360)&amp;"-S"&amp;TEXT(A1360,"00000"))</f>
        <v/>
      </c>
      <c r="C1360" s="32" t="n"/>
      <c r="D1360" s="36" t="n"/>
      <c r="E1360" s="36" t="n"/>
      <c r="F1360" s="42" t="n"/>
      <c r="G1360" s="36" t="n"/>
      <c r="H1360" s="43" t="n"/>
      <c r="I1360" s="37" t="n"/>
      <c r="J1360" s="44" t="n"/>
      <c r="K1360" s="36" t="n"/>
      <c r="L1360" s="33">
        <f>IF(C1360="","",Commercial_Id)</f>
        <v/>
      </c>
      <c r="M1360" s="34">
        <f>IF(E1360="","",IFERROR(VLOOKUP(E1360,T_Produits,2,FALSE),""))</f>
        <v/>
      </c>
      <c r="N1360" s="40">
        <f>IF(E1360="","",IFERROR(1/(1/VLOOKUP(E1360,T_Produits,3,FALSE)),""))</f>
        <v/>
      </c>
      <c r="O1360" s="40">
        <f>IF(OR(D1360="",F1360=""),"",IF(OR(D1360="Casse / avarie",D1360="Perte / vol",D1360="Échantillon offert"),IF(I1360&lt;&gt;"",I1360,IF(N1360="","",F1360*N1360)),""))</f>
        <v/>
      </c>
      <c r="P1360" s="50">
        <f>IF(OR(D1360="",F1360=""),"",F1360*IF(OR(D1360="Reçu du magasin",D1360="Ajustement (+)"),1,-1))</f>
        <v/>
      </c>
      <c r="Q1360" s="34">
        <f>IF(C1360="","",YEAR(C1360-WEEKDAY(C1360,2)+4)&amp;"-S"&amp;TEXT(INT((C1360-DATE(YEAR(C1360-WEEKDAY(C1360,2)+4),1,3)+WEEKDAY(DATE(YEAR(C1360-WEEKDAY(C1360,2)+4),1,3),2)+5)/7),"00"))</f>
        <v/>
      </c>
    </row>
    <row r="1361" ht="18" customHeight="1">
      <c r="A1361" s="39" t="n">
        <v>1356</v>
      </c>
      <c r="B1361" s="33">
        <f>IF(C1361="","",IF(L1361="À RENSEIGNER","GIC",L1361)&amp;"-S"&amp;TEXT(A1361,"00000"))</f>
        <v/>
      </c>
      <c r="C1361" s="32" t="n"/>
      <c r="D1361" s="36" t="n"/>
      <c r="E1361" s="36" t="n"/>
      <c r="F1361" s="42" t="n"/>
      <c r="G1361" s="36" t="n"/>
      <c r="H1361" s="43" t="n"/>
      <c r="I1361" s="37" t="n"/>
      <c r="J1361" s="44" t="n"/>
      <c r="K1361" s="36" t="n"/>
      <c r="L1361" s="33">
        <f>IF(C1361="","",Commercial_Id)</f>
        <v/>
      </c>
      <c r="M1361" s="34">
        <f>IF(E1361="","",IFERROR(VLOOKUP(E1361,T_Produits,2,FALSE),""))</f>
        <v/>
      </c>
      <c r="N1361" s="40">
        <f>IF(E1361="","",IFERROR(1/(1/VLOOKUP(E1361,T_Produits,3,FALSE)),""))</f>
        <v/>
      </c>
      <c r="O1361" s="40">
        <f>IF(OR(D1361="",F1361=""),"",IF(OR(D1361="Casse / avarie",D1361="Perte / vol",D1361="Échantillon offert"),IF(I1361&lt;&gt;"",I1361,IF(N1361="","",F1361*N1361)),""))</f>
        <v/>
      </c>
      <c r="P1361" s="50">
        <f>IF(OR(D1361="",F1361=""),"",F1361*IF(OR(D1361="Reçu du magasin",D1361="Ajustement (+)"),1,-1))</f>
        <v/>
      </c>
      <c r="Q1361" s="34">
        <f>IF(C1361="","",YEAR(C1361-WEEKDAY(C1361,2)+4)&amp;"-S"&amp;TEXT(INT((C1361-DATE(YEAR(C1361-WEEKDAY(C1361,2)+4),1,3)+WEEKDAY(DATE(YEAR(C1361-WEEKDAY(C1361,2)+4),1,3),2)+5)/7),"00"))</f>
        <v/>
      </c>
    </row>
    <row r="1362" ht="18" customHeight="1">
      <c r="A1362" s="39" t="n">
        <v>1357</v>
      </c>
      <c r="B1362" s="33">
        <f>IF(C1362="","",IF(L1362="À RENSEIGNER","GIC",L1362)&amp;"-S"&amp;TEXT(A1362,"00000"))</f>
        <v/>
      </c>
      <c r="C1362" s="32" t="n"/>
      <c r="D1362" s="36" t="n"/>
      <c r="E1362" s="36" t="n"/>
      <c r="F1362" s="42" t="n"/>
      <c r="G1362" s="36" t="n"/>
      <c r="H1362" s="43" t="n"/>
      <c r="I1362" s="37" t="n"/>
      <c r="J1362" s="44" t="n"/>
      <c r="K1362" s="36" t="n"/>
      <c r="L1362" s="33">
        <f>IF(C1362="","",Commercial_Id)</f>
        <v/>
      </c>
      <c r="M1362" s="34">
        <f>IF(E1362="","",IFERROR(VLOOKUP(E1362,T_Produits,2,FALSE),""))</f>
        <v/>
      </c>
      <c r="N1362" s="40">
        <f>IF(E1362="","",IFERROR(1/(1/VLOOKUP(E1362,T_Produits,3,FALSE)),""))</f>
        <v/>
      </c>
      <c r="O1362" s="40">
        <f>IF(OR(D1362="",F1362=""),"",IF(OR(D1362="Casse / avarie",D1362="Perte / vol",D1362="Échantillon offert"),IF(I1362&lt;&gt;"",I1362,IF(N1362="","",F1362*N1362)),""))</f>
        <v/>
      </c>
      <c r="P1362" s="50">
        <f>IF(OR(D1362="",F1362=""),"",F1362*IF(OR(D1362="Reçu du magasin",D1362="Ajustement (+)"),1,-1))</f>
        <v/>
      </c>
      <c r="Q1362" s="34">
        <f>IF(C1362="","",YEAR(C1362-WEEKDAY(C1362,2)+4)&amp;"-S"&amp;TEXT(INT((C1362-DATE(YEAR(C1362-WEEKDAY(C1362,2)+4),1,3)+WEEKDAY(DATE(YEAR(C1362-WEEKDAY(C1362,2)+4),1,3),2)+5)/7),"00"))</f>
        <v/>
      </c>
    </row>
    <row r="1363" ht="18" customHeight="1">
      <c r="A1363" s="39" t="n">
        <v>1358</v>
      </c>
      <c r="B1363" s="33">
        <f>IF(C1363="","",IF(L1363="À RENSEIGNER","GIC",L1363)&amp;"-S"&amp;TEXT(A1363,"00000"))</f>
        <v/>
      </c>
      <c r="C1363" s="32" t="n"/>
      <c r="D1363" s="36" t="n"/>
      <c r="E1363" s="36" t="n"/>
      <c r="F1363" s="42" t="n"/>
      <c r="G1363" s="36" t="n"/>
      <c r="H1363" s="43" t="n"/>
      <c r="I1363" s="37" t="n"/>
      <c r="J1363" s="44" t="n"/>
      <c r="K1363" s="36" t="n"/>
      <c r="L1363" s="33">
        <f>IF(C1363="","",Commercial_Id)</f>
        <v/>
      </c>
      <c r="M1363" s="34">
        <f>IF(E1363="","",IFERROR(VLOOKUP(E1363,T_Produits,2,FALSE),""))</f>
        <v/>
      </c>
      <c r="N1363" s="40">
        <f>IF(E1363="","",IFERROR(1/(1/VLOOKUP(E1363,T_Produits,3,FALSE)),""))</f>
        <v/>
      </c>
      <c r="O1363" s="40">
        <f>IF(OR(D1363="",F1363=""),"",IF(OR(D1363="Casse / avarie",D1363="Perte / vol",D1363="Échantillon offert"),IF(I1363&lt;&gt;"",I1363,IF(N1363="","",F1363*N1363)),""))</f>
        <v/>
      </c>
      <c r="P1363" s="50">
        <f>IF(OR(D1363="",F1363=""),"",F1363*IF(OR(D1363="Reçu du magasin",D1363="Ajustement (+)"),1,-1))</f>
        <v/>
      </c>
      <c r="Q1363" s="34">
        <f>IF(C1363="","",YEAR(C1363-WEEKDAY(C1363,2)+4)&amp;"-S"&amp;TEXT(INT((C1363-DATE(YEAR(C1363-WEEKDAY(C1363,2)+4),1,3)+WEEKDAY(DATE(YEAR(C1363-WEEKDAY(C1363,2)+4),1,3),2)+5)/7),"00"))</f>
        <v/>
      </c>
    </row>
    <row r="1364" ht="18" customHeight="1">
      <c r="A1364" s="39" t="n">
        <v>1359</v>
      </c>
      <c r="B1364" s="33">
        <f>IF(C1364="","",IF(L1364="À RENSEIGNER","GIC",L1364)&amp;"-S"&amp;TEXT(A1364,"00000"))</f>
        <v/>
      </c>
      <c r="C1364" s="32" t="n"/>
      <c r="D1364" s="36" t="n"/>
      <c r="E1364" s="36" t="n"/>
      <c r="F1364" s="42" t="n"/>
      <c r="G1364" s="36" t="n"/>
      <c r="H1364" s="43" t="n"/>
      <c r="I1364" s="37" t="n"/>
      <c r="J1364" s="44" t="n"/>
      <c r="K1364" s="36" t="n"/>
      <c r="L1364" s="33">
        <f>IF(C1364="","",Commercial_Id)</f>
        <v/>
      </c>
      <c r="M1364" s="34">
        <f>IF(E1364="","",IFERROR(VLOOKUP(E1364,T_Produits,2,FALSE),""))</f>
        <v/>
      </c>
      <c r="N1364" s="40">
        <f>IF(E1364="","",IFERROR(1/(1/VLOOKUP(E1364,T_Produits,3,FALSE)),""))</f>
        <v/>
      </c>
      <c r="O1364" s="40">
        <f>IF(OR(D1364="",F1364=""),"",IF(OR(D1364="Casse / avarie",D1364="Perte / vol",D1364="Échantillon offert"),IF(I1364&lt;&gt;"",I1364,IF(N1364="","",F1364*N1364)),""))</f>
        <v/>
      </c>
      <c r="P1364" s="50">
        <f>IF(OR(D1364="",F1364=""),"",F1364*IF(OR(D1364="Reçu du magasin",D1364="Ajustement (+)"),1,-1))</f>
        <v/>
      </c>
      <c r="Q1364" s="34">
        <f>IF(C1364="","",YEAR(C1364-WEEKDAY(C1364,2)+4)&amp;"-S"&amp;TEXT(INT((C1364-DATE(YEAR(C1364-WEEKDAY(C1364,2)+4),1,3)+WEEKDAY(DATE(YEAR(C1364-WEEKDAY(C1364,2)+4),1,3),2)+5)/7),"00"))</f>
        <v/>
      </c>
    </row>
    <row r="1365" ht="18" customHeight="1">
      <c r="A1365" s="39" t="n">
        <v>1360</v>
      </c>
      <c r="B1365" s="33">
        <f>IF(C1365="","",IF(L1365="À RENSEIGNER","GIC",L1365)&amp;"-S"&amp;TEXT(A1365,"00000"))</f>
        <v/>
      </c>
      <c r="C1365" s="32" t="n"/>
      <c r="D1365" s="36" t="n"/>
      <c r="E1365" s="36" t="n"/>
      <c r="F1365" s="42" t="n"/>
      <c r="G1365" s="36" t="n"/>
      <c r="H1365" s="43" t="n"/>
      <c r="I1365" s="37" t="n"/>
      <c r="J1365" s="44" t="n"/>
      <c r="K1365" s="36" t="n"/>
      <c r="L1365" s="33">
        <f>IF(C1365="","",Commercial_Id)</f>
        <v/>
      </c>
      <c r="M1365" s="34">
        <f>IF(E1365="","",IFERROR(VLOOKUP(E1365,T_Produits,2,FALSE),""))</f>
        <v/>
      </c>
      <c r="N1365" s="40">
        <f>IF(E1365="","",IFERROR(1/(1/VLOOKUP(E1365,T_Produits,3,FALSE)),""))</f>
        <v/>
      </c>
      <c r="O1365" s="40">
        <f>IF(OR(D1365="",F1365=""),"",IF(OR(D1365="Casse / avarie",D1365="Perte / vol",D1365="Échantillon offert"),IF(I1365&lt;&gt;"",I1365,IF(N1365="","",F1365*N1365)),""))</f>
        <v/>
      </c>
      <c r="P1365" s="50">
        <f>IF(OR(D1365="",F1365=""),"",F1365*IF(OR(D1365="Reçu du magasin",D1365="Ajustement (+)"),1,-1))</f>
        <v/>
      </c>
      <c r="Q1365" s="34">
        <f>IF(C1365="","",YEAR(C1365-WEEKDAY(C1365,2)+4)&amp;"-S"&amp;TEXT(INT((C1365-DATE(YEAR(C1365-WEEKDAY(C1365,2)+4),1,3)+WEEKDAY(DATE(YEAR(C1365-WEEKDAY(C1365,2)+4),1,3),2)+5)/7),"00"))</f>
        <v/>
      </c>
    </row>
    <row r="1366" ht="18" customHeight="1">
      <c r="A1366" s="39" t="n">
        <v>1361</v>
      </c>
      <c r="B1366" s="33">
        <f>IF(C1366="","",IF(L1366="À RENSEIGNER","GIC",L1366)&amp;"-S"&amp;TEXT(A1366,"00000"))</f>
        <v/>
      </c>
      <c r="C1366" s="32" t="n"/>
      <c r="D1366" s="36" t="n"/>
      <c r="E1366" s="36" t="n"/>
      <c r="F1366" s="42" t="n"/>
      <c r="G1366" s="36" t="n"/>
      <c r="H1366" s="43" t="n"/>
      <c r="I1366" s="37" t="n"/>
      <c r="J1366" s="44" t="n"/>
      <c r="K1366" s="36" t="n"/>
      <c r="L1366" s="33">
        <f>IF(C1366="","",Commercial_Id)</f>
        <v/>
      </c>
      <c r="M1366" s="34">
        <f>IF(E1366="","",IFERROR(VLOOKUP(E1366,T_Produits,2,FALSE),""))</f>
        <v/>
      </c>
      <c r="N1366" s="40">
        <f>IF(E1366="","",IFERROR(1/(1/VLOOKUP(E1366,T_Produits,3,FALSE)),""))</f>
        <v/>
      </c>
      <c r="O1366" s="40">
        <f>IF(OR(D1366="",F1366=""),"",IF(OR(D1366="Casse / avarie",D1366="Perte / vol",D1366="Échantillon offert"),IF(I1366&lt;&gt;"",I1366,IF(N1366="","",F1366*N1366)),""))</f>
        <v/>
      </c>
      <c r="P1366" s="50">
        <f>IF(OR(D1366="",F1366=""),"",F1366*IF(OR(D1366="Reçu du magasin",D1366="Ajustement (+)"),1,-1))</f>
        <v/>
      </c>
      <c r="Q1366" s="34">
        <f>IF(C1366="","",YEAR(C1366-WEEKDAY(C1366,2)+4)&amp;"-S"&amp;TEXT(INT((C1366-DATE(YEAR(C1366-WEEKDAY(C1366,2)+4),1,3)+WEEKDAY(DATE(YEAR(C1366-WEEKDAY(C1366,2)+4),1,3),2)+5)/7),"00"))</f>
        <v/>
      </c>
    </row>
    <row r="1367" ht="18" customHeight="1">
      <c r="A1367" s="39" t="n">
        <v>1362</v>
      </c>
      <c r="B1367" s="33">
        <f>IF(C1367="","",IF(L1367="À RENSEIGNER","GIC",L1367)&amp;"-S"&amp;TEXT(A1367,"00000"))</f>
        <v/>
      </c>
      <c r="C1367" s="32" t="n"/>
      <c r="D1367" s="36" t="n"/>
      <c r="E1367" s="36" t="n"/>
      <c r="F1367" s="42" t="n"/>
      <c r="G1367" s="36" t="n"/>
      <c r="H1367" s="43" t="n"/>
      <c r="I1367" s="37" t="n"/>
      <c r="J1367" s="44" t="n"/>
      <c r="K1367" s="36" t="n"/>
      <c r="L1367" s="33">
        <f>IF(C1367="","",Commercial_Id)</f>
        <v/>
      </c>
      <c r="M1367" s="34">
        <f>IF(E1367="","",IFERROR(VLOOKUP(E1367,T_Produits,2,FALSE),""))</f>
        <v/>
      </c>
      <c r="N1367" s="40">
        <f>IF(E1367="","",IFERROR(1/(1/VLOOKUP(E1367,T_Produits,3,FALSE)),""))</f>
        <v/>
      </c>
      <c r="O1367" s="40">
        <f>IF(OR(D1367="",F1367=""),"",IF(OR(D1367="Casse / avarie",D1367="Perte / vol",D1367="Échantillon offert"),IF(I1367&lt;&gt;"",I1367,IF(N1367="","",F1367*N1367)),""))</f>
        <v/>
      </c>
      <c r="P1367" s="50">
        <f>IF(OR(D1367="",F1367=""),"",F1367*IF(OR(D1367="Reçu du magasin",D1367="Ajustement (+)"),1,-1))</f>
        <v/>
      </c>
      <c r="Q1367" s="34">
        <f>IF(C1367="","",YEAR(C1367-WEEKDAY(C1367,2)+4)&amp;"-S"&amp;TEXT(INT((C1367-DATE(YEAR(C1367-WEEKDAY(C1367,2)+4),1,3)+WEEKDAY(DATE(YEAR(C1367-WEEKDAY(C1367,2)+4),1,3),2)+5)/7),"00"))</f>
        <v/>
      </c>
    </row>
    <row r="1368" ht="18" customHeight="1">
      <c r="A1368" s="39" t="n">
        <v>1363</v>
      </c>
      <c r="B1368" s="33">
        <f>IF(C1368="","",IF(L1368="À RENSEIGNER","GIC",L1368)&amp;"-S"&amp;TEXT(A1368,"00000"))</f>
        <v/>
      </c>
      <c r="C1368" s="32" t="n"/>
      <c r="D1368" s="36" t="n"/>
      <c r="E1368" s="36" t="n"/>
      <c r="F1368" s="42" t="n"/>
      <c r="G1368" s="36" t="n"/>
      <c r="H1368" s="43" t="n"/>
      <c r="I1368" s="37" t="n"/>
      <c r="J1368" s="44" t="n"/>
      <c r="K1368" s="36" t="n"/>
      <c r="L1368" s="33">
        <f>IF(C1368="","",Commercial_Id)</f>
        <v/>
      </c>
      <c r="M1368" s="34">
        <f>IF(E1368="","",IFERROR(VLOOKUP(E1368,T_Produits,2,FALSE),""))</f>
        <v/>
      </c>
      <c r="N1368" s="40">
        <f>IF(E1368="","",IFERROR(1/(1/VLOOKUP(E1368,T_Produits,3,FALSE)),""))</f>
        <v/>
      </c>
      <c r="O1368" s="40">
        <f>IF(OR(D1368="",F1368=""),"",IF(OR(D1368="Casse / avarie",D1368="Perte / vol",D1368="Échantillon offert"),IF(I1368&lt;&gt;"",I1368,IF(N1368="","",F1368*N1368)),""))</f>
        <v/>
      </c>
      <c r="P1368" s="50">
        <f>IF(OR(D1368="",F1368=""),"",F1368*IF(OR(D1368="Reçu du magasin",D1368="Ajustement (+)"),1,-1))</f>
        <v/>
      </c>
      <c r="Q1368" s="34">
        <f>IF(C1368="","",YEAR(C1368-WEEKDAY(C1368,2)+4)&amp;"-S"&amp;TEXT(INT((C1368-DATE(YEAR(C1368-WEEKDAY(C1368,2)+4),1,3)+WEEKDAY(DATE(YEAR(C1368-WEEKDAY(C1368,2)+4),1,3),2)+5)/7),"00"))</f>
        <v/>
      </c>
    </row>
    <row r="1369" ht="18" customHeight="1">
      <c r="A1369" s="39" t="n">
        <v>1364</v>
      </c>
      <c r="B1369" s="33">
        <f>IF(C1369="","",IF(L1369="À RENSEIGNER","GIC",L1369)&amp;"-S"&amp;TEXT(A1369,"00000"))</f>
        <v/>
      </c>
      <c r="C1369" s="32" t="n"/>
      <c r="D1369" s="36" t="n"/>
      <c r="E1369" s="36" t="n"/>
      <c r="F1369" s="42" t="n"/>
      <c r="G1369" s="36" t="n"/>
      <c r="H1369" s="43" t="n"/>
      <c r="I1369" s="37" t="n"/>
      <c r="J1369" s="44" t="n"/>
      <c r="K1369" s="36" t="n"/>
      <c r="L1369" s="33">
        <f>IF(C1369="","",Commercial_Id)</f>
        <v/>
      </c>
      <c r="M1369" s="34">
        <f>IF(E1369="","",IFERROR(VLOOKUP(E1369,T_Produits,2,FALSE),""))</f>
        <v/>
      </c>
      <c r="N1369" s="40">
        <f>IF(E1369="","",IFERROR(1/(1/VLOOKUP(E1369,T_Produits,3,FALSE)),""))</f>
        <v/>
      </c>
      <c r="O1369" s="40">
        <f>IF(OR(D1369="",F1369=""),"",IF(OR(D1369="Casse / avarie",D1369="Perte / vol",D1369="Échantillon offert"),IF(I1369&lt;&gt;"",I1369,IF(N1369="","",F1369*N1369)),""))</f>
        <v/>
      </c>
      <c r="P1369" s="50">
        <f>IF(OR(D1369="",F1369=""),"",F1369*IF(OR(D1369="Reçu du magasin",D1369="Ajustement (+)"),1,-1))</f>
        <v/>
      </c>
      <c r="Q1369" s="34">
        <f>IF(C1369="","",YEAR(C1369-WEEKDAY(C1369,2)+4)&amp;"-S"&amp;TEXT(INT((C1369-DATE(YEAR(C1369-WEEKDAY(C1369,2)+4),1,3)+WEEKDAY(DATE(YEAR(C1369-WEEKDAY(C1369,2)+4),1,3),2)+5)/7),"00"))</f>
        <v/>
      </c>
    </row>
    <row r="1370" ht="18" customHeight="1">
      <c r="A1370" s="39" t="n">
        <v>1365</v>
      </c>
      <c r="B1370" s="33">
        <f>IF(C1370="","",IF(L1370="À RENSEIGNER","GIC",L1370)&amp;"-S"&amp;TEXT(A1370,"00000"))</f>
        <v/>
      </c>
      <c r="C1370" s="32" t="n"/>
      <c r="D1370" s="36" t="n"/>
      <c r="E1370" s="36" t="n"/>
      <c r="F1370" s="42" t="n"/>
      <c r="G1370" s="36" t="n"/>
      <c r="H1370" s="43" t="n"/>
      <c r="I1370" s="37" t="n"/>
      <c r="J1370" s="44" t="n"/>
      <c r="K1370" s="36" t="n"/>
      <c r="L1370" s="33">
        <f>IF(C1370="","",Commercial_Id)</f>
        <v/>
      </c>
      <c r="M1370" s="34">
        <f>IF(E1370="","",IFERROR(VLOOKUP(E1370,T_Produits,2,FALSE),""))</f>
        <v/>
      </c>
      <c r="N1370" s="40">
        <f>IF(E1370="","",IFERROR(1/(1/VLOOKUP(E1370,T_Produits,3,FALSE)),""))</f>
        <v/>
      </c>
      <c r="O1370" s="40">
        <f>IF(OR(D1370="",F1370=""),"",IF(OR(D1370="Casse / avarie",D1370="Perte / vol",D1370="Échantillon offert"),IF(I1370&lt;&gt;"",I1370,IF(N1370="","",F1370*N1370)),""))</f>
        <v/>
      </c>
      <c r="P1370" s="50">
        <f>IF(OR(D1370="",F1370=""),"",F1370*IF(OR(D1370="Reçu du magasin",D1370="Ajustement (+)"),1,-1))</f>
        <v/>
      </c>
      <c r="Q1370" s="34">
        <f>IF(C1370="","",YEAR(C1370-WEEKDAY(C1370,2)+4)&amp;"-S"&amp;TEXT(INT((C1370-DATE(YEAR(C1370-WEEKDAY(C1370,2)+4),1,3)+WEEKDAY(DATE(YEAR(C1370-WEEKDAY(C1370,2)+4),1,3),2)+5)/7),"00"))</f>
        <v/>
      </c>
    </row>
    <row r="1371" ht="18" customHeight="1">
      <c r="A1371" s="39" t="n">
        <v>1366</v>
      </c>
      <c r="B1371" s="33">
        <f>IF(C1371="","",IF(L1371="À RENSEIGNER","GIC",L1371)&amp;"-S"&amp;TEXT(A1371,"00000"))</f>
        <v/>
      </c>
      <c r="C1371" s="32" t="n"/>
      <c r="D1371" s="36" t="n"/>
      <c r="E1371" s="36" t="n"/>
      <c r="F1371" s="42" t="n"/>
      <c r="G1371" s="36" t="n"/>
      <c r="H1371" s="43" t="n"/>
      <c r="I1371" s="37" t="n"/>
      <c r="J1371" s="44" t="n"/>
      <c r="K1371" s="36" t="n"/>
      <c r="L1371" s="33">
        <f>IF(C1371="","",Commercial_Id)</f>
        <v/>
      </c>
      <c r="M1371" s="34">
        <f>IF(E1371="","",IFERROR(VLOOKUP(E1371,T_Produits,2,FALSE),""))</f>
        <v/>
      </c>
      <c r="N1371" s="40">
        <f>IF(E1371="","",IFERROR(1/(1/VLOOKUP(E1371,T_Produits,3,FALSE)),""))</f>
        <v/>
      </c>
      <c r="O1371" s="40">
        <f>IF(OR(D1371="",F1371=""),"",IF(OR(D1371="Casse / avarie",D1371="Perte / vol",D1371="Échantillon offert"),IF(I1371&lt;&gt;"",I1371,IF(N1371="","",F1371*N1371)),""))</f>
        <v/>
      </c>
      <c r="P1371" s="50">
        <f>IF(OR(D1371="",F1371=""),"",F1371*IF(OR(D1371="Reçu du magasin",D1371="Ajustement (+)"),1,-1))</f>
        <v/>
      </c>
      <c r="Q1371" s="34">
        <f>IF(C1371="","",YEAR(C1371-WEEKDAY(C1371,2)+4)&amp;"-S"&amp;TEXT(INT((C1371-DATE(YEAR(C1371-WEEKDAY(C1371,2)+4),1,3)+WEEKDAY(DATE(YEAR(C1371-WEEKDAY(C1371,2)+4),1,3),2)+5)/7),"00"))</f>
        <v/>
      </c>
    </row>
    <row r="1372" ht="18" customHeight="1">
      <c r="A1372" s="39" t="n">
        <v>1367</v>
      </c>
      <c r="B1372" s="33">
        <f>IF(C1372="","",IF(L1372="À RENSEIGNER","GIC",L1372)&amp;"-S"&amp;TEXT(A1372,"00000"))</f>
        <v/>
      </c>
      <c r="C1372" s="32" t="n"/>
      <c r="D1372" s="36" t="n"/>
      <c r="E1372" s="36" t="n"/>
      <c r="F1372" s="42" t="n"/>
      <c r="G1372" s="36" t="n"/>
      <c r="H1372" s="43" t="n"/>
      <c r="I1372" s="37" t="n"/>
      <c r="J1372" s="44" t="n"/>
      <c r="K1372" s="36" t="n"/>
      <c r="L1372" s="33">
        <f>IF(C1372="","",Commercial_Id)</f>
        <v/>
      </c>
      <c r="M1372" s="34">
        <f>IF(E1372="","",IFERROR(VLOOKUP(E1372,T_Produits,2,FALSE),""))</f>
        <v/>
      </c>
      <c r="N1372" s="40">
        <f>IF(E1372="","",IFERROR(1/(1/VLOOKUP(E1372,T_Produits,3,FALSE)),""))</f>
        <v/>
      </c>
      <c r="O1372" s="40">
        <f>IF(OR(D1372="",F1372=""),"",IF(OR(D1372="Casse / avarie",D1372="Perte / vol",D1372="Échantillon offert"),IF(I1372&lt;&gt;"",I1372,IF(N1372="","",F1372*N1372)),""))</f>
        <v/>
      </c>
      <c r="P1372" s="50">
        <f>IF(OR(D1372="",F1372=""),"",F1372*IF(OR(D1372="Reçu du magasin",D1372="Ajustement (+)"),1,-1))</f>
        <v/>
      </c>
      <c r="Q1372" s="34">
        <f>IF(C1372="","",YEAR(C1372-WEEKDAY(C1372,2)+4)&amp;"-S"&amp;TEXT(INT((C1372-DATE(YEAR(C1372-WEEKDAY(C1372,2)+4),1,3)+WEEKDAY(DATE(YEAR(C1372-WEEKDAY(C1372,2)+4),1,3),2)+5)/7),"00"))</f>
        <v/>
      </c>
    </row>
    <row r="1373" ht="18" customHeight="1">
      <c r="A1373" s="39" t="n">
        <v>1368</v>
      </c>
      <c r="B1373" s="33">
        <f>IF(C1373="","",IF(L1373="À RENSEIGNER","GIC",L1373)&amp;"-S"&amp;TEXT(A1373,"00000"))</f>
        <v/>
      </c>
      <c r="C1373" s="32" t="n"/>
      <c r="D1373" s="36" t="n"/>
      <c r="E1373" s="36" t="n"/>
      <c r="F1373" s="42" t="n"/>
      <c r="G1373" s="36" t="n"/>
      <c r="H1373" s="43" t="n"/>
      <c r="I1373" s="37" t="n"/>
      <c r="J1373" s="44" t="n"/>
      <c r="K1373" s="36" t="n"/>
      <c r="L1373" s="33">
        <f>IF(C1373="","",Commercial_Id)</f>
        <v/>
      </c>
      <c r="M1373" s="34">
        <f>IF(E1373="","",IFERROR(VLOOKUP(E1373,T_Produits,2,FALSE),""))</f>
        <v/>
      </c>
      <c r="N1373" s="40">
        <f>IF(E1373="","",IFERROR(1/(1/VLOOKUP(E1373,T_Produits,3,FALSE)),""))</f>
        <v/>
      </c>
      <c r="O1373" s="40">
        <f>IF(OR(D1373="",F1373=""),"",IF(OR(D1373="Casse / avarie",D1373="Perte / vol",D1373="Échantillon offert"),IF(I1373&lt;&gt;"",I1373,IF(N1373="","",F1373*N1373)),""))</f>
        <v/>
      </c>
      <c r="P1373" s="50">
        <f>IF(OR(D1373="",F1373=""),"",F1373*IF(OR(D1373="Reçu du magasin",D1373="Ajustement (+)"),1,-1))</f>
        <v/>
      </c>
      <c r="Q1373" s="34">
        <f>IF(C1373="","",YEAR(C1373-WEEKDAY(C1373,2)+4)&amp;"-S"&amp;TEXT(INT((C1373-DATE(YEAR(C1373-WEEKDAY(C1373,2)+4),1,3)+WEEKDAY(DATE(YEAR(C1373-WEEKDAY(C1373,2)+4),1,3),2)+5)/7),"00"))</f>
        <v/>
      </c>
    </row>
    <row r="1374" ht="18" customHeight="1">
      <c r="A1374" s="39" t="n">
        <v>1369</v>
      </c>
      <c r="B1374" s="33">
        <f>IF(C1374="","",IF(L1374="À RENSEIGNER","GIC",L1374)&amp;"-S"&amp;TEXT(A1374,"00000"))</f>
        <v/>
      </c>
      <c r="C1374" s="32" t="n"/>
      <c r="D1374" s="36" t="n"/>
      <c r="E1374" s="36" t="n"/>
      <c r="F1374" s="42" t="n"/>
      <c r="G1374" s="36" t="n"/>
      <c r="H1374" s="43" t="n"/>
      <c r="I1374" s="37" t="n"/>
      <c r="J1374" s="44" t="n"/>
      <c r="K1374" s="36" t="n"/>
      <c r="L1374" s="33">
        <f>IF(C1374="","",Commercial_Id)</f>
        <v/>
      </c>
      <c r="M1374" s="34">
        <f>IF(E1374="","",IFERROR(VLOOKUP(E1374,T_Produits,2,FALSE),""))</f>
        <v/>
      </c>
      <c r="N1374" s="40">
        <f>IF(E1374="","",IFERROR(1/(1/VLOOKUP(E1374,T_Produits,3,FALSE)),""))</f>
        <v/>
      </c>
      <c r="O1374" s="40">
        <f>IF(OR(D1374="",F1374=""),"",IF(OR(D1374="Casse / avarie",D1374="Perte / vol",D1374="Échantillon offert"),IF(I1374&lt;&gt;"",I1374,IF(N1374="","",F1374*N1374)),""))</f>
        <v/>
      </c>
      <c r="P1374" s="50">
        <f>IF(OR(D1374="",F1374=""),"",F1374*IF(OR(D1374="Reçu du magasin",D1374="Ajustement (+)"),1,-1))</f>
        <v/>
      </c>
      <c r="Q1374" s="34">
        <f>IF(C1374="","",YEAR(C1374-WEEKDAY(C1374,2)+4)&amp;"-S"&amp;TEXT(INT((C1374-DATE(YEAR(C1374-WEEKDAY(C1374,2)+4),1,3)+WEEKDAY(DATE(YEAR(C1374-WEEKDAY(C1374,2)+4),1,3),2)+5)/7),"00"))</f>
        <v/>
      </c>
    </row>
    <row r="1375" ht="18" customHeight="1">
      <c r="A1375" s="39" t="n">
        <v>1370</v>
      </c>
      <c r="B1375" s="33">
        <f>IF(C1375="","",IF(L1375="À RENSEIGNER","GIC",L1375)&amp;"-S"&amp;TEXT(A1375,"00000"))</f>
        <v/>
      </c>
      <c r="C1375" s="32" t="n"/>
      <c r="D1375" s="36" t="n"/>
      <c r="E1375" s="36" t="n"/>
      <c r="F1375" s="42" t="n"/>
      <c r="G1375" s="36" t="n"/>
      <c r="H1375" s="43" t="n"/>
      <c r="I1375" s="37" t="n"/>
      <c r="J1375" s="44" t="n"/>
      <c r="K1375" s="36" t="n"/>
      <c r="L1375" s="33">
        <f>IF(C1375="","",Commercial_Id)</f>
        <v/>
      </c>
      <c r="M1375" s="34">
        <f>IF(E1375="","",IFERROR(VLOOKUP(E1375,T_Produits,2,FALSE),""))</f>
        <v/>
      </c>
      <c r="N1375" s="40">
        <f>IF(E1375="","",IFERROR(1/(1/VLOOKUP(E1375,T_Produits,3,FALSE)),""))</f>
        <v/>
      </c>
      <c r="O1375" s="40">
        <f>IF(OR(D1375="",F1375=""),"",IF(OR(D1375="Casse / avarie",D1375="Perte / vol",D1375="Échantillon offert"),IF(I1375&lt;&gt;"",I1375,IF(N1375="","",F1375*N1375)),""))</f>
        <v/>
      </c>
      <c r="P1375" s="50">
        <f>IF(OR(D1375="",F1375=""),"",F1375*IF(OR(D1375="Reçu du magasin",D1375="Ajustement (+)"),1,-1))</f>
        <v/>
      </c>
      <c r="Q1375" s="34">
        <f>IF(C1375="","",YEAR(C1375-WEEKDAY(C1375,2)+4)&amp;"-S"&amp;TEXT(INT((C1375-DATE(YEAR(C1375-WEEKDAY(C1375,2)+4),1,3)+WEEKDAY(DATE(YEAR(C1375-WEEKDAY(C1375,2)+4),1,3),2)+5)/7),"00"))</f>
        <v/>
      </c>
    </row>
    <row r="1376" ht="18" customHeight="1">
      <c r="A1376" s="39" t="n">
        <v>1371</v>
      </c>
      <c r="B1376" s="33">
        <f>IF(C1376="","",IF(L1376="À RENSEIGNER","GIC",L1376)&amp;"-S"&amp;TEXT(A1376,"00000"))</f>
        <v/>
      </c>
      <c r="C1376" s="32" t="n"/>
      <c r="D1376" s="36" t="n"/>
      <c r="E1376" s="36" t="n"/>
      <c r="F1376" s="42" t="n"/>
      <c r="G1376" s="36" t="n"/>
      <c r="H1376" s="43" t="n"/>
      <c r="I1376" s="37" t="n"/>
      <c r="J1376" s="44" t="n"/>
      <c r="K1376" s="36" t="n"/>
      <c r="L1376" s="33">
        <f>IF(C1376="","",Commercial_Id)</f>
        <v/>
      </c>
      <c r="M1376" s="34">
        <f>IF(E1376="","",IFERROR(VLOOKUP(E1376,T_Produits,2,FALSE),""))</f>
        <v/>
      </c>
      <c r="N1376" s="40">
        <f>IF(E1376="","",IFERROR(1/(1/VLOOKUP(E1376,T_Produits,3,FALSE)),""))</f>
        <v/>
      </c>
      <c r="O1376" s="40">
        <f>IF(OR(D1376="",F1376=""),"",IF(OR(D1376="Casse / avarie",D1376="Perte / vol",D1376="Échantillon offert"),IF(I1376&lt;&gt;"",I1376,IF(N1376="","",F1376*N1376)),""))</f>
        <v/>
      </c>
      <c r="P1376" s="50">
        <f>IF(OR(D1376="",F1376=""),"",F1376*IF(OR(D1376="Reçu du magasin",D1376="Ajustement (+)"),1,-1))</f>
        <v/>
      </c>
      <c r="Q1376" s="34">
        <f>IF(C1376="","",YEAR(C1376-WEEKDAY(C1376,2)+4)&amp;"-S"&amp;TEXT(INT((C1376-DATE(YEAR(C1376-WEEKDAY(C1376,2)+4),1,3)+WEEKDAY(DATE(YEAR(C1376-WEEKDAY(C1376,2)+4),1,3),2)+5)/7),"00"))</f>
        <v/>
      </c>
    </row>
    <row r="1377" ht="18" customHeight="1">
      <c r="A1377" s="39" t="n">
        <v>1372</v>
      </c>
      <c r="B1377" s="33">
        <f>IF(C1377="","",IF(L1377="À RENSEIGNER","GIC",L1377)&amp;"-S"&amp;TEXT(A1377,"00000"))</f>
        <v/>
      </c>
      <c r="C1377" s="32" t="n"/>
      <c r="D1377" s="36" t="n"/>
      <c r="E1377" s="36" t="n"/>
      <c r="F1377" s="42" t="n"/>
      <c r="G1377" s="36" t="n"/>
      <c r="H1377" s="43" t="n"/>
      <c r="I1377" s="37" t="n"/>
      <c r="J1377" s="44" t="n"/>
      <c r="K1377" s="36" t="n"/>
      <c r="L1377" s="33">
        <f>IF(C1377="","",Commercial_Id)</f>
        <v/>
      </c>
      <c r="M1377" s="34">
        <f>IF(E1377="","",IFERROR(VLOOKUP(E1377,T_Produits,2,FALSE),""))</f>
        <v/>
      </c>
      <c r="N1377" s="40">
        <f>IF(E1377="","",IFERROR(1/(1/VLOOKUP(E1377,T_Produits,3,FALSE)),""))</f>
        <v/>
      </c>
      <c r="O1377" s="40">
        <f>IF(OR(D1377="",F1377=""),"",IF(OR(D1377="Casse / avarie",D1377="Perte / vol",D1377="Échantillon offert"),IF(I1377&lt;&gt;"",I1377,IF(N1377="","",F1377*N1377)),""))</f>
        <v/>
      </c>
      <c r="P1377" s="50">
        <f>IF(OR(D1377="",F1377=""),"",F1377*IF(OR(D1377="Reçu du magasin",D1377="Ajustement (+)"),1,-1))</f>
        <v/>
      </c>
      <c r="Q1377" s="34">
        <f>IF(C1377="","",YEAR(C1377-WEEKDAY(C1377,2)+4)&amp;"-S"&amp;TEXT(INT((C1377-DATE(YEAR(C1377-WEEKDAY(C1377,2)+4),1,3)+WEEKDAY(DATE(YEAR(C1377-WEEKDAY(C1377,2)+4),1,3),2)+5)/7),"00"))</f>
        <v/>
      </c>
    </row>
    <row r="1378" ht="18" customHeight="1">
      <c r="A1378" s="39" t="n">
        <v>1373</v>
      </c>
      <c r="B1378" s="33">
        <f>IF(C1378="","",IF(L1378="À RENSEIGNER","GIC",L1378)&amp;"-S"&amp;TEXT(A1378,"00000"))</f>
        <v/>
      </c>
      <c r="C1378" s="32" t="n"/>
      <c r="D1378" s="36" t="n"/>
      <c r="E1378" s="36" t="n"/>
      <c r="F1378" s="42" t="n"/>
      <c r="G1378" s="36" t="n"/>
      <c r="H1378" s="43" t="n"/>
      <c r="I1378" s="37" t="n"/>
      <c r="J1378" s="44" t="n"/>
      <c r="K1378" s="36" t="n"/>
      <c r="L1378" s="33">
        <f>IF(C1378="","",Commercial_Id)</f>
        <v/>
      </c>
      <c r="M1378" s="34">
        <f>IF(E1378="","",IFERROR(VLOOKUP(E1378,T_Produits,2,FALSE),""))</f>
        <v/>
      </c>
      <c r="N1378" s="40">
        <f>IF(E1378="","",IFERROR(1/(1/VLOOKUP(E1378,T_Produits,3,FALSE)),""))</f>
        <v/>
      </c>
      <c r="O1378" s="40">
        <f>IF(OR(D1378="",F1378=""),"",IF(OR(D1378="Casse / avarie",D1378="Perte / vol",D1378="Échantillon offert"),IF(I1378&lt;&gt;"",I1378,IF(N1378="","",F1378*N1378)),""))</f>
        <v/>
      </c>
      <c r="P1378" s="50">
        <f>IF(OR(D1378="",F1378=""),"",F1378*IF(OR(D1378="Reçu du magasin",D1378="Ajustement (+)"),1,-1))</f>
        <v/>
      </c>
      <c r="Q1378" s="34">
        <f>IF(C1378="","",YEAR(C1378-WEEKDAY(C1378,2)+4)&amp;"-S"&amp;TEXT(INT((C1378-DATE(YEAR(C1378-WEEKDAY(C1378,2)+4),1,3)+WEEKDAY(DATE(YEAR(C1378-WEEKDAY(C1378,2)+4),1,3),2)+5)/7),"00"))</f>
        <v/>
      </c>
    </row>
    <row r="1379" ht="18" customHeight="1">
      <c r="A1379" s="39" t="n">
        <v>1374</v>
      </c>
      <c r="B1379" s="33">
        <f>IF(C1379="","",IF(L1379="À RENSEIGNER","GIC",L1379)&amp;"-S"&amp;TEXT(A1379,"00000"))</f>
        <v/>
      </c>
      <c r="C1379" s="32" t="n"/>
      <c r="D1379" s="36" t="n"/>
      <c r="E1379" s="36" t="n"/>
      <c r="F1379" s="42" t="n"/>
      <c r="G1379" s="36" t="n"/>
      <c r="H1379" s="43" t="n"/>
      <c r="I1379" s="37" t="n"/>
      <c r="J1379" s="44" t="n"/>
      <c r="K1379" s="36" t="n"/>
      <c r="L1379" s="33">
        <f>IF(C1379="","",Commercial_Id)</f>
        <v/>
      </c>
      <c r="M1379" s="34">
        <f>IF(E1379="","",IFERROR(VLOOKUP(E1379,T_Produits,2,FALSE),""))</f>
        <v/>
      </c>
      <c r="N1379" s="40">
        <f>IF(E1379="","",IFERROR(1/(1/VLOOKUP(E1379,T_Produits,3,FALSE)),""))</f>
        <v/>
      </c>
      <c r="O1379" s="40">
        <f>IF(OR(D1379="",F1379=""),"",IF(OR(D1379="Casse / avarie",D1379="Perte / vol",D1379="Échantillon offert"),IF(I1379&lt;&gt;"",I1379,IF(N1379="","",F1379*N1379)),""))</f>
        <v/>
      </c>
      <c r="P1379" s="50">
        <f>IF(OR(D1379="",F1379=""),"",F1379*IF(OR(D1379="Reçu du magasin",D1379="Ajustement (+)"),1,-1))</f>
        <v/>
      </c>
      <c r="Q1379" s="34">
        <f>IF(C1379="","",YEAR(C1379-WEEKDAY(C1379,2)+4)&amp;"-S"&amp;TEXT(INT((C1379-DATE(YEAR(C1379-WEEKDAY(C1379,2)+4),1,3)+WEEKDAY(DATE(YEAR(C1379-WEEKDAY(C1379,2)+4),1,3),2)+5)/7),"00"))</f>
        <v/>
      </c>
    </row>
    <row r="1380" ht="18" customHeight="1">
      <c r="A1380" s="39" t="n">
        <v>1375</v>
      </c>
      <c r="B1380" s="33">
        <f>IF(C1380="","",IF(L1380="À RENSEIGNER","GIC",L1380)&amp;"-S"&amp;TEXT(A1380,"00000"))</f>
        <v/>
      </c>
      <c r="C1380" s="32" t="n"/>
      <c r="D1380" s="36" t="n"/>
      <c r="E1380" s="36" t="n"/>
      <c r="F1380" s="42" t="n"/>
      <c r="G1380" s="36" t="n"/>
      <c r="H1380" s="43" t="n"/>
      <c r="I1380" s="37" t="n"/>
      <c r="J1380" s="44" t="n"/>
      <c r="K1380" s="36" t="n"/>
      <c r="L1380" s="33">
        <f>IF(C1380="","",Commercial_Id)</f>
        <v/>
      </c>
      <c r="M1380" s="34">
        <f>IF(E1380="","",IFERROR(VLOOKUP(E1380,T_Produits,2,FALSE),""))</f>
        <v/>
      </c>
      <c r="N1380" s="40">
        <f>IF(E1380="","",IFERROR(1/(1/VLOOKUP(E1380,T_Produits,3,FALSE)),""))</f>
        <v/>
      </c>
      <c r="O1380" s="40">
        <f>IF(OR(D1380="",F1380=""),"",IF(OR(D1380="Casse / avarie",D1380="Perte / vol",D1380="Échantillon offert"),IF(I1380&lt;&gt;"",I1380,IF(N1380="","",F1380*N1380)),""))</f>
        <v/>
      </c>
      <c r="P1380" s="50">
        <f>IF(OR(D1380="",F1380=""),"",F1380*IF(OR(D1380="Reçu du magasin",D1380="Ajustement (+)"),1,-1))</f>
        <v/>
      </c>
      <c r="Q1380" s="34">
        <f>IF(C1380="","",YEAR(C1380-WEEKDAY(C1380,2)+4)&amp;"-S"&amp;TEXT(INT((C1380-DATE(YEAR(C1380-WEEKDAY(C1380,2)+4),1,3)+WEEKDAY(DATE(YEAR(C1380-WEEKDAY(C1380,2)+4),1,3),2)+5)/7),"00"))</f>
        <v/>
      </c>
    </row>
    <row r="1381" ht="18" customHeight="1">
      <c r="A1381" s="39" t="n">
        <v>1376</v>
      </c>
      <c r="B1381" s="33">
        <f>IF(C1381="","",IF(L1381="À RENSEIGNER","GIC",L1381)&amp;"-S"&amp;TEXT(A1381,"00000"))</f>
        <v/>
      </c>
      <c r="C1381" s="32" t="n"/>
      <c r="D1381" s="36" t="n"/>
      <c r="E1381" s="36" t="n"/>
      <c r="F1381" s="42" t="n"/>
      <c r="G1381" s="36" t="n"/>
      <c r="H1381" s="43" t="n"/>
      <c r="I1381" s="37" t="n"/>
      <c r="J1381" s="44" t="n"/>
      <c r="K1381" s="36" t="n"/>
      <c r="L1381" s="33">
        <f>IF(C1381="","",Commercial_Id)</f>
        <v/>
      </c>
      <c r="M1381" s="34">
        <f>IF(E1381="","",IFERROR(VLOOKUP(E1381,T_Produits,2,FALSE),""))</f>
        <v/>
      </c>
      <c r="N1381" s="40">
        <f>IF(E1381="","",IFERROR(1/(1/VLOOKUP(E1381,T_Produits,3,FALSE)),""))</f>
        <v/>
      </c>
      <c r="O1381" s="40">
        <f>IF(OR(D1381="",F1381=""),"",IF(OR(D1381="Casse / avarie",D1381="Perte / vol",D1381="Échantillon offert"),IF(I1381&lt;&gt;"",I1381,IF(N1381="","",F1381*N1381)),""))</f>
        <v/>
      </c>
      <c r="P1381" s="50">
        <f>IF(OR(D1381="",F1381=""),"",F1381*IF(OR(D1381="Reçu du magasin",D1381="Ajustement (+)"),1,-1))</f>
        <v/>
      </c>
      <c r="Q1381" s="34">
        <f>IF(C1381="","",YEAR(C1381-WEEKDAY(C1381,2)+4)&amp;"-S"&amp;TEXT(INT((C1381-DATE(YEAR(C1381-WEEKDAY(C1381,2)+4),1,3)+WEEKDAY(DATE(YEAR(C1381-WEEKDAY(C1381,2)+4),1,3),2)+5)/7),"00"))</f>
        <v/>
      </c>
    </row>
    <row r="1382" ht="18" customHeight="1">
      <c r="A1382" s="39" t="n">
        <v>1377</v>
      </c>
      <c r="B1382" s="33">
        <f>IF(C1382="","",IF(L1382="À RENSEIGNER","GIC",L1382)&amp;"-S"&amp;TEXT(A1382,"00000"))</f>
        <v/>
      </c>
      <c r="C1382" s="32" t="n"/>
      <c r="D1382" s="36" t="n"/>
      <c r="E1382" s="36" t="n"/>
      <c r="F1382" s="42" t="n"/>
      <c r="G1382" s="36" t="n"/>
      <c r="H1382" s="43" t="n"/>
      <c r="I1382" s="37" t="n"/>
      <c r="J1382" s="44" t="n"/>
      <c r="K1382" s="36" t="n"/>
      <c r="L1382" s="33">
        <f>IF(C1382="","",Commercial_Id)</f>
        <v/>
      </c>
      <c r="M1382" s="34">
        <f>IF(E1382="","",IFERROR(VLOOKUP(E1382,T_Produits,2,FALSE),""))</f>
        <v/>
      </c>
      <c r="N1382" s="40">
        <f>IF(E1382="","",IFERROR(1/(1/VLOOKUP(E1382,T_Produits,3,FALSE)),""))</f>
        <v/>
      </c>
      <c r="O1382" s="40">
        <f>IF(OR(D1382="",F1382=""),"",IF(OR(D1382="Casse / avarie",D1382="Perte / vol",D1382="Échantillon offert"),IF(I1382&lt;&gt;"",I1382,IF(N1382="","",F1382*N1382)),""))</f>
        <v/>
      </c>
      <c r="P1382" s="50">
        <f>IF(OR(D1382="",F1382=""),"",F1382*IF(OR(D1382="Reçu du magasin",D1382="Ajustement (+)"),1,-1))</f>
        <v/>
      </c>
      <c r="Q1382" s="34">
        <f>IF(C1382="","",YEAR(C1382-WEEKDAY(C1382,2)+4)&amp;"-S"&amp;TEXT(INT((C1382-DATE(YEAR(C1382-WEEKDAY(C1382,2)+4),1,3)+WEEKDAY(DATE(YEAR(C1382-WEEKDAY(C1382,2)+4),1,3),2)+5)/7),"00"))</f>
        <v/>
      </c>
    </row>
    <row r="1383" ht="18" customHeight="1">
      <c r="A1383" s="39" t="n">
        <v>1378</v>
      </c>
      <c r="B1383" s="33">
        <f>IF(C1383="","",IF(L1383="À RENSEIGNER","GIC",L1383)&amp;"-S"&amp;TEXT(A1383,"00000"))</f>
        <v/>
      </c>
      <c r="C1383" s="32" t="n"/>
      <c r="D1383" s="36" t="n"/>
      <c r="E1383" s="36" t="n"/>
      <c r="F1383" s="42" t="n"/>
      <c r="G1383" s="36" t="n"/>
      <c r="H1383" s="43" t="n"/>
      <c r="I1383" s="37" t="n"/>
      <c r="J1383" s="44" t="n"/>
      <c r="K1383" s="36" t="n"/>
      <c r="L1383" s="33">
        <f>IF(C1383="","",Commercial_Id)</f>
        <v/>
      </c>
      <c r="M1383" s="34">
        <f>IF(E1383="","",IFERROR(VLOOKUP(E1383,T_Produits,2,FALSE),""))</f>
        <v/>
      </c>
      <c r="N1383" s="40">
        <f>IF(E1383="","",IFERROR(1/(1/VLOOKUP(E1383,T_Produits,3,FALSE)),""))</f>
        <v/>
      </c>
      <c r="O1383" s="40">
        <f>IF(OR(D1383="",F1383=""),"",IF(OR(D1383="Casse / avarie",D1383="Perte / vol",D1383="Échantillon offert"),IF(I1383&lt;&gt;"",I1383,IF(N1383="","",F1383*N1383)),""))</f>
        <v/>
      </c>
      <c r="P1383" s="50">
        <f>IF(OR(D1383="",F1383=""),"",F1383*IF(OR(D1383="Reçu du magasin",D1383="Ajustement (+)"),1,-1))</f>
        <v/>
      </c>
      <c r="Q1383" s="34">
        <f>IF(C1383="","",YEAR(C1383-WEEKDAY(C1383,2)+4)&amp;"-S"&amp;TEXT(INT((C1383-DATE(YEAR(C1383-WEEKDAY(C1383,2)+4),1,3)+WEEKDAY(DATE(YEAR(C1383-WEEKDAY(C1383,2)+4),1,3),2)+5)/7),"00"))</f>
        <v/>
      </c>
    </row>
    <row r="1384" ht="18" customHeight="1">
      <c r="A1384" s="39" t="n">
        <v>1379</v>
      </c>
      <c r="B1384" s="33">
        <f>IF(C1384="","",IF(L1384="À RENSEIGNER","GIC",L1384)&amp;"-S"&amp;TEXT(A1384,"00000"))</f>
        <v/>
      </c>
      <c r="C1384" s="32" t="n"/>
      <c r="D1384" s="36" t="n"/>
      <c r="E1384" s="36" t="n"/>
      <c r="F1384" s="42" t="n"/>
      <c r="G1384" s="36" t="n"/>
      <c r="H1384" s="43" t="n"/>
      <c r="I1384" s="37" t="n"/>
      <c r="J1384" s="44" t="n"/>
      <c r="K1384" s="36" t="n"/>
      <c r="L1384" s="33">
        <f>IF(C1384="","",Commercial_Id)</f>
        <v/>
      </c>
      <c r="M1384" s="34">
        <f>IF(E1384="","",IFERROR(VLOOKUP(E1384,T_Produits,2,FALSE),""))</f>
        <v/>
      </c>
      <c r="N1384" s="40">
        <f>IF(E1384="","",IFERROR(1/(1/VLOOKUP(E1384,T_Produits,3,FALSE)),""))</f>
        <v/>
      </c>
      <c r="O1384" s="40">
        <f>IF(OR(D1384="",F1384=""),"",IF(OR(D1384="Casse / avarie",D1384="Perte / vol",D1384="Échantillon offert"),IF(I1384&lt;&gt;"",I1384,IF(N1384="","",F1384*N1384)),""))</f>
        <v/>
      </c>
      <c r="P1384" s="50">
        <f>IF(OR(D1384="",F1384=""),"",F1384*IF(OR(D1384="Reçu du magasin",D1384="Ajustement (+)"),1,-1))</f>
        <v/>
      </c>
      <c r="Q1384" s="34">
        <f>IF(C1384="","",YEAR(C1384-WEEKDAY(C1384,2)+4)&amp;"-S"&amp;TEXT(INT((C1384-DATE(YEAR(C1384-WEEKDAY(C1384,2)+4),1,3)+WEEKDAY(DATE(YEAR(C1384-WEEKDAY(C1384,2)+4),1,3),2)+5)/7),"00"))</f>
        <v/>
      </c>
    </row>
    <row r="1385" ht="18" customHeight="1">
      <c r="A1385" s="39" t="n">
        <v>1380</v>
      </c>
      <c r="B1385" s="33">
        <f>IF(C1385="","",IF(L1385="À RENSEIGNER","GIC",L1385)&amp;"-S"&amp;TEXT(A1385,"00000"))</f>
        <v/>
      </c>
      <c r="C1385" s="32" t="n"/>
      <c r="D1385" s="36" t="n"/>
      <c r="E1385" s="36" t="n"/>
      <c r="F1385" s="42" t="n"/>
      <c r="G1385" s="36" t="n"/>
      <c r="H1385" s="43" t="n"/>
      <c r="I1385" s="37" t="n"/>
      <c r="J1385" s="44" t="n"/>
      <c r="K1385" s="36" t="n"/>
      <c r="L1385" s="33">
        <f>IF(C1385="","",Commercial_Id)</f>
        <v/>
      </c>
      <c r="M1385" s="34">
        <f>IF(E1385="","",IFERROR(VLOOKUP(E1385,T_Produits,2,FALSE),""))</f>
        <v/>
      </c>
      <c r="N1385" s="40">
        <f>IF(E1385="","",IFERROR(1/(1/VLOOKUP(E1385,T_Produits,3,FALSE)),""))</f>
        <v/>
      </c>
      <c r="O1385" s="40">
        <f>IF(OR(D1385="",F1385=""),"",IF(OR(D1385="Casse / avarie",D1385="Perte / vol",D1385="Échantillon offert"),IF(I1385&lt;&gt;"",I1385,IF(N1385="","",F1385*N1385)),""))</f>
        <v/>
      </c>
      <c r="P1385" s="50">
        <f>IF(OR(D1385="",F1385=""),"",F1385*IF(OR(D1385="Reçu du magasin",D1385="Ajustement (+)"),1,-1))</f>
        <v/>
      </c>
      <c r="Q1385" s="34">
        <f>IF(C1385="","",YEAR(C1385-WEEKDAY(C1385,2)+4)&amp;"-S"&amp;TEXT(INT((C1385-DATE(YEAR(C1385-WEEKDAY(C1385,2)+4),1,3)+WEEKDAY(DATE(YEAR(C1385-WEEKDAY(C1385,2)+4),1,3),2)+5)/7),"00"))</f>
        <v/>
      </c>
    </row>
    <row r="1386" ht="18" customHeight="1">
      <c r="A1386" s="39" t="n">
        <v>1381</v>
      </c>
      <c r="B1386" s="33">
        <f>IF(C1386="","",IF(L1386="À RENSEIGNER","GIC",L1386)&amp;"-S"&amp;TEXT(A1386,"00000"))</f>
        <v/>
      </c>
      <c r="C1386" s="32" t="n"/>
      <c r="D1386" s="36" t="n"/>
      <c r="E1386" s="36" t="n"/>
      <c r="F1386" s="42" t="n"/>
      <c r="G1386" s="36" t="n"/>
      <c r="H1386" s="43" t="n"/>
      <c r="I1386" s="37" t="n"/>
      <c r="J1386" s="44" t="n"/>
      <c r="K1386" s="36" t="n"/>
      <c r="L1386" s="33">
        <f>IF(C1386="","",Commercial_Id)</f>
        <v/>
      </c>
      <c r="M1386" s="34">
        <f>IF(E1386="","",IFERROR(VLOOKUP(E1386,T_Produits,2,FALSE),""))</f>
        <v/>
      </c>
      <c r="N1386" s="40">
        <f>IF(E1386="","",IFERROR(1/(1/VLOOKUP(E1386,T_Produits,3,FALSE)),""))</f>
        <v/>
      </c>
      <c r="O1386" s="40">
        <f>IF(OR(D1386="",F1386=""),"",IF(OR(D1386="Casse / avarie",D1386="Perte / vol",D1386="Échantillon offert"),IF(I1386&lt;&gt;"",I1386,IF(N1386="","",F1386*N1386)),""))</f>
        <v/>
      </c>
      <c r="P1386" s="50">
        <f>IF(OR(D1386="",F1386=""),"",F1386*IF(OR(D1386="Reçu du magasin",D1386="Ajustement (+)"),1,-1))</f>
        <v/>
      </c>
      <c r="Q1386" s="34">
        <f>IF(C1386="","",YEAR(C1386-WEEKDAY(C1386,2)+4)&amp;"-S"&amp;TEXT(INT((C1386-DATE(YEAR(C1386-WEEKDAY(C1386,2)+4),1,3)+WEEKDAY(DATE(YEAR(C1386-WEEKDAY(C1386,2)+4),1,3),2)+5)/7),"00"))</f>
        <v/>
      </c>
    </row>
    <row r="1387" ht="18" customHeight="1">
      <c r="A1387" s="39" t="n">
        <v>1382</v>
      </c>
      <c r="B1387" s="33">
        <f>IF(C1387="","",IF(L1387="À RENSEIGNER","GIC",L1387)&amp;"-S"&amp;TEXT(A1387,"00000"))</f>
        <v/>
      </c>
      <c r="C1387" s="32" t="n"/>
      <c r="D1387" s="36" t="n"/>
      <c r="E1387" s="36" t="n"/>
      <c r="F1387" s="42" t="n"/>
      <c r="G1387" s="36" t="n"/>
      <c r="H1387" s="43" t="n"/>
      <c r="I1387" s="37" t="n"/>
      <c r="J1387" s="44" t="n"/>
      <c r="K1387" s="36" t="n"/>
      <c r="L1387" s="33">
        <f>IF(C1387="","",Commercial_Id)</f>
        <v/>
      </c>
      <c r="M1387" s="34">
        <f>IF(E1387="","",IFERROR(VLOOKUP(E1387,T_Produits,2,FALSE),""))</f>
        <v/>
      </c>
      <c r="N1387" s="40">
        <f>IF(E1387="","",IFERROR(1/(1/VLOOKUP(E1387,T_Produits,3,FALSE)),""))</f>
        <v/>
      </c>
      <c r="O1387" s="40">
        <f>IF(OR(D1387="",F1387=""),"",IF(OR(D1387="Casse / avarie",D1387="Perte / vol",D1387="Échantillon offert"),IF(I1387&lt;&gt;"",I1387,IF(N1387="","",F1387*N1387)),""))</f>
        <v/>
      </c>
      <c r="P1387" s="50">
        <f>IF(OR(D1387="",F1387=""),"",F1387*IF(OR(D1387="Reçu du magasin",D1387="Ajustement (+)"),1,-1))</f>
        <v/>
      </c>
      <c r="Q1387" s="34">
        <f>IF(C1387="","",YEAR(C1387-WEEKDAY(C1387,2)+4)&amp;"-S"&amp;TEXT(INT((C1387-DATE(YEAR(C1387-WEEKDAY(C1387,2)+4),1,3)+WEEKDAY(DATE(YEAR(C1387-WEEKDAY(C1387,2)+4),1,3),2)+5)/7),"00"))</f>
        <v/>
      </c>
    </row>
    <row r="1388" ht="18" customHeight="1">
      <c r="A1388" s="39" t="n">
        <v>1383</v>
      </c>
      <c r="B1388" s="33">
        <f>IF(C1388="","",IF(L1388="À RENSEIGNER","GIC",L1388)&amp;"-S"&amp;TEXT(A1388,"00000"))</f>
        <v/>
      </c>
      <c r="C1388" s="32" t="n"/>
      <c r="D1388" s="36" t="n"/>
      <c r="E1388" s="36" t="n"/>
      <c r="F1388" s="42" t="n"/>
      <c r="G1388" s="36" t="n"/>
      <c r="H1388" s="43" t="n"/>
      <c r="I1388" s="37" t="n"/>
      <c r="J1388" s="44" t="n"/>
      <c r="K1388" s="36" t="n"/>
      <c r="L1388" s="33">
        <f>IF(C1388="","",Commercial_Id)</f>
        <v/>
      </c>
      <c r="M1388" s="34">
        <f>IF(E1388="","",IFERROR(VLOOKUP(E1388,T_Produits,2,FALSE),""))</f>
        <v/>
      </c>
      <c r="N1388" s="40">
        <f>IF(E1388="","",IFERROR(1/(1/VLOOKUP(E1388,T_Produits,3,FALSE)),""))</f>
        <v/>
      </c>
      <c r="O1388" s="40">
        <f>IF(OR(D1388="",F1388=""),"",IF(OR(D1388="Casse / avarie",D1388="Perte / vol",D1388="Échantillon offert"),IF(I1388&lt;&gt;"",I1388,IF(N1388="","",F1388*N1388)),""))</f>
        <v/>
      </c>
      <c r="P1388" s="50">
        <f>IF(OR(D1388="",F1388=""),"",F1388*IF(OR(D1388="Reçu du magasin",D1388="Ajustement (+)"),1,-1))</f>
        <v/>
      </c>
      <c r="Q1388" s="34">
        <f>IF(C1388="","",YEAR(C1388-WEEKDAY(C1388,2)+4)&amp;"-S"&amp;TEXT(INT((C1388-DATE(YEAR(C1388-WEEKDAY(C1388,2)+4),1,3)+WEEKDAY(DATE(YEAR(C1388-WEEKDAY(C1388,2)+4),1,3),2)+5)/7),"00"))</f>
        <v/>
      </c>
    </row>
    <row r="1389" ht="18" customHeight="1">
      <c r="A1389" s="39" t="n">
        <v>1384</v>
      </c>
      <c r="B1389" s="33">
        <f>IF(C1389="","",IF(L1389="À RENSEIGNER","GIC",L1389)&amp;"-S"&amp;TEXT(A1389,"00000"))</f>
        <v/>
      </c>
      <c r="C1389" s="32" t="n"/>
      <c r="D1389" s="36" t="n"/>
      <c r="E1389" s="36" t="n"/>
      <c r="F1389" s="42" t="n"/>
      <c r="G1389" s="36" t="n"/>
      <c r="H1389" s="43" t="n"/>
      <c r="I1389" s="37" t="n"/>
      <c r="J1389" s="44" t="n"/>
      <c r="K1389" s="36" t="n"/>
      <c r="L1389" s="33">
        <f>IF(C1389="","",Commercial_Id)</f>
        <v/>
      </c>
      <c r="M1389" s="34">
        <f>IF(E1389="","",IFERROR(VLOOKUP(E1389,T_Produits,2,FALSE),""))</f>
        <v/>
      </c>
      <c r="N1389" s="40">
        <f>IF(E1389="","",IFERROR(1/(1/VLOOKUP(E1389,T_Produits,3,FALSE)),""))</f>
        <v/>
      </c>
      <c r="O1389" s="40">
        <f>IF(OR(D1389="",F1389=""),"",IF(OR(D1389="Casse / avarie",D1389="Perte / vol",D1389="Échantillon offert"),IF(I1389&lt;&gt;"",I1389,IF(N1389="","",F1389*N1389)),""))</f>
        <v/>
      </c>
      <c r="P1389" s="50">
        <f>IF(OR(D1389="",F1389=""),"",F1389*IF(OR(D1389="Reçu du magasin",D1389="Ajustement (+)"),1,-1))</f>
        <v/>
      </c>
      <c r="Q1389" s="34">
        <f>IF(C1389="","",YEAR(C1389-WEEKDAY(C1389,2)+4)&amp;"-S"&amp;TEXT(INT((C1389-DATE(YEAR(C1389-WEEKDAY(C1389,2)+4),1,3)+WEEKDAY(DATE(YEAR(C1389-WEEKDAY(C1389,2)+4),1,3),2)+5)/7),"00"))</f>
        <v/>
      </c>
    </row>
    <row r="1390" ht="18" customHeight="1">
      <c r="A1390" s="39" t="n">
        <v>1385</v>
      </c>
      <c r="B1390" s="33">
        <f>IF(C1390="","",IF(L1390="À RENSEIGNER","GIC",L1390)&amp;"-S"&amp;TEXT(A1390,"00000"))</f>
        <v/>
      </c>
      <c r="C1390" s="32" t="n"/>
      <c r="D1390" s="36" t="n"/>
      <c r="E1390" s="36" t="n"/>
      <c r="F1390" s="42" t="n"/>
      <c r="G1390" s="36" t="n"/>
      <c r="H1390" s="43" t="n"/>
      <c r="I1390" s="37" t="n"/>
      <c r="J1390" s="44" t="n"/>
      <c r="K1390" s="36" t="n"/>
      <c r="L1390" s="33">
        <f>IF(C1390="","",Commercial_Id)</f>
        <v/>
      </c>
      <c r="M1390" s="34">
        <f>IF(E1390="","",IFERROR(VLOOKUP(E1390,T_Produits,2,FALSE),""))</f>
        <v/>
      </c>
      <c r="N1390" s="40">
        <f>IF(E1390="","",IFERROR(1/(1/VLOOKUP(E1390,T_Produits,3,FALSE)),""))</f>
        <v/>
      </c>
      <c r="O1390" s="40">
        <f>IF(OR(D1390="",F1390=""),"",IF(OR(D1390="Casse / avarie",D1390="Perte / vol",D1390="Échantillon offert"),IF(I1390&lt;&gt;"",I1390,IF(N1390="","",F1390*N1390)),""))</f>
        <v/>
      </c>
      <c r="P1390" s="50">
        <f>IF(OR(D1390="",F1390=""),"",F1390*IF(OR(D1390="Reçu du magasin",D1390="Ajustement (+)"),1,-1))</f>
        <v/>
      </c>
      <c r="Q1390" s="34">
        <f>IF(C1390="","",YEAR(C1390-WEEKDAY(C1390,2)+4)&amp;"-S"&amp;TEXT(INT((C1390-DATE(YEAR(C1390-WEEKDAY(C1390,2)+4),1,3)+WEEKDAY(DATE(YEAR(C1390-WEEKDAY(C1390,2)+4),1,3),2)+5)/7),"00"))</f>
        <v/>
      </c>
    </row>
    <row r="1391" ht="18" customHeight="1">
      <c r="A1391" s="39" t="n">
        <v>1386</v>
      </c>
      <c r="B1391" s="33">
        <f>IF(C1391="","",IF(L1391="À RENSEIGNER","GIC",L1391)&amp;"-S"&amp;TEXT(A1391,"00000"))</f>
        <v/>
      </c>
      <c r="C1391" s="32" t="n"/>
      <c r="D1391" s="36" t="n"/>
      <c r="E1391" s="36" t="n"/>
      <c r="F1391" s="42" t="n"/>
      <c r="G1391" s="36" t="n"/>
      <c r="H1391" s="43" t="n"/>
      <c r="I1391" s="37" t="n"/>
      <c r="J1391" s="44" t="n"/>
      <c r="K1391" s="36" t="n"/>
      <c r="L1391" s="33">
        <f>IF(C1391="","",Commercial_Id)</f>
        <v/>
      </c>
      <c r="M1391" s="34">
        <f>IF(E1391="","",IFERROR(VLOOKUP(E1391,T_Produits,2,FALSE),""))</f>
        <v/>
      </c>
      <c r="N1391" s="40">
        <f>IF(E1391="","",IFERROR(1/(1/VLOOKUP(E1391,T_Produits,3,FALSE)),""))</f>
        <v/>
      </c>
      <c r="O1391" s="40">
        <f>IF(OR(D1391="",F1391=""),"",IF(OR(D1391="Casse / avarie",D1391="Perte / vol",D1391="Échantillon offert"),IF(I1391&lt;&gt;"",I1391,IF(N1391="","",F1391*N1391)),""))</f>
        <v/>
      </c>
      <c r="P1391" s="50">
        <f>IF(OR(D1391="",F1391=""),"",F1391*IF(OR(D1391="Reçu du magasin",D1391="Ajustement (+)"),1,-1))</f>
        <v/>
      </c>
      <c r="Q1391" s="34">
        <f>IF(C1391="","",YEAR(C1391-WEEKDAY(C1391,2)+4)&amp;"-S"&amp;TEXT(INT((C1391-DATE(YEAR(C1391-WEEKDAY(C1391,2)+4),1,3)+WEEKDAY(DATE(YEAR(C1391-WEEKDAY(C1391,2)+4),1,3),2)+5)/7),"00"))</f>
        <v/>
      </c>
    </row>
    <row r="1392" ht="18" customHeight="1">
      <c r="A1392" s="39" t="n">
        <v>1387</v>
      </c>
      <c r="B1392" s="33">
        <f>IF(C1392="","",IF(L1392="À RENSEIGNER","GIC",L1392)&amp;"-S"&amp;TEXT(A1392,"00000"))</f>
        <v/>
      </c>
      <c r="C1392" s="32" t="n"/>
      <c r="D1392" s="36" t="n"/>
      <c r="E1392" s="36" t="n"/>
      <c r="F1392" s="42" t="n"/>
      <c r="G1392" s="36" t="n"/>
      <c r="H1392" s="43" t="n"/>
      <c r="I1392" s="37" t="n"/>
      <c r="J1392" s="44" t="n"/>
      <c r="K1392" s="36" t="n"/>
      <c r="L1392" s="33">
        <f>IF(C1392="","",Commercial_Id)</f>
        <v/>
      </c>
      <c r="M1392" s="34">
        <f>IF(E1392="","",IFERROR(VLOOKUP(E1392,T_Produits,2,FALSE),""))</f>
        <v/>
      </c>
      <c r="N1392" s="40">
        <f>IF(E1392="","",IFERROR(1/(1/VLOOKUP(E1392,T_Produits,3,FALSE)),""))</f>
        <v/>
      </c>
      <c r="O1392" s="40">
        <f>IF(OR(D1392="",F1392=""),"",IF(OR(D1392="Casse / avarie",D1392="Perte / vol",D1392="Échantillon offert"),IF(I1392&lt;&gt;"",I1392,IF(N1392="","",F1392*N1392)),""))</f>
        <v/>
      </c>
      <c r="P1392" s="50">
        <f>IF(OR(D1392="",F1392=""),"",F1392*IF(OR(D1392="Reçu du magasin",D1392="Ajustement (+)"),1,-1))</f>
        <v/>
      </c>
      <c r="Q1392" s="34">
        <f>IF(C1392="","",YEAR(C1392-WEEKDAY(C1392,2)+4)&amp;"-S"&amp;TEXT(INT((C1392-DATE(YEAR(C1392-WEEKDAY(C1392,2)+4),1,3)+WEEKDAY(DATE(YEAR(C1392-WEEKDAY(C1392,2)+4),1,3),2)+5)/7),"00"))</f>
        <v/>
      </c>
    </row>
    <row r="1393" ht="18" customHeight="1">
      <c r="A1393" s="39" t="n">
        <v>1388</v>
      </c>
      <c r="B1393" s="33">
        <f>IF(C1393="","",IF(L1393="À RENSEIGNER","GIC",L1393)&amp;"-S"&amp;TEXT(A1393,"00000"))</f>
        <v/>
      </c>
      <c r="C1393" s="32" t="n"/>
      <c r="D1393" s="36" t="n"/>
      <c r="E1393" s="36" t="n"/>
      <c r="F1393" s="42" t="n"/>
      <c r="G1393" s="36" t="n"/>
      <c r="H1393" s="43" t="n"/>
      <c r="I1393" s="37" t="n"/>
      <c r="J1393" s="44" t="n"/>
      <c r="K1393" s="36" t="n"/>
      <c r="L1393" s="33">
        <f>IF(C1393="","",Commercial_Id)</f>
        <v/>
      </c>
      <c r="M1393" s="34">
        <f>IF(E1393="","",IFERROR(VLOOKUP(E1393,T_Produits,2,FALSE),""))</f>
        <v/>
      </c>
      <c r="N1393" s="40">
        <f>IF(E1393="","",IFERROR(1/(1/VLOOKUP(E1393,T_Produits,3,FALSE)),""))</f>
        <v/>
      </c>
      <c r="O1393" s="40">
        <f>IF(OR(D1393="",F1393=""),"",IF(OR(D1393="Casse / avarie",D1393="Perte / vol",D1393="Échantillon offert"),IF(I1393&lt;&gt;"",I1393,IF(N1393="","",F1393*N1393)),""))</f>
        <v/>
      </c>
      <c r="P1393" s="50">
        <f>IF(OR(D1393="",F1393=""),"",F1393*IF(OR(D1393="Reçu du magasin",D1393="Ajustement (+)"),1,-1))</f>
        <v/>
      </c>
      <c r="Q1393" s="34">
        <f>IF(C1393="","",YEAR(C1393-WEEKDAY(C1393,2)+4)&amp;"-S"&amp;TEXT(INT((C1393-DATE(YEAR(C1393-WEEKDAY(C1393,2)+4),1,3)+WEEKDAY(DATE(YEAR(C1393-WEEKDAY(C1393,2)+4),1,3),2)+5)/7),"00"))</f>
        <v/>
      </c>
    </row>
    <row r="1394" ht="18" customHeight="1">
      <c r="A1394" s="39" t="n">
        <v>1389</v>
      </c>
      <c r="B1394" s="33">
        <f>IF(C1394="","",IF(L1394="À RENSEIGNER","GIC",L1394)&amp;"-S"&amp;TEXT(A1394,"00000"))</f>
        <v/>
      </c>
      <c r="C1394" s="32" t="n"/>
      <c r="D1394" s="36" t="n"/>
      <c r="E1394" s="36" t="n"/>
      <c r="F1394" s="42" t="n"/>
      <c r="G1394" s="36" t="n"/>
      <c r="H1394" s="43" t="n"/>
      <c r="I1394" s="37" t="n"/>
      <c r="J1394" s="44" t="n"/>
      <c r="K1394" s="36" t="n"/>
      <c r="L1394" s="33">
        <f>IF(C1394="","",Commercial_Id)</f>
        <v/>
      </c>
      <c r="M1394" s="34">
        <f>IF(E1394="","",IFERROR(VLOOKUP(E1394,T_Produits,2,FALSE),""))</f>
        <v/>
      </c>
      <c r="N1394" s="40">
        <f>IF(E1394="","",IFERROR(1/(1/VLOOKUP(E1394,T_Produits,3,FALSE)),""))</f>
        <v/>
      </c>
      <c r="O1394" s="40">
        <f>IF(OR(D1394="",F1394=""),"",IF(OR(D1394="Casse / avarie",D1394="Perte / vol",D1394="Échantillon offert"),IF(I1394&lt;&gt;"",I1394,IF(N1394="","",F1394*N1394)),""))</f>
        <v/>
      </c>
      <c r="P1394" s="50">
        <f>IF(OR(D1394="",F1394=""),"",F1394*IF(OR(D1394="Reçu du magasin",D1394="Ajustement (+)"),1,-1))</f>
        <v/>
      </c>
      <c r="Q1394" s="34">
        <f>IF(C1394="","",YEAR(C1394-WEEKDAY(C1394,2)+4)&amp;"-S"&amp;TEXT(INT((C1394-DATE(YEAR(C1394-WEEKDAY(C1394,2)+4),1,3)+WEEKDAY(DATE(YEAR(C1394-WEEKDAY(C1394,2)+4),1,3),2)+5)/7),"00"))</f>
        <v/>
      </c>
    </row>
    <row r="1395" ht="18" customHeight="1">
      <c r="A1395" s="39" t="n">
        <v>1390</v>
      </c>
      <c r="B1395" s="33">
        <f>IF(C1395="","",IF(L1395="À RENSEIGNER","GIC",L1395)&amp;"-S"&amp;TEXT(A1395,"00000"))</f>
        <v/>
      </c>
      <c r="C1395" s="32" t="n"/>
      <c r="D1395" s="36" t="n"/>
      <c r="E1395" s="36" t="n"/>
      <c r="F1395" s="42" t="n"/>
      <c r="G1395" s="36" t="n"/>
      <c r="H1395" s="43" t="n"/>
      <c r="I1395" s="37" t="n"/>
      <c r="J1395" s="44" t="n"/>
      <c r="K1395" s="36" t="n"/>
      <c r="L1395" s="33">
        <f>IF(C1395="","",Commercial_Id)</f>
        <v/>
      </c>
      <c r="M1395" s="34">
        <f>IF(E1395="","",IFERROR(VLOOKUP(E1395,T_Produits,2,FALSE),""))</f>
        <v/>
      </c>
      <c r="N1395" s="40">
        <f>IF(E1395="","",IFERROR(1/(1/VLOOKUP(E1395,T_Produits,3,FALSE)),""))</f>
        <v/>
      </c>
      <c r="O1395" s="40">
        <f>IF(OR(D1395="",F1395=""),"",IF(OR(D1395="Casse / avarie",D1395="Perte / vol",D1395="Échantillon offert"),IF(I1395&lt;&gt;"",I1395,IF(N1395="","",F1395*N1395)),""))</f>
        <v/>
      </c>
      <c r="P1395" s="50">
        <f>IF(OR(D1395="",F1395=""),"",F1395*IF(OR(D1395="Reçu du magasin",D1395="Ajustement (+)"),1,-1))</f>
        <v/>
      </c>
      <c r="Q1395" s="34">
        <f>IF(C1395="","",YEAR(C1395-WEEKDAY(C1395,2)+4)&amp;"-S"&amp;TEXT(INT((C1395-DATE(YEAR(C1395-WEEKDAY(C1395,2)+4),1,3)+WEEKDAY(DATE(YEAR(C1395-WEEKDAY(C1395,2)+4),1,3),2)+5)/7),"00"))</f>
        <v/>
      </c>
    </row>
    <row r="1396" ht="18" customHeight="1">
      <c r="A1396" s="39" t="n">
        <v>1391</v>
      </c>
      <c r="B1396" s="33">
        <f>IF(C1396="","",IF(L1396="À RENSEIGNER","GIC",L1396)&amp;"-S"&amp;TEXT(A1396,"00000"))</f>
        <v/>
      </c>
      <c r="C1396" s="32" t="n"/>
      <c r="D1396" s="36" t="n"/>
      <c r="E1396" s="36" t="n"/>
      <c r="F1396" s="42" t="n"/>
      <c r="G1396" s="36" t="n"/>
      <c r="H1396" s="43" t="n"/>
      <c r="I1396" s="37" t="n"/>
      <c r="J1396" s="44" t="n"/>
      <c r="K1396" s="36" t="n"/>
      <c r="L1396" s="33">
        <f>IF(C1396="","",Commercial_Id)</f>
        <v/>
      </c>
      <c r="M1396" s="34">
        <f>IF(E1396="","",IFERROR(VLOOKUP(E1396,T_Produits,2,FALSE),""))</f>
        <v/>
      </c>
      <c r="N1396" s="40">
        <f>IF(E1396="","",IFERROR(1/(1/VLOOKUP(E1396,T_Produits,3,FALSE)),""))</f>
        <v/>
      </c>
      <c r="O1396" s="40">
        <f>IF(OR(D1396="",F1396=""),"",IF(OR(D1396="Casse / avarie",D1396="Perte / vol",D1396="Échantillon offert"),IF(I1396&lt;&gt;"",I1396,IF(N1396="","",F1396*N1396)),""))</f>
        <v/>
      </c>
      <c r="P1396" s="50">
        <f>IF(OR(D1396="",F1396=""),"",F1396*IF(OR(D1396="Reçu du magasin",D1396="Ajustement (+)"),1,-1))</f>
        <v/>
      </c>
      <c r="Q1396" s="34">
        <f>IF(C1396="","",YEAR(C1396-WEEKDAY(C1396,2)+4)&amp;"-S"&amp;TEXT(INT((C1396-DATE(YEAR(C1396-WEEKDAY(C1396,2)+4),1,3)+WEEKDAY(DATE(YEAR(C1396-WEEKDAY(C1396,2)+4),1,3),2)+5)/7),"00"))</f>
        <v/>
      </c>
    </row>
    <row r="1397" ht="18" customHeight="1">
      <c r="A1397" s="39" t="n">
        <v>1392</v>
      </c>
      <c r="B1397" s="33">
        <f>IF(C1397="","",IF(L1397="À RENSEIGNER","GIC",L1397)&amp;"-S"&amp;TEXT(A1397,"00000"))</f>
        <v/>
      </c>
      <c r="C1397" s="32" t="n"/>
      <c r="D1397" s="36" t="n"/>
      <c r="E1397" s="36" t="n"/>
      <c r="F1397" s="42" t="n"/>
      <c r="G1397" s="36" t="n"/>
      <c r="H1397" s="43" t="n"/>
      <c r="I1397" s="37" t="n"/>
      <c r="J1397" s="44" t="n"/>
      <c r="K1397" s="36" t="n"/>
      <c r="L1397" s="33">
        <f>IF(C1397="","",Commercial_Id)</f>
        <v/>
      </c>
      <c r="M1397" s="34">
        <f>IF(E1397="","",IFERROR(VLOOKUP(E1397,T_Produits,2,FALSE),""))</f>
        <v/>
      </c>
      <c r="N1397" s="40">
        <f>IF(E1397="","",IFERROR(1/(1/VLOOKUP(E1397,T_Produits,3,FALSE)),""))</f>
        <v/>
      </c>
      <c r="O1397" s="40">
        <f>IF(OR(D1397="",F1397=""),"",IF(OR(D1397="Casse / avarie",D1397="Perte / vol",D1397="Échantillon offert"),IF(I1397&lt;&gt;"",I1397,IF(N1397="","",F1397*N1397)),""))</f>
        <v/>
      </c>
      <c r="P1397" s="50">
        <f>IF(OR(D1397="",F1397=""),"",F1397*IF(OR(D1397="Reçu du magasin",D1397="Ajustement (+)"),1,-1))</f>
        <v/>
      </c>
      <c r="Q1397" s="34">
        <f>IF(C1397="","",YEAR(C1397-WEEKDAY(C1397,2)+4)&amp;"-S"&amp;TEXT(INT((C1397-DATE(YEAR(C1397-WEEKDAY(C1397,2)+4),1,3)+WEEKDAY(DATE(YEAR(C1397-WEEKDAY(C1397,2)+4),1,3),2)+5)/7),"00"))</f>
        <v/>
      </c>
    </row>
    <row r="1398" ht="18" customHeight="1">
      <c r="A1398" s="39" t="n">
        <v>1393</v>
      </c>
      <c r="B1398" s="33">
        <f>IF(C1398="","",IF(L1398="À RENSEIGNER","GIC",L1398)&amp;"-S"&amp;TEXT(A1398,"00000"))</f>
        <v/>
      </c>
      <c r="C1398" s="32" t="n"/>
      <c r="D1398" s="36" t="n"/>
      <c r="E1398" s="36" t="n"/>
      <c r="F1398" s="42" t="n"/>
      <c r="G1398" s="36" t="n"/>
      <c r="H1398" s="43" t="n"/>
      <c r="I1398" s="37" t="n"/>
      <c r="J1398" s="44" t="n"/>
      <c r="K1398" s="36" t="n"/>
      <c r="L1398" s="33">
        <f>IF(C1398="","",Commercial_Id)</f>
        <v/>
      </c>
      <c r="M1398" s="34">
        <f>IF(E1398="","",IFERROR(VLOOKUP(E1398,T_Produits,2,FALSE),""))</f>
        <v/>
      </c>
      <c r="N1398" s="40">
        <f>IF(E1398="","",IFERROR(1/(1/VLOOKUP(E1398,T_Produits,3,FALSE)),""))</f>
        <v/>
      </c>
      <c r="O1398" s="40">
        <f>IF(OR(D1398="",F1398=""),"",IF(OR(D1398="Casse / avarie",D1398="Perte / vol",D1398="Échantillon offert"),IF(I1398&lt;&gt;"",I1398,IF(N1398="","",F1398*N1398)),""))</f>
        <v/>
      </c>
      <c r="P1398" s="50">
        <f>IF(OR(D1398="",F1398=""),"",F1398*IF(OR(D1398="Reçu du magasin",D1398="Ajustement (+)"),1,-1))</f>
        <v/>
      </c>
      <c r="Q1398" s="34">
        <f>IF(C1398="","",YEAR(C1398-WEEKDAY(C1398,2)+4)&amp;"-S"&amp;TEXT(INT((C1398-DATE(YEAR(C1398-WEEKDAY(C1398,2)+4),1,3)+WEEKDAY(DATE(YEAR(C1398-WEEKDAY(C1398,2)+4),1,3),2)+5)/7),"00"))</f>
        <v/>
      </c>
    </row>
    <row r="1399" ht="18" customHeight="1">
      <c r="A1399" s="39" t="n">
        <v>1394</v>
      </c>
      <c r="B1399" s="33">
        <f>IF(C1399="","",IF(L1399="À RENSEIGNER","GIC",L1399)&amp;"-S"&amp;TEXT(A1399,"00000"))</f>
        <v/>
      </c>
      <c r="C1399" s="32" t="n"/>
      <c r="D1399" s="36" t="n"/>
      <c r="E1399" s="36" t="n"/>
      <c r="F1399" s="42" t="n"/>
      <c r="G1399" s="36" t="n"/>
      <c r="H1399" s="43" t="n"/>
      <c r="I1399" s="37" t="n"/>
      <c r="J1399" s="44" t="n"/>
      <c r="K1399" s="36" t="n"/>
      <c r="L1399" s="33">
        <f>IF(C1399="","",Commercial_Id)</f>
        <v/>
      </c>
      <c r="M1399" s="34">
        <f>IF(E1399="","",IFERROR(VLOOKUP(E1399,T_Produits,2,FALSE),""))</f>
        <v/>
      </c>
      <c r="N1399" s="40">
        <f>IF(E1399="","",IFERROR(1/(1/VLOOKUP(E1399,T_Produits,3,FALSE)),""))</f>
        <v/>
      </c>
      <c r="O1399" s="40">
        <f>IF(OR(D1399="",F1399=""),"",IF(OR(D1399="Casse / avarie",D1399="Perte / vol",D1399="Échantillon offert"),IF(I1399&lt;&gt;"",I1399,IF(N1399="","",F1399*N1399)),""))</f>
        <v/>
      </c>
      <c r="P1399" s="50">
        <f>IF(OR(D1399="",F1399=""),"",F1399*IF(OR(D1399="Reçu du magasin",D1399="Ajustement (+)"),1,-1))</f>
        <v/>
      </c>
      <c r="Q1399" s="34">
        <f>IF(C1399="","",YEAR(C1399-WEEKDAY(C1399,2)+4)&amp;"-S"&amp;TEXT(INT((C1399-DATE(YEAR(C1399-WEEKDAY(C1399,2)+4),1,3)+WEEKDAY(DATE(YEAR(C1399-WEEKDAY(C1399,2)+4),1,3),2)+5)/7),"00"))</f>
        <v/>
      </c>
    </row>
    <row r="1400" ht="18" customHeight="1">
      <c r="A1400" s="39" t="n">
        <v>1395</v>
      </c>
      <c r="B1400" s="33">
        <f>IF(C1400="","",IF(L1400="À RENSEIGNER","GIC",L1400)&amp;"-S"&amp;TEXT(A1400,"00000"))</f>
        <v/>
      </c>
      <c r="C1400" s="32" t="n"/>
      <c r="D1400" s="36" t="n"/>
      <c r="E1400" s="36" t="n"/>
      <c r="F1400" s="42" t="n"/>
      <c r="G1400" s="36" t="n"/>
      <c r="H1400" s="43" t="n"/>
      <c r="I1400" s="37" t="n"/>
      <c r="J1400" s="44" t="n"/>
      <c r="K1400" s="36" t="n"/>
      <c r="L1400" s="33">
        <f>IF(C1400="","",Commercial_Id)</f>
        <v/>
      </c>
      <c r="M1400" s="34">
        <f>IF(E1400="","",IFERROR(VLOOKUP(E1400,T_Produits,2,FALSE),""))</f>
        <v/>
      </c>
      <c r="N1400" s="40">
        <f>IF(E1400="","",IFERROR(1/(1/VLOOKUP(E1400,T_Produits,3,FALSE)),""))</f>
        <v/>
      </c>
      <c r="O1400" s="40">
        <f>IF(OR(D1400="",F1400=""),"",IF(OR(D1400="Casse / avarie",D1400="Perte / vol",D1400="Échantillon offert"),IF(I1400&lt;&gt;"",I1400,IF(N1400="","",F1400*N1400)),""))</f>
        <v/>
      </c>
      <c r="P1400" s="50">
        <f>IF(OR(D1400="",F1400=""),"",F1400*IF(OR(D1400="Reçu du magasin",D1400="Ajustement (+)"),1,-1))</f>
        <v/>
      </c>
      <c r="Q1400" s="34">
        <f>IF(C1400="","",YEAR(C1400-WEEKDAY(C1400,2)+4)&amp;"-S"&amp;TEXT(INT((C1400-DATE(YEAR(C1400-WEEKDAY(C1400,2)+4),1,3)+WEEKDAY(DATE(YEAR(C1400-WEEKDAY(C1400,2)+4),1,3),2)+5)/7),"00"))</f>
        <v/>
      </c>
    </row>
    <row r="1401" ht="18" customHeight="1">
      <c r="A1401" s="39" t="n">
        <v>1396</v>
      </c>
      <c r="B1401" s="33">
        <f>IF(C1401="","",IF(L1401="À RENSEIGNER","GIC",L1401)&amp;"-S"&amp;TEXT(A1401,"00000"))</f>
        <v/>
      </c>
      <c r="C1401" s="32" t="n"/>
      <c r="D1401" s="36" t="n"/>
      <c r="E1401" s="36" t="n"/>
      <c r="F1401" s="42" t="n"/>
      <c r="G1401" s="36" t="n"/>
      <c r="H1401" s="43" t="n"/>
      <c r="I1401" s="37" t="n"/>
      <c r="J1401" s="44" t="n"/>
      <c r="K1401" s="36" t="n"/>
      <c r="L1401" s="33">
        <f>IF(C1401="","",Commercial_Id)</f>
        <v/>
      </c>
      <c r="M1401" s="34">
        <f>IF(E1401="","",IFERROR(VLOOKUP(E1401,T_Produits,2,FALSE),""))</f>
        <v/>
      </c>
      <c r="N1401" s="40">
        <f>IF(E1401="","",IFERROR(1/(1/VLOOKUP(E1401,T_Produits,3,FALSE)),""))</f>
        <v/>
      </c>
      <c r="O1401" s="40">
        <f>IF(OR(D1401="",F1401=""),"",IF(OR(D1401="Casse / avarie",D1401="Perte / vol",D1401="Échantillon offert"),IF(I1401&lt;&gt;"",I1401,IF(N1401="","",F1401*N1401)),""))</f>
        <v/>
      </c>
      <c r="P1401" s="50">
        <f>IF(OR(D1401="",F1401=""),"",F1401*IF(OR(D1401="Reçu du magasin",D1401="Ajustement (+)"),1,-1))</f>
        <v/>
      </c>
      <c r="Q1401" s="34">
        <f>IF(C1401="","",YEAR(C1401-WEEKDAY(C1401,2)+4)&amp;"-S"&amp;TEXT(INT((C1401-DATE(YEAR(C1401-WEEKDAY(C1401,2)+4),1,3)+WEEKDAY(DATE(YEAR(C1401-WEEKDAY(C1401,2)+4),1,3),2)+5)/7),"00"))</f>
        <v/>
      </c>
    </row>
    <row r="1402" ht="18" customHeight="1">
      <c r="A1402" s="39" t="n">
        <v>1397</v>
      </c>
      <c r="B1402" s="33">
        <f>IF(C1402="","",IF(L1402="À RENSEIGNER","GIC",L1402)&amp;"-S"&amp;TEXT(A1402,"00000"))</f>
        <v/>
      </c>
      <c r="C1402" s="32" t="n"/>
      <c r="D1402" s="36" t="n"/>
      <c r="E1402" s="36" t="n"/>
      <c r="F1402" s="42" t="n"/>
      <c r="G1402" s="36" t="n"/>
      <c r="H1402" s="43" t="n"/>
      <c r="I1402" s="37" t="n"/>
      <c r="J1402" s="44" t="n"/>
      <c r="K1402" s="36" t="n"/>
      <c r="L1402" s="33">
        <f>IF(C1402="","",Commercial_Id)</f>
        <v/>
      </c>
      <c r="M1402" s="34">
        <f>IF(E1402="","",IFERROR(VLOOKUP(E1402,T_Produits,2,FALSE),""))</f>
        <v/>
      </c>
      <c r="N1402" s="40">
        <f>IF(E1402="","",IFERROR(1/(1/VLOOKUP(E1402,T_Produits,3,FALSE)),""))</f>
        <v/>
      </c>
      <c r="O1402" s="40">
        <f>IF(OR(D1402="",F1402=""),"",IF(OR(D1402="Casse / avarie",D1402="Perte / vol",D1402="Échantillon offert"),IF(I1402&lt;&gt;"",I1402,IF(N1402="","",F1402*N1402)),""))</f>
        <v/>
      </c>
      <c r="P1402" s="50">
        <f>IF(OR(D1402="",F1402=""),"",F1402*IF(OR(D1402="Reçu du magasin",D1402="Ajustement (+)"),1,-1))</f>
        <v/>
      </c>
      <c r="Q1402" s="34">
        <f>IF(C1402="","",YEAR(C1402-WEEKDAY(C1402,2)+4)&amp;"-S"&amp;TEXT(INT((C1402-DATE(YEAR(C1402-WEEKDAY(C1402,2)+4),1,3)+WEEKDAY(DATE(YEAR(C1402-WEEKDAY(C1402,2)+4),1,3),2)+5)/7),"00"))</f>
        <v/>
      </c>
    </row>
    <row r="1403" ht="18" customHeight="1">
      <c r="A1403" s="39" t="n">
        <v>1398</v>
      </c>
      <c r="B1403" s="33">
        <f>IF(C1403="","",IF(L1403="À RENSEIGNER","GIC",L1403)&amp;"-S"&amp;TEXT(A1403,"00000"))</f>
        <v/>
      </c>
      <c r="C1403" s="32" t="n"/>
      <c r="D1403" s="36" t="n"/>
      <c r="E1403" s="36" t="n"/>
      <c r="F1403" s="42" t="n"/>
      <c r="G1403" s="36" t="n"/>
      <c r="H1403" s="43" t="n"/>
      <c r="I1403" s="37" t="n"/>
      <c r="J1403" s="44" t="n"/>
      <c r="K1403" s="36" t="n"/>
      <c r="L1403" s="33">
        <f>IF(C1403="","",Commercial_Id)</f>
        <v/>
      </c>
      <c r="M1403" s="34">
        <f>IF(E1403="","",IFERROR(VLOOKUP(E1403,T_Produits,2,FALSE),""))</f>
        <v/>
      </c>
      <c r="N1403" s="40">
        <f>IF(E1403="","",IFERROR(1/(1/VLOOKUP(E1403,T_Produits,3,FALSE)),""))</f>
        <v/>
      </c>
      <c r="O1403" s="40">
        <f>IF(OR(D1403="",F1403=""),"",IF(OR(D1403="Casse / avarie",D1403="Perte / vol",D1403="Échantillon offert"),IF(I1403&lt;&gt;"",I1403,IF(N1403="","",F1403*N1403)),""))</f>
        <v/>
      </c>
      <c r="P1403" s="50">
        <f>IF(OR(D1403="",F1403=""),"",F1403*IF(OR(D1403="Reçu du magasin",D1403="Ajustement (+)"),1,-1))</f>
        <v/>
      </c>
      <c r="Q1403" s="34">
        <f>IF(C1403="","",YEAR(C1403-WEEKDAY(C1403,2)+4)&amp;"-S"&amp;TEXT(INT((C1403-DATE(YEAR(C1403-WEEKDAY(C1403,2)+4),1,3)+WEEKDAY(DATE(YEAR(C1403-WEEKDAY(C1403,2)+4),1,3),2)+5)/7),"00"))</f>
        <v/>
      </c>
    </row>
    <row r="1404" ht="18" customHeight="1">
      <c r="A1404" s="39" t="n">
        <v>1399</v>
      </c>
      <c r="B1404" s="33">
        <f>IF(C1404="","",IF(L1404="À RENSEIGNER","GIC",L1404)&amp;"-S"&amp;TEXT(A1404,"00000"))</f>
        <v/>
      </c>
      <c r="C1404" s="32" t="n"/>
      <c r="D1404" s="36" t="n"/>
      <c r="E1404" s="36" t="n"/>
      <c r="F1404" s="42" t="n"/>
      <c r="G1404" s="36" t="n"/>
      <c r="H1404" s="43" t="n"/>
      <c r="I1404" s="37" t="n"/>
      <c r="J1404" s="44" t="n"/>
      <c r="K1404" s="36" t="n"/>
      <c r="L1404" s="33">
        <f>IF(C1404="","",Commercial_Id)</f>
        <v/>
      </c>
      <c r="M1404" s="34">
        <f>IF(E1404="","",IFERROR(VLOOKUP(E1404,T_Produits,2,FALSE),""))</f>
        <v/>
      </c>
      <c r="N1404" s="40">
        <f>IF(E1404="","",IFERROR(1/(1/VLOOKUP(E1404,T_Produits,3,FALSE)),""))</f>
        <v/>
      </c>
      <c r="O1404" s="40">
        <f>IF(OR(D1404="",F1404=""),"",IF(OR(D1404="Casse / avarie",D1404="Perte / vol",D1404="Échantillon offert"),IF(I1404&lt;&gt;"",I1404,IF(N1404="","",F1404*N1404)),""))</f>
        <v/>
      </c>
      <c r="P1404" s="50">
        <f>IF(OR(D1404="",F1404=""),"",F1404*IF(OR(D1404="Reçu du magasin",D1404="Ajustement (+)"),1,-1))</f>
        <v/>
      </c>
      <c r="Q1404" s="34">
        <f>IF(C1404="","",YEAR(C1404-WEEKDAY(C1404,2)+4)&amp;"-S"&amp;TEXT(INT((C1404-DATE(YEAR(C1404-WEEKDAY(C1404,2)+4),1,3)+WEEKDAY(DATE(YEAR(C1404-WEEKDAY(C1404,2)+4),1,3),2)+5)/7),"00"))</f>
        <v/>
      </c>
    </row>
    <row r="1405" ht="18" customHeight="1">
      <c r="A1405" s="39" t="n">
        <v>1400</v>
      </c>
      <c r="B1405" s="33">
        <f>IF(C1405="","",IF(L1405="À RENSEIGNER","GIC",L1405)&amp;"-S"&amp;TEXT(A1405,"00000"))</f>
        <v/>
      </c>
      <c r="C1405" s="32" t="n"/>
      <c r="D1405" s="36" t="n"/>
      <c r="E1405" s="36" t="n"/>
      <c r="F1405" s="42" t="n"/>
      <c r="G1405" s="36" t="n"/>
      <c r="H1405" s="43" t="n"/>
      <c r="I1405" s="37" t="n"/>
      <c r="J1405" s="44" t="n"/>
      <c r="K1405" s="36" t="n"/>
      <c r="L1405" s="33">
        <f>IF(C1405="","",Commercial_Id)</f>
        <v/>
      </c>
      <c r="M1405" s="34">
        <f>IF(E1405="","",IFERROR(VLOOKUP(E1405,T_Produits,2,FALSE),""))</f>
        <v/>
      </c>
      <c r="N1405" s="40">
        <f>IF(E1405="","",IFERROR(1/(1/VLOOKUP(E1405,T_Produits,3,FALSE)),""))</f>
        <v/>
      </c>
      <c r="O1405" s="40">
        <f>IF(OR(D1405="",F1405=""),"",IF(OR(D1405="Casse / avarie",D1405="Perte / vol",D1405="Échantillon offert"),IF(I1405&lt;&gt;"",I1405,IF(N1405="","",F1405*N1405)),""))</f>
        <v/>
      </c>
      <c r="P1405" s="50">
        <f>IF(OR(D1405="",F1405=""),"",F1405*IF(OR(D1405="Reçu du magasin",D1405="Ajustement (+)"),1,-1))</f>
        <v/>
      </c>
      <c r="Q1405" s="34">
        <f>IF(C1405="","",YEAR(C1405-WEEKDAY(C1405,2)+4)&amp;"-S"&amp;TEXT(INT((C1405-DATE(YEAR(C1405-WEEKDAY(C1405,2)+4),1,3)+WEEKDAY(DATE(YEAR(C1405-WEEKDAY(C1405,2)+4),1,3),2)+5)/7),"00"))</f>
        <v/>
      </c>
    </row>
    <row r="1406" ht="18" customHeight="1">
      <c r="A1406" s="39" t="n">
        <v>1401</v>
      </c>
      <c r="B1406" s="33">
        <f>IF(C1406="","",IF(L1406="À RENSEIGNER","GIC",L1406)&amp;"-S"&amp;TEXT(A1406,"00000"))</f>
        <v/>
      </c>
      <c r="C1406" s="32" t="n"/>
      <c r="D1406" s="36" t="n"/>
      <c r="E1406" s="36" t="n"/>
      <c r="F1406" s="42" t="n"/>
      <c r="G1406" s="36" t="n"/>
      <c r="H1406" s="43" t="n"/>
      <c r="I1406" s="37" t="n"/>
      <c r="J1406" s="44" t="n"/>
      <c r="K1406" s="36" t="n"/>
      <c r="L1406" s="33">
        <f>IF(C1406="","",Commercial_Id)</f>
        <v/>
      </c>
      <c r="M1406" s="34">
        <f>IF(E1406="","",IFERROR(VLOOKUP(E1406,T_Produits,2,FALSE),""))</f>
        <v/>
      </c>
      <c r="N1406" s="40">
        <f>IF(E1406="","",IFERROR(1/(1/VLOOKUP(E1406,T_Produits,3,FALSE)),""))</f>
        <v/>
      </c>
      <c r="O1406" s="40">
        <f>IF(OR(D1406="",F1406=""),"",IF(OR(D1406="Casse / avarie",D1406="Perte / vol",D1406="Échantillon offert"),IF(I1406&lt;&gt;"",I1406,IF(N1406="","",F1406*N1406)),""))</f>
        <v/>
      </c>
      <c r="P1406" s="50">
        <f>IF(OR(D1406="",F1406=""),"",F1406*IF(OR(D1406="Reçu du magasin",D1406="Ajustement (+)"),1,-1))</f>
        <v/>
      </c>
      <c r="Q1406" s="34">
        <f>IF(C1406="","",YEAR(C1406-WEEKDAY(C1406,2)+4)&amp;"-S"&amp;TEXT(INT((C1406-DATE(YEAR(C1406-WEEKDAY(C1406,2)+4),1,3)+WEEKDAY(DATE(YEAR(C1406-WEEKDAY(C1406,2)+4),1,3),2)+5)/7),"00"))</f>
        <v/>
      </c>
    </row>
    <row r="1407" ht="18" customHeight="1">
      <c r="A1407" s="39" t="n">
        <v>1402</v>
      </c>
      <c r="B1407" s="33">
        <f>IF(C1407="","",IF(L1407="À RENSEIGNER","GIC",L1407)&amp;"-S"&amp;TEXT(A1407,"00000"))</f>
        <v/>
      </c>
      <c r="C1407" s="32" t="n"/>
      <c r="D1407" s="36" t="n"/>
      <c r="E1407" s="36" t="n"/>
      <c r="F1407" s="42" t="n"/>
      <c r="G1407" s="36" t="n"/>
      <c r="H1407" s="43" t="n"/>
      <c r="I1407" s="37" t="n"/>
      <c r="J1407" s="44" t="n"/>
      <c r="K1407" s="36" t="n"/>
      <c r="L1407" s="33">
        <f>IF(C1407="","",Commercial_Id)</f>
        <v/>
      </c>
      <c r="M1407" s="34">
        <f>IF(E1407="","",IFERROR(VLOOKUP(E1407,T_Produits,2,FALSE),""))</f>
        <v/>
      </c>
      <c r="N1407" s="40">
        <f>IF(E1407="","",IFERROR(1/(1/VLOOKUP(E1407,T_Produits,3,FALSE)),""))</f>
        <v/>
      </c>
      <c r="O1407" s="40">
        <f>IF(OR(D1407="",F1407=""),"",IF(OR(D1407="Casse / avarie",D1407="Perte / vol",D1407="Échantillon offert"),IF(I1407&lt;&gt;"",I1407,IF(N1407="","",F1407*N1407)),""))</f>
        <v/>
      </c>
      <c r="P1407" s="50">
        <f>IF(OR(D1407="",F1407=""),"",F1407*IF(OR(D1407="Reçu du magasin",D1407="Ajustement (+)"),1,-1))</f>
        <v/>
      </c>
      <c r="Q1407" s="34">
        <f>IF(C1407="","",YEAR(C1407-WEEKDAY(C1407,2)+4)&amp;"-S"&amp;TEXT(INT((C1407-DATE(YEAR(C1407-WEEKDAY(C1407,2)+4),1,3)+WEEKDAY(DATE(YEAR(C1407-WEEKDAY(C1407,2)+4),1,3),2)+5)/7),"00"))</f>
        <v/>
      </c>
    </row>
    <row r="1408" ht="18" customHeight="1">
      <c r="A1408" s="39" t="n">
        <v>1403</v>
      </c>
      <c r="B1408" s="33">
        <f>IF(C1408="","",IF(L1408="À RENSEIGNER","GIC",L1408)&amp;"-S"&amp;TEXT(A1408,"00000"))</f>
        <v/>
      </c>
      <c r="C1408" s="32" t="n"/>
      <c r="D1408" s="36" t="n"/>
      <c r="E1408" s="36" t="n"/>
      <c r="F1408" s="42" t="n"/>
      <c r="G1408" s="36" t="n"/>
      <c r="H1408" s="43" t="n"/>
      <c r="I1408" s="37" t="n"/>
      <c r="J1408" s="44" t="n"/>
      <c r="K1408" s="36" t="n"/>
      <c r="L1408" s="33">
        <f>IF(C1408="","",Commercial_Id)</f>
        <v/>
      </c>
      <c r="M1408" s="34">
        <f>IF(E1408="","",IFERROR(VLOOKUP(E1408,T_Produits,2,FALSE),""))</f>
        <v/>
      </c>
      <c r="N1408" s="40">
        <f>IF(E1408="","",IFERROR(1/(1/VLOOKUP(E1408,T_Produits,3,FALSE)),""))</f>
        <v/>
      </c>
      <c r="O1408" s="40">
        <f>IF(OR(D1408="",F1408=""),"",IF(OR(D1408="Casse / avarie",D1408="Perte / vol",D1408="Échantillon offert"),IF(I1408&lt;&gt;"",I1408,IF(N1408="","",F1408*N1408)),""))</f>
        <v/>
      </c>
      <c r="P1408" s="50">
        <f>IF(OR(D1408="",F1408=""),"",F1408*IF(OR(D1408="Reçu du magasin",D1408="Ajustement (+)"),1,-1))</f>
        <v/>
      </c>
      <c r="Q1408" s="34">
        <f>IF(C1408="","",YEAR(C1408-WEEKDAY(C1408,2)+4)&amp;"-S"&amp;TEXT(INT((C1408-DATE(YEAR(C1408-WEEKDAY(C1408,2)+4),1,3)+WEEKDAY(DATE(YEAR(C1408-WEEKDAY(C1408,2)+4),1,3),2)+5)/7),"00"))</f>
        <v/>
      </c>
    </row>
    <row r="1409" ht="18" customHeight="1">
      <c r="A1409" s="39" t="n">
        <v>1404</v>
      </c>
      <c r="B1409" s="33">
        <f>IF(C1409="","",IF(L1409="À RENSEIGNER","GIC",L1409)&amp;"-S"&amp;TEXT(A1409,"00000"))</f>
        <v/>
      </c>
      <c r="C1409" s="32" t="n"/>
      <c r="D1409" s="36" t="n"/>
      <c r="E1409" s="36" t="n"/>
      <c r="F1409" s="42" t="n"/>
      <c r="G1409" s="36" t="n"/>
      <c r="H1409" s="43" t="n"/>
      <c r="I1409" s="37" t="n"/>
      <c r="J1409" s="44" t="n"/>
      <c r="K1409" s="36" t="n"/>
      <c r="L1409" s="33">
        <f>IF(C1409="","",Commercial_Id)</f>
        <v/>
      </c>
      <c r="M1409" s="34">
        <f>IF(E1409="","",IFERROR(VLOOKUP(E1409,T_Produits,2,FALSE),""))</f>
        <v/>
      </c>
      <c r="N1409" s="40">
        <f>IF(E1409="","",IFERROR(1/(1/VLOOKUP(E1409,T_Produits,3,FALSE)),""))</f>
        <v/>
      </c>
      <c r="O1409" s="40">
        <f>IF(OR(D1409="",F1409=""),"",IF(OR(D1409="Casse / avarie",D1409="Perte / vol",D1409="Échantillon offert"),IF(I1409&lt;&gt;"",I1409,IF(N1409="","",F1409*N1409)),""))</f>
        <v/>
      </c>
      <c r="P1409" s="50">
        <f>IF(OR(D1409="",F1409=""),"",F1409*IF(OR(D1409="Reçu du magasin",D1409="Ajustement (+)"),1,-1))</f>
        <v/>
      </c>
      <c r="Q1409" s="34">
        <f>IF(C1409="","",YEAR(C1409-WEEKDAY(C1409,2)+4)&amp;"-S"&amp;TEXT(INT((C1409-DATE(YEAR(C1409-WEEKDAY(C1409,2)+4),1,3)+WEEKDAY(DATE(YEAR(C1409-WEEKDAY(C1409,2)+4),1,3),2)+5)/7),"00"))</f>
        <v/>
      </c>
    </row>
    <row r="1410" ht="18" customHeight="1">
      <c r="A1410" s="39" t="n">
        <v>1405</v>
      </c>
      <c r="B1410" s="33">
        <f>IF(C1410="","",IF(L1410="À RENSEIGNER","GIC",L1410)&amp;"-S"&amp;TEXT(A1410,"00000"))</f>
        <v/>
      </c>
      <c r="C1410" s="32" t="n"/>
      <c r="D1410" s="36" t="n"/>
      <c r="E1410" s="36" t="n"/>
      <c r="F1410" s="42" t="n"/>
      <c r="G1410" s="36" t="n"/>
      <c r="H1410" s="43" t="n"/>
      <c r="I1410" s="37" t="n"/>
      <c r="J1410" s="44" t="n"/>
      <c r="K1410" s="36" t="n"/>
      <c r="L1410" s="33">
        <f>IF(C1410="","",Commercial_Id)</f>
        <v/>
      </c>
      <c r="M1410" s="34">
        <f>IF(E1410="","",IFERROR(VLOOKUP(E1410,T_Produits,2,FALSE),""))</f>
        <v/>
      </c>
      <c r="N1410" s="40">
        <f>IF(E1410="","",IFERROR(1/(1/VLOOKUP(E1410,T_Produits,3,FALSE)),""))</f>
        <v/>
      </c>
      <c r="O1410" s="40">
        <f>IF(OR(D1410="",F1410=""),"",IF(OR(D1410="Casse / avarie",D1410="Perte / vol",D1410="Échantillon offert"),IF(I1410&lt;&gt;"",I1410,IF(N1410="","",F1410*N1410)),""))</f>
        <v/>
      </c>
      <c r="P1410" s="50">
        <f>IF(OR(D1410="",F1410=""),"",F1410*IF(OR(D1410="Reçu du magasin",D1410="Ajustement (+)"),1,-1))</f>
        <v/>
      </c>
      <c r="Q1410" s="34">
        <f>IF(C1410="","",YEAR(C1410-WEEKDAY(C1410,2)+4)&amp;"-S"&amp;TEXT(INT((C1410-DATE(YEAR(C1410-WEEKDAY(C1410,2)+4),1,3)+WEEKDAY(DATE(YEAR(C1410-WEEKDAY(C1410,2)+4),1,3),2)+5)/7),"00"))</f>
        <v/>
      </c>
    </row>
    <row r="1411" ht="18" customHeight="1">
      <c r="A1411" s="39" t="n">
        <v>1406</v>
      </c>
      <c r="B1411" s="33">
        <f>IF(C1411="","",IF(L1411="À RENSEIGNER","GIC",L1411)&amp;"-S"&amp;TEXT(A1411,"00000"))</f>
        <v/>
      </c>
      <c r="C1411" s="32" t="n"/>
      <c r="D1411" s="36" t="n"/>
      <c r="E1411" s="36" t="n"/>
      <c r="F1411" s="42" t="n"/>
      <c r="G1411" s="36" t="n"/>
      <c r="H1411" s="43" t="n"/>
      <c r="I1411" s="37" t="n"/>
      <c r="J1411" s="44" t="n"/>
      <c r="K1411" s="36" t="n"/>
      <c r="L1411" s="33">
        <f>IF(C1411="","",Commercial_Id)</f>
        <v/>
      </c>
      <c r="M1411" s="34">
        <f>IF(E1411="","",IFERROR(VLOOKUP(E1411,T_Produits,2,FALSE),""))</f>
        <v/>
      </c>
      <c r="N1411" s="40">
        <f>IF(E1411="","",IFERROR(1/(1/VLOOKUP(E1411,T_Produits,3,FALSE)),""))</f>
        <v/>
      </c>
      <c r="O1411" s="40">
        <f>IF(OR(D1411="",F1411=""),"",IF(OR(D1411="Casse / avarie",D1411="Perte / vol",D1411="Échantillon offert"),IF(I1411&lt;&gt;"",I1411,IF(N1411="","",F1411*N1411)),""))</f>
        <v/>
      </c>
      <c r="P1411" s="50">
        <f>IF(OR(D1411="",F1411=""),"",F1411*IF(OR(D1411="Reçu du magasin",D1411="Ajustement (+)"),1,-1))</f>
        <v/>
      </c>
      <c r="Q1411" s="34">
        <f>IF(C1411="","",YEAR(C1411-WEEKDAY(C1411,2)+4)&amp;"-S"&amp;TEXT(INT((C1411-DATE(YEAR(C1411-WEEKDAY(C1411,2)+4),1,3)+WEEKDAY(DATE(YEAR(C1411-WEEKDAY(C1411,2)+4),1,3),2)+5)/7),"00"))</f>
        <v/>
      </c>
    </row>
    <row r="1412" ht="18" customHeight="1">
      <c r="A1412" s="39" t="n">
        <v>1407</v>
      </c>
      <c r="B1412" s="33">
        <f>IF(C1412="","",IF(L1412="À RENSEIGNER","GIC",L1412)&amp;"-S"&amp;TEXT(A1412,"00000"))</f>
        <v/>
      </c>
      <c r="C1412" s="32" t="n"/>
      <c r="D1412" s="36" t="n"/>
      <c r="E1412" s="36" t="n"/>
      <c r="F1412" s="42" t="n"/>
      <c r="G1412" s="36" t="n"/>
      <c r="H1412" s="43" t="n"/>
      <c r="I1412" s="37" t="n"/>
      <c r="J1412" s="44" t="n"/>
      <c r="K1412" s="36" t="n"/>
      <c r="L1412" s="33">
        <f>IF(C1412="","",Commercial_Id)</f>
        <v/>
      </c>
      <c r="M1412" s="34">
        <f>IF(E1412="","",IFERROR(VLOOKUP(E1412,T_Produits,2,FALSE),""))</f>
        <v/>
      </c>
      <c r="N1412" s="40">
        <f>IF(E1412="","",IFERROR(1/(1/VLOOKUP(E1412,T_Produits,3,FALSE)),""))</f>
        <v/>
      </c>
      <c r="O1412" s="40">
        <f>IF(OR(D1412="",F1412=""),"",IF(OR(D1412="Casse / avarie",D1412="Perte / vol",D1412="Échantillon offert"),IF(I1412&lt;&gt;"",I1412,IF(N1412="","",F1412*N1412)),""))</f>
        <v/>
      </c>
      <c r="P1412" s="50">
        <f>IF(OR(D1412="",F1412=""),"",F1412*IF(OR(D1412="Reçu du magasin",D1412="Ajustement (+)"),1,-1))</f>
        <v/>
      </c>
      <c r="Q1412" s="34">
        <f>IF(C1412="","",YEAR(C1412-WEEKDAY(C1412,2)+4)&amp;"-S"&amp;TEXT(INT((C1412-DATE(YEAR(C1412-WEEKDAY(C1412,2)+4),1,3)+WEEKDAY(DATE(YEAR(C1412-WEEKDAY(C1412,2)+4),1,3),2)+5)/7),"00"))</f>
        <v/>
      </c>
    </row>
    <row r="1413" ht="18" customHeight="1">
      <c r="A1413" s="39" t="n">
        <v>1408</v>
      </c>
      <c r="B1413" s="33">
        <f>IF(C1413="","",IF(L1413="À RENSEIGNER","GIC",L1413)&amp;"-S"&amp;TEXT(A1413,"00000"))</f>
        <v/>
      </c>
      <c r="C1413" s="32" t="n"/>
      <c r="D1413" s="36" t="n"/>
      <c r="E1413" s="36" t="n"/>
      <c r="F1413" s="42" t="n"/>
      <c r="G1413" s="36" t="n"/>
      <c r="H1413" s="43" t="n"/>
      <c r="I1413" s="37" t="n"/>
      <c r="J1413" s="44" t="n"/>
      <c r="K1413" s="36" t="n"/>
      <c r="L1413" s="33">
        <f>IF(C1413="","",Commercial_Id)</f>
        <v/>
      </c>
      <c r="M1413" s="34">
        <f>IF(E1413="","",IFERROR(VLOOKUP(E1413,T_Produits,2,FALSE),""))</f>
        <v/>
      </c>
      <c r="N1413" s="40">
        <f>IF(E1413="","",IFERROR(1/(1/VLOOKUP(E1413,T_Produits,3,FALSE)),""))</f>
        <v/>
      </c>
      <c r="O1413" s="40">
        <f>IF(OR(D1413="",F1413=""),"",IF(OR(D1413="Casse / avarie",D1413="Perte / vol",D1413="Échantillon offert"),IF(I1413&lt;&gt;"",I1413,IF(N1413="","",F1413*N1413)),""))</f>
        <v/>
      </c>
      <c r="P1413" s="50">
        <f>IF(OR(D1413="",F1413=""),"",F1413*IF(OR(D1413="Reçu du magasin",D1413="Ajustement (+)"),1,-1))</f>
        <v/>
      </c>
      <c r="Q1413" s="34">
        <f>IF(C1413="","",YEAR(C1413-WEEKDAY(C1413,2)+4)&amp;"-S"&amp;TEXT(INT((C1413-DATE(YEAR(C1413-WEEKDAY(C1413,2)+4),1,3)+WEEKDAY(DATE(YEAR(C1413-WEEKDAY(C1413,2)+4),1,3),2)+5)/7),"00"))</f>
        <v/>
      </c>
    </row>
    <row r="1414" ht="18" customHeight="1">
      <c r="A1414" s="39" t="n">
        <v>1409</v>
      </c>
      <c r="B1414" s="33">
        <f>IF(C1414="","",IF(L1414="À RENSEIGNER","GIC",L1414)&amp;"-S"&amp;TEXT(A1414,"00000"))</f>
        <v/>
      </c>
      <c r="C1414" s="32" t="n"/>
      <c r="D1414" s="36" t="n"/>
      <c r="E1414" s="36" t="n"/>
      <c r="F1414" s="42" t="n"/>
      <c r="G1414" s="36" t="n"/>
      <c r="H1414" s="43" t="n"/>
      <c r="I1414" s="37" t="n"/>
      <c r="J1414" s="44" t="n"/>
      <c r="K1414" s="36" t="n"/>
      <c r="L1414" s="33">
        <f>IF(C1414="","",Commercial_Id)</f>
        <v/>
      </c>
      <c r="M1414" s="34">
        <f>IF(E1414="","",IFERROR(VLOOKUP(E1414,T_Produits,2,FALSE),""))</f>
        <v/>
      </c>
      <c r="N1414" s="40">
        <f>IF(E1414="","",IFERROR(1/(1/VLOOKUP(E1414,T_Produits,3,FALSE)),""))</f>
        <v/>
      </c>
      <c r="O1414" s="40">
        <f>IF(OR(D1414="",F1414=""),"",IF(OR(D1414="Casse / avarie",D1414="Perte / vol",D1414="Échantillon offert"),IF(I1414&lt;&gt;"",I1414,IF(N1414="","",F1414*N1414)),""))</f>
        <v/>
      </c>
      <c r="P1414" s="50">
        <f>IF(OR(D1414="",F1414=""),"",F1414*IF(OR(D1414="Reçu du magasin",D1414="Ajustement (+)"),1,-1))</f>
        <v/>
      </c>
      <c r="Q1414" s="34">
        <f>IF(C1414="","",YEAR(C1414-WEEKDAY(C1414,2)+4)&amp;"-S"&amp;TEXT(INT((C1414-DATE(YEAR(C1414-WEEKDAY(C1414,2)+4),1,3)+WEEKDAY(DATE(YEAR(C1414-WEEKDAY(C1414,2)+4),1,3),2)+5)/7),"00"))</f>
        <v/>
      </c>
    </row>
    <row r="1415" ht="18" customHeight="1">
      <c r="A1415" s="39" t="n">
        <v>1410</v>
      </c>
      <c r="B1415" s="33">
        <f>IF(C1415="","",IF(L1415="À RENSEIGNER","GIC",L1415)&amp;"-S"&amp;TEXT(A1415,"00000"))</f>
        <v/>
      </c>
      <c r="C1415" s="32" t="n"/>
      <c r="D1415" s="36" t="n"/>
      <c r="E1415" s="36" t="n"/>
      <c r="F1415" s="42" t="n"/>
      <c r="G1415" s="36" t="n"/>
      <c r="H1415" s="43" t="n"/>
      <c r="I1415" s="37" t="n"/>
      <c r="J1415" s="44" t="n"/>
      <c r="K1415" s="36" t="n"/>
      <c r="L1415" s="33">
        <f>IF(C1415="","",Commercial_Id)</f>
        <v/>
      </c>
      <c r="M1415" s="34">
        <f>IF(E1415="","",IFERROR(VLOOKUP(E1415,T_Produits,2,FALSE),""))</f>
        <v/>
      </c>
      <c r="N1415" s="40">
        <f>IF(E1415="","",IFERROR(1/(1/VLOOKUP(E1415,T_Produits,3,FALSE)),""))</f>
        <v/>
      </c>
      <c r="O1415" s="40">
        <f>IF(OR(D1415="",F1415=""),"",IF(OR(D1415="Casse / avarie",D1415="Perte / vol",D1415="Échantillon offert"),IF(I1415&lt;&gt;"",I1415,IF(N1415="","",F1415*N1415)),""))</f>
        <v/>
      </c>
      <c r="P1415" s="50">
        <f>IF(OR(D1415="",F1415=""),"",F1415*IF(OR(D1415="Reçu du magasin",D1415="Ajustement (+)"),1,-1))</f>
        <v/>
      </c>
      <c r="Q1415" s="34">
        <f>IF(C1415="","",YEAR(C1415-WEEKDAY(C1415,2)+4)&amp;"-S"&amp;TEXT(INT((C1415-DATE(YEAR(C1415-WEEKDAY(C1415,2)+4),1,3)+WEEKDAY(DATE(YEAR(C1415-WEEKDAY(C1415,2)+4),1,3),2)+5)/7),"00"))</f>
        <v/>
      </c>
    </row>
    <row r="1416" ht="18" customHeight="1">
      <c r="A1416" s="39" t="n">
        <v>1411</v>
      </c>
      <c r="B1416" s="33">
        <f>IF(C1416="","",IF(L1416="À RENSEIGNER","GIC",L1416)&amp;"-S"&amp;TEXT(A1416,"00000"))</f>
        <v/>
      </c>
      <c r="C1416" s="32" t="n"/>
      <c r="D1416" s="36" t="n"/>
      <c r="E1416" s="36" t="n"/>
      <c r="F1416" s="42" t="n"/>
      <c r="G1416" s="36" t="n"/>
      <c r="H1416" s="43" t="n"/>
      <c r="I1416" s="37" t="n"/>
      <c r="J1416" s="44" t="n"/>
      <c r="K1416" s="36" t="n"/>
      <c r="L1416" s="33">
        <f>IF(C1416="","",Commercial_Id)</f>
        <v/>
      </c>
      <c r="M1416" s="34">
        <f>IF(E1416="","",IFERROR(VLOOKUP(E1416,T_Produits,2,FALSE),""))</f>
        <v/>
      </c>
      <c r="N1416" s="40">
        <f>IF(E1416="","",IFERROR(1/(1/VLOOKUP(E1416,T_Produits,3,FALSE)),""))</f>
        <v/>
      </c>
      <c r="O1416" s="40">
        <f>IF(OR(D1416="",F1416=""),"",IF(OR(D1416="Casse / avarie",D1416="Perte / vol",D1416="Échantillon offert"),IF(I1416&lt;&gt;"",I1416,IF(N1416="","",F1416*N1416)),""))</f>
        <v/>
      </c>
      <c r="P1416" s="50">
        <f>IF(OR(D1416="",F1416=""),"",F1416*IF(OR(D1416="Reçu du magasin",D1416="Ajustement (+)"),1,-1))</f>
        <v/>
      </c>
      <c r="Q1416" s="34">
        <f>IF(C1416="","",YEAR(C1416-WEEKDAY(C1416,2)+4)&amp;"-S"&amp;TEXT(INT((C1416-DATE(YEAR(C1416-WEEKDAY(C1416,2)+4),1,3)+WEEKDAY(DATE(YEAR(C1416-WEEKDAY(C1416,2)+4),1,3),2)+5)/7),"00"))</f>
        <v/>
      </c>
    </row>
    <row r="1417" ht="18" customHeight="1">
      <c r="A1417" s="39" t="n">
        <v>1412</v>
      </c>
      <c r="B1417" s="33">
        <f>IF(C1417="","",IF(L1417="À RENSEIGNER","GIC",L1417)&amp;"-S"&amp;TEXT(A1417,"00000"))</f>
        <v/>
      </c>
      <c r="C1417" s="32" t="n"/>
      <c r="D1417" s="36" t="n"/>
      <c r="E1417" s="36" t="n"/>
      <c r="F1417" s="42" t="n"/>
      <c r="G1417" s="36" t="n"/>
      <c r="H1417" s="43" t="n"/>
      <c r="I1417" s="37" t="n"/>
      <c r="J1417" s="44" t="n"/>
      <c r="K1417" s="36" t="n"/>
      <c r="L1417" s="33">
        <f>IF(C1417="","",Commercial_Id)</f>
        <v/>
      </c>
      <c r="M1417" s="34">
        <f>IF(E1417="","",IFERROR(VLOOKUP(E1417,T_Produits,2,FALSE),""))</f>
        <v/>
      </c>
      <c r="N1417" s="40">
        <f>IF(E1417="","",IFERROR(1/(1/VLOOKUP(E1417,T_Produits,3,FALSE)),""))</f>
        <v/>
      </c>
      <c r="O1417" s="40">
        <f>IF(OR(D1417="",F1417=""),"",IF(OR(D1417="Casse / avarie",D1417="Perte / vol",D1417="Échantillon offert"),IF(I1417&lt;&gt;"",I1417,IF(N1417="","",F1417*N1417)),""))</f>
        <v/>
      </c>
      <c r="P1417" s="50">
        <f>IF(OR(D1417="",F1417=""),"",F1417*IF(OR(D1417="Reçu du magasin",D1417="Ajustement (+)"),1,-1))</f>
        <v/>
      </c>
      <c r="Q1417" s="34">
        <f>IF(C1417="","",YEAR(C1417-WEEKDAY(C1417,2)+4)&amp;"-S"&amp;TEXT(INT((C1417-DATE(YEAR(C1417-WEEKDAY(C1417,2)+4),1,3)+WEEKDAY(DATE(YEAR(C1417-WEEKDAY(C1417,2)+4),1,3),2)+5)/7),"00"))</f>
        <v/>
      </c>
    </row>
    <row r="1418" ht="18" customHeight="1">
      <c r="A1418" s="39" t="n">
        <v>1413</v>
      </c>
      <c r="B1418" s="33">
        <f>IF(C1418="","",IF(L1418="À RENSEIGNER","GIC",L1418)&amp;"-S"&amp;TEXT(A1418,"00000"))</f>
        <v/>
      </c>
      <c r="C1418" s="32" t="n"/>
      <c r="D1418" s="36" t="n"/>
      <c r="E1418" s="36" t="n"/>
      <c r="F1418" s="42" t="n"/>
      <c r="G1418" s="36" t="n"/>
      <c r="H1418" s="43" t="n"/>
      <c r="I1418" s="37" t="n"/>
      <c r="J1418" s="44" t="n"/>
      <c r="K1418" s="36" t="n"/>
      <c r="L1418" s="33">
        <f>IF(C1418="","",Commercial_Id)</f>
        <v/>
      </c>
      <c r="M1418" s="34">
        <f>IF(E1418="","",IFERROR(VLOOKUP(E1418,T_Produits,2,FALSE),""))</f>
        <v/>
      </c>
      <c r="N1418" s="40">
        <f>IF(E1418="","",IFERROR(1/(1/VLOOKUP(E1418,T_Produits,3,FALSE)),""))</f>
        <v/>
      </c>
      <c r="O1418" s="40">
        <f>IF(OR(D1418="",F1418=""),"",IF(OR(D1418="Casse / avarie",D1418="Perte / vol",D1418="Échantillon offert"),IF(I1418&lt;&gt;"",I1418,IF(N1418="","",F1418*N1418)),""))</f>
        <v/>
      </c>
      <c r="P1418" s="50">
        <f>IF(OR(D1418="",F1418=""),"",F1418*IF(OR(D1418="Reçu du magasin",D1418="Ajustement (+)"),1,-1))</f>
        <v/>
      </c>
      <c r="Q1418" s="34">
        <f>IF(C1418="","",YEAR(C1418-WEEKDAY(C1418,2)+4)&amp;"-S"&amp;TEXT(INT((C1418-DATE(YEAR(C1418-WEEKDAY(C1418,2)+4),1,3)+WEEKDAY(DATE(YEAR(C1418-WEEKDAY(C1418,2)+4),1,3),2)+5)/7),"00"))</f>
        <v/>
      </c>
    </row>
    <row r="1419" ht="18" customHeight="1">
      <c r="A1419" s="39" t="n">
        <v>1414</v>
      </c>
      <c r="B1419" s="33">
        <f>IF(C1419="","",IF(L1419="À RENSEIGNER","GIC",L1419)&amp;"-S"&amp;TEXT(A1419,"00000"))</f>
        <v/>
      </c>
      <c r="C1419" s="32" t="n"/>
      <c r="D1419" s="36" t="n"/>
      <c r="E1419" s="36" t="n"/>
      <c r="F1419" s="42" t="n"/>
      <c r="G1419" s="36" t="n"/>
      <c r="H1419" s="43" t="n"/>
      <c r="I1419" s="37" t="n"/>
      <c r="J1419" s="44" t="n"/>
      <c r="K1419" s="36" t="n"/>
      <c r="L1419" s="33">
        <f>IF(C1419="","",Commercial_Id)</f>
        <v/>
      </c>
      <c r="M1419" s="34">
        <f>IF(E1419="","",IFERROR(VLOOKUP(E1419,T_Produits,2,FALSE),""))</f>
        <v/>
      </c>
      <c r="N1419" s="40">
        <f>IF(E1419="","",IFERROR(1/(1/VLOOKUP(E1419,T_Produits,3,FALSE)),""))</f>
        <v/>
      </c>
      <c r="O1419" s="40">
        <f>IF(OR(D1419="",F1419=""),"",IF(OR(D1419="Casse / avarie",D1419="Perte / vol",D1419="Échantillon offert"),IF(I1419&lt;&gt;"",I1419,IF(N1419="","",F1419*N1419)),""))</f>
        <v/>
      </c>
      <c r="P1419" s="50">
        <f>IF(OR(D1419="",F1419=""),"",F1419*IF(OR(D1419="Reçu du magasin",D1419="Ajustement (+)"),1,-1))</f>
        <v/>
      </c>
      <c r="Q1419" s="34">
        <f>IF(C1419="","",YEAR(C1419-WEEKDAY(C1419,2)+4)&amp;"-S"&amp;TEXT(INT((C1419-DATE(YEAR(C1419-WEEKDAY(C1419,2)+4),1,3)+WEEKDAY(DATE(YEAR(C1419-WEEKDAY(C1419,2)+4),1,3),2)+5)/7),"00"))</f>
        <v/>
      </c>
    </row>
    <row r="1420" ht="18" customHeight="1">
      <c r="A1420" s="39" t="n">
        <v>1415</v>
      </c>
      <c r="B1420" s="33">
        <f>IF(C1420="","",IF(L1420="À RENSEIGNER","GIC",L1420)&amp;"-S"&amp;TEXT(A1420,"00000"))</f>
        <v/>
      </c>
      <c r="C1420" s="32" t="n"/>
      <c r="D1420" s="36" t="n"/>
      <c r="E1420" s="36" t="n"/>
      <c r="F1420" s="42" t="n"/>
      <c r="G1420" s="36" t="n"/>
      <c r="H1420" s="43" t="n"/>
      <c r="I1420" s="37" t="n"/>
      <c r="J1420" s="44" t="n"/>
      <c r="K1420" s="36" t="n"/>
      <c r="L1420" s="33">
        <f>IF(C1420="","",Commercial_Id)</f>
        <v/>
      </c>
      <c r="M1420" s="34">
        <f>IF(E1420="","",IFERROR(VLOOKUP(E1420,T_Produits,2,FALSE),""))</f>
        <v/>
      </c>
      <c r="N1420" s="40">
        <f>IF(E1420="","",IFERROR(1/(1/VLOOKUP(E1420,T_Produits,3,FALSE)),""))</f>
        <v/>
      </c>
      <c r="O1420" s="40">
        <f>IF(OR(D1420="",F1420=""),"",IF(OR(D1420="Casse / avarie",D1420="Perte / vol",D1420="Échantillon offert"),IF(I1420&lt;&gt;"",I1420,IF(N1420="","",F1420*N1420)),""))</f>
        <v/>
      </c>
      <c r="P1420" s="50">
        <f>IF(OR(D1420="",F1420=""),"",F1420*IF(OR(D1420="Reçu du magasin",D1420="Ajustement (+)"),1,-1))</f>
        <v/>
      </c>
      <c r="Q1420" s="34">
        <f>IF(C1420="","",YEAR(C1420-WEEKDAY(C1420,2)+4)&amp;"-S"&amp;TEXT(INT((C1420-DATE(YEAR(C1420-WEEKDAY(C1420,2)+4),1,3)+WEEKDAY(DATE(YEAR(C1420-WEEKDAY(C1420,2)+4),1,3),2)+5)/7),"00"))</f>
        <v/>
      </c>
    </row>
    <row r="1421" ht="18" customHeight="1">
      <c r="A1421" s="39" t="n">
        <v>1416</v>
      </c>
      <c r="B1421" s="33">
        <f>IF(C1421="","",IF(L1421="À RENSEIGNER","GIC",L1421)&amp;"-S"&amp;TEXT(A1421,"00000"))</f>
        <v/>
      </c>
      <c r="C1421" s="32" t="n"/>
      <c r="D1421" s="36" t="n"/>
      <c r="E1421" s="36" t="n"/>
      <c r="F1421" s="42" t="n"/>
      <c r="G1421" s="36" t="n"/>
      <c r="H1421" s="43" t="n"/>
      <c r="I1421" s="37" t="n"/>
      <c r="J1421" s="44" t="n"/>
      <c r="K1421" s="36" t="n"/>
      <c r="L1421" s="33">
        <f>IF(C1421="","",Commercial_Id)</f>
        <v/>
      </c>
      <c r="M1421" s="34">
        <f>IF(E1421="","",IFERROR(VLOOKUP(E1421,T_Produits,2,FALSE),""))</f>
        <v/>
      </c>
      <c r="N1421" s="40">
        <f>IF(E1421="","",IFERROR(1/(1/VLOOKUP(E1421,T_Produits,3,FALSE)),""))</f>
        <v/>
      </c>
      <c r="O1421" s="40">
        <f>IF(OR(D1421="",F1421=""),"",IF(OR(D1421="Casse / avarie",D1421="Perte / vol",D1421="Échantillon offert"),IF(I1421&lt;&gt;"",I1421,IF(N1421="","",F1421*N1421)),""))</f>
        <v/>
      </c>
      <c r="P1421" s="50">
        <f>IF(OR(D1421="",F1421=""),"",F1421*IF(OR(D1421="Reçu du magasin",D1421="Ajustement (+)"),1,-1))</f>
        <v/>
      </c>
      <c r="Q1421" s="34">
        <f>IF(C1421="","",YEAR(C1421-WEEKDAY(C1421,2)+4)&amp;"-S"&amp;TEXT(INT((C1421-DATE(YEAR(C1421-WEEKDAY(C1421,2)+4),1,3)+WEEKDAY(DATE(YEAR(C1421-WEEKDAY(C1421,2)+4),1,3),2)+5)/7),"00"))</f>
        <v/>
      </c>
    </row>
    <row r="1422" ht="18" customHeight="1">
      <c r="A1422" s="39" t="n">
        <v>1417</v>
      </c>
      <c r="B1422" s="33">
        <f>IF(C1422="","",IF(L1422="À RENSEIGNER","GIC",L1422)&amp;"-S"&amp;TEXT(A1422,"00000"))</f>
        <v/>
      </c>
      <c r="C1422" s="32" t="n"/>
      <c r="D1422" s="36" t="n"/>
      <c r="E1422" s="36" t="n"/>
      <c r="F1422" s="42" t="n"/>
      <c r="G1422" s="36" t="n"/>
      <c r="H1422" s="43" t="n"/>
      <c r="I1422" s="37" t="n"/>
      <c r="J1422" s="44" t="n"/>
      <c r="K1422" s="36" t="n"/>
      <c r="L1422" s="33">
        <f>IF(C1422="","",Commercial_Id)</f>
        <v/>
      </c>
      <c r="M1422" s="34">
        <f>IF(E1422="","",IFERROR(VLOOKUP(E1422,T_Produits,2,FALSE),""))</f>
        <v/>
      </c>
      <c r="N1422" s="40">
        <f>IF(E1422="","",IFERROR(1/(1/VLOOKUP(E1422,T_Produits,3,FALSE)),""))</f>
        <v/>
      </c>
      <c r="O1422" s="40">
        <f>IF(OR(D1422="",F1422=""),"",IF(OR(D1422="Casse / avarie",D1422="Perte / vol",D1422="Échantillon offert"),IF(I1422&lt;&gt;"",I1422,IF(N1422="","",F1422*N1422)),""))</f>
        <v/>
      </c>
      <c r="P1422" s="50">
        <f>IF(OR(D1422="",F1422=""),"",F1422*IF(OR(D1422="Reçu du magasin",D1422="Ajustement (+)"),1,-1))</f>
        <v/>
      </c>
      <c r="Q1422" s="34">
        <f>IF(C1422="","",YEAR(C1422-WEEKDAY(C1422,2)+4)&amp;"-S"&amp;TEXT(INT((C1422-DATE(YEAR(C1422-WEEKDAY(C1422,2)+4),1,3)+WEEKDAY(DATE(YEAR(C1422-WEEKDAY(C1422,2)+4),1,3),2)+5)/7),"00"))</f>
        <v/>
      </c>
    </row>
    <row r="1423" ht="18" customHeight="1">
      <c r="A1423" s="39" t="n">
        <v>1418</v>
      </c>
      <c r="B1423" s="33">
        <f>IF(C1423="","",IF(L1423="À RENSEIGNER","GIC",L1423)&amp;"-S"&amp;TEXT(A1423,"00000"))</f>
        <v/>
      </c>
      <c r="C1423" s="32" t="n"/>
      <c r="D1423" s="36" t="n"/>
      <c r="E1423" s="36" t="n"/>
      <c r="F1423" s="42" t="n"/>
      <c r="G1423" s="36" t="n"/>
      <c r="H1423" s="43" t="n"/>
      <c r="I1423" s="37" t="n"/>
      <c r="J1423" s="44" t="n"/>
      <c r="K1423" s="36" t="n"/>
      <c r="L1423" s="33">
        <f>IF(C1423="","",Commercial_Id)</f>
        <v/>
      </c>
      <c r="M1423" s="34">
        <f>IF(E1423="","",IFERROR(VLOOKUP(E1423,T_Produits,2,FALSE),""))</f>
        <v/>
      </c>
      <c r="N1423" s="40">
        <f>IF(E1423="","",IFERROR(1/(1/VLOOKUP(E1423,T_Produits,3,FALSE)),""))</f>
        <v/>
      </c>
      <c r="O1423" s="40">
        <f>IF(OR(D1423="",F1423=""),"",IF(OR(D1423="Casse / avarie",D1423="Perte / vol",D1423="Échantillon offert"),IF(I1423&lt;&gt;"",I1423,IF(N1423="","",F1423*N1423)),""))</f>
        <v/>
      </c>
      <c r="P1423" s="50">
        <f>IF(OR(D1423="",F1423=""),"",F1423*IF(OR(D1423="Reçu du magasin",D1423="Ajustement (+)"),1,-1))</f>
        <v/>
      </c>
      <c r="Q1423" s="34">
        <f>IF(C1423="","",YEAR(C1423-WEEKDAY(C1423,2)+4)&amp;"-S"&amp;TEXT(INT((C1423-DATE(YEAR(C1423-WEEKDAY(C1423,2)+4),1,3)+WEEKDAY(DATE(YEAR(C1423-WEEKDAY(C1423,2)+4),1,3),2)+5)/7),"00"))</f>
        <v/>
      </c>
    </row>
    <row r="1424" ht="18" customHeight="1">
      <c r="A1424" s="39" t="n">
        <v>1419</v>
      </c>
      <c r="B1424" s="33">
        <f>IF(C1424="","",IF(L1424="À RENSEIGNER","GIC",L1424)&amp;"-S"&amp;TEXT(A1424,"00000"))</f>
        <v/>
      </c>
      <c r="C1424" s="32" t="n"/>
      <c r="D1424" s="36" t="n"/>
      <c r="E1424" s="36" t="n"/>
      <c r="F1424" s="42" t="n"/>
      <c r="G1424" s="36" t="n"/>
      <c r="H1424" s="43" t="n"/>
      <c r="I1424" s="37" t="n"/>
      <c r="J1424" s="44" t="n"/>
      <c r="K1424" s="36" t="n"/>
      <c r="L1424" s="33">
        <f>IF(C1424="","",Commercial_Id)</f>
        <v/>
      </c>
      <c r="M1424" s="34">
        <f>IF(E1424="","",IFERROR(VLOOKUP(E1424,T_Produits,2,FALSE),""))</f>
        <v/>
      </c>
      <c r="N1424" s="40">
        <f>IF(E1424="","",IFERROR(1/(1/VLOOKUP(E1424,T_Produits,3,FALSE)),""))</f>
        <v/>
      </c>
      <c r="O1424" s="40">
        <f>IF(OR(D1424="",F1424=""),"",IF(OR(D1424="Casse / avarie",D1424="Perte / vol",D1424="Échantillon offert"),IF(I1424&lt;&gt;"",I1424,IF(N1424="","",F1424*N1424)),""))</f>
        <v/>
      </c>
      <c r="P1424" s="50">
        <f>IF(OR(D1424="",F1424=""),"",F1424*IF(OR(D1424="Reçu du magasin",D1424="Ajustement (+)"),1,-1))</f>
        <v/>
      </c>
      <c r="Q1424" s="34">
        <f>IF(C1424="","",YEAR(C1424-WEEKDAY(C1424,2)+4)&amp;"-S"&amp;TEXT(INT((C1424-DATE(YEAR(C1424-WEEKDAY(C1424,2)+4),1,3)+WEEKDAY(DATE(YEAR(C1424-WEEKDAY(C1424,2)+4),1,3),2)+5)/7),"00"))</f>
        <v/>
      </c>
    </row>
    <row r="1425" ht="18" customHeight="1">
      <c r="A1425" s="39" t="n">
        <v>1420</v>
      </c>
      <c r="B1425" s="33">
        <f>IF(C1425="","",IF(L1425="À RENSEIGNER","GIC",L1425)&amp;"-S"&amp;TEXT(A1425,"00000"))</f>
        <v/>
      </c>
      <c r="C1425" s="32" t="n"/>
      <c r="D1425" s="36" t="n"/>
      <c r="E1425" s="36" t="n"/>
      <c r="F1425" s="42" t="n"/>
      <c r="G1425" s="36" t="n"/>
      <c r="H1425" s="43" t="n"/>
      <c r="I1425" s="37" t="n"/>
      <c r="J1425" s="44" t="n"/>
      <c r="K1425" s="36" t="n"/>
      <c r="L1425" s="33">
        <f>IF(C1425="","",Commercial_Id)</f>
        <v/>
      </c>
      <c r="M1425" s="34">
        <f>IF(E1425="","",IFERROR(VLOOKUP(E1425,T_Produits,2,FALSE),""))</f>
        <v/>
      </c>
      <c r="N1425" s="40">
        <f>IF(E1425="","",IFERROR(1/(1/VLOOKUP(E1425,T_Produits,3,FALSE)),""))</f>
        <v/>
      </c>
      <c r="O1425" s="40">
        <f>IF(OR(D1425="",F1425=""),"",IF(OR(D1425="Casse / avarie",D1425="Perte / vol",D1425="Échantillon offert"),IF(I1425&lt;&gt;"",I1425,IF(N1425="","",F1425*N1425)),""))</f>
        <v/>
      </c>
      <c r="P1425" s="50">
        <f>IF(OR(D1425="",F1425=""),"",F1425*IF(OR(D1425="Reçu du magasin",D1425="Ajustement (+)"),1,-1))</f>
        <v/>
      </c>
      <c r="Q1425" s="34">
        <f>IF(C1425="","",YEAR(C1425-WEEKDAY(C1425,2)+4)&amp;"-S"&amp;TEXT(INT((C1425-DATE(YEAR(C1425-WEEKDAY(C1425,2)+4),1,3)+WEEKDAY(DATE(YEAR(C1425-WEEKDAY(C1425,2)+4),1,3),2)+5)/7),"00"))</f>
        <v/>
      </c>
    </row>
    <row r="1426" ht="18" customHeight="1">
      <c r="A1426" s="39" t="n">
        <v>1421</v>
      </c>
      <c r="B1426" s="33">
        <f>IF(C1426="","",IF(L1426="À RENSEIGNER","GIC",L1426)&amp;"-S"&amp;TEXT(A1426,"00000"))</f>
        <v/>
      </c>
      <c r="C1426" s="32" t="n"/>
      <c r="D1426" s="36" t="n"/>
      <c r="E1426" s="36" t="n"/>
      <c r="F1426" s="42" t="n"/>
      <c r="G1426" s="36" t="n"/>
      <c r="H1426" s="43" t="n"/>
      <c r="I1426" s="37" t="n"/>
      <c r="J1426" s="44" t="n"/>
      <c r="K1426" s="36" t="n"/>
      <c r="L1426" s="33">
        <f>IF(C1426="","",Commercial_Id)</f>
        <v/>
      </c>
      <c r="M1426" s="34">
        <f>IF(E1426="","",IFERROR(VLOOKUP(E1426,T_Produits,2,FALSE),""))</f>
        <v/>
      </c>
      <c r="N1426" s="40">
        <f>IF(E1426="","",IFERROR(1/(1/VLOOKUP(E1426,T_Produits,3,FALSE)),""))</f>
        <v/>
      </c>
      <c r="O1426" s="40">
        <f>IF(OR(D1426="",F1426=""),"",IF(OR(D1426="Casse / avarie",D1426="Perte / vol",D1426="Échantillon offert"),IF(I1426&lt;&gt;"",I1426,IF(N1426="","",F1426*N1426)),""))</f>
        <v/>
      </c>
      <c r="P1426" s="50">
        <f>IF(OR(D1426="",F1426=""),"",F1426*IF(OR(D1426="Reçu du magasin",D1426="Ajustement (+)"),1,-1))</f>
        <v/>
      </c>
      <c r="Q1426" s="34">
        <f>IF(C1426="","",YEAR(C1426-WEEKDAY(C1426,2)+4)&amp;"-S"&amp;TEXT(INT((C1426-DATE(YEAR(C1426-WEEKDAY(C1426,2)+4),1,3)+WEEKDAY(DATE(YEAR(C1426-WEEKDAY(C1426,2)+4),1,3),2)+5)/7),"00"))</f>
        <v/>
      </c>
    </row>
    <row r="1427" ht="18" customHeight="1">
      <c r="A1427" s="39" t="n">
        <v>1422</v>
      </c>
      <c r="B1427" s="33">
        <f>IF(C1427="","",IF(L1427="À RENSEIGNER","GIC",L1427)&amp;"-S"&amp;TEXT(A1427,"00000"))</f>
        <v/>
      </c>
      <c r="C1427" s="32" t="n"/>
      <c r="D1427" s="36" t="n"/>
      <c r="E1427" s="36" t="n"/>
      <c r="F1427" s="42" t="n"/>
      <c r="G1427" s="36" t="n"/>
      <c r="H1427" s="43" t="n"/>
      <c r="I1427" s="37" t="n"/>
      <c r="J1427" s="44" t="n"/>
      <c r="K1427" s="36" t="n"/>
      <c r="L1427" s="33">
        <f>IF(C1427="","",Commercial_Id)</f>
        <v/>
      </c>
      <c r="M1427" s="34">
        <f>IF(E1427="","",IFERROR(VLOOKUP(E1427,T_Produits,2,FALSE),""))</f>
        <v/>
      </c>
      <c r="N1427" s="40">
        <f>IF(E1427="","",IFERROR(1/(1/VLOOKUP(E1427,T_Produits,3,FALSE)),""))</f>
        <v/>
      </c>
      <c r="O1427" s="40">
        <f>IF(OR(D1427="",F1427=""),"",IF(OR(D1427="Casse / avarie",D1427="Perte / vol",D1427="Échantillon offert"),IF(I1427&lt;&gt;"",I1427,IF(N1427="","",F1427*N1427)),""))</f>
        <v/>
      </c>
      <c r="P1427" s="50">
        <f>IF(OR(D1427="",F1427=""),"",F1427*IF(OR(D1427="Reçu du magasin",D1427="Ajustement (+)"),1,-1))</f>
        <v/>
      </c>
      <c r="Q1427" s="34">
        <f>IF(C1427="","",YEAR(C1427-WEEKDAY(C1427,2)+4)&amp;"-S"&amp;TEXT(INT((C1427-DATE(YEAR(C1427-WEEKDAY(C1427,2)+4),1,3)+WEEKDAY(DATE(YEAR(C1427-WEEKDAY(C1427,2)+4),1,3),2)+5)/7),"00"))</f>
        <v/>
      </c>
    </row>
    <row r="1428" ht="18" customHeight="1">
      <c r="A1428" s="39" t="n">
        <v>1423</v>
      </c>
      <c r="B1428" s="33">
        <f>IF(C1428="","",IF(L1428="À RENSEIGNER","GIC",L1428)&amp;"-S"&amp;TEXT(A1428,"00000"))</f>
        <v/>
      </c>
      <c r="C1428" s="32" t="n"/>
      <c r="D1428" s="36" t="n"/>
      <c r="E1428" s="36" t="n"/>
      <c r="F1428" s="42" t="n"/>
      <c r="G1428" s="36" t="n"/>
      <c r="H1428" s="43" t="n"/>
      <c r="I1428" s="37" t="n"/>
      <c r="J1428" s="44" t="n"/>
      <c r="K1428" s="36" t="n"/>
      <c r="L1428" s="33">
        <f>IF(C1428="","",Commercial_Id)</f>
        <v/>
      </c>
      <c r="M1428" s="34">
        <f>IF(E1428="","",IFERROR(VLOOKUP(E1428,T_Produits,2,FALSE),""))</f>
        <v/>
      </c>
      <c r="N1428" s="40">
        <f>IF(E1428="","",IFERROR(1/(1/VLOOKUP(E1428,T_Produits,3,FALSE)),""))</f>
        <v/>
      </c>
      <c r="O1428" s="40">
        <f>IF(OR(D1428="",F1428=""),"",IF(OR(D1428="Casse / avarie",D1428="Perte / vol",D1428="Échantillon offert"),IF(I1428&lt;&gt;"",I1428,IF(N1428="","",F1428*N1428)),""))</f>
        <v/>
      </c>
      <c r="P1428" s="50">
        <f>IF(OR(D1428="",F1428=""),"",F1428*IF(OR(D1428="Reçu du magasin",D1428="Ajustement (+)"),1,-1))</f>
        <v/>
      </c>
      <c r="Q1428" s="34">
        <f>IF(C1428="","",YEAR(C1428-WEEKDAY(C1428,2)+4)&amp;"-S"&amp;TEXT(INT((C1428-DATE(YEAR(C1428-WEEKDAY(C1428,2)+4),1,3)+WEEKDAY(DATE(YEAR(C1428-WEEKDAY(C1428,2)+4),1,3),2)+5)/7),"00"))</f>
        <v/>
      </c>
    </row>
    <row r="1429" ht="18" customHeight="1">
      <c r="A1429" s="39" t="n">
        <v>1424</v>
      </c>
      <c r="B1429" s="33">
        <f>IF(C1429="","",IF(L1429="À RENSEIGNER","GIC",L1429)&amp;"-S"&amp;TEXT(A1429,"00000"))</f>
        <v/>
      </c>
      <c r="C1429" s="32" t="n"/>
      <c r="D1429" s="36" t="n"/>
      <c r="E1429" s="36" t="n"/>
      <c r="F1429" s="42" t="n"/>
      <c r="G1429" s="36" t="n"/>
      <c r="H1429" s="43" t="n"/>
      <c r="I1429" s="37" t="n"/>
      <c r="J1429" s="44" t="n"/>
      <c r="K1429" s="36" t="n"/>
      <c r="L1429" s="33">
        <f>IF(C1429="","",Commercial_Id)</f>
        <v/>
      </c>
      <c r="M1429" s="34">
        <f>IF(E1429="","",IFERROR(VLOOKUP(E1429,T_Produits,2,FALSE),""))</f>
        <v/>
      </c>
      <c r="N1429" s="40">
        <f>IF(E1429="","",IFERROR(1/(1/VLOOKUP(E1429,T_Produits,3,FALSE)),""))</f>
        <v/>
      </c>
      <c r="O1429" s="40">
        <f>IF(OR(D1429="",F1429=""),"",IF(OR(D1429="Casse / avarie",D1429="Perte / vol",D1429="Échantillon offert"),IF(I1429&lt;&gt;"",I1429,IF(N1429="","",F1429*N1429)),""))</f>
        <v/>
      </c>
      <c r="P1429" s="50">
        <f>IF(OR(D1429="",F1429=""),"",F1429*IF(OR(D1429="Reçu du magasin",D1429="Ajustement (+)"),1,-1))</f>
        <v/>
      </c>
      <c r="Q1429" s="34">
        <f>IF(C1429="","",YEAR(C1429-WEEKDAY(C1429,2)+4)&amp;"-S"&amp;TEXT(INT((C1429-DATE(YEAR(C1429-WEEKDAY(C1429,2)+4),1,3)+WEEKDAY(DATE(YEAR(C1429-WEEKDAY(C1429,2)+4),1,3),2)+5)/7),"00"))</f>
        <v/>
      </c>
    </row>
    <row r="1430" ht="18" customHeight="1">
      <c r="A1430" s="39" t="n">
        <v>1425</v>
      </c>
      <c r="B1430" s="33">
        <f>IF(C1430="","",IF(L1430="À RENSEIGNER","GIC",L1430)&amp;"-S"&amp;TEXT(A1430,"00000"))</f>
        <v/>
      </c>
      <c r="C1430" s="32" t="n"/>
      <c r="D1430" s="36" t="n"/>
      <c r="E1430" s="36" t="n"/>
      <c r="F1430" s="42" t="n"/>
      <c r="G1430" s="36" t="n"/>
      <c r="H1430" s="43" t="n"/>
      <c r="I1430" s="37" t="n"/>
      <c r="J1430" s="44" t="n"/>
      <c r="K1430" s="36" t="n"/>
      <c r="L1430" s="33">
        <f>IF(C1430="","",Commercial_Id)</f>
        <v/>
      </c>
      <c r="M1430" s="34">
        <f>IF(E1430="","",IFERROR(VLOOKUP(E1430,T_Produits,2,FALSE),""))</f>
        <v/>
      </c>
      <c r="N1430" s="40">
        <f>IF(E1430="","",IFERROR(1/(1/VLOOKUP(E1430,T_Produits,3,FALSE)),""))</f>
        <v/>
      </c>
      <c r="O1430" s="40">
        <f>IF(OR(D1430="",F1430=""),"",IF(OR(D1430="Casse / avarie",D1430="Perte / vol",D1430="Échantillon offert"),IF(I1430&lt;&gt;"",I1430,IF(N1430="","",F1430*N1430)),""))</f>
        <v/>
      </c>
      <c r="P1430" s="50">
        <f>IF(OR(D1430="",F1430=""),"",F1430*IF(OR(D1430="Reçu du magasin",D1430="Ajustement (+)"),1,-1))</f>
        <v/>
      </c>
      <c r="Q1430" s="34">
        <f>IF(C1430="","",YEAR(C1430-WEEKDAY(C1430,2)+4)&amp;"-S"&amp;TEXT(INT((C1430-DATE(YEAR(C1430-WEEKDAY(C1430,2)+4),1,3)+WEEKDAY(DATE(YEAR(C1430-WEEKDAY(C1430,2)+4),1,3),2)+5)/7),"00"))</f>
        <v/>
      </c>
    </row>
    <row r="1431" ht="18" customHeight="1">
      <c r="A1431" s="39" t="n">
        <v>1426</v>
      </c>
      <c r="B1431" s="33">
        <f>IF(C1431="","",IF(L1431="À RENSEIGNER","GIC",L1431)&amp;"-S"&amp;TEXT(A1431,"00000"))</f>
        <v/>
      </c>
      <c r="C1431" s="32" t="n"/>
      <c r="D1431" s="36" t="n"/>
      <c r="E1431" s="36" t="n"/>
      <c r="F1431" s="42" t="n"/>
      <c r="G1431" s="36" t="n"/>
      <c r="H1431" s="43" t="n"/>
      <c r="I1431" s="37" t="n"/>
      <c r="J1431" s="44" t="n"/>
      <c r="K1431" s="36" t="n"/>
      <c r="L1431" s="33">
        <f>IF(C1431="","",Commercial_Id)</f>
        <v/>
      </c>
      <c r="M1431" s="34">
        <f>IF(E1431="","",IFERROR(VLOOKUP(E1431,T_Produits,2,FALSE),""))</f>
        <v/>
      </c>
      <c r="N1431" s="40">
        <f>IF(E1431="","",IFERROR(1/(1/VLOOKUP(E1431,T_Produits,3,FALSE)),""))</f>
        <v/>
      </c>
      <c r="O1431" s="40">
        <f>IF(OR(D1431="",F1431=""),"",IF(OR(D1431="Casse / avarie",D1431="Perte / vol",D1431="Échantillon offert"),IF(I1431&lt;&gt;"",I1431,IF(N1431="","",F1431*N1431)),""))</f>
        <v/>
      </c>
      <c r="P1431" s="50">
        <f>IF(OR(D1431="",F1431=""),"",F1431*IF(OR(D1431="Reçu du magasin",D1431="Ajustement (+)"),1,-1))</f>
        <v/>
      </c>
      <c r="Q1431" s="34">
        <f>IF(C1431="","",YEAR(C1431-WEEKDAY(C1431,2)+4)&amp;"-S"&amp;TEXT(INT((C1431-DATE(YEAR(C1431-WEEKDAY(C1431,2)+4),1,3)+WEEKDAY(DATE(YEAR(C1431-WEEKDAY(C1431,2)+4),1,3),2)+5)/7),"00"))</f>
        <v/>
      </c>
    </row>
    <row r="1432" ht="18" customHeight="1">
      <c r="A1432" s="39" t="n">
        <v>1427</v>
      </c>
      <c r="B1432" s="33">
        <f>IF(C1432="","",IF(L1432="À RENSEIGNER","GIC",L1432)&amp;"-S"&amp;TEXT(A1432,"00000"))</f>
        <v/>
      </c>
      <c r="C1432" s="32" t="n"/>
      <c r="D1432" s="36" t="n"/>
      <c r="E1432" s="36" t="n"/>
      <c r="F1432" s="42" t="n"/>
      <c r="G1432" s="36" t="n"/>
      <c r="H1432" s="43" t="n"/>
      <c r="I1432" s="37" t="n"/>
      <c r="J1432" s="44" t="n"/>
      <c r="K1432" s="36" t="n"/>
      <c r="L1432" s="33">
        <f>IF(C1432="","",Commercial_Id)</f>
        <v/>
      </c>
      <c r="M1432" s="34">
        <f>IF(E1432="","",IFERROR(VLOOKUP(E1432,T_Produits,2,FALSE),""))</f>
        <v/>
      </c>
      <c r="N1432" s="40">
        <f>IF(E1432="","",IFERROR(1/(1/VLOOKUP(E1432,T_Produits,3,FALSE)),""))</f>
        <v/>
      </c>
      <c r="O1432" s="40">
        <f>IF(OR(D1432="",F1432=""),"",IF(OR(D1432="Casse / avarie",D1432="Perte / vol",D1432="Échantillon offert"),IF(I1432&lt;&gt;"",I1432,IF(N1432="","",F1432*N1432)),""))</f>
        <v/>
      </c>
      <c r="P1432" s="50">
        <f>IF(OR(D1432="",F1432=""),"",F1432*IF(OR(D1432="Reçu du magasin",D1432="Ajustement (+)"),1,-1))</f>
        <v/>
      </c>
      <c r="Q1432" s="34">
        <f>IF(C1432="","",YEAR(C1432-WEEKDAY(C1432,2)+4)&amp;"-S"&amp;TEXT(INT((C1432-DATE(YEAR(C1432-WEEKDAY(C1432,2)+4),1,3)+WEEKDAY(DATE(YEAR(C1432-WEEKDAY(C1432,2)+4),1,3),2)+5)/7),"00"))</f>
        <v/>
      </c>
    </row>
    <row r="1433" ht="18" customHeight="1">
      <c r="A1433" s="39" t="n">
        <v>1428</v>
      </c>
      <c r="B1433" s="33">
        <f>IF(C1433="","",IF(L1433="À RENSEIGNER","GIC",L1433)&amp;"-S"&amp;TEXT(A1433,"00000"))</f>
        <v/>
      </c>
      <c r="C1433" s="32" t="n"/>
      <c r="D1433" s="36" t="n"/>
      <c r="E1433" s="36" t="n"/>
      <c r="F1433" s="42" t="n"/>
      <c r="G1433" s="36" t="n"/>
      <c r="H1433" s="43" t="n"/>
      <c r="I1433" s="37" t="n"/>
      <c r="J1433" s="44" t="n"/>
      <c r="K1433" s="36" t="n"/>
      <c r="L1433" s="33">
        <f>IF(C1433="","",Commercial_Id)</f>
        <v/>
      </c>
      <c r="M1433" s="34">
        <f>IF(E1433="","",IFERROR(VLOOKUP(E1433,T_Produits,2,FALSE),""))</f>
        <v/>
      </c>
      <c r="N1433" s="40">
        <f>IF(E1433="","",IFERROR(1/(1/VLOOKUP(E1433,T_Produits,3,FALSE)),""))</f>
        <v/>
      </c>
      <c r="O1433" s="40">
        <f>IF(OR(D1433="",F1433=""),"",IF(OR(D1433="Casse / avarie",D1433="Perte / vol",D1433="Échantillon offert"),IF(I1433&lt;&gt;"",I1433,IF(N1433="","",F1433*N1433)),""))</f>
        <v/>
      </c>
      <c r="P1433" s="50">
        <f>IF(OR(D1433="",F1433=""),"",F1433*IF(OR(D1433="Reçu du magasin",D1433="Ajustement (+)"),1,-1))</f>
        <v/>
      </c>
      <c r="Q1433" s="34">
        <f>IF(C1433="","",YEAR(C1433-WEEKDAY(C1433,2)+4)&amp;"-S"&amp;TEXT(INT((C1433-DATE(YEAR(C1433-WEEKDAY(C1433,2)+4),1,3)+WEEKDAY(DATE(YEAR(C1433-WEEKDAY(C1433,2)+4),1,3),2)+5)/7),"00"))</f>
        <v/>
      </c>
    </row>
    <row r="1434" ht="18" customHeight="1">
      <c r="A1434" s="39" t="n">
        <v>1429</v>
      </c>
      <c r="B1434" s="33">
        <f>IF(C1434="","",IF(L1434="À RENSEIGNER","GIC",L1434)&amp;"-S"&amp;TEXT(A1434,"00000"))</f>
        <v/>
      </c>
      <c r="C1434" s="32" t="n"/>
      <c r="D1434" s="36" t="n"/>
      <c r="E1434" s="36" t="n"/>
      <c r="F1434" s="42" t="n"/>
      <c r="G1434" s="36" t="n"/>
      <c r="H1434" s="43" t="n"/>
      <c r="I1434" s="37" t="n"/>
      <c r="J1434" s="44" t="n"/>
      <c r="K1434" s="36" t="n"/>
      <c r="L1434" s="33">
        <f>IF(C1434="","",Commercial_Id)</f>
        <v/>
      </c>
      <c r="M1434" s="34">
        <f>IF(E1434="","",IFERROR(VLOOKUP(E1434,T_Produits,2,FALSE),""))</f>
        <v/>
      </c>
      <c r="N1434" s="40">
        <f>IF(E1434="","",IFERROR(1/(1/VLOOKUP(E1434,T_Produits,3,FALSE)),""))</f>
        <v/>
      </c>
      <c r="O1434" s="40">
        <f>IF(OR(D1434="",F1434=""),"",IF(OR(D1434="Casse / avarie",D1434="Perte / vol",D1434="Échantillon offert"),IF(I1434&lt;&gt;"",I1434,IF(N1434="","",F1434*N1434)),""))</f>
        <v/>
      </c>
      <c r="P1434" s="50">
        <f>IF(OR(D1434="",F1434=""),"",F1434*IF(OR(D1434="Reçu du magasin",D1434="Ajustement (+)"),1,-1))</f>
        <v/>
      </c>
      <c r="Q1434" s="34">
        <f>IF(C1434="","",YEAR(C1434-WEEKDAY(C1434,2)+4)&amp;"-S"&amp;TEXT(INT((C1434-DATE(YEAR(C1434-WEEKDAY(C1434,2)+4),1,3)+WEEKDAY(DATE(YEAR(C1434-WEEKDAY(C1434,2)+4),1,3),2)+5)/7),"00"))</f>
        <v/>
      </c>
    </row>
    <row r="1435" ht="18" customHeight="1">
      <c r="A1435" s="39" t="n">
        <v>1430</v>
      </c>
      <c r="B1435" s="33">
        <f>IF(C1435="","",IF(L1435="À RENSEIGNER","GIC",L1435)&amp;"-S"&amp;TEXT(A1435,"00000"))</f>
        <v/>
      </c>
      <c r="C1435" s="32" t="n"/>
      <c r="D1435" s="36" t="n"/>
      <c r="E1435" s="36" t="n"/>
      <c r="F1435" s="42" t="n"/>
      <c r="G1435" s="36" t="n"/>
      <c r="H1435" s="43" t="n"/>
      <c r="I1435" s="37" t="n"/>
      <c r="J1435" s="44" t="n"/>
      <c r="K1435" s="36" t="n"/>
      <c r="L1435" s="33">
        <f>IF(C1435="","",Commercial_Id)</f>
        <v/>
      </c>
      <c r="M1435" s="34">
        <f>IF(E1435="","",IFERROR(VLOOKUP(E1435,T_Produits,2,FALSE),""))</f>
        <v/>
      </c>
      <c r="N1435" s="40">
        <f>IF(E1435="","",IFERROR(1/(1/VLOOKUP(E1435,T_Produits,3,FALSE)),""))</f>
        <v/>
      </c>
      <c r="O1435" s="40">
        <f>IF(OR(D1435="",F1435=""),"",IF(OR(D1435="Casse / avarie",D1435="Perte / vol",D1435="Échantillon offert"),IF(I1435&lt;&gt;"",I1435,IF(N1435="","",F1435*N1435)),""))</f>
        <v/>
      </c>
      <c r="P1435" s="50">
        <f>IF(OR(D1435="",F1435=""),"",F1435*IF(OR(D1435="Reçu du magasin",D1435="Ajustement (+)"),1,-1))</f>
        <v/>
      </c>
      <c r="Q1435" s="34">
        <f>IF(C1435="","",YEAR(C1435-WEEKDAY(C1435,2)+4)&amp;"-S"&amp;TEXT(INT((C1435-DATE(YEAR(C1435-WEEKDAY(C1435,2)+4),1,3)+WEEKDAY(DATE(YEAR(C1435-WEEKDAY(C1435,2)+4),1,3),2)+5)/7),"00"))</f>
        <v/>
      </c>
    </row>
    <row r="1436" ht="18" customHeight="1">
      <c r="A1436" s="39" t="n">
        <v>1431</v>
      </c>
      <c r="B1436" s="33">
        <f>IF(C1436="","",IF(L1436="À RENSEIGNER","GIC",L1436)&amp;"-S"&amp;TEXT(A1436,"00000"))</f>
        <v/>
      </c>
      <c r="C1436" s="32" t="n"/>
      <c r="D1436" s="36" t="n"/>
      <c r="E1436" s="36" t="n"/>
      <c r="F1436" s="42" t="n"/>
      <c r="G1436" s="36" t="n"/>
      <c r="H1436" s="43" t="n"/>
      <c r="I1436" s="37" t="n"/>
      <c r="J1436" s="44" t="n"/>
      <c r="K1436" s="36" t="n"/>
      <c r="L1436" s="33">
        <f>IF(C1436="","",Commercial_Id)</f>
        <v/>
      </c>
      <c r="M1436" s="34">
        <f>IF(E1436="","",IFERROR(VLOOKUP(E1436,T_Produits,2,FALSE),""))</f>
        <v/>
      </c>
      <c r="N1436" s="40">
        <f>IF(E1436="","",IFERROR(1/(1/VLOOKUP(E1436,T_Produits,3,FALSE)),""))</f>
        <v/>
      </c>
      <c r="O1436" s="40">
        <f>IF(OR(D1436="",F1436=""),"",IF(OR(D1436="Casse / avarie",D1436="Perte / vol",D1436="Échantillon offert"),IF(I1436&lt;&gt;"",I1436,IF(N1436="","",F1436*N1436)),""))</f>
        <v/>
      </c>
      <c r="P1436" s="50">
        <f>IF(OR(D1436="",F1436=""),"",F1436*IF(OR(D1436="Reçu du magasin",D1436="Ajustement (+)"),1,-1))</f>
        <v/>
      </c>
      <c r="Q1436" s="34">
        <f>IF(C1436="","",YEAR(C1436-WEEKDAY(C1436,2)+4)&amp;"-S"&amp;TEXT(INT((C1436-DATE(YEAR(C1436-WEEKDAY(C1436,2)+4),1,3)+WEEKDAY(DATE(YEAR(C1436-WEEKDAY(C1436,2)+4),1,3),2)+5)/7),"00"))</f>
        <v/>
      </c>
    </row>
    <row r="1437" ht="18" customHeight="1">
      <c r="A1437" s="39" t="n">
        <v>1432</v>
      </c>
      <c r="B1437" s="33">
        <f>IF(C1437="","",IF(L1437="À RENSEIGNER","GIC",L1437)&amp;"-S"&amp;TEXT(A1437,"00000"))</f>
        <v/>
      </c>
      <c r="C1437" s="32" t="n"/>
      <c r="D1437" s="36" t="n"/>
      <c r="E1437" s="36" t="n"/>
      <c r="F1437" s="42" t="n"/>
      <c r="G1437" s="36" t="n"/>
      <c r="H1437" s="43" t="n"/>
      <c r="I1437" s="37" t="n"/>
      <c r="J1437" s="44" t="n"/>
      <c r="K1437" s="36" t="n"/>
      <c r="L1437" s="33">
        <f>IF(C1437="","",Commercial_Id)</f>
        <v/>
      </c>
      <c r="M1437" s="34">
        <f>IF(E1437="","",IFERROR(VLOOKUP(E1437,T_Produits,2,FALSE),""))</f>
        <v/>
      </c>
      <c r="N1437" s="40">
        <f>IF(E1437="","",IFERROR(1/(1/VLOOKUP(E1437,T_Produits,3,FALSE)),""))</f>
        <v/>
      </c>
      <c r="O1437" s="40">
        <f>IF(OR(D1437="",F1437=""),"",IF(OR(D1437="Casse / avarie",D1437="Perte / vol",D1437="Échantillon offert"),IF(I1437&lt;&gt;"",I1437,IF(N1437="","",F1437*N1437)),""))</f>
        <v/>
      </c>
      <c r="P1437" s="50">
        <f>IF(OR(D1437="",F1437=""),"",F1437*IF(OR(D1437="Reçu du magasin",D1437="Ajustement (+)"),1,-1))</f>
        <v/>
      </c>
      <c r="Q1437" s="34">
        <f>IF(C1437="","",YEAR(C1437-WEEKDAY(C1437,2)+4)&amp;"-S"&amp;TEXT(INT((C1437-DATE(YEAR(C1437-WEEKDAY(C1437,2)+4),1,3)+WEEKDAY(DATE(YEAR(C1437-WEEKDAY(C1437,2)+4),1,3),2)+5)/7),"00"))</f>
        <v/>
      </c>
    </row>
    <row r="1438" ht="18" customHeight="1">
      <c r="A1438" s="39" t="n">
        <v>1433</v>
      </c>
      <c r="B1438" s="33">
        <f>IF(C1438="","",IF(L1438="À RENSEIGNER","GIC",L1438)&amp;"-S"&amp;TEXT(A1438,"00000"))</f>
        <v/>
      </c>
      <c r="C1438" s="32" t="n"/>
      <c r="D1438" s="36" t="n"/>
      <c r="E1438" s="36" t="n"/>
      <c r="F1438" s="42" t="n"/>
      <c r="G1438" s="36" t="n"/>
      <c r="H1438" s="43" t="n"/>
      <c r="I1438" s="37" t="n"/>
      <c r="J1438" s="44" t="n"/>
      <c r="K1438" s="36" t="n"/>
      <c r="L1438" s="33">
        <f>IF(C1438="","",Commercial_Id)</f>
        <v/>
      </c>
      <c r="M1438" s="34">
        <f>IF(E1438="","",IFERROR(VLOOKUP(E1438,T_Produits,2,FALSE),""))</f>
        <v/>
      </c>
      <c r="N1438" s="40">
        <f>IF(E1438="","",IFERROR(1/(1/VLOOKUP(E1438,T_Produits,3,FALSE)),""))</f>
        <v/>
      </c>
      <c r="O1438" s="40">
        <f>IF(OR(D1438="",F1438=""),"",IF(OR(D1438="Casse / avarie",D1438="Perte / vol",D1438="Échantillon offert"),IF(I1438&lt;&gt;"",I1438,IF(N1438="","",F1438*N1438)),""))</f>
        <v/>
      </c>
      <c r="P1438" s="50">
        <f>IF(OR(D1438="",F1438=""),"",F1438*IF(OR(D1438="Reçu du magasin",D1438="Ajustement (+)"),1,-1))</f>
        <v/>
      </c>
      <c r="Q1438" s="34">
        <f>IF(C1438="","",YEAR(C1438-WEEKDAY(C1438,2)+4)&amp;"-S"&amp;TEXT(INT((C1438-DATE(YEAR(C1438-WEEKDAY(C1438,2)+4),1,3)+WEEKDAY(DATE(YEAR(C1438-WEEKDAY(C1438,2)+4),1,3),2)+5)/7),"00"))</f>
        <v/>
      </c>
    </row>
    <row r="1439" ht="18" customHeight="1">
      <c r="A1439" s="39" t="n">
        <v>1434</v>
      </c>
      <c r="B1439" s="33">
        <f>IF(C1439="","",IF(L1439="À RENSEIGNER","GIC",L1439)&amp;"-S"&amp;TEXT(A1439,"00000"))</f>
        <v/>
      </c>
      <c r="C1439" s="32" t="n"/>
      <c r="D1439" s="36" t="n"/>
      <c r="E1439" s="36" t="n"/>
      <c r="F1439" s="42" t="n"/>
      <c r="G1439" s="36" t="n"/>
      <c r="H1439" s="43" t="n"/>
      <c r="I1439" s="37" t="n"/>
      <c r="J1439" s="44" t="n"/>
      <c r="K1439" s="36" t="n"/>
      <c r="L1439" s="33">
        <f>IF(C1439="","",Commercial_Id)</f>
        <v/>
      </c>
      <c r="M1439" s="34">
        <f>IF(E1439="","",IFERROR(VLOOKUP(E1439,T_Produits,2,FALSE),""))</f>
        <v/>
      </c>
      <c r="N1439" s="40">
        <f>IF(E1439="","",IFERROR(1/(1/VLOOKUP(E1439,T_Produits,3,FALSE)),""))</f>
        <v/>
      </c>
      <c r="O1439" s="40">
        <f>IF(OR(D1439="",F1439=""),"",IF(OR(D1439="Casse / avarie",D1439="Perte / vol",D1439="Échantillon offert"),IF(I1439&lt;&gt;"",I1439,IF(N1439="","",F1439*N1439)),""))</f>
        <v/>
      </c>
      <c r="P1439" s="50">
        <f>IF(OR(D1439="",F1439=""),"",F1439*IF(OR(D1439="Reçu du magasin",D1439="Ajustement (+)"),1,-1))</f>
        <v/>
      </c>
      <c r="Q1439" s="34">
        <f>IF(C1439="","",YEAR(C1439-WEEKDAY(C1439,2)+4)&amp;"-S"&amp;TEXT(INT((C1439-DATE(YEAR(C1439-WEEKDAY(C1439,2)+4),1,3)+WEEKDAY(DATE(YEAR(C1439-WEEKDAY(C1439,2)+4),1,3),2)+5)/7),"00"))</f>
        <v/>
      </c>
    </row>
    <row r="1440" ht="18" customHeight="1">
      <c r="A1440" s="39" t="n">
        <v>1435</v>
      </c>
      <c r="B1440" s="33">
        <f>IF(C1440="","",IF(L1440="À RENSEIGNER","GIC",L1440)&amp;"-S"&amp;TEXT(A1440,"00000"))</f>
        <v/>
      </c>
      <c r="C1440" s="32" t="n"/>
      <c r="D1440" s="36" t="n"/>
      <c r="E1440" s="36" t="n"/>
      <c r="F1440" s="42" t="n"/>
      <c r="G1440" s="36" t="n"/>
      <c r="H1440" s="43" t="n"/>
      <c r="I1440" s="37" t="n"/>
      <c r="J1440" s="44" t="n"/>
      <c r="K1440" s="36" t="n"/>
      <c r="L1440" s="33">
        <f>IF(C1440="","",Commercial_Id)</f>
        <v/>
      </c>
      <c r="M1440" s="34">
        <f>IF(E1440="","",IFERROR(VLOOKUP(E1440,T_Produits,2,FALSE),""))</f>
        <v/>
      </c>
      <c r="N1440" s="40">
        <f>IF(E1440="","",IFERROR(1/(1/VLOOKUP(E1440,T_Produits,3,FALSE)),""))</f>
        <v/>
      </c>
      <c r="O1440" s="40">
        <f>IF(OR(D1440="",F1440=""),"",IF(OR(D1440="Casse / avarie",D1440="Perte / vol",D1440="Échantillon offert"),IF(I1440&lt;&gt;"",I1440,IF(N1440="","",F1440*N1440)),""))</f>
        <v/>
      </c>
      <c r="P1440" s="50">
        <f>IF(OR(D1440="",F1440=""),"",F1440*IF(OR(D1440="Reçu du magasin",D1440="Ajustement (+)"),1,-1))</f>
        <v/>
      </c>
      <c r="Q1440" s="34">
        <f>IF(C1440="","",YEAR(C1440-WEEKDAY(C1440,2)+4)&amp;"-S"&amp;TEXT(INT((C1440-DATE(YEAR(C1440-WEEKDAY(C1440,2)+4),1,3)+WEEKDAY(DATE(YEAR(C1440-WEEKDAY(C1440,2)+4),1,3),2)+5)/7),"00"))</f>
        <v/>
      </c>
    </row>
    <row r="1441" ht="18" customHeight="1">
      <c r="A1441" s="39" t="n">
        <v>1436</v>
      </c>
      <c r="B1441" s="33">
        <f>IF(C1441="","",IF(L1441="À RENSEIGNER","GIC",L1441)&amp;"-S"&amp;TEXT(A1441,"00000"))</f>
        <v/>
      </c>
      <c r="C1441" s="32" t="n"/>
      <c r="D1441" s="36" t="n"/>
      <c r="E1441" s="36" t="n"/>
      <c r="F1441" s="42" t="n"/>
      <c r="G1441" s="36" t="n"/>
      <c r="H1441" s="43" t="n"/>
      <c r="I1441" s="37" t="n"/>
      <c r="J1441" s="44" t="n"/>
      <c r="K1441" s="36" t="n"/>
      <c r="L1441" s="33">
        <f>IF(C1441="","",Commercial_Id)</f>
        <v/>
      </c>
      <c r="M1441" s="34">
        <f>IF(E1441="","",IFERROR(VLOOKUP(E1441,T_Produits,2,FALSE),""))</f>
        <v/>
      </c>
      <c r="N1441" s="40">
        <f>IF(E1441="","",IFERROR(1/(1/VLOOKUP(E1441,T_Produits,3,FALSE)),""))</f>
        <v/>
      </c>
      <c r="O1441" s="40">
        <f>IF(OR(D1441="",F1441=""),"",IF(OR(D1441="Casse / avarie",D1441="Perte / vol",D1441="Échantillon offert"),IF(I1441&lt;&gt;"",I1441,IF(N1441="","",F1441*N1441)),""))</f>
        <v/>
      </c>
      <c r="P1441" s="50">
        <f>IF(OR(D1441="",F1441=""),"",F1441*IF(OR(D1441="Reçu du magasin",D1441="Ajustement (+)"),1,-1))</f>
        <v/>
      </c>
      <c r="Q1441" s="34">
        <f>IF(C1441="","",YEAR(C1441-WEEKDAY(C1441,2)+4)&amp;"-S"&amp;TEXT(INT((C1441-DATE(YEAR(C1441-WEEKDAY(C1441,2)+4),1,3)+WEEKDAY(DATE(YEAR(C1441-WEEKDAY(C1441,2)+4),1,3),2)+5)/7),"00"))</f>
        <v/>
      </c>
    </row>
    <row r="1442" ht="18" customHeight="1">
      <c r="A1442" s="39" t="n">
        <v>1437</v>
      </c>
      <c r="B1442" s="33">
        <f>IF(C1442="","",IF(L1442="À RENSEIGNER","GIC",L1442)&amp;"-S"&amp;TEXT(A1442,"00000"))</f>
        <v/>
      </c>
      <c r="C1442" s="32" t="n"/>
      <c r="D1442" s="36" t="n"/>
      <c r="E1442" s="36" t="n"/>
      <c r="F1442" s="42" t="n"/>
      <c r="G1442" s="36" t="n"/>
      <c r="H1442" s="43" t="n"/>
      <c r="I1442" s="37" t="n"/>
      <c r="J1442" s="44" t="n"/>
      <c r="K1442" s="36" t="n"/>
      <c r="L1442" s="33">
        <f>IF(C1442="","",Commercial_Id)</f>
        <v/>
      </c>
      <c r="M1442" s="34">
        <f>IF(E1442="","",IFERROR(VLOOKUP(E1442,T_Produits,2,FALSE),""))</f>
        <v/>
      </c>
      <c r="N1442" s="40">
        <f>IF(E1442="","",IFERROR(1/(1/VLOOKUP(E1442,T_Produits,3,FALSE)),""))</f>
        <v/>
      </c>
      <c r="O1442" s="40">
        <f>IF(OR(D1442="",F1442=""),"",IF(OR(D1442="Casse / avarie",D1442="Perte / vol",D1442="Échantillon offert"),IF(I1442&lt;&gt;"",I1442,IF(N1442="","",F1442*N1442)),""))</f>
        <v/>
      </c>
      <c r="P1442" s="50">
        <f>IF(OR(D1442="",F1442=""),"",F1442*IF(OR(D1442="Reçu du magasin",D1442="Ajustement (+)"),1,-1))</f>
        <v/>
      </c>
      <c r="Q1442" s="34">
        <f>IF(C1442="","",YEAR(C1442-WEEKDAY(C1442,2)+4)&amp;"-S"&amp;TEXT(INT((C1442-DATE(YEAR(C1442-WEEKDAY(C1442,2)+4),1,3)+WEEKDAY(DATE(YEAR(C1442-WEEKDAY(C1442,2)+4),1,3),2)+5)/7),"00"))</f>
        <v/>
      </c>
    </row>
    <row r="1443" ht="18" customHeight="1">
      <c r="A1443" s="39" t="n">
        <v>1438</v>
      </c>
      <c r="B1443" s="33">
        <f>IF(C1443="","",IF(L1443="À RENSEIGNER","GIC",L1443)&amp;"-S"&amp;TEXT(A1443,"00000"))</f>
        <v/>
      </c>
      <c r="C1443" s="32" t="n"/>
      <c r="D1443" s="36" t="n"/>
      <c r="E1443" s="36" t="n"/>
      <c r="F1443" s="42" t="n"/>
      <c r="G1443" s="36" t="n"/>
      <c r="H1443" s="43" t="n"/>
      <c r="I1443" s="37" t="n"/>
      <c r="J1443" s="44" t="n"/>
      <c r="K1443" s="36" t="n"/>
      <c r="L1443" s="33">
        <f>IF(C1443="","",Commercial_Id)</f>
        <v/>
      </c>
      <c r="M1443" s="34">
        <f>IF(E1443="","",IFERROR(VLOOKUP(E1443,T_Produits,2,FALSE),""))</f>
        <v/>
      </c>
      <c r="N1443" s="40">
        <f>IF(E1443="","",IFERROR(1/(1/VLOOKUP(E1443,T_Produits,3,FALSE)),""))</f>
        <v/>
      </c>
      <c r="O1443" s="40">
        <f>IF(OR(D1443="",F1443=""),"",IF(OR(D1443="Casse / avarie",D1443="Perte / vol",D1443="Échantillon offert"),IF(I1443&lt;&gt;"",I1443,IF(N1443="","",F1443*N1443)),""))</f>
        <v/>
      </c>
      <c r="P1443" s="50">
        <f>IF(OR(D1443="",F1443=""),"",F1443*IF(OR(D1443="Reçu du magasin",D1443="Ajustement (+)"),1,-1))</f>
        <v/>
      </c>
      <c r="Q1443" s="34">
        <f>IF(C1443="","",YEAR(C1443-WEEKDAY(C1443,2)+4)&amp;"-S"&amp;TEXT(INT((C1443-DATE(YEAR(C1443-WEEKDAY(C1443,2)+4),1,3)+WEEKDAY(DATE(YEAR(C1443-WEEKDAY(C1443,2)+4),1,3),2)+5)/7),"00"))</f>
        <v/>
      </c>
    </row>
    <row r="1444" ht="18" customHeight="1">
      <c r="A1444" s="39" t="n">
        <v>1439</v>
      </c>
      <c r="B1444" s="33">
        <f>IF(C1444="","",IF(L1444="À RENSEIGNER","GIC",L1444)&amp;"-S"&amp;TEXT(A1444,"00000"))</f>
        <v/>
      </c>
      <c r="C1444" s="32" t="n"/>
      <c r="D1444" s="36" t="n"/>
      <c r="E1444" s="36" t="n"/>
      <c r="F1444" s="42" t="n"/>
      <c r="G1444" s="36" t="n"/>
      <c r="H1444" s="43" t="n"/>
      <c r="I1444" s="37" t="n"/>
      <c r="J1444" s="44" t="n"/>
      <c r="K1444" s="36" t="n"/>
      <c r="L1444" s="33">
        <f>IF(C1444="","",Commercial_Id)</f>
        <v/>
      </c>
      <c r="M1444" s="34">
        <f>IF(E1444="","",IFERROR(VLOOKUP(E1444,T_Produits,2,FALSE),""))</f>
        <v/>
      </c>
      <c r="N1444" s="40">
        <f>IF(E1444="","",IFERROR(1/(1/VLOOKUP(E1444,T_Produits,3,FALSE)),""))</f>
        <v/>
      </c>
      <c r="O1444" s="40">
        <f>IF(OR(D1444="",F1444=""),"",IF(OR(D1444="Casse / avarie",D1444="Perte / vol",D1444="Échantillon offert"),IF(I1444&lt;&gt;"",I1444,IF(N1444="","",F1444*N1444)),""))</f>
        <v/>
      </c>
      <c r="P1444" s="50">
        <f>IF(OR(D1444="",F1444=""),"",F1444*IF(OR(D1444="Reçu du magasin",D1444="Ajustement (+)"),1,-1))</f>
        <v/>
      </c>
      <c r="Q1444" s="34">
        <f>IF(C1444="","",YEAR(C1444-WEEKDAY(C1444,2)+4)&amp;"-S"&amp;TEXT(INT((C1444-DATE(YEAR(C1444-WEEKDAY(C1444,2)+4),1,3)+WEEKDAY(DATE(YEAR(C1444-WEEKDAY(C1444,2)+4),1,3),2)+5)/7),"00"))</f>
        <v/>
      </c>
    </row>
    <row r="1445" ht="18" customHeight="1">
      <c r="A1445" s="39" t="n">
        <v>1440</v>
      </c>
      <c r="B1445" s="33">
        <f>IF(C1445="","",IF(L1445="À RENSEIGNER","GIC",L1445)&amp;"-S"&amp;TEXT(A1445,"00000"))</f>
        <v/>
      </c>
      <c r="C1445" s="32" t="n"/>
      <c r="D1445" s="36" t="n"/>
      <c r="E1445" s="36" t="n"/>
      <c r="F1445" s="42" t="n"/>
      <c r="G1445" s="36" t="n"/>
      <c r="H1445" s="43" t="n"/>
      <c r="I1445" s="37" t="n"/>
      <c r="J1445" s="44" t="n"/>
      <c r="K1445" s="36" t="n"/>
      <c r="L1445" s="33">
        <f>IF(C1445="","",Commercial_Id)</f>
        <v/>
      </c>
      <c r="M1445" s="34">
        <f>IF(E1445="","",IFERROR(VLOOKUP(E1445,T_Produits,2,FALSE),""))</f>
        <v/>
      </c>
      <c r="N1445" s="40">
        <f>IF(E1445="","",IFERROR(1/(1/VLOOKUP(E1445,T_Produits,3,FALSE)),""))</f>
        <v/>
      </c>
      <c r="O1445" s="40">
        <f>IF(OR(D1445="",F1445=""),"",IF(OR(D1445="Casse / avarie",D1445="Perte / vol",D1445="Échantillon offert"),IF(I1445&lt;&gt;"",I1445,IF(N1445="","",F1445*N1445)),""))</f>
        <v/>
      </c>
      <c r="P1445" s="50">
        <f>IF(OR(D1445="",F1445=""),"",F1445*IF(OR(D1445="Reçu du magasin",D1445="Ajustement (+)"),1,-1))</f>
        <v/>
      </c>
      <c r="Q1445" s="34">
        <f>IF(C1445="","",YEAR(C1445-WEEKDAY(C1445,2)+4)&amp;"-S"&amp;TEXT(INT((C1445-DATE(YEAR(C1445-WEEKDAY(C1445,2)+4),1,3)+WEEKDAY(DATE(YEAR(C1445-WEEKDAY(C1445,2)+4),1,3),2)+5)/7),"00"))</f>
        <v/>
      </c>
    </row>
    <row r="1446" ht="18" customHeight="1">
      <c r="A1446" s="39" t="n">
        <v>1441</v>
      </c>
      <c r="B1446" s="33">
        <f>IF(C1446="","",IF(L1446="À RENSEIGNER","GIC",L1446)&amp;"-S"&amp;TEXT(A1446,"00000"))</f>
        <v/>
      </c>
      <c r="C1446" s="32" t="n"/>
      <c r="D1446" s="36" t="n"/>
      <c r="E1446" s="36" t="n"/>
      <c r="F1446" s="42" t="n"/>
      <c r="G1446" s="36" t="n"/>
      <c r="H1446" s="43" t="n"/>
      <c r="I1446" s="37" t="n"/>
      <c r="J1446" s="44" t="n"/>
      <c r="K1446" s="36" t="n"/>
      <c r="L1446" s="33">
        <f>IF(C1446="","",Commercial_Id)</f>
        <v/>
      </c>
      <c r="M1446" s="34">
        <f>IF(E1446="","",IFERROR(VLOOKUP(E1446,T_Produits,2,FALSE),""))</f>
        <v/>
      </c>
      <c r="N1446" s="40">
        <f>IF(E1446="","",IFERROR(1/(1/VLOOKUP(E1446,T_Produits,3,FALSE)),""))</f>
        <v/>
      </c>
      <c r="O1446" s="40">
        <f>IF(OR(D1446="",F1446=""),"",IF(OR(D1446="Casse / avarie",D1446="Perte / vol",D1446="Échantillon offert"),IF(I1446&lt;&gt;"",I1446,IF(N1446="","",F1446*N1446)),""))</f>
        <v/>
      </c>
      <c r="P1446" s="50">
        <f>IF(OR(D1446="",F1446=""),"",F1446*IF(OR(D1446="Reçu du magasin",D1446="Ajustement (+)"),1,-1))</f>
        <v/>
      </c>
      <c r="Q1446" s="34">
        <f>IF(C1446="","",YEAR(C1446-WEEKDAY(C1446,2)+4)&amp;"-S"&amp;TEXT(INT((C1446-DATE(YEAR(C1446-WEEKDAY(C1446,2)+4),1,3)+WEEKDAY(DATE(YEAR(C1446-WEEKDAY(C1446,2)+4),1,3),2)+5)/7),"00"))</f>
        <v/>
      </c>
    </row>
    <row r="1447" ht="18" customHeight="1">
      <c r="A1447" s="39" t="n">
        <v>1442</v>
      </c>
      <c r="B1447" s="33">
        <f>IF(C1447="","",IF(L1447="À RENSEIGNER","GIC",L1447)&amp;"-S"&amp;TEXT(A1447,"00000"))</f>
        <v/>
      </c>
      <c r="C1447" s="32" t="n"/>
      <c r="D1447" s="36" t="n"/>
      <c r="E1447" s="36" t="n"/>
      <c r="F1447" s="42" t="n"/>
      <c r="G1447" s="36" t="n"/>
      <c r="H1447" s="43" t="n"/>
      <c r="I1447" s="37" t="n"/>
      <c r="J1447" s="44" t="n"/>
      <c r="K1447" s="36" t="n"/>
      <c r="L1447" s="33">
        <f>IF(C1447="","",Commercial_Id)</f>
        <v/>
      </c>
      <c r="M1447" s="34">
        <f>IF(E1447="","",IFERROR(VLOOKUP(E1447,T_Produits,2,FALSE),""))</f>
        <v/>
      </c>
      <c r="N1447" s="40">
        <f>IF(E1447="","",IFERROR(1/(1/VLOOKUP(E1447,T_Produits,3,FALSE)),""))</f>
        <v/>
      </c>
      <c r="O1447" s="40">
        <f>IF(OR(D1447="",F1447=""),"",IF(OR(D1447="Casse / avarie",D1447="Perte / vol",D1447="Échantillon offert"),IF(I1447&lt;&gt;"",I1447,IF(N1447="","",F1447*N1447)),""))</f>
        <v/>
      </c>
      <c r="P1447" s="50">
        <f>IF(OR(D1447="",F1447=""),"",F1447*IF(OR(D1447="Reçu du magasin",D1447="Ajustement (+)"),1,-1))</f>
        <v/>
      </c>
      <c r="Q1447" s="34">
        <f>IF(C1447="","",YEAR(C1447-WEEKDAY(C1447,2)+4)&amp;"-S"&amp;TEXT(INT((C1447-DATE(YEAR(C1447-WEEKDAY(C1447,2)+4),1,3)+WEEKDAY(DATE(YEAR(C1447-WEEKDAY(C1447,2)+4),1,3),2)+5)/7),"00"))</f>
        <v/>
      </c>
    </row>
    <row r="1448" ht="18" customHeight="1">
      <c r="A1448" s="39" t="n">
        <v>1443</v>
      </c>
      <c r="B1448" s="33">
        <f>IF(C1448="","",IF(L1448="À RENSEIGNER","GIC",L1448)&amp;"-S"&amp;TEXT(A1448,"00000"))</f>
        <v/>
      </c>
      <c r="C1448" s="32" t="n"/>
      <c r="D1448" s="36" t="n"/>
      <c r="E1448" s="36" t="n"/>
      <c r="F1448" s="42" t="n"/>
      <c r="G1448" s="36" t="n"/>
      <c r="H1448" s="43" t="n"/>
      <c r="I1448" s="37" t="n"/>
      <c r="J1448" s="44" t="n"/>
      <c r="K1448" s="36" t="n"/>
      <c r="L1448" s="33">
        <f>IF(C1448="","",Commercial_Id)</f>
        <v/>
      </c>
      <c r="M1448" s="34">
        <f>IF(E1448="","",IFERROR(VLOOKUP(E1448,T_Produits,2,FALSE),""))</f>
        <v/>
      </c>
      <c r="N1448" s="40">
        <f>IF(E1448="","",IFERROR(1/(1/VLOOKUP(E1448,T_Produits,3,FALSE)),""))</f>
        <v/>
      </c>
      <c r="O1448" s="40">
        <f>IF(OR(D1448="",F1448=""),"",IF(OR(D1448="Casse / avarie",D1448="Perte / vol",D1448="Échantillon offert"),IF(I1448&lt;&gt;"",I1448,IF(N1448="","",F1448*N1448)),""))</f>
        <v/>
      </c>
      <c r="P1448" s="50">
        <f>IF(OR(D1448="",F1448=""),"",F1448*IF(OR(D1448="Reçu du magasin",D1448="Ajustement (+)"),1,-1))</f>
        <v/>
      </c>
      <c r="Q1448" s="34">
        <f>IF(C1448="","",YEAR(C1448-WEEKDAY(C1448,2)+4)&amp;"-S"&amp;TEXT(INT((C1448-DATE(YEAR(C1448-WEEKDAY(C1448,2)+4),1,3)+WEEKDAY(DATE(YEAR(C1448-WEEKDAY(C1448,2)+4),1,3),2)+5)/7),"00"))</f>
        <v/>
      </c>
    </row>
    <row r="1449" ht="18" customHeight="1">
      <c r="A1449" s="39" t="n">
        <v>1444</v>
      </c>
      <c r="B1449" s="33">
        <f>IF(C1449="","",IF(L1449="À RENSEIGNER","GIC",L1449)&amp;"-S"&amp;TEXT(A1449,"00000"))</f>
        <v/>
      </c>
      <c r="C1449" s="32" t="n"/>
      <c r="D1449" s="36" t="n"/>
      <c r="E1449" s="36" t="n"/>
      <c r="F1449" s="42" t="n"/>
      <c r="G1449" s="36" t="n"/>
      <c r="H1449" s="43" t="n"/>
      <c r="I1449" s="37" t="n"/>
      <c r="J1449" s="44" t="n"/>
      <c r="K1449" s="36" t="n"/>
      <c r="L1449" s="33">
        <f>IF(C1449="","",Commercial_Id)</f>
        <v/>
      </c>
      <c r="M1449" s="34">
        <f>IF(E1449="","",IFERROR(VLOOKUP(E1449,T_Produits,2,FALSE),""))</f>
        <v/>
      </c>
      <c r="N1449" s="40">
        <f>IF(E1449="","",IFERROR(1/(1/VLOOKUP(E1449,T_Produits,3,FALSE)),""))</f>
        <v/>
      </c>
      <c r="O1449" s="40">
        <f>IF(OR(D1449="",F1449=""),"",IF(OR(D1449="Casse / avarie",D1449="Perte / vol",D1449="Échantillon offert"),IF(I1449&lt;&gt;"",I1449,IF(N1449="","",F1449*N1449)),""))</f>
        <v/>
      </c>
      <c r="P1449" s="50">
        <f>IF(OR(D1449="",F1449=""),"",F1449*IF(OR(D1449="Reçu du magasin",D1449="Ajustement (+)"),1,-1))</f>
        <v/>
      </c>
      <c r="Q1449" s="34">
        <f>IF(C1449="","",YEAR(C1449-WEEKDAY(C1449,2)+4)&amp;"-S"&amp;TEXT(INT((C1449-DATE(YEAR(C1449-WEEKDAY(C1449,2)+4),1,3)+WEEKDAY(DATE(YEAR(C1449-WEEKDAY(C1449,2)+4),1,3),2)+5)/7),"00"))</f>
        <v/>
      </c>
    </row>
    <row r="1450" ht="18" customHeight="1">
      <c r="A1450" s="39" t="n">
        <v>1445</v>
      </c>
      <c r="B1450" s="33">
        <f>IF(C1450="","",IF(L1450="À RENSEIGNER","GIC",L1450)&amp;"-S"&amp;TEXT(A1450,"00000"))</f>
        <v/>
      </c>
      <c r="C1450" s="32" t="n"/>
      <c r="D1450" s="36" t="n"/>
      <c r="E1450" s="36" t="n"/>
      <c r="F1450" s="42" t="n"/>
      <c r="G1450" s="36" t="n"/>
      <c r="H1450" s="43" t="n"/>
      <c r="I1450" s="37" t="n"/>
      <c r="J1450" s="44" t="n"/>
      <c r="K1450" s="36" t="n"/>
      <c r="L1450" s="33">
        <f>IF(C1450="","",Commercial_Id)</f>
        <v/>
      </c>
      <c r="M1450" s="34">
        <f>IF(E1450="","",IFERROR(VLOOKUP(E1450,T_Produits,2,FALSE),""))</f>
        <v/>
      </c>
      <c r="N1450" s="40">
        <f>IF(E1450="","",IFERROR(1/(1/VLOOKUP(E1450,T_Produits,3,FALSE)),""))</f>
        <v/>
      </c>
      <c r="O1450" s="40">
        <f>IF(OR(D1450="",F1450=""),"",IF(OR(D1450="Casse / avarie",D1450="Perte / vol",D1450="Échantillon offert"),IF(I1450&lt;&gt;"",I1450,IF(N1450="","",F1450*N1450)),""))</f>
        <v/>
      </c>
      <c r="P1450" s="50">
        <f>IF(OR(D1450="",F1450=""),"",F1450*IF(OR(D1450="Reçu du magasin",D1450="Ajustement (+)"),1,-1))</f>
        <v/>
      </c>
      <c r="Q1450" s="34">
        <f>IF(C1450="","",YEAR(C1450-WEEKDAY(C1450,2)+4)&amp;"-S"&amp;TEXT(INT((C1450-DATE(YEAR(C1450-WEEKDAY(C1450,2)+4),1,3)+WEEKDAY(DATE(YEAR(C1450-WEEKDAY(C1450,2)+4),1,3),2)+5)/7),"00"))</f>
        <v/>
      </c>
    </row>
    <row r="1451" ht="18" customHeight="1">
      <c r="A1451" s="39" t="n">
        <v>1446</v>
      </c>
      <c r="B1451" s="33">
        <f>IF(C1451="","",IF(L1451="À RENSEIGNER","GIC",L1451)&amp;"-S"&amp;TEXT(A1451,"00000"))</f>
        <v/>
      </c>
      <c r="C1451" s="32" t="n"/>
      <c r="D1451" s="36" t="n"/>
      <c r="E1451" s="36" t="n"/>
      <c r="F1451" s="42" t="n"/>
      <c r="G1451" s="36" t="n"/>
      <c r="H1451" s="43" t="n"/>
      <c r="I1451" s="37" t="n"/>
      <c r="J1451" s="44" t="n"/>
      <c r="K1451" s="36" t="n"/>
      <c r="L1451" s="33">
        <f>IF(C1451="","",Commercial_Id)</f>
        <v/>
      </c>
      <c r="M1451" s="34">
        <f>IF(E1451="","",IFERROR(VLOOKUP(E1451,T_Produits,2,FALSE),""))</f>
        <v/>
      </c>
      <c r="N1451" s="40">
        <f>IF(E1451="","",IFERROR(1/(1/VLOOKUP(E1451,T_Produits,3,FALSE)),""))</f>
        <v/>
      </c>
      <c r="O1451" s="40">
        <f>IF(OR(D1451="",F1451=""),"",IF(OR(D1451="Casse / avarie",D1451="Perte / vol",D1451="Échantillon offert"),IF(I1451&lt;&gt;"",I1451,IF(N1451="","",F1451*N1451)),""))</f>
        <v/>
      </c>
      <c r="P1451" s="50">
        <f>IF(OR(D1451="",F1451=""),"",F1451*IF(OR(D1451="Reçu du magasin",D1451="Ajustement (+)"),1,-1))</f>
        <v/>
      </c>
      <c r="Q1451" s="34">
        <f>IF(C1451="","",YEAR(C1451-WEEKDAY(C1451,2)+4)&amp;"-S"&amp;TEXT(INT((C1451-DATE(YEAR(C1451-WEEKDAY(C1451,2)+4),1,3)+WEEKDAY(DATE(YEAR(C1451-WEEKDAY(C1451,2)+4),1,3),2)+5)/7),"00"))</f>
        <v/>
      </c>
    </row>
    <row r="1452" ht="18" customHeight="1">
      <c r="A1452" s="39" t="n">
        <v>1447</v>
      </c>
      <c r="B1452" s="33">
        <f>IF(C1452="","",IF(L1452="À RENSEIGNER","GIC",L1452)&amp;"-S"&amp;TEXT(A1452,"00000"))</f>
        <v/>
      </c>
      <c r="C1452" s="32" t="n"/>
      <c r="D1452" s="36" t="n"/>
      <c r="E1452" s="36" t="n"/>
      <c r="F1452" s="42" t="n"/>
      <c r="G1452" s="36" t="n"/>
      <c r="H1452" s="43" t="n"/>
      <c r="I1452" s="37" t="n"/>
      <c r="J1452" s="44" t="n"/>
      <c r="K1452" s="36" t="n"/>
      <c r="L1452" s="33">
        <f>IF(C1452="","",Commercial_Id)</f>
        <v/>
      </c>
      <c r="M1452" s="34">
        <f>IF(E1452="","",IFERROR(VLOOKUP(E1452,T_Produits,2,FALSE),""))</f>
        <v/>
      </c>
      <c r="N1452" s="40">
        <f>IF(E1452="","",IFERROR(1/(1/VLOOKUP(E1452,T_Produits,3,FALSE)),""))</f>
        <v/>
      </c>
      <c r="O1452" s="40">
        <f>IF(OR(D1452="",F1452=""),"",IF(OR(D1452="Casse / avarie",D1452="Perte / vol",D1452="Échantillon offert"),IF(I1452&lt;&gt;"",I1452,IF(N1452="","",F1452*N1452)),""))</f>
        <v/>
      </c>
      <c r="P1452" s="50">
        <f>IF(OR(D1452="",F1452=""),"",F1452*IF(OR(D1452="Reçu du magasin",D1452="Ajustement (+)"),1,-1))</f>
        <v/>
      </c>
      <c r="Q1452" s="34">
        <f>IF(C1452="","",YEAR(C1452-WEEKDAY(C1452,2)+4)&amp;"-S"&amp;TEXT(INT((C1452-DATE(YEAR(C1452-WEEKDAY(C1452,2)+4),1,3)+WEEKDAY(DATE(YEAR(C1452-WEEKDAY(C1452,2)+4),1,3),2)+5)/7),"00"))</f>
        <v/>
      </c>
    </row>
    <row r="1453" ht="18" customHeight="1">
      <c r="A1453" s="39" t="n">
        <v>1448</v>
      </c>
      <c r="B1453" s="33">
        <f>IF(C1453="","",IF(L1453="À RENSEIGNER","GIC",L1453)&amp;"-S"&amp;TEXT(A1453,"00000"))</f>
        <v/>
      </c>
      <c r="C1453" s="32" t="n"/>
      <c r="D1453" s="36" t="n"/>
      <c r="E1453" s="36" t="n"/>
      <c r="F1453" s="42" t="n"/>
      <c r="G1453" s="36" t="n"/>
      <c r="H1453" s="43" t="n"/>
      <c r="I1453" s="37" t="n"/>
      <c r="J1453" s="44" t="n"/>
      <c r="K1453" s="36" t="n"/>
      <c r="L1453" s="33">
        <f>IF(C1453="","",Commercial_Id)</f>
        <v/>
      </c>
      <c r="M1453" s="34">
        <f>IF(E1453="","",IFERROR(VLOOKUP(E1453,T_Produits,2,FALSE),""))</f>
        <v/>
      </c>
      <c r="N1453" s="40">
        <f>IF(E1453="","",IFERROR(1/(1/VLOOKUP(E1453,T_Produits,3,FALSE)),""))</f>
        <v/>
      </c>
      <c r="O1453" s="40">
        <f>IF(OR(D1453="",F1453=""),"",IF(OR(D1453="Casse / avarie",D1453="Perte / vol",D1453="Échantillon offert"),IF(I1453&lt;&gt;"",I1453,IF(N1453="","",F1453*N1453)),""))</f>
        <v/>
      </c>
      <c r="P1453" s="50">
        <f>IF(OR(D1453="",F1453=""),"",F1453*IF(OR(D1453="Reçu du magasin",D1453="Ajustement (+)"),1,-1))</f>
        <v/>
      </c>
      <c r="Q1453" s="34">
        <f>IF(C1453="","",YEAR(C1453-WEEKDAY(C1453,2)+4)&amp;"-S"&amp;TEXT(INT((C1453-DATE(YEAR(C1453-WEEKDAY(C1453,2)+4),1,3)+WEEKDAY(DATE(YEAR(C1453-WEEKDAY(C1453,2)+4),1,3),2)+5)/7),"00"))</f>
        <v/>
      </c>
    </row>
    <row r="1454" ht="18" customHeight="1">
      <c r="A1454" s="39" t="n">
        <v>1449</v>
      </c>
      <c r="B1454" s="33">
        <f>IF(C1454="","",IF(L1454="À RENSEIGNER","GIC",L1454)&amp;"-S"&amp;TEXT(A1454,"00000"))</f>
        <v/>
      </c>
      <c r="C1454" s="32" t="n"/>
      <c r="D1454" s="36" t="n"/>
      <c r="E1454" s="36" t="n"/>
      <c r="F1454" s="42" t="n"/>
      <c r="G1454" s="36" t="n"/>
      <c r="H1454" s="43" t="n"/>
      <c r="I1454" s="37" t="n"/>
      <c r="J1454" s="44" t="n"/>
      <c r="K1454" s="36" t="n"/>
      <c r="L1454" s="33">
        <f>IF(C1454="","",Commercial_Id)</f>
        <v/>
      </c>
      <c r="M1454" s="34">
        <f>IF(E1454="","",IFERROR(VLOOKUP(E1454,T_Produits,2,FALSE),""))</f>
        <v/>
      </c>
      <c r="N1454" s="40">
        <f>IF(E1454="","",IFERROR(1/(1/VLOOKUP(E1454,T_Produits,3,FALSE)),""))</f>
        <v/>
      </c>
      <c r="O1454" s="40">
        <f>IF(OR(D1454="",F1454=""),"",IF(OR(D1454="Casse / avarie",D1454="Perte / vol",D1454="Échantillon offert"),IF(I1454&lt;&gt;"",I1454,IF(N1454="","",F1454*N1454)),""))</f>
        <v/>
      </c>
      <c r="P1454" s="50">
        <f>IF(OR(D1454="",F1454=""),"",F1454*IF(OR(D1454="Reçu du magasin",D1454="Ajustement (+)"),1,-1))</f>
        <v/>
      </c>
      <c r="Q1454" s="34">
        <f>IF(C1454="","",YEAR(C1454-WEEKDAY(C1454,2)+4)&amp;"-S"&amp;TEXT(INT((C1454-DATE(YEAR(C1454-WEEKDAY(C1454,2)+4),1,3)+WEEKDAY(DATE(YEAR(C1454-WEEKDAY(C1454,2)+4),1,3),2)+5)/7),"00"))</f>
        <v/>
      </c>
    </row>
    <row r="1455" ht="18" customHeight="1">
      <c r="A1455" s="39" t="n">
        <v>1450</v>
      </c>
      <c r="B1455" s="33">
        <f>IF(C1455="","",IF(L1455="À RENSEIGNER","GIC",L1455)&amp;"-S"&amp;TEXT(A1455,"00000"))</f>
        <v/>
      </c>
      <c r="C1455" s="32" t="n"/>
      <c r="D1455" s="36" t="n"/>
      <c r="E1455" s="36" t="n"/>
      <c r="F1455" s="42" t="n"/>
      <c r="G1455" s="36" t="n"/>
      <c r="H1455" s="43" t="n"/>
      <c r="I1455" s="37" t="n"/>
      <c r="J1455" s="44" t="n"/>
      <c r="K1455" s="36" t="n"/>
      <c r="L1455" s="33">
        <f>IF(C1455="","",Commercial_Id)</f>
        <v/>
      </c>
      <c r="M1455" s="34">
        <f>IF(E1455="","",IFERROR(VLOOKUP(E1455,T_Produits,2,FALSE),""))</f>
        <v/>
      </c>
      <c r="N1455" s="40">
        <f>IF(E1455="","",IFERROR(1/(1/VLOOKUP(E1455,T_Produits,3,FALSE)),""))</f>
        <v/>
      </c>
      <c r="O1455" s="40">
        <f>IF(OR(D1455="",F1455=""),"",IF(OR(D1455="Casse / avarie",D1455="Perte / vol",D1455="Échantillon offert"),IF(I1455&lt;&gt;"",I1455,IF(N1455="","",F1455*N1455)),""))</f>
        <v/>
      </c>
      <c r="P1455" s="50">
        <f>IF(OR(D1455="",F1455=""),"",F1455*IF(OR(D1455="Reçu du magasin",D1455="Ajustement (+)"),1,-1))</f>
        <v/>
      </c>
      <c r="Q1455" s="34">
        <f>IF(C1455="","",YEAR(C1455-WEEKDAY(C1455,2)+4)&amp;"-S"&amp;TEXT(INT((C1455-DATE(YEAR(C1455-WEEKDAY(C1455,2)+4),1,3)+WEEKDAY(DATE(YEAR(C1455-WEEKDAY(C1455,2)+4),1,3),2)+5)/7),"00"))</f>
        <v/>
      </c>
    </row>
    <row r="1456" ht="18" customHeight="1">
      <c r="A1456" s="39" t="n">
        <v>1451</v>
      </c>
      <c r="B1456" s="33">
        <f>IF(C1456="","",IF(L1456="À RENSEIGNER","GIC",L1456)&amp;"-S"&amp;TEXT(A1456,"00000"))</f>
        <v/>
      </c>
      <c r="C1456" s="32" t="n"/>
      <c r="D1456" s="36" t="n"/>
      <c r="E1456" s="36" t="n"/>
      <c r="F1456" s="42" t="n"/>
      <c r="G1456" s="36" t="n"/>
      <c r="H1456" s="43" t="n"/>
      <c r="I1456" s="37" t="n"/>
      <c r="J1456" s="44" t="n"/>
      <c r="K1456" s="36" t="n"/>
      <c r="L1456" s="33">
        <f>IF(C1456="","",Commercial_Id)</f>
        <v/>
      </c>
      <c r="M1456" s="34">
        <f>IF(E1456="","",IFERROR(VLOOKUP(E1456,T_Produits,2,FALSE),""))</f>
        <v/>
      </c>
      <c r="N1456" s="40">
        <f>IF(E1456="","",IFERROR(1/(1/VLOOKUP(E1456,T_Produits,3,FALSE)),""))</f>
        <v/>
      </c>
      <c r="O1456" s="40">
        <f>IF(OR(D1456="",F1456=""),"",IF(OR(D1456="Casse / avarie",D1456="Perte / vol",D1456="Échantillon offert"),IF(I1456&lt;&gt;"",I1456,IF(N1456="","",F1456*N1456)),""))</f>
        <v/>
      </c>
      <c r="P1456" s="50">
        <f>IF(OR(D1456="",F1456=""),"",F1456*IF(OR(D1456="Reçu du magasin",D1456="Ajustement (+)"),1,-1))</f>
        <v/>
      </c>
      <c r="Q1456" s="34">
        <f>IF(C1456="","",YEAR(C1456-WEEKDAY(C1456,2)+4)&amp;"-S"&amp;TEXT(INT((C1456-DATE(YEAR(C1456-WEEKDAY(C1456,2)+4),1,3)+WEEKDAY(DATE(YEAR(C1456-WEEKDAY(C1456,2)+4),1,3),2)+5)/7),"00"))</f>
        <v/>
      </c>
    </row>
    <row r="1457" ht="18" customHeight="1">
      <c r="A1457" s="39" t="n">
        <v>1452</v>
      </c>
      <c r="B1457" s="33">
        <f>IF(C1457="","",IF(L1457="À RENSEIGNER","GIC",L1457)&amp;"-S"&amp;TEXT(A1457,"00000"))</f>
        <v/>
      </c>
      <c r="C1457" s="32" t="n"/>
      <c r="D1457" s="36" t="n"/>
      <c r="E1457" s="36" t="n"/>
      <c r="F1457" s="42" t="n"/>
      <c r="G1457" s="36" t="n"/>
      <c r="H1457" s="43" t="n"/>
      <c r="I1457" s="37" t="n"/>
      <c r="J1457" s="44" t="n"/>
      <c r="K1457" s="36" t="n"/>
      <c r="L1457" s="33">
        <f>IF(C1457="","",Commercial_Id)</f>
        <v/>
      </c>
      <c r="M1457" s="34">
        <f>IF(E1457="","",IFERROR(VLOOKUP(E1457,T_Produits,2,FALSE),""))</f>
        <v/>
      </c>
      <c r="N1457" s="40">
        <f>IF(E1457="","",IFERROR(1/(1/VLOOKUP(E1457,T_Produits,3,FALSE)),""))</f>
        <v/>
      </c>
      <c r="O1457" s="40">
        <f>IF(OR(D1457="",F1457=""),"",IF(OR(D1457="Casse / avarie",D1457="Perte / vol",D1457="Échantillon offert"),IF(I1457&lt;&gt;"",I1457,IF(N1457="","",F1457*N1457)),""))</f>
        <v/>
      </c>
      <c r="P1457" s="50">
        <f>IF(OR(D1457="",F1457=""),"",F1457*IF(OR(D1457="Reçu du magasin",D1457="Ajustement (+)"),1,-1))</f>
        <v/>
      </c>
      <c r="Q1457" s="34">
        <f>IF(C1457="","",YEAR(C1457-WEEKDAY(C1457,2)+4)&amp;"-S"&amp;TEXT(INT((C1457-DATE(YEAR(C1457-WEEKDAY(C1457,2)+4),1,3)+WEEKDAY(DATE(YEAR(C1457-WEEKDAY(C1457,2)+4),1,3),2)+5)/7),"00"))</f>
        <v/>
      </c>
    </row>
    <row r="1458" ht="18" customHeight="1">
      <c r="A1458" s="39" t="n">
        <v>1453</v>
      </c>
      <c r="B1458" s="33">
        <f>IF(C1458="","",IF(L1458="À RENSEIGNER","GIC",L1458)&amp;"-S"&amp;TEXT(A1458,"00000"))</f>
        <v/>
      </c>
      <c r="C1458" s="32" t="n"/>
      <c r="D1458" s="36" t="n"/>
      <c r="E1458" s="36" t="n"/>
      <c r="F1458" s="42" t="n"/>
      <c r="G1458" s="36" t="n"/>
      <c r="H1458" s="43" t="n"/>
      <c r="I1458" s="37" t="n"/>
      <c r="J1458" s="44" t="n"/>
      <c r="K1458" s="36" t="n"/>
      <c r="L1458" s="33">
        <f>IF(C1458="","",Commercial_Id)</f>
        <v/>
      </c>
      <c r="M1458" s="34">
        <f>IF(E1458="","",IFERROR(VLOOKUP(E1458,T_Produits,2,FALSE),""))</f>
        <v/>
      </c>
      <c r="N1458" s="40">
        <f>IF(E1458="","",IFERROR(1/(1/VLOOKUP(E1458,T_Produits,3,FALSE)),""))</f>
        <v/>
      </c>
      <c r="O1458" s="40">
        <f>IF(OR(D1458="",F1458=""),"",IF(OR(D1458="Casse / avarie",D1458="Perte / vol",D1458="Échantillon offert"),IF(I1458&lt;&gt;"",I1458,IF(N1458="","",F1458*N1458)),""))</f>
        <v/>
      </c>
      <c r="P1458" s="50">
        <f>IF(OR(D1458="",F1458=""),"",F1458*IF(OR(D1458="Reçu du magasin",D1458="Ajustement (+)"),1,-1))</f>
        <v/>
      </c>
      <c r="Q1458" s="34">
        <f>IF(C1458="","",YEAR(C1458-WEEKDAY(C1458,2)+4)&amp;"-S"&amp;TEXT(INT((C1458-DATE(YEAR(C1458-WEEKDAY(C1458,2)+4),1,3)+WEEKDAY(DATE(YEAR(C1458-WEEKDAY(C1458,2)+4),1,3),2)+5)/7),"00"))</f>
        <v/>
      </c>
    </row>
    <row r="1459" ht="18" customHeight="1">
      <c r="A1459" s="39" t="n">
        <v>1454</v>
      </c>
      <c r="B1459" s="33">
        <f>IF(C1459="","",IF(L1459="À RENSEIGNER","GIC",L1459)&amp;"-S"&amp;TEXT(A1459,"00000"))</f>
        <v/>
      </c>
      <c r="C1459" s="32" t="n"/>
      <c r="D1459" s="36" t="n"/>
      <c r="E1459" s="36" t="n"/>
      <c r="F1459" s="42" t="n"/>
      <c r="G1459" s="36" t="n"/>
      <c r="H1459" s="43" t="n"/>
      <c r="I1459" s="37" t="n"/>
      <c r="J1459" s="44" t="n"/>
      <c r="K1459" s="36" t="n"/>
      <c r="L1459" s="33">
        <f>IF(C1459="","",Commercial_Id)</f>
        <v/>
      </c>
      <c r="M1459" s="34">
        <f>IF(E1459="","",IFERROR(VLOOKUP(E1459,T_Produits,2,FALSE),""))</f>
        <v/>
      </c>
      <c r="N1459" s="40">
        <f>IF(E1459="","",IFERROR(1/(1/VLOOKUP(E1459,T_Produits,3,FALSE)),""))</f>
        <v/>
      </c>
      <c r="O1459" s="40">
        <f>IF(OR(D1459="",F1459=""),"",IF(OR(D1459="Casse / avarie",D1459="Perte / vol",D1459="Échantillon offert"),IF(I1459&lt;&gt;"",I1459,IF(N1459="","",F1459*N1459)),""))</f>
        <v/>
      </c>
      <c r="P1459" s="50">
        <f>IF(OR(D1459="",F1459=""),"",F1459*IF(OR(D1459="Reçu du magasin",D1459="Ajustement (+)"),1,-1))</f>
        <v/>
      </c>
      <c r="Q1459" s="34">
        <f>IF(C1459="","",YEAR(C1459-WEEKDAY(C1459,2)+4)&amp;"-S"&amp;TEXT(INT((C1459-DATE(YEAR(C1459-WEEKDAY(C1459,2)+4),1,3)+WEEKDAY(DATE(YEAR(C1459-WEEKDAY(C1459,2)+4),1,3),2)+5)/7),"00"))</f>
        <v/>
      </c>
    </row>
    <row r="1460" ht="18" customHeight="1">
      <c r="A1460" s="39" t="n">
        <v>1455</v>
      </c>
      <c r="B1460" s="33">
        <f>IF(C1460="","",IF(L1460="À RENSEIGNER","GIC",L1460)&amp;"-S"&amp;TEXT(A1460,"00000"))</f>
        <v/>
      </c>
      <c r="C1460" s="32" t="n"/>
      <c r="D1460" s="36" t="n"/>
      <c r="E1460" s="36" t="n"/>
      <c r="F1460" s="42" t="n"/>
      <c r="G1460" s="36" t="n"/>
      <c r="H1460" s="43" t="n"/>
      <c r="I1460" s="37" t="n"/>
      <c r="J1460" s="44" t="n"/>
      <c r="K1460" s="36" t="n"/>
      <c r="L1460" s="33">
        <f>IF(C1460="","",Commercial_Id)</f>
        <v/>
      </c>
      <c r="M1460" s="34">
        <f>IF(E1460="","",IFERROR(VLOOKUP(E1460,T_Produits,2,FALSE),""))</f>
        <v/>
      </c>
      <c r="N1460" s="40">
        <f>IF(E1460="","",IFERROR(1/(1/VLOOKUP(E1460,T_Produits,3,FALSE)),""))</f>
        <v/>
      </c>
      <c r="O1460" s="40">
        <f>IF(OR(D1460="",F1460=""),"",IF(OR(D1460="Casse / avarie",D1460="Perte / vol",D1460="Échantillon offert"),IF(I1460&lt;&gt;"",I1460,IF(N1460="","",F1460*N1460)),""))</f>
        <v/>
      </c>
      <c r="P1460" s="50">
        <f>IF(OR(D1460="",F1460=""),"",F1460*IF(OR(D1460="Reçu du magasin",D1460="Ajustement (+)"),1,-1))</f>
        <v/>
      </c>
      <c r="Q1460" s="34">
        <f>IF(C1460="","",YEAR(C1460-WEEKDAY(C1460,2)+4)&amp;"-S"&amp;TEXT(INT((C1460-DATE(YEAR(C1460-WEEKDAY(C1460,2)+4),1,3)+WEEKDAY(DATE(YEAR(C1460-WEEKDAY(C1460,2)+4),1,3),2)+5)/7),"00"))</f>
        <v/>
      </c>
    </row>
    <row r="1461" ht="18" customHeight="1">
      <c r="A1461" s="39" t="n">
        <v>1456</v>
      </c>
      <c r="B1461" s="33">
        <f>IF(C1461="","",IF(L1461="À RENSEIGNER","GIC",L1461)&amp;"-S"&amp;TEXT(A1461,"00000"))</f>
        <v/>
      </c>
      <c r="C1461" s="32" t="n"/>
      <c r="D1461" s="36" t="n"/>
      <c r="E1461" s="36" t="n"/>
      <c r="F1461" s="42" t="n"/>
      <c r="G1461" s="36" t="n"/>
      <c r="H1461" s="43" t="n"/>
      <c r="I1461" s="37" t="n"/>
      <c r="J1461" s="44" t="n"/>
      <c r="K1461" s="36" t="n"/>
      <c r="L1461" s="33">
        <f>IF(C1461="","",Commercial_Id)</f>
        <v/>
      </c>
      <c r="M1461" s="34">
        <f>IF(E1461="","",IFERROR(VLOOKUP(E1461,T_Produits,2,FALSE),""))</f>
        <v/>
      </c>
      <c r="N1461" s="40">
        <f>IF(E1461="","",IFERROR(1/(1/VLOOKUP(E1461,T_Produits,3,FALSE)),""))</f>
        <v/>
      </c>
      <c r="O1461" s="40">
        <f>IF(OR(D1461="",F1461=""),"",IF(OR(D1461="Casse / avarie",D1461="Perte / vol",D1461="Échantillon offert"),IF(I1461&lt;&gt;"",I1461,IF(N1461="","",F1461*N1461)),""))</f>
        <v/>
      </c>
      <c r="P1461" s="50">
        <f>IF(OR(D1461="",F1461=""),"",F1461*IF(OR(D1461="Reçu du magasin",D1461="Ajustement (+)"),1,-1))</f>
        <v/>
      </c>
      <c r="Q1461" s="34">
        <f>IF(C1461="","",YEAR(C1461-WEEKDAY(C1461,2)+4)&amp;"-S"&amp;TEXT(INT((C1461-DATE(YEAR(C1461-WEEKDAY(C1461,2)+4),1,3)+WEEKDAY(DATE(YEAR(C1461-WEEKDAY(C1461,2)+4),1,3),2)+5)/7),"00"))</f>
        <v/>
      </c>
    </row>
    <row r="1462" ht="18" customHeight="1">
      <c r="A1462" s="39" t="n">
        <v>1457</v>
      </c>
      <c r="B1462" s="33">
        <f>IF(C1462="","",IF(L1462="À RENSEIGNER","GIC",L1462)&amp;"-S"&amp;TEXT(A1462,"00000"))</f>
        <v/>
      </c>
      <c r="C1462" s="32" t="n"/>
      <c r="D1462" s="36" t="n"/>
      <c r="E1462" s="36" t="n"/>
      <c r="F1462" s="42" t="n"/>
      <c r="G1462" s="36" t="n"/>
      <c r="H1462" s="43" t="n"/>
      <c r="I1462" s="37" t="n"/>
      <c r="J1462" s="44" t="n"/>
      <c r="K1462" s="36" t="n"/>
      <c r="L1462" s="33">
        <f>IF(C1462="","",Commercial_Id)</f>
        <v/>
      </c>
      <c r="M1462" s="34">
        <f>IF(E1462="","",IFERROR(VLOOKUP(E1462,T_Produits,2,FALSE),""))</f>
        <v/>
      </c>
      <c r="N1462" s="40">
        <f>IF(E1462="","",IFERROR(1/(1/VLOOKUP(E1462,T_Produits,3,FALSE)),""))</f>
        <v/>
      </c>
      <c r="O1462" s="40">
        <f>IF(OR(D1462="",F1462=""),"",IF(OR(D1462="Casse / avarie",D1462="Perte / vol",D1462="Échantillon offert"),IF(I1462&lt;&gt;"",I1462,IF(N1462="","",F1462*N1462)),""))</f>
        <v/>
      </c>
      <c r="P1462" s="50">
        <f>IF(OR(D1462="",F1462=""),"",F1462*IF(OR(D1462="Reçu du magasin",D1462="Ajustement (+)"),1,-1))</f>
        <v/>
      </c>
      <c r="Q1462" s="34">
        <f>IF(C1462="","",YEAR(C1462-WEEKDAY(C1462,2)+4)&amp;"-S"&amp;TEXT(INT((C1462-DATE(YEAR(C1462-WEEKDAY(C1462,2)+4),1,3)+WEEKDAY(DATE(YEAR(C1462-WEEKDAY(C1462,2)+4),1,3),2)+5)/7),"00"))</f>
        <v/>
      </c>
    </row>
    <row r="1463" ht="18" customHeight="1">
      <c r="A1463" s="39" t="n">
        <v>1458</v>
      </c>
      <c r="B1463" s="33">
        <f>IF(C1463="","",IF(L1463="À RENSEIGNER","GIC",L1463)&amp;"-S"&amp;TEXT(A1463,"00000"))</f>
        <v/>
      </c>
      <c r="C1463" s="32" t="n"/>
      <c r="D1463" s="36" t="n"/>
      <c r="E1463" s="36" t="n"/>
      <c r="F1463" s="42" t="n"/>
      <c r="G1463" s="36" t="n"/>
      <c r="H1463" s="43" t="n"/>
      <c r="I1463" s="37" t="n"/>
      <c r="J1463" s="44" t="n"/>
      <c r="K1463" s="36" t="n"/>
      <c r="L1463" s="33">
        <f>IF(C1463="","",Commercial_Id)</f>
        <v/>
      </c>
      <c r="M1463" s="34">
        <f>IF(E1463="","",IFERROR(VLOOKUP(E1463,T_Produits,2,FALSE),""))</f>
        <v/>
      </c>
      <c r="N1463" s="40">
        <f>IF(E1463="","",IFERROR(1/(1/VLOOKUP(E1463,T_Produits,3,FALSE)),""))</f>
        <v/>
      </c>
      <c r="O1463" s="40">
        <f>IF(OR(D1463="",F1463=""),"",IF(OR(D1463="Casse / avarie",D1463="Perte / vol",D1463="Échantillon offert"),IF(I1463&lt;&gt;"",I1463,IF(N1463="","",F1463*N1463)),""))</f>
        <v/>
      </c>
      <c r="P1463" s="50">
        <f>IF(OR(D1463="",F1463=""),"",F1463*IF(OR(D1463="Reçu du magasin",D1463="Ajustement (+)"),1,-1))</f>
        <v/>
      </c>
      <c r="Q1463" s="34">
        <f>IF(C1463="","",YEAR(C1463-WEEKDAY(C1463,2)+4)&amp;"-S"&amp;TEXT(INT((C1463-DATE(YEAR(C1463-WEEKDAY(C1463,2)+4),1,3)+WEEKDAY(DATE(YEAR(C1463-WEEKDAY(C1463,2)+4),1,3),2)+5)/7),"00"))</f>
        <v/>
      </c>
    </row>
    <row r="1464" ht="18" customHeight="1">
      <c r="A1464" s="39" t="n">
        <v>1459</v>
      </c>
      <c r="B1464" s="33">
        <f>IF(C1464="","",IF(L1464="À RENSEIGNER","GIC",L1464)&amp;"-S"&amp;TEXT(A1464,"00000"))</f>
        <v/>
      </c>
      <c r="C1464" s="32" t="n"/>
      <c r="D1464" s="36" t="n"/>
      <c r="E1464" s="36" t="n"/>
      <c r="F1464" s="42" t="n"/>
      <c r="G1464" s="36" t="n"/>
      <c r="H1464" s="43" t="n"/>
      <c r="I1464" s="37" t="n"/>
      <c r="J1464" s="44" t="n"/>
      <c r="K1464" s="36" t="n"/>
      <c r="L1464" s="33">
        <f>IF(C1464="","",Commercial_Id)</f>
        <v/>
      </c>
      <c r="M1464" s="34">
        <f>IF(E1464="","",IFERROR(VLOOKUP(E1464,T_Produits,2,FALSE),""))</f>
        <v/>
      </c>
      <c r="N1464" s="40">
        <f>IF(E1464="","",IFERROR(1/(1/VLOOKUP(E1464,T_Produits,3,FALSE)),""))</f>
        <v/>
      </c>
      <c r="O1464" s="40">
        <f>IF(OR(D1464="",F1464=""),"",IF(OR(D1464="Casse / avarie",D1464="Perte / vol",D1464="Échantillon offert"),IF(I1464&lt;&gt;"",I1464,IF(N1464="","",F1464*N1464)),""))</f>
        <v/>
      </c>
      <c r="P1464" s="50">
        <f>IF(OR(D1464="",F1464=""),"",F1464*IF(OR(D1464="Reçu du magasin",D1464="Ajustement (+)"),1,-1))</f>
        <v/>
      </c>
      <c r="Q1464" s="34">
        <f>IF(C1464="","",YEAR(C1464-WEEKDAY(C1464,2)+4)&amp;"-S"&amp;TEXT(INT((C1464-DATE(YEAR(C1464-WEEKDAY(C1464,2)+4),1,3)+WEEKDAY(DATE(YEAR(C1464-WEEKDAY(C1464,2)+4),1,3),2)+5)/7),"00"))</f>
        <v/>
      </c>
    </row>
    <row r="1465" ht="18" customHeight="1">
      <c r="A1465" s="39" t="n">
        <v>1460</v>
      </c>
      <c r="B1465" s="33">
        <f>IF(C1465="","",IF(L1465="À RENSEIGNER","GIC",L1465)&amp;"-S"&amp;TEXT(A1465,"00000"))</f>
        <v/>
      </c>
      <c r="C1465" s="32" t="n"/>
      <c r="D1465" s="36" t="n"/>
      <c r="E1465" s="36" t="n"/>
      <c r="F1465" s="42" t="n"/>
      <c r="G1465" s="36" t="n"/>
      <c r="H1465" s="43" t="n"/>
      <c r="I1465" s="37" t="n"/>
      <c r="J1465" s="44" t="n"/>
      <c r="K1465" s="36" t="n"/>
      <c r="L1465" s="33">
        <f>IF(C1465="","",Commercial_Id)</f>
        <v/>
      </c>
      <c r="M1465" s="34">
        <f>IF(E1465="","",IFERROR(VLOOKUP(E1465,T_Produits,2,FALSE),""))</f>
        <v/>
      </c>
      <c r="N1465" s="40">
        <f>IF(E1465="","",IFERROR(1/(1/VLOOKUP(E1465,T_Produits,3,FALSE)),""))</f>
        <v/>
      </c>
      <c r="O1465" s="40">
        <f>IF(OR(D1465="",F1465=""),"",IF(OR(D1465="Casse / avarie",D1465="Perte / vol",D1465="Échantillon offert"),IF(I1465&lt;&gt;"",I1465,IF(N1465="","",F1465*N1465)),""))</f>
        <v/>
      </c>
      <c r="P1465" s="50">
        <f>IF(OR(D1465="",F1465=""),"",F1465*IF(OR(D1465="Reçu du magasin",D1465="Ajustement (+)"),1,-1))</f>
        <v/>
      </c>
      <c r="Q1465" s="34">
        <f>IF(C1465="","",YEAR(C1465-WEEKDAY(C1465,2)+4)&amp;"-S"&amp;TEXT(INT((C1465-DATE(YEAR(C1465-WEEKDAY(C1465,2)+4),1,3)+WEEKDAY(DATE(YEAR(C1465-WEEKDAY(C1465,2)+4),1,3),2)+5)/7),"00"))</f>
        <v/>
      </c>
    </row>
    <row r="1466" ht="18" customHeight="1">
      <c r="A1466" s="39" t="n">
        <v>1461</v>
      </c>
      <c r="B1466" s="33">
        <f>IF(C1466="","",IF(L1466="À RENSEIGNER","GIC",L1466)&amp;"-S"&amp;TEXT(A1466,"00000"))</f>
        <v/>
      </c>
      <c r="C1466" s="32" t="n"/>
      <c r="D1466" s="36" t="n"/>
      <c r="E1466" s="36" t="n"/>
      <c r="F1466" s="42" t="n"/>
      <c r="G1466" s="36" t="n"/>
      <c r="H1466" s="43" t="n"/>
      <c r="I1466" s="37" t="n"/>
      <c r="J1466" s="44" t="n"/>
      <c r="K1466" s="36" t="n"/>
      <c r="L1466" s="33">
        <f>IF(C1466="","",Commercial_Id)</f>
        <v/>
      </c>
      <c r="M1466" s="34">
        <f>IF(E1466="","",IFERROR(VLOOKUP(E1466,T_Produits,2,FALSE),""))</f>
        <v/>
      </c>
      <c r="N1466" s="40">
        <f>IF(E1466="","",IFERROR(1/(1/VLOOKUP(E1466,T_Produits,3,FALSE)),""))</f>
        <v/>
      </c>
      <c r="O1466" s="40">
        <f>IF(OR(D1466="",F1466=""),"",IF(OR(D1466="Casse / avarie",D1466="Perte / vol",D1466="Échantillon offert"),IF(I1466&lt;&gt;"",I1466,IF(N1466="","",F1466*N1466)),""))</f>
        <v/>
      </c>
      <c r="P1466" s="50">
        <f>IF(OR(D1466="",F1466=""),"",F1466*IF(OR(D1466="Reçu du magasin",D1466="Ajustement (+)"),1,-1))</f>
        <v/>
      </c>
      <c r="Q1466" s="34">
        <f>IF(C1466="","",YEAR(C1466-WEEKDAY(C1466,2)+4)&amp;"-S"&amp;TEXT(INT((C1466-DATE(YEAR(C1466-WEEKDAY(C1466,2)+4),1,3)+WEEKDAY(DATE(YEAR(C1466-WEEKDAY(C1466,2)+4),1,3),2)+5)/7),"00"))</f>
        <v/>
      </c>
    </row>
    <row r="1467" ht="18" customHeight="1">
      <c r="A1467" s="39" t="n">
        <v>1462</v>
      </c>
      <c r="B1467" s="33">
        <f>IF(C1467="","",IF(L1467="À RENSEIGNER","GIC",L1467)&amp;"-S"&amp;TEXT(A1467,"00000"))</f>
        <v/>
      </c>
      <c r="C1467" s="32" t="n"/>
      <c r="D1467" s="36" t="n"/>
      <c r="E1467" s="36" t="n"/>
      <c r="F1467" s="42" t="n"/>
      <c r="G1467" s="36" t="n"/>
      <c r="H1467" s="43" t="n"/>
      <c r="I1467" s="37" t="n"/>
      <c r="J1467" s="44" t="n"/>
      <c r="K1467" s="36" t="n"/>
      <c r="L1467" s="33">
        <f>IF(C1467="","",Commercial_Id)</f>
        <v/>
      </c>
      <c r="M1467" s="34">
        <f>IF(E1467="","",IFERROR(VLOOKUP(E1467,T_Produits,2,FALSE),""))</f>
        <v/>
      </c>
      <c r="N1467" s="40">
        <f>IF(E1467="","",IFERROR(1/(1/VLOOKUP(E1467,T_Produits,3,FALSE)),""))</f>
        <v/>
      </c>
      <c r="O1467" s="40">
        <f>IF(OR(D1467="",F1467=""),"",IF(OR(D1467="Casse / avarie",D1467="Perte / vol",D1467="Échantillon offert"),IF(I1467&lt;&gt;"",I1467,IF(N1467="","",F1467*N1467)),""))</f>
        <v/>
      </c>
      <c r="P1467" s="50">
        <f>IF(OR(D1467="",F1467=""),"",F1467*IF(OR(D1467="Reçu du magasin",D1467="Ajustement (+)"),1,-1))</f>
        <v/>
      </c>
      <c r="Q1467" s="34">
        <f>IF(C1467="","",YEAR(C1467-WEEKDAY(C1467,2)+4)&amp;"-S"&amp;TEXT(INT((C1467-DATE(YEAR(C1467-WEEKDAY(C1467,2)+4),1,3)+WEEKDAY(DATE(YEAR(C1467-WEEKDAY(C1467,2)+4),1,3),2)+5)/7),"00"))</f>
        <v/>
      </c>
    </row>
    <row r="1468" ht="18" customHeight="1">
      <c r="A1468" s="39" t="n">
        <v>1463</v>
      </c>
      <c r="B1468" s="33">
        <f>IF(C1468="","",IF(L1468="À RENSEIGNER","GIC",L1468)&amp;"-S"&amp;TEXT(A1468,"00000"))</f>
        <v/>
      </c>
      <c r="C1468" s="32" t="n"/>
      <c r="D1468" s="36" t="n"/>
      <c r="E1468" s="36" t="n"/>
      <c r="F1468" s="42" t="n"/>
      <c r="G1468" s="36" t="n"/>
      <c r="H1468" s="43" t="n"/>
      <c r="I1468" s="37" t="n"/>
      <c r="J1468" s="44" t="n"/>
      <c r="K1468" s="36" t="n"/>
      <c r="L1468" s="33">
        <f>IF(C1468="","",Commercial_Id)</f>
        <v/>
      </c>
      <c r="M1468" s="34">
        <f>IF(E1468="","",IFERROR(VLOOKUP(E1468,T_Produits,2,FALSE),""))</f>
        <v/>
      </c>
      <c r="N1468" s="40">
        <f>IF(E1468="","",IFERROR(1/(1/VLOOKUP(E1468,T_Produits,3,FALSE)),""))</f>
        <v/>
      </c>
      <c r="O1468" s="40">
        <f>IF(OR(D1468="",F1468=""),"",IF(OR(D1468="Casse / avarie",D1468="Perte / vol",D1468="Échantillon offert"),IF(I1468&lt;&gt;"",I1468,IF(N1468="","",F1468*N1468)),""))</f>
        <v/>
      </c>
      <c r="P1468" s="50">
        <f>IF(OR(D1468="",F1468=""),"",F1468*IF(OR(D1468="Reçu du magasin",D1468="Ajustement (+)"),1,-1))</f>
        <v/>
      </c>
      <c r="Q1468" s="34">
        <f>IF(C1468="","",YEAR(C1468-WEEKDAY(C1468,2)+4)&amp;"-S"&amp;TEXT(INT((C1468-DATE(YEAR(C1468-WEEKDAY(C1468,2)+4),1,3)+WEEKDAY(DATE(YEAR(C1468-WEEKDAY(C1468,2)+4),1,3),2)+5)/7),"00"))</f>
        <v/>
      </c>
    </row>
    <row r="1469" ht="18" customHeight="1">
      <c r="A1469" s="39" t="n">
        <v>1464</v>
      </c>
      <c r="B1469" s="33">
        <f>IF(C1469="","",IF(L1469="À RENSEIGNER","GIC",L1469)&amp;"-S"&amp;TEXT(A1469,"00000"))</f>
        <v/>
      </c>
      <c r="C1469" s="32" t="n"/>
      <c r="D1469" s="36" t="n"/>
      <c r="E1469" s="36" t="n"/>
      <c r="F1469" s="42" t="n"/>
      <c r="G1469" s="36" t="n"/>
      <c r="H1469" s="43" t="n"/>
      <c r="I1469" s="37" t="n"/>
      <c r="J1469" s="44" t="n"/>
      <c r="K1469" s="36" t="n"/>
      <c r="L1469" s="33">
        <f>IF(C1469="","",Commercial_Id)</f>
        <v/>
      </c>
      <c r="M1469" s="34">
        <f>IF(E1469="","",IFERROR(VLOOKUP(E1469,T_Produits,2,FALSE),""))</f>
        <v/>
      </c>
      <c r="N1469" s="40">
        <f>IF(E1469="","",IFERROR(1/(1/VLOOKUP(E1469,T_Produits,3,FALSE)),""))</f>
        <v/>
      </c>
      <c r="O1469" s="40">
        <f>IF(OR(D1469="",F1469=""),"",IF(OR(D1469="Casse / avarie",D1469="Perte / vol",D1469="Échantillon offert"),IF(I1469&lt;&gt;"",I1469,IF(N1469="","",F1469*N1469)),""))</f>
        <v/>
      </c>
      <c r="P1469" s="50">
        <f>IF(OR(D1469="",F1469=""),"",F1469*IF(OR(D1469="Reçu du magasin",D1469="Ajustement (+)"),1,-1))</f>
        <v/>
      </c>
      <c r="Q1469" s="34">
        <f>IF(C1469="","",YEAR(C1469-WEEKDAY(C1469,2)+4)&amp;"-S"&amp;TEXT(INT((C1469-DATE(YEAR(C1469-WEEKDAY(C1469,2)+4),1,3)+WEEKDAY(DATE(YEAR(C1469-WEEKDAY(C1469,2)+4),1,3),2)+5)/7),"00"))</f>
        <v/>
      </c>
    </row>
    <row r="1470" ht="18" customHeight="1">
      <c r="A1470" s="39" t="n">
        <v>1465</v>
      </c>
      <c r="B1470" s="33">
        <f>IF(C1470="","",IF(L1470="À RENSEIGNER","GIC",L1470)&amp;"-S"&amp;TEXT(A1470,"00000"))</f>
        <v/>
      </c>
      <c r="C1470" s="32" t="n"/>
      <c r="D1470" s="36" t="n"/>
      <c r="E1470" s="36" t="n"/>
      <c r="F1470" s="42" t="n"/>
      <c r="G1470" s="36" t="n"/>
      <c r="H1470" s="43" t="n"/>
      <c r="I1470" s="37" t="n"/>
      <c r="J1470" s="44" t="n"/>
      <c r="K1470" s="36" t="n"/>
      <c r="L1470" s="33">
        <f>IF(C1470="","",Commercial_Id)</f>
        <v/>
      </c>
      <c r="M1470" s="34">
        <f>IF(E1470="","",IFERROR(VLOOKUP(E1470,T_Produits,2,FALSE),""))</f>
        <v/>
      </c>
      <c r="N1470" s="40">
        <f>IF(E1470="","",IFERROR(1/(1/VLOOKUP(E1470,T_Produits,3,FALSE)),""))</f>
        <v/>
      </c>
      <c r="O1470" s="40">
        <f>IF(OR(D1470="",F1470=""),"",IF(OR(D1470="Casse / avarie",D1470="Perte / vol",D1470="Échantillon offert"),IF(I1470&lt;&gt;"",I1470,IF(N1470="","",F1470*N1470)),""))</f>
        <v/>
      </c>
      <c r="P1470" s="50">
        <f>IF(OR(D1470="",F1470=""),"",F1470*IF(OR(D1470="Reçu du magasin",D1470="Ajustement (+)"),1,-1))</f>
        <v/>
      </c>
      <c r="Q1470" s="34">
        <f>IF(C1470="","",YEAR(C1470-WEEKDAY(C1470,2)+4)&amp;"-S"&amp;TEXT(INT((C1470-DATE(YEAR(C1470-WEEKDAY(C1470,2)+4),1,3)+WEEKDAY(DATE(YEAR(C1470-WEEKDAY(C1470,2)+4),1,3),2)+5)/7),"00"))</f>
        <v/>
      </c>
    </row>
    <row r="1471" ht="18" customHeight="1">
      <c r="A1471" s="39" t="n">
        <v>1466</v>
      </c>
      <c r="B1471" s="33">
        <f>IF(C1471="","",IF(L1471="À RENSEIGNER","GIC",L1471)&amp;"-S"&amp;TEXT(A1471,"00000"))</f>
        <v/>
      </c>
      <c r="C1471" s="32" t="n"/>
      <c r="D1471" s="36" t="n"/>
      <c r="E1471" s="36" t="n"/>
      <c r="F1471" s="42" t="n"/>
      <c r="G1471" s="36" t="n"/>
      <c r="H1471" s="43" t="n"/>
      <c r="I1471" s="37" t="n"/>
      <c r="J1471" s="44" t="n"/>
      <c r="K1471" s="36" t="n"/>
      <c r="L1471" s="33">
        <f>IF(C1471="","",Commercial_Id)</f>
        <v/>
      </c>
      <c r="M1471" s="34">
        <f>IF(E1471="","",IFERROR(VLOOKUP(E1471,T_Produits,2,FALSE),""))</f>
        <v/>
      </c>
      <c r="N1471" s="40">
        <f>IF(E1471="","",IFERROR(1/(1/VLOOKUP(E1471,T_Produits,3,FALSE)),""))</f>
        <v/>
      </c>
      <c r="O1471" s="40">
        <f>IF(OR(D1471="",F1471=""),"",IF(OR(D1471="Casse / avarie",D1471="Perte / vol",D1471="Échantillon offert"),IF(I1471&lt;&gt;"",I1471,IF(N1471="","",F1471*N1471)),""))</f>
        <v/>
      </c>
      <c r="P1471" s="50">
        <f>IF(OR(D1471="",F1471=""),"",F1471*IF(OR(D1471="Reçu du magasin",D1471="Ajustement (+)"),1,-1))</f>
        <v/>
      </c>
      <c r="Q1471" s="34">
        <f>IF(C1471="","",YEAR(C1471-WEEKDAY(C1471,2)+4)&amp;"-S"&amp;TEXT(INT((C1471-DATE(YEAR(C1471-WEEKDAY(C1471,2)+4),1,3)+WEEKDAY(DATE(YEAR(C1471-WEEKDAY(C1471,2)+4),1,3),2)+5)/7),"00"))</f>
        <v/>
      </c>
    </row>
    <row r="1472" ht="18" customHeight="1">
      <c r="A1472" s="39" t="n">
        <v>1467</v>
      </c>
      <c r="B1472" s="33">
        <f>IF(C1472="","",IF(L1472="À RENSEIGNER","GIC",L1472)&amp;"-S"&amp;TEXT(A1472,"00000"))</f>
        <v/>
      </c>
      <c r="C1472" s="32" t="n"/>
      <c r="D1472" s="36" t="n"/>
      <c r="E1472" s="36" t="n"/>
      <c r="F1472" s="42" t="n"/>
      <c r="G1472" s="36" t="n"/>
      <c r="H1472" s="43" t="n"/>
      <c r="I1472" s="37" t="n"/>
      <c r="J1472" s="44" t="n"/>
      <c r="K1472" s="36" t="n"/>
      <c r="L1472" s="33">
        <f>IF(C1472="","",Commercial_Id)</f>
        <v/>
      </c>
      <c r="M1472" s="34">
        <f>IF(E1472="","",IFERROR(VLOOKUP(E1472,T_Produits,2,FALSE),""))</f>
        <v/>
      </c>
      <c r="N1472" s="40">
        <f>IF(E1472="","",IFERROR(1/(1/VLOOKUP(E1472,T_Produits,3,FALSE)),""))</f>
        <v/>
      </c>
      <c r="O1472" s="40">
        <f>IF(OR(D1472="",F1472=""),"",IF(OR(D1472="Casse / avarie",D1472="Perte / vol",D1472="Échantillon offert"),IF(I1472&lt;&gt;"",I1472,IF(N1472="","",F1472*N1472)),""))</f>
        <v/>
      </c>
      <c r="P1472" s="50">
        <f>IF(OR(D1472="",F1472=""),"",F1472*IF(OR(D1472="Reçu du magasin",D1472="Ajustement (+)"),1,-1))</f>
        <v/>
      </c>
      <c r="Q1472" s="34">
        <f>IF(C1472="","",YEAR(C1472-WEEKDAY(C1472,2)+4)&amp;"-S"&amp;TEXT(INT((C1472-DATE(YEAR(C1472-WEEKDAY(C1472,2)+4),1,3)+WEEKDAY(DATE(YEAR(C1472-WEEKDAY(C1472,2)+4),1,3),2)+5)/7),"00"))</f>
        <v/>
      </c>
    </row>
    <row r="1473" ht="18" customHeight="1">
      <c r="A1473" s="39" t="n">
        <v>1468</v>
      </c>
      <c r="B1473" s="33">
        <f>IF(C1473="","",IF(L1473="À RENSEIGNER","GIC",L1473)&amp;"-S"&amp;TEXT(A1473,"00000"))</f>
        <v/>
      </c>
      <c r="C1473" s="32" t="n"/>
      <c r="D1473" s="36" t="n"/>
      <c r="E1473" s="36" t="n"/>
      <c r="F1473" s="42" t="n"/>
      <c r="G1473" s="36" t="n"/>
      <c r="H1473" s="43" t="n"/>
      <c r="I1473" s="37" t="n"/>
      <c r="J1473" s="44" t="n"/>
      <c r="K1473" s="36" t="n"/>
      <c r="L1473" s="33">
        <f>IF(C1473="","",Commercial_Id)</f>
        <v/>
      </c>
      <c r="M1473" s="34">
        <f>IF(E1473="","",IFERROR(VLOOKUP(E1473,T_Produits,2,FALSE),""))</f>
        <v/>
      </c>
      <c r="N1473" s="40">
        <f>IF(E1473="","",IFERROR(1/(1/VLOOKUP(E1473,T_Produits,3,FALSE)),""))</f>
        <v/>
      </c>
      <c r="O1473" s="40">
        <f>IF(OR(D1473="",F1473=""),"",IF(OR(D1473="Casse / avarie",D1473="Perte / vol",D1473="Échantillon offert"),IF(I1473&lt;&gt;"",I1473,IF(N1473="","",F1473*N1473)),""))</f>
        <v/>
      </c>
      <c r="P1473" s="50">
        <f>IF(OR(D1473="",F1473=""),"",F1473*IF(OR(D1473="Reçu du magasin",D1473="Ajustement (+)"),1,-1))</f>
        <v/>
      </c>
      <c r="Q1473" s="34">
        <f>IF(C1473="","",YEAR(C1473-WEEKDAY(C1473,2)+4)&amp;"-S"&amp;TEXT(INT((C1473-DATE(YEAR(C1473-WEEKDAY(C1473,2)+4),1,3)+WEEKDAY(DATE(YEAR(C1473-WEEKDAY(C1473,2)+4),1,3),2)+5)/7),"00"))</f>
        <v/>
      </c>
    </row>
    <row r="1474" ht="18" customHeight="1">
      <c r="A1474" s="39" t="n">
        <v>1469</v>
      </c>
      <c r="B1474" s="33">
        <f>IF(C1474="","",IF(L1474="À RENSEIGNER","GIC",L1474)&amp;"-S"&amp;TEXT(A1474,"00000"))</f>
        <v/>
      </c>
      <c r="C1474" s="32" t="n"/>
      <c r="D1474" s="36" t="n"/>
      <c r="E1474" s="36" t="n"/>
      <c r="F1474" s="42" t="n"/>
      <c r="G1474" s="36" t="n"/>
      <c r="H1474" s="43" t="n"/>
      <c r="I1474" s="37" t="n"/>
      <c r="J1474" s="44" t="n"/>
      <c r="K1474" s="36" t="n"/>
      <c r="L1474" s="33">
        <f>IF(C1474="","",Commercial_Id)</f>
        <v/>
      </c>
      <c r="M1474" s="34">
        <f>IF(E1474="","",IFERROR(VLOOKUP(E1474,T_Produits,2,FALSE),""))</f>
        <v/>
      </c>
      <c r="N1474" s="40">
        <f>IF(E1474="","",IFERROR(1/(1/VLOOKUP(E1474,T_Produits,3,FALSE)),""))</f>
        <v/>
      </c>
      <c r="O1474" s="40">
        <f>IF(OR(D1474="",F1474=""),"",IF(OR(D1474="Casse / avarie",D1474="Perte / vol",D1474="Échantillon offert"),IF(I1474&lt;&gt;"",I1474,IF(N1474="","",F1474*N1474)),""))</f>
        <v/>
      </c>
      <c r="P1474" s="50">
        <f>IF(OR(D1474="",F1474=""),"",F1474*IF(OR(D1474="Reçu du magasin",D1474="Ajustement (+)"),1,-1))</f>
        <v/>
      </c>
      <c r="Q1474" s="34">
        <f>IF(C1474="","",YEAR(C1474-WEEKDAY(C1474,2)+4)&amp;"-S"&amp;TEXT(INT((C1474-DATE(YEAR(C1474-WEEKDAY(C1474,2)+4),1,3)+WEEKDAY(DATE(YEAR(C1474-WEEKDAY(C1474,2)+4),1,3),2)+5)/7),"00"))</f>
        <v/>
      </c>
    </row>
    <row r="1475" ht="18" customHeight="1">
      <c r="A1475" s="39" t="n">
        <v>1470</v>
      </c>
      <c r="B1475" s="33">
        <f>IF(C1475="","",IF(L1475="À RENSEIGNER","GIC",L1475)&amp;"-S"&amp;TEXT(A1475,"00000"))</f>
        <v/>
      </c>
      <c r="C1475" s="32" t="n"/>
      <c r="D1475" s="36" t="n"/>
      <c r="E1475" s="36" t="n"/>
      <c r="F1475" s="42" t="n"/>
      <c r="G1475" s="36" t="n"/>
      <c r="H1475" s="43" t="n"/>
      <c r="I1475" s="37" t="n"/>
      <c r="J1475" s="44" t="n"/>
      <c r="K1475" s="36" t="n"/>
      <c r="L1475" s="33">
        <f>IF(C1475="","",Commercial_Id)</f>
        <v/>
      </c>
      <c r="M1475" s="34">
        <f>IF(E1475="","",IFERROR(VLOOKUP(E1475,T_Produits,2,FALSE),""))</f>
        <v/>
      </c>
      <c r="N1475" s="40">
        <f>IF(E1475="","",IFERROR(1/(1/VLOOKUP(E1475,T_Produits,3,FALSE)),""))</f>
        <v/>
      </c>
      <c r="O1475" s="40">
        <f>IF(OR(D1475="",F1475=""),"",IF(OR(D1475="Casse / avarie",D1475="Perte / vol",D1475="Échantillon offert"),IF(I1475&lt;&gt;"",I1475,IF(N1475="","",F1475*N1475)),""))</f>
        <v/>
      </c>
      <c r="P1475" s="50">
        <f>IF(OR(D1475="",F1475=""),"",F1475*IF(OR(D1475="Reçu du magasin",D1475="Ajustement (+)"),1,-1))</f>
        <v/>
      </c>
      <c r="Q1475" s="34">
        <f>IF(C1475="","",YEAR(C1475-WEEKDAY(C1475,2)+4)&amp;"-S"&amp;TEXT(INT((C1475-DATE(YEAR(C1475-WEEKDAY(C1475,2)+4),1,3)+WEEKDAY(DATE(YEAR(C1475-WEEKDAY(C1475,2)+4),1,3),2)+5)/7),"00"))</f>
        <v/>
      </c>
    </row>
    <row r="1476" ht="18" customHeight="1">
      <c r="A1476" s="39" t="n">
        <v>1471</v>
      </c>
      <c r="B1476" s="33">
        <f>IF(C1476="","",IF(L1476="À RENSEIGNER","GIC",L1476)&amp;"-S"&amp;TEXT(A1476,"00000"))</f>
        <v/>
      </c>
      <c r="C1476" s="32" t="n"/>
      <c r="D1476" s="36" t="n"/>
      <c r="E1476" s="36" t="n"/>
      <c r="F1476" s="42" t="n"/>
      <c r="G1476" s="36" t="n"/>
      <c r="H1476" s="43" t="n"/>
      <c r="I1476" s="37" t="n"/>
      <c r="J1476" s="44" t="n"/>
      <c r="K1476" s="36" t="n"/>
      <c r="L1476" s="33">
        <f>IF(C1476="","",Commercial_Id)</f>
        <v/>
      </c>
      <c r="M1476" s="34">
        <f>IF(E1476="","",IFERROR(VLOOKUP(E1476,T_Produits,2,FALSE),""))</f>
        <v/>
      </c>
      <c r="N1476" s="40">
        <f>IF(E1476="","",IFERROR(1/(1/VLOOKUP(E1476,T_Produits,3,FALSE)),""))</f>
        <v/>
      </c>
      <c r="O1476" s="40">
        <f>IF(OR(D1476="",F1476=""),"",IF(OR(D1476="Casse / avarie",D1476="Perte / vol",D1476="Échantillon offert"),IF(I1476&lt;&gt;"",I1476,IF(N1476="","",F1476*N1476)),""))</f>
        <v/>
      </c>
      <c r="P1476" s="50">
        <f>IF(OR(D1476="",F1476=""),"",F1476*IF(OR(D1476="Reçu du magasin",D1476="Ajustement (+)"),1,-1))</f>
        <v/>
      </c>
      <c r="Q1476" s="34">
        <f>IF(C1476="","",YEAR(C1476-WEEKDAY(C1476,2)+4)&amp;"-S"&amp;TEXT(INT((C1476-DATE(YEAR(C1476-WEEKDAY(C1476,2)+4),1,3)+WEEKDAY(DATE(YEAR(C1476-WEEKDAY(C1476,2)+4),1,3),2)+5)/7),"00"))</f>
        <v/>
      </c>
    </row>
    <row r="1477" ht="18" customHeight="1">
      <c r="A1477" s="39" t="n">
        <v>1472</v>
      </c>
      <c r="B1477" s="33">
        <f>IF(C1477="","",IF(L1477="À RENSEIGNER","GIC",L1477)&amp;"-S"&amp;TEXT(A1477,"00000"))</f>
        <v/>
      </c>
      <c r="C1477" s="32" t="n"/>
      <c r="D1477" s="36" t="n"/>
      <c r="E1477" s="36" t="n"/>
      <c r="F1477" s="42" t="n"/>
      <c r="G1477" s="36" t="n"/>
      <c r="H1477" s="43" t="n"/>
      <c r="I1477" s="37" t="n"/>
      <c r="J1477" s="44" t="n"/>
      <c r="K1477" s="36" t="n"/>
      <c r="L1477" s="33">
        <f>IF(C1477="","",Commercial_Id)</f>
        <v/>
      </c>
      <c r="M1477" s="34">
        <f>IF(E1477="","",IFERROR(VLOOKUP(E1477,T_Produits,2,FALSE),""))</f>
        <v/>
      </c>
      <c r="N1477" s="40">
        <f>IF(E1477="","",IFERROR(1/(1/VLOOKUP(E1477,T_Produits,3,FALSE)),""))</f>
        <v/>
      </c>
      <c r="O1477" s="40">
        <f>IF(OR(D1477="",F1477=""),"",IF(OR(D1477="Casse / avarie",D1477="Perte / vol",D1477="Échantillon offert"),IF(I1477&lt;&gt;"",I1477,IF(N1477="","",F1477*N1477)),""))</f>
        <v/>
      </c>
      <c r="P1477" s="50">
        <f>IF(OR(D1477="",F1477=""),"",F1477*IF(OR(D1477="Reçu du magasin",D1477="Ajustement (+)"),1,-1))</f>
        <v/>
      </c>
      <c r="Q1477" s="34">
        <f>IF(C1477="","",YEAR(C1477-WEEKDAY(C1477,2)+4)&amp;"-S"&amp;TEXT(INT((C1477-DATE(YEAR(C1477-WEEKDAY(C1477,2)+4),1,3)+WEEKDAY(DATE(YEAR(C1477-WEEKDAY(C1477,2)+4),1,3),2)+5)/7),"00"))</f>
        <v/>
      </c>
    </row>
    <row r="1478" ht="18" customHeight="1">
      <c r="A1478" s="39" t="n">
        <v>1473</v>
      </c>
      <c r="B1478" s="33">
        <f>IF(C1478="","",IF(L1478="À RENSEIGNER","GIC",L1478)&amp;"-S"&amp;TEXT(A1478,"00000"))</f>
        <v/>
      </c>
      <c r="C1478" s="32" t="n"/>
      <c r="D1478" s="36" t="n"/>
      <c r="E1478" s="36" t="n"/>
      <c r="F1478" s="42" t="n"/>
      <c r="G1478" s="36" t="n"/>
      <c r="H1478" s="43" t="n"/>
      <c r="I1478" s="37" t="n"/>
      <c r="J1478" s="44" t="n"/>
      <c r="K1478" s="36" t="n"/>
      <c r="L1478" s="33">
        <f>IF(C1478="","",Commercial_Id)</f>
        <v/>
      </c>
      <c r="M1478" s="34">
        <f>IF(E1478="","",IFERROR(VLOOKUP(E1478,T_Produits,2,FALSE),""))</f>
        <v/>
      </c>
      <c r="N1478" s="40">
        <f>IF(E1478="","",IFERROR(1/(1/VLOOKUP(E1478,T_Produits,3,FALSE)),""))</f>
        <v/>
      </c>
      <c r="O1478" s="40">
        <f>IF(OR(D1478="",F1478=""),"",IF(OR(D1478="Casse / avarie",D1478="Perte / vol",D1478="Échantillon offert"),IF(I1478&lt;&gt;"",I1478,IF(N1478="","",F1478*N1478)),""))</f>
        <v/>
      </c>
      <c r="P1478" s="50">
        <f>IF(OR(D1478="",F1478=""),"",F1478*IF(OR(D1478="Reçu du magasin",D1478="Ajustement (+)"),1,-1))</f>
        <v/>
      </c>
      <c r="Q1478" s="34">
        <f>IF(C1478="","",YEAR(C1478-WEEKDAY(C1478,2)+4)&amp;"-S"&amp;TEXT(INT((C1478-DATE(YEAR(C1478-WEEKDAY(C1478,2)+4),1,3)+WEEKDAY(DATE(YEAR(C1478-WEEKDAY(C1478,2)+4),1,3),2)+5)/7),"00"))</f>
        <v/>
      </c>
    </row>
    <row r="1479" ht="18" customHeight="1">
      <c r="A1479" s="39" t="n">
        <v>1474</v>
      </c>
      <c r="B1479" s="33">
        <f>IF(C1479="","",IF(L1479="À RENSEIGNER","GIC",L1479)&amp;"-S"&amp;TEXT(A1479,"00000"))</f>
        <v/>
      </c>
      <c r="C1479" s="32" t="n"/>
      <c r="D1479" s="36" t="n"/>
      <c r="E1479" s="36" t="n"/>
      <c r="F1479" s="42" t="n"/>
      <c r="G1479" s="36" t="n"/>
      <c r="H1479" s="43" t="n"/>
      <c r="I1479" s="37" t="n"/>
      <c r="J1479" s="44" t="n"/>
      <c r="K1479" s="36" t="n"/>
      <c r="L1479" s="33">
        <f>IF(C1479="","",Commercial_Id)</f>
        <v/>
      </c>
      <c r="M1479" s="34">
        <f>IF(E1479="","",IFERROR(VLOOKUP(E1479,T_Produits,2,FALSE),""))</f>
        <v/>
      </c>
      <c r="N1479" s="40">
        <f>IF(E1479="","",IFERROR(1/(1/VLOOKUP(E1479,T_Produits,3,FALSE)),""))</f>
        <v/>
      </c>
      <c r="O1479" s="40">
        <f>IF(OR(D1479="",F1479=""),"",IF(OR(D1479="Casse / avarie",D1479="Perte / vol",D1479="Échantillon offert"),IF(I1479&lt;&gt;"",I1479,IF(N1479="","",F1479*N1479)),""))</f>
        <v/>
      </c>
      <c r="P1479" s="50">
        <f>IF(OR(D1479="",F1479=""),"",F1479*IF(OR(D1479="Reçu du magasin",D1479="Ajustement (+)"),1,-1))</f>
        <v/>
      </c>
      <c r="Q1479" s="34">
        <f>IF(C1479="","",YEAR(C1479-WEEKDAY(C1479,2)+4)&amp;"-S"&amp;TEXT(INT((C1479-DATE(YEAR(C1479-WEEKDAY(C1479,2)+4),1,3)+WEEKDAY(DATE(YEAR(C1479-WEEKDAY(C1479,2)+4),1,3),2)+5)/7),"00"))</f>
        <v/>
      </c>
    </row>
    <row r="1480" ht="18" customHeight="1">
      <c r="A1480" s="39" t="n">
        <v>1475</v>
      </c>
      <c r="B1480" s="33">
        <f>IF(C1480="","",IF(L1480="À RENSEIGNER","GIC",L1480)&amp;"-S"&amp;TEXT(A1480,"00000"))</f>
        <v/>
      </c>
      <c r="C1480" s="32" t="n"/>
      <c r="D1480" s="36" t="n"/>
      <c r="E1480" s="36" t="n"/>
      <c r="F1480" s="42" t="n"/>
      <c r="G1480" s="36" t="n"/>
      <c r="H1480" s="43" t="n"/>
      <c r="I1480" s="37" t="n"/>
      <c r="J1480" s="44" t="n"/>
      <c r="K1480" s="36" t="n"/>
      <c r="L1480" s="33">
        <f>IF(C1480="","",Commercial_Id)</f>
        <v/>
      </c>
      <c r="M1480" s="34">
        <f>IF(E1480="","",IFERROR(VLOOKUP(E1480,T_Produits,2,FALSE),""))</f>
        <v/>
      </c>
      <c r="N1480" s="40">
        <f>IF(E1480="","",IFERROR(1/(1/VLOOKUP(E1480,T_Produits,3,FALSE)),""))</f>
        <v/>
      </c>
      <c r="O1480" s="40">
        <f>IF(OR(D1480="",F1480=""),"",IF(OR(D1480="Casse / avarie",D1480="Perte / vol",D1480="Échantillon offert"),IF(I1480&lt;&gt;"",I1480,IF(N1480="","",F1480*N1480)),""))</f>
        <v/>
      </c>
      <c r="P1480" s="50">
        <f>IF(OR(D1480="",F1480=""),"",F1480*IF(OR(D1480="Reçu du magasin",D1480="Ajustement (+)"),1,-1))</f>
        <v/>
      </c>
      <c r="Q1480" s="34">
        <f>IF(C1480="","",YEAR(C1480-WEEKDAY(C1480,2)+4)&amp;"-S"&amp;TEXT(INT((C1480-DATE(YEAR(C1480-WEEKDAY(C1480,2)+4),1,3)+WEEKDAY(DATE(YEAR(C1480-WEEKDAY(C1480,2)+4),1,3),2)+5)/7),"00"))</f>
        <v/>
      </c>
    </row>
    <row r="1481" ht="18" customHeight="1">
      <c r="A1481" s="39" t="n">
        <v>1476</v>
      </c>
      <c r="B1481" s="33">
        <f>IF(C1481="","",IF(L1481="À RENSEIGNER","GIC",L1481)&amp;"-S"&amp;TEXT(A1481,"00000"))</f>
        <v/>
      </c>
      <c r="C1481" s="32" t="n"/>
      <c r="D1481" s="36" t="n"/>
      <c r="E1481" s="36" t="n"/>
      <c r="F1481" s="42" t="n"/>
      <c r="G1481" s="36" t="n"/>
      <c r="H1481" s="43" t="n"/>
      <c r="I1481" s="37" t="n"/>
      <c r="J1481" s="44" t="n"/>
      <c r="K1481" s="36" t="n"/>
      <c r="L1481" s="33">
        <f>IF(C1481="","",Commercial_Id)</f>
        <v/>
      </c>
      <c r="M1481" s="34">
        <f>IF(E1481="","",IFERROR(VLOOKUP(E1481,T_Produits,2,FALSE),""))</f>
        <v/>
      </c>
      <c r="N1481" s="40">
        <f>IF(E1481="","",IFERROR(1/(1/VLOOKUP(E1481,T_Produits,3,FALSE)),""))</f>
        <v/>
      </c>
      <c r="O1481" s="40">
        <f>IF(OR(D1481="",F1481=""),"",IF(OR(D1481="Casse / avarie",D1481="Perte / vol",D1481="Échantillon offert"),IF(I1481&lt;&gt;"",I1481,IF(N1481="","",F1481*N1481)),""))</f>
        <v/>
      </c>
      <c r="P1481" s="50">
        <f>IF(OR(D1481="",F1481=""),"",F1481*IF(OR(D1481="Reçu du magasin",D1481="Ajustement (+)"),1,-1))</f>
        <v/>
      </c>
      <c r="Q1481" s="34">
        <f>IF(C1481="","",YEAR(C1481-WEEKDAY(C1481,2)+4)&amp;"-S"&amp;TEXT(INT((C1481-DATE(YEAR(C1481-WEEKDAY(C1481,2)+4),1,3)+WEEKDAY(DATE(YEAR(C1481-WEEKDAY(C1481,2)+4),1,3),2)+5)/7),"00"))</f>
        <v/>
      </c>
    </row>
    <row r="1482" ht="18" customHeight="1">
      <c r="A1482" s="39" t="n">
        <v>1477</v>
      </c>
      <c r="B1482" s="33">
        <f>IF(C1482="","",IF(L1482="À RENSEIGNER","GIC",L1482)&amp;"-S"&amp;TEXT(A1482,"00000"))</f>
        <v/>
      </c>
      <c r="C1482" s="32" t="n"/>
      <c r="D1482" s="36" t="n"/>
      <c r="E1482" s="36" t="n"/>
      <c r="F1482" s="42" t="n"/>
      <c r="G1482" s="36" t="n"/>
      <c r="H1482" s="43" t="n"/>
      <c r="I1482" s="37" t="n"/>
      <c r="J1482" s="44" t="n"/>
      <c r="K1482" s="36" t="n"/>
      <c r="L1482" s="33">
        <f>IF(C1482="","",Commercial_Id)</f>
        <v/>
      </c>
      <c r="M1482" s="34">
        <f>IF(E1482="","",IFERROR(VLOOKUP(E1482,T_Produits,2,FALSE),""))</f>
        <v/>
      </c>
      <c r="N1482" s="40">
        <f>IF(E1482="","",IFERROR(1/(1/VLOOKUP(E1482,T_Produits,3,FALSE)),""))</f>
        <v/>
      </c>
      <c r="O1482" s="40">
        <f>IF(OR(D1482="",F1482=""),"",IF(OR(D1482="Casse / avarie",D1482="Perte / vol",D1482="Échantillon offert"),IF(I1482&lt;&gt;"",I1482,IF(N1482="","",F1482*N1482)),""))</f>
        <v/>
      </c>
      <c r="P1482" s="50">
        <f>IF(OR(D1482="",F1482=""),"",F1482*IF(OR(D1482="Reçu du magasin",D1482="Ajustement (+)"),1,-1))</f>
        <v/>
      </c>
      <c r="Q1482" s="34">
        <f>IF(C1482="","",YEAR(C1482-WEEKDAY(C1482,2)+4)&amp;"-S"&amp;TEXT(INT((C1482-DATE(YEAR(C1482-WEEKDAY(C1482,2)+4),1,3)+WEEKDAY(DATE(YEAR(C1482-WEEKDAY(C1482,2)+4),1,3),2)+5)/7),"00"))</f>
        <v/>
      </c>
    </row>
    <row r="1483" ht="18" customHeight="1">
      <c r="A1483" s="39" t="n">
        <v>1478</v>
      </c>
      <c r="B1483" s="33">
        <f>IF(C1483="","",IF(L1483="À RENSEIGNER","GIC",L1483)&amp;"-S"&amp;TEXT(A1483,"00000"))</f>
        <v/>
      </c>
      <c r="C1483" s="32" t="n"/>
      <c r="D1483" s="36" t="n"/>
      <c r="E1483" s="36" t="n"/>
      <c r="F1483" s="42" t="n"/>
      <c r="G1483" s="36" t="n"/>
      <c r="H1483" s="43" t="n"/>
      <c r="I1483" s="37" t="n"/>
      <c r="J1483" s="44" t="n"/>
      <c r="K1483" s="36" t="n"/>
      <c r="L1483" s="33">
        <f>IF(C1483="","",Commercial_Id)</f>
        <v/>
      </c>
      <c r="M1483" s="34">
        <f>IF(E1483="","",IFERROR(VLOOKUP(E1483,T_Produits,2,FALSE),""))</f>
        <v/>
      </c>
      <c r="N1483" s="40">
        <f>IF(E1483="","",IFERROR(1/(1/VLOOKUP(E1483,T_Produits,3,FALSE)),""))</f>
        <v/>
      </c>
      <c r="O1483" s="40">
        <f>IF(OR(D1483="",F1483=""),"",IF(OR(D1483="Casse / avarie",D1483="Perte / vol",D1483="Échantillon offert"),IF(I1483&lt;&gt;"",I1483,IF(N1483="","",F1483*N1483)),""))</f>
        <v/>
      </c>
      <c r="P1483" s="50">
        <f>IF(OR(D1483="",F1483=""),"",F1483*IF(OR(D1483="Reçu du magasin",D1483="Ajustement (+)"),1,-1))</f>
        <v/>
      </c>
      <c r="Q1483" s="34">
        <f>IF(C1483="","",YEAR(C1483-WEEKDAY(C1483,2)+4)&amp;"-S"&amp;TEXT(INT((C1483-DATE(YEAR(C1483-WEEKDAY(C1483,2)+4),1,3)+WEEKDAY(DATE(YEAR(C1483-WEEKDAY(C1483,2)+4),1,3),2)+5)/7),"00"))</f>
        <v/>
      </c>
    </row>
    <row r="1484" ht="18" customHeight="1">
      <c r="A1484" s="39" t="n">
        <v>1479</v>
      </c>
      <c r="B1484" s="33">
        <f>IF(C1484="","",IF(L1484="À RENSEIGNER","GIC",L1484)&amp;"-S"&amp;TEXT(A1484,"00000"))</f>
        <v/>
      </c>
      <c r="C1484" s="32" t="n"/>
      <c r="D1484" s="36" t="n"/>
      <c r="E1484" s="36" t="n"/>
      <c r="F1484" s="42" t="n"/>
      <c r="G1484" s="36" t="n"/>
      <c r="H1484" s="43" t="n"/>
      <c r="I1484" s="37" t="n"/>
      <c r="J1484" s="44" t="n"/>
      <c r="K1484" s="36" t="n"/>
      <c r="L1484" s="33">
        <f>IF(C1484="","",Commercial_Id)</f>
        <v/>
      </c>
      <c r="M1484" s="34">
        <f>IF(E1484="","",IFERROR(VLOOKUP(E1484,T_Produits,2,FALSE),""))</f>
        <v/>
      </c>
      <c r="N1484" s="40">
        <f>IF(E1484="","",IFERROR(1/(1/VLOOKUP(E1484,T_Produits,3,FALSE)),""))</f>
        <v/>
      </c>
      <c r="O1484" s="40">
        <f>IF(OR(D1484="",F1484=""),"",IF(OR(D1484="Casse / avarie",D1484="Perte / vol",D1484="Échantillon offert"),IF(I1484&lt;&gt;"",I1484,IF(N1484="","",F1484*N1484)),""))</f>
        <v/>
      </c>
      <c r="P1484" s="50">
        <f>IF(OR(D1484="",F1484=""),"",F1484*IF(OR(D1484="Reçu du magasin",D1484="Ajustement (+)"),1,-1))</f>
        <v/>
      </c>
      <c r="Q1484" s="34">
        <f>IF(C1484="","",YEAR(C1484-WEEKDAY(C1484,2)+4)&amp;"-S"&amp;TEXT(INT((C1484-DATE(YEAR(C1484-WEEKDAY(C1484,2)+4),1,3)+WEEKDAY(DATE(YEAR(C1484-WEEKDAY(C1484,2)+4),1,3),2)+5)/7),"00"))</f>
        <v/>
      </c>
    </row>
    <row r="1485" ht="18" customHeight="1">
      <c r="A1485" s="39" t="n">
        <v>1480</v>
      </c>
      <c r="B1485" s="33">
        <f>IF(C1485="","",IF(L1485="À RENSEIGNER","GIC",L1485)&amp;"-S"&amp;TEXT(A1485,"00000"))</f>
        <v/>
      </c>
      <c r="C1485" s="32" t="n"/>
      <c r="D1485" s="36" t="n"/>
      <c r="E1485" s="36" t="n"/>
      <c r="F1485" s="42" t="n"/>
      <c r="G1485" s="36" t="n"/>
      <c r="H1485" s="43" t="n"/>
      <c r="I1485" s="37" t="n"/>
      <c r="J1485" s="44" t="n"/>
      <c r="K1485" s="36" t="n"/>
      <c r="L1485" s="33">
        <f>IF(C1485="","",Commercial_Id)</f>
        <v/>
      </c>
      <c r="M1485" s="34">
        <f>IF(E1485="","",IFERROR(VLOOKUP(E1485,T_Produits,2,FALSE),""))</f>
        <v/>
      </c>
      <c r="N1485" s="40">
        <f>IF(E1485="","",IFERROR(1/(1/VLOOKUP(E1485,T_Produits,3,FALSE)),""))</f>
        <v/>
      </c>
      <c r="O1485" s="40">
        <f>IF(OR(D1485="",F1485=""),"",IF(OR(D1485="Casse / avarie",D1485="Perte / vol",D1485="Échantillon offert"),IF(I1485&lt;&gt;"",I1485,IF(N1485="","",F1485*N1485)),""))</f>
        <v/>
      </c>
      <c r="P1485" s="50">
        <f>IF(OR(D1485="",F1485=""),"",F1485*IF(OR(D1485="Reçu du magasin",D1485="Ajustement (+)"),1,-1))</f>
        <v/>
      </c>
      <c r="Q1485" s="34">
        <f>IF(C1485="","",YEAR(C1485-WEEKDAY(C1485,2)+4)&amp;"-S"&amp;TEXT(INT((C1485-DATE(YEAR(C1485-WEEKDAY(C1485,2)+4),1,3)+WEEKDAY(DATE(YEAR(C1485-WEEKDAY(C1485,2)+4),1,3),2)+5)/7),"00"))</f>
        <v/>
      </c>
    </row>
    <row r="1486" ht="18" customHeight="1">
      <c r="A1486" s="39" t="n">
        <v>1481</v>
      </c>
      <c r="B1486" s="33">
        <f>IF(C1486="","",IF(L1486="À RENSEIGNER","GIC",L1486)&amp;"-S"&amp;TEXT(A1486,"00000"))</f>
        <v/>
      </c>
      <c r="C1486" s="32" t="n"/>
      <c r="D1486" s="36" t="n"/>
      <c r="E1486" s="36" t="n"/>
      <c r="F1486" s="42" t="n"/>
      <c r="G1486" s="36" t="n"/>
      <c r="H1486" s="43" t="n"/>
      <c r="I1486" s="37" t="n"/>
      <c r="J1486" s="44" t="n"/>
      <c r="K1486" s="36" t="n"/>
      <c r="L1486" s="33">
        <f>IF(C1486="","",Commercial_Id)</f>
        <v/>
      </c>
      <c r="M1486" s="34">
        <f>IF(E1486="","",IFERROR(VLOOKUP(E1486,T_Produits,2,FALSE),""))</f>
        <v/>
      </c>
      <c r="N1486" s="40">
        <f>IF(E1486="","",IFERROR(1/(1/VLOOKUP(E1486,T_Produits,3,FALSE)),""))</f>
        <v/>
      </c>
      <c r="O1486" s="40">
        <f>IF(OR(D1486="",F1486=""),"",IF(OR(D1486="Casse / avarie",D1486="Perte / vol",D1486="Échantillon offert"),IF(I1486&lt;&gt;"",I1486,IF(N1486="","",F1486*N1486)),""))</f>
        <v/>
      </c>
      <c r="P1486" s="50">
        <f>IF(OR(D1486="",F1486=""),"",F1486*IF(OR(D1486="Reçu du magasin",D1486="Ajustement (+)"),1,-1))</f>
        <v/>
      </c>
      <c r="Q1486" s="34">
        <f>IF(C1486="","",YEAR(C1486-WEEKDAY(C1486,2)+4)&amp;"-S"&amp;TEXT(INT((C1486-DATE(YEAR(C1486-WEEKDAY(C1486,2)+4),1,3)+WEEKDAY(DATE(YEAR(C1486-WEEKDAY(C1486,2)+4),1,3),2)+5)/7),"00"))</f>
        <v/>
      </c>
    </row>
    <row r="1487" ht="18" customHeight="1">
      <c r="A1487" s="39" t="n">
        <v>1482</v>
      </c>
      <c r="B1487" s="33">
        <f>IF(C1487="","",IF(L1487="À RENSEIGNER","GIC",L1487)&amp;"-S"&amp;TEXT(A1487,"00000"))</f>
        <v/>
      </c>
      <c r="C1487" s="32" t="n"/>
      <c r="D1487" s="36" t="n"/>
      <c r="E1487" s="36" t="n"/>
      <c r="F1487" s="42" t="n"/>
      <c r="G1487" s="36" t="n"/>
      <c r="H1487" s="43" t="n"/>
      <c r="I1487" s="37" t="n"/>
      <c r="J1487" s="44" t="n"/>
      <c r="K1487" s="36" t="n"/>
      <c r="L1487" s="33">
        <f>IF(C1487="","",Commercial_Id)</f>
        <v/>
      </c>
      <c r="M1487" s="34">
        <f>IF(E1487="","",IFERROR(VLOOKUP(E1487,T_Produits,2,FALSE),""))</f>
        <v/>
      </c>
      <c r="N1487" s="40">
        <f>IF(E1487="","",IFERROR(1/(1/VLOOKUP(E1487,T_Produits,3,FALSE)),""))</f>
        <v/>
      </c>
      <c r="O1487" s="40">
        <f>IF(OR(D1487="",F1487=""),"",IF(OR(D1487="Casse / avarie",D1487="Perte / vol",D1487="Échantillon offert"),IF(I1487&lt;&gt;"",I1487,IF(N1487="","",F1487*N1487)),""))</f>
        <v/>
      </c>
      <c r="P1487" s="50">
        <f>IF(OR(D1487="",F1487=""),"",F1487*IF(OR(D1487="Reçu du magasin",D1487="Ajustement (+)"),1,-1))</f>
        <v/>
      </c>
      <c r="Q1487" s="34">
        <f>IF(C1487="","",YEAR(C1487-WEEKDAY(C1487,2)+4)&amp;"-S"&amp;TEXT(INT((C1487-DATE(YEAR(C1487-WEEKDAY(C1487,2)+4),1,3)+WEEKDAY(DATE(YEAR(C1487-WEEKDAY(C1487,2)+4),1,3),2)+5)/7),"00"))</f>
        <v/>
      </c>
    </row>
    <row r="1488" ht="18" customHeight="1">
      <c r="A1488" s="39" t="n">
        <v>1483</v>
      </c>
      <c r="B1488" s="33">
        <f>IF(C1488="","",IF(L1488="À RENSEIGNER","GIC",L1488)&amp;"-S"&amp;TEXT(A1488,"00000"))</f>
        <v/>
      </c>
      <c r="C1488" s="32" t="n"/>
      <c r="D1488" s="36" t="n"/>
      <c r="E1488" s="36" t="n"/>
      <c r="F1488" s="42" t="n"/>
      <c r="G1488" s="36" t="n"/>
      <c r="H1488" s="43" t="n"/>
      <c r="I1488" s="37" t="n"/>
      <c r="J1488" s="44" t="n"/>
      <c r="K1488" s="36" t="n"/>
      <c r="L1488" s="33">
        <f>IF(C1488="","",Commercial_Id)</f>
        <v/>
      </c>
      <c r="M1488" s="34">
        <f>IF(E1488="","",IFERROR(VLOOKUP(E1488,T_Produits,2,FALSE),""))</f>
        <v/>
      </c>
      <c r="N1488" s="40">
        <f>IF(E1488="","",IFERROR(1/(1/VLOOKUP(E1488,T_Produits,3,FALSE)),""))</f>
        <v/>
      </c>
      <c r="O1488" s="40">
        <f>IF(OR(D1488="",F1488=""),"",IF(OR(D1488="Casse / avarie",D1488="Perte / vol",D1488="Échantillon offert"),IF(I1488&lt;&gt;"",I1488,IF(N1488="","",F1488*N1488)),""))</f>
        <v/>
      </c>
      <c r="P1488" s="50">
        <f>IF(OR(D1488="",F1488=""),"",F1488*IF(OR(D1488="Reçu du magasin",D1488="Ajustement (+)"),1,-1))</f>
        <v/>
      </c>
      <c r="Q1488" s="34">
        <f>IF(C1488="","",YEAR(C1488-WEEKDAY(C1488,2)+4)&amp;"-S"&amp;TEXT(INT((C1488-DATE(YEAR(C1488-WEEKDAY(C1488,2)+4),1,3)+WEEKDAY(DATE(YEAR(C1488-WEEKDAY(C1488,2)+4),1,3),2)+5)/7),"00"))</f>
        <v/>
      </c>
    </row>
    <row r="1489" ht="18" customHeight="1">
      <c r="A1489" s="39" t="n">
        <v>1484</v>
      </c>
      <c r="B1489" s="33">
        <f>IF(C1489="","",IF(L1489="À RENSEIGNER","GIC",L1489)&amp;"-S"&amp;TEXT(A1489,"00000"))</f>
        <v/>
      </c>
      <c r="C1489" s="32" t="n"/>
      <c r="D1489" s="36" t="n"/>
      <c r="E1489" s="36" t="n"/>
      <c r="F1489" s="42" t="n"/>
      <c r="G1489" s="36" t="n"/>
      <c r="H1489" s="43" t="n"/>
      <c r="I1489" s="37" t="n"/>
      <c r="J1489" s="44" t="n"/>
      <c r="K1489" s="36" t="n"/>
      <c r="L1489" s="33">
        <f>IF(C1489="","",Commercial_Id)</f>
        <v/>
      </c>
      <c r="M1489" s="34">
        <f>IF(E1489="","",IFERROR(VLOOKUP(E1489,T_Produits,2,FALSE),""))</f>
        <v/>
      </c>
      <c r="N1489" s="40">
        <f>IF(E1489="","",IFERROR(1/(1/VLOOKUP(E1489,T_Produits,3,FALSE)),""))</f>
        <v/>
      </c>
      <c r="O1489" s="40">
        <f>IF(OR(D1489="",F1489=""),"",IF(OR(D1489="Casse / avarie",D1489="Perte / vol",D1489="Échantillon offert"),IF(I1489&lt;&gt;"",I1489,IF(N1489="","",F1489*N1489)),""))</f>
        <v/>
      </c>
      <c r="P1489" s="50">
        <f>IF(OR(D1489="",F1489=""),"",F1489*IF(OR(D1489="Reçu du magasin",D1489="Ajustement (+)"),1,-1))</f>
        <v/>
      </c>
      <c r="Q1489" s="34">
        <f>IF(C1489="","",YEAR(C1489-WEEKDAY(C1489,2)+4)&amp;"-S"&amp;TEXT(INT((C1489-DATE(YEAR(C1489-WEEKDAY(C1489,2)+4),1,3)+WEEKDAY(DATE(YEAR(C1489-WEEKDAY(C1489,2)+4),1,3),2)+5)/7),"00"))</f>
        <v/>
      </c>
    </row>
    <row r="1490" ht="18" customHeight="1">
      <c r="A1490" s="39" t="n">
        <v>1485</v>
      </c>
      <c r="B1490" s="33">
        <f>IF(C1490="","",IF(L1490="À RENSEIGNER","GIC",L1490)&amp;"-S"&amp;TEXT(A1490,"00000"))</f>
        <v/>
      </c>
      <c r="C1490" s="32" t="n"/>
      <c r="D1490" s="36" t="n"/>
      <c r="E1490" s="36" t="n"/>
      <c r="F1490" s="42" t="n"/>
      <c r="G1490" s="36" t="n"/>
      <c r="H1490" s="43" t="n"/>
      <c r="I1490" s="37" t="n"/>
      <c r="J1490" s="44" t="n"/>
      <c r="K1490" s="36" t="n"/>
      <c r="L1490" s="33">
        <f>IF(C1490="","",Commercial_Id)</f>
        <v/>
      </c>
      <c r="M1490" s="34">
        <f>IF(E1490="","",IFERROR(VLOOKUP(E1490,T_Produits,2,FALSE),""))</f>
        <v/>
      </c>
      <c r="N1490" s="40">
        <f>IF(E1490="","",IFERROR(1/(1/VLOOKUP(E1490,T_Produits,3,FALSE)),""))</f>
        <v/>
      </c>
      <c r="O1490" s="40">
        <f>IF(OR(D1490="",F1490=""),"",IF(OR(D1490="Casse / avarie",D1490="Perte / vol",D1490="Échantillon offert"),IF(I1490&lt;&gt;"",I1490,IF(N1490="","",F1490*N1490)),""))</f>
        <v/>
      </c>
      <c r="P1490" s="50">
        <f>IF(OR(D1490="",F1490=""),"",F1490*IF(OR(D1490="Reçu du magasin",D1490="Ajustement (+)"),1,-1))</f>
        <v/>
      </c>
      <c r="Q1490" s="34">
        <f>IF(C1490="","",YEAR(C1490-WEEKDAY(C1490,2)+4)&amp;"-S"&amp;TEXT(INT((C1490-DATE(YEAR(C1490-WEEKDAY(C1490,2)+4),1,3)+WEEKDAY(DATE(YEAR(C1490-WEEKDAY(C1490,2)+4),1,3),2)+5)/7),"00"))</f>
        <v/>
      </c>
    </row>
    <row r="1491" ht="18" customHeight="1">
      <c r="A1491" s="39" t="n">
        <v>1486</v>
      </c>
      <c r="B1491" s="33">
        <f>IF(C1491="","",IF(L1491="À RENSEIGNER","GIC",L1491)&amp;"-S"&amp;TEXT(A1491,"00000"))</f>
        <v/>
      </c>
      <c r="C1491" s="32" t="n"/>
      <c r="D1491" s="36" t="n"/>
      <c r="E1491" s="36" t="n"/>
      <c r="F1491" s="42" t="n"/>
      <c r="G1491" s="36" t="n"/>
      <c r="H1491" s="43" t="n"/>
      <c r="I1491" s="37" t="n"/>
      <c r="J1491" s="44" t="n"/>
      <c r="K1491" s="36" t="n"/>
      <c r="L1491" s="33">
        <f>IF(C1491="","",Commercial_Id)</f>
        <v/>
      </c>
      <c r="M1491" s="34">
        <f>IF(E1491="","",IFERROR(VLOOKUP(E1491,T_Produits,2,FALSE),""))</f>
        <v/>
      </c>
      <c r="N1491" s="40">
        <f>IF(E1491="","",IFERROR(1/(1/VLOOKUP(E1491,T_Produits,3,FALSE)),""))</f>
        <v/>
      </c>
      <c r="O1491" s="40">
        <f>IF(OR(D1491="",F1491=""),"",IF(OR(D1491="Casse / avarie",D1491="Perte / vol",D1491="Échantillon offert"),IF(I1491&lt;&gt;"",I1491,IF(N1491="","",F1491*N1491)),""))</f>
        <v/>
      </c>
      <c r="P1491" s="50">
        <f>IF(OR(D1491="",F1491=""),"",F1491*IF(OR(D1491="Reçu du magasin",D1491="Ajustement (+)"),1,-1))</f>
        <v/>
      </c>
      <c r="Q1491" s="34">
        <f>IF(C1491="","",YEAR(C1491-WEEKDAY(C1491,2)+4)&amp;"-S"&amp;TEXT(INT((C1491-DATE(YEAR(C1491-WEEKDAY(C1491,2)+4),1,3)+WEEKDAY(DATE(YEAR(C1491-WEEKDAY(C1491,2)+4),1,3),2)+5)/7),"00"))</f>
        <v/>
      </c>
    </row>
    <row r="1492" ht="18" customHeight="1">
      <c r="A1492" s="39" t="n">
        <v>1487</v>
      </c>
      <c r="B1492" s="33">
        <f>IF(C1492="","",IF(L1492="À RENSEIGNER","GIC",L1492)&amp;"-S"&amp;TEXT(A1492,"00000"))</f>
        <v/>
      </c>
      <c r="C1492" s="32" t="n"/>
      <c r="D1492" s="36" t="n"/>
      <c r="E1492" s="36" t="n"/>
      <c r="F1492" s="42" t="n"/>
      <c r="G1492" s="36" t="n"/>
      <c r="H1492" s="43" t="n"/>
      <c r="I1492" s="37" t="n"/>
      <c r="J1492" s="44" t="n"/>
      <c r="K1492" s="36" t="n"/>
      <c r="L1492" s="33">
        <f>IF(C1492="","",Commercial_Id)</f>
        <v/>
      </c>
      <c r="M1492" s="34">
        <f>IF(E1492="","",IFERROR(VLOOKUP(E1492,T_Produits,2,FALSE),""))</f>
        <v/>
      </c>
      <c r="N1492" s="40">
        <f>IF(E1492="","",IFERROR(1/(1/VLOOKUP(E1492,T_Produits,3,FALSE)),""))</f>
        <v/>
      </c>
      <c r="O1492" s="40">
        <f>IF(OR(D1492="",F1492=""),"",IF(OR(D1492="Casse / avarie",D1492="Perte / vol",D1492="Échantillon offert"),IF(I1492&lt;&gt;"",I1492,IF(N1492="","",F1492*N1492)),""))</f>
        <v/>
      </c>
      <c r="P1492" s="50">
        <f>IF(OR(D1492="",F1492=""),"",F1492*IF(OR(D1492="Reçu du magasin",D1492="Ajustement (+)"),1,-1))</f>
        <v/>
      </c>
      <c r="Q1492" s="34">
        <f>IF(C1492="","",YEAR(C1492-WEEKDAY(C1492,2)+4)&amp;"-S"&amp;TEXT(INT((C1492-DATE(YEAR(C1492-WEEKDAY(C1492,2)+4),1,3)+WEEKDAY(DATE(YEAR(C1492-WEEKDAY(C1492,2)+4),1,3),2)+5)/7),"00"))</f>
        <v/>
      </c>
    </row>
    <row r="1493" ht="18" customHeight="1">
      <c r="A1493" s="39" t="n">
        <v>1488</v>
      </c>
      <c r="B1493" s="33">
        <f>IF(C1493="","",IF(L1493="À RENSEIGNER","GIC",L1493)&amp;"-S"&amp;TEXT(A1493,"00000"))</f>
        <v/>
      </c>
      <c r="C1493" s="32" t="n"/>
      <c r="D1493" s="36" t="n"/>
      <c r="E1493" s="36" t="n"/>
      <c r="F1493" s="42" t="n"/>
      <c r="G1493" s="36" t="n"/>
      <c r="H1493" s="43" t="n"/>
      <c r="I1493" s="37" t="n"/>
      <c r="J1493" s="44" t="n"/>
      <c r="K1493" s="36" t="n"/>
      <c r="L1493" s="33">
        <f>IF(C1493="","",Commercial_Id)</f>
        <v/>
      </c>
      <c r="M1493" s="34">
        <f>IF(E1493="","",IFERROR(VLOOKUP(E1493,T_Produits,2,FALSE),""))</f>
        <v/>
      </c>
      <c r="N1493" s="40">
        <f>IF(E1493="","",IFERROR(1/(1/VLOOKUP(E1493,T_Produits,3,FALSE)),""))</f>
        <v/>
      </c>
      <c r="O1493" s="40">
        <f>IF(OR(D1493="",F1493=""),"",IF(OR(D1493="Casse / avarie",D1493="Perte / vol",D1493="Échantillon offert"),IF(I1493&lt;&gt;"",I1493,IF(N1493="","",F1493*N1493)),""))</f>
        <v/>
      </c>
      <c r="P1493" s="50">
        <f>IF(OR(D1493="",F1493=""),"",F1493*IF(OR(D1493="Reçu du magasin",D1493="Ajustement (+)"),1,-1))</f>
        <v/>
      </c>
      <c r="Q1493" s="34">
        <f>IF(C1493="","",YEAR(C1493-WEEKDAY(C1493,2)+4)&amp;"-S"&amp;TEXT(INT((C1493-DATE(YEAR(C1493-WEEKDAY(C1493,2)+4),1,3)+WEEKDAY(DATE(YEAR(C1493-WEEKDAY(C1493,2)+4),1,3),2)+5)/7),"00"))</f>
        <v/>
      </c>
    </row>
    <row r="1494" ht="18" customHeight="1">
      <c r="A1494" s="39" t="n">
        <v>1489</v>
      </c>
      <c r="B1494" s="33">
        <f>IF(C1494="","",IF(L1494="À RENSEIGNER","GIC",L1494)&amp;"-S"&amp;TEXT(A1494,"00000"))</f>
        <v/>
      </c>
      <c r="C1494" s="32" t="n"/>
      <c r="D1494" s="36" t="n"/>
      <c r="E1494" s="36" t="n"/>
      <c r="F1494" s="42" t="n"/>
      <c r="G1494" s="36" t="n"/>
      <c r="H1494" s="43" t="n"/>
      <c r="I1494" s="37" t="n"/>
      <c r="J1494" s="44" t="n"/>
      <c r="K1494" s="36" t="n"/>
      <c r="L1494" s="33">
        <f>IF(C1494="","",Commercial_Id)</f>
        <v/>
      </c>
      <c r="M1494" s="34">
        <f>IF(E1494="","",IFERROR(VLOOKUP(E1494,T_Produits,2,FALSE),""))</f>
        <v/>
      </c>
      <c r="N1494" s="40">
        <f>IF(E1494="","",IFERROR(1/(1/VLOOKUP(E1494,T_Produits,3,FALSE)),""))</f>
        <v/>
      </c>
      <c r="O1494" s="40">
        <f>IF(OR(D1494="",F1494=""),"",IF(OR(D1494="Casse / avarie",D1494="Perte / vol",D1494="Échantillon offert"),IF(I1494&lt;&gt;"",I1494,IF(N1494="","",F1494*N1494)),""))</f>
        <v/>
      </c>
      <c r="P1494" s="50">
        <f>IF(OR(D1494="",F1494=""),"",F1494*IF(OR(D1494="Reçu du magasin",D1494="Ajustement (+)"),1,-1))</f>
        <v/>
      </c>
      <c r="Q1494" s="34">
        <f>IF(C1494="","",YEAR(C1494-WEEKDAY(C1494,2)+4)&amp;"-S"&amp;TEXT(INT((C1494-DATE(YEAR(C1494-WEEKDAY(C1494,2)+4),1,3)+WEEKDAY(DATE(YEAR(C1494-WEEKDAY(C1494,2)+4),1,3),2)+5)/7),"00"))</f>
        <v/>
      </c>
    </row>
    <row r="1495" ht="18" customHeight="1">
      <c r="A1495" s="39" t="n">
        <v>1490</v>
      </c>
      <c r="B1495" s="33">
        <f>IF(C1495="","",IF(L1495="À RENSEIGNER","GIC",L1495)&amp;"-S"&amp;TEXT(A1495,"00000"))</f>
        <v/>
      </c>
      <c r="C1495" s="32" t="n"/>
      <c r="D1495" s="36" t="n"/>
      <c r="E1495" s="36" t="n"/>
      <c r="F1495" s="42" t="n"/>
      <c r="G1495" s="36" t="n"/>
      <c r="H1495" s="43" t="n"/>
      <c r="I1495" s="37" t="n"/>
      <c r="J1495" s="44" t="n"/>
      <c r="K1495" s="36" t="n"/>
      <c r="L1495" s="33">
        <f>IF(C1495="","",Commercial_Id)</f>
        <v/>
      </c>
      <c r="M1495" s="34">
        <f>IF(E1495="","",IFERROR(VLOOKUP(E1495,T_Produits,2,FALSE),""))</f>
        <v/>
      </c>
      <c r="N1495" s="40">
        <f>IF(E1495="","",IFERROR(1/(1/VLOOKUP(E1495,T_Produits,3,FALSE)),""))</f>
        <v/>
      </c>
      <c r="O1495" s="40">
        <f>IF(OR(D1495="",F1495=""),"",IF(OR(D1495="Casse / avarie",D1495="Perte / vol",D1495="Échantillon offert"),IF(I1495&lt;&gt;"",I1495,IF(N1495="","",F1495*N1495)),""))</f>
        <v/>
      </c>
      <c r="P1495" s="50">
        <f>IF(OR(D1495="",F1495=""),"",F1495*IF(OR(D1495="Reçu du magasin",D1495="Ajustement (+)"),1,-1))</f>
        <v/>
      </c>
      <c r="Q1495" s="34">
        <f>IF(C1495="","",YEAR(C1495-WEEKDAY(C1495,2)+4)&amp;"-S"&amp;TEXT(INT((C1495-DATE(YEAR(C1495-WEEKDAY(C1495,2)+4),1,3)+WEEKDAY(DATE(YEAR(C1495-WEEKDAY(C1495,2)+4),1,3),2)+5)/7),"00"))</f>
        <v/>
      </c>
    </row>
    <row r="1496" ht="18" customHeight="1">
      <c r="A1496" s="39" t="n">
        <v>1491</v>
      </c>
      <c r="B1496" s="33">
        <f>IF(C1496="","",IF(L1496="À RENSEIGNER","GIC",L1496)&amp;"-S"&amp;TEXT(A1496,"00000"))</f>
        <v/>
      </c>
      <c r="C1496" s="32" t="n"/>
      <c r="D1496" s="36" t="n"/>
      <c r="E1496" s="36" t="n"/>
      <c r="F1496" s="42" t="n"/>
      <c r="G1496" s="36" t="n"/>
      <c r="H1496" s="43" t="n"/>
      <c r="I1496" s="37" t="n"/>
      <c r="J1496" s="44" t="n"/>
      <c r="K1496" s="36" t="n"/>
      <c r="L1496" s="33">
        <f>IF(C1496="","",Commercial_Id)</f>
        <v/>
      </c>
      <c r="M1496" s="34">
        <f>IF(E1496="","",IFERROR(VLOOKUP(E1496,T_Produits,2,FALSE),""))</f>
        <v/>
      </c>
      <c r="N1496" s="40">
        <f>IF(E1496="","",IFERROR(1/(1/VLOOKUP(E1496,T_Produits,3,FALSE)),""))</f>
        <v/>
      </c>
      <c r="O1496" s="40">
        <f>IF(OR(D1496="",F1496=""),"",IF(OR(D1496="Casse / avarie",D1496="Perte / vol",D1496="Échantillon offert"),IF(I1496&lt;&gt;"",I1496,IF(N1496="","",F1496*N1496)),""))</f>
        <v/>
      </c>
      <c r="P1496" s="50">
        <f>IF(OR(D1496="",F1496=""),"",F1496*IF(OR(D1496="Reçu du magasin",D1496="Ajustement (+)"),1,-1))</f>
        <v/>
      </c>
      <c r="Q1496" s="34">
        <f>IF(C1496="","",YEAR(C1496-WEEKDAY(C1496,2)+4)&amp;"-S"&amp;TEXT(INT((C1496-DATE(YEAR(C1496-WEEKDAY(C1496,2)+4),1,3)+WEEKDAY(DATE(YEAR(C1496-WEEKDAY(C1496,2)+4),1,3),2)+5)/7),"00"))</f>
        <v/>
      </c>
    </row>
    <row r="1497" ht="18" customHeight="1">
      <c r="A1497" s="39" t="n">
        <v>1492</v>
      </c>
      <c r="B1497" s="33">
        <f>IF(C1497="","",IF(L1497="À RENSEIGNER","GIC",L1497)&amp;"-S"&amp;TEXT(A1497,"00000"))</f>
        <v/>
      </c>
      <c r="C1497" s="32" t="n"/>
      <c r="D1497" s="36" t="n"/>
      <c r="E1497" s="36" t="n"/>
      <c r="F1497" s="42" t="n"/>
      <c r="G1497" s="36" t="n"/>
      <c r="H1497" s="43" t="n"/>
      <c r="I1497" s="37" t="n"/>
      <c r="J1497" s="44" t="n"/>
      <c r="K1497" s="36" t="n"/>
      <c r="L1497" s="33">
        <f>IF(C1497="","",Commercial_Id)</f>
        <v/>
      </c>
      <c r="M1497" s="34">
        <f>IF(E1497="","",IFERROR(VLOOKUP(E1497,T_Produits,2,FALSE),""))</f>
        <v/>
      </c>
      <c r="N1497" s="40">
        <f>IF(E1497="","",IFERROR(1/(1/VLOOKUP(E1497,T_Produits,3,FALSE)),""))</f>
        <v/>
      </c>
      <c r="O1497" s="40">
        <f>IF(OR(D1497="",F1497=""),"",IF(OR(D1497="Casse / avarie",D1497="Perte / vol",D1497="Échantillon offert"),IF(I1497&lt;&gt;"",I1497,IF(N1497="","",F1497*N1497)),""))</f>
        <v/>
      </c>
      <c r="P1497" s="50">
        <f>IF(OR(D1497="",F1497=""),"",F1497*IF(OR(D1497="Reçu du magasin",D1497="Ajustement (+)"),1,-1))</f>
        <v/>
      </c>
      <c r="Q1497" s="34">
        <f>IF(C1497="","",YEAR(C1497-WEEKDAY(C1497,2)+4)&amp;"-S"&amp;TEXT(INT((C1497-DATE(YEAR(C1497-WEEKDAY(C1497,2)+4),1,3)+WEEKDAY(DATE(YEAR(C1497-WEEKDAY(C1497,2)+4),1,3),2)+5)/7),"00"))</f>
        <v/>
      </c>
    </row>
    <row r="1498" ht="18" customHeight="1">
      <c r="A1498" s="39" t="n">
        <v>1493</v>
      </c>
      <c r="B1498" s="33">
        <f>IF(C1498="","",IF(L1498="À RENSEIGNER","GIC",L1498)&amp;"-S"&amp;TEXT(A1498,"00000"))</f>
        <v/>
      </c>
      <c r="C1498" s="32" t="n"/>
      <c r="D1498" s="36" t="n"/>
      <c r="E1498" s="36" t="n"/>
      <c r="F1498" s="42" t="n"/>
      <c r="G1498" s="36" t="n"/>
      <c r="H1498" s="43" t="n"/>
      <c r="I1498" s="37" t="n"/>
      <c r="J1498" s="44" t="n"/>
      <c r="K1498" s="36" t="n"/>
      <c r="L1498" s="33">
        <f>IF(C1498="","",Commercial_Id)</f>
        <v/>
      </c>
      <c r="M1498" s="34">
        <f>IF(E1498="","",IFERROR(VLOOKUP(E1498,T_Produits,2,FALSE),""))</f>
        <v/>
      </c>
      <c r="N1498" s="40">
        <f>IF(E1498="","",IFERROR(1/(1/VLOOKUP(E1498,T_Produits,3,FALSE)),""))</f>
        <v/>
      </c>
      <c r="O1498" s="40">
        <f>IF(OR(D1498="",F1498=""),"",IF(OR(D1498="Casse / avarie",D1498="Perte / vol",D1498="Échantillon offert"),IF(I1498&lt;&gt;"",I1498,IF(N1498="","",F1498*N1498)),""))</f>
        <v/>
      </c>
      <c r="P1498" s="50">
        <f>IF(OR(D1498="",F1498=""),"",F1498*IF(OR(D1498="Reçu du magasin",D1498="Ajustement (+)"),1,-1))</f>
        <v/>
      </c>
      <c r="Q1498" s="34">
        <f>IF(C1498="","",YEAR(C1498-WEEKDAY(C1498,2)+4)&amp;"-S"&amp;TEXT(INT((C1498-DATE(YEAR(C1498-WEEKDAY(C1498,2)+4),1,3)+WEEKDAY(DATE(YEAR(C1498-WEEKDAY(C1498,2)+4),1,3),2)+5)/7),"00"))</f>
        <v/>
      </c>
    </row>
    <row r="1499" ht="18" customHeight="1">
      <c r="A1499" s="39" t="n">
        <v>1494</v>
      </c>
      <c r="B1499" s="33">
        <f>IF(C1499="","",IF(L1499="À RENSEIGNER","GIC",L1499)&amp;"-S"&amp;TEXT(A1499,"00000"))</f>
        <v/>
      </c>
      <c r="C1499" s="32" t="n"/>
      <c r="D1499" s="36" t="n"/>
      <c r="E1499" s="36" t="n"/>
      <c r="F1499" s="42" t="n"/>
      <c r="G1499" s="36" t="n"/>
      <c r="H1499" s="43" t="n"/>
      <c r="I1499" s="37" t="n"/>
      <c r="J1499" s="44" t="n"/>
      <c r="K1499" s="36" t="n"/>
      <c r="L1499" s="33">
        <f>IF(C1499="","",Commercial_Id)</f>
        <v/>
      </c>
      <c r="M1499" s="34">
        <f>IF(E1499="","",IFERROR(VLOOKUP(E1499,T_Produits,2,FALSE),""))</f>
        <v/>
      </c>
      <c r="N1499" s="40">
        <f>IF(E1499="","",IFERROR(1/(1/VLOOKUP(E1499,T_Produits,3,FALSE)),""))</f>
        <v/>
      </c>
      <c r="O1499" s="40">
        <f>IF(OR(D1499="",F1499=""),"",IF(OR(D1499="Casse / avarie",D1499="Perte / vol",D1499="Échantillon offert"),IF(I1499&lt;&gt;"",I1499,IF(N1499="","",F1499*N1499)),""))</f>
        <v/>
      </c>
      <c r="P1499" s="50">
        <f>IF(OR(D1499="",F1499=""),"",F1499*IF(OR(D1499="Reçu du magasin",D1499="Ajustement (+)"),1,-1))</f>
        <v/>
      </c>
      <c r="Q1499" s="34">
        <f>IF(C1499="","",YEAR(C1499-WEEKDAY(C1499,2)+4)&amp;"-S"&amp;TEXT(INT((C1499-DATE(YEAR(C1499-WEEKDAY(C1499,2)+4),1,3)+WEEKDAY(DATE(YEAR(C1499-WEEKDAY(C1499,2)+4),1,3),2)+5)/7),"00"))</f>
        <v/>
      </c>
    </row>
    <row r="1500" ht="18" customHeight="1">
      <c r="A1500" s="39" t="n">
        <v>1495</v>
      </c>
      <c r="B1500" s="33">
        <f>IF(C1500="","",IF(L1500="À RENSEIGNER","GIC",L1500)&amp;"-S"&amp;TEXT(A1500,"00000"))</f>
        <v/>
      </c>
      <c r="C1500" s="32" t="n"/>
      <c r="D1500" s="36" t="n"/>
      <c r="E1500" s="36" t="n"/>
      <c r="F1500" s="42" t="n"/>
      <c r="G1500" s="36" t="n"/>
      <c r="H1500" s="43" t="n"/>
      <c r="I1500" s="37" t="n"/>
      <c r="J1500" s="44" t="n"/>
      <c r="K1500" s="36" t="n"/>
      <c r="L1500" s="33">
        <f>IF(C1500="","",Commercial_Id)</f>
        <v/>
      </c>
      <c r="M1500" s="34">
        <f>IF(E1500="","",IFERROR(VLOOKUP(E1500,T_Produits,2,FALSE),""))</f>
        <v/>
      </c>
      <c r="N1500" s="40">
        <f>IF(E1500="","",IFERROR(1/(1/VLOOKUP(E1500,T_Produits,3,FALSE)),""))</f>
        <v/>
      </c>
      <c r="O1500" s="40">
        <f>IF(OR(D1500="",F1500=""),"",IF(OR(D1500="Casse / avarie",D1500="Perte / vol",D1500="Échantillon offert"),IF(I1500&lt;&gt;"",I1500,IF(N1500="","",F1500*N1500)),""))</f>
        <v/>
      </c>
      <c r="P1500" s="50">
        <f>IF(OR(D1500="",F1500=""),"",F1500*IF(OR(D1500="Reçu du magasin",D1500="Ajustement (+)"),1,-1))</f>
        <v/>
      </c>
      <c r="Q1500" s="34">
        <f>IF(C1500="","",YEAR(C1500-WEEKDAY(C1500,2)+4)&amp;"-S"&amp;TEXT(INT((C1500-DATE(YEAR(C1500-WEEKDAY(C1500,2)+4),1,3)+WEEKDAY(DATE(YEAR(C1500-WEEKDAY(C1500,2)+4),1,3),2)+5)/7),"00"))</f>
        <v/>
      </c>
    </row>
    <row r="1501" ht="18" customHeight="1">
      <c r="A1501" s="39" t="n">
        <v>1496</v>
      </c>
      <c r="B1501" s="33">
        <f>IF(C1501="","",IF(L1501="À RENSEIGNER","GIC",L1501)&amp;"-S"&amp;TEXT(A1501,"00000"))</f>
        <v/>
      </c>
      <c r="C1501" s="32" t="n"/>
      <c r="D1501" s="36" t="n"/>
      <c r="E1501" s="36" t="n"/>
      <c r="F1501" s="42" t="n"/>
      <c r="G1501" s="36" t="n"/>
      <c r="H1501" s="43" t="n"/>
      <c r="I1501" s="37" t="n"/>
      <c r="J1501" s="44" t="n"/>
      <c r="K1501" s="36" t="n"/>
      <c r="L1501" s="33">
        <f>IF(C1501="","",Commercial_Id)</f>
        <v/>
      </c>
      <c r="M1501" s="34">
        <f>IF(E1501="","",IFERROR(VLOOKUP(E1501,T_Produits,2,FALSE),""))</f>
        <v/>
      </c>
      <c r="N1501" s="40">
        <f>IF(E1501="","",IFERROR(1/(1/VLOOKUP(E1501,T_Produits,3,FALSE)),""))</f>
        <v/>
      </c>
      <c r="O1501" s="40">
        <f>IF(OR(D1501="",F1501=""),"",IF(OR(D1501="Casse / avarie",D1501="Perte / vol",D1501="Échantillon offert"),IF(I1501&lt;&gt;"",I1501,IF(N1501="","",F1501*N1501)),""))</f>
        <v/>
      </c>
      <c r="P1501" s="50">
        <f>IF(OR(D1501="",F1501=""),"",F1501*IF(OR(D1501="Reçu du magasin",D1501="Ajustement (+)"),1,-1))</f>
        <v/>
      </c>
      <c r="Q1501" s="34">
        <f>IF(C1501="","",YEAR(C1501-WEEKDAY(C1501,2)+4)&amp;"-S"&amp;TEXT(INT((C1501-DATE(YEAR(C1501-WEEKDAY(C1501,2)+4),1,3)+WEEKDAY(DATE(YEAR(C1501-WEEKDAY(C1501,2)+4),1,3),2)+5)/7),"00"))</f>
        <v/>
      </c>
    </row>
    <row r="1502" ht="18" customHeight="1">
      <c r="A1502" s="39" t="n">
        <v>1497</v>
      </c>
      <c r="B1502" s="33">
        <f>IF(C1502="","",IF(L1502="À RENSEIGNER","GIC",L1502)&amp;"-S"&amp;TEXT(A1502,"00000"))</f>
        <v/>
      </c>
      <c r="C1502" s="32" t="n"/>
      <c r="D1502" s="36" t="n"/>
      <c r="E1502" s="36" t="n"/>
      <c r="F1502" s="42" t="n"/>
      <c r="G1502" s="36" t="n"/>
      <c r="H1502" s="43" t="n"/>
      <c r="I1502" s="37" t="n"/>
      <c r="J1502" s="44" t="n"/>
      <c r="K1502" s="36" t="n"/>
      <c r="L1502" s="33">
        <f>IF(C1502="","",Commercial_Id)</f>
        <v/>
      </c>
      <c r="M1502" s="34">
        <f>IF(E1502="","",IFERROR(VLOOKUP(E1502,T_Produits,2,FALSE),""))</f>
        <v/>
      </c>
      <c r="N1502" s="40">
        <f>IF(E1502="","",IFERROR(1/(1/VLOOKUP(E1502,T_Produits,3,FALSE)),""))</f>
        <v/>
      </c>
      <c r="O1502" s="40">
        <f>IF(OR(D1502="",F1502=""),"",IF(OR(D1502="Casse / avarie",D1502="Perte / vol",D1502="Échantillon offert"),IF(I1502&lt;&gt;"",I1502,IF(N1502="","",F1502*N1502)),""))</f>
        <v/>
      </c>
      <c r="P1502" s="50">
        <f>IF(OR(D1502="",F1502=""),"",F1502*IF(OR(D1502="Reçu du magasin",D1502="Ajustement (+)"),1,-1))</f>
        <v/>
      </c>
      <c r="Q1502" s="34">
        <f>IF(C1502="","",YEAR(C1502-WEEKDAY(C1502,2)+4)&amp;"-S"&amp;TEXT(INT((C1502-DATE(YEAR(C1502-WEEKDAY(C1502,2)+4),1,3)+WEEKDAY(DATE(YEAR(C1502-WEEKDAY(C1502,2)+4),1,3),2)+5)/7),"00"))</f>
        <v/>
      </c>
    </row>
    <row r="1503" ht="18" customHeight="1">
      <c r="A1503" s="39" t="n">
        <v>1498</v>
      </c>
      <c r="B1503" s="33">
        <f>IF(C1503="","",IF(L1503="À RENSEIGNER","GIC",L1503)&amp;"-S"&amp;TEXT(A1503,"00000"))</f>
        <v/>
      </c>
      <c r="C1503" s="32" t="n"/>
      <c r="D1503" s="36" t="n"/>
      <c r="E1503" s="36" t="n"/>
      <c r="F1503" s="42" t="n"/>
      <c r="G1503" s="36" t="n"/>
      <c r="H1503" s="43" t="n"/>
      <c r="I1503" s="37" t="n"/>
      <c r="J1503" s="44" t="n"/>
      <c r="K1503" s="36" t="n"/>
      <c r="L1503" s="33">
        <f>IF(C1503="","",Commercial_Id)</f>
        <v/>
      </c>
      <c r="M1503" s="34">
        <f>IF(E1503="","",IFERROR(VLOOKUP(E1503,T_Produits,2,FALSE),""))</f>
        <v/>
      </c>
      <c r="N1503" s="40">
        <f>IF(E1503="","",IFERROR(1/(1/VLOOKUP(E1503,T_Produits,3,FALSE)),""))</f>
        <v/>
      </c>
      <c r="O1503" s="40">
        <f>IF(OR(D1503="",F1503=""),"",IF(OR(D1503="Casse / avarie",D1503="Perte / vol",D1503="Échantillon offert"),IF(I1503&lt;&gt;"",I1503,IF(N1503="","",F1503*N1503)),""))</f>
        <v/>
      </c>
      <c r="P1503" s="50">
        <f>IF(OR(D1503="",F1503=""),"",F1503*IF(OR(D1503="Reçu du magasin",D1503="Ajustement (+)"),1,-1))</f>
        <v/>
      </c>
      <c r="Q1503" s="34">
        <f>IF(C1503="","",YEAR(C1503-WEEKDAY(C1503,2)+4)&amp;"-S"&amp;TEXT(INT((C1503-DATE(YEAR(C1503-WEEKDAY(C1503,2)+4),1,3)+WEEKDAY(DATE(YEAR(C1503-WEEKDAY(C1503,2)+4),1,3),2)+5)/7),"00"))</f>
        <v/>
      </c>
    </row>
    <row r="1504" ht="18" customHeight="1">
      <c r="A1504" s="39" t="n">
        <v>1499</v>
      </c>
      <c r="B1504" s="33">
        <f>IF(C1504="","",IF(L1504="À RENSEIGNER","GIC",L1504)&amp;"-S"&amp;TEXT(A1504,"00000"))</f>
        <v/>
      </c>
      <c r="C1504" s="32" t="n"/>
      <c r="D1504" s="36" t="n"/>
      <c r="E1504" s="36" t="n"/>
      <c r="F1504" s="42" t="n"/>
      <c r="G1504" s="36" t="n"/>
      <c r="H1504" s="43" t="n"/>
      <c r="I1504" s="37" t="n"/>
      <c r="J1504" s="44" t="n"/>
      <c r="K1504" s="36" t="n"/>
      <c r="L1504" s="33">
        <f>IF(C1504="","",Commercial_Id)</f>
        <v/>
      </c>
      <c r="M1504" s="34">
        <f>IF(E1504="","",IFERROR(VLOOKUP(E1504,T_Produits,2,FALSE),""))</f>
        <v/>
      </c>
      <c r="N1504" s="40">
        <f>IF(E1504="","",IFERROR(1/(1/VLOOKUP(E1504,T_Produits,3,FALSE)),""))</f>
        <v/>
      </c>
      <c r="O1504" s="40">
        <f>IF(OR(D1504="",F1504=""),"",IF(OR(D1504="Casse / avarie",D1504="Perte / vol",D1504="Échantillon offert"),IF(I1504&lt;&gt;"",I1504,IF(N1504="","",F1504*N1504)),""))</f>
        <v/>
      </c>
      <c r="P1504" s="50">
        <f>IF(OR(D1504="",F1504=""),"",F1504*IF(OR(D1504="Reçu du magasin",D1504="Ajustement (+)"),1,-1))</f>
        <v/>
      </c>
      <c r="Q1504" s="34">
        <f>IF(C1504="","",YEAR(C1504-WEEKDAY(C1504,2)+4)&amp;"-S"&amp;TEXT(INT((C1504-DATE(YEAR(C1504-WEEKDAY(C1504,2)+4),1,3)+WEEKDAY(DATE(YEAR(C1504-WEEKDAY(C1504,2)+4),1,3),2)+5)/7),"00"))</f>
        <v/>
      </c>
    </row>
    <row r="1505" ht="18" customHeight="1">
      <c r="A1505" s="39" t="n">
        <v>1500</v>
      </c>
      <c r="B1505" s="33">
        <f>IF(C1505="","",IF(L1505="À RENSEIGNER","GIC",L1505)&amp;"-S"&amp;TEXT(A1505,"00000"))</f>
        <v/>
      </c>
      <c r="C1505" s="32" t="n"/>
      <c r="D1505" s="36" t="n"/>
      <c r="E1505" s="36" t="n"/>
      <c r="F1505" s="42" t="n"/>
      <c r="G1505" s="36" t="n"/>
      <c r="H1505" s="43" t="n"/>
      <c r="I1505" s="37" t="n"/>
      <c r="J1505" s="44" t="n"/>
      <c r="K1505" s="36" t="n"/>
      <c r="L1505" s="33">
        <f>IF(C1505="","",Commercial_Id)</f>
        <v/>
      </c>
      <c r="M1505" s="34">
        <f>IF(E1505="","",IFERROR(VLOOKUP(E1505,T_Produits,2,FALSE),""))</f>
        <v/>
      </c>
      <c r="N1505" s="40">
        <f>IF(E1505="","",IFERROR(1/(1/VLOOKUP(E1505,T_Produits,3,FALSE)),""))</f>
        <v/>
      </c>
      <c r="O1505" s="40">
        <f>IF(OR(D1505="",F1505=""),"",IF(OR(D1505="Casse / avarie",D1505="Perte / vol",D1505="Échantillon offert"),IF(I1505&lt;&gt;"",I1505,IF(N1505="","",F1505*N1505)),""))</f>
        <v/>
      </c>
      <c r="P1505" s="50">
        <f>IF(OR(D1505="",F1505=""),"",F1505*IF(OR(D1505="Reçu du magasin",D1505="Ajustement (+)"),1,-1))</f>
        <v/>
      </c>
      <c r="Q1505" s="34">
        <f>IF(C1505="","",YEAR(C1505-WEEKDAY(C1505,2)+4)&amp;"-S"&amp;TEXT(INT((C1505-DATE(YEAR(C1505-WEEKDAY(C1505,2)+4),1,3)+WEEKDAY(DATE(YEAR(C1505-WEEKDAY(C1505,2)+4),1,3),2)+5)/7),"00"))</f>
        <v/>
      </c>
    </row>
  </sheetData>
  <autoFilter ref="A5:Q1505"/>
  <mergeCells count="1">
    <mergeCell ref="A3:B3"/>
  </mergeCells>
  <conditionalFormatting sqref="C6:C1505">
    <cfRule type="expression" priority="1" dxfId="0">
      <formula>AND(COUNTA($C6:$K6)&gt;0,C6="")</formula>
    </cfRule>
    <cfRule type="expression" priority="2" dxfId="0">
      <formula>AND(C6&lt;&gt;"",NOT(ISNUMBER(C6)))</formula>
    </cfRule>
  </conditionalFormatting>
  <conditionalFormatting sqref="D6:D1505">
    <cfRule type="expression" priority="3" dxfId="0">
      <formula>AND(COUNTA($C6:$K6)&gt;0,D6="")</formula>
    </cfRule>
  </conditionalFormatting>
  <conditionalFormatting sqref="E6:E1505">
    <cfRule type="expression" priority="4" dxfId="0">
      <formula>AND(COUNTA($C6:$K6)&gt;0,E6="")</formula>
    </cfRule>
  </conditionalFormatting>
  <conditionalFormatting sqref="F6:F1505">
    <cfRule type="expression" priority="5" dxfId="0">
      <formula>AND(COUNTA($C6:$K6)&gt;0,F6="")</formula>
    </cfRule>
  </conditionalFormatting>
  <conditionalFormatting sqref="G6:G1505">
    <cfRule type="expression" priority="6" dxfId="0">
      <formula>AND(OR(D6="Casse / avarie",D6="Perte / vol"),G6="")</formula>
    </cfRule>
  </conditionalFormatting>
  <conditionalFormatting sqref="H6:H1505">
    <cfRule type="expression" priority="7" dxfId="0">
      <formula>AND(D6="Casse / avarie",H6="")</formula>
    </cfRule>
  </conditionalFormatting>
  <dataValidations count="7">
    <dataValidation sqref="C6:C1505" showDropDown="0" showInputMessage="0" showErrorMessage="1" allowBlank="1" errorTitle="Valeur hors liste" error="Choisissez la date dans la liste (aujourd'hui en tête). Vous pouvez aussi en taper une autre, au format jj/mm/aaaa. Cliquez sur OK pour la garder telle quelle." type="list" errorStyle="information">
      <formula1>=L_DatesPassees</formula1>
    </dataValidation>
    <dataValidation sqref="D6:D1505" showDropDown="0" showInputMessage="0" showErrorMessage="1" allowBlank="1" errorTitle="Valeur hors liste" error="Cette valeur n'est pas dans la liste. Choisissez-la avec la flèche à droite de la cellule." type="list" errorStyle="stop">
      <formula1>=L_Mouvement</formula1>
    </dataValidation>
    <dataValidation sqref="E6:E1505" showDropDown="0" showInputMessage="0" showErrorMessage="1" allowBlank="1" errorTitle="Valeur hors liste" error="Cette valeur n'est pas dans la liste. Choisissez-la avec la flèche à droite de la cellule." type="list" errorStyle="stop">
      <formula1>=L_Produit</formula1>
    </dataValidation>
    <dataValidation sqref="F6:F1505" showDropDown="0" showInputMessage="0" showErrorMessage="1" allowBlank="1" errorTitle="Valeur hors liste" error="Choisissez une quantité dans la liste ou tapez-en une autre. Cliquez sur OK pour la garder telle quelle." type="list" errorStyle="information">
      <formula1>=L_Quantites</formula1>
    </dataValidation>
    <dataValidation sqref="G6:G1505" showDropDown="0" showInputMessage="0" showErrorMessage="1" allowBlank="1" errorTitle="Valeur hors liste" error="Cette valeur n'est pas dans la liste. Choisissez-la avec la flèche à droite de la cellule." type="list" errorStyle="stop">
      <formula1>=L_Cause</formula1>
    </dataValidation>
    <dataValidation sqref="H6:H1505" showDropDown="0" showInputMessage="0" showErrorMessage="1" allowBlank="1" errorTitle="Valeur hors liste" error="Cette valeur n'est pas dans la liste. Choisissez-la avec la flèche à droite de la cellule." type="list" errorStyle="stop">
      <formula1>=L_OuiNon</formula1>
    </dataValidation>
    <dataValidation sqref="I6:I1505" showDropDown="0" showInputMessage="0" showErrorMessage="1" allowBlank="1" errorTitle="Nombre invalide" error="Saisissez un nombre supérieur ou égal à 0." type="decimal" errorStyle="stop" operator="greaterThanOrEqual">
      <formula1>0</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10.xml><?xml version="1.0" encoding="utf-8"?>
<worksheet xmlns="http://schemas.openxmlformats.org/spreadsheetml/2006/main">
  <sheetPr>
    <tabColor rgb="00E07B39"/>
    <outlinePr summaryBelow="1" summaryRight="1"/>
    <pageSetUpPr fitToPage="1"/>
  </sheetPr>
  <dimension ref="A1:J205"/>
  <sheetViews>
    <sheetView tabSelected="0" zoomScale="90" workbookViewId="0">
      <pane xSplit="3" ySplit="5" topLeftCell="D6"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30" customWidth="1" min="3" max="3"/>
    <col width="30" customWidth="1" min="4" max="4"/>
    <col width="12" customWidth="1" min="5" max="5"/>
    <col width="16" customWidth="1" min="6" max="6"/>
    <col width="14" customWidth="1" min="7" max="7"/>
    <col width="36" customWidth="1" min="8" max="8"/>
    <col width="14" customWidth="1" min="9" max="9"/>
    <col width="9" customWidth="1" min="10" max="10"/>
  </cols>
  <sheetData>
    <row r="1" ht="26" customHeight="1">
      <c r="A1" s="15" t="inlineStr">
        <is>
          <t>OBJECTIFS — ce que je dois atteindre</t>
        </is>
      </c>
    </row>
    <row r="2" ht="18" customHeight="1">
      <c r="A2" s="2" t="inlineStr">
        <is>
          <t>Une ligne par objectif et par période : choisissez l'indicateur, « Semaine » ou « Mois », le début dans la liste et la valeur. La fin se calcule seule.</t>
        </is>
      </c>
    </row>
    <row r="3" ht="22" customHeight="1">
      <c r="A3" s="16" t="inlineStr">
        <is>
          <t>◄ Sommaire</t>
        </is>
      </c>
      <c r="C3" s="27" t="inlineStr">
        <is>
          <t>Saisie</t>
        </is>
      </c>
      <c r="D3" s="28" t="inlineStr">
        <is>
          <t>Calculé</t>
        </is>
      </c>
      <c r="E3" s="29" t="inlineStr">
        <is>
          <t>À compléter</t>
        </is>
      </c>
    </row>
    <row r="4" ht="40" customHeight="1">
      <c r="A4" s="30" t="inlineStr"/>
      <c r="B4" s="30" t="inlineStr">
        <is>
          <t>Rempli seul ; remplaçable</t>
        </is>
      </c>
      <c r="C4" s="30" t="inlineStr">
        <is>
          <t>Liste</t>
        </is>
      </c>
      <c r="D4" s="30" t="inlineStr">
        <is>
          <t>Liste</t>
        </is>
      </c>
      <c r="E4" s="30" t="inlineStr">
        <is>
          <t>Semaine ou mois</t>
        </is>
      </c>
      <c r="F4" s="30" t="inlineStr">
        <is>
          <t>Lundi (semaine) ou 1er du mois</t>
        </is>
      </c>
      <c r="G4" s="30" t="inlineStr">
        <is>
          <t>Nombre à atteindre</t>
        </is>
      </c>
      <c r="H4" s="30" t="inlineStr">
        <is>
          <t>Libre</t>
        </is>
      </c>
      <c r="I4" s="30" t="inlineStr">
        <is>
          <t>Calculée</t>
        </is>
      </c>
      <c r="J4" s="30" t="inlineStr">
        <is>
          <t>Calculée : ≤ 7 = objectif de semaine</t>
        </is>
      </c>
    </row>
    <row r="5" ht="44" customHeight="1">
      <c r="A5" s="7" t="inlineStr">
        <is>
          <t>N°</t>
        </is>
      </c>
      <c r="B5" s="7" t="inlineStr">
        <is>
          <t>Commercial</t>
        </is>
      </c>
      <c r="C5" s="31" t="inlineStr">
        <is>
          <t>Indicateur</t>
        </is>
      </c>
      <c r="D5" s="31" t="inlineStr">
        <is>
          <t>Produit (si quantité)</t>
        </is>
      </c>
      <c r="E5" s="31" t="inlineStr">
        <is>
          <t>Période</t>
        </is>
      </c>
      <c r="F5" s="31" t="inlineStr">
        <is>
          <t>Début de la période</t>
        </is>
      </c>
      <c r="G5" s="31" t="inlineStr">
        <is>
          <t>Valeur cible</t>
        </is>
      </c>
      <c r="H5" s="31" t="inlineStr">
        <is>
          <t>Commentaire</t>
        </is>
      </c>
      <c r="I5" s="7" t="inlineStr">
        <is>
          <t>Fin de la période</t>
        </is>
      </c>
      <c r="J5" s="7" t="inlineStr">
        <is>
          <t>Durée (jours)</t>
        </is>
      </c>
    </row>
    <row r="6" ht="18" customHeight="1">
      <c r="A6" s="39" t="n">
        <v>1</v>
      </c>
      <c r="B6" s="33">
        <f>IF(C6="","",Commercial_Id)</f>
        <v/>
      </c>
      <c r="C6" s="36" t="n"/>
      <c r="D6" s="36" t="n"/>
      <c r="E6" s="43" t="n"/>
      <c r="F6" s="32" t="n"/>
      <c r="G6" s="51" t="n"/>
      <c r="H6" s="36" t="n"/>
      <c r="I6" s="46">
        <f>IF(OR(E6="",F6=""),"",IF(E6="Mois",DATE(YEAR(F6),MONTH(F6)+1,0),F6+6))</f>
        <v/>
      </c>
      <c r="J6" s="39">
        <f>IF(OR(F6="",I6=""),"",I6-F6+1)</f>
        <v/>
      </c>
    </row>
    <row r="7" ht="18" customHeight="1">
      <c r="A7" s="39" t="n">
        <v>2</v>
      </c>
      <c r="B7" s="33">
        <f>IF(C7="","",Commercial_Id)</f>
        <v/>
      </c>
      <c r="C7" s="36" t="n"/>
      <c r="D7" s="36" t="n"/>
      <c r="E7" s="43" t="n"/>
      <c r="F7" s="32" t="n"/>
      <c r="G7" s="51" t="n"/>
      <c r="H7" s="36" t="n"/>
      <c r="I7" s="46">
        <f>IF(OR(E7="",F7=""),"",IF(E7="Mois",DATE(YEAR(F7),MONTH(F7)+1,0),F7+6))</f>
        <v/>
      </c>
      <c r="J7" s="39">
        <f>IF(OR(F7="",I7=""),"",I7-F7+1)</f>
        <v/>
      </c>
    </row>
    <row r="8" ht="18" customHeight="1">
      <c r="A8" s="39" t="n">
        <v>3</v>
      </c>
      <c r="B8" s="33">
        <f>IF(C8="","",Commercial_Id)</f>
        <v/>
      </c>
      <c r="C8" s="36" t="n"/>
      <c r="D8" s="36" t="n"/>
      <c r="E8" s="43" t="n"/>
      <c r="F8" s="32" t="n"/>
      <c r="G8" s="51" t="n"/>
      <c r="H8" s="36" t="n"/>
      <c r="I8" s="46">
        <f>IF(OR(E8="",F8=""),"",IF(E8="Mois",DATE(YEAR(F8),MONTH(F8)+1,0),F8+6))</f>
        <v/>
      </c>
      <c r="J8" s="39">
        <f>IF(OR(F8="",I8=""),"",I8-F8+1)</f>
        <v/>
      </c>
    </row>
    <row r="9" ht="18" customHeight="1">
      <c r="A9" s="39" t="n">
        <v>4</v>
      </c>
      <c r="B9" s="33">
        <f>IF(C9="","",Commercial_Id)</f>
        <v/>
      </c>
      <c r="C9" s="36" t="n"/>
      <c r="D9" s="36" t="n"/>
      <c r="E9" s="43" t="n"/>
      <c r="F9" s="32" t="n"/>
      <c r="G9" s="51" t="n"/>
      <c r="H9" s="36" t="n"/>
      <c r="I9" s="46">
        <f>IF(OR(E9="",F9=""),"",IF(E9="Mois",DATE(YEAR(F9),MONTH(F9)+1,0),F9+6))</f>
        <v/>
      </c>
      <c r="J9" s="39">
        <f>IF(OR(F9="",I9=""),"",I9-F9+1)</f>
        <v/>
      </c>
    </row>
    <row r="10" ht="18" customHeight="1">
      <c r="A10" s="39" t="n">
        <v>5</v>
      </c>
      <c r="B10" s="33">
        <f>IF(C10="","",Commercial_Id)</f>
        <v/>
      </c>
      <c r="C10" s="36" t="n"/>
      <c r="D10" s="36" t="n"/>
      <c r="E10" s="43" t="n"/>
      <c r="F10" s="32" t="n"/>
      <c r="G10" s="51" t="n"/>
      <c r="H10" s="36" t="n"/>
      <c r="I10" s="46">
        <f>IF(OR(E10="",F10=""),"",IF(E10="Mois",DATE(YEAR(F10),MONTH(F10)+1,0),F10+6))</f>
        <v/>
      </c>
      <c r="J10" s="39">
        <f>IF(OR(F10="",I10=""),"",I10-F10+1)</f>
        <v/>
      </c>
    </row>
    <row r="11" ht="18" customHeight="1">
      <c r="A11" s="39" t="n">
        <v>6</v>
      </c>
      <c r="B11" s="33">
        <f>IF(C11="","",Commercial_Id)</f>
        <v/>
      </c>
      <c r="C11" s="36" t="n"/>
      <c r="D11" s="36" t="n"/>
      <c r="E11" s="43" t="n"/>
      <c r="F11" s="32" t="n"/>
      <c r="G11" s="51" t="n"/>
      <c r="H11" s="36" t="n"/>
      <c r="I11" s="46">
        <f>IF(OR(E11="",F11=""),"",IF(E11="Mois",DATE(YEAR(F11),MONTH(F11)+1,0),F11+6))</f>
        <v/>
      </c>
      <c r="J11" s="39">
        <f>IF(OR(F11="",I11=""),"",I11-F11+1)</f>
        <v/>
      </c>
    </row>
    <row r="12" ht="18" customHeight="1">
      <c r="A12" s="39" t="n">
        <v>7</v>
      </c>
      <c r="B12" s="33">
        <f>IF(C12="","",Commercial_Id)</f>
        <v/>
      </c>
      <c r="C12" s="36" t="n"/>
      <c r="D12" s="36" t="n"/>
      <c r="E12" s="43" t="n"/>
      <c r="F12" s="32" t="n"/>
      <c r="G12" s="51" t="n"/>
      <c r="H12" s="36" t="n"/>
      <c r="I12" s="46">
        <f>IF(OR(E12="",F12=""),"",IF(E12="Mois",DATE(YEAR(F12),MONTH(F12)+1,0),F12+6))</f>
        <v/>
      </c>
      <c r="J12" s="39">
        <f>IF(OR(F12="",I12=""),"",I12-F12+1)</f>
        <v/>
      </c>
    </row>
    <row r="13" ht="18" customHeight="1">
      <c r="A13" s="39" t="n">
        <v>8</v>
      </c>
      <c r="B13" s="33">
        <f>IF(C13="","",Commercial_Id)</f>
        <v/>
      </c>
      <c r="C13" s="36" t="n"/>
      <c r="D13" s="36" t="n"/>
      <c r="E13" s="43" t="n"/>
      <c r="F13" s="32" t="n"/>
      <c r="G13" s="51" t="n"/>
      <c r="H13" s="36" t="n"/>
      <c r="I13" s="46">
        <f>IF(OR(E13="",F13=""),"",IF(E13="Mois",DATE(YEAR(F13),MONTH(F13)+1,0),F13+6))</f>
        <v/>
      </c>
      <c r="J13" s="39">
        <f>IF(OR(F13="",I13=""),"",I13-F13+1)</f>
        <v/>
      </c>
    </row>
    <row r="14" ht="18" customHeight="1">
      <c r="A14" s="39" t="n">
        <v>9</v>
      </c>
      <c r="B14" s="33">
        <f>IF(C14="","",Commercial_Id)</f>
        <v/>
      </c>
      <c r="C14" s="36" t="n"/>
      <c r="D14" s="36" t="n"/>
      <c r="E14" s="43" t="n"/>
      <c r="F14" s="32" t="n"/>
      <c r="G14" s="51" t="n"/>
      <c r="H14" s="36" t="n"/>
      <c r="I14" s="46">
        <f>IF(OR(E14="",F14=""),"",IF(E14="Mois",DATE(YEAR(F14),MONTH(F14)+1,0),F14+6))</f>
        <v/>
      </c>
      <c r="J14" s="39">
        <f>IF(OR(F14="",I14=""),"",I14-F14+1)</f>
        <v/>
      </c>
    </row>
    <row r="15" ht="18" customHeight="1">
      <c r="A15" s="39" t="n">
        <v>10</v>
      </c>
      <c r="B15" s="33">
        <f>IF(C15="","",Commercial_Id)</f>
        <v/>
      </c>
      <c r="C15" s="36" t="n"/>
      <c r="D15" s="36" t="n"/>
      <c r="E15" s="43" t="n"/>
      <c r="F15" s="32" t="n"/>
      <c r="G15" s="51" t="n"/>
      <c r="H15" s="36" t="n"/>
      <c r="I15" s="46">
        <f>IF(OR(E15="",F15=""),"",IF(E15="Mois",DATE(YEAR(F15),MONTH(F15)+1,0),F15+6))</f>
        <v/>
      </c>
      <c r="J15" s="39">
        <f>IF(OR(F15="",I15=""),"",I15-F15+1)</f>
        <v/>
      </c>
    </row>
    <row r="16" ht="18" customHeight="1">
      <c r="A16" s="39" t="n">
        <v>11</v>
      </c>
      <c r="B16" s="33">
        <f>IF(C16="","",Commercial_Id)</f>
        <v/>
      </c>
      <c r="C16" s="36" t="n"/>
      <c r="D16" s="36" t="n"/>
      <c r="E16" s="43" t="n"/>
      <c r="F16" s="32" t="n"/>
      <c r="G16" s="51" t="n"/>
      <c r="H16" s="36" t="n"/>
      <c r="I16" s="46">
        <f>IF(OR(E16="",F16=""),"",IF(E16="Mois",DATE(YEAR(F16),MONTH(F16)+1,0),F16+6))</f>
        <v/>
      </c>
      <c r="J16" s="39">
        <f>IF(OR(F16="",I16=""),"",I16-F16+1)</f>
        <v/>
      </c>
    </row>
    <row r="17" ht="18" customHeight="1">
      <c r="A17" s="39" t="n">
        <v>12</v>
      </c>
      <c r="B17" s="33">
        <f>IF(C17="","",Commercial_Id)</f>
        <v/>
      </c>
      <c r="C17" s="36" t="n"/>
      <c r="D17" s="36" t="n"/>
      <c r="E17" s="43" t="n"/>
      <c r="F17" s="32" t="n"/>
      <c r="G17" s="51" t="n"/>
      <c r="H17" s="36" t="n"/>
      <c r="I17" s="46">
        <f>IF(OR(E17="",F17=""),"",IF(E17="Mois",DATE(YEAR(F17),MONTH(F17)+1,0),F17+6))</f>
        <v/>
      </c>
      <c r="J17" s="39">
        <f>IF(OR(F17="",I17=""),"",I17-F17+1)</f>
        <v/>
      </c>
    </row>
    <row r="18" ht="18" customHeight="1">
      <c r="A18" s="39" t="n">
        <v>13</v>
      </c>
      <c r="B18" s="33">
        <f>IF(C18="","",Commercial_Id)</f>
        <v/>
      </c>
      <c r="C18" s="36" t="n"/>
      <c r="D18" s="36" t="n"/>
      <c r="E18" s="43" t="n"/>
      <c r="F18" s="32" t="n"/>
      <c r="G18" s="51" t="n"/>
      <c r="H18" s="36" t="n"/>
      <c r="I18" s="46">
        <f>IF(OR(E18="",F18=""),"",IF(E18="Mois",DATE(YEAR(F18),MONTH(F18)+1,0),F18+6))</f>
        <v/>
      </c>
      <c r="J18" s="39">
        <f>IF(OR(F18="",I18=""),"",I18-F18+1)</f>
        <v/>
      </c>
    </row>
    <row r="19" ht="18" customHeight="1">
      <c r="A19" s="39" t="n">
        <v>14</v>
      </c>
      <c r="B19" s="33">
        <f>IF(C19="","",Commercial_Id)</f>
        <v/>
      </c>
      <c r="C19" s="36" t="n"/>
      <c r="D19" s="36" t="n"/>
      <c r="E19" s="43" t="n"/>
      <c r="F19" s="32" t="n"/>
      <c r="G19" s="51" t="n"/>
      <c r="H19" s="36" t="n"/>
      <c r="I19" s="46">
        <f>IF(OR(E19="",F19=""),"",IF(E19="Mois",DATE(YEAR(F19),MONTH(F19)+1,0),F19+6))</f>
        <v/>
      </c>
      <c r="J19" s="39">
        <f>IF(OR(F19="",I19=""),"",I19-F19+1)</f>
        <v/>
      </c>
    </row>
    <row r="20" ht="18" customHeight="1">
      <c r="A20" s="39" t="n">
        <v>15</v>
      </c>
      <c r="B20" s="33">
        <f>IF(C20="","",Commercial_Id)</f>
        <v/>
      </c>
      <c r="C20" s="36" t="n"/>
      <c r="D20" s="36" t="n"/>
      <c r="E20" s="43" t="n"/>
      <c r="F20" s="32" t="n"/>
      <c r="G20" s="51" t="n"/>
      <c r="H20" s="36" t="n"/>
      <c r="I20" s="46">
        <f>IF(OR(E20="",F20=""),"",IF(E20="Mois",DATE(YEAR(F20),MONTH(F20)+1,0),F20+6))</f>
        <v/>
      </c>
      <c r="J20" s="39">
        <f>IF(OR(F20="",I20=""),"",I20-F20+1)</f>
        <v/>
      </c>
    </row>
    <row r="21" ht="18" customHeight="1">
      <c r="A21" s="39" t="n">
        <v>16</v>
      </c>
      <c r="B21" s="33">
        <f>IF(C21="","",Commercial_Id)</f>
        <v/>
      </c>
      <c r="C21" s="36" t="n"/>
      <c r="D21" s="36" t="n"/>
      <c r="E21" s="43" t="n"/>
      <c r="F21" s="32" t="n"/>
      <c r="G21" s="51" t="n"/>
      <c r="H21" s="36" t="n"/>
      <c r="I21" s="46">
        <f>IF(OR(E21="",F21=""),"",IF(E21="Mois",DATE(YEAR(F21),MONTH(F21)+1,0),F21+6))</f>
        <v/>
      </c>
      <c r="J21" s="39">
        <f>IF(OR(F21="",I21=""),"",I21-F21+1)</f>
        <v/>
      </c>
    </row>
    <row r="22" ht="18" customHeight="1">
      <c r="A22" s="39" t="n">
        <v>17</v>
      </c>
      <c r="B22" s="33">
        <f>IF(C22="","",Commercial_Id)</f>
        <v/>
      </c>
      <c r="C22" s="36" t="n"/>
      <c r="D22" s="36" t="n"/>
      <c r="E22" s="43" t="n"/>
      <c r="F22" s="32" t="n"/>
      <c r="G22" s="51" t="n"/>
      <c r="H22" s="36" t="n"/>
      <c r="I22" s="46">
        <f>IF(OR(E22="",F22=""),"",IF(E22="Mois",DATE(YEAR(F22),MONTH(F22)+1,0),F22+6))</f>
        <v/>
      </c>
      <c r="J22" s="39">
        <f>IF(OR(F22="",I22=""),"",I22-F22+1)</f>
        <v/>
      </c>
    </row>
    <row r="23" ht="18" customHeight="1">
      <c r="A23" s="39" t="n">
        <v>18</v>
      </c>
      <c r="B23" s="33">
        <f>IF(C23="","",Commercial_Id)</f>
        <v/>
      </c>
      <c r="C23" s="36" t="n"/>
      <c r="D23" s="36" t="n"/>
      <c r="E23" s="43" t="n"/>
      <c r="F23" s="32" t="n"/>
      <c r="G23" s="51" t="n"/>
      <c r="H23" s="36" t="n"/>
      <c r="I23" s="46">
        <f>IF(OR(E23="",F23=""),"",IF(E23="Mois",DATE(YEAR(F23),MONTH(F23)+1,0),F23+6))</f>
        <v/>
      </c>
      <c r="J23" s="39">
        <f>IF(OR(F23="",I23=""),"",I23-F23+1)</f>
        <v/>
      </c>
    </row>
    <row r="24" ht="18" customHeight="1">
      <c r="A24" s="39" t="n">
        <v>19</v>
      </c>
      <c r="B24" s="33">
        <f>IF(C24="","",Commercial_Id)</f>
        <v/>
      </c>
      <c r="C24" s="36" t="n"/>
      <c r="D24" s="36" t="n"/>
      <c r="E24" s="43" t="n"/>
      <c r="F24" s="32" t="n"/>
      <c r="G24" s="51" t="n"/>
      <c r="H24" s="36" t="n"/>
      <c r="I24" s="46">
        <f>IF(OR(E24="",F24=""),"",IF(E24="Mois",DATE(YEAR(F24),MONTH(F24)+1,0),F24+6))</f>
        <v/>
      </c>
      <c r="J24" s="39">
        <f>IF(OR(F24="",I24=""),"",I24-F24+1)</f>
        <v/>
      </c>
    </row>
    <row r="25" ht="18" customHeight="1">
      <c r="A25" s="39" t="n">
        <v>20</v>
      </c>
      <c r="B25" s="33">
        <f>IF(C25="","",Commercial_Id)</f>
        <v/>
      </c>
      <c r="C25" s="36" t="n"/>
      <c r="D25" s="36" t="n"/>
      <c r="E25" s="43" t="n"/>
      <c r="F25" s="32" t="n"/>
      <c r="G25" s="51" t="n"/>
      <c r="H25" s="36" t="n"/>
      <c r="I25" s="46">
        <f>IF(OR(E25="",F25=""),"",IF(E25="Mois",DATE(YEAR(F25),MONTH(F25)+1,0),F25+6))</f>
        <v/>
      </c>
      <c r="J25" s="39">
        <f>IF(OR(F25="",I25=""),"",I25-F25+1)</f>
        <v/>
      </c>
    </row>
    <row r="26" ht="18" customHeight="1">
      <c r="A26" s="39" t="n">
        <v>21</v>
      </c>
      <c r="B26" s="33">
        <f>IF(C26="","",Commercial_Id)</f>
        <v/>
      </c>
      <c r="C26" s="36" t="n"/>
      <c r="D26" s="36" t="n"/>
      <c r="E26" s="43" t="n"/>
      <c r="F26" s="32" t="n"/>
      <c r="G26" s="51" t="n"/>
      <c r="H26" s="36" t="n"/>
      <c r="I26" s="46">
        <f>IF(OR(E26="",F26=""),"",IF(E26="Mois",DATE(YEAR(F26),MONTH(F26)+1,0),F26+6))</f>
        <v/>
      </c>
      <c r="J26" s="39">
        <f>IF(OR(F26="",I26=""),"",I26-F26+1)</f>
        <v/>
      </c>
    </row>
    <row r="27" ht="18" customHeight="1">
      <c r="A27" s="39" t="n">
        <v>22</v>
      </c>
      <c r="B27" s="33">
        <f>IF(C27="","",Commercial_Id)</f>
        <v/>
      </c>
      <c r="C27" s="36" t="n"/>
      <c r="D27" s="36" t="n"/>
      <c r="E27" s="43" t="n"/>
      <c r="F27" s="32" t="n"/>
      <c r="G27" s="51" t="n"/>
      <c r="H27" s="36" t="n"/>
      <c r="I27" s="46">
        <f>IF(OR(E27="",F27=""),"",IF(E27="Mois",DATE(YEAR(F27),MONTH(F27)+1,0),F27+6))</f>
        <v/>
      </c>
      <c r="J27" s="39">
        <f>IF(OR(F27="",I27=""),"",I27-F27+1)</f>
        <v/>
      </c>
    </row>
    <row r="28" ht="18" customHeight="1">
      <c r="A28" s="39" t="n">
        <v>23</v>
      </c>
      <c r="B28" s="33">
        <f>IF(C28="","",Commercial_Id)</f>
        <v/>
      </c>
      <c r="C28" s="36" t="n"/>
      <c r="D28" s="36" t="n"/>
      <c r="E28" s="43" t="n"/>
      <c r="F28" s="32" t="n"/>
      <c r="G28" s="51" t="n"/>
      <c r="H28" s="36" t="n"/>
      <c r="I28" s="46">
        <f>IF(OR(E28="",F28=""),"",IF(E28="Mois",DATE(YEAR(F28),MONTH(F28)+1,0),F28+6))</f>
        <v/>
      </c>
      <c r="J28" s="39">
        <f>IF(OR(F28="",I28=""),"",I28-F28+1)</f>
        <v/>
      </c>
    </row>
    <row r="29" ht="18" customHeight="1">
      <c r="A29" s="39" t="n">
        <v>24</v>
      </c>
      <c r="B29" s="33">
        <f>IF(C29="","",Commercial_Id)</f>
        <v/>
      </c>
      <c r="C29" s="36" t="n"/>
      <c r="D29" s="36" t="n"/>
      <c r="E29" s="43" t="n"/>
      <c r="F29" s="32" t="n"/>
      <c r="G29" s="51" t="n"/>
      <c r="H29" s="36" t="n"/>
      <c r="I29" s="46">
        <f>IF(OR(E29="",F29=""),"",IF(E29="Mois",DATE(YEAR(F29),MONTH(F29)+1,0),F29+6))</f>
        <v/>
      </c>
      <c r="J29" s="39">
        <f>IF(OR(F29="",I29=""),"",I29-F29+1)</f>
        <v/>
      </c>
    </row>
    <row r="30" ht="18" customHeight="1">
      <c r="A30" s="39" t="n">
        <v>25</v>
      </c>
      <c r="B30" s="33">
        <f>IF(C30="","",Commercial_Id)</f>
        <v/>
      </c>
      <c r="C30" s="36" t="n"/>
      <c r="D30" s="36" t="n"/>
      <c r="E30" s="43" t="n"/>
      <c r="F30" s="32" t="n"/>
      <c r="G30" s="51" t="n"/>
      <c r="H30" s="36" t="n"/>
      <c r="I30" s="46">
        <f>IF(OR(E30="",F30=""),"",IF(E30="Mois",DATE(YEAR(F30),MONTH(F30)+1,0),F30+6))</f>
        <v/>
      </c>
      <c r="J30" s="39">
        <f>IF(OR(F30="",I30=""),"",I30-F30+1)</f>
        <v/>
      </c>
    </row>
    <row r="31" ht="18" customHeight="1">
      <c r="A31" s="39" t="n">
        <v>26</v>
      </c>
      <c r="B31" s="33">
        <f>IF(C31="","",Commercial_Id)</f>
        <v/>
      </c>
      <c r="C31" s="36" t="n"/>
      <c r="D31" s="36" t="n"/>
      <c r="E31" s="43" t="n"/>
      <c r="F31" s="32" t="n"/>
      <c r="G31" s="51" t="n"/>
      <c r="H31" s="36" t="n"/>
      <c r="I31" s="46">
        <f>IF(OR(E31="",F31=""),"",IF(E31="Mois",DATE(YEAR(F31),MONTH(F31)+1,0),F31+6))</f>
        <v/>
      </c>
      <c r="J31" s="39">
        <f>IF(OR(F31="",I31=""),"",I31-F31+1)</f>
        <v/>
      </c>
    </row>
    <row r="32" ht="18" customHeight="1">
      <c r="A32" s="39" t="n">
        <v>27</v>
      </c>
      <c r="B32" s="33">
        <f>IF(C32="","",Commercial_Id)</f>
        <v/>
      </c>
      <c r="C32" s="36" t="n"/>
      <c r="D32" s="36" t="n"/>
      <c r="E32" s="43" t="n"/>
      <c r="F32" s="32" t="n"/>
      <c r="G32" s="51" t="n"/>
      <c r="H32" s="36" t="n"/>
      <c r="I32" s="46">
        <f>IF(OR(E32="",F32=""),"",IF(E32="Mois",DATE(YEAR(F32),MONTH(F32)+1,0),F32+6))</f>
        <v/>
      </c>
      <c r="J32" s="39">
        <f>IF(OR(F32="",I32=""),"",I32-F32+1)</f>
        <v/>
      </c>
    </row>
    <row r="33" ht="18" customHeight="1">
      <c r="A33" s="39" t="n">
        <v>28</v>
      </c>
      <c r="B33" s="33">
        <f>IF(C33="","",Commercial_Id)</f>
        <v/>
      </c>
      <c r="C33" s="36" t="n"/>
      <c r="D33" s="36" t="n"/>
      <c r="E33" s="43" t="n"/>
      <c r="F33" s="32" t="n"/>
      <c r="G33" s="51" t="n"/>
      <c r="H33" s="36" t="n"/>
      <c r="I33" s="46">
        <f>IF(OR(E33="",F33=""),"",IF(E33="Mois",DATE(YEAR(F33),MONTH(F33)+1,0),F33+6))</f>
        <v/>
      </c>
      <c r="J33" s="39">
        <f>IF(OR(F33="",I33=""),"",I33-F33+1)</f>
        <v/>
      </c>
    </row>
    <row r="34" ht="18" customHeight="1">
      <c r="A34" s="39" t="n">
        <v>29</v>
      </c>
      <c r="B34" s="33">
        <f>IF(C34="","",Commercial_Id)</f>
        <v/>
      </c>
      <c r="C34" s="36" t="n"/>
      <c r="D34" s="36" t="n"/>
      <c r="E34" s="43" t="n"/>
      <c r="F34" s="32" t="n"/>
      <c r="G34" s="51" t="n"/>
      <c r="H34" s="36" t="n"/>
      <c r="I34" s="46">
        <f>IF(OR(E34="",F34=""),"",IF(E34="Mois",DATE(YEAR(F34),MONTH(F34)+1,0),F34+6))</f>
        <v/>
      </c>
      <c r="J34" s="39">
        <f>IF(OR(F34="",I34=""),"",I34-F34+1)</f>
        <v/>
      </c>
    </row>
    <row r="35" ht="18" customHeight="1">
      <c r="A35" s="39" t="n">
        <v>30</v>
      </c>
      <c r="B35" s="33">
        <f>IF(C35="","",Commercial_Id)</f>
        <v/>
      </c>
      <c r="C35" s="36" t="n"/>
      <c r="D35" s="36" t="n"/>
      <c r="E35" s="43" t="n"/>
      <c r="F35" s="32" t="n"/>
      <c r="G35" s="51" t="n"/>
      <c r="H35" s="36" t="n"/>
      <c r="I35" s="46">
        <f>IF(OR(E35="",F35=""),"",IF(E35="Mois",DATE(YEAR(F35),MONTH(F35)+1,0),F35+6))</f>
        <v/>
      </c>
      <c r="J35" s="39">
        <f>IF(OR(F35="",I35=""),"",I35-F35+1)</f>
        <v/>
      </c>
    </row>
    <row r="36" ht="18" customHeight="1">
      <c r="A36" s="39" t="n">
        <v>31</v>
      </c>
      <c r="B36" s="33">
        <f>IF(C36="","",Commercial_Id)</f>
        <v/>
      </c>
      <c r="C36" s="36" t="n"/>
      <c r="D36" s="36" t="n"/>
      <c r="E36" s="43" t="n"/>
      <c r="F36" s="32" t="n"/>
      <c r="G36" s="51" t="n"/>
      <c r="H36" s="36" t="n"/>
      <c r="I36" s="46">
        <f>IF(OR(E36="",F36=""),"",IF(E36="Mois",DATE(YEAR(F36),MONTH(F36)+1,0),F36+6))</f>
        <v/>
      </c>
      <c r="J36" s="39">
        <f>IF(OR(F36="",I36=""),"",I36-F36+1)</f>
        <v/>
      </c>
    </row>
    <row r="37" ht="18" customHeight="1">
      <c r="A37" s="39" t="n">
        <v>32</v>
      </c>
      <c r="B37" s="33">
        <f>IF(C37="","",Commercial_Id)</f>
        <v/>
      </c>
      <c r="C37" s="36" t="n"/>
      <c r="D37" s="36" t="n"/>
      <c r="E37" s="43" t="n"/>
      <c r="F37" s="32" t="n"/>
      <c r="G37" s="51" t="n"/>
      <c r="H37" s="36" t="n"/>
      <c r="I37" s="46">
        <f>IF(OR(E37="",F37=""),"",IF(E37="Mois",DATE(YEAR(F37),MONTH(F37)+1,0),F37+6))</f>
        <v/>
      </c>
      <c r="J37" s="39">
        <f>IF(OR(F37="",I37=""),"",I37-F37+1)</f>
        <v/>
      </c>
    </row>
    <row r="38" ht="18" customHeight="1">
      <c r="A38" s="39" t="n">
        <v>33</v>
      </c>
      <c r="B38" s="33">
        <f>IF(C38="","",Commercial_Id)</f>
        <v/>
      </c>
      <c r="C38" s="36" t="n"/>
      <c r="D38" s="36" t="n"/>
      <c r="E38" s="43" t="n"/>
      <c r="F38" s="32" t="n"/>
      <c r="G38" s="51" t="n"/>
      <c r="H38" s="36" t="n"/>
      <c r="I38" s="46">
        <f>IF(OR(E38="",F38=""),"",IF(E38="Mois",DATE(YEAR(F38),MONTH(F38)+1,0),F38+6))</f>
        <v/>
      </c>
      <c r="J38" s="39">
        <f>IF(OR(F38="",I38=""),"",I38-F38+1)</f>
        <v/>
      </c>
    </row>
    <row r="39" ht="18" customHeight="1">
      <c r="A39" s="39" t="n">
        <v>34</v>
      </c>
      <c r="B39" s="33">
        <f>IF(C39="","",Commercial_Id)</f>
        <v/>
      </c>
      <c r="C39" s="36" t="n"/>
      <c r="D39" s="36" t="n"/>
      <c r="E39" s="43" t="n"/>
      <c r="F39" s="32" t="n"/>
      <c r="G39" s="51" t="n"/>
      <c r="H39" s="36" t="n"/>
      <c r="I39" s="46">
        <f>IF(OR(E39="",F39=""),"",IF(E39="Mois",DATE(YEAR(F39),MONTH(F39)+1,0),F39+6))</f>
        <v/>
      </c>
      <c r="J39" s="39">
        <f>IF(OR(F39="",I39=""),"",I39-F39+1)</f>
        <v/>
      </c>
    </row>
    <row r="40" ht="18" customHeight="1">
      <c r="A40" s="39" t="n">
        <v>35</v>
      </c>
      <c r="B40" s="33">
        <f>IF(C40="","",Commercial_Id)</f>
        <v/>
      </c>
      <c r="C40" s="36" t="n"/>
      <c r="D40" s="36" t="n"/>
      <c r="E40" s="43" t="n"/>
      <c r="F40" s="32" t="n"/>
      <c r="G40" s="51" t="n"/>
      <c r="H40" s="36" t="n"/>
      <c r="I40" s="46">
        <f>IF(OR(E40="",F40=""),"",IF(E40="Mois",DATE(YEAR(F40),MONTH(F40)+1,0),F40+6))</f>
        <v/>
      </c>
      <c r="J40" s="39">
        <f>IF(OR(F40="",I40=""),"",I40-F40+1)</f>
        <v/>
      </c>
    </row>
    <row r="41" ht="18" customHeight="1">
      <c r="A41" s="39" t="n">
        <v>36</v>
      </c>
      <c r="B41" s="33">
        <f>IF(C41="","",Commercial_Id)</f>
        <v/>
      </c>
      <c r="C41" s="36" t="n"/>
      <c r="D41" s="36" t="n"/>
      <c r="E41" s="43" t="n"/>
      <c r="F41" s="32" t="n"/>
      <c r="G41" s="51" t="n"/>
      <c r="H41" s="36" t="n"/>
      <c r="I41" s="46">
        <f>IF(OR(E41="",F41=""),"",IF(E41="Mois",DATE(YEAR(F41),MONTH(F41)+1,0),F41+6))</f>
        <v/>
      </c>
      <c r="J41" s="39">
        <f>IF(OR(F41="",I41=""),"",I41-F41+1)</f>
        <v/>
      </c>
    </row>
    <row r="42" ht="18" customHeight="1">
      <c r="A42" s="39" t="n">
        <v>37</v>
      </c>
      <c r="B42" s="33">
        <f>IF(C42="","",Commercial_Id)</f>
        <v/>
      </c>
      <c r="C42" s="36" t="n"/>
      <c r="D42" s="36" t="n"/>
      <c r="E42" s="43" t="n"/>
      <c r="F42" s="32" t="n"/>
      <c r="G42" s="51" t="n"/>
      <c r="H42" s="36" t="n"/>
      <c r="I42" s="46">
        <f>IF(OR(E42="",F42=""),"",IF(E42="Mois",DATE(YEAR(F42),MONTH(F42)+1,0),F42+6))</f>
        <v/>
      </c>
      <c r="J42" s="39">
        <f>IF(OR(F42="",I42=""),"",I42-F42+1)</f>
        <v/>
      </c>
    </row>
    <row r="43" ht="18" customHeight="1">
      <c r="A43" s="39" t="n">
        <v>38</v>
      </c>
      <c r="B43" s="33">
        <f>IF(C43="","",Commercial_Id)</f>
        <v/>
      </c>
      <c r="C43" s="36" t="n"/>
      <c r="D43" s="36" t="n"/>
      <c r="E43" s="43" t="n"/>
      <c r="F43" s="32" t="n"/>
      <c r="G43" s="51" t="n"/>
      <c r="H43" s="36" t="n"/>
      <c r="I43" s="46">
        <f>IF(OR(E43="",F43=""),"",IF(E43="Mois",DATE(YEAR(F43),MONTH(F43)+1,0),F43+6))</f>
        <v/>
      </c>
      <c r="J43" s="39">
        <f>IF(OR(F43="",I43=""),"",I43-F43+1)</f>
        <v/>
      </c>
    </row>
    <row r="44" ht="18" customHeight="1">
      <c r="A44" s="39" t="n">
        <v>39</v>
      </c>
      <c r="B44" s="33">
        <f>IF(C44="","",Commercial_Id)</f>
        <v/>
      </c>
      <c r="C44" s="36" t="n"/>
      <c r="D44" s="36" t="n"/>
      <c r="E44" s="43" t="n"/>
      <c r="F44" s="32" t="n"/>
      <c r="G44" s="51" t="n"/>
      <c r="H44" s="36" t="n"/>
      <c r="I44" s="46">
        <f>IF(OR(E44="",F44=""),"",IF(E44="Mois",DATE(YEAR(F44),MONTH(F44)+1,0),F44+6))</f>
        <v/>
      </c>
      <c r="J44" s="39">
        <f>IF(OR(F44="",I44=""),"",I44-F44+1)</f>
        <v/>
      </c>
    </row>
    <row r="45" ht="18" customHeight="1">
      <c r="A45" s="39" t="n">
        <v>40</v>
      </c>
      <c r="B45" s="33">
        <f>IF(C45="","",Commercial_Id)</f>
        <v/>
      </c>
      <c r="C45" s="36" t="n"/>
      <c r="D45" s="36" t="n"/>
      <c r="E45" s="43" t="n"/>
      <c r="F45" s="32" t="n"/>
      <c r="G45" s="51" t="n"/>
      <c r="H45" s="36" t="n"/>
      <c r="I45" s="46">
        <f>IF(OR(E45="",F45=""),"",IF(E45="Mois",DATE(YEAR(F45),MONTH(F45)+1,0),F45+6))</f>
        <v/>
      </c>
      <c r="J45" s="39">
        <f>IF(OR(F45="",I45=""),"",I45-F45+1)</f>
        <v/>
      </c>
    </row>
    <row r="46" ht="18" customHeight="1">
      <c r="A46" s="39" t="n">
        <v>41</v>
      </c>
      <c r="B46" s="33">
        <f>IF(C46="","",Commercial_Id)</f>
        <v/>
      </c>
      <c r="C46" s="36" t="n"/>
      <c r="D46" s="36" t="n"/>
      <c r="E46" s="43" t="n"/>
      <c r="F46" s="32" t="n"/>
      <c r="G46" s="51" t="n"/>
      <c r="H46" s="36" t="n"/>
      <c r="I46" s="46">
        <f>IF(OR(E46="",F46=""),"",IF(E46="Mois",DATE(YEAR(F46),MONTH(F46)+1,0),F46+6))</f>
        <v/>
      </c>
      <c r="J46" s="39">
        <f>IF(OR(F46="",I46=""),"",I46-F46+1)</f>
        <v/>
      </c>
    </row>
    <row r="47" ht="18" customHeight="1">
      <c r="A47" s="39" t="n">
        <v>42</v>
      </c>
      <c r="B47" s="33">
        <f>IF(C47="","",Commercial_Id)</f>
        <v/>
      </c>
      <c r="C47" s="36" t="n"/>
      <c r="D47" s="36" t="n"/>
      <c r="E47" s="43" t="n"/>
      <c r="F47" s="32" t="n"/>
      <c r="G47" s="51" t="n"/>
      <c r="H47" s="36" t="n"/>
      <c r="I47" s="46">
        <f>IF(OR(E47="",F47=""),"",IF(E47="Mois",DATE(YEAR(F47),MONTH(F47)+1,0),F47+6))</f>
        <v/>
      </c>
      <c r="J47" s="39">
        <f>IF(OR(F47="",I47=""),"",I47-F47+1)</f>
        <v/>
      </c>
    </row>
    <row r="48" ht="18" customHeight="1">
      <c r="A48" s="39" t="n">
        <v>43</v>
      </c>
      <c r="B48" s="33">
        <f>IF(C48="","",Commercial_Id)</f>
        <v/>
      </c>
      <c r="C48" s="36" t="n"/>
      <c r="D48" s="36" t="n"/>
      <c r="E48" s="43" t="n"/>
      <c r="F48" s="32" t="n"/>
      <c r="G48" s="51" t="n"/>
      <c r="H48" s="36" t="n"/>
      <c r="I48" s="46">
        <f>IF(OR(E48="",F48=""),"",IF(E48="Mois",DATE(YEAR(F48),MONTH(F48)+1,0),F48+6))</f>
        <v/>
      </c>
      <c r="J48" s="39">
        <f>IF(OR(F48="",I48=""),"",I48-F48+1)</f>
        <v/>
      </c>
    </row>
    <row r="49" ht="18" customHeight="1">
      <c r="A49" s="39" t="n">
        <v>44</v>
      </c>
      <c r="B49" s="33">
        <f>IF(C49="","",Commercial_Id)</f>
        <v/>
      </c>
      <c r="C49" s="36" t="n"/>
      <c r="D49" s="36" t="n"/>
      <c r="E49" s="43" t="n"/>
      <c r="F49" s="32" t="n"/>
      <c r="G49" s="51" t="n"/>
      <c r="H49" s="36" t="n"/>
      <c r="I49" s="46">
        <f>IF(OR(E49="",F49=""),"",IF(E49="Mois",DATE(YEAR(F49),MONTH(F49)+1,0),F49+6))</f>
        <v/>
      </c>
      <c r="J49" s="39">
        <f>IF(OR(F49="",I49=""),"",I49-F49+1)</f>
        <v/>
      </c>
    </row>
    <row r="50" ht="18" customHeight="1">
      <c r="A50" s="39" t="n">
        <v>45</v>
      </c>
      <c r="B50" s="33">
        <f>IF(C50="","",Commercial_Id)</f>
        <v/>
      </c>
      <c r="C50" s="36" t="n"/>
      <c r="D50" s="36" t="n"/>
      <c r="E50" s="43" t="n"/>
      <c r="F50" s="32" t="n"/>
      <c r="G50" s="51" t="n"/>
      <c r="H50" s="36" t="n"/>
      <c r="I50" s="46">
        <f>IF(OR(E50="",F50=""),"",IF(E50="Mois",DATE(YEAR(F50),MONTH(F50)+1,0),F50+6))</f>
        <v/>
      </c>
      <c r="J50" s="39">
        <f>IF(OR(F50="",I50=""),"",I50-F50+1)</f>
        <v/>
      </c>
    </row>
    <row r="51" ht="18" customHeight="1">
      <c r="A51" s="39" t="n">
        <v>46</v>
      </c>
      <c r="B51" s="33">
        <f>IF(C51="","",Commercial_Id)</f>
        <v/>
      </c>
      <c r="C51" s="36" t="n"/>
      <c r="D51" s="36" t="n"/>
      <c r="E51" s="43" t="n"/>
      <c r="F51" s="32" t="n"/>
      <c r="G51" s="51" t="n"/>
      <c r="H51" s="36" t="n"/>
      <c r="I51" s="46">
        <f>IF(OR(E51="",F51=""),"",IF(E51="Mois",DATE(YEAR(F51),MONTH(F51)+1,0),F51+6))</f>
        <v/>
      </c>
      <c r="J51" s="39">
        <f>IF(OR(F51="",I51=""),"",I51-F51+1)</f>
        <v/>
      </c>
    </row>
    <row r="52" ht="18" customHeight="1">
      <c r="A52" s="39" t="n">
        <v>47</v>
      </c>
      <c r="B52" s="33">
        <f>IF(C52="","",Commercial_Id)</f>
        <v/>
      </c>
      <c r="C52" s="36" t="n"/>
      <c r="D52" s="36" t="n"/>
      <c r="E52" s="43" t="n"/>
      <c r="F52" s="32" t="n"/>
      <c r="G52" s="51" t="n"/>
      <c r="H52" s="36" t="n"/>
      <c r="I52" s="46">
        <f>IF(OR(E52="",F52=""),"",IF(E52="Mois",DATE(YEAR(F52),MONTH(F52)+1,0),F52+6))</f>
        <v/>
      </c>
      <c r="J52" s="39">
        <f>IF(OR(F52="",I52=""),"",I52-F52+1)</f>
        <v/>
      </c>
    </row>
    <row r="53" ht="18" customHeight="1">
      <c r="A53" s="39" t="n">
        <v>48</v>
      </c>
      <c r="B53" s="33">
        <f>IF(C53="","",Commercial_Id)</f>
        <v/>
      </c>
      <c r="C53" s="36" t="n"/>
      <c r="D53" s="36" t="n"/>
      <c r="E53" s="43" t="n"/>
      <c r="F53" s="32" t="n"/>
      <c r="G53" s="51" t="n"/>
      <c r="H53" s="36" t="n"/>
      <c r="I53" s="46">
        <f>IF(OR(E53="",F53=""),"",IF(E53="Mois",DATE(YEAR(F53),MONTH(F53)+1,0),F53+6))</f>
        <v/>
      </c>
      <c r="J53" s="39">
        <f>IF(OR(F53="",I53=""),"",I53-F53+1)</f>
        <v/>
      </c>
    </row>
    <row r="54" ht="18" customHeight="1">
      <c r="A54" s="39" t="n">
        <v>49</v>
      </c>
      <c r="B54" s="33">
        <f>IF(C54="","",Commercial_Id)</f>
        <v/>
      </c>
      <c r="C54" s="36" t="n"/>
      <c r="D54" s="36" t="n"/>
      <c r="E54" s="43" t="n"/>
      <c r="F54" s="32" t="n"/>
      <c r="G54" s="51" t="n"/>
      <c r="H54" s="36" t="n"/>
      <c r="I54" s="46">
        <f>IF(OR(E54="",F54=""),"",IF(E54="Mois",DATE(YEAR(F54),MONTH(F54)+1,0),F54+6))</f>
        <v/>
      </c>
      <c r="J54" s="39">
        <f>IF(OR(F54="",I54=""),"",I54-F54+1)</f>
        <v/>
      </c>
    </row>
    <row r="55" ht="18" customHeight="1">
      <c r="A55" s="39" t="n">
        <v>50</v>
      </c>
      <c r="B55" s="33">
        <f>IF(C55="","",Commercial_Id)</f>
        <v/>
      </c>
      <c r="C55" s="36" t="n"/>
      <c r="D55" s="36" t="n"/>
      <c r="E55" s="43" t="n"/>
      <c r="F55" s="32" t="n"/>
      <c r="G55" s="51" t="n"/>
      <c r="H55" s="36" t="n"/>
      <c r="I55" s="46">
        <f>IF(OR(E55="",F55=""),"",IF(E55="Mois",DATE(YEAR(F55),MONTH(F55)+1,0),F55+6))</f>
        <v/>
      </c>
      <c r="J55" s="39">
        <f>IF(OR(F55="",I55=""),"",I55-F55+1)</f>
        <v/>
      </c>
    </row>
    <row r="56" ht="18" customHeight="1">
      <c r="A56" s="39" t="n">
        <v>51</v>
      </c>
      <c r="B56" s="33">
        <f>IF(C56="","",Commercial_Id)</f>
        <v/>
      </c>
      <c r="C56" s="36" t="n"/>
      <c r="D56" s="36" t="n"/>
      <c r="E56" s="43" t="n"/>
      <c r="F56" s="32" t="n"/>
      <c r="G56" s="51" t="n"/>
      <c r="H56" s="36" t="n"/>
      <c r="I56" s="46">
        <f>IF(OR(E56="",F56=""),"",IF(E56="Mois",DATE(YEAR(F56),MONTH(F56)+1,0),F56+6))</f>
        <v/>
      </c>
      <c r="J56" s="39">
        <f>IF(OR(F56="",I56=""),"",I56-F56+1)</f>
        <v/>
      </c>
    </row>
    <row r="57" ht="18" customHeight="1">
      <c r="A57" s="39" t="n">
        <v>52</v>
      </c>
      <c r="B57" s="33">
        <f>IF(C57="","",Commercial_Id)</f>
        <v/>
      </c>
      <c r="C57" s="36" t="n"/>
      <c r="D57" s="36" t="n"/>
      <c r="E57" s="43" t="n"/>
      <c r="F57" s="32" t="n"/>
      <c r="G57" s="51" t="n"/>
      <c r="H57" s="36" t="n"/>
      <c r="I57" s="46">
        <f>IF(OR(E57="",F57=""),"",IF(E57="Mois",DATE(YEAR(F57),MONTH(F57)+1,0),F57+6))</f>
        <v/>
      </c>
      <c r="J57" s="39">
        <f>IF(OR(F57="",I57=""),"",I57-F57+1)</f>
        <v/>
      </c>
    </row>
    <row r="58" ht="18" customHeight="1">
      <c r="A58" s="39" t="n">
        <v>53</v>
      </c>
      <c r="B58" s="33">
        <f>IF(C58="","",Commercial_Id)</f>
        <v/>
      </c>
      <c r="C58" s="36" t="n"/>
      <c r="D58" s="36" t="n"/>
      <c r="E58" s="43" t="n"/>
      <c r="F58" s="32" t="n"/>
      <c r="G58" s="51" t="n"/>
      <c r="H58" s="36" t="n"/>
      <c r="I58" s="46">
        <f>IF(OR(E58="",F58=""),"",IF(E58="Mois",DATE(YEAR(F58),MONTH(F58)+1,0),F58+6))</f>
        <v/>
      </c>
      <c r="J58" s="39">
        <f>IF(OR(F58="",I58=""),"",I58-F58+1)</f>
        <v/>
      </c>
    </row>
    <row r="59" ht="18" customHeight="1">
      <c r="A59" s="39" t="n">
        <v>54</v>
      </c>
      <c r="B59" s="33">
        <f>IF(C59="","",Commercial_Id)</f>
        <v/>
      </c>
      <c r="C59" s="36" t="n"/>
      <c r="D59" s="36" t="n"/>
      <c r="E59" s="43" t="n"/>
      <c r="F59" s="32" t="n"/>
      <c r="G59" s="51" t="n"/>
      <c r="H59" s="36" t="n"/>
      <c r="I59" s="46">
        <f>IF(OR(E59="",F59=""),"",IF(E59="Mois",DATE(YEAR(F59),MONTH(F59)+1,0),F59+6))</f>
        <v/>
      </c>
      <c r="J59" s="39">
        <f>IF(OR(F59="",I59=""),"",I59-F59+1)</f>
        <v/>
      </c>
    </row>
    <row r="60" ht="18" customHeight="1">
      <c r="A60" s="39" t="n">
        <v>55</v>
      </c>
      <c r="B60" s="33">
        <f>IF(C60="","",Commercial_Id)</f>
        <v/>
      </c>
      <c r="C60" s="36" t="n"/>
      <c r="D60" s="36" t="n"/>
      <c r="E60" s="43" t="n"/>
      <c r="F60" s="32" t="n"/>
      <c r="G60" s="51" t="n"/>
      <c r="H60" s="36" t="n"/>
      <c r="I60" s="46">
        <f>IF(OR(E60="",F60=""),"",IF(E60="Mois",DATE(YEAR(F60),MONTH(F60)+1,0),F60+6))</f>
        <v/>
      </c>
      <c r="J60" s="39">
        <f>IF(OR(F60="",I60=""),"",I60-F60+1)</f>
        <v/>
      </c>
    </row>
    <row r="61" ht="18" customHeight="1">
      <c r="A61" s="39" t="n">
        <v>56</v>
      </c>
      <c r="B61" s="33">
        <f>IF(C61="","",Commercial_Id)</f>
        <v/>
      </c>
      <c r="C61" s="36" t="n"/>
      <c r="D61" s="36" t="n"/>
      <c r="E61" s="43" t="n"/>
      <c r="F61" s="32" t="n"/>
      <c r="G61" s="51" t="n"/>
      <c r="H61" s="36" t="n"/>
      <c r="I61" s="46">
        <f>IF(OR(E61="",F61=""),"",IF(E61="Mois",DATE(YEAR(F61),MONTH(F61)+1,0),F61+6))</f>
        <v/>
      </c>
      <c r="J61" s="39">
        <f>IF(OR(F61="",I61=""),"",I61-F61+1)</f>
        <v/>
      </c>
    </row>
    <row r="62" ht="18" customHeight="1">
      <c r="A62" s="39" t="n">
        <v>57</v>
      </c>
      <c r="B62" s="33">
        <f>IF(C62="","",Commercial_Id)</f>
        <v/>
      </c>
      <c r="C62" s="36" t="n"/>
      <c r="D62" s="36" t="n"/>
      <c r="E62" s="43" t="n"/>
      <c r="F62" s="32" t="n"/>
      <c r="G62" s="51" t="n"/>
      <c r="H62" s="36" t="n"/>
      <c r="I62" s="46">
        <f>IF(OR(E62="",F62=""),"",IF(E62="Mois",DATE(YEAR(F62),MONTH(F62)+1,0),F62+6))</f>
        <v/>
      </c>
      <c r="J62" s="39">
        <f>IF(OR(F62="",I62=""),"",I62-F62+1)</f>
        <v/>
      </c>
    </row>
    <row r="63" ht="18" customHeight="1">
      <c r="A63" s="39" t="n">
        <v>58</v>
      </c>
      <c r="B63" s="33">
        <f>IF(C63="","",Commercial_Id)</f>
        <v/>
      </c>
      <c r="C63" s="36" t="n"/>
      <c r="D63" s="36" t="n"/>
      <c r="E63" s="43" t="n"/>
      <c r="F63" s="32" t="n"/>
      <c r="G63" s="51" t="n"/>
      <c r="H63" s="36" t="n"/>
      <c r="I63" s="46">
        <f>IF(OR(E63="",F63=""),"",IF(E63="Mois",DATE(YEAR(F63),MONTH(F63)+1,0),F63+6))</f>
        <v/>
      </c>
      <c r="J63" s="39">
        <f>IF(OR(F63="",I63=""),"",I63-F63+1)</f>
        <v/>
      </c>
    </row>
    <row r="64" ht="18" customHeight="1">
      <c r="A64" s="39" t="n">
        <v>59</v>
      </c>
      <c r="B64" s="33">
        <f>IF(C64="","",Commercial_Id)</f>
        <v/>
      </c>
      <c r="C64" s="36" t="n"/>
      <c r="D64" s="36" t="n"/>
      <c r="E64" s="43" t="n"/>
      <c r="F64" s="32" t="n"/>
      <c r="G64" s="51" t="n"/>
      <c r="H64" s="36" t="n"/>
      <c r="I64" s="46">
        <f>IF(OR(E64="",F64=""),"",IF(E64="Mois",DATE(YEAR(F64),MONTH(F64)+1,0),F64+6))</f>
        <v/>
      </c>
      <c r="J64" s="39">
        <f>IF(OR(F64="",I64=""),"",I64-F64+1)</f>
        <v/>
      </c>
    </row>
    <row r="65" ht="18" customHeight="1">
      <c r="A65" s="39" t="n">
        <v>60</v>
      </c>
      <c r="B65" s="33">
        <f>IF(C65="","",Commercial_Id)</f>
        <v/>
      </c>
      <c r="C65" s="36" t="n"/>
      <c r="D65" s="36" t="n"/>
      <c r="E65" s="43" t="n"/>
      <c r="F65" s="32" t="n"/>
      <c r="G65" s="51" t="n"/>
      <c r="H65" s="36" t="n"/>
      <c r="I65" s="46">
        <f>IF(OR(E65="",F65=""),"",IF(E65="Mois",DATE(YEAR(F65),MONTH(F65)+1,0),F65+6))</f>
        <v/>
      </c>
      <c r="J65" s="39">
        <f>IF(OR(F65="",I65=""),"",I65-F65+1)</f>
        <v/>
      </c>
    </row>
    <row r="66" ht="18" customHeight="1">
      <c r="A66" s="39" t="n">
        <v>61</v>
      </c>
      <c r="B66" s="33">
        <f>IF(C66="","",Commercial_Id)</f>
        <v/>
      </c>
      <c r="C66" s="36" t="n"/>
      <c r="D66" s="36" t="n"/>
      <c r="E66" s="43" t="n"/>
      <c r="F66" s="32" t="n"/>
      <c r="G66" s="51" t="n"/>
      <c r="H66" s="36" t="n"/>
      <c r="I66" s="46">
        <f>IF(OR(E66="",F66=""),"",IF(E66="Mois",DATE(YEAR(F66),MONTH(F66)+1,0),F66+6))</f>
        <v/>
      </c>
      <c r="J66" s="39">
        <f>IF(OR(F66="",I66=""),"",I66-F66+1)</f>
        <v/>
      </c>
    </row>
    <row r="67" ht="18" customHeight="1">
      <c r="A67" s="39" t="n">
        <v>62</v>
      </c>
      <c r="B67" s="33">
        <f>IF(C67="","",Commercial_Id)</f>
        <v/>
      </c>
      <c r="C67" s="36" t="n"/>
      <c r="D67" s="36" t="n"/>
      <c r="E67" s="43" t="n"/>
      <c r="F67" s="32" t="n"/>
      <c r="G67" s="51" t="n"/>
      <c r="H67" s="36" t="n"/>
      <c r="I67" s="46">
        <f>IF(OR(E67="",F67=""),"",IF(E67="Mois",DATE(YEAR(F67),MONTH(F67)+1,0),F67+6))</f>
        <v/>
      </c>
      <c r="J67" s="39">
        <f>IF(OR(F67="",I67=""),"",I67-F67+1)</f>
        <v/>
      </c>
    </row>
    <row r="68" ht="18" customHeight="1">
      <c r="A68" s="39" t="n">
        <v>63</v>
      </c>
      <c r="B68" s="33">
        <f>IF(C68="","",Commercial_Id)</f>
        <v/>
      </c>
      <c r="C68" s="36" t="n"/>
      <c r="D68" s="36" t="n"/>
      <c r="E68" s="43" t="n"/>
      <c r="F68" s="32" t="n"/>
      <c r="G68" s="51" t="n"/>
      <c r="H68" s="36" t="n"/>
      <c r="I68" s="46">
        <f>IF(OR(E68="",F68=""),"",IF(E68="Mois",DATE(YEAR(F68),MONTH(F68)+1,0),F68+6))</f>
        <v/>
      </c>
      <c r="J68" s="39">
        <f>IF(OR(F68="",I68=""),"",I68-F68+1)</f>
        <v/>
      </c>
    </row>
    <row r="69" ht="18" customHeight="1">
      <c r="A69" s="39" t="n">
        <v>64</v>
      </c>
      <c r="B69" s="33">
        <f>IF(C69="","",Commercial_Id)</f>
        <v/>
      </c>
      <c r="C69" s="36" t="n"/>
      <c r="D69" s="36" t="n"/>
      <c r="E69" s="43" t="n"/>
      <c r="F69" s="32" t="n"/>
      <c r="G69" s="51" t="n"/>
      <c r="H69" s="36" t="n"/>
      <c r="I69" s="46">
        <f>IF(OR(E69="",F69=""),"",IF(E69="Mois",DATE(YEAR(F69),MONTH(F69)+1,0),F69+6))</f>
        <v/>
      </c>
      <c r="J69" s="39">
        <f>IF(OR(F69="",I69=""),"",I69-F69+1)</f>
        <v/>
      </c>
    </row>
    <row r="70" ht="18" customHeight="1">
      <c r="A70" s="39" t="n">
        <v>65</v>
      </c>
      <c r="B70" s="33">
        <f>IF(C70="","",Commercial_Id)</f>
        <v/>
      </c>
      <c r="C70" s="36" t="n"/>
      <c r="D70" s="36" t="n"/>
      <c r="E70" s="43" t="n"/>
      <c r="F70" s="32" t="n"/>
      <c r="G70" s="51" t="n"/>
      <c r="H70" s="36" t="n"/>
      <c r="I70" s="46">
        <f>IF(OR(E70="",F70=""),"",IF(E70="Mois",DATE(YEAR(F70),MONTH(F70)+1,0),F70+6))</f>
        <v/>
      </c>
      <c r="J70" s="39">
        <f>IF(OR(F70="",I70=""),"",I70-F70+1)</f>
        <v/>
      </c>
    </row>
    <row r="71" ht="18" customHeight="1">
      <c r="A71" s="39" t="n">
        <v>66</v>
      </c>
      <c r="B71" s="33">
        <f>IF(C71="","",Commercial_Id)</f>
        <v/>
      </c>
      <c r="C71" s="36" t="n"/>
      <c r="D71" s="36" t="n"/>
      <c r="E71" s="43" t="n"/>
      <c r="F71" s="32" t="n"/>
      <c r="G71" s="51" t="n"/>
      <c r="H71" s="36" t="n"/>
      <c r="I71" s="46">
        <f>IF(OR(E71="",F71=""),"",IF(E71="Mois",DATE(YEAR(F71),MONTH(F71)+1,0),F71+6))</f>
        <v/>
      </c>
      <c r="J71" s="39">
        <f>IF(OR(F71="",I71=""),"",I71-F71+1)</f>
        <v/>
      </c>
    </row>
    <row r="72" ht="18" customHeight="1">
      <c r="A72" s="39" t="n">
        <v>67</v>
      </c>
      <c r="B72" s="33">
        <f>IF(C72="","",Commercial_Id)</f>
        <v/>
      </c>
      <c r="C72" s="36" t="n"/>
      <c r="D72" s="36" t="n"/>
      <c r="E72" s="43" t="n"/>
      <c r="F72" s="32" t="n"/>
      <c r="G72" s="51" t="n"/>
      <c r="H72" s="36" t="n"/>
      <c r="I72" s="46">
        <f>IF(OR(E72="",F72=""),"",IF(E72="Mois",DATE(YEAR(F72),MONTH(F72)+1,0),F72+6))</f>
        <v/>
      </c>
      <c r="J72" s="39">
        <f>IF(OR(F72="",I72=""),"",I72-F72+1)</f>
        <v/>
      </c>
    </row>
    <row r="73" ht="18" customHeight="1">
      <c r="A73" s="39" t="n">
        <v>68</v>
      </c>
      <c r="B73" s="33">
        <f>IF(C73="","",Commercial_Id)</f>
        <v/>
      </c>
      <c r="C73" s="36" t="n"/>
      <c r="D73" s="36" t="n"/>
      <c r="E73" s="43" t="n"/>
      <c r="F73" s="32" t="n"/>
      <c r="G73" s="51" t="n"/>
      <c r="H73" s="36" t="n"/>
      <c r="I73" s="46">
        <f>IF(OR(E73="",F73=""),"",IF(E73="Mois",DATE(YEAR(F73),MONTH(F73)+1,0),F73+6))</f>
        <v/>
      </c>
      <c r="J73" s="39">
        <f>IF(OR(F73="",I73=""),"",I73-F73+1)</f>
        <v/>
      </c>
    </row>
    <row r="74" ht="18" customHeight="1">
      <c r="A74" s="39" t="n">
        <v>69</v>
      </c>
      <c r="B74" s="33">
        <f>IF(C74="","",Commercial_Id)</f>
        <v/>
      </c>
      <c r="C74" s="36" t="n"/>
      <c r="D74" s="36" t="n"/>
      <c r="E74" s="43" t="n"/>
      <c r="F74" s="32" t="n"/>
      <c r="G74" s="51" t="n"/>
      <c r="H74" s="36" t="n"/>
      <c r="I74" s="46">
        <f>IF(OR(E74="",F74=""),"",IF(E74="Mois",DATE(YEAR(F74),MONTH(F74)+1,0),F74+6))</f>
        <v/>
      </c>
      <c r="J74" s="39">
        <f>IF(OR(F74="",I74=""),"",I74-F74+1)</f>
        <v/>
      </c>
    </row>
    <row r="75" ht="18" customHeight="1">
      <c r="A75" s="39" t="n">
        <v>70</v>
      </c>
      <c r="B75" s="33">
        <f>IF(C75="","",Commercial_Id)</f>
        <v/>
      </c>
      <c r="C75" s="36" t="n"/>
      <c r="D75" s="36" t="n"/>
      <c r="E75" s="43" t="n"/>
      <c r="F75" s="32" t="n"/>
      <c r="G75" s="51" t="n"/>
      <c r="H75" s="36" t="n"/>
      <c r="I75" s="46">
        <f>IF(OR(E75="",F75=""),"",IF(E75="Mois",DATE(YEAR(F75),MONTH(F75)+1,0),F75+6))</f>
        <v/>
      </c>
      <c r="J75" s="39">
        <f>IF(OR(F75="",I75=""),"",I75-F75+1)</f>
        <v/>
      </c>
    </row>
    <row r="76" ht="18" customHeight="1">
      <c r="A76" s="39" t="n">
        <v>71</v>
      </c>
      <c r="B76" s="33">
        <f>IF(C76="","",Commercial_Id)</f>
        <v/>
      </c>
      <c r="C76" s="36" t="n"/>
      <c r="D76" s="36" t="n"/>
      <c r="E76" s="43" t="n"/>
      <c r="F76" s="32" t="n"/>
      <c r="G76" s="51" t="n"/>
      <c r="H76" s="36" t="n"/>
      <c r="I76" s="46">
        <f>IF(OR(E76="",F76=""),"",IF(E76="Mois",DATE(YEAR(F76),MONTH(F76)+1,0),F76+6))</f>
        <v/>
      </c>
      <c r="J76" s="39">
        <f>IF(OR(F76="",I76=""),"",I76-F76+1)</f>
        <v/>
      </c>
    </row>
    <row r="77" ht="18" customHeight="1">
      <c r="A77" s="39" t="n">
        <v>72</v>
      </c>
      <c r="B77" s="33">
        <f>IF(C77="","",Commercial_Id)</f>
        <v/>
      </c>
      <c r="C77" s="36" t="n"/>
      <c r="D77" s="36" t="n"/>
      <c r="E77" s="43" t="n"/>
      <c r="F77" s="32" t="n"/>
      <c r="G77" s="51" t="n"/>
      <c r="H77" s="36" t="n"/>
      <c r="I77" s="46">
        <f>IF(OR(E77="",F77=""),"",IF(E77="Mois",DATE(YEAR(F77),MONTH(F77)+1,0),F77+6))</f>
        <v/>
      </c>
      <c r="J77" s="39">
        <f>IF(OR(F77="",I77=""),"",I77-F77+1)</f>
        <v/>
      </c>
    </row>
    <row r="78" ht="18" customHeight="1">
      <c r="A78" s="39" t="n">
        <v>73</v>
      </c>
      <c r="B78" s="33">
        <f>IF(C78="","",Commercial_Id)</f>
        <v/>
      </c>
      <c r="C78" s="36" t="n"/>
      <c r="D78" s="36" t="n"/>
      <c r="E78" s="43" t="n"/>
      <c r="F78" s="32" t="n"/>
      <c r="G78" s="51" t="n"/>
      <c r="H78" s="36" t="n"/>
      <c r="I78" s="46">
        <f>IF(OR(E78="",F78=""),"",IF(E78="Mois",DATE(YEAR(F78),MONTH(F78)+1,0),F78+6))</f>
        <v/>
      </c>
      <c r="J78" s="39">
        <f>IF(OR(F78="",I78=""),"",I78-F78+1)</f>
        <v/>
      </c>
    </row>
    <row r="79" ht="18" customHeight="1">
      <c r="A79" s="39" t="n">
        <v>74</v>
      </c>
      <c r="B79" s="33">
        <f>IF(C79="","",Commercial_Id)</f>
        <v/>
      </c>
      <c r="C79" s="36" t="n"/>
      <c r="D79" s="36" t="n"/>
      <c r="E79" s="43" t="n"/>
      <c r="F79" s="32" t="n"/>
      <c r="G79" s="51" t="n"/>
      <c r="H79" s="36" t="n"/>
      <c r="I79" s="46">
        <f>IF(OR(E79="",F79=""),"",IF(E79="Mois",DATE(YEAR(F79),MONTH(F79)+1,0),F79+6))</f>
        <v/>
      </c>
      <c r="J79" s="39">
        <f>IF(OR(F79="",I79=""),"",I79-F79+1)</f>
        <v/>
      </c>
    </row>
    <row r="80" ht="18" customHeight="1">
      <c r="A80" s="39" t="n">
        <v>75</v>
      </c>
      <c r="B80" s="33">
        <f>IF(C80="","",Commercial_Id)</f>
        <v/>
      </c>
      <c r="C80" s="36" t="n"/>
      <c r="D80" s="36" t="n"/>
      <c r="E80" s="43" t="n"/>
      <c r="F80" s="32" t="n"/>
      <c r="G80" s="51" t="n"/>
      <c r="H80" s="36" t="n"/>
      <c r="I80" s="46">
        <f>IF(OR(E80="",F80=""),"",IF(E80="Mois",DATE(YEAR(F80),MONTH(F80)+1,0),F80+6))</f>
        <v/>
      </c>
      <c r="J80" s="39">
        <f>IF(OR(F80="",I80=""),"",I80-F80+1)</f>
        <v/>
      </c>
    </row>
    <row r="81" ht="18" customHeight="1">
      <c r="A81" s="39" t="n">
        <v>76</v>
      </c>
      <c r="B81" s="33">
        <f>IF(C81="","",Commercial_Id)</f>
        <v/>
      </c>
      <c r="C81" s="36" t="n"/>
      <c r="D81" s="36" t="n"/>
      <c r="E81" s="43" t="n"/>
      <c r="F81" s="32" t="n"/>
      <c r="G81" s="51" t="n"/>
      <c r="H81" s="36" t="n"/>
      <c r="I81" s="46">
        <f>IF(OR(E81="",F81=""),"",IF(E81="Mois",DATE(YEAR(F81),MONTH(F81)+1,0),F81+6))</f>
        <v/>
      </c>
      <c r="J81" s="39">
        <f>IF(OR(F81="",I81=""),"",I81-F81+1)</f>
        <v/>
      </c>
    </row>
    <row r="82" ht="18" customHeight="1">
      <c r="A82" s="39" t="n">
        <v>77</v>
      </c>
      <c r="B82" s="33">
        <f>IF(C82="","",Commercial_Id)</f>
        <v/>
      </c>
      <c r="C82" s="36" t="n"/>
      <c r="D82" s="36" t="n"/>
      <c r="E82" s="43" t="n"/>
      <c r="F82" s="32" t="n"/>
      <c r="G82" s="51" t="n"/>
      <c r="H82" s="36" t="n"/>
      <c r="I82" s="46">
        <f>IF(OR(E82="",F82=""),"",IF(E82="Mois",DATE(YEAR(F82),MONTH(F82)+1,0),F82+6))</f>
        <v/>
      </c>
      <c r="J82" s="39">
        <f>IF(OR(F82="",I82=""),"",I82-F82+1)</f>
        <v/>
      </c>
    </row>
    <row r="83" ht="18" customHeight="1">
      <c r="A83" s="39" t="n">
        <v>78</v>
      </c>
      <c r="B83" s="33">
        <f>IF(C83="","",Commercial_Id)</f>
        <v/>
      </c>
      <c r="C83" s="36" t="n"/>
      <c r="D83" s="36" t="n"/>
      <c r="E83" s="43" t="n"/>
      <c r="F83" s="32" t="n"/>
      <c r="G83" s="51" t="n"/>
      <c r="H83" s="36" t="n"/>
      <c r="I83" s="46">
        <f>IF(OR(E83="",F83=""),"",IF(E83="Mois",DATE(YEAR(F83),MONTH(F83)+1,0),F83+6))</f>
        <v/>
      </c>
      <c r="J83" s="39">
        <f>IF(OR(F83="",I83=""),"",I83-F83+1)</f>
        <v/>
      </c>
    </row>
    <row r="84" ht="18" customHeight="1">
      <c r="A84" s="39" t="n">
        <v>79</v>
      </c>
      <c r="B84" s="33">
        <f>IF(C84="","",Commercial_Id)</f>
        <v/>
      </c>
      <c r="C84" s="36" t="n"/>
      <c r="D84" s="36" t="n"/>
      <c r="E84" s="43" t="n"/>
      <c r="F84" s="32" t="n"/>
      <c r="G84" s="51" t="n"/>
      <c r="H84" s="36" t="n"/>
      <c r="I84" s="46">
        <f>IF(OR(E84="",F84=""),"",IF(E84="Mois",DATE(YEAR(F84),MONTH(F84)+1,0),F84+6))</f>
        <v/>
      </c>
      <c r="J84" s="39">
        <f>IF(OR(F84="",I84=""),"",I84-F84+1)</f>
        <v/>
      </c>
    </row>
    <row r="85" ht="18" customHeight="1">
      <c r="A85" s="39" t="n">
        <v>80</v>
      </c>
      <c r="B85" s="33">
        <f>IF(C85="","",Commercial_Id)</f>
        <v/>
      </c>
      <c r="C85" s="36" t="n"/>
      <c r="D85" s="36" t="n"/>
      <c r="E85" s="43" t="n"/>
      <c r="F85" s="32" t="n"/>
      <c r="G85" s="51" t="n"/>
      <c r="H85" s="36" t="n"/>
      <c r="I85" s="46">
        <f>IF(OR(E85="",F85=""),"",IF(E85="Mois",DATE(YEAR(F85),MONTH(F85)+1,0),F85+6))</f>
        <v/>
      </c>
      <c r="J85" s="39">
        <f>IF(OR(F85="",I85=""),"",I85-F85+1)</f>
        <v/>
      </c>
    </row>
    <row r="86" ht="18" customHeight="1">
      <c r="A86" s="39" t="n">
        <v>81</v>
      </c>
      <c r="B86" s="33">
        <f>IF(C86="","",Commercial_Id)</f>
        <v/>
      </c>
      <c r="C86" s="36" t="n"/>
      <c r="D86" s="36" t="n"/>
      <c r="E86" s="43" t="n"/>
      <c r="F86" s="32" t="n"/>
      <c r="G86" s="51" t="n"/>
      <c r="H86" s="36" t="n"/>
      <c r="I86" s="46">
        <f>IF(OR(E86="",F86=""),"",IF(E86="Mois",DATE(YEAR(F86),MONTH(F86)+1,0),F86+6))</f>
        <v/>
      </c>
      <c r="J86" s="39">
        <f>IF(OR(F86="",I86=""),"",I86-F86+1)</f>
        <v/>
      </c>
    </row>
    <row r="87" ht="18" customHeight="1">
      <c r="A87" s="39" t="n">
        <v>82</v>
      </c>
      <c r="B87" s="33">
        <f>IF(C87="","",Commercial_Id)</f>
        <v/>
      </c>
      <c r="C87" s="36" t="n"/>
      <c r="D87" s="36" t="n"/>
      <c r="E87" s="43" t="n"/>
      <c r="F87" s="32" t="n"/>
      <c r="G87" s="51" t="n"/>
      <c r="H87" s="36" t="n"/>
      <c r="I87" s="46">
        <f>IF(OR(E87="",F87=""),"",IF(E87="Mois",DATE(YEAR(F87),MONTH(F87)+1,0),F87+6))</f>
        <v/>
      </c>
      <c r="J87" s="39">
        <f>IF(OR(F87="",I87=""),"",I87-F87+1)</f>
        <v/>
      </c>
    </row>
    <row r="88" ht="18" customHeight="1">
      <c r="A88" s="39" t="n">
        <v>83</v>
      </c>
      <c r="B88" s="33">
        <f>IF(C88="","",Commercial_Id)</f>
        <v/>
      </c>
      <c r="C88" s="36" t="n"/>
      <c r="D88" s="36" t="n"/>
      <c r="E88" s="43" t="n"/>
      <c r="F88" s="32" t="n"/>
      <c r="G88" s="51" t="n"/>
      <c r="H88" s="36" t="n"/>
      <c r="I88" s="46">
        <f>IF(OR(E88="",F88=""),"",IF(E88="Mois",DATE(YEAR(F88),MONTH(F88)+1,0),F88+6))</f>
        <v/>
      </c>
      <c r="J88" s="39">
        <f>IF(OR(F88="",I88=""),"",I88-F88+1)</f>
        <v/>
      </c>
    </row>
    <row r="89" ht="18" customHeight="1">
      <c r="A89" s="39" t="n">
        <v>84</v>
      </c>
      <c r="B89" s="33">
        <f>IF(C89="","",Commercial_Id)</f>
        <v/>
      </c>
      <c r="C89" s="36" t="n"/>
      <c r="D89" s="36" t="n"/>
      <c r="E89" s="43" t="n"/>
      <c r="F89" s="32" t="n"/>
      <c r="G89" s="51" t="n"/>
      <c r="H89" s="36" t="n"/>
      <c r="I89" s="46">
        <f>IF(OR(E89="",F89=""),"",IF(E89="Mois",DATE(YEAR(F89),MONTH(F89)+1,0),F89+6))</f>
        <v/>
      </c>
      <c r="J89" s="39">
        <f>IF(OR(F89="",I89=""),"",I89-F89+1)</f>
        <v/>
      </c>
    </row>
    <row r="90" ht="18" customHeight="1">
      <c r="A90" s="39" t="n">
        <v>85</v>
      </c>
      <c r="B90" s="33">
        <f>IF(C90="","",Commercial_Id)</f>
        <v/>
      </c>
      <c r="C90" s="36" t="n"/>
      <c r="D90" s="36" t="n"/>
      <c r="E90" s="43" t="n"/>
      <c r="F90" s="32" t="n"/>
      <c r="G90" s="51" t="n"/>
      <c r="H90" s="36" t="n"/>
      <c r="I90" s="46">
        <f>IF(OR(E90="",F90=""),"",IF(E90="Mois",DATE(YEAR(F90),MONTH(F90)+1,0),F90+6))</f>
        <v/>
      </c>
      <c r="J90" s="39">
        <f>IF(OR(F90="",I90=""),"",I90-F90+1)</f>
        <v/>
      </c>
    </row>
    <row r="91" ht="18" customHeight="1">
      <c r="A91" s="39" t="n">
        <v>86</v>
      </c>
      <c r="B91" s="33">
        <f>IF(C91="","",Commercial_Id)</f>
        <v/>
      </c>
      <c r="C91" s="36" t="n"/>
      <c r="D91" s="36" t="n"/>
      <c r="E91" s="43" t="n"/>
      <c r="F91" s="32" t="n"/>
      <c r="G91" s="51" t="n"/>
      <c r="H91" s="36" t="n"/>
      <c r="I91" s="46">
        <f>IF(OR(E91="",F91=""),"",IF(E91="Mois",DATE(YEAR(F91),MONTH(F91)+1,0),F91+6))</f>
        <v/>
      </c>
      <c r="J91" s="39">
        <f>IF(OR(F91="",I91=""),"",I91-F91+1)</f>
        <v/>
      </c>
    </row>
    <row r="92" ht="18" customHeight="1">
      <c r="A92" s="39" t="n">
        <v>87</v>
      </c>
      <c r="B92" s="33">
        <f>IF(C92="","",Commercial_Id)</f>
        <v/>
      </c>
      <c r="C92" s="36" t="n"/>
      <c r="D92" s="36" t="n"/>
      <c r="E92" s="43" t="n"/>
      <c r="F92" s="32" t="n"/>
      <c r="G92" s="51" t="n"/>
      <c r="H92" s="36" t="n"/>
      <c r="I92" s="46">
        <f>IF(OR(E92="",F92=""),"",IF(E92="Mois",DATE(YEAR(F92),MONTH(F92)+1,0),F92+6))</f>
        <v/>
      </c>
      <c r="J92" s="39">
        <f>IF(OR(F92="",I92=""),"",I92-F92+1)</f>
        <v/>
      </c>
    </row>
    <row r="93" ht="18" customHeight="1">
      <c r="A93" s="39" t="n">
        <v>88</v>
      </c>
      <c r="B93" s="33">
        <f>IF(C93="","",Commercial_Id)</f>
        <v/>
      </c>
      <c r="C93" s="36" t="n"/>
      <c r="D93" s="36" t="n"/>
      <c r="E93" s="43" t="n"/>
      <c r="F93" s="32" t="n"/>
      <c r="G93" s="51" t="n"/>
      <c r="H93" s="36" t="n"/>
      <c r="I93" s="46">
        <f>IF(OR(E93="",F93=""),"",IF(E93="Mois",DATE(YEAR(F93),MONTH(F93)+1,0),F93+6))</f>
        <v/>
      </c>
      <c r="J93" s="39">
        <f>IF(OR(F93="",I93=""),"",I93-F93+1)</f>
        <v/>
      </c>
    </row>
    <row r="94" ht="18" customHeight="1">
      <c r="A94" s="39" t="n">
        <v>89</v>
      </c>
      <c r="B94" s="33">
        <f>IF(C94="","",Commercial_Id)</f>
        <v/>
      </c>
      <c r="C94" s="36" t="n"/>
      <c r="D94" s="36" t="n"/>
      <c r="E94" s="43" t="n"/>
      <c r="F94" s="32" t="n"/>
      <c r="G94" s="51" t="n"/>
      <c r="H94" s="36" t="n"/>
      <c r="I94" s="46">
        <f>IF(OR(E94="",F94=""),"",IF(E94="Mois",DATE(YEAR(F94),MONTH(F94)+1,0),F94+6))</f>
        <v/>
      </c>
      <c r="J94" s="39">
        <f>IF(OR(F94="",I94=""),"",I94-F94+1)</f>
        <v/>
      </c>
    </row>
    <row r="95" ht="18" customHeight="1">
      <c r="A95" s="39" t="n">
        <v>90</v>
      </c>
      <c r="B95" s="33">
        <f>IF(C95="","",Commercial_Id)</f>
        <v/>
      </c>
      <c r="C95" s="36" t="n"/>
      <c r="D95" s="36" t="n"/>
      <c r="E95" s="43" t="n"/>
      <c r="F95" s="32" t="n"/>
      <c r="G95" s="51" t="n"/>
      <c r="H95" s="36" t="n"/>
      <c r="I95" s="46">
        <f>IF(OR(E95="",F95=""),"",IF(E95="Mois",DATE(YEAR(F95),MONTH(F95)+1,0),F95+6))</f>
        <v/>
      </c>
      <c r="J95" s="39">
        <f>IF(OR(F95="",I95=""),"",I95-F95+1)</f>
        <v/>
      </c>
    </row>
    <row r="96" ht="18" customHeight="1">
      <c r="A96" s="39" t="n">
        <v>91</v>
      </c>
      <c r="B96" s="33">
        <f>IF(C96="","",Commercial_Id)</f>
        <v/>
      </c>
      <c r="C96" s="36" t="n"/>
      <c r="D96" s="36" t="n"/>
      <c r="E96" s="43" t="n"/>
      <c r="F96" s="32" t="n"/>
      <c r="G96" s="51" t="n"/>
      <c r="H96" s="36" t="n"/>
      <c r="I96" s="46">
        <f>IF(OR(E96="",F96=""),"",IF(E96="Mois",DATE(YEAR(F96),MONTH(F96)+1,0),F96+6))</f>
        <v/>
      </c>
      <c r="J96" s="39">
        <f>IF(OR(F96="",I96=""),"",I96-F96+1)</f>
        <v/>
      </c>
    </row>
    <row r="97" ht="18" customHeight="1">
      <c r="A97" s="39" t="n">
        <v>92</v>
      </c>
      <c r="B97" s="33">
        <f>IF(C97="","",Commercial_Id)</f>
        <v/>
      </c>
      <c r="C97" s="36" t="n"/>
      <c r="D97" s="36" t="n"/>
      <c r="E97" s="43" t="n"/>
      <c r="F97" s="32" t="n"/>
      <c r="G97" s="51" t="n"/>
      <c r="H97" s="36" t="n"/>
      <c r="I97" s="46">
        <f>IF(OR(E97="",F97=""),"",IF(E97="Mois",DATE(YEAR(F97),MONTH(F97)+1,0),F97+6))</f>
        <v/>
      </c>
      <c r="J97" s="39">
        <f>IF(OR(F97="",I97=""),"",I97-F97+1)</f>
        <v/>
      </c>
    </row>
    <row r="98" ht="18" customHeight="1">
      <c r="A98" s="39" t="n">
        <v>93</v>
      </c>
      <c r="B98" s="33">
        <f>IF(C98="","",Commercial_Id)</f>
        <v/>
      </c>
      <c r="C98" s="36" t="n"/>
      <c r="D98" s="36" t="n"/>
      <c r="E98" s="43" t="n"/>
      <c r="F98" s="32" t="n"/>
      <c r="G98" s="51" t="n"/>
      <c r="H98" s="36" t="n"/>
      <c r="I98" s="46">
        <f>IF(OR(E98="",F98=""),"",IF(E98="Mois",DATE(YEAR(F98),MONTH(F98)+1,0),F98+6))</f>
        <v/>
      </c>
      <c r="J98" s="39">
        <f>IF(OR(F98="",I98=""),"",I98-F98+1)</f>
        <v/>
      </c>
    </row>
    <row r="99" ht="18" customHeight="1">
      <c r="A99" s="39" t="n">
        <v>94</v>
      </c>
      <c r="B99" s="33">
        <f>IF(C99="","",Commercial_Id)</f>
        <v/>
      </c>
      <c r="C99" s="36" t="n"/>
      <c r="D99" s="36" t="n"/>
      <c r="E99" s="43" t="n"/>
      <c r="F99" s="32" t="n"/>
      <c r="G99" s="51" t="n"/>
      <c r="H99" s="36" t="n"/>
      <c r="I99" s="46">
        <f>IF(OR(E99="",F99=""),"",IF(E99="Mois",DATE(YEAR(F99),MONTH(F99)+1,0),F99+6))</f>
        <v/>
      </c>
      <c r="J99" s="39">
        <f>IF(OR(F99="",I99=""),"",I99-F99+1)</f>
        <v/>
      </c>
    </row>
    <row r="100" ht="18" customHeight="1">
      <c r="A100" s="39" t="n">
        <v>95</v>
      </c>
      <c r="B100" s="33">
        <f>IF(C100="","",Commercial_Id)</f>
        <v/>
      </c>
      <c r="C100" s="36" t="n"/>
      <c r="D100" s="36" t="n"/>
      <c r="E100" s="43" t="n"/>
      <c r="F100" s="32" t="n"/>
      <c r="G100" s="51" t="n"/>
      <c r="H100" s="36" t="n"/>
      <c r="I100" s="46">
        <f>IF(OR(E100="",F100=""),"",IF(E100="Mois",DATE(YEAR(F100),MONTH(F100)+1,0),F100+6))</f>
        <v/>
      </c>
      <c r="J100" s="39">
        <f>IF(OR(F100="",I100=""),"",I100-F100+1)</f>
        <v/>
      </c>
    </row>
    <row r="101" ht="18" customHeight="1">
      <c r="A101" s="39" t="n">
        <v>96</v>
      </c>
      <c r="B101" s="33">
        <f>IF(C101="","",Commercial_Id)</f>
        <v/>
      </c>
      <c r="C101" s="36" t="n"/>
      <c r="D101" s="36" t="n"/>
      <c r="E101" s="43" t="n"/>
      <c r="F101" s="32" t="n"/>
      <c r="G101" s="51" t="n"/>
      <c r="H101" s="36" t="n"/>
      <c r="I101" s="46">
        <f>IF(OR(E101="",F101=""),"",IF(E101="Mois",DATE(YEAR(F101),MONTH(F101)+1,0),F101+6))</f>
        <v/>
      </c>
      <c r="J101" s="39">
        <f>IF(OR(F101="",I101=""),"",I101-F101+1)</f>
        <v/>
      </c>
    </row>
    <row r="102" ht="18" customHeight="1">
      <c r="A102" s="39" t="n">
        <v>97</v>
      </c>
      <c r="B102" s="33">
        <f>IF(C102="","",Commercial_Id)</f>
        <v/>
      </c>
      <c r="C102" s="36" t="n"/>
      <c r="D102" s="36" t="n"/>
      <c r="E102" s="43" t="n"/>
      <c r="F102" s="32" t="n"/>
      <c r="G102" s="51" t="n"/>
      <c r="H102" s="36" t="n"/>
      <c r="I102" s="46">
        <f>IF(OR(E102="",F102=""),"",IF(E102="Mois",DATE(YEAR(F102),MONTH(F102)+1,0),F102+6))</f>
        <v/>
      </c>
      <c r="J102" s="39">
        <f>IF(OR(F102="",I102=""),"",I102-F102+1)</f>
        <v/>
      </c>
    </row>
    <row r="103" ht="18" customHeight="1">
      <c r="A103" s="39" t="n">
        <v>98</v>
      </c>
      <c r="B103" s="33">
        <f>IF(C103="","",Commercial_Id)</f>
        <v/>
      </c>
      <c r="C103" s="36" t="n"/>
      <c r="D103" s="36" t="n"/>
      <c r="E103" s="43" t="n"/>
      <c r="F103" s="32" t="n"/>
      <c r="G103" s="51" t="n"/>
      <c r="H103" s="36" t="n"/>
      <c r="I103" s="46">
        <f>IF(OR(E103="",F103=""),"",IF(E103="Mois",DATE(YEAR(F103),MONTH(F103)+1,0),F103+6))</f>
        <v/>
      </c>
      <c r="J103" s="39">
        <f>IF(OR(F103="",I103=""),"",I103-F103+1)</f>
        <v/>
      </c>
    </row>
    <row r="104" ht="18" customHeight="1">
      <c r="A104" s="39" t="n">
        <v>99</v>
      </c>
      <c r="B104" s="33">
        <f>IF(C104="","",Commercial_Id)</f>
        <v/>
      </c>
      <c r="C104" s="36" t="n"/>
      <c r="D104" s="36" t="n"/>
      <c r="E104" s="43" t="n"/>
      <c r="F104" s="32" t="n"/>
      <c r="G104" s="51" t="n"/>
      <c r="H104" s="36" t="n"/>
      <c r="I104" s="46">
        <f>IF(OR(E104="",F104=""),"",IF(E104="Mois",DATE(YEAR(F104),MONTH(F104)+1,0),F104+6))</f>
        <v/>
      </c>
      <c r="J104" s="39">
        <f>IF(OR(F104="",I104=""),"",I104-F104+1)</f>
        <v/>
      </c>
    </row>
    <row r="105" ht="18" customHeight="1">
      <c r="A105" s="39" t="n">
        <v>100</v>
      </c>
      <c r="B105" s="33">
        <f>IF(C105="","",Commercial_Id)</f>
        <v/>
      </c>
      <c r="C105" s="36" t="n"/>
      <c r="D105" s="36" t="n"/>
      <c r="E105" s="43" t="n"/>
      <c r="F105" s="32" t="n"/>
      <c r="G105" s="51" t="n"/>
      <c r="H105" s="36" t="n"/>
      <c r="I105" s="46">
        <f>IF(OR(E105="",F105=""),"",IF(E105="Mois",DATE(YEAR(F105),MONTH(F105)+1,0),F105+6))</f>
        <v/>
      </c>
      <c r="J105" s="39">
        <f>IF(OR(F105="",I105=""),"",I105-F105+1)</f>
        <v/>
      </c>
    </row>
    <row r="106" ht="18" customHeight="1">
      <c r="A106" s="39" t="n">
        <v>101</v>
      </c>
      <c r="B106" s="33">
        <f>IF(C106="","",Commercial_Id)</f>
        <v/>
      </c>
      <c r="C106" s="36" t="n"/>
      <c r="D106" s="36" t="n"/>
      <c r="E106" s="43" t="n"/>
      <c r="F106" s="32" t="n"/>
      <c r="G106" s="51" t="n"/>
      <c r="H106" s="36" t="n"/>
      <c r="I106" s="46">
        <f>IF(OR(E106="",F106=""),"",IF(E106="Mois",DATE(YEAR(F106),MONTH(F106)+1,0),F106+6))</f>
        <v/>
      </c>
      <c r="J106" s="39">
        <f>IF(OR(F106="",I106=""),"",I106-F106+1)</f>
        <v/>
      </c>
    </row>
    <row r="107" ht="18" customHeight="1">
      <c r="A107" s="39" t="n">
        <v>102</v>
      </c>
      <c r="B107" s="33">
        <f>IF(C107="","",Commercial_Id)</f>
        <v/>
      </c>
      <c r="C107" s="36" t="n"/>
      <c r="D107" s="36" t="n"/>
      <c r="E107" s="43" t="n"/>
      <c r="F107" s="32" t="n"/>
      <c r="G107" s="51" t="n"/>
      <c r="H107" s="36" t="n"/>
      <c r="I107" s="46">
        <f>IF(OR(E107="",F107=""),"",IF(E107="Mois",DATE(YEAR(F107),MONTH(F107)+1,0),F107+6))</f>
        <v/>
      </c>
      <c r="J107" s="39">
        <f>IF(OR(F107="",I107=""),"",I107-F107+1)</f>
        <v/>
      </c>
    </row>
    <row r="108" ht="18" customHeight="1">
      <c r="A108" s="39" t="n">
        <v>103</v>
      </c>
      <c r="B108" s="33">
        <f>IF(C108="","",Commercial_Id)</f>
        <v/>
      </c>
      <c r="C108" s="36" t="n"/>
      <c r="D108" s="36" t="n"/>
      <c r="E108" s="43" t="n"/>
      <c r="F108" s="32" t="n"/>
      <c r="G108" s="51" t="n"/>
      <c r="H108" s="36" t="n"/>
      <c r="I108" s="46">
        <f>IF(OR(E108="",F108=""),"",IF(E108="Mois",DATE(YEAR(F108),MONTH(F108)+1,0),F108+6))</f>
        <v/>
      </c>
      <c r="J108" s="39">
        <f>IF(OR(F108="",I108=""),"",I108-F108+1)</f>
        <v/>
      </c>
    </row>
    <row r="109" ht="18" customHeight="1">
      <c r="A109" s="39" t="n">
        <v>104</v>
      </c>
      <c r="B109" s="33">
        <f>IF(C109="","",Commercial_Id)</f>
        <v/>
      </c>
      <c r="C109" s="36" t="n"/>
      <c r="D109" s="36" t="n"/>
      <c r="E109" s="43" t="n"/>
      <c r="F109" s="32" t="n"/>
      <c r="G109" s="51" t="n"/>
      <c r="H109" s="36" t="n"/>
      <c r="I109" s="46">
        <f>IF(OR(E109="",F109=""),"",IF(E109="Mois",DATE(YEAR(F109),MONTH(F109)+1,0),F109+6))</f>
        <v/>
      </c>
      <c r="J109" s="39">
        <f>IF(OR(F109="",I109=""),"",I109-F109+1)</f>
        <v/>
      </c>
    </row>
    <row r="110" ht="18" customHeight="1">
      <c r="A110" s="39" t="n">
        <v>105</v>
      </c>
      <c r="B110" s="33">
        <f>IF(C110="","",Commercial_Id)</f>
        <v/>
      </c>
      <c r="C110" s="36" t="n"/>
      <c r="D110" s="36" t="n"/>
      <c r="E110" s="43" t="n"/>
      <c r="F110" s="32" t="n"/>
      <c r="G110" s="51" t="n"/>
      <c r="H110" s="36" t="n"/>
      <c r="I110" s="46">
        <f>IF(OR(E110="",F110=""),"",IF(E110="Mois",DATE(YEAR(F110),MONTH(F110)+1,0),F110+6))</f>
        <v/>
      </c>
      <c r="J110" s="39">
        <f>IF(OR(F110="",I110=""),"",I110-F110+1)</f>
        <v/>
      </c>
    </row>
    <row r="111" ht="18" customHeight="1">
      <c r="A111" s="39" t="n">
        <v>106</v>
      </c>
      <c r="B111" s="33">
        <f>IF(C111="","",Commercial_Id)</f>
        <v/>
      </c>
      <c r="C111" s="36" t="n"/>
      <c r="D111" s="36" t="n"/>
      <c r="E111" s="43" t="n"/>
      <c r="F111" s="32" t="n"/>
      <c r="G111" s="51" t="n"/>
      <c r="H111" s="36" t="n"/>
      <c r="I111" s="46">
        <f>IF(OR(E111="",F111=""),"",IF(E111="Mois",DATE(YEAR(F111),MONTH(F111)+1,0),F111+6))</f>
        <v/>
      </c>
      <c r="J111" s="39">
        <f>IF(OR(F111="",I111=""),"",I111-F111+1)</f>
        <v/>
      </c>
    </row>
    <row r="112" ht="18" customHeight="1">
      <c r="A112" s="39" t="n">
        <v>107</v>
      </c>
      <c r="B112" s="33">
        <f>IF(C112="","",Commercial_Id)</f>
        <v/>
      </c>
      <c r="C112" s="36" t="n"/>
      <c r="D112" s="36" t="n"/>
      <c r="E112" s="43" t="n"/>
      <c r="F112" s="32" t="n"/>
      <c r="G112" s="51" t="n"/>
      <c r="H112" s="36" t="n"/>
      <c r="I112" s="46">
        <f>IF(OR(E112="",F112=""),"",IF(E112="Mois",DATE(YEAR(F112),MONTH(F112)+1,0),F112+6))</f>
        <v/>
      </c>
      <c r="J112" s="39">
        <f>IF(OR(F112="",I112=""),"",I112-F112+1)</f>
        <v/>
      </c>
    </row>
    <row r="113" ht="18" customHeight="1">
      <c r="A113" s="39" t="n">
        <v>108</v>
      </c>
      <c r="B113" s="33">
        <f>IF(C113="","",Commercial_Id)</f>
        <v/>
      </c>
      <c r="C113" s="36" t="n"/>
      <c r="D113" s="36" t="n"/>
      <c r="E113" s="43" t="n"/>
      <c r="F113" s="32" t="n"/>
      <c r="G113" s="51" t="n"/>
      <c r="H113" s="36" t="n"/>
      <c r="I113" s="46">
        <f>IF(OR(E113="",F113=""),"",IF(E113="Mois",DATE(YEAR(F113),MONTH(F113)+1,0),F113+6))</f>
        <v/>
      </c>
      <c r="J113" s="39">
        <f>IF(OR(F113="",I113=""),"",I113-F113+1)</f>
        <v/>
      </c>
    </row>
    <row r="114" ht="18" customHeight="1">
      <c r="A114" s="39" t="n">
        <v>109</v>
      </c>
      <c r="B114" s="33">
        <f>IF(C114="","",Commercial_Id)</f>
        <v/>
      </c>
      <c r="C114" s="36" t="n"/>
      <c r="D114" s="36" t="n"/>
      <c r="E114" s="43" t="n"/>
      <c r="F114" s="32" t="n"/>
      <c r="G114" s="51" t="n"/>
      <c r="H114" s="36" t="n"/>
      <c r="I114" s="46">
        <f>IF(OR(E114="",F114=""),"",IF(E114="Mois",DATE(YEAR(F114),MONTH(F114)+1,0),F114+6))</f>
        <v/>
      </c>
      <c r="J114" s="39">
        <f>IF(OR(F114="",I114=""),"",I114-F114+1)</f>
        <v/>
      </c>
    </row>
    <row r="115" ht="18" customHeight="1">
      <c r="A115" s="39" t="n">
        <v>110</v>
      </c>
      <c r="B115" s="33">
        <f>IF(C115="","",Commercial_Id)</f>
        <v/>
      </c>
      <c r="C115" s="36" t="n"/>
      <c r="D115" s="36" t="n"/>
      <c r="E115" s="43" t="n"/>
      <c r="F115" s="32" t="n"/>
      <c r="G115" s="51" t="n"/>
      <c r="H115" s="36" t="n"/>
      <c r="I115" s="46">
        <f>IF(OR(E115="",F115=""),"",IF(E115="Mois",DATE(YEAR(F115),MONTH(F115)+1,0),F115+6))</f>
        <v/>
      </c>
      <c r="J115" s="39">
        <f>IF(OR(F115="",I115=""),"",I115-F115+1)</f>
        <v/>
      </c>
    </row>
    <row r="116" ht="18" customHeight="1">
      <c r="A116" s="39" t="n">
        <v>111</v>
      </c>
      <c r="B116" s="33">
        <f>IF(C116="","",Commercial_Id)</f>
        <v/>
      </c>
      <c r="C116" s="36" t="n"/>
      <c r="D116" s="36" t="n"/>
      <c r="E116" s="43" t="n"/>
      <c r="F116" s="32" t="n"/>
      <c r="G116" s="51" t="n"/>
      <c r="H116" s="36" t="n"/>
      <c r="I116" s="46">
        <f>IF(OR(E116="",F116=""),"",IF(E116="Mois",DATE(YEAR(F116),MONTH(F116)+1,0),F116+6))</f>
        <v/>
      </c>
      <c r="J116" s="39">
        <f>IF(OR(F116="",I116=""),"",I116-F116+1)</f>
        <v/>
      </c>
    </row>
    <row r="117" ht="18" customHeight="1">
      <c r="A117" s="39" t="n">
        <v>112</v>
      </c>
      <c r="B117" s="33">
        <f>IF(C117="","",Commercial_Id)</f>
        <v/>
      </c>
      <c r="C117" s="36" t="n"/>
      <c r="D117" s="36" t="n"/>
      <c r="E117" s="43" t="n"/>
      <c r="F117" s="32" t="n"/>
      <c r="G117" s="51" t="n"/>
      <c r="H117" s="36" t="n"/>
      <c r="I117" s="46">
        <f>IF(OR(E117="",F117=""),"",IF(E117="Mois",DATE(YEAR(F117),MONTH(F117)+1,0),F117+6))</f>
        <v/>
      </c>
      <c r="J117" s="39">
        <f>IF(OR(F117="",I117=""),"",I117-F117+1)</f>
        <v/>
      </c>
    </row>
    <row r="118" ht="18" customHeight="1">
      <c r="A118" s="39" t="n">
        <v>113</v>
      </c>
      <c r="B118" s="33">
        <f>IF(C118="","",Commercial_Id)</f>
        <v/>
      </c>
      <c r="C118" s="36" t="n"/>
      <c r="D118" s="36" t="n"/>
      <c r="E118" s="43" t="n"/>
      <c r="F118" s="32" t="n"/>
      <c r="G118" s="51" t="n"/>
      <c r="H118" s="36" t="n"/>
      <c r="I118" s="46">
        <f>IF(OR(E118="",F118=""),"",IF(E118="Mois",DATE(YEAR(F118),MONTH(F118)+1,0),F118+6))</f>
        <v/>
      </c>
      <c r="J118" s="39">
        <f>IF(OR(F118="",I118=""),"",I118-F118+1)</f>
        <v/>
      </c>
    </row>
    <row r="119" ht="18" customHeight="1">
      <c r="A119" s="39" t="n">
        <v>114</v>
      </c>
      <c r="B119" s="33">
        <f>IF(C119="","",Commercial_Id)</f>
        <v/>
      </c>
      <c r="C119" s="36" t="n"/>
      <c r="D119" s="36" t="n"/>
      <c r="E119" s="43" t="n"/>
      <c r="F119" s="32" t="n"/>
      <c r="G119" s="51" t="n"/>
      <c r="H119" s="36" t="n"/>
      <c r="I119" s="46">
        <f>IF(OR(E119="",F119=""),"",IF(E119="Mois",DATE(YEAR(F119),MONTH(F119)+1,0),F119+6))</f>
        <v/>
      </c>
      <c r="J119" s="39">
        <f>IF(OR(F119="",I119=""),"",I119-F119+1)</f>
        <v/>
      </c>
    </row>
    <row r="120" ht="18" customHeight="1">
      <c r="A120" s="39" t="n">
        <v>115</v>
      </c>
      <c r="B120" s="33">
        <f>IF(C120="","",Commercial_Id)</f>
        <v/>
      </c>
      <c r="C120" s="36" t="n"/>
      <c r="D120" s="36" t="n"/>
      <c r="E120" s="43" t="n"/>
      <c r="F120" s="32" t="n"/>
      <c r="G120" s="51" t="n"/>
      <c r="H120" s="36" t="n"/>
      <c r="I120" s="46">
        <f>IF(OR(E120="",F120=""),"",IF(E120="Mois",DATE(YEAR(F120),MONTH(F120)+1,0),F120+6))</f>
        <v/>
      </c>
      <c r="J120" s="39">
        <f>IF(OR(F120="",I120=""),"",I120-F120+1)</f>
        <v/>
      </c>
    </row>
    <row r="121" ht="18" customHeight="1">
      <c r="A121" s="39" t="n">
        <v>116</v>
      </c>
      <c r="B121" s="33">
        <f>IF(C121="","",Commercial_Id)</f>
        <v/>
      </c>
      <c r="C121" s="36" t="n"/>
      <c r="D121" s="36" t="n"/>
      <c r="E121" s="43" t="n"/>
      <c r="F121" s="32" t="n"/>
      <c r="G121" s="51" t="n"/>
      <c r="H121" s="36" t="n"/>
      <c r="I121" s="46">
        <f>IF(OR(E121="",F121=""),"",IF(E121="Mois",DATE(YEAR(F121),MONTH(F121)+1,0),F121+6))</f>
        <v/>
      </c>
      <c r="J121" s="39">
        <f>IF(OR(F121="",I121=""),"",I121-F121+1)</f>
        <v/>
      </c>
    </row>
    <row r="122" ht="18" customHeight="1">
      <c r="A122" s="39" t="n">
        <v>117</v>
      </c>
      <c r="B122" s="33">
        <f>IF(C122="","",Commercial_Id)</f>
        <v/>
      </c>
      <c r="C122" s="36" t="n"/>
      <c r="D122" s="36" t="n"/>
      <c r="E122" s="43" t="n"/>
      <c r="F122" s="32" t="n"/>
      <c r="G122" s="51" t="n"/>
      <c r="H122" s="36" t="n"/>
      <c r="I122" s="46">
        <f>IF(OR(E122="",F122=""),"",IF(E122="Mois",DATE(YEAR(F122),MONTH(F122)+1,0),F122+6))</f>
        <v/>
      </c>
      <c r="J122" s="39">
        <f>IF(OR(F122="",I122=""),"",I122-F122+1)</f>
        <v/>
      </c>
    </row>
    <row r="123" ht="18" customHeight="1">
      <c r="A123" s="39" t="n">
        <v>118</v>
      </c>
      <c r="B123" s="33">
        <f>IF(C123="","",Commercial_Id)</f>
        <v/>
      </c>
      <c r="C123" s="36" t="n"/>
      <c r="D123" s="36" t="n"/>
      <c r="E123" s="43" t="n"/>
      <c r="F123" s="32" t="n"/>
      <c r="G123" s="51" t="n"/>
      <c r="H123" s="36" t="n"/>
      <c r="I123" s="46">
        <f>IF(OR(E123="",F123=""),"",IF(E123="Mois",DATE(YEAR(F123),MONTH(F123)+1,0),F123+6))</f>
        <v/>
      </c>
      <c r="J123" s="39">
        <f>IF(OR(F123="",I123=""),"",I123-F123+1)</f>
        <v/>
      </c>
    </row>
    <row r="124" ht="18" customHeight="1">
      <c r="A124" s="39" t="n">
        <v>119</v>
      </c>
      <c r="B124" s="33">
        <f>IF(C124="","",Commercial_Id)</f>
        <v/>
      </c>
      <c r="C124" s="36" t="n"/>
      <c r="D124" s="36" t="n"/>
      <c r="E124" s="43" t="n"/>
      <c r="F124" s="32" t="n"/>
      <c r="G124" s="51" t="n"/>
      <c r="H124" s="36" t="n"/>
      <c r="I124" s="46">
        <f>IF(OR(E124="",F124=""),"",IF(E124="Mois",DATE(YEAR(F124),MONTH(F124)+1,0),F124+6))</f>
        <v/>
      </c>
      <c r="J124" s="39">
        <f>IF(OR(F124="",I124=""),"",I124-F124+1)</f>
        <v/>
      </c>
    </row>
    <row r="125" ht="18" customHeight="1">
      <c r="A125" s="39" t="n">
        <v>120</v>
      </c>
      <c r="B125" s="33">
        <f>IF(C125="","",Commercial_Id)</f>
        <v/>
      </c>
      <c r="C125" s="36" t="n"/>
      <c r="D125" s="36" t="n"/>
      <c r="E125" s="43" t="n"/>
      <c r="F125" s="32" t="n"/>
      <c r="G125" s="51" t="n"/>
      <c r="H125" s="36" t="n"/>
      <c r="I125" s="46">
        <f>IF(OR(E125="",F125=""),"",IF(E125="Mois",DATE(YEAR(F125),MONTH(F125)+1,0),F125+6))</f>
        <v/>
      </c>
      <c r="J125" s="39">
        <f>IF(OR(F125="",I125=""),"",I125-F125+1)</f>
        <v/>
      </c>
    </row>
    <row r="126" ht="18" customHeight="1">
      <c r="A126" s="39" t="n">
        <v>121</v>
      </c>
      <c r="B126" s="33">
        <f>IF(C126="","",Commercial_Id)</f>
        <v/>
      </c>
      <c r="C126" s="36" t="n"/>
      <c r="D126" s="36" t="n"/>
      <c r="E126" s="43" t="n"/>
      <c r="F126" s="32" t="n"/>
      <c r="G126" s="51" t="n"/>
      <c r="H126" s="36" t="n"/>
      <c r="I126" s="46">
        <f>IF(OR(E126="",F126=""),"",IF(E126="Mois",DATE(YEAR(F126),MONTH(F126)+1,0),F126+6))</f>
        <v/>
      </c>
      <c r="J126" s="39">
        <f>IF(OR(F126="",I126=""),"",I126-F126+1)</f>
        <v/>
      </c>
    </row>
    <row r="127" ht="18" customHeight="1">
      <c r="A127" s="39" t="n">
        <v>122</v>
      </c>
      <c r="B127" s="33">
        <f>IF(C127="","",Commercial_Id)</f>
        <v/>
      </c>
      <c r="C127" s="36" t="n"/>
      <c r="D127" s="36" t="n"/>
      <c r="E127" s="43" t="n"/>
      <c r="F127" s="32" t="n"/>
      <c r="G127" s="51" t="n"/>
      <c r="H127" s="36" t="n"/>
      <c r="I127" s="46">
        <f>IF(OR(E127="",F127=""),"",IF(E127="Mois",DATE(YEAR(F127),MONTH(F127)+1,0),F127+6))</f>
        <v/>
      </c>
      <c r="J127" s="39">
        <f>IF(OR(F127="",I127=""),"",I127-F127+1)</f>
        <v/>
      </c>
    </row>
    <row r="128" ht="18" customHeight="1">
      <c r="A128" s="39" t="n">
        <v>123</v>
      </c>
      <c r="B128" s="33">
        <f>IF(C128="","",Commercial_Id)</f>
        <v/>
      </c>
      <c r="C128" s="36" t="n"/>
      <c r="D128" s="36" t="n"/>
      <c r="E128" s="43" t="n"/>
      <c r="F128" s="32" t="n"/>
      <c r="G128" s="51" t="n"/>
      <c r="H128" s="36" t="n"/>
      <c r="I128" s="46">
        <f>IF(OR(E128="",F128=""),"",IF(E128="Mois",DATE(YEAR(F128),MONTH(F128)+1,0),F128+6))</f>
        <v/>
      </c>
      <c r="J128" s="39">
        <f>IF(OR(F128="",I128=""),"",I128-F128+1)</f>
        <v/>
      </c>
    </row>
    <row r="129" ht="18" customHeight="1">
      <c r="A129" s="39" t="n">
        <v>124</v>
      </c>
      <c r="B129" s="33">
        <f>IF(C129="","",Commercial_Id)</f>
        <v/>
      </c>
      <c r="C129" s="36" t="n"/>
      <c r="D129" s="36" t="n"/>
      <c r="E129" s="43" t="n"/>
      <c r="F129" s="32" t="n"/>
      <c r="G129" s="51" t="n"/>
      <c r="H129" s="36" t="n"/>
      <c r="I129" s="46">
        <f>IF(OR(E129="",F129=""),"",IF(E129="Mois",DATE(YEAR(F129),MONTH(F129)+1,0),F129+6))</f>
        <v/>
      </c>
      <c r="J129" s="39">
        <f>IF(OR(F129="",I129=""),"",I129-F129+1)</f>
        <v/>
      </c>
    </row>
    <row r="130" ht="18" customHeight="1">
      <c r="A130" s="39" t="n">
        <v>125</v>
      </c>
      <c r="B130" s="33">
        <f>IF(C130="","",Commercial_Id)</f>
        <v/>
      </c>
      <c r="C130" s="36" t="n"/>
      <c r="D130" s="36" t="n"/>
      <c r="E130" s="43" t="n"/>
      <c r="F130" s="32" t="n"/>
      <c r="G130" s="51" t="n"/>
      <c r="H130" s="36" t="n"/>
      <c r="I130" s="46">
        <f>IF(OR(E130="",F130=""),"",IF(E130="Mois",DATE(YEAR(F130),MONTH(F130)+1,0),F130+6))</f>
        <v/>
      </c>
      <c r="J130" s="39">
        <f>IF(OR(F130="",I130=""),"",I130-F130+1)</f>
        <v/>
      </c>
    </row>
    <row r="131" ht="18" customHeight="1">
      <c r="A131" s="39" t="n">
        <v>126</v>
      </c>
      <c r="B131" s="33">
        <f>IF(C131="","",Commercial_Id)</f>
        <v/>
      </c>
      <c r="C131" s="36" t="n"/>
      <c r="D131" s="36" t="n"/>
      <c r="E131" s="43" t="n"/>
      <c r="F131" s="32" t="n"/>
      <c r="G131" s="51" t="n"/>
      <c r="H131" s="36" t="n"/>
      <c r="I131" s="46">
        <f>IF(OR(E131="",F131=""),"",IF(E131="Mois",DATE(YEAR(F131),MONTH(F131)+1,0),F131+6))</f>
        <v/>
      </c>
      <c r="J131" s="39">
        <f>IF(OR(F131="",I131=""),"",I131-F131+1)</f>
        <v/>
      </c>
    </row>
    <row r="132" ht="18" customHeight="1">
      <c r="A132" s="39" t="n">
        <v>127</v>
      </c>
      <c r="B132" s="33">
        <f>IF(C132="","",Commercial_Id)</f>
        <v/>
      </c>
      <c r="C132" s="36" t="n"/>
      <c r="D132" s="36" t="n"/>
      <c r="E132" s="43" t="n"/>
      <c r="F132" s="32" t="n"/>
      <c r="G132" s="51" t="n"/>
      <c r="H132" s="36" t="n"/>
      <c r="I132" s="46">
        <f>IF(OR(E132="",F132=""),"",IF(E132="Mois",DATE(YEAR(F132),MONTH(F132)+1,0),F132+6))</f>
        <v/>
      </c>
      <c r="J132" s="39">
        <f>IF(OR(F132="",I132=""),"",I132-F132+1)</f>
        <v/>
      </c>
    </row>
    <row r="133" ht="18" customHeight="1">
      <c r="A133" s="39" t="n">
        <v>128</v>
      </c>
      <c r="B133" s="33">
        <f>IF(C133="","",Commercial_Id)</f>
        <v/>
      </c>
      <c r="C133" s="36" t="n"/>
      <c r="D133" s="36" t="n"/>
      <c r="E133" s="43" t="n"/>
      <c r="F133" s="32" t="n"/>
      <c r="G133" s="51" t="n"/>
      <c r="H133" s="36" t="n"/>
      <c r="I133" s="46">
        <f>IF(OR(E133="",F133=""),"",IF(E133="Mois",DATE(YEAR(F133),MONTH(F133)+1,0),F133+6))</f>
        <v/>
      </c>
      <c r="J133" s="39">
        <f>IF(OR(F133="",I133=""),"",I133-F133+1)</f>
        <v/>
      </c>
    </row>
    <row r="134" ht="18" customHeight="1">
      <c r="A134" s="39" t="n">
        <v>129</v>
      </c>
      <c r="B134" s="33">
        <f>IF(C134="","",Commercial_Id)</f>
        <v/>
      </c>
      <c r="C134" s="36" t="n"/>
      <c r="D134" s="36" t="n"/>
      <c r="E134" s="43" t="n"/>
      <c r="F134" s="32" t="n"/>
      <c r="G134" s="51" t="n"/>
      <c r="H134" s="36" t="n"/>
      <c r="I134" s="46">
        <f>IF(OR(E134="",F134=""),"",IF(E134="Mois",DATE(YEAR(F134),MONTH(F134)+1,0),F134+6))</f>
        <v/>
      </c>
      <c r="J134" s="39">
        <f>IF(OR(F134="",I134=""),"",I134-F134+1)</f>
        <v/>
      </c>
    </row>
    <row r="135" ht="18" customHeight="1">
      <c r="A135" s="39" t="n">
        <v>130</v>
      </c>
      <c r="B135" s="33">
        <f>IF(C135="","",Commercial_Id)</f>
        <v/>
      </c>
      <c r="C135" s="36" t="n"/>
      <c r="D135" s="36" t="n"/>
      <c r="E135" s="43" t="n"/>
      <c r="F135" s="32" t="n"/>
      <c r="G135" s="51" t="n"/>
      <c r="H135" s="36" t="n"/>
      <c r="I135" s="46">
        <f>IF(OR(E135="",F135=""),"",IF(E135="Mois",DATE(YEAR(F135),MONTH(F135)+1,0),F135+6))</f>
        <v/>
      </c>
      <c r="J135" s="39">
        <f>IF(OR(F135="",I135=""),"",I135-F135+1)</f>
        <v/>
      </c>
    </row>
    <row r="136" ht="18" customHeight="1">
      <c r="A136" s="39" t="n">
        <v>131</v>
      </c>
      <c r="B136" s="33">
        <f>IF(C136="","",Commercial_Id)</f>
        <v/>
      </c>
      <c r="C136" s="36" t="n"/>
      <c r="D136" s="36" t="n"/>
      <c r="E136" s="43" t="n"/>
      <c r="F136" s="32" t="n"/>
      <c r="G136" s="51" t="n"/>
      <c r="H136" s="36" t="n"/>
      <c r="I136" s="46">
        <f>IF(OR(E136="",F136=""),"",IF(E136="Mois",DATE(YEAR(F136),MONTH(F136)+1,0),F136+6))</f>
        <v/>
      </c>
      <c r="J136" s="39">
        <f>IF(OR(F136="",I136=""),"",I136-F136+1)</f>
        <v/>
      </c>
    </row>
    <row r="137" ht="18" customHeight="1">
      <c r="A137" s="39" t="n">
        <v>132</v>
      </c>
      <c r="B137" s="33">
        <f>IF(C137="","",Commercial_Id)</f>
        <v/>
      </c>
      <c r="C137" s="36" t="n"/>
      <c r="D137" s="36" t="n"/>
      <c r="E137" s="43" t="n"/>
      <c r="F137" s="32" t="n"/>
      <c r="G137" s="51" t="n"/>
      <c r="H137" s="36" t="n"/>
      <c r="I137" s="46">
        <f>IF(OR(E137="",F137=""),"",IF(E137="Mois",DATE(YEAR(F137),MONTH(F137)+1,0),F137+6))</f>
        <v/>
      </c>
      <c r="J137" s="39">
        <f>IF(OR(F137="",I137=""),"",I137-F137+1)</f>
        <v/>
      </c>
    </row>
    <row r="138" ht="18" customHeight="1">
      <c r="A138" s="39" t="n">
        <v>133</v>
      </c>
      <c r="B138" s="33">
        <f>IF(C138="","",Commercial_Id)</f>
        <v/>
      </c>
      <c r="C138" s="36" t="n"/>
      <c r="D138" s="36" t="n"/>
      <c r="E138" s="43" t="n"/>
      <c r="F138" s="32" t="n"/>
      <c r="G138" s="51" t="n"/>
      <c r="H138" s="36" t="n"/>
      <c r="I138" s="46">
        <f>IF(OR(E138="",F138=""),"",IF(E138="Mois",DATE(YEAR(F138),MONTH(F138)+1,0),F138+6))</f>
        <v/>
      </c>
      <c r="J138" s="39">
        <f>IF(OR(F138="",I138=""),"",I138-F138+1)</f>
        <v/>
      </c>
    </row>
    <row r="139" ht="18" customHeight="1">
      <c r="A139" s="39" t="n">
        <v>134</v>
      </c>
      <c r="B139" s="33">
        <f>IF(C139="","",Commercial_Id)</f>
        <v/>
      </c>
      <c r="C139" s="36" t="n"/>
      <c r="D139" s="36" t="n"/>
      <c r="E139" s="43" t="n"/>
      <c r="F139" s="32" t="n"/>
      <c r="G139" s="51" t="n"/>
      <c r="H139" s="36" t="n"/>
      <c r="I139" s="46">
        <f>IF(OR(E139="",F139=""),"",IF(E139="Mois",DATE(YEAR(F139),MONTH(F139)+1,0),F139+6))</f>
        <v/>
      </c>
      <c r="J139" s="39">
        <f>IF(OR(F139="",I139=""),"",I139-F139+1)</f>
        <v/>
      </c>
    </row>
    <row r="140" ht="18" customHeight="1">
      <c r="A140" s="39" t="n">
        <v>135</v>
      </c>
      <c r="B140" s="33">
        <f>IF(C140="","",Commercial_Id)</f>
        <v/>
      </c>
      <c r="C140" s="36" t="n"/>
      <c r="D140" s="36" t="n"/>
      <c r="E140" s="43" t="n"/>
      <c r="F140" s="32" t="n"/>
      <c r="G140" s="51" t="n"/>
      <c r="H140" s="36" t="n"/>
      <c r="I140" s="46">
        <f>IF(OR(E140="",F140=""),"",IF(E140="Mois",DATE(YEAR(F140),MONTH(F140)+1,0),F140+6))</f>
        <v/>
      </c>
      <c r="J140" s="39">
        <f>IF(OR(F140="",I140=""),"",I140-F140+1)</f>
        <v/>
      </c>
    </row>
    <row r="141" ht="18" customHeight="1">
      <c r="A141" s="39" t="n">
        <v>136</v>
      </c>
      <c r="B141" s="33">
        <f>IF(C141="","",Commercial_Id)</f>
        <v/>
      </c>
      <c r="C141" s="36" t="n"/>
      <c r="D141" s="36" t="n"/>
      <c r="E141" s="43" t="n"/>
      <c r="F141" s="32" t="n"/>
      <c r="G141" s="51" t="n"/>
      <c r="H141" s="36" t="n"/>
      <c r="I141" s="46">
        <f>IF(OR(E141="",F141=""),"",IF(E141="Mois",DATE(YEAR(F141),MONTH(F141)+1,0),F141+6))</f>
        <v/>
      </c>
      <c r="J141" s="39">
        <f>IF(OR(F141="",I141=""),"",I141-F141+1)</f>
        <v/>
      </c>
    </row>
    <row r="142" ht="18" customHeight="1">
      <c r="A142" s="39" t="n">
        <v>137</v>
      </c>
      <c r="B142" s="33">
        <f>IF(C142="","",Commercial_Id)</f>
        <v/>
      </c>
      <c r="C142" s="36" t="n"/>
      <c r="D142" s="36" t="n"/>
      <c r="E142" s="43" t="n"/>
      <c r="F142" s="32" t="n"/>
      <c r="G142" s="51" t="n"/>
      <c r="H142" s="36" t="n"/>
      <c r="I142" s="46">
        <f>IF(OR(E142="",F142=""),"",IF(E142="Mois",DATE(YEAR(F142),MONTH(F142)+1,0),F142+6))</f>
        <v/>
      </c>
      <c r="J142" s="39">
        <f>IF(OR(F142="",I142=""),"",I142-F142+1)</f>
        <v/>
      </c>
    </row>
    <row r="143" ht="18" customHeight="1">
      <c r="A143" s="39" t="n">
        <v>138</v>
      </c>
      <c r="B143" s="33">
        <f>IF(C143="","",Commercial_Id)</f>
        <v/>
      </c>
      <c r="C143" s="36" t="n"/>
      <c r="D143" s="36" t="n"/>
      <c r="E143" s="43" t="n"/>
      <c r="F143" s="32" t="n"/>
      <c r="G143" s="51" t="n"/>
      <c r="H143" s="36" t="n"/>
      <c r="I143" s="46">
        <f>IF(OR(E143="",F143=""),"",IF(E143="Mois",DATE(YEAR(F143),MONTH(F143)+1,0),F143+6))</f>
        <v/>
      </c>
      <c r="J143" s="39">
        <f>IF(OR(F143="",I143=""),"",I143-F143+1)</f>
        <v/>
      </c>
    </row>
    <row r="144" ht="18" customHeight="1">
      <c r="A144" s="39" t="n">
        <v>139</v>
      </c>
      <c r="B144" s="33">
        <f>IF(C144="","",Commercial_Id)</f>
        <v/>
      </c>
      <c r="C144" s="36" t="n"/>
      <c r="D144" s="36" t="n"/>
      <c r="E144" s="43" t="n"/>
      <c r="F144" s="32" t="n"/>
      <c r="G144" s="51" t="n"/>
      <c r="H144" s="36" t="n"/>
      <c r="I144" s="46">
        <f>IF(OR(E144="",F144=""),"",IF(E144="Mois",DATE(YEAR(F144),MONTH(F144)+1,0),F144+6))</f>
        <v/>
      </c>
      <c r="J144" s="39">
        <f>IF(OR(F144="",I144=""),"",I144-F144+1)</f>
        <v/>
      </c>
    </row>
    <row r="145" ht="18" customHeight="1">
      <c r="A145" s="39" t="n">
        <v>140</v>
      </c>
      <c r="B145" s="33">
        <f>IF(C145="","",Commercial_Id)</f>
        <v/>
      </c>
      <c r="C145" s="36" t="n"/>
      <c r="D145" s="36" t="n"/>
      <c r="E145" s="43" t="n"/>
      <c r="F145" s="32" t="n"/>
      <c r="G145" s="51" t="n"/>
      <c r="H145" s="36" t="n"/>
      <c r="I145" s="46">
        <f>IF(OR(E145="",F145=""),"",IF(E145="Mois",DATE(YEAR(F145),MONTH(F145)+1,0),F145+6))</f>
        <v/>
      </c>
      <c r="J145" s="39">
        <f>IF(OR(F145="",I145=""),"",I145-F145+1)</f>
        <v/>
      </c>
    </row>
    <row r="146" ht="18" customHeight="1">
      <c r="A146" s="39" t="n">
        <v>141</v>
      </c>
      <c r="B146" s="33">
        <f>IF(C146="","",Commercial_Id)</f>
        <v/>
      </c>
      <c r="C146" s="36" t="n"/>
      <c r="D146" s="36" t="n"/>
      <c r="E146" s="43" t="n"/>
      <c r="F146" s="32" t="n"/>
      <c r="G146" s="51" t="n"/>
      <c r="H146" s="36" t="n"/>
      <c r="I146" s="46">
        <f>IF(OR(E146="",F146=""),"",IF(E146="Mois",DATE(YEAR(F146),MONTH(F146)+1,0),F146+6))</f>
        <v/>
      </c>
      <c r="J146" s="39">
        <f>IF(OR(F146="",I146=""),"",I146-F146+1)</f>
        <v/>
      </c>
    </row>
    <row r="147" ht="18" customHeight="1">
      <c r="A147" s="39" t="n">
        <v>142</v>
      </c>
      <c r="B147" s="33">
        <f>IF(C147="","",Commercial_Id)</f>
        <v/>
      </c>
      <c r="C147" s="36" t="n"/>
      <c r="D147" s="36" t="n"/>
      <c r="E147" s="43" t="n"/>
      <c r="F147" s="32" t="n"/>
      <c r="G147" s="51" t="n"/>
      <c r="H147" s="36" t="n"/>
      <c r="I147" s="46">
        <f>IF(OR(E147="",F147=""),"",IF(E147="Mois",DATE(YEAR(F147),MONTH(F147)+1,0),F147+6))</f>
        <v/>
      </c>
      <c r="J147" s="39">
        <f>IF(OR(F147="",I147=""),"",I147-F147+1)</f>
        <v/>
      </c>
    </row>
    <row r="148" ht="18" customHeight="1">
      <c r="A148" s="39" t="n">
        <v>143</v>
      </c>
      <c r="B148" s="33">
        <f>IF(C148="","",Commercial_Id)</f>
        <v/>
      </c>
      <c r="C148" s="36" t="n"/>
      <c r="D148" s="36" t="n"/>
      <c r="E148" s="43" t="n"/>
      <c r="F148" s="32" t="n"/>
      <c r="G148" s="51" t="n"/>
      <c r="H148" s="36" t="n"/>
      <c r="I148" s="46">
        <f>IF(OR(E148="",F148=""),"",IF(E148="Mois",DATE(YEAR(F148),MONTH(F148)+1,0),F148+6))</f>
        <v/>
      </c>
      <c r="J148" s="39">
        <f>IF(OR(F148="",I148=""),"",I148-F148+1)</f>
        <v/>
      </c>
    </row>
    <row r="149" ht="18" customHeight="1">
      <c r="A149" s="39" t="n">
        <v>144</v>
      </c>
      <c r="B149" s="33">
        <f>IF(C149="","",Commercial_Id)</f>
        <v/>
      </c>
      <c r="C149" s="36" t="n"/>
      <c r="D149" s="36" t="n"/>
      <c r="E149" s="43" t="n"/>
      <c r="F149" s="32" t="n"/>
      <c r="G149" s="51" t="n"/>
      <c r="H149" s="36" t="n"/>
      <c r="I149" s="46">
        <f>IF(OR(E149="",F149=""),"",IF(E149="Mois",DATE(YEAR(F149),MONTH(F149)+1,0),F149+6))</f>
        <v/>
      </c>
      <c r="J149" s="39">
        <f>IF(OR(F149="",I149=""),"",I149-F149+1)</f>
        <v/>
      </c>
    </row>
    <row r="150" ht="18" customHeight="1">
      <c r="A150" s="39" t="n">
        <v>145</v>
      </c>
      <c r="B150" s="33">
        <f>IF(C150="","",Commercial_Id)</f>
        <v/>
      </c>
      <c r="C150" s="36" t="n"/>
      <c r="D150" s="36" t="n"/>
      <c r="E150" s="43" t="n"/>
      <c r="F150" s="32" t="n"/>
      <c r="G150" s="51" t="n"/>
      <c r="H150" s="36" t="n"/>
      <c r="I150" s="46">
        <f>IF(OR(E150="",F150=""),"",IF(E150="Mois",DATE(YEAR(F150),MONTH(F150)+1,0),F150+6))</f>
        <v/>
      </c>
      <c r="J150" s="39">
        <f>IF(OR(F150="",I150=""),"",I150-F150+1)</f>
        <v/>
      </c>
    </row>
    <row r="151" ht="18" customHeight="1">
      <c r="A151" s="39" t="n">
        <v>146</v>
      </c>
      <c r="B151" s="33">
        <f>IF(C151="","",Commercial_Id)</f>
        <v/>
      </c>
      <c r="C151" s="36" t="n"/>
      <c r="D151" s="36" t="n"/>
      <c r="E151" s="43" t="n"/>
      <c r="F151" s="32" t="n"/>
      <c r="G151" s="51" t="n"/>
      <c r="H151" s="36" t="n"/>
      <c r="I151" s="46">
        <f>IF(OR(E151="",F151=""),"",IF(E151="Mois",DATE(YEAR(F151),MONTH(F151)+1,0),F151+6))</f>
        <v/>
      </c>
      <c r="J151" s="39">
        <f>IF(OR(F151="",I151=""),"",I151-F151+1)</f>
        <v/>
      </c>
    </row>
    <row r="152" ht="18" customHeight="1">
      <c r="A152" s="39" t="n">
        <v>147</v>
      </c>
      <c r="B152" s="33">
        <f>IF(C152="","",Commercial_Id)</f>
        <v/>
      </c>
      <c r="C152" s="36" t="n"/>
      <c r="D152" s="36" t="n"/>
      <c r="E152" s="43" t="n"/>
      <c r="F152" s="32" t="n"/>
      <c r="G152" s="51" t="n"/>
      <c r="H152" s="36" t="n"/>
      <c r="I152" s="46">
        <f>IF(OR(E152="",F152=""),"",IF(E152="Mois",DATE(YEAR(F152),MONTH(F152)+1,0),F152+6))</f>
        <v/>
      </c>
      <c r="J152" s="39">
        <f>IF(OR(F152="",I152=""),"",I152-F152+1)</f>
        <v/>
      </c>
    </row>
    <row r="153" ht="18" customHeight="1">
      <c r="A153" s="39" t="n">
        <v>148</v>
      </c>
      <c r="B153" s="33">
        <f>IF(C153="","",Commercial_Id)</f>
        <v/>
      </c>
      <c r="C153" s="36" t="n"/>
      <c r="D153" s="36" t="n"/>
      <c r="E153" s="43" t="n"/>
      <c r="F153" s="32" t="n"/>
      <c r="G153" s="51" t="n"/>
      <c r="H153" s="36" t="n"/>
      <c r="I153" s="46">
        <f>IF(OR(E153="",F153=""),"",IF(E153="Mois",DATE(YEAR(F153),MONTH(F153)+1,0),F153+6))</f>
        <v/>
      </c>
      <c r="J153" s="39">
        <f>IF(OR(F153="",I153=""),"",I153-F153+1)</f>
        <v/>
      </c>
    </row>
    <row r="154" ht="18" customHeight="1">
      <c r="A154" s="39" t="n">
        <v>149</v>
      </c>
      <c r="B154" s="33">
        <f>IF(C154="","",Commercial_Id)</f>
        <v/>
      </c>
      <c r="C154" s="36" t="n"/>
      <c r="D154" s="36" t="n"/>
      <c r="E154" s="43" t="n"/>
      <c r="F154" s="32" t="n"/>
      <c r="G154" s="51" t="n"/>
      <c r="H154" s="36" t="n"/>
      <c r="I154" s="46">
        <f>IF(OR(E154="",F154=""),"",IF(E154="Mois",DATE(YEAR(F154),MONTH(F154)+1,0),F154+6))</f>
        <v/>
      </c>
      <c r="J154" s="39">
        <f>IF(OR(F154="",I154=""),"",I154-F154+1)</f>
        <v/>
      </c>
    </row>
    <row r="155" ht="18" customHeight="1">
      <c r="A155" s="39" t="n">
        <v>150</v>
      </c>
      <c r="B155" s="33">
        <f>IF(C155="","",Commercial_Id)</f>
        <v/>
      </c>
      <c r="C155" s="36" t="n"/>
      <c r="D155" s="36" t="n"/>
      <c r="E155" s="43" t="n"/>
      <c r="F155" s="32" t="n"/>
      <c r="G155" s="51" t="n"/>
      <c r="H155" s="36" t="n"/>
      <c r="I155" s="46">
        <f>IF(OR(E155="",F155=""),"",IF(E155="Mois",DATE(YEAR(F155),MONTH(F155)+1,0),F155+6))</f>
        <v/>
      </c>
      <c r="J155" s="39">
        <f>IF(OR(F155="",I155=""),"",I155-F155+1)</f>
        <v/>
      </c>
    </row>
    <row r="156" ht="18" customHeight="1">
      <c r="A156" s="39" t="n">
        <v>151</v>
      </c>
      <c r="B156" s="33">
        <f>IF(C156="","",Commercial_Id)</f>
        <v/>
      </c>
      <c r="C156" s="36" t="n"/>
      <c r="D156" s="36" t="n"/>
      <c r="E156" s="43" t="n"/>
      <c r="F156" s="32" t="n"/>
      <c r="G156" s="51" t="n"/>
      <c r="H156" s="36" t="n"/>
      <c r="I156" s="46">
        <f>IF(OR(E156="",F156=""),"",IF(E156="Mois",DATE(YEAR(F156),MONTH(F156)+1,0),F156+6))</f>
        <v/>
      </c>
      <c r="J156" s="39">
        <f>IF(OR(F156="",I156=""),"",I156-F156+1)</f>
        <v/>
      </c>
    </row>
    <row r="157" ht="18" customHeight="1">
      <c r="A157" s="39" t="n">
        <v>152</v>
      </c>
      <c r="B157" s="33">
        <f>IF(C157="","",Commercial_Id)</f>
        <v/>
      </c>
      <c r="C157" s="36" t="n"/>
      <c r="D157" s="36" t="n"/>
      <c r="E157" s="43" t="n"/>
      <c r="F157" s="32" t="n"/>
      <c r="G157" s="51" t="n"/>
      <c r="H157" s="36" t="n"/>
      <c r="I157" s="46">
        <f>IF(OR(E157="",F157=""),"",IF(E157="Mois",DATE(YEAR(F157),MONTH(F157)+1,0),F157+6))</f>
        <v/>
      </c>
      <c r="J157" s="39">
        <f>IF(OR(F157="",I157=""),"",I157-F157+1)</f>
        <v/>
      </c>
    </row>
    <row r="158" ht="18" customHeight="1">
      <c r="A158" s="39" t="n">
        <v>153</v>
      </c>
      <c r="B158" s="33">
        <f>IF(C158="","",Commercial_Id)</f>
        <v/>
      </c>
      <c r="C158" s="36" t="n"/>
      <c r="D158" s="36" t="n"/>
      <c r="E158" s="43" t="n"/>
      <c r="F158" s="32" t="n"/>
      <c r="G158" s="51" t="n"/>
      <c r="H158" s="36" t="n"/>
      <c r="I158" s="46">
        <f>IF(OR(E158="",F158=""),"",IF(E158="Mois",DATE(YEAR(F158),MONTH(F158)+1,0),F158+6))</f>
        <v/>
      </c>
      <c r="J158" s="39">
        <f>IF(OR(F158="",I158=""),"",I158-F158+1)</f>
        <v/>
      </c>
    </row>
    <row r="159" ht="18" customHeight="1">
      <c r="A159" s="39" t="n">
        <v>154</v>
      </c>
      <c r="B159" s="33">
        <f>IF(C159="","",Commercial_Id)</f>
        <v/>
      </c>
      <c r="C159" s="36" t="n"/>
      <c r="D159" s="36" t="n"/>
      <c r="E159" s="43" t="n"/>
      <c r="F159" s="32" t="n"/>
      <c r="G159" s="51" t="n"/>
      <c r="H159" s="36" t="n"/>
      <c r="I159" s="46">
        <f>IF(OR(E159="",F159=""),"",IF(E159="Mois",DATE(YEAR(F159),MONTH(F159)+1,0),F159+6))</f>
        <v/>
      </c>
      <c r="J159" s="39">
        <f>IF(OR(F159="",I159=""),"",I159-F159+1)</f>
        <v/>
      </c>
    </row>
    <row r="160" ht="18" customHeight="1">
      <c r="A160" s="39" t="n">
        <v>155</v>
      </c>
      <c r="B160" s="33">
        <f>IF(C160="","",Commercial_Id)</f>
        <v/>
      </c>
      <c r="C160" s="36" t="n"/>
      <c r="D160" s="36" t="n"/>
      <c r="E160" s="43" t="n"/>
      <c r="F160" s="32" t="n"/>
      <c r="G160" s="51" t="n"/>
      <c r="H160" s="36" t="n"/>
      <c r="I160" s="46">
        <f>IF(OR(E160="",F160=""),"",IF(E160="Mois",DATE(YEAR(F160),MONTH(F160)+1,0),F160+6))</f>
        <v/>
      </c>
      <c r="J160" s="39">
        <f>IF(OR(F160="",I160=""),"",I160-F160+1)</f>
        <v/>
      </c>
    </row>
    <row r="161" ht="18" customHeight="1">
      <c r="A161" s="39" t="n">
        <v>156</v>
      </c>
      <c r="B161" s="33">
        <f>IF(C161="","",Commercial_Id)</f>
        <v/>
      </c>
      <c r="C161" s="36" t="n"/>
      <c r="D161" s="36" t="n"/>
      <c r="E161" s="43" t="n"/>
      <c r="F161" s="32" t="n"/>
      <c r="G161" s="51" t="n"/>
      <c r="H161" s="36" t="n"/>
      <c r="I161" s="46">
        <f>IF(OR(E161="",F161=""),"",IF(E161="Mois",DATE(YEAR(F161),MONTH(F161)+1,0),F161+6))</f>
        <v/>
      </c>
      <c r="J161" s="39">
        <f>IF(OR(F161="",I161=""),"",I161-F161+1)</f>
        <v/>
      </c>
    </row>
    <row r="162" ht="18" customHeight="1">
      <c r="A162" s="39" t="n">
        <v>157</v>
      </c>
      <c r="B162" s="33">
        <f>IF(C162="","",Commercial_Id)</f>
        <v/>
      </c>
      <c r="C162" s="36" t="n"/>
      <c r="D162" s="36" t="n"/>
      <c r="E162" s="43" t="n"/>
      <c r="F162" s="32" t="n"/>
      <c r="G162" s="51" t="n"/>
      <c r="H162" s="36" t="n"/>
      <c r="I162" s="46">
        <f>IF(OR(E162="",F162=""),"",IF(E162="Mois",DATE(YEAR(F162),MONTH(F162)+1,0),F162+6))</f>
        <v/>
      </c>
      <c r="J162" s="39">
        <f>IF(OR(F162="",I162=""),"",I162-F162+1)</f>
        <v/>
      </c>
    </row>
    <row r="163" ht="18" customHeight="1">
      <c r="A163" s="39" t="n">
        <v>158</v>
      </c>
      <c r="B163" s="33">
        <f>IF(C163="","",Commercial_Id)</f>
        <v/>
      </c>
      <c r="C163" s="36" t="n"/>
      <c r="D163" s="36" t="n"/>
      <c r="E163" s="43" t="n"/>
      <c r="F163" s="32" t="n"/>
      <c r="G163" s="51" t="n"/>
      <c r="H163" s="36" t="n"/>
      <c r="I163" s="46">
        <f>IF(OR(E163="",F163=""),"",IF(E163="Mois",DATE(YEAR(F163),MONTH(F163)+1,0),F163+6))</f>
        <v/>
      </c>
      <c r="J163" s="39">
        <f>IF(OR(F163="",I163=""),"",I163-F163+1)</f>
        <v/>
      </c>
    </row>
    <row r="164" ht="18" customHeight="1">
      <c r="A164" s="39" t="n">
        <v>159</v>
      </c>
      <c r="B164" s="33">
        <f>IF(C164="","",Commercial_Id)</f>
        <v/>
      </c>
      <c r="C164" s="36" t="n"/>
      <c r="D164" s="36" t="n"/>
      <c r="E164" s="43" t="n"/>
      <c r="F164" s="32" t="n"/>
      <c r="G164" s="51" t="n"/>
      <c r="H164" s="36" t="n"/>
      <c r="I164" s="46">
        <f>IF(OR(E164="",F164=""),"",IF(E164="Mois",DATE(YEAR(F164),MONTH(F164)+1,0),F164+6))</f>
        <v/>
      </c>
      <c r="J164" s="39">
        <f>IF(OR(F164="",I164=""),"",I164-F164+1)</f>
        <v/>
      </c>
    </row>
    <row r="165" ht="18" customHeight="1">
      <c r="A165" s="39" t="n">
        <v>160</v>
      </c>
      <c r="B165" s="33">
        <f>IF(C165="","",Commercial_Id)</f>
        <v/>
      </c>
      <c r="C165" s="36" t="n"/>
      <c r="D165" s="36" t="n"/>
      <c r="E165" s="43" t="n"/>
      <c r="F165" s="32" t="n"/>
      <c r="G165" s="51" t="n"/>
      <c r="H165" s="36" t="n"/>
      <c r="I165" s="46">
        <f>IF(OR(E165="",F165=""),"",IF(E165="Mois",DATE(YEAR(F165),MONTH(F165)+1,0),F165+6))</f>
        <v/>
      </c>
      <c r="J165" s="39">
        <f>IF(OR(F165="",I165=""),"",I165-F165+1)</f>
        <v/>
      </c>
    </row>
    <row r="166" ht="18" customHeight="1">
      <c r="A166" s="39" t="n">
        <v>161</v>
      </c>
      <c r="B166" s="33">
        <f>IF(C166="","",Commercial_Id)</f>
        <v/>
      </c>
      <c r="C166" s="36" t="n"/>
      <c r="D166" s="36" t="n"/>
      <c r="E166" s="43" t="n"/>
      <c r="F166" s="32" t="n"/>
      <c r="G166" s="51" t="n"/>
      <c r="H166" s="36" t="n"/>
      <c r="I166" s="46">
        <f>IF(OR(E166="",F166=""),"",IF(E166="Mois",DATE(YEAR(F166),MONTH(F166)+1,0),F166+6))</f>
        <v/>
      </c>
      <c r="J166" s="39">
        <f>IF(OR(F166="",I166=""),"",I166-F166+1)</f>
        <v/>
      </c>
    </row>
    <row r="167" ht="18" customHeight="1">
      <c r="A167" s="39" t="n">
        <v>162</v>
      </c>
      <c r="B167" s="33">
        <f>IF(C167="","",Commercial_Id)</f>
        <v/>
      </c>
      <c r="C167" s="36" t="n"/>
      <c r="D167" s="36" t="n"/>
      <c r="E167" s="43" t="n"/>
      <c r="F167" s="32" t="n"/>
      <c r="G167" s="51" t="n"/>
      <c r="H167" s="36" t="n"/>
      <c r="I167" s="46">
        <f>IF(OR(E167="",F167=""),"",IF(E167="Mois",DATE(YEAR(F167),MONTH(F167)+1,0),F167+6))</f>
        <v/>
      </c>
      <c r="J167" s="39">
        <f>IF(OR(F167="",I167=""),"",I167-F167+1)</f>
        <v/>
      </c>
    </row>
    <row r="168" ht="18" customHeight="1">
      <c r="A168" s="39" t="n">
        <v>163</v>
      </c>
      <c r="B168" s="33">
        <f>IF(C168="","",Commercial_Id)</f>
        <v/>
      </c>
      <c r="C168" s="36" t="n"/>
      <c r="D168" s="36" t="n"/>
      <c r="E168" s="43" t="n"/>
      <c r="F168" s="32" t="n"/>
      <c r="G168" s="51" t="n"/>
      <c r="H168" s="36" t="n"/>
      <c r="I168" s="46">
        <f>IF(OR(E168="",F168=""),"",IF(E168="Mois",DATE(YEAR(F168),MONTH(F168)+1,0),F168+6))</f>
        <v/>
      </c>
      <c r="J168" s="39">
        <f>IF(OR(F168="",I168=""),"",I168-F168+1)</f>
        <v/>
      </c>
    </row>
    <row r="169" ht="18" customHeight="1">
      <c r="A169" s="39" t="n">
        <v>164</v>
      </c>
      <c r="B169" s="33">
        <f>IF(C169="","",Commercial_Id)</f>
        <v/>
      </c>
      <c r="C169" s="36" t="n"/>
      <c r="D169" s="36" t="n"/>
      <c r="E169" s="43" t="n"/>
      <c r="F169" s="32" t="n"/>
      <c r="G169" s="51" t="n"/>
      <c r="H169" s="36" t="n"/>
      <c r="I169" s="46">
        <f>IF(OR(E169="",F169=""),"",IF(E169="Mois",DATE(YEAR(F169),MONTH(F169)+1,0),F169+6))</f>
        <v/>
      </c>
      <c r="J169" s="39">
        <f>IF(OR(F169="",I169=""),"",I169-F169+1)</f>
        <v/>
      </c>
    </row>
    <row r="170" ht="18" customHeight="1">
      <c r="A170" s="39" t="n">
        <v>165</v>
      </c>
      <c r="B170" s="33">
        <f>IF(C170="","",Commercial_Id)</f>
        <v/>
      </c>
      <c r="C170" s="36" t="n"/>
      <c r="D170" s="36" t="n"/>
      <c r="E170" s="43" t="n"/>
      <c r="F170" s="32" t="n"/>
      <c r="G170" s="51" t="n"/>
      <c r="H170" s="36" t="n"/>
      <c r="I170" s="46">
        <f>IF(OR(E170="",F170=""),"",IF(E170="Mois",DATE(YEAR(F170),MONTH(F170)+1,0),F170+6))</f>
        <v/>
      </c>
      <c r="J170" s="39">
        <f>IF(OR(F170="",I170=""),"",I170-F170+1)</f>
        <v/>
      </c>
    </row>
    <row r="171" ht="18" customHeight="1">
      <c r="A171" s="39" t="n">
        <v>166</v>
      </c>
      <c r="B171" s="33">
        <f>IF(C171="","",Commercial_Id)</f>
        <v/>
      </c>
      <c r="C171" s="36" t="n"/>
      <c r="D171" s="36" t="n"/>
      <c r="E171" s="43" t="n"/>
      <c r="F171" s="32" t="n"/>
      <c r="G171" s="51" t="n"/>
      <c r="H171" s="36" t="n"/>
      <c r="I171" s="46">
        <f>IF(OR(E171="",F171=""),"",IF(E171="Mois",DATE(YEAR(F171),MONTH(F171)+1,0),F171+6))</f>
        <v/>
      </c>
      <c r="J171" s="39">
        <f>IF(OR(F171="",I171=""),"",I171-F171+1)</f>
        <v/>
      </c>
    </row>
    <row r="172" ht="18" customHeight="1">
      <c r="A172" s="39" t="n">
        <v>167</v>
      </c>
      <c r="B172" s="33">
        <f>IF(C172="","",Commercial_Id)</f>
        <v/>
      </c>
      <c r="C172" s="36" t="n"/>
      <c r="D172" s="36" t="n"/>
      <c r="E172" s="43" t="n"/>
      <c r="F172" s="32" t="n"/>
      <c r="G172" s="51" t="n"/>
      <c r="H172" s="36" t="n"/>
      <c r="I172" s="46">
        <f>IF(OR(E172="",F172=""),"",IF(E172="Mois",DATE(YEAR(F172),MONTH(F172)+1,0),F172+6))</f>
        <v/>
      </c>
      <c r="J172" s="39">
        <f>IF(OR(F172="",I172=""),"",I172-F172+1)</f>
        <v/>
      </c>
    </row>
    <row r="173" ht="18" customHeight="1">
      <c r="A173" s="39" t="n">
        <v>168</v>
      </c>
      <c r="B173" s="33">
        <f>IF(C173="","",Commercial_Id)</f>
        <v/>
      </c>
      <c r="C173" s="36" t="n"/>
      <c r="D173" s="36" t="n"/>
      <c r="E173" s="43" t="n"/>
      <c r="F173" s="32" t="n"/>
      <c r="G173" s="51" t="n"/>
      <c r="H173" s="36" t="n"/>
      <c r="I173" s="46">
        <f>IF(OR(E173="",F173=""),"",IF(E173="Mois",DATE(YEAR(F173),MONTH(F173)+1,0),F173+6))</f>
        <v/>
      </c>
      <c r="J173" s="39">
        <f>IF(OR(F173="",I173=""),"",I173-F173+1)</f>
        <v/>
      </c>
    </row>
    <row r="174" ht="18" customHeight="1">
      <c r="A174" s="39" t="n">
        <v>169</v>
      </c>
      <c r="B174" s="33">
        <f>IF(C174="","",Commercial_Id)</f>
        <v/>
      </c>
      <c r="C174" s="36" t="n"/>
      <c r="D174" s="36" t="n"/>
      <c r="E174" s="43" t="n"/>
      <c r="F174" s="32" t="n"/>
      <c r="G174" s="51" t="n"/>
      <c r="H174" s="36" t="n"/>
      <c r="I174" s="46">
        <f>IF(OR(E174="",F174=""),"",IF(E174="Mois",DATE(YEAR(F174),MONTH(F174)+1,0),F174+6))</f>
        <v/>
      </c>
      <c r="J174" s="39">
        <f>IF(OR(F174="",I174=""),"",I174-F174+1)</f>
        <v/>
      </c>
    </row>
    <row r="175" ht="18" customHeight="1">
      <c r="A175" s="39" t="n">
        <v>170</v>
      </c>
      <c r="B175" s="33">
        <f>IF(C175="","",Commercial_Id)</f>
        <v/>
      </c>
      <c r="C175" s="36" t="n"/>
      <c r="D175" s="36" t="n"/>
      <c r="E175" s="43" t="n"/>
      <c r="F175" s="32" t="n"/>
      <c r="G175" s="51" t="n"/>
      <c r="H175" s="36" t="n"/>
      <c r="I175" s="46">
        <f>IF(OR(E175="",F175=""),"",IF(E175="Mois",DATE(YEAR(F175),MONTH(F175)+1,0),F175+6))</f>
        <v/>
      </c>
      <c r="J175" s="39">
        <f>IF(OR(F175="",I175=""),"",I175-F175+1)</f>
        <v/>
      </c>
    </row>
    <row r="176" ht="18" customHeight="1">
      <c r="A176" s="39" t="n">
        <v>171</v>
      </c>
      <c r="B176" s="33">
        <f>IF(C176="","",Commercial_Id)</f>
        <v/>
      </c>
      <c r="C176" s="36" t="n"/>
      <c r="D176" s="36" t="n"/>
      <c r="E176" s="43" t="n"/>
      <c r="F176" s="32" t="n"/>
      <c r="G176" s="51" t="n"/>
      <c r="H176" s="36" t="n"/>
      <c r="I176" s="46">
        <f>IF(OR(E176="",F176=""),"",IF(E176="Mois",DATE(YEAR(F176),MONTH(F176)+1,0),F176+6))</f>
        <v/>
      </c>
      <c r="J176" s="39">
        <f>IF(OR(F176="",I176=""),"",I176-F176+1)</f>
        <v/>
      </c>
    </row>
    <row r="177" ht="18" customHeight="1">
      <c r="A177" s="39" t="n">
        <v>172</v>
      </c>
      <c r="B177" s="33">
        <f>IF(C177="","",Commercial_Id)</f>
        <v/>
      </c>
      <c r="C177" s="36" t="n"/>
      <c r="D177" s="36" t="n"/>
      <c r="E177" s="43" t="n"/>
      <c r="F177" s="32" t="n"/>
      <c r="G177" s="51" t="n"/>
      <c r="H177" s="36" t="n"/>
      <c r="I177" s="46">
        <f>IF(OR(E177="",F177=""),"",IF(E177="Mois",DATE(YEAR(F177),MONTH(F177)+1,0),F177+6))</f>
        <v/>
      </c>
      <c r="J177" s="39">
        <f>IF(OR(F177="",I177=""),"",I177-F177+1)</f>
        <v/>
      </c>
    </row>
    <row r="178" ht="18" customHeight="1">
      <c r="A178" s="39" t="n">
        <v>173</v>
      </c>
      <c r="B178" s="33">
        <f>IF(C178="","",Commercial_Id)</f>
        <v/>
      </c>
      <c r="C178" s="36" t="n"/>
      <c r="D178" s="36" t="n"/>
      <c r="E178" s="43" t="n"/>
      <c r="F178" s="32" t="n"/>
      <c r="G178" s="51" t="n"/>
      <c r="H178" s="36" t="n"/>
      <c r="I178" s="46">
        <f>IF(OR(E178="",F178=""),"",IF(E178="Mois",DATE(YEAR(F178),MONTH(F178)+1,0),F178+6))</f>
        <v/>
      </c>
      <c r="J178" s="39">
        <f>IF(OR(F178="",I178=""),"",I178-F178+1)</f>
        <v/>
      </c>
    </row>
    <row r="179" ht="18" customHeight="1">
      <c r="A179" s="39" t="n">
        <v>174</v>
      </c>
      <c r="B179" s="33">
        <f>IF(C179="","",Commercial_Id)</f>
        <v/>
      </c>
      <c r="C179" s="36" t="n"/>
      <c r="D179" s="36" t="n"/>
      <c r="E179" s="43" t="n"/>
      <c r="F179" s="32" t="n"/>
      <c r="G179" s="51" t="n"/>
      <c r="H179" s="36" t="n"/>
      <c r="I179" s="46">
        <f>IF(OR(E179="",F179=""),"",IF(E179="Mois",DATE(YEAR(F179),MONTH(F179)+1,0),F179+6))</f>
        <v/>
      </c>
      <c r="J179" s="39">
        <f>IF(OR(F179="",I179=""),"",I179-F179+1)</f>
        <v/>
      </c>
    </row>
    <row r="180" ht="18" customHeight="1">
      <c r="A180" s="39" t="n">
        <v>175</v>
      </c>
      <c r="B180" s="33">
        <f>IF(C180="","",Commercial_Id)</f>
        <v/>
      </c>
      <c r="C180" s="36" t="n"/>
      <c r="D180" s="36" t="n"/>
      <c r="E180" s="43" t="n"/>
      <c r="F180" s="32" t="n"/>
      <c r="G180" s="51" t="n"/>
      <c r="H180" s="36" t="n"/>
      <c r="I180" s="46">
        <f>IF(OR(E180="",F180=""),"",IF(E180="Mois",DATE(YEAR(F180),MONTH(F180)+1,0),F180+6))</f>
        <v/>
      </c>
      <c r="J180" s="39">
        <f>IF(OR(F180="",I180=""),"",I180-F180+1)</f>
        <v/>
      </c>
    </row>
    <row r="181" ht="18" customHeight="1">
      <c r="A181" s="39" t="n">
        <v>176</v>
      </c>
      <c r="B181" s="33">
        <f>IF(C181="","",Commercial_Id)</f>
        <v/>
      </c>
      <c r="C181" s="36" t="n"/>
      <c r="D181" s="36" t="n"/>
      <c r="E181" s="43" t="n"/>
      <c r="F181" s="32" t="n"/>
      <c r="G181" s="51" t="n"/>
      <c r="H181" s="36" t="n"/>
      <c r="I181" s="46">
        <f>IF(OR(E181="",F181=""),"",IF(E181="Mois",DATE(YEAR(F181),MONTH(F181)+1,0),F181+6))</f>
        <v/>
      </c>
      <c r="J181" s="39">
        <f>IF(OR(F181="",I181=""),"",I181-F181+1)</f>
        <v/>
      </c>
    </row>
    <row r="182" ht="18" customHeight="1">
      <c r="A182" s="39" t="n">
        <v>177</v>
      </c>
      <c r="B182" s="33">
        <f>IF(C182="","",Commercial_Id)</f>
        <v/>
      </c>
      <c r="C182" s="36" t="n"/>
      <c r="D182" s="36" t="n"/>
      <c r="E182" s="43" t="n"/>
      <c r="F182" s="32" t="n"/>
      <c r="G182" s="51" t="n"/>
      <c r="H182" s="36" t="n"/>
      <c r="I182" s="46">
        <f>IF(OR(E182="",F182=""),"",IF(E182="Mois",DATE(YEAR(F182),MONTH(F182)+1,0),F182+6))</f>
        <v/>
      </c>
      <c r="J182" s="39">
        <f>IF(OR(F182="",I182=""),"",I182-F182+1)</f>
        <v/>
      </c>
    </row>
    <row r="183" ht="18" customHeight="1">
      <c r="A183" s="39" t="n">
        <v>178</v>
      </c>
      <c r="B183" s="33">
        <f>IF(C183="","",Commercial_Id)</f>
        <v/>
      </c>
      <c r="C183" s="36" t="n"/>
      <c r="D183" s="36" t="n"/>
      <c r="E183" s="43" t="n"/>
      <c r="F183" s="32" t="n"/>
      <c r="G183" s="51" t="n"/>
      <c r="H183" s="36" t="n"/>
      <c r="I183" s="46">
        <f>IF(OR(E183="",F183=""),"",IF(E183="Mois",DATE(YEAR(F183),MONTH(F183)+1,0),F183+6))</f>
        <v/>
      </c>
      <c r="J183" s="39">
        <f>IF(OR(F183="",I183=""),"",I183-F183+1)</f>
        <v/>
      </c>
    </row>
    <row r="184" ht="18" customHeight="1">
      <c r="A184" s="39" t="n">
        <v>179</v>
      </c>
      <c r="B184" s="33">
        <f>IF(C184="","",Commercial_Id)</f>
        <v/>
      </c>
      <c r="C184" s="36" t="n"/>
      <c r="D184" s="36" t="n"/>
      <c r="E184" s="43" t="n"/>
      <c r="F184" s="32" t="n"/>
      <c r="G184" s="51" t="n"/>
      <c r="H184" s="36" t="n"/>
      <c r="I184" s="46">
        <f>IF(OR(E184="",F184=""),"",IF(E184="Mois",DATE(YEAR(F184),MONTH(F184)+1,0),F184+6))</f>
        <v/>
      </c>
      <c r="J184" s="39">
        <f>IF(OR(F184="",I184=""),"",I184-F184+1)</f>
        <v/>
      </c>
    </row>
    <row r="185" ht="18" customHeight="1">
      <c r="A185" s="39" t="n">
        <v>180</v>
      </c>
      <c r="B185" s="33">
        <f>IF(C185="","",Commercial_Id)</f>
        <v/>
      </c>
      <c r="C185" s="36" t="n"/>
      <c r="D185" s="36" t="n"/>
      <c r="E185" s="43" t="n"/>
      <c r="F185" s="32" t="n"/>
      <c r="G185" s="51" t="n"/>
      <c r="H185" s="36" t="n"/>
      <c r="I185" s="46">
        <f>IF(OR(E185="",F185=""),"",IF(E185="Mois",DATE(YEAR(F185),MONTH(F185)+1,0),F185+6))</f>
        <v/>
      </c>
      <c r="J185" s="39">
        <f>IF(OR(F185="",I185=""),"",I185-F185+1)</f>
        <v/>
      </c>
    </row>
    <row r="186" ht="18" customHeight="1">
      <c r="A186" s="39" t="n">
        <v>181</v>
      </c>
      <c r="B186" s="33">
        <f>IF(C186="","",Commercial_Id)</f>
        <v/>
      </c>
      <c r="C186" s="36" t="n"/>
      <c r="D186" s="36" t="n"/>
      <c r="E186" s="43" t="n"/>
      <c r="F186" s="32" t="n"/>
      <c r="G186" s="51" t="n"/>
      <c r="H186" s="36" t="n"/>
      <c r="I186" s="46">
        <f>IF(OR(E186="",F186=""),"",IF(E186="Mois",DATE(YEAR(F186),MONTH(F186)+1,0),F186+6))</f>
        <v/>
      </c>
      <c r="J186" s="39">
        <f>IF(OR(F186="",I186=""),"",I186-F186+1)</f>
        <v/>
      </c>
    </row>
    <row r="187" ht="18" customHeight="1">
      <c r="A187" s="39" t="n">
        <v>182</v>
      </c>
      <c r="B187" s="33">
        <f>IF(C187="","",Commercial_Id)</f>
        <v/>
      </c>
      <c r="C187" s="36" t="n"/>
      <c r="D187" s="36" t="n"/>
      <c r="E187" s="43" t="n"/>
      <c r="F187" s="32" t="n"/>
      <c r="G187" s="51" t="n"/>
      <c r="H187" s="36" t="n"/>
      <c r="I187" s="46">
        <f>IF(OR(E187="",F187=""),"",IF(E187="Mois",DATE(YEAR(F187),MONTH(F187)+1,0),F187+6))</f>
        <v/>
      </c>
      <c r="J187" s="39">
        <f>IF(OR(F187="",I187=""),"",I187-F187+1)</f>
        <v/>
      </c>
    </row>
    <row r="188" ht="18" customHeight="1">
      <c r="A188" s="39" t="n">
        <v>183</v>
      </c>
      <c r="B188" s="33">
        <f>IF(C188="","",Commercial_Id)</f>
        <v/>
      </c>
      <c r="C188" s="36" t="n"/>
      <c r="D188" s="36" t="n"/>
      <c r="E188" s="43" t="n"/>
      <c r="F188" s="32" t="n"/>
      <c r="G188" s="51" t="n"/>
      <c r="H188" s="36" t="n"/>
      <c r="I188" s="46">
        <f>IF(OR(E188="",F188=""),"",IF(E188="Mois",DATE(YEAR(F188),MONTH(F188)+1,0),F188+6))</f>
        <v/>
      </c>
      <c r="J188" s="39">
        <f>IF(OR(F188="",I188=""),"",I188-F188+1)</f>
        <v/>
      </c>
    </row>
    <row r="189" ht="18" customHeight="1">
      <c r="A189" s="39" t="n">
        <v>184</v>
      </c>
      <c r="B189" s="33">
        <f>IF(C189="","",Commercial_Id)</f>
        <v/>
      </c>
      <c r="C189" s="36" t="n"/>
      <c r="D189" s="36" t="n"/>
      <c r="E189" s="43" t="n"/>
      <c r="F189" s="32" t="n"/>
      <c r="G189" s="51" t="n"/>
      <c r="H189" s="36" t="n"/>
      <c r="I189" s="46">
        <f>IF(OR(E189="",F189=""),"",IF(E189="Mois",DATE(YEAR(F189),MONTH(F189)+1,0),F189+6))</f>
        <v/>
      </c>
      <c r="J189" s="39">
        <f>IF(OR(F189="",I189=""),"",I189-F189+1)</f>
        <v/>
      </c>
    </row>
    <row r="190" ht="18" customHeight="1">
      <c r="A190" s="39" t="n">
        <v>185</v>
      </c>
      <c r="B190" s="33">
        <f>IF(C190="","",Commercial_Id)</f>
        <v/>
      </c>
      <c r="C190" s="36" t="n"/>
      <c r="D190" s="36" t="n"/>
      <c r="E190" s="43" t="n"/>
      <c r="F190" s="32" t="n"/>
      <c r="G190" s="51" t="n"/>
      <c r="H190" s="36" t="n"/>
      <c r="I190" s="46">
        <f>IF(OR(E190="",F190=""),"",IF(E190="Mois",DATE(YEAR(F190),MONTH(F190)+1,0),F190+6))</f>
        <v/>
      </c>
      <c r="J190" s="39">
        <f>IF(OR(F190="",I190=""),"",I190-F190+1)</f>
        <v/>
      </c>
    </row>
    <row r="191" ht="18" customHeight="1">
      <c r="A191" s="39" t="n">
        <v>186</v>
      </c>
      <c r="B191" s="33">
        <f>IF(C191="","",Commercial_Id)</f>
        <v/>
      </c>
      <c r="C191" s="36" t="n"/>
      <c r="D191" s="36" t="n"/>
      <c r="E191" s="43" t="n"/>
      <c r="F191" s="32" t="n"/>
      <c r="G191" s="51" t="n"/>
      <c r="H191" s="36" t="n"/>
      <c r="I191" s="46">
        <f>IF(OR(E191="",F191=""),"",IF(E191="Mois",DATE(YEAR(F191),MONTH(F191)+1,0),F191+6))</f>
        <v/>
      </c>
      <c r="J191" s="39">
        <f>IF(OR(F191="",I191=""),"",I191-F191+1)</f>
        <v/>
      </c>
    </row>
    <row r="192" ht="18" customHeight="1">
      <c r="A192" s="39" t="n">
        <v>187</v>
      </c>
      <c r="B192" s="33">
        <f>IF(C192="","",Commercial_Id)</f>
        <v/>
      </c>
      <c r="C192" s="36" t="n"/>
      <c r="D192" s="36" t="n"/>
      <c r="E192" s="43" t="n"/>
      <c r="F192" s="32" t="n"/>
      <c r="G192" s="51" t="n"/>
      <c r="H192" s="36" t="n"/>
      <c r="I192" s="46">
        <f>IF(OR(E192="",F192=""),"",IF(E192="Mois",DATE(YEAR(F192),MONTH(F192)+1,0),F192+6))</f>
        <v/>
      </c>
      <c r="J192" s="39">
        <f>IF(OR(F192="",I192=""),"",I192-F192+1)</f>
        <v/>
      </c>
    </row>
    <row r="193" ht="18" customHeight="1">
      <c r="A193" s="39" t="n">
        <v>188</v>
      </c>
      <c r="B193" s="33">
        <f>IF(C193="","",Commercial_Id)</f>
        <v/>
      </c>
      <c r="C193" s="36" t="n"/>
      <c r="D193" s="36" t="n"/>
      <c r="E193" s="43" t="n"/>
      <c r="F193" s="32" t="n"/>
      <c r="G193" s="51" t="n"/>
      <c r="H193" s="36" t="n"/>
      <c r="I193" s="46">
        <f>IF(OR(E193="",F193=""),"",IF(E193="Mois",DATE(YEAR(F193),MONTH(F193)+1,0),F193+6))</f>
        <v/>
      </c>
      <c r="J193" s="39">
        <f>IF(OR(F193="",I193=""),"",I193-F193+1)</f>
        <v/>
      </c>
    </row>
    <row r="194" ht="18" customHeight="1">
      <c r="A194" s="39" t="n">
        <v>189</v>
      </c>
      <c r="B194" s="33">
        <f>IF(C194="","",Commercial_Id)</f>
        <v/>
      </c>
      <c r="C194" s="36" t="n"/>
      <c r="D194" s="36" t="n"/>
      <c r="E194" s="43" t="n"/>
      <c r="F194" s="32" t="n"/>
      <c r="G194" s="51" t="n"/>
      <c r="H194" s="36" t="n"/>
      <c r="I194" s="46">
        <f>IF(OR(E194="",F194=""),"",IF(E194="Mois",DATE(YEAR(F194),MONTH(F194)+1,0),F194+6))</f>
        <v/>
      </c>
      <c r="J194" s="39">
        <f>IF(OR(F194="",I194=""),"",I194-F194+1)</f>
        <v/>
      </c>
    </row>
    <row r="195" ht="18" customHeight="1">
      <c r="A195" s="39" t="n">
        <v>190</v>
      </c>
      <c r="B195" s="33">
        <f>IF(C195="","",Commercial_Id)</f>
        <v/>
      </c>
      <c r="C195" s="36" t="n"/>
      <c r="D195" s="36" t="n"/>
      <c r="E195" s="43" t="n"/>
      <c r="F195" s="32" t="n"/>
      <c r="G195" s="51" t="n"/>
      <c r="H195" s="36" t="n"/>
      <c r="I195" s="46">
        <f>IF(OR(E195="",F195=""),"",IF(E195="Mois",DATE(YEAR(F195),MONTH(F195)+1,0),F195+6))</f>
        <v/>
      </c>
      <c r="J195" s="39">
        <f>IF(OR(F195="",I195=""),"",I195-F195+1)</f>
        <v/>
      </c>
    </row>
    <row r="196" ht="18" customHeight="1">
      <c r="A196" s="39" t="n">
        <v>191</v>
      </c>
      <c r="B196" s="33">
        <f>IF(C196="","",Commercial_Id)</f>
        <v/>
      </c>
      <c r="C196" s="36" t="n"/>
      <c r="D196" s="36" t="n"/>
      <c r="E196" s="43" t="n"/>
      <c r="F196" s="32" t="n"/>
      <c r="G196" s="51" t="n"/>
      <c r="H196" s="36" t="n"/>
      <c r="I196" s="46">
        <f>IF(OR(E196="",F196=""),"",IF(E196="Mois",DATE(YEAR(F196),MONTH(F196)+1,0),F196+6))</f>
        <v/>
      </c>
      <c r="J196" s="39">
        <f>IF(OR(F196="",I196=""),"",I196-F196+1)</f>
        <v/>
      </c>
    </row>
    <row r="197" ht="18" customHeight="1">
      <c r="A197" s="39" t="n">
        <v>192</v>
      </c>
      <c r="B197" s="33">
        <f>IF(C197="","",Commercial_Id)</f>
        <v/>
      </c>
      <c r="C197" s="36" t="n"/>
      <c r="D197" s="36" t="n"/>
      <c r="E197" s="43" t="n"/>
      <c r="F197" s="32" t="n"/>
      <c r="G197" s="51" t="n"/>
      <c r="H197" s="36" t="n"/>
      <c r="I197" s="46">
        <f>IF(OR(E197="",F197=""),"",IF(E197="Mois",DATE(YEAR(F197),MONTH(F197)+1,0),F197+6))</f>
        <v/>
      </c>
      <c r="J197" s="39">
        <f>IF(OR(F197="",I197=""),"",I197-F197+1)</f>
        <v/>
      </c>
    </row>
    <row r="198" ht="18" customHeight="1">
      <c r="A198" s="39" t="n">
        <v>193</v>
      </c>
      <c r="B198" s="33">
        <f>IF(C198="","",Commercial_Id)</f>
        <v/>
      </c>
      <c r="C198" s="36" t="n"/>
      <c r="D198" s="36" t="n"/>
      <c r="E198" s="43" t="n"/>
      <c r="F198" s="32" t="n"/>
      <c r="G198" s="51" t="n"/>
      <c r="H198" s="36" t="n"/>
      <c r="I198" s="46">
        <f>IF(OR(E198="",F198=""),"",IF(E198="Mois",DATE(YEAR(F198),MONTH(F198)+1,0),F198+6))</f>
        <v/>
      </c>
      <c r="J198" s="39">
        <f>IF(OR(F198="",I198=""),"",I198-F198+1)</f>
        <v/>
      </c>
    </row>
    <row r="199" ht="18" customHeight="1">
      <c r="A199" s="39" t="n">
        <v>194</v>
      </c>
      <c r="B199" s="33">
        <f>IF(C199="","",Commercial_Id)</f>
        <v/>
      </c>
      <c r="C199" s="36" t="n"/>
      <c r="D199" s="36" t="n"/>
      <c r="E199" s="43" t="n"/>
      <c r="F199" s="32" t="n"/>
      <c r="G199" s="51" t="n"/>
      <c r="H199" s="36" t="n"/>
      <c r="I199" s="46">
        <f>IF(OR(E199="",F199=""),"",IF(E199="Mois",DATE(YEAR(F199),MONTH(F199)+1,0),F199+6))</f>
        <v/>
      </c>
      <c r="J199" s="39">
        <f>IF(OR(F199="",I199=""),"",I199-F199+1)</f>
        <v/>
      </c>
    </row>
    <row r="200" ht="18" customHeight="1">
      <c r="A200" s="39" t="n">
        <v>195</v>
      </c>
      <c r="B200" s="33">
        <f>IF(C200="","",Commercial_Id)</f>
        <v/>
      </c>
      <c r="C200" s="36" t="n"/>
      <c r="D200" s="36" t="n"/>
      <c r="E200" s="43" t="n"/>
      <c r="F200" s="32" t="n"/>
      <c r="G200" s="51" t="n"/>
      <c r="H200" s="36" t="n"/>
      <c r="I200" s="46">
        <f>IF(OR(E200="",F200=""),"",IF(E200="Mois",DATE(YEAR(F200),MONTH(F200)+1,0),F200+6))</f>
        <v/>
      </c>
      <c r="J200" s="39">
        <f>IF(OR(F200="",I200=""),"",I200-F200+1)</f>
        <v/>
      </c>
    </row>
    <row r="201" ht="18" customHeight="1">
      <c r="A201" s="39" t="n">
        <v>196</v>
      </c>
      <c r="B201" s="33">
        <f>IF(C201="","",Commercial_Id)</f>
        <v/>
      </c>
      <c r="C201" s="36" t="n"/>
      <c r="D201" s="36" t="n"/>
      <c r="E201" s="43" t="n"/>
      <c r="F201" s="32" t="n"/>
      <c r="G201" s="51" t="n"/>
      <c r="H201" s="36" t="n"/>
      <c r="I201" s="46">
        <f>IF(OR(E201="",F201=""),"",IF(E201="Mois",DATE(YEAR(F201),MONTH(F201)+1,0),F201+6))</f>
        <v/>
      </c>
      <c r="J201" s="39">
        <f>IF(OR(F201="",I201=""),"",I201-F201+1)</f>
        <v/>
      </c>
    </row>
    <row r="202" ht="18" customHeight="1">
      <c r="A202" s="39" t="n">
        <v>197</v>
      </c>
      <c r="B202" s="33">
        <f>IF(C202="","",Commercial_Id)</f>
        <v/>
      </c>
      <c r="C202" s="36" t="n"/>
      <c r="D202" s="36" t="n"/>
      <c r="E202" s="43" t="n"/>
      <c r="F202" s="32" t="n"/>
      <c r="G202" s="51" t="n"/>
      <c r="H202" s="36" t="n"/>
      <c r="I202" s="46">
        <f>IF(OR(E202="",F202=""),"",IF(E202="Mois",DATE(YEAR(F202),MONTH(F202)+1,0),F202+6))</f>
        <v/>
      </c>
      <c r="J202" s="39">
        <f>IF(OR(F202="",I202=""),"",I202-F202+1)</f>
        <v/>
      </c>
    </row>
    <row r="203" ht="18" customHeight="1">
      <c r="A203" s="39" t="n">
        <v>198</v>
      </c>
      <c r="B203" s="33">
        <f>IF(C203="","",Commercial_Id)</f>
        <v/>
      </c>
      <c r="C203" s="36" t="n"/>
      <c r="D203" s="36" t="n"/>
      <c r="E203" s="43" t="n"/>
      <c r="F203" s="32" t="n"/>
      <c r="G203" s="51" t="n"/>
      <c r="H203" s="36" t="n"/>
      <c r="I203" s="46">
        <f>IF(OR(E203="",F203=""),"",IF(E203="Mois",DATE(YEAR(F203),MONTH(F203)+1,0),F203+6))</f>
        <v/>
      </c>
      <c r="J203" s="39">
        <f>IF(OR(F203="",I203=""),"",I203-F203+1)</f>
        <v/>
      </c>
    </row>
    <row r="204" ht="18" customHeight="1">
      <c r="A204" s="39" t="n">
        <v>199</v>
      </c>
      <c r="B204" s="33">
        <f>IF(C204="","",Commercial_Id)</f>
        <v/>
      </c>
      <c r="C204" s="36" t="n"/>
      <c r="D204" s="36" t="n"/>
      <c r="E204" s="43" t="n"/>
      <c r="F204" s="32" t="n"/>
      <c r="G204" s="51" t="n"/>
      <c r="H204" s="36" t="n"/>
      <c r="I204" s="46">
        <f>IF(OR(E204="",F204=""),"",IF(E204="Mois",DATE(YEAR(F204),MONTH(F204)+1,0),F204+6))</f>
        <v/>
      </c>
      <c r="J204" s="39">
        <f>IF(OR(F204="",I204=""),"",I204-F204+1)</f>
        <v/>
      </c>
    </row>
    <row r="205" ht="18" customHeight="1">
      <c r="A205" s="39" t="n">
        <v>200</v>
      </c>
      <c r="B205" s="33">
        <f>IF(C205="","",Commercial_Id)</f>
        <v/>
      </c>
      <c r="C205" s="36" t="n"/>
      <c r="D205" s="36" t="n"/>
      <c r="E205" s="43" t="n"/>
      <c r="F205" s="32" t="n"/>
      <c r="G205" s="51" t="n"/>
      <c r="H205" s="36" t="n"/>
      <c r="I205" s="46">
        <f>IF(OR(E205="",F205=""),"",IF(E205="Mois",DATE(YEAR(F205),MONTH(F205)+1,0),F205+6))</f>
        <v/>
      </c>
      <c r="J205" s="39">
        <f>IF(OR(F205="",I205=""),"",I205-F205+1)</f>
        <v/>
      </c>
    </row>
  </sheetData>
  <autoFilter ref="A5:J205"/>
  <mergeCells count="1">
    <mergeCell ref="A3:B3"/>
  </mergeCells>
  <conditionalFormatting sqref="C6:C205">
    <cfRule type="expression" priority="1" dxfId="0">
      <formula>AND(COUNTA($C6:$H6)&gt;0,C6="")</formula>
    </cfRule>
  </conditionalFormatting>
  <conditionalFormatting sqref="D6:D205">
    <cfRule type="expression" priority="2" dxfId="0">
      <formula>AND(C6="Quantité vendue d'un produit",D6="")</formula>
    </cfRule>
  </conditionalFormatting>
  <conditionalFormatting sqref="E6:E205">
    <cfRule type="expression" priority="3" dxfId="0">
      <formula>AND(COUNTA($C6:$H6)&gt;0,E6="")</formula>
    </cfRule>
  </conditionalFormatting>
  <conditionalFormatting sqref="F6:F205">
    <cfRule type="expression" priority="4" dxfId="0">
      <formula>AND(COUNTA($C6:$H6)&gt;0,F6="")</formula>
    </cfRule>
    <cfRule type="expression" priority="5" dxfId="0">
      <formula>AND(F6&lt;&gt;"",NOT(ISNUMBER(F6)))</formula>
    </cfRule>
  </conditionalFormatting>
  <conditionalFormatting sqref="G6:G205">
    <cfRule type="expression" priority="6" dxfId="0">
      <formula>AND(COUNTA($C6:$H6)&gt;0,G6="")</formula>
    </cfRule>
  </conditionalFormatting>
  <dataValidations count="5">
    <dataValidation sqref="C6:C205" showDropDown="0" showInputMessage="0" showErrorMessage="1" allowBlank="1" errorTitle="Valeur hors liste" error="Cette valeur n'est pas dans la liste. Choisissez-la avec la flèche à droite de la cellule." type="list" errorStyle="stop">
      <formula1>=L_Metrique</formula1>
    </dataValidation>
    <dataValidation sqref="D6:D205" showDropDown="0" showInputMessage="0" showErrorMessage="1" allowBlank="1" errorTitle="Valeur hors liste" error="Cette valeur n'est pas dans la liste. Choisissez-la avec la flèche à droite de la cellule." type="list" errorStyle="stop">
      <formula1>=L_Produit</formula1>
    </dataValidation>
    <dataValidation sqref="E6:E205" showDropDown="0" showInputMessage="0" showErrorMessage="1" allowBlank="1" errorTitle="Valeur hors liste" error="Cette valeur n'est pas dans la liste. Choisissez-la avec la flèche à droite de la cellule." type="list" errorStyle="stop">
      <formula1>=L_TypePeriode</formula1>
    </dataValidation>
    <dataValidation sqref="F6:F205" showDropDown="0" showInputMessage="0" showErrorMessage="1" allowBlank="1" errorTitle="Valeur hors liste" error="Choisissez dans la liste avec la flèche à droite de la cellule." type="list" errorStyle="information">
      <formula1>=INDIRECT(IF($E6="Mois","L_Mois","L_LundisAvenir"))</formula1>
    </dataValidation>
    <dataValidation sqref="G6:G205" showDropDown="0" showInputMessage="0" showErrorMessage="1" allowBlank="1" errorTitle="Nombre invalide" error="Saisissez un nombre strictement positif." type="decimal" errorStyle="stop" operator="greaterThan">
      <formula1>0</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11.xml><?xml version="1.0" encoding="utf-8"?>
<worksheet xmlns="http://schemas.openxmlformats.org/spreadsheetml/2006/main">
  <sheetPr>
    <tabColor rgb="00E07B39"/>
    <outlinePr summaryBelow="1" summaryRight="1"/>
    <pageSetUpPr fitToPage="1"/>
  </sheetPr>
  <dimension ref="A1:N85"/>
  <sheetViews>
    <sheetView tabSelected="0" zoomScale="90" workbookViewId="0">
      <pane xSplit="1" ySplit="5" topLeftCell="B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0" customWidth="1" min="3" max="3"/>
    <col width="10" customWidth="1" min="4" max="4"/>
    <col width="10" customWidth="1" min="5" max="5"/>
    <col width="14" customWidth="1" min="6" max="6"/>
    <col width="14" customWidth="1" min="7" max="7"/>
    <col width="44" customWidth="1" min="8" max="8"/>
    <col width="44" customWidth="1" min="9" max="9"/>
    <col width="40" customWidth="1" min="10" max="10"/>
    <col width="44" customWidth="1" min="11" max="11"/>
    <col width="44" customWidth="1" min="12" max="12"/>
    <col width="12" customWidth="1" min="13" max="13"/>
    <col width="44" customWidth="1" min="14" max="14"/>
  </cols>
  <sheetData>
    <row r="1" ht="26" customHeight="1">
      <c r="A1" s="15" t="inlineStr">
        <is>
          <t>BILANS HEBDOMADAIRES — le texte du rapport de la semaine</t>
        </is>
      </c>
    </row>
    <row r="2" ht="18" customHeight="1">
      <c r="A2" s="2" t="inlineStr">
        <is>
          <t>Une ligne par semaine : choisissez le lundi dans la liste puis écrivez le bilan. Les chiffres de la semaine se calculent seuls ; le rapport complet est dans « Rapport_Semaine ».</t>
        </is>
      </c>
    </row>
    <row r="3" ht="22" customHeight="1">
      <c r="A3" s="16" t="inlineStr">
        <is>
          <t>◄ Sommaire</t>
        </is>
      </c>
      <c r="C3" s="27" t="inlineStr">
        <is>
          <t>Saisie</t>
        </is>
      </c>
      <c r="D3" s="28" t="inlineStr">
        <is>
          <t>Calculé</t>
        </is>
      </c>
      <c r="E3" s="29" t="inlineStr">
        <is>
          <t>À compléter</t>
        </is>
      </c>
    </row>
    <row r="4" ht="40" customHeight="1">
      <c r="A4" s="30" t="inlineStr">
        <is>
          <t>Liste des lundis</t>
        </is>
      </c>
      <c r="B4" s="30" t="inlineStr">
        <is>
          <t>Rempli seul ; remplaçable</t>
        </is>
      </c>
      <c r="C4" s="30" t="inlineStr">
        <is>
          <t>Calculé (ISO)</t>
        </is>
      </c>
      <c r="D4" s="30" t="inlineStr">
        <is>
          <t>Calculé</t>
        </is>
      </c>
      <c r="E4" s="30" t="inlineStr">
        <is>
          <t>Calculé</t>
        </is>
      </c>
      <c r="F4" s="30" t="inlineStr">
        <is>
          <t>Calculé</t>
        </is>
      </c>
      <c r="G4" s="30" t="inlineStr">
        <is>
          <t>Calculé</t>
        </is>
      </c>
      <c r="H4" s="30" t="inlineStr">
        <is>
          <t>Ce qui a bien marché</t>
        </is>
      </c>
      <c r="I4" s="30" t="inlineStr">
        <is>
          <t>Blocages, refus, retards</t>
        </is>
      </c>
      <c r="J4" s="30" t="inlineStr">
        <is>
          <t>Support, stock, prix, outils…</t>
        </is>
      </c>
      <c r="K4" s="30" t="inlineStr">
        <is>
          <t>3 priorités maximum</t>
        </is>
      </c>
      <c r="L4" s="30" t="inlineStr">
        <is>
          <t>Veille terrain</t>
        </is>
      </c>
      <c r="M4" s="30" t="inlineStr">
        <is>
          <t>Liste</t>
        </is>
      </c>
      <c r="N4" s="30" t="inlineStr">
        <is>
          <t>Retour au commercial</t>
        </is>
      </c>
    </row>
    <row r="5" ht="44" customHeight="1">
      <c r="A5" s="31" t="inlineStr">
        <is>
          <t>Lundi de la semaine</t>
        </is>
      </c>
      <c r="B5" s="7" t="inlineStr">
        <is>
          <t>Commercial</t>
        </is>
      </c>
      <c r="C5" s="7" t="inlineStr">
        <is>
          <t>Semaine</t>
        </is>
      </c>
      <c r="D5" s="7" t="inlineStr">
        <is>
          <t>Visites sur place</t>
        </is>
      </c>
      <c r="E5" s="7" t="inlineStr">
        <is>
          <t>Nouveaux clients</t>
        </is>
      </c>
      <c r="F5" s="7" t="inlineStr">
        <is>
          <t>CA réalisé (XAF)</t>
        </is>
      </c>
      <c r="G5" s="7" t="inlineStr">
        <is>
          <t>Encaissé (XAF)</t>
        </is>
      </c>
      <c r="H5" s="31" t="inlineStr">
        <is>
          <t>Réussites de la semaine</t>
        </is>
      </c>
      <c r="I5" s="31" t="inlineStr">
        <is>
          <t>Difficultés rencontrées</t>
        </is>
      </c>
      <c r="J5" s="31" t="inlineStr">
        <is>
          <t>Besoins / demandes à la direction</t>
        </is>
      </c>
      <c r="K5" s="31" t="inlineStr">
        <is>
          <t>Priorités de la semaine suivante</t>
        </is>
      </c>
      <c r="L5" s="31" t="inlineStr">
        <is>
          <t>Infos marché (concurrents, prix, tendances)</t>
        </is>
      </c>
      <c r="M5" s="31" t="inlineStr">
        <is>
          <t>Vu par le responsable ?</t>
        </is>
      </c>
      <c r="N5" s="31" t="inlineStr">
        <is>
          <t>Commentaire du responsable</t>
        </is>
      </c>
    </row>
    <row r="6" ht="18" customHeight="1">
      <c r="A6" s="32" t="n"/>
      <c r="B6" s="33">
        <f>IF(A6="","",Commercial_Id)</f>
        <v/>
      </c>
      <c r="C6" s="34">
        <f>IF(A6="","",YEAR(A6-WEEKDAY(A6,2)+4)&amp;"-S"&amp;TEXT(INT((A6-DATE(YEAR(A6-WEEKDAY(A6,2)+4),1,3)+WEEKDAY(DATE(YEAR(A6-WEEKDAY(A6,2)+4),1,3),2)+5)/7),"00"))</f>
        <v/>
      </c>
      <c r="D6" s="39">
        <f>IF(A6="","",COUNTIFS(VC_date,"&gt;="&amp;A6,VC_date,"&lt;="&amp;A6+6,VC_commercial,B6,VC_type,"Visite sur place"))</f>
        <v/>
      </c>
      <c r="E6" s="39">
        <f>IF(A6="","",COUNTIFS(Cl_vente1,"&gt;="&amp;A6,Cl_vente1,"&lt;="&amp;A6+6,Cl_commercial,B6))</f>
        <v/>
      </c>
      <c r="F6" s="40">
        <f>IF(A6="","",SUMIFS(Cmd_montant,Cmd_dateca,"&gt;="&amp;A6,Cmd_dateca,"&lt;="&amp;A6+6,Cmd_commercial,B6))</f>
        <v/>
      </c>
      <c r="G6" s="40">
        <f>IF(A6="","",SUMIFS(Enc_montant,Enc_date,"&gt;="&amp;A6,Enc_date,"&lt;="&amp;A6+6,Enc_commercial,B6))</f>
        <v/>
      </c>
      <c r="H6" s="36" t="n"/>
      <c r="I6" s="36" t="n"/>
      <c r="J6" s="36" t="n"/>
      <c r="K6" s="36" t="n"/>
      <c r="L6" s="36" t="n"/>
      <c r="M6" s="43" t="n"/>
      <c r="N6" s="36" t="n"/>
    </row>
    <row r="7" ht="18" customHeight="1">
      <c r="A7" s="32" t="n"/>
      <c r="B7" s="33">
        <f>IF(A7="","",Commercial_Id)</f>
        <v/>
      </c>
      <c r="C7" s="34">
        <f>IF(A7="","",YEAR(A7-WEEKDAY(A7,2)+4)&amp;"-S"&amp;TEXT(INT((A7-DATE(YEAR(A7-WEEKDAY(A7,2)+4),1,3)+WEEKDAY(DATE(YEAR(A7-WEEKDAY(A7,2)+4),1,3),2)+5)/7),"00"))</f>
        <v/>
      </c>
      <c r="D7" s="39">
        <f>IF(A7="","",COUNTIFS(VC_date,"&gt;="&amp;A7,VC_date,"&lt;="&amp;A7+6,VC_commercial,B7,VC_type,"Visite sur place"))</f>
        <v/>
      </c>
      <c r="E7" s="39">
        <f>IF(A7="","",COUNTIFS(Cl_vente1,"&gt;="&amp;A7,Cl_vente1,"&lt;="&amp;A7+6,Cl_commercial,B7))</f>
        <v/>
      </c>
      <c r="F7" s="40">
        <f>IF(A7="","",SUMIFS(Cmd_montant,Cmd_dateca,"&gt;="&amp;A7,Cmd_dateca,"&lt;="&amp;A7+6,Cmd_commercial,B7))</f>
        <v/>
      </c>
      <c r="G7" s="40">
        <f>IF(A7="","",SUMIFS(Enc_montant,Enc_date,"&gt;="&amp;A7,Enc_date,"&lt;="&amp;A7+6,Enc_commercial,B7))</f>
        <v/>
      </c>
      <c r="H7" s="36" t="n"/>
      <c r="I7" s="36" t="n"/>
      <c r="J7" s="36" t="n"/>
      <c r="K7" s="36" t="n"/>
      <c r="L7" s="36" t="n"/>
      <c r="M7" s="43" t="n"/>
      <c r="N7" s="36" t="n"/>
    </row>
    <row r="8" ht="18" customHeight="1">
      <c r="A8" s="32" t="n"/>
      <c r="B8" s="33">
        <f>IF(A8="","",Commercial_Id)</f>
        <v/>
      </c>
      <c r="C8" s="34">
        <f>IF(A8="","",YEAR(A8-WEEKDAY(A8,2)+4)&amp;"-S"&amp;TEXT(INT((A8-DATE(YEAR(A8-WEEKDAY(A8,2)+4),1,3)+WEEKDAY(DATE(YEAR(A8-WEEKDAY(A8,2)+4),1,3),2)+5)/7),"00"))</f>
        <v/>
      </c>
      <c r="D8" s="39">
        <f>IF(A8="","",COUNTIFS(VC_date,"&gt;="&amp;A8,VC_date,"&lt;="&amp;A8+6,VC_commercial,B8,VC_type,"Visite sur place"))</f>
        <v/>
      </c>
      <c r="E8" s="39">
        <f>IF(A8="","",COUNTIFS(Cl_vente1,"&gt;="&amp;A8,Cl_vente1,"&lt;="&amp;A8+6,Cl_commercial,B8))</f>
        <v/>
      </c>
      <c r="F8" s="40">
        <f>IF(A8="","",SUMIFS(Cmd_montant,Cmd_dateca,"&gt;="&amp;A8,Cmd_dateca,"&lt;="&amp;A8+6,Cmd_commercial,B8))</f>
        <v/>
      </c>
      <c r="G8" s="40">
        <f>IF(A8="","",SUMIFS(Enc_montant,Enc_date,"&gt;="&amp;A8,Enc_date,"&lt;="&amp;A8+6,Enc_commercial,B8))</f>
        <v/>
      </c>
      <c r="H8" s="36" t="n"/>
      <c r="I8" s="36" t="n"/>
      <c r="J8" s="36" t="n"/>
      <c r="K8" s="36" t="n"/>
      <c r="L8" s="36" t="n"/>
      <c r="M8" s="43" t="n"/>
      <c r="N8" s="36" t="n"/>
    </row>
    <row r="9" ht="18" customHeight="1">
      <c r="A9" s="32" t="n"/>
      <c r="B9" s="33">
        <f>IF(A9="","",Commercial_Id)</f>
        <v/>
      </c>
      <c r="C9" s="34">
        <f>IF(A9="","",YEAR(A9-WEEKDAY(A9,2)+4)&amp;"-S"&amp;TEXT(INT((A9-DATE(YEAR(A9-WEEKDAY(A9,2)+4),1,3)+WEEKDAY(DATE(YEAR(A9-WEEKDAY(A9,2)+4),1,3),2)+5)/7),"00"))</f>
        <v/>
      </c>
      <c r="D9" s="39">
        <f>IF(A9="","",COUNTIFS(VC_date,"&gt;="&amp;A9,VC_date,"&lt;="&amp;A9+6,VC_commercial,B9,VC_type,"Visite sur place"))</f>
        <v/>
      </c>
      <c r="E9" s="39">
        <f>IF(A9="","",COUNTIFS(Cl_vente1,"&gt;="&amp;A9,Cl_vente1,"&lt;="&amp;A9+6,Cl_commercial,B9))</f>
        <v/>
      </c>
      <c r="F9" s="40">
        <f>IF(A9="","",SUMIFS(Cmd_montant,Cmd_dateca,"&gt;="&amp;A9,Cmd_dateca,"&lt;="&amp;A9+6,Cmd_commercial,B9))</f>
        <v/>
      </c>
      <c r="G9" s="40">
        <f>IF(A9="","",SUMIFS(Enc_montant,Enc_date,"&gt;="&amp;A9,Enc_date,"&lt;="&amp;A9+6,Enc_commercial,B9))</f>
        <v/>
      </c>
      <c r="H9" s="36" t="n"/>
      <c r="I9" s="36" t="n"/>
      <c r="J9" s="36" t="n"/>
      <c r="K9" s="36" t="n"/>
      <c r="L9" s="36" t="n"/>
      <c r="M9" s="43" t="n"/>
      <c r="N9" s="36" t="n"/>
    </row>
    <row r="10" ht="18" customHeight="1">
      <c r="A10" s="32" t="n"/>
      <c r="B10" s="33">
        <f>IF(A10="","",Commercial_Id)</f>
        <v/>
      </c>
      <c r="C10" s="34">
        <f>IF(A10="","",YEAR(A10-WEEKDAY(A10,2)+4)&amp;"-S"&amp;TEXT(INT((A10-DATE(YEAR(A10-WEEKDAY(A10,2)+4),1,3)+WEEKDAY(DATE(YEAR(A10-WEEKDAY(A10,2)+4),1,3),2)+5)/7),"00"))</f>
        <v/>
      </c>
      <c r="D10" s="39">
        <f>IF(A10="","",COUNTIFS(VC_date,"&gt;="&amp;A10,VC_date,"&lt;="&amp;A10+6,VC_commercial,B10,VC_type,"Visite sur place"))</f>
        <v/>
      </c>
      <c r="E10" s="39">
        <f>IF(A10="","",COUNTIFS(Cl_vente1,"&gt;="&amp;A10,Cl_vente1,"&lt;="&amp;A10+6,Cl_commercial,B10))</f>
        <v/>
      </c>
      <c r="F10" s="40">
        <f>IF(A10="","",SUMIFS(Cmd_montant,Cmd_dateca,"&gt;="&amp;A10,Cmd_dateca,"&lt;="&amp;A10+6,Cmd_commercial,B10))</f>
        <v/>
      </c>
      <c r="G10" s="40">
        <f>IF(A10="","",SUMIFS(Enc_montant,Enc_date,"&gt;="&amp;A10,Enc_date,"&lt;="&amp;A10+6,Enc_commercial,B10))</f>
        <v/>
      </c>
      <c r="H10" s="36" t="n"/>
      <c r="I10" s="36" t="n"/>
      <c r="J10" s="36" t="n"/>
      <c r="K10" s="36" t="n"/>
      <c r="L10" s="36" t="n"/>
      <c r="M10" s="43" t="n"/>
      <c r="N10" s="36" t="n"/>
    </row>
    <row r="11" ht="18" customHeight="1">
      <c r="A11" s="32" t="n"/>
      <c r="B11" s="33">
        <f>IF(A11="","",Commercial_Id)</f>
        <v/>
      </c>
      <c r="C11" s="34">
        <f>IF(A11="","",YEAR(A11-WEEKDAY(A11,2)+4)&amp;"-S"&amp;TEXT(INT((A11-DATE(YEAR(A11-WEEKDAY(A11,2)+4),1,3)+WEEKDAY(DATE(YEAR(A11-WEEKDAY(A11,2)+4),1,3),2)+5)/7),"00"))</f>
        <v/>
      </c>
      <c r="D11" s="39">
        <f>IF(A11="","",COUNTIFS(VC_date,"&gt;="&amp;A11,VC_date,"&lt;="&amp;A11+6,VC_commercial,B11,VC_type,"Visite sur place"))</f>
        <v/>
      </c>
      <c r="E11" s="39">
        <f>IF(A11="","",COUNTIFS(Cl_vente1,"&gt;="&amp;A11,Cl_vente1,"&lt;="&amp;A11+6,Cl_commercial,B11))</f>
        <v/>
      </c>
      <c r="F11" s="40">
        <f>IF(A11="","",SUMIFS(Cmd_montant,Cmd_dateca,"&gt;="&amp;A11,Cmd_dateca,"&lt;="&amp;A11+6,Cmd_commercial,B11))</f>
        <v/>
      </c>
      <c r="G11" s="40">
        <f>IF(A11="","",SUMIFS(Enc_montant,Enc_date,"&gt;="&amp;A11,Enc_date,"&lt;="&amp;A11+6,Enc_commercial,B11))</f>
        <v/>
      </c>
      <c r="H11" s="36" t="n"/>
      <c r="I11" s="36" t="n"/>
      <c r="J11" s="36" t="n"/>
      <c r="K11" s="36" t="n"/>
      <c r="L11" s="36" t="n"/>
      <c r="M11" s="43" t="n"/>
      <c r="N11" s="36" t="n"/>
    </row>
    <row r="12" ht="18" customHeight="1">
      <c r="A12" s="32" t="n"/>
      <c r="B12" s="33">
        <f>IF(A12="","",Commercial_Id)</f>
        <v/>
      </c>
      <c r="C12" s="34">
        <f>IF(A12="","",YEAR(A12-WEEKDAY(A12,2)+4)&amp;"-S"&amp;TEXT(INT((A12-DATE(YEAR(A12-WEEKDAY(A12,2)+4),1,3)+WEEKDAY(DATE(YEAR(A12-WEEKDAY(A12,2)+4),1,3),2)+5)/7),"00"))</f>
        <v/>
      </c>
      <c r="D12" s="39">
        <f>IF(A12="","",COUNTIFS(VC_date,"&gt;="&amp;A12,VC_date,"&lt;="&amp;A12+6,VC_commercial,B12,VC_type,"Visite sur place"))</f>
        <v/>
      </c>
      <c r="E12" s="39">
        <f>IF(A12="","",COUNTIFS(Cl_vente1,"&gt;="&amp;A12,Cl_vente1,"&lt;="&amp;A12+6,Cl_commercial,B12))</f>
        <v/>
      </c>
      <c r="F12" s="40">
        <f>IF(A12="","",SUMIFS(Cmd_montant,Cmd_dateca,"&gt;="&amp;A12,Cmd_dateca,"&lt;="&amp;A12+6,Cmd_commercial,B12))</f>
        <v/>
      </c>
      <c r="G12" s="40">
        <f>IF(A12="","",SUMIFS(Enc_montant,Enc_date,"&gt;="&amp;A12,Enc_date,"&lt;="&amp;A12+6,Enc_commercial,B12))</f>
        <v/>
      </c>
      <c r="H12" s="36" t="n"/>
      <c r="I12" s="36" t="n"/>
      <c r="J12" s="36" t="n"/>
      <c r="K12" s="36" t="n"/>
      <c r="L12" s="36" t="n"/>
      <c r="M12" s="43" t="n"/>
      <c r="N12" s="36" t="n"/>
    </row>
    <row r="13" ht="18" customHeight="1">
      <c r="A13" s="32" t="n"/>
      <c r="B13" s="33">
        <f>IF(A13="","",Commercial_Id)</f>
        <v/>
      </c>
      <c r="C13" s="34">
        <f>IF(A13="","",YEAR(A13-WEEKDAY(A13,2)+4)&amp;"-S"&amp;TEXT(INT((A13-DATE(YEAR(A13-WEEKDAY(A13,2)+4),1,3)+WEEKDAY(DATE(YEAR(A13-WEEKDAY(A13,2)+4),1,3),2)+5)/7),"00"))</f>
        <v/>
      </c>
      <c r="D13" s="39">
        <f>IF(A13="","",COUNTIFS(VC_date,"&gt;="&amp;A13,VC_date,"&lt;="&amp;A13+6,VC_commercial,B13,VC_type,"Visite sur place"))</f>
        <v/>
      </c>
      <c r="E13" s="39">
        <f>IF(A13="","",COUNTIFS(Cl_vente1,"&gt;="&amp;A13,Cl_vente1,"&lt;="&amp;A13+6,Cl_commercial,B13))</f>
        <v/>
      </c>
      <c r="F13" s="40">
        <f>IF(A13="","",SUMIFS(Cmd_montant,Cmd_dateca,"&gt;="&amp;A13,Cmd_dateca,"&lt;="&amp;A13+6,Cmd_commercial,B13))</f>
        <v/>
      </c>
      <c r="G13" s="40">
        <f>IF(A13="","",SUMIFS(Enc_montant,Enc_date,"&gt;="&amp;A13,Enc_date,"&lt;="&amp;A13+6,Enc_commercial,B13))</f>
        <v/>
      </c>
      <c r="H13" s="36" t="n"/>
      <c r="I13" s="36" t="n"/>
      <c r="J13" s="36" t="n"/>
      <c r="K13" s="36" t="n"/>
      <c r="L13" s="36" t="n"/>
      <c r="M13" s="43" t="n"/>
      <c r="N13" s="36" t="n"/>
    </row>
    <row r="14" ht="18" customHeight="1">
      <c r="A14" s="32" t="n"/>
      <c r="B14" s="33">
        <f>IF(A14="","",Commercial_Id)</f>
        <v/>
      </c>
      <c r="C14" s="34">
        <f>IF(A14="","",YEAR(A14-WEEKDAY(A14,2)+4)&amp;"-S"&amp;TEXT(INT((A14-DATE(YEAR(A14-WEEKDAY(A14,2)+4),1,3)+WEEKDAY(DATE(YEAR(A14-WEEKDAY(A14,2)+4),1,3),2)+5)/7),"00"))</f>
        <v/>
      </c>
      <c r="D14" s="39">
        <f>IF(A14="","",COUNTIFS(VC_date,"&gt;="&amp;A14,VC_date,"&lt;="&amp;A14+6,VC_commercial,B14,VC_type,"Visite sur place"))</f>
        <v/>
      </c>
      <c r="E14" s="39">
        <f>IF(A14="","",COUNTIFS(Cl_vente1,"&gt;="&amp;A14,Cl_vente1,"&lt;="&amp;A14+6,Cl_commercial,B14))</f>
        <v/>
      </c>
      <c r="F14" s="40">
        <f>IF(A14="","",SUMIFS(Cmd_montant,Cmd_dateca,"&gt;="&amp;A14,Cmd_dateca,"&lt;="&amp;A14+6,Cmd_commercial,B14))</f>
        <v/>
      </c>
      <c r="G14" s="40">
        <f>IF(A14="","",SUMIFS(Enc_montant,Enc_date,"&gt;="&amp;A14,Enc_date,"&lt;="&amp;A14+6,Enc_commercial,B14))</f>
        <v/>
      </c>
      <c r="H14" s="36" t="n"/>
      <c r="I14" s="36" t="n"/>
      <c r="J14" s="36" t="n"/>
      <c r="K14" s="36" t="n"/>
      <c r="L14" s="36" t="n"/>
      <c r="M14" s="43" t="n"/>
      <c r="N14" s="36" t="n"/>
    </row>
    <row r="15" ht="18" customHeight="1">
      <c r="A15" s="32" t="n"/>
      <c r="B15" s="33">
        <f>IF(A15="","",Commercial_Id)</f>
        <v/>
      </c>
      <c r="C15" s="34">
        <f>IF(A15="","",YEAR(A15-WEEKDAY(A15,2)+4)&amp;"-S"&amp;TEXT(INT((A15-DATE(YEAR(A15-WEEKDAY(A15,2)+4),1,3)+WEEKDAY(DATE(YEAR(A15-WEEKDAY(A15,2)+4),1,3),2)+5)/7),"00"))</f>
        <v/>
      </c>
      <c r="D15" s="39">
        <f>IF(A15="","",COUNTIFS(VC_date,"&gt;="&amp;A15,VC_date,"&lt;="&amp;A15+6,VC_commercial,B15,VC_type,"Visite sur place"))</f>
        <v/>
      </c>
      <c r="E15" s="39">
        <f>IF(A15="","",COUNTIFS(Cl_vente1,"&gt;="&amp;A15,Cl_vente1,"&lt;="&amp;A15+6,Cl_commercial,B15))</f>
        <v/>
      </c>
      <c r="F15" s="40">
        <f>IF(A15="","",SUMIFS(Cmd_montant,Cmd_dateca,"&gt;="&amp;A15,Cmd_dateca,"&lt;="&amp;A15+6,Cmd_commercial,B15))</f>
        <v/>
      </c>
      <c r="G15" s="40">
        <f>IF(A15="","",SUMIFS(Enc_montant,Enc_date,"&gt;="&amp;A15,Enc_date,"&lt;="&amp;A15+6,Enc_commercial,B15))</f>
        <v/>
      </c>
      <c r="H15" s="36" t="n"/>
      <c r="I15" s="36" t="n"/>
      <c r="J15" s="36" t="n"/>
      <c r="K15" s="36" t="n"/>
      <c r="L15" s="36" t="n"/>
      <c r="M15" s="43" t="n"/>
      <c r="N15" s="36" t="n"/>
    </row>
    <row r="16" ht="18" customHeight="1">
      <c r="A16" s="32" t="n"/>
      <c r="B16" s="33">
        <f>IF(A16="","",Commercial_Id)</f>
        <v/>
      </c>
      <c r="C16" s="34">
        <f>IF(A16="","",YEAR(A16-WEEKDAY(A16,2)+4)&amp;"-S"&amp;TEXT(INT((A16-DATE(YEAR(A16-WEEKDAY(A16,2)+4),1,3)+WEEKDAY(DATE(YEAR(A16-WEEKDAY(A16,2)+4),1,3),2)+5)/7),"00"))</f>
        <v/>
      </c>
      <c r="D16" s="39">
        <f>IF(A16="","",COUNTIFS(VC_date,"&gt;="&amp;A16,VC_date,"&lt;="&amp;A16+6,VC_commercial,B16,VC_type,"Visite sur place"))</f>
        <v/>
      </c>
      <c r="E16" s="39">
        <f>IF(A16="","",COUNTIFS(Cl_vente1,"&gt;="&amp;A16,Cl_vente1,"&lt;="&amp;A16+6,Cl_commercial,B16))</f>
        <v/>
      </c>
      <c r="F16" s="40">
        <f>IF(A16="","",SUMIFS(Cmd_montant,Cmd_dateca,"&gt;="&amp;A16,Cmd_dateca,"&lt;="&amp;A16+6,Cmd_commercial,B16))</f>
        <v/>
      </c>
      <c r="G16" s="40">
        <f>IF(A16="","",SUMIFS(Enc_montant,Enc_date,"&gt;="&amp;A16,Enc_date,"&lt;="&amp;A16+6,Enc_commercial,B16))</f>
        <v/>
      </c>
      <c r="H16" s="36" t="n"/>
      <c r="I16" s="36" t="n"/>
      <c r="J16" s="36" t="n"/>
      <c r="K16" s="36" t="n"/>
      <c r="L16" s="36" t="n"/>
      <c r="M16" s="43" t="n"/>
      <c r="N16" s="36" t="n"/>
    </row>
    <row r="17" ht="18" customHeight="1">
      <c r="A17" s="32" t="n"/>
      <c r="B17" s="33">
        <f>IF(A17="","",Commercial_Id)</f>
        <v/>
      </c>
      <c r="C17" s="34">
        <f>IF(A17="","",YEAR(A17-WEEKDAY(A17,2)+4)&amp;"-S"&amp;TEXT(INT((A17-DATE(YEAR(A17-WEEKDAY(A17,2)+4),1,3)+WEEKDAY(DATE(YEAR(A17-WEEKDAY(A17,2)+4),1,3),2)+5)/7),"00"))</f>
        <v/>
      </c>
      <c r="D17" s="39">
        <f>IF(A17="","",COUNTIFS(VC_date,"&gt;="&amp;A17,VC_date,"&lt;="&amp;A17+6,VC_commercial,B17,VC_type,"Visite sur place"))</f>
        <v/>
      </c>
      <c r="E17" s="39">
        <f>IF(A17="","",COUNTIFS(Cl_vente1,"&gt;="&amp;A17,Cl_vente1,"&lt;="&amp;A17+6,Cl_commercial,B17))</f>
        <v/>
      </c>
      <c r="F17" s="40">
        <f>IF(A17="","",SUMIFS(Cmd_montant,Cmd_dateca,"&gt;="&amp;A17,Cmd_dateca,"&lt;="&amp;A17+6,Cmd_commercial,B17))</f>
        <v/>
      </c>
      <c r="G17" s="40">
        <f>IF(A17="","",SUMIFS(Enc_montant,Enc_date,"&gt;="&amp;A17,Enc_date,"&lt;="&amp;A17+6,Enc_commercial,B17))</f>
        <v/>
      </c>
      <c r="H17" s="36" t="n"/>
      <c r="I17" s="36" t="n"/>
      <c r="J17" s="36" t="n"/>
      <c r="K17" s="36" t="n"/>
      <c r="L17" s="36" t="n"/>
      <c r="M17" s="43" t="n"/>
      <c r="N17" s="36" t="n"/>
    </row>
    <row r="18" ht="18" customHeight="1">
      <c r="A18" s="32" t="n"/>
      <c r="B18" s="33">
        <f>IF(A18="","",Commercial_Id)</f>
        <v/>
      </c>
      <c r="C18" s="34">
        <f>IF(A18="","",YEAR(A18-WEEKDAY(A18,2)+4)&amp;"-S"&amp;TEXT(INT((A18-DATE(YEAR(A18-WEEKDAY(A18,2)+4),1,3)+WEEKDAY(DATE(YEAR(A18-WEEKDAY(A18,2)+4),1,3),2)+5)/7),"00"))</f>
        <v/>
      </c>
      <c r="D18" s="39">
        <f>IF(A18="","",COUNTIFS(VC_date,"&gt;="&amp;A18,VC_date,"&lt;="&amp;A18+6,VC_commercial,B18,VC_type,"Visite sur place"))</f>
        <v/>
      </c>
      <c r="E18" s="39">
        <f>IF(A18="","",COUNTIFS(Cl_vente1,"&gt;="&amp;A18,Cl_vente1,"&lt;="&amp;A18+6,Cl_commercial,B18))</f>
        <v/>
      </c>
      <c r="F18" s="40">
        <f>IF(A18="","",SUMIFS(Cmd_montant,Cmd_dateca,"&gt;="&amp;A18,Cmd_dateca,"&lt;="&amp;A18+6,Cmd_commercial,B18))</f>
        <v/>
      </c>
      <c r="G18" s="40">
        <f>IF(A18="","",SUMIFS(Enc_montant,Enc_date,"&gt;="&amp;A18,Enc_date,"&lt;="&amp;A18+6,Enc_commercial,B18))</f>
        <v/>
      </c>
      <c r="H18" s="36" t="n"/>
      <c r="I18" s="36" t="n"/>
      <c r="J18" s="36" t="n"/>
      <c r="K18" s="36" t="n"/>
      <c r="L18" s="36" t="n"/>
      <c r="M18" s="43" t="n"/>
      <c r="N18" s="36" t="n"/>
    </row>
    <row r="19" ht="18" customHeight="1">
      <c r="A19" s="32" t="n"/>
      <c r="B19" s="33">
        <f>IF(A19="","",Commercial_Id)</f>
        <v/>
      </c>
      <c r="C19" s="34">
        <f>IF(A19="","",YEAR(A19-WEEKDAY(A19,2)+4)&amp;"-S"&amp;TEXT(INT((A19-DATE(YEAR(A19-WEEKDAY(A19,2)+4),1,3)+WEEKDAY(DATE(YEAR(A19-WEEKDAY(A19,2)+4),1,3),2)+5)/7),"00"))</f>
        <v/>
      </c>
      <c r="D19" s="39">
        <f>IF(A19="","",COUNTIFS(VC_date,"&gt;="&amp;A19,VC_date,"&lt;="&amp;A19+6,VC_commercial,B19,VC_type,"Visite sur place"))</f>
        <v/>
      </c>
      <c r="E19" s="39">
        <f>IF(A19="","",COUNTIFS(Cl_vente1,"&gt;="&amp;A19,Cl_vente1,"&lt;="&amp;A19+6,Cl_commercial,B19))</f>
        <v/>
      </c>
      <c r="F19" s="40">
        <f>IF(A19="","",SUMIFS(Cmd_montant,Cmd_dateca,"&gt;="&amp;A19,Cmd_dateca,"&lt;="&amp;A19+6,Cmd_commercial,B19))</f>
        <v/>
      </c>
      <c r="G19" s="40">
        <f>IF(A19="","",SUMIFS(Enc_montant,Enc_date,"&gt;="&amp;A19,Enc_date,"&lt;="&amp;A19+6,Enc_commercial,B19))</f>
        <v/>
      </c>
      <c r="H19" s="36" t="n"/>
      <c r="I19" s="36" t="n"/>
      <c r="J19" s="36" t="n"/>
      <c r="K19" s="36" t="n"/>
      <c r="L19" s="36" t="n"/>
      <c r="M19" s="43" t="n"/>
      <c r="N19" s="36" t="n"/>
    </row>
    <row r="20" ht="18" customHeight="1">
      <c r="A20" s="32" t="n"/>
      <c r="B20" s="33">
        <f>IF(A20="","",Commercial_Id)</f>
        <v/>
      </c>
      <c r="C20" s="34">
        <f>IF(A20="","",YEAR(A20-WEEKDAY(A20,2)+4)&amp;"-S"&amp;TEXT(INT((A20-DATE(YEAR(A20-WEEKDAY(A20,2)+4),1,3)+WEEKDAY(DATE(YEAR(A20-WEEKDAY(A20,2)+4),1,3),2)+5)/7),"00"))</f>
        <v/>
      </c>
      <c r="D20" s="39">
        <f>IF(A20="","",COUNTIFS(VC_date,"&gt;="&amp;A20,VC_date,"&lt;="&amp;A20+6,VC_commercial,B20,VC_type,"Visite sur place"))</f>
        <v/>
      </c>
      <c r="E20" s="39">
        <f>IF(A20="","",COUNTIFS(Cl_vente1,"&gt;="&amp;A20,Cl_vente1,"&lt;="&amp;A20+6,Cl_commercial,B20))</f>
        <v/>
      </c>
      <c r="F20" s="40">
        <f>IF(A20="","",SUMIFS(Cmd_montant,Cmd_dateca,"&gt;="&amp;A20,Cmd_dateca,"&lt;="&amp;A20+6,Cmd_commercial,B20))</f>
        <v/>
      </c>
      <c r="G20" s="40">
        <f>IF(A20="","",SUMIFS(Enc_montant,Enc_date,"&gt;="&amp;A20,Enc_date,"&lt;="&amp;A20+6,Enc_commercial,B20))</f>
        <v/>
      </c>
      <c r="H20" s="36" t="n"/>
      <c r="I20" s="36" t="n"/>
      <c r="J20" s="36" t="n"/>
      <c r="K20" s="36" t="n"/>
      <c r="L20" s="36" t="n"/>
      <c r="M20" s="43" t="n"/>
      <c r="N20" s="36" t="n"/>
    </row>
    <row r="21" ht="18" customHeight="1">
      <c r="A21" s="32" t="n"/>
      <c r="B21" s="33">
        <f>IF(A21="","",Commercial_Id)</f>
        <v/>
      </c>
      <c r="C21" s="34">
        <f>IF(A21="","",YEAR(A21-WEEKDAY(A21,2)+4)&amp;"-S"&amp;TEXT(INT((A21-DATE(YEAR(A21-WEEKDAY(A21,2)+4),1,3)+WEEKDAY(DATE(YEAR(A21-WEEKDAY(A21,2)+4),1,3),2)+5)/7),"00"))</f>
        <v/>
      </c>
      <c r="D21" s="39">
        <f>IF(A21="","",COUNTIFS(VC_date,"&gt;="&amp;A21,VC_date,"&lt;="&amp;A21+6,VC_commercial,B21,VC_type,"Visite sur place"))</f>
        <v/>
      </c>
      <c r="E21" s="39">
        <f>IF(A21="","",COUNTIFS(Cl_vente1,"&gt;="&amp;A21,Cl_vente1,"&lt;="&amp;A21+6,Cl_commercial,B21))</f>
        <v/>
      </c>
      <c r="F21" s="40">
        <f>IF(A21="","",SUMIFS(Cmd_montant,Cmd_dateca,"&gt;="&amp;A21,Cmd_dateca,"&lt;="&amp;A21+6,Cmd_commercial,B21))</f>
        <v/>
      </c>
      <c r="G21" s="40">
        <f>IF(A21="","",SUMIFS(Enc_montant,Enc_date,"&gt;="&amp;A21,Enc_date,"&lt;="&amp;A21+6,Enc_commercial,B21))</f>
        <v/>
      </c>
      <c r="H21" s="36" t="n"/>
      <c r="I21" s="36" t="n"/>
      <c r="J21" s="36" t="n"/>
      <c r="K21" s="36" t="n"/>
      <c r="L21" s="36" t="n"/>
      <c r="M21" s="43" t="n"/>
      <c r="N21" s="36" t="n"/>
    </row>
    <row r="22" ht="18" customHeight="1">
      <c r="A22" s="32" t="n"/>
      <c r="B22" s="33">
        <f>IF(A22="","",Commercial_Id)</f>
        <v/>
      </c>
      <c r="C22" s="34">
        <f>IF(A22="","",YEAR(A22-WEEKDAY(A22,2)+4)&amp;"-S"&amp;TEXT(INT((A22-DATE(YEAR(A22-WEEKDAY(A22,2)+4),1,3)+WEEKDAY(DATE(YEAR(A22-WEEKDAY(A22,2)+4),1,3),2)+5)/7),"00"))</f>
        <v/>
      </c>
      <c r="D22" s="39">
        <f>IF(A22="","",COUNTIFS(VC_date,"&gt;="&amp;A22,VC_date,"&lt;="&amp;A22+6,VC_commercial,B22,VC_type,"Visite sur place"))</f>
        <v/>
      </c>
      <c r="E22" s="39">
        <f>IF(A22="","",COUNTIFS(Cl_vente1,"&gt;="&amp;A22,Cl_vente1,"&lt;="&amp;A22+6,Cl_commercial,B22))</f>
        <v/>
      </c>
      <c r="F22" s="40">
        <f>IF(A22="","",SUMIFS(Cmd_montant,Cmd_dateca,"&gt;="&amp;A22,Cmd_dateca,"&lt;="&amp;A22+6,Cmd_commercial,B22))</f>
        <v/>
      </c>
      <c r="G22" s="40">
        <f>IF(A22="","",SUMIFS(Enc_montant,Enc_date,"&gt;="&amp;A22,Enc_date,"&lt;="&amp;A22+6,Enc_commercial,B22))</f>
        <v/>
      </c>
      <c r="H22" s="36" t="n"/>
      <c r="I22" s="36" t="n"/>
      <c r="J22" s="36" t="n"/>
      <c r="K22" s="36" t="n"/>
      <c r="L22" s="36" t="n"/>
      <c r="M22" s="43" t="n"/>
      <c r="N22" s="36" t="n"/>
    </row>
    <row r="23" ht="18" customHeight="1">
      <c r="A23" s="32" t="n"/>
      <c r="B23" s="33">
        <f>IF(A23="","",Commercial_Id)</f>
        <v/>
      </c>
      <c r="C23" s="34">
        <f>IF(A23="","",YEAR(A23-WEEKDAY(A23,2)+4)&amp;"-S"&amp;TEXT(INT((A23-DATE(YEAR(A23-WEEKDAY(A23,2)+4),1,3)+WEEKDAY(DATE(YEAR(A23-WEEKDAY(A23,2)+4),1,3),2)+5)/7),"00"))</f>
        <v/>
      </c>
      <c r="D23" s="39">
        <f>IF(A23="","",COUNTIFS(VC_date,"&gt;="&amp;A23,VC_date,"&lt;="&amp;A23+6,VC_commercial,B23,VC_type,"Visite sur place"))</f>
        <v/>
      </c>
      <c r="E23" s="39">
        <f>IF(A23="","",COUNTIFS(Cl_vente1,"&gt;="&amp;A23,Cl_vente1,"&lt;="&amp;A23+6,Cl_commercial,B23))</f>
        <v/>
      </c>
      <c r="F23" s="40">
        <f>IF(A23="","",SUMIFS(Cmd_montant,Cmd_dateca,"&gt;="&amp;A23,Cmd_dateca,"&lt;="&amp;A23+6,Cmd_commercial,B23))</f>
        <v/>
      </c>
      <c r="G23" s="40">
        <f>IF(A23="","",SUMIFS(Enc_montant,Enc_date,"&gt;="&amp;A23,Enc_date,"&lt;="&amp;A23+6,Enc_commercial,B23))</f>
        <v/>
      </c>
      <c r="H23" s="36" t="n"/>
      <c r="I23" s="36" t="n"/>
      <c r="J23" s="36" t="n"/>
      <c r="K23" s="36" t="n"/>
      <c r="L23" s="36" t="n"/>
      <c r="M23" s="43" t="n"/>
      <c r="N23" s="36" t="n"/>
    </row>
    <row r="24" ht="18" customHeight="1">
      <c r="A24" s="32" t="n"/>
      <c r="B24" s="33">
        <f>IF(A24="","",Commercial_Id)</f>
        <v/>
      </c>
      <c r="C24" s="34">
        <f>IF(A24="","",YEAR(A24-WEEKDAY(A24,2)+4)&amp;"-S"&amp;TEXT(INT((A24-DATE(YEAR(A24-WEEKDAY(A24,2)+4),1,3)+WEEKDAY(DATE(YEAR(A24-WEEKDAY(A24,2)+4),1,3),2)+5)/7),"00"))</f>
        <v/>
      </c>
      <c r="D24" s="39">
        <f>IF(A24="","",COUNTIFS(VC_date,"&gt;="&amp;A24,VC_date,"&lt;="&amp;A24+6,VC_commercial,B24,VC_type,"Visite sur place"))</f>
        <v/>
      </c>
      <c r="E24" s="39">
        <f>IF(A24="","",COUNTIFS(Cl_vente1,"&gt;="&amp;A24,Cl_vente1,"&lt;="&amp;A24+6,Cl_commercial,B24))</f>
        <v/>
      </c>
      <c r="F24" s="40">
        <f>IF(A24="","",SUMIFS(Cmd_montant,Cmd_dateca,"&gt;="&amp;A24,Cmd_dateca,"&lt;="&amp;A24+6,Cmd_commercial,B24))</f>
        <v/>
      </c>
      <c r="G24" s="40">
        <f>IF(A24="","",SUMIFS(Enc_montant,Enc_date,"&gt;="&amp;A24,Enc_date,"&lt;="&amp;A24+6,Enc_commercial,B24))</f>
        <v/>
      </c>
      <c r="H24" s="36" t="n"/>
      <c r="I24" s="36" t="n"/>
      <c r="J24" s="36" t="n"/>
      <c r="K24" s="36" t="n"/>
      <c r="L24" s="36" t="n"/>
      <c r="M24" s="43" t="n"/>
      <c r="N24" s="36" t="n"/>
    </row>
    <row r="25" ht="18" customHeight="1">
      <c r="A25" s="32" t="n"/>
      <c r="B25" s="33">
        <f>IF(A25="","",Commercial_Id)</f>
        <v/>
      </c>
      <c r="C25" s="34">
        <f>IF(A25="","",YEAR(A25-WEEKDAY(A25,2)+4)&amp;"-S"&amp;TEXT(INT((A25-DATE(YEAR(A25-WEEKDAY(A25,2)+4),1,3)+WEEKDAY(DATE(YEAR(A25-WEEKDAY(A25,2)+4),1,3),2)+5)/7),"00"))</f>
        <v/>
      </c>
      <c r="D25" s="39">
        <f>IF(A25="","",COUNTIFS(VC_date,"&gt;="&amp;A25,VC_date,"&lt;="&amp;A25+6,VC_commercial,B25,VC_type,"Visite sur place"))</f>
        <v/>
      </c>
      <c r="E25" s="39">
        <f>IF(A25="","",COUNTIFS(Cl_vente1,"&gt;="&amp;A25,Cl_vente1,"&lt;="&amp;A25+6,Cl_commercial,B25))</f>
        <v/>
      </c>
      <c r="F25" s="40">
        <f>IF(A25="","",SUMIFS(Cmd_montant,Cmd_dateca,"&gt;="&amp;A25,Cmd_dateca,"&lt;="&amp;A25+6,Cmd_commercial,B25))</f>
        <v/>
      </c>
      <c r="G25" s="40">
        <f>IF(A25="","",SUMIFS(Enc_montant,Enc_date,"&gt;="&amp;A25,Enc_date,"&lt;="&amp;A25+6,Enc_commercial,B25))</f>
        <v/>
      </c>
      <c r="H25" s="36" t="n"/>
      <c r="I25" s="36" t="n"/>
      <c r="J25" s="36" t="n"/>
      <c r="K25" s="36" t="n"/>
      <c r="L25" s="36" t="n"/>
      <c r="M25" s="43" t="n"/>
      <c r="N25" s="36" t="n"/>
    </row>
    <row r="26" ht="18" customHeight="1">
      <c r="A26" s="32" t="n"/>
      <c r="B26" s="33">
        <f>IF(A26="","",Commercial_Id)</f>
        <v/>
      </c>
      <c r="C26" s="34">
        <f>IF(A26="","",YEAR(A26-WEEKDAY(A26,2)+4)&amp;"-S"&amp;TEXT(INT((A26-DATE(YEAR(A26-WEEKDAY(A26,2)+4),1,3)+WEEKDAY(DATE(YEAR(A26-WEEKDAY(A26,2)+4),1,3),2)+5)/7),"00"))</f>
        <v/>
      </c>
      <c r="D26" s="39">
        <f>IF(A26="","",COUNTIFS(VC_date,"&gt;="&amp;A26,VC_date,"&lt;="&amp;A26+6,VC_commercial,B26,VC_type,"Visite sur place"))</f>
        <v/>
      </c>
      <c r="E26" s="39">
        <f>IF(A26="","",COUNTIFS(Cl_vente1,"&gt;="&amp;A26,Cl_vente1,"&lt;="&amp;A26+6,Cl_commercial,B26))</f>
        <v/>
      </c>
      <c r="F26" s="40">
        <f>IF(A26="","",SUMIFS(Cmd_montant,Cmd_dateca,"&gt;="&amp;A26,Cmd_dateca,"&lt;="&amp;A26+6,Cmd_commercial,B26))</f>
        <v/>
      </c>
      <c r="G26" s="40">
        <f>IF(A26="","",SUMIFS(Enc_montant,Enc_date,"&gt;="&amp;A26,Enc_date,"&lt;="&amp;A26+6,Enc_commercial,B26))</f>
        <v/>
      </c>
      <c r="H26" s="36" t="n"/>
      <c r="I26" s="36" t="n"/>
      <c r="J26" s="36" t="n"/>
      <c r="K26" s="36" t="n"/>
      <c r="L26" s="36" t="n"/>
      <c r="M26" s="43" t="n"/>
      <c r="N26" s="36" t="n"/>
    </row>
    <row r="27" ht="18" customHeight="1">
      <c r="A27" s="32" t="n"/>
      <c r="B27" s="33">
        <f>IF(A27="","",Commercial_Id)</f>
        <v/>
      </c>
      <c r="C27" s="34">
        <f>IF(A27="","",YEAR(A27-WEEKDAY(A27,2)+4)&amp;"-S"&amp;TEXT(INT((A27-DATE(YEAR(A27-WEEKDAY(A27,2)+4),1,3)+WEEKDAY(DATE(YEAR(A27-WEEKDAY(A27,2)+4),1,3),2)+5)/7),"00"))</f>
        <v/>
      </c>
      <c r="D27" s="39">
        <f>IF(A27="","",COUNTIFS(VC_date,"&gt;="&amp;A27,VC_date,"&lt;="&amp;A27+6,VC_commercial,B27,VC_type,"Visite sur place"))</f>
        <v/>
      </c>
      <c r="E27" s="39">
        <f>IF(A27="","",COUNTIFS(Cl_vente1,"&gt;="&amp;A27,Cl_vente1,"&lt;="&amp;A27+6,Cl_commercial,B27))</f>
        <v/>
      </c>
      <c r="F27" s="40">
        <f>IF(A27="","",SUMIFS(Cmd_montant,Cmd_dateca,"&gt;="&amp;A27,Cmd_dateca,"&lt;="&amp;A27+6,Cmd_commercial,B27))</f>
        <v/>
      </c>
      <c r="G27" s="40">
        <f>IF(A27="","",SUMIFS(Enc_montant,Enc_date,"&gt;="&amp;A27,Enc_date,"&lt;="&amp;A27+6,Enc_commercial,B27))</f>
        <v/>
      </c>
      <c r="H27" s="36" t="n"/>
      <c r="I27" s="36" t="n"/>
      <c r="J27" s="36" t="n"/>
      <c r="K27" s="36" t="n"/>
      <c r="L27" s="36" t="n"/>
      <c r="M27" s="43" t="n"/>
      <c r="N27" s="36" t="n"/>
    </row>
    <row r="28" ht="18" customHeight="1">
      <c r="A28" s="32" t="n"/>
      <c r="B28" s="33">
        <f>IF(A28="","",Commercial_Id)</f>
        <v/>
      </c>
      <c r="C28" s="34">
        <f>IF(A28="","",YEAR(A28-WEEKDAY(A28,2)+4)&amp;"-S"&amp;TEXT(INT((A28-DATE(YEAR(A28-WEEKDAY(A28,2)+4),1,3)+WEEKDAY(DATE(YEAR(A28-WEEKDAY(A28,2)+4),1,3),2)+5)/7),"00"))</f>
        <v/>
      </c>
      <c r="D28" s="39">
        <f>IF(A28="","",COUNTIFS(VC_date,"&gt;="&amp;A28,VC_date,"&lt;="&amp;A28+6,VC_commercial,B28,VC_type,"Visite sur place"))</f>
        <v/>
      </c>
      <c r="E28" s="39">
        <f>IF(A28="","",COUNTIFS(Cl_vente1,"&gt;="&amp;A28,Cl_vente1,"&lt;="&amp;A28+6,Cl_commercial,B28))</f>
        <v/>
      </c>
      <c r="F28" s="40">
        <f>IF(A28="","",SUMIFS(Cmd_montant,Cmd_dateca,"&gt;="&amp;A28,Cmd_dateca,"&lt;="&amp;A28+6,Cmd_commercial,B28))</f>
        <v/>
      </c>
      <c r="G28" s="40">
        <f>IF(A28="","",SUMIFS(Enc_montant,Enc_date,"&gt;="&amp;A28,Enc_date,"&lt;="&amp;A28+6,Enc_commercial,B28))</f>
        <v/>
      </c>
      <c r="H28" s="36" t="n"/>
      <c r="I28" s="36" t="n"/>
      <c r="J28" s="36" t="n"/>
      <c r="K28" s="36" t="n"/>
      <c r="L28" s="36" t="n"/>
      <c r="M28" s="43" t="n"/>
      <c r="N28" s="36" t="n"/>
    </row>
    <row r="29" ht="18" customHeight="1">
      <c r="A29" s="32" t="n"/>
      <c r="B29" s="33">
        <f>IF(A29="","",Commercial_Id)</f>
        <v/>
      </c>
      <c r="C29" s="34">
        <f>IF(A29="","",YEAR(A29-WEEKDAY(A29,2)+4)&amp;"-S"&amp;TEXT(INT((A29-DATE(YEAR(A29-WEEKDAY(A29,2)+4),1,3)+WEEKDAY(DATE(YEAR(A29-WEEKDAY(A29,2)+4),1,3),2)+5)/7),"00"))</f>
        <v/>
      </c>
      <c r="D29" s="39">
        <f>IF(A29="","",COUNTIFS(VC_date,"&gt;="&amp;A29,VC_date,"&lt;="&amp;A29+6,VC_commercial,B29,VC_type,"Visite sur place"))</f>
        <v/>
      </c>
      <c r="E29" s="39">
        <f>IF(A29="","",COUNTIFS(Cl_vente1,"&gt;="&amp;A29,Cl_vente1,"&lt;="&amp;A29+6,Cl_commercial,B29))</f>
        <v/>
      </c>
      <c r="F29" s="40">
        <f>IF(A29="","",SUMIFS(Cmd_montant,Cmd_dateca,"&gt;="&amp;A29,Cmd_dateca,"&lt;="&amp;A29+6,Cmd_commercial,B29))</f>
        <v/>
      </c>
      <c r="G29" s="40">
        <f>IF(A29="","",SUMIFS(Enc_montant,Enc_date,"&gt;="&amp;A29,Enc_date,"&lt;="&amp;A29+6,Enc_commercial,B29))</f>
        <v/>
      </c>
      <c r="H29" s="36" t="n"/>
      <c r="I29" s="36" t="n"/>
      <c r="J29" s="36" t="n"/>
      <c r="K29" s="36" t="n"/>
      <c r="L29" s="36" t="n"/>
      <c r="M29" s="43" t="n"/>
      <c r="N29" s="36" t="n"/>
    </row>
    <row r="30" ht="18" customHeight="1">
      <c r="A30" s="32" t="n"/>
      <c r="B30" s="33">
        <f>IF(A30="","",Commercial_Id)</f>
        <v/>
      </c>
      <c r="C30" s="34">
        <f>IF(A30="","",YEAR(A30-WEEKDAY(A30,2)+4)&amp;"-S"&amp;TEXT(INT((A30-DATE(YEAR(A30-WEEKDAY(A30,2)+4),1,3)+WEEKDAY(DATE(YEAR(A30-WEEKDAY(A30,2)+4),1,3),2)+5)/7),"00"))</f>
        <v/>
      </c>
      <c r="D30" s="39">
        <f>IF(A30="","",COUNTIFS(VC_date,"&gt;="&amp;A30,VC_date,"&lt;="&amp;A30+6,VC_commercial,B30,VC_type,"Visite sur place"))</f>
        <v/>
      </c>
      <c r="E30" s="39">
        <f>IF(A30="","",COUNTIFS(Cl_vente1,"&gt;="&amp;A30,Cl_vente1,"&lt;="&amp;A30+6,Cl_commercial,B30))</f>
        <v/>
      </c>
      <c r="F30" s="40">
        <f>IF(A30="","",SUMIFS(Cmd_montant,Cmd_dateca,"&gt;="&amp;A30,Cmd_dateca,"&lt;="&amp;A30+6,Cmd_commercial,B30))</f>
        <v/>
      </c>
      <c r="G30" s="40">
        <f>IF(A30="","",SUMIFS(Enc_montant,Enc_date,"&gt;="&amp;A30,Enc_date,"&lt;="&amp;A30+6,Enc_commercial,B30))</f>
        <v/>
      </c>
      <c r="H30" s="36" t="n"/>
      <c r="I30" s="36" t="n"/>
      <c r="J30" s="36" t="n"/>
      <c r="K30" s="36" t="n"/>
      <c r="L30" s="36" t="n"/>
      <c r="M30" s="43" t="n"/>
      <c r="N30" s="36" t="n"/>
    </row>
    <row r="31" ht="18" customHeight="1">
      <c r="A31" s="32" t="n"/>
      <c r="B31" s="33">
        <f>IF(A31="","",Commercial_Id)</f>
        <v/>
      </c>
      <c r="C31" s="34">
        <f>IF(A31="","",YEAR(A31-WEEKDAY(A31,2)+4)&amp;"-S"&amp;TEXT(INT((A31-DATE(YEAR(A31-WEEKDAY(A31,2)+4),1,3)+WEEKDAY(DATE(YEAR(A31-WEEKDAY(A31,2)+4),1,3),2)+5)/7),"00"))</f>
        <v/>
      </c>
      <c r="D31" s="39">
        <f>IF(A31="","",COUNTIFS(VC_date,"&gt;="&amp;A31,VC_date,"&lt;="&amp;A31+6,VC_commercial,B31,VC_type,"Visite sur place"))</f>
        <v/>
      </c>
      <c r="E31" s="39">
        <f>IF(A31="","",COUNTIFS(Cl_vente1,"&gt;="&amp;A31,Cl_vente1,"&lt;="&amp;A31+6,Cl_commercial,B31))</f>
        <v/>
      </c>
      <c r="F31" s="40">
        <f>IF(A31="","",SUMIFS(Cmd_montant,Cmd_dateca,"&gt;="&amp;A31,Cmd_dateca,"&lt;="&amp;A31+6,Cmd_commercial,B31))</f>
        <v/>
      </c>
      <c r="G31" s="40">
        <f>IF(A31="","",SUMIFS(Enc_montant,Enc_date,"&gt;="&amp;A31,Enc_date,"&lt;="&amp;A31+6,Enc_commercial,B31))</f>
        <v/>
      </c>
      <c r="H31" s="36" t="n"/>
      <c r="I31" s="36" t="n"/>
      <c r="J31" s="36" t="n"/>
      <c r="K31" s="36" t="n"/>
      <c r="L31" s="36" t="n"/>
      <c r="M31" s="43" t="n"/>
      <c r="N31" s="36" t="n"/>
    </row>
    <row r="32" ht="18" customHeight="1">
      <c r="A32" s="32" t="n"/>
      <c r="B32" s="33">
        <f>IF(A32="","",Commercial_Id)</f>
        <v/>
      </c>
      <c r="C32" s="34">
        <f>IF(A32="","",YEAR(A32-WEEKDAY(A32,2)+4)&amp;"-S"&amp;TEXT(INT((A32-DATE(YEAR(A32-WEEKDAY(A32,2)+4),1,3)+WEEKDAY(DATE(YEAR(A32-WEEKDAY(A32,2)+4),1,3),2)+5)/7),"00"))</f>
        <v/>
      </c>
      <c r="D32" s="39">
        <f>IF(A32="","",COUNTIFS(VC_date,"&gt;="&amp;A32,VC_date,"&lt;="&amp;A32+6,VC_commercial,B32,VC_type,"Visite sur place"))</f>
        <v/>
      </c>
      <c r="E32" s="39">
        <f>IF(A32="","",COUNTIFS(Cl_vente1,"&gt;="&amp;A32,Cl_vente1,"&lt;="&amp;A32+6,Cl_commercial,B32))</f>
        <v/>
      </c>
      <c r="F32" s="40">
        <f>IF(A32="","",SUMIFS(Cmd_montant,Cmd_dateca,"&gt;="&amp;A32,Cmd_dateca,"&lt;="&amp;A32+6,Cmd_commercial,B32))</f>
        <v/>
      </c>
      <c r="G32" s="40">
        <f>IF(A32="","",SUMIFS(Enc_montant,Enc_date,"&gt;="&amp;A32,Enc_date,"&lt;="&amp;A32+6,Enc_commercial,B32))</f>
        <v/>
      </c>
      <c r="H32" s="36" t="n"/>
      <c r="I32" s="36" t="n"/>
      <c r="J32" s="36" t="n"/>
      <c r="K32" s="36" t="n"/>
      <c r="L32" s="36" t="n"/>
      <c r="M32" s="43" t="n"/>
      <c r="N32" s="36" t="n"/>
    </row>
    <row r="33" ht="18" customHeight="1">
      <c r="A33" s="32" t="n"/>
      <c r="B33" s="33">
        <f>IF(A33="","",Commercial_Id)</f>
        <v/>
      </c>
      <c r="C33" s="34">
        <f>IF(A33="","",YEAR(A33-WEEKDAY(A33,2)+4)&amp;"-S"&amp;TEXT(INT((A33-DATE(YEAR(A33-WEEKDAY(A33,2)+4),1,3)+WEEKDAY(DATE(YEAR(A33-WEEKDAY(A33,2)+4),1,3),2)+5)/7),"00"))</f>
        <v/>
      </c>
      <c r="D33" s="39">
        <f>IF(A33="","",COUNTIFS(VC_date,"&gt;="&amp;A33,VC_date,"&lt;="&amp;A33+6,VC_commercial,B33,VC_type,"Visite sur place"))</f>
        <v/>
      </c>
      <c r="E33" s="39">
        <f>IF(A33="","",COUNTIFS(Cl_vente1,"&gt;="&amp;A33,Cl_vente1,"&lt;="&amp;A33+6,Cl_commercial,B33))</f>
        <v/>
      </c>
      <c r="F33" s="40">
        <f>IF(A33="","",SUMIFS(Cmd_montant,Cmd_dateca,"&gt;="&amp;A33,Cmd_dateca,"&lt;="&amp;A33+6,Cmd_commercial,B33))</f>
        <v/>
      </c>
      <c r="G33" s="40">
        <f>IF(A33="","",SUMIFS(Enc_montant,Enc_date,"&gt;="&amp;A33,Enc_date,"&lt;="&amp;A33+6,Enc_commercial,B33))</f>
        <v/>
      </c>
      <c r="H33" s="36" t="n"/>
      <c r="I33" s="36" t="n"/>
      <c r="J33" s="36" t="n"/>
      <c r="K33" s="36" t="n"/>
      <c r="L33" s="36" t="n"/>
      <c r="M33" s="43" t="n"/>
      <c r="N33" s="36" t="n"/>
    </row>
    <row r="34" ht="18" customHeight="1">
      <c r="A34" s="32" t="n"/>
      <c r="B34" s="33">
        <f>IF(A34="","",Commercial_Id)</f>
        <v/>
      </c>
      <c r="C34" s="34">
        <f>IF(A34="","",YEAR(A34-WEEKDAY(A34,2)+4)&amp;"-S"&amp;TEXT(INT((A34-DATE(YEAR(A34-WEEKDAY(A34,2)+4),1,3)+WEEKDAY(DATE(YEAR(A34-WEEKDAY(A34,2)+4),1,3),2)+5)/7),"00"))</f>
        <v/>
      </c>
      <c r="D34" s="39">
        <f>IF(A34="","",COUNTIFS(VC_date,"&gt;="&amp;A34,VC_date,"&lt;="&amp;A34+6,VC_commercial,B34,VC_type,"Visite sur place"))</f>
        <v/>
      </c>
      <c r="E34" s="39">
        <f>IF(A34="","",COUNTIFS(Cl_vente1,"&gt;="&amp;A34,Cl_vente1,"&lt;="&amp;A34+6,Cl_commercial,B34))</f>
        <v/>
      </c>
      <c r="F34" s="40">
        <f>IF(A34="","",SUMIFS(Cmd_montant,Cmd_dateca,"&gt;="&amp;A34,Cmd_dateca,"&lt;="&amp;A34+6,Cmd_commercial,B34))</f>
        <v/>
      </c>
      <c r="G34" s="40">
        <f>IF(A34="","",SUMIFS(Enc_montant,Enc_date,"&gt;="&amp;A34,Enc_date,"&lt;="&amp;A34+6,Enc_commercial,B34))</f>
        <v/>
      </c>
      <c r="H34" s="36" t="n"/>
      <c r="I34" s="36" t="n"/>
      <c r="J34" s="36" t="n"/>
      <c r="K34" s="36" t="n"/>
      <c r="L34" s="36" t="n"/>
      <c r="M34" s="43" t="n"/>
      <c r="N34" s="36" t="n"/>
    </row>
    <row r="35" ht="18" customHeight="1">
      <c r="A35" s="32" t="n"/>
      <c r="B35" s="33">
        <f>IF(A35="","",Commercial_Id)</f>
        <v/>
      </c>
      <c r="C35" s="34">
        <f>IF(A35="","",YEAR(A35-WEEKDAY(A35,2)+4)&amp;"-S"&amp;TEXT(INT((A35-DATE(YEAR(A35-WEEKDAY(A35,2)+4),1,3)+WEEKDAY(DATE(YEAR(A35-WEEKDAY(A35,2)+4),1,3),2)+5)/7),"00"))</f>
        <v/>
      </c>
      <c r="D35" s="39">
        <f>IF(A35="","",COUNTIFS(VC_date,"&gt;="&amp;A35,VC_date,"&lt;="&amp;A35+6,VC_commercial,B35,VC_type,"Visite sur place"))</f>
        <v/>
      </c>
      <c r="E35" s="39">
        <f>IF(A35="","",COUNTIFS(Cl_vente1,"&gt;="&amp;A35,Cl_vente1,"&lt;="&amp;A35+6,Cl_commercial,B35))</f>
        <v/>
      </c>
      <c r="F35" s="40">
        <f>IF(A35="","",SUMIFS(Cmd_montant,Cmd_dateca,"&gt;="&amp;A35,Cmd_dateca,"&lt;="&amp;A35+6,Cmd_commercial,B35))</f>
        <v/>
      </c>
      <c r="G35" s="40">
        <f>IF(A35="","",SUMIFS(Enc_montant,Enc_date,"&gt;="&amp;A35,Enc_date,"&lt;="&amp;A35+6,Enc_commercial,B35))</f>
        <v/>
      </c>
      <c r="H35" s="36" t="n"/>
      <c r="I35" s="36" t="n"/>
      <c r="J35" s="36" t="n"/>
      <c r="K35" s="36" t="n"/>
      <c r="L35" s="36" t="n"/>
      <c r="M35" s="43" t="n"/>
      <c r="N35" s="36" t="n"/>
    </row>
    <row r="36" ht="18" customHeight="1">
      <c r="A36" s="32" t="n"/>
      <c r="B36" s="33">
        <f>IF(A36="","",Commercial_Id)</f>
        <v/>
      </c>
      <c r="C36" s="34">
        <f>IF(A36="","",YEAR(A36-WEEKDAY(A36,2)+4)&amp;"-S"&amp;TEXT(INT((A36-DATE(YEAR(A36-WEEKDAY(A36,2)+4),1,3)+WEEKDAY(DATE(YEAR(A36-WEEKDAY(A36,2)+4),1,3),2)+5)/7),"00"))</f>
        <v/>
      </c>
      <c r="D36" s="39">
        <f>IF(A36="","",COUNTIFS(VC_date,"&gt;="&amp;A36,VC_date,"&lt;="&amp;A36+6,VC_commercial,B36,VC_type,"Visite sur place"))</f>
        <v/>
      </c>
      <c r="E36" s="39">
        <f>IF(A36="","",COUNTIFS(Cl_vente1,"&gt;="&amp;A36,Cl_vente1,"&lt;="&amp;A36+6,Cl_commercial,B36))</f>
        <v/>
      </c>
      <c r="F36" s="40">
        <f>IF(A36="","",SUMIFS(Cmd_montant,Cmd_dateca,"&gt;="&amp;A36,Cmd_dateca,"&lt;="&amp;A36+6,Cmd_commercial,B36))</f>
        <v/>
      </c>
      <c r="G36" s="40">
        <f>IF(A36="","",SUMIFS(Enc_montant,Enc_date,"&gt;="&amp;A36,Enc_date,"&lt;="&amp;A36+6,Enc_commercial,B36))</f>
        <v/>
      </c>
      <c r="H36" s="36" t="n"/>
      <c r="I36" s="36" t="n"/>
      <c r="J36" s="36" t="n"/>
      <c r="K36" s="36" t="n"/>
      <c r="L36" s="36" t="n"/>
      <c r="M36" s="43" t="n"/>
      <c r="N36" s="36" t="n"/>
    </row>
    <row r="37" ht="18" customHeight="1">
      <c r="A37" s="32" t="n"/>
      <c r="B37" s="33">
        <f>IF(A37="","",Commercial_Id)</f>
        <v/>
      </c>
      <c r="C37" s="34">
        <f>IF(A37="","",YEAR(A37-WEEKDAY(A37,2)+4)&amp;"-S"&amp;TEXT(INT((A37-DATE(YEAR(A37-WEEKDAY(A37,2)+4),1,3)+WEEKDAY(DATE(YEAR(A37-WEEKDAY(A37,2)+4),1,3),2)+5)/7),"00"))</f>
        <v/>
      </c>
      <c r="D37" s="39">
        <f>IF(A37="","",COUNTIFS(VC_date,"&gt;="&amp;A37,VC_date,"&lt;="&amp;A37+6,VC_commercial,B37,VC_type,"Visite sur place"))</f>
        <v/>
      </c>
      <c r="E37" s="39">
        <f>IF(A37="","",COUNTIFS(Cl_vente1,"&gt;="&amp;A37,Cl_vente1,"&lt;="&amp;A37+6,Cl_commercial,B37))</f>
        <v/>
      </c>
      <c r="F37" s="40">
        <f>IF(A37="","",SUMIFS(Cmd_montant,Cmd_dateca,"&gt;="&amp;A37,Cmd_dateca,"&lt;="&amp;A37+6,Cmd_commercial,B37))</f>
        <v/>
      </c>
      <c r="G37" s="40">
        <f>IF(A37="","",SUMIFS(Enc_montant,Enc_date,"&gt;="&amp;A37,Enc_date,"&lt;="&amp;A37+6,Enc_commercial,B37))</f>
        <v/>
      </c>
      <c r="H37" s="36" t="n"/>
      <c r="I37" s="36" t="n"/>
      <c r="J37" s="36" t="n"/>
      <c r="K37" s="36" t="n"/>
      <c r="L37" s="36" t="n"/>
      <c r="M37" s="43" t="n"/>
      <c r="N37" s="36" t="n"/>
    </row>
    <row r="38" ht="18" customHeight="1">
      <c r="A38" s="32" t="n"/>
      <c r="B38" s="33">
        <f>IF(A38="","",Commercial_Id)</f>
        <v/>
      </c>
      <c r="C38" s="34">
        <f>IF(A38="","",YEAR(A38-WEEKDAY(A38,2)+4)&amp;"-S"&amp;TEXT(INT((A38-DATE(YEAR(A38-WEEKDAY(A38,2)+4),1,3)+WEEKDAY(DATE(YEAR(A38-WEEKDAY(A38,2)+4),1,3),2)+5)/7),"00"))</f>
        <v/>
      </c>
      <c r="D38" s="39">
        <f>IF(A38="","",COUNTIFS(VC_date,"&gt;="&amp;A38,VC_date,"&lt;="&amp;A38+6,VC_commercial,B38,VC_type,"Visite sur place"))</f>
        <v/>
      </c>
      <c r="E38" s="39">
        <f>IF(A38="","",COUNTIFS(Cl_vente1,"&gt;="&amp;A38,Cl_vente1,"&lt;="&amp;A38+6,Cl_commercial,B38))</f>
        <v/>
      </c>
      <c r="F38" s="40">
        <f>IF(A38="","",SUMIFS(Cmd_montant,Cmd_dateca,"&gt;="&amp;A38,Cmd_dateca,"&lt;="&amp;A38+6,Cmd_commercial,B38))</f>
        <v/>
      </c>
      <c r="G38" s="40">
        <f>IF(A38="","",SUMIFS(Enc_montant,Enc_date,"&gt;="&amp;A38,Enc_date,"&lt;="&amp;A38+6,Enc_commercial,B38))</f>
        <v/>
      </c>
      <c r="H38" s="36" t="n"/>
      <c r="I38" s="36" t="n"/>
      <c r="J38" s="36" t="n"/>
      <c r="K38" s="36" t="n"/>
      <c r="L38" s="36" t="n"/>
      <c r="M38" s="43" t="n"/>
      <c r="N38" s="36" t="n"/>
    </row>
    <row r="39" ht="18" customHeight="1">
      <c r="A39" s="32" t="n"/>
      <c r="B39" s="33">
        <f>IF(A39="","",Commercial_Id)</f>
        <v/>
      </c>
      <c r="C39" s="34">
        <f>IF(A39="","",YEAR(A39-WEEKDAY(A39,2)+4)&amp;"-S"&amp;TEXT(INT((A39-DATE(YEAR(A39-WEEKDAY(A39,2)+4),1,3)+WEEKDAY(DATE(YEAR(A39-WEEKDAY(A39,2)+4),1,3),2)+5)/7),"00"))</f>
        <v/>
      </c>
      <c r="D39" s="39">
        <f>IF(A39="","",COUNTIFS(VC_date,"&gt;="&amp;A39,VC_date,"&lt;="&amp;A39+6,VC_commercial,B39,VC_type,"Visite sur place"))</f>
        <v/>
      </c>
      <c r="E39" s="39">
        <f>IF(A39="","",COUNTIFS(Cl_vente1,"&gt;="&amp;A39,Cl_vente1,"&lt;="&amp;A39+6,Cl_commercial,B39))</f>
        <v/>
      </c>
      <c r="F39" s="40">
        <f>IF(A39="","",SUMIFS(Cmd_montant,Cmd_dateca,"&gt;="&amp;A39,Cmd_dateca,"&lt;="&amp;A39+6,Cmd_commercial,B39))</f>
        <v/>
      </c>
      <c r="G39" s="40">
        <f>IF(A39="","",SUMIFS(Enc_montant,Enc_date,"&gt;="&amp;A39,Enc_date,"&lt;="&amp;A39+6,Enc_commercial,B39))</f>
        <v/>
      </c>
      <c r="H39" s="36" t="n"/>
      <c r="I39" s="36" t="n"/>
      <c r="J39" s="36" t="n"/>
      <c r="K39" s="36" t="n"/>
      <c r="L39" s="36" t="n"/>
      <c r="M39" s="43" t="n"/>
      <c r="N39" s="36" t="n"/>
    </row>
    <row r="40" ht="18" customHeight="1">
      <c r="A40" s="32" t="n"/>
      <c r="B40" s="33">
        <f>IF(A40="","",Commercial_Id)</f>
        <v/>
      </c>
      <c r="C40" s="34">
        <f>IF(A40="","",YEAR(A40-WEEKDAY(A40,2)+4)&amp;"-S"&amp;TEXT(INT((A40-DATE(YEAR(A40-WEEKDAY(A40,2)+4),1,3)+WEEKDAY(DATE(YEAR(A40-WEEKDAY(A40,2)+4),1,3),2)+5)/7),"00"))</f>
        <v/>
      </c>
      <c r="D40" s="39">
        <f>IF(A40="","",COUNTIFS(VC_date,"&gt;="&amp;A40,VC_date,"&lt;="&amp;A40+6,VC_commercial,B40,VC_type,"Visite sur place"))</f>
        <v/>
      </c>
      <c r="E40" s="39">
        <f>IF(A40="","",COUNTIFS(Cl_vente1,"&gt;="&amp;A40,Cl_vente1,"&lt;="&amp;A40+6,Cl_commercial,B40))</f>
        <v/>
      </c>
      <c r="F40" s="40">
        <f>IF(A40="","",SUMIFS(Cmd_montant,Cmd_dateca,"&gt;="&amp;A40,Cmd_dateca,"&lt;="&amp;A40+6,Cmd_commercial,B40))</f>
        <v/>
      </c>
      <c r="G40" s="40">
        <f>IF(A40="","",SUMIFS(Enc_montant,Enc_date,"&gt;="&amp;A40,Enc_date,"&lt;="&amp;A40+6,Enc_commercial,B40))</f>
        <v/>
      </c>
      <c r="H40" s="36" t="n"/>
      <c r="I40" s="36" t="n"/>
      <c r="J40" s="36" t="n"/>
      <c r="K40" s="36" t="n"/>
      <c r="L40" s="36" t="n"/>
      <c r="M40" s="43" t="n"/>
      <c r="N40" s="36" t="n"/>
    </row>
    <row r="41" ht="18" customHeight="1">
      <c r="A41" s="32" t="n"/>
      <c r="B41" s="33">
        <f>IF(A41="","",Commercial_Id)</f>
        <v/>
      </c>
      <c r="C41" s="34">
        <f>IF(A41="","",YEAR(A41-WEEKDAY(A41,2)+4)&amp;"-S"&amp;TEXT(INT((A41-DATE(YEAR(A41-WEEKDAY(A41,2)+4),1,3)+WEEKDAY(DATE(YEAR(A41-WEEKDAY(A41,2)+4),1,3),2)+5)/7),"00"))</f>
        <v/>
      </c>
      <c r="D41" s="39">
        <f>IF(A41="","",COUNTIFS(VC_date,"&gt;="&amp;A41,VC_date,"&lt;="&amp;A41+6,VC_commercial,B41,VC_type,"Visite sur place"))</f>
        <v/>
      </c>
      <c r="E41" s="39">
        <f>IF(A41="","",COUNTIFS(Cl_vente1,"&gt;="&amp;A41,Cl_vente1,"&lt;="&amp;A41+6,Cl_commercial,B41))</f>
        <v/>
      </c>
      <c r="F41" s="40">
        <f>IF(A41="","",SUMIFS(Cmd_montant,Cmd_dateca,"&gt;="&amp;A41,Cmd_dateca,"&lt;="&amp;A41+6,Cmd_commercial,B41))</f>
        <v/>
      </c>
      <c r="G41" s="40">
        <f>IF(A41="","",SUMIFS(Enc_montant,Enc_date,"&gt;="&amp;A41,Enc_date,"&lt;="&amp;A41+6,Enc_commercial,B41))</f>
        <v/>
      </c>
      <c r="H41" s="36" t="n"/>
      <c r="I41" s="36" t="n"/>
      <c r="J41" s="36" t="n"/>
      <c r="K41" s="36" t="n"/>
      <c r="L41" s="36" t="n"/>
      <c r="M41" s="43" t="n"/>
      <c r="N41" s="36" t="n"/>
    </row>
    <row r="42" ht="18" customHeight="1">
      <c r="A42" s="32" t="n"/>
      <c r="B42" s="33">
        <f>IF(A42="","",Commercial_Id)</f>
        <v/>
      </c>
      <c r="C42" s="34">
        <f>IF(A42="","",YEAR(A42-WEEKDAY(A42,2)+4)&amp;"-S"&amp;TEXT(INT((A42-DATE(YEAR(A42-WEEKDAY(A42,2)+4),1,3)+WEEKDAY(DATE(YEAR(A42-WEEKDAY(A42,2)+4),1,3),2)+5)/7),"00"))</f>
        <v/>
      </c>
      <c r="D42" s="39">
        <f>IF(A42="","",COUNTIFS(VC_date,"&gt;="&amp;A42,VC_date,"&lt;="&amp;A42+6,VC_commercial,B42,VC_type,"Visite sur place"))</f>
        <v/>
      </c>
      <c r="E42" s="39">
        <f>IF(A42="","",COUNTIFS(Cl_vente1,"&gt;="&amp;A42,Cl_vente1,"&lt;="&amp;A42+6,Cl_commercial,B42))</f>
        <v/>
      </c>
      <c r="F42" s="40">
        <f>IF(A42="","",SUMIFS(Cmd_montant,Cmd_dateca,"&gt;="&amp;A42,Cmd_dateca,"&lt;="&amp;A42+6,Cmd_commercial,B42))</f>
        <v/>
      </c>
      <c r="G42" s="40">
        <f>IF(A42="","",SUMIFS(Enc_montant,Enc_date,"&gt;="&amp;A42,Enc_date,"&lt;="&amp;A42+6,Enc_commercial,B42))</f>
        <v/>
      </c>
      <c r="H42" s="36" t="n"/>
      <c r="I42" s="36" t="n"/>
      <c r="J42" s="36" t="n"/>
      <c r="K42" s="36" t="n"/>
      <c r="L42" s="36" t="n"/>
      <c r="M42" s="43" t="n"/>
      <c r="N42" s="36" t="n"/>
    </row>
    <row r="43" ht="18" customHeight="1">
      <c r="A43" s="32" t="n"/>
      <c r="B43" s="33">
        <f>IF(A43="","",Commercial_Id)</f>
        <v/>
      </c>
      <c r="C43" s="34">
        <f>IF(A43="","",YEAR(A43-WEEKDAY(A43,2)+4)&amp;"-S"&amp;TEXT(INT((A43-DATE(YEAR(A43-WEEKDAY(A43,2)+4),1,3)+WEEKDAY(DATE(YEAR(A43-WEEKDAY(A43,2)+4),1,3),2)+5)/7),"00"))</f>
        <v/>
      </c>
      <c r="D43" s="39">
        <f>IF(A43="","",COUNTIFS(VC_date,"&gt;="&amp;A43,VC_date,"&lt;="&amp;A43+6,VC_commercial,B43,VC_type,"Visite sur place"))</f>
        <v/>
      </c>
      <c r="E43" s="39">
        <f>IF(A43="","",COUNTIFS(Cl_vente1,"&gt;="&amp;A43,Cl_vente1,"&lt;="&amp;A43+6,Cl_commercial,B43))</f>
        <v/>
      </c>
      <c r="F43" s="40">
        <f>IF(A43="","",SUMIFS(Cmd_montant,Cmd_dateca,"&gt;="&amp;A43,Cmd_dateca,"&lt;="&amp;A43+6,Cmd_commercial,B43))</f>
        <v/>
      </c>
      <c r="G43" s="40">
        <f>IF(A43="","",SUMIFS(Enc_montant,Enc_date,"&gt;="&amp;A43,Enc_date,"&lt;="&amp;A43+6,Enc_commercial,B43))</f>
        <v/>
      </c>
      <c r="H43" s="36" t="n"/>
      <c r="I43" s="36" t="n"/>
      <c r="J43" s="36" t="n"/>
      <c r="K43" s="36" t="n"/>
      <c r="L43" s="36" t="n"/>
      <c r="M43" s="43" t="n"/>
      <c r="N43" s="36" t="n"/>
    </row>
    <row r="44" ht="18" customHeight="1">
      <c r="A44" s="32" t="n"/>
      <c r="B44" s="33">
        <f>IF(A44="","",Commercial_Id)</f>
        <v/>
      </c>
      <c r="C44" s="34">
        <f>IF(A44="","",YEAR(A44-WEEKDAY(A44,2)+4)&amp;"-S"&amp;TEXT(INT((A44-DATE(YEAR(A44-WEEKDAY(A44,2)+4),1,3)+WEEKDAY(DATE(YEAR(A44-WEEKDAY(A44,2)+4),1,3),2)+5)/7),"00"))</f>
        <v/>
      </c>
      <c r="D44" s="39">
        <f>IF(A44="","",COUNTIFS(VC_date,"&gt;="&amp;A44,VC_date,"&lt;="&amp;A44+6,VC_commercial,B44,VC_type,"Visite sur place"))</f>
        <v/>
      </c>
      <c r="E44" s="39">
        <f>IF(A44="","",COUNTIFS(Cl_vente1,"&gt;="&amp;A44,Cl_vente1,"&lt;="&amp;A44+6,Cl_commercial,B44))</f>
        <v/>
      </c>
      <c r="F44" s="40">
        <f>IF(A44="","",SUMIFS(Cmd_montant,Cmd_dateca,"&gt;="&amp;A44,Cmd_dateca,"&lt;="&amp;A44+6,Cmd_commercial,B44))</f>
        <v/>
      </c>
      <c r="G44" s="40">
        <f>IF(A44="","",SUMIFS(Enc_montant,Enc_date,"&gt;="&amp;A44,Enc_date,"&lt;="&amp;A44+6,Enc_commercial,B44))</f>
        <v/>
      </c>
      <c r="H44" s="36" t="n"/>
      <c r="I44" s="36" t="n"/>
      <c r="J44" s="36" t="n"/>
      <c r="K44" s="36" t="n"/>
      <c r="L44" s="36" t="n"/>
      <c r="M44" s="43" t="n"/>
      <c r="N44" s="36" t="n"/>
    </row>
    <row r="45" ht="18" customHeight="1">
      <c r="A45" s="32" t="n"/>
      <c r="B45" s="33">
        <f>IF(A45="","",Commercial_Id)</f>
        <v/>
      </c>
      <c r="C45" s="34">
        <f>IF(A45="","",YEAR(A45-WEEKDAY(A45,2)+4)&amp;"-S"&amp;TEXT(INT((A45-DATE(YEAR(A45-WEEKDAY(A45,2)+4),1,3)+WEEKDAY(DATE(YEAR(A45-WEEKDAY(A45,2)+4),1,3),2)+5)/7),"00"))</f>
        <v/>
      </c>
      <c r="D45" s="39">
        <f>IF(A45="","",COUNTIFS(VC_date,"&gt;="&amp;A45,VC_date,"&lt;="&amp;A45+6,VC_commercial,B45,VC_type,"Visite sur place"))</f>
        <v/>
      </c>
      <c r="E45" s="39">
        <f>IF(A45="","",COUNTIFS(Cl_vente1,"&gt;="&amp;A45,Cl_vente1,"&lt;="&amp;A45+6,Cl_commercial,B45))</f>
        <v/>
      </c>
      <c r="F45" s="40">
        <f>IF(A45="","",SUMIFS(Cmd_montant,Cmd_dateca,"&gt;="&amp;A45,Cmd_dateca,"&lt;="&amp;A45+6,Cmd_commercial,B45))</f>
        <v/>
      </c>
      <c r="G45" s="40">
        <f>IF(A45="","",SUMIFS(Enc_montant,Enc_date,"&gt;="&amp;A45,Enc_date,"&lt;="&amp;A45+6,Enc_commercial,B45))</f>
        <v/>
      </c>
      <c r="H45" s="36" t="n"/>
      <c r="I45" s="36" t="n"/>
      <c r="J45" s="36" t="n"/>
      <c r="K45" s="36" t="n"/>
      <c r="L45" s="36" t="n"/>
      <c r="M45" s="43" t="n"/>
      <c r="N45" s="36" t="n"/>
    </row>
    <row r="46" ht="18" customHeight="1">
      <c r="A46" s="32" t="n"/>
      <c r="B46" s="33">
        <f>IF(A46="","",Commercial_Id)</f>
        <v/>
      </c>
      <c r="C46" s="34">
        <f>IF(A46="","",YEAR(A46-WEEKDAY(A46,2)+4)&amp;"-S"&amp;TEXT(INT((A46-DATE(YEAR(A46-WEEKDAY(A46,2)+4),1,3)+WEEKDAY(DATE(YEAR(A46-WEEKDAY(A46,2)+4),1,3),2)+5)/7),"00"))</f>
        <v/>
      </c>
      <c r="D46" s="39">
        <f>IF(A46="","",COUNTIFS(VC_date,"&gt;="&amp;A46,VC_date,"&lt;="&amp;A46+6,VC_commercial,B46,VC_type,"Visite sur place"))</f>
        <v/>
      </c>
      <c r="E46" s="39">
        <f>IF(A46="","",COUNTIFS(Cl_vente1,"&gt;="&amp;A46,Cl_vente1,"&lt;="&amp;A46+6,Cl_commercial,B46))</f>
        <v/>
      </c>
      <c r="F46" s="40">
        <f>IF(A46="","",SUMIFS(Cmd_montant,Cmd_dateca,"&gt;="&amp;A46,Cmd_dateca,"&lt;="&amp;A46+6,Cmd_commercial,B46))</f>
        <v/>
      </c>
      <c r="G46" s="40">
        <f>IF(A46="","",SUMIFS(Enc_montant,Enc_date,"&gt;="&amp;A46,Enc_date,"&lt;="&amp;A46+6,Enc_commercial,B46))</f>
        <v/>
      </c>
      <c r="H46" s="36" t="n"/>
      <c r="I46" s="36" t="n"/>
      <c r="J46" s="36" t="n"/>
      <c r="K46" s="36" t="n"/>
      <c r="L46" s="36" t="n"/>
      <c r="M46" s="43" t="n"/>
      <c r="N46" s="36" t="n"/>
    </row>
    <row r="47" ht="18" customHeight="1">
      <c r="A47" s="32" t="n"/>
      <c r="B47" s="33">
        <f>IF(A47="","",Commercial_Id)</f>
        <v/>
      </c>
      <c r="C47" s="34">
        <f>IF(A47="","",YEAR(A47-WEEKDAY(A47,2)+4)&amp;"-S"&amp;TEXT(INT((A47-DATE(YEAR(A47-WEEKDAY(A47,2)+4),1,3)+WEEKDAY(DATE(YEAR(A47-WEEKDAY(A47,2)+4),1,3),2)+5)/7),"00"))</f>
        <v/>
      </c>
      <c r="D47" s="39">
        <f>IF(A47="","",COUNTIFS(VC_date,"&gt;="&amp;A47,VC_date,"&lt;="&amp;A47+6,VC_commercial,B47,VC_type,"Visite sur place"))</f>
        <v/>
      </c>
      <c r="E47" s="39">
        <f>IF(A47="","",COUNTIFS(Cl_vente1,"&gt;="&amp;A47,Cl_vente1,"&lt;="&amp;A47+6,Cl_commercial,B47))</f>
        <v/>
      </c>
      <c r="F47" s="40">
        <f>IF(A47="","",SUMIFS(Cmd_montant,Cmd_dateca,"&gt;="&amp;A47,Cmd_dateca,"&lt;="&amp;A47+6,Cmd_commercial,B47))</f>
        <v/>
      </c>
      <c r="G47" s="40">
        <f>IF(A47="","",SUMIFS(Enc_montant,Enc_date,"&gt;="&amp;A47,Enc_date,"&lt;="&amp;A47+6,Enc_commercial,B47))</f>
        <v/>
      </c>
      <c r="H47" s="36" t="n"/>
      <c r="I47" s="36" t="n"/>
      <c r="J47" s="36" t="n"/>
      <c r="K47" s="36" t="n"/>
      <c r="L47" s="36" t="n"/>
      <c r="M47" s="43" t="n"/>
      <c r="N47" s="36" t="n"/>
    </row>
    <row r="48" ht="18" customHeight="1">
      <c r="A48" s="32" t="n"/>
      <c r="B48" s="33">
        <f>IF(A48="","",Commercial_Id)</f>
        <v/>
      </c>
      <c r="C48" s="34">
        <f>IF(A48="","",YEAR(A48-WEEKDAY(A48,2)+4)&amp;"-S"&amp;TEXT(INT((A48-DATE(YEAR(A48-WEEKDAY(A48,2)+4),1,3)+WEEKDAY(DATE(YEAR(A48-WEEKDAY(A48,2)+4),1,3),2)+5)/7),"00"))</f>
        <v/>
      </c>
      <c r="D48" s="39">
        <f>IF(A48="","",COUNTIFS(VC_date,"&gt;="&amp;A48,VC_date,"&lt;="&amp;A48+6,VC_commercial,B48,VC_type,"Visite sur place"))</f>
        <v/>
      </c>
      <c r="E48" s="39">
        <f>IF(A48="","",COUNTIFS(Cl_vente1,"&gt;="&amp;A48,Cl_vente1,"&lt;="&amp;A48+6,Cl_commercial,B48))</f>
        <v/>
      </c>
      <c r="F48" s="40">
        <f>IF(A48="","",SUMIFS(Cmd_montant,Cmd_dateca,"&gt;="&amp;A48,Cmd_dateca,"&lt;="&amp;A48+6,Cmd_commercial,B48))</f>
        <v/>
      </c>
      <c r="G48" s="40">
        <f>IF(A48="","",SUMIFS(Enc_montant,Enc_date,"&gt;="&amp;A48,Enc_date,"&lt;="&amp;A48+6,Enc_commercial,B48))</f>
        <v/>
      </c>
      <c r="H48" s="36" t="n"/>
      <c r="I48" s="36" t="n"/>
      <c r="J48" s="36" t="n"/>
      <c r="K48" s="36" t="n"/>
      <c r="L48" s="36" t="n"/>
      <c r="M48" s="43" t="n"/>
      <c r="N48" s="36" t="n"/>
    </row>
    <row r="49" ht="18" customHeight="1">
      <c r="A49" s="32" t="n"/>
      <c r="B49" s="33">
        <f>IF(A49="","",Commercial_Id)</f>
        <v/>
      </c>
      <c r="C49" s="34">
        <f>IF(A49="","",YEAR(A49-WEEKDAY(A49,2)+4)&amp;"-S"&amp;TEXT(INT((A49-DATE(YEAR(A49-WEEKDAY(A49,2)+4),1,3)+WEEKDAY(DATE(YEAR(A49-WEEKDAY(A49,2)+4),1,3),2)+5)/7),"00"))</f>
        <v/>
      </c>
      <c r="D49" s="39">
        <f>IF(A49="","",COUNTIFS(VC_date,"&gt;="&amp;A49,VC_date,"&lt;="&amp;A49+6,VC_commercial,B49,VC_type,"Visite sur place"))</f>
        <v/>
      </c>
      <c r="E49" s="39">
        <f>IF(A49="","",COUNTIFS(Cl_vente1,"&gt;="&amp;A49,Cl_vente1,"&lt;="&amp;A49+6,Cl_commercial,B49))</f>
        <v/>
      </c>
      <c r="F49" s="40">
        <f>IF(A49="","",SUMIFS(Cmd_montant,Cmd_dateca,"&gt;="&amp;A49,Cmd_dateca,"&lt;="&amp;A49+6,Cmd_commercial,B49))</f>
        <v/>
      </c>
      <c r="G49" s="40">
        <f>IF(A49="","",SUMIFS(Enc_montant,Enc_date,"&gt;="&amp;A49,Enc_date,"&lt;="&amp;A49+6,Enc_commercial,B49))</f>
        <v/>
      </c>
      <c r="H49" s="36" t="n"/>
      <c r="I49" s="36" t="n"/>
      <c r="J49" s="36" t="n"/>
      <c r="K49" s="36" t="n"/>
      <c r="L49" s="36" t="n"/>
      <c r="M49" s="43" t="n"/>
      <c r="N49" s="36" t="n"/>
    </row>
    <row r="50" ht="18" customHeight="1">
      <c r="A50" s="32" t="n"/>
      <c r="B50" s="33">
        <f>IF(A50="","",Commercial_Id)</f>
        <v/>
      </c>
      <c r="C50" s="34">
        <f>IF(A50="","",YEAR(A50-WEEKDAY(A50,2)+4)&amp;"-S"&amp;TEXT(INT((A50-DATE(YEAR(A50-WEEKDAY(A50,2)+4),1,3)+WEEKDAY(DATE(YEAR(A50-WEEKDAY(A50,2)+4),1,3),2)+5)/7),"00"))</f>
        <v/>
      </c>
      <c r="D50" s="39">
        <f>IF(A50="","",COUNTIFS(VC_date,"&gt;="&amp;A50,VC_date,"&lt;="&amp;A50+6,VC_commercial,B50,VC_type,"Visite sur place"))</f>
        <v/>
      </c>
      <c r="E50" s="39">
        <f>IF(A50="","",COUNTIFS(Cl_vente1,"&gt;="&amp;A50,Cl_vente1,"&lt;="&amp;A50+6,Cl_commercial,B50))</f>
        <v/>
      </c>
      <c r="F50" s="40">
        <f>IF(A50="","",SUMIFS(Cmd_montant,Cmd_dateca,"&gt;="&amp;A50,Cmd_dateca,"&lt;="&amp;A50+6,Cmd_commercial,B50))</f>
        <v/>
      </c>
      <c r="G50" s="40">
        <f>IF(A50="","",SUMIFS(Enc_montant,Enc_date,"&gt;="&amp;A50,Enc_date,"&lt;="&amp;A50+6,Enc_commercial,B50))</f>
        <v/>
      </c>
      <c r="H50" s="36" t="n"/>
      <c r="I50" s="36" t="n"/>
      <c r="J50" s="36" t="n"/>
      <c r="K50" s="36" t="n"/>
      <c r="L50" s="36" t="n"/>
      <c r="M50" s="43" t="n"/>
      <c r="N50" s="36" t="n"/>
    </row>
    <row r="51" ht="18" customHeight="1">
      <c r="A51" s="32" t="n"/>
      <c r="B51" s="33">
        <f>IF(A51="","",Commercial_Id)</f>
        <v/>
      </c>
      <c r="C51" s="34">
        <f>IF(A51="","",YEAR(A51-WEEKDAY(A51,2)+4)&amp;"-S"&amp;TEXT(INT((A51-DATE(YEAR(A51-WEEKDAY(A51,2)+4),1,3)+WEEKDAY(DATE(YEAR(A51-WEEKDAY(A51,2)+4),1,3),2)+5)/7),"00"))</f>
        <v/>
      </c>
      <c r="D51" s="39">
        <f>IF(A51="","",COUNTIFS(VC_date,"&gt;="&amp;A51,VC_date,"&lt;="&amp;A51+6,VC_commercial,B51,VC_type,"Visite sur place"))</f>
        <v/>
      </c>
      <c r="E51" s="39">
        <f>IF(A51="","",COUNTIFS(Cl_vente1,"&gt;="&amp;A51,Cl_vente1,"&lt;="&amp;A51+6,Cl_commercial,B51))</f>
        <v/>
      </c>
      <c r="F51" s="40">
        <f>IF(A51="","",SUMIFS(Cmd_montant,Cmd_dateca,"&gt;="&amp;A51,Cmd_dateca,"&lt;="&amp;A51+6,Cmd_commercial,B51))</f>
        <v/>
      </c>
      <c r="G51" s="40">
        <f>IF(A51="","",SUMIFS(Enc_montant,Enc_date,"&gt;="&amp;A51,Enc_date,"&lt;="&amp;A51+6,Enc_commercial,B51))</f>
        <v/>
      </c>
      <c r="H51" s="36" t="n"/>
      <c r="I51" s="36" t="n"/>
      <c r="J51" s="36" t="n"/>
      <c r="K51" s="36" t="n"/>
      <c r="L51" s="36" t="n"/>
      <c r="M51" s="43" t="n"/>
      <c r="N51" s="36" t="n"/>
    </row>
    <row r="52" ht="18" customHeight="1">
      <c r="A52" s="32" t="n"/>
      <c r="B52" s="33">
        <f>IF(A52="","",Commercial_Id)</f>
        <v/>
      </c>
      <c r="C52" s="34">
        <f>IF(A52="","",YEAR(A52-WEEKDAY(A52,2)+4)&amp;"-S"&amp;TEXT(INT((A52-DATE(YEAR(A52-WEEKDAY(A52,2)+4),1,3)+WEEKDAY(DATE(YEAR(A52-WEEKDAY(A52,2)+4),1,3),2)+5)/7),"00"))</f>
        <v/>
      </c>
      <c r="D52" s="39">
        <f>IF(A52="","",COUNTIFS(VC_date,"&gt;="&amp;A52,VC_date,"&lt;="&amp;A52+6,VC_commercial,B52,VC_type,"Visite sur place"))</f>
        <v/>
      </c>
      <c r="E52" s="39">
        <f>IF(A52="","",COUNTIFS(Cl_vente1,"&gt;="&amp;A52,Cl_vente1,"&lt;="&amp;A52+6,Cl_commercial,B52))</f>
        <v/>
      </c>
      <c r="F52" s="40">
        <f>IF(A52="","",SUMIFS(Cmd_montant,Cmd_dateca,"&gt;="&amp;A52,Cmd_dateca,"&lt;="&amp;A52+6,Cmd_commercial,B52))</f>
        <v/>
      </c>
      <c r="G52" s="40">
        <f>IF(A52="","",SUMIFS(Enc_montant,Enc_date,"&gt;="&amp;A52,Enc_date,"&lt;="&amp;A52+6,Enc_commercial,B52))</f>
        <v/>
      </c>
      <c r="H52" s="36" t="n"/>
      <c r="I52" s="36" t="n"/>
      <c r="J52" s="36" t="n"/>
      <c r="K52" s="36" t="n"/>
      <c r="L52" s="36" t="n"/>
      <c r="M52" s="43" t="n"/>
      <c r="N52" s="36" t="n"/>
    </row>
    <row r="53" ht="18" customHeight="1">
      <c r="A53" s="32" t="n"/>
      <c r="B53" s="33">
        <f>IF(A53="","",Commercial_Id)</f>
        <v/>
      </c>
      <c r="C53" s="34">
        <f>IF(A53="","",YEAR(A53-WEEKDAY(A53,2)+4)&amp;"-S"&amp;TEXT(INT((A53-DATE(YEAR(A53-WEEKDAY(A53,2)+4),1,3)+WEEKDAY(DATE(YEAR(A53-WEEKDAY(A53,2)+4),1,3),2)+5)/7),"00"))</f>
        <v/>
      </c>
      <c r="D53" s="39">
        <f>IF(A53="","",COUNTIFS(VC_date,"&gt;="&amp;A53,VC_date,"&lt;="&amp;A53+6,VC_commercial,B53,VC_type,"Visite sur place"))</f>
        <v/>
      </c>
      <c r="E53" s="39">
        <f>IF(A53="","",COUNTIFS(Cl_vente1,"&gt;="&amp;A53,Cl_vente1,"&lt;="&amp;A53+6,Cl_commercial,B53))</f>
        <v/>
      </c>
      <c r="F53" s="40">
        <f>IF(A53="","",SUMIFS(Cmd_montant,Cmd_dateca,"&gt;="&amp;A53,Cmd_dateca,"&lt;="&amp;A53+6,Cmd_commercial,B53))</f>
        <v/>
      </c>
      <c r="G53" s="40">
        <f>IF(A53="","",SUMIFS(Enc_montant,Enc_date,"&gt;="&amp;A53,Enc_date,"&lt;="&amp;A53+6,Enc_commercial,B53))</f>
        <v/>
      </c>
      <c r="H53" s="36" t="n"/>
      <c r="I53" s="36" t="n"/>
      <c r="J53" s="36" t="n"/>
      <c r="K53" s="36" t="n"/>
      <c r="L53" s="36" t="n"/>
      <c r="M53" s="43" t="n"/>
      <c r="N53" s="36" t="n"/>
    </row>
    <row r="54" ht="18" customHeight="1">
      <c r="A54" s="32" t="n"/>
      <c r="B54" s="33">
        <f>IF(A54="","",Commercial_Id)</f>
        <v/>
      </c>
      <c r="C54" s="34">
        <f>IF(A54="","",YEAR(A54-WEEKDAY(A54,2)+4)&amp;"-S"&amp;TEXT(INT((A54-DATE(YEAR(A54-WEEKDAY(A54,2)+4),1,3)+WEEKDAY(DATE(YEAR(A54-WEEKDAY(A54,2)+4),1,3),2)+5)/7),"00"))</f>
        <v/>
      </c>
      <c r="D54" s="39">
        <f>IF(A54="","",COUNTIFS(VC_date,"&gt;="&amp;A54,VC_date,"&lt;="&amp;A54+6,VC_commercial,B54,VC_type,"Visite sur place"))</f>
        <v/>
      </c>
      <c r="E54" s="39">
        <f>IF(A54="","",COUNTIFS(Cl_vente1,"&gt;="&amp;A54,Cl_vente1,"&lt;="&amp;A54+6,Cl_commercial,B54))</f>
        <v/>
      </c>
      <c r="F54" s="40">
        <f>IF(A54="","",SUMIFS(Cmd_montant,Cmd_dateca,"&gt;="&amp;A54,Cmd_dateca,"&lt;="&amp;A54+6,Cmd_commercial,B54))</f>
        <v/>
      </c>
      <c r="G54" s="40">
        <f>IF(A54="","",SUMIFS(Enc_montant,Enc_date,"&gt;="&amp;A54,Enc_date,"&lt;="&amp;A54+6,Enc_commercial,B54))</f>
        <v/>
      </c>
      <c r="H54" s="36" t="n"/>
      <c r="I54" s="36" t="n"/>
      <c r="J54" s="36" t="n"/>
      <c r="K54" s="36" t="n"/>
      <c r="L54" s="36" t="n"/>
      <c r="M54" s="43" t="n"/>
      <c r="N54" s="36" t="n"/>
    </row>
    <row r="55" ht="18" customHeight="1">
      <c r="A55" s="32" t="n"/>
      <c r="B55" s="33">
        <f>IF(A55="","",Commercial_Id)</f>
        <v/>
      </c>
      <c r="C55" s="34">
        <f>IF(A55="","",YEAR(A55-WEEKDAY(A55,2)+4)&amp;"-S"&amp;TEXT(INT((A55-DATE(YEAR(A55-WEEKDAY(A55,2)+4),1,3)+WEEKDAY(DATE(YEAR(A55-WEEKDAY(A55,2)+4),1,3),2)+5)/7),"00"))</f>
        <v/>
      </c>
      <c r="D55" s="39">
        <f>IF(A55="","",COUNTIFS(VC_date,"&gt;="&amp;A55,VC_date,"&lt;="&amp;A55+6,VC_commercial,B55,VC_type,"Visite sur place"))</f>
        <v/>
      </c>
      <c r="E55" s="39">
        <f>IF(A55="","",COUNTIFS(Cl_vente1,"&gt;="&amp;A55,Cl_vente1,"&lt;="&amp;A55+6,Cl_commercial,B55))</f>
        <v/>
      </c>
      <c r="F55" s="40">
        <f>IF(A55="","",SUMIFS(Cmd_montant,Cmd_dateca,"&gt;="&amp;A55,Cmd_dateca,"&lt;="&amp;A55+6,Cmd_commercial,B55))</f>
        <v/>
      </c>
      <c r="G55" s="40">
        <f>IF(A55="","",SUMIFS(Enc_montant,Enc_date,"&gt;="&amp;A55,Enc_date,"&lt;="&amp;A55+6,Enc_commercial,B55))</f>
        <v/>
      </c>
      <c r="H55" s="36" t="n"/>
      <c r="I55" s="36" t="n"/>
      <c r="J55" s="36" t="n"/>
      <c r="K55" s="36" t="n"/>
      <c r="L55" s="36" t="n"/>
      <c r="M55" s="43" t="n"/>
      <c r="N55" s="36" t="n"/>
    </row>
    <row r="56" ht="18" customHeight="1">
      <c r="A56" s="32" t="n"/>
      <c r="B56" s="33">
        <f>IF(A56="","",Commercial_Id)</f>
        <v/>
      </c>
      <c r="C56" s="34">
        <f>IF(A56="","",YEAR(A56-WEEKDAY(A56,2)+4)&amp;"-S"&amp;TEXT(INT((A56-DATE(YEAR(A56-WEEKDAY(A56,2)+4),1,3)+WEEKDAY(DATE(YEAR(A56-WEEKDAY(A56,2)+4),1,3),2)+5)/7),"00"))</f>
        <v/>
      </c>
      <c r="D56" s="39">
        <f>IF(A56="","",COUNTIFS(VC_date,"&gt;="&amp;A56,VC_date,"&lt;="&amp;A56+6,VC_commercial,B56,VC_type,"Visite sur place"))</f>
        <v/>
      </c>
      <c r="E56" s="39">
        <f>IF(A56="","",COUNTIFS(Cl_vente1,"&gt;="&amp;A56,Cl_vente1,"&lt;="&amp;A56+6,Cl_commercial,B56))</f>
        <v/>
      </c>
      <c r="F56" s="40">
        <f>IF(A56="","",SUMIFS(Cmd_montant,Cmd_dateca,"&gt;="&amp;A56,Cmd_dateca,"&lt;="&amp;A56+6,Cmd_commercial,B56))</f>
        <v/>
      </c>
      <c r="G56" s="40">
        <f>IF(A56="","",SUMIFS(Enc_montant,Enc_date,"&gt;="&amp;A56,Enc_date,"&lt;="&amp;A56+6,Enc_commercial,B56))</f>
        <v/>
      </c>
      <c r="H56" s="36" t="n"/>
      <c r="I56" s="36" t="n"/>
      <c r="J56" s="36" t="n"/>
      <c r="K56" s="36" t="n"/>
      <c r="L56" s="36" t="n"/>
      <c r="M56" s="43" t="n"/>
      <c r="N56" s="36" t="n"/>
    </row>
    <row r="57" ht="18" customHeight="1">
      <c r="A57" s="32" t="n"/>
      <c r="B57" s="33">
        <f>IF(A57="","",Commercial_Id)</f>
        <v/>
      </c>
      <c r="C57" s="34">
        <f>IF(A57="","",YEAR(A57-WEEKDAY(A57,2)+4)&amp;"-S"&amp;TEXT(INT((A57-DATE(YEAR(A57-WEEKDAY(A57,2)+4),1,3)+WEEKDAY(DATE(YEAR(A57-WEEKDAY(A57,2)+4),1,3),2)+5)/7),"00"))</f>
        <v/>
      </c>
      <c r="D57" s="39">
        <f>IF(A57="","",COUNTIFS(VC_date,"&gt;="&amp;A57,VC_date,"&lt;="&amp;A57+6,VC_commercial,B57,VC_type,"Visite sur place"))</f>
        <v/>
      </c>
      <c r="E57" s="39">
        <f>IF(A57="","",COUNTIFS(Cl_vente1,"&gt;="&amp;A57,Cl_vente1,"&lt;="&amp;A57+6,Cl_commercial,B57))</f>
        <v/>
      </c>
      <c r="F57" s="40">
        <f>IF(A57="","",SUMIFS(Cmd_montant,Cmd_dateca,"&gt;="&amp;A57,Cmd_dateca,"&lt;="&amp;A57+6,Cmd_commercial,B57))</f>
        <v/>
      </c>
      <c r="G57" s="40">
        <f>IF(A57="","",SUMIFS(Enc_montant,Enc_date,"&gt;="&amp;A57,Enc_date,"&lt;="&amp;A57+6,Enc_commercial,B57))</f>
        <v/>
      </c>
      <c r="H57" s="36" t="n"/>
      <c r="I57" s="36" t="n"/>
      <c r="J57" s="36" t="n"/>
      <c r="K57" s="36" t="n"/>
      <c r="L57" s="36" t="n"/>
      <c r="M57" s="43" t="n"/>
      <c r="N57" s="36" t="n"/>
    </row>
    <row r="58" ht="18" customHeight="1">
      <c r="A58" s="32" t="n"/>
      <c r="B58" s="33">
        <f>IF(A58="","",Commercial_Id)</f>
        <v/>
      </c>
      <c r="C58" s="34">
        <f>IF(A58="","",YEAR(A58-WEEKDAY(A58,2)+4)&amp;"-S"&amp;TEXT(INT((A58-DATE(YEAR(A58-WEEKDAY(A58,2)+4),1,3)+WEEKDAY(DATE(YEAR(A58-WEEKDAY(A58,2)+4),1,3),2)+5)/7),"00"))</f>
        <v/>
      </c>
      <c r="D58" s="39">
        <f>IF(A58="","",COUNTIFS(VC_date,"&gt;="&amp;A58,VC_date,"&lt;="&amp;A58+6,VC_commercial,B58,VC_type,"Visite sur place"))</f>
        <v/>
      </c>
      <c r="E58" s="39">
        <f>IF(A58="","",COUNTIFS(Cl_vente1,"&gt;="&amp;A58,Cl_vente1,"&lt;="&amp;A58+6,Cl_commercial,B58))</f>
        <v/>
      </c>
      <c r="F58" s="40">
        <f>IF(A58="","",SUMIFS(Cmd_montant,Cmd_dateca,"&gt;="&amp;A58,Cmd_dateca,"&lt;="&amp;A58+6,Cmd_commercial,B58))</f>
        <v/>
      </c>
      <c r="G58" s="40">
        <f>IF(A58="","",SUMIFS(Enc_montant,Enc_date,"&gt;="&amp;A58,Enc_date,"&lt;="&amp;A58+6,Enc_commercial,B58))</f>
        <v/>
      </c>
      <c r="H58" s="36" t="n"/>
      <c r="I58" s="36" t="n"/>
      <c r="J58" s="36" t="n"/>
      <c r="K58" s="36" t="n"/>
      <c r="L58" s="36" t="n"/>
      <c r="M58" s="43" t="n"/>
      <c r="N58" s="36" t="n"/>
    </row>
    <row r="59" ht="18" customHeight="1">
      <c r="A59" s="32" t="n"/>
      <c r="B59" s="33">
        <f>IF(A59="","",Commercial_Id)</f>
        <v/>
      </c>
      <c r="C59" s="34">
        <f>IF(A59="","",YEAR(A59-WEEKDAY(A59,2)+4)&amp;"-S"&amp;TEXT(INT((A59-DATE(YEAR(A59-WEEKDAY(A59,2)+4),1,3)+WEEKDAY(DATE(YEAR(A59-WEEKDAY(A59,2)+4),1,3),2)+5)/7),"00"))</f>
        <v/>
      </c>
      <c r="D59" s="39">
        <f>IF(A59="","",COUNTIFS(VC_date,"&gt;="&amp;A59,VC_date,"&lt;="&amp;A59+6,VC_commercial,B59,VC_type,"Visite sur place"))</f>
        <v/>
      </c>
      <c r="E59" s="39">
        <f>IF(A59="","",COUNTIFS(Cl_vente1,"&gt;="&amp;A59,Cl_vente1,"&lt;="&amp;A59+6,Cl_commercial,B59))</f>
        <v/>
      </c>
      <c r="F59" s="40">
        <f>IF(A59="","",SUMIFS(Cmd_montant,Cmd_dateca,"&gt;="&amp;A59,Cmd_dateca,"&lt;="&amp;A59+6,Cmd_commercial,B59))</f>
        <v/>
      </c>
      <c r="G59" s="40">
        <f>IF(A59="","",SUMIFS(Enc_montant,Enc_date,"&gt;="&amp;A59,Enc_date,"&lt;="&amp;A59+6,Enc_commercial,B59))</f>
        <v/>
      </c>
      <c r="H59" s="36" t="n"/>
      <c r="I59" s="36" t="n"/>
      <c r="J59" s="36" t="n"/>
      <c r="K59" s="36" t="n"/>
      <c r="L59" s="36" t="n"/>
      <c r="M59" s="43" t="n"/>
      <c r="N59" s="36" t="n"/>
    </row>
    <row r="60" ht="18" customHeight="1">
      <c r="A60" s="32" t="n"/>
      <c r="B60" s="33">
        <f>IF(A60="","",Commercial_Id)</f>
        <v/>
      </c>
      <c r="C60" s="34">
        <f>IF(A60="","",YEAR(A60-WEEKDAY(A60,2)+4)&amp;"-S"&amp;TEXT(INT((A60-DATE(YEAR(A60-WEEKDAY(A60,2)+4),1,3)+WEEKDAY(DATE(YEAR(A60-WEEKDAY(A60,2)+4),1,3),2)+5)/7),"00"))</f>
        <v/>
      </c>
      <c r="D60" s="39">
        <f>IF(A60="","",COUNTIFS(VC_date,"&gt;="&amp;A60,VC_date,"&lt;="&amp;A60+6,VC_commercial,B60,VC_type,"Visite sur place"))</f>
        <v/>
      </c>
      <c r="E60" s="39">
        <f>IF(A60="","",COUNTIFS(Cl_vente1,"&gt;="&amp;A60,Cl_vente1,"&lt;="&amp;A60+6,Cl_commercial,B60))</f>
        <v/>
      </c>
      <c r="F60" s="40">
        <f>IF(A60="","",SUMIFS(Cmd_montant,Cmd_dateca,"&gt;="&amp;A60,Cmd_dateca,"&lt;="&amp;A60+6,Cmd_commercial,B60))</f>
        <v/>
      </c>
      <c r="G60" s="40">
        <f>IF(A60="","",SUMIFS(Enc_montant,Enc_date,"&gt;="&amp;A60,Enc_date,"&lt;="&amp;A60+6,Enc_commercial,B60))</f>
        <v/>
      </c>
      <c r="H60" s="36" t="n"/>
      <c r="I60" s="36" t="n"/>
      <c r="J60" s="36" t="n"/>
      <c r="K60" s="36" t="n"/>
      <c r="L60" s="36" t="n"/>
      <c r="M60" s="43" t="n"/>
      <c r="N60" s="36" t="n"/>
    </row>
    <row r="61" ht="18" customHeight="1">
      <c r="A61" s="32" t="n"/>
      <c r="B61" s="33">
        <f>IF(A61="","",Commercial_Id)</f>
        <v/>
      </c>
      <c r="C61" s="34">
        <f>IF(A61="","",YEAR(A61-WEEKDAY(A61,2)+4)&amp;"-S"&amp;TEXT(INT((A61-DATE(YEAR(A61-WEEKDAY(A61,2)+4),1,3)+WEEKDAY(DATE(YEAR(A61-WEEKDAY(A61,2)+4),1,3),2)+5)/7),"00"))</f>
        <v/>
      </c>
      <c r="D61" s="39">
        <f>IF(A61="","",COUNTIFS(VC_date,"&gt;="&amp;A61,VC_date,"&lt;="&amp;A61+6,VC_commercial,B61,VC_type,"Visite sur place"))</f>
        <v/>
      </c>
      <c r="E61" s="39">
        <f>IF(A61="","",COUNTIFS(Cl_vente1,"&gt;="&amp;A61,Cl_vente1,"&lt;="&amp;A61+6,Cl_commercial,B61))</f>
        <v/>
      </c>
      <c r="F61" s="40">
        <f>IF(A61="","",SUMIFS(Cmd_montant,Cmd_dateca,"&gt;="&amp;A61,Cmd_dateca,"&lt;="&amp;A61+6,Cmd_commercial,B61))</f>
        <v/>
      </c>
      <c r="G61" s="40">
        <f>IF(A61="","",SUMIFS(Enc_montant,Enc_date,"&gt;="&amp;A61,Enc_date,"&lt;="&amp;A61+6,Enc_commercial,B61))</f>
        <v/>
      </c>
      <c r="H61" s="36" t="n"/>
      <c r="I61" s="36" t="n"/>
      <c r="J61" s="36" t="n"/>
      <c r="K61" s="36" t="n"/>
      <c r="L61" s="36" t="n"/>
      <c r="M61" s="43" t="n"/>
      <c r="N61" s="36" t="n"/>
    </row>
    <row r="62" ht="18" customHeight="1">
      <c r="A62" s="32" t="n"/>
      <c r="B62" s="33">
        <f>IF(A62="","",Commercial_Id)</f>
        <v/>
      </c>
      <c r="C62" s="34">
        <f>IF(A62="","",YEAR(A62-WEEKDAY(A62,2)+4)&amp;"-S"&amp;TEXT(INT((A62-DATE(YEAR(A62-WEEKDAY(A62,2)+4),1,3)+WEEKDAY(DATE(YEAR(A62-WEEKDAY(A62,2)+4),1,3),2)+5)/7),"00"))</f>
        <v/>
      </c>
      <c r="D62" s="39">
        <f>IF(A62="","",COUNTIFS(VC_date,"&gt;="&amp;A62,VC_date,"&lt;="&amp;A62+6,VC_commercial,B62,VC_type,"Visite sur place"))</f>
        <v/>
      </c>
      <c r="E62" s="39">
        <f>IF(A62="","",COUNTIFS(Cl_vente1,"&gt;="&amp;A62,Cl_vente1,"&lt;="&amp;A62+6,Cl_commercial,B62))</f>
        <v/>
      </c>
      <c r="F62" s="40">
        <f>IF(A62="","",SUMIFS(Cmd_montant,Cmd_dateca,"&gt;="&amp;A62,Cmd_dateca,"&lt;="&amp;A62+6,Cmd_commercial,B62))</f>
        <v/>
      </c>
      <c r="G62" s="40">
        <f>IF(A62="","",SUMIFS(Enc_montant,Enc_date,"&gt;="&amp;A62,Enc_date,"&lt;="&amp;A62+6,Enc_commercial,B62))</f>
        <v/>
      </c>
      <c r="H62" s="36" t="n"/>
      <c r="I62" s="36" t="n"/>
      <c r="J62" s="36" t="n"/>
      <c r="K62" s="36" t="n"/>
      <c r="L62" s="36" t="n"/>
      <c r="M62" s="43" t="n"/>
      <c r="N62" s="36" t="n"/>
    </row>
    <row r="63" ht="18" customHeight="1">
      <c r="A63" s="32" t="n"/>
      <c r="B63" s="33">
        <f>IF(A63="","",Commercial_Id)</f>
        <v/>
      </c>
      <c r="C63" s="34">
        <f>IF(A63="","",YEAR(A63-WEEKDAY(A63,2)+4)&amp;"-S"&amp;TEXT(INT((A63-DATE(YEAR(A63-WEEKDAY(A63,2)+4),1,3)+WEEKDAY(DATE(YEAR(A63-WEEKDAY(A63,2)+4),1,3),2)+5)/7),"00"))</f>
        <v/>
      </c>
      <c r="D63" s="39">
        <f>IF(A63="","",COUNTIFS(VC_date,"&gt;="&amp;A63,VC_date,"&lt;="&amp;A63+6,VC_commercial,B63,VC_type,"Visite sur place"))</f>
        <v/>
      </c>
      <c r="E63" s="39">
        <f>IF(A63="","",COUNTIFS(Cl_vente1,"&gt;="&amp;A63,Cl_vente1,"&lt;="&amp;A63+6,Cl_commercial,B63))</f>
        <v/>
      </c>
      <c r="F63" s="40">
        <f>IF(A63="","",SUMIFS(Cmd_montant,Cmd_dateca,"&gt;="&amp;A63,Cmd_dateca,"&lt;="&amp;A63+6,Cmd_commercial,B63))</f>
        <v/>
      </c>
      <c r="G63" s="40">
        <f>IF(A63="","",SUMIFS(Enc_montant,Enc_date,"&gt;="&amp;A63,Enc_date,"&lt;="&amp;A63+6,Enc_commercial,B63))</f>
        <v/>
      </c>
      <c r="H63" s="36" t="n"/>
      <c r="I63" s="36" t="n"/>
      <c r="J63" s="36" t="n"/>
      <c r="K63" s="36" t="n"/>
      <c r="L63" s="36" t="n"/>
      <c r="M63" s="43" t="n"/>
      <c r="N63" s="36" t="n"/>
    </row>
    <row r="64" ht="18" customHeight="1">
      <c r="A64" s="32" t="n"/>
      <c r="B64" s="33">
        <f>IF(A64="","",Commercial_Id)</f>
        <v/>
      </c>
      <c r="C64" s="34">
        <f>IF(A64="","",YEAR(A64-WEEKDAY(A64,2)+4)&amp;"-S"&amp;TEXT(INT((A64-DATE(YEAR(A64-WEEKDAY(A64,2)+4),1,3)+WEEKDAY(DATE(YEAR(A64-WEEKDAY(A64,2)+4),1,3),2)+5)/7),"00"))</f>
        <v/>
      </c>
      <c r="D64" s="39">
        <f>IF(A64="","",COUNTIFS(VC_date,"&gt;="&amp;A64,VC_date,"&lt;="&amp;A64+6,VC_commercial,B64,VC_type,"Visite sur place"))</f>
        <v/>
      </c>
      <c r="E64" s="39">
        <f>IF(A64="","",COUNTIFS(Cl_vente1,"&gt;="&amp;A64,Cl_vente1,"&lt;="&amp;A64+6,Cl_commercial,B64))</f>
        <v/>
      </c>
      <c r="F64" s="40">
        <f>IF(A64="","",SUMIFS(Cmd_montant,Cmd_dateca,"&gt;="&amp;A64,Cmd_dateca,"&lt;="&amp;A64+6,Cmd_commercial,B64))</f>
        <v/>
      </c>
      <c r="G64" s="40">
        <f>IF(A64="","",SUMIFS(Enc_montant,Enc_date,"&gt;="&amp;A64,Enc_date,"&lt;="&amp;A64+6,Enc_commercial,B64))</f>
        <v/>
      </c>
      <c r="H64" s="36" t="n"/>
      <c r="I64" s="36" t="n"/>
      <c r="J64" s="36" t="n"/>
      <c r="K64" s="36" t="n"/>
      <c r="L64" s="36" t="n"/>
      <c r="M64" s="43" t="n"/>
      <c r="N64" s="36" t="n"/>
    </row>
    <row r="65" ht="18" customHeight="1">
      <c r="A65" s="32" t="n"/>
      <c r="B65" s="33">
        <f>IF(A65="","",Commercial_Id)</f>
        <v/>
      </c>
      <c r="C65" s="34">
        <f>IF(A65="","",YEAR(A65-WEEKDAY(A65,2)+4)&amp;"-S"&amp;TEXT(INT((A65-DATE(YEAR(A65-WEEKDAY(A65,2)+4),1,3)+WEEKDAY(DATE(YEAR(A65-WEEKDAY(A65,2)+4),1,3),2)+5)/7),"00"))</f>
        <v/>
      </c>
      <c r="D65" s="39">
        <f>IF(A65="","",COUNTIFS(VC_date,"&gt;="&amp;A65,VC_date,"&lt;="&amp;A65+6,VC_commercial,B65,VC_type,"Visite sur place"))</f>
        <v/>
      </c>
      <c r="E65" s="39">
        <f>IF(A65="","",COUNTIFS(Cl_vente1,"&gt;="&amp;A65,Cl_vente1,"&lt;="&amp;A65+6,Cl_commercial,B65))</f>
        <v/>
      </c>
      <c r="F65" s="40">
        <f>IF(A65="","",SUMIFS(Cmd_montant,Cmd_dateca,"&gt;="&amp;A65,Cmd_dateca,"&lt;="&amp;A65+6,Cmd_commercial,B65))</f>
        <v/>
      </c>
      <c r="G65" s="40">
        <f>IF(A65="","",SUMIFS(Enc_montant,Enc_date,"&gt;="&amp;A65,Enc_date,"&lt;="&amp;A65+6,Enc_commercial,B65))</f>
        <v/>
      </c>
      <c r="H65" s="36" t="n"/>
      <c r="I65" s="36" t="n"/>
      <c r="J65" s="36" t="n"/>
      <c r="K65" s="36" t="n"/>
      <c r="L65" s="36" t="n"/>
      <c r="M65" s="43" t="n"/>
      <c r="N65" s="36" t="n"/>
    </row>
    <row r="66" ht="18" customHeight="1">
      <c r="A66" s="32" t="n"/>
      <c r="B66" s="33">
        <f>IF(A66="","",Commercial_Id)</f>
        <v/>
      </c>
      <c r="C66" s="34">
        <f>IF(A66="","",YEAR(A66-WEEKDAY(A66,2)+4)&amp;"-S"&amp;TEXT(INT((A66-DATE(YEAR(A66-WEEKDAY(A66,2)+4),1,3)+WEEKDAY(DATE(YEAR(A66-WEEKDAY(A66,2)+4),1,3),2)+5)/7),"00"))</f>
        <v/>
      </c>
      <c r="D66" s="39">
        <f>IF(A66="","",COUNTIFS(VC_date,"&gt;="&amp;A66,VC_date,"&lt;="&amp;A66+6,VC_commercial,B66,VC_type,"Visite sur place"))</f>
        <v/>
      </c>
      <c r="E66" s="39">
        <f>IF(A66="","",COUNTIFS(Cl_vente1,"&gt;="&amp;A66,Cl_vente1,"&lt;="&amp;A66+6,Cl_commercial,B66))</f>
        <v/>
      </c>
      <c r="F66" s="40">
        <f>IF(A66="","",SUMIFS(Cmd_montant,Cmd_dateca,"&gt;="&amp;A66,Cmd_dateca,"&lt;="&amp;A66+6,Cmd_commercial,B66))</f>
        <v/>
      </c>
      <c r="G66" s="40">
        <f>IF(A66="","",SUMIFS(Enc_montant,Enc_date,"&gt;="&amp;A66,Enc_date,"&lt;="&amp;A66+6,Enc_commercial,B66))</f>
        <v/>
      </c>
      <c r="H66" s="36" t="n"/>
      <c r="I66" s="36" t="n"/>
      <c r="J66" s="36" t="n"/>
      <c r="K66" s="36" t="n"/>
      <c r="L66" s="36" t="n"/>
      <c r="M66" s="43" t="n"/>
      <c r="N66" s="36" t="n"/>
    </row>
    <row r="67" ht="18" customHeight="1">
      <c r="A67" s="32" t="n"/>
      <c r="B67" s="33">
        <f>IF(A67="","",Commercial_Id)</f>
        <v/>
      </c>
      <c r="C67" s="34">
        <f>IF(A67="","",YEAR(A67-WEEKDAY(A67,2)+4)&amp;"-S"&amp;TEXT(INT((A67-DATE(YEAR(A67-WEEKDAY(A67,2)+4),1,3)+WEEKDAY(DATE(YEAR(A67-WEEKDAY(A67,2)+4),1,3),2)+5)/7),"00"))</f>
        <v/>
      </c>
      <c r="D67" s="39">
        <f>IF(A67="","",COUNTIFS(VC_date,"&gt;="&amp;A67,VC_date,"&lt;="&amp;A67+6,VC_commercial,B67,VC_type,"Visite sur place"))</f>
        <v/>
      </c>
      <c r="E67" s="39">
        <f>IF(A67="","",COUNTIFS(Cl_vente1,"&gt;="&amp;A67,Cl_vente1,"&lt;="&amp;A67+6,Cl_commercial,B67))</f>
        <v/>
      </c>
      <c r="F67" s="40">
        <f>IF(A67="","",SUMIFS(Cmd_montant,Cmd_dateca,"&gt;="&amp;A67,Cmd_dateca,"&lt;="&amp;A67+6,Cmd_commercial,B67))</f>
        <v/>
      </c>
      <c r="G67" s="40">
        <f>IF(A67="","",SUMIFS(Enc_montant,Enc_date,"&gt;="&amp;A67,Enc_date,"&lt;="&amp;A67+6,Enc_commercial,B67))</f>
        <v/>
      </c>
      <c r="H67" s="36" t="n"/>
      <c r="I67" s="36" t="n"/>
      <c r="J67" s="36" t="n"/>
      <c r="K67" s="36" t="n"/>
      <c r="L67" s="36" t="n"/>
      <c r="M67" s="43" t="n"/>
      <c r="N67" s="36" t="n"/>
    </row>
    <row r="68" ht="18" customHeight="1">
      <c r="A68" s="32" t="n"/>
      <c r="B68" s="33">
        <f>IF(A68="","",Commercial_Id)</f>
        <v/>
      </c>
      <c r="C68" s="34">
        <f>IF(A68="","",YEAR(A68-WEEKDAY(A68,2)+4)&amp;"-S"&amp;TEXT(INT((A68-DATE(YEAR(A68-WEEKDAY(A68,2)+4),1,3)+WEEKDAY(DATE(YEAR(A68-WEEKDAY(A68,2)+4),1,3),2)+5)/7),"00"))</f>
        <v/>
      </c>
      <c r="D68" s="39">
        <f>IF(A68="","",COUNTIFS(VC_date,"&gt;="&amp;A68,VC_date,"&lt;="&amp;A68+6,VC_commercial,B68,VC_type,"Visite sur place"))</f>
        <v/>
      </c>
      <c r="E68" s="39">
        <f>IF(A68="","",COUNTIFS(Cl_vente1,"&gt;="&amp;A68,Cl_vente1,"&lt;="&amp;A68+6,Cl_commercial,B68))</f>
        <v/>
      </c>
      <c r="F68" s="40">
        <f>IF(A68="","",SUMIFS(Cmd_montant,Cmd_dateca,"&gt;="&amp;A68,Cmd_dateca,"&lt;="&amp;A68+6,Cmd_commercial,B68))</f>
        <v/>
      </c>
      <c r="G68" s="40">
        <f>IF(A68="","",SUMIFS(Enc_montant,Enc_date,"&gt;="&amp;A68,Enc_date,"&lt;="&amp;A68+6,Enc_commercial,B68))</f>
        <v/>
      </c>
      <c r="H68" s="36" t="n"/>
      <c r="I68" s="36" t="n"/>
      <c r="J68" s="36" t="n"/>
      <c r="K68" s="36" t="n"/>
      <c r="L68" s="36" t="n"/>
      <c r="M68" s="43" t="n"/>
      <c r="N68" s="36" t="n"/>
    </row>
    <row r="69" ht="18" customHeight="1">
      <c r="A69" s="32" t="n"/>
      <c r="B69" s="33">
        <f>IF(A69="","",Commercial_Id)</f>
        <v/>
      </c>
      <c r="C69" s="34">
        <f>IF(A69="","",YEAR(A69-WEEKDAY(A69,2)+4)&amp;"-S"&amp;TEXT(INT((A69-DATE(YEAR(A69-WEEKDAY(A69,2)+4),1,3)+WEEKDAY(DATE(YEAR(A69-WEEKDAY(A69,2)+4),1,3),2)+5)/7),"00"))</f>
        <v/>
      </c>
      <c r="D69" s="39">
        <f>IF(A69="","",COUNTIFS(VC_date,"&gt;="&amp;A69,VC_date,"&lt;="&amp;A69+6,VC_commercial,B69,VC_type,"Visite sur place"))</f>
        <v/>
      </c>
      <c r="E69" s="39">
        <f>IF(A69="","",COUNTIFS(Cl_vente1,"&gt;="&amp;A69,Cl_vente1,"&lt;="&amp;A69+6,Cl_commercial,B69))</f>
        <v/>
      </c>
      <c r="F69" s="40">
        <f>IF(A69="","",SUMIFS(Cmd_montant,Cmd_dateca,"&gt;="&amp;A69,Cmd_dateca,"&lt;="&amp;A69+6,Cmd_commercial,B69))</f>
        <v/>
      </c>
      <c r="G69" s="40">
        <f>IF(A69="","",SUMIFS(Enc_montant,Enc_date,"&gt;="&amp;A69,Enc_date,"&lt;="&amp;A69+6,Enc_commercial,B69))</f>
        <v/>
      </c>
      <c r="H69" s="36" t="n"/>
      <c r="I69" s="36" t="n"/>
      <c r="J69" s="36" t="n"/>
      <c r="K69" s="36" t="n"/>
      <c r="L69" s="36" t="n"/>
      <c r="M69" s="43" t="n"/>
      <c r="N69" s="36" t="n"/>
    </row>
    <row r="70" ht="18" customHeight="1">
      <c r="A70" s="32" t="n"/>
      <c r="B70" s="33">
        <f>IF(A70="","",Commercial_Id)</f>
        <v/>
      </c>
      <c r="C70" s="34">
        <f>IF(A70="","",YEAR(A70-WEEKDAY(A70,2)+4)&amp;"-S"&amp;TEXT(INT((A70-DATE(YEAR(A70-WEEKDAY(A70,2)+4),1,3)+WEEKDAY(DATE(YEAR(A70-WEEKDAY(A70,2)+4),1,3),2)+5)/7),"00"))</f>
        <v/>
      </c>
      <c r="D70" s="39">
        <f>IF(A70="","",COUNTIFS(VC_date,"&gt;="&amp;A70,VC_date,"&lt;="&amp;A70+6,VC_commercial,B70,VC_type,"Visite sur place"))</f>
        <v/>
      </c>
      <c r="E70" s="39">
        <f>IF(A70="","",COUNTIFS(Cl_vente1,"&gt;="&amp;A70,Cl_vente1,"&lt;="&amp;A70+6,Cl_commercial,B70))</f>
        <v/>
      </c>
      <c r="F70" s="40">
        <f>IF(A70="","",SUMIFS(Cmd_montant,Cmd_dateca,"&gt;="&amp;A70,Cmd_dateca,"&lt;="&amp;A70+6,Cmd_commercial,B70))</f>
        <v/>
      </c>
      <c r="G70" s="40">
        <f>IF(A70="","",SUMIFS(Enc_montant,Enc_date,"&gt;="&amp;A70,Enc_date,"&lt;="&amp;A70+6,Enc_commercial,B70))</f>
        <v/>
      </c>
      <c r="H70" s="36" t="n"/>
      <c r="I70" s="36" t="n"/>
      <c r="J70" s="36" t="n"/>
      <c r="K70" s="36" t="n"/>
      <c r="L70" s="36" t="n"/>
      <c r="M70" s="43" t="n"/>
      <c r="N70" s="36" t="n"/>
    </row>
    <row r="71" ht="18" customHeight="1">
      <c r="A71" s="32" t="n"/>
      <c r="B71" s="33">
        <f>IF(A71="","",Commercial_Id)</f>
        <v/>
      </c>
      <c r="C71" s="34">
        <f>IF(A71="","",YEAR(A71-WEEKDAY(A71,2)+4)&amp;"-S"&amp;TEXT(INT((A71-DATE(YEAR(A71-WEEKDAY(A71,2)+4),1,3)+WEEKDAY(DATE(YEAR(A71-WEEKDAY(A71,2)+4),1,3),2)+5)/7),"00"))</f>
        <v/>
      </c>
      <c r="D71" s="39">
        <f>IF(A71="","",COUNTIFS(VC_date,"&gt;="&amp;A71,VC_date,"&lt;="&amp;A71+6,VC_commercial,B71,VC_type,"Visite sur place"))</f>
        <v/>
      </c>
      <c r="E71" s="39">
        <f>IF(A71="","",COUNTIFS(Cl_vente1,"&gt;="&amp;A71,Cl_vente1,"&lt;="&amp;A71+6,Cl_commercial,B71))</f>
        <v/>
      </c>
      <c r="F71" s="40">
        <f>IF(A71="","",SUMIFS(Cmd_montant,Cmd_dateca,"&gt;="&amp;A71,Cmd_dateca,"&lt;="&amp;A71+6,Cmd_commercial,B71))</f>
        <v/>
      </c>
      <c r="G71" s="40">
        <f>IF(A71="","",SUMIFS(Enc_montant,Enc_date,"&gt;="&amp;A71,Enc_date,"&lt;="&amp;A71+6,Enc_commercial,B71))</f>
        <v/>
      </c>
      <c r="H71" s="36" t="n"/>
      <c r="I71" s="36" t="n"/>
      <c r="J71" s="36" t="n"/>
      <c r="K71" s="36" t="n"/>
      <c r="L71" s="36" t="n"/>
      <c r="M71" s="43" t="n"/>
      <c r="N71" s="36" t="n"/>
    </row>
    <row r="72" ht="18" customHeight="1">
      <c r="A72" s="32" t="n"/>
      <c r="B72" s="33">
        <f>IF(A72="","",Commercial_Id)</f>
        <v/>
      </c>
      <c r="C72" s="34">
        <f>IF(A72="","",YEAR(A72-WEEKDAY(A72,2)+4)&amp;"-S"&amp;TEXT(INT((A72-DATE(YEAR(A72-WEEKDAY(A72,2)+4),1,3)+WEEKDAY(DATE(YEAR(A72-WEEKDAY(A72,2)+4),1,3),2)+5)/7),"00"))</f>
        <v/>
      </c>
      <c r="D72" s="39">
        <f>IF(A72="","",COUNTIFS(VC_date,"&gt;="&amp;A72,VC_date,"&lt;="&amp;A72+6,VC_commercial,B72,VC_type,"Visite sur place"))</f>
        <v/>
      </c>
      <c r="E72" s="39">
        <f>IF(A72="","",COUNTIFS(Cl_vente1,"&gt;="&amp;A72,Cl_vente1,"&lt;="&amp;A72+6,Cl_commercial,B72))</f>
        <v/>
      </c>
      <c r="F72" s="40">
        <f>IF(A72="","",SUMIFS(Cmd_montant,Cmd_dateca,"&gt;="&amp;A72,Cmd_dateca,"&lt;="&amp;A72+6,Cmd_commercial,B72))</f>
        <v/>
      </c>
      <c r="G72" s="40">
        <f>IF(A72="","",SUMIFS(Enc_montant,Enc_date,"&gt;="&amp;A72,Enc_date,"&lt;="&amp;A72+6,Enc_commercial,B72))</f>
        <v/>
      </c>
      <c r="H72" s="36" t="n"/>
      <c r="I72" s="36" t="n"/>
      <c r="J72" s="36" t="n"/>
      <c r="K72" s="36" t="n"/>
      <c r="L72" s="36" t="n"/>
      <c r="M72" s="43" t="n"/>
      <c r="N72" s="36" t="n"/>
    </row>
    <row r="73" ht="18" customHeight="1">
      <c r="A73" s="32" t="n"/>
      <c r="B73" s="33">
        <f>IF(A73="","",Commercial_Id)</f>
        <v/>
      </c>
      <c r="C73" s="34">
        <f>IF(A73="","",YEAR(A73-WEEKDAY(A73,2)+4)&amp;"-S"&amp;TEXT(INT((A73-DATE(YEAR(A73-WEEKDAY(A73,2)+4),1,3)+WEEKDAY(DATE(YEAR(A73-WEEKDAY(A73,2)+4),1,3),2)+5)/7),"00"))</f>
        <v/>
      </c>
      <c r="D73" s="39">
        <f>IF(A73="","",COUNTIFS(VC_date,"&gt;="&amp;A73,VC_date,"&lt;="&amp;A73+6,VC_commercial,B73,VC_type,"Visite sur place"))</f>
        <v/>
      </c>
      <c r="E73" s="39">
        <f>IF(A73="","",COUNTIFS(Cl_vente1,"&gt;="&amp;A73,Cl_vente1,"&lt;="&amp;A73+6,Cl_commercial,B73))</f>
        <v/>
      </c>
      <c r="F73" s="40">
        <f>IF(A73="","",SUMIFS(Cmd_montant,Cmd_dateca,"&gt;="&amp;A73,Cmd_dateca,"&lt;="&amp;A73+6,Cmd_commercial,B73))</f>
        <v/>
      </c>
      <c r="G73" s="40">
        <f>IF(A73="","",SUMIFS(Enc_montant,Enc_date,"&gt;="&amp;A73,Enc_date,"&lt;="&amp;A73+6,Enc_commercial,B73))</f>
        <v/>
      </c>
      <c r="H73" s="36" t="n"/>
      <c r="I73" s="36" t="n"/>
      <c r="J73" s="36" t="n"/>
      <c r="K73" s="36" t="n"/>
      <c r="L73" s="36" t="n"/>
      <c r="M73" s="43" t="n"/>
      <c r="N73" s="36" t="n"/>
    </row>
    <row r="74" ht="18" customHeight="1">
      <c r="A74" s="32" t="n"/>
      <c r="B74" s="33">
        <f>IF(A74="","",Commercial_Id)</f>
        <v/>
      </c>
      <c r="C74" s="34">
        <f>IF(A74="","",YEAR(A74-WEEKDAY(A74,2)+4)&amp;"-S"&amp;TEXT(INT((A74-DATE(YEAR(A74-WEEKDAY(A74,2)+4),1,3)+WEEKDAY(DATE(YEAR(A74-WEEKDAY(A74,2)+4),1,3),2)+5)/7),"00"))</f>
        <v/>
      </c>
      <c r="D74" s="39">
        <f>IF(A74="","",COUNTIFS(VC_date,"&gt;="&amp;A74,VC_date,"&lt;="&amp;A74+6,VC_commercial,B74,VC_type,"Visite sur place"))</f>
        <v/>
      </c>
      <c r="E74" s="39">
        <f>IF(A74="","",COUNTIFS(Cl_vente1,"&gt;="&amp;A74,Cl_vente1,"&lt;="&amp;A74+6,Cl_commercial,B74))</f>
        <v/>
      </c>
      <c r="F74" s="40">
        <f>IF(A74="","",SUMIFS(Cmd_montant,Cmd_dateca,"&gt;="&amp;A74,Cmd_dateca,"&lt;="&amp;A74+6,Cmd_commercial,B74))</f>
        <v/>
      </c>
      <c r="G74" s="40">
        <f>IF(A74="","",SUMIFS(Enc_montant,Enc_date,"&gt;="&amp;A74,Enc_date,"&lt;="&amp;A74+6,Enc_commercial,B74))</f>
        <v/>
      </c>
      <c r="H74" s="36" t="n"/>
      <c r="I74" s="36" t="n"/>
      <c r="J74" s="36" t="n"/>
      <c r="K74" s="36" t="n"/>
      <c r="L74" s="36" t="n"/>
      <c r="M74" s="43" t="n"/>
      <c r="N74" s="36" t="n"/>
    </row>
    <row r="75" ht="18" customHeight="1">
      <c r="A75" s="32" t="n"/>
      <c r="B75" s="33">
        <f>IF(A75="","",Commercial_Id)</f>
        <v/>
      </c>
      <c r="C75" s="34">
        <f>IF(A75="","",YEAR(A75-WEEKDAY(A75,2)+4)&amp;"-S"&amp;TEXT(INT((A75-DATE(YEAR(A75-WEEKDAY(A75,2)+4),1,3)+WEEKDAY(DATE(YEAR(A75-WEEKDAY(A75,2)+4),1,3),2)+5)/7),"00"))</f>
        <v/>
      </c>
      <c r="D75" s="39">
        <f>IF(A75="","",COUNTIFS(VC_date,"&gt;="&amp;A75,VC_date,"&lt;="&amp;A75+6,VC_commercial,B75,VC_type,"Visite sur place"))</f>
        <v/>
      </c>
      <c r="E75" s="39">
        <f>IF(A75="","",COUNTIFS(Cl_vente1,"&gt;="&amp;A75,Cl_vente1,"&lt;="&amp;A75+6,Cl_commercial,B75))</f>
        <v/>
      </c>
      <c r="F75" s="40">
        <f>IF(A75="","",SUMIFS(Cmd_montant,Cmd_dateca,"&gt;="&amp;A75,Cmd_dateca,"&lt;="&amp;A75+6,Cmd_commercial,B75))</f>
        <v/>
      </c>
      <c r="G75" s="40">
        <f>IF(A75="","",SUMIFS(Enc_montant,Enc_date,"&gt;="&amp;A75,Enc_date,"&lt;="&amp;A75+6,Enc_commercial,B75))</f>
        <v/>
      </c>
      <c r="H75" s="36" t="n"/>
      <c r="I75" s="36" t="n"/>
      <c r="J75" s="36" t="n"/>
      <c r="K75" s="36" t="n"/>
      <c r="L75" s="36" t="n"/>
      <c r="M75" s="43" t="n"/>
      <c r="N75" s="36" t="n"/>
    </row>
    <row r="76" ht="18" customHeight="1">
      <c r="A76" s="32" t="n"/>
      <c r="B76" s="33">
        <f>IF(A76="","",Commercial_Id)</f>
        <v/>
      </c>
      <c r="C76" s="34">
        <f>IF(A76="","",YEAR(A76-WEEKDAY(A76,2)+4)&amp;"-S"&amp;TEXT(INT((A76-DATE(YEAR(A76-WEEKDAY(A76,2)+4),1,3)+WEEKDAY(DATE(YEAR(A76-WEEKDAY(A76,2)+4),1,3),2)+5)/7),"00"))</f>
        <v/>
      </c>
      <c r="D76" s="39">
        <f>IF(A76="","",COUNTIFS(VC_date,"&gt;="&amp;A76,VC_date,"&lt;="&amp;A76+6,VC_commercial,B76,VC_type,"Visite sur place"))</f>
        <v/>
      </c>
      <c r="E76" s="39">
        <f>IF(A76="","",COUNTIFS(Cl_vente1,"&gt;="&amp;A76,Cl_vente1,"&lt;="&amp;A76+6,Cl_commercial,B76))</f>
        <v/>
      </c>
      <c r="F76" s="40">
        <f>IF(A76="","",SUMIFS(Cmd_montant,Cmd_dateca,"&gt;="&amp;A76,Cmd_dateca,"&lt;="&amp;A76+6,Cmd_commercial,B76))</f>
        <v/>
      </c>
      <c r="G76" s="40">
        <f>IF(A76="","",SUMIFS(Enc_montant,Enc_date,"&gt;="&amp;A76,Enc_date,"&lt;="&amp;A76+6,Enc_commercial,B76))</f>
        <v/>
      </c>
      <c r="H76" s="36" t="n"/>
      <c r="I76" s="36" t="n"/>
      <c r="J76" s="36" t="n"/>
      <c r="K76" s="36" t="n"/>
      <c r="L76" s="36" t="n"/>
      <c r="M76" s="43" t="n"/>
      <c r="N76" s="36" t="n"/>
    </row>
    <row r="77" ht="18" customHeight="1">
      <c r="A77" s="32" t="n"/>
      <c r="B77" s="33">
        <f>IF(A77="","",Commercial_Id)</f>
        <v/>
      </c>
      <c r="C77" s="34">
        <f>IF(A77="","",YEAR(A77-WEEKDAY(A77,2)+4)&amp;"-S"&amp;TEXT(INT((A77-DATE(YEAR(A77-WEEKDAY(A77,2)+4),1,3)+WEEKDAY(DATE(YEAR(A77-WEEKDAY(A77,2)+4),1,3),2)+5)/7),"00"))</f>
        <v/>
      </c>
      <c r="D77" s="39">
        <f>IF(A77="","",COUNTIFS(VC_date,"&gt;="&amp;A77,VC_date,"&lt;="&amp;A77+6,VC_commercial,B77,VC_type,"Visite sur place"))</f>
        <v/>
      </c>
      <c r="E77" s="39">
        <f>IF(A77="","",COUNTIFS(Cl_vente1,"&gt;="&amp;A77,Cl_vente1,"&lt;="&amp;A77+6,Cl_commercial,B77))</f>
        <v/>
      </c>
      <c r="F77" s="40">
        <f>IF(A77="","",SUMIFS(Cmd_montant,Cmd_dateca,"&gt;="&amp;A77,Cmd_dateca,"&lt;="&amp;A77+6,Cmd_commercial,B77))</f>
        <v/>
      </c>
      <c r="G77" s="40">
        <f>IF(A77="","",SUMIFS(Enc_montant,Enc_date,"&gt;="&amp;A77,Enc_date,"&lt;="&amp;A77+6,Enc_commercial,B77))</f>
        <v/>
      </c>
      <c r="H77" s="36" t="n"/>
      <c r="I77" s="36" t="n"/>
      <c r="J77" s="36" t="n"/>
      <c r="K77" s="36" t="n"/>
      <c r="L77" s="36" t="n"/>
      <c r="M77" s="43" t="n"/>
      <c r="N77" s="36" t="n"/>
    </row>
    <row r="78" ht="18" customHeight="1">
      <c r="A78" s="32" t="n"/>
      <c r="B78" s="33">
        <f>IF(A78="","",Commercial_Id)</f>
        <v/>
      </c>
      <c r="C78" s="34">
        <f>IF(A78="","",YEAR(A78-WEEKDAY(A78,2)+4)&amp;"-S"&amp;TEXT(INT((A78-DATE(YEAR(A78-WEEKDAY(A78,2)+4),1,3)+WEEKDAY(DATE(YEAR(A78-WEEKDAY(A78,2)+4),1,3),2)+5)/7),"00"))</f>
        <v/>
      </c>
      <c r="D78" s="39">
        <f>IF(A78="","",COUNTIFS(VC_date,"&gt;="&amp;A78,VC_date,"&lt;="&amp;A78+6,VC_commercial,B78,VC_type,"Visite sur place"))</f>
        <v/>
      </c>
      <c r="E78" s="39">
        <f>IF(A78="","",COUNTIFS(Cl_vente1,"&gt;="&amp;A78,Cl_vente1,"&lt;="&amp;A78+6,Cl_commercial,B78))</f>
        <v/>
      </c>
      <c r="F78" s="40">
        <f>IF(A78="","",SUMIFS(Cmd_montant,Cmd_dateca,"&gt;="&amp;A78,Cmd_dateca,"&lt;="&amp;A78+6,Cmd_commercial,B78))</f>
        <v/>
      </c>
      <c r="G78" s="40">
        <f>IF(A78="","",SUMIFS(Enc_montant,Enc_date,"&gt;="&amp;A78,Enc_date,"&lt;="&amp;A78+6,Enc_commercial,B78))</f>
        <v/>
      </c>
      <c r="H78" s="36" t="n"/>
      <c r="I78" s="36" t="n"/>
      <c r="J78" s="36" t="n"/>
      <c r="K78" s="36" t="n"/>
      <c r="L78" s="36" t="n"/>
      <c r="M78" s="43" t="n"/>
      <c r="N78" s="36" t="n"/>
    </row>
    <row r="79" ht="18" customHeight="1">
      <c r="A79" s="32" t="n"/>
      <c r="B79" s="33">
        <f>IF(A79="","",Commercial_Id)</f>
        <v/>
      </c>
      <c r="C79" s="34">
        <f>IF(A79="","",YEAR(A79-WEEKDAY(A79,2)+4)&amp;"-S"&amp;TEXT(INT((A79-DATE(YEAR(A79-WEEKDAY(A79,2)+4),1,3)+WEEKDAY(DATE(YEAR(A79-WEEKDAY(A79,2)+4),1,3),2)+5)/7),"00"))</f>
        <v/>
      </c>
      <c r="D79" s="39">
        <f>IF(A79="","",COUNTIFS(VC_date,"&gt;="&amp;A79,VC_date,"&lt;="&amp;A79+6,VC_commercial,B79,VC_type,"Visite sur place"))</f>
        <v/>
      </c>
      <c r="E79" s="39">
        <f>IF(A79="","",COUNTIFS(Cl_vente1,"&gt;="&amp;A79,Cl_vente1,"&lt;="&amp;A79+6,Cl_commercial,B79))</f>
        <v/>
      </c>
      <c r="F79" s="40">
        <f>IF(A79="","",SUMIFS(Cmd_montant,Cmd_dateca,"&gt;="&amp;A79,Cmd_dateca,"&lt;="&amp;A79+6,Cmd_commercial,B79))</f>
        <v/>
      </c>
      <c r="G79" s="40">
        <f>IF(A79="","",SUMIFS(Enc_montant,Enc_date,"&gt;="&amp;A79,Enc_date,"&lt;="&amp;A79+6,Enc_commercial,B79))</f>
        <v/>
      </c>
      <c r="H79" s="36" t="n"/>
      <c r="I79" s="36" t="n"/>
      <c r="J79" s="36" t="n"/>
      <c r="K79" s="36" t="n"/>
      <c r="L79" s="36" t="n"/>
      <c r="M79" s="43" t="n"/>
      <c r="N79" s="36" t="n"/>
    </row>
    <row r="80" ht="18" customHeight="1">
      <c r="A80" s="32" t="n"/>
      <c r="B80" s="33">
        <f>IF(A80="","",Commercial_Id)</f>
        <v/>
      </c>
      <c r="C80" s="34">
        <f>IF(A80="","",YEAR(A80-WEEKDAY(A80,2)+4)&amp;"-S"&amp;TEXT(INT((A80-DATE(YEAR(A80-WEEKDAY(A80,2)+4),1,3)+WEEKDAY(DATE(YEAR(A80-WEEKDAY(A80,2)+4),1,3),2)+5)/7),"00"))</f>
        <v/>
      </c>
      <c r="D80" s="39">
        <f>IF(A80="","",COUNTIFS(VC_date,"&gt;="&amp;A80,VC_date,"&lt;="&amp;A80+6,VC_commercial,B80,VC_type,"Visite sur place"))</f>
        <v/>
      </c>
      <c r="E80" s="39">
        <f>IF(A80="","",COUNTIFS(Cl_vente1,"&gt;="&amp;A80,Cl_vente1,"&lt;="&amp;A80+6,Cl_commercial,B80))</f>
        <v/>
      </c>
      <c r="F80" s="40">
        <f>IF(A80="","",SUMIFS(Cmd_montant,Cmd_dateca,"&gt;="&amp;A80,Cmd_dateca,"&lt;="&amp;A80+6,Cmd_commercial,B80))</f>
        <v/>
      </c>
      <c r="G80" s="40">
        <f>IF(A80="","",SUMIFS(Enc_montant,Enc_date,"&gt;="&amp;A80,Enc_date,"&lt;="&amp;A80+6,Enc_commercial,B80))</f>
        <v/>
      </c>
      <c r="H80" s="36" t="n"/>
      <c r="I80" s="36" t="n"/>
      <c r="J80" s="36" t="n"/>
      <c r="K80" s="36" t="n"/>
      <c r="L80" s="36" t="n"/>
      <c r="M80" s="43" t="n"/>
      <c r="N80" s="36" t="n"/>
    </row>
    <row r="81" ht="18" customHeight="1">
      <c r="A81" s="32" t="n"/>
      <c r="B81" s="33">
        <f>IF(A81="","",Commercial_Id)</f>
        <v/>
      </c>
      <c r="C81" s="34">
        <f>IF(A81="","",YEAR(A81-WEEKDAY(A81,2)+4)&amp;"-S"&amp;TEXT(INT((A81-DATE(YEAR(A81-WEEKDAY(A81,2)+4),1,3)+WEEKDAY(DATE(YEAR(A81-WEEKDAY(A81,2)+4),1,3),2)+5)/7),"00"))</f>
        <v/>
      </c>
      <c r="D81" s="39">
        <f>IF(A81="","",COUNTIFS(VC_date,"&gt;="&amp;A81,VC_date,"&lt;="&amp;A81+6,VC_commercial,B81,VC_type,"Visite sur place"))</f>
        <v/>
      </c>
      <c r="E81" s="39">
        <f>IF(A81="","",COUNTIFS(Cl_vente1,"&gt;="&amp;A81,Cl_vente1,"&lt;="&amp;A81+6,Cl_commercial,B81))</f>
        <v/>
      </c>
      <c r="F81" s="40">
        <f>IF(A81="","",SUMIFS(Cmd_montant,Cmd_dateca,"&gt;="&amp;A81,Cmd_dateca,"&lt;="&amp;A81+6,Cmd_commercial,B81))</f>
        <v/>
      </c>
      <c r="G81" s="40">
        <f>IF(A81="","",SUMIFS(Enc_montant,Enc_date,"&gt;="&amp;A81,Enc_date,"&lt;="&amp;A81+6,Enc_commercial,B81))</f>
        <v/>
      </c>
      <c r="H81" s="36" t="n"/>
      <c r="I81" s="36" t="n"/>
      <c r="J81" s="36" t="n"/>
      <c r="K81" s="36" t="n"/>
      <c r="L81" s="36" t="n"/>
      <c r="M81" s="43" t="n"/>
      <c r="N81" s="36" t="n"/>
    </row>
    <row r="82" ht="18" customHeight="1">
      <c r="A82" s="32" t="n"/>
      <c r="B82" s="33">
        <f>IF(A82="","",Commercial_Id)</f>
        <v/>
      </c>
      <c r="C82" s="34">
        <f>IF(A82="","",YEAR(A82-WEEKDAY(A82,2)+4)&amp;"-S"&amp;TEXT(INT((A82-DATE(YEAR(A82-WEEKDAY(A82,2)+4),1,3)+WEEKDAY(DATE(YEAR(A82-WEEKDAY(A82,2)+4),1,3),2)+5)/7),"00"))</f>
        <v/>
      </c>
      <c r="D82" s="39">
        <f>IF(A82="","",COUNTIFS(VC_date,"&gt;="&amp;A82,VC_date,"&lt;="&amp;A82+6,VC_commercial,B82,VC_type,"Visite sur place"))</f>
        <v/>
      </c>
      <c r="E82" s="39">
        <f>IF(A82="","",COUNTIFS(Cl_vente1,"&gt;="&amp;A82,Cl_vente1,"&lt;="&amp;A82+6,Cl_commercial,B82))</f>
        <v/>
      </c>
      <c r="F82" s="40">
        <f>IF(A82="","",SUMIFS(Cmd_montant,Cmd_dateca,"&gt;="&amp;A82,Cmd_dateca,"&lt;="&amp;A82+6,Cmd_commercial,B82))</f>
        <v/>
      </c>
      <c r="G82" s="40">
        <f>IF(A82="","",SUMIFS(Enc_montant,Enc_date,"&gt;="&amp;A82,Enc_date,"&lt;="&amp;A82+6,Enc_commercial,B82))</f>
        <v/>
      </c>
      <c r="H82" s="36" t="n"/>
      <c r="I82" s="36" t="n"/>
      <c r="J82" s="36" t="n"/>
      <c r="K82" s="36" t="n"/>
      <c r="L82" s="36" t="n"/>
      <c r="M82" s="43" t="n"/>
      <c r="N82" s="36" t="n"/>
    </row>
    <row r="83" ht="18" customHeight="1">
      <c r="A83" s="32" t="n"/>
      <c r="B83" s="33">
        <f>IF(A83="","",Commercial_Id)</f>
        <v/>
      </c>
      <c r="C83" s="34">
        <f>IF(A83="","",YEAR(A83-WEEKDAY(A83,2)+4)&amp;"-S"&amp;TEXT(INT((A83-DATE(YEAR(A83-WEEKDAY(A83,2)+4),1,3)+WEEKDAY(DATE(YEAR(A83-WEEKDAY(A83,2)+4),1,3),2)+5)/7),"00"))</f>
        <v/>
      </c>
      <c r="D83" s="39">
        <f>IF(A83="","",COUNTIFS(VC_date,"&gt;="&amp;A83,VC_date,"&lt;="&amp;A83+6,VC_commercial,B83,VC_type,"Visite sur place"))</f>
        <v/>
      </c>
      <c r="E83" s="39">
        <f>IF(A83="","",COUNTIFS(Cl_vente1,"&gt;="&amp;A83,Cl_vente1,"&lt;="&amp;A83+6,Cl_commercial,B83))</f>
        <v/>
      </c>
      <c r="F83" s="40">
        <f>IF(A83="","",SUMIFS(Cmd_montant,Cmd_dateca,"&gt;="&amp;A83,Cmd_dateca,"&lt;="&amp;A83+6,Cmd_commercial,B83))</f>
        <v/>
      </c>
      <c r="G83" s="40">
        <f>IF(A83="","",SUMIFS(Enc_montant,Enc_date,"&gt;="&amp;A83,Enc_date,"&lt;="&amp;A83+6,Enc_commercial,B83))</f>
        <v/>
      </c>
      <c r="H83" s="36" t="n"/>
      <c r="I83" s="36" t="n"/>
      <c r="J83" s="36" t="n"/>
      <c r="K83" s="36" t="n"/>
      <c r="L83" s="36" t="n"/>
      <c r="M83" s="43" t="n"/>
      <c r="N83" s="36" t="n"/>
    </row>
    <row r="84" ht="18" customHeight="1">
      <c r="A84" s="32" t="n"/>
      <c r="B84" s="33">
        <f>IF(A84="","",Commercial_Id)</f>
        <v/>
      </c>
      <c r="C84" s="34">
        <f>IF(A84="","",YEAR(A84-WEEKDAY(A84,2)+4)&amp;"-S"&amp;TEXT(INT((A84-DATE(YEAR(A84-WEEKDAY(A84,2)+4),1,3)+WEEKDAY(DATE(YEAR(A84-WEEKDAY(A84,2)+4),1,3),2)+5)/7),"00"))</f>
        <v/>
      </c>
      <c r="D84" s="39">
        <f>IF(A84="","",COUNTIFS(VC_date,"&gt;="&amp;A84,VC_date,"&lt;="&amp;A84+6,VC_commercial,B84,VC_type,"Visite sur place"))</f>
        <v/>
      </c>
      <c r="E84" s="39">
        <f>IF(A84="","",COUNTIFS(Cl_vente1,"&gt;="&amp;A84,Cl_vente1,"&lt;="&amp;A84+6,Cl_commercial,B84))</f>
        <v/>
      </c>
      <c r="F84" s="40">
        <f>IF(A84="","",SUMIFS(Cmd_montant,Cmd_dateca,"&gt;="&amp;A84,Cmd_dateca,"&lt;="&amp;A84+6,Cmd_commercial,B84))</f>
        <v/>
      </c>
      <c r="G84" s="40">
        <f>IF(A84="","",SUMIFS(Enc_montant,Enc_date,"&gt;="&amp;A84,Enc_date,"&lt;="&amp;A84+6,Enc_commercial,B84))</f>
        <v/>
      </c>
      <c r="H84" s="36" t="n"/>
      <c r="I84" s="36" t="n"/>
      <c r="J84" s="36" t="n"/>
      <c r="K84" s="36" t="n"/>
      <c r="L84" s="36" t="n"/>
      <c r="M84" s="43" t="n"/>
      <c r="N84" s="36" t="n"/>
    </row>
    <row r="85" ht="18" customHeight="1">
      <c r="A85" s="32" t="n"/>
      <c r="B85" s="33">
        <f>IF(A85="","",Commercial_Id)</f>
        <v/>
      </c>
      <c r="C85" s="34">
        <f>IF(A85="","",YEAR(A85-WEEKDAY(A85,2)+4)&amp;"-S"&amp;TEXT(INT((A85-DATE(YEAR(A85-WEEKDAY(A85,2)+4),1,3)+WEEKDAY(DATE(YEAR(A85-WEEKDAY(A85,2)+4),1,3),2)+5)/7),"00"))</f>
        <v/>
      </c>
      <c r="D85" s="39">
        <f>IF(A85="","",COUNTIFS(VC_date,"&gt;="&amp;A85,VC_date,"&lt;="&amp;A85+6,VC_commercial,B85,VC_type,"Visite sur place"))</f>
        <v/>
      </c>
      <c r="E85" s="39">
        <f>IF(A85="","",COUNTIFS(Cl_vente1,"&gt;="&amp;A85,Cl_vente1,"&lt;="&amp;A85+6,Cl_commercial,B85))</f>
        <v/>
      </c>
      <c r="F85" s="40">
        <f>IF(A85="","",SUMIFS(Cmd_montant,Cmd_dateca,"&gt;="&amp;A85,Cmd_dateca,"&lt;="&amp;A85+6,Cmd_commercial,B85))</f>
        <v/>
      </c>
      <c r="G85" s="40">
        <f>IF(A85="","",SUMIFS(Enc_montant,Enc_date,"&gt;="&amp;A85,Enc_date,"&lt;="&amp;A85+6,Enc_commercial,B85))</f>
        <v/>
      </c>
      <c r="H85" s="36" t="n"/>
      <c r="I85" s="36" t="n"/>
      <c r="J85" s="36" t="n"/>
      <c r="K85" s="36" t="n"/>
      <c r="L85" s="36" t="n"/>
      <c r="M85" s="43" t="n"/>
      <c r="N85" s="36" t="n"/>
    </row>
  </sheetData>
  <autoFilter ref="A5:N85"/>
  <mergeCells count="1">
    <mergeCell ref="A3:B3"/>
  </mergeCells>
  <conditionalFormatting sqref="A6:A85">
    <cfRule type="expression" priority="1" dxfId="0">
      <formula>AND(COUNTA($A6:$A6,$H6:$N6)&gt;0,A6="")</formula>
    </cfRule>
    <cfRule type="expression" priority="2" dxfId="0">
      <formula>AND(A6&lt;&gt;"",NOT(ISNUMBER(A6)))</formula>
    </cfRule>
  </conditionalFormatting>
  <dataValidations count="2">
    <dataValidation sqref="A6:A85" showDropDown="0" showInputMessage="0" showErrorMessage="1" allowBlank="1" errorTitle="Valeur hors liste" error="Choisissez le lundi de la semaine dans la liste. Cliquez sur OK pour la garder telle quelle." type="list" errorStyle="information">
      <formula1>=L_LundisPasses</formula1>
    </dataValidation>
    <dataValidation sqref="M6:M85" showDropDown="0" showInputMessage="0" showErrorMessage="1" allowBlank="1" errorTitle="Valeur hors liste" error="Cette valeur n'est pas dans la liste. Choisissez-la avec la flèche à droite de la cellule." type="list" errorStyle="stop">
      <formula1>=L_OuiNon</formula1>
    </dataValidation>
  </dataValidations>
  <hyperlinks>
    <hyperlink xmlns:r="http://schemas.openxmlformats.org/officeDocument/2006/relationships" ref="A3" r:id="rId1"/>
  </hyperlinks>
  <printOptions gridLines="0"/>
  <pageMargins left="0.4" right="0.4" top="0.5" bottom="0.5" header="0.5" footer="0.5"/>
  <pageSetup orientation="landscape" paperSize="9" fitToHeight="0" fitToWidth="1"/>
</worksheet>
</file>

<file path=xl/worksheets/sheet12.xml><?xml version="1.0" encoding="utf-8"?>
<worksheet xmlns="http://schemas.openxmlformats.org/spreadsheetml/2006/main">
  <sheetPr>
    <tabColor rgb="007A4FA3"/>
    <outlinePr summaryBelow="1" summaryRight="1"/>
    <pageSetUpPr fitToPage="1"/>
  </sheetPr>
  <dimension ref="A1:K63"/>
  <sheetViews>
    <sheetView showGridLines="0" tabSelected="0" zoomScale="90" workbookViewId="0">
      <selection activeCell="A1" sqref="A1"/>
    </sheetView>
  </sheetViews>
  <sheetFormatPr baseColWidth="8" defaultRowHeight="15"/>
  <cols>
    <col width="38" customWidth="1" min="1" max="1"/>
    <col width="16" customWidth="1" min="2" max="2"/>
    <col width="18" customWidth="1" min="3" max="3"/>
    <col width="30" customWidth="1" min="4" max="4"/>
    <col width="16" customWidth="1" min="5" max="5"/>
    <col width="16" customWidth="1" min="6" max="6"/>
    <col width="16" customWidth="1" min="7" max="7"/>
    <col width="16" customWidth="1" min="8" max="8"/>
    <col hidden="1" width="13" customWidth="1" min="10" max="10"/>
    <col hidden="1" width="13" customWidth="1" min="11" max="11"/>
  </cols>
  <sheetData>
    <row r="1" ht="26" customHeight="1">
      <c r="A1" s="15" t="inlineStr">
        <is>
          <t>FICHE CLIENT — recherche et historique</t>
        </is>
      </c>
    </row>
    <row r="2">
      <c r="A2" s="2" t="inlineStr">
        <is>
          <t>Tapez quelques lettres du nom, du téléphone, du quartier ou du type (cellule jaune) : les clients trouvés s'affichent. Choisissez-en un, sa fiche et son historique apparaissent.</t>
        </is>
      </c>
    </row>
    <row r="3">
      <c r="A3" s="16" t="inlineStr">
        <is>
          <t>◄ Sommaire</t>
        </is>
      </c>
    </row>
    <row r="4">
      <c r="A4" s="52" t="inlineStr">
        <is>
          <t>Rechercher</t>
        </is>
      </c>
      <c r="B4" s="53" t="n"/>
      <c r="C4" s="54" t="n"/>
      <c r="D4" s="55" t="n"/>
      <c r="E4" s="52" t="inlineStr">
        <is>
          <t>Commercial</t>
        </is>
      </c>
      <c r="F4" s="53">
        <f>Commercial_Id</f>
        <v/>
      </c>
      <c r="K4">
        <f>SUMPRODUCT((Cl_commercial=$F$4)*(Cl_nom&lt;&gt;"")*ISNUMBER(SEARCH($B$4,Cl_nom&amp;" "&amp;Cl_tel&amp;" "&amp;Cl_quartier&amp;" "&amp;Cl_type)))</f>
        <v/>
      </c>
    </row>
    <row r="5">
      <c r="A5" s="52" t="inlineStr">
        <is>
          <t>Client à afficher (liste des résultats)</t>
        </is>
      </c>
      <c r="B5" s="53" t="n"/>
      <c r="C5" s="54" t="n"/>
      <c r="D5" s="55" t="n"/>
      <c r="E5" s="56" t="inlineStr">
        <is>
          <t>Vide = le premier résultat</t>
        </is>
      </c>
      <c r="F5" s="11" t="n"/>
      <c r="G5" s="11" t="n"/>
      <c r="H5" s="12" t="n"/>
      <c r="K5">
        <f>IF($B$5="",IF(COUNT($J$9:$J$23)=0,0,$J$9-5),IFERROR(MATCH(1,INDEX((Cl_label=$B$5)*(Cl_commercial=$F$4),0),0),0))</f>
        <v/>
      </c>
    </row>
    <row r="7" ht="22" customHeight="1">
      <c r="A7" s="3" t="inlineStr">
        <is>
          <t>RÉSULTATS DE LA RECHERCHE (15 premiers)</t>
        </is>
      </c>
      <c r="B7" s="4" t="n"/>
      <c r="C7" s="4" t="n"/>
      <c r="D7" s="4" t="n"/>
      <c r="E7" s="4" t="n"/>
      <c r="F7" s="4" t="n"/>
      <c r="G7" s="4" t="n"/>
      <c r="H7" s="4" t="n"/>
      <c r="K7" t="inlineStr">
        <is>
          <t>Nb de clients trouvés</t>
        </is>
      </c>
    </row>
    <row r="8" ht="32" customHeight="1">
      <c r="A8" s="7" t="inlineStr">
        <is>
          <t>Client</t>
        </is>
      </c>
      <c r="B8" s="7" t="inlineStr">
        <is>
          <t>Quartier</t>
        </is>
      </c>
      <c r="C8" s="7" t="inlineStr">
        <is>
          <t>Téléphone</t>
        </is>
      </c>
      <c r="D8" s="7" t="inlineStr">
        <is>
          <t>Type</t>
        </is>
      </c>
      <c r="E8" s="7" t="inlineStr">
        <is>
          <t>Statut</t>
        </is>
      </c>
      <c r="F8" s="7" t="inlineStr">
        <is>
          <t>CA cumulé (XAF)</t>
        </is>
      </c>
      <c r="G8" s="7" t="inlineStr">
        <is>
          <t>Reste dû (XAF)</t>
        </is>
      </c>
      <c r="H8" s="7" t="inlineStr">
        <is>
          <t>Dernier contact</t>
        </is>
      </c>
    </row>
    <row r="9">
      <c r="A9" s="57">
        <f>IF($J9="","",INDEX(Cl_label,$J9-5))</f>
        <v/>
      </c>
      <c r="B9" s="57">
        <f>IF($J9="","",INDEX(Cl_quartier,$J9-5)&amp;"")</f>
        <v/>
      </c>
      <c r="C9" s="57">
        <f>IF($J9="","",INDEX(Cl_tel,$J9-5)&amp;"")</f>
        <v/>
      </c>
      <c r="D9" s="57">
        <f>IF($J9="","",INDEX(Cl_type,$J9-5)&amp;"")</f>
        <v/>
      </c>
      <c r="E9" s="58">
        <f>IF($J9="","",INDEX(Cl_statut,$J9-5)&amp;"")</f>
        <v/>
      </c>
      <c r="F9" s="59">
        <f>IF($J9="","",INDEX(Cl_ca,$J9-5))</f>
        <v/>
      </c>
      <c r="G9" s="59">
        <f>IF($J9="","",INDEX(Cl_reste,$J9-5))</f>
        <v/>
      </c>
      <c r="H9" s="60">
        <f>IF($J9="","",INDEX(Cl_dernier,$J9-5))</f>
        <v/>
      </c>
      <c r="J9">
        <f>IF(1&gt;$K$4,"",SMALL(INDEX(ROW(Cl_nom)+(1-(Cl_commercial=$F$4)*(Cl_nom&lt;&gt;"")*ISNUMBER(SEARCH($B$4,Cl_nom&amp;" "&amp;Cl_tel&amp;" "&amp;Cl_quartier&amp;" "&amp;Cl_type)))*1000000000,0),1))</f>
        <v/>
      </c>
    </row>
    <row r="10">
      <c r="A10" s="57">
        <f>IF($J10="","",INDEX(Cl_label,$J10-5))</f>
        <v/>
      </c>
      <c r="B10" s="57">
        <f>IF($J10="","",INDEX(Cl_quartier,$J10-5)&amp;"")</f>
        <v/>
      </c>
      <c r="C10" s="57">
        <f>IF($J10="","",INDEX(Cl_tel,$J10-5)&amp;"")</f>
        <v/>
      </c>
      <c r="D10" s="57">
        <f>IF($J10="","",INDEX(Cl_type,$J10-5)&amp;"")</f>
        <v/>
      </c>
      <c r="E10" s="58">
        <f>IF($J10="","",INDEX(Cl_statut,$J10-5)&amp;"")</f>
        <v/>
      </c>
      <c r="F10" s="59">
        <f>IF($J10="","",INDEX(Cl_ca,$J10-5))</f>
        <v/>
      </c>
      <c r="G10" s="59">
        <f>IF($J10="","",INDEX(Cl_reste,$J10-5))</f>
        <v/>
      </c>
      <c r="H10" s="60">
        <f>IF($J10="","",INDEX(Cl_dernier,$J10-5))</f>
        <v/>
      </c>
      <c r="J10">
        <f>IF(2&gt;$K$4,"",SMALL(INDEX(ROW(Cl_nom)+(1-(Cl_commercial=$F$4)*(Cl_nom&lt;&gt;"")*ISNUMBER(SEARCH($B$4,Cl_nom&amp;" "&amp;Cl_tel&amp;" "&amp;Cl_quartier&amp;" "&amp;Cl_type)))*1000000000,0),2))</f>
        <v/>
      </c>
    </row>
    <row r="11">
      <c r="A11" s="57">
        <f>IF($J11="","",INDEX(Cl_label,$J11-5))</f>
        <v/>
      </c>
      <c r="B11" s="57">
        <f>IF($J11="","",INDEX(Cl_quartier,$J11-5)&amp;"")</f>
        <v/>
      </c>
      <c r="C11" s="57">
        <f>IF($J11="","",INDEX(Cl_tel,$J11-5)&amp;"")</f>
        <v/>
      </c>
      <c r="D11" s="57">
        <f>IF($J11="","",INDEX(Cl_type,$J11-5)&amp;"")</f>
        <v/>
      </c>
      <c r="E11" s="58">
        <f>IF($J11="","",INDEX(Cl_statut,$J11-5)&amp;"")</f>
        <v/>
      </c>
      <c r="F11" s="59">
        <f>IF($J11="","",INDEX(Cl_ca,$J11-5))</f>
        <v/>
      </c>
      <c r="G11" s="59">
        <f>IF($J11="","",INDEX(Cl_reste,$J11-5))</f>
        <v/>
      </c>
      <c r="H11" s="60">
        <f>IF($J11="","",INDEX(Cl_dernier,$J11-5))</f>
        <v/>
      </c>
      <c r="J11">
        <f>IF(3&gt;$K$4,"",SMALL(INDEX(ROW(Cl_nom)+(1-(Cl_commercial=$F$4)*(Cl_nom&lt;&gt;"")*ISNUMBER(SEARCH($B$4,Cl_nom&amp;" "&amp;Cl_tel&amp;" "&amp;Cl_quartier&amp;" "&amp;Cl_type)))*1000000000,0),3))</f>
        <v/>
      </c>
    </row>
    <row r="12">
      <c r="A12" s="57">
        <f>IF($J12="","",INDEX(Cl_label,$J12-5))</f>
        <v/>
      </c>
      <c r="B12" s="57">
        <f>IF($J12="","",INDEX(Cl_quartier,$J12-5)&amp;"")</f>
        <v/>
      </c>
      <c r="C12" s="57">
        <f>IF($J12="","",INDEX(Cl_tel,$J12-5)&amp;"")</f>
        <v/>
      </c>
      <c r="D12" s="57">
        <f>IF($J12="","",INDEX(Cl_type,$J12-5)&amp;"")</f>
        <v/>
      </c>
      <c r="E12" s="58">
        <f>IF($J12="","",INDEX(Cl_statut,$J12-5)&amp;"")</f>
        <v/>
      </c>
      <c r="F12" s="59">
        <f>IF($J12="","",INDEX(Cl_ca,$J12-5))</f>
        <v/>
      </c>
      <c r="G12" s="59">
        <f>IF($J12="","",INDEX(Cl_reste,$J12-5))</f>
        <v/>
      </c>
      <c r="H12" s="60">
        <f>IF($J12="","",INDEX(Cl_dernier,$J12-5))</f>
        <v/>
      </c>
      <c r="J12">
        <f>IF(4&gt;$K$4,"",SMALL(INDEX(ROW(Cl_nom)+(1-(Cl_commercial=$F$4)*(Cl_nom&lt;&gt;"")*ISNUMBER(SEARCH($B$4,Cl_nom&amp;" "&amp;Cl_tel&amp;" "&amp;Cl_quartier&amp;" "&amp;Cl_type)))*1000000000,0),4))</f>
        <v/>
      </c>
    </row>
    <row r="13">
      <c r="A13" s="57">
        <f>IF($J13="","",INDEX(Cl_label,$J13-5))</f>
        <v/>
      </c>
      <c r="B13" s="57">
        <f>IF($J13="","",INDEX(Cl_quartier,$J13-5)&amp;"")</f>
        <v/>
      </c>
      <c r="C13" s="57">
        <f>IF($J13="","",INDEX(Cl_tel,$J13-5)&amp;"")</f>
        <v/>
      </c>
      <c r="D13" s="57">
        <f>IF($J13="","",INDEX(Cl_type,$J13-5)&amp;"")</f>
        <v/>
      </c>
      <c r="E13" s="58">
        <f>IF($J13="","",INDEX(Cl_statut,$J13-5)&amp;"")</f>
        <v/>
      </c>
      <c r="F13" s="59">
        <f>IF($J13="","",INDEX(Cl_ca,$J13-5))</f>
        <v/>
      </c>
      <c r="G13" s="59">
        <f>IF($J13="","",INDEX(Cl_reste,$J13-5))</f>
        <v/>
      </c>
      <c r="H13" s="60">
        <f>IF($J13="","",INDEX(Cl_dernier,$J13-5))</f>
        <v/>
      </c>
      <c r="J13">
        <f>IF(5&gt;$K$4,"",SMALL(INDEX(ROW(Cl_nom)+(1-(Cl_commercial=$F$4)*(Cl_nom&lt;&gt;"")*ISNUMBER(SEARCH($B$4,Cl_nom&amp;" "&amp;Cl_tel&amp;" "&amp;Cl_quartier&amp;" "&amp;Cl_type)))*1000000000,0),5))</f>
        <v/>
      </c>
    </row>
    <row r="14">
      <c r="A14" s="57">
        <f>IF($J14="","",INDEX(Cl_label,$J14-5))</f>
        <v/>
      </c>
      <c r="B14" s="57">
        <f>IF($J14="","",INDEX(Cl_quartier,$J14-5)&amp;"")</f>
        <v/>
      </c>
      <c r="C14" s="57">
        <f>IF($J14="","",INDEX(Cl_tel,$J14-5)&amp;"")</f>
        <v/>
      </c>
      <c r="D14" s="57">
        <f>IF($J14="","",INDEX(Cl_type,$J14-5)&amp;"")</f>
        <v/>
      </c>
      <c r="E14" s="58">
        <f>IF($J14="","",INDEX(Cl_statut,$J14-5)&amp;"")</f>
        <v/>
      </c>
      <c r="F14" s="59">
        <f>IF($J14="","",INDEX(Cl_ca,$J14-5))</f>
        <v/>
      </c>
      <c r="G14" s="59">
        <f>IF($J14="","",INDEX(Cl_reste,$J14-5))</f>
        <v/>
      </c>
      <c r="H14" s="60">
        <f>IF($J14="","",INDEX(Cl_dernier,$J14-5))</f>
        <v/>
      </c>
      <c r="J14">
        <f>IF(6&gt;$K$4,"",SMALL(INDEX(ROW(Cl_nom)+(1-(Cl_commercial=$F$4)*(Cl_nom&lt;&gt;"")*ISNUMBER(SEARCH($B$4,Cl_nom&amp;" "&amp;Cl_tel&amp;" "&amp;Cl_quartier&amp;" "&amp;Cl_type)))*1000000000,0),6))</f>
        <v/>
      </c>
    </row>
    <row r="15">
      <c r="A15" s="57">
        <f>IF($J15="","",INDEX(Cl_label,$J15-5))</f>
        <v/>
      </c>
      <c r="B15" s="57">
        <f>IF($J15="","",INDEX(Cl_quartier,$J15-5)&amp;"")</f>
        <v/>
      </c>
      <c r="C15" s="57">
        <f>IF($J15="","",INDEX(Cl_tel,$J15-5)&amp;"")</f>
        <v/>
      </c>
      <c r="D15" s="57">
        <f>IF($J15="","",INDEX(Cl_type,$J15-5)&amp;"")</f>
        <v/>
      </c>
      <c r="E15" s="58">
        <f>IF($J15="","",INDEX(Cl_statut,$J15-5)&amp;"")</f>
        <v/>
      </c>
      <c r="F15" s="59">
        <f>IF($J15="","",INDEX(Cl_ca,$J15-5))</f>
        <v/>
      </c>
      <c r="G15" s="59">
        <f>IF($J15="","",INDEX(Cl_reste,$J15-5))</f>
        <v/>
      </c>
      <c r="H15" s="60">
        <f>IF($J15="","",INDEX(Cl_dernier,$J15-5))</f>
        <v/>
      </c>
      <c r="J15">
        <f>IF(7&gt;$K$4,"",SMALL(INDEX(ROW(Cl_nom)+(1-(Cl_commercial=$F$4)*(Cl_nom&lt;&gt;"")*ISNUMBER(SEARCH($B$4,Cl_nom&amp;" "&amp;Cl_tel&amp;" "&amp;Cl_quartier&amp;" "&amp;Cl_type)))*1000000000,0),7))</f>
        <v/>
      </c>
    </row>
    <row r="16">
      <c r="A16" s="57">
        <f>IF($J16="","",INDEX(Cl_label,$J16-5))</f>
        <v/>
      </c>
      <c r="B16" s="57">
        <f>IF($J16="","",INDEX(Cl_quartier,$J16-5)&amp;"")</f>
        <v/>
      </c>
      <c r="C16" s="57">
        <f>IF($J16="","",INDEX(Cl_tel,$J16-5)&amp;"")</f>
        <v/>
      </c>
      <c r="D16" s="57">
        <f>IF($J16="","",INDEX(Cl_type,$J16-5)&amp;"")</f>
        <v/>
      </c>
      <c r="E16" s="58">
        <f>IF($J16="","",INDEX(Cl_statut,$J16-5)&amp;"")</f>
        <v/>
      </c>
      <c r="F16" s="59">
        <f>IF($J16="","",INDEX(Cl_ca,$J16-5))</f>
        <v/>
      </c>
      <c r="G16" s="59">
        <f>IF($J16="","",INDEX(Cl_reste,$J16-5))</f>
        <v/>
      </c>
      <c r="H16" s="60">
        <f>IF($J16="","",INDEX(Cl_dernier,$J16-5))</f>
        <v/>
      </c>
      <c r="J16">
        <f>IF(8&gt;$K$4,"",SMALL(INDEX(ROW(Cl_nom)+(1-(Cl_commercial=$F$4)*(Cl_nom&lt;&gt;"")*ISNUMBER(SEARCH($B$4,Cl_nom&amp;" "&amp;Cl_tel&amp;" "&amp;Cl_quartier&amp;" "&amp;Cl_type)))*1000000000,0),8))</f>
        <v/>
      </c>
    </row>
    <row r="17">
      <c r="A17" s="57">
        <f>IF($J17="","",INDEX(Cl_label,$J17-5))</f>
        <v/>
      </c>
      <c r="B17" s="57">
        <f>IF($J17="","",INDEX(Cl_quartier,$J17-5)&amp;"")</f>
        <v/>
      </c>
      <c r="C17" s="57">
        <f>IF($J17="","",INDEX(Cl_tel,$J17-5)&amp;"")</f>
        <v/>
      </c>
      <c r="D17" s="57">
        <f>IF($J17="","",INDEX(Cl_type,$J17-5)&amp;"")</f>
        <v/>
      </c>
      <c r="E17" s="58">
        <f>IF($J17="","",INDEX(Cl_statut,$J17-5)&amp;"")</f>
        <v/>
      </c>
      <c r="F17" s="59">
        <f>IF($J17="","",INDEX(Cl_ca,$J17-5))</f>
        <v/>
      </c>
      <c r="G17" s="59">
        <f>IF($J17="","",INDEX(Cl_reste,$J17-5))</f>
        <v/>
      </c>
      <c r="H17" s="60">
        <f>IF($J17="","",INDEX(Cl_dernier,$J17-5))</f>
        <v/>
      </c>
      <c r="J17">
        <f>IF(9&gt;$K$4,"",SMALL(INDEX(ROW(Cl_nom)+(1-(Cl_commercial=$F$4)*(Cl_nom&lt;&gt;"")*ISNUMBER(SEARCH($B$4,Cl_nom&amp;" "&amp;Cl_tel&amp;" "&amp;Cl_quartier&amp;" "&amp;Cl_type)))*1000000000,0),9))</f>
        <v/>
      </c>
    </row>
    <row r="18">
      <c r="A18" s="57">
        <f>IF($J18="","",INDEX(Cl_label,$J18-5))</f>
        <v/>
      </c>
      <c r="B18" s="57">
        <f>IF($J18="","",INDEX(Cl_quartier,$J18-5)&amp;"")</f>
        <v/>
      </c>
      <c r="C18" s="57">
        <f>IF($J18="","",INDEX(Cl_tel,$J18-5)&amp;"")</f>
        <v/>
      </c>
      <c r="D18" s="57">
        <f>IF($J18="","",INDEX(Cl_type,$J18-5)&amp;"")</f>
        <v/>
      </c>
      <c r="E18" s="58">
        <f>IF($J18="","",INDEX(Cl_statut,$J18-5)&amp;"")</f>
        <v/>
      </c>
      <c r="F18" s="59">
        <f>IF($J18="","",INDEX(Cl_ca,$J18-5))</f>
        <v/>
      </c>
      <c r="G18" s="59">
        <f>IF($J18="","",INDEX(Cl_reste,$J18-5))</f>
        <v/>
      </c>
      <c r="H18" s="60">
        <f>IF($J18="","",INDEX(Cl_dernier,$J18-5))</f>
        <v/>
      </c>
      <c r="J18">
        <f>IF(10&gt;$K$4,"",SMALL(INDEX(ROW(Cl_nom)+(1-(Cl_commercial=$F$4)*(Cl_nom&lt;&gt;"")*ISNUMBER(SEARCH($B$4,Cl_nom&amp;" "&amp;Cl_tel&amp;" "&amp;Cl_quartier&amp;" "&amp;Cl_type)))*1000000000,0),10))</f>
        <v/>
      </c>
    </row>
    <row r="19">
      <c r="A19" s="57">
        <f>IF($J19="","",INDEX(Cl_label,$J19-5))</f>
        <v/>
      </c>
      <c r="B19" s="57">
        <f>IF($J19="","",INDEX(Cl_quartier,$J19-5)&amp;"")</f>
        <v/>
      </c>
      <c r="C19" s="57">
        <f>IF($J19="","",INDEX(Cl_tel,$J19-5)&amp;"")</f>
        <v/>
      </c>
      <c r="D19" s="57">
        <f>IF($J19="","",INDEX(Cl_type,$J19-5)&amp;"")</f>
        <v/>
      </c>
      <c r="E19" s="58">
        <f>IF($J19="","",INDEX(Cl_statut,$J19-5)&amp;"")</f>
        <v/>
      </c>
      <c r="F19" s="59">
        <f>IF($J19="","",INDEX(Cl_ca,$J19-5))</f>
        <v/>
      </c>
      <c r="G19" s="59">
        <f>IF($J19="","",INDEX(Cl_reste,$J19-5))</f>
        <v/>
      </c>
      <c r="H19" s="60">
        <f>IF($J19="","",INDEX(Cl_dernier,$J19-5))</f>
        <v/>
      </c>
      <c r="J19">
        <f>IF(11&gt;$K$4,"",SMALL(INDEX(ROW(Cl_nom)+(1-(Cl_commercial=$F$4)*(Cl_nom&lt;&gt;"")*ISNUMBER(SEARCH($B$4,Cl_nom&amp;" "&amp;Cl_tel&amp;" "&amp;Cl_quartier&amp;" "&amp;Cl_type)))*1000000000,0),11))</f>
        <v/>
      </c>
    </row>
    <row r="20">
      <c r="A20" s="57">
        <f>IF($J20="","",INDEX(Cl_label,$J20-5))</f>
        <v/>
      </c>
      <c r="B20" s="57">
        <f>IF($J20="","",INDEX(Cl_quartier,$J20-5)&amp;"")</f>
        <v/>
      </c>
      <c r="C20" s="57">
        <f>IF($J20="","",INDEX(Cl_tel,$J20-5)&amp;"")</f>
        <v/>
      </c>
      <c r="D20" s="57">
        <f>IF($J20="","",INDEX(Cl_type,$J20-5)&amp;"")</f>
        <v/>
      </c>
      <c r="E20" s="58">
        <f>IF($J20="","",INDEX(Cl_statut,$J20-5)&amp;"")</f>
        <v/>
      </c>
      <c r="F20" s="59">
        <f>IF($J20="","",INDEX(Cl_ca,$J20-5))</f>
        <v/>
      </c>
      <c r="G20" s="59">
        <f>IF($J20="","",INDEX(Cl_reste,$J20-5))</f>
        <v/>
      </c>
      <c r="H20" s="60">
        <f>IF($J20="","",INDEX(Cl_dernier,$J20-5))</f>
        <v/>
      </c>
      <c r="J20">
        <f>IF(12&gt;$K$4,"",SMALL(INDEX(ROW(Cl_nom)+(1-(Cl_commercial=$F$4)*(Cl_nom&lt;&gt;"")*ISNUMBER(SEARCH($B$4,Cl_nom&amp;" "&amp;Cl_tel&amp;" "&amp;Cl_quartier&amp;" "&amp;Cl_type)))*1000000000,0),12))</f>
        <v/>
      </c>
    </row>
    <row r="21">
      <c r="A21" s="57">
        <f>IF($J21="","",INDEX(Cl_label,$J21-5))</f>
        <v/>
      </c>
      <c r="B21" s="57">
        <f>IF($J21="","",INDEX(Cl_quartier,$J21-5)&amp;"")</f>
        <v/>
      </c>
      <c r="C21" s="57">
        <f>IF($J21="","",INDEX(Cl_tel,$J21-5)&amp;"")</f>
        <v/>
      </c>
      <c r="D21" s="57">
        <f>IF($J21="","",INDEX(Cl_type,$J21-5)&amp;"")</f>
        <v/>
      </c>
      <c r="E21" s="58">
        <f>IF($J21="","",INDEX(Cl_statut,$J21-5)&amp;"")</f>
        <v/>
      </c>
      <c r="F21" s="59">
        <f>IF($J21="","",INDEX(Cl_ca,$J21-5))</f>
        <v/>
      </c>
      <c r="G21" s="59">
        <f>IF($J21="","",INDEX(Cl_reste,$J21-5))</f>
        <v/>
      </c>
      <c r="H21" s="60">
        <f>IF($J21="","",INDEX(Cl_dernier,$J21-5))</f>
        <v/>
      </c>
      <c r="J21">
        <f>IF(13&gt;$K$4,"",SMALL(INDEX(ROW(Cl_nom)+(1-(Cl_commercial=$F$4)*(Cl_nom&lt;&gt;"")*ISNUMBER(SEARCH($B$4,Cl_nom&amp;" "&amp;Cl_tel&amp;" "&amp;Cl_quartier&amp;" "&amp;Cl_type)))*1000000000,0),13))</f>
        <v/>
      </c>
    </row>
    <row r="22">
      <c r="A22" s="57">
        <f>IF($J22="","",INDEX(Cl_label,$J22-5))</f>
        <v/>
      </c>
      <c r="B22" s="57">
        <f>IF($J22="","",INDEX(Cl_quartier,$J22-5)&amp;"")</f>
        <v/>
      </c>
      <c r="C22" s="57">
        <f>IF($J22="","",INDEX(Cl_tel,$J22-5)&amp;"")</f>
        <v/>
      </c>
      <c r="D22" s="57">
        <f>IF($J22="","",INDEX(Cl_type,$J22-5)&amp;"")</f>
        <v/>
      </c>
      <c r="E22" s="58">
        <f>IF($J22="","",INDEX(Cl_statut,$J22-5)&amp;"")</f>
        <v/>
      </c>
      <c r="F22" s="59">
        <f>IF($J22="","",INDEX(Cl_ca,$J22-5))</f>
        <v/>
      </c>
      <c r="G22" s="59">
        <f>IF($J22="","",INDEX(Cl_reste,$J22-5))</f>
        <v/>
      </c>
      <c r="H22" s="60">
        <f>IF($J22="","",INDEX(Cl_dernier,$J22-5))</f>
        <v/>
      </c>
      <c r="J22">
        <f>IF(14&gt;$K$4,"",SMALL(INDEX(ROW(Cl_nom)+(1-(Cl_commercial=$F$4)*(Cl_nom&lt;&gt;"")*ISNUMBER(SEARCH($B$4,Cl_nom&amp;" "&amp;Cl_tel&amp;" "&amp;Cl_quartier&amp;" "&amp;Cl_type)))*1000000000,0),14))</f>
        <v/>
      </c>
    </row>
    <row r="23">
      <c r="A23" s="57">
        <f>IF($J23="","",INDEX(Cl_label,$J23-5))</f>
        <v/>
      </c>
      <c r="B23" s="57">
        <f>IF($J23="","",INDEX(Cl_quartier,$J23-5)&amp;"")</f>
        <v/>
      </c>
      <c r="C23" s="57">
        <f>IF($J23="","",INDEX(Cl_tel,$J23-5)&amp;"")</f>
        <v/>
      </c>
      <c r="D23" s="57">
        <f>IF($J23="","",INDEX(Cl_type,$J23-5)&amp;"")</f>
        <v/>
      </c>
      <c r="E23" s="58">
        <f>IF($J23="","",INDEX(Cl_statut,$J23-5)&amp;"")</f>
        <v/>
      </c>
      <c r="F23" s="59">
        <f>IF($J23="","",INDEX(Cl_ca,$J23-5))</f>
        <v/>
      </c>
      <c r="G23" s="59">
        <f>IF($J23="","",INDEX(Cl_reste,$J23-5))</f>
        <v/>
      </c>
      <c r="H23" s="60">
        <f>IF($J23="","",INDEX(Cl_dernier,$J23-5))</f>
        <v/>
      </c>
      <c r="J23">
        <f>IF(15&gt;$K$4,"",SMALL(INDEX(ROW(Cl_nom)+(1-(Cl_commercial=$F$4)*(Cl_nom&lt;&gt;"")*ISNUMBER(SEARCH($B$4,Cl_nom&amp;" "&amp;Cl_tel&amp;" "&amp;Cl_quartier&amp;" "&amp;Cl_type)))*1000000000,0),15))</f>
        <v/>
      </c>
    </row>
    <row r="25" ht="22" customHeight="1">
      <c r="A25" s="3" t="inlineStr">
        <is>
          <t>FICHE DU CLIENT</t>
        </is>
      </c>
      <c r="B25" s="4" t="n"/>
      <c r="C25" s="4" t="n"/>
      <c r="D25" s="4" t="n"/>
      <c r="E25" s="4" t="n"/>
      <c r="F25" s="4" t="n"/>
      <c r="G25" s="4" t="n"/>
      <c r="H25" s="4" t="n"/>
    </row>
    <row r="26">
      <c r="A26" s="61" t="inlineStr">
        <is>
          <t>Enseigne / nom</t>
        </is>
      </c>
      <c r="B26" s="62">
        <f>IF($K$5&lt;1,"",INDEX(Cl_nom,$K$5)&amp;"")</f>
        <v/>
      </c>
      <c r="C26" s="63" t="n"/>
      <c r="D26" s="61" t="inlineStr">
        <is>
          <t>CA cumulé (XAF)</t>
        </is>
      </c>
      <c r="E26" s="64">
        <f>IF($K$5&lt;1,"",INDEX(Cl_ca,$K$5))</f>
        <v/>
      </c>
      <c r="F26" s="63" t="n"/>
      <c r="G26" s="63" t="n"/>
      <c r="H26" s="63" t="n"/>
    </row>
    <row r="27">
      <c r="A27" s="61" t="inlineStr">
        <is>
          <t>Code client</t>
        </is>
      </c>
      <c r="B27" s="62">
        <f>IF($K$5&lt;1,"",INDEX(Cl_code,$K$5)&amp;"")</f>
        <v/>
      </c>
      <c r="C27" s="63" t="n"/>
      <c r="D27" s="61" t="inlineStr">
        <is>
          <t>Encaissé (XAF)</t>
        </is>
      </c>
      <c r="E27" s="64">
        <f>IF($K$5&lt;1,"",INDEX(Cl_encaisse,$K$5))</f>
        <v/>
      </c>
      <c r="F27" s="63" t="n"/>
      <c r="G27" s="63" t="n"/>
      <c r="H27" s="63" t="n"/>
    </row>
    <row r="28">
      <c r="A28" s="61" t="inlineStr">
        <is>
          <t>Statut (automatique)</t>
        </is>
      </c>
      <c r="B28" s="62">
        <f>IF($K$5&lt;1,"",INDEX(Cl_statut,$K$5)&amp;"")</f>
        <v/>
      </c>
      <c r="C28" s="63" t="n"/>
      <c r="D28" s="61" t="inlineStr">
        <is>
          <t>Reste à encaisser (XAF)</t>
        </is>
      </c>
      <c r="E28" s="64">
        <f>IF($K$5&lt;1,"",INDEX(Cl_reste,$K$5))</f>
        <v/>
      </c>
      <c r="F28" s="63" t="n"/>
      <c r="G28" s="63" t="n"/>
      <c r="H28" s="63" t="n"/>
    </row>
    <row r="29">
      <c r="A29" s="61" t="inlineStr">
        <is>
          <t>Type de client</t>
        </is>
      </c>
      <c r="B29" s="62">
        <f>IF($K$5&lt;1,"",INDEX(Cl_type,$K$5)&amp;"")</f>
        <v/>
      </c>
      <c r="C29" s="63" t="n"/>
      <c r="D29" s="61" t="inlineStr">
        <is>
          <t>Nombre de visites</t>
        </is>
      </c>
      <c r="E29" s="65">
        <f>IF($K$5&lt;1,"",INDEX(Cl_nbvisites,$K$5))</f>
        <v/>
      </c>
      <c r="F29" s="63" t="n"/>
      <c r="G29" s="63" t="n"/>
      <c r="H29" s="63" t="n"/>
    </row>
    <row r="30">
      <c r="A30" s="61" t="inlineStr">
        <is>
          <t>Interlocuteur</t>
        </is>
      </c>
      <c r="B30" s="62">
        <f>IF($K$5&lt;1,"",INDEX(Cl_interlocuteur,$K$5)&amp;"")</f>
        <v/>
      </c>
      <c r="C30" s="63" t="n"/>
      <c r="D30" s="61" t="inlineStr">
        <is>
          <t>Dernier contact</t>
        </is>
      </c>
      <c r="E30" s="66">
        <f>IF($K$5&lt;1,"",INDEX(Cl_dernier,$K$5))</f>
        <v/>
      </c>
      <c r="F30" s="63" t="n"/>
      <c r="G30" s="63" t="n"/>
      <c r="H30" s="63" t="n"/>
    </row>
    <row r="31">
      <c r="A31" s="61" t="inlineStr">
        <is>
          <t>Téléphone principal</t>
        </is>
      </c>
      <c r="B31" s="62">
        <f>IF($K$5&lt;1,"",INDEX(Cl_tel,$K$5)&amp;"")</f>
        <v/>
      </c>
      <c r="C31" s="63" t="n"/>
      <c r="D31" s="61" t="inlineStr">
        <is>
          <t>Dernier achat</t>
        </is>
      </c>
      <c r="E31" s="66">
        <f>IF($K$5&lt;1,"",INDEX(Cl_dernierevente,$K$5))</f>
        <v/>
      </c>
      <c r="F31" s="63" t="n"/>
      <c r="G31" s="63" t="n"/>
      <c r="H31" s="63" t="n"/>
    </row>
    <row r="32">
      <c r="A32" s="61" t="inlineStr">
        <is>
          <t>Téléphone 2 / WhatsApp</t>
        </is>
      </c>
      <c r="B32" s="62">
        <f>IF($K$5&lt;1,"",INDEX(Cl_tel2,$K$5)&amp;"")</f>
        <v/>
      </c>
      <c r="C32" s="63" t="n"/>
      <c r="D32" s="61" t="inlineStr">
        <is>
          <t>Prochaine action : date</t>
        </is>
      </c>
      <c r="E32" s="66">
        <f>IF($K$5&lt;1,"",INDEX(Cl_actiondate,$K$5))</f>
        <v/>
      </c>
      <c r="F32" s="63" t="n"/>
      <c r="G32" s="63" t="n"/>
      <c r="H32" s="63" t="n"/>
    </row>
    <row r="33">
      <c r="A33" s="61" t="inlineStr">
        <is>
          <t>Quartier / zone</t>
        </is>
      </c>
      <c r="B33" s="62">
        <f>IF($K$5&lt;1,"",INDEX(Cl_quartier,$K$5)&amp;"")</f>
        <v/>
      </c>
      <c r="C33" s="63" t="n"/>
      <c r="D33" s="61" t="inlineStr">
        <is>
          <t>Prochaine action : à faire</t>
        </is>
      </c>
      <c r="E33" s="62">
        <f>IF($K$5&lt;1,"",INDEX(Cl_actiontexte,$K$5)&amp;"")</f>
        <v/>
      </c>
      <c r="F33" s="63" t="n"/>
      <c r="G33" s="63" t="n"/>
      <c r="H33" s="63" t="n"/>
    </row>
    <row r="34">
      <c r="A34" s="61" t="inlineStr">
        <is>
          <t>Point de repère</t>
        </is>
      </c>
      <c r="B34" s="62">
        <f>IF($K$5&lt;1,"",INDEX(Cl_repere,$K$5)&amp;"")</f>
        <v/>
      </c>
      <c r="C34" s="63" t="n"/>
      <c r="D34" s="61" t="inlineStr">
        <is>
          <t>Alerte</t>
        </is>
      </c>
      <c r="E34" s="62">
        <f>IF($K$5&lt;1,"",INDEX(Cl_alerte,$K$5)&amp;"")</f>
        <v/>
      </c>
      <c r="F34" s="63" t="n"/>
      <c r="G34" s="63" t="n"/>
      <c r="H34" s="63" t="n"/>
    </row>
    <row r="35">
      <c r="A35" s="61" t="inlineStr">
        <is>
          <t>Produit principal / potentiel par jour</t>
        </is>
      </c>
      <c r="B35" s="62">
        <f>IF($K$5&lt;1,"",INDEX(Cl_produit,$K$5)&amp;IF(INDEX(Cl_potentiel,$K$5)="",""," · "&amp;INDEX(Cl_potentiel,$K$5)&amp;" "&amp;INDEX(Cl_unite,$K$5)&amp;" / jour"))</f>
        <v/>
      </c>
      <c r="C35" s="63" t="n"/>
      <c r="D35" s="61" t="inlineStr">
        <is>
          <t>Observations</t>
        </is>
      </c>
      <c r="E35" s="62">
        <f>IF($K$5&lt;1,"",INDEX(Cl_obs,$K$5)&amp;"")</f>
        <v/>
      </c>
      <c r="F35" s="63" t="n"/>
      <c r="G35" s="63" t="n"/>
      <c r="H35" s="63" t="n"/>
    </row>
    <row r="37" ht="22" customHeight="1">
      <c r="A37" s="3" t="inlineStr">
        <is>
          <t>DERNIÈRES VISITES ET CONTACTS (8)</t>
        </is>
      </c>
      <c r="B37" s="4" t="n"/>
      <c r="C37" s="4" t="n"/>
      <c r="D37" s="4" t="n"/>
      <c r="E37" s="4" t="n"/>
      <c r="F37" s="4" t="n"/>
      <c r="G37" s="4" t="n"/>
      <c r="H37" s="4" t="n"/>
    </row>
    <row r="38" ht="22" customHeight="1">
      <c r="A38" s="7" t="inlineStr">
        <is>
          <t>Objet → résultat</t>
        </is>
      </c>
      <c r="B38" s="7" t="inlineStr">
        <is>
          <t>Date</t>
        </is>
      </c>
      <c r="C38" s="7" t="inlineStr">
        <is>
          <t>Heure</t>
        </is>
      </c>
      <c r="D38" s="7" t="inlineStr">
        <is>
          <t>Type de contact</t>
        </is>
      </c>
      <c r="E38" s="7" t="inlineStr">
        <is>
          <t>Prochaine action</t>
        </is>
      </c>
      <c r="F38" s="12" t="n"/>
      <c r="G38" s="7" t="inlineStr">
        <is>
          <t>Notes</t>
        </is>
      </c>
      <c r="H38" s="12" t="n"/>
    </row>
    <row r="39">
      <c r="A39" s="57">
        <f>IF($J39="","",INDEX(VC_objet,$J39-5)&amp;IF(INDEX(VC_resultat,$J39-5)="",""," → "&amp;INDEX(VC_resultat,$J39-5)))</f>
        <v/>
      </c>
      <c r="B39" s="60">
        <f>IF($J39="","",INDEX(VC_date,$J39-5))</f>
        <v/>
      </c>
      <c r="C39" s="67">
        <f>IF($J39="","",IF(INDEX(VC_heure,$J39-5)="","",INDEX(VC_heure,$J39-5)))</f>
        <v/>
      </c>
      <c r="D39" s="57">
        <f>IF($J39="","",INDEX(VC_type,$J39-5)&amp;"")</f>
        <v/>
      </c>
      <c r="E39" s="57">
        <f>IF($J39="","",IF(INDEX(VC_actiondate,$J39-5)="","",TEXT(INDEX(VC_actiondate,$J39-5),"dd/mm/yyyy")&amp;" : ")&amp;INDEX(VC_actiontexte,$J39-5))</f>
        <v/>
      </c>
      <c r="F39" s="63" t="n"/>
      <c r="G39" s="57">
        <f>IF($J39="","",INDEX(VC_notes,$J39-5)&amp;"")</f>
        <v/>
      </c>
      <c r="H39" s="63" t="n"/>
      <c r="J39">
        <f>IF($K$5&lt;1,"",IF(LARGE(INDEX(ROW(VC_cle)*(VC_cle=INDEX(Cl_cle,$K$5)),0),1)=0,"",LARGE(INDEX(ROW(VC_cle)*(VC_cle=INDEX(Cl_cle,$K$5)),0),1)))</f>
        <v/>
      </c>
    </row>
    <row r="40">
      <c r="A40" s="57">
        <f>IF($J40="","",INDEX(VC_objet,$J40-5)&amp;IF(INDEX(VC_resultat,$J40-5)="",""," → "&amp;INDEX(VC_resultat,$J40-5)))</f>
        <v/>
      </c>
      <c r="B40" s="60">
        <f>IF($J40="","",INDEX(VC_date,$J40-5))</f>
        <v/>
      </c>
      <c r="C40" s="67">
        <f>IF($J40="","",IF(INDEX(VC_heure,$J40-5)="","",INDEX(VC_heure,$J40-5)))</f>
        <v/>
      </c>
      <c r="D40" s="57">
        <f>IF($J40="","",INDEX(VC_type,$J40-5)&amp;"")</f>
        <v/>
      </c>
      <c r="E40" s="57">
        <f>IF($J40="","",IF(INDEX(VC_actiondate,$J40-5)="","",TEXT(INDEX(VC_actiondate,$J40-5),"dd/mm/yyyy")&amp;" : ")&amp;INDEX(VC_actiontexte,$J40-5))</f>
        <v/>
      </c>
      <c r="F40" s="63" t="n"/>
      <c r="G40" s="57">
        <f>IF($J40="","",INDEX(VC_notes,$J40-5)&amp;"")</f>
        <v/>
      </c>
      <c r="H40" s="63" t="n"/>
      <c r="J40">
        <f>IF($K$5&lt;1,"",IF(LARGE(INDEX(ROW(VC_cle)*(VC_cle=INDEX(Cl_cle,$K$5)),0),2)=0,"",LARGE(INDEX(ROW(VC_cle)*(VC_cle=INDEX(Cl_cle,$K$5)),0),2)))</f>
        <v/>
      </c>
    </row>
    <row r="41">
      <c r="A41" s="57">
        <f>IF($J41="","",INDEX(VC_objet,$J41-5)&amp;IF(INDEX(VC_resultat,$J41-5)="",""," → "&amp;INDEX(VC_resultat,$J41-5)))</f>
        <v/>
      </c>
      <c r="B41" s="60">
        <f>IF($J41="","",INDEX(VC_date,$J41-5))</f>
        <v/>
      </c>
      <c r="C41" s="67">
        <f>IF($J41="","",IF(INDEX(VC_heure,$J41-5)="","",INDEX(VC_heure,$J41-5)))</f>
        <v/>
      </c>
      <c r="D41" s="57">
        <f>IF($J41="","",INDEX(VC_type,$J41-5)&amp;"")</f>
        <v/>
      </c>
      <c r="E41" s="57">
        <f>IF($J41="","",IF(INDEX(VC_actiondate,$J41-5)="","",TEXT(INDEX(VC_actiondate,$J41-5),"dd/mm/yyyy")&amp;" : ")&amp;INDEX(VC_actiontexte,$J41-5))</f>
        <v/>
      </c>
      <c r="F41" s="63" t="n"/>
      <c r="G41" s="57">
        <f>IF($J41="","",INDEX(VC_notes,$J41-5)&amp;"")</f>
        <v/>
      </c>
      <c r="H41" s="63" t="n"/>
      <c r="J41">
        <f>IF($K$5&lt;1,"",IF(LARGE(INDEX(ROW(VC_cle)*(VC_cle=INDEX(Cl_cle,$K$5)),0),3)=0,"",LARGE(INDEX(ROW(VC_cle)*(VC_cle=INDEX(Cl_cle,$K$5)),0),3)))</f>
        <v/>
      </c>
    </row>
    <row r="42">
      <c r="A42" s="57">
        <f>IF($J42="","",INDEX(VC_objet,$J42-5)&amp;IF(INDEX(VC_resultat,$J42-5)="",""," → "&amp;INDEX(VC_resultat,$J42-5)))</f>
        <v/>
      </c>
      <c r="B42" s="60">
        <f>IF($J42="","",INDEX(VC_date,$J42-5))</f>
        <v/>
      </c>
      <c r="C42" s="67">
        <f>IF($J42="","",IF(INDEX(VC_heure,$J42-5)="","",INDEX(VC_heure,$J42-5)))</f>
        <v/>
      </c>
      <c r="D42" s="57">
        <f>IF($J42="","",INDEX(VC_type,$J42-5)&amp;"")</f>
        <v/>
      </c>
      <c r="E42" s="57">
        <f>IF($J42="","",IF(INDEX(VC_actiondate,$J42-5)="","",TEXT(INDEX(VC_actiondate,$J42-5),"dd/mm/yyyy")&amp;" : ")&amp;INDEX(VC_actiontexte,$J42-5))</f>
        <v/>
      </c>
      <c r="F42" s="63" t="n"/>
      <c r="G42" s="57">
        <f>IF($J42="","",INDEX(VC_notes,$J42-5)&amp;"")</f>
        <v/>
      </c>
      <c r="H42" s="63" t="n"/>
      <c r="J42">
        <f>IF($K$5&lt;1,"",IF(LARGE(INDEX(ROW(VC_cle)*(VC_cle=INDEX(Cl_cle,$K$5)),0),4)=0,"",LARGE(INDEX(ROW(VC_cle)*(VC_cle=INDEX(Cl_cle,$K$5)),0),4)))</f>
        <v/>
      </c>
    </row>
    <row r="43">
      <c r="A43" s="57">
        <f>IF($J43="","",INDEX(VC_objet,$J43-5)&amp;IF(INDEX(VC_resultat,$J43-5)="",""," → "&amp;INDEX(VC_resultat,$J43-5)))</f>
        <v/>
      </c>
      <c r="B43" s="60">
        <f>IF($J43="","",INDEX(VC_date,$J43-5))</f>
        <v/>
      </c>
      <c r="C43" s="67">
        <f>IF($J43="","",IF(INDEX(VC_heure,$J43-5)="","",INDEX(VC_heure,$J43-5)))</f>
        <v/>
      </c>
      <c r="D43" s="57">
        <f>IF($J43="","",INDEX(VC_type,$J43-5)&amp;"")</f>
        <v/>
      </c>
      <c r="E43" s="57">
        <f>IF($J43="","",IF(INDEX(VC_actiondate,$J43-5)="","",TEXT(INDEX(VC_actiondate,$J43-5),"dd/mm/yyyy")&amp;" : ")&amp;INDEX(VC_actiontexte,$J43-5))</f>
        <v/>
      </c>
      <c r="F43" s="63" t="n"/>
      <c r="G43" s="57">
        <f>IF($J43="","",INDEX(VC_notes,$J43-5)&amp;"")</f>
        <v/>
      </c>
      <c r="H43" s="63" t="n"/>
      <c r="J43">
        <f>IF($K$5&lt;1,"",IF(LARGE(INDEX(ROW(VC_cle)*(VC_cle=INDEX(Cl_cle,$K$5)),0),5)=0,"",LARGE(INDEX(ROW(VC_cle)*(VC_cle=INDEX(Cl_cle,$K$5)),0),5)))</f>
        <v/>
      </c>
    </row>
    <row r="44">
      <c r="A44" s="57">
        <f>IF($J44="","",INDEX(VC_objet,$J44-5)&amp;IF(INDEX(VC_resultat,$J44-5)="",""," → "&amp;INDEX(VC_resultat,$J44-5)))</f>
        <v/>
      </c>
      <c r="B44" s="60">
        <f>IF($J44="","",INDEX(VC_date,$J44-5))</f>
        <v/>
      </c>
      <c r="C44" s="67">
        <f>IF($J44="","",IF(INDEX(VC_heure,$J44-5)="","",INDEX(VC_heure,$J44-5)))</f>
        <v/>
      </c>
      <c r="D44" s="57">
        <f>IF($J44="","",INDEX(VC_type,$J44-5)&amp;"")</f>
        <v/>
      </c>
      <c r="E44" s="57">
        <f>IF($J44="","",IF(INDEX(VC_actiondate,$J44-5)="","",TEXT(INDEX(VC_actiondate,$J44-5),"dd/mm/yyyy")&amp;" : ")&amp;INDEX(VC_actiontexte,$J44-5))</f>
        <v/>
      </c>
      <c r="F44" s="63" t="n"/>
      <c r="G44" s="57">
        <f>IF($J44="","",INDEX(VC_notes,$J44-5)&amp;"")</f>
        <v/>
      </c>
      <c r="H44" s="63" t="n"/>
      <c r="J44">
        <f>IF($K$5&lt;1,"",IF(LARGE(INDEX(ROW(VC_cle)*(VC_cle=INDEX(Cl_cle,$K$5)),0),6)=0,"",LARGE(INDEX(ROW(VC_cle)*(VC_cle=INDEX(Cl_cle,$K$5)),0),6)))</f>
        <v/>
      </c>
    </row>
    <row r="45">
      <c r="A45" s="57">
        <f>IF($J45="","",INDEX(VC_objet,$J45-5)&amp;IF(INDEX(VC_resultat,$J45-5)="",""," → "&amp;INDEX(VC_resultat,$J45-5)))</f>
        <v/>
      </c>
      <c r="B45" s="60">
        <f>IF($J45="","",INDEX(VC_date,$J45-5))</f>
        <v/>
      </c>
      <c r="C45" s="67">
        <f>IF($J45="","",IF(INDEX(VC_heure,$J45-5)="","",INDEX(VC_heure,$J45-5)))</f>
        <v/>
      </c>
      <c r="D45" s="57">
        <f>IF($J45="","",INDEX(VC_type,$J45-5)&amp;"")</f>
        <v/>
      </c>
      <c r="E45" s="57">
        <f>IF($J45="","",IF(INDEX(VC_actiondate,$J45-5)="","",TEXT(INDEX(VC_actiondate,$J45-5),"dd/mm/yyyy")&amp;" : ")&amp;INDEX(VC_actiontexte,$J45-5))</f>
        <v/>
      </c>
      <c r="F45" s="63" t="n"/>
      <c r="G45" s="57">
        <f>IF($J45="","",INDEX(VC_notes,$J45-5)&amp;"")</f>
        <v/>
      </c>
      <c r="H45" s="63" t="n"/>
      <c r="J45">
        <f>IF($K$5&lt;1,"",IF(LARGE(INDEX(ROW(VC_cle)*(VC_cle=INDEX(Cl_cle,$K$5)),0),7)=0,"",LARGE(INDEX(ROW(VC_cle)*(VC_cle=INDEX(Cl_cle,$K$5)),0),7)))</f>
        <v/>
      </c>
    </row>
    <row r="46">
      <c r="A46" s="57">
        <f>IF($J46="","",INDEX(VC_objet,$J46-5)&amp;IF(INDEX(VC_resultat,$J46-5)="",""," → "&amp;INDEX(VC_resultat,$J46-5)))</f>
        <v/>
      </c>
      <c r="B46" s="60">
        <f>IF($J46="","",INDEX(VC_date,$J46-5))</f>
        <v/>
      </c>
      <c r="C46" s="67">
        <f>IF($J46="","",IF(INDEX(VC_heure,$J46-5)="","",INDEX(VC_heure,$J46-5)))</f>
        <v/>
      </c>
      <c r="D46" s="57">
        <f>IF($J46="","",INDEX(VC_type,$J46-5)&amp;"")</f>
        <v/>
      </c>
      <c r="E46" s="57">
        <f>IF($J46="","",IF(INDEX(VC_actiondate,$J46-5)="","",TEXT(INDEX(VC_actiondate,$J46-5),"dd/mm/yyyy")&amp;" : ")&amp;INDEX(VC_actiontexte,$J46-5))</f>
        <v/>
      </c>
      <c r="F46" s="63" t="n"/>
      <c r="G46" s="57">
        <f>IF($J46="","",INDEX(VC_notes,$J46-5)&amp;"")</f>
        <v/>
      </c>
      <c r="H46" s="63" t="n"/>
      <c r="J46">
        <f>IF($K$5&lt;1,"",IF(LARGE(INDEX(ROW(VC_cle)*(VC_cle=INDEX(Cl_cle,$K$5)),0),8)=0,"",LARGE(INDEX(ROW(VC_cle)*(VC_cle=INDEX(Cl_cle,$K$5)),0),8)))</f>
        <v/>
      </c>
    </row>
    <row r="48" ht="22" customHeight="1">
      <c r="A48" s="3" t="inlineStr">
        <is>
          <t>DERNIÈRES LIGNES DE COMMANDE (6)</t>
        </is>
      </c>
      <c r="B48" s="4" t="n"/>
      <c r="C48" s="4" t="n"/>
      <c r="D48" s="4" t="n"/>
      <c r="E48" s="4" t="n"/>
      <c r="F48" s="4" t="n"/>
      <c r="G48" s="4" t="n"/>
      <c r="H48" s="4" t="n"/>
    </row>
    <row r="49" ht="22" customHeight="1">
      <c r="A49" s="7" t="inlineStr">
        <is>
          <t>Produit</t>
        </is>
      </c>
      <c r="B49" s="7" t="inlineStr">
        <is>
          <t>Date</t>
        </is>
      </c>
      <c r="C49" s="7" t="inlineStr">
        <is>
          <t>Quantité</t>
        </is>
      </c>
      <c r="D49" s="7" t="inlineStr">
        <is>
          <t>N° de commande · statut</t>
        </is>
      </c>
      <c r="E49" s="7" t="inlineStr">
        <is>
          <t>Montant (XAF)</t>
        </is>
      </c>
      <c r="F49" s="11" t="n"/>
      <c r="G49" s="11" t="n"/>
      <c r="H49" s="12" t="n"/>
    </row>
    <row r="50">
      <c r="A50" s="57">
        <f>IF($J50="","",INDEX(Cmd_produit,$J50-5)&amp;"")</f>
        <v/>
      </c>
      <c r="B50" s="60">
        <f>IF($J50="","",INDEX(Cmd_date,$J50-5))</f>
        <v/>
      </c>
      <c r="C50" s="58">
        <f>IF($J50="","",INDEX(Cmd_qte,$J50-5)&amp;" "&amp;INDEX(Cmd_unite,$J50-5))</f>
        <v/>
      </c>
      <c r="D50" s="57">
        <f>IF($J50="","",INDEX(Cmd_bon,$J50-5)&amp;" · "&amp;INDEX(Cmd_statut,$J50-5))</f>
        <v/>
      </c>
      <c r="E50" s="59">
        <f>IF($J50="","",INDEX(Cmd_montant,$J50-5))</f>
        <v/>
      </c>
      <c r="F50" s="63" t="n"/>
      <c r="G50" s="63" t="n"/>
      <c r="H50" s="63" t="n"/>
      <c r="J50">
        <f>IF($K$5&lt;1,"",IF(LARGE(INDEX(ROW(Cmd_cle)*(Cmd_cle=INDEX(Cl_cle,$K$5)),0),1)=0,"",LARGE(INDEX(ROW(Cmd_cle)*(Cmd_cle=INDEX(Cl_cle,$K$5)),0),1)))</f>
        <v/>
      </c>
    </row>
    <row r="51">
      <c r="A51" s="57">
        <f>IF($J51="","",INDEX(Cmd_produit,$J51-5)&amp;"")</f>
        <v/>
      </c>
      <c r="B51" s="60">
        <f>IF($J51="","",INDEX(Cmd_date,$J51-5))</f>
        <v/>
      </c>
      <c r="C51" s="58">
        <f>IF($J51="","",INDEX(Cmd_qte,$J51-5)&amp;" "&amp;INDEX(Cmd_unite,$J51-5))</f>
        <v/>
      </c>
      <c r="D51" s="57">
        <f>IF($J51="","",INDEX(Cmd_bon,$J51-5)&amp;" · "&amp;INDEX(Cmd_statut,$J51-5))</f>
        <v/>
      </c>
      <c r="E51" s="59">
        <f>IF($J51="","",INDEX(Cmd_montant,$J51-5))</f>
        <v/>
      </c>
      <c r="F51" s="63" t="n"/>
      <c r="G51" s="63" t="n"/>
      <c r="H51" s="63" t="n"/>
      <c r="J51">
        <f>IF($K$5&lt;1,"",IF(LARGE(INDEX(ROW(Cmd_cle)*(Cmd_cle=INDEX(Cl_cle,$K$5)),0),2)=0,"",LARGE(INDEX(ROW(Cmd_cle)*(Cmd_cle=INDEX(Cl_cle,$K$5)),0),2)))</f>
        <v/>
      </c>
    </row>
    <row r="52">
      <c r="A52" s="57">
        <f>IF($J52="","",INDEX(Cmd_produit,$J52-5)&amp;"")</f>
        <v/>
      </c>
      <c r="B52" s="60">
        <f>IF($J52="","",INDEX(Cmd_date,$J52-5))</f>
        <v/>
      </c>
      <c r="C52" s="58">
        <f>IF($J52="","",INDEX(Cmd_qte,$J52-5)&amp;" "&amp;INDEX(Cmd_unite,$J52-5))</f>
        <v/>
      </c>
      <c r="D52" s="57">
        <f>IF($J52="","",INDEX(Cmd_bon,$J52-5)&amp;" · "&amp;INDEX(Cmd_statut,$J52-5))</f>
        <v/>
      </c>
      <c r="E52" s="59">
        <f>IF($J52="","",INDEX(Cmd_montant,$J52-5))</f>
        <v/>
      </c>
      <c r="F52" s="63" t="n"/>
      <c r="G52" s="63" t="n"/>
      <c r="H52" s="63" t="n"/>
      <c r="J52">
        <f>IF($K$5&lt;1,"",IF(LARGE(INDEX(ROW(Cmd_cle)*(Cmd_cle=INDEX(Cl_cle,$K$5)),0),3)=0,"",LARGE(INDEX(ROW(Cmd_cle)*(Cmd_cle=INDEX(Cl_cle,$K$5)),0),3)))</f>
        <v/>
      </c>
    </row>
    <row r="53">
      <c r="A53" s="57">
        <f>IF($J53="","",INDEX(Cmd_produit,$J53-5)&amp;"")</f>
        <v/>
      </c>
      <c r="B53" s="60">
        <f>IF($J53="","",INDEX(Cmd_date,$J53-5))</f>
        <v/>
      </c>
      <c r="C53" s="58">
        <f>IF($J53="","",INDEX(Cmd_qte,$J53-5)&amp;" "&amp;INDEX(Cmd_unite,$J53-5))</f>
        <v/>
      </c>
      <c r="D53" s="57">
        <f>IF($J53="","",INDEX(Cmd_bon,$J53-5)&amp;" · "&amp;INDEX(Cmd_statut,$J53-5))</f>
        <v/>
      </c>
      <c r="E53" s="59">
        <f>IF($J53="","",INDEX(Cmd_montant,$J53-5))</f>
        <v/>
      </c>
      <c r="F53" s="63" t="n"/>
      <c r="G53" s="63" t="n"/>
      <c r="H53" s="63" t="n"/>
      <c r="J53">
        <f>IF($K$5&lt;1,"",IF(LARGE(INDEX(ROW(Cmd_cle)*(Cmd_cle=INDEX(Cl_cle,$K$5)),0),4)=0,"",LARGE(INDEX(ROW(Cmd_cle)*(Cmd_cle=INDEX(Cl_cle,$K$5)),0),4)))</f>
        <v/>
      </c>
    </row>
    <row r="54">
      <c r="A54" s="57">
        <f>IF($J54="","",INDEX(Cmd_produit,$J54-5)&amp;"")</f>
        <v/>
      </c>
      <c r="B54" s="60">
        <f>IF($J54="","",INDEX(Cmd_date,$J54-5))</f>
        <v/>
      </c>
      <c r="C54" s="58">
        <f>IF($J54="","",INDEX(Cmd_qte,$J54-5)&amp;" "&amp;INDEX(Cmd_unite,$J54-5))</f>
        <v/>
      </c>
      <c r="D54" s="57">
        <f>IF($J54="","",INDEX(Cmd_bon,$J54-5)&amp;" · "&amp;INDEX(Cmd_statut,$J54-5))</f>
        <v/>
      </c>
      <c r="E54" s="59">
        <f>IF($J54="","",INDEX(Cmd_montant,$J54-5))</f>
        <v/>
      </c>
      <c r="F54" s="63" t="n"/>
      <c r="G54" s="63" t="n"/>
      <c r="H54" s="63" t="n"/>
      <c r="J54">
        <f>IF($K$5&lt;1,"",IF(LARGE(INDEX(ROW(Cmd_cle)*(Cmd_cle=INDEX(Cl_cle,$K$5)),0),5)=0,"",LARGE(INDEX(ROW(Cmd_cle)*(Cmd_cle=INDEX(Cl_cle,$K$5)),0),5)))</f>
        <v/>
      </c>
    </row>
    <row r="55">
      <c r="A55" s="57">
        <f>IF($J55="","",INDEX(Cmd_produit,$J55-5)&amp;"")</f>
        <v/>
      </c>
      <c r="B55" s="60">
        <f>IF($J55="","",INDEX(Cmd_date,$J55-5))</f>
        <v/>
      </c>
      <c r="C55" s="58">
        <f>IF($J55="","",INDEX(Cmd_qte,$J55-5)&amp;" "&amp;INDEX(Cmd_unite,$J55-5))</f>
        <v/>
      </c>
      <c r="D55" s="57">
        <f>IF($J55="","",INDEX(Cmd_bon,$J55-5)&amp;" · "&amp;INDEX(Cmd_statut,$J55-5))</f>
        <v/>
      </c>
      <c r="E55" s="59">
        <f>IF($J55="","",INDEX(Cmd_montant,$J55-5))</f>
        <v/>
      </c>
      <c r="F55" s="63" t="n"/>
      <c r="G55" s="63" t="n"/>
      <c r="H55" s="63" t="n"/>
      <c r="J55">
        <f>IF($K$5&lt;1,"",IF(LARGE(INDEX(ROW(Cmd_cle)*(Cmd_cle=INDEX(Cl_cle,$K$5)),0),6)=0,"",LARGE(INDEX(ROW(Cmd_cle)*(Cmd_cle=INDEX(Cl_cle,$K$5)),0),6)))</f>
        <v/>
      </c>
    </row>
    <row r="57" ht="22" customHeight="1">
      <c r="A57" s="3" t="inlineStr">
        <is>
          <t>DERNIERS ENCAISSEMENTS (5)</t>
        </is>
      </c>
      <c r="B57" s="4" t="n"/>
      <c r="C57" s="4" t="n"/>
      <c r="D57" s="4" t="n"/>
      <c r="E57" s="4" t="n"/>
      <c r="F57" s="4" t="n"/>
      <c r="G57" s="4" t="n"/>
      <c r="H57" s="4" t="n"/>
    </row>
    <row r="58" ht="22" customHeight="1">
      <c r="A58" s="7" t="inlineStr">
        <is>
          <t>Mode de paiement</t>
        </is>
      </c>
      <c r="B58" s="7" t="inlineStr">
        <is>
          <t>Date</t>
        </is>
      </c>
      <c r="C58" s="7" t="inlineStr">
        <is>
          <t>Montant (XAF)</t>
        </is>
      </c>
      <c r="D58" s="7" t="inlineStr">
        <is>
          <t>Référence</t>
        </is>
      </c>
      <c r="E58" s="7" t="inlineStr">
        <is>
          <t>Versé à l'entreprise ?</t>
        </is>
      </c>
      <c r="F58" s="11" t="n"/>
      <c r="G58" s="11" t="n"/>
      <c r="H58" s="12" t="n"/>
    </row>
    <row r="59">
      <c r="A59" s="57">
        <f>IF($J59="","",INDEX(Enc_mode,$J59-5)&amp;"")</f>
        <v/>
      </c>
      <c r="B59" s="60">
        <f>IF($J59="","",INDEX(Enc_date,$J59-5))</f>
        <v/>
      </c>
      <c r="C59" s="59">
        <f>IF($J59="","",INDEX(Enc_montant,$J59-5))</f>
        <v/>
      </c>
      <c r="D59" s="57">
        <f>IF($J59="","",INDEX(Enc_reference,$J59-5)&amp;"")</f>
        <v/>
      </c>
      <c r="E59" s="58">
        <f>IF($J59="","",INDEX(Enc_verse,$J59-5)&amp;"")</f>
        <v/>
      </c>
      <c r="F59" s="63" t="n"/>
      <c r="G59" s="63" t="n"/>
      <c r="H59" s="63" t="n"/>
      <c r="J59">
        <f>IF($K$5&lt;1,"",IF(LARGE(INDEX(ROW(Enc_cle)*(Enc_cle=INDEX(Cl_cle,$K$5)),0),1)=0,"",LARGE(INDEX(ROW(Enc_cle)*(Enc_cle=INDEX(Cl_cle,$K$5)),0),1)))</f>
        <v/>
      </c>
    </row>
    <row r="60">
      <c r="A60" s="57">
        <f>IF($J60="","",INDEX(Enc_mode,$J60-5)&amp;"")</f>
        <v/>
      </c>
      <c r="B60" s="60">
        <f>IF($J60="","",INDEX(Enc_date,$J60-5))</f>
        <v/>
      </c>
      <c r="C60" s="59">
        <f>IF($J60="","",INDEX(Enc_montant,$J60-5))</f>
        <v/>
      </c>
      <c r="D60" s="57">
        <f>IF($J60="","",INDEX(Enc_reference,$J60-5)&amp;"")</f>
        <v/>
      </c>
      <c r="E60" s="58">
        <f>IF($J60="","",INDEX(Enc_verse,$J60-5)&amp;"")</f>
        <v/>
      </c>
      <c r="F60" s="63" t="n"/>
      <c r="G60" s="63" t="n"/>
      <c r="H60" s="63" t="n"/>
      <c r="J60">
        <f>IF($K$5&lt;1,"",IF(LARGE(INDEX(ROW(Enc_cle)*(Enc_cle=INDEX(Cl_cle,$K$5)),0),2)=0,"",LARGE(INDEX(ROW(Enc_cle)*(Enc_cle=INDEX(Cl_cle,$K$5)),0),2)))</f>
        <v/>
      </c>
    </row>
    <row r="61">
      <c r="A61" s="57">
        <f>IF($J61="","",INDEX(Enc_mode,$J61-5)&amp;"")</f>
        <v/>
      </c>
      <c r="B61" s="60">
        <f>IF($J61="","",INDEX(Enc_date,$J61-5))</f>
        <v/>
      </c>
      <c r="C61" s="59">
        <f>IF($J61="","",INDEX(Enc_montant,$J61-5))</f>
        <v/>
      </c>
      <c r="D61" s="57">
        <f>IF($J61="","",INDEX(Enc_reference,$J61-5)&amp;"")</f>
        <v/>
      </c>
      <c r="E61" s="58">
        <f>IF($J61="","",INDEX(Enc_verse,$J61-5)&amp;"")</f>
        <v/>
      </c>
      <c r="F61" s="63" t="n"/>
      <c r="G61" s="63" t="n"/>
      <c r="H61" s="63" t="n"/>
      <c r="J61">
        <f>IF($K$5&lt;1,"",IF(LARGE(INDEX(ROW(Enc_cle)*(Enc_cle=INDEX(Cl_cle,$K$5)),0),3)=0,"",LARGE(INDEX(ROW(Enc_cle)*(Enc_cle=INDEX(Cl_cle,$K$5)),0),3)))</f>
        <v/>
      </c>
    </row>
    <row r="62">
      <c r="A62" s="57">
        <f>IF($J62="","",INDEX(Enc_mode,$J62-5)&amp;"")</f>
        <v/>
      </c>
      <c r="B62" s="60">
        <f>IF($J62="","",INDEX(Enc_date,$J62-5))</f>
        <v/>
      </c>
      <c r="C62" s="59">
        <f>IF($J62="","",INDEX(Enc_montant,$J62-5))</f>
        <v/>
      </c>
      <c r="D62" s="57">
        <f>IF($J62="","",INDEX(Enc_reference,$J62-5)&amp;"")</f>
        <v/>
      </c>
      <c r="E62" s="58">
        <f>IF($J62="","",INDEX(Enc_verse,$J62-5)&amp;"")</f>
        <v/>
      </c>
      <c r="F62" s="63" t="n"/>
      <c r="G62" s="63" t="n"/>
      <c r="H62" s="63" t="n"/>
      <c r="J62">
        <f>IF($K$5&lt;1,"",IF(LARGE(INDEX(ROW(Enc_cle)*(Enc_cle=INDEX(Cl_cle,$K$5)),0),4)=0,"",LARGE(INDEX(ROW(Enc_cle)*(Enc_cle=INDEX(Cl_cle,$K$5)),0),4)))</f>
        <v/>
      </c>
    </row>
    <row r="63">
      <c r="A63" s="57">
        <f>IF($J63="","",INDEX(Enc_mode,$J63-5)&amp;"")</f>
        <v/>
      </c>
      <c r="B63" s="60">
        <f>IF($J63="","",INDEX(Enc_date,$J63-5))</f>
        <v/>
      </c>
      <c r="C63" s="59">
        <f>IF($J63="","",INDEX(Enc_montant,$J63-5))</f>
        <v/>
      </c>
      <c r="D63" s="57">
        <f>IF($J63="","",INDEX(Enc_reference,$J63-5)&amp;"")</f>
        <v/>
      </c>
      <c r="E63" s="58">
        <f>IF($J63="","",INDEX(Enc_verse,$J63-5)&amp;"")</f>
        <v/>
      </c>
      <c r="F63" s="63" t="n"/>
      <c r="G63" s="63" t="n"/>
      <c r="H63" s="63" t="n"/>
      <c r="J63">
        <f>IF($K$5&lt;1,"",IF(LARGE(INDEX(ROW(Enc_cle)*(Enc_cle=INDEX(Cl_cle,$K$5)),0),5)=0,"",LARGE(INDEX(ROW(Enc_cle)*(Enc_cle=INDEX(Cl_cle,$K$5)),0),5)))</f>
        <v/>
      </c>
    </row>
  </sheetData>
  <sheetProtection selectLockedCells="0" selectUnlockedCells="0" sheet="1" objects="0" insertRows="1" insertHyperlinks="1" autoFilter="1" scenarios="0" formatColumns="0" deleteColumns="1" insertColumns="1" pivotTables="1" deleteRows="1" formatCells="1" formatRows="0" sort="1"/>
  <mergeCells count="59">
    <mergeCell ref="E43:F43"/>
    <mergeCell ref="A48:H48"/>
    <mergeCell ref="G43:H43"/>
    <mergeCell ref="E26:H26"/>
    <mergeCell ref="E61:H61"/>
    <mergeCell ref="G42:H42"/>
    <mergeCell ref="E42:F42"/>
    <mergeCell ref="E54:H54"/>
    <mergeCell ref="B31:C31"/>
    <mergeCell ref="B27:C27"/>
    <mergeCell ref="E32:H32"/>
    <mergeCell ref="E39:F39"/>
    <mergeCell ref="G39:H39"/>
    <mergeCell ref="E44:F44"/>
    <mergeCell ref="E38:F38"/>
    <mergeCell ref="E53:H53"/>
    <mergeCell ref="A7:H7"/>
    <mergeCell ref="A25:H25"/>
    <mergeCell ref="G38:H38"/>
    <mergeCell ref="E50:H50"/>
    <mergeCell ref="E58:H58"/>
    <mergeCell ref="E62:H62"/>
    <mergeCell ref="E33:H33"/>
    <mergeCell ref="A37:H37"/>
    <mergeCell ref="E40:F40"/>
    <mergeCell ref="E55:H55"/>
    <mergeCell ref="E5:H5"/>
    <mergeCell ref="E52:H52"/>
    <mergeCell ref="B5:D5"/>
    <mergeCell ref="B29:C29"/>
    <mergeCell ref="E46:F46"/>
    <mergeCell ref="A57:H57"/>
    <mergeCell ref="B34:C34"/>
    <mergeCell ref="E35:H35"/>
    <mergeCell ref="B4:D4"/>
    <mergeCell ref="B28:C28"/>
    <mergeCell ref="E51:H51"/>
    <mergeCell ref="E45:F45"/>
    <mergeCell ref="E29:H29"/>
    <mergeCell ref="G45:H45"/>
    <mergeCell ref="E63:H63"/>
    <mergeCell ref="B35:C35"/>
    <mergeCell ref="E28:H28"/>
    <mergeCell ref="B30:C30"/>
    <mergeCell ref="E60:H60"/>
    <mergeCell ref="B33:C33"/>
    <mergeCell ref="E31:H31"/>
    <mergeCell ref="E34:H34"/>
    <mergeCell ref="E41:F41"/>
    <mergeCell ref="G41:H41"/>
    <mergeCell ref="E30:H30"/>
    <mergeCell ref="B32:C32"/>
    <mergeCell ref="G44:H44"/>
    <mergeCell ref="G46:H46"/>
    <mergeCell ref="B26:C26"/>
    <mergeCell ref="G40:H40"/>
    <mergeCell ref="E49:H49"/>
    <mergeCell ref="E59:H59"/>
    <mergeCell ref="E27:H27"/>
  </mergeCells>
  <dataValidations count="2">
    <dataValidation sqref="F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 sqref="B5" showDropDown="0" showInputMessage="0" showErrorMessage="1" allowBlank="1" errorTitle="Client hors résultats" error="Choisissez un client parmi les résultats de la recherche (liste déroulante)." type="list" errorStyle="stop">
      <formula1>=L_ResultatsClient</formula1>
    </dataValidation>
  </dataValidations>
  <hyperlinks>
    <hyperlink xmlns:r="http://schemas.openxmlformats.org/officeDocument/2006/relationships" ref="A3" r:id="rId1"/>
  </hyperlinks>
  <printOptions horizontalCentered="1"/>
  <pageMargins left="0.4" right="0.4" top="0.5" bottom="0.5" header="0.5" footer="0.5"/>
  <pageSetup orientation="portrait" paperSize="9" fitToHeight="0" fitToWidth="1"/>
</worksheet>
</file>

<file path=xl/worksheets/sheet13.xml><?xml version="1.0" encoding="utf-8"?>
<worksheet xmlns="http://schemas.openxmlformats.org/spreadsheetml/2006/main">
  <sheetPr>
    <tabColor rgb="007A4FA3"/>
    <outlinePr summaryBelow="1" summaryRight="1"/>
    <pageSetUpPr fitToPage="1"/>
  </sheetPr>
  <dimension ref="A1:J93"/>
  <sheetViews>
    <sheetView showGridLines="0" tabSelected="0" zoomScale="90" workbookViewId="0">
      <selection activeCell="A1" sqref="A1"/>
    </sheetView>
  </sheetViews>
  <sheetFormatPr baseColWidth="8" defaultRowHeight="15"/>
  <cols>
    <col width="36" customWidth="1" min="1" max="1"/>
    <col width="18" customWidth="1" min="2" max="2"/>
    <col width="18" customWidth="1" min="3" max="3"/>
    <col width="38" customWidth="1" min="4" max="4"/>
    <col width="18" customWidth="1" min="5" max="5"/>
    <col width="18" customWidth="1" min="6" max="6"/>
    <col width="3" customWidth="1" min="7" max="7"/>
    <col hidden="1" width="8" customWidth="1" min="10" max="10"/>
  </cols>
  <sheetData>
    <row r="1" ht="26" customHeight="1">
      <c r="A1" s="15" t="inlineStr">
        <is>
          <t>RAPPORT JOURNALIER</t>
        </is>
      </c>
    </row>
    <row r="2">
      <c r="A2" s="2" t="inlineStr">
        <is>
          <t>Choisissez la date et le commercial (cellules jaunes) : tout le reste se calcule. Imprimez ou exportez en PDF pour l'envoyer à votre responsable.</t>
        </is>
      </c>
    </row>
    <row r="3">
      <c r="A3" s="16" t="inlineStr">
        <is>
          <t>◄ Sommaire</t>
        </is>
      </c>
    </row>
    <row r="4">
      <c r="A4" s="52" t="inlineStr">
        <is>
          <t>Date du rapport</t>
        </is>
      </c>
      <c r="B4" s="68">
        <f>TODAY()</f>
        <v/>
      </c>
      <c r="D4" s="52" t="inlineStr">
        <is>
          <t>Commercial (code)</t>
        </is>
      </c>
      <c r="E4" s="53">
        <f>Commercial_Id</f>
        <v/>
      </c>
      <c r="J4">
        <f>IFERROR(MATCH(1,INDEX((Jr_date=$B$4)*(Jr_commercial=$E$4),0),0),0)</f>
        <v/>
      </c>
    </row>
    <row r="5">
      <c r="A5" s="52" t="inlineStr">
        <is>
          <t>Nom du commercial</t>
        </is>
      </c>
      <c r="B5" s="69">
        <f>IFERROR(INDEX(Equipe_Nom,MATCH($E$4,Equipe_Code,0))&amp;"",IF($E$4=Commercial_Id,Commercial_Nom&amp;"",""))</f>
        <v/>
      </c>
      <c r="C5" s="12" t="n"/>
      <c r="D5" s="52" t="inlineStr">
        <is>
          <t>Zone du jour</t>
        </is>
      </c>
      <c r="E5" s="62">
        <f>IF($J$4=0,"",INDEX(Jr_zone,$J$4)&amp;"")</f>
        <v/>
      </c>
      <c r="F5" s="12" t="n"/>
    </row>
    <row r="6">
      <c r="A6" s="52" t="inlineStr">
        <is>
          <t>Prise de service</t>
        </is>
      </c>
      <c r="B6" s="70">
        <f>IF($J$4=0,"",IF(INDEX(Jr_debut,$J$4)="","",INDEX(Jr_debut,$J$4)))</f>
        <v/>
      </c>
      <c r="D6" s="52" t="inlineStr">
        <is>
          <t>Fin de service</t>
        </is>
      </c>
      <c r="E6" s="70">
        <f>IF($J$4=0,"",IF(INDEX(Jr_fin,$J$4)="","",INDEX(Jr_fin,$J$4)))</f>
        <v/>
      </c>
    </row>
    <row r="8" ht="22" customHeight="1">
      <c r="A8" s="3" t="inlineStr">
        <is>
          <t>INDICATEURS DU JOUR</t>
        </is>
      </c>
      <c r="B8" s="4" t="n"/>
      <c r="C8" s="4" t="n"/>
      <c r="D8" s="4" t="n"/>
      <c r="E8" s="4" t="n"/>
      <c r="F8" s="4" t="n"/>
    </row>
    <row r="9">
      <c r="A9" s="61" t="inlineStr">
        <is>
          <t>Visites sur place</t>
        </is>
      </c>
      <c r="B9" s="71">
        <f>COUNTIFS(VC_date,"&gt;="&amp;$B$4,VC_date,"&lt;="&amp;$B$4,VC_commercial,$E$4,VC_type,"Visite sur place")</f>
        <v/>
      </c>
      <c r="D9" s="61" t="inlineStr">
        <is>
          <t>Commandes prises (nombre)</t>
        </is>
      </c>
      <c r="E9" s="71">
        <f>SUMIFS(Cmd_premiere,Cmd_date,"&gt;="&amp;$B$4,Cmd_date,"&lt;="&amp;$B$4,Cmd_commercial,$E$4,Cmd_statut,"&lt;&gt;Annulée",Cmd_type,"&lt;&gt;Vente directe")</f>
        <v/>
      </c>
    </row>
    <row r="10">
      <c r="A10" s="61" t="inlineStr">
        <is>
          <t>Contacts à distance (appels, messages)</t>
        </is>
      </c>
      <c r="B10" s="71">
        <f>COUNTIFS(VC_date,"&gt;="&amp;$B$4,VC_date,"&lt;="&amp;$B$4,VC_commercial,$E$4,VC_type,"&lt;&gt;Visite sur place",VC_type,"&lt;&gt;")</f>
        <v/>
      </c>
      <c r="D10" s="61" t="inlineStr">
        <is>
          <t>Commandes prises (XAF)</t>
        </is>
      </c>
      <c r="E10" s="72">
        <f>SUMIFS(Cmd_montant,Cmd_date,"&gt;="&amp;$B$4,Cmd_date,"&lt;="&amp;$B$4,Cmd_commercial,$E$4,Cmd_statut,"&lt;&gt;Annulée",Cmd_type,"&lt;&gt;Vente directe")</f>
        <v/>
      </c>
    </row>
    <row r="11">
      <c r="A11" s="61" t="inlineStr">
        <is>
          <t>Nouveaux prospects créés</t>
        </is>
      </c>
      <c r="B11" s="71">
        <f>COUNTIFS(Cl_creation,"&gt;="&amp;$B$4,Cl_creation,"&lt;="&amp;$B$4,Cl_commercial,$E$4)</f>
        <v/>
      </c>
      <c r="D11" s="61" t="inlineStr">
        <is>
          <t>Chiffre d'affaires réalisé (XAF)</t>
        </is>
      </c>
      <c r="E11" s="72">
        <f>SUMIFS(Cmd_montant,Cmd_dateca,"&gt;="&amp;$B$4,Cmd_dateca,"&lt;="&amp;$B$4,Cmd_commercial,$E$4)</f>
        <v/>
      </c>
    </row>
    <row r="12">
      <c r="A12" s="61" t="inlineStr">
        <is>
          <t>Nouveaux clients (1ère vente)</t>
        </is>
      </c>
      <c r="B12" s="71">
        <f>COUNTIFS(Cl_vente1,"&gt;="&amp;$B$4,Cl_vente1,"&lt;="&amp;$B$4,Cl_commercial,$E$4)</f>
        <v/>
      </c>
      <c r="D12" s="61" t="inlineStr">
        <is>
          <t>Encaissé (XAF)</t>
        </is>
      </c>
      <c r="E12" s="72">
        <f>SUMIFS(Enc_montant,Enc_date,"&gt;="&amp;$B$4,Enc_date,"&lt;="&amp;$B$4,Enc_commercial,$E$4)</f>
        <v/>
      </c>
    </row>
    <row r="13">
      <c r="A13" s="61" t="inlineStr">
        <is>
          <t>Frais engagés (XAF)</t>
        </is>
      </c>
      <c r="B13" s="72">
        <f>SUMIFS(Jr_frais,Jr_date,"&gt;="&amp;$B$4,Jr_date,"&lt;="&amp;$B$4,Jr_commercial,$E$4)</f>
        <v/>
      </c>
      <c r="D13" s="61" t="inlineStr">
        <is>
          <t>Casses et pertes (valeur, XAF)</t>
        </is>
      </c>
      <c r="E13" s="72">
        <f>SUMIFS(Stk_valeur,Stk_date,"&gt;="&amp;$B$4,Stk_date,"&lt;="&amp;$B$4,Stk_commercial,$E$4,Stk_mouvement,"Casse / avarie")+SUMIFS(Stk_valeur,Stk_date,"&gt;="&amp;$B$4,Stk_date,"&lt;="&amp;$B$4,Stk_commercial,$E$4,Stk_mouvement,"Perte / vol")</f>
        <v/>
      </c>
    </row>
    <row r="14">
      <c r="A14" s="61" t="inlineStr">
        <is>
          <t>Espèces détenues, non encore versées (cumul)</t>
        </is>
      </c>
      <c r="B14" s="72">
        <f>SUMIFS(Enc_montant,Enc_commercial,$E$4,Enc_mode,"Espèces",Enc_date,"&lt;="&amp;$B$4)-SUMIFS(Enc_montant,Enc_commercial,$E$4,Enc_mode,"Espèces",Enc_verse,"☑ Oui",Enc_date,"&lt;="&amp;$B$4)</f>
        <v/>
      </c>
      <c r="D14" s="61" t="inlineStr">
        <is>
          <t>Durée de la journée (heures)</t>
        </is>
      </c>
      <c r="E14" s="73">
        <f>IF($J$4=0,"",INDEX(Jr_amplitude,$J$4))</f>
        <v/>
      </c>
    </row>
    <row r="16" ht="22" customHeight="1">
      <c r="A16" s="3" t="inlineStr">
        <is>
          <t>VISITES ET CONTACTS DU JOUR (15 premières lignes)</t>
        </is>
      </c>
      <c r="B16" s="4" t="n"/>
      <c r="C16" s="4" t="n"/>
      <c r="D16" s="4" t="n"/>
      <c r="E16" s="4" t="n"/>
      <c r="F16" s="4" t="n"/>
    </row>
    <row r="17" ht="32" customHeight="1">
      <c r="A17" s="7" t="inlineStr">
        <is>
          <t>Client / prospect</t>
        </is>
      </c>
      <c r="B17" s="7" t="inlineStr">
        <is>
          <t>Type de contact</t>
        </is>
      </c>
      <c r="C17" s="7" t="inlineStr">
        <is>
          <t>Heure</t>
        </is>
      </c>
      <c r="D17" s="7" t="inlineStr">
        <is>
          <t>Objet → résultat</t>
        </is>
      </c>
      <c r="E17" s="7" t="inlineStr">
        <is>
          <t>Quartier</t>
        </is>
      </c>
      <c r="F17" s="7" t="inlineStr">
        <is>
          <t>Prochaine action</t>
        </is>
      </c>
    </row>
    <row r="18">
      <c r="A18" s="57">
        <f>IF($J18="","",INDEX(VC_nomclient,$J18-5)&amp;"")</f>
        <v/>
      </c>
      <c r="B18" s="57">
        <f>IF($J18="","",INDEX(VC_type,$J18-5)&amp;"")</f>
        <v/>
      </c>
      <c r="C18" s="67">
        <f>IF($J18="","",IF(INDEX(VC_heure,$J18-5)="","",INDEX(VC_heure,$J18-5)))</f>
        <v/>
      </c>
      <c r="D18" s="57">
        <f>IF($J18="","",INDEX(VC_objet,$J18-5)&amp;IF(INDEX(VC_resultat,$J18-5)="",""," → "&amp;INDEX(VC_resultat,$J18-5)))</f>
        <v/>
      </c>
      <c r="E18" s="57">
        <f>IF($J18="","",INDEX(VC_quartier,$J18-5)&amp;"")</f>
        <v/>
      </c>
      <c r="F18" s="60">
        <f>IF($J18="","",IF(INDEX(VC_actiondate,$J18-5)="","",INDEX(VC_actiondate,$J18-5)))</f>
        <v/>
      </c>
      <c r="J18">
        <f>IF(1&gt;COUNTIFS(VC_date,$B$4,VC_commercial,$E$4),"",SMALL(INDEX(ROW(VC_date)+(((VC_date&lt;&gt;$B$4)+(VC_commercial&lt;&gt;$E$4))&gt;0)*1000000000,0),1))</f>
        <v/>
      </c>
    </row>
    <row r="19">
      <c r="A19" s="57">
        <f>IF($J19="","",INDEX(VC_nomclient,$J19-5)&amp;"")</f>
        <v/>
      </c>
      <c r="B19" s="57">
        <f>IF($J19="","",INDEX(VC_type,$J19-5)&amp;"")</f>
        <v/>
      </c>
      <c r="C19" s="67">
        <f>IF($J19="","",IF(INDEX(VC_heure,$J19-5)="","",INDEX(VC_heure,$J19-5)))</f>
        <v/>
      </c>
      <c r="D19" s="57">
        <f>IF($J19="","",INDEX(VC_objet,$J19-5)&amp;IF(INDEX(VC_resultat,$J19-5)="",""," → "&amp;INDEX(VC_resultat,$J19-5)))</f>
        <v/>
      </c>
      <c r="E19" s="57">
        <f>IF($J19="","",INDEX(VC_quartier,$J19-5)&amp;"")</f>
        <v/>
      </c>
      <c r="F19" s="60">
        <f>IF($J19="","",IF(INDEX(VC_actiondate,$J19-5)="","",INDEX(VC_actiondate,$J19-5)))</f>
        <v/>
      </c>
      <c r="J19">
        <f>IF(2&gt;COUNTIFS(VC_date,$B$4,VC_commercial,$E$4),"",SMALL(INDEX(ROW(VC_date)+(((VC_date&lt;&gt;$B$4)+(VC_commercial&lt;&gt;$E$4))&gt;0)*1000000000,0),2))</f>
        <v/>
      </c>
    </row>
    <row r="20">
      <c r="A20" s="57">
        <f>IF($J20="","",INDEX(VC_nomclient,$J20-5)&amp;"")</f>
        <v/>
      </c>
      <c r="B20" s="57">
        <f>IF($J20="","",INDEX(VC_type,$J20-5)&amp;"")</f>
        <v/>
      </c>
      <c r="C20" s="67">
        <f>IF($J20="","",IF(INDEX(VC_heure,$J20-5)="","",INDEX(VC_heure,$J20-5)))</f>
        <v/>
      </c>
      <c r="D20" s="57">
        <f>IF($J20="","",INDEX(VC_objet,$J20-5)&amp;IF(INDEX(VC_resultat,$J20-5)="",""," → "&amp;INDEX(VC_resultat,$J20-5)))</f>
        <v/>
      </c>
      <c r="E20" s="57">
        <f>IF($J20="","",INDEX(VC_quartier,$J20-5)&amp;"")</f>
        <v/>
      </c>
      <c r="F20" s="60">
        <f>IF($J20="","",IF(INDEX(VC_actiondate,$J20-5)="","",INDEX(VC_actiondate,$J20-5)))</f>
        <v/>
      </c>
      <c r="J20">
        <f>IF(3&gt;COUNTIFS(VC_date,$B$4,VC_commercial,$E$4),"",SMALL(INDEX(ROW(VC_date)+(((VC_date&lt;&gt;$B$4)+(VC_commercial&lt;&gt;$E$4))&gt;0)*1000000000,0),3))</f>
        <v/>
      </c>
    </row>
    <row r="21">
      <c r="A21" s="57">
        <f>IF($J21="","",INDEX(VC_nomclient,$J21-5)&amp;"")</f>
        <v/>
      </c>
      <c r="B21" s="57">
        <f>IF($J21="","",INDEX(VC_type,$J21-5)&amp;"")</f>
        <v/>
      </c>
      <c r="C21" s="67">
        <f>IF($J21="","",IF(INDEX(VC_heure,$J21-5)="","",INDEX(VC_heure,$J21-5)))</f>
        <v/>
      </c>
      <c r="D21" s="57">
        <f>IF($J21="","",INDEX(VC_objet,$J21-5)&amp;IF(INDEX(VC_resultat,$J21-5)="",""," → "&amp;INDEX(VC_resultat,$J21-5)))</f>
        <v/>
      </c>
      <c r="E21" s="57">
        <f>IF($J21="","",INDEX(VC_quartier,$J21-5)&amp;"")</f>
        <v/>
      </c>
      <c r="F21" s="60">
        <f>IF($J21="","",IF(INDEX(VC_actiondate,$J21-5)="","",INDEX(VC_actiondate,$J21-5)))</f>
        <v/>
      </c>
      <c r="J21">
        <f>IF(4&gt;COUNTIFS(VC_date,$B$4,VC_commercial,$E$4),"",SMALL(INDEX(ROW(VC_date)+(((VC_date&lt;&gt;$B$4)+(VC_commercial&lt;&gt;$E$4))&gt;0)*1000000000,0),4))</f>
        <v/>
      </c>
    </row>
    <row r="22">
      <c r="A22" s="57">
        <f>IF($J22="","",INDEX(VC_nomclient,$J22-5)&amp;"")</f>
        <v/>
      </c>
      <c r="B22" s="57">
        <f>IF($J22="","",INDEX(VC_type,$J22-5)&amp;"")</f>
        <v/>
      </c>
      <c r="C22" s="67">
        <f>IF($J22="","",IF(INDEX(VC_heure,$J22-5)="","",INDEX(VC_heure,$J22-5)))</f>
        <v/>
      </c>
      <c r="D22" s="57">
        <f>IF($J22="","",INDEX(VC_objet,$J22-5)&amp;IF(INDEX(VC_resultat,$J22-5)="",""," → "&amp;INDEX(VC_resultat,$J22-5)))</f>
        <v/>
      </c>
      <c r="E22" s="57">
        <f>IF($J22="","",INDEX(VC_quartier,$J22-5)&amp;"")</f>
        <v/>
      </c>
      <c r="F22" s="60">
        <f>IF($J22="","",IF(INDEX(VC_actiondate,$J22-5)="","",INDEX(VC_actiondate,$J22-5)))</f>
        <v/>
      </c>
      <c r="J22">
        <f>IF(5&gt;COUNTIFS(VC_date,$B$4,VC_commercial,$E$4),"",SMALL(INDEX(ROW(VC_date)+(((VC_date&lt;&gt;$B$4)+(VC_commercial&lt;&gt;$E$4))&gt;0)*1000000000,0),5))</f>
        <v/>
      </c>
    </row>
    <row r="23">
      <c r="A23" s="57">
        <f>IF($J23="","",INDEX(VC_nomclient,$J23-5)&amp;"")</f>
        <v/>
      </c>
      <c r="B23" s="57">
        <f>IF($J23="","",INDEX(VC_type,$J23-5)&amp;"")</f>
        <v/>
      </c>
      <c r="C23" s="67">
        <f>IF($J23="","",IF(INDEX(VC_heure,$J23-5)="","",INDEX(VC_heure,$J23-5)))</f>
        <v/>
      </c>
      <c r="D23" s="57">
        <f>IF($J23="","",INDEX(VC_objet,$J23-5)&amp;IF(INDEX(VC_resultat,$J23-5)="",""," → "&amp;INDEX(VC_resultat,$J23-5)))</f>
        <v/>
      </c>
      <c r="E23" s="57">
        <f>IF($J23="","",INDEX(VC_quartier,$J23-5)&amp;"")</f>
        <v/>
      </c>
      <c r="F23" s="60">
        <f>IF($J23="","",IF(INDEX(VC_actiondate,$J23-5)="","",INDEX(VC_actiondate,$J23-5)))</f>
        <v/>
      </c>
      <c r="J23">
        <f>IF(6&gt;COUNTIFS(VC_date,$B$4,VC_commercial,$E$4),"",SMALL(INDEX(ROW(VC_date)+(((VC_date&lt;&gt;$B$4)+(VC_commercial&lt;&gt;$E$4))&gt;0)*1000000000,0),6))</f>
        <v/>
      </c>
    </row>
    <row r="24">
      <c r="A24" s="57">
        <f>IF($J24="","",INDEX(VC_nomclient,$J24-5)&amp;"")</f>
        <v/>
      </c>
      <c r="B24" s="57">
        <f>IF($J24="","",INDEX(VC_type,$J24-5)&amp;"")</f>
        <v/>
      </c>
      <c r="C24" s="67">
        <f>IF($J24="","",IF(INDEX(VC_heure,$J24-5)="","",INDEX(VC_heure,$J24-5)))</f>
        <v/>
      </c>
      <c r="D24" s="57">
        <f>IF($J24="","",INDEX(VC_objet,$J24-5)&amp;IF(INDEX(VC_resultat,$J24-5)="",""," → "&amp;INDEX(VC_resultat,$J24-5)))</f>
        <v/>
      </c>
      <c r="E24" s="57">
        <f>IF($J24="","",INDEX(VC_quartier,$J24-5)&amp;"")</f>
        <v/>
      </c>
      <c r="F24" s="60">
        <f>IF($J24="","",IF(INDEX(VC_actiondate,$J24-5)="","",INDEX(VC_actiondate,$J24-5)))</f>
        <v/>
      </c>
      <c r="J24">
        <f>IF(7&gt;COUNTIFS(VC_date,$B$4,VC_commercial,$E$4),"",SMALL(INDEX(ROW(VC_date)+(((VC_date&lt;&gt;$B$4)+(VC_commercial&lt;&gt;$E$4))&gt;0)*1000000000,0),7))</f>
        <v/>
      </c>
    </row>
    <row r="25">
      <c r="A25" s="57">
        <f>IF($J25="","",INDEX(VC_nomclient,$J25-5)&amp;"")</f>
        <v/>
      </c>
      <c r="B25" s="57">
        <f>IF($J25="","",INDEX(VC_type,$J25-5)&amp;"")</f>
        <v/>
      </c>
      <c r="C25" s="67">
        <f>IF($J25="","",IF(INDEX(VC_heure,$J25-5)="","",INDEX(VC_heure,$J25-5)))</f>
        <v/>
      </c>
      <c r="D25" s="57">
        <f>IF($J25="","",INDEX(VC_objet,$J25-5)&amp;IF(INDEX(VC_resultat,$J25-5)="",""," → "&amp;INDEX(VC_resultat,$J25-5)))</f>
        <v/>
      </c>
      <c r="E25" s="57">
        <f>IF($J25="","",INDEX(VC_quartier,$J25-5)&amp;"")</f>
        <v/>
      </c>
      <c r="F25" s="60">
        <f>IF($J25="","",IF(INDEX(VC_actiondate,$J25-5)="","",INDEX(VC_actiondate,$J25-5)))</f>
        <v/>
      </c>
      <c r="J25">
        <f>IF(8&gt;COUNTIFS(VC_date,$B$4,VC_commercial,$E$4),"",SMALL(INDEX(ROW(VC_date)+(((VC_date&lt;&gt;$B$4)+(VC_commercial&lt;&gt;$E$4))&gt;0)*1000000000,0),8))</f>
        <v/>
      </c>
    </row>
    <row r="26">
      <c r="A26" s="57">
        <f>IF($J26="","",INDEX(VC_nomclient,$J26-5)&amp;"")</f>
        <v/>
      </c>
      <c r="B26" s="57">
        <f>IF($J26="","",INDEX(VC_type,$J26-5)&amp;"")</f>
        <v/>
      </c>
      <c r="C26" s="67">
        <f>IF($J26="","",IF(INDEX(VC_heure,$J26-5)="","",INDEX(VC_heure,$J26-5)))</f>
        <v/>
      </c>
      <c r="D26" s="57">
        <f>IF($J26="","",INDEX(VC_objet,$J26-5)&amp;IF(INDEX(VC_resultat,$J26-5)="",""," → "&amp;INDEX(VC_resultat,$J26-5)))</f>
        <v/>
      </c>
      <c r="E26" s="57">
        <f>IF($J26="","",INDEX(VC_quartier,$J26-5)&amp;"")</f>
        <v/>
      </c>
      <c r="F26" s="60">
        <f>IF($J26="","",IF(INDEX(VC_actiondate,$J26-5)="","",INDEX(VC_actiondate,$J26-5)))</f>
        <v/>
      </c>
      <c r="J26">
        <f>IF(9&gt;COUNTIFS(VC_date,$B$4,VC_commercial,$E$4),"",SMALL(INDEX(ROW(VC_date)+(((VC_date&lt;&gt;$B$4)+(VC_commercial&lt;&gt;$E$4))&gt;0)*1000000000,0),9))</f>
        <v/>
      </c>
    </row>
    <row r="27">
      <c r="A27" s="57">
        <f>IF($J27="","",INDEX(VC_nomclient,$J27-5)&amp;"")</f>
        <v/>
      </c>
      <c r="B27" s="57">
        <f>IF($J27="","",INDEX(VC_type,$J27-5)&amp;"")</f>
        <v/>
      </c>
      <c r="C27" s="67">
        <f>IF($J27="","",IF(INDEX(VC_heure,$J27-5)="","",INDEX(VC_heure,$J27-5)))</f>
        <v/>
      </c>
      <c r="D27" s="57">
        <f>IF($J27="","",INDEX(VC_objet,$J27-5)&amp;IF(INDEX(VC_resultat,$J27-5)="",""," → "&amp;INDEX(VC_resultat,$J27-5)))</f>
        <v/>
      </c>
      <c r="E27" s="57">
        <f>IF($J27="","",INDEX(VC_quartier,$J27-5)&amp;"")</f>
        <v/>
      </c>
      <c r="F27" s="60">
        <f>IF($J27="","",IF(INDEX(VC_actiondate,$J27-5)="","",INDEX(VC_actiondate,$J27-5)))</f>
        <v/>
      </c>
      <c r="J27">
        <f>IF(10&gt;COUNTIFS(VC_date,$B$4,VC_commercial,$E$4),"",SMALL(INDEX(ROW(VC_date)+(((VC_date&lt;&gt;$B$4)+(VC_commercial&lt;&gt;$E$4))&gt;0)*1000000000,0),10))</f>
        <v/>
      </c>
    </row>
    <row r="28">
      <c r="A28" s="57">
        <f>IF($J28="","",INDEX(VC_nomclient,$J28-5)&amp;"")</f>
        <v/>
      </c>
      <c r="B28" s="57">
        <f>IF($J28="","",INDEX(VC_type,$J28-5)&amp;"")</f>
        <v/>
      </c>
      <c r="C28" s="67">
        <f>IF($J28="","",IF(INDEX(VC_heure,$J28-5)="","",INDEX(VC_heure,$J28-5)))</f>
        <v/>
      </c>
      <c r="D28" s="57">
        <f>IF($J28="","",INDEX(VC_objet,$J28-5)&amp;IF(INDEX(VC_resultat,$J28-5)="",""," → "&amp;INDEX(VC_resultat,$J28-5)))</f>
        <v/>
      </c>
      <c r="E28" s="57">
        <f>IF($J28="","",INDEX(VC_quartier,$J28-5)&amp;"")</f>
        <v/>
      </c>
      <c r="F28" s="60">
        <f>IF($J28="","",IF(INDEX(VC_actiondate,$J28-5)="","",INDEX(VC_actiondate,$J28-5)))</f>
        <v/>
      </c>
      <c r="J28">
        <f>IF(11&gt;COUNTIFS(VC_date,$B$4,VC_commercial,$E$4),"",SMALL(INDEX(ROW(VC_date)+(((VC_date&lt;&gt;$B$4)+(VC_commercial&lt;&gt;$E$4))&gt;0)*1000000000,0),11))</f>
        <v/>
      </c>
    </row>
    <row r="29">
      <c r="A29" s="57">
        <f>IF($J29="","",INDEX(VC_nomclient,$J29-5)&amp;"")</f>
        <v/>
      </c>
      <c r="B29" s="57">
        <f>IF($J29="","",INDEX(VC_type,$J29-5)&amp;"")</f>
        <v/>
      </c>
      <c r="C29" s="67">
        <f>IF($J29="","",IF(INDEX(VC_heure,$J29-5)="","",INDEX(VC_heure,$J29-5)))</f>
        <v/>
      </c>
      <c r="D29" s="57">
        <f>IF($J29="","",INDEX(VC_objet,$J29-5)&amp;IF(INDEX(VC_resultat,$J29-5)="",""," → "&amp;INDEX(VC_resultat,$J29-5)))</f>
        <v/>
      </c>
      <c r="E29" s="57">
        <f>IF($J29="","",INDEX(VC_quartier,$J29-5)&amp;"")</f>
        <v/>
      </c>
      <c r="F29" s="60">
        <f>IF($J29="","",IF(INDEX(VC_actiondate,$J29-5)="","",INDEX(VC_actiondate,$J29-5)))</f>
        <v/>
      </c>
      <c r="J29">
        <f>IF(12&gt;COUNTIFS(VC_date,$B$4,VC_commercial,$E$4),"",SMALL(INDEX(ROW(VC_date)+(((VC_date&lt;&gt;$B$4)+(VC_commercial&lt;&gt;$E$4))&gt;0)*1000000000,0),12))</f>
        <v/>
      </c>
    </row>
    <row r="30">
      <c r="A30" s="57">
        <f>IF($J30="","",INDEX(VC_nomclient,$J30-5)&amp;"")</f>
        <v/>
      </c>
      <c r="B30" s="57">
        <f>IF($J30="","",INDEX(VC_type,$J30-5)&amp;"")</f>
        <v/>
      </c>
      <c r="C30" s="67">
        <f>IF($J30="","",IF(INDEX(VC_heure,$J30-5)="","",INDEX(VC_heure,$J30-5)))</f>
        <v/>
      </c>
      <c r="D30" s="57">
        <f>IF($J30="","",INDEX(VC_objet,$J30-5)&amp;IF(INDEX(VC_resultat,$J30-5)="",""," → "&amp;INDEX(VC_resultat,$J30-5)))</f>
        <v/>
      </c>
      <c r="E30" s="57">
        <f>IF($J30="","",INDEX(VC_quartier,$J30-5)&amp;"")</f>
        <v/>
      </c>
      <c r="F30" s="60">
        <f>IF($J30="","",IF(INDEX(VC_actiondate,$J30-5)="","",INDEX(VC_actiondate,$J30-5)))</f>
        <v/>
      </c>
      <c r="J30">
        <f>IF(13&gt;COUNTIFS(VC_date,$B$4,VC_commercial,$E$4),"",SMALL(INDEX(ROW(VC_date)+(((VC_date&lt;&gt;$B$4)+(VC_commercial&lt;&gt;$E$4))&gt;0)*1000000000,0),13))</f>
        <v/>
      </c>
    </row>
    <row r="31">
      <c r="A31" s="57">
        <f>IF($J31="","",INDEX(VC_nomclient,$J31-5)&amp;"")</f>
        <v/>
      </c>
      <c r="B31" s="57">
        <f>IF($J31="","",INDEX(VC_type,$J31-5)&amp;"")</f>
        <v/>
      </c>
      <c r="C31" s="67">
        <f>IF($J31="","",IF(INDEX(VC_heure,$J31-5)="","",INDEX(VC_heure,$J31-5)))</f>
        <v/>
      </c>
      <c r="D31" s="57">
        <f>IF($J31="","",INDEX(VC_objet,$J31-5)&amp;IF(INDEX(VC_resultat,$J31-5)="",""," → "&amp;INDEX(VC_resultat,$J31-5)))</f>
        <v/>
      </c>
      <c r="E31" s="57">
        <f>IF($J31="","",INDEX(VC_quartier,$J31-5)&amp;"")</f>
        <v/>
      </c>
      <c r="F31" s="60">
        <f>IF($J31="","",IF(INDEX(VC_actiondate,$J31-5)="","",INDEX(VC_actiondate,$J31-5)))</f>
        <v/>
      </c>
      <c r="J31">
        <f>IF(14&gt;COUNTIFS(VC_date,$B$4,VC_commercial,$E$4),"",SMALL(INDEX(ROW(VC_date)+(((VC_date&lt;&gt;$B$4)+(VC_commercial&lt;&gt;$E$4))&gt;0)*1000000000,0),14))</f>
        <v/>
      </c>
    </row>
    <row r="32">
      <c r="A32" s="57">
        <f>IF($J32="","",INDEX(VC_nomclient,$J32-5)&amp;"")</f>
        <v/>
      </c>
      <c r="B32" s="57">
        <f>IF($J32="","",INDEX(VC_type,$J32-5)&amp;"")</f>
        <v/>
      </c>
      <c r="C32" s="67">
        <f>IF($J32="","",IF(INDEX(VC_heure,$J32-5)="","",INDEX(VC_heure,$J32-5)))</f>
        <v/>
      </c>
      <c r="D32" s="57">
        <f>IF($J32="","",INDEX(VC_objet,$J32-5)&amp;IF(INDEX(VC_resultat,$J32-5)="",""," → "&amp;INDEX(VC_resultat,$J32-5)))</f>
        <v/>
      </c>
      <c r="E32" s="57">
        <f>IF($J32="","",INDEX(VC_quartier,$J32-5)&amp;"")</f>
        <v/>
      </c>
      <c r="F32" s="60">
        <f>IF($J32="","",IF(INDEX(VC_actiondate,$J32-5)="","",INDEX(VC_actiondate,$J32-5)))</f>
        <v/>
      </c>
      <c r="J32">
        <f>IF(15&gt;COUNTIFS(VC_date,$B$4,VC_commercial,$E$4),"",SMALL(INDEX(ROW(VC_date)+(((VC_date&lt;&gt;$B$4)+(VC_commercial&lt;&gt;$E$4))&gt;0)*1000000000,0),15))</f>
        <v/>
      </c>
    </row>
    <row r="34" ht="22" customHeight="1">
      <c r="A34" s="3" t="inlineStr">
        <is>
          <t>COMMANDES PRISES OU LIVRÉES CE JOUR (10 premières lignes)</t>
        </is>
      </c>
      <c r="B34" s="4" t="n"/>
      <c r="C34" s="4" t="n"/>
      <c r="D34" s="4" t="n"/>
      <c r="E34" s="4" t="n"/>
      <c r="F34" s="4" t="n"/>
    </row>
    <row r="35" ht="32" customHeight="1">
      <c r="A35" s="7" t="inlineStr">
        <is>
          <t>Client</t>
        </is>
      </c>
      <c r="B35" s="7" t="inlineStr">
        <is>
          <t>N° de commande / bon</t>
        </is>
      </c>
      <c r="C35" s="7" t="inlineStr">
        <is>
          <t>Quantité</t>
        </is>
      </c>
      <c r="D35" s="7" t="inlineStr">
        <is>
          <t>Produit</t>
        </is>
      </c>
      <c r="E35" s="7" t="inlineStr">
        <is>
          <t>Montant (XAF)</t>
        </is>
      </c>
      <c r="F35" s="7" t="inlineStr">
        <is>
          <t>Statut</t>
        </is>
      </c>
    </row>
    <row r="36">
      <c r="A36" s="57">
        <f>IF($J36="","",INDEX(Cmd_nomclient,$J36-5)&amp;"")</f>
        <v/>
      </c>
      <c r="B36" s="57">
        <f>IF($J36="","",INDEX(Cmd_bon,$J36-5)&amp;"")</f>
        <v/>
      </c>
      <c r="C36" s="74">
        <f>IF($J36="","",INDEX(Cmd_qte,$J36-5))</f>
        <v/>
      </c>
      <c r="D36" s="57">
        <f>IF($J36="","",INDEX(Cmd_produit,$J36-5)&amp;IF(INDEX(Cmd_unite,$J36-5)="",""," ("&amp;INDEX(Cmd_unite,$J36-5)&amp;")"))</f>
        <v/>
      </c>
      <c r="E36" s="59">
        <f>IF($J36="","",INDEX(Cmd_montant,$J36-5))</f>
        <v/>
      </c>
      <c r="F36" s="57">
        <f>IF($J36="","",INDEX(Cmd_type,$J36-5)&amp;" · "&amp;INDEX(Cmd_statut,$J36-5))</f>
        <v/>
      </c>
      <c r="J36">
        <f>IF(1&gt;SUMPRODUCT((((Cmd_date=$B$4)+(Cmd_dateca=$B$4))&gt;0)*(Cmd_commercial=$E$4)),"",SMALL(INDEX(ROW(Cmd_date)+(1-(((Cmd_date=$B$4)+(Cmd_dateca=$B$4))&gt;0)*(Cmd_commercial=$E$4))*1000000000,0),1))</f>
        <v/>
      </c>
    </row>
    <row r="37">
      <c r="A37" s="57">
        <f>IF($J37="","",INDEX(Cmd_nomclient,$J37-5)&amp;"")</f>
        <v/>
      </c>
      <c r="B37" s="57">
        <f>IF($J37="","",INDEX(Cmd_bon,$J37-5)&amp;"")</f>
        <v/>
      </c>
      <c r="C37" s="74">
        <f>IF($J37="","",INDEX(Cmd_qte,$J37-5))</f>
        <v/>
      </c>
      <c r="D37" s="57">
        <f>IF($J37="","",INDEX(Cmd_produit,$J37-5)&amp;IF(INDEX(Cmd_unite,$J37-5)="",""," ("&amp;INDEX(Cmd_unite,$J37-5)&amp;")"))</f>
        <v/>
      </c>
      <c r="E37" s="59">
        <f>IF($J37="","",INDEX(Cmd_montant,$J37-5))</f>
        <v/>
      </c>
      <c r="F37" s="57">
        <f>IF($J37="","",INDEX(Cmd_type,$J37-5)&amp;" · "&amp;INDEX(Cmd_statut,$J37-5))</f>
        <v/>
      </c>
      <c r="J37">
        <f>IF(2&gt;SUMPRODUCT((((Cmd_date=$B$4)+(Cmd_dateca=$B$4))&gt;0)*(Cmd_commercial=$E$4)),"",SMALL(INDEX(ROW(Cmd_date)+(1-(((Cmd_date=$B$4)+(Cmd_dateca=$B$4))&gt;0)*(Cmd_commercial=$E$4))*1000000000,0),2))</f>
        <v/>
      </c>
    </row>
    <row r="38">
      <c r="A38" s="57">
        <f>IF($J38="","",INDEX(Cmd_nomclient,$J38-5)&amp;"")</f>
        <v/>
      </c>
      <c r="B38" s="57">
        <f>IF($J38="","",INDEX(Cmd_bon,$J38-5)&amp;"")</f>
        <v/>
      </c>
      <c r="C38" s="74">
        <f>IF($J38="","",INDEX(Cmd_qte,$J38-5))</f>
        <v/>
      </c>
      <c r="D38" s="57">
        <f>IF($J38="","",INDEX(Cmd_produit,$J38-5)&amp;IF(INDEX(Cmd_unite,$J38-5)="",""," ("&amp;INDEX(Cmd_unite,$J38-5)&amp;")"))</f>
        <v/>
      </c>
      <c r="E38" s="59">
        <f>IF($J38="","",INDEX(Cmd_montant,$J38-5))</f>
        <v/>
      </c>
      <c r="F38" s="57">
        <f>IF($J38="","",INDEX(Cmd_type,$J38-5)&amp;" · "&amp;INDEX(Cmd_statut,$J38-5))</f>
        <v/>
      </c>
      <c r="J38">
        <f>IF(3&gt;SUMPRODUCT((((Cmd_date=$B$4)+(Cmd_dateca=$B$4))&gt;0)*(Cmd_commercial=$E$4)),"",SMALL(INDEX(ROW(Cmd_date)+(1-(((Cmd_date=$B$4)+(Cmd_dateca=$B$4))&gt;0)*(Cmd_commercial=$E$4))*1000000000,0),3))</f>
        <v/>
      </c>
    </row>
    <row r="39">
      <c r="A39" s="57">
        <f>IF($J39="","",INDEX(Cmd_nomclient,$J39-5)&amp;"")</f>
        <v/>
      </c>
      <c r="B39" s="57">
        <f>IF($J39="","",INDEX(Cmd_bon,$J39-5)&amp;"")</f>
        <v/>
      </c>
      <c r="C39" s="74">
        <f>IF($J39="","",INDEX(Cmd_qte,$J39-5))</f>
        <v/>
      </c>
      <c r="D39" s="57">
        <f>IF($J39="","",INDEX(Cmd_produit,$J39-5)&amp;IF(INDEX(Cmd_unite,$J39-5)="",""," ("&amp;INDEX(Cmd_unite,$J39-5)&amp;")"))</f>
        <v/>
      </c>
      <c r="E39" s="59">
        <f>IF($J39="","",INDEX(Cmd_montant,$J39-5))</f>
        <v/>
      </c>
      <c r="F39" s="57">
        <f>IF($J39="","",INDEX(Cmd_type,$J39-5)&amp;" · "&amp;INDEX(Cmd_statut,$J39-5))</f>
        <v/>
      </c>
      <c r="J39">
        <f>IF(4&gt;SUMPRODUCT((((Cmd_date=$B$4)+(Cmd_dateca=$B$4))&gt;0)*(Cmd_commercial=$E$4)),"",SMALL(INDEX(ROW(Cmd_date)+(1-(((Cmd_date=$B$4)+(Cmd_dateca=$B$4))&gt;0)*(Cmd_commercial=$E$4))*1000000000,0),4))</f>
        <v/>
      </c>
    </row>
    <row r="40">
      <c r="A40" s="57">
        <f>IF($J40="","",INDEX(Cmd_nomclient,$J40-5)&amp;"")</f>
        <v/>
      </c>
      <c r="B40" s="57">
        <f>IF($J40="","",INDEX(Cmd_bon,$J40-5)&amp;"")</f>
        <v/>
      </c>
      <c r="C40" s="74">
        <f>IF($J40="","",INDEX(Cmd_qte,$J40-5))</f>
        <v/>
      </c>
      <c r="D40" s="57">
        <f>IF($J40="","",INDEX(Cmd_produit,$J40-5)&amp;IF(INDEX(Cmd_unite,$J40-5)="",""," ("&amp;INDEX(Cmd_unite,$J40-5)&amp;")"))</f>
        <v/>
      </c>
      <c r="E40" s="59">
        <f>IF($J40="","",INDEX(Cmd_montant,$J40-5))</f>
        <v/>
      </c>
      <c r="F40" s="57">
        <f>IF($J40="","",INDEX(Cmd_type,$J40-5)&amp;" · "&amp;INDEX(Cmd_statut,$J40-5))</f>
        <v/>
      </c>
      <c r="J40">
        <f>IF(5&gt;SUMPRODUCT((((Cmd_date=$B$4)+(Cmd_dateca=$B$4))&gt;0)*(Cmd_commercial=$E$4)),"",SMALL(INDEX(ROW(Cmd_date)+(1-(((Cmd_date=$B$4)+(Cmd_dateca=$B$4))&gt;0)*(Cmd_commercial=$E$4))*1000000000,0),5))</f>
        <v/>
      </c>
    </row>
    <row r="41">
      <c r="A41" s="57">
        <f>IF($J41="","",INDEX(Cmd_nomclient,$J41-5)&amp;"")</f>
        <v/>
      </c>
      <c r="B41" s="57">
        <f>IF($J41="","",INDEX(Cmd_bon,$J41-5)&amp;"")</f>
        <v/>
      </c>
      <c r="C41" s="74">
        <f>IF($J41="","",INDEX(Cmd_qte,$J41-5))</f>
        <v/>
      </c>
      <c r="D41" s="57">
        <f>IF($J41="","",INDEX(Cmd_produit,$J41-5)&amp;IF(INDEX(Cmd_unite,$J41-5)="",""," ("&amp;INDEX(Cmd_unite,$J41-5)&amp;")"))</f>
        <v/>
      </c>
      <c r="E41" s="59">
        <f>IF($J41="","",INDEX(Cmd_montant,$J41-5))</f>
        <v/>
      </c>
      <c r="F41" s="57">
        <f>IF($J41="","",INDEX(Cmd_type,$J41-5)&amp;" · "&amp;INDEX(Cmd_statut,$J41-5))</f>
        <v/>
      </c>
      <c r="J41">
        <f>IF(6&gt;SUMPRODUCT((((Cmd_date=$B$4)+(Cmd_dateca=$B$4))&gt;0)*(Cmd_commercial=$E$4)),"",SMALL(INDEX(ROW(Cmd_date)+(1-(((Cmd_date=$B$4)+(Cmd_dateca=$B$4))&gt;0)*(Cmd_commercial=$E$4))*1000000000,0),6))</f>
        <v/>
      </c>
    </row>
    <row r="42">
      <c r="A42" s="57">
        <f>IF($J42="","",INDEX(Cmd_nomclient,$J42-5)&amp;"")</f>
        <v/>
      </c>
      <c r="B42" s="57">
        <f>IF($J42="","",INDEX(Cmd_bon,$J42-5)&amp;"")</f>
        <v/>
      </c>
      <c r="C42" s="74">
        <f>IF($J42="","",INDEX(Cmd_qte,$J42-5))</f>
        <v/>
      </c>
      <c r="D42" s="57">
        <f>IF($J42="","",INDEX(Cmd_produit,$J42-5)&amp;IF(INDEX(Cmd_unite,$J42-5)="",""," ("&amp;INDEX(Cmd_unite,$J42-5)&amp;")"))</f>
        <v/>
      </c>
      <c r="E42" s="59">
        <f>IF($J42="","",INDEX(Cmd_montant,$J42-5))</f>
        <v/>
      </c>
      <c r="F42" s="57">
        <f>IF($J42="","",INDEX(Cmd_type,$J42-5)&amp;" · "&amp;INDEX(Cmd_statut,$J42-5))</f>
        <v/>
      </c>
      <c r="J42">
        <f>IF(7&gt;SUMPRODUCT((((Cmd_date=$B$4)+(Cmd_dateca=$B$4))&gt;0)*(Cmd_commercial=$E$4)),"",SMALL(INDEX(ROW(Cmd_date)+(1-(((Cmd_date=$B$4)+(Cmd_dateca=$B$4))&gt;0)*(Cmd_commercial=$E$4))*1000000000,0),7))</f>
        <v/>
      </c>
    </row>
    <row r="43">
      <c r="A43" s="57">
        <f>IF($J43="","",INDEX(Cmd_nomclient,$J43-5)&amp;"")</f>
        <v/>
      </c>
      <c r="B43" s="57">
        <f>IF($J43="","",INDEX(Cmd_bon,$J43-5)&amp;"")</f>
        <v/>
      </c>
      <c r="C43" s="74">
        <f>IF($J43="","",INDEX(Cmd_qte,$J43-5))</f>
        <v/>
      </c>
      <c r="D43" s="57">
        <f>IF($J43="","",INDEX(Cmd_produit,$J43-5)&amp;IF(INDEX(Cmd_unite,$J43-5)="",""," ("&amp;INDEX(Cmd_unite,$J43-5)&amp;")"))</f>
        <v/>
      </c>
      <c r="E43" s="59">
        <f>IF($J43="","",INDEX(Cmd_montant,$J43-5))</f>
        <v/>
      </c>
      <c r="F43" s="57">
        <f>IF($J43="","",INDEX(Cmd_type,$J43-5)&amp;" · "&amp;INDEX(Cmd_statut,$J43-5))</f>
        <v/>
      </c>
      <c r="J43">
        <f>IF(8&gt;SUMPRODUCT((((Cmd_date=$B$4)+(Cmd_dateca=$B$4))&gt;0)*(Cmd_commercial=$E$4)),"",SMALL(INDEX(ROW(Cmd_date)+(1-(((Cmd_date=$B$4)+(Cmd_dateca=$B$4))&gt;0)*(Cmd_commercial=$E$4))*1000000000,0),8))</f>
        <v/>
      </c>
    </row>
    <row r="44">
      <c r="A44" s="57">
        <f>IF($J44="","",INDEX(Cmd_nomclient,$J44-5)&amp;"")</f>
        <v/>
      </c>
      <c r="B44" s="57">
        <f>IF($J44="","",INDEX(Cmd_bon,$J44-5)&amp;"")</f>
        <v/>
      </c>
      <c r="C44" s="74">
        <f>IF($J44="","",INDEX(Cmd_qte,$J44-5))</f>
        <v/>
      </c>
      <c r="D44" s="57">
        <f>IF($J44="","",INDEX(Cmd_produit,$J44-5)&amp;IF(INDEX(Cmd_unite,$J44-5)="",""," ("&amp;INDEX(Cmd_unite,$J44-5)&amp;")"))</f>
        <v/>
      </c>
      <c r="E44" s="59">
        <f>IF($J44="","",INDEX(Cmd_montant,$J44-5))</f>
        <v/>
      </c>
      <c r="F44" s="57">
        <f>IF($J44="","",INDEX(Cmd_type,$J44-5)&amp;" · "&amp;INDEX(Cmd_statut,$J44-5))</f>
        <v/>
      </c>
      <c r="J44">
        <f>IF(9&gt;SUMPRODUCT((((Cmd_date=$B$4)+(Cmd_dateca=$B$4))&gt;0)*(Cmd_commercial=$E$4)),"",SMALL(INDEX(ROW(Cmd_date)+(1-(((Cmd_date=$B$4)+(Cmd_dateca=$B$4))&gt;0)*(Cmd_commercial=$E$4))*1000000000,0),9))</f>
        <v/>
      </c>
    </row>
    <row r="45">
      <c r="A45" s="57">
        <f>IF($J45="","",INDEX(Cmd_nomclient,$J45-5)&amp;"")</f>
        <v/>
      </c>
      <c r="B45" s="57">
        <f>IF($J45="","",INDEX(Cmd_bon,$J45-5)&amp;"")</f>
        <v/>
      </c>
      <c r="C45" s="74">
        <f>IF($J45="","",INDEX(Cmd_qte,$J45-5))</f>
        <v/>
      </c>
      <c r="D45" s="57">
        <f>IF($J45="","",INDEX(Cmd_produit,$J45-5)&amp;IF(INDEX(Cmd_unite,$J45-5)="",""," ("&amp;INDEX(Cmd_unite,$J45-5)&amp;")"))</f>
        <v/>
      </c>
      <c r="E45" s="59">
        <f>IF($J45="","",INDEX(Cmd_montant,$J45-5))</f>
        <v/>
      </c>
      <c r="F45" s="57">
        <f>IF($J45="","",INDEX(Cmd_type,$J45-5)&amp;" · "&amp;INDEX(Cmd_statut,$J45-5))</f>
        <v/>
      </c>
      <c r="J45">
        <f>IF(10&gt;SUMPRODUCT((((Cmd_date=$B$4)+(Cmd_dateca=$B$4))&gt;0)*(Cmd_commercial=$E$4)),"",SMALL(INDEX(ROW(Cmd_date)+(1-(((Cmd_date=$B$4)+(Cmd_dateca=$B$4))&gt;0)*(Cmd_commercial=$E$4))*1000000000,0),10))</f>
        <v/>
      </c>
    </row>
    <row r="47" ht="22" customHeight="1">
      <c r="A47" s="3" t="inlineStr">
        <is>
          <t>ENCAISSEMENTS DU JOUR (8 premières lignes)</t>
        </is>
      </c>
      <c r="B47" s="4" t="n"/>
      <c r="C47" s="4" t="n"/>
      <c r="D47" s="4" t="n"/>
      <c r="E47" s="4" t="n"/>
      <c r="F47" s="4" t="n"/>
    </row>
    <row r="48" ht="32" customHeight="1">
      <c r="A48" s="7" t="inlineStr">
        <is>
          <t>Client</t>
        </is>
      </c>
      <c r="B48" s="7" t="inlineStr">
        <is>
          <t>Mode de paiement</t>
        </is>
      </c>
      <c r="C48" s="7" t="inlineStr">
        <is>
          <t>Montant (XAF)</t>
        </is>
      </c>
      <c r="D48" s="7" t="inlineStr">
        <is>
          <t>Référence de la transaction</t>
        </is>
      </c>
      <c r="E48" s="7" t="inlineStr">
        <is>
          <t>Versé à l'entreprise ?</t>
        </is>
      </c>
      <c r="F48" s="7" t="inlineStr">
        <is>
          <t>Reste dû du client (XAF)</t>
        </is>
      </c>
    </row>
    <row r="49">
      <c r="A49" s="57">
        <f>IF($J49="","",INDEX(Enc_nomclient,$J49-5)&amp;"")</f>
        <v/>
      </c>
      <c r="B49" s="57">
        <f>IF($J49="","",INDEX(Enc_mode,$J49-5)&amp;"")</f>
        <v/>
      </c>
      <c r="C49" s="59">
        <f>IF($J49="","",INDEX(Enc_montant,$J49-5))</f>
        <v/>
      </c>
      <c r="D49" s="57">
        <f>IF($J49="","",INDEX(Enc_reference,$J49-5)&amp;"")</f>
        <v/>
      </c>
      <c r="E49" s="58">
        <f>IF($J49="","",INDEX(Enc_verse,$J49-5)&amp;"")</f>
        <v/>
      </c>
      <c r="F49" s="59">
        <f>IF($J49="","",INDEX(Enc_resteclient,$J49-5))</f>
        <v/>
      </c>
      <c r="J49">
        <f>IF(1&gt;COUNTIFS(Enc_date,$B$4,Enc_commercial,$E$4),"",SMALL(INDEX(ROW(Enc_date)+(((Enc_date&lt;&gt;$B$4)+(Enc_commercial&lt;&gt;$E$4))&gt;0)*1000000000,0),1))</f>
        <v/>
      </c>
    </row>
    <row r="50">
      <c r="A50" s="57">
        <f>IF($J50="","",INDEX(Enc_nomclient,$J50-5)&amp;"")</f>
        <v/>
      </c>
      <c r="B50" s="57">
        <f>IF($J50="","",INDEX(Enc_mode,$J50-5)&amp;"")</f>
        <v/>
      </c>
      <c r="C50" s="59">
        <f>IF($J50="","",INDEX(Enc_montant,$J50-5))</f>
        <v/>
      </c>
      <c r="D50" s="57">
        <f>IF($J50="","",INDEX(Enc_reference,$J50-5)&amp;"")</f>
        <v/>
      </c>
      <c r="E50" s="58">
        <f>IF($J50="","",INDEX(Enc_verse,$J50-5)&amp;"")</f>
        <v/>
      </c>
      <c r="F50" s="59">
        <f>IF($J50="","",INDEX(Enc_resteclient,$J50-5))</f>
        <v/>
      </c>
      <c r="J50">
        <f>IF(2&gt;COUNTIFS(Enc_date,$B$4,Enc_commercial,$E$4),"",SMALL(INDEX(ROW(Enc_date)+(((Enc_date&lt;&gt;$B$4)+(Enc_commercial&lt;&gt;$E$4))&gt;0)*1000000000,0),2))</f>
        <v/>
      </c>
    </row>
    <row r="51">
      <c r="A51" s="57">
        <f>IF($J51="","",INDEX(Enc_nomclient,$J51-5)&amp;"")</f>
        <v/>
      </c>
      <c r="B51" s="57">
        <f>IF($J51="","",INDEX(Enc_mode,$J51-5)&amp;"")</f>
        <v/>
      </c>
      <c r="C51" s="59">
        <f>IF($J51="","",INDEX(Enc_montant,$J51-5))</f>
        <v/>
      </c>
      <c r="D51" s="57">
        <f>IF($J51="","",INDEX(Enc_reference,$J51-5)&amp;"")</f>
        <v/>
      </c>
      <c r="E51" s="58">
        <f>IF($J51="","",INDEX(Enc_verse,$J51-5)&amp;"")</f>
        <v/>
      </c>
      <c r="F51" s="59">
        <f>IF($J51="","",INDEX(Enc_resteclient,$J51-5))</f>
        <v/>
      </c>
      <c r="J51">
        <f>IF(3&gt;COUNTIFS(Enc_date,$B$4,Enc_commercial,$E$4),"",SMALL(INDEX(ROW(Enc_date)+(((Enc_date&lt;&gt;$B$4)+(Enc_commercial&lt;&gt;$E$4))&gt;0)*1000000000,0),3))</f>
        <v/>
      </c>
    </row>
    <row r="52">
      <c r="A52" s="57">
        <f>IF($J52="","",INDEX(Enc_nomclient,$J52-5)&amp;"")</f>
        <v/>
      </c>
      <c r="B52" s="57">
        <f>IF($J52="","",INDEX(Enc_mode,$J52-5)&amp;"")</f>
        <v/>
      </c>
      <c r="C52" s="59">
        <f>IF($J52="","",INDEX(Enc_montant,$J52-5))</f>
        <v/>
      </c>
      <c r="D52" s="57">
        <f>IF($J52="","",INDEX(Enc_reference,$J52-5)&amp;"")</f>
        <v/>
      </c>
      <c r="E52" s="58">
        <f>IF($J52="","",INDEX(Enc_verse,$J52-5)&amp;"")</f>
        <v/>
      </c>
      <c r="F52" s="59">
        <f>IF($J52="","",INDEX(Enc_resteclient,$J52-5))</f>
        <v/>
      </c>
      <c r="J52">
        <f>IF(4&gt;COUNTIFS(Enc_date,$B$4,Enc_commercial,$E$4),"",SMALL(INDEX(ROW(Enc_date)+(((Enc_date&lt;&gt;$B$4)+(Enc_commercial&lt;&gt;$E$4))&gt;0)*1000000000,0),4))</f>
        <v/>
      </c>
    </row>
    <row r="53">
      <c r="A53" s="57">
        <f>IF($J53="","",INDEX(Enc_nomclient,$J53-5)&amp;"")</f>
        <v/>
      </c>
      <c r="B53" s="57">
        <f>IF($J53="","",INDEX(Enc_mode,$J53-5)&amp;"")</f>
        <v/>
      </c>
      <c r="C53" s="59">
        <f>IF($J53="","",INDEX(Enc_montant,$J53-5))</f>
        <v/>
      </c>
      <c r="D53" s="57">
        <f>IF($J53="","",INDEX(Enc_reference,$J53-5)&amp;"")</f>
        <v/>
      </c>
      <c r="E53" s="58">
        <f>IF($J53="","",INDEX(Enc_verse,$J53-5)&amp;"")</f>
        <v/>
      </c>
      <c r="F53" s="59">
        <f>IF($J53="","",INDEX(Enc_resteclient,$J53-5))</f>
        <v/>
      </c>
      <c r="J53">
        <f>IF(5&gt;COUNTIFS(Enc_date,$B$4,Enc_commercial,$E$4),"",SMALL(INDEX(ROW(Enc_date)+(((Enc_date&lt;&gt;$B$4)+(Enc_commercial&lt;&gt;$E$4))&gt;0)*1000000000,0),5))</f>
        <v/>
      </c>
    </row>
    <row r="54">
      <c r="A54" s="57">
        <f>IF($J54="","",INDEX(Enc_nomclient,$J54-5)&amp;"")</f>
        <v/>
      </c>
      <c r="B54" s="57">
        <f>IF($J54="","",INDEX(Enc_mode,$J54-5)&amp;"")</f>
        <v/>
      </c>
      <c r="C54" s="59">
        <f>IF($J54="","",INDEX(Enc_montant,$J54-5))</f>
        <v/>
      </c>
      <c r="D54" s="57">
        <f>IF($J54="","",INDEX(Enc_reference,$J54-5)&amp;"")</f>
        <v/>
      </c>
      <c r="E54" s="58">
        <f>IF($J54="","",INDEX(Enc_verse,$J54-5)&amp;"")</f>
        <v/>
      </c>
      <c r="F54" s="59">
        <f>IF($J54="","",INDEX(Enc_resteclient,$J54-5))</f>
        <v/>
      </c>
      <c r="J54">
        <f>IF(6&gt;COUNTIFS(Enc_date,$B$4,Enc_commercial,$E$4),"",SMALL(INDEX(ROW(Enc_date)+(((Enc_date&lt;&gt;$B$4)+(Enc_commercial&lt;&gt;$E$4))&gt;0)*1000000000,0),6))</f>
        <v/>
      </c>
    </row>
    <row r="55">
      <c r="A55" s="57">
        <f>IF($J55="","",INDEX(Enc_nomclient,$J55-5)&amp;"")</f>
        <v/>
      </c>
      <c r="B55" s="57">
        <f>IF($J55="","",INDEX(Enc_mode,$J55-5)&amp;"")</f>
        <v/>
      </c>
      <c r="C55" s="59">
        <f>IF($J55="","",INDEX(Enc_montant,$J55-5))</f>
        <v/>
      </c>
      <c r="D55" s="57">
        <f>IF($J55="","",INDEX(Enc_reference,$J55-5)&amp;"")</f>
        <v/>
      </c>
      <c r="E55" s="58">
        <f>IF($J55="","",INDEX(Enc_verse,$J55-5)&amp;"")</f>
        <v/>
      </c>
      <c r="F55" s="59">
        <f>IF($J55="","",INDEX(Enc_resteclient,$J55-5))</f>
        <v/>
      </c>
      <c r="J55">
        <f>IF(7&gt;COUNTIFS(Enc_date,$B$4,Enc_commercial,$E$4),"",SMALL(INDEX(ROW(Enc_date)+(((Enc_date&lt;&gt;$B$4)+(Enc_commercial&lt;&gt;$E$4))&gt;0)*1000000000,0),7))</f>
        <v/>
      </c>
    </row>
    <row r="56">
      <c r="A56" s="57">
        <f>IF($J56="","",INDEX(Enc_nomclient,$J56-5)&amp;"")</f>
        <v/>
      </c>
      <c r="B56" s="57">
        <f>IF($J56="","",INDEX(Enc_mode,$J56-5)&amp;"")</f>
        <v/>
      </c>
      <c r="C56" s="59">
        <f>IF($J56="","",INDEX(Enc_montant,$J56-5))</f>
        <v/>
      </c>
      <c r="D56" s="57">
        <f>IF($J56="","",INDEX(Enc_reference,$J56-5)&amp;"")</f>
        <v/>
      </c>
      <c r="E56" s="58">
        <f>IF($J56="","",INDEX(Enc_verse,$J56-5)&amp;"")</f>
        <v/>
      </c>
      <c r="F56" s="59">
        <f>IF($J56="","",INDEX(Enc_resteclient,$J56-5))</f>
        <v/>
      </c>
      <c r="J56">
        <f>IF(8&gt;COUNTIFS(Enc_date,$B$4,Enc_commercial,$E$4),"",SMALL(INDEX(ROW(Enc_date)+(((Enc_date&lt;&gt;$B$4)+(Enc_commercial&lt;&gt;$E$4))&gt;0)*1000000000,0),8))</f>
        <v/>
      </c>
    </row>
    <row r="58" ht="22" customHeight="1">
      <c r="A58" s="3" t="inlineStr">
        <is>
          <t>STOCK CONFIÉ AU COMMERCIAL (cumul jusqu'à la date du rapport)</t>
        </is>
      </c>
      <c r="B58" s="4" t="n"/>
      <c r="C58" s="4" t="n"/>
      <c r="D58" s="4" t="n"/>
      <c r="E58" s="4" t="n"/>
      <c r="F58" s="4" t="n"/>
    </row>
    <row r="59" ht="32" customHeight="1">
      <c r="A59" s="7" t="inlineStr">
        <is>
          <t>Produit</t>
        </is>
      </c>
      <c r="B59" s="7" t="inlineStr">
        <is>
          <t>Reçu (+ ajustements)</t>
        </is>
      </c>
      <c r="C59" s="7" t="inlineStr">
        <is>
          <t>Retourné au magasin</t>
        </is>
      </c>
      <c r="D59" s="7" t="inlineStr">
        <is>
          <t>Casses, pertes, échantillons</t>
        </is>
      </c>
      <c r="E59" s="7" t="inlineStr">
        <is>
          <t>Vendu (livré)</t>
        </is>
      </c>
      <c r="F59" s="7" t="inlineStr">
        <is>
          <t>Restant théorique</t>
        </is>
      </c>
    </row>
    <row r="60">
      <c r="A60" s="57">
        <f>IFERROR(INDEX(L_Produit,1)&amp;"","")</f>
        <v/>
      </c>
      <c r="B60" s="74">
        <f>IF($A60="","",SUMIFS(Stk_qte,Stk_produit,$A60,Stk_commercial,$E$4,Stk_mouvement,"Reçu du magasin",Stk_date,"&lt;="&amp;$B$4)+SUMIFS(Stk_qte,Stk_produit,$A60,Stk_commercial,$E$4,Stk_mouvement,"Ajustement (+)",Stk_date,"&lt;="&amp;$B$4))</f>
        <v/>
      </c>
      <c r="C60" s="74">
        <f>IF($A60="","",SUMIFS(Stk_qte,Stk_produit,$A60,Stk_commercial,$E$4,Stk_mouvement,"Retourné au magasin",Stk_date,"&lt;="&amp;$B$4))</f>
        <v/>
      </c>
      <c r="D60" s="74">
        <f>IF($A60="","",SUMIFS(Stk_qte,Stk_produit,$A60,Stk_commercial,$E$4,Stk_mouvement,"Casse / avarie",Stk_date,"&lt;="&amp;$B$4)+SUMIFS(Stk_qte,Stk_produit,$A60,Stk_commercial,$E$4,Stk_mouvement,"Perte / vol",Stk_date,"&lt;="&amp;$B$4)+SUMIFS(Stk_qte,Stk_produit,$A60,Stk_commercial,$E$4,Stk_mouvement,"Échantillon offert",Stk_date,"&lt;="&amp;$B$4)+SUMIFS(Stk_qte,Stk_produit,$A60,Stk_commercial,$E$4,Stk_mouvement,"Ajustement (-)",Stk_date,"&lt;="&amp;$B$4))</f>
        <v/>
      </c>
      <c r="E60" s="74">
        <f>IF($A60="","",SUMIFS(Cmd_qte,Cmd_produit,$A60,Cmd_commercial,$E$4,Cmd_dateca,"&gt;0",Cmd_dateca,"&lt;="&amp;$B$4))</f>
        <v/>
      </c>
      <c r="F60" s="75">
        <f>IF($A60="","",B60-C60-D60-E60)</f>
        <v/>
      </c>
    </row>
    <row r="61">
      <c r="A61" s="57">
        <f>IFERROR(INDEX(L_Produit,2)&amp;"","")</f>
        <v/>
      </c>
      <c r="B61" s="74">
        <f>IF($A61="","",SUMIFS(Stk_qte,Stk_produit,$A61,Stk_commercial,$E$4,Stk_mouvement,"Reçu du magasin",Stk_date,"&lt;="&amp;$B$4)+SUMIFS(Stk_qte,Stk_produit,$A61,Stk_commercial,$E$4,Stk_mouvement,"Ajustement (+)",Stk_date,"&lt;="&amp;$B$4))</f>
        <v/>
      </c>
      <c r="C61" s="74">
        <f>IF($A61="","",SUMIFS(Stk_qte,Stk_produit,$A61,Stk_commercial,$E$4,Stk_mouvement,"Retourné au magasin",Stk_date,"&lt;="&amp;$B$4))</f>
        <v/>
      </c>
      <c r="D61" s="74">
        <f>IF($A61="","",SUMIFS(Stk_qte,Stk_produit,$A61,Stk_commercial,$E$4,Stk_mouvement,"Casse / avarie",Stk_date,"&lt;="&amp;$B$4)+SUMIFS(Stk_qte,Stk_produit,$A61,Stk_commercial,$E$4,Stk_mouvement,"Perte / vol",Stk_date,"&lt;="&amp;$B$4)+SUMIFS(Stk_qte,Stk_produit,$A61,Stk_commercial,$E$4,Stk_mouvement,"Échantillon offert",Stk_date,"&lt;="&amp;$B$4)+SUMIFS(Stk_qte,Stk_produit,$A61,Stk_commercial,$E$4,Stk_mouvement,"Ajustement (-)",Stk_date,"&lt;="&amp;$B$4))</f>
        <v/>
      </c>
      <c r="E61" s="74">
        <f>IF($A61="","",SUMIFS(Cmd_qte,Cmd_produit,$A61,Cmd_commercial,$E$4,Cmd_dateca,"&gt;0",Cmd_dateca,"&lt;="&amp;$B$4))</f>
        <v/>
      </c>
      <c r="F61" s="75">
        <f>IF($A61="","",B61-C61-D61-E61)</f>
        <v/>
      </c>
    </row>
    <row r="62">
      <c r="A62" s="57">
        <f>IFERROR(INDEX(L_Produit,3)&amp;"","")</f>
        <v/>
      </c>
      <c r="B62" s="74">
        <f>IF($A62="","",SUMIFS(Stk_qte,Stk_produit,$A62,Stk_commercial,$E$4,Stk_mouvement,"Reçu du magasin",Stk_date,"&lt;="&amp;$B$4)+SUMIFS(Stk_qte,Stk_produit,$A62,Stk_commercial,$E$4,Stk_mouvement,"Ajustement (+)",Stk_date,"&lt;="&amp;$B$4))</f>
        <v/>
      </c>
      <c r="C62" s="74">
        <f>IF($A62="","",SUMIFS(Stk_qte,Stk_produit,$A62,Stk_commercial,$E$4,Stk_mouvement,"Retourné au magasin",Stk_date,"&lt;="&amp;$B$4))</f>
        <v/>
      </c>
      <c r="D62" s="74">
        <f>IF($A62="","",SUMIFS(Stk_qte,Stk_produit,$A62,Stk_commercial,$E$4,Stk_mouvement,"Casse / avarie",Stk_date,"&lt;="&amp;$B$4)+SUMIFS(Stk_qte,Stk_produit,$A62,Stk_commercial,$E$4,Stk_mouvement,"Perte / vol",Stk_date,"&lt;="&amp;$B$4)+SUMIFS(Stk_qte,Stk_produit,$A62,Stk_commercial,$E$4,Stk_mouvement,"Échantillon offert",Stk_date,"&lt;="&amp;$B$4)+SUMIFS(Stk_qte,Stk_produit,$A62,Stk_commercial,$E$4,Stk_mouvement,"Ajustement (-)",Stk_date,"&lt;="&amp;$B$4))</f>
        <v/>
      </c>
      <c r="E62" s="74">
        <f>IF($A62="","",SUMIFS(Cmd_qte,Cmd_produit,$A62,Cmd_commercial,$E$4,Cmd_dateca,"&gt;0",Cmd_dateca,"&lt;="&amp;$B$4))</f>
        <v/>
      </c>
      <c r="F62" s="75">
        <f>IF($A62="","",B62-C62-D62-E62)</f>
        <v/>
      </c>
    </row>
    <row r="63">
      <c r="A63" s="57">
        <f>IFERROR(INDEX(L_Produit,4)&amp;"","")</f>
        <v/>
      </c>
      <c r="B63" s="74">
        <f>IF($A63="","",SUMIFS(Stk_qte,Stk_produit,$A63,Stk_commercial,$E$4,Stk_mouvement,"Reçu du magasin",Stk_date,"&lt;="&amp;$B$4)+SUMIFS(Stk_qte,Stk_produit,$A63,Stk_commercial,$E$4,Stk_mouvement,"Ajustement (+)",Stk_date,"&lt;="&amp;$B$4))</f>
        <v/>
      </c>
      <c r="C63" s="74">
        <f>IF($A63="","",SUMIFS(Stk_qte,Stk_produit,$A63,Stk_commercial,$E$4,Stk_mouvement,"Retourné au magasin",Stk_date,"&lt;="&amp;$B$4))</f>
        <v/>
      </c>
      <c r="D63" s="74">
        <f>IF($A63="","",SUMIFS(Stk_qte,Stk_produit,$A63,Stk_commercial,$E$4,Stk_mouvement,"Casse / avarie",Stk_date,"&lt;="&amp;$B$4)+SUMIFS(Stk_qte,Stk_produit,$A63,Stk_commercial,$E$4,Stk_mouvement,"Perte / vol",Stk_date,"&lt;="&amp;$B$4)+SUMIFS(Stk_qte,Stk_produit,$A63,Stk_commercial,$E$4,Stk_mouvement,"Échantillon offert",Stk_date,"&lt;="&amp;$B$4)+SUMIFS(Stk_qte,Stk_produit,$A63,Stk_commercial,$E$4,Stk_mouvement,"Ajustement (-)",Stk_date,"&lt;="&amp;$B$4))</f>
        <v/>
      </c>
      <c r="E63" s="74">
        <f>IF($A63="","",SUMIFS(Cmd_qte,Cmd_produit,$A63,Cmd_commercial,$E$4,Cmd_dateca,"&gt;0",Cmd_dateca,"&lt;="&amp;$B$4))</f>
        <v/>
      </c>
      <c r="F63" s="75">
        <f>IF($A63="","",B63-C63-D63-E63)</f>
        <v/>
      </c>
    </row>
    <row r="64">
      <c r="A64" s="57">
        <f>IFERROR(INDEX(L_Produit,5)&amp;"","")</f>
        <v/>
      </c>
      <c r="B64" s="74">
        <f>IF($A64="","",SUMIFS(Stk_qte,Stk_produit,$A64,Stk_commercial,$E$4,Stk_mouvement,"Reçu du magasin",Stk_date,"&lt;="&amp;$B$4)+SUMIFS(Stk_qte,Stk_produit,$A64,Stk_commercial,$E$4,Stk_mouvement,"Ajustement (+)",Stk_date,"&lt;="&amp;$B$4))</f>
        <v/>
      </c>
      <c r="C64" s="74">
        <f>IF($A64="","",SUMIFS(Stk_qte,Stk_produit,$A64,Stk_commercial,$E$4,Stk_mouvement,"Retourné au magasin",Stk_date,"&lt;="&amp;$B$4))</f>
        <v/>
      </c>
      <c r="D64" s="74">
        <f>IF($A64="","",SUMIFS(Stk_qte,Stk_produit,$A64,Stk_commercial,$E$4,Stk_mouvement,"Casse / avarie",Stk_date,"&lt;="&amp;$B$4)+SUMIFS(Stk_qte,Stk_produit,$A64,Stk_commercial,$E$4,Stk_mouvement,"Perte / vol",Stk_date,"&lt;="&amp;$B$4)+SUMIFS(Stk_qte,Stk_produit,$A64,Stk_commercial,$E$4,Stk_mouvement,"Échantillon offert",Stk_date,"&lt;="&amp;$B$4)+SUMIFS(Stk_qte,Stk_produit,$A64,Stk_commercial,$E$4,Stk_mouvement,"Ajustement (-)",Stk_date,"&lt;="&amp;$B$4))</f>
        <v/>
      </c>
      <c r="E64" s="74">
        <f>IF($A64="","",SUMIFS(Cmd_qte,Cmd_produit,$A64,Cmd_commercial,$E$4,Cmd_dateca,"&gt;0",Cmd_dateca,"&lt;="&amp;$B$4))</f>
        <v/>
      </c>
      <c r="F64" s="75">
        <f>IF($A64="","",B64-C64-D64-E64)</f>
        <v/>
      </c>
    </row>
    <row r="65">
      <c r="A65" s="57">
        <f>IFERROR(INDEX(L_Produit,6)&amp;"","")</f>
        <v/>
      </c>
      <c r="B65" s="74">
        <f>IF($A65="","",SUMIFS(Stk_qte,Stk_produit,$A65,Stk_commercial,$E$4,Stk_mouvement,"Reçu du magasin",Stk_date,"&lt;="&amp;$B$4)+SUMIFS(Stk_qte,Stk_produit,$A65,Stk_commercial,$E$4,Stk_mouvement,"Ajustement (+)",Stk_date,"&lt;="&amp;$B$4))</f>
        <v/>
      </c>
      <c r="C65" s="74">
        <f>IF($A65="","",SUMIFS(Stk_qte,Stk_produit,$A65,Stk_commercial,$E$4,Stk_mouvement,"Retourné au magasin",Stk_date,"&lt;="&amp;$B$4))</f>
        <v/>
      </c>
      <c r="D65" s="74">
        <f>IF($A65="","",SUMIFS(Stk_qte,Stk_produit,$A65,Stk_commercial,$E$4,Stk_mouvement,"Casse / avarie",Stk_date,"&lt;="&amp;$B$4)+SUMIFS(Stk_qte,Stk_produit,$A65,Stk_commercial,$E$4,Stk_mouvement,"Perte / vol",Stk_date,"&lt;="&amp;$B$4)+SUMIFS(Stk_qte,Stk_produit,$A65,Stk_commercial,$E$4,Stk_mouvement,"Échantillon offert",Stk_date,"&lt;="&amp;$B$4)+SUMIFS(Stk_qte,Stk_produit,$A65,Stk_commercial,$E$4,Stk_mouvement,"Ajustement (-)",Stk_date,"&lt;="&amp;$B$4))</f>
        <v/>
      </c>
      <c r="E65" s="74">
        <f>IF($A65="","",SUMIFS(Cmd_qte,Cmd_produit,$A65,Cmd_commercial,$E$4,Cmd_dateca,"&gt;0",Cmd_dateca,"&lt;="&amp;$B$4))</f>
        <v/>
      </c>
      <c r="F65" s="75">
        <f>IF($A65="","",B65-C65-D65-E65)</f>
        <v/>
      </c>
    </row>
    <row r="66">
      <c r="A66" s="57">
        <f>IFERROR(INDEX(L_Produit,7)&amp;"","")</f>
        <v/>
      </c>
      <c r="B66" s="74">
        <f>IF($A66="","",SUMIFS(Stk_qte,Stk_produit,$A66,Stk_commercial,$E$4,Stk_mouvement,"Reçu du magasin",Stk_date,"&lt;="&amp;$B$4)+SUMIFS(Stk_qte,Stk_produit,$A66,Stk_commercial,$E$4,Stk_mouvement,"Ajustement (+)",Stk_date,"&lt;="&amp;$B$4))</f>
        <v/>
      </c>
      <c r="C66" s="74">
        <f>IF($A66="","",SUMIFS(Stk_qte,Stk_produit,$A66,Stk_commercial,$E$4,Stk_mouvement,"Retourné au magasin",Stk_date,"&lt;="&amp;$B$4))</f>
        <v/>
      </c>
      <c r="D66" s="74">
        <f>IF($A66="","",SUMIFS(Stk_qte,Stk_produit,$A66,Stk_commercial,$E$4,Stk_mouvement,"Casse / avarie",Stk_date,"&lt;="&amp;$B$4)+SUMIFS(Stk_qte,Stk_produit,$A66,Stk_commercial,$E$4,Stk_mouvement,"Perte / vol",Stk_date,"&lt;="&amp;$B$4)+SUMIFS(Stk_qte,Stk_produit,$A66,Stk_commercial,$E$4,Stk_mouvement,"Échantillon offert",Stk_date,"&lt;="&amp;$B$4)+SUMIFS(Stk_qte,Stk_produit,$A66,Stk_commercial,$E$4,Stk_mouvement,"Ajustement (-)",Stk_date,"&lt;="&amp;$B$4))</f>
        <v/>
      </c>
      <c r="E66" s="74">
        <f>IF($A66="","",SUMIFS(Cmd_qte,Cmd_produit,$A66,Cmd_commercial,$E$4,Cmd_dateca,"&gt;0",Cmd_dateca,"&lt;="&amp;$B$4))</f>
        <v/>
      </c>
      <c r="F66" s="75">
        <f>IF($A66="","",B66-C66-D66-E66)</f>
        <v/>
      </c>
    </row>
    <row r="67">
      <c r="A67" s="57">
        <f>IFERROR(INDEX(L_Produit,8)&amp;"","")</f>
        <v/>
      </c>
      <c r="B67" s="74">
        <f>IF($A67="","",SUMIFS(Stk_qte,Stk_produit,$A67,Stk_commercial,$E$4,Stk_mouvement,"Reçu du magasin",Stk_date,"&lt;="&amp;$B$4)+SUMIFS(Stk_qte,Stk_produit,$A67,Stk_commercial,$E$4,Stk_mouvement,"Ajustement (+)",Stk_date,"&lt;="&amp;$B$4))</f>
        <v/>
      </c>
      <c r="C67" s="74">
        <f>IF($A67="","",SUMIFS(Stk_qte,Stk_produit,$A67,Stk_commercial,$E$4,Stk_mouvement,"Retourné au magasin",Stk_date,"&lt;="&amp;$B$4))</f>
        <v/>
      </c>
      <c r="D67" s="74">
        <f>IF($A67="","",SUMIFS(Stk_qte,Stk_produit,$A67,Stk_commercial,$E$4,Stk_mouvement,"Casse / avarie",Stk_date,"&lt;="&amp;$B$4)+SUMIFS(Stk_qte,Stk_produit,$A67,Stk_commercial,$E$4,Stk_mouvement,"Perte / vol",Stk_date,"&lt;="&amp;$B$4)+SUMIFS(Stk_qte,Stk_produit,$A67,Stk_commercial,$E$4,Stk_mouvement,"Échantillon offert",Stk_date,"&lt;="&amp;$B$4)+SUMIFS(Stk_qte,Stk_produit,$A67,Stk_commercial,$E$4,Stk_mouvement,"Ajustement (-)",Stk_date,"&lt;="&amp;$B$4))</f>
        <v/>
      </c>
      <c r="E67" s="74">
        <f>IF($A67="","",SUMIFS(Cmd_qte,Cmd_produit,$A67,Cmd_commercial,$E$4,Cmd_dateca,"&gt;0",Cmd_dateca,"&lt;="&amp;$B$4))</f>
        <v/>
      </c>
      <c r="F67" s="75">
        <f>IF($A67="","",B67-C67-D67-E67)</f>
        <v/>
      </c>
    </row>
    <row r="69" ht="22" customHeight="1">
      <c r="A69" s="3" t="inlineStr">
        <is>
          <t>BILAN DU JOUR (saisi dans la feuille Journal)</t>
        </is>
      </c>
      <c r="B69" s="4" t="n"/>
      <c r="C69" s="4" t="n"/>
      <c r="D69" s="4" t="n"/>
      <c r="E69" s="4" t="n"/>
      <c r="F69" s="4" t="n"/>
    </row>
    <row r="70" ht="44" customHeight="1">
      <c r="A70" s="8" t="inlineStr">
        <is>
          <t>Réussites du jour</t>
        </is>
      </c>
      <c r="B70" s="9">
        <f>IF($J$4=0,"",INDEX(Jr_forts,$J$4)&amp;"")</f>
        <v/>
      </c>
      <c r="C70" s="63" t="n"/>
      <c r="D70" s="63" t="n"/>
      <c r="E70" s="63" t="n"/>
      <c r="F70" s="63" t="n"/>
    </row>
    <row r="71" ht="44" customHeight="1">
      <c r="A71" s="8" t="inlineStr">
        <is>
          <t>Difficultés rencontrées</t>
        </is>
      </c>
      <c r="B71" s="9">
        <f>IF($J$4=0,"",INDEX(Jr_difficultes,$J$4)&amp;"")</f>
        <v/>
      </c>
      <c r="C71" s="63" t="n"/>
      <c r="D71" s="63" t="n"/>
      <c r="E71" s="63" t="n"/>
      <c r="F71" s="63" t="n"/>
    </row>
    <row r="72" ht="44" customHeight="1">
      <c r="A72" s="8" t="inlineStr">
        <is>
          <t>Besoin de soutien</t>
        </is>
      </c>
      <c r="B72" s="9">
        <f>IF($J$4=0,"",INDEX(Jr_soutien,$J$4)&amp;"")</f>
        <v/>
      </c>
      <c r="C72" s="63" t="n"/>
      <c r="D72" s="63" t="n"/>
      <c r="E72" s="63" t="n"/>
      <c r="F72" s="63" t="n"/>
    </row>
    <row r="73" ht="44" customHeight="1">
      <c r="A73" s="8" t="inlineStr">
        <is>
          <t>Plan du lendemain</t>
        </is>
      </c>
      <c r="B73" s="9">
        <f>IF($J$4=0,"",INDEX(Jr_demain,$J$4)&amp;"")</f>
        <v/>
      </c>
      <c r="C73" s="63" t="n"/>
      <c r="D73" s="63" t="n"/>
      <c r="E73" s="63" t="n"/>
      <c r="F73" s="63" t="n"/>
    </row>
    <row r="75" ht="22" customHeight="1">
      <c r="A75" s="3" t="inlineStr">
        <is>
          <t>ACTIONS À MENER (les 6 plus proches, y compris en retard)</t>
        </is>
      </c>
      <c r="B75" s="4" t="n"/>
      <c r="C75" s="4" t="n"/>
      <c r="D75" s="4" t="n"/>
      <c r="E75" s="4" t="n"/>
      <c r="F75" s="4" t="n"/>
    </row>
    <row r="76" ht="32" customHeight="1">
      <c r="A76" s="7" t="inlineStr">
        <is>
          <t>Client / prospect</t>
        </is>
      </c>
      <c r="B76" s="7" t="inlineStr">
        <is>
          <t>Téléphone</t>
        </is>
      </c>
      <c r="C76" s="7" t="inlineStr">
        <is>
          <t>Date prévue</t>
        </is>
      </c>
      <c r="D76" s="7" t="inlineStr">
        <is>
          <t>À faire</t>
        </is>
      </c>
      <c r="E76" s="7" t="inlineStr">
        <is>
          <t>Statut</t>
        </is>
      </c>
      <c r="F76" s="7" t="inlineStr">
        <is>
          <t>Quartier</t>
        </is>
      </c>
    </row>
    <row r="77">
      <c r="A77" s="57">
        <f>IF($J77="","",INDEX(Cl_nom,$J77-5)&amp;"")</f>
        <v/>
      </c>
      <c r="B77" s="57">
        <f>IF($J77="","",INDEX(Cl_tel,$J77-5)&amp;"")</f>
        <v/>
      </c>
      <c r="C77" s="60">
        <f>IF($J77="","",INDEX(Cl_actiondate,$J77-5))</f>
        <v/>
      </c>
      <c r="D77" s="57">
        <f>IF($J77="","",INDEX(Cl_actiontexte,$J77-5)&amp;"")</f>
        <v/>
      </c>
      <c r="E77" s="58">
        <f>IF($J77="","",INDEX(Cl_statut,$J77-5)&amp;"")</f>
        <v/>
      </c>
      <c r="F77" s="57">
        <f>IF($J77="","",INDEX(Cl_quartier,$J77-5)&amp;"")</f>
        <v/>
      </c>
      <c r="J77">
        <f>IF(SMALL(INDEX(Cl_cleaction+(((Cl_cleaction=0)+(Cl_commercial&lt;&gt;$E$4))&gt;0)*1000000000,0),1)&gt;=1000000000,"",ROUND(MOD(SMALL(INDEX(Cl_cleaction+(((Cl_cleaction=0)+(Cl_commercial&lt;&gt;$E$4))&gt;0)*1000000000,0),1),1)*100000,0))</f>
        <v/>
      </c>
    </row>
    <row r="78">
      <c r="A78" s="57">
        <f>IF($J78="","",INDEX(Cl_nom,$J78-5)&amp;"")</f>
        <v/>
      </c>
      <c r="B78" s="57">
        <f>IF($J78="","",INDEX(Cl_tel,$J78-5)&amp;"")</f>
        <v/>
      </c>
      <c r="C78" s="60">
        <f>IF($J78="","",INDEX(Cl_actiondate,$J78-5))</f>
        <v/>
      </c>
      <c r="D78" s="57">
        <f>IF($J78="","",INDEX(Cl_actiontexte,$J78-5)&amp;"")</f>
        <v/>
      </c>
      <c r="E78" s="58">
        <f>IF($J78="","",INDEX(Cl_statut,$J78-5)&amp;"")</f>
        <v/>
      </c>
      <c r="F78" s="57">
        <f>IF($J78="","",INDEX(Cl_quartier,$J78-5)&amp;"")</f>
        <v/>
      </c>
      <c r="J78">
        <f>IF(SMALL(INDEX(Cl_cleaction+(((Cl_cleaction=0)+(Cl_commercial&lt;&gt;$E$4))&gt;0)*1000000000,0),2)&gt;=1000000000,"",ROUND(MOD(SMALL(INDEX(Cl_cleaction+(((Cl_cleaction=0)+(Cl_commercial&lt;&gt;$E$4))&gt;0)*1000000000,0),2),1)*100000,0))</f>
        <v/>
      </c>
    </row>
    <row r="79">
      <c r="A79" s="57">
        <f>IF($J79="","",INDEX(Cl_nom,$J79-5)&amp;"")</f>
        <v/>
      </c>
      <c r="B79" s="57">
        <f>IF($J79="","",INDEX(Cl_tel,$J79-5)&amp;"")</f>
        <v/>
      </c>
      <c r="C79" s="60">
        <f>IF($J79="","",INDEX(Cl_actiondate,$J79-5))</f>
        <v/>
      </c>
      <c r="D79" s="57">
        <f>IF($J79="","",INDEX(Cl_actiontexte,$J79-5)&amp;"")</f>
        <v/>
      </c>
      <c r="E79" s="58">
        <f>IF($J79="","",INDEX(Cl_statut,$J79-5)&amp;"")</f>
        <v/>
      </c>
      <c r="F79" s="57">
        <f>IF($J79="","",INDEX(Cl_quartier,$J79-5)&amp;"")</f>
        <v/>
      </c>
      <c r="J79">
        <f>IF(SMALL(INDEX(Cl_cleaction+(((Cl_cleaction=0)+(Cl_commercial&lt;&gt;$E$4))&gt;0)*1000000000,0),3)&gt;=1000000000,"",ROUND(MOD(SMALL(INDEX(Cl_cleaction+(((Cl_cleaction=0)+(Cl_commercial&lt;&gt;$E$4))&gt;0)*1000000000,0),3),1)*100000,0))</f>
        <v/>
      </c>
    </row>
    <row r="80">
      <c r="A80" s="57">
        <f>IF($J80="","",INDEX(Cl_nom,$J80-5)&amp;"")</f>
        <v/>
      </c>
      <c r="B80" s="57">
        <f>IF($J80="","",INDEX(Cl_tel,$J80-5)&amp;"")</f>
        <v/>
      </c>
      <c r="C80" s="60">
        <f>IF($J80="","",INDEX(Cl_actiondate,$J80-5))</f>
        <v/>
      </c>
      <c r="D80" s="57">
        <f>IF($J80="","",INDEX(Cl_actiontexte,$J80-5)&amp;"")</f>
        <v/>
      </c>
      <c r="E80" s="58">
        <f>IF($J80="","",INDEX(Cl_statut,$J80-5)&amp;"")</f>
        <v/>
      </c>
      <c r="F80" s="57">
        <f>IF($J80="","",INDEX(Cl_quartier,$J80-5)&amp;"")</f>
        <v/>
      </c>
      <c r="J80">
        <f>IF(SMALL(INDEX(Cl_cleaction+(((Cl_cleaction=0)+(Cl_commercial&lt;&gt;$E$4))&gt;0)*1000000000,0),4)&gt;=1000000000,"",ROUND(MOD(SMALL(INDEX(Cl_cleaction+(((Cl_cleaction=0)+(Cl_commercial&lt;&gt;$E$4))&gt;0)*1000000000,0),4),1)*100000,0))</f>
        <v/>
      </c>
    </row>
    <row r="81">
      <c r="A81" s="57">
        <f>IF($J81="","",INDEX(Cl_nom,$J81-5)&amp;"")</f>
        <v/>
      </c>
      <c r="B81" s="57">
        <f>IF($J81="","",INDEX(Cl_tel,$J81-5)&amp;"")</f>
        <v/>
      </c>
      <c r="C81" s="60">
        <f>IF($J81="","",INDEX(Cl_actiondate,$J81-5))</f>
        <v/>
      </c>
      <c r="D81" s="57">
        <f>IF($J81="","",INDEX(Cl_actiontexte,$J81-5)&amp;"")</f>
        <v/>
      </c>
      <c r="E81" s="58">
        <f>IF($J81="","",INDEX(Cl_statut,$J81-5)&amp;"")</f>
        <v/>
      </c>
      <c r="F81" s="57">
        <f>IF($J81="","",INDEX(Cl_quartier,$J81-5)&amp;"")</f>
        <v/>
      </c>
      <c r="J81">
        <f>IF(SMALL(INDEX(Cl_cleaction+(((Cl_cleaction=0)+(Cl_commercial&lt;&gt;$E$4))&gt;0)*1000000000,0),5)&gt;=1000000000,"",ROUND(MOD(SMALL(INDEX(Cl_cleaction+(((Cl_cleaction=0)+(Cl_commercial&lt;&gt;$E$4))&gt;0)*1000000000,0),5),1)*100000,0))</f>
        <v/>
      </c>
    </row>
    <row r="82">
      <c r="A82" s="57">
        <f>IF($J82="","",INDEX(Cl_nom,$J82-5)&amp;"")</f>
        <v/>
      </c>
      <c r="B82" s="57">
        <f>IF($J82="","",INDEX(Cl_tel,$J82-5)&amp;"")</f>
        <v/>
      </c>
      <c r="C82" s="60">
        <f>IF($J82="","",INDEX(Cl_actiondate,$J82-5))</f>
        <v/>
      </c>
      <c r="D82" s="57">
        <f>IF($J82="","",INDEX(Cl_actiontexte,$J82-5)&amp;"")</f>
        <v/>
      </c>
      <c r="E82" s="58">
        <f>IF($J82="","",INDEX(Cl_statut,$J82-5)&amp;"")</f>
        <v/>
      </c>
      <c r="F82" s="57">
        <f>IF($J82="","",INDEX(Cl_quartier,$J82-5)&amp;"")</f>
        <v/>
      </c>
      <c r="J82">
        <f>IF(SMALL(INDEX(Cl_cleaction+(((Cl_cleaction=0)+(Cl_commercial&lt;&gt;$E$4))&gt;0)*1000000000,0),6)&gt;=1000000000,"",ROUND(MOD(SMALL(INDEX(Cl_cleaction+(((Cl_cleaction=0)+(Cl_commercial&lt;&gt;$E$4))&gt;0)*1000000000,0),6),1)*100000,0))</f>
        <v/>
      </c>
    </row>
    <row r="84" ht="22" customHeight="1">
      <c r="A84" s="3" t="inlineStr">
        <is>
          <t>VISITES PRÉVUES CE JOUR (feuille Planning, 8 premières lignes)</t>
        </is>
      </c>
      <c r="B84" s="4" t="n"/>
      <c r="C84" s="4" t="n"/>
      <c r="D84" s="4" t="n"/>
      <c r="E84" s="4" t="n"/>
      <c r="F84" s="4" t="n"/>
    </row>
    <row r="85" ht="32" customHeight="1">
      <c r="A85" s="7" t="inlineStr">
        <is>
          <t>Client / prospect</t>
        </is>
      </c>
      <c r="B85" s="7" t="inlineStr">
        <is>
          <t>Quartier</t>
        </is>
      </c>
      <c r="C85" s="7" t="inlineStr">
        <is>
          <t>Téléphone</t>
        </is>
      </c>
      <c r="D85" s="7" t="inlineStr">
        <is>
          <t>Objectif de la visite</t>
        </is>
      </c>
      <c r="E85" s="7" t="inlineStr">
        <is>
          <t>Potentiel / jour</t>
        </is>
      </c>
      <c r="F85" s="7" t="inlineStr">
        <is>
          <t>Réalisé ?</t>
        </is>
      </c>
    </row>
    <row r="86">
      <c r="A86" s="57">
        <f>IF($J86="","",INDEX(Pl_nomclient,$J86-5)&amp;"")</f>
        <v/>
      </c>
      <c r="B86" s="57">
        <f>IF($J86="","",INDEX(Pl_quartier,$J86-5)&amp;"")</f>
        <v/>
      </c>
      <c r="C86" s="57">
        <f>IF($J86="","",INDEX(Pl_tel,$J86-5)&amp;"")</f>
        <v/>
      </c>
      <c r="D86" s="57">
        <f>IF($J86="","",INDEX(Pl_objet,$J86-5)&amp;"")</f>
        <v/>
      </c>
      <c r="E86" s="58">
        <f>IF($J86="","",IF(N(INDEX(Pl_potentiel,$J86-5))=0,"",INDEX(Pl_potentiel,$J86-5)))</f>
        <v/>
      </c>
      <c r="F86" s="58">
        <f>IF($J86="","",INDEX(Pl_realise,$J86-5)&amp;"")</f>
        <v/>
      </c>
      <c r="J86">
        <f>IF(1&gt;COUNTIFS(Pl_jour,$B$4,Pl_commercial,$E$4),"",SMALL(INDEX(ROW(Pl_jour)+(((Pl_jour&lt;&gt;$B$4)+(Pl_commercial&lt;&gt;$E$4))&gt;0)*1000000000,0),1))</f>
        <v/>
      </c>
    </row>
    <row r="87">
      <c r="A87" s="57">
        <f>IF($J87="","",INDEX(Pl_nomclient,$J87-5)&amp;"")</f>
        <v/>
      </c>
      <c r="B87" s="57">
        <f>IF($J87="","",INDEX(Pl_quartier,$J87-5)&amp;"")</f>
        <v/>
      </c>
      <c r="C87" s="57">
        <f>IF($J87="","",INDEX(Pl_tel,$J87-5)&amp;"")</f>
        <v/>
      </c>
      <c r="D87" s="57">
        <f>IF($J87="","",INDEX(Pl_objet,$J87-5)&amp;"")</f>
        <v/>
      </c>
      <c r="E87" s="58">
        <f>IF($J87="","",IF(N(INDEX(Pl_potentiel,$J87-5))=0,"",INDEX(Pl_potentiel,$J87-5)))</f>
        <v/>
      </c>
      <c r="F87" s="58">
        <f>IF($J87="","",INDEX(Pl_realise,$J87-5)&amp;"")</f>
        <v/>
      </c>
      <c r="J87">
        <f>IF(2&gt;COUNTIFS(Pl_jour,$B$4,Pl_commercial,$E$4),"",SMALL(INDEX(ROW(Pl_jour)+(((Pl_jour&lt;&gt;$B$4)+(Pl_commercial&lt;&gt;$E$4))&gt;0)*1000000000,0),2))</f>
        <v/>
      </c>
    </row>
    <row r="88">
      <c r="A88" s="57">
        <f>IF($J88="","",INDEX(Pl_nomclient,$J88-5)&amp;"")</f>
        <v/>
      </c>
      <c r="B88" s="57">
        <f>IF($J88="","",INDEX(Pl_quartier,$J88-5)&amp;"")</f>
        <v/>
      </c>
      <c r="C88" s="57">
        <f>IF($J88="","",INDEX(Pl_tel,$J88-5)&amp;"")</f>
        <v/>
      </c>
      <c r="D88" s="57">
        <f>IF($J88="","",INDEX(Pl_objet,$J88-5)&amp;"")</f>
        <v/>
      </c>
      <c r="E88" s="58">
        <f>IF($J88="","",IF(N(INDEX(Pl_potentiel,$J88-5))=0,"",INDEX(Pl_potentiel,$J88-5)))</f>
        <v/>
      </c>
      <c r="F88" s="58">
        <f>IF($J88="","",INDEX(Pl_realise,$J88-5)&amp;"")</f>
        <v/>
      </c>
      <c r="J88">
        <f>IF(3&gt;COUNTIFS(Pl_jour,$B$4,Pl_commercial,$E$4),"",SMALL(INDEX(ROW(Pl_jour)+(((Pl_jour&lt;&gt;$B$4)+(Pl_commercial&lt;&gt;$E$4))&gt;0)*1000000000,0),3))</f>
        <v/>
      </c>
    </row>
    <row r="89">
      <c r="A89" s="57">
        <f>IF($J89="","",INDEX(Pl_nomclient,$J89-5)&amp;"")</f>
        <v/>
      </c>
      <c r="B89" s="57">
        <f>IF($J89="","",INDEX(Pl_quartier,$J89-5)&amp;"")</f>
        <v/>
      </c>
      <c r="C89" s="57">
        <f>IF($J89="","",INDEX(Pl_tel,$J89-5)&amp;"")</f>
        <v/>
      </c>
      <c r="D89" s="57">
        <f>IF($J89="","",INDEX(Pl_objet,$J89-5)&amp;"")</f>
        <v/>
      </c>
      <c r="E89" s="58">
        <f>IF($J89="","",IF(N(INDEX(Pl_potentiel,$J89-5))=0,"",INDEX(Pl_potentiel,$J89-5)))</f>
        <v/>
      </c>
      <c r="F89" s="58">
        <f>IF($J89="","",INDEX(Pl_realise,$J89-5)&amp;"")</f>
        <v/>
      </c>
      <c r="J89">
        <f>IF(4&gt;COUNTIFS(Pl_jour,$B$4,Pl_commercial,$E$4),"",SMALL(INDEX(ROW(Pl_jour)+(((Pl_jour&lt;&gt;$B$4)+(Pl_commercial&lt;&gt;$E$4))&gt;0)*1000000000,0),4))</f>
        <v/>
      </c>
    </row>
    <row r="90">
      <c r="A90" s="57">
        <f>IF($J90="","",INDEX(Pl_nomclient,$J90-5)&amp;"")</f>
        <v/>
      </c>
      <c r="B90" s="57">
        <f>IF($J90="","",INDEX(Pl_quartier,$J90-5)&amp;"")</f>
        <v/>
      </c>
      <c r="C90" s="57">
        <f>IF($J90="","",INDEX(Pl_tel,$J90-5)&amp;"")</f>
        <v/>
      </c>
      <c r="D90" s="57">
        <f>IF($J90="","",INDEX(Pl_objet,$J90-5)&amp;"")</f>
        <v/>
      </c>
      <c r="E90" s="58">
        <f>IF($J90="","",IF(N(INDEX(Pl_potentiel,$J90-5))=0,"",INDEX(Pl_potentiel,$J90-5)))</f>
        <v/>
      </c>
      <c r="F90" s="58">
        <f>IF($J90="","",INDEX(Pl_realise,$J90-5)&amp;"")</f>
        <v/>
      </c>
      <c r="J90">
        <f>IF(5&gt;COUNTIFS(Pl_jour,$B$4,Pl_commercial,$E$4),"",SMALL(INDEX(ROW(Pl_jour)+(((Pl_jour&lt;&gt;$B$4)+(Pl_commercial&lt;&gt;$E$4))&gt;0)*1000000000,0),5))</f>
        <v/>
      </c>
    </row>
    <row r="91">
      <c r="A91" s="57">
        <f>IF($J91="","",INDEX(Pl_nomclient,$J91-5)&amp;"")</f>
        <v/>
      </c>
      <c r="B91" s="57">
        <f>IF($J91="","",INDEX(Pl_quartier,$J91-5)&amp;"")</f>
        <v/>
      </c>
      <c r="C91" s="57">
        <f>IF($J91="","",INDEX(Pl_tel,$J91-5)&amp;"")</f>
        <v/>
      </c>
      <c r="D91" s="57">
        <f>IF($J91="","",INDEX(Pl_objet,$J91-5)&amp;"")</f>
        <v/>
      </c>
      <c r="E91" s="58">
        <f>IF($J91="","",IF(N(INDEX(Pl_potentiel,$J91-5))=0,"",INDEX(Pl_potentiel,$J91-5)))</f>
        <v/>
      </c>
      <c r="F91" s="58">
        <f>IF($J91="","",INDEX(Pl_realise,$J91-5)&amp;"")</f>
        <v/>
      </c>
      <c r="J91">
        <f>IF(6&gt;COUNTIFS(Pl_jour,$B$4,Pl_commercial,$E$4),"",SMALL(INDEX(ROW(Pl_jour)+(((Pl_jour&lt;&gt;$B$4)+(Pl_commercial&lt;&gt;$E$4))&gt;0)*1000000000,0),6))</f>
        <v/>
      </c>
    </row>
    <row r="92">
      <c r="A92" s="57">
        <f>IF($J92="","",INDEX(Pl_nomclient,$J92-5)&amp;"")</f>
        <v/>
      </c>
      <c r="B92" s="57">
        <f>IF($J92="","",INDEX(Pl_quartier,$J92-5)&amp;"")</f>
        <v/>
      </c>
      <c r="C92" s="57">
        <f>IF($J92="","",INDEX(Pl_tel,$J92-5)&amp;"")</f>
        <v/>
      </c>
      <c r="D92" s="57">
        <f>IF($J92="","",INDEX(Pl_objet,$J92-5)&amp;"")</f>
        <v/>
      </c>
      <c r="E92" s="58">
        <f>IF($J92="","",IF(N(INDEX(Pl_potentiel,$J92-5))=0,"",INDEX(Pl_potentiel,$J92-5)))</f>
        <v/>
      </c>
      <c r="F92" s="58">
        <f>IF($J92="","",INDEX(Pl_realise,$J92-5)&amp;"")</f>
        <v/>
      </c>
      <c r="J92">
        <f>IF(7&gt;COUNTIFS(Pl_jour,$B$4,Pl_commercial,$E$4),"",SMALL(INDEX(ROW(Pl_jour)+(((Pl_jour&lt;&gt;$B$4)+(Pl_commercial&lt;&gt;$E$4))&gt;0)*1000000000,0),7))</f>
        <v/>
      </c>
    </row>
    <row r="93">
      <c r="A93" s="57">
        <f>IF($J93="","",INDEX(Pl_nomclient,$J93-5)&amp;"")</f>
        <v/>
      </c>
      <c r="B93" s="57">
        <f>IF($J93="","",INDEX(Pl_quartier,$J93-5)&amp;"")</f>
        <v/>
      </c>
      <c r="C93" s="57">
        <f>IF($J93="","",INDEX(Pl_tel,$J93-5)&amp;"")</f>
        <v/>
      </c>
      <c r="D93" s="57">
        <f>IF($J93="","",INDEX(Pl_objet,$J93-5)&amp;"")</f>
        <v/>
      </c>
      <c r="E93" s="58">
        <f>IF($J93="","",IF(N(INDEX(Pl_potentiel,$J93-5))=0,"",INDEX(Pl_potentiel,$J93-5)))</f>
        <v/>
      </c>
      <c r="F93" s="58">
        <f>IF($J93="","",INDEX(Pl_realise,$J93-5)&amp;"")</f>
        <v/>
      </c>
      <c r="J93">
        <f>IF(8&gt;COUNTIFS(Pl_jour,$B$4,Pl_commercial,$E$4),"",SMALL(INDEX(ROW(Pl_jour)+(((Pl_jour&lt;&gt;$B$4)+(Pl_commercial&lt;&gt;$E$4))&gt;0)*1000000000,0),8))</f>
        <v/>
      </c>
    </row>
  </sheetData>
  <sheetProtection selectLockedCells="0" selectUnlockedCells="0" sheet="1" objects="0" insertRows="1" insertHyperlinks="1" autoFilter="1" scenarios="0" formatColumns="0" deleteColumns="1" insertColumns="1" pivotTables="1" deleteRows="1" formatCells="1" formatRows="0" sort="1"/>
  <mergeCells count="14">
    <mergeCell ref="A16:F16"/>
    <mergeCell ref="B73:F73"/>
    <mergeCell ref="A47:F47"/>
    <mergeCell ref="A84:F84"/>
    <mergeCell ref="B5:C5"/>
    <mergeCell ref="B72:F72"/>
    <mergeCell ref="A75:F75"/>
    <mergeCell ref="A8:F8"/>
    <mergeCell ref="E5:F5"/>
    <mergeCell ref="A58:F58"/>
    <mergeCell ref="A34:F34"/>
    <mergeCell ref="B71:F71"/>
    <mergeCell ref="A69:F69"/>
    <mergeCell ref="B70:F70"/>
  </mergeCells>
  <dataValidations count="2">
    <dataValidation sqref="B4" showDropDown="0" showInputMessage="0" showErrorMessage="1" allowBlank="0" errorTitle="Valeur hors liste" error="Choisissez la date dans la liste (aujourd'hui en tête). Cliquez sur OK pour la garder telle quelle." type="list" errorStyle="information">
      <formula1>=L_DatesPassees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portrait" paperSize="9" fitToHeight="0" fitToWidth="1"/>
  <rowBreaks count="1" manualBreakCount="1">
    <brk id="68" min="0" max="16383" man="1"/>
  </rowBreaks>
</worksheet>
</file>

<file path=xl/worksheets/sheet14.xml><?xml version="1.0" encoding="utf-8"?>
<worksheet xmlns="http://schemas.openxmlformats.org/spreadsheetml/2006/main">
  <sheetPr>
    <tabColor rgb="007A4FA3"/>
    <outlinePr summaryBelow="1" summaryRight="1"/>
    <pageSetUpPr fitToPage="1"/>
  </sheetPr>
  <dimension ref="A1:Z51"/>
  <sheetViews>
    <sheetView showGridLines="0" tabSelected="0" zoomScale="90" workbookViewId="0">
      <selection activeCell="A1" sqref="A1"/>
    </sheetView>
  </sheetViews>
  <sheetFormatPr baseColWidth="8" defaultRowHeight="15"/>
  <cols>
    <col width="30" customWidth="1" min="1" max="1"/>
    <col width="14" customWidth="1" min="2" max="2"/>
    <col width="13" customWidth="1" min="3" max="3"/>
    <col width="13" customWidth="1" min="4" max="4"/>
    <col width="13" customWidth="1" min="5" max="5"/>
    <col width="13" customWidth="1" min="6" max="6"/>
    <col width="17" customWidth="1" min="7" max="7"/>
    <col width="17" customWidth="1" min="8" max="8"/>
    <col width="17" customWidth="1" min="9" max="9"/>
    <col width="14" customWidth="1" min="10" max="10"/>
    <col width="3" customWidth="1" min="11" max="11"/>
    <col hidden="1" width="8" customWidth="1" min="26" max="26"/>
  </cols>
  <sheetData>
    <row r="1" ht="26" customHeight="1">
      <c r="A1" s="15" t="inlineStr">
        <is>
          <t>RAPPORT HEBDOMADAIRE</t>
        </is>
      </c>
    </row>
    <row r="2">
      <c r="A2" s="2" t="inlineStr">
        <is>
          <t>Choisissez le lundi de la semaine et le commercial (cellules jaunes). Les chiffres viennent de vos saisies ; les objectifs, de la feuille Objectifs.</t>
        </is>
      </c>
    </row>
    <row r="3">
      <c r="A3" s="16" t="inlineStr">
        <is>
          <t>◄ Sommaire</t>
        </is>
      </c>
    </row>
    <row r="4">
      <c r="A4" s="52" t="inlineStr">
        <is>
          <t>Lundi de la semaine</t>
        </is>
      </c>
      <c r="B4" s="68">
        <f>TODAY()-WEEKDAY(TODAY(),2)+1</f>
        <v/>
      </c>
      <c r="D4" s="52" t="inlineStr">
        <is>
          <t>Commercial</t>
        </is>
      </c>
      <c r="E4" s="53">
        <f>Commercial_Id</f>
        <v/>
      </c>
      <c r="F4" s="76" t="n"/>
      <c r="Z4">
        <f>IFERROR(MATCH(1,INDEX((Bil_lundi=$B$4)*(Bil_commercial=$E$4),0),0),0)</f>
        <v/>
      </c>
    </row>
    <row r="5">
      <c r="A5" s="52" t="inlineStr">
        <is>
          <t>Semaine</t>
        </is>
      </c>
      <c r="B5" s="77">
        <f>YEAR($B$4-WEEKDAY($B$4,2)+4)&amp;"-S"&amp;TEXT(INT(($B$4-DATE(YEAR($B$4-WEEKDAY($B$4,2)+4),1,3)+WEEKDAY(DATE(YEAR($B$4-WEEKDAY($B$4,2)+4),1,3),2)+5)/7),"00")</f>
        <v/>
      </c>
      <c r="D5" s="52" t="inlineStr">
        <is>
          <t>Nom</t>
        </is>
      </c>
      <c r="E5" s="69">
        <f>IFERROR(INDEX(Equipe_Nom,MATCH($E$4,Equipe_Code,0))&amp;"",IF($E$4=Commercial_Id,Commercial_Nom&amp;"",""))</f>
        <v/>
      </c>
      <c r="F5" s="11" t="n"/>
      <c r="G5" s="12" t="n"/>
    </row>
    <row r="7" ht="22" customHeight="1">
      <c r="A7" s="3" t="inlineStr">
        <is>
          <t>1. ACTIVITÉ JOUR PAR JOUR</t>
        </is>
      </c>
      <c r="B7" s="4" t="n"/>
      <c r="C7" s="4" t="n"/>
      <c r="D7" s="4" t="n"/>
      <c r="E7" s="4" t="n"/>
      <c r="F7" s="4" t="n"/>
      <c r="G7" s="4" t="n"/>
      <c r="H7" s="4" t="n"/>
      <c r="I7" s="4" t="n"/>
      <c r="J7" s="4" t="n"/>
    </row>
    <row r="8" ht="34" customHeight="1">
      <c r="A8" s="7" t="inlineStr">
        <is>
          <t>Jour</t>
        </is>
      </c>
      <c r="B8" s="7" t="inlineStr">
        <is>
          <t>Date</t>
        </is>
      </c>
      <c r="C8" s="7" t="inlineStr">
        <is>
          <t>Visites sur place</t>
        </is>
      </c>
      <c r="D8" s="7" t="inlineStr">
        <is>
          <t>Contacts à distance</t>
        </is>
      </c>
      <c r="E8" s="7" t="inlineStr">
        <is>
          <t>Nouveaux prospects</t>
        </is>
      </c>
      <c r="F8" s="7" t="inlineStr">
        <is>
          <t>Nouveaux clients</t>
        </is>
      </c>
      <c r="G8" s="7" t="inlineStr">
        <is>
          <t>Commandes prises (XAF)</t>
        </is>
      </c>
      <c r="H8" s="7" t="inlineStr">
        <is>
          <t>CA réalisé (XAF)</t>
        </is>
      </c>
      <c r="I8" s="7" t="inlineStr">
        <is>
          <t>Encaissé (XAF)</t>
        </is>
      </c>
      <c r="J8" s="7" t="inlineStr">
        <is>
          <t>Frais (XAF)</t>
        </is>
      </c>
    </row>
    <row r="9">
      <c r="A9" s="61" t="inlineStr">
        <is>
          <t>Lundi</t>
        </is>
      </c>
      <c r="B9" s="78">
        <f>$B$4+0</f>
        <v/>
      </c>
      <c r="C9" s="65">
        <f>COUNTIFS(VC_date,"&gt;="&amp;$B9,VC_date,"&lt;="&amp;$B9,VC_commercial,$E$4,VC_type,"Visite sur place")</f>
        <v/>
      </c>
      <c r="D9" s="65">
        <f>COUNTIFS(VC_date,"&gt;="&amp;$B9,VC_date,"&lt;="&amp;$B9,VC_commercial,$E$4,VC_type,"&lt;&gt;Visite sur place",VC_type,"&lt;&gt;")</f>
        <v/>
      </c>
      <c r="E9" s="65">
        <f>COUNTIFS(Cl_creation,"&gt;="&amp;$B9,Cl_creation,"&lt;="&amp;$B9,Cl_commercial,$E$4)</f>
        <v/>
      </c>
      <c r="F9" s="65">
        <f>COUNTIFS(Cl_vente1,"&gt;="&amp;$B9,Cl_vente1,"&lt;="&amp;$B9,Cl_commercial,$E$4)</f>
        <v/>
      </c>
      <c r="G9" s="64">
        <f>SUMIFS(Cmd_montant,Cmd_date,"&gt;="&amp;$B9,Cmd_date,"&lt;="&amp;$B9,Cmd_commercial,$E$4,Cmd_statut,"&lt;&gt;Annulée",Cmd_type,"&lt;&gt;Vente directe")</f>
        <v/>
      </c>
      <c r="H9" s="64">
        <f>SUMIFS(Cmd_montant,Cmd_dateca,"&gt;="&amp;$B9,Cmd_dateca,"&lt;="&amp;$B9,Cmd_commercial,$E$4)</f>
        <v/>
      </c>
      <c r="I9" s="64">
        <f>SUMIFS(Enc_montant,Enc_date,"&gt;="&amp;$B9,Enc_date,"&lt;="&amp;$B9,Enc_commercial,$E$4)</f>
        <v/>
      </c>
      <c r="J9" s="64">
        <f>SUMIFS(Jr_frais,Jr_date,"&gt;="&amp;$B9,Jr_date,"&lt;="&amp;$B9,Jr_commercial,$E$4)</f>
        <v/>
      </c>
    </row>
    <row r="10">
      <c r="A10" s="61" t="inlineStr">
        <is>
          <t>Mardi</t>
        </is>
      </c>
      <c r="B10" s="78">
        <f>$B$4+1</f>
        <v/>
      </c>
      <c r="C10" s="65">
        <f>COUNTIFS(VC_date,"&gt;="&amp;$B10,VC_date,"&lt;="&amp;$B10,VC_commercial,$E$4,VC_type,"Visite sur place")</f>
        <v/>
      </c>
      <c r="D10" s="65">
        <f>COUNTIFS(VC_date,"&gt;="&amp;$B10,VC_date,"&lt;="&amp;$B10,VC_commercial,$E$4,VC_type,"&lt;&gt;Visite sur place",VC_type,"&lt;&gt;")</f>
        <v/>
      </c>
      <c r="E10" s="65">
        <f>COUNTIFS(Cl_creation,"&gt;="&amp;$B10,Cl_creation,"&lt;="&amp;$B10,Cl_commercial,$E$4)</f>
        <v/>
      </c>
      <c r="F10" s="65">
        <f>COUNTIFS(Cl_vente1,"&gt;="&amp;$B10,Cl_vente1,"&lt;="&amp;$B10,Cl_commercial,$E$4)</f>
        <v/>
      </c>
      <c r="G10" s="64">
        <f>SUMIFS(Cmd_montant,Cmd_date,"&gt;="&amp;$B10,Cmd_date,"&lt;="&amp;$B10,Cmd_commercial,$E$4,Cmd_statut,"&lt;&gt;Annulée",Cmd_type,"&lt;&gt;Vente directe")</f>
        <v/>
      </c>
      <c r="H10" s="64">
        <f>SUMIFS(Cmd_montant,Cmd_dateca,"&gt;="&amp;$B10,Cmd_dateca,"&lt;="&amp;$B10,Cmd_commercial,$E$4)</f>
        <v/>
      </c>
      <c r="I10" s="64">
        <f>SUMIFS(Enc_montant,Enc_date,"&gt;="&amp;$B10,Enc_date,"&lt;="&amp;$B10,Enc_commercial,$E$4)</f>
        <v/>
      </c>
      <c r="J10" s="64">
        <f>SUMIFS(Jr_frais,Jr_date,"&gt;="&amp;$B10,Jr_date,"&lt;="&amp;$B10,Jr_commercial,$E$4)</f>
        <v/>
      </c>
    </row>
    <row r="11">
      <c r="A11" s="61" t="inlineStr">
        <is>
          <t>Mercredi</t>
        </is>
      </c>
      <c r="B11" s="78">
        <f>$B$4+2</f>
        <v/>
      </c>
      <c r="C11" s="65">
        <f>COUNTIFS(VC_date,"&gt;="&amp;$B11,VC_date,"&lt;="&amp;$B11,VC_commercial,$E$4,VC_type,"Visite sur place")</f>
        <v/>
      </c>
      <c r="D11" s="65">
        <f>COUNTIFS(VC_date,"&gt;="&amp;$B11,VC_date,"&lt;="&amp;$B11,VC_commercial,$E$4,VC_type,"&lt;&gt;Visite sur place",VC_type,"&lt;&gt;")</f>
        <v/>
      </c>
      <c r="E11" s="65">
        <f>COUNTIFS(Cl_creation,"&gt;="&amp;$B11,Cl_creation,"&lt;="&amp;$B11,Cl_commercial,$E$4)</f>
        <v/>
      </c>
      <c r="F11" s="65">
        <f>COUNTIFS(Cl_vente1,"&gt;="&amp;$B11,Cl_vente1,"&lt;="&amp;$B11,Cl_commercial,$E$4)</f>
        <v/>
      </c>
      <c r="G11" s="64">
        <f>SUMIFS(Cmd_montant,Cmd_date,"&gt;="&amp;$B11,Cmd_date,"&lt;="&amp;$B11,Cmd_commercial,$E$4,Cmd_statut,"&lt;&gt;Annulée",Cmd_type,"&lt;&gt;Vente directe")</f>
        <v/>
      </c>
      <c r="H11" s="64">
        <f>SUMIFS(Cmd_montant,Cmd_dateca,"&gt;="&amp;$B11,Cmd_dateca,"&lt;="&amp;$B11,Cmd_commercial,$E$4)</f>
        <v/>
      </c>
      <c r="I11" s="64">
        <f>SUMIFS(Enc_montant,Enc_date,"&gt;="&amp;$B11,Enc_date,"&lt;="&amp;$B11,Enc_commercial,$E$4)</f>
        <v/>
      </c>
      <c r="J11" s="64">
        <f>SUMIFS(Jr_frais,Jr_date,"&gt;="&amp;$B11,Jr_date,"&lt;="&amp;$B11,Jr_commercial,$E$4)</f>
        <v/>
      </c>
    </row>
    <row r="12">
      <c r="A12" s="61" t="inlineStr">
        <is>
          <t>Jeudi</t>
        </is>
      </c>
      <c r="B12" s="78">
        <f>$B$4+3</f>
        <v/>
      </c>
      <c r="C12" s="65">
        <f>COUNTIFS(VC_date,"&gt;="&amp;$B12,VC_date,"&lt;="&amp;$B12,VC_commercial,$E$4,VC_type,"Visite sur place")</f>
        <v/>
      </c>
      <c r="D12" s="65">
        <f>COUNTIFS(VC_date,"&gt;="&amp;$B12,VC_date,"&lt;="&amp;$B12,VC_commercial,$E$4,VC_type,"&lt;&gt;Visite sur place",VC_type,"&lt;&gt;")</f>
        <v/>
      </c>
      <c r="E12" s="65">
        <f>COUNTIFS(Cl_creation,"&gt;="&amp;$B12,Cl_creation,"&lt;="&amp;$B12,Cl_commercial,$E$4)</f>
        <v/>
      </c>
      <c r="F12" s="65">
        <f>COUNTIFS(Cl_vente1,"&gt;="&amp;$B12,Cl_vente1,"&lt;="&amp;$B12,Cl_commercial,$E$4)</f>
        <v/>
      </c>
      <c r="G12" s="64">
        <f>SUMIFS(Cmd_montant,Cmd_date,"&gt;="&amp;$B12,Cmd_date,"&lt;="&amp;$B12,Cmd_commercial,$E$4,Cmd_statut,"&lt;&gt;Annulée",Cmd_type,"&lt;&gt;Vente directe")</f>
        <v/>
      </c>
      <c r="H12" s="64">
        <f>SUMIFS(Cmd_montant,Cmd_dateca,"&gt;="&amp;$B12,Cmd_dateca,"&lt;="&amp;$B12,Cmd_commercial,$E$4)</f>
        <v/>
      </c>
      <c r="I12" s="64">
        <f>SUMIFS(Enc_montant,Enc_date,"&gt;="&amp;$B12,Enc_date,"&lt;="&amp;$B12,Enc_commercial,$E$4)</f>
        <v/>
      </c>
      <c r="J12" s="64">
        <f>SUMIFS(Jr_frais,Jr_date,"&gt;="&amp;$B12,Jr_date,"&lt;="&amp;$B12,Jr_commercial,$E$4)</f>
        <v/>
      </c>
    </row>
    <row r="13">
      <c r="A13" s="61" t="inlineStr">
        <is>
          <t>Vendredi</t>
        </is>
      </c>
      <c r="B13" s="78">
        <f>$B$4+4</f>
        <v/>
      </c>
      <c r="C13" s="65">
        <f>COUNTIFS(VC_date,"&gt;="&amp;$B13,VC_date,"&lt;="&amp;$B13,VC_commercial,$E$4,VC_type,"Visite sur place")</f>
        <v/>
      </c>
      <c r="D13" s="65">
        <f>COUNTIFS(VC_date,"&gt;="&amp;$B13,VC_date,"&lt;="&amp;$B13,VC_commercial,$E$4,VC_type,"&lt;&gt;Visite sur place",VC_type,"&lt;&gt;")</f>
        <v/>
      </c>
      <c r="E13" s="65">
        <f>COUNTIFS(Cl_creation,"&gt;="&amp;$B13,Cl_creation,"&lt;="&amp;$B13,Cl_commercial,$E$4)</f>
        <v/>
      </c>
      <c r="F13" s="65">
        <f>COUNTIFS(Cl_vente1,"&gt;="&amp;$B13,Cl_vente1,"&lt;="&amp;$B13,Cl_commercial,$E$4)</f>
        <v/>
      </c>
      <c r="G13" s="64">
        <f>SUMIFS(Cmd_montant,Cmd_date,"&gt;="&amp;$B13,Cmd_date,"&lt;="&amp;$B13,Cmd_commercial,$E$4,Cmd_statut,"&lt;&gt;Annulée",Cmd_type,"&lt;&gt;Vente directe")</f>
        <v/>
      </c>
      <c r="H13" s="64">
        <f>SUMIFS(Cmd_montant,Cmd_dateca,"&gt;="&amp;$B13,Cmd_dateca,"&lt;="&amp;$B13,Cmd_commercial,$E$4)</f>
        <v/>
      </c>
      <c r="I13" s="64">
        <f>SUMIFS(Enc_montant,Enc_date,"&gt;="&amp;$B13,Enc_date,"&lt;="&amp;$B13,Enc_commercial,$E$4)</f>
        <v/>
      </c>
      <c r="J13" s="64">
        <f>SUMIFS(Jr_frais,Jr_date,"&gt;="&amp;$B13,Jr_date,"&lt;="&amp;$B13,Jr_commercial,$E$4)</f>
        <v/>
      </c>
    </row>
    <row r="14">
      <c r="A14" s="61" t="inlineStr">
        <is>
          <t>Samedi</t>
        </is>
      </c>
      <c r="B14" s="78">
        <f>$B$4+5</f>
        <v/>
      </c>
      <c r="C14" s="65">
        <f>COUNTIFS(VC_date,"&gt;="&amp;$B14,VC_date,"&lt;="&amp;$B14,VC_commercial,$E$4,VC_type,"Visite sur place")</f>
        <v/>
      </c>
      <c r="D14" s="65">
        <f>COUNTIFS(VC_date,"&gt;="&amp;$B14,VC_date,"&lt;="&amp;$B14,VC_commercial,$E$4,VC_type,"&lt;&gt;Visite sur place",VC_type,"&lt;&gt;")</f>
        <v/>
      </c>
      <c r="E14" s="65">
        <f>COUNTIFS(Cl_creation,"&gt;="&amp;$B14,Cl_creation,"&lt;="&amp;$B14,Cl_commercial,$E$4)</f>
        <v/>
      </c>
      <c r="F14" s="65">
        <f>COUNTIFS(Cl_vente1,"&gt;="&amp;$B14,Cl_vente1,"&lt;="&amp;$B14,Cl_commercial,$E$4)</f>
        <v/>
      </c>
      <c r="G14" s="64">
        <f>SUMIFS(Cmd_montant,Cmd_date,"&gt;="&amp;$B14,Cmd_date,"&lt;="&amp;$B14,Cmd_commercial,$E$4,Cmd_statut,"&lt;&gt;Annulée",Cmd_type,"&lt;&gt;Vente directe")</f>
        <v/>
      </c>
      <c r="H14" s="64">
        <f>SUMIFS(Cmd_montant,Cmd_dateca,"&gt;="&amp;$B14,Cmd_dateca,"&lt;="&amp;$B14,Cmd_commercial,$E$4)</f>
        <v/>
      </c>
      <c r="I14" s="64">
        <f>SUMIFS(Enc_montant,Enc_date,"&gt;="&amp;$B14,Enc_date,"&lt;="&amp;$B14,Enc_commercial,$E$4)</f>
        <v/>
      </c>
      <c r="J14" s="64">
        <f>SUMIFS(Jr_frais,Jr_date,"&gt;="&amp;$B14,Jr_date,"&lt;="&amp;$B14,Jr_commercial,$E$4)</f>
        <v/>
      </c>
    </row>
    <row r="15">
      <c r="A15" s="61" t="inlineStr">
        <is>
          <t>Dimanche</t>
        </is>
      </c>
      <c r="B15" s="78">
        <f>$B$4+6</f>
        <v/>
      </c>
      <c r="C15" s="65">
        <f>COUNTIFS(VC_date,"&gt;="&amp;$B15,VC_date,"&lt;="&amp;$B15,VC_commercial,$E$4,VC_type,"Visite sur place")</f>
        <v/>
      </c>
      <c r="D15" s="65">
        <f>COUNTIFS(VC_date,"&gt;="&amp;$B15,VC_date,"&lt;="&amp;$B15,VC_commercial,$E$4,VC_type,"&lt;&gt;Visite sur place",VC_type,"&lt;&gt;")</f>
        <v/>
      </c>
      <c r="E15" s="65">
        <f>COUNTIFS(Cl_creation,"&gt;="&amp;$B15,Cl_creation,"&lt;="&amp;$B15,Cl_commercial,$E$4)</f>
        <v/>
      </c>
      <c r="F15" s="65">
        <f>COUNTIFS(Cl_vente1,"&gt;="&amp;$B15,Cl_vente1,"&lt;="&amp;$B15,Cl_commercial,$E$4)</f>
        <v/>
      </c>
      <c r="G15" s="64">
        <f>SUMIFS(Cmd_montant,Cmd_date,"&gt;="&amp;$B15,Cmd_date,"&lt;="&amp;$B15,Cmd_commercial,$E$4,Cmd_statut,"&lt;&gt;Annulée",Cmd_type,"&lt;&gt;Vente directe")</f>
        <v/>
      </c>
      <c r="H15" s="64">
        <f>SUMIFS(Cmd_montant,Cmd_dateca,"&gt;="&amp;$B15,Cmd_dateca,"&lt;="&amp;$B15,Cmd_commercial,$E$4)</f>
        <v/>
      </c>
      <c r="I15" s="64">
        <f>SUMIFS(Enc_montant,Enc_date,"&gt;="&amp;$B15,Enc_date,"&lt;="&amp;$B15,Enc_commercial,$E$4)</f>
        <v/>
      </c>
      <c r="J15" s="64">
        <f>SUMIFS(Jr_frais,Jr_date,"&gt;="&amp;$B15,Jr_date,"&lt;="&amp;$B15,Jr_commercial,$E$4)</f>
        <v/>
      </c>
    </row>
    <row r="16">
      <c r="A16" s="79" t="inlineStr">
        <is>
          <t>TOTAL DE LA SEMAINE</t>
        </is>
      </c>
      <c r="B16" s="80" t="n"/>
      <c r="C16" s="81">
        <f>SUM(C9:C15)</f>
        <v/>
      </c>
      <c r="D16" s="81">
        <f>SUM(D9:D15)</f>
        <v/>
      </c>
      <c r="E16" s="81">
        <f>SUM(E9:E15)</f>
        <v/>
      </c>
      <c r="F16" s="81">
        <f>SUM(F9:F15)</f>
        <v/>
      </c>
      <c r="G16" s="82">
        <f>SUM(G9:G15)</f>
        <v/>
      </c>
      <c r="H16" s="82">
        <f>SUM(H9:H15)</f>
        <v/>
      </c>
      <c r="I16" s="82">
        <f>SUM(I9:I15)</f>
        <v/>
      </c>
      <c r="J16" s="82">
        <f>SUM(J9:J15)</f>
        <v/>
      </c>
    </row>
    <row r="17">
      <c r="A17" s="61" t="inlineStr">
        <is>
          <t>Objectif de la semaine</t>
        </is>
      </c>
      <c r="B17" s="62" t="n"/>
      <c r="C17" s="65">
        <f>IF(COUNTIFS(Obj_commercial,$E$4,Obj_metrique,"Visites sur place",Obj_debut,"&lt;="&amp;$B$4,Obj_fin,"&gt;="&amp;($B$4+6),Obj_duree,"&lt;=7")=0,"",SUMIFS(Obj_valeur,Obj_commercial,$E$4,Obj_metrique,"Visites sur place",Obj_debut,"&lt;="&amp;$B$4,Obj_fin,"&gt;="&amp;($B$4+6),Obj_duree,"&lt;=7"))</f>
        <v/>
      </c>
      <c r="D17" s="62" t="n"/>
      <c r="E17" s="65">
        <f>IF(COUNTIFS(Obj_commercial,$E$4,Obj_metrique,"Prospects créés",Obj_debut,"&lt;="&amp;$B$4,Obj_fin,"&gt;="&amp;($B$4+6),Obj_duree,"&lt;=7")=0,"",SUMIFS(Obj_valeur,Obj_commercial,$E$4,Obj_metrique,"Prospects créés",Obj_debut,"&lt;="&amp;$B$4,Obj_fin,"&gt;="&amp;($B$4+6),Obj_duree,"&lt;=7"))</f>
        <v/>
      </c>
      <c r="F17" s="65">
        <f>IF(COUNTIFS(Obj_commercial,$E$4,Obj_metrique,"Nouveaux clients",Obj_debut,"&lt;="&amp;$B$4,Obj_fin,"&gt;="&amp;($B$4+6),Obj_duree,"&lt;=7")=0,"",SUMIFS(Obj_valeur,Obj_commercial,$E$4,Obj_metrique,"Nouveaux clients",Obj_debut,"&lt;="&amp;$B$4,Obj_fin,"&gt;="&amp;($B$4+6),Obj_duree,"&lt;=7"))</f>
        <v/>
      </c>
      <c r="G17" s="62" t="n"/>
      <c r="H17" s="64">
        <f>IF(COUNTIFS(Obj_commercial,$E$4,Obj_metrique,"Chiffre d'affaires (XAF)",Obj_debut,"&lt;="&amp;$B$4,Obj_fin,"&gt;="&amp;($B$4+6),Obj_duree,"&lt;=7")=0,"",SUMIFS(Obj_valeur,Obj_commercial,$E$4,Obj_metrique,"Chiffre d'affaires (XAF)",Obj_debut,"&lt;="&amp;$B$4,Obj_fin,"&gt;="&amp;($B$4+6),Obj_duree,"&lt;=7"))</f>
        <v/>
      </c>
      <c r="I17" s="62" t="n"/>
      <c r="J17" s="62" t="n"/>
    </row>
    <row r="18">
      <c r="A18" s="61" t="inlineStr">
        <is>
          <t>Taux d'atteinte</t>
        </is>
      </c>
      <c r="B18" s="57" t="n"/>
      <c r="C18" s="83">
        <f>IF(OR(C17="",C17=0),"",C16/C17)</f>
        <v/>
      </c>
      <c r="D18" s="57" t="n"/>
      <c r="E18" s="83">
        <f>IF(OR(E17="",E17=0),"",E16/E17)</f>
        <v/>
      </c>
      <c r="F18" s="83">
        <f>IF(OR(F17="",F17=0),"",F16/F17)</f>
        <v/>
      </c>
      <c r="G18" s="57" t="n"/>
      <c r="H18" s="83">
        <f>IF(OR(H17="",H17=0),"",H16/H17)</f>
        <v/>
      </c>
      <c r="I18" s="57" t="n"/>
      <c r="J18" s="57" t="n"/>
    </row>
    <row r="19" ht="30" customHeight="1">
      <c r="A19" s="8" t="inlineStr">
        <is>
          <t>Espèces détenues, non versées (cumul à fin de semaine)</t>
        </is>
      </c>
      <c r="C19" s="72">
        <f>SUMIFS(Enc_montant,Enc_commercial,$E$4,Enc_mode,"Espèces",Enc_date,"&lt;="&amp;($B$4+6))-SUMIFS(Enc_montant,Enc_commercial,$E$4,Enc_mode,"Espèces",Enc_verse,"☑ Oui",Enc_date,"&lt;="&amp;($B$4+6))</f>
        <v/>
      </c>
    </row>
    <row r="21" ht="22" customHeight="1">
      <c r="A21" s="3" t="inlineStr">
        <is>
          <t>2. RÉSULTATS DES VISITES ET CONTACTS</t>
        </is>
      </c>
      <c r="B21" s="4" t="n"/>
      <c r="C21" s="4" t="n"/>
      <c r="D21" s="4" t="n"/>
      <c r="F21" s="3" t="inlineStr">
        <is>
          <t>3. MON PORTEFEUILLE (état actuel)</t>
        </is>
      </c>
      <c r="G21" s="4" t="n"/>
      <c r="H21" s="4" t="n"/>
      <c r="I21" s="4" t="n"/>
      <c r="J21" s="4" t="n"/>
    </row>
    <row r="22" ht="22" customHeight="1">
      <c r="A22" s="7" t="inlineStr">
        <is>
          <t>Résultat</t>
        </is>
      </c>
      <c r="B22" s="7" t="inlineStr">
        <is>
          <t>Nombre</t>
        </is>
      </c>
      <c r="C22" s="7" t="inlineStr">
        <is>
          <t>Part</t>
        </is>
      </c>
      <c r="F22" s="7" t="inlineStr">
        <is>
          <t>Étape / statut</t>
        </is>
      </c>
      <c r="G22" s="12" t="n"/>
      <c r="H22" s="7" t="inlineStr">
        <is>
          <t>Nombre</t>
        </is>
      </c>
    </row>
    <row r="23">
      <c r="A23" s="57">
        <f>IFERROR(INDEX(L_Resultat,1)&amp;"","")</f>
        <v/>
      </c>
      <c r="B23" s="84">
        <f>IF($A23="","",COUNTIFS(VC_resultat,$A23,VC_date,"&gt;="&amp;$B$4,VC_date,"&lt;="&amp;($B$4+6),VC_commercial,$E$4))</f>
        <v/>
      </c>
      <c r="C23" s="85">
        <f>IF(OR($A23="",$B$32=0),"",B23/$B$32)</f>
        <v/>
      </c>
      <c r="F23" s="57" t="inlineStr">
        <is>
          <t>Prospects : Nouveau</t>
        </is>
      </c>
      <c r="G23" s="63" t="n"/>
      <c r="H23" s="84">
        <f>COUNTIFS(Cl_commercial,$E$4,Cl_statut,"Prospect",Cl_etape,"Nouveau")</f>
        <v/>
      </c>
    </row>
    <row r="24">
      <c r="A24" s="57">
        <f>IFERROR(INDEX(L_Resultat,2)&amp;"","")</f>
        <v/>
      </c>
      <c r="B24" s="84">
        <f>IF($A24="","",COUNTIFS(VC_resultat,$A24,VC_date,"&gt;="&amp;$B$4,VC_date,"&lt;="&amp;($B$4+6),VC_commercial,$E$4))</f>
        <v/>
      </c>
      <c r="C24" s="85">
        <f>IF(OR($A24="",$B$32=0),"",B24/$B$32)</f>
        <v/>
      </c>
      <c r="F24" s="57" t="inlineStr">
        <is>
          <t>Prospects : Contacté</t>
        </is>
      </c>
      <c r="G24" s="63" t="n"/>
      <c r="H24" s="84">
        <f>COUNTIFS(Cl_commercial,$E$4,Cl_statut,"Prospect",Cl_etape,"Contacté")</f>
        <v/>
      </c>
    </row>
    <row r="25">
      <c r="A25" s="57">
        <f>IFERROR(INDEX(L_Resultat,3)&amp;"","")</f>
        <v/>
      </c>
      <c r="B25" s="84">
        <f>IF($A25="","",COUNTIFS(VC_resultat,$A25,VC_date,"&gt;="&amp;$B$4,VC_date,"&lt;="&amp;($B$4+6),VC_commercial,$E$4))</f>
        <v/>
      </c>
      <c r="C25" s="85">
        <f>IF(OR($A25="",$B$32=0),"",B25/$B$32)</f>
        <v/>
      </c>
      <c r="F25" s="57" t="inlineStr">
        <is>
          <t>Prospects : Intéressé</t>
        </is>
      </c>
      <c r="G25" s="63" t="n"/>
      <c r="H25" s="84">
        <f>COUNTIFS(Cl_commercial,$E$4,Cl_statut,"Prospect",Cl_etape,"Intéressé")</f>
        <v/>
      </c>
    </row>
    <row r="26">
      <c r="A26" s="57">
        <f>IFERROR(INDEX(L_Resultat,4)&amp;"","")</f>
        <v/>
      </c>
      <c r="B26" s="84">
        <f>IF($A26="","",COUNTIFS(VC_resultat,$A26,VC_date,"&gt;="&amp;$B$4,VC_date,"&lt;="&amp;($B$4+6),VC_commercial,$E$4))</f>
        <v/>
      </c>
      <c r="C26" s="85">
        <f>IF(OR($A26="",$B$32=0),"",B26/$B$32)</f>
        <v/>
      </c>
      <c r="F26" s="57" t="inlineStr">
        <is>
          <t>Prospects : Négociation</t>
        </is>
      </c>
      <c r="G26" s="63" t="n"/>
      <c r="H26" s="84">
        <f>COUNTIFS(Cl_commercial,$E$4,Cl_statut,"Prospect",Cl_etape,"Négociation")</f>
        <v/>
      </c>
    </row>
    <row r="27">
      <c r="A27" s="57">
        <f>IFERROR(INDEX(L_Resultat,5)&amp;"","")</f>
        <v/>
      </c>
      <c r="B27" s="84">
        <f>IF($A27="","",COUNTIFS(VC_resultat,$A27,VC_date,"&gt;="&amp;$B$4,VC_date,"&lt;="&amp;($B$4+6),VC_commercial,$E$4))</f>
        <v/>
      </c>
      <c r="C27" s="85">
        <f>IF(OR($A27="",$B$32=0),"",B27/$B$32)</f>
        <v/>
      </c>
      <c r="F27" s="57" t="inlineStr">
        <is>
          <t>Clients</t>
        </is>
      </c>
      <c r="G27" s="63" t="n"/>
      <c r="H27" s="84">
        <f>COUNTIFS(Cl_commercial,$E$4,Cl_statut,"Client")</f>
        <v/>
      </c>
    </row>
    <row r="28">
      <c r="A28" s="57">
        <f>IFERROR(INDEX(L_Resultat,6)&amp;"","")</f>
        <v/>
      </c>
      <c r="B28" s="84">
        <f>IF($A28="","",COUNTIFS(VC_resultat,$A28,VC_date,"&gt;="&amp;$B$4,VC_date,"&lt;="&amp;($B$4+6),VC_commercial,$E$4))</f>
        <v/>
      </c>
      <c r="C28" s="85">
        <f>IF(OR($A28="",$B$32=0),"",B28/$B$32)</f>
        <v/>
      </c>
      <c r="F28" s="57" t="inlineStr">
        <is>
          <t>Perdus</t>
        </is>
      </c>
      <c r="G28" s="63" t="n"/>
      <c r="H28" s="84">
        <f>COUNTIFS(Cl_commercial,$E$4,Cl_statut,"Perdu")</f>
        <v/>
      </c>
    </row>
    <row r="29">
      <c r="A29" s="57">
        <f>IFERROR(INDEX(L_Resultat,7)&amp;"","")</f>
        <v/>
      </c>
      <c r="B29" s="84">
        <f>IF($A29="","",COUNTIFS(VC_resultat,$A29,VC_date,"&gt;="&amp;$B$4,VC_date,"&lt;="&amp;($B$4+6),VC_commercial,$E$4))</f>
        <v/>
      </c>
      <c r="C29" s="85">
        <f>IF(OR($A29="",$B$32=0),"",B29/$B$32)</f>
        <v/>
      </c>
      <c r="F29" s="61" t="inlineStr">
        <is>
          <t>Total des comptes</t>
        </is>
      </c>
      <c r="G29" s="63" t="n"/>
      <c r="H29" s="86">
        <f>SUM(H23:H28)</f>
        <v/>
      </c>
    </row>
    <row r="30">
      <c r="A30" s="57">
        <f>IFERROR(INDEX(L_Resultat,8)&amp;"","")</f>
        <v/>
      </c>
      <c r="B30" s="84">
        <f>IF($A30="","",COUNTIFS(VC_resultat,$A30,VC_date,"&gt;="&amp;$B$4,VC_date,"&lt;="&amp;($B$4+6),VC_commercial,$E$4))</f>
        <v/>
      </c>
      <c r="C30" s="85">
        <f>IF(OR($A30="",$B$32=0),"",B30/$B$32)</f>
        <v/>
      </c>
      <c r="F30" s="61" t="inlineStr">
        <is>
          <t>Comptes à surveiller (alerte)</t>
        </is>
      </c>
      <c r="G30" s="63" t="n"/>
      <c r="H30" s="86">
        <f>COUNTIFS(Cl_commercial,$E$4,Cl_alerte,"?*")</f>
        <v/>
      </c>
    </row>
    <row r="31">
      <c r="A31" s="57">
        <f>IFERROR(INDEX(L_Resultat,9)&amp;"","")</f>
        <v/>
      </c>
      <c r="B31" s="84">
        <f>IF($A31="","",COUNTIFS(VC_resultat,$A31,VC_date,"&gt;="&amp;$B$4,VC_date,"&lt;="&amp;($B$4+6),VC_commercial,$E$4))</f>
        <v/>
      </c>
      <c r="C31" s="85">
        <f>IF(OR($A31="",$B$32=0),"",B31/$B$32)</f>
        <v/>
      </c>
    </row>
    <row r="32">
      <c r="A32" s="61" t="inlineStr">
        <is>
          <t>Total des contacts (avec résultat)</t>
        </is>
      </c>
      <c r="B32" s="86">
        <f>SUM(B23:B31)</f>
        <v/>
      </c>
      <c r="C32" s="57" t="n"/>
    </row>
    <row r="33" ht="30" customHeight="1">
      <c r="A33" s="8" t="inlineStr">
        <is>
          <t>Taux de conversion (commandes prises ÷ visites sur place)</t>
        </is>
      </c>
      <c r="B33" s="87">
        <f>IF($C$16=0,"",COUNTIFS(VC_resultat,"Commande prise",VC_date,"&gt;="&amp;$B$4,VC_date,"&lt;="&amp;($B$4+6),VC_commercial,$E$4,VC_type,"Visite sur place")/$C$16)</f>
        <v/>
      </c>
      <c r="C33" s="57" t="n"/>
    </row>
    <row r="35" ht="22" customHeight="1">
      <c r="A35" s="3" t="inlineStr">
        <is>
          <t>4. PLAN DE LA SEMAINE (feuille Planning)</t>
        </is>
      </c>
      <c r="B35" s="4" t="n"/>
      <c r="C35" s="4" t="n"/>
      <c r="D35" s="4" t="n"/>
      <c r="F35" s="3" t="inlineStr">
        <is>
          <t>5. MES 5 MEILLEURS CLIENTS (CA cumulé)</t>
        </is>
      </c>
      <c r="G35" s="4" t="n"/>
      <c r="H35" s="4" t="n"/>
      <c r="I35" s="4" t="n"/>
      <c r="J35" s="4" t="n"/>
    </row>
    <row r="36" ht="22" customHeight="1">
      <c r="A36" s="9" t="inlineStr">
        <is>
          <t>Visites planifiées (jour prévu dans la semaine)</t>
        </is>
      </c>
      <c r="B36" s="84">
        <f>COUNTIFS(Pl_jour,"&gt;="&amp;$B$4,Pl_jour,"&lt;="&amp;($B$4+6),Pl_commercial,$E$4)</f>
        <v/>
      </c>
      <c r="F36" s="7" t="inlineStr">
        <is>
          <t>Client</t>
        </is>
      </c>
      <c r="G36" s="11" t="n"/>
      <c r="H36" s="12" t="n"/>
      <c r="I36" s="7" t="inlineStr">
        <is>
          <t>CA cumulé (XAF)</t>
        </is>
      </c>
      <c r="J36" s="7" t="inlineStr">
        <is>
          <t>Reste dû (XAF)</t>
        </is>
      </c>
    </row>
    <row r="37">
      <c r="A37" s="9" t="inlineStr">
        <is>
          <t>dont réalisées</t>
        </is>
      </c>
      <c r="B37" s="84">
        <f>COUNTIFS(Pl_jour,"&gt;="&amp;$B$4,Pl_jour,"&lt;="&amp;($B$4+6),Pl_commercial,$E$4,Pl_realise,"Visité")</f>
        <v/>
      </c>
      <c r="F37" s="57">
        <f>IF($Z37="","",INDEX(Cl_nom,$Z37-5)&amp;"")</f>
        <v/>
      </c>
      <c r="G37" s="63" t="n"/>
      <c r="H37" s="63" t="n"/>
      <c r="I37" s="64">
        <f>IF($Z37="","",INDEX(Cl_ca,$Z37-5))</f>
        <v/>
      </c>
      <c r="J37" s="64">
        <f>IF($Z37="","",INDEX(Cl_reste,$Z37-5))</f>
        <v/>
      </c>
      <c r="Z37">
        <f>IF(LARGE(INDEX(Cl_clecca*(Cl_commercial=$E$4),0),1)=0,"",ROUND(MOD(LARGE(INDEX(Cl_clecca*(Cl_commercial=$E$4),0),1),1)*1000000,0))</f>
        <v/>
      </c>
    </row>
    <row r="38">
      <c r="A38" s="61" t="inlineStr">
        <is>
          <t>Taux de réalisation du plan</t>
        </is>
      </c>
      <c r="B38" s="87">
        <f>IF(B36=0,"",B37/B36)</f>
        <v/>
      </c>
      <c r="F38" s="57">
        <f>IF($Z38="","",INDEX(Cl_nom,$Z38-5)&amp;"")</f>
        <v/>
      </c>
      <c r="G38" s="63" t="n"/>
      <c r="H38" s="63" t="n"/>
      <c r="I38" s="64">
        <f>IF($Z38="","",INDEX(Cl_ca,$Z38-5))</f>
        <v/>
      </c>
      <c r="J38" s="64">
        <f>IF($Z38="","",INDEX(Cl_reste,$Z38-5))</f>
        <v/>
      </c>
      <c r="Z38">
        <f>IF(LARGE(INDEX(Cl_clecca*(Cl_commercial=$E$4),0),2)=0,"",ROUND(MOD(LARGE(INDEX(Cl_clecca*(Cl_commercial=$E$4),0),2),1)*1000000,0))</f>
        <v/>
      </c>
    </row>
    <row r="39">
      <c r="F39" s="57">
        <f>IF($Z39="","",INDEX(Cl_nom,$Z39-5)&amp;"")</f>
        <v/>
      </c>
      <c r="G39" s="63" t="n"/>
      <c r="H39" s="63" t="n"/>
      <c r="I39" s="64">
        <f>IF($Z39="","",INDEX(Cl_ca,$Z39-5))</f>
        <v/>
      </c>
      <c r="J39" s="64">
        <f>IF($Z39="","",INDEX(Cl_reste,$Z39-5))</f>
        <v/>
      </c>
      <c r="Z39">
        <f>IF(LARGE(INDEX(Cl_clecca*(Cl_commercial=$E$4),0),3)=0,"",ROUND(MOD(LARGE(INDEX(Cl_clecca*(Cl_commercial=$E$4),0),3),1)*1000000,0))</f>
        <v/>
      </c>
    </row>
    <row r="40">
      <c r="F40" s="57">
        <f>IF($Z40="","",INDEX(Cl_nom,$Z40-5)&amp;"")</f>
        <v/>
      </c>
      <c r="G40" s="63" t="n"/>
      <c r="H40" s="63" t="n"/>
      <c r="I40" s="64">
        <f>IF($Z40="","",INDEX(Cl_ca,$Z40-5))</f>
        <v/>
      </c>
      <c r="J40" s="64">
        <f>IF($Z40="","",INDEX(Cl_reste,$Z40-5))</f>
        <v/>
      </c>
      <c r="Z40">
        <f>IF(LARGE(INDEX(Cl_clecca*(Cl_commercial=$E$4),0),4)=0,"",ROUND(MOD(LARGE(INDEX(Cl_clecca*(Cl_commercial=$E$4),0),4),1)*1000000,0))</f>
        <v/>
      </c>
    </row>
    <row r="41">
      <c r="F41" s="57">
        <f>IF($Z41="","",INDEX(Cl_nom,$Z41-5)&amp;"")</f>
        <v/>
      </c>
      <c r="G41" s="63" t="n"/>
      <c r="H41" s="63" t="n"/>
      <c r="I41" s="64">
        <f>IF($Z41="","",INDEX(Cl_ca,$Z41-5))</f>
        <v/>
      </c>
      <c r="J41" s="64">
        <f>IF($Z41="","",INDEX(Cl_reste,$Z41-5))</f>
        <v/>
      </c>
      <c r="Z41">
        <f>IF(LARGE(INDEX(Cl_clecca*(Cl_commercial=$E$4),0),5)=0,"",ROUND(MOD(LARGE(INDEX(Cl_clecca*(Cl_commercial=$E$4),0),5),1)*1000000,0))</f>
        <v/>
      </c>
    </row>
    <row r="43" ht="22" customHeight="1">
      <c r="A43" s="3" t="inlineStr">
        <is>
          <t>6. COMMENTAIRES DE LA SEMAINE (feuille Bilans_Hebdo)</t>
        </is>
      </c>
      <c r="B43" s="4" t="n"/>
      <c r="C43" s="4" t="n"/>
      <c r="D43" s="4" t="n"/>
      <c r="E43" s="4" t="n"/>
      <c r="F43" s="4" t="n"/>
      <c r="G43" s="4" t="n"/>
      <c r="H43" s="4" t="n"/>
      <c r="I43" s="4" t="n"/>
      <c r="J43" s="4" t="n"/>
    </row>
    <row r="44" ht="40" customHeight="1">
      <c r="A44" s="8" t="inlineStr">
        <is>
          <t>Réussites de la semaine</t>
        </is>
      </c>
      <c r="B44" s="9">
        <f>IF($Z$4=0,"",INDEX(Bil_reussites,$Z$4)&amp;"")</f>
        <v/>
      </c>
      <c r="C44" s="63" t="n"/>
      <c r="D44" s="63" t="n"/>
      <c r="E44" s="63" t="n"/>
      <c r="F44" s="63" t="n"/>
      <c r="G44" s="63" t="n"/>
      <c r="H44" s="63" t="n"/>
      <c r="I44" s="63" t="n"/>
      <c r="J44" s="63" t="n"/>
    </row>
    <row r="45" ht="40" customHeight="1">
      <c r="A45" s="8" t="inlineStr">
        <is>
          <t>Difficultés rencontrées</t>
        </is>
      </c>
      <c r="B45" s="9">
        <f>IF($Z$4=0,"",INDEX(Bil_difficultes,$Z$4)&amp;"")</f>
        <v/>
      </c>
      <c r="C45" s="63" t="n"/>
      <c r="D45" s="63" t="n"/>
      <c r="E45" s="63" t="n"/>
      <c r="F45" s="63" t="n"/>
      <c r="G45" s="63" t="n"/>
      <c r="H45" s="63" t="n"/>
      <c r="I45" s="63" t="n"/>
      <c r="J45" s="63" t="n"/>
    </row>
    <row r="46" ht="40" customHeight="1">
      <c r="A46" s="8" t="inlineStr">
        <is>
          <t>Besoins / demandes à la direction</t>
        </is>
      </c>
      <c r="B46" s="9">
        <f>IF($Z$4=0,"",INDEX(Bil_besoins,$Z$4)&amp;"")</f>
        <v/>
      </c>
      <c r="C46" s="63" t="n"/>
      <c r="D46" s="63" t="n"/>
      <c r="E46" s="63" t="n"/>
      <c r="F46" s="63" t="n"/>
      <c r="G46" s="63" t="n"/>
      <c r="H46" s="63" t="n"/>
      <c r="I46" s="63" t="n"/>
      <c r="J46" s="63" t="n"/>
    </row>
    <row r="47" ht="40" customHeight="1">
      <c r="A47" s="8" t="inlineStr">
        <is>
          <t>Priorités de la semaine suivante</t>
        </is>
      </c>
      <c r="B47" s="9">
        <f>IF($Z$4=0,"",INDEX(Bil_priorites,$Z$4)&amp;"")</f>
        <v/>
      </c>
      <c r="C47" s="63" t="n"/>
      <c r="D47" s="63" t="n"/>
      <c r="E47" s="63" t="n"/>
      <c r="F47" s="63" t="n"/>
      <c r="G47" s="63" t="n"/>
      <c r="H47" s="63" t="n"/>
      <c r="I47" s="63" t="n"/>
      <c r="J47" s="63" t="n"/>
    </row>
    <row r="48" ht="40" customHeight="1">
      <c r="A48" s="8" t="inlineStr">
        <is>
          <t>Infos marché</t>
        </is>
      </c>
      <c r="B48" s="9">
        <f>IF($Z$4=0,"",INDEX(Bil_marche,$Z$4)&amp;"")</f>
        <v/>
      </c>
      <c r="C48" s="63" t="n"/>
      <c r="D48" s="63" t="n"/>
      <c r="E48" s="63" t="n"/>
      <c r="F48" s="63" t="n"/>
      <c r="G48" s="63" t="n"/>
      <c r="H48" s="63" t="n"/>
      <c r="I48" s="63" t="n"/>
      <c r="J48" s="63" t="n"/>
    </row>
    <row r="49" ht="40" customHeight="1">
      <c r="A49" s="8" t="inlineStr">
        <is>
          <t>Commentaire du responsable</t>
        </is>
      </c>
      <c r="B49" s="9">
        <f>IF($Z$4=0,"",INDEX(Bil_comresp,$Z$4)&amp;"")</f>
        <v/>
      </c>
      <c r="C49" s="63" t="n"/>
      <c r="D49" s="63" t="n"/>
      <c r="E49" s="63" t="n"/>
      <c r="F49" s="63" t="n"/>
      <c r="G49" s="63" t="n"/>
      <c r="H49" s="63" t="n"/>
      <c r="I49" s="63" t="n"/>
      <c r="J49" s="63" t="n"/>
    </row>
    <row r="51" ht="22" customHeight="1">
      <c r="A51" s="3" t="inlineStr">
        <is>
          <t>7. GRAPHIQUES</t>
        </is>
      </c>
      <c r="B51" s="4" t="n"/>
      <c r="C51" s="4" t="n"/>
      <c r="D51" s="4" t="n"/>
      <c r="E51" s="4" t="n"/>
      <c r="F51" s="4" t="n"/>
      <c r="G51" s="4" t="n"/>
      <c r="H51" s="4" t="n"/>
      <c r="I51" s="4" t="n"/>
      <c r="J51" s="4" t="n"/>
    </row>
  </sheetData>
  <sheetProtection selectLockedCells="0" selectUnlockedCells="0" sheet="1" objects="0" insertRows="1" insertHyperlinks="1" autoFilter="1" scenarios="0" formatColumns="0" deleteColumns="1" insertColumns="1" pivotTables="1" deleteRows="1" formatCells="1" formatRows="0" sort="1"/>
  <mergeCells count="30">
    <mergeCell ref="F36:H36"/>
    <mergeCell ref="F29:G29"/>
    <mergeCell ref="A35:D35"/>
    <mergeCell ref="F41:H41"/>
    <mergeCell ref="F25:G25"/>
    <mergeCell ref="A43:J43"/>
    <mergeCell ref="B44:J44"/>
    <mergeCell ref="F38:H38"/>
    <mergeCell ref="E4:F4"/>
    <mergeCell ref="F21:J21"/>
    <mergeCell ref="F24:G24"/>
    <mergeCell ref="F30:G30"/>
    <mergeCell ref="B49:J49"/>
    <mergeCell ref="F26:G26"/>
    <mergeCell ref="F35:J35"/>
    <mergeCell ref="F37:H37"/>
    <mergeCell ref="F39:H39"/>
    <mergeCell ref="A51:J51"/>
    <mergeCell ref="B45:J45"/>
    <mergeCell ref="F23:G23"/>
    <mergeCell ref="A7:J7"/>
    <mergeCell ref="F22:G22"/>
    <mergeCell ref="F28:G28"/>
    <mergeCell ref="F27:G27"/>
    <mergeCell ref="B47:J47"/>
    <mergeCell ref="E5:G5"/>
    <mergeCell ref="B46:J46"/>
    <mergeCell ref="A21:D21"/>
    <mergeCell ref="F40:H40"/>
    <mergeCell ref="B48:J48"/>
  </mergeCells>
  <conditionalFormatting sqref="C18:J18">
    <cfRule type="expression" priority="1" dxfId="1">
      <formula>AND(ISNUMBER(C18),C18&gt;=1)</formula>
    </cfRule>
    <cfRule type="expression" priority="2" dxfId="2">
      <formula>AND(ISNUMBER(C18),C18&gt;=0.7,C18&lt;1)</formula>
    </cfRule>
    <cfRule type="expression" priority="3" dxfId="3">
      <formula>AND(ISNUMBER(C18),C18&lt;0.7)</formula>
    </cfRule>
  </conditionalFormatting>
  <conditionalFormatting sqref="B38">
    <cfRule type="expression" priority="4" dxfId="1">
      <formula>AND(ISNUMBER(B38),B38&gt;=1)</formula>
    </cfRule>
    <cfRule type="expression" priority="5" dxfId="2">
      <formula>AND(ISNUMBER(B38),B38&gt;=0.7,B38&lt;1)</formula>
    </cfRule>
    <cfRule type="expression" priority="6" dxfId="3">
      <formula>AND(ISNUMBER(B38),B38&lt;0.7)</formula>
    </cfRule>
  </conditionalFormatting>
  <dataValidations count="2">
    <dataValidation sqref="B4" showDropDown="0" showInputMessage="0" showErrorMessage="1" allowBlank="0" errorTitle="Valeur hors liste" error="Choisissez le lundi de la semaine dans la liste. Cliquez sur OK pour la garder telle quelle." type="list" errorStyle="information">
      <formula1>=L_LundisPasses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landscape" paperSize="9" fitToHeight="0" fitToWidth="1"/>
  <rowBreaks count="2" manualBreakCount="2">
    <brk id="34" min="0" max="16383" man="1"/>
    <brk id="50" min="0" max="16383" man="1"/>
  </rowBreaks>
  <drawing xmlns:r="http://schemas.openxmlformats.org/officeDocument/2006/relationships" r:id="rId2"/>
</worksheet>
</file>

<file path=xl/worksheets/sheet15.xml><?xml version="1.0" encoding="utf-8"?>
<worksheet xmlns="http://schemas.openxmlformats.org/spreadsheetml/2006/main">
  <sheetPr>
    <tabColor rgb="007A4FA3"/>
    <outlinePr summaryBelow="1" summaryRight="1"/>
    <pageSetUpPr fitToPage="1"/>
  </sheetPr>
  <dimension ref="A1:I27"/>
  <sheetViews>
    <sheetView showGridLines="0" tabSelected="0" zoomScale="90" workbookViewId="0">
      <selection activeCell="A1" sqref="A1"/>
    </sheetView>
  </sheetViews>
  <sheetFormatPr baseColWidth="8" defaultRowHeight="15"/>
  <cols>
    <col width="34" customWidth="1" min="1" max="1"/>
    <col width="18" customWidth="1" min="2" max="2"/>
    <col width="20" customWidth="1" min="3" max="3"/>
    <col width="18" customWidth="1" min="4" max="4"/>
    <col width="18" customWidth="1" min="5" max="5"/>
    <col width="18" customWidth="1" min="6" max="6"/>
    <col hidden="1" width="13" customWidth="1" min="8" max="8"/>
    <col hidden="1" width="13" customWidth="1" min="9" max="9"/>
  </cols>
  <sheetData>
    <row r="1" ht="26" customHeight="1">
      <c r="A1" s="15" t="inlineStr">
        <is>
          <t>PLAN MENSUEL — semaine par semaine</t>
        </is>
      </c>
    </row>
    <row r="2">
      <c r="A2" s="2" t="inlineStr">
        <is>
          <t>Reprend la logique de la fiche « État de déploiement » : PDV à couvrir et commande prévisionnelle par jour, pour chaque semaine du mois.</t>
        </is>
      </c>
    </row>
    <row r="3">
      <c r="A3" s="16" t="inlineStr">
        <is>
          <t>◄ Sommaire</t>
        </is>
      </c>
    </row>
    <row r="4">
      <c r="A4" s="52" t="inlineStr">
        <is>
          <t>Mois à analyser</t>
        </is>
      </c>
      <c r="B4" s="88">
        <f>DATE(YEAR(TODAY()),MONTH(TODAY()),1)</f>
        <v/>
      </c>
      <c r="D4" s="52" t="inlineStr">
        <is>
          <t>Commercial (code)</t>
        </is>
      </c>
      <c r="E4" s="53">
        <f>Commercial_Id</f>
        <v/>
      </c>
      <c r="H4">
        <f>DATE(YEAR($B$4),MONTH($B$4),1)</f>
        <v/>
      </c>
      <c r="I4">
        <f>DATE(YEAR($B$4),MONTH($B$4)+1,0)</f>
        <v/>
      </c>
    </row>
    <row r="5">
      <c r="A5" s="52" t="inlineStr">
        <is>
          <t>Nom</t>
        </is>
      </c>
      <c r="B5" s="69">
        <f>IFERROR(INDEX(Equipe_Nom,MATCH($E$4,Equipe_Code,0))&amp;"",IF($E$4=Commercial_Id,Commercial_Nom&amp;"",""))</f>
        <v/>
      </c>
      <c r="C5" s="12" t="n"/>
    </row>
    <row r="7" ht="22" customHeight="1">
      <c r="A7" s="3" t="inlineStr">
        <is>
          <t>1. LES SEMAINES DU MOIS (feuille Planning)</t>
        </is>
      </c>
      <c r="B7" s="4" t="n"/>
      <c r="C7" s="4" t="n"/>
      <c r="D7" s="4" t="n"/>
      <c r="E7" s="4" t="n"/>
      <c r="F7" s="4" t="n"/>
    </row>
    <row r="8" ht="46" customHeight="1">
      <c r="A8" s="7" t="inlineStr">
        <is>
          <t>Semaine du mois</t>
        </is>
      </c>
      <c r="B8" s="7" t="inlineStr">
        <is>
          <t>PDV planifiés</t>
        </is>
      </c>
      <c r="C8" s="7" t="inlineStr">
        <is>
          <t>Commande prévisionnelle par jour (Σ)</t>
        </is>
      </c>
      <c r="D8" s="7" t="inlineStr">
        <is>
          <t>PDV visités</t>
        </is>
      </c>
      <c r="E8" s="7" t="inlineStr">
        <is>
          <t>PDV restant à visiter</t>
        </is>
      </c>
      <c r="F8" s="7" t="inlineStr">
        <is>
          <t>Taux de réalisation</t>
        </is>
      </c>
    </row>
    <row r="9">
      <c r="A9" s="61" t="inlineStr">
        <is>
          <t>Semaine 1</t>
        </is>
      </c>
      <c r="B9" s="84">
        <f>COUNTIFS(Pl_commercial,$E$4,Pl_moisref,$H$4,Pl_semmois,1)</f>
        <v/>
      </c>
      <c r="C9" s="89">
        <f>SUMIFS(Pl_potentiel,Pl_commercial,$E$4,Pl_moisref,$H$4,Pl_semmois,1)</f>
        <v/>
      </c>
      <c r="D9" s="84">
        <f>COUNTIFS(Pl_commercial,$E$4,Pl_moisref,$H$4,Pl_semmois,1,Pl_realise,"Visité")</f>
        <v/>
      </c>
      <c r="E9" s="84">
        <f>B9-D9</f>
        <v/>
      </c>
      <c r="F9" s="85">
        <f>IF(B9=0,"",D9/B9)</f>
        <v/>
      </c>
    </row>
    <row r="10">
      <c r="A10" s="61" t="inlineStr">
        <is>
          <t>Semaine 2</t>
        </is>
      </c>
      <c r="B10" s="84">
        <f>COUNTIFS(Pl_commercial,$E$4,Pl_moisref,$H$4,Pl_semmois,2)</f>
        <v/>
      </c>
      <c r="C10" s="89">
        <f>SUMIFS(Pl_potentiel,Pl_commercial,$E$4,Pl_moisref,$H$4,Pl_semmois,2)</f>
        <v/>
      </c>
      <c r="D10" s="84">
        <f>COUNTIFS(Pl_commercial,$E$4,Pl_moisref,$H$4,Pl_semmois,2,Pl_realise,"Visité")</f>
        <v/>
      </c>
      <c r="E10" s="84">
        <f>B10-D10</f>
        <v/>
      </c>
      <c r="F10" s="85">
        <f>IF(B10=0,"",D10/B10)</f>
        <v/>
      </c>
    </row>
    <row r="11">
      <c r="A11" s="61" t="inlineStr">
        <is>
          <t>Semaine 3</t>
        </is>
      </c>
      <c r="B11" s="84">
        <f>COUNTIFS(Pl_commercial,$E$4,Pl_moisref,$H$4,Pl_semmois,3)</f>
        <v/>
      </c>
      <c r="C11" s="89">
        <f>SUMIFS(Pl_potentiel,Pl_commercial,$E$4,Pl_moisref,$H$4,Pl_semmois,3)</f>
        <v/>
      </c>
      <c r="D11" s="84">
        <f>COUNTIFS(Pl_commercial,$E$4,Pl_moisref,$H$4,Pl_semmois,3,Pl_realise,"Visité")</f>
        <v/>
      </c>
      <c r="E11" s="84">
        <f>B11-D11</f>
        <v/>
      </c>
      <c r="F11" s="85">
        <f>IF(B11=0,"",D11/B11)</f>
        <v/>
      </c>
    </row>
    <row r="12">
      <c r="A12" s="61" t="inlineStr">
        <is>
          <t>Semaine 4</t>
        </is>
      </c>
      <c r="B12" s="84">
        <f>COUNTIFS(Pl_commercial,$E$4,Pl_moisref,$H$4,Pl_semmois,4)</f>
        <v/>
      </c>
      <c r="C12" s="89">
        <f>SUMIFS(Pl_potentiel,Pl_commercial,$E$4,Pl_moisref,$H$4,Pl_semmois,4)</f>
        <v/>
      </c>
      <c r="D12" s="84">
        <f>COUNTIFS(Pl_commercial,$E$4,Pl_moisref,$H$4,Pl_semmois,4,Pl_realise,"Visité")</f>
        <v/>
      </c>
      <c r="E12" s="84">
        <f>B12-D12</f>
        <v/>
      </c>
      <c r="F12" s="85">
        <f>IF(B12=0,"",D12/B12)</f>
        <v/>
      </c>
    </row>
    <row r="13">
      <c r="A13" s="61" t="inlineStr">
        <is>
          <t>Semaine 5</t>
        </is>
      </c>
      <c r="B13" s="84">
        <f>COUNTIFS(Pl_commercial,$E$4,Pl_moisref,$H$4,Pl_semmois,5)</f>
        <v/>
      </c>
      <c r="C13" s="89">
        <f>SUMIFS(Pl_potentiel,Pl_commercial,$E$4,Pl_moisref,$H$4,Pl_semmois,5)</f>
        <v/>
      </c>
      <c r="D13" s="84">
        <f>COUNTIFS(Pl_commercial,$E$4,Pl_moisref,$H$4,Pl_semmois,5,Pl_realise,"Visité")</f>
        <v/>
      </c>
      <c r="E13" s="84">
        <f>B13-D13</f>
        <v/>
      </c>
      <c r="F13" s="85">
        <f>IF(B13=0,"",D13/B13)</f>
        <v/>
      </c>
    </row>
    <row r="14" ht="30" customHeight="1">
      <c r="A14" s="90" t="inlineStr">
        <is>
          <t>TOTAL COMMANDE PRÉVISIONNELLE PAR JOUR</t>
        </is>
      </c>
      <c r="B14" s="91">
        <f>SUM(B9:B13)</f>
        <v/>
      </c>
      <c r="C14" s="92">
        <f>SUM(C9:C13)</f>
        <v/>
      </c>
      <c r="D14" s="91">
        <f>SUM(D9:D13)</f>
        <v/>
      </c>
      <c r="E14" s="91">
        <f>SUM(E9:E13)</f>
        <v/>
      </c>
      <c r="F14" s="93">
        <f>IF(B14=0,"",D14/B14)</f>
        <v/>
      </c>
    </row>
    <row r="16" ht="22" customHeight="1">
      <c r="A16" s="3" t="inlineStr">
        <is>
          <t>2. RÉSULTATS DU MOIS</t>
        </is>
      </c>
      <c r="B16" s="4" t="n"/>
      <c r="C16" s="4" t="n"/>
      <c r="D16" s="4" t="n"/>
      <c r="E16" s="4" t="n"/>
      <c r="F16" s="4" t="n"/>
    </row>
    <row r="17" ht="24" customHeight="1">
      <c r="A17" s="7" t="inlineStr">
        <is>
          <t>Indicateur</t>
        </is>
      </c>
      <c r="B17" s="7" t="inlineStr">
        <is>
          <t>Réalisé</t>
        </is>
      </c>
      <c r="C17" s="7" t="inlineStr">
        <is>
          <t>Objectif du mois</t>
        </is>
      </c>
      <c r="D17" s="7" t="inlineStr">
        <is>
          <t>Taux d'atteinte</t>
        </is>
      </c>
    </row>
    <row r="18">
      <c r="A18" s="61" t="inlineStr">
        <is>
          <t>Visites sur place</t>
        </is>
      </c>
      <c r="B18" s="65">
        <f>COUNTIFS(VC_date,"&gt;="&amp;$H$4,VC_date,"&lt;="&amp;$I$4,VC_commercial,$E$4,VC_type,"Visite sur place")</f>
        <v/>
      </c>
      <c r="C18" s="65">
        <f>IF(COUNTIFS(Obj_commercial,$E$4,Obj_metrique,"Visites sur place",Obj_debut,"&lt;="&amp;$H$4,Obj_fin,"&gt;="&amp;$I$4,Obj_duree,"&gt;7")=0,"",SUMIFS(Obj_valeur,Obj_commercial,$E$4,Obj_metrique,"Visites sur place",Obj_debut,"&lt;="&amp;$H$4,Obj_fin,"&gt;="&amp;$I$4,Obj_duree,"&gt;7"))</f>
        <v/>
      </c>
      <c r="D18" s="94">
        <f>IF(OR(C18="",C18=0),"",B18/C18)</f>
        <v/>
      </c>
    </row>
    <row r="19">
      <c r="A19" s="61" t="inlineStr">
        <is>
          <t>Nouveaux prospects créés</t>
        </is>
      </c>
      <c r="B19" s="65">
        <f>COUNTIFS(Cl_creation,"&gt;="&amp;$H$4,Cl_creation,"&lt;="&amp;$I$4,Cl_commercial,$E$4)</f>
        <v/>
      </c>
      <c r="C19" s="65">
        <f>IF(COUNTIFS(Obj_commercial,$E$4,Obj_metrique,"Prospects créés",Obj_debut,"&lt;="&amp;$H$4,Obj_fin,"&gt;="&amp;$I$4,Obj_duree,"&gt;7")=0,"",SUMIFS(Obj_valeur,Obj_commercial,$E$4,Obj_metrique,"Prospects créés",Obj_debut,"&lt;="&amp;$H$4,Obj_fin,"&gt;="&amp;$I$4,Obj_duree,"&gt;7"))</f>
        <v/>
      </c>
      <c r="D19" s="94">
        <f>IF(OR(C19="",C19=0),"",B19/C19)</f>
        <v/>
      </c>
    </row>
    <row r="20">
      <c r="A20" s="61" t="inlineStr">
        <is>
          <t>Nouveaux clients (1ère vente)</t>
        </is>
      </c>
      <c r="B20" s="65">
        <f>COUNTIFS(Cl_vente1,"&gt;="&amp;$H$4,Cl_vente1,"&lt;="&amp;$I$4,Cl_commercial,$E$4)</f>
        <v/>
      </c>
      <c r="C20" s="65">
        <f>IF(COUNTIFS(Obj_commercial,$E$4,Obj_metrique,"Nouveaux clients",Obj_debut,"&lt;="&amp;$H$4,Obj_fin,"&gt;="&amp;$I$4,Obj_duree,"&gt;7")=0,"",SUMIFS(Obj_valeur,Obj_commercial,$E$4,Obj_metrique,"Nouveaux clients",Obj_debut,"&lt;="&amp;$H$4,Obj_fin,"&gt;="&amp;$I$4,Obj_duree,"&gt;7"))</f>
        <v/>
      </c>
      <c r="D20" s="94">
        <f>IF(OR(C20="",C20=0),"",B20/C20)</f>
        <v/>
      </c>
    </row>
    <row r="21">
      <c r="A21" s="61" t="inlineStr">
        <is>
          <t>Commandes prises (XAF)</t>
        </is>
      </c>
      <c r="B21" s="64">
        <f>SUMIFS(Cmd_montant,Cmd_date,"&gt;="&amp;$H$4,Cmd_date,"&lt;="&amp;$I$4,Cmd_commercial,$E$4,Cmd_statut,"&lt;&gt;Annulée",Cmd_type,"&lt;&gt;Vente directe")</f>
        <v/>
      </c>
      <c r="C21" s="62" t="n"/>
      <c r="D21" s="57" t="n"/>
    </row>
    <row r="22">
      <c r="A22" s="61" t="inlineStr">
        <is>
          <t>Chiffre d'affaires réalisé (XAF)</t>
        </is>
      </c>
      <c r="B22" s="64">
        <f>SUMIFS(Cmd_montant,Cmd_dateca,"&gt;="&amp;$H$4,Cmd_dateca,"&lt;="&amp;$I$4,Cmd_commercial,$E$4)</f>
        <v/>
      </c>
      <c r="C22" s="64">
        <f>IF(COUNTIFS(Obj_commercial,$E$4,Obj_metrique,"Chiffre d'affaires (XAF)",Obj_debut,"&lt;="&amp;$H$4,Obj_fin,"&gt;="&amp;$I$4,Obj_duree,"&gt;7")=0,"",SUMIFS(Obj_valeur,Obj_commercial,$E$4,Obj_metrique,"Chiffre d'affaires (XAF)",Obj_debut,"&lt;="&amp;$H$4,Obj_fin,"&gt;="&amp;$I$4,Obj_duree,"&gt;7"))</f>
        <v/>
      </c>
      <c r="D22" s="94">
        <f>IF(OR(C22="",C22=0),"",B22/C22)</f>
        <v/>
      </c>
    </row>
    <row r="23">
      <c r="A23" s="61" t="inlineStr">
        <is>
          <t>Encaissé (XAF)</t>
        </is>
      </c>
      <c r="B23" s="64">
        <f>SUMIFS(Enc_montant,Enc_date,"&gt;="&amp;$H$4,Enc_date,"&lt;="&amp;$I$4,Enc_commercial,$E$4)</f>
        <v/>
      </c>
      <c r="C23" s="62" t="n"/>
      <c r="D23" s="57" t="n"/>
    </row>
    <row r="24">
      <c r="A24" s="61" t="inlineStr">
        <is>
          <t>Casses et pertes (XAF)</t>
        </is>
      </c>
      <c r="B24" s="64">
        <f>SUMIFS(Stk_valeur,Stk_date,"&gt;="&amp;$H$4,Stk_date,"&lt;="&amp;$I$4,Stk_commercial,$E$4,Stk_mouvement,"Casse / avarie")+SUMIFS(Stk_valeur,Stk_date,"&gt;="&amp;$H$4,Stk_date,"&lt;="&amp;$I$4,Stk_commercial,$E$4,Stk_mouvement,"Perte / vol")</f>
        <v/>
      </c>
      <c r="C24" s="62" t="n"/>
      <c r="D24" s="57" t="n"/>
    </row>
    <row r="25">
      <c r="A25" s="61" t="inlineStr">
        <is>
          <t>Frais engagés (XAF)</t>
        </is>
      </c>
      <c r="B25" s="64">
        <f>SUMIFS(Jr_frais,Jr_date,"&gt;="&amp;$H$4,Jr_date,"&lt;="&amp;$I$4,Jr_commercial,$E$4)</f>
        <v/>
      </c>
      <c r="C25" s="62" t="n"/>
      <c r="D25" s="57" t="n"/>
    </row>
    <row r="27" ht="28" customHeight="1">
      <c r="A27" s="95" t="inlineStr">
        <is>
          <t>Les objectifs du mois sont ceux des lignes de la feuille Objectifs dont la période dépasse 7 jours et couvre tout le mois.</t>
        </is>
      </c>
      <c r="B27" s="11" t="n"/>
      <c r="C27" s="11" t="n"/>
      <c r="D27" s="11" t="n"/>
      <c r="E27" s="11" t="n"/>
      <c r="F27" s="12" t="n"/>
    </row>
  </sheetData>
  <sheetProtection selectLockedCells="0" selectUnlockedCells="0" sheet="1" objects="0" insertRows="1" insertHyperlinks="1" autoFilter="1" scenarios="0" formatColumns="0" deleteColumns="1" insertColumns="1" pivotTables="1" deleteRows="1" formatCells="1" formatRows="0" sort="1"/>
  <mergeCells count="4">
    <mergeCell ref="A16:F16"/>
    <mergeCell ref="B5:C5"/>
    <mergeCell ref="A7:F7"/>
    <mergeCell ref="A27:F27"/>
  </mergeCells>
  <conditionalFormatting sqref="F9:F14">
    <cfRule type="expression" priority="1" dxfId="1">
      <formula>AND(ISNUMBER(F9),F9&gt;=1)</formula>
    </cfRule>
    <cfRule type="expression" priority="2" dxfId="2">
      <formula>AND(ISNUMBER(F9),F9&gt;=0.7,F9&lt;1)</formula>
    </cfRule>
    <cfRule type="expression" priority="3" dxfId="3">
      <formula>AND(ISNUMBER(F9),F9&lt;0.7)</formula>
    </cfRule>
  </conditionalFormatting>
  <conditionalFormatting sqref="D18:D25">
    <cfRule type="expression" priority="4" dxfId="1">
      <formula>AND(ISNUMBER(D18),D18&gt;=1)</formula>
    </cfRule>
    <cfRule type="expression" priority="5" dxfId="2">
      <formula>AND(ISNUMBER(D18),D18&gt;=0.7,D18&lt;1)</formula>
    </cfRule>
    <cfRule type="expression" priority="6" dxfId="3">
      <formula>AND(ISNUMBER(D18),D18&lt;0.7)</formula>
    </cfRule>
  </conditionalFormatting>
  <dataValidations count="2">
    <dataValidation sqref="B4" showDropDown="0" showInputMessage="0" showErrorMessage="1" allowBlank="0" errorTitle="Valeur hors liste" error="Choisissez le mois dans la liste. Cliquez sur OK pour la garder telle quelle." type="list" errorStyle="information">
      <formula1>=L_Mois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portrait" paperSize="9" fitToHeight="0" fitToWidth="1"/>
</worksheet>
</file>

<file path=xl/worksheets/sheet16.xml><?xml version="1.0" encoding="utf-8"?>
<worksheet xmlns="http://schemas.openxmlformats.org/spreadsheetml/2006/main">
  <sheetPr>
    <tabColor rgb="007A4FA3"/>
    <outlinePr summaryBelow="1" summaryRight="1"/>
    <pageSetUpPr fitToPage="1"/>
  </sheetPr>
  <dimension ref="A1:M22"/>
  <sheetViews>
    <sheetView showGridLines="0" tabSelected="0" zoomScale="90" workbookViewId="0">
      <pane xSplit="3" ySplit="6" topLeftCell="D7"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22" customWidth="1" min="3" max="3"/>
    <col width="8" customWidth="1" min="4" max="4"/>
    <col width="8" customWidth="1" min="5" max="5"/>
    <col width="10" customWidth="1" min="6" max="6"/>
    <col width="10" customWidth="1" min="7" max="7"/>
    <col width="15" customWidth="1" min="8" max="8"/>
    <col width="15" customWidth="1" min="9" max="9"/>
    <col width="15" customWidth="1" min="10" max="10"/>
    <col width="16" customWidth="1" min="11" max="11"/>
    <col width="15" customWidth="1" min="12" max="12"/>
    <col width="9" customWidth="1" min="13" max="13"/>
  </cols>
  <sheetData>
    <row r="1" ht="26" customHeight="1">
      <c r="A1" s="15" t="inlineStr">
        <is>
          <t>ÉQUIPE COMMERCIALE — vue du responsable</t>
        </is>
      </c>
    </row>
    <row r="2">
      <c r="A2" s="2" t="inlineStr">
        <is>
          <t>Une ligne par commercial de la feuille Paramètres. Les chiffres viennent des lignes de chaque commercial (colonne « Commercial » des feuilles de saisie).</t>
        </is>
      </c>
    </row>
    <row r="3">
      <c r="A3" s="16" t="inlineStr">
        <is>
          <t>◄ Sommaire</t>
        </is>
      </c>
    </row>
    <row r="4">
      <c r="A4" s="52" t="inlineStr">
        <is>
          <t>Lundi de la semaine</t>
        </is>
      </c>
      <c r="C4" s="68">
        <f>TODAY()-WEEKDAY(TODAY(),2)+1</f>
        <v/>
      </c>
      <c r="E4" s="77" t="inlineStr">
        <is>
          <t>Semaine</t>
        </is>
      </c>
      <c r="F4" s="12" t="n"/>
      <c r="G4" s="77">
        <f>YEAR($C$4-WEEKDAY($C$4,2)+4)&amp;"-S"&amp;TEXT(INT(($C$4-DATE(YEAR($C$4-WEEKDAY($C$4,2)+4),1,3)+WEEKDAY(DATE(YEAR($C$4-WEEKDAY($C$4,2)+4),1,3),2)+5)/7),"00")</f>
        <v/>
      </c>
      <c r="H4" s="12" t="n"/>
    </row>
    <row r="6" ht="58" customHeight="1">
      <c r="A6" s="7" t="inlineStr">
        <is>
          <t>Code</t>
        </is>
      </c>
      <c r="B6" s="7" t="inlineStr">
        <is>
          <t>Nom</t>
        </is>
      </c>
      <c r="C6" s="7" t="inlineStr">
        <is>
          <t>Fonction</t>
        </is>
      </c>
      <c r="D6" s="7" t="inlineStr">
        <is>
          <t>Visites</t>
        </is>
      </c>
      <c r="E6" s="7" t="inlineStr">
        <is>
          <t>Contacts</t>
        </is>
      </c>
      <c r="F6" s="7" t="inlineStr">
        <is>
          <t>Nouveaux prospects</t>
        </is>
      </c>
      <c r="G6" s="7" t="inlineStr">
        <is>
          <t>Nouveaux clients</t>
        </is>
      </c>
      <c r="H6" s="7" t="inlineStr">
        <is>
          <t>Commandes prises (XAF)</t>
        </is>
      </c>
      <c r="I6" s="7" t="inlineStr">
        <is>
          <t>CA réalisé (XAF)</t>
        </is>
      </c>
      <c r="J6" s="7" t="inlineStr">
        <is>
          <t>Encaissé (XAF)</t>
        </is>
      </c>
      <c r="K6" s="7" t="inlineStr">
        <is>
          <t>Espèces non versées (cumul, XAF)</t>
        </is>
      </c>
      <c r="L6" s="7" t="inlineStr">
        <is>
          <t>Objectif CA semaine (XAF)</t>
        </is>
      </c>
      <c r="M6" s="7" t="inlineStr">
        <is>
          <t>% CA</t>
        </is>
      </c>
    </row>
    <row r="7">
      <c r="A7" s="61">
        <f>IF(INDEX(Equipe_Code,1)="","",INDEX(Equipe_Code,1))</f>
        <v/>
      </c>
      <c r="B7" s="57">
        <f>IF($A7="","",INDEX(Equipe_Nom,1)&amp;"")</f>
        <v/>
      </c>
      <c r="C7" s="57">
        <f>IF($A7="","",INDEX(Equipe_Fonction,1)&amp;"")</f>
        <v/>
      </c>
      <c r="D7" s="65">
        <f>IF($A7="","",COUNTIFS(VC_date,"&gt;="&amp;$C$4,VC_date,"&lt;="&amp;($C$4+6),VC_commercial,$A7,VC_type,"Visite sur place"))</f>
        <v/>
      </c>
      <c r="E7" s="65">
        <f>IF($A7="","",COUNTIFS(VC_date,"&gt;="&amp;$C$4,VC_date,"&lt;="&amp;($C$4+6),VC_commercial,$A7,VC_type,"&lt;&gt;Visite sur place",VC_type,"&lt;&gt;"))</f>
        <v/>
      </c>
      <c r="F7" s="65">
        <f>IF($A7="","",COUNTIFS(Cl_creation,"&gt;="&amp;$C$4,Cl_creation,"&lt;="&amp;($C$4+6),Cl_commercial,$A7))</f>
        <v/>
      </c>
      <c r="G7" s="65">
        <f>IF($A7="","",COUNTIFS(Cl_vente1,"&gt;="&amp;$C$4,Cl_vente1,"&lt;="&amp;($C$4+6),Cl_commercial,$A7))</f>
        <v/>
      </c>
      <c r="H7" s="64">
        <f>IF($A7="","",SUMIFS(Cmd_montant,Cmd_date,"&gt;="&amp;$C$4,Cmd_date,"&lt;="&amp;($C$4+6),Cmd_commercial,$A7,Cmd_statut,"&lt;&gt;Annulée",Cmd_type,"&lt;&gt;Vente directe"))</f>
        <v/>
      </c>
      <c r="I7" s="64">
        <f>IF($A7="","",SUMIFS(Cmd_montant,Cmd_dateca,"&gt;="&amp;$C$4,Cmd_dateca,"&lt;="&amp;($C$4+6),Cmd_commercial,$A7))</f>
        <v/>
      </c>
      <c r="J7" s="64">
        <f>IF($A7="","",SUMIFS(Enc_montant,Enc_date,"&gt;="&amp;$C$4,Enc_date,"&lt;="&amp;($C$4+6),Enc_commercial,$A7))</f>
        <v/>
      </c>
      <c r="K7" s="64">
        <f>IF($A7="","",SUMIFS(Enc_montant,Enc_commercial,$A7,Enc_mode,"Espèces",Enc_date,"&lt;="&amp;($C$4+6))-SUMIFS(Enc_montant,Enc_commercial,$A7,Enc_mode,"Espèces",Enc_verse,"☑ Oui",Enc_date,"&lt;="&amp;($C$4+6)))</f>
        <v/>
      </c>
      <c r="L7" s="64">
        <f>IF($A7="","",IF(COUNTIFS(Obj_commercial,$A7,Obj_metrique,"Chiffre d'affaires (XAF)",Obj_debut,"&lt;="&amp;$C$4,Obj_fin,"&gt;="&amp;($C$4+6),Obj_duree,"&lt;=7")=0,"",SUMIFS(Obj_valeur,Obj_commercial,$A7,Obj_metrique,"Chiffre d'affaires (XAF)",Obj_debut,"&lt;="&amp;$C$4,Obj_fin,"&gt;="&amp;($C$4+6),Obj_duree,"&lt;=7")))</f>
        <v/>
      </c>
      <c r="M7" s="94">
        <f>IF(OR($A7="",L7="",N(L7)=0),"",I7/L7)</f>
        <v/>
      </c>
    </row>
    <row r="8">
      <c r="A8" s="61">
        <f>IF(INDEX(Equipe_Code,2)="","",INDEX(Equipe_Code,2))</f>
        <v/>
      </c>
      <c r="B8" s="57">
        <f>IF($A8="","",INDEX(Equipe_Nom,2)&amp;"")</f>
        <v/>
      </c>
      <c r="C8" s="57">
        <f>IF($A8="","",INDEX(Equipe_Fonction,2)&amp;"")</f>
        <v/>
      </c>
      <c r="D8" s="65">
        <f>IF($A8="","",COUNTIFS(VC_date,"&gt;="&amp;$C$4,VC_date,"&lt;="&amp;($C$4+6),VC_commercial,$A8,VC_type,"Visite sur place"))</f>
        <v/>
      </c>
      <c r="E8" s="65">
        <f>IF($A8="","",COUNTIFS(VC_date,"&gt;="&amp;$C$4,VC_date,"&lt;="&amp;($C$4+6),VC_commercial,$A8,VC_type,"&lt;&gt;Visite sur place",VC_type,"&lt;&gt;"))</f>
        <v/>
      </c>
      <c r="F8" s="65">
        <f>IF($A8="","",COUNTIFS(Cl_creation,"&gt;="&amp;$C$4,Cl_creation,"&lt;="&amp;($C$4+6),Cl_commercial,$A8))</f>
        <v/>
      </c>
      <c r="G8" s="65">
        <f>IF($A8="","",COUNTIFS(Cl_vente1,"&gt;="&amp;$C$4,Cl_vente1,"&lt;="&amp;($C$4+6),Cl_commercial,$A8))</f>
        <v/>
      </c>
      <c r="H8" s="64">
        <f>IF($A8="","",SUMIFS(Cmd_montant,Cmd_date,"&gt;="&amp;$C$4,Cmd_date,"&lt;="&amp;($C$4+6),Cmd_commercial,$A8,Cmd_statut,"&lt;&gt;Annulée",Cmd_type,"&lt;&gt;Vente directe"))</f>
        <v/>
      </c>
      <c r="I8" s="64">
        <f>IF($A8="","",SUMIFS(Cmd_montant,Cmd_dateca,"&gt;="&amp;$C$4,Cmd_dateca,"&lt;="&amp;($C$4+6),Cmd_commercial,$A8))</f>
        <v/>
      </c>
      <c r="J8" s="64">
        <f>IF($A8="","",SUMIFS(Enc_montant,Enc_date,"&gt;="&amp;$C$4,Enc_date,"&lt;="&amp;($C$4+6),Enc_commercial,$A8))</f>
        <v/>
      </c>
      <c r="K8" s="64">
        <f>IF($A8="","",SUMIFS(Enc_montant,Enc_commercial,$A8,Enc_mode,"Espèces",Enc_date,"&lt;="&amp;($C$4+6))-SUMIFS(Enc_montant,Enc_commercial,$A8,Enc_mode,"Espèces",Enc_verse,"☑ Oui",Enc_date,"&lt;="&amp;($C$4+6)))</f>
        <v/>
      </c>
      <c r="L8" s="64">
        <f>IF($A8="","",IF(COUNTIFS(Obj_commercial,$A8,Obj_metrique,"Chiffre d'affaires (XAF)",Obj_debut,"&lt;="&amp;$C$4,Obj_fin,"&gt;="&amp;($C$4+6),Obj_duree,"&lt;=7")=0,"",SUMIFS(Obj_valeur,Obj_commercial,$A8,Obj_metrique,"Chiffre d'affaires (XAF)",Obj_debut,"&lt;="&amp;$C$4,Obj_fin,"&gt;="&amp;($C$4+6),Obj_duree,"&lt;=7")))</f>
        <v/>
      </c>
      <c r="M8" s="94">
        <f>IF(OR($A8="",L8="",N(L8)=0),"",I8/L8)</f>
        <v/>
      </c>
    </row>
    <row r="9">
      <c r="A9" s="61">
        <f>IF(INDEX(Equipe_Code,3)="","",INDEX(Equipe_Code,3))</f>
        <v/>
      </c>
      <c r="B9" s="57">
        <f>IF($A9="","",INDEX(Equipe_Nom,3)&amp;"")</f>
        <v/>
      </c>
      <c r="C9" s="57">
        <f>IF($A9="","",INDEX(Equipe_Fonction,3)&amp;"")</f>
        <v/>
      </c>
      <c r="D9" s="65">
        <f>IF($A9="","",COUNTIFS(VC_date,"&gt;="&amp;$C$4,VC_date,"&lt;="&amp;($C$4+6),VC_commercial,$A9,VC_type,"Visite sur place"))</f>
        <v/>
      </c>
      <c r="E9" s="65">
        <f>IF($A9="","",COUNTIFS(VC_date,"&gt;="&amp;$C$4,VC_date,"&lt;="&amp;($C$4+6),VC_commercial,$A9,VC_type,"&lt;&gt;Visite sur place",VC_type,"&lt;&gt;"))</f>
        <v/>
      </c>
      <c r="F9" s="65">
        <f>IF($A9="","",COUNTIFS(Cl_creation,"&gt;="&amp;$C$4,Cl_creation,"&lt;="&amp;($C$4+6),Cl_commercial,$A9))</f>
        <v/>
      </c>
      <c r="G9" s="65">
        <f>IF($A9="","",COUNTIFS(Cl_vente1,"&gt;="&amp;$C$4,Cl_vente1,"&lt;="&amp;($C$4+6),Cl_commercial,$A9))</f>
        <v/>
      </c>
      <c r="H9" s="64">
        <f>IF($A9="","",SUMIFS(Cmd_montant,Cmd_date,"&gt;="&amp;$C$4,Cmd_date,"&lt;="&amp;($C$4+6),Cmd_commercial,$A9,Cmd_statut,"&lt;&gt;Annulée",Cmd_type,"&lt;&gt;Vente directe"))</f>
        <v/>
      </c>
      <c r="I9" s="64">
        <f>IF($A9="","",SUMIFS(Cmd_montant,Cmd_dateca,"&gt;="&amp;$C$4,Cmd_dateca,"&lt;="&amp;($C$4+6),Cmd_commercial,$A9))</f>
        <v/>
      </c>
      <c r="J9" s="64">
        <f>IF($A9="","",SUMIFS(Enc_montant,Enc_date,"&gt;="&amp;$C$4,Enc_date,"&lt;="&amp;($C$4+6),Enc_commercial,$A9))</f>
        <v/>
      </c>
      <c r="K9" s="64">
        <f>IF($A9="","",SUMIFS(Enc_montant,Enc_commercial,$A9,Enc_mode,"Espèces",Enc_date,"&lt;="&amp;($C$4+6))-SUMIFS(Enc_montant,Enc_commercial,$A9,Enc_mode,"Espèces",Enc_verse,"☑ Oui",Enc_date,"&lt;="&amp;($C$4+6)))</f>
        <v/>
      </c>
      <c r="L9" s="64">
        <f>IF($A9="","",IF(COUNTIFS(Obj_commercial,$A9,Obj_metrique,"Chiffre d'affaires (XAF)",Obj_debut,"&lt;="&amp;$C$4,Obj_fin,"&gt;="&amp;($C$4+6),Obj_duree,"&lt;=7")=0,"",SUMIFS(Obj_valeur,Obj_commercial,$A9,Obj_metrique,"Chiffre d'affaires (XAF)",Obj_debut,"&lt;="&amp;$C$4,Obj_fin,"&gt;="&amp;($C$4+6),Obj_duree,"&lt;=7")))</f>
        <v/>
      </c>
      <c r="M9" s="94">
        <f>IF(OR($A9="",L9="",N(L9)=0),"",I9/L9)</f>
        <v/>
      </c>
    </row>
    <row r="10">
      <c r="A10" s="61">
        <f>IF(INDEX(Equipe_Code,4)="","",INDEX(Equipe_Code,4))</f>
        <v/>
      </c>
      <c r="B10" s="57">
        <f>IF($A10="","",INDEX(Equipe_Nom,4)&amp;"")</f>
        <v/>
      </c>
      <c r="C10" s="57">
        <f>IF($A10="","",INDEX(Equipe_Fonction,4)&amp;"")</f>
        <v/>
      </c>
      <c r="D10" s="65">
        <f>IF($A10="","",COUNTIFS(VC_date,"&gt;="&amp;$C$4,VC_date,"&lt;="&amp;($C$4+6),VC_commercial,$A10,VC_type,"Visite sur place"))</f>
        <v/>
      </c>
      <c r="E10" s="65">
        <f>IF($A10="","",COUNTIFS(VC_date,"&gt;="&amp;$C$4,VC_date,"&lt;="&amp;($C$4+6),VC_commercial,$A10,VC_type,"&lt;&gt;Visite sur place",VC_type,"&lt;&gt;"))</f>
        <v/>
      </c>
      <c r="F10" s="65">
        <f>IF($A10="","",COUNTIFS(Cl_creation,"&gt;="&amp;$C$4,Cl_creation,"&lt;="&amp;($C$4+6),Cl_commercial,$A10))</f>
        <v/>
      </c>
      <c r="G10" s="65">
        <f>IF($A10="","",COUNTIFS(Cl_vente1,"&gt;="&amp;$C$4,Cl_vente1,"&lt;="&amp;($C$4+6),Cl_commercial,$A10))</f>
        <v/>
      </c>
      <c r="H10" s="64">
        <f>IF($A10="","",SUMIFS(Cmd_montant,Cmd_date,"&gt;="&amp;$C$4,Cmd_date,"&lt;="&amp;($C$4+6),Cmd_commercial,$A10,Cmd_statut,"&lt;&gt;Annulée",Cmd_type,"&lt;&gt;Vente directe"))</f>
        <v/>
      </c>
      <c r="I10" s="64">
        <f>IF($A10="","",SUMIFS(Cmd_montant,Cmd_dateca,"&gt;="&amp;$C$4,Cmd_dateca,"&lt;="&amp;($C$4+6),Cmd_commercial,$A10))</f>
        <v/>
      </c>
      <c r="J10" s="64">
        <f>IF($A10="","",SUMIFS(Enc_montant,Enc_date,"&gt;="&amp;$C$4,Enc_date,"&lt;="&amp;($C$4+6),Enc_commercial,$A10))</f>
        <v/>
      </c>
      <c r="K10" s="64">
        <f>IF($A10="","",SUMIFS(Enc_montant,Enc_commercial,$A10,Enc_mode,"Espèces",Enc_date,"&lt;="&amp;($C$4+6))-SUMIFS(Enc_montant,Enc_commercial,$A10,Enc_mode,"Espèces",Enc_verse,"☑ Oui",Enc_date,"&lt;="&amp;($C$4+6)))</f>
        <v/>
      </c>
      <c r="L10" s="64">
        <f>IF($A10="","",IF(COUNTIFS(Obj_commercial,$A10,Obj_metrique,"Chiffre d'affaires (XAF)",Obj_debut,"&lt;="&amp;$C$4,Obj_fin,"&gt;="&amp;($C$4+6),Obj_duree,"&lt;=7")=0,"",SUMIFS(Obj_valeur,Obj_commercial,$A10,Obj_metrique,"Chiffre d'affaires (XAF)",Obj_debut,"&lt;="&amp;$C$4,Obj_fin,"&gt;="&amp;($C$4+6),Obj_duree,"&lt;=7")))</f>
        <v/>
      </c>
      <c r="M10" s="94">
        <f>IF(OR($A10="",L10="",N(L10)=0),"",I10/L10)</f>
        <v/>
      </c>
    </row>
    <row r="11">
      <c r="A11" s="61">
        <f>IF(INDEX(Equipe_Code,5)="","",INDEX(Equipe_Code,5))</f>
        <v/>
      </c>
      <c r="B11" s="57">
        <f>IF($A11="","",INDEX(Equipe_Nom,5)&amp;"")</f>
        <v/>
      </c>
      <c r="C11" s="57">
        <f>IF($A11="","",INDEX(Equipe_Fonction,5)&amp;"")</f>
        <v/>
      </c>
      <c r="D11" s="65">
        <f>IF($A11="","",COUNTIFS(VC_date,"&gt;="&amp;$C$4,VC_date,"&lt;="&amp;($C$4+6),VC_commercial,$A11,VC_type,"Visite sur place"))</f>
        <v/>
      </c>
      <c r="E11" s="65">
        <f>IF($A11="","",COUNTIFS(VC_date,"&gt;="&amp;$C$4,VC_date,"&lt;="&amp;($C$4+6),VC_commercial,$A11,VC_type,"&lt;&gt;Visite sur place",VC_type,"&lt;&gt;"))</f>
        <v/>
      </c>
      <c r="F11" s="65">
        <f>IF($A11="","",COUNTIFS(Cl_creation,"&gt;="&amp;$C$4,Cl_creation,"&lt;="&amp;($C$4+6),Cl_commercial,$A11))</f>
        <v/>
      </c>
      <c r="G11" s="65">
        <f>IF($A11="","",COUNTIFS(Cl_vente1,"&gt;="&amp;$C$4,Cl_vente1,"&lt;="&amp;($C$4+6),Cl_commercial,$A11))</f>
        <v/>
      </c>
      <c r="H11" s="64">
        <f>IF($A11="","",SUMIFS(Cmd_montant,Cmd_date,"&gt;="&amp;$C$4,Cmd_date,"&lt;="&amp;($C$4+6),Cmd_commercial,$A11,Cmd_statut,"&lt;&gt;Annulée",Cmd_type,"&lt;&gt;Vente directe"))</f>
        <v/>
      </c>
      <c r="I11" s="64">
        <f>IF($A11="","",SUMIFS(Cmd_montant,Cmd_dateca,"&gt;="&amp;$C$4,Cmd_dateca,"&lt;="&amp;($C$4+6),Cmd_commercial,$A11))</f>
        <v/>
      </c>
      <c r="J11" s="64">
        <f>IF($A11="","",SUMIFS(Enc_montant,Enc_date,"&gt;="&amp;$C$4,Enc_date,"&lt;="&amp;($C$4+6),Enc_commercial,$A11))</f>
        <v/>
      </c>
      <c r="K11" s="64">
        <f>IF($A11="","",SUMIFS(Enc_montant,Enc_commercial,$A11,Enc_mode,"Espèces",Enc_date,"&lt;="&amp;($C$4+6))-SUMIFS(Enc_montant,Enc_commercial,$A11,Enc_mode,"Espèces",Enc_verse,"☑ Oui",Enc_date,"&lt;="&amp;($C$4+6)))</f>
        <v/>
      </c>
      <c r="L11" s="64">
        <f>IF($A11="","",IF(COUNTIFS(Obj_commercial,$A11,Obj_metrique,"Chiffre d'affaires (XAF)",Obj_debut,"&lt;="&amp;$C$4,Obj_fin,"&gt;="&amp;($C$4+6),Obj_duree,"&lt;=7")=0,"",SUMIFS(Obj_valeur,Obj_commercial,$A11,Obj_metrique,"Chiffre d'affaires (XAF)",Obj_debut,"&lt;="&amp;$C$4,Obj_fin,"&gt;="&amp;($C$4+6),Obj_duree,"&lt;=7")))</f>
        <v/>
      </c>
      <c r="M11" s="94">
        <f>IF(OR($A11="",L11="",N(L11)=0),"",I11/L11)</f>
        <v/>
      </c>
    </row>
    <row r="12">
      <c r="A12" s="61">
        <f>IF(INDEX(Equipe_Code,6)="","",INDEX(Equipe_Code,6))</f>
        <v/>
      </c>
      <c r="B12" s="57">
        <f>IF($A12="","",INDEX(Equipe_Nom,6)&amp;"")</f>
        <v/>
      </c>
      <c r="C12" s="57">
        <f>IF($A12="","",INDEX(Equipe_Fonction,6)&amp;"")</f>
        <v/>
      </c>
      <c r="D12" s="65">
        <f>IF($A12="","",COUNTIFS(VC_date,"&gt;="&amp;$C$4,VC_date,"&lt;="&amp;($C$4+6),VC_commercial,$A12,VC_type,"Visite sur place"))</f>
        <v/>
      </c>
      <c r="E12" s="65">
        <f>IF($A12="","",COUNTIFS(VC_date,"&gt;="&amp;$C$4,VC_date,"&lt;="&amp;($C$4+6),VC_commercial,$A12,VC_type,"&lt;&gt;Visite sur place",VC_type,"&lt;&gt;"))</f>
        <v/>
      </c>
      <c r="F12" s="65">
        <f>IF($A12="","",COUNTIFS(Cl_creation,"&gt;="&amp;$C$4,Cl_creation,"&lt;="&amp;($C$4+6),Cl_commercial,$A12))</f>
        <v/>
      </c>
      <c r="G12" s="65">
        <f>IF($A12="","",COUNTIFS(Cl_vente1,"&gt;="&amp;$C$4,Cl_vente1,"&lt;="&amp;($C$4+6),Cl_commercial,$A12))</f>
        <v/>
      </c>
      <c r="H12" s="64">
        <f>IF($A12="","",SUMIFS(Cmd_montant,Cmd_date,"&gt;="&amp;$C$4,Cmd_date,"&lt;="&amp;($C$4+6),Cmd_commercial,$A12,Cmd_statut,"&lt;&gt;Annulée",Cmd_type,"&lt;&gt;Vente directe"))</f>
        <v/>
      </c>
      <c r="I12" s="64">
        <f>IF($A12="","",SUMIFS(Cmd_montant,Cmd_dateca,"&gt;="&amp;$C$4,Cmd_dateca,"&lt;="&amp;($C$4+6),Cmd_commercial,$A12))</f>
        <v/>
      </c>
      <c r="J12" s="64">
        <f>IF($A12="","",SUMIFS(Enc_montant,Enc_date,"&gt;="&amp;$C$4,Enc_date,"&lt;="&amp;($C$4+6),Enc_commercial,$A12))</f>
        <v/>
      </c>
      <c r="K12" s="64">
        <f>IF($A12="","",SUMIFS(Enc_montant,Enc_commercial,$A12,Enc_mode,"Espèces",Enc_date,"&lt;="&amp;($C$4+6))-SUMIFS(Enc_montant,Enc_commercial,$A12,Enc_mode,"Espèces",Enc_verse,"☑ Oui",Enc_date,"&lt;="&amp;($C$4+6)))</f>
        <v/>
      </c>
      <c r="L12" s="64">
        <f>IF($A12="","",IF(COUNTIFS(Obj_commercial,$A12,Obj_metrique,"Chiffre d'affaires (XAF)",Obj_debut,"&lt;="&amp;$C$4,Obj_fin,"&gt;="&amp;($C$4+6),Obj_duree,"&lt;=7")=0,"",SUMIFS(Obj_valeur,Obj_commercial,$A12,Obj_metrique,"Chiffre d'affaires (XAF)",Obj_debut,"&lt;="&amp;$C$4,Obj_fin,"&gt;="&amp;($C$4+6),Obj_duree,"&lt;=7")))</f>
        <v/>
      </c>
      <c r="M12" s="94">
        <f>IF(OR($A12="",L12="",N(L12)=0),"",I12/L12)</f>
        <v/>
      </c>
    </row>
    <row r="13">
      <c r="A13" s="61">
        <f>IF(INDEX(Equipe_Code,7)="","",INDEX(Equipe_Code,7))</f>
        <v/>
      </c>
      <c r="B13" s="57">
        <f>IF($A13="","",INDEX(Equipe_Nom,7)&amp;"")</f>
        <v/>
      </c>
      <c r="C13" s="57">
        <f>IF($A13="","",INDEX(Equipe_Fonction,7)&amp;"")</f>
        <v/>
      </c>
      <c r="D13" s="65">
        <f>IF($A13="","",COUNTIFS(VC_date,"&gt;="&amp;$C$4,VC_date,"&lt;="&amp;($C$4+6),VC_commercial,$A13,VC_type,"Visite sur place"))</f>
        <v/>
      </c>
      <c r="E13" s="65">
        <f>IF($A13="","",COUNTIFS(VC_date,"&gt;="&amp;$C$4,VC_date,"&lt;="&amp;($C$4+6),VC_commercial,$A13,VC_type,"&lt;&gt;Visite sur place",VC_type,"&lt;&gt;"))</f>
        <v/>
      </c>
      <c r="F13" s="65">
        <f>IF($A13="","",COUNTIFS(Cl_creation,"&gt;="&amp;$C$4,Cl_creation,"&lt;="&amp;($C$4+6),Cl_commercial,$A13))</f>
        <v/>
      </c>
      <c r="G13" s="65">
        <f>IF($A13="","",COUNTIFS(Cl_vente1,"&gt;="&amp;$C$4,Cl_vente1,"&lt;="&amp;($C$4+6),Cl_commercial,$A13))</f>
        <v/>
      </c>
      <c r="H13" s="64">
        <f>IF($A13="","",SUMIFS(Cmd_montant,Cmd_date,"&gt;="&amp;$C$4,Cmd_date,"&lt;="&amp;($C$4+6),Cmd_commercial,$A13,Cmd_statut,"&lt;&gt;Annulée",Cmd_type,"&lt;&gt;Vente directe"))</f>
        <v/>
      </c>
      <c r="I13" s="64">
        <f>IF($A13="","",SUMIFS(Cmd_montant,Cmd_dateca,"&gt;="&amp;$C$4,Cmd_dateca,"&lt;="&amp;($C$4+6),Cmd_commercial,$A13))</f>
        <v/>
      </c>
      <c r="J13" s="64">
        <f>IF($A13="","",SUMIFS(Enc_montant,Enc_date,"&gt;="&amp;$C$4,Enc_date,"&lt;="&amp;($C$4+6),Enc_commercial,$A13))</f>
        <v/>
      </c>
      <c r="K13" s="64">
        <f>IF($A13="","",SUMIFS(Enc_montant,Enc_commercial,$A13,Enc_mode,"Espèces",Enc_date,"&lt;="&amp;($C$4+6))-SUMIFS(Enc_montant,Enc_commercial,$A13,Enc_mode,"Espèces",Enc_verse,"☑ Oui",Enc_date,"&lt;="&amp;($C$4+6)))</f>
        <v/>
      </c>
      <c r="L13" s="64">
        <f>IF($A13="","",IF(COUNTIFS(Obj_commercial,$A13,Obj_metrique,"Chiffre d'affaires (XAF)",Obj_debut,"&lt;="&amp;$C$4,Obj_fin,"&gt;="&amp;($C$4+6),Obj_duree,"&lt;=7")=0,"",SUMIFS(Obj_valeur,Obj_commercial,$A13,Obj_metrique,"Chiffre d'affaires (XAF)",Obj_debut,"&lt;="&amp;$C$4,Obj_fin,"&gt;="&amp;($C$4+6),Obj_duree,"&lt;=7")))</f>
        <v/>
      </c>
      <c r="M13" s="94">
        <f>IF(OR($A13="",L13="",N(L13)=0),"",I13/L13)</f>
        <v/>
      </c>
    </row>
    <row r="14">
      <c r="A14" s="61">
        <f>IF(INDEX(Equipe_Code,8)="","",INDEX(Equipe_Code,8))</f>
        <v/>
      </c>
      <c r="B14" s="57">
        <f>IF($A14="","",INDEX(Equipe_Nom,8)&amp;"")</f>
        <v/>
      </c>
      <c r="C14" s="57">
        <f>IF($A14="","",INDEX(Equipe_Fonction,8)&amp;"")</f>
        <v/>
      </c>
      <c r="D14" s="65">
        <f>IF($A14="","",COUNTIFS(VC_date,"&gt;="&amp;$C$4,VC_date,"&lt;="&amp;($C$4+6),VC_commercial,$A14,VC_type,"Visite sur place"))</f>
        <v/>
      </c>
      <c r="E14" s="65">
        <f>IF($A14="","",COUNTIFS(VC_date,"&gt;="&amp;$C$4,VC_date,"&lt;="&amp;($C$4+6),VC_commercial,$A14,VC_type,"&lt;&gt;Visite sur place",VC_type,"&lt;&gt;"))</f>
        <v/>
      </c>
      <c r="F14" s="65">
        <f>IF($A14="","",COUNTIFS(Cl_creation,"&gt;="&amp;$C$4,Cl_creation,"&lt;="&amp;($C$4+6),Cl_commercial,$A14))</f>
        <v/>
      </c>
      <c r="G14" s="65">
        <f>IF($A14="","",COUNTIFS(Cl_vente1,"&gt;="&amp;$C$4,Cl_vente1,"&lt;="&amp;($C$4+6),Cl_commercial,$A14))</f>
        <v/>
      </c>
      <c r="H14" s="64">
        <f>IF($A14="","",SUMIFS(Cmd_montant,Cmd_date,"&gt;="&amp;$C$4,Cmd_date,"&lt;="&amp;($C$4+6),Cmd_commercial,$A14,Cmd_statut,"&lt;&gt;Annulée",Cmd_type,"&lt;&gt;Vente directe"))</f>
        <v/>
      </c>
      <c r="I14" s="64">
        <f>IF($A14="","",SUMIFS(Cmd_montant,Cmd_dateca,"&gt;="&amp;$C$4,Cmd_dateca,"&lt;="&amp;($C$4+6),Cmd_commercial,$A14))</f>
        <v/>
      </c>
      <c r="J14" s="64">
        <f>IF($A14="","",SUMIFS(Enc_montant,Enc_date,"&gt;="&amp;$C$4,Enc_date,"&lt;="&amp;($C$4+6),Enc_commercial,$A14))</f>
        <v/>
      </c>
      <c r="K14" s="64">
        <f>IF($A14="","",SUMIFS(Enc_montant,Enc_commercial,$A14,Enc_mode,"Espèces",Enc_date,"&lt;="&amp;($C$4+6))-SUMIFS(Enc_montant,Enc_commercial,$A14,Enc_mode,"Espèces",Enc_verse,"☑ Oui",Enc_date,"&lt;="&amp;($C$4+6)))</f>
        <v/>
      </c>
      <c r="L14" s="64">
        <f>IF($A14="","",IF(COUNTIFS(Obj_commercial,$A14,Obj_metrique,"Chiffre d'affaires (XAF)",Obj_debut,"&lt;="&amp;$C$4,Obj_fin,"&gt;="&amp;($C$4+6),Obj_duree,"&lt;=7")=0,"",SUMIFS(Obj_valeur,Obj_commercial,$A14,Obj_metrique,"Chiffre d'affaires (XAF)",Obj_debut,"&lt;="&amp;$C$4,Obj_fin,"&gt;="&amp;($C$4+6),Obj_duree,"&lt;=7")))</f>
        <v/>
      </c>
      <c r="M14" s="94">
        <f>IF(OR($A14="",L14="",N(L14)=0),"",I14/L14)</f>
        <v/>
      </c>
    </row>
    <row r="15">
      <c r="A15" s="61">
        <f>IF(INDEX(Equipe_Code,9)="","",INDEX(Equipe_Code,9))</f>
        <v/>
      </c>
      <c r="B15" s="57">
        <f>IF($A15="","",INDEX(Equipe_Nom,9)&amp;"")</f>
        <v/>
      </c>
      <c r="C15" s="57">
        <f>IF($A15="","",INDEX(Equipe_Fonction,9)&amp;"")</f>
        <v/>
      </c>
      <c r="D15" s="65">
        <f>IF($A15="","",COUNTIFS(VC_date,"&gt;="&amp;$C$4,VC_date,"&lt;="&amp;($C$4+6),VC_commercial,$A15,VC_type,"Visite sur place"))</f>
        <v/>
      </c>
      <c r="E15" s="65">
        <f>IF($A15="","",COUNTIFS(VC_date,"&gt;="&amp;$C$4,VC_date,"&lt;="&amp;($C$4+6),VC_commercial,$A15,VC_type,"&lt;&gt;Visite sur place",VC_type,"&lt;&gt;"))</f>
        <v/>
      </c>
      <c r="F15" s="65">
        <f>IF($A15="","",COUNTIFS(Cl_creation,"&gt;="&amp;$C$4,Cl_creation,"&lt;="&amp;($C$4+6),Cl_commercial,$A15))</f>
        <v/>
      </c>
      <c r="G15" s="65">
        <f>IF($A15="","",COUNTIFS(Cl_vente1,"&gt;="&amp;$C$4,Cl_vente1,"&lt;="&amp;($C$4+6),Cl_commercial,$A15))</f>
        <v/>
      </c>
      <c r="H15" s="64">
        <f>IF($A15="","",SUMIFS(Cmd_montant,Cmd_date,"&gt;="&amp;$C$4,Cmd_date,"&lt;="&amp;($C$4+6),Cmd_commercial,$A15,Cmd_statut,"&lt;&gt;Annulée",Cmd_type,"&lt;&gt;Vente directe"))</f>
        <v/>
      </c>
      <c r="I15" s="64">
        <f>IF($A15="","",SUMIFS(Cmd_montant,Cmd_dateca,"&gt;="&amp;$C$4,Cmd_dateca,"&lt;="&amp;($C$4+6),Cmd_commercial,$A15))</f>
        <v/>
      </c>
      <c r="J15" s="64">
        <f>IF($A15="","",SUMIFS(Enc_montant,Enc_date,"&gt;="&amp;$C$4,Enc_date,"&lt;="&amp;($C$4+6),Enc_commercial,$A15))</f>
        <v/>
      </c>
      <c r="K15" s="64">
        <f>IF($A15="","",SUMIFS(Enc_montant,Enc_commercial,$A15,Enc_mode,"Espèces",Enc_date,"&lt;="&amp;($C$4+6))-SUMIFS(Enc_montant,Enc_commercial,$A15,Enc_mode,"Espèces",Enc_verse,"☑ Oui",Enc_date,"&lt;="&amp;($C$4+6)))</f>
        <v/>
      </c>
      <c r="L15" s="64">
        <f>IF($A15="","",IF(COUNTIFS(Obj_commercial,$A15,Obj_metrique,"Chiffre d'affaires (XAF)",Obj_debut,"&lt;="&amp;$C$4,Obj_fin,"&gt;="&amp;($C$4+6),Obj_duree,"&lt;=7")=0,"",SUMIFS(Obj_valeur,Obj_commercial,$A15,Obj_metrique,"Chiffre d'affaires (XAF)",Obj_debut,"&lt;="&amp;$C$4,Obj_fin,"&gt;="&amp;($C$4+6),Obj_duree,"&lt;=7")))</f>
        <v/>
      </c>
      <c r="M15" s="94">
        <f>IF(OR($A15="",L15="",N(L15)=0),"",I15/L15)</f>
        <v/>
      </c>
    </row>
    <row r="16">
      <c r="A16" s="61">
        <f>IF(INDEX(Equipe_Code,10)="","",INDEX(Equipe_Code,10))</f>
        <v/>
      </c>
      <c r="B16" s="57">
        <f>IF($A16="","",INDEX(Equipe_Nom,10)&amp;"")</f>
        <v/>
      </c>
      <c r="C16" s="57">
        <f>IF($A16="","",INDEX(Equipe_Fonction,10)&amp;"")</f>
        <v/>
      </c>
      <c r="D16" s="65">
        <f>IF($A16="","",COUNTIFS(VC_date,"&gt;="&amp;$C$4,VC_date,"&lt;="&amp;($C$4+6),VC_commercial,$A16,VC_type,"Visite sur place"))</f>
        <v/>
      </c>
      <c r="E16" s="65">
        <f>IF($A16="","",COUNTIFS(VC_date,"&gt;="&amp;$C$4,VC_date,"&lt;="&amp;($C$4+6),VC_commercial,$A16,VC_type,"&lt;&gt;Visite sur place",VC_type,"&lt;&gt;"))</f>
        <v/>
      </c>
      <c r="F16" s="65">
        <f>IF($A16="","",COUNTIFS(Cl_creation,"&gt;="&amp;$C$4,Cl_creation,"&lt;="&amp;($C$4+6),Cl_commercial,$A16))</f>
        <v/>
      </c>
      <c r="G16" s="65">
        <f>IF($A16="","",COUNTIFS(Cl_vente1,"&gt;="&amp;$C$4,Cl_vente1,"&lt;="&amp;($C$4+6),Cl_commercial,$A16))</f>
        <v/>
      </c>
      <c r="H16" s="64">
        <f>IF($A16="","",SUMIFS(Cmd_montant,Cmd_date,"&gt;="&amp;$C$4,Cmd_date,"&lt;="&amp;($C$4+6),Cmd_commercial,$A16,Cmd_statut,"&lt;&gt;Annulée",Cmd_type,"&lt;&gt;Vente directe"))</f>
        <v/>
      </c>
      <c r="I16" s="64">
        <f>IF($A16="","",SUMIFS(Cmd_montant,Cmd_dateca,"&gt;="&amp;$C$4,Cmd_dateca,"&lt;="&amp;($C$4+6),Cmd_commercial,$A16))</f>
        <v/>
      </c>
      <c r="J16" s="64">
        <f>IF($A16="","",SUMIFS(Enc_montant,Enc_date,"&gt;="&amp;$C$4,Enc_date,"&lt;="&amp;($C$4+6),Enc_commercial,$A16))</f>
        <v/>
      </c>
      <c r="K16" s="64">
        <f>IF($A16="","",SUMIFS(Enc_montant,Enc_commercial,$A16,Enc_mode,"Espèces",Enc_date,"&lt;="&amp;($C$4+6))-SUMIFS(Enc_montant,Enc_commercial,$A16,Enc_mode,"Espèces",Enc_verse,"☑ Oui",Enc_date,"&lt;="&amp;($C$4+6)))</f>
        <v/>
      </c>
      <c r="L16" s="64">
        <f>IF($A16="","",IF(COUNTIFS(Obj_commercial,$A16,Obj_metrique,"Chiffre d'affaires (XAF)",Obj_debut,"&lt;="&amp;$C$4,Obj_fin,"&gt;="&amp;($C$4+6),Obj_duree,"&lt;=7")=0,"",SUMIFS(Obj_valeur,Obj_commercial,$A16,Obj_metrique,"Chiffre d'affaires (XAF)",Obj_debut,"&lt;="&amp;$C$4,Obj_fin,"&gt;="&amp;($C$4+6),Obj_duree,"&lt;=7")))</f>
        <v/>
      </c>
      <c r="M16" s="94">
        <f>IF(OR($A16="",L16="",N(L16)=0),"",I16/L16)</f>
        <v/>
      </c>
    </row>
    <row r="17">
      <c r="A17" s="61">
        <f>IF(INDEX(Equipe_Code,11)="","",INDEX(Equipe_Code,11))</f>
        <v/>
      </c>
      <c r="B17" s="57">
        <f>IF($A17="","",INDEX(Equipe_Nom,11)&amp;"")</f>
        <v/>
      </c>
      <c r="C17" s="57">
        <f>IF($A17="","",INDEX(Equipe_Fonction,11)&amp;"")</f>
        <v/>
      </c>
      <c r="D17" s="65">
        <f>IF($A17="","",COUNTIFS(VC_date,"&gt;="&amp;$C$4,VC_date,"&lt;="&amp;($C$4+6),VC_commercial,$A17,VC_type,"Visite sur place"))</f>
        <v/>
      </c>
      <c r="E17" s="65">
        <f>IF($A17="","",COUNTIFS(VC_date,"&gt;="&amp;$C$4,VC_date,"&lt;="&amp;($C$4+6),VC_commercial,$A17,VC_type,"&lt;&gt;Visite sur place",VC_type,"&lt;&gt;"))</f>
        <v/>
      </c>
      <c r="F17" s="65">
        <f>IF($A17="","",COUNTIFS(Cl_creation,"&gt;="&amp;$C$4,Cl_creation,"&lt;="&amp;($C$4+6),Cl_commercial,$A17))</f>
        <v/>
      </c>
      <c r="G17" s="65">
        <f>IF($A17="","",COUNTIFS(Cl_vente1,"&gt;="&amp;$C$4,Cl_vente1,"&lt;="&amp;($C$4+6),Cl_commercial,$A17))</f>
        <v/>
      </c>
      <c r="H17" s="64">
        <f>IF($A17="","",SUMIFS(Cmd_montant,Cmd_date,"&gt;="&amp;$C$4,Cmd_date,"&lt;="&amp;($C$4+6),Cmd_commercial,$A17,Cmd_statut,"&lt;&gt;Annulée",Cmd_type,"&lt;&gt;Vente directe"))</f>
        <v/>
      </c>
      <c r="I17" s="64">
        <f>IF($A17="","",SUMIFS(Cmd_montant,Cmd_dateca,"&gt;="&amp;$C$4,Cmd_dateca,"&lt;="&amp;($C$4+6),Cmd_commercial,$A17))</f>
        <v/>
      </c>
      <c r="J17" s="64">
        <f>IF($A17="","",SUMIFS(Enc_montant,Enc_date,"&gt;="&amp;$C$4,Enc_date,"&lt;="&amp;($C$4+6),Enc_commercial,$A17))</f>
        <v/>
      </c>
      <c r="K17" s="64">
        <f>IF($A17="","",SUMIFS(Enc_montant,Enc_commercial,$A17,Enc_mode,"Espèces",Enc_date,"&lt;="&amp;($C$4+6))-SUMIFS(Enc_montant,Enc_commercial,$A17,Enc_mode,"Espèces",Enc_verse,"☑ Oui",Enc_date,"&lt;="&amp;($C$4+6)))</f>
        <v/>
      </c>
      <c r="L17" s="64">
        <f>IF($A17="","",IF(COUNTIFS(Obj_commercial,$A17,Obj_metrique,"Chiffre d'affaires (XAF)",Obj_debut,"&lt;="&amp;$C$4,Obj_fin,"&gt;="&amp;($C$4+6),Obj_duree,"&lt;=7")=0,"",SUMIFS(Obj_valeur,Obj_commercial,$A17,Obj_metrique,"Chiffre d'affaires (XAF)",Obj_debut,"&lt;="&amp;$C$4,Obj_fin,"&gt;="&amp;($C$4+6),Obj_duree,"&lt;=7")))</f>
        <v/>
      </c>
      <c r="M17" s="94">
        <f>IF(OR($A17="",L17="",N(L17)=0),"",I17/L17)</f>
        <v/>
      </c>
    </row>
    <row r="18">
      <c r="A18" s="61">
        <f>IF(INDEX(Equipe_Code,12)="","",INDEX(Equipe_Code,12))</f>
        <v/>
      </c>
      <c r="B18" s="57">
        <f>IF($A18="","",INDEX(Equipe_Nom,12)&amp;"")</f>
        <v/>
      </c>
      <c r="C18" s="57">
        <f>IF($A18="","",INDEX(Equipe_Fonction,12)&amp;"")</f>
        <v/>
      </c>
      <c r="D18" s="65">
        <f>IF($A18="","",COUNTIFS(VC_date,"&gt;="&amp;$C$4,VC_date,"&lt;="&amp;($C$4+6),VC_commercial,$A18,VC_type,"Visite sur place"))</f>
        <v/>
      </c>
      <c r="E18" s="65">
        <f>IF($A18="","",COUNTIFS(VC_date,"&gt;="&amp;$C$4,VC_date,"&lt;="&amp;($C$4+6),VC_commercial,$A18,VC_type,"&lt;&gt;Visite sur place",VC_type,"&lt;&gt;"))</f>
        <v/>
      </c>
      <c r="F18" s="65">
        <f>IF($A18="","",COUNTIFS(Cl_creation,"&gt;="&amp;$C$4,Cl_creation,"&lt;="&amp;($C$4+6),Cl_commercial,$A18))</f>
        <v/>
      </c>
      <c r="G18" s="65">
        <f>IF($A18="","",COUNTIFS(Cl_vente1,"&gt;="&amp;$C$4,Cl_vente1,"&lt;="&amp;($C$4+6),Cl_commercial,$A18))</f>
        <v/>
      </c>
      <c r="H18" s="64">
        <f>IF($A18="","",SUMIFS(Cmd_montant,Cmd_date,"&gt;="&amp;$C$4,Cmd_date,"&lt;="&amp;($C$4+6),Cmd_commercial,$A18,Cmd_statut,"&lt;&gt;Annulée",Cmd_type,"&lt;&gt;Vente directe"))</f>
        <v/>
      </c>
      <c r="I18" s="64">
        <f>IF($A18="","",SUMIFS(Cmd_montant,Cmd_dateca,"&gt;="&amp;$C$4,Cmd_dateca,"&lt;="&amp;($C$4+6),Cmd_commercial,$A18))</f>
        <v/>
      </c>
      <c r="J18" s="64">
        <f>IF($A18="","",SUMIFS(Enc_montant,Enc_date,"&gt;="&amp;$C$4,Enc_date,"&lt;="&amp;($C$4+6),Enc_commercial,$A18))</f>
        <v/>
      </c>
      <c r="K18" s="64">
        <f>IF($A18="","",SUMIFS(Enc_montant,Enc_commercial,$A18,Enc_mode,"Espèces",Enc_date,"&lt;="&amp;($C$4+6))-SUMIFS(Enc_montant,Enc_commercial,$A18,Enc_mode,"Espèces",Enc_verse,"☑ Oui",Enc_date,"&lt;="&amp;($C$4+6)))</f>
        <v/>
      </c>
      <c r="L18" s="64">
        <f>IF($A18="","",IF(COUNTIFS(Obj_commercial,$A18,Obj_metrique,"Chiffre d'affaires (XAF)",Obj_debut,"&lt;="&amp;$C$4,Obj_fin,"&gt;="&amp;($C$4+6),Obj_duree,"&lt;=7")=0,"",SUMIFS(Obj_valeur,Obj_commercial,$A18,Obj_metrique,"Chiffre d'affaires (XAF)",Obj_debut,"&lt;="&amp;$C$4,Obj_fin,"&gt;="&amp;($C$4+6),Obj_duree,"&lt;=7")))</f>
        <v/>
      </c>
      <c r="M18" s="94">
        <f>IF(OR($A18="",L18="",N(L18)=0),"",I18/L18)</f>
        <v/>
      </c>
    </row>
    <row r="19">
      <c r="A19" s="61">
        <f>IF(INDEX(Equipe_Code,13)="","",INDEX(Equipe_Code,13))</f>
        <v/>
      </c>
      <c r="B19" s="57">
        <f>IF($A19="","",INDEX(Equipe_Nom,13)&amp;"")</f>
        <v/>
      </c>
      <c r="C19" s="57">
        <f>IF($A19="","",INDEX(Equipe_Fonction,13)&amp;"")</f>
        <v/>
      </c>
      <c r="D19" s="65">
        <f>IF($A19="","",COUNTIFS(VC_date,"&gt;="&amp;$C$4,VC_date,"&lt;="&amp;($C$4+6),VC_commercial,$A19,VC_type,"Visite sur place"))</f>
        <v/>
      </c>
      <c r="E19" s="65">
        <f>IF($A19="","",COUNTIFS(VC_date,"&gt;="&amp;$C$4,VC_date,"&lt;="&amp;($C$4+6),VC_commercial,$A19,VC_type,"&lt;&gt;Visite sur place",VC_type,"&lt;&gt;"))</f>
        <v/>
      </c>
      <c r="F19" s="65">
        <f>IF($A19="","",COUNTIFS(Cl_creation,"&gt;="&amp;$C$4,Cl_creation,"&lt;="&amp;($C$4+6),Cl_commercial,$A19))</f>
        <v/>
      </c>
      <c r="G19" s="65">
        <f>IF($A19="","",COUNTIFS(Cl_vente1,"&gt;="&amp;$C$4,Cl_vente1,"&lt;="&amp;($C$4+6),Cl_commercial,$A19))</f>
        <v/>
      </c>
      <c r="H19" s="64">
        <f>IF($A19="","",SUMIFS(Cmd_montant,Cmd_date,"&gt;="&amp;$C$4,Cmd_date,"&lt;="&amp;($C$4+6),Cmd_commercial,$A19,Cmd_statut,"&lt;&gt;Annulée",Cmd_type,"&lt;&gt;Vente directe"))</f>
        <v/>
      </c>
      <c r="I19" s="64">
        <f>IF($A19="","",SUMIFS(Cmd_montant,Cmd_dateca,"&gt;="&amp;$C$4,Cmd_dateca,"&lt;="&amp;($C$4+6),Cmd_commercial,$A19))</f>
        <v/>
      </c>
      <c r="J19" s="64">
        <f>IF($A19="","",SUMIFS(Enc_montant,Enc_date,"&gt;="&amp;$C$4,Enc_date,"&lt;="&amp;($C$4+6),Enc_commercial,$A19))</f>
        <v/>
      </c>
      <c r="K19" s="64">
        <f>IF($A19="","",SUMIFS(Enc_montant,Enc_commercial,$A19,Enc_mode,"Espèces",Enc_date,"&lt;="&amp;($C$4+6))-SUMIFS(Enc_montant,Enc_commercial,$A19,Enc_mode,"Espèces",Enc_verse,"☑ Oui",Enc_date,"&lt;="&amp;($C$4+6)))</f>
        <v/>
      </c>
      <c r="L19" s="64">
        <f>IF($A19="","",IF(COUNTIFS(Obj_commercial,$A19,Obj_metrique,"Chiffre d'affaires (XAF)",Obj_debut,"&lt;="&amp;$C$4,Obj_fin,"&gt;="&amp;($C$4+6),Obj_duree,"&lt;=7")=0,"",SUMIFS(Obj_valeur,Obj_commercial,$A19,Obj_metrique,"Chiffre d'affaires (XAF)",Obj_debut,"&lt;="&amp;$C$4,Obj_fin,"&gt;="&amp;($C$4+6),Obj_duree,"&lt;=7")))</f>
        <v/>
      </c>
      <c r="M19" s="94">
        <f>IF(OR($A19="",L19="",N(L19)=0),"",I19/L19)</f>
        <v/>
      </c>
    </row>
    <row r="20">
      <c r="A20" s="61">
        <f>IF(INDEX(Equipe_Code,14)="","",INDEX(Equipe_Code,14))</f>
        <v/>
      </c>
      <c r="B20" s="57">
        <f>IF($A20="","",INDEX(Equipe_Nom,14)&amp;"")</f>
        <v/>
      </c>
      <c r="C20" s="57">
        <f>IF($A20="","",INDEX(Equipe_Fonction,14)&amp;"")</f>
        <v/>
      </c>
      <c r="D20" s="65">
        <f>IF($A20="","",COUNTIFS(VC_date,"&gt;="&amp;$C$4,VC_date,"&lt;="&amp;($C$4+6),VC_commercial,$A20,VC_type,"Visite sur place"))</f>
        <v/>
      </c>
      <c r="E20" s="65">
        <f>IF($A20="","",COUNTIFS(VC_date,"&gt;="&amp;$C$4,VC_date,"&lt;="&amp;($C$4+6),VC_commercial,$A20,VC_type,"&lt;&gt;Visite sur place",VC_type,"&lt;&gt;"))</f>
        <v/>
      </c>
      <c r="F20" s="65">
        <f>IF($A20="","",COUNTIFS(Cl_creation,"&gt;="&amp;$C$4,Cl_creation,"&lt;="&amp;($C$4+6),Cl_commercial,$A20))</f>
        <v/>
      </c>
      <c r="G20" s="65">
        <f>IF($A20="","",COUNTIFS(Cl_vente1,"&gt;="&amp;$C$4,Cl_vente1,"&lt;="&amp;($C$4+6),Cl_commercial,$A20))</f>
        <v/>
      </c>
      <c r="H20" s="64">
        <f>IF($A20="","",SUMIFS(Cmd_montant,Cmd_date,"&gt;="&amp;$C$4,Cmd_date,"&lt;="&amp;($C$4+6),Cmd_commercial,$A20,Cmd_statut,"&lt;&gt;Annulée",Cmd_type,"&lt;&gt;Vente directe"))</f>
        <v/>
      </c>
      <c r="I20" s="64">
        <f>IF($A20="","",SUMIFS(Cmd_montant,Cmd_dateca,"&gt;="&amp;$C$4,Cmd_dateca,"&lt;="&amp;($C$4+6),Cmd_commercial,$A20))</f>
        <v/>
      </c>
      <c r="J20" s="64">
        <f>IF($A20="","",SUMIFS(Enc_montant,Enc_date,"&gt;="&amp;$C$4,Enc_date,"&lt;="&amp;($C$4+6),Enc_commercial,$A20))</f>
        <v/>
      </c>
      <c r="K20" s="64">
        <f>IF($A20="","",SUMIFS(Enc_montant,Enc_commercial,$A20,Enc_mode,"Espèces",Enc_date,"&lt;="&amp;($C$4+6))-SUMIFS(Enc_montant,Enc_commercial,$A20,Enc_mode,"Espèces",Enc_verse,"☑ Oui",Enc_date,"&lt;="&amp;($C$4+6)))</f>
        <v/>
      </c>
      <c r="L20" s="64">
        <f>IF($A20="","",IF(COUNTIFS(Obj_commercial,$A20,Obj_metrique,"Chiffre d'affaires (XAF)",Obj_debut,"&lt;="&amp;$C$4,Obj_fin,"&gt;="&amp;($C$4+6),Obj_duree,"&lt;=7")=0,"",SUMIFS(Obj_valeur,Obj_commercial,$A20,Obj_metrique,"Chiffre d'affaires (XAF)",Obj_debut,"&lt;="&amp;$C$4,Obj_fin,"&gt;="&amp;($C$4+6),Obj_duree,"&lt;=7")))</f>
        <v/>
      </c>
      <c r="M20" s="94">
        <f>IF(OR($A20="",L20="",N(L20)=0),"",I20/L20)</f>
        <v/>
      </c>
    </row>
    <row r="21">
      <c r="A21" s="61">
        <f>IF(INDEX(Equipe_Code,15)="","",INDEX(Equipe_Code,15))</f>
        <v/>
      </c>
      <c r="B21" s="57">
        <f>IF($A21="","",INDEX(Equipe_Nom,15)&amp;"")</f>
        <v/>
      </c>
      <c r="C21" s="57">
        <f>IF($A21="","",INDEX(Equipe_Fonction,15)&amp;"")</f>
        <v/>
      </c>
      <c r="D21" s="65">
        <f>IF($A21="","",COUNTIFS(VC_date,"&gt;="&amp;$C$4,VC_date,"&lt;="&amp;($C$4+6),VC_commercial,$A21,VC_type,"Visite sur place"))</f>
        <v/>
      </c>
      <c r="E21" s="65">
        <f>IF($A21="","",COUNTIFS(VC_date,"&gt;="&amp;$C$4,VC_date,"&lt;="&amp;($C$4+6),VC_commercial,$A21,VC_type,"&lt;&gt;Visite sur place",VC_type,"&lt;&gt;"))</f>
        <v/>
      </c>
      <c r="F21" s="65">
        <f>IF($A21="","",COUNTIFS(Cl_creation,"&gt;="&amp;$C$4,Cl_creation,"&lt;="&amp;($C$4+6),Cl_commercial,$A21))</f>
        <v/>
      </c>
      <c r="G21" s="65">
        <f>IF($A21="","",COUNTIFS(Cl_vente1,"&gt;="&amp;$C$4,Cl_vente1,"&lt;="&amp;($C$4+6),Cl_commercial,$A21))</f>
        <v/>
      </c>
      <c r="H21" s="64">
        <f>IF($A21="","",SUMIFS(Cmd_montant,Cmd_date,"&gt;="&amp;$C$4,Cmd_date,"&lt;="&amp;($C$4+6),Cmd_commercial,$A21,Cmd_statut,"&lt;&gt;Annulée",Cmd_type,"&lt;&gt;Vente directe"))</f>
        <v/>
      </c>
      <c r="I21" s="64">
        <f>IF($A21="","",SUMIFS(Cmd_montant,Cmd_dateca,"&gt;="&amp;$C$4,Cmd_dateca,"&lt;="&amp;($C$4+6),Cmd_commercial,$A21))</f>
        <v/>
      </c>
      <c r="J21" s="64">
        <f>IF($A21="","",SUMIFS(Enc_montant,Enc_date,"&gt;="&amp;$C$4,Enc_date,"&lt;="&amp;($C$4+6),Enc_commercial,$A21))</f>
        <v/>
      </c>
      <c r="K21" s="64">
        <f>IF($A21="","",SUMIFS(Enc_montant,Enc_commercial,$A21,Enc_mode,"Espèces",Enc_date,"&lt;="&amp;($C$4+6))-SUMIFS(Enc_montant,Enc_commercial,$A21,Enc_mode,"Espèces",Enc_verse,"☑ Oui",Enc_date,"&lt;="&amp;($C$4+6)))</f>
        <v/>
      </c>
      <c r="L21" s="64">
        <f>IF($A21="","",IF(COUNTIFS(Obj_commercial,$A21,Obj_metrique,"Chiffre d'affaires (XAF)",Obj_debut,"&lt;="&amp;$C$4,Obj_fin,"&gt;="&amp;($C$4+6),Obj_duree,"&lt;=7")=0,"",SUMIFS(Obj_valeur,Obj_commercial,$A21,Obj_metrique,"Chiffre d'affaires (XAF)",Obj_debut,"&lt;="&amp;$C$4,Obj_fin,"&gt;="&amp;($C$4+6),Obj_duree,"&lt;=7")))</f>
        <v/>
      </c>
      <c r="M21" s="94">
        <f>IF(OR($A21="",L21="",N(L21)=0),"",I21/L21)</f>
        <v/>
      </c>
    </row>
    <row r="22">
      <c r="A22" s="79" t="inlineStr">
        <is>
          <t>TOTAL ÉQUIPE</t>
        </is>
      </c>
      <c r="B22" s="63" t="n"/>
      <c r="C22" s="63" t="n"/>
      <c r="D22" s="81">
        <f>SUM(D7:D21)</f>
        <v/>
      </c>
      <c r="E22" s="81">
        <f>SUM(E7:E21)</f>
        <v/>
      </c>
      <c r="F22" s="81">
        <f>SUM(F7:F21)</f>
        <v/>
      </c>
      <c r="G22" s="81">
        <f>SUM(G7:G21)</f>
        <v/>
      </c>
      <c r="H22" s="82">
        <f>SUM(H7:H21)</f>
        <v/>
      </c>
      <c r="I22" s="82">
        <f>SUM(I7:I21)</f>
        <v/>
      </c>
      <c r="J22" s="82">
        <f>SUM(J7:J21)</f>
        <v/>
      </c>
      <c r="K22" s="82">
        <f>SUM(K7:K21)</f>
        <v/>
      </c>
      <c r="L22" s="82">
        <f>SUM(L7:L21)</f>
        <v/>
      </c>
      <c r="M22" s="96">
        <f>IF(N(L22)=0,"",I22/L22)</f>
        <v/>
      </c>
    </row>
  </sheetData>
  <sheetProtection selectLockedCells="0" selectUnlockedCells="0" sheet="1" objects="0" insertRows="1" insertHyperlinks="1" autoFilter="1" scenarios="0" formatColumns="0" deleteColumns="1" insertColumns="1" pivotTables="1" deleteRows="1" formatCells="1" formatRows="0" sort="1"/>
  <mergeCells count="4">
    <mergeCell ref="A4:B4"/>
    <mergeCell ref="G4:H4"/>
    <mergeCell ref="E4:F4"/>
    <mergeCell ref="A22:C22"/>
  </mergeCells>
  <conditionalFormatting sqref="M7:M22">
    <cfRule type="expression" priority="1" dxfId="1">
      <formula>AND(ISNUMBER(M7),M7&gt;=1)</formula>
    </cfRule>
    <cfRule type="expression" priority="2" dxfId="2">
      <formula>AND(ISNUMBER(M7),M7&gt;=0.7,M7&lt;1)</formula>
    </cfRule>
    <cfRule type="expression" priority="3" dxfId="3">
      <formula>AND(ISNUMBER(M7),M7&lt;0.7)</formula>
    </cfRule>
  </conditionalFormatting>
  <dataValidations count="1">
    <dataValidation sqref="C4" showDropDown="0" showInputMessage="0" showErrorMessage="1" allowBlank="0" errorTitle="Valeur hors liste" error="Choisissez le lundi de la semaine dans la liste. Cliquez sur OK pour la garder telle quelle." type="list" errorStyle="information">
      <formula1>=L_LundisPasses</formula1>
    </dataValidation>
  </dataValidations>
  <hyperlinks>
    <hyperlink xmlns:r="http://schemas.openxmlformats.org/officeDocument/2006/relationships" ref="A3" r:id="rId1"/>
  </hyperlinks>
  <printOptions horizontalCentered="1"/>
  <pageMargins left="0.4" right="0.4" top="0.5" bottom="0.5" header="0.5" footer="0.5"/>
  <pageSetup orientation="landscape" paperSize="9" fitToHeight="0" fitToWidth="1"/>
</worksheet>
</file>

<file path=xl/worksheets/sheet17.xml><?xml version="1.0" encoding="utf-8"?>
<worksheet xmlns="http://schemas.openxmlformats.org/spreadsheetml/2006/main">
  <sheetPr>
    <tabColor rgb="007F8C8D"/>
    <outlinePr summaryBelow="1" summaryRight="1"/>
    <pageSetUpPr/>
  </sheetPr>
  <dimension ref="A1:CG95"/>
  <sheetViews>
    <sheetView tabSelected="0" zoomScale="90" workbookViewId="0">
      <pane ySplit="5" topLeftCell="A6" activePane="bottomLeft" state="frozen"/>
      <selection pane="bottomLeft" activeCell="A1" sqref="A1"/>
    </sheetView>
  </sheetViews>
  <sheetFormatPr baseColWidth="8" defaultRowHeight="15"/>
  <cols>
    <col width="30" customWidth="1" min="1" max="1"/>
    <col width="22" customWidth="1" min="2" max="2"/>
    <col width="3" customWidth="1" min="3" max="3"/>
    <col width="30" customWidth="1" min="4" max="4"/>
    <col width="22" customWidth="1" min="5" max="5"/>
    <col width="3" customWidth="1" min="6" max="6"/>
    <col width="30" customWidth="1" min="7" max="7"/>
    <col width="22" customWidth="1" min="8" max="8"/>
    <col width="3" customWidth="1" min="9" max="9"/>
    <col width="30" customWidth="1" min="10" max="10"/>
    <col width="22" customWidth="1" min="11" max="11"/>
    <col width="3" customWidth="1" min="12" max="12"/>
    <col width="30" customWidth="1" min="13" max="13"/>
    <col width="22" customWidth="1" min="14" max="14"/>
    <col width="3" customWidth="1" min="15" max="15"/>
    <col width="30" customWidth="1" min="16" max="16"/>
    <col width="22" customWidth="1" min="17" max="17"/>
    <col width="3" customWidth="1" min="18" max="18"/>
    <col width="30" customWidth="1" min="19" max="19"/>
    <col width="22" customWidth="1" min="20" max="20"/>
    <col width="3" customWidth="1" min="21" max="21"/>
    <col width="30" customWidth="1" min="22" max="22"/>
    <col width="22" customWidth="1" min="23" max="23"/>
    <col width="3" customWidth="1" min="24" max="24"/>
    <col width="30" customWidth="1" min="25" max="25"/>
    <col width="22" customWidth="1" min="26" max="26"/>
    <col width="3" customWidth="1" min="27" max="27"/>
    <col width="30" customWidth="1" min="28" max="28"/>
    <col width="22" customWidth="1" min="29" max="29"/>
    <col width="3" customWidth="1" min="30" max="30"/>
    <col width="30" customWidth="1" min="31" max="31"/>
    <col width="22" customWidth="1" min="32" max="32"/>
    <col width="3" customWidth="1" min="33" max="33"/>
    <col width="30" customWidth="1" min="34" max="34"/>
    <col width="22" customWidth="1" min="35" max="35"/>
    <col width="3" customWidth="1" min="36" max="36"/>
    <col width="30" customWidth="1" min="37" max="37"/>
    <col width="22" customWidth="1" min="38" max="38"/>
    <col width="3" customWidth="1" min="39" max="39"/>
    <col width="30" customWidth="1" min="40" max="40"/>
    <col width="22" customWidth="1" min="41" max="41"/>
    <col width="3" customWidth="1" min="42" max="42"/>
    <col width="30" customWidth="1" min="43" max="43"/>
    <col width="22" customWidth="1" min="44" max="44"/>
    <col width="3" customWidth="1" min="45" max="45"/>
    <col width="30" customWidth="1" min="46" max="46"/>
    <col width="22" customWidth="1" min="47" max="47"/>
    <col width="3" customWidth="1" min="48" max="48"/>
    <col width="30" customWidth="1" min="49" max="49"/>
    <col width="22" customWidth="1" min="50" max="50"/>
    <col width="3" customWidth="1" min="51" max="51"/>
    <col width="30" customWidth="1" min="52" max="52"/>
    <col width="22" customWidth="1" min="53" max="53"/>
    <col width="3" customWidth="1" min="54" max="54"/>
    <col width="30" customWidth="1" min="55" max="55"/>
    <col width="22" customWidth="1" min="56" max="56"/>
    <col width="3" customWidth="1" min="57" max="57"/>
    <col width="30" customWidth="1" min="58" max="58"/>
    <col width="22" customWidth="1" min="59" max="59"/>
    <col width="3" customWidth="1" min="60" max="60"/>
    <col width="30" customWidth="1" min="61" max="61"/>
    <col width="22" customWidth="1" min="62" max="62"/>
    <col width="3" customWidth="1" min="63" max="63"/>
    <col width="34" customWidth="1" min="64" max="64"/>
    <col width="12" customWidth="1" min="65" max="65"/>
    <col width="22" customWidth="1" min="66" max="66"/>
    <col width="22" customWidth="1" min="67" max="67"/>
    <col width="3" customWidth="1" min="68" max="68"/>
    <col width="22" customWidth="1" min="69" max="69"/>
    <col width="3" customWidth="1" min="70" max="70"/>
    <col width="22" customWidth="1" min="71" max="71"/>
    <col width="3" customWidth="1" min="72" max="72"/>
    <col width="22" customWidth="1" min="73" max="73"/>
    <col width="3" customWidth="1" min="74" max="74"/>
    <col width="22" customWidth="1" min="75" max="75"/>
    <col width="3" customWidth="1" min="76" max="76"/>
    <col width="22" customWidth="1" min="77" max="77"/>
    <col width="3" customWidth="1" min="78" max="78"/>
    <col width="14" customWidth="1" min="79" max="79"/>
    <col width="3" customWidth="1" min="80" max="80"/>
    <col width="14" customWidth="1" min="81" max="81"/>
    <col width="3" customWidth="1" min="82" max="82"/>
    <col width="14" customWidth="1" min="83" max="83"/>
    <col width="3" customWidth="1" min="84" max="84"/>
    <col width="14" customWidth="1" min="85" max="85"/>
    <col width="3" customWidth="1" min="86" max="86"/>
  </cols>
  <sheetData>
    <row r="1">
      <c r="A1" s="15" t="inlineStr">
        <is>
          <t>LISTES DE RÉFÉRENCE — les choix des listes déroulantes</t>
        </is>
      </c>
    </row>
    <row r="2">
      <c r="A2" s="2" t="inlineStr">
        <is>
          <t>Pour ajouter un choix, écrivez-le à la suite d'une liste, sans ligne vide. Ne renommez pas un choix déjà utilisé. La direction renseigne ici les prix de référence des produits (colonne « Prix de référence »). Les listes de dates, d'heures et de mois se mettent à jour seules.</t>
        </is>
      </c>
    </row>
    <row r="3">
      <c r="A3" s="16" t="inlineStr">
        <is>
          <t>◄ Sommaire</t>
        </is>
      </c>
    </row>
    <row r="4">
      <c r="A4" s="97" t="inlineStr">
        <is>
          <t>Fonctions</t>
        </is>
      </c>
      <c r="D4" s="97" t="inlineStr">
        <is>
          <t>Types de client</t>
        </is>
      </c>
      <c r="G4" s="97" t="inlineStr">
        <is>
          <t>Sources de prospect</t>
        </is>
      </c>
      <c r="J4" s="97" t="inlineStr">
        <is>
          <t>Statuts du compte (automatiques)</t>
        </is>
      </c>
      <c r="M4" s="97" t="inlineStr">
        <is>
          <t>Étapes du pipeline</t>
        </is>
      </c>
      <c r="P4" s="97" t="inlineStr">
        <is>
          <t>Types de contact</t>
        </is>
      </c>
      <c r="S4" s="97" t="inlineStr">
        <is>
          <t>Objets de visite</t>
        </is>
      </c>
      <c r="V4" s="97" t="inlineStr">
        <is>
          <t>Résultats de visite</t>
        </is>
      </c>
      <c r="Y4" s="97" t="inlineStr">
        <is>
          <t>Motifs de perte</t>
        </is>
      </c>
      <c r="AB4" s="97" t="inlineStr">
        <is>
          <t>Unités</t>
        </is>
      </c>
      <c r="AE4" s="97" t="inlineStr">
        <is>
          <t>Modes de paiement</t>
        </is>
      </c>
      <c r="AH4" s="97" t="inlineStr">
        <is>
          <t>Types d'opération</t>
        </is>
      </c>
      <c r="AK4" s="97" t="inlineStr">
        <is>
          <t>Statuts de commande (automatiques)</t>
        </is>
      </c>
      <c r="AN4" s="97" t="inlineStr">
        <is>
          <t>Paiements prévus</t>
        </is>
      </c>
      <c r="AQ4" s="97" t="inlineStr">
        <is>
          <t>Mouvements de stock</t>
        </is>
      </c>
      <c r="AT4" s="97" t="inlineStr">
        <is>
          <t>Causes de casse ou de perte</t>
        </is>
      </c>
      <c r="AW4" s="97" t="inlineStr">
        <is>
          <t>Quartiers / zones</t>
        </is>
      </c>
      <c r="AZ4" s="97" t="inlineStr">
        <is>
          <t>Indicateurs d'objectif</t>
        </is>
      </c>
      <c r="BC4" s="97" t="inlineStr">
        <is>
          <t>Types de période</t>
        </is>
      </c>
      <c r="BF4" s="97" t="inlineStr">
        <is>
          <t>Oui / Non (cases à cocher)</t>
        </is>
      </c>
      <c r="BI4" s="97" t="inlineStr">
        <is>
          <t>Semaines du mois</t>
        </is>
      </c>
      <c r="BL4" s="97" t="inlineStr">
        <is>
          <t>Produits</t>
        </is>
      </c>
      <c r="BQ4" s="97" t="inlineStr">
        <is>
          <t>Dates passées (aujourd'hui en tête)</t>
        </is>
      </c>
      <c r="BS4" s="97" t="inlineStr">
        <is>
          <t>Dates à venir (aujourd'hui en tête)</t>
        </is>
      </c>
      <c r="BU4" s="97" t="inlineStr">
        <is>
          <t>Lundis (semaine en cours, puis passées)</t>
        </is>
      </c>
      <c r="BW4" s="97" t="inlineStr">
        <is>
          <t>Lundis (semaine en cours, puis à venir)</t>
        </is>
      </c>
      <c r="BY4" s="97" t="inlineStr">
        <is>
          <t>Mois (12 passés, en cours, 6 à venir)</t>
        </is>
      </c>
      <c r="CA4" s="97" t="inlineStr">
        <is>
          <t>Heures (tous les quarts d'heure)</t>
        </is>
      </c>
      <c r="CC4" s="97" t="inlineStr">
        <is>
          <t>Quantités proposées</t>
        </is>
      </c>
      <c r="CE4" s="97" t="inlineStr">
        <is>
          <t>Frais proposés (XAF)</t>
        </is>
      </c>
      <c r="CG4" s="97" t="inlineStr">
        <is>
          <t>Remises proposées (XAF)</t>
        </is>
      </c>
    </row>
    <row r="5" ht="48" customHeight="1">
      <c r="A5" s="31" t="inlineStr">
        <is>
          <t>Libellé</t>
        </is>
      </c>
      <c r="B5" s="7" t="inlineStr">
        <is>
          <t>Code (indicatif)</t>
        </is>
      </c>
      <c r="D5" s="31" t="inlineStr">
        <is>
          <t>Libellé</t>
        </is>
      </c>
      <c r="E5" s="7" t="inlineStr">
        <is>
          <t>Code (indicatif)</t>
        </is>
      </c>
      <c r="G5" s="31" t="inlineStr">
        <is>
          <t>Libellé</t>
        </is>
      </c>
      <c r="H5" s="7" t="inlineStr">
        <is>
          <t>Code (indicatif)</t>
        </is>
      </c>
      <c r="J5" s="31" t="inlineStr">
        <is>
          <t>Libellé</t>
        </is>
      </c>
      <c r="K5" s="7" t="inlineStr">
        <is>
          <t>Code (indicatif)</t>
        </is>
      </c>
      <c r="M5" s="31" t="inlineStr">
        <is>
          <t>Libellé</t>
        </is>
      </c>
      <c r="N5" s="7" t="inlineStr">
        <is>
          <t>Code (indicatif)</t>
        </is>
      </c>
      <c r="P5" s="31" t="inlineStr">
        <is>
          <t>Libellé</t>
        </is>
      </c>
      <c r="Q5" s="7" t="inlineStr">
        <is>
          <t>Code (indicatif)</t>
        </is>
      </c>
      <c r="S5" s="31" t="inlineStr">
        <is>
          <t>Libellé</t>
        </is>
      </c>
      <c r="T5" s="7" t="inlineStr">
        <is>
          <t>Code (indicatif)</t>
        </is>
      </c>
      <c r="V5" s="31" t="inlineStr">
        <is>
          <t>Libellé</t>
        </is>
      </c>
      <c r="W5" s="7" t="inlineStr">
        <is>
          <t>Code (indicatif)</t>
        </is>
      </c>
      <c r="Y5" s="31" t="inlineStr">
        <is>
          <t>Libellé</t>
        </is>
      </c>
      <c r="Z5" s="7" t="inlineStr">
        <is>
          <t>Code (indicatif)</t>
        </is>
      </c>
      <c r="AB5" s="31" t="inlineStr">
        <is>
          <t>Libellé</t>
        </is>
      </c>
      <c r="AC5" s="7" t="inlineStr">
        <is>
          <t>Code (indicatif)</t>
        </is>
      </c>
      <c r="AE5" s="31" t="inlineStr">
        <is>
          <t>Libellé</t>
        </is>
      </c>
      <c r="AF5" s="7" t="inlineStr">
        <is>
          <t>Code (indicatif)</t>
        </is>
      </c>
      <c r="AH5" s="31" t="inlineStr">
        <is>
          <t>Libellé</t>
        </is>
      </c>
      <c r="AI5" s="7" t="inlineStr">
        <is>
          <t>Code (indicatif)</t>
        </is>
      </c>
      <c r="AK5" s="31" t="inlineStr">
        <is>
          <t>Libellé</t>
        </is>
      </c>
      <c r="AL5" s="7" t="inlineStr">
        <is>
          <t>Code (indicatif)</t>
        </is>
      </c>
      <c r="AN5" s="31" t="inlineStr">
        <is>
          <t>Libellé</t>
        </is>
      </c>
      <c r="AO5" s="7" t="inlineStr">
        <is>
          <t>Code (indicatif)</t>
        </is>
      </c>
      <c r="AQ5" s="31" t="inlineStr">
        <is>
          <t>Libellé</t>
        </is>
      </c>
      <c r="AR5" s="7" t="inlineStr">
        <is>
          <t>Code (indicatif)</t>
        </is>
      </c>
      <c r="AT5" s="31" t="inlineStr">
        <is>
          <t>Libellé</t>
        </is>
      </c>
      <c r="AU5" s="7" t="inlineStr">
        <is>
          <t>Code (indicatif)</t>
        </is>
      </c>
      <c r="AW5" s="31" t="inlineStr">
        <is>
          <t>Libellé</t>
        </is>
      </c>
      <c r="AX5" s="7" t="inlineStr">
        <is>
          <t>Code (indicatif)</t>
        </is>
      </c>
      <c r="AZ5" s="31" t="inlineStr">
        <is>
          <t>Libellé</t>
        </is>
      </c>
      <c r="BA5" s="7" t="inlineStr">
        <is>
          <t>Code (indicatif)</t>
        </is>
      </c>
      <c r="BC5" s="31" t="inlineStr">
        <is>
          <t>Libellé</t>
        </is>
      </c>
      <c r="BD5" s="7" t="inlineStr">
        <is>
          <t>Code (indicatif)</t>
        </is>
      </c>
      <c r="BF5" s="31" t="inlineStr">
        <is>
          <t>Libellé</t>
        </is>
      </c>
      <c r="BG5" s="7" t="inlineStr">
        <is>
          <t>Code (indicatif)</t>
        </is>
      </c>
      <c r="BI5" s="31" t="inlineStr">
        <is>
          <t>Libellé</t>
        </is>
      </c>
      <c r="BJ5" s="7" t="inlineStr">
        <is>
          <t>Code (indicatif)</t>
        </is>
      </c>
      <c r="BL5" s="31" t="inlineStr">
        <is>
          <t>Produit</t>
        </is>
      </c>
      <c r="BM5" s="7" t="inlineStr">
        <is>
          <t>Unité</t>
        </is>
      </c>
      <c r="BN5" s="7" t="inlineStr">
        <is>
          <t>Prix de référence (XAF) — à renseigner par la direction</t>
        </is>
      </c>
      <c r="BO5" s="7" t="inlineStr">
        <is>
          <t>Code (indicatif)</t>
        </is>
      </c>
      <c r="BQ5" s="98" t="inlineStr">
        <is>
          <t>Choix</t>
        </is>
      </c>
      <c r="BS5" s="98" t="inlineStr">
        <is>
          <t>Choix</t>
        </is>
      </c>
      <c r="BU5" s="98" t="inlineStr">
        <is>
          <t>Choix</t>
        </is>
      </c>
      <c r="BW5" s="98" t="inlineStr">
        <is>
          <t>Choix</t>
        </is>
      </c>
      <c r="BY5" s="98" t="inlineStr">
        <is>
          <t>Choix</t>
        </is>
      </c>
      <c r="CA5" s="98" t="inlineStr">
        <is>
          <t>Choix</t>
        </is>
      </c>
      <c r="CC5" s="98" t="inlineStr">
        <is>
          <t>Choix</t>
        </is>
      </c>
      <c r="CE5" s="98" t="inlineStr">
        <is>
          <t>Choix</t>
        </is>
      </c>
      <c r="CG5" s="98" t="inlineStr">
        <is>
          <t>Choix</t>
        </is>
      </c>
    </row>
    <row r="6">
      <c r="A6" s="25" t="inlineStr">
        <is>
          <t>Commercial terrain</t>
        </is>
      </c>
      <c r="B6" s="99" t="inlineStr">
        <is>
          <t>COMMERCIAL_TERRAIN</t>
        </is>
      </c>
      <c r="D6" s="25" t="inlineStr">
        <is>
          <t>Restaurant</t>
        </is>
      </c>
      <c r="E6" s="99" t="inlineStr">
        <is>
          <t>RESTAURANT</t>
        </is>
      </c>
      <c r="G6" s="25" t="inlineStr">
        <is>
          <t>Prospection terrain</t>
        </is>
      </c>
      <c r="H6" s="99" t="inlineStr">
        <is>
          <t>PROSPECTION_TERRAIN</t>
        </is>
      </c>
      <c r="J6" s="25" t="inlineStr">
        <is>
          <t>Prospect</t>
        </is>
      </c>
      <c r="K6" s="99" t="inlineStr">
        <is>
          <t>PROSPECT</t>
        </is>
      </c>
      <c r="M6" s="25" t="inlineStr">
        <is>
          <t>Nouveau</t>
        </is>
      </c>
      <c r="N6" s="99" t="inlineStr">
        <is>
          <t>NOUVEAU</t>
        </is>
      </c>
      <c r="P6" s="25" t="inlineStr">
        <is>
          <t>Visite sur place</t>
        </is>
      </c>
      <c r="Q6" s="99" t="inlineStr">
        <is>
          <t>VISITE</t>
        </is>
      </c>
      <c r="S6" s="25" t="inlineStr">
        <is>
          <t>Prospection / découverte</t>
        </is>
      </c>
      <c r="T6" s="99" t="inlineStr">
        <is>
          <t>PROSPECTION</t>
        </is>
      </c>
      <c r="V6" s="25" t="inlineStr">
        <is>
          <t>Commande prise</t>
        </is>
      </c>
      <c r="W6" s="99" t="inlineStr">
        <is>
          <t>COMMANDE_PRISE</t>
        </is>
      </c>
      <c r="Y6" s="25" t="inlineStr">
        <is>
          <t>Pas intéressé</t>
        </is>
      </c>
      <c r="Z6" s="99" t="inlineStr">
        <is>
          <t>PAS_INTERESSE</t>
        </is>
      </c>
      <c r="AB6" s="25" t="inlineStr">
        <is>
          <t>Alvéole</t>
        </is>
      </c>
      <c r="AC6" s="99" t="inlineStr">
        <is>
          <t>ALVEOLE</t>
        </is>
      </c>
      <c r="AE6" s="25" t="inlineStr">
        <is>
          <t>Espèces</t>
        </is>
      </c>
      <c r="AF6" s="99" t="inlineStr">
        <is>
          <t>ESPECES</t>
        </is>
      </c>
      <c r="AH6" s="25" t="inlineStr">
        <is>
          <t>Précommande</t>
        </is>
      </c>
      <c r="AI6" s="99" t="inlineStr">
        <is>
          <t>PRECOMMANDE</t>
        </is>
      </c>
      <c r="AK6" s="25" t="inlineStr">
        <is>
          <t>En attente</t>
        </is>
      </c>
      <c r="AL6" s="99" t="inlineStr">
        <is>
          <t>EN_ATTENTE</t>
        </is>
      </c>
      <c r="AN6" s="25" t="inlineStr">
        <is>
          <t>À la livraison</t>
        </is>
      </c>
      <c r="AO6" s="99" t="inlineStr">
        <is>
          <t>A_LA_LIVRAISON</t>
        </is>
      </c>
      <c r="AQ6" s="25" t="inlineStr">
        <is>
          <t>Reçu du magasin</t>
        </is>
      </c>
      <c r="AR6" s="99" t="inlineStr">
        <is>
          <t>RECU</t>
        </is>
      </c>
      <c r="AT6" s="25" t="inlineStr">
        <is>
          <t>Œufs fêlés ou cassés au transport</t>
        </is>
      </c>
      <c r="AU6" s="99" t="inlineStr">
        <is>
          <t>CASSE_TRANSPORT</t>
        </is>
      </c>
      <c r="AW6" s="25" t="inlineStr">
        <is>
          <t>Akwa</t>
        </is>
      </c>
      <c r="AX6" s="99" t="n"/>
      <c r="AZ6" s="25" t="inlineStr">
        <is>
          <t>Chiffre d'affaires (XAF)</t>
        </is>
      </c>
      <c r="BA6" s="99" t="inlineStr">
        <is>
          <t>CA</t>
        </is>
      </c>
      <c r="BC6" s="25" t="inlineStr">
        <is>
          <t>Semaine</t>
        </is>
      </c>
      <c r="BD6" s="99" t="inlineStr">
        <is>
          <t>SEMAINE</t>
        </is>
      </c>
      <c r="BF6" s="25" t="inlineStr">
        <is>
          <t>☑ Oui</t>
        </is>
      </c>
      <c r="BG6" s="99" t="n"/>
      <c r="BI6" s="25" t="n">
        <v>1</v>
      </c>
      <c r="BJ6" s="99" t="n"/>
      <c r="BL6" s="25" t="inlineStr">
        <is>
          <t>Œufs frais - alvéole de 30</t>
        </is>
      </c>
      <c r="BM6" s="99" t="inlineStr">
        <is>
          <t>Alvéole</t>
        </is>
      </c>
      <c r="BN6" s="100" t="n"/>
      <c r="BO6" s="99" t="inlineStr">
        <is>
          <t>OEUFS_ALVEOLE_30</t>
        </is>
      </c>
      <c r="BQ6" s="101">
        <f>TODAY()-0</f>
        <v/>
      </c>
      <c r="BS6" s="101">
        <f>TODAY()+0</f>
        <v/>
      </c>
      <c r="BU6" s="102">
        <f>TODAY()-WEEKDAY(TODAY(),2)+1-7*0</f>
        <v/>
      </c>
      <c r="BW6" s="102">
        <f>TODAY()-WEEKDAY(TODAY(),2)+1+7*0</f>
        <v/>
      </c>
      <c r="BY6" s="103">
        <f>DATE(YEAR(TODAY()),MONTH(TODAY())-12+0,1)</f>
        <v/>
      </c>
      <c r="CA6" s="104" t="n">
        <v>0.2083333333333333</v>
      </c>
      <c r="CC6" s="105" t="n">
        <v>1</v>
      </c>
      <c r="CE6" s="106" t="n">
        <v>500</v>
      </c>
      <c r="CG6" s="106" t="n">
        <v>0</v>
      </c>
    </row>
    <row r="7">
      <c r="A7" s="25" t="inlineStr">
        <is>
          <t>Commercial sédentaire</t>
        </is>
      </c>
      <c r="B7" s="99" t="inlineStr">
        <is>
          <t>COMMERCIAL_SEDENTAIRE</t>
        </is>
      </c>
      <c r="D7" s="25" t="inlineStr">
        <is>
          <t>Hôtel</t>
        </is>
      </c>
      <c r="E7" s="99" t="inlineStr">
        <is>
          <t>HOTEL</t>
        </is>
      </c>
      <c r="G7" s="25" t="inlineStr">
        <is>
          <t>Recommandation</t>
        </is>
      </c>
      <c r="H7" s="99" t="inlineStr">
        <is>
          <t>RECOMMANDATION</t>
        </is>
      </c>
      <c r="J7" s="25" t="inlineStr">
        <is>
          <t>Client</t>
        </is>
      </c>
      <c r="K7" s="99" t="inlineStr">
        <is>
          <t>CUSTOMER</t>
        </is>
      </c>
      <c r="M7" s="25" t="inlineStr">
        <is>
          <t>Contacté</t>
        </is>
      </c>
      <c r="N7" s="99" t="inlineStr">
        <is>
          <t>CONTACTE</t>
        </is>
      </c>
      <c r="P7" s="25" t="inlineStr">
        <is>
          <t>Appel téléphonique</t>
        </is>
      </c>
      <c r="Q7" s="99" t="inlineStr">
        <is>
          <t>APPEL</t>
        </is>
      </c>
      <c r="S7" s="25" t="inlineStr">
        <is>
          <t>Présentation produits et prix</t>
        </is>
      </c>
      <c r="T7" s="99" t="inlineStr">
        <is>
          <t>PRESENTATION</t>
        </is>
      </c>
      <c r="V7" s="25" t="inlineStr">
        <is>
          <t>À relancer</t>
        </is>
      </c>
      <c r="W7" s="99" t="inlineStr">
        <is>
          <t>A_RELANCER</t>
        </is>
      </c>
      <c r="Y7" s="25" t="inlineStr">
        <is>
          <t>Prix trop élevé</t>
        </is>
      </c>
      <c r="Z7" s="99" t="inlineStr">
        <is>
          <t>PRIX</t>
        </is>
      </c>
      <c r="AB7" s="25" t="inlineStr">
        <is>
          <t>Pièce</t>
        </is>
      </c>
      <c r="AC7" s="99" t="inlineStr">
        <is>
          <t>PIECE</t>
        </is>
      </c>
      <c r="AE7" s="25" t="inlineStr">
        <is>
          <t>Orange Money</t>
        </is>
      </c>
      <c r="AF7" s="99" t="inlineStr">
        <is>
          <t>MOBILE_MONEY_ORANGE</t>
        </is>
      </c>
      <c r="AH7" s="25" t="inlineStr">
        <is>
          <t>Commande</t>
        </is>
      </c>
      <c r="AI7" s="99" t="inlineStr">
        <is>
          <t>COMMANDE</t>
        </is>
      </c>
      <c r="AK7" s="25" t="inlineStr">
        <is>
          <t>Confirmée</t>
        </is>
      </c>
      <c r="AL7" s="99" t="inlineStr">
        <is>
          <t>CONFIRMEE</t>
        </is>
      </c>
      <c r="AN7" s="25" t="inlineStr">
        <is>
          <t>Avance versée</t>
        </is>
      </c>
      <c r="AO7" s="99" t="inlineStr">
        <is>
          <t>AVANCE</t>
        </is>
      </c>
      <c r="AQ7" s="25" t="inlineStr">
        <is>
          <t>Retourné au magasin</t>
        </is>
      </c>
      <c r="AR7" s="99" t="inlineStr">
        <is>
          <t>RETOUR</t>
        </is>
      </c>
      <c r="AT7" s="25" t="inlineStr">
        <is>
          <t>Avarie de transport</t>
        </is>
      </c>
      <c r="AU7" s="99" t="inlineStr">
        <is>
          <t>AVARIE_TRANSPORT</t>
        </is>
      </c>
      <c r="AW7" s="25" t="inlineStr">
        <is>
          <t>Bonanjo</t>
        </is>
      </c>
      <c r="AX7" s="99" t="n"/>
      <c r="AZ7" s="25" t="inlineStr">
        <is>
          <t>Quantité vendue d'un produit</t>
        </is>
      </c>
      <c r="BA7" s="99" t="inlineStr">
        <is>
          <t>QTE_PRODUIT</t>
        </is>
      </c>
      <c r="BC7" s="25" t="inlineStr">
        <is>
          <t>Mois</t>
        </is>
      </c>
      <c r="BD7" s="99" t="inlineStr">
        <is>
          <t>MOIS</t>
        </is>
      </c>
      <c r="BF7" s="25" t="inlineStr">
        <is>
          <t>☐ Non</t>
        </is>
      </c>
      <c r="BG7" s="99" t="n"/>
      <c r="BI7" s="25" t="n">
        <v>2</v>
      </c>
      <c r="BJ7" s="99" t="n"/>
      <c r="BL7" s="25" t="inlineStr">
        <is>
          <t>Poulet de chair entier</t>
        </is>
      </c>
      <c r="BM7" s="99" t="inlineStr">
        <is>
          <t>Pièce</t>
        </is>
      </c>
      <c r="BN7" s="100" t="n"/>
      <c r="BO7" s="99" t="inlineStr">
        <is>
          <t>POULET_ENTIER</t>
        </is>
      </c>
      <c r="BQ7" s="101">
        <f>TODAY()-1</f>
        <v/>
      </c>
      <c r="BS7" s="101">
        <f>TODAY()+1</f>
        <v/>
      </c>
      <c r="BU7" s="102">
        <f>TODAY()-WEEKDAY(TODAY(),2)+1-7*1</f>
        <v/>
      </c>
      <c r="BW7" s="102">
        <f>TODAY()-WEEKDAY(TODAY(),2)+1+7*1</f>
        <v/>
      </c>
      <c r="BY7" s="103">
        <f>DATE(YEAR(TODAY()),MONTH(TODAY())-12+1,1)</f>
        <v/>
      </c>
      <c r="CA7" s="104" t="n">
        <v>0.21875</v>
      </c>
      <c r="CC7" s="105" t="n">
        <v>2</v>
      </c>
      <c r="CE7" s="106" t="n">
        <v>1000</v>
      </c>
      <c r="CG7" s="106" t="n">
        <v>100</v>
      </c>
    </row>
    <row r="8">
      <c r="A8" s="25" t="inlineStr">
        <is>
          <t>Vendeur de point de vente</t>
        </is>
      </c>
      <c r="B8" s="99" t="inlineStr">
        <is>
          <t>VENDEUR_PDV</t>
        </is>
      </c>
      <c r="D8" s="25" t="inlineStr">
        <is>
          <t>Traiteur / événementiel</t>
        </is>
      </c>
      <c r="E8" s="99" t="inlineStr">
        <is>
          <t>TRAITEUR</t>
        </is>
      </c>
      <c r="G8" s="25" t="inlineStr">
        <is>
          <t>Réseau social / WhatsApp</t>
        </is>
      </c>
      <c r="H8" s="99" t="inlineStr">
        <is>
          <t>RESEAU_SOCIAL</t>
        </is>
      </c>
      <c r="J8" s="25" t="inlineStr">
        <is>
          <t>Perdu</t>
        </is>
      </c>
      <c r="K8" s="99" t="inlineStr">
        <is>
          <t>LOST</t>
        </is>
      </c>
      <c r="M8" s="25" t="inlineStr">
        <is>
          <t>Intéressé</t>
        </is>
      </c>
      <c r="N8" s="99" t="inlineStr">
        <is>
          <t>INTERESSE</t>
        </is>
      </c>
      <c r="P8" s="25" t="inlineStr">
        <is>
          <t>WhatsApp / message</t>
        </is>
      </c>
      <c r="Q8" s="99" t="inlineStr">
        <is>
          <t>SMS</t>
        </is>
      </c>
      <c r="S8" s="25" t="inlineStr">
        <is>
          <t>Prise de commande</t>
        </is>
      </c>
      <c r="T8" s="99" t="inlineStr">
        <is>
          <t>PRISE_COMMANDE</t>
        </is>
      </c>
      <c r="V8" s="25" t="inlineStr">
        <is>
          <t>Rendez-vous fixé</t>
        </is>
      </c>
      <c r="W8" s="99" t="inlineStr">
        <is>
          <t>RDV_FIXE</t>
        </is>
      </c>
      <c r="Y8" s="25" t="inlineStr">
        <is>
          <t>Garde son fournisseur habituel</t>
        </is>
      </c>
      <c r="Z8" s="99" t="inlineStr">
        <is>
          <t>FOURNISSEUR_HABITUEL</t>
        </is>
      </c>
      <c r="AB8" s="25" t="inlineStr">
        <is>
          <t>Kg</t>
        </is>
      </c>
      <c r="AC8" s="99" t="inlineStr">
        <is>
          <t>KG</t>
        </is>
      </c>
      <c r="AE8" s="25" t="inlineStr">
        <is>
          <t>MTN MoMo</t>
        </is>
      </c>
      <c r="AF8" s="99" t="inlineStr">
        <is>
          <t>MOBILE_MONEY_MTN</t>
        </is>
      </c>
      <c r="AH8" s="25" t="inlineStr">
        <is>
          <t>Vente directe</t>
        </is>
      </c>
      <c r="AI8" s="99" t="inlineStr">
        <is>
          <t>VENTE_DIRECTE</t>
        </is>
      </c>
      <c r="AK8" s="25" t="inlineStr">
        <is>
          <t>Livrée</t>
        </is>
      </c>
      <c r="AL8" s="99" t="inlineStr">
        <is>
          <t>LIVREE</t>
        </is>
      </c>
      <c r="AN8" s="25" t="inlineStr">
        <is>
          <t>Différé / crédit</t>
        </is>
      </c>
      <c r="AO8" s="99" t="inlineStr">
        <is>
          <t>DIFFERE</t>
        </is>
      </c>
      <c r="AQ8" s="25" t="inlineStr">
        <is>
          <t>Casse / avarie</t>
        </is>
      </c>
      <c r="AR8" s="99" t="inlineStr">
        <is>
          <t>CASSE</t>
        </is>
      </c>
      <c r="AT8" s="25" t="inlineStr">
        <is>
          <t>Produit périmé / chaîne du froid rompue</t>
        </is>
      </c>
      <c r="AU8" s="99" t="inlineStr">
        <is>
          <t>PEREMPTION</t>
        </is>
      </c>
      <c r="AW8" s="25" t="inlineStr">
        <is>
          <t>Deido</t>
        </is>
      </c>
      <c r="AX8" s="99" t="n"/>
      <c r="AZ8" s="25" t="inlineStr">
        <is>
          <t>Nouveaux clients</t>
        </is>
      </c>
      <c r="BA8" s="99" t="inlineStr">
        <is>
          <t>NOUVEAUX_CLIENTS</t>
        </is>
      </c>
      <c r="BC8" s="25" t="n"/>
      <c r="BD8" s="99" t="n"/>
      <c r="BF8" s="25" t="n"/>
      <c r="BG8" s="99" t="n"/>
      <c r="BI8" s="25" t="n">
        <v>3</v>
      </c>
      <c r="BJ8" s="99" t="n"/>
      <c r="BL8" s="25" t="inlineStr">
        <is>
          <t>Découpes de volaille</t>
        </is>
      </c>
      <c r="BM8" s="99" t="inlineStr">
        <is>
          <t>Kg</t>
        </is>
      </c>
      <c r="BN8" s="100" t="n"/>
      <c r="BO8" s="99" t="inlineStr">
        <is>
          <t>DECOUPES_VOLAILLE</t>
        </is>
      </c>
      <c r="BQ8" s="101">
        <f>TODAY()-2</f>
        <v/>
      </c>
      <c r="BS8" s="101">
        <f>TODAY()+2</f>
        <v/>
      </c>
      <c r="BU8" s="102">
        <f>TODAY()-WEEKDAY(TODAY(),2)+1-7*2</f>
        <v/>
      </c>
      <c r="BW8" s="102">
        <f>TODAY()-WEEKDAY(TODAY(),2)+1+7*2</f>
        <v/>
      </c>
      <c r="BY8" s="103">
        <f>DATE(YEAR(TODAY()),MONTH(TODAY())-12+2,1)</f>
        <v/>
      </c>
      <c r="CA8" s="104" t="n">
        <v>0.2291666666666667</v>
      </c>
      <c r="CC8" s="105" t="n">
        <v>3</v>
      </c>
      <c r="CE8" s="106" t="n">
        <v>1500</v>
      </c>
      <c r="CG8" s="106" t="n">
        <v>200</v>
      </c>
    </row>
    <row r="9">
      <c r="A9" s="25" t="inlineStr">
        <is>
          <t>Responsable commercial</t>
        </is>
      </c>
      <c r="B9" s="99" t="inlineStr">
        <is>
          <t>RESP_COMMERCIAL</t>
        </is>
      </c>
      <c r="D9" s="25" t="inlineStr">
        <is>
          <t>Revendeur / détaillant de marché</t>
        </is>
      </c>
      <c r="E9" s="99" t="inlineStr">
        <is>
          <t>REVENDEUR</t>
        </is>
      </c>
      <c r="G9" s="25" t="inlineStr">
        <is>
          <t>Visite spontanée / appel entrant</t>
        </is>
      </c>
      <c r="H9" s="99" t="inlineStr">
        <is>
          <t>VISITE_SPONTANEE</t>
        </is>
      </c>
      <c r="J9" s="25" t="n"/>
      <c r="K9" s="99" t="n"/>
      <c r="M9" s="25" t="inlineStr">
        <is>
          <t>Négociation</t>
        </is>
      </c>
      <c r="N9" s="99" t="inlineStr">
        <is>
          <t>NEGOCIATION</t>
        </is>
      </c>
      <c r="P9" s="25" t="inlineStr">
        <is>
          <t>E-mail</t>
        </is>
      </c>
      <c r="Q9" s="99" t="inlineStr">
        <is>
          <t>EMAIL</t>
        </is>
      </c>
      <c r="S9" s="25" t="inlineStr">
        <is>
          <t>Livraison</t>
        </is>
      </c>
      <c r="T9" s="99" t="inlineStr">
        <is>
          <t>LIVRAISON</t>
        </is>
      </c>
      <c r="V9" s="25" t="inlineStr">
        <is>
          <t>Pas intéressé</t>
        </is>
      </c>
      <c r="W9" s="99" t="inlineStr">
        <is>
          <t>PAS_INTERESSE</t>
        </is>
      </c>
      <c r="Y9" s="25" t="inlineStr">
        <is>
          <t>Besoin trop faible</t>
        </is>
      </c>
      <c r="Z9" s="99" t="inlineStr">
        <is>
          <t>BESOIN_FAIBLE</t>
        </is>
      </c>
      <c r="AB9" s="25" t="inlineStr">
        <is>
          <t>Carton</t>
        </is>
      </c>
      <c r="AC9" s="99" t="inlineStr">
        <is>
          <t>CARTON</t>
        </is>
      </c>
      <c r="AE9" s="25" t="inlineStr">
        <is>
          <t>Virement</t>
        </is>
      </c>
      <c r="AF9" s="99" t="inlineStr">
        <is>
          <t>VIREMENT</t>
        </is>
      </c>
      <c r="AH9" s="25" t="n"/>
      <c r="AI9" s="99" t="n"/>
      <c r="AK9" s="25" t="inlineStr">
        <is>
          <t>Annulée</t>
        </is>
      </c>
      <c r="AL9" s="99" t="inlineStr">
        <is>
          <t>ANNULEE</t>
        </is>
      </c>
      <c r="AN9" s="25" t="n"/>
      <c r="AO9" s="99" t="n"/>
      <c r="AQ9" s="25" t="inlineStr">
        <is>
          <t>Perte / vol</t>
        </is>
      </c>
      <c r="AR9" s="99" t="inlineStr">
        <is>
          <t>PERTE</t>
        </is>
      </c>
      <c r="AT9" s="25" t="inlineStr">
        <is>
          <t>Retour client refusé</t>
        </is>
      </c>
      <c r="AU9" s="99" t="inlineStr">
        <is>
          <t>RETOUR_CLIENT</t>
        </is>
      </c>
      <c r="AW9" s="25" t="inlineStr">
        <is>
          <t>Bonapriso</t>
        </is>
      </c>
      <c r="AX9" s="99" t="n"/>
      <c r="AZ9" s="25" t="inlineStr">
        <is>
          <t>Visites sur place</t>
        </is>
      </c>
      <c r="BA9" s="99" t="inlineStr">
        <is>
          <t>VISITES</t>
        </is>
      </c>
      <c r="BC9" s="25" t="n"/>
      <c r="BD9" s="99" t="n"/>
      <c r="BF9" s="25" t="n"/>
      <c r="BG9" s="99" t="n"/>
      <c r="BI9" s="25" t="n">
        <v>4</v>
      </c>
      <c r="BJ9" s="99" t="n"/>
      <c r="BL9" s="25" t="inlineStr">
        <is>
          <t>Viande de porc</t>
        </is>
      </c>
      <c r="BM9" s="99" t="inlineStr">
        <is>
          <t>Kg</t>
        </is>
      </c>
      <c r="BN9" s="100" t="n"/>
      <c r="BO9" s="99" t="inlineStr">
        <is>
          <t>PORC</t>
        </is>
      </c>
      <c r="BQ9" s="101">
        <f>TODAY()-3</f>
        <v/>
      </c>
      <c r="BS9" s="101">
        <f>TODAY()+3</f>
        <v/>
      </c>
      <c r="BU9" s="102">
        <f>TODAY()-WEEKDAY(TODAY(),2)+1-7*3</f>
        <v/>
      </c>
      <c r="BW9" s="102">
        <f>TODAY()-WEEKDAY(TODAY(),2)+1+7*3</f>
        <v/>
      </c>
      <c r="BY9" s="103">
        <f>DATE(YEAR(TODAY()),MONTH(TODAY())-12+3,1)</f>
        <v/>
      </c>
      <c r="CA9" s="104" t="n">
        <v>0.2395833333333333</v>
      </c>
      <c r="CC9" s="105" t="n">
        <v>4</v>
      </c>
      <c r="CE9" s="106" t="n">
        <v>2000</v>
      </c>
      <c r="CG9" s="106" t="n">
        <v>250</v>
      </c>
    </row>
    <row r="10">
      <c r="A10" s="25" t="n"/>
      <c r="B10" s="99" t="n"/>
      <c r="D10" s="25" t="inlineStr">
        <is>
          <t>Grossiste</t>
        </is>
      </c>
      <c r="E10" s="99" t="inlineStr">
        <is>
          <t>GROSSISTE</t>
        </is>
      </c>
      <c r="G10" s="25" t="inlineStr">
        <is>
          <t>Autre</t>
        </is>
      </c>
      <c r="H10" s="99" t="inlineStr">
        <is>
          <t>AUTRE</t>
        </is>
      </c>
      <c r="J10" s="25" t="n"/>
      <c r="K10" s="99" t="n"/>
      <c r="M10" s="25" t="n"/>
      <c r="N10" s="99" t="n"/>
      <c r="P10" s="25" t="inlineStr">
        <is>
          <t>Autre</t>
        </is>
      </c>
      <c r="Q10" s="99" t="inlineStr">
        <is>
          <t>AUTRE</t>
        </is>
      </c>
      <c r="S10" s="25" t="inlineStr">
        <is>
          <t>Encaissement / recouvrement</t>
        </is>
      </c>
      <c r="T10" s="99" t="inlineStr">
        <is>
          <t>ENCAISSEMENT</t>
        </is>
      </c>
      <c r="V10" s="25" t="inlineStr">
        <is>
          <t>Absent / fermé</t>
        </is>
      </c>
      <c r="W10" s="99" t="inlineStr">
        <is>
          <t>ABSENT</t>
        </is>
      </c>
      <c r="Y10" s="25" t="inlineStr">
        <is>
          <t>Injoignable / introuvable</t>
        </is>
      </c>
      <c r="Z10" s="99" t="inlineStr">
        <is>
          <t>INJOIGNABLE</t>
        </is>
      </c>
      <c r="AB10" s="25" t="inlineStr">
        <is>
          <t>Lot</t>
        </is>
      </c>
      <c r="AC10" s="99" t="inlineStr">
        <is>
          <t>LOT</t>
        </is>
      </c>
      <c r="AE10" s="25" t="inlineStr">
        <is>
          <t>Chèque</t>
        </is>
      </c>
      <c r="AF10" s="99" t="inlineStr">
        <is>
          <t>CHEQUE</t>
        </is>
      </c>
      <c r="AH10" s="25" t="n"/>
      <c r="AI10" s="99" t="n"/>
      <c r="AK10" s="25" t="n"/>
      <c r="AL10" s="99" t="n"/>
      <c r="AN10" s="25" t="n"/>
      <c r="AO10" s="99" t="n"/>
      <c r="AQ10" s="25" t="inlineStr">
        <is>
          <t>Échantillon offert</t>
        </is>
      </c>
      <c r="AR10" s="99" t="inlineStr">
        <is>
          <t>ECHANTILLON</t>
        </is>
      </c>
      <c r="AT10" s="25" t="inlineStr">
        <is>
          <t>Vol</t>
        </is>
      </c>
      <c r="AU10" s="99" t="inlineStr">
        <is>
          <t>VOL</t>
        </is>
      </c>
      <c r="AW10" s="25" t="inlineStr">
        <is>
          <t>New Bell</t>
        </is>
      </c>
      <c r="AX10" s="99" t="n"/>
      <c r="AZ10" s="25" t="inlineStr">
        <is>
          <t>Prospects créés</t>
        </is>
      </c>
      <c r="BA10" s="99" t="inlineStr">
        <is>
          <t>PROSPECTS_CREES</t>
        </is>
      </c>
      <c r="BC10" s="25" t="n"/>
      <c r="BD10" s="99" t="n"/>
      <c r="BF10" s="25" t="n"/>
      <c r="BG10" s="99" t="n"/>
      <c r="BI10" s="25" t="n">
        <v>5</v>
      </c>
      <c r="BJ10" s="99" t="n"/>
      <c r="BL10" s="25" t="inlineStr">
        <is>
          <t>Poussins d'un jour</t>
        </is>
      </c>
      <c r="BM10" s="99" t="inlineStr">
        <is>
          <t>Pièce</t>
        </is>
      </c>
      <c r="BN10" s="100" t="n"/>
      <c r="BO10" s="99" t="inlineStr">
        <is>
          <t>POUSSIN_1J</t>
        </is>
      </c>
      <c r="BQ10" s="101">
        <f>TODAY()-4</f>
        <v/>
      </c>
      <c r="BS10" s="101">
        <f>TODAY()+4</f>
        <v/>
      </c>
      <c r="BU10" s="102">
        <f>TODAY()-WEEKDAY(TODAY(),2)+1-7*4</f>
        <v/>
      </c>
      <c r="BW10" s="102">
        <f>TODAY()-WEEKDAY(TODAY(),2)+1+7*4</f>
        <v/>
      </c>
      <c r="BY10" s="103">
        <f>DATE(YEAR(TODAY()),MONTH(TODAY())-12+4,1)</f>
        <v/>
      </c>
      <c r="CA10" s="104" t="n">
        <v>0.25</v>
      </c>
      <c r="CC10" s="105" t="n">
        <v>5</v>
      </c>
      <c r="CE10" s="106" t="n">
        <v>2500</v>
      </c>
      <c r="CG10" s="106" t="n">
        <v>500</v>
      </c>
    </row>
    <row r="11">
      <c r="A11" s="25" t="n"/>
      <c r="B11" s="99" t="n"/>
      <c r="D11" s="25" t="inlineStr">
        <is>
          <t>Boulangerie / pâtisserie</t>
        </is>
      </c>
      <c r="E11" s="99" t="inlineStr">
        <is>
          <t>BOULANGERIE</t>
        </is>
      </c>
      <c r="G11" s="25" t="n"/>
      <c r="H11" s="99" t="n"/>
      <c r="J11" s="25" t="n"/>
      <c r="K11" s="99" t="n"/>
      <c r="M11" s="25" t="n"/>
      <c r="N11" s="99" t="n"/>
      <c r="P11" s="25" t="n"/>
      <c r="Q11" s="99" t="n"/>
      <c r="S11" s="25" t="inlineStr">
        <is>
          <t>Réclamation / service après-vente</t>
        </is>
      </c>
      <c r="T11" s="99" t="inlineStr">
        <is>
          <t>SAV</t>
        </is>
      </c>
      <c r="V11" s="25" t="inlineStr">
        <is>
          <t>Livraison effectuée</t>
        </is>
      </c>
      <c r="W11" s="99" t="inlineStr">
        <is>
          <t>LIVRAISON_FAITE</t>
        </is>
      </c>
      <c r="Y11" s="25" t="inlineStr">
        <is>
          <t>Établissement fermé</t>
        </is>
      </c>
      <c r="Z11" s="99" t="inlineStr">
        <is>
          <t>FERME</t>
        </is>
      </c>
      <c r="AB11" s="25" t="n"/>
      <c r="AC11" s="99" t="n"/>
      <c r="AE11" s="25" t="n"/>
      <c r="AF11" s="99" t="n"/>
      <c r="AH11" s="25" t="n"/>
      <c r="AI11" s="99" t="n"/>
      <c r="AK11" s="25" t="n"/>
      <c r="AL11" s="99" t="n"/>
      <c r="AN11" s="25" t="n"/>
      <c r="AO11" s="99" t="n"/>
      <c r="AQ11" s="25" t="inlineStr">
        <is>
          <t>Ajustement (+)</t>
        </is>
      </c>
      <c r="AR11" s="99" t="inlineStr">
        <is>
          <t>AJUSTEMENT_PLUS</t>
        </is>
      </c>
      <c r="AT11" s="25" t="inlineStr">
        <is>
          <t>Erreur de comptage</t>
        </is>
      </c>
      <c r="AU11" s="99" t="inlineStr">
        <is>
          <t>ERREUR_COMPTAGE</t>
        </is>
      </c>
      <c r="AW11" s="25" t="inlineStr">
        <is>
          <t>Bépanda</t>
        </is>
      </c>
      <c r="AX11" s="99" t="n"/>
      <c r="AZ11" s="25" t="n"/>
      <c r="BA11" s="99" t="n"/>
      <c r="BC11" s="25" t="n"/>
      <c r="BD11" s="99" t="n"/>
      <c r="BF11" s="25" t="n"/>
      <c r="BG11" s="99" t="n"/>
      <c r="BI11" s="25" t="n"/>
      <c r="BJ11" s="99" t="n"/>
      <c r="BL11" s="25" t="inlineStr">
        <is>
          <t>Alvéoles en carton (vides)</t>
        </is>
      </c>
      <c r="BM11" s="99" t="inlineStr">
        <is>
          <t>Lot</t>
        </is>
      </c>
      <c r="BN11" s="100" t="n"/>
      <c r="BO11" s="99" t="inlineStr">
        <is>
          <t>ALVEOLES_CARTON</t>
        </is>
      </c>
      <c r="BQ11" s="101">
        <f>TODAY()-5</f>
        <v/>
      </c>
      <c r="BS11" s="101">
        <f>TODAY()+5</f>
        <v/>
      </c>
      <c r="BU11" s="102">
        <f>TODAY()-WEEKDAY(TODAY(),2)+1-7*5</f>
        <v/>
      </c>
      <c r="BW11" s="102">
        <f>TODAY()-WEEKDAY(TODAY(),2)+1+7*5</f>
        <v/>
      </c>
      <c r="BY11" s="103">
        <f>DATE(YEAR(TODAY()),MONTH(TODAY())-12+5,1)</f>
        <v/>
      </c>
      <c r="CA11" s="104" t="n">
        <v>0.2604166666666667</v>
      </c>
      <c r="CC11" s="105" t="n">
        <v>6</v>
      </c>
      <c r="CE11" s="106" t="n">
        <v>3000</v>
      </c>
      <c r="CG11" s="106" t="n">
        <v>1000</v>
      </c>
    </row>
    <row r="12">
      <c r="A12" s="25" t="n"/>
      <c r="B12" s="99" t="n"/>
      <c r="D12" s="25" t="inlineStr">
        <is>
          <t>Boutique / supérette / supermarché</t>
        </is>
      </c>
      <c r="E12" s="99" t="inlineStr">
        <is>
          <t>COMMERCE</t>
        </is>
      </c>
      <c r="G12" s="25" t="n"/>
      <c r="H12" s="99" t="n"/>
      <c r="J12" s="25" t="n"/>
      <c r="K12" s="99" t="n"/>
      <c r="M12" s="25" t="n"/>
      <c r="N12" s="99" t="n"/>
      <c r="P12" s="25" t="n"/>
      <c r="Q12" s="99" t="n"/>
      <c r="S12" s="25" t="inlineStr">
        <is>
          <t>Fidélisation / suivi</t>
        </is>
      </c>
      <c r="T12" s="99" t="inlineStr">
        <is>
          <t>SUIVI</t>
        </is>
      </c>
      <c r="V12" s="25" t="inlineStr">
        <is>
          <t>Paiement encaissé</t>
        </is>
      </c>
      <c r="W12" s="99" t="inlineStr">
        <is>
          <t>PAIEMENT_RECU</t>
        </is>
      </c>
      <c r="Y12" s="25" t="inlineStr">
        <is>
          <t>Qualité / calibre non adapté</t>
        </is>
      </c>
      <c r="Z12" s="99" t="inlineStr">
        <is>
          <t>QUALITE</t>
        </is>
      </c>
      <c r="AB12" s="25" t="n"/>
      <c r="AC12" s="99" t="n"/>
      <c r="AE12" s="25" t="n"/>
      <c r="AF12" s="99" t="n"/>
      <c r="AH12" s="25" t="n"/>
      <c r="AI12" s="99" t="n"/>
      <c r="AK12" s="25" t="n"/>
      <c r="AL12" s="99" t="n"/>
      <c r="AN12" s="25" t="n"/>
      <c r="AO12" s="99" t="n"/>
      <c r="AQ12" s="25" t="inlineStr">
        <is>
          <t>Ajustement (-)</t>
        </is>
      </c>
      <c r="AR12" s="99" t="inlineStr">
        <is>
          <t>AJUSTEMENT_MOINS</t>
        </is>
      </c>
      <c r="AT12" s="25" t="inlineStr">
        <is>
          <t>Autre</t>
        </is>
      </c>
      <c r="AU12" s="99" t="inlineStr">
        <is>
          <t>AUTRE</t>
        </is>
      </c>
      <c r="AW12" s="25" t="inlineStr">
        <is>
          <t>Makepe</t>
        </is>
      </c>
      <c r="AX12" s="99" t="n"/>
      <c r="AZ12" s="25" t="n"/>
      <c r="BA12" s="99" t="n"/>
      <c r="BC12" s="25" t="n"/>
      <c r="BD12" s="99" t="n"/>
      <c r="BF12" s="25" t="n"/>
      <c r="BG12" s="99" t="n"/>
      <c r="BI12" s="25" t="n"/>
      <c r="BJ12" s="99" t="n"/>
      <c r="BL12" s="25" t="inlineStr">
        <is>
          <t>Autre produit</t>
        </is>
      </c>
      <c r="BM12" s="99" t="inlineStr">
        <is>
          <t>Pièce</t>
        </is>
      </c>
      <c r="BN12" s="100" t="n"/>
      <c r="BO12" s="99" t="inlineStr">
        <is>
          <t>AUTRE</t>
        </is>
      </c>
      <c r="BQ12" s="101">
        <f>TODAY()-6</f>
        <v/>
      </c>
      <c r="BS12" s="101">
        <f>TODAY()+6</f>
        <v/>
      </c>
      <c r="BU12" s="102">
        <f>TODAY()-WEEKDAY(TODAY(),2)+1-7*6</f>
        <v/>
      </c>
      <c r="BW12" s="102">
        <f>TODAY()-WEEKDAY(TODAY(),2)+1+7*6</f>
        <v/>
      </c>
      <c r="BY12" s="103">
        <f>DATE(YEAR(TODAY()),MONTH(TODAY())-12+6,1)</f>
        <v/>
      </c>
      <c r="CA12" s="104" t="n">
        <v>0.2708333333333333</v>
      </c>
      <c r="CC12" s="105" t="n">
        <v>8</v>
      </c>
      <c r="CE12" s="106" t="n">
        <v>4000</v>
      </c>
      <c r="CG12" s="106" t="n">
        <v>2000</v>
      </c>
    </row>
    <row r="13">
      <c r="A13" s="25" t="n"/>
      <c r="B13" s="99" t="n"/>
      <c r="D13" s="25" t="inlineStr">
        <is>
          <t>Institution (école, hôpital, entreprise)</t>
        </is>
      </c>
      <c r="E13" s="99" t="inlineStr">
        <is>
          <t>INSTITUTION</t>
        </is>
      </c>
      <c r="G13" s="25" t="n"/>
      <c r="H13" s="99" t="n"/>
      <c r="J13" s="25" t="n"/>
      <c r="K13" s="99" t="n"/>
      <c r="M13" s="25" t="n"/>
      <c r="N13" s="99" t="n"/>
      <c r="P13" s="25" t="n"/>
      <c r="Q13" s="99" t="n"/>
      <c r="S13" s="25" t="inlineStr">
        <is>
          <t>Autre</t>
        </is>
      </c>
      <c r="T13" s="99" t="inlineStr">
        <is>
          <t>AUTRE</t>
        </is>
      </c>
      <c r="V13" s="25" t="inlineStr">
        <is>
          <t>Réclamation traitée</t>
        </is>
      </c>
      <c r="W13" s="99" t="inlineStr">
        <is>
          <t>RECLAMATION</t>
        </is>
      </c>
      <c r="Y13" s="25" t="inlineStr">
        <is>
          <t>Autre</t>
        </is>
      </c>
      <c r="Z13" s="99" t="inlineStr">
        <is>
          <t>AUTRE</t>
        </is>
      </c>
      <c r="AB13" s="25" t="n"/>
      <c r="AC13" s="99" t="n"/>
      <c r="AE13" s="25" t="n"/>
      <c r="AF13" s="99" t="n"/>
      <c r="AH13" s="25" t="n"/>
      <c r="AI13" s="99" t="n"/>
      <c r="AK13" s="25" t="n"/>
      <c r="AL13" s="99" t="n"/>
      <c r="AN13" s="25" t="n"/>
      <c r="AO13" s="99" t="n"/>
      <c r="AQ13" s="25" t="n"/>
      <c r="AR13" s="99" t="n"/>
      <c r="AT13" s="25" t="n"/>
      <c r="AU13" s="99" t="n"/>
      <c r="AW13" s="25" t="inlineStr">
        <is>
          <t>Bonamoussadi</t>
        </is>
      </c>
      <c r="AX13" s="99" t="n"/>
      <c r="AZ13" s="25" t="n"/>
      <c r="BA13" s="99" t="n"/>
      <c r="BC13" s="25" t="n"/>
      <c r="BD13" s="99" t="n"/>
      <c r="BF13" s="25" t="n"/>
      <c r="BG13" s="99" t="n"/>
      <c r="BI13" s="25" t="n"/>
      <c r="BJ13" s="99" t="n"/>
      <c r="BL13" s="25" t="n"/>
      <c r="BM13" s="99" t="n"/>
      <c r="BN13" s="100" t="n"/>
      <c r="BO13" s="99" t="n"/>
      <c r="BQ13" s="101">
        <f>TODAY()-7</f>
        <v/>
      </c>
      <c r="BS13" s="101">
        <f>TODAY()+7</f>
        <v/>
      </c>
      <c r="BU13" s="102">
        <f>TODAY()-WEEKDAY(TODAY(),2)+1-7*7</f>
        <v/>
      </c>
      <c r="BW13" s="102">
        <f>TODAY()-WEEKDAY(TODAY(),2)+1+7*7</f>
        <v/>
      </c>
      <c r="BY13" s="103">
        <f>DATE(YEAR(TODAY()),MONTH(TODAY())-12+7,1)</f>
        <v/>
      </c>
      <c r="CA13" s="104" t="n">
        <v>0.28125</v>
      </c>
      <c r="CC13" s="105" t="n">
        <v>10</v>
      </c>
      <c r="CE13" s="106" t="n">
        <v>5000</v>
      </c>
      <c r="CG13" s="106" t="n">
        <v>5000</v>
      </c>
    </row>
    <row r="14">
      <c r="A14" s="25" t="n"/>
      <c r="B14" s="99" t="n"/>
      <c r="D14" s="25" t="inlineStr">
        <is>
          <t>Particulier / ménage</t>
        </is>
      </c>
      <c r="E14" s="99" t="inlineStr">
        <is>
          <t>PARTICULIER</t>
        </is>
      </c>
      <c r="G14" s="25" t="n"/>
      <c r="H14" s="99" t="n"/>
      <c r="J14" s="25" t="n"/>
      <c r="K14" s="99" t="n"/>
      <c r="M14" s="25" t="n"/>
      <c r="N14" s="99" t="n"/>
      <c r="P14" s="25" t="n"/>
      <c r="Q14" s="99" t="n"/>
      <c r="S14" s="25" t="n"/>
      <c r="T14" s="99" t="n"/>
      <c r="V14" s="25" t="inlineStr">
        <is>
          <t>Autre</t>
        </is>
      </c>
      <c r="W14" s="99" t="inlineStr">
        <is>
          <t>AUTRE</t>
        </is>
      </c>
      <c r="Y14" s="25" t="n"/>
      <c r="Z14" s="99" t="n"/>
      <c r="AB14" s="25" t="n"/>
      <c r="AC14" s="99" t="n"/>
      <c r="AE14" s="25" t="n"/>
      <c r="AF14" s="99" t="n"/>
      <c r="AH14" s="25" t="n"/>
      <c r="AI14" s="99" t="n"/>
      <c r="AK14" s="25" t="n"/>
      <c r="AL14" s="99" t="n"/>
      <c r="AN14" s="25" t="n"/>
      <c r="AO14" s="99" t="n"/>
      <c r="AQ14" s="25" t="n"/>
      <c r="AR14" s="99" t="n"/>
      <c r="AT14" s="25" t="n"/>
      <c r="AU14" s="99" t="n"/>
      <c r="AW14" s="25" t="inlineStr">
        <is>
          <t>Bonabéri</t>
        </is>
      </c>
      <c r="AX14" s="99" t="n"/>
      <c r="AZ14" s="25" t="n"/>
      <c r="BA14" s="99" t="n"/>
      <c r="BC14" s="25" t="n"/>
      <c r="BD14" s="99" t="n"/>
      <c r="BF14" s="25" t="n"/>
      <c r="BG14" s="99" t="n"/>
      <c r="BI14" s="25" t="n"/>
      <c r="BJ14" s="99" t="n"/>
      <c r="BL14" s="25" t="n"/>
      <c r="BM14" s="99" t="n"/>
      <c r="BN14" s="100" t="n"/>
      <c r="BO14" s="99" t="n"/>
      <c r="BQ14" s="101">
        <f>TODAY()-8</f>
        <v/>
      </c>
      <c r="BS14" s="101">
        <f>TODAY()+8</f>
        <v/>
      </c>
      <c r="BU14" s="102">
        <f>TODAY()-WEEKDAY(TODAY(),2)+1-7*8</f>
        <v/>
      </c>
      <c r="BW14" s="102">
        <f>TODAY()-WEEKDAY(TODAY(),2)+1+7*8</f>
        <v/>
      </c>
      <c r="BY14" s="103">
        <f>DATE(YEAR(TODAY()),MONTH(TODAY())-12+8,1)</f>
        <v/>
      </c>
      <c r="CA14" s="104" t="n">
        <v>0.2916666666666667</v>
      </c>
      <c r="CC14" s="105" t="n">
        <v>12</v>
      </c>
      <c r="CE14" s="106" t="n">
        <v>7500</v>
      </c>
    </row>
    <row r="15">
      <c r="A15" s="25" t="n"/>
      <c r="B15" s="99" t="n"/>
      <c r="D15" s="25" t="inlineStr">
        <is>
          <t>Autre</t>
        </is>
      </c>
      <c r="E15" s="99" t="inlineStr">
        <is>
          <t>AUTRE</t>
        </is>
      </c>
      <c r="G15" s="25" t="n"/>
      <c r="H15" s="99" t="n"/>
      <c r="J15" s="25" t="n"/>
      <c r="K15" s="99" t="n"/>
      <c r="M15" s="25" t="n"/>
      <c r="N15" s="99" t="n"/>
      <c r="P15" s="25" t="n"/>
      <c r="Q15" s="99" t="n"/>
      <c r="S15" s="25" t="n"/>
      <c r="T15" s="99" t="n"/>
      <c r="V15" s="25" t="n"/>
      <c r="W15" s="99" t="n"/>
      <c r="Y15" s="25" t="n"/>
      <c r="Z15" s="99" t="n"/>
      <c r="AB15" s="25" t="n"/>
      <c r="AC15" s="99" t="n"/>
      <c r="AE15" s="25" t="n"/>
      <c r="AF15" s="99" t="n"/>
      <c r="AH15" s="25" t="n"/>
      <c r="AI15" s="99" t="n"/>
      <c r="AK15" s="25" t="n"/>
      <c r="AL15" s="99" t="n"/>
      <c r="AN15" s="25" t="n"/>
      <c r="AO15" s="99" t="n"/>
      <c r="AQ15" s="25" t="n"/>
      <c r="AR15" s="99" t="n"/>
      <c r="AT15" s="25" t="n"/>
      <c r="AU15" s="99" t="n"/>
      <c r="AW15" s="25" t="inlineStr">
        <is>
          <t>Ndokoti</t>
        </is>
      </c>
      <c r="AX15" s="99" t="n"/>
      <c r="AZ15" s="25" t="n"/>
      <c r="BA15" s="99" t="n"/>
      <c r="BC15" s="25" t="n"/>
      <c r="BD15" s="99" t="n"/>
      <c r="BF15" s="25" t="n"/>
      <c r="BG15" s="99" t="n"/>
      <c r="BI15" s="25" t="n"/>
      <c r="BJ15" s="99" t="n"/>
      <c r="BL15" s="25" t="n"/>
      <c r="BM15" s="99" t="n"/>
      <c r="BN15" s="100" t="n"/>
      <c r="BO15" s="99" t="n"/>
      <c r="BQ15" s="101">
        <f>TODAY()-9</f>
        <v/>
      </c>
      <c r="BS15" s="101">
        <f>TODAY()+9</f>
        <v/>
      </c>
      <c r="BU15" s="102">
        <f>TODAY()-WEEKDAY(TODAY(),2)+1-7*9</f>
        <v/>
      </c>
      <c r="BW15" s="102">
        <f>TODAY()-WEEKDAY(TODAY(),2)+1+7*9</f>
        <v/>
      </c>
      <c r="BY15" s="103">
        <f>DATE(YEAR(TODAY()),MONTH(TODAY())-12+9,1)</f>
        <v/>
      </c>
      <c r="CA15" s="104" t="n">
        <v>0.3020833333333333</v>
      </c>
      <c r="CC15" s="105" t="n">
        <v>15</v>
      </c>
      <c r="CE15" s="106" t="n">
        <v>10000</v>
      </c>
    </row>
    <row r="16">
      <c r="A16" s="25" t="n"/>
      <c r="B16" s="99" t="n"/>
      <c r="D16" s="25" t="n"/>
      <c r="E16" s="99" t="n"/>
      <c r="G16" s="25" t="n"/>
      <c r="H16" s="99" t="n"/>
      <c r="J16" s="25" t="n"/>
      <c r="K16" s="99" t="n"/>
      <c r="M16" s="25" t="n"/>
      <c r="N16" s="99" t="n"/>
      <c r="P16" s="25" t="n"/>
      <c r="Q16" s="99" t="n"/>
      <c r="S16" s="25" t="n"/>
      <c r="T16" s="99" t="n"/>
      <c r="V16" s="25" t="n"/>
      <c r="W16" s="99" t="n"/>
      <c r="Y16" s="25" t="n"/>
      <c r="Z16" s="99" t="n"/>
      <c r="AB16" s="25" t="n"/>
      <c r="AC16" s="99" t="n"/>
      <c r="AE16" s="25" t="n"/>
      <c r="AF16" s="99" t="n"/>
      <c r="AH16" s="25" t="n"/>
      <c r="AI16" s="99" t="n"/>
      <c r="AK16" s="25" t="n"/>
      <c r="AL16" s="99" t="n"/>
      <c r="AN16" s="25" t="n"/>
      <c r="AO16" s="99" t="n"/>
      <c r="AQ16" s="25" t="n"/>
      <c r="AR16" s="99" t="n"/>
      <c r="AT16" s="25" t="n"/>
      <c r="AU16" s="99" t="n"/>
      <c r="AW16" s="25" t="inlineStr">
        <is>
          <t>Logbessou</t>
        </is>
      </c>
      <c r="AX16" s="99" t="n"/>
      <c r="AZ16" s="25" t="n"/>
      <c r="BA16" s="99" t="n"/>
      <c r="BC16" s="25" t="n"/>
      <c r="BD16" s="99" t="n"/>
      <c r="BF16" s="25" t="n"/>
      <c r="BG16" s="99" t="n"/>
      <c r="BI16" s="25" t="n"/>
      <c r="BJ16" s="99" t="n"/>
      <c r="BL16" s="25" t="n"/>
      <c r="BM16" s="99" t="n"/>
      <c r="BN16" s="100" t="n"/>
      <c r="BO16" s="99" t="n"/>
      <c r="BQ16" s="101">
        <f>TODAY()-10</f>
        <v/>
      </c>
      <c r="BS16" s="101">
        <f>TODAY()+10</f>
        <v/>
      </c>
      <c r="BU16" s="102">
        <f>TODAY()-WEEKDAY(TODAY(),2)+1-7*10</f>
        <v/>
      </c>
      <c r="BW16" s="102">
        <f>TODAY()-WEEKDAY(TODAY(),2)+1+7*10</f>
        <v/>
      </c>
      <c r="BY16" s="103">
        <f>DATE(YEAR(TODAY()),MONTH(TODAY())-12+10,1)</f>
        <v/>
      </c>
      <c r="CA16" s="104" t="n">
        <v>0.3125</v>
      </c>
      <c r="CC16" s="105" t="n">
        <v>20</v>
      </c>
      <c r="CE16" s="106" t="n">
        <v>15000</v>
      </c>
    </row>
    <row r="17">
      <c r="A17" s="25" t="n"/>
      <c r="B17" s="99" t="n"/>
      <c r="D17" s="25" t="n"/>
      <c r="E17" s="99" t="n"/>
      <c r="G17" s="25" t="n"/>
      <c r="H17" s="99" t="n"/>
      <c r="J17" s="25" t="n"/>
      <c r="K17" s="99" t="n"/>
      <c r="M17" s="25" t="n"/>
      <c r="N17" s="99" t="n"/>
      <c r="P17" s="25" t="n"/>
      <c r="Q17" s="99" t="n"/>
      <c r="S17" s="25" t="n"/>
      <c r="T17" s="99" t="n"/>
      <c r="V17" s="25" t="n"/>
      <c r="W17" s="99" t="n"/>
      <c r="Y17" s="25" t="n"/>
      <c r="Z17" s="99" t="n"/>
      <c r="AB17" s="25" t="n"/>
      <c r="AC17" s="99" t="n"/>
      <c r="AE17" s="25" t="n"/>
      <c r="AF17" s="99" t="n"/>
      <c r="AH17" s="25" t="n"/>
      <c r="AI17" s="99" t="n"/>
      <c r="AK17" s="25" t="n"/>
      <c r="AL17" s="99" t="n"/>
      <c r="AN17" s="25" t="n"/>
      <c r="AO17" s="99" t="n"/>
      <c r="AQ17" s="25" t="n"/>
      <c r="AR17" s="99" t="n"/>
      <c r="AT17" s="25" t="n"/>
      <c r="AU17" s="99" t="n"/>
      <c r="AW17" s="25" t="inlineStr">
        <is>
          <t>Logpom</t>
        </is>
      </c>
      <c r="AX17" s="99" t="n"/>
      <c r="AZ17" s="25" t="n"/>
      <c r="BA17" s="99" t="n"/>
      <c r="BC17" s="25" t="n"/>
      <c r="BD17" s="99" t="n"/>
      <c r="BF17" s="25" t="n"/>
      <c r="BG17" s="99" t="n"/>
      <c r="BI17" s="25" t="n"/>
      <c r="BJ17" s="99" t="n"/>
      <c r="BL17" s="25" t="n"/>
      <c r="BM17" s="99" t="n"/>
      <c r="BN17" s="100" t="n"/>
      <c r="BO17" s="99" t="n"/>
      <c r="BQ17" s="101">
        <f>TODAY()-11</f>
        <v/>
      </c>
      <c r="BS17" s="101">
        <f>TODAY()+11</f>
        <v/>
      </c>
      <c r="BU17" s="102">
        <f>TODAY()-WEEKDAY(TODAY(),2)+1-7*11</f>
        <v/>
      </c>
      <c r="BW17" s="102">
        <f>TODAY()-WEEKDAY(TODAY(),2)+1+7*11</f>
        <v/>
      </c>
      <c r="BY17" s="103">
        <f>DATE(YEAR(TODAY()),MONTH(TODAY())-12+11,1)</f>
        <v/>
      </c>
      <c r="CA17" s="104" t="n">
        <v>0.3229166666666667</v>
      </c>
      <c r="CC17" s="105" t="n">
        <v>25</v>
      </c>
      <c r="CE17" s="106" t="n">
        <v>20000</v>
      </c>
    </row>
    <row r="18">
      <c r="A18" s="25" t="n"/>
      <c r="B18" s="99" t="n"/>
      <c r="D18" s="25" t="n"/>
      <c r="E18" s="99" t="n"/>
      <c r="G18" s="25" t="n"/>
      <c r="H18" s="99" t="n"/>
      <c r="J18" s="25" t="n"/>
      <c r="K18" s="99" t="n"/>
      <c r="M18" s="25" t="n"/>
      <c r="N18" s="99" t="n"/>
      <c r="P18" s="25" t="n"/>
      <c r="Q18" s="99" t="n"/>
      <c r="S18" s="25" t="n"/>
      <c r="T18" s="99" t="n"/>
      <c r="V18" s="25" t="n"/>
      <c r="W18" s="99" t="n"/>
      <c r="Y18" s="25" t="n"/>
      <c r="Z18" s="99" t="n"/>
      <c r="AB18" s="25" t="n"/>
      <c r="AC18" s="99" t="n"/>
      <c r="AE18" s="25" t="n"/>
      <c r="AF18" s="99" t="n"/>
      <c r="AH18" s="25" t="n"/>
      <c r="AI18" s="99" t="n"/>
      <c r="AK18" s="25" t="n"/>
      <c r="AL18" s="99" t="n"/>
      <c r="AN18" s="25" t="n"/>
      <c r="AO18" s="99" t="n"/>
      <c r="AQ18" s="25" t="n"/>
      <c r="AR18" s="99" t="n"/>
      <c r="AT18" s="25" t="n"/>
      <c r="AU18" s="99" t="n"/>
      <c r="AW18" s="25" t="inlineStr">
        <is>
          <t>Beedi</t>
        </is>
      </c>
      <c r="AX18" s="99" t="n"/>
      <c r="AZ18" s="25" t="n"/>
      <c r="BA18" s="99" t="n"/>
      <c r="BC18" s="25" t="n"/>
      <c r="BD18" s="99" t="n"/>
      <c r="BF18" s="25" t="n"/>
      <c r="BG18" s="99" t="n"/>
      <c r="BI18" s="25" t="n"/>
      <c r="BJ18" s="99" t="n"/>
      <c r="BL18" s="25" t="n"/>
      <c r="BM18" s="99" t="n"/>
      <c r="BN18" s="100" t="n"/>
      <c r="BO18" s="99" t="n"/>
      <c r="BQ18" s="101">
        <f>TODAY()-12</f>
        <v/>
      </c>
      <c r="BS18" s="101">
        <f>TODAY()+12</f>
        <v/>
      </c>
      <c r="BU18" s="102">
        <f>TODAY()-WEEKDAY(TODAY(),2)+1-7*12</f>
        <v/>
      </c>
      <c r="BW18" s="102">
        <f>TODAY()-WEEKDAY(TODAY(),2)+1+7*12</f>
        <v/>
      </c>
      <c r="BY18" s="103">
        <f>DATE(YEAR(TODAY()),MONTH(TODAY())-12+12,1)</f>
        <v/>
      </c>
      <c r="CA18" s="104" t="n">
        <v>0.3333333333333333</v>
      </c>
      <c r="CC18" s="105" t="n">
        <v>30</v>
      </c>
    </row>
    <row r="19">
      <c r="A19" s="25" t="n"/>
      <c r="B19" s="99" t="n"/>
      <c r="D19" s="25" t="n"/>
      <c r="E19" s="99" t="n"/>
      <c r="G19" s="25" t="n"/>
      <c r="H19" s="99" t="n"/>
      <c r="J19" s="25" t="n"/>
      <c r="K19" s="99" t="n"/>
      <c r="M19" s="25" t="n"/>
      <c r="N19" s="99" t="n"/>
      <c r="P19" s="25" t="n"/>
      <c r="Q19" s="99" t="n"/>
      <c r="S19" s="25" t="n"/>
      <c r="T19" s="99" t="n"/>
      <c r="V19" s="25" t="n"/>
      <c r="W19" s="99" t="n"/>
      <c r="Y19" s="25" t="n"/>
      <c r="Z19" s="99" t="n"/>
      <c r="AB19" s="25" t="n"/>
      <c r="AC19" s="99" t="n"/>
      <c r="AE19" s="25" t="n"/>
      <c r="AF19" s="99" t="n"/>
      <c r="AH19" s="25" t="n"/>
      <c r="AI19" s="99" t="n"/>
      <c r="AK19" s="25" t="n"/>
      <c r="AL19" s="99" t="n"/>
      <c r="AN19" s="25" t="n"/>
      <c r="AO19" s="99" t="n"/>
      <c r="AQ19" s="25" t="n"/>
      <c r="AR19" s="99" t="n"/>
      <c r="AT19" s="25" t="n"/>
      <c r="AU19" s="99" t="n"/>
      <c r="AW19" s="25" t="inlineStr">
        <is>
          <t>Cité des Palmiers</t>
        </is>
      </c>
      <c r="AX19" s="99" t="n"/>
      <c r="AZ19" s="25" t="n"/>
      <c r="BA19" s="99" t="n"/>
      <c r="BC19" s="25" t="n"/>
      <c r="BD19" s="99" t="n"/>
      <c r="BF19" s="25" t="n"/>
      <c r="BG19" s="99" t="n"/>
      <c r="BI19" s="25" t="n"/>
      <c r="BJ19" s="99" t="n"/>
      <c r="BL19" s="25" t="n"/>
      <c r="BM19" s="99" t="n"/>
      <c r="BN19" s="100" t="n"/>
      <c r="BO19" s="99" t="n"/>
      <c r="BQ19" s="101">
        <f>TODAY()-13</f>
        <v/>
      </c>
      <c r="BS19" s="101">
        <f>TODAY()+13</f>
        <v/>
      </c>
      <c r="BU19" s="102">
        <f>TODAY()-WEEKDAY(TODAY(),2)+1-7*13</f>
        <v/>
      </c>
      <c r="BW19" s="102">
        <f>TODAY()-WEEKDAY(TODAY(),2)+1+7*13</f>
        <v/>
      </c>
      <c r="BY19" s="103">
        <f>DATE(YEAR(TODAY()),MONTH(TODAY())-12+13,1)</f>
        <v/>
      </c>
      <c r="CA19" s="104" t="n">
        <v>0.34375</v>
      </c>
      <c r="CC19" s="105" t="n">
        <v>40</v>
      </c>
    </row>
    <row r="20">
      <c r="A20" s="25" t="n"/>
      <c r="B20" s="99" t="n"/>
      <c r="D20" s="25" t="n"/>
      <c r="E20" s="99" t="n"/>
      <c r="G20" s="25" t="n"/>
      <c r="H20" s="99" t="n"/>
      <c r="J20" s="25" t="n"/>
      <c r="K20" s="99" t="n"/>
      <c r="M20" s="25" t="n"/>
      <c r="N20" s="99" t="n"/>
      <c r="P20" s="25" t="n"/>
      <c r="Q20" s="99" t="n"/>
      <c r="S20" s="25" t="n"/>
      <c r="T20" s="99" t="n"/>
      <c r="V20" s="25" t="n"/>
      <c r="W20" s="99" t="n"/>
      <c r="Y20" s="25" t="n"/>
      <c r="Z20" s="99" t="n"/>
      <c r="AB20" s="25" t="n"/>
      <c r="AC20" s="99" t="n"/>
      <c r="AE20" s="25" t="n"/>
      <c r="AF20" s="99" t="n"/>
      <c r="AH20" s="25" t="n"/>
      <c r="AI20" s="99" t="n"/>
      <c r="AK20" s="25" t="n"/>
      <c r="AL20" s="99" t="n"/>
      <c r="AN20" s="25" t="n"/>
      <c r="AO20" s="99" t="n"/>
      <c r="AQ20" s="25" t="n"/>
      <c r="AR20" s="99" t="n"/>
      <c r="AT20" s="25" t="n"/>
      <c r="AU20" s="99" t="n"/>
      <c r="AW20" s="25" t="inlineStr">
        <is>
          <t>PK9</t>
        </is>
      </c>
      <c r="AX20" s="99" t="n"/>
      <c r="AZ20" s="25" t="n"/>
      <c r="BA20" s="99" t="n"/>
      <c r="BC20" s="25" t="n"/>
      <c r="BD20" s="99" t="n"/>
      <c r="BF20" s="25" t="n"/>
      <c r="BG20" s="99" t="n"/>
      <c r="BI20" s="25" t="n"/>
      <c r="BJ20" s="99" t="n"/>
      <c r="BL20" s="25" t="n"/>
      <c r="BM20" s="99" t="n"/>
      <c r="BN20" s="100" t="n"/>
      <c r="BO20" s="99" t="n"/>
      <c r="BQ20" s="101">
        <f>TODAY()-14</f>
        <v/>
      </c>
      <c r="BS20" s="101">
        <f>TODAY()+14</f>
        <v/>
      </c>
      <c r="BU20" s="102">
        <f>TODAY()-WEEKDAY(TODAY(),2)+1-7*14</f>
        <v/>
      </c>
      <c r="BW20" s="102">
        <f>TODAY()-WEEKDAY(TODAY(),2)+1+7*14</f>
        <v/>
      </c>
      <c r="BY20" s="103">
        <f>DATE(YEAR(TODAY()),MONTH(TODAY())-12+14,1)</f>
        <v/>
      </c>
      <c r="CA20" s="104" t="n">
        <v>0.3541666666666667</v>
      </c>
      <c r="CC20" s="105" t="n">
        <v>50</v>
      </c>
    </row>
    <row r="21">
      <c r="A21" s="25" t="n"/>
      <c r="B21" s="99" t="n"/>
      <c r="D21" s="25" t="n"/>
      <c r="E21" s="99" t="n"/>
      <c r="G21" s="25" t="n"/>
      <c r="H21" s="99" t="n"/>
      <c r="J21" s="25" t="n"/>
      <c r="K21" s="99" t="n"/>
      <c r="M21" s="25" t="n"/>
      <c r="N21" s="99" t="n"/>
      <c r="P21" s="25" t="n"/>
      <c r="Q21" s="99" t="n"/>
      <c r="S21" s="25" t="n"/>
      <c r="T21" s="99" t="n"/>
      <c r="V21" s="25" t="n"/>
      <c r="W21" s="99" t="n"/>
      <c r="Y21" s="25" t="n"/>
      <c r="Z21" s="99" t="n"/>
      <c r="AB21" s="25" t="n"/>
      <c r="AC21" s="99" t="n"/>
      <c r="AE21" s="25" t="n"/>
      <c r="AF21" s="99" t="n"/>
      <c r="AH21" s="25" t="n"/>
      <c r="AI21" s="99" t="n"/>
      <c r="AK21" s="25" t="n"/>
      <c r="AL21" s="99" t="n"/>
      <c r="AN21" s="25" t="n"/>
      <c r="AO21" s="99" t="n"/>
      <c r="AQ21" s="25" t="n"/>
      <c r="AR21" s="99" t="n"/>
      <c r="AT21" s="25" t="n"/>
      <c r="AU21" s="99" t="n"/>
      <c r="AW21" s="25" t="inlineStr">
        <is>
          <t>PK10</t>
        </is>
      </c>
      <c r="AX21" s="99" t="n"/>
      <c r="AZ21" s="25" t="n"/>
      <c r="BA21" s="99" t="n"/>
      <c r="BC21" s="25" t="n"/>
      <c r="BD21" s="99" t="n"/>
      <c r="BF21" s="25" t="n"/>
      <c r="BG21" s="99" t="n"/>
      <c r="BI21" s="25" t="n"/>
      <c r="BJ21" s="99" t="n"/>
      <c r="BL21" s="25" t="n"/>
      <c r="BM21" s="99" t="n"/>
      <c r="BN21" s="100" t="n"/>
      <c r="BO21" s="99" t="n"/>
      <c r="BQ21" s="101">
        <f>TODAY()-15</f>
        <v/>
      </c>
      <c r="BS21" s="101">
        <f>TODAY()+15</f>
        <v/>
      </c>
      <c r="BU21" s="102">
        <f>TODAY()-WEEKDAY(TODAY(),2)+1-7*15</f>
        <v/>
      </c>
      <c r="BW21" s="102">
        <f>TODAY()-WEEKDAY(TODAY(),2)+1+7*15</f>
        <v/>
      </c>
      <c r="BY21" s="103">
        <f>DATE(YEAR(TODAY()),MONTH(TODAY())-12+15,1)</f>
        <v/>
      </c>
      <c r="CA21" s="104" t="n">
        <v>0.3645833333333333</v>
      </c>
      <c r="CC21" s="105" t="n">
        <v>60</v>
      </c>
    </row>
    <row r="22">
      <c r="A22" s="25" t="n"/>
      <c r="B22" s="99" t="n"/>
      <c r="D22" s="25" t="n"/>
      <c r="E22" s="99" t="n"/>
      <c r="G22" s="25" t="n"/>
      <c r="H22" s="99" t="n"/>
      <c r="J22" s="25" t="n"/>
      <c r="K22" s="99" t="n"/>
      <c r="M22" s="25" t="n"/>
      <c r="N22" s="99" t="n"/>
      <c r="P22" s="25" t="n"/>
      <c r="Q22" s="99" t="n"/>
      <c r="S22" s="25" t="n"/>
      <c r="T22" s="99" t="n"/>
      <c r="V22" s="25" t="n"/>
      <c r="W22" s="99" t="n"/>
      <c r="Y22" s="25" t="n"/>
      <c r="Z22" s="99" t="n"/>
      <c r="AB22" s="25" t="n"/>
      <c r="AC22" s="99" t="n"/>
      <c r="AE22" s="25" t="n"/>
      <c r="AF22" s="99" t="n"/>
      <c r="AH22" s="25" t="n"/>
      <c r="AI22" s="99" t="n"/>
      <c r="AK22" s="25" t="n"/>
      <c r="AL22" s="99" t="n"/>
      <c r="AN22" s="25" t="n"/>
      <c r="AO22" s="99" t="n"/>
      <c r="AQ22" s="25" t="n"/>
      <c r="AR22" s="99" t="n"/>
      <c r="AT22" s="25" t="n"/>
      <c r="AU22" s="99" t="n"/>
      <c r="AW22" s="25" t="inlineStr">
        <is>
          <t>PK12</t>
        </is>
      </c>
      <c r="AX22" s="99" t="n"/>
      <c r="AZ22" s="25" t="n"/>
      <c r="BA22" s="99" t="n"/>
      <c r="BC22" s="25" t="n"/>
      <c r="BD22" s="99" t="n"/>
      <c r="BF22" s="25" t="n"/>
      <c r="BG22" s="99" t="n"/>
      <c r="BI22" s="25" t="n"/>
      <c r="BJ22" s="99" t="n"/>
      <c r="BL22" s="25" t="n"/>
      <c r="BM22" s="99" t="n"/>
      <c r="BN22" s="100" t="n"/>
      <c r="BO22" s="99" t="n"/>
      <c r="BQ22" s="101">
        <f>TODAY()-16</f>
        <v/>
      </c>
      <c r="BS22" s="101">
        <f>TODAY()+16</f>
        <v/>
      </c>
      <c r="BU22" s="102">
        <f>TODAY()-WEEKDAY(TODAY(),2)+1-7*16</f>
        <v/>
      </c>
      <c r="BW22" s="102">
        <f>TODAY()-WEEKDAY(TODAY(),2)+1+7*16</f>
        <v/>
      </c>
      <c r="BY22" s="103">
        <f>DATE(YEAR(TODAY()),MONTH(TODAY())-12+16,1)</f>
        <v/>
      </c>
      <c r="CA22" s="104" t="n">
        <v>0.375</v>
      </c>
      <c r="CC22" s="105" t="n">
        <v>75</v>
      </c>
    </row>
    <row r="23">
      <c r="A23" s="25" t="n"/>
      <c r="B23" s="99" t="n"/>
      <c r="D23" s="25" t="n"/>
      <c r="E23" s="99" t="n"/>
      <c r="G23" s="25" t="n"/>
      <c r="H23" s="99" t="n"/>
      <c r="J23" s="25" t="n"/>
      <c r="K23" s="99" t="n"/>
      <c r="M23" s="25" t="n"/>
      <c r="N23" s="99" t="n"/>
      <c r="P23" s="25" t="n"/>
      <c r="Q23" s="99" t="n"/>
      <c r="S23" s="25" t="n"/>
      <c r="T23" s="99" t="n"/>
      <c r="V23" s="25" t="n"/>
      <c r="W23" s="99" t="n"/>
      <c r="Y23" s="25" t="n"/>
      <c r="Z23" s="99" t="n"/>
      <c r="AB23" s="25" t="n"/>
      <c r="AC23" s="99" t="n"/>
      <c r="AE23" s="25" t="n"/>
      <c r="AF23" s="99" t="n"/>
      <c r="AH23" s="25" t="n"/>
      <c r="AI23" s="99" t="n"/>
      <c r="AK23" s="25" t="n"/>
      <c r="AL23" s="99" t="n"/>
      <c r="AN23" s="25" t="n"/>
      <c r="AO23" s="99" t="n"/>
      <c r="AQ23" s="25" t="n"/>
      <c r="AR23" s="99" t="n"/>
      <c r="AT23" s="25" t="n"/>
      <c r="AU23" s="99" t="n"/>
      <c r="AW23" s="25" t="inlineStr">
        <is>
          <t>PK13</t>
        </is>
      </c>
      <c r="AX23" s="99" t="n"/>
      <c r="AZ23" s="25" t="n"/>
      <c r="BA23" s="99" t="n"/>
      <c r="BC23" s="25" t="n"/>
      <c r="BD23" s="99" t="n"/>
      <c r="BF23" s="25" t="n"/>
      <c r="BG23" s="99" t="n"/>
      <c r="BI23" s="25" t="n"/>
      <c r="BJ23" s="99" t="n"/>
      <c r="BL23" s="25" t="n"/>
      <c r="BM23" s="99" t="n"/>
      <c r="BN23" s="100" t="n"/>
      <c r="BO23" s="99" t="n"/>
      <c r="BQ23" s="101">
        <f>TODAY()-17</f>
        <v/>
      </c>
      <c r="BS23" s="101">
        <f>TODAY()+17</f>
        <v/>
      </c>
      <c r="BU23" s="102">
        <f>TODAY()-WEEKDAY(TODAY(),2)+1-7*17</f>
        <v/>
      </c>
      <c r="BW23" s="102">
        <f>TODAY()-WEEKDAY(TODAY(),2)+1+7*17</f>
        <v/>
      </c>
      <c r="BY23" s="103">
        <f>DATE(YEAR(TODAY()),MONTH(TODAY())-12+17,1)</f>
        <v/>
      </c>
      <c r="CA23" s="104" t="n">
        <v>0.3854166666666667</v>
      </c>
      <c r="CC23" s="105" t="n">
        <v>100</v>
      </c>
    </row>
    <row r="24">
      <c r="A24" s="25" t="n"/>
      <c r="B24" s="99" t="n"/>
      <c r="D24" s="25" t="n"/>
      <c r="E24" s="99" t="n"/>
      <c r="G24" s="25" t="n"/>
      <c r="H24" s="99" t="n"/>
      <c r="J24" s="25" t="n"/>
      <c r="K24" s="99" t="n"/>
      <c r="M24" s="25" t="n"/>
      <c r="N24" s="99" t="n"/>
      <c r="P24" s="25" t="n"/>
      <c r="Q24" s="99" t="n"/>
      <c r="S24" s="25" t="n"/>
      <c r="T24" s="99" t="n"/>
      <c r="V24" s="25" t="n"/>
      <c r="W24" s="99" t="n"/>
      <c r="Y24" s="25" t="n"/>
      <c r="Z24" s="99" t="n"/>
      <c r="AB24" s="25" t="n"/>
      <c r="AC24" s="99" t="n"/>
      <c r="AE24" s="25" t="n"/>
      <c r="AF24" s="99" t="n"/>
      <c r="AH24" s="25" t="n"/>
      <c r="AI24" s="99" t="n"/>
      <c r="AK24" s="25" t="n"/>
      <c r="AL24" s="99" t="n"/>
      <c r="AN24" s="25" t="n"/>
      <c r="AO24" s="99" t="n"/>
      <c r="AQ24" s="25" t="n"/>
      <c r="AR24" s="99" t="n"/>
      <c r="AT24" s="25" t="n"/>
      <c r="AU24" s="99" t="n"/>
      <c r="AW24" s="25" t="inlineStr">
        <is>
          <t>Autre</t>
        </is>
      </c>
      <c r="AX24" s="99" t="n"/>
      <c r="AZ24" s="25" t="n"/>
      <c r="BA24" s="99" t="n"/>
      <c r="BC24" s="25" t="n"/>
      <c r="BD24" s="99" t="n"/>
      <c r="BF24" s="25" t="n"/>
      <c r="BG24" s="99" t="n"/>
      <c r="BI24" s="25" t="n"/>
      <c r="BJ24" s="99" t="n"/>
      <c r="BL24" s="25" t="n"/>
      <c r="BM24" s="99" t="n"/>
      <c r="BN24" s="100" t="n"/>
      <c r="BO24" s="99" t="n"/>
      <c r="BQ24" s="101">
        <f>TODAY()-18</f>
        <v/>
      </c>
      <c r="BS24" s="101">
        <f>TODAY()+18</f>
        <v/>
      </c>
      <c r="BU24" s="102">
        <f>TODAY()-WEEKDAY(TODAY(),2)+1-7*18</f>
        <v/>
      </c>
      <c r="BW24" s="102">
        <f>TODAY()-WEEKDAY(TODAY(),2)+1+7*18</f>
        <v/>
      </c>
      <c r="BY24" s="103">
        <f>DATE(YEAR(TODAY()),MONTH(TODAY())-12+18,1)</f>
        <v/>
      </c>
      <c r="CA24" s="104" t="n">
        <v>0.3958333333333333</v>
      </c>
      <c r="CC24" s="105" t="n">
        <v>150</v>
      </c>
    </row>
    <row r="25">
      <c r="A25" s="25" t="n"/>
      <c r="B25" s="99" t="n"/>
      <c r="D25" s="25" t="n"/>
      <c r="E25" s="99" t="n"/>
      <c r="G25" s="25" t="n"/>
      <c r="H25" s="99" t="n"/>
      <c r="J25" s="25" t="n"/>
      <c r="K25" s="99" t="n"/>
      <c r="M25" s="25" t="n"/>
      <c r="N25" s="99" t="n"/>
      <c r="P25" s="25" t="n"/>
      <c r="Q25" s="99" t="n"/>
      <c r="S25" s="25" t="n"/>
      <c r="T25" s="99" t="n"/>
      <c r="V25" s="25" t="n"/>
      <c r="W25" s="99" t="n"/>
      <c r="Y25" s="25" t="n"/>
      <c r="Z25" s="99" t="n"/>
      <c r="AB25" s="25" t="n"/>
      <c r="AC25" s="99" t="n"/>
      <c r="AE25" s="25" t="n"/>
      <c r="AF25" s="99" t="n"/>
      <c r="AH25" s="25" t="n"/>
      <c r="AI25" s="99" t="n"/>
      <c r="AK25" s="25" t="n"/>
      <c r="AL25" s="99" t="n"/>
      <c r="AN25" s="25" t="n"/>
      <c r="AO25" s="99" t="n"/>
      <c r="AQ25" s="25" t="n"/>
      <c r="AR25" s="99" t="n"/>
      <c r="AT25" s="25" t="n"/>
      <c r="AU25" s="99" t="n"/>
      <c r="AW25" s="25" t="n"/>
      <c r="AX25" s="99" t="n"/>
      <c r="AZ25" s="25" t="n"/>
      <c r="BA25" s="99" t="n"/>
      <c r="BC25" s="25" t="n"/>
      <c r="BD25" s="99" t="n"/>
      <c r="BF25" s="25" t="n"/>
      <c r="BG25" s="99" t="n"/>
      <c r="BI25" s="25" t="n"/>
      <c r="BJ25" s="99" t="n"/>
      <c r="BL25" s="25" t="n"/>
      <c r="BM25" s="99" t="n"/>
      <c r="BN25" s="100" t="n"/>
      <c r="BO25" s="99" t="n"/>
      <c r="BQ25" s="101">
        <f>TODAY()-19</f>
        <v/>
      </c>
      <c r="BS25" s="101">
        <f>TODAY()+19</f>
        <v/>
      </c>
      <c r="BU25" s="102">
        <f>TODAY()-WEEKDAY(TODAY(),2)+1-7*19</f>
        <v/>
      </c>
      <c r="BW25" s="102">
        <f>TODAY()-WEEKDAY(TODAY(),2)+1+7*19</f>
        <v/>
      </c>
      <c r="CA25" s="104" t="n">
        <v>0.40625</v>
      </c>
      <c r="CC25" s="105" t="n">
        <v>200</v>
      </c>
    </row>
    <row r="26">
      <c r="A26" s="25" t="n"/>
      <c r="B26" s="99" t="n"/>
      <c r="D26" s="25" t="n"/>
      <c r="E26" s="99" t="n"/>
      <c r="G26" s="25" t="n"/>
      <c r="H26" s="99" t="n"/>
      <c r="J26" s="25" t="n"/>
      <c r="K26" s="99" t="n"/>
      <c r="M26" s="25" t="n"/>
      <c r="N26" s="99" t="n"/>
      <c r="P26" s="25" t="n"/>
      <c r="Q26" s="99" t="n"/>
      <c r="S26" s="25" t="n"/>
      <c r="T26" s="99" t="n"/>
      <c r="V26" s="25" t="n"/>
      <c r="W26" s="99" t="n"/>
      <c r="Y26" s="25" t="n"/>
      <c r="Z26" s="99" t="n"/>
      <c r="AB26" s="25" t="n"/>
      <c r="AC26" s="99" t="n"/>
      <c r="AE26" s="25" t="n"/>
      <c r="AF26" s="99" t="n"/>
      <c r="AH26" s="25" t="n"/>
      <c r="AI26" s="99" t="n"/>
      <c r="AK26" s="25" t="n"/>
      <c r="AL26" s="99" t="n"/>
      <c r="AN26" s="25" t="n"/>
      <c r="AO26" s="99" t="n"/>
      <c r="AQ26" s="25" t="n"/>
      <c r="AR26" s="99" t="n"/>
      <c r="AT26" s="25" t="n"/>
      <c r="AU26" s="99" t="n"/>
      <c r="AW26" s="25" t="n"/>
      <c r="AX26" s="99" t="n"/>
      <c r="AZ26" s="25" t="n"/>
      <c r="BA26" s="99" t="n"/>
      <c r="BC26" s="25" t="n"/>
      <c r="BD26" s="99" t="n"/>
      <c r="BF26" s="25" t="n"/>
      <c r="BG26" s="99" t="n"/>
      <c r="BI26" s="25" t="n"/>
      <c r="BJ26" s="99" t="n"/>
      <c r="BL26" s="25" t="n"/>
      <c r="BM26" s="99" t="n"/>
      <c r="BN26" s="100" t="n"/>
      <c r="BO26" s="99" t="n"/>
      <c r="BQ26" s="101">
        <f>TODAY()-20</f>
        <v/>
      </c>
      <c r="BS26" s="101">
        <f>TODAY()+20</f>
        <v/>
      </c>
      <c r="BU26" s="102">
        <f>TODAY()-WEEKDAY(TODAY(),2)+1-7*20</f>
        <v/>
      </c>
      <c r="BW26" s="102">
        <f>TODAY()-WEEKDAY(TODAY(),2)+1+7*20</f>
        <v/>
      </c>
      <c r="CA26" s="104" t="n">
        <v>0.4166666666666667</v>
      </c>
      <c r="CC26" s="105" t="n">
        <v>250</v>
      </c>
    </row>
    <row r="27">
      <c r="A27" s="25" t="n"/>
      <c r="B27" s="99" t="n"/>
      <c r="D27" s="25" t="n"/>
      <c r="E27" s="99" t="n"/>
      <c r="G27" s="25" t="n"/>
      <c r="H27" s="99" t="n"/>
      <c r="J27" s="25" t="n"/>
      <c r="K27" s="99" t="n"/>
      <c r="M27" s="25" t="n"/>
      <c r="N27" s="99" t="n"/>
      <c r="P27" s="25" t="n"/>
      <c r="Q27" s="99" t="n"/>
      <c r="S27" s="25" t="n"/>
      <c r="T27" s="99" t="n"/>
      <c r="V27" s="25" t="n"/>
      <c r="W27" s="99" t="n"/>
      <c r="Y27" s="25" t="n"/>
      <c r="Z27" s="99" t="n"/>
      <c r="AB27" s="25" t="n"/>
      <c r="AC27" s="99" t="n"/>
      <c r="AE27" s="25" t="n"/>
      <c r="AF27" s="99" t="n"/>
      <c r="AH27" s="25" t="n"/>
      <c r="AI27" s="99" t="n"/>
      <c r="AK27" s="25" t="n"/>
      <c r="AL27" s="99" t="n"/>
      <c r="AN27" s="25" t="n"/>
      <c r="AO27" s="99" t="n"/>
      <c r="AQ27" s="25" t="n"/>
      <c r="AR27" s="99" t="n"/>
      <c r="AT27" s="25" t="n"/>
      <c r="AU27" s="99" t="n"/>
      <c r="AW27" s="25" t="n"/>
      <c r="AX27" s="99" t="n"/>
      <c r="AZ27" s="25" t="n"/>
      <c r="BA27" s="99" t="n"/>
      <c r="BC27" s="25" t="n"/>
      <c r="BD27" s="99" t="n"/>
      <c r="BF27" s="25" t="n"/>
      <c r="BG27" s="99" t="n"/>
      <c r="BI27" s="25" t="n"/>
      <c r="BJ27" s="99" t="n"/>
      <c r="BL27" s="25" t="n"/>
      <c r="BM27" s="99" t="n"/>
      <c r="BN27" s="100" t="n"/>
      <c r="BO27" s="99" t="n"/>
      <c r="BQ27" s="101">
        <f>TODAY()-21</f>
        <v/>
      </c>
      <c r="BS27" s="101">
        <f>TODAY()+21</f>
        <v/>
      </c>
      <c r="BU27" s="102">
        <f>TODAY()-WEEKDAY(TODAY(),2)+1-7*21</f>
        <v/>
      </c>
      <c r="BW27" s="102">
        <f>TODAY()-WEEKDAY(TODAY(),2)+1+7*21</f>
        <v/>
      </c>
      <c r="CA27" s="104" t="n">
        <v>0.4270833333333333</v>
      </c>
      <c r="CC27" s="105" t="n">
        <v>300</v>
      </c>
    </row>
    <row r="28">
      <c r="A28" s="25" t="n"/>
      <c r="B28" s="99" t="n"/>
      <c r="D28" s="25" t="n"/>
      <c r="E28" s="99" t="n"/>
      <c r="G28" s="25" t="n"/>
      <c r="H28" s="99" t="n"/>
      <c r="J28" s="25" t="n"/>
      <c r="K28" s="99" t="n"/>
      <c r="M28" s="25" t="n"/>
      <c r="N28" s="99" t="n"/>
      <c r="P28" s="25" t="n"/>
      <c r="Q28" s="99" t="n"/>
      <c r="S28" s="25" t="n"/>
      <c r="T28" s="99" t="n"/>
      <c r="V28" s="25" t="n"/>
      <c r="W28" s="99" t="n"/>
      <c r="Y28" s="25" t="n"/>
      <c r="Z28" s="99" t="n"/>
      <c r="AB28" s="25" t="n"/>
      <c r="AC28" s="99" t="n"/>
      <c r="AE28" s="25" t="n"/>
      <c r="AF28" s="99" t="n"/>
      <c r="AH28" s="25" t="n"/>
      <c r="AI28" s="99" t="n"/>
      <c r="AK28" s="25" t="n"/>
      <c r="AL28" s="99" t="n"/>
      <c r="AN28" s="25" t="n"/>
      <c r="AO28" s="99" t="n"/>
      <c r="AQ28" s="25" t="n"/>
      <c r="AR28" s="99" t="n"/>
      <c r="AT28" s="25" t="n"/>
      <c r="AU28" s="99" t="n"/>
      <c r="AW28" s="25" t="n"/>
      <c r="AX28" s="99" t="n"/>
      <c r="AZ28" s="25" t="n"/>
      <c r="BA28" s="99" t="n"/>
      <c r="BC28" s="25" t="n"/>
      <c r="BD28" s="99" t="n"/>
      <c r="BF28" s="25" t="n"/>
      <c r="BG28" s="99" t="n"/>
      <c r="BI28" s="25" t="n"/>
      <c r="BJ28" s="99" t="n"/>
      <c r="BL28" s="25" t="n"/>
      <c r="BM28" s="99" t="n"/>
      <c r="BN28" s="100" t="n"/>
      <c r="BO28" s="99" t="n"/>
      <c r="BQ28" s="101">
        <f>TODAY()-22</f>
        <v/>
      </c>
      <c r="BS28" s="101">
        <f>TODAY()+22</f>
        <v/>
      </c>
      <c r="BU28" s="102">
        <f>TODAY()-WEEKDAY(TODAY(),2)+1-7*22</f>
        <v/>
      </c>
      <c r="BW28" s="102">
        <f>TODAY()-WEEKDAY(TODAY(),2)+1+7*22</f>
        <v/>
      </c>
      <c r="CA28" s="104" t="n">
        <v>0.4375</v>
      </c>
      <c r="CC28" s="105" t="n">
        <v>500</v>
      </c>
    </row>
    <row r="29">
      <c r="A29" s="25" t="n"/>
      <c r="B29" s="99" t="n"/>
      <c r="D29" s="25" t="n"/>
      <c r="E29" s="99" t="n"/>
      <c r="G29" s="25" t="n"/>
      <c r="H29" s="99" t="n"/>
      <c r="J29" s="25" t="n"/>
      <c r="K29" s="99" t="n"/>
      <c r="M29" s="25" t="n"/>
      <c r="N29" s="99" t="n"/>
      <c r="P29" s="25" t="n"/>
      <c r="Q29" s="99" t="n"/>
      <c r="S29" s="25" t="n"/>
      <c r="T29" s="99" t="n"/>
      <c r="V29" s="25" t="n"/>
      <c r="W29" s="99" t="n"/>
      <c r="Y29" s="25" t="n"/>
      <c r="Z29" s="99" t="n"/>
      <c r="AB29" s="25" t="n"/>
      <c r="AC29" s="99" t="n"/>
      <c r="AE29" s="25" t="n"/>
      <c r="AF29" s="99" t="n"/>
      <c r="AH29" s="25" t="n"/>
      <c r="AI29" s="99" t="n"/>
      <c r="AK29" s="25" t="n"/>
      <c r="AL29" s="99" t="n"/>
      <c r="AN29" s="25" t="n"/>
      <c r="AO29" s="99" t="n"/>
      <c r="AQ29" s="25" t="n"/>
      <c r="AR29" s="99" t="n"/>
      <c r="AT29" s="25" t="n"/>
      <c r="AU29" s="99" t="n"/>
      <c r="AW29" s="25" t="n"/>
      <c r="AX29" s="99" t="n"/>
      <c r="AZ29" s="25" t="n"/>
      <c r="BA29" s="99" t="n"/>
      <c r="BC29" s="25" t="n"/>
      <c r="BD29" s="99" t="n"/>
      <c r="BF29" s="25" t="n"/>
      <c r="BG29" s="99" t="n"/>
      <c r="BI29" s="25" t="n"/>
      <c r="BJ29" s="99" t="n"/>
      <c r="BL29" s="25" t="n"/>
      <c r="BM29" s="99" t="n"/>
      <c r="BN29" s="100" t="n"/>
      <c r="BO29" s="99" t="n"/>
      <c r="BQ29" s="101">
        <f>TODAY()-23</f>
        <v/>
      </c>
      <c r="BS29" s="101">
        <f>TODAY()+23</f>
        <v/>
      </c>
      <c r="BU29" s="102">
        <f>TODAY()-WEEKDAY(TODAY(),2)+1-7*23</f>
        <v/>
      </c>
      <c r="BW29" s="102">
        <f>TODAY()-WEEKDAY(TODAY(),2)+1+7*23</f>
        <v/>
      </c>
      <c r="CA29" s="104" t="n">
        <v>0.4479166666666667</v>
      </c>
      <c r="CC29" s="105" t="n">
        <v>1000</v>
      </c>
    </row>
    <row r="30">
      <c r="A30" s="25" t="n"/>
      <c r="B30" s="99" t="n"/>
      <c r="D30" s="25" t="n"/>
      <c r="E30" s="99" t="n"/>
      <c r="G30" s="25" t="n"/>
      <c r="H30" s="99" t="n"/>
      <c r="J30" s="25" t="n"/>
      <c r="K30" s="99" t="n"/>
      <c r="M30" s="25" t="n"/>
      <c r="N30" s="99" t="n"/>
      <c r="P30" s="25" t="n"/>
      <c r="Q30" s="99" t="n"/>
      <c r="S30" s="25" t="n"/>
      <c r="T30" s="99" t="n"/>
      <c r="V30" s="25" t="n"/>
      <c r="W30" s="99" t="n"/>
      <c r="Y30" s="25" t="n"/>
      <c r="Z30" s="99" t="n"/>
      <c r="AB30" s="25" t="n"/>
      <c r="AC30" s="99" t="n"/>
      <c r="AE30" s="25" t="n"/>
      <c r="AF30" s="99" t="n"/>
      <c r="AH30" s="25" t="n"/>
      <c r="AI30" s="99" t="n"/>
      <c r="AK30" s="25" t="n"/>
      <c r="AL30" s="99" t="n"/>
      <c r="AN30" s="25" t="n"/>
      <c r="AO30" s="99" t="n"/>
      <c r="AQ30" s="25" t="n"/>
      <c r="AR30" s="99" t="n"/>
      <c r="AT30" s="25" t="n"/>
      <c r="AU30" s="99" t="n"/>
      <c r="AW30" s="25" t="n"/>
      <c r="AX30" s="99" t="n"/>
      <c r="AZ30" s="25" t="n"/>
      <c r="BA30" s="99" t="n"/>
      <c r="BC30" s="25" t="n"/>
      <c r="BD30" s="99" t="n"/>
      <c r="BF30" s="25" t="n"/>
      <c r="BG30" s="99" t="n"/>
      <c r="BI30" s="25" t="n"/>
      <c r="BJ30" s="99" t="n"/>
      <c r="BL30" s="25" t="n"/>
      <c r="BM30" s="99" t="n"/>
      <c r="BN30" s="100" t="n"/>
      <c r="BO30" s="99" t="n"/>
      <c r="BQ30" s="101">
        <f>TODAY()-24</f>
        <v/>
      </c>
      <c r="BS30" s="101">
        <f>TODAY()+24</f>
        <v/>
      </c>
      <c r="BU30" s="102">
        <f>TODAY()-WEEKDAY(TODAY(),2)+1-7*24</f>
        <v/>
      </c>
      <c r="BW30" s="102">
        <f>TODAY()-WEEKDAY(TODAY(),2)+1+7*24</f>
        <v/>
      </c>
      <c r="CA30" s="104" t="n">
        <v>0.4583333333333333</v>
      </c>
    </row>
    <row r="31">
      <c r="A31" s="25" t="n"/>
      <c r="B31" s="99" t="n"/>
      <c r="D31" s="25" t="n"/>
      <c r="E31" s="99" t="n"/>
      <c r="G31" s="25" t="n"/>
      <c r="H31" s="99" t="n"/>
      <c r="J31" s="25" t="n"/>
      <c r="K31" s="99" t="n"/>
      <c r="M31" s="25" t="n"/>
      <c r="N31" s="99" t="n"/>
      <c r="P31" s="25" t="n"/>
      <c r="Q31" s="99" t="n"/>
      <c r="S31" s="25" t="n"/>
      <c r="T31" s="99" t="n"/>
      <c r="V31" s="25" t="n"/>
      <c r="W31" s="99" t="n"/>
      <c r="Y31" s="25" t="n"/>
      <c r="Z31" s="99" t="n"/>
      <c r="AB31" s="25" t="n"/>
      <c r="AC31" s="99" t="n"/>
      <c r="AE31" s="25" t="n"/>
      <c r="AF31" s="99" t="n"/>
      <c r="AH31" s="25" t="n"/>
      <c r="AI31" s="99" t="n"/>
      <c r="AK31" s="25" t="n"/>
      <c r="AL31" s="99" t="n"/>
      <c r="AN31" s="25" t="n"/>
      <c r="AO31" s="99" t="n"/>
      <c r="AQ31" s="25" t="n"/>
      <c r="AR31" s="99" t="n"/>
      <c r="AT31" s="25" t="n"/>
      <c r="AU31" s="99" t="n"/>
      <c r="AW31" s="25" t="n"/>
      <c r="AX31" s="99" t="n"/>
      <c r="AZ31" s="25" t="n"/>
      <c r="BA31" s="99" t="n"/>
      <c r="BC31" s="25" t="n"/>
      <c r="BD31" s="99" t="n"/>
      <c r="BF31" s="25" t="n"/>
      <c r="BG31" s="99" t="n"/>
      <c r="BI31" s="25" t="n"/>
      <c r="BJ31" s="99" t="n"/>
      <c r="BL31" s="25" t="n"/>
      <c r="BM31" s="99" t="n"/>
      <c r="BN31" s="100" t="n"/>
      <c r="BO31" s="99" t="n"/>
      <c r="BQ31" s="101">
        <f>TODAY()-25</f>
        <v/>
      </c>
      <c r="BS31" s="101">
        <f>TODAY()+25</f>
        <v/>
      </c>
      <c r="BU31" s="102">
        <f>TODAY()-WEEKDAY(TODAY(),2)+1-7*25</f>
        <v/>
      </c>
      <c r="BW31" s="102">
        <f>TODAY()-WEEKDAY(TODAY(),2)+1+7*25</f>
        <v/>
      </c>
      <c r="CA31" s="104" t="n">
        <v>0.46875</v>
      </c>
    </row>
    <row r="32">
      <c r="A32" s="25" t="n"/>
      <c r="B32" s="99" t="n"/>
      <c r="D32" s="25" t="n"/>
      <c r="E32" s="99" t="n"/>
      <c r="G32" s="25" t="n"/>
      <c r="H32" s="99" t="n"/>
      <c r="J32" s="25" t="n"/>
      <c r="K32" s="99" t="n"/>
      <c r="M32" s="25" t="n"/>
      <c r="N32" s="99" t="n"/>
      <c r="P32" s="25" t="n"/>
      <c r="Q32" s="99" t="n"/>
      <c r="S32" s="25" t="n"/>
      <c r="T32" s="99" t="n"/>
      <c r="V32" s="25" t="n"/>
      <c r="W32" s="99" t="n"/>
      <c r="Y32" s="25" t="n"/>
      <c r="Z32" s="99" t="n"/>
      <c r="AB32" s="25" t="n"/>
      <c r="AC32" s="99" t="n"/>
      <c r="AE32" s="25" t="n"/>
      <c r="AF32" s="99" t="n"/>
      <c r="AH32" s="25" t="n"/>
      <c r="AI32" s="99" t="n"/>
      <c r="AK32" s="25" t="n"/>
      <c r="AL32" s="99" t="n"/>
      <c r="AN32" s="25" t="n"/>
      <c r="AO32" s="99" t="n"/>
      <c r="AQ32" s="25" t="n"/>
      <c r="AR32" s="99" t="n"/>
      <c r="AT32" s="25" t="n"/>
      <c r="AU32" s="99" t="n"/>
      <c r="AW32" s="25" t="n"/>
      <c r="AX32" s="99" t="n"/>
      <c r="AZ32" s="25" t="n"/>
      <c r="BA32" s="99" t="n"/>
      <c r="BC32" s="25" t="n"/>
      <c r="BD32" s="99" t="n"/>
      <c r="BF32" s="25" t="n"/>
      <c r="BG32" s="99" t="n"/>
      <c r="BI32" s="25" t="n"/>
      <c r="BJ32" s="99" t="n"/>
      <c r="BL32" s="25" t="n"/>
      <c r="BM32" s="99" t="n"/>
      <c r="BN32" s="100" t="n"/>
      <c r="BO32" s="99" t="n"/>
      <c r="BQ32" s="101">
        <f>TODAY()-26</f>
        <v/>
      </c>
      <c r="BS32" s="101">
        <f>TODAY()+26</f>
        <v/>
      </c>
      <c r="BU32" s="102">
        <f>TODAY()-WEEKDAY(TODAY(),2)+1-7*26</f>
        <v/>
      </c>
      <c r="CA32" s="104" t="n">
        <v>0.4791666666666667</v>
      </c>
    </row>
    <row r="33">
      <c r="A33" s="25" t="n"/>
      <c r="B33" s="99" t="n"/>
      <c r="D33" s="25" t="n"/>
      <c r="E33" s="99" t="n"/>
      <c r="G33" s="25" t="n"/>
      <c r="H33" s="99" t="n"/>
      <c r="J33" s="25" t="n"/>
      <c r="K33" s="99" t="n"/>
      <c r="M33" s="25" t="n"/>
      <c r="N33" s="99" t="n"/>
      <c r="P33" s="25" t="n"/>
      <c r="Q33" s="99" t="n"/>
      <c r="S33" s="25" t="n"/>
      <c r="T33" s="99" t="n"/>
      <c r="V33" s="25" t="n"/>
      <c r="W33" s="99" t="n"/>
      <c r="Y33" s="25" t="n"/>
      <c r="Z33" s="99" t="n"/>
      <c r="AB33" s="25" t="n"/>
      <c r="AC33" s="99" t="n"/>
      <c r="AE33" s="25" t="n"/>
      <c r="AF33" s="99" t="n"/>
      <c r="AH33" s="25" t="n"/>
      <c r="AI33" s="99" t="n"/>
      <c r="AK33" s="25" t="n"/>
      <c r="AL33" s="99" t="n"/>
      <c r="AN33" s="25" t="n"/>
      <c r="AO33" s="99" t="n"/>
      <c r="AQ33" s="25" t="n"/>
      <c r="AR33" s="99" t="n"/>
      <c r="AT33" s="25" t="n"/>
      <c r="AU33" s="99" t="n"/>
      <c r="AW33" s="25" t="n"/>
      <c r="AX33" s="99" t="n"/>
      <c r="AZ33" s="25" t="n"/>
      <c r="BA33" s="99" t="n"/>
      <c r="BC33" s="25" t="n"/>
      <c r="BD33" s="99" t="n"/>
      <c r="BF33" s="25" t="n"/>
      <c r="BG33" s="99" t="n"/>
      <c r="BI33" s="25" t="n"/>
      <c r="BJ33" s="99" t="n"/>
      <c r="BL33" s="25" t="n"/>
      <c r="BM33" s="99" t="n"/>
      <c r="BN33" s="100" t="n"/>
      <c r="BO33" s="99" t="n"/>
      <c r="BQ33" s="101">
        <f>TODAY()-27</f>
        <v/>
      </c>
      <c r="BS33" s="101">
        <f>TODAY()+27</f>
        <v/>
      </c>
      <c r="BU33" s="102">
        <f>TODAY()-WEEKDAY(TODAY(),2)+1-7*27</f>
        <v/>
      </c>
      <c r="CA33" s="104" t="n">
        <v>0.4895833333333333</v>
      </c>
    </row>
    <row r="34">
      <c r="A34" s="25" t="n"/>
      <c r="B34" s="99" t="n"/>
      <c r="D34" s="25" t="n"/>
      <c r="E34" s="99" t="n"/>
      <c r="G34" s="25" t="n"/>
      <c r="H34" s="99" t="n"/>
      <c r="J34" s="25" t="n"/>
      <c r="K34" s="99" t="n"/>
      <c r="M34" s="25" t="n"/>
      <c r="N34" s="99" t="n"/>
      <c r="P34" s="25" t="n"/>
      <c r="Q34" s="99" t="n"/>
      <c r="S34" s="25" t="n"/>
      <c r="T34" s="99" t="n"/>
      <c r="V34" s="25" t="n"/>
      <c r="W34" s="99" t="n"/>
      <c r="Y34" s="25" t="n"/>
      <c r="Z34" s="99" t="n"/>
      <c r="AB34" s="25" t="n"/>
      <c r="AC34" s="99" t="n"/>
      <c r="AE34" s="25" t="n"/>
      <c r="AF34" s="99" t="n"/>
      <c r="AH34" s="25" t="n"/>
      <c r="AI34" s="99" t="n"/>
      <c r="AK34" s="25" t="n"/>
      <c r="AL34" s="99" t="n"/>
      <c r="AN34" s="25" t="n"/>
      <c r="AO34" s="99" t="n"/>
      <c r="AQ34" s="25" t="n"/>
      <c r="AR34" s="99" t="n"/>
      <c r="AT34" s="25" t="n"/>
      <c r="AU34" s="99" t="n"/>
      <c r="AW34" s="25" t="n"/>
      <c r="AX34" s="99" t="n"/>
      <c r="AZ34" s="25" t="n"/>
      <c r="BA34" s="99" t="n"/>
      <c r="BC34" s="25" t="n"/>
      <c r="BD34" s="99" t="n"/>
      <c r="BF34" s="25" t="n"/>
      <c r="BG34" s="99" t="n"/>
      <c r="BI34" s="25" t="n"/>
      <c r="BJ34" s="99" t="n"/>
      <c r="BL34" s="25" t="n"/>
      <c r="BM34" s="99" t="n"/>
      <c r="BN34" s="100" t="n"/>
      <c r="BO34" s="99" t="n"/>
      <c r="BQ34" s="101">
        <f>TODAY()-28</f>
        <v/>
      </c>
      <c r="BS34" s="101">
        <f>TODAY()+28</f>
        <v/>
      </c>
      <c r="BU34" s="102">
        <f>TODAY()-WEEKDAY(TODAY(),2)+1-7*28</f>
        <v/>
      </c>
      <c r="CA34" s="104" t="n">
        <v>0.5</v>
      </c>
    </row>
    <row r="35">
      <c r="A35" s="25" t="n"/>
      <c r="B35" s="99" t="n"/>
      <c r="D35" s="25" t="n"/>
      <c r="E35" s="99" t="n"/>
      <c r="G35" s="25" t="n"/>
      <c r="H35" s="99" t="n"/>
      <c r="J35" s="25" t="n"/>
      <c r="K35" s="99" t="n"/>
      <c r="M35" s="25" t="n"/>
      <c r="N35" s="99" t="n"/>
      <c r="P35" s="25" t="n"/>
      <c r="Q35" s="99" t="n"/>
      <c r="S35" s="25" t="n"/>
      <c r="T35" s="99" t="n"/>
      <c r="V35" s="25" t="n"/>
      <c r="W35" s="99" t="n"/>
      <c r="Y35" s="25" t="n"/>
      <c r="Z35" s="99" t="n"/>
      <c r="AB35" s="25" t="n"/>
      <c r="AC35" s="99" t="n"/>
      <c r="AE35" s="25" t="n"/>
      <c r="AF35" s="99" t="n"/>
      <c r="AH35" s="25" t="n"/>
      <c r="AI35" s="99" t="n"/>
      <c r="AK35" s="25" t="n"/>
      <c r="AL35" s="99" t="n"/>
      <c r="AN35" s="25" t="n"/>
      <c r="AO35" s="99" t="n"/>
      <c r="AQ35" s="25" t="n"/>
      <c r="AR35" s="99" t="n"/>
      <c r="AT35" s="25" t="n"/>
      <c r="AU35" s="99" t="n"/>
      <c r="AW35" s="25" t="n"/>
      <c r="AX35" s="99" t="n"/>
      <c r="AZ35" s="25" t="n"/>
      <c r="BA35" s="99" t="n"/>
      <c r="BC35" s="25" t="n"/>
      <c r="BD35" s="99" t="n"/>
      <c r="BF35" s="25" t="n"/>
      <c r="BG35" s="99" t="n"/>
      <c r="BI35" s="25" t="n"/>
      <c r="BJ35" s="99" t="n"/>
      <c r="BL35" s="25" t="n"/>
      <c r="BM35" s="99" t="n"/>
      <c r="BN35" s="100" t="n"/>
      <c r="BO35" s="99" t="n"/>
      <c r="BQ35" s="101">
        <f>TODAY()-29</f>
        <v/>
      </c>
      <c r="BS35" s="101">
        <f>TODAY()+29</f>
        <v/>
      </c>
      <c r="BU35" s="102">
        <f>TODAY()-WEEKDAY(TODAY(),2)+1-7*29</f>
        <v/>
      </c>
      <c r="CA35" s="104" t="n">
        <v>0.5104166666666666</v>
      </c>
    </row>
    <row r="36">
      <c r="A36" s="25" t="n"/>
      <c r="B36" s="99" t="n"/>
      <c r="D36" s="25" t="n"/>
      <c r="E36" s="99" t="n"/>
      <c r="G36" s="25" t="n"/>
      <c r="H36" s="99" t="n"/>
      <c r="J36" s="25" t="n"/>
      <c r="K36" s="99" t="n"/>
      <c r="M36" s="25" t="n"/>
      <c r="N36" s="99" t="n"/>
      <c r="P36" s="25" t="n"/>
      <c r="Q36" s="99" t="n"/>
      <c r="S36" s="25" t="n"/>
      <c r="T36" s="99" t="n"/>
      <c r="V36" s="25" t="n"/>
      <c r="W36" s="99" t="n"/>
      <c r="Y36" s="25" t="n"/>
      <c r="Z36" s="99" t="n"/>
      <c r="AB36" s="25" t="n"/>
      <c r="AC36" s="99" t="n"/>
      <c r="AE36" s="25" t="n"/>
      <c r="AF36" s="99" t="n"/>
      <c r="AH36" s="25" t="n"/>
      <c r="AI36" s="99" t="n"/>
      <c r="AK36" s="25" t="n"/>
      <c r="AL36" s="99" t="n"/>
      <c r="AN36" s="25" t="n"/>
      <c r="AO36" s="99" t="n"/>
      <c r="AQ36" s="25" t="n"/>
      <c r="AR36" s="99" t="n"/>
      <c r="AT36" s="25" t="n"/>
      <c r="AU36" s="99" t="n"/>
      <c r="AW36" s="25" t="n"/>
      <c r="AX36" s="99" t="n"/>
      <c r="AZ36" s="25" t="n"/>
      <c r="BA36" s="99" t="n"/>
      <c r="BC36" s="25" t="n"/>
      <c r="BD36" s="99" t="n"/>
      <c r="BF36" s="25" t="n"/>
      <c r="BG36" s="99" t="n"/>
      <c r="BI36" s="25" t="n"/>
      <c r="BJ36" s="99" t="n"/>
      <c r="BL36" s="25" t="n"/>
      <c r="BM36" s="99" t="n"/>
      <c r="BN36" s="100" t="n"/>
      <c r="BO36" s="99" t="n"/>
      <c r="BQ36" s="101">
        <f>TODAY()-30</f>
        <v/>
      </c>
      <c r="BS36" s="101">
        <f>TODAY()+30</f>
        <v/>
      </c>
      <c r="CA36" s="104" t="n">
        <v>0.5208333333333334</v>
      </c>
    </row>
    <row r="37">
      <c r="A37" s="25" t="n"/>
      <c r="B37" s="99" t="n"/>
      <c r="D37" s="25" t="n"/>
      <c r="E37" s="99" t="n"/>
      <c r="G37" s="25" t="n"/>
      <c r="H37" s="99" t="n"/>
      <c r="J37" s="25" t="n"/>
      <c r="K37" s="99" t="n"/>
      <c r="M37" s="25" t="n"/>
      <c r="N37" s="99" t="n"/>
      <c r="P37" s="25" t="n"/>
      <c r="Q37" s="99" t="n"/>
      <c r="S37" s="25" t="n"/>
      <c r="T37" s="99" t="n"/>
      <c r="V37" s="25" t="n"/>
      <c r="W37" s="99" t="n"/>
      <c r="Y37" s="25" t="n"/>
      <c r="Z37" s="99" t="n"/>
      <c r="AB37" s="25" t="n"/>
      <c r="AC37" s="99" t="n"/>
      <c r="AE37" s="25" t="n"/>
      <c r="AF37" s="99" t="n"/>
      <c r="AH37" s="25" t="n"/>
      <c r="AI37" s="99" t="n"/>
      <c r="AK37" s="25" t="n"/>
      <c r="AL37" s="99" t="n"/>
      <c r="AN37" s="25" t="n"/>
      <c r="AO37" s="99" t="n"/>
      <c r="AQ37" s="25" t="n"/>
      <c r="AR37" s="99" t="n"/>
      <c r="AT37" s="25" t="n"/>
      <c r="AU37" s="99" t="n"/>
      <c r="AW37" s="25" t="n"/>
      <c r="AX37" s="99" t="n"/>
      <c r="AZ37" s="25" t="n"/>
      <c r="BA37" s="99" t="n"/>
      <c r="BC37" s="25" t="n"/>
      <c r="BD37" s="99" t="n"/>
      <c r="BF37" s="25" t="n"/>
      <c r="BG37" s="99" t="n"/>
      <c r="BI37" s="25" t="n"/>
      <c r="BJ37" s="99" t="n"/>
      <c r="BL37" s="25" t="n"/>
      <c r="BM37" s="99" t="n"/>
      <c r="BN37" s="100" t="n"/>
      <c r="BO37" s="99" t="n"/>
      <c r="BQ37" s="101">
        <f>TODAY()-31</f>
        <v/>
      </c>
      <c r="BS37" s="101">
        <f>TODAY()+31</f>
        <v/>
      </c>
      <c r="CA37" s="104" t="n">
        <v>0.53125</v>
      </c>
    </row>
    <row r="38">
      <c r="A38" s="25" t="n"/>
      <c r="B38" s="99" t="n"/>
      <c r="D38" s="25" t="n"/>
      <c r="E38" s="99" t="n"/>
      <c r="G38" s="25" t="n"/>
      <c r="H38" s="99" t="n"/>
      <c r="J38" s="25" t="n"/>
      <c r="K38" s="99" t="n"/>
      <c r="M38" s="25" t="n"/>
      <c r="N38" s="99" t="n"/>
      <c r="P38" s="25" t="n"/>
      <c r="Q38" s="99" t="n"/>
      <c r="S38" s="25" t="n"/>
      <c r="T38" s="99" t="n"/>
      <c r="V38" s="25" t="n"/>
      <c r="W38" s="99" t="n"/>
      <c r="Y38" s="25" t="n"/>
      <c r="Z38" s="99" t="n"/>
      <c r="AB38" s="25" t="n"/>
      <c r="AC38" s="99" t="n"/>
      <c r="AE38" s="25" t="n"/>
      <c r="AF38" s="99" t="n"/>
      <c r="AH38" s="25" t="n"/>
      <c r="AI38" s="99" t="n"/>
      <c r="AK38" s="25" t="n"/>
      <c r="AL38" s="99" t="n"/>
      <c r="AN38" s="25" t="n"/>
      <c r="AO38" s="99" t="n"/>
      <c r="AQ38" s="25" t="n"/>
      <c r="AR38" s="99" t="n"/>
      <c r="AT38" s="25" t="n"/>
      <c r="AU38" s="99" t="n"/>
      <c r="AW38" s="25" t="n"/>
      <c r="AX38" s="99" t="n"/>
      <c r="AZ38" s="25" t="n"/>
      <c r="BA38" s="99" t="n"/>
      <c r="BC38" s="25" t="n"/>
      <c r="BD38" s="99" t="n"/>
      <c r="BF38" s="25" t="n"/>
      <c r="BG38" s="99" t="n"/>
      <c r="BI38" s="25" t="n"/>
      <c r="BJ38" s="99" t="n"/>
      <c r="BL38" s="25" t="n"/>
      <c r="BM38" s="99" t="n"/>
      <c r="BN38" s="100" t="n"/>
      <c r="BO38" s="99" t="n"/>
      <c r="BQ38" s="101">
        <f>TODAY()-32</f>
        <v/>
      </c>
      <c r="BS38" s="101">
        <f>TODAY()+32</f>
        <v/>
      </c>
      <c r="CA38" s="104" t="n">
        <v>0.5416666666666666</v>
      </c>
    </row>
    <row r="39">
      <c r="A39" s="25" t="n"/>
      <c r="B39" s="99" t="n"/>
      <c r="D39" s="25" t="n"/>
      <c r="E39" s="99" t="n"/>
      <c r="G39" s="25" t="n"/>
      <c r="H39" s="99" t="n"/>
      <c r="J39" s="25" t="n"/>
      <c r="K39" s="99" t="n"/>
      <c r="M39" s="25" t="n"/>
      <c r="N39" s="99" t="n"/>
      <c r="P39" s="25" t="n"/>
      <c r="Q39" s="99" t="n"/>
      <c r="S39" s="25" t="n"/>
      <c r="T39" s="99" t="n"/>
      <c r="V39" s="25" t="n"/>
      <c r="W39" s="99" t="n"/>
      <c r="Y39" s="25" t="n"/>
      <c r="Z39" s="99" t="n"/>
      <c r="AB39" s="25" t="n"/>
      <c r="AC39" s="99" t="n"/>
      <c r="AE39" s="25" t="n"/>
      <c r="AF39" s="99" t="n"/>
      <c r="AH39" s="25" t="n"/>
      <c r="AI39" s="99" t="n"/>
      <c r="AK39" s="25" t="n"/>
      <c r="AL39" s="99" t="n"/>
      <c r="AN39" s="25" t="n"/>
      <c r="AO39" s="99" t="n"/>
      <c r="AQ39" s="25" t="n"/>
      <c r="AR39" s="99" t="n"/>
      <c r="AT39" s="25" t="n"/>
      <c r="AU39" s="99" t="n"/>
      <c r="AW39" s="25" t="n"/>
      <c r="AX39" s="99" t="n"/>
      <c r="AZ39" s="25" t="n"/>
      <c r="BA39" s="99" t="n"/>
      <c r="BC39" s="25" t="n"/>
      <c r="BD39" s="99" t="n"/>
      <c r="BF39" s="25" t="n"/>
      <c r="BG39" s="99" t="n"/>
      <c r="BI39" s="25" t="n"/>
      <c r="BJ39" s="99" t="n"/>
      <c r="BL39" s="25" t="n"/>
      <c r="BM39" s="99" t="n"/>
      <c r="BN39" s="100" t="n"/>
      <c r="BO39" s="99" t="n"/>
      <c r="BQ39" s="101">
        <f>TODAY()-33</f>
        <v/>
      </c>
      <c r="BS39" s="101">
        <f>TODAY()+33</f>
        <v/>
      </c>
      <c r="CA39" s="104" t="n">
        <v>0.5520833333333334</v>
      </c>
    </row>
    <row r="40">
      <c r="A40" s="25" t="n"/>
      <c r="B40" s="99" t="n"/>
      <c r="D40" s="25" t="n"/>
      <c r="E40" s="99" t="n"/>
      <c r="G40" s="25" t="n"/>
      <c r="H40" s="99" t="n"/>
      <c r="J40" s="25" t="n"/>
      <c r="K40" s="99" t="n"/>
      <c r="M40" s="25" t="n"/>
      <c r="N40" s="99" t="n"/>
      <c r="P40" s="25" t="n"/>
      <c r="Q40" s="99" t="n"/>
      <c r="S40" s="25" t="n"/>
      <c r="T40" s="99" t="n"/>
      <c r="V40" s="25" t="n"/>
      <c r="W40" s="99" t="n"/>
      <c r="Y40" s="25" t="n"/>
      <c r="Z40" s="99" t="n"/>
      <c r="AB40" s="25" t="n"/>
      <c r="AC40" s="99" t="n"/>
      <c r="AE40" s="25" t="n"/>
      <c r="AF40" s="99" t="n"/>
      <c r="AH40" s="25" t="n"/>
      <c r="AI40" s="99" t="n"/>
      <c r="AK40" s="25" t="n"/>
      <c r="AL40" s="99" t="n"/>
      <c r="AN40" s="25" t="n"/>
      <c r="AO40" s="99" t="n"/>
      <c r="AQ40" s="25" t="n"/>
      <c r="AR40" s="99" t="n"/>
      <c r="AT40" s="25" t="n"/>
      <c r="AU40" s="99" t="n"/>
      <c r="AW40" s="25" t="n"/>
      <c r="AX40" s="99" t="n"/>
      <c r="AZ40" s="25" t="n"/>
      <c r="BA40" s="99" t="n"/>
      <c r="BC40" s="25" t="n"/>
      <c r="BD40" s="99" t="n"/>
      <c r="BF40" s="25" t="n"/>
      <c r="BG40" s="99" t="n"/>
      <c r="BI40" s="25" t="n"/>
      <c r="BJ40" s="99" t="n"/>
      <c r="BL40" s="25" t="n"/>
      <c r="BM40" s="99" t="n"/>
      <c r="BN40" s="100" t="n"/>
      <c r="BO40" s="99" t="n"/>
      <c r="BQ40" s="101">
        <f>TODAY()-34</f>
        <v/>
      </c>
      <c r="BS40" s="101">
        <f>TODAY()+34</f>
        <v/>
      </c>
      <c r="CA40" s="104" t="n">
        <v>0.5625</v>
      </c>
    </row>
    <row r="41">
      <c r="A41" s="25" t="n"/>
      <c r="B41" s="99" t="n"/>
      <c r="D41" s="25" t="n"/>
      <c r="E41" s="99" t="n"/>
      <c r="G41" s="25" t="n"/>
      <c r="H41" s="99" t="n"/>
      <c r="J41" s="25" t="n"/>
      <c r="K41" s="99" t="n"/>
      <c r="M41" s="25" t="n"/>
      <c r="N41" s="99" t="n"/>
      <c r="P41" s="25" t="n"/>
      <c r="Q41" s="99" t="n"/>
      <c r="S41" s="25" t="n"/>
      <c r="T41" s="99" t="n"/>
      <c r="V41" s="25" t="n"/>
      <c r="W41" s="99" t="n"/>
      <c r="Y41" s="25" t="n"/>
      <c r="Z41" s="99" t="n"/>
      <c r="AB41" s="25" t="n"/>
      <c r="AC41" s="99" t="n"/>
      <c r="AE41" s="25" t="n"/>
      <c r="AF41" s="99" t="n"/>
      <c r="AH41" s="25" t="n"/>
      <c r="AI41" s="99" t="n"/>
      <c r="AK41" s="25" t="n"/>
      <c r="AL41" s="99" t="n"/>
      <c r="AN41" s="25" t="n"/>
      <c r="AO41" s="99" t="n"/>
      <c r="AQ41" s="25" t="n"/>
      <c r="AR41" s="99" t="n"/>
      <c r="AT41" s="25" t="n"/>
      <c r="AU41" s="99" t="n"/>
      <c r="AW41" s="25" t="n"/>
      <c r="AX41" s="99" t="n"/>
      <c r="AZ41" s="25" t="n"/>
      <c r="BA41" s="99" t="n"/>
      <c r="BC41" s="25" t="n"/>
      <c r="BD41" s="99" t="n"/>
      <c r="BF41" s="25" t="n"/>
      <c r="BG41" s="99" t="n"/>
      <c r="BI41" s="25" t="n"/>
      <c r="BJ41" s="99" t="n"/>
      <c r="BL41" s="25" t="n"/>
      <c r="BM41" s="99" t="n"/>
      <c r="BN41" s="100" t="n"/>
      <c r="BO41" s="99" t="n"/>
      <c r="BQ41" s="101">
        <f>TODAY()-35</f>
        <v/>
      </c>
      <c r="BS41" s="101">
        <f>TODAY()+35</f>
        <v/>
      </c>
      <c r="CA41" s="104" t="n">
        <v>0.5729166666666666</v>
      </c>
    </row>
    <row r="42">
      <c r="A42" s="25" t="n"/>
      <c r="B42" s="99" t="n"/>
      <c r="D42" s="25" t="n"/>
      <c r="E42" s="99" t="n"/>
      <c r="G42" s="25" t="n"/>
      <c r="H42" s="99" t="n"/>
      <c r="J42" s="25" t="n"/>
      <c r="K42" s="99" t="n"/>
      <c r="M42" s="25" t="n"/>
      <c r="N42" s="99" t="n"/>
      <c r="P42" s="25" t="n"/>
      <c r="Q42" s="99" t="n"/>
      <c r="S42" s="25" t="n"/>
      <c r="T42" s="99" t="n"/>
      <c r="V42" s="25" t="n"/>
      <c r="W42" s="99" t="n"/>
      <c r="Y42" s="25" t="n"/>
      <c r="Z42" s="99" t="n"/>
      <c r="AB42" s="25" t="n"/>
      <c r="AC42" s="99" t="n"/>
      <c r="AE42" s="25" t="n"/>
      <c r="AF42" s="99" t="n"/>
      <c r="AH42" s="25" t="n"/>
      <c r="AI42" s="99" t="n"/>
      <c r="AK42" s="25" t="n"/>
      <c r="AL42" s="99" t="n"/>
      <c r="AN42" s="25" t="n"/>
      <c r="AO42" s="99" t="n"/>
      <c r="AQ42" s="25" t="n"/>
      <c r="AR42" s="99" t="n"/>
      <c r="AT42" s="25" t="n"/>
      <c r="AU42" s="99" t="n"/>
      <c r="AW42" s="25" t="n"/>
      <c r="AX42" s="99" t="n"/>
      <c r="AZ42" s="25" t="n"/>
      <c r="BA42" s="99" t="n"/>
      <c r="BC42" s="25" t="n"/>
      <c r="BD42" s="99" t="n"/>
      <c r="BF42" s="25" t="n"/>
      <c r="BG42" s="99" t="n"/>
      <c r="BI42" s="25" t="n"/>
      <c r="BJ42" s="99" t="n"/>
      <c r="BL42" s="25" t="n"/>
      <c r="BM42" s="99" t="n"/>
      <c r="BN42" s="100" t="n"/>
      <c r="BO42" s="99" t="n"/>
      <c r="BQ42" s="101">
        <f>TODAY()-36</f>
        <v/>
      </c>
      <c r="BS42" s="101">
        <f>TODAY()+36</f>
        <v/>
      </c>
      <c r="CA42" s="104" t="n">
        <v>0.5833333333333334</v>
      </c>
    </row>
    <row r="43">
      <c r="A43" s="25" t="n"/>
      <c r="B43" s="99" t="n"/>
      <c r="D43" s="25" t="n"/>
      <c r="E43" s="99" t="n"/>
      <c r="G43" s="25" t="n"/>
      <c r="H43" s="99" t="n"/>
      <c r="J43" s="25" t="n"/>
      <c r="K43" s="99" t="n"/>
      <c r="M43" s="25" t="n"/>
      <c r="N43" s="99" t="n"/>
      <c r="P43" s="25" t="n"/>
      <c r="Q43" s="99" t="n"/>
      <c r="S43" s="25" t="n"/>
      <c r="T43" s="99" t="n"/>
      <c r="V43" s="25" t="n"/>
      <c r="W43" s="99" t="n"/>
      <c r="Y43" s="25" t="n"/>
      <c r="Z43" s="99" t="n"/>
      <c r="AB43" s="25" t="n"/>
      <c r="AC43" s="99" t="n"/>
      <c r="AE43" s="25" t="n"/>
      <c r="AF43" s="99" t="n"/>
      <c r="AH43" s="25" t="n"/>
      <c r="AI43" s="99" t="n"/>
      <c r="AK43" s="25" t="n"/>
      <c r="AL43" s="99" t="n"/>
      <c r="AN43" s="25" t="n"/>
      <c r="AO43" s="99" t="n"/>
      <c r="AQ43" s="25" t="n"/>
      <c r="AR43" s="99" t="n"/>
      <c r="AT43" s="25" t="n"/>
      <c r="AU43" s="99" t="n"/>
      <c r="AW43" s="25" t="n"/>
      <c r="AX43" s="99" t="n"/>
      <c r="AZ43" s="25" t="n"/>
      <c r="BA43" s="99" t="n"/>
      <c r="BC43" s="25" t="n"/>
      <c r="BD43" s="99" t="n"/>
      <c r="BF43" s="25" t="n"/>
      <c r="BG43" s="99" t="n"/>
      <c r="BI43" s="25" t="n"/>
      <c r="BJ43" s="99" t="n"/>
      <c r="BL43" s="25" t="n"/>
      <c r="BM43" s="99" t="n"/>
      <c r="BN43" s="100" t="n"/>
      <c r="BO43" s="99" t="n"/>
      <c r="BQ43" s="101">
        <f>TODAY()-37</f>
        <v/>
      </c>
      <c r="BS43" s="101">
        <f>TODAY()+37</f>
        <v/>
      </c>
      <c r="CA43" s="104" t="n">
        <v>0.59375</v>
      </c>
    </row>
    <row r="44">
      <c r="A44" s="25" t="n"/>
      <c r="B44" s="99" t="n"/>
      <c r="D44" s="25" t="n"/>
      <c r="E44" s="99" t="n"/>
      <c r="G44" s="25" t="n"/>
      <c r="H44" s="99" t="n"/>
      <c r="J44" s="25" t="n"/>
      <c r="K44" s="99" t="n"/>
      <c r="M44" s="25" t="n"/>
      <c r="N44" s="99" t="n"/>
      <c r="P44" s="25" t="n"/>
      <c r="Q44" s="99" t="n"/>
      <c r="S44" s="25" t="n"/>
      <c r="T44" s="99" t="n"/>
      <c r="V44" s="25" t="n"/>
      <c r="W44" s="99" t="n"/>
      <c r="Y44" s="25" t="n"/>
      <c r="Z44" s="99" t="n"/>
      <c r="AB44" s="25" t="n"/>
      <c r="AC44" s="99" t="n"/>
      <c r="AE44" s="25" t="n"/>
      <c r="AF44" s="99" t="n"/>
      <c r="AH44" s="25" t="n"/>
      <c r="AI44" s="99" t="n"/>
      <c r="AK44" s="25" t="n"/>
      <c r="AL44" s="99" t="n"/>
      <c r="AN44" s="25" t="n"/>
      <c r="AO44" s="99" t="n"/>
      <c r="AQ44" s="25" t="n"/>
      <c r="AR44" s="99" t="n"/>
      <c r="AT44" s="25" t="n"/>
      <c r="AU44" s="99" t="n"/>
      <c r="AW44" s="25" t="n"/>
      <c r="AX44" s="99" t="n"/>
      <c r="AZ44" s="25" t="n"/>
      <c r="BA44" s="99" t="n"/>
      <c r="BC44" s="25" t="n"/>
      <c r="BD44" s="99" t="n"/>
      <c r="BF44" s="25" t="n"/>
      <c r="BG44" s="99" t="n"/>
      <c r="BI44" s="25" t="n"/>
      <c r="BJ44" s="99" t="n"/>
      <c r="BL44" s="25" t="n"/>
      <c r="BM44" s="99" t="n"/>
      <c r="BN44" s="100" t="n"/>
      <c r="BO44" s="99" t="n"/>
      <c r="BQ44" s="101">
        <f>TODAY()-38</f>
        <v/>
      </c>
      <c r="BS44" s="101">
        <f>TODAY()+38</f>
        <v/>
      </c>
      <c r="CA44" s="104" t="n">
        <v>0.6041666666666666</v>
      </c>
    </row>
    <row r="45">
      <c r="A45" s="25" t="n"/>
      <c r="B45" s="99" t="n"/>
      <c r="D45" s="25" t="n"/>
      <c r="E45" s="99" t="n"/>
      <c r="G45" s="25" t="n"/>
      <c r="H45" s="99" t="n"/>
      <c r="J45" s="25" t="n"/>
      <c r="K45" s="99" t="n"/>
      <c r="M45" s="25" t="n"/>
      <c r="N45" s="99" t="n"/>
      <c r="P45" s="25" t="n"/>
      <c r="Q45" s="99" t="n"/>
      <c r="S45" s="25" t="n"/>
      <c r="T45" s="99" t="n"/>
      <c r="V45" s="25" t="n"/>
      <c r="W45" s="99" t="n"/>
      <c r="Y45" s="25" t="n"/>
      <c r="Z45" s="99" t="n"/>
      <c r="AB45" s="25" t="n"/>
      <c r="AC45" s="99" t="n"/>
      <c r="AE45" s="25" t="n"/>
      <c r="AF45" s="99" t="n"/>
      <c r="AH45" s="25" t="n"/>
      <c r="AI45" s="99" t="n"/>
      <c r="AK45" s="25" t="n"/>
      <c r="AL45" s="99" t="n"/>
      <c r="AN45" s="25" t="n"/>
      <c r="AO45" s="99" t="n"/>
      <c r="AQ45" s="25" t="n"/>
      <c r="AR45" s="99" t="n"/>
      <c r="AT45" s="25" t="n"/>
      <c r="AU45" s="99" t="n"/>
      <c r="AW45" s="25" t="n"/>
      <c r="AX45" s="99" t="n"/>
      <c r="AZ45" s="25" t="n"/>
      <c r="BA45" s="99" t="n"/>
      <c r="BC45" s="25" t="n"/>
      <c r="BD45" s="99" t="n"/>
      <c r="BF45" s="25" t="n"/>
      <c r="BG45" s="99" t="n"/>
      <c r="BI45" s="25" t="n"/>
      <c r="BJ45" s="99" t="n"/>
      <c r="BL45" s="25" t="n"/>
      <c r="BM45" s="99" t="n"/>
      <c r="BN45" s="100" t="n"/>
      <c r="BO45" s="99" t="n"/>
      <c r="BQ45" s="101">
        <f>TODAY()-39</f>
        <v/>
      </c>
      <c r="BS45" s="101">
        <f>TODAY()+39</f>
        <v/>
      </c>
      <c r="CA45" s="104" t="n">
        <v>0.6145833333333334</v>
      </c>
    </row>
    <row r="46">
      <c r="BQ46" s="101">
        <f>TODAY()-40</f>
        <v/>
      </c>
      <c r="BS46" s="101">
        <f>TODAY()+40</f>
        <v/>
      </c>
      <c r="CA46" s="104" t="n">
        <v>0.625</v>
      </c>
    </row>
    <row r="47">
      <c r="BQ47" s="101">
        <f>TODAY()-41</f>
        <v/>
      </c>
      <c r="BS47" s="101">
        <f>TODAY()+41</f>
        <v/>
      </c>
      <c r="CA47" s="104" t="n">
        <v>0.6354166666666666</v>
      </c>
    </row>
    <row r="48">
      <c r="BQ48" s="101">
        <f>TODAY()-42</f>
        <v/>
      </c>
      <c r="BS48" s="101">
        <f>TODAY()+42</f>
        <v/>
      </c>
      <c r="CA48" s="104" t="n">
        <v>0.6458333333333334</v>
      </c>
    </row>
    <row r="49">
      <c r="BQ49" s="101">
        <f>TODAY()-43</f>
        <v/>
      </c>
      <c r="BS49" s="101">
        <f>TODAY()+43</f>
        <v/>
      </c>
      <c r="CA49" s="104" t="n">
        <v>0.65625</v>
      </c>
    </row>
    <row r="50">
      <c r="BQ50" s="101">
        <f>TODAY()-44</f>
        <v/>
      </c>
      <c r="BS50" s="101">
        <f>TODAY()+44</f>
        <v/>
      </c>
      <c r="CA50" s="104" t="n">
        <v>0.6666666666666666</v>
      </c>
    </row>
    <row r="51">
      <c r="BQ51" s="101">
        <f>TODAY()-45</f>
        <v/>
      </c>
      <c r="BS51" s="101">
        <f>TODAY()+45</f>
        <v/>
      </c>
      <c r="CA51" s="104" t="n">
        <v>0.6770833333333334</v>
      </c>
    </row>
    <row r="52">
      <c r="BQ52" s="101">
        <f>TODAY()-46</f>
        <v/>
      </c>
      <c r="BS52" s="101">
        <f>TODAY()+46</f>
        <v/>
      </c>
      <c r="CA52" s="104" t="n">
        <v>0.6875</v>
      </c>
    </row>
    <row r="53">
      <c r="BQ53" s="101">
        <f>TODAY()-47</f>
        <v/>
      </c>
      <c r="BS53" s="101">
        <f>TODAY()+47</f>
        <v/>
      </c>
      <c r="CA53" s="104" t="n">
        <v>0.6979166666666666</v>
      </c>
    </row>
    <row r="54">
      <c r="BQ54" s="101">
        <f>TODAY()-48</f>
        <v/>
      </c>
      <c r="BS54" s="101">
        <f>TODAY()+48</f>
        <v/>
      </c>
      <c r="CA54" s="104" t="n">
        <v>0.7083333333333334</v>
      </c>
    </row>
    <row r="55">
      <c r="BQ55" s="101">
        <f>TODAY()-49</f>
        <v/>
      </c>
      <c r="BS55" s="101">
        <f>TODAY()+49</f>
        <v/>
      </c>
      <c r="CA55" s="104" t="n">
        <v>0.71875</v>
      </c>
    </row>
    <row r="56">
      <c r="BQ56" s="101">
        <f>TODAY()-50</f>
        <v/>
      </c>
      <c r="BS56" s="101">
        <f>TODAY()+50</f>
        <v/>
      </c>
      <c r="CA56" s="104" t="n">
        <v>0.7291666666666666</v>
      </c>
    </row>
    <row r="57">
      <c r="BQ57" s="101">
        <f>TODAY()-51</f>
        <v/>
      </c>
      <c r="BS57" s="101">
        <f>TODAY()+51</f>
        <v/>
      </c>
      <c r="CA57" s="104" t="n">
        <v>0.7395833333333334</v>
      </c>
    </row>
    <row r="58">
      <c r="BQ58" s="101">
        <f>TODAY()-52</f>
        <v/>
      </c>
      <c r="BS58" s="101">
        <f>TODAY()+52</f>
        <v/>
      </c>
      <c r="CA58" s="104" t="n">
        <v>0.75</v>
      </c>
    </row>
    <row r="59">
      <c r="BQ59" s="101">
        <f>TODAY()-53</f>
        <v/>
      </c>
      <c r="BS59" s="101">
        <f>TODAY()+53</f>
        <v/>
      </c>
      <c r="CA59" s="104" t="n">
        <v>0.7604166666666666</v>
      </c>
    </row>
    <row r="60">
      <c r="BQ60" s="101">
        <f>TODAY()-54</f>
        <v/>
      </c>
      <c r="BS60" s="101">
        <f>TODAY()+54</f>
        <v/>
      </c>
      <c r="CA60" s="104" t="n">
        <v>0.7708333333333334</v>
      </c>
    </row>
    <row r="61">
      <c r="BQ61" s="101">
        <f>TODAY()-55</f>
        <v/>
      </c>
      <c r="BS61" s="101">
        <f>TODAY()+55</f>
        <v/>
      </c>
      <c r="CA61" s="104" t="n">
        <v>0.78125</v>
      </c>
    </row>
    <row r="62">
      <c r="BQ62" s="101">
        <f>TODAY()-56</f>
        <v/>
      </c>
      <c r="BS62" s="101">
        <f>TODAY()+56</f>
        <v/>
      </c>
      <c r="CA62" s="104" t="n">
        <v>0.7916666666666666</v>
      </c>
    </row>
    <row r="63">
      <c r="BQ63" s="101">
        <f>TODAY()-57</f>
        <v/>
      </c>
      <c r="BS63" s="101">
        <f>TODAY()+57</f>
        <v/>
      </c>
      <c r="CA63" s="104" t="n">
        <v>0.8020833333333334</v>
      </c>
    </row>
    <row r="64">
      <c r="BQ64" s="101">
        <f>TODAY()-58</f>
        <v/>
      </c>
      <c r="BS64" s="101">
        <f>TODAY()+58</f>
        <v/>
      </c>
      <c r="CA64" s="104" t="n">
        <v>0.8125</v>
      </c>
    </row>
    <row r="65">
      <c r="BQ65" s="101">
        <f>TODAY()-59</f>
        <v/>
      </c>
      <c r="BS65" s="101">
        <f>TODAY()+59</f>
        <v/>
      </c>
      <c r="CA65" s="104" t="n">
        <v>0.8229166666666666</v>
      </c>
    </row>
    <row r="66">
      <c r="BS66" s="101">
        <f>TODAY()+60</f>
        <v/>
      </c>
      <c r="CA66" s="104" t="n">
        <v>0.8333333333333334</v>
      </c>
    </row>
    <row r="67">
      <c r="BS67" s="101">
        <f>TODAY()+61</f>
        <v/>
      </c>
      <c r="CA67" s="104" t="n">
        <v>0.84375</v>
      </c>
    </row>
    <row r="68">
      <c r="BS68" s="101">
        <f>TODAY()+62</f>
        <v/>
      </c>
      <c r="CA68" s="104" t="n">
        <v>0.8541666666666666</v>
      </c>
    </row>
    <row r="69">
      <c r="BS69" s="101">
        <f>TODAY()+63</f>
        <v/>
      </c>
      <c r="CA69" s="104" t="n">
        <v>0.8645833333333334</v>
      </c>
    </row>
    <row r="70">
      <c r="BS70" s="101">
        <f>TODAY()+64</f>
        <v/>
      </c>
      <c r="CA70" s="104" t="n">
        <v>0.875</v>
      </c>
    </row>
    <row r="71">
      <c r="BS71" s="101">
        <f>TODAY()+65</f>
        <v/>
      </c>
      <c r="CA71" s="104" t="n">
        <v>0.8854166666666666</v>
      </c>
    </row>
    <row r="72">
      <c r="BS72" s="101">
        <f>TODAY()+66</f>
        <v/>
      </c>
      <c r="CA72" s="104" t="n">
        <v>0.8958333333333334</v>
      </c>
    </row>
    <row r="73">
      <c r="BS73" s="101">
        <f>TODAY()+67</f>
        <v/>
      </c>
      <c r="CA73" s="104" t="n">
        <v>0.90625</v>
      </c>
    </row>
    <row r="74">
      <c r="BS74" s="101">
        <f>TODAY()+68</f>
        <v/>
      </c>
      <c r="CA74" s="104" t="n">
        <v>0.9166666666666666</v>
      </c>
    </row>
    <row r="75">
      <c r="BS75" s="101">
        <f>TODAY()+69</f>
        <v/>
      </c>
    </row>
    <row r="76">
      <c r="BS76" s="101">
        <f>TODAY()+70</f>
        <v/>
      </c>
    </row>
    <row r="77">
      <c r="BS77" s="101">
        <f>TODAY()+71</f>
        <v/>
      </c>
    </row>
    <row r="78">
      <c r="BS78" s="101">
        <f>TODAY()+72</f>
        <v/>
      </c>
    </row>
    <row r="79">
      <c r="BS79" s="101">
        <f>TODAY()+73</f>
        <v/>
      </c>
    </row>
    <row r="80">
      <c r="BS80" s="101">
        <f>TODAY()+74</f>
        <v/>
      </c>
    </row>
    <row r="81">
      <c r="BS81" s="101">
        <f>TODAY()+75</f>
        <v/>
      </c>
    </row>
    <row r="82">
      <c r="BS82" s="101">
        <f>TODAY()+76</f>
        <v/>
      </c>
    </row>
    <row r="83">
      <c r="BS83" s="101">
        <f>TODAY()+77</f>
        <v/>
      </c>
    </row>
    <row r="84">
      <c r="BS84" s="101">
        <f>TODAY()+78</f>
        <v/>
      </c>
    </row>
    <row r="85">
      <c r="BS85" s="101">
        <f>TODAY()+79</f>
        <v/>
      </c>
    </row>
    <row r="86">
      <c r="BS86" s="101">
        <f>TODAY()+80</f>
        <v/>
      </c>
    </row>
    <row r="87">
      <c r="BS87" s="101">
        <f>TODAY()+81</f>
        <v/>
      </c>
    </row>
    <row r="88">
      <c r="BS88" s="101">
        <f>TODAY()+82</f>
        <v/>
      </c>
    </row>
    <row r="89">
      <c r="BS89" s="101">
        <f>TODAY()+83</f>
        <v/>
      </c>
    </row>
    <row r="90">
      <c r="BS90" s="101">
        <f>TODAY()+84</f>
        <v/>
      </c>
    </row>
    <row r="91">
      <c r="BS91" s="101">
        <f>TODAY()+85</f>
        <v/>
      </c>
    </row>
    <row r="92">
      <c r="BS92" s="101">
        <f>TODAY()+86</f>
        <v/>
      </c>
    </row>
    <row r="93">
      <c r="BS93" s="101">
        <f>TODAY()+87</f>
        <v/>
      </c>
    </row>
    <row r="94">
      <c r="BS94" s="101">
        <f>TODAY()+88</f>
        <v/>
      </c>
    </row>
    <row r="95">
      <c r="BS95" s="101">
        <f>TODAY()+89</f>
        <v/>
      </c>
    </row>
  </sheetData>
  <dataValidations count="1">
    <dataValidation sqref="BM6:BM45" showDropDown="0" showInputMessage="0" showErrorMessage="1" allowBlank="1" errorTitle="Valeur hors liste" error="Cette valeur n'est pas dans la liste. Choisissez-la avec la flèche à droite de la cellule." type="list" errorStyle="stop">
      <formula1>=L_Unite</formula1>
    </dataValidation>
  </dataValidations>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tabColor rgb="007F8C8D"/>
    <outlinePr summaryBelow="1" summaryRight="1"/>
    <pageSetUpPr fitToPage="1"/>
  </sheetPr>
  <dimension ref="A1:F198"/>
  <sheetViews>
    <sheetView showGridLines="0" tabSelected="0" zoomScale="90" workbookViewId="0">
      <pane ySplit="5" topLeftCell="A6" activePane="bottomLeft" state="frozen"/>
      <selection pane="bottomLeft" activeCell="A1" sqref="A1"/>
    </sheetView>
  </sheetViews>
  <sheetFormatPr baseColWidth="8" defaultRowHeight="15"/>
  <cols>
    <col width="22" customWidth="1" min="1" max="1"/>
    <col width="38" customWidth="1" min="2" max="2"/>
    <col width="12" customWidth="1" min="3" max="3"/>
    <col width="50" customWidth="1" min="4" max="4"/>
    <col width="14" customWidth="1" min="5" max="5"/>
    <col width="52" customWidth="1" min="6" max="6"/>
  </cols>
  <sheetData>
    <row r="1">
      <c r="A1" s="15" t="inlineStr">
        <is>
          <t>CORRESPONDANCES — où ira chaque colonne dans l'application</t>
        </is>
      </c>
    </row>
    <row r="2">
      <c r="A2" s="2" t="inlineStr">
        <is>
          <t>Information pour l'équipe projet (INDICATIF, à valider au moment de l'import). Toutes les feuilles de saisie ont leur entête en ligne 5 et leurs données à partir de la ligne 6 ; les colonnes « Technique » (masquées) ne sont pas à importer.</t>
        </is>
      </c>
    </row>
    <row r="3">
      <c r="A3" s="16" t="inlineStr">
        <is>
          <t>◄ Sommaire</t>
        </is>
      </c>
    </row>
    <row r="5" ht="26" customHeight="1">
      <c r="A5" s="7" t="inlineStr">
        <is>
          <t>Feuille</t>
        </is>
      </c>
      <c r="B5" s="7" t="inlineStr">
        <is>
          <t>Colonne</t>
        </is>
      </c>
      <c r="C5" s="7" t="inlineStr">
        <is>
          <t>Nature</t>
        </is>
      </c>
      <c r="D5" s="7" t="inlineStr">
        <is>
          <t>Champ cible indicatif dans l'application</t>
        </is>
      </c>
      <c r="E5" s="7" t="inlineStr">
        <is>
          <t>Obligatoire</t>
        </is>
      </c>
      <c r="F5" s="7" t="inlineStr">
        <is>
          <t>Aide à la saisie</t>
        </is>
      </c>
    </row>
    <row r="6">
      <c r="A6" s="107" t="inlineStr">
        <is>
          <t>Journal</t>
        </is>
      </c>
      <c r="B6" s="108" t="inlineStr">
        <is>
          <t>Date</t>
        </is>
      </c>
      <c r="C6" s="108" t="inlineStr">
        <is>
          <t>Saisie</t>
        </is>
      </c>
      <c r="D6" s="109" t="inlineStr">
        <is>
          <t>fieldwork.work_sessions.work_date</t>
        </is>
      </c>
      <c r="E6" s="108" t="inlineStr">
        <is>
          <t>Oui</t>
        </is>
      </c>
      <c r="F6" s="108" t="inlineStr">
        <is>
          <t>Liste de dates (aujourd'hui en tête)</t>
        </is>
      </c>
    </row>
    <row r="7">
      <c r="A7" s="107" t="inlineStr">
        <is>
          <t>Journal</t>
        </is>
      </c>
      <c r="B7" s="108" t="inlineStr">
        <is>
          <t>Commercial</t>
        </is>
      </c>
      <c r="C7" s="108" t="inlineStr">
        <is>
          <t>Calculé</t>
        </is>
      </c>
      <c r="D7" s="109" t="inlineStr">
        <is>
          <t>identity.users (auteur / titulaire)</t>
        </is>
      </c>
      <c r="E7" s="108" t="inlineStr"/>
      <c r="F7" s="108" t="inlineStr">
        <is>
          <t>Rempli seul (Paramètres) ; remplaçable</t>
        </is>
      </c>
    </row>
    <row r="8">
      <c r="A8" s="107" t="inlineStr">
        <is>
          <t>Journal</t>
        </is>
      </c>
      <c r="B8" s="108" t="inlineStr">
        <is>
          <t>Jour</t>
        </is>
      </c>
      <c r="C8" s="108" t="inlineStr">
        <is>
          <t>Calculé</t>
        </is>
      </c>
      <c r="D8" s="109" t="inlineStr">
        <is>
          <t>—</t>
        </is>
      </c>
      <c r="E8" s="108" t="inlineStr"/>
      <c r="F8" s="108" t="inlineStr">
        <is>
          <t>Calculé</t>
        </is>
      </c>
    </row>
    <row r="9">
      <c r="A9" s="107" t="inlineStr">
        <is>
          <t>Journal</t>
        </is>
      </c>
      <c r="B9" s="108" t="inlineStr">
        <is>
          <t>Semaine</t>
        </is>
      </c>
      <c r="C9" s="108" t="inlineStr">
        <is>
          <t>Calculé</t>
        </is>
      </c>
      <c r="D9" s="109" t="inlineStr">
        <is>
          <t>—</t>
        </is>
      </c>
      <c r="E9" s="108" t="inlineStr"/>
      <c r="F9" s="108" t="inlineStr">
        <is>
          <t>Calculé (ISO)</t>
        </is>
      </c>
    </row>
    <row r="10">
      <c r="A10" s="107" t="inlineStr">
        <is>
          <t>Journal</t>
        </is>
      </c>
      <c r="B10" s="108" t="inlineStr">
        <is>
          <t>Prise de service (heure)</t>
        </is>
      </c>
      <c r="C10" s="108" t="inlineStr">
        <is>
          <t>Saisie</t>
        </is>
      </c>
      <c r="D10" s="109" t="inlineStr">
        <is>
          <t>fieldwork.geo_checkins (START_SERVICE)</t>
        </is>
      </c>
      <c r="E10" s="108" t="inlineStr"/>
      <c r="F10" s="108" t="inlineStr">
        <is>
          <t>Liste d'heures</t>
        </is>
      </c>
    </row>
    <row r="11">
      <c r="A11" s="107" t="inlineStr">
        <is>
          <t>Journal</t>
        </is>
      </c>
      <c r="B11" s="108" t="inlineStr">
        <is>
          <t>Fin de service (heure)</t>
        </is>
      </c>
      <c r="C11" s="108" t="inlineStr">
        <is>
          <t>Saisie</t>
        </is>
      </c>
      <c r="D11" s="109" t="inlineStr">
        <is>
          <t>fieldwork.geo_checkins (END_SERVICE)</t>
        </is>
      </c>
      <c r="E11" s="108" t="inlineStr"/>
      <c r="F11" s="108" t="inlineStr">
        <is>
          <t>Liste d'heures</t>
        </is>
      </c>
    </row>
    <row r="12">
      <c r="A12" s="107" t="inlineStr">
        <is>
          <t>Journal</t>
        </is>
      </c>
      <c r="B12" s="108" t="inlineStr">
        <is>
          <t>Zone / quartier du jour</t>
        </is>
      </c>
      <c r="C12" s="108" t="inlineStr">
        <is>
          <t>Saisie</t>
        </is>
      </c>
      <c r="D12" s="109" t="inlineStr">
        <is>
          <t>fieldwork.work_sessions.declared_zone_id</t>
        </is>
      </c>
      <c r="E12" s="108" t="inlineStr"/>
      <c r="F12" s="108" t="inlineStr">
        <is>
          <t>Liste</t>
        </is>
      </c>
    </row>
    <row r="13">
      <c r="A13" s="107" t="inlineStr">
        <is>
          <t>Journal</t>
        </is>
      </c>
      <c r="B13" s="108" t="inlineStr">
        <is>
          <t>Frais engagés (XAF)</t>
        </is>
      </c>
      <c r="C13" s="108" t="inlineStr">
        <is>
          <t>Saisie</t>
        </is>
      </c>
      <c r="D13" s="109" t="inlineStr">
        <is>
          <t>—</t>
        </is>
      </c>
      <c r="E13" s="108" t="inlineStr"/>
      <c r="F13" s="108" t="inlineStr">
        <is>
          <t>Liste (ou autre montant)</t>
        </is>
      </c>
    </row>
    <row r="14">
      <c r="A14" s="107" t="inlineStr">
        <is>
          <t>Journal</t>
        </is>
      </c>
      <c r="B14" s="108" t="inlineStr">
        <is>
          <t>Durée (h)</t>
        </is>
      </c>
      <c r="C14" s="108" t="inlineStr">
        <is>
          <t>Calculé</t>
        </is>
      </c>
      <c r="D14" s="109" t="inlineStr">
        <is>
          <t>—</t>
        </is>
      </c>
      <c r="E14" s="108" t="inlineStr"/>
      <c r="F14" s="108" t="inlineStr">
        <is>
          <t>Calculé</t>
        </is>
      </c>
    </row>
    <row r="15">
      <c r="A15" s="107" t="inlineStr">
        <is>
          <t>Journal</t>
        </is>
      </c>
      <c r="B15" s="108" t="inlineStr">
        <is>
          <t>Visites sur place</t>
        </is>
      </c>
      <c r="C15" s="108" t="inlineStr">
        <is>
          <t>Calculé</t>
        </is>
      </c>
      <c r="D15" s="109" t="inlineStr">
        <is>
          <t>—</t>
        </is>
      </c>
      <c r="E15" s="108" t="inlineStr"/>
      <c r="F15" s="108" t="inlineStr">
        <is>
          <t>Depuis Visites_Contacts</t>
        </is>
      </c>
    </row>
    <row r="16">
      <c r="A16" s="107" t="inlineStr">
        <is>
          <t>Journal</t>
        </is>
      </c>
      <c r="B16" s="108" t="inlineStr">
        <is>
          <t>Contacts à distance</t>
        </is>
      </c>
      <c r="C16" s="108" t="inlineStr">
        <is>
          <t>Calculé</t>
        </is>
      </c>
      <c r="D16" s="109" t="inlineStr">
        <is>
          <t>—</t>
        </is>
      </c>
      <c r="E16" s="108" t="inlineStr"/>
      <c r="F16" s="108" t="inlineStr">
        <is>
          <t>Appels, messages</t>
        </is>
      </c>
    </row>
    <row r="17">
      <c r="A17" s="107" t="inlineStr">
        <is>
          <t>Journal</t>
        </is>
      </c>
      <c r="B17" s="108" t="inlineStr">
        <is>
          <t>Nouveaux prospects</t>
        </is>
      </c>
      <c r="C17" s="108" t="inlineStr">
        <is>
          <t>Calculé</t>
        </is>
      </c>
      <c r="D17" s="109" t="inlineStr">
        <is>
          <t>—</t>
        </is>
      </c>
      <c r="E17" s="108" t="inlineStr"/>
      <c r="F17" s="108" t="inlineStr">
        <is>
          <t>Depuis Clients</t>
        </is>
      </c>
    </row>
    <row r="18">
      <c r="A18" s="107" t="inlineStr">
        <is>
          <t>Journal</t>
        </is>
      </c>
      <c r="B18" s="108" t="inlineStr">
        <is>
          <t>Nouveaux clients</t>
        </is>
      </c>
      <c r="C18" s="108" t="inlineStr">
        <is>
          <t>Calculé</t>
        </is>
      </c>
      <c r="D18" s="109" t="inlineStr">
        <is>
          <t>—</t>
        </is>
      </c>
      <c r="E18" s="108" t="inlineStr"/>
      <c r="F18" s="108" t="inlineStr">
        <is>
          <t>1ère vente ce jour</t>
        </is>
      </c>
    </row>
    <row r="19">
      <c r="A19" s="107" t="inlineStr">
        <is>
          <t>Journal</t>
        </is>
      </c>
      <c r="B19" s="108" t="inlineStr">
        <is>
          <t>Commandes prises (nb)</t>
        </is>
      </c>
      <c r="C19" s="108" t="inlineStr">
        <is>
          <t>Calculé</t>
        </is>
      </c>
      <c r="D19" s="109" t="inlineStr">
        <is>
          <t>—</t>
        </is>
      </c>
      <c r="E19" s="108" t="inlineStr"/>
      <c r="F19" s="108" t="inlineStr">
        <is>
          <t>Hors ventes directes</t>
        </is>
      </c>
    </row>
    <row r="20">
      <c r="A20" s="107" t="inlineStr">
        <is>
          <t>Journal</t>
        </is>
      </c>
      <c r="B20" s="108" t="inlineStr">
        <is>
          <t>Commandes prises (XAF)</t>
        </is>
      </c>
      <c r="C20" s="108" t="inlineStr">
        <is>
          <t>Calculé</t>
        </is>
      </c>
      <c r="D20" s="109" t="inlineStr">
        <is>
          <t>—</t>
        </is>
      </c>
      <c r="E20" s="108" t="inlineStr"/>
      <c r="F20" s="108" t="inlineStr">
        <is>
          <t>Valeur</t>
        </is>
      </c>
    </row>
    <row r="21">
      <c r="A21" s="107" t="inlineStr">
        <is>
          <t>Journal</t>
        </is>
      </c>
      <c r="B21" s="108" t="inlineStr">
        <is>
          <t>CA réalisé (XAF)</t>
        </is>
      </c>
      <c r="C21" s="108" t="inlineStr">
        <is>
          <t>Calculé</t>
        </is>
      </c>
      <c r="D21" s="109" t="inlineStr">
        <is>
          <t>—</t>
        </is>
      </c>
      <c r="E21" s="108" t="inlineStr"/>
      <c r="F21" s="108" t="inlineStr">
        <is>
          <t>Livré / vendu ce jour</t>
        </is>
      </c>
    </row>
    <row r="22">
      <c r="A22" s="107" t="inlineStr">
        <is>
          <t>Journal</t>
        </is>
      </c>
      <c r="B22" s="108" t="inlineStr">
        <is>
          <t>Encaissé (XAF)</t>
        </is>
      </c>
      <c r="C22" s="108" t="inlineStr">
        <is>
          <t>Calculé</t>
        </is>
      </c>
      <c r="D22" s="109" t="inlineStr">
        <is>
          <t>—</t>
        </is>
      </c>
      <c r="E22" s="108" t="inlineStr"/>
      <c r="F22" s="108" t="inlineStr">
        <is>
          <t>Depuis Encaissements</t>
        </is>
      </c>
    </row>
    <row r="23">
      <c r="A23" s="107" t="inlineStr">
        <is>
          <t>Journal</t>
        </is>
      </c>
      <c r="B23" s="108" t="inlineStr">
        <is>
          <t>Casses et pertes (XAF)</t>
        </is>
      </c>
      <c r="C23" s="108" t="inlineStr">
        <is>
          <t>Calculé</t>
        </is>
      </c>
      <c r="D23" s="109" t="inlineStr">
        <is>
          <t>—</t>
        </is>
      </c>
      <c r="E23" s="108" t="inlineStr"/>
      <c r="F23" s="108" t="inlineStr">
        <is>
          <t>Depuis Stock</t>
        </is>
      </c>
    </row>
    <row r="24">
      <c r="A24" s="107" t="inlineStr">
        <is>
          <t>Journal</t>
        </is>
      </c>
      <c r="B24" s="108" t="inlineStr">
        <is>
          <t>Réussites du jour</t>
        </is>
      </c>
      <c r="C24" s="108" t="inlineStr">
        <is>
          <t>Saisie</t>
        </is>
      </c>
      <c r="D24" s="109" t="inlineStr">
        <is>
          <t>communication.internal_notes</t>
        </is>
      </c>
      <c r="E24" s="108" t="inlineStr"/>
      <c r="F24" s="108" t="inlineStr">
        <is>
          <t>Ce qui a bien marché</t>
        </is>
      </c>
    </row>
    <row r="25">
      <c r="A25" s="107" t="inlineStr">
        <is>
          <t>Journal</t>
        </is>
      </c>
      <c r="B25" s="108" t="inlineStr">
        <is>
          <t>Difficultés rencontrées</t>
        </is>
      </c>
      <c r="C25" s="108" t="inlineStr">
        <is>
          <t>Saisie</t>
        </is>
      </c>
      <c r="D25" s="109" t="inlineStr">
        <is>
          <t>—</t>
        </is>
      </c>
      <c r="E25" s="108" t="inlineStr"/>
      <c r="F25" s="108" t="inlineStr">
        <is>
          <t>Blocages, refus, retards</t>
        </is>
      </c>
    </row>
    <row r="26">
      <c r="A26" s="107" t="inlineStr">
        <is>
          <t>Journal</t>
        </is>
      </c>
      <c r="B26" s="108" t="inlineStr">
        <is>
          <t>Besoin de soutien (direction)</t>
        </is>
      </c>
      <c r="C26" s="108" t="inlineStr">
        <is>
          <t>Saisie</t>
        </is>
      </c>
      <c r="D26" s="109" t="inlineStr">
        <is>
          <t>—</t>
        </is>
      </c>
      <c r="E26" s="108" t="inlineStr"/>
      <c r="F26" s="108" t="inlineStr">
        <is>
          <t>Ce dont vous avez besoin</t>
        </is>
      </c>
    </row>
    <row r="27">
      <c r="A27" s="107" t="inlineStr">
        <is>
          <t>Journal</t>
        </is>
      </c>
      <c r="B27" s="108" t="inlineStr">
        <is>
          <t>Plan du lendemain</t>
        </is>
      </c>
      <c r="C27" s="108" t="inlineStr">
        <is>
          <t>Saisie</t>
        </is>
      </c>
      <c r="D27" s="109" t="inlineStr">
        <is>
          <t>—</t>
        </is>
      </c>
      <c r="E27" s="108" t="inlineStr"/>
      <c r="F27" s="108" t="inlineStr">
        <is>
          <t>Zones, clients, objectifs</t>
        </is>
      </c>
    </row>
    <row r="28">
      <c r="A28" s="107" t="inlineStr">
        <is>
          <t>Visites_Contacts</t>
        </is>
      </c>
      <c r="B28" s="108" t="inlineStr">
        <is>
          <t>N°</t>
        </is>
      </c>
      <c r="C28" s="108" t="inlineStr">
        <is>
          <t>Numéro</t>
        </is>
      </c>
      <c r="D28" s="109" t="inlineStr">
        <is>
          <t>—</t>
        </is>
      </c>
      <c r="E28" s="108" t="inlineStr"/>
      <c r="F28" s="108" t="inlineStr"/>
    </row>
    <row r="29">
      <c r="A29" s="107" t="inlineStr">
        <is>
          <t>Visites_Contacts</t>
        </is>
      </c>
      <c r="B29" s="108" t="inlineStr">
        <is>
          <t>Réf. de la ligne</t>
        </is>
      </c>
      <c r="C29" s="108" t="inlineStr">
        <is>
          <t>Calculé</t>
        </is>
      </c>
      <c r="D29" s="109" t="inlineStr">
        <is>
          <t>(clé d'import : évite les doublons)</t>
        </is>
      </c>
      <c r="E29" s="108" t="inlineStr"/>
      <c r="F29" s="108" t="inlineStr">
        <is>
          <t>Calculé</t>
        </is>
      </c>
    </row>
    <row r="30">
      <c r="A30" s="107" t="inlineStr">
        <is>
          <t>Visites_Contacts</t>
        </is>
      </c>
      <c r="B30" s="108" t="inlineStr">
        <is>
          <t>Date</t>
        </is>
      </c>
      <c r="C30" s="108" t="inlineStr">
        <is>
          <t>Saisie</t>
        </is>
      </c>
      <c r="D30" s="109" t="inlineStr">
        <is>
          <t>crm.visits.occurred_at / crm.interactions.occurred_at</t>
        </is>
      </c>
      <c r="E30" s="108" t="inlineStr">
        <is>
          <t>Oui</t>
        </is>
      </c>
      <c r="F30" s="108" t="inlineStr">
        <is>
          <t>Liste de dates (aujourd'hui en tête)</t>
        </is>
      </c>
    </row>
    <row r="31">
      <c r="A31" s="107" t="inlineStr">
        <is>
          <t>Visites_Contacts</t>
        </is>
      </c>
      <c r="B31" s="108" t="inlineStr">
        <is>
          <t>Heure</t>
        </is>
      </c>
      <c r="C31" s="108" t="inlineStr">
        <is>
          <t>Saisie</t>
        </is>
      </c>
      <c r="D31" s="109" t="inlineStr">
        <is>
          <t>(heure de l'occurred_at)</t>
        </is>
      </c>
      <c r="E31" s="108" t="inlineStr"/>
      <c r="F31" s="108" t="inlineStr">
        <is>
          <t>Liste d'heures</t>
        </is>
      </c>
    </row>
    <row r="32">
      <c r="A32" s="107" t="inlineStr">
        <is>
          <t>Visites_Contacts</t>
        </is>
      </c>
      <c r="B32" s="108" t="inlineStr">
        <is>
          <t>Type de contact</t>
        </is>
      </c>
      <c r="C32" s="108" t="inlineStr">
        <is>
          <t>Saisie</t>
        </is>
      </c>
      <c r="D32" s="109" t="inlineStr">
        <is>
          <t>visite sur place : crm.visits ; autre : crm.interactions.channel</t>
        </is>
      </c>
      <c r="E32" s="108" t="inlineStr">
        <is>
          <t>Oui</t>
        </is>
      </c>
      <c r="F32" s="108" t="inlineStr">
        <is>
          <t>Sur place, appel…</t>
        </is>
      </c>
    </row>
    <row r="33">
      <c r="A33" s="107" t="inlineStr">
        <is>
          <t>Visites_Contacts</t>
        </is>
      </c>
      <c r="B33" s="108" t="inlineStr">
        <is>
          <t>Client / prospect</t>
        </is>
      </c>
      <c r="C33" s="108" t="inlineStr">
        <is>
          <t>Saisie</t>
        </is>
      </c>
      <c r="D33" s="109" t="inlineStr">
        <is>
          <t>crm.visits.customer_id</t>
        </is>
      </c>
      <c r="E33" s="108" t="inlineStr">
        <is>
          <t>Oui</t>
        </is>
      </c>
      <c r="F33" s="108" t="inlineStr">
        <is>
          <t>Tapez les premières lettres ou ouvrez la liste</t>
        </is>
      </c>
    </row>
    <row r="34">
      <c r="A34" s="107" t="inlineStr">
        <is>
          <t>Visites_Contacts</t>
        </is>
      </c>
      <c r="B34" s="108" t="inlineStr">
        <is>
          <t>Objet du contact</t>
        </is>
      </c>
      <c r="C34" s="108" t="inlineStr">
        <is>
          <t>Saisie</t>
        </is>
      </c>
      <c r="D34" s="109" t="inlineStr">
        <is>
          <t>crm.visits.notes (objet)</t>
        </is>
      </c>
      <c r="E34" s="108" t="inlineStr">
        <is>
          <t>Oui</t>
        </is>
      </c>
      <c r="F34" s="108" t="inlineStr">
        <is>
          <t>Liste</t>
        </is>
      </c>
    </row>
    <row r="35">
      <c r="A35" s="107" t="inlineStr">
        <is>
          <t>Visites_Contacts</t>
        </is>
      </c>
      <c r="B35" s="108" t="inlineStr">
        <is>
          <t>Résultat</t>
        </is>
      </c>
      <c r="C35" s="108" t="inlineStr">
        <is>
          <t>Saisie</t>
        </is>
      </c>
      <c r="D35" s="109" t="inlineStr">
        <is>
          <t>crm.visits.outcome_reason_code_id (VISIT_OUTCOME)</t>
        </is>
      </c>
      <c r="E35" s="108" t="inlineStr">
        <is>
          <t>Oui</t>
        </is>
      </c>
      <c r="F35" s="108" t="inlineStr">
        <is>
          <t>Liste</t>
        </is>
      </c>
    </row>
    <row r="36">
      <c r="A36" s="107" t="inlineStr">
        <is>
          <t>Visites_Contacts</t>
        </is>
      </c>
      <c r="B36" s="108" t="inlineStr">
        <is>
          <t>Fournisseur actuel / concurrent</t>
        </is>
      </c>
      <c r="C36" s="108" t="inlineStr">
        <is>
          <t>Saisie</t>
        </is>
      </c>
      <c r="D36" s="109" t="inlineStr">
        <is>
          <t>(veille concurrentielle)</t>
        </is>
      </c>
      <c r="E36" s="108" t="inlineStr"/>
      <c r="F36" s="108" t="inlineStr">
        <is>
          <t>Veille marché</t>
        </is>
      </c>
    </row>
    <row r="37">
      <c r="A37" s="107" t="inlineStr">
        <is>
          <t>Visites_Contacts</t>
        </is>
      </c>
      <c r="B37" s="108" t="inlineStr">
        <is>
          <t>Prix concurrent constaté (XAF)</t>
        </is>
      </c>
      <c r="C37" s="108" t="inlineStr">
        <is>
          <t>Saisie</t>
        </is>
      </c>
      <c r="D37" s="109" t="inlineStr">
        <is>
          <t>(veille concurrentielle)</t>
        </is>
      </c>
      <c r="E37" s="108" t="inlineStr"/>
      <c r="F37" s="108" t="inlineStr">
        <is>
          <t>Veille marché</t>
        </is>
      </c>
    </row>
    <row r="38">
      <c r="A38" s="107" t="inlineStr">
        <is>
          <t>Visites_Contacts</t>
        </is>
      </c>
      <c r="B38" s="108" t="inlineStr">
        <is>
          <t>Prochaine action : date</t>
        </is>
      </c>
      <c r="C38" s="108" t="inlineStr">
        <is>
          <t>Saisie</t>
        </is>
      </c>
      <c r="D38" s="109" t="inlineStr">
        <is>
          <t>crm.visits.next_action_at</t>
        </is>
      </c>
      <c r="E38" s="108" t="inlineStr"/>
      <c r="F38" s="108" t="inlineStr">
        <is>
          <t>Remplace l'action précédente du client</t>
        </is>
      </c>
    </row>
    <row r="39">
      <c r="A39" s="107" t="inlineStr">
        <is>
          <t>Visites_Contacts</t>
        </is>
      </c>
      <c r="B39" s="108" t="inlineStr">
        <is>
          <t>Prochaine action : à faire</t>
        </is>
      </c>
      <c r="C39" s="108" t="inlineStr">
        <is>
          <t>Saisie</t>
        </is>
      </c>
      <c r="D39" s="109" t="inlineStr">
        <is>
          <t>crm.visits.next_action_note</t>
        </is>
      </c>
      <c r="E39" s="108" t="inlineStr"/>
      <c r="F39" s="108" t="inlineStr">
        <is>
          <t>Ex. rappeler jeudi</t>
        </is>
      </c>
    </row>
    <row r="40">
      <c r="A40" s="107" t="inlineStr">
        <is>
          <t>Visites_Contacts</t>
        </is>
      </c>
      <c r="B40" s="108" t="inlineStr">
        <is>
          <t>Latitude</t>
        </is>
      </c>
      <c r="C40" s="108" t="inlineStr">
        <is>
          <t>Saisie</t>
        </is>
      </c>
      <c r="D40" s="109" t="inlineStr">
        <is>
          <t>crm.visits.lat</t>
        </is>
      </c>
      <c r="E40" s="108" t="inlineStr"/>
      <c r="F40" s="108" t="inlineStr">
        <is>
          <t>Facultatif</t>
        </is>
      </c>
    </row>
    <row r="41">
      <c r="A41" s="107" t="inlineStr">
        <is>
          <t>Visites_Contacts</t>
        </is>
      </c>
      <c r="B41" s="108" t="inlineStr">
        <is>
          <t>Longitude</t>
        </is>
      </c>
      <c r="C41" s="108" t="inlineStr">
        <is>
          <t>Saisie</t>
        </is>
      </c>
      <c r="D41" s="109" t="inlineStr">
        <is>
          <t>crm.visits.lng</t>
        </is>
      </c>
      <c r="E41" s="108" t="inlineStr"/>
      <c r="F41" s="108" t="inlineStr">
        <is>
          <t>Facultatif</t>
        </is>
      </c>
    </row>
    <row r="42">
      <c r="A42" s="107" t="inlineStr">
        <is>
          <t>Visites_Contacts</t>
        </is>
      </c>
      <c r="B42" s="108" t="inlineStr">
        <is>
          <t>Notes</t>
        </is>
      </c>
      <c r="C42" s="108" t="inlineStr">
        <is>
          <t>Saisie</t>
        </is>
      </c>
      <c r="D42" s="109" t="inlineStr">
        <is>
          <t>crm.visits.notes</t>
        </is>
      </c>
      <c r="E42" s="108" t="inlineStr"/>
      <c r="F42" s="108" t="inlineStr">
        <is>
          <t>Libre</t>
        </is>
      </c>
    </row>
    <row r="43">
      <c r="A43" s="107" t="inlineStr">
        <is>
          <t>Visites_Contacts</t>
        </is>
      </c>
      <c r="B43" s="108" t="inlineStr">
        <is>
          <t>Commercial</t>
        </is>
      </c>
      <c r="C43" s="108" t="inlineStr">
        <is>
          <t>Calculé</t>
        </is>
      </c>
      <c r="D43" s="109" t="inlineStr">
        <is>
          <t>identity.users (auteur / titulaire)</t>
        </is>
      </c>
      <c r="E43" s="108" t="inlineStr"/>
      <c r="F43" s="108" t="inlineStr">
        <is>
          <t>Rempli seul (Paramètres) ; remplaçable</t>
        </is>
      </c>
    </row>
    <row r="44">
      <c r="A44" s="107" t="inlineStr">
        <is>
          <t>Visites_Contacts</t>
        </is>
      </c>
      <c r="B44" s="108" t="inlineStr">
        <is>
          <t>N° client</t>
        </is>
      </c>
      <c r="C44" s="108" t="inlineStr">
        <is>
          <t>Calculé</t>
        </is>
      </c>
      <c r="D44" s="109" t="inlineStr">
        <is>
          <t>—</t>
        </is>
      </c>
      <c r="E44" s="108" t="inlineStr"/>
      <c r="F44" s="108" t="inlineStr">
        <is>
          <t>Calculé</t>
        </is>
      </c>
    </row>
    <row r="45">
      <c r="A45" s="107" t="inlineStr">
        <is>
          <t>Visites_Contacts</t>
        </is>
      </c>
      <c r="B45" s="108" t="inlineStr">
        <is>
          <t>Clé client</t>
        </is>
      </c>
      <c r="C45" s="108" t="inlineStr">
        <is>
          <t>Technique</t>
        </is>
      </c>
      <c r="D45" s="109" t="inlineStr">
        <is>
          <t>—</t>
        </is>
      </c>
      <c r="E45" s="108" t="inlineStr"/>
      <c r="F45" s="108" t="inlineStr">
        <is>
          <t>Technique</t>
        </is>
      </c>
    </row>
    <row r="46">
      <c r="A46" s="107" t="inlineStr">
        <is>
          <t>Visites_Contacts</t>
        </is>
      </c>
      <c r="B46" s="108" t="inlineStr">
        <is>
          <t>Code client</t>
        </is>
      </c>
      <c r="C46" s="108" t="inlineStr">
        <is>
          <t>Calculé</t>
        </is>
      </c>
      <c r="D46" s="109" t="inlineStr">
        <is>
          <t>crm.customers (identifiant de rapprochement)</t>
        </is>
      </c>
      <c r="E46" s="108" t="inlineStr"/>
      <c r="F46" s="108" t="inlineStr">
        <is>
          <t>Calculé</t>
        </is>
      </c>
    </row>
    <row r="47">
      <c r="A47" s="107" t="inlineStr">
        <is>
          <t>Visites_Contacts</t>
        </is>
      </c>
      <c r="B47" s="108" t="inlineStr">
        <is>
          <t>Nom du client</t>
        </is>
      </c>
      <c r="C47" s="108" t="inlineStr">
        <is>
          <t>Calculé</t>
        </is>
      </c>
      <c r="D47" s="109" t="inlineStr">
        <is>
          <t>—</t>
        </is>
      </c>
      <c r="E47" s="108" t="inlineStr"/>
      <c r="F47" s="108" t="inlineStr">
        <is>
          <t>Calculé</t>
        </is>
      </c>
    </row>
    <row r="48">
      <c r="A48" s="107" t="inlineStr">
        <is>
          <t>Visites_Contacts</t>
        </is>
      </c>
      <c r="B48" s="108" t="inlineStr">
        <is>
          <t>Quartier</t>
        </is>
      </c>
      <c r="C48" s="108" t="inlineStr">
        <is>
          <t>Calculé</t>
        </is>
      </c>
      <c r="D48" s="109" t="inlineStr">
        <is>
          <t>—</t>
        </is>
      </c>
      <c r="E48" s="108" t="inlineStr"/>
      <c r="F48" s="108" t="inlineStr">
        <is>
          <t>Calculé</t>
        </is>
      </c>
    </row>
    <row r="49">
      <c r="A49" s="107" t="inlineStr">
        <is>
          <t>Visites_Contacts</t>
        </is>
      </c>
      <c r="B49" s="108" t="inlineStr">
        <is>
          <t>Semaine</t>
        </is>
      </c>
      <c r="C49" s="108" t="inlineStr">
        <is>
          <t>Calculé</t>
        </is>
      </c>
      <c r="D49" s="109" t="inlineStr">
        <is>
          <t>—</t>
        </is>
      </c>
      <c r="E49" s="108" t="inlineStr"/>
      <c r="F49" s="108" t="inlineStr">
        <is>
          <t>Calculé (ISO)</t>
        </is>
      </c>
    </row>
    <row r="50">
      <c r="A50" s="107" t="inlineStr">
        <is>
          <t>Commandes</t>
        </is>
      </c>
      <c r="B50" s="108" t="inlineStr">
        <is>
          <t>N°</t>
        </is>
      </c>
      <c r="C50" s="108" t="inlineStr">
        <is>
          <t>Numéro</t>
        </is>
      </c>
      <c r="D50" s="109" t="inlineStr">
        <is>
          <t>—</t>
        </is>
      </c>
      <c r="E50" s="108" t="inlineStr"/>
      <c r="F50" s="108" t="inlineStr"/>
    </row>
    <row r="51">
      <c r="A51" s="107" t="inlineStr">
        <is>
          <t>Commandes</t>
        </is>
      </c>
      <c r="B51" s="108" t="inlineStr">
        <is>
          <t>Réf. de la ligne</t>
        </is>
      </c>
      <c r="C51" s="108" t="inlineStr">
        <is>
          <t>Calculé</t>
        </is>
      </c>
      <c r="D51" s="109" t="inlineStr">
        <is>
          <t>(clé d'import : évite les doublons)</t>
        </is>
      </c>
      <c r="E51" s="108" t="inlineStr"/>
      <c r="F51" s="108" t="inlineStr">
        <is>
          <t>Calculé</t>
        </is>
      </c>
    </row>
    <row r="52">
      <c r="A52" s="107" t="inlineStr">
        <is>
          <t>Commandes</t>
        </is>
      </c>
      <c r="B52" s="108" t="inlineStr">
        <is>
          <t>Date de la commande</t>
        </is>
      </c>
      <c r="C52" s="108" t="inlineStr">
        <is>
          <t>Saisie</t>
        </is>
      </c>
      <c r="D52" s="109" t="inlineStr">
        <is>
          <t>sales.sales_orders.occurred_at / sales.sales.occurred_at</t>
        </is>
      </c>
      <c r="E52" s="108" t="inlineStr">
        <is>
          <t>Oui</t>
        </is>
      </c>
      <c r="F52" s="108" t="inlineStr">
        <is>
          <t>Liste de dates (aujourd'hui en tête)</t>
        </is>
      </c>
    </row>
    <row r="53">
      <c r="A53" s="107" t="inlineStr">
        <is>
          <t>Commandes</t>
        </is>
      </c>
      <c r="B53" s="108" t="inlineStr">
        <is>
          <t>Client</t>
        </is>
      </c>
      <c r="C53" s="108" t="inlineStr">
        <is>
          <t>Saisie</t>
        </is>
      </c>
      <c r="D53" s="109" t="inlineStr">
        <is>
          <t>customer_id</t>
        </is>
      </c>
      <c r="E53" s="108" t="inlineStr">
        <is>
          <t>Oui</t>
        </is>
      </c>
      <c r="F53" s="108" t="inlineStr">
        <is>
          <t>Tapez les premières lettres ou ouvrez la liste</t>
        </is>
      </c>
    </row>
    <row r="54">
      <c r="A54" s="107" t="inlineStr">
        <is>
          <t>Commandes</t>
        </is>
      </c>
      <c r="B54" s="108" t="inlineStr">
        <is>
          <t>Type</t>
        </is>
      </c>
      <c r="C54" s="108" t="inlineStr">
        <is>
          <t>Saisie</t>
        </is>
      </c>
      <c r="D54" s="109" t="inlineStr">
        <is>
          <t>commande (sales_orders) ou vente directe (sales)</t>
        </is>
      </c>
      <c r="E54" s="108" t="inlineStr">
        <is>
          <t>Oui</t>
        </is>
      </c>
      <c r="F54" s="108" t="inlineStr">
        <is>
          <t>Précommande, commande, vente directe</t>
        </is>
      </c>
    </row>
    <row r="55">
      <c r="A55" s="107" t="inlineStr">
        <is>
          <t>Commandes</t>
        </is>
      </c>
      <c r="B55" s="108" t="inlineStr">
        <is>
          <t>Produit</t>
        </is>
      </c>
      <c r="C55" s="108" t="inlineStr">
        <is>
          <t>Saisie</t>
        </is>
      </c>
      <c r="D55" s="109" t="inlineStr">
        <is>
          <t>…_lines.product_id</t>
        </is>
      </c>
      <c r="E55" s="108" t="inlineStr">
        <is>
          <t>Oui</t>
        </is>
      </c>
      <c r="F55" s="108" t="inlineStr">
        <is>
          <t>Liste</t>
        </is>
      </c>
    </row>
    <row r="56">
      <c r="A56" s="107" t="inlineStr">
        <is>
          <t>Commandes</t>
        </is>
      </c>
      <c r="B56" s="108" t="inlineStr">
        <is>
          <t>Quantité</t>
        </is>
      </c>
      <c r="C56" s="108" t="inlineStr">
        <is>
          <t>Saisie</t>
        </is>
      </c>
      <c r="D56" s="109" t="inlineStr">
        <is>
          <t>…_lines.quantity</t>
        </is>
      </c>
      <c r="E56" s="108" t="inlineStr">
        <is>
          <t>Oui</t>
        </is>
      </c>
      <c r="F56" s="108" t="inlineStr">
        <is>
          <t>Liste (ou autre nombre)</t>
        </is>
      </c>
    </row>
    <row r="57">
      <c r="A57" s="107" t="inlineStr">
        <is>
          <t>Commandes</t>
        </is>
      </c>
      <c r="B57" s="108" t="inlineStr">
        <is>
          <t>Prix convenu (XAF) si différent du prix de référence</t>
        </is>
      </c>
      <c r="C57" s="108" t="inlineStr">
        <is>
          <t>Saisie</t>
        </is>
      </c>
      <c r="D57" s="109" t="inlineStr">
        <is>
          <t>…_lines.unit_price_xaf</t>
        </is>
      </c>
      <c r="E57" s="108" t="inlineStr">
        <is>
          <t>Oui</t>
        </is>
      </c>
      <c r="F57" s="108" t="inlineStr">
        <is>
          <t>Laisser vide = prix de référence</t>
        </is>
      </c>
    </row>
    <row r="58">
      <c r="A58" s="107" t="inlineStr">
        <is>
          <t>Commandes</t>
        </is>
      </c>
      <c r="B58" s="108" t="inlineStr">
        <is>
          <t>Remise (XAF)</t>
        </is>
      </c>
      <c r="C58" s="108" t="inlineStr">
        <is>
          <t>Saisie</t>
        </is>
      </c>
      <c r="D58" s="109" t="inlineStr">
        <is>
          <t>…_lines.discount_xaf</t>
        </is>
      </c>
      <c r="E58" s="108" t="inlineStr"/>
      <c r="F58" s="108" t="inlineStr">
        <is>
          <t>Sur la ligne</t>
        </is>
      </c>
    </row>
    <row r="59">
      <c r="A59" s="107" t="inlineStr">
        <is>
          <t>Commandes</t>
        </is>
      </c>
      <c r="B59" s="108" t="inlineStr">
        <is>
          <t>Livraison prévue</t>
        </is>
      </c>
      <c r="C59" s="108" t="inlineStr">
        <is>
          <t>Saisie</t>
        </is>
      </c>
      <c r="D59" s="109" t="inlineStr">
        <is>
          <t>sales.sales_orders.requested_delivery_date</t>
        </is>
      </c>
      <c r="E59" s="108" t="inlineStr"/>
      <c r="F59" s="108" t="inlineStr">
        <is>
          <t>Liste de dates</t>
        </is>
      </c>
    </row>
    <row r="60">
      <c r="A60" s="107" t="inlineStr">
        <is>
          <t>Commandes</t>
        </is>
      </c>
      <c r="B60" s="108" t="inlineStr">
        <is>
          <t>Livraison réelle</t>
        </is>
      </c>
      <c r="C60" s="108" t="inlineStr">
        <is>
          <t>Saisie</t>
        </is>
      </c>
      <c r="D60" s="109" t="inlineStr">
        <is>
          <t>sales.delivery_notes.occurred_at</t>
        </is>
      </c>
      <c r="E60" s="108" t="inlineStr"/>
      <c r="F60" s="108" t="inlineStr">
        <is>
          <t>Liste de dates</t>
        </is>
      </c>
    </row>
    <row r="61">
      <c r="A61" s="107" t="inlineStr">
        <is>
          <t>Commandes</t>
        </is>
      </c>
      <c r="B61" s="108" t="inlineStr">
        <is>
          <t>Annulée ?</t>
        </is>
      </c>
      <c r="C61" s="108" t="inlineStr">
        <is>
          <t>Saisie</t>
        </is>
      </c>
      <c r="D61" s="109" t="inlineStr">
        <is>
          <t>status = CANCELLED</t>
        </is>
      </c>
      <c r="E61" s="108" t="inlineStr"/>
      <c r="F61" s="108" t="inlineStr">
        <is>
          <t>Liste</t>
        </is>
      </c>
    </row>
    <row r="62">
      <c r="A62" s="107" t="inlineStr">
        <is>
          <t>Commandes</t>
        </is>
      </c>
      <c r="B62" s="108" t="inlineStr">
        <is>
          <t>Paiement prévu</t>
        </is>
      </c>
      <c r="C62" s="108" t="inlineStr">
        <is>
          <t>Saisie</t>
        </is>
      </c>
      <c r="D62" s="109" t="inlineStr">
        <is>
          <t>—</t>
        </is>
      </c>
      <c r="E62" s="108" t="inlineStr"/>
      <c r="F62" s="108" t="inlineStr">
        <is>
          <t>Liste</t>
        </is>
      </c>
    </row>
    <row r="63">
      <c r="A63" s="107" t="inlineStr">
        <is>
          <t>Commandes</t>
        </is>
      </c>
      <c r="B63" s="108" t="inlineStr">
        <is>
          <t>Réf. du bon ou de la facture papier</t>
        </is>
      </c>
      <c r="C63" s="108" t="inlineStr">
        <is>
          <t>Saisie</t>
        </is>
      </c>
      <c r="D63" s="109" t="inlineStr">
        <is>
          <t>—</t>
        </is>
      </c>
      <c r="E63" s="108" t="inlineStr"/>
      <c r="F63" s="108" t="inlineStr">
        <is>
          <t>Facultatif</t>
        </is>
      </c>
    </row>
    <row r="64">
      <c r="A64" s="107" t="inlineStr">
        <is>
          <t>Commandes</t>
        </is>
      </c>
      <c r="B64" s="108" t="inlineStr">
        <is>
          <t>Observations</t>
        </is>
      </c>
      <c r="C64" s="108" t="inlineStr">
        <is>
          <t>Saisie</t>
        </is>
      </c>
      <c r="D64" s="109" t="inlineStr">
        <is>
          <t>—</t>
        </is>
      </c>
      <c r="E64" s="108" t="inlineStr"/>
      <c r="F64" s="108" t="inlineStr">
        <is>
          <t>Libre</t>
        </is>
      </c>
    </row>
    <row r="65">
      <c r="A65" s="107" t="inlineStr">
        <is>
          <t>Commandes</t>
        </is>
      </c>
      <c r="B65" s="108" t="inlineStr">
        <is>
          <t>Commercial</t>
        </is>
      </c>
      <c r="C65" s="108" t="inlineStr">
        <is>
          <t>Calculé</t>
        </is>
      </c>
      <c r="D65" s="109" t="inlineStr">
        <is>
          <t>identity.users (auteur / titulaire)</t>
        </is>
      </c>
      <c r="E65" s="108" t="inlineStr"/>
      <c r="F65" s="108" t="inlineStr">
        <is>
          <t>Rempli seul (Paramètres) ; remplaçable</t>
        </is>
      </c>
    </row>
    <row r="66">
      <c r="A66" s="107" t="inlineStr">
        <is>
          <t>Commandes</t>
        </is>
      </c>
      <c r="B66" s="108" t="inlineStr">
        <is>
          <t>N° de commande (automatique)</t>
        </is>
      </c>
      <c r="C66" s="108" t="inlineStr">
        <is>
          <t>Calculé</t>
        </is>
      </c>
      <c r="D66" s="109" t="inlineStr">
        <is>
          <t>(regroupe les lignes d'une même commande)</t>
        </is>
      </c>
      <c r="E66" s="108" t="inlineStr"/>
      <c r="F66" s="108" t="inlineStr">
        <is>
          <t>Mêmes client + date + type = même commande</t>
        </is>
      </c>
    </row>
    <row r="67">
      <c r="A67" s="107" t="inlineStr">
        <is>
          <t>Commandes</t>
        </is>
      </c>
      <c r="B67" s="108" t="inlineStr">
        <is>
          <t>Statut (automatique)</t>
        </is>
      </c>
      <c r="C67" s="108" t="inlineStr">
        <is>
          <t>Calculé</t>
        </is>
      </c>
      <c r="D67" s="109" t="inlineStr">
        <is>
          <t>status</t>
        </is>
      </c>
      <c r="E67" s="108" t="inlineStr"/>
      <c r="F67" s="108" t="inlineStr">
        <is>
          <t>Calculé d'après les dates</t>
        </is>
      </c>
    </row>
    <row r="68">
      <c r="A68" s="107" t="inlineStr">
        <is>
          <t>Commandes</t>
        </is>
      </c>
      <c r="B68" s="108" t="inlineStr">
        <is>
          <t>Unité</t>
        </is>
      </c>
      <c r="C68" s="108" t="inlineStr">
        <is>
          <t>Calculé</t>
        </is>
      </c>
      <c r="D68" s="109" t="inlineStr">
        <is>
          <t>—</t>
        </is>
      </c>
      <c r="E68" s="108" t="inlineStr"/>
      <c r="F68" s="108" t="inlineStr">
        <is>
          <t>Selon le produit</t>
        </is>
      </c>
    </row>
    <row r="69">
      <c r="A69" s="107" t="inlineStr">
        <is>
          <t>Commandes</t>
        </is>
      </c>
      <c r="B69" s="108" t="inlineStr">
        <is>
          <t>Prix de référence (XAF)</t>
        </is>
      </c>
      <c r="C69" s="108" t="inlineStr">
        <is>
          <t>Calculé</t>
        </is>
      </c>
      <c r="D69" s="109" t="inlineStr">
        <is>
          <t>—</t>
        </is>
      </c>
      <c r="E69" s="108" t="inlineStr"/>
      <c r="F69" s="108" t="inlineStr">
        <is>
          <t>Vient de la feuille Listes</t>
        </is>
      </c>
    </row>
    <row r="70">
      <c r="A70" s="107" t="inlineStr">
        <is>
          <t>Commandes</t>
        </is>
      </c>
      <c r="B70" s="108" t="inlineStr">
        <is>
          <t>Prix appliqué (XAF)</t>
        </is>
      </c>
      <c r="C70" s="108" t="inlineStr">
        <is>
          <t>Calculé</t>
        </is>
      </c>
      <c r="D70" s="109" t="inlineStr">
        <is>
          <t>—</t>
        </is>
      </c>
      <c r="E70" s="108" t="inlineStr"/>
      <c r="F70" s="108" t="inlineStr">
        <is>
          <t>Prix convenu, sinon référence</t>
        </is>
      </c>
    </row>
    <row r="71">
      <c r="A71" s="107" t="inlineStr">
        <is>
          <t>Commandes</t>
        </is>
      </c>
      <c r="B71" s="108" t="inlineStr">
        <is>
          <t>Montant de la ligne (XAF)</t>
        </is>
      </c>
      <c r="C71" s="108" t="inlineStr">
        <is>
          <t>Calculé</t>
        </is>
      </c>
      <c r="D71" s="109" t="inlineStr">
        <is>
          <t>—</t>
        </is>
      </c>
      <c r="E71" s="108" t="inlineStr"/>
      <c r="F71" s="108" t="inlineStr">
        <is>
          <t>Quantité × prix − remise</t>
        </is>
      </c>
    </row>
    <row r="72">
      <c r="A72" s="107" t="inlineStr">
        <is>
          <t>Commandes</t>
        </is>
      </c>
      <c r="B72" s="108" t="inlineStr">
        <is>
          <t>N° client</t>
        </is>
      </c>
      <c r="C72" s="108" t="inlineStr">
        <is>
          <t>Calculé</t>
        </is>
      </c>
      <c r="D72" s="109" t="inlineStr">
        <is>
          <t>—</t>
        </is>
      </c>
      <c r="E72" s="108" t="inlineStr"/>
      <c r="F72" s="108" t="inlineStr">
        <is>
          <t>Calculé</t>
        </is>
      </c>
    </row>
    <row r="73">
      <c r="A73" s="107" t="inlineStr">
        <is>
          <t>Commandes</t>
        </is>
      </c>
      <c r="B73" s="108" t="inlineStr">
        <is>
          <t>Clé client</t>
        </is>
      </c>
      <c r="C73" s="108" t="inlineStr">
        <is>
          <t>Technique</t>
        </is>
      </c>
      <c r="D73" s="109" t="inlineStr">
        <is>
          <t>—</t>
        </is>
      </c>
      <c r="E73" s="108" t="inlineStr"/>
      <c r="F73" s="108" t="inlineStr">
        <is>
          <t>Technique</t>
        </is>
      </c>
    </row>
    <row r="74">
      <c r="A74" s="107" t="inlineStr">
        <is>
          <t>Commandes</t>
        </is>
      </c>
      <c r="B74" s="108" t="inlineStr">
        <is>
          <t>Code client</t>
        </is>
      </c>
      <c r="C74" s="108" t="inlineStr">
        <is>
          <t>Calculé</t>
        </is>
      </c>
      <c r="D74" s="109" t="inlineStr">
        <is>
          <t>crm.customers (identifiant de rapprochement)</t>
        </is>
      </c>
      <c r="E74" s="108" t="inlineStr"/>
      <c r="F74" s="108" t="inlineStr">
        <is>
          <t>Calculé</t>
        </is>
      </c>
    </row>
    <row r="75">
      <c r="A75" s="107" t="inlineStr">
        <is>
          <t>Commandes</t>
        </is>
      </c>
      <c r="B75" s="108" t="inlineStr">
        <is>
          <t>Nom du client</t>
        </is>
      </c>
      <c r="C75" s="108" t="inlineStr">
        <is>
          <t>Calculé</t>
        </is>
      </c>
      <c r="D75" s="109" t="inlineStr">
        <is>
          <t>—</t>
        </is>
      </c>
      <c r="E75" s="108" t="inlineStr"/>
      <c r="F75" s="108" t="inlineStr">
        <is>
          <t>Calculé</t>
        </is>
      </c>
    </row>
    <row r="76">
      <c r="A76" s="107" t="inlineStr">
        <is>
          <t>Commandes</t>
        </is>
      </c>
      <c r="B76" s="108" t="inlineStr">
        <is>
          <t>Quartier</t>
        </is>
      </c>
      <c r="C76" s="108" t="inlineStr">
        <is>
          <t>Calculé</t>
        </is>
      </c>
      <c r="D76" s="109" t="inlineStr">
        <is>
          <t>—</t>
        </is>
      </c>
      <c r="E76" s="108" t="inlineStr"/>
      <c r="F76" s="108" t="inlineStr">
        <is>
          <t>Calculé</t>
        </is>
      </c>
    </row>
    <row r="77">
      <c r="A77" s="107" t="inlineStr">
        <is>
          <t>Commandes</t>
        </is>
      </c>
      <c r="B77" s="108" t="inlineStr">
        <is>
          <t>Date du CA</t>
        </is>
      </c>
      <c r="C77" s="108" t="inlineStr">
        <is>
          <t>Calculé</t>
        </is>
      </c>
      <c r="D77" s="109" t="inlineStr">
        <is>
          <t>—</t>
        </is>
      </c>
      <c r="E77" s="108" t="inlineStr"/>
      <c r="F77" s="108" t="inlineStr">
        <is>
          <t>Quand la vente est réalisée</t>
        </is>
      </c>
    </row>
    <row r="78">
      <c r="A78" s="107" t="inlineStr">
        <is>
          <t>Commandes</t>
        </is>
      </c>
      <c r="B78" s="108" t="inlineStr">
        <is>
          <t>Regroupement</t>
        </is>
      </c>
      <c r="C78" s="108" t="inlineStr">
        <is>
          <t>Technique</t>
        </is>
      </c>
      <c r="D78" s="109" t="inlineStr">
        <is>
          <t>—</t>
        </is>
      </c>
      <c r="E78" s="108" t="inlineStr"/>
      <c r="F78" s="108" t="inlineStr">
        <is>
          <t>Technique</t>
        </is>
      </c>
    </row>
    <row r="79">
      <c r="A79" s="107" t="inlineStr">
        <is>
          <t>Commandes</t>
        </is>
      </c>
      <c r="B79" s="108" t="inlineStr">
        <is>
          <t>1re ligne de la commande</t>
        </is>
      </c>
      <c r="C79" s="108" t="inlineStr">
        <is>
          <t>Technique</t>
        </is>
      </c>
      <c r="D79" s="109" t="inlineStr">
        <is>
          <t>—</t>
        </is>
      </c>
      <c r="E79" s="108" t="inlineStr"/>
      <c r="F79" s="108" t="inlineStr">
        <is>
          <t>Technique</t>
        </is>
      </c>
    </row>
    <row r="80">
      <c r="A80" s="107" t="inlineStr">
        <is>
          <t>Commandes</t>
        </is>
      </c>
      <c r="B80" s="108" t="inlineStr">
        <is>
          <t>1re ligne de la vente</t>
        </is>
      </c>
      <c r="C80" s="108" t="inlineStr">
        <is>
          <t>Technique</t>
        </is>
      </c>
      <c r="D80" s="109" t="inlineStr">
        <is>
          <t>—</t>
        </is>
      </c>
      <c r="E80" s="108" t="inlineStr"/>
      <c r="F80" s="108" t="inlineStr">
        <is>
          <t>Technique</t>
        </is>
      </c>
    </row>
    <row r="81">
      <c r="A81" s="107" t="inlineStr">
        <is>
          <t>Commandes</t>
        </is>
      </c>
      <c r="B81" s="108" t="inlineStr">
        <is>
          <t>Semaine</t>
        </is>
      </c>
      <c r="C81" s="108" t="inlineStr">
        <is>
          <t>Calculé</t>
        </is>
      </c>
      <c r="D81" s="109" t="inlineStr">
        <is>
          <t>—</t>
        </is>
      </c>
      <c r="E81" s="108" t="inlineStr"/>
      <c r="F81" s="108" t="inlineStr">
        <is>
          <t>Calculé (ISO)</t>
        </is>
      </c>
    </row>
    <row r="82">
      <c r="A82" s="107" t="inlineStr">
        <is>
          <t>Encaissements</t>
        </is>
      </c>
      <c r="B82" s="108" t="inlineStr">
        <is>
          <t>N°</t>
        </is>
      </c>
      <c r="C82" s="108" t="inlineStr">
        <is>
          <t>Numéro</t>
        </is>
      </c>
      <c r="D82" s="109" t="inlineStr">
        <is>
          <t>—</t>
        </is>
      </c>
      <c r="E82" s="108" t="inlineStr"/>
      <c r="F82" s="108" t="inlineStr"/>
    </row>
    <row r="83">
      <c r="A83" s="107" t="inlineStr">
        <is>
          <t>Encaissements</t>
        </is>
      </c>
      <c r="B83" s="108" t="inlineStr">
        <is>
          <t>Réf. de la ligne</t>
        </is>
      </c>
      <c r="C83" s="108" t="inlineStr">
        <is>
          <t>Calculé</t>
        </is>
      </c>
      <c r="D83" s="109" t="inlineStr">
        <is>
          <t>(clé d'import : évite les doublons)</t>
        </is>
      </c>
      <c r="E83" s="108" t="inlineStr"/>
      <c r="F83" s="108" t="inlineStr">
        <is>
          <t>Calculé</t>
        </is>
      </c>
    </row>
    <row r="84">
      <c r="A84" s="107" t="inlineStr">
        <is>
          <t>Encaissements</t>
        </is>
      </c>
      <c r="B84" s="108" t="inlineStr">
        <is>
          <t>Date</t>
        </is>
      </c>
      <c r="C84" s="108" t="inlineStr">
        <is>
          <t>Saisie</t>
        </is>
      </c>
      <c r="D84" s="109" t="inlineStr">
        <is>
          <t>sales.customer_payments.occurred_at</t>
        </is>
      </c>
      <c r="E84" s="108" t="inlineStr">
        <is>
          <t>Oui</t>
        </is>
      </c>
      <c r="F84" s="108" t="inlineStr">
        <is>
          <t>Liste de dates (aujourd'hui en tête)</t>
        </is>
      </c>
    </row>
    <row r="85">
      <c r="A85" s="107" t="inlineStr">
        <is>
          <t>Encaissements</t>
        </is>
      </c>
      <c r="B85" s="108" t="inlineStr">
        <is>
          <t>Client</t>
        </is>
      </c>
      <c r="C85" s="108" t="inlineStr">
        <is>
          <t>Saisie</t>
        </is>
      </c>
      <c r="D85" s="109" t="inlineStr">
        <is>
          <t>customer_id</t>
        </is>
      </c>
      <c r="E85" s="108" t="inlineStr">
        <is>
          <t>Oui</t>
        </is>
      </c>
      <c r="F85" s="108" t="inlineStr">
        <is>
          <t>Tapez les premières lettres ou ouvrez la liste</t>
        </is>
      </c>
    </row>
    <row r="86">
      <c r="A86" s="107" t="inlineStr">
        <is>
          <t>Encaissements</t>
        </is>
      </c>
      <c r="B86" s="108" t="inlineStr">
        <is>
          <t>Montant encaissé (XAF)</t>
        </is>
      </c>
      <c r="C86" s="108" t="inlineStr">
        <is>
          <t>Saisie</t>
        </is>
      </c>
      <c r="D86" s="109" t="inlineStr">
        <is>
          <t>amount_xaf</t>
        </is>
      </c>
      <c r="E86" s="108" t="inlineStr">
        <is>
          <t>Oui</t>
        </is>
      </c>
      <c r="F86" s="108" t="inlineStr">
        <is>
          <t>Entier</t>
        </is>
      </c>
    </row>
    <row r="87">
      <c r="A87" s="107" t="inlineStr">
        <is>
          <t>Encaissements</t>
        </is>
      </c>
      <c r="B87" s="108" t="inlineStr">
        <is>
          <t>Mode de paiement</t>
        </is>
      </c>
      <c r="C87" s="108" t="inlineStr">
        <is>
          <t>Saisie</t>
        </is>
      </c>
      <c r="D87" s="109" t="inlineStr">
        <is>
          <t>method_code</t>
        </is>
      </c>
      <c r="E87" s="108" t="inlineStr">
        <is>
          <t>Oui</t>
        </is>
      </c>
      <c r="F87" s="108" t="inlineStr">
        <is>
          <t>Liste</t>
        </is>
      </c>
    </row>
    <row r="88">
      <c r="A88" s="107" t="inlineStr">
        <is>
          <t>Encaissements</t>
        </is>
      </c>
      <c r="B88" s="108" t="inlineStr">
        <is>
          <t>Référence de la transaction</t>
        </is>
      </c>
      <c r="C88" s="108" t="inlineStr">
        <is>
          <t>Saisie</t>
        </is>
      </c>
      <c r="D88" s="109" t="inlineStr">
        <is>
          <t>reference</t>
        </is>
      </c>
      <c r="E88" s="108" t="inlineStr">
        <is>
          <t>Oui</t>
        </is>
      </c>
      <c r="F88" s="108" t="inlineStr">
        <is>
          <t>Obligatoire hors espèces</t>
        </is>
      </c>
    </row>
    <row r="89">
      <c r="A89" s="107" t="inlineStr">
        <is>
          <t>Encaissements</t>
        </is>
      </c>
      <c r="B89" s="108" t="inlineStr">
        <is>
          <t>Reçu remis au client ?</t>
        </is>
      </c>
      <c r="C89" s="108" t="inlineStr">
        <is>
          <t>Saisie</t>
        </is>
      </c>
      <c r="D89" s="109" t="inlineStr">
        <is>
          <t>—</t>
        </is>
      </c>
      <c r="E89" s="108" t="inlineStr"/>
      <c r="F89" s="108" t="inlineStr">
        <is>
          <t>Liste</t>
        </is>
      </c>
    </row>
    <row r="90">
      <c r="A90" s="107" t="inlineStr">
        <is>
          <t>Encaissements</t>
        </is>
      </c>
      <c r="B90" s="108" t="inlineStr">
        <is>
          <t>Date du versement à l'entreprise</t>
        </is>
      </c>
      <c r="C90" s="108" t="inlineStr">
        <is>
          <t>Saisie</t>
        </is>
      </c>
      <c r="D90" s="109" t="inlineStr">
        <is>
          <t>finance.cash_transfers (remise de fonds)</t>
        </is>
      </c>
      <c r="E90" s="108" t="inlineStr"/>
      <c r="F90" s="108" t="inlineStr">
        <is>
          <t>Vide tant que non versé</t>
        </is>
      </c>
    </row>
    <row r="91">
      <c r="A91" s="107" t="inlineStr">
        <is>
          <t>Encaissements</t>
        </is>
      </c>
      <c r="B91" s="108" t="inlineStr">
        <is>
          <t>Réf. du versement</t>
        </is>
      </c>
      <c r="C91" s="108" t="inlineStr">
        <is>
          <t>Saisie</t>
        </is>
      </c>
      <c r="D91" s="109" t="inlineStr">
        <is>
          <t>—</t>
        </is>
      </c>
      <c r="E91" s="108" t="inlineStr"/>
      <c r="F91" s="108" t="inlineStr">
        <is>
          <t>Bordereau, reçu…</t>
        </is>
      </c>
    </row>
    <row r="92">
      <c r="A92" s="107" t="inlineStr">
        <is>
          <t>Encaissements</t>
        </is>
      </c>
      <c r="B92" s="108" t="inlineStr">
        <is>
          <t>Observations</t>
        </is>
      </c>
      <c r="C92" s="108" t="inlineStr">
        <is>
          <t>Saisie</t>
        </is>
      </c>
      <c r="D92" s="109" t="inlineStr">
        <is>
          <t>—</t>
        </is>
      </c>
      <c r="E92" s="108" t="inlineStr"/>
      <c r="F92" s="108" t="inlineStr">
        <is>
          <t>Libre</t>
        </is>
      </c>
    </row>
    <row r="93">
      <c r="A93" s="107" t="inlineStr">
        <is>
          <t>Encaissements</t>
        </is>
      </c>
      <c r="B93" s="108" t="inlineStr">
        <is>
          <t>Commercial</t>
        </is>
      </c>
      <c r="C93" s="108" t="inlineStr">
        <is>
          <t>Calculé</t>
        </is>
      </c>
      <c r="D93" s="109" t="inlineStr">
        <is>
          <t>identity.users (auteur / titulaire)</t>
        </is>
      </c>
      <c r="E93" s="108" t="inlineStr"/>
      <c r="F93" s="108" t="inlineStr">
        <is>
          <t>Rempli seul (Paramètres) ; remplaçable</t>
        </is>
      </c>
    </row>
    <row r="94">
      <c r="A94" s="107" t="inlineStr">
        <is>
          <t>Encaissements</t>
        </is>
      </c>
      <c r="B94" s="108" t="inlineStr">
        <is>
          <t>Versé ? (automatique)</t>
        </is>
      </c>
      <c r="C94" s="108" t="inlineStr">
        <is>
          <t>Calculé</t>
        </is>
      </c>
      <c r="D94" s="109" t="inlineStr">
        <is>
          <t>—</t>
        </is>
      </c>
      <c r="E94" s="108" t="inlineStr"/>
      <c r="F94" s="108" t="inlineStr">
        <is>
          <t>Espèces : Oui dès qu'une date de versement est saisie</t>
        </is>
      </c>
    </row>
    <row r="95">
      <c r="A95" s="107" t="inlineStr">
        <is>
          <t>Encaissements</t>
        </is>
      </c>
      <c r="B95" s="108" t="inlineStr">
        <is>
          <t>N° client</t>
        </is>
      </c>
      <c r="C95" s="108" t="inlineStr">
        <is>
          <t>Calculé</t>
        </is>
      </c>
      <c r="D95" s="109" t="inlineStr">
        <is>
          <t>—</t>
        </is>
      </c>
      <c r="E95" s="108" t="inlineStr"/>
      <c r="F95" s="108" t="inlineStr">
        <is>
          <t>Calculé</t>
        </is>
      </c>
    </row>
    <row r="96">
      <c r="A96" s="107" t="inlineStr">
        <is>
          <t>Encaissements</t>
        </is>
      </c>
      <c r="B96" s="108" t="inlineStr">
        <is>
          <t>Clé client</t>
        </is>
      </c>
      <c r="C96" s="108" t="inlineStr">
        <is>
          <t>Technique</t>
        </is>
      </c>
      <c r="D96" s="109" t="inlineStr">
        <is>
          <t>—</t>
        </is>
      </c>
      <c r="E96" s="108" t="inlineStr"/>
      <c r="F96" s="108" t="inlineStr">
        <is>
          <t>Technique</t>
        </is>
      </c>
    </row>
    <row r="97">
      <c r="A97" s="107" t="inlineStr">
        <is>
          <t>Encaissements</t>
        </is>
      </c>
      <c r="B97" s="108" t="inlineStr">
        <is>
          <t>Code client</t>
        </is>
      </c>
      <c r="C97" s="108" t="inlineStr">
        <is>
          <t>Calculé</t>
        </is>
      </c>
      <c r="D97" s="109" t="inlineStr">
        <is>
          <t>crm.customers (identifiant de rapprochement)</t>
        </is>
      </c>
      <c r="E97" s="108" t="inlineStr"/>
      <c r="F97" s="108" t="inlineStr">
        <is>
          <t>Calculé</t>
        </is>
      </c>
    </row>
    <row r="98">
      <c r="A98" s="107" t="inlineStr">
        <is>
          <t>Encaissements</t>
        </is>
      </c>
      <c r="B98" s="108" t="inlineStr">
        <is>
          <t>Nom du client</t>
        </is>
      </c>
      <c r="C98" s="108" t="inlineStr">
        <is>
          <t>Calculé</t>
        </is>
      </c>
      <c r="D98" s="109" t="inlineStr">
        <is>
          <t>—</t>
        </is>
      </c>
      <c r="E98" s="108" t="inlineStr"/>
      <c r="F98" s="108" t="inlineStr">
        <is>
          <t>Calculé</t>
        </is>
      </c>
    </row>
    <row r="99">
      <c r="A99" s="107" t="inlineStr">
        <is>
          <t>Encaissements</t>
        </is>
      </c>
      <c r="B99" s="108" t="inlineStr">
        <is>
          <t>Reste dû par le client (XAF)</t>
        </is>
      </c>
      <c r="C99" s="108" t="inlineStr">
        <is>
          <t>Calculé</t>
        </is>
      </c>
      <c r="D99" s="109" t="inlineStr">
        <is>
          <t>—</t>
        </is>
      </c>
      <c r="E99" s="108" t="inlineStr"/>
      <c r="F99" s="108" t="inlineStr">
        <is>
          <t>Après tous ses paiements</t>
        </is>
      </c>
    </row>
    <row r="100">
      <c r="A100" s="107" t="inlineStr">
        <is>
          <t>Encaissements</t>
        </is>
      </c>
      <c r="B100" s="108" t="inlineStr">
        <is>
          <t>Semaine</t>
        </is>
      </c>
      <c r="C100" s="108" t="inlineStr">
        <is>
          <t>Calculé</t>
        </is>
      </c>
      <c r="D100" s="109" t="inlineStr">
        <is>
          <t>—</t>
        </is>
      </c>
      <c r="E100" s="108" t="inlineStr"/>
      <c r="F100" s="108" t="inlineStr">
        <is>
          <t>Calculé (ISO)</t>
        </is>
      </c>
    </row>
    <row r="101">
      <c r="A101" s="107" t="inlineStr">
        <is>
          <t>Clients</t>
        </is>
      </c>
      <c r="B101" s="108" t="inlineStr">
        <is>
          <t>N°</t>
        </is>
      </c>
      <c r="C101" s="108" t="inlineStr">
        <is>
          <t>Numéro</t>
        </is>
      </c>
      <c r="D101" s="109" t="inlineStr">
        <is>
          <t>—</t>
        </is>
      </c>
      <c r="E101" s="108" t="inlineStr"/>
      <c r="F101" s="108" t="inlineStr"/>
    </row>
    <row r="102">
      <c r="A102" s="107" t="inlineStr">
        <is>
          <t>Clients</t>
        </is>
      </c>
      <c r="B102" s="108" t="inlineStr">
        <is>
          <t>Code client</t>
        </is>
      </c>
      <c r="C102" s="108" t="inlineStr">
        <is>
          <t>Calculé</t>
        </is>
      </c>
      <c r="D102" s="109" t="inlineStr">
        <is>
          <t>crm.customers (identifiant de rapprochement)</t>
        </is>
      </c>
      <c r="E102" s="108" t="inlineStr"/>
      <c r="F102" s="108" t="inlineStr">
        <is>
          <t>Calculé</t>
        </is>
      </c>
    </row>
    <row r="103">
      <c r="A103" s="107" t="inlineStr">
        <is>
          <t>Clients</t>
        </is>
      </c>
      <c r="B103" s="108" t="inlineStr">
        <is>
          <t>Enseigne / nom du client</t>
        </is>
      </c>
      <c r="C103" s="108" t="inlineStr">
        <is>
          <t>Saisie</t>
        </is>
      </c>
      <c r="D103" s="109" t="inlineStr">
        <is>
          <t>crm.customers.display_name</t>
        </is>
      </c>
      <c r="E103" s="108" t="inlineStr">
        <is>
          <t>Oui</t>
        </is>
      </c>
      <c r="F103" s="108" t="inlineStr">
        <is>
          <t>Nom de l'établissement ou de la personne</t>
        </is>
      </c>
    </row>
    <row r="104">
      <c r="A104" s="107" t="inlineStr">
        <is>
          <t>Clients</t>
        </is>
      </c>
      <c r="B104" s="108" t="inlineStr">
        <is>
          <t>Statut (automatique)</t>
        </is>
      </c>
      <c r="C104" s="108" t="inlineStr">
        <is>
          <t>Calculé</t>
        </is>
      </c>
      <c r="D104" s="109" t="inlineStr">
        <is>
          <t>crm.customers.stage</t>
        </is>
      </c>
      <c r="E104" s="108" t="inlineStr"/>
      <c r="F104" s="108" t="inlineStr">
        <is>
          <t>Prospect → Client à la 1ère vente</t>
        </is>
      </c>
    </row>
    <row r="105">
      <c r="A105" s="107" t="inlineStr">
        <is>
          <t>Clients</t>
        </is>
      </c>
      <c r="B105" s="108" t="inlineStr">
        <is>
          <t>Type de client</t>
        </is>
      </c>
      <c r="C105" s="108" t="inlineStr">
        <is>
          <t>Saisie</t>
        </is>
      </c>
      <c r="D105" s="109" t="inlineStr">
        <is>
          <t>crm.customers.category_id (catalog.customer_categories)</t>
        </is>
      </c>
      <c r="E105" s="108" t="inlineStr">
        <is>
          <t>Oui</t>
        </is>
      </c>
      <c r="F105" s="108" t="inlineStr">
        <is>
          <t>Liste</t>
        </is>
      </c>
    </row>
    <row r="106">
      <c r="A106" s="107" t="inlineStr">
        <is>
          <t>Clients</t>
        </is>
      </c>
      <c r="B106" s="108" t="inlineStr">
        <is>
          <t>Interlocuteur (personne à contacter)</t>
        </is>
      </c>
      <c r="C106" s="108" t="inlineStr">
        <is>
          <t>Saisie</t>
        </is>
      </c>
      <c r="D106" s="109" t="inlineStr">
        <is>
          <t>crm.customers.contact_name</t>
        </is>
      </c>
      <c r="E106" s="108" t="inlineStr"/>
      <c r="F106" s="108" t="inlineStr">
        <is>
          <t>Nom du contact</t>
        </is>
      </c>
    </row>
    <row r="107">
      <c r="A107" s="107" t="inlineStr">
        <is>
          <t>Clients</t>
        </is>
      </c>
      <c r="B107" s="108" t="inlineStr">
        <is>
          <t>Téléphone principal</t>
        </is>
      </c>
      <c r="C107" s="108" t="inlineStr">
        <is>
          <t>Saisie</t>
        </is>
      </c>
      <c r="D107" s="109" t="inlineStr">
        <is>
          <t>crm.customers.phone_primary</t>
        </is>
      </c>
      <c r="E107" s="108" t="inlineStr"/>
      <c r="F107" s="108" t="inlineStr">
        <is>
          <t>9 chiffres ou +237…</t>
        </is>
      </c>
    </row>
    <row r="108">
      <c r="A108" s="107" t="inlineStr">
        <is>
          <t>Clients</t>
        </is>
      </c>
      <c r="B108" s="108" t="inlineStr">
        <is>
          <t>Téléphone 2 / WhatsApp</t>
        </is>
      </c>
      <c r="C108" s="108" t="inlineStr">
        <is>
          <t>Saisie</t>
        </is>
      </c>
      <c r="D108" s="109" t="inlineStr">
        <is>
          <t>crm.customers.phone_secondary</t>
        </is>
      </c>
      <c r="E108" s="108" t="inlineStr"/>
      <c r="F108" s="108" t="inlineStr">
        <is>
          <t>Facultatif</t>
        </is>
      </c>
    </row>
    <row r="109">
      <c r="A109" s="107" t="inlineStr">
        <is>
          <t>Clients</t>
        </is>
      </c>
      <c r="B109" s="108" t="inlineStr">
        <is>
          <t>Quartier / zone</t>
        </is>
      </c>
      <c r="C109" s="108" t="inlineStr">
        <is>
          <t>Saisie</t>
        </is>
      </c>
      <c r="D109" s="109" t="inlineStr">
        <is>
          <t>crm.customers.zone_id (organization.zones)</t>
        </is>
      </c>
      <c r="E109" s="108" t="inlineStr"/>
      <c r="F109" s="108" t="inlineStr">
        <is>
          <t>Liste (ou autre quartier)</t>
        </is>
      </c>
    </row>
    <row r="110">
      <c r="A110" s="107" t="inlineStr">
        <is>
          <t>Clients</t>
        </is>
      </c>
      <c r="B110" s="108" t="inlineStr">
        <is>
          <t>Localisation précise / point de repère</t>
        </is>
      </c>
      <c r="C110" s="108" t="inlineStr">
        <is>
          <t>Saisie</t>
        </is>
      </c>
      <c r="D110" s="109" t="inlineStr">
        <is>
          <t>crm.customers.address_text</t>
        </is>
      </c>
      <c r="E110" s="108" t="inlineStr"/>
      <c r="F110" s="108" t="inlineStr">
        <is>
          <t>Ex. face station, entrée marché…</t>
        </is>
      </c>
    </row>
    <row r="111">
      <c r="A111" s="107" t="inlineStr">
        <is>
          <t>Clients</t>
        </is>
      </c>
      <c r="B111" s="108" t="inlineStr">
        <is>
          <t>Latitude</t>
        </is>
      </c>
      <c r="C111" s="108" t="inlineStr">
        <is>
          <t>Saisie</t>
        </is>
      </c>
      <c r="D111" s="109" t="inlineStr">
        <is>
          <t>crm.customers.lat</t>
        </is>
      </c>
      <c r="E111" s="108" t="inlineStr"/>
      <c r="F111" s="108" t="inlineStr">
        <is>
          <t>Facultatif (Google Maps)</t>
        </is>
      </c>
    </row>
    <row r="112">
      <c r="A112" s="107" t="inlineStr">
        <is>
          <t>Clients</t>
        </is>
      </c>
      <c r="B112" s="108" t="inlineStr">
        <is>
          <t>Longitude</t>
        </is>
      </c>
      <c r="C112" s="108" t="inlineStr">
        <is>
          <t>Saisie</t>
        </is>
      </c>
      <c r="D112" s="109" t="inlineStr">
        <is>
          <t>crm.customers.lng</t>
        </is>
      </c>
      <c r="E112" s="108" t="inlineStr"/>
      <c r="F112" s="108" t="inlineStr">
        <is>
          <t>Facultatif (Google Maps)</t>
        </is>
      </c>
    </row>
    <row r="113">
      <c r="A113" s="107" t="inlineStr">
        <is>
          <t>Clients</t>
        </is>
      </c>
      <c r="B113" s="108" t="inlineStr">
        <is>
          <t>Source du prospect</t>
        </is>
      </c>
      <c r="C113" s="108" t="inlineStr">
        <is>
          <t>Saisie</t>
        </is>
      </c>
      <c r="D113" s="109" t="inlineStr">
        <is>
          <t>crm.customers.source_code (crm.lead_sources)</t>
        </is>
      </c>
      <c r="E113" s="108" t="inlineStr"/>
      <c r="F113" s="108" t="inlineStr">
        <is>
          <t>Liste</t>
        </is>
      </c>
    </row>
    <row r="114">
      <c r="A114" s="107" t="inlineStr">
        <is>
          <t>Clients</t>
        </is>
      </c>
      <c r="B114" s="108" t="inlineStr">
        <is>
          <t>Étape du pipeline</t>
        </is>
      </c>
      <c r="C114" s="108" t="inlineStr">
        <is>
          <t>Saisie</t>
        </is>
      </c>
      <c r="D114" s="109" t="inlineStr">
        <is>
          <t>crm.customers.pipeline_step_id (crm.pipeline_steps)</t>
        </is>
      </c>
      <c r="E114" s="108" t="inlineStr">
        <is>
          <t>Oui</t>
        </is>
      </c>
      <c r="F114" s="108" t="inlineStr">
        <is>
          <t>Liste (prospects)</t>
        </is>
      </c>
    </row>
    <row r="115">
      <c r="A115" s="107" t="inlineStr">
        <is>
          <t>Clients</t>
        </is>
      </c>
      <c r="B115" s="108" t="inlineStr">
        <is>
          <t>Date de création</t>
        </is>
      </c>
      <c r="C115" s="108" t="inlineStr">
        <is>
          <t>Saisie</t>
        </is>
      </c>
      <c r="D115" s="109" t="inlineStr">
        <is>
          <t>crm.customers.acquired_at</t>
        </is>
      </c>
      <c r="E115" s="108" t="inlineStr">
        <is>
          <t>Oui</t>
        </is>
      </c>
      <c r="F115" s="108" t="inlineStr">
        <is>
          <t>Liste de dates</t>
        </is>
      </c>
    </row>
    <row r="116">
      <c r="A116" s="107" t="inlineStr">
        <is>
          <t>Clients</t>
        </is>
      </c>
      <c r="B116" s="108" t="inlineStr">
        <is>
          <t>Produit principal d'intérêt</t>
        </is>
      </c>
      <c r="C116" s="108" t="inlineStr">
        <is>
          <t>Saisie</t>
        </is>
      </c>
      <c r="D116" s="109" t="inlineStr">
        <is>
          <t>(information commerciale, hors modèle client)</t>
        </is>
      </c>
      <c r="E116" s="108" t="inlineStr"/>
      <c r="F116" s="108" t="inlineStr">
        <is>
          <t>Liste</t>
        </is>
      </c>
    </row>
    <row r="117">
      <c r="A117" s="107" t="inlineStr">
        <is>
          <t>Clients</t>
        </is>
      </c>
      <c r="B117" s="108" t="inlineStr">
        <is>
          <t>Potentiel estimé par jour (quantité)</t>
        </is>
      </c>
      <c r="C117" s="108" t="inlineStr">
        <is>
          <t>Saisie</t>
        </is>
      </c>
      <c r="D117" s="109" t="inlineStr">
        <is>
          <t>(information commerciale, hors modèle client)</t>
        </is>
      </c>
      <c r="E117" s="108" t="inlineStr"/>
      <c r="F117" s="108" t="inlineStr">
        <is>
          <t>Commande prévisionnelle / jour</t>
        </is>
      </c>
    </row>
    <row r="118">
      <c r="A118" s="107" t="inlineStr">
        <is>
          <t>Clients</t>
        </is>
      </c>
      <c r="B118" s="108" t="inlineStr">
        <is>
          <t>Unité</t>
        </is>
      </c>
      <c r="C118" s="108" t="inlineStr">
        <is>
          <t>Calculé</t>
        </is>
      </c>
      <c r="D118" s="109" t="inlineStr">
        <is>
          <t>—</t>
        </is>
      </c>
      <c r="E118" s="108" t="inlineStr"/>
      <c r="F118" s="108" t="inlineStr">
        <is>
          <t>Selon le produit</t>
        </is>
      </c>
    </row>
    <row r="119">
      <c r="A119" s="107" t="inlineStr">
        <is>
          <t>Clients</t>
        </is>
      </c>
      <c r="B119" s="108" t="inlineStr">
        <is>
          <t>Mode de paiement habituel</t>
        </is>
      </c>
      <c r="C119" s="108" t="inlineStr">
        <is>
          <t>Saisie</t>
        </is>
      </c>
      <c r="D119" s="109" t="inlineStr">
        <is>
          <t>(information commerciale)</t>
        </is>
      </c>
      <c r="E119" s="108" t="inlineStr"/>
      <c r="F119" s="108" t="inlineStr">
        <is>
          <t>Liste</t>
        </is>
      </c>
    </row>
    <row r="120">
      <c r="A120" s="107" t="inlineStr">
        <is>
          <t>Clients</t>
        </is>
      </c>
      <c r="B120" s="108" t="inlineStr">
        <is>
          <t>Paiement différé demandé ?</t>
        </is>
      </c>
      <c r="C120" s="108" t="inlineStr">
        <is>
          <t>Saisie</t>
        </is>
      </c>
      <c r="D120" s="109" t="inlineStr">
        <is>
          <t>crm.customers.credit_allowed (décision du responsable)</t>
        </is>
      </c>
      <c r="E120" s="108" t="inlineStr"/>
      <c r="F120" s="108" t="inlineStr">
        <is>
          <t>Liste</t>
        </is>
      </c>
    </row>
    <row r="121">
      <c r="A121" s="107" t="inlineStr">
        <is>
          <t>Clients</t>
        </is>
      </c>
      <c r="B121" s="108" t="inlineStr">
        <is>
          <t>Compte perdu ?</t>
        </is>
      </c>
      <c r="C121" s="108" t="inlineStr">
        <is>
          <t>Saisie</t>
        </is>
      </c>
      <c r="D121" s="109" t="inlineStr">
        <is>
          <t>crm.customers.stage = LOST</t>
        </is>
      </c>
      <c r="E121" s="108" t="inlineStr"/>
      <c r="F121" s="108" t="inlineStr">
        <is>
          <t>Liste</t>
        </is>
      </c>
    </row>
    <row r="122">
      <c r="A122" s="107" t="inlineStr">
        <is>
          <t>Clients</t>
        </is>
      </c>
      <c r="B122" s="108" t="inlineStr">
        <is>
          <t>Motif de perte</t>
        </is>
      </c>
      <c r="C122" s="108" t="inlineStr">
        <is>
          <t>Saisie</t>
        </is>
      </c>
      <c r="D122" s="109" t="inlineStr">
        <is>
          <t>crm.customers.lost_reason_code_id (PROSPECT_LOST)</t>
        </is>
      </c>
      <c r="E122" s="108" t="inlineStr">
        <is>
          <t>Oui</t>
        </is>
      </c>
      <c r="F122" s="108" t="inlineStr">
        <is>
          <t>Si perdu</t>
        </is>
      </c>
    </row>
    <row r="123">
      <c r="A123" s="107" t="inlineStr">
        <is>
          <t>Clients</t>
        </is>
      </c>
      <c r="B123" s="108" t="inlineStr">
        <is>
          <t>Observations</t>
        </is>
      </c>
      <c r="C123" s="108" t="inlineStr">
        <is>
          <t>Saisie</t>
        </is>
      </c>
      <c r="D123" s="109" t="inlineStr">
        <is>
          <t>crm.customers (note)</t>
        </is>
      </c>
      <c r="E123" s="108" t="inlineStr"/>
      <c r="F123" s="108" t="inlineStr">
        <is>
          <t>Libre</t>
        </is>
      </c>
    </row>
    <row r="124">
      <c r="A124" s="107" t="inlineStr">
        <is>
          <t>Clients</t>
        </is>
      </c>
      <c r="B124" s="108" t="inlineStr">
        <is>
          <t>Commercial</t>
        </is>
      </c>
      <c r="C124" s="108" t="inlineStr">
        <is>
          <t>Calculé</t>
        </is>
      </c>
      <c r="D124" s="109" t="inlineStr">
        <is>
          <t>identity.users (auteur / titulaire)</t>
        </is>
      </c>
      <c r="E124" s="108" t="inlineStr"/>
      <c r="F124" s="108" t="inlineStr">
        <is>
          <t>Rempli seul (Paramètres) ; remplaçable</t>
        </is>
      </c>
    </row>
    <row r="125">
      <c r="A125" s="107" t="inlineStr">
        <is>
          <t>Clients</t>
        </is>
      </c>
      <c r="B125" s="108" t="inlineStr">
        <is>
          <t>Particulier / entreprise</t>
        </is>
      </c>
      <c r="C125" s="108" t="inlineStr">
        <is>
          <t>Calculé</t>
        </is>
      </c>
      <c r="D125" s="109" t="inlineStr">
        <is>
          <t>crm.customers.customer_type</t>
        </is>
      </c>
      <c r="E125" s="108" t="inlineStr"/>
      <c r="F125" s="108" t="inlineStr">
        <is>
          <t>Calculé</t>
        </is>
      </c>
    </row>
    <row r="126">
      <c r="A126" s="107" t="inlineStr">
        <is>
          <t>Clients</t>
        </is>
      </c>
      <c r="B126" s="108" t="inlineStr">
        <is>
          <t>Nb de visites</t>
        </is>
      </c>
      <c r="C126" s="108" t="inlineStr">
        <is>
          <t>Calculé</t>
        </is>
      </c>
      <c r="D126" s="109" t="inlineStr">
        <is>
          <t>—</t>
        </is>
      </c>
      <c r="E126" s="108" t="inlineStr"/>
      <c r="F126" s="108" t="inlineStr">
        <is>
          <t>Calculé</t>
        </is>
      </c>
    </row>
    <row r="127">
      <c r="A127" s="107" t="inlineStr">
        <is>
          <t>Clients</t>
        </is>
      </c>
      <c r="B127" s="108" t="inlineStr">
        <is>
          <t>Dernier contact</t>
        </is>
      </c>
      <c r="C127" s="108" t="inlineStr">
        <is>
          <t>Calculé</t>
        </is>
      </c>
      <c r="D127" s="109" t="inlineStr">
        <is>
          <t>—</t>
        </is>
      </c>
      <c r="E127" s="108" t="inlineStr"/>
      <c r="F127" s="108" t="inlineStr">
        <is>
          <t>Calculé</t>
        </is>
      </c>
    </row>
    <row r="128">
      <c r="A128" s="107" t="inlineStr">
        <is>
          <t>Clients</t>
        </is>
      </c>
      <c r="B128" s="108" t="inlineStr">
        <is>
          <t>Prochaine action (date)</t>
        </is>
      </c>
      <c r="C128" s="108" t="inlineStr">
        <is>
          <t>Calculé</t>
        </is>
      </c>
      <c r="D128" s="109" t="inlineStr">
        <is>
          <t>—</t>
        </is>
      </c>
      <c r="E128" s="108" t="inlineStr"/>
      <c r="F128" s="108" t="inlineStr">
        <is>
          <t>Vient du dernier contact</t>
        </is>
      </c>
    </row>
    <row r="129">
      <c r="A129" s="107" t="inlineStr">
        <is>
          <t>Clients</t>
        </is>
      </c>
      <c r="B129" s="108" t="inlineStr">
        <is>
          <t>Prochaine action (à faire)</t>
        </is>
      </c>
      <c r="C129" s="108" t="inlineStr">
        <is>
          <t>Calculé</t>
        </is>
      </c>
      <c r="D129" s="109" t="inlineStr">
        <is>
          <t>—</t>
        </is>
      </c>
      <c r="E129" s="108" t="inlineStr"/>
      <c r="F129" s="108" t="inlineStr">
        <is>
          <t>Vient du dernier contact</t>
        </is>
      </c>
    </row>
    <row r="130">
      <c r="A130" s="107" t="inlineStr">
        <is>
          <t>Clients</t>
        </is>
      </c>
      <c r="B130" s="108" t="inlineStr">
        <is>
          <t>Date de la 1ère vente</t>
        </is>
      </c>
      <c r="C130" s="108" t="inlineStr">
        <is>
          <t>Calculé</t>
        </is>
      </c>
      <c r="D130" s="109" t="inlineStr">
        <is>
          <t>crm.customers.converted_at</t>
        </is>
      </c>
      <c r="E130" s="108" t="inlineStr"/>
      <c r="F130" s="108" t="inlineStr">
        <is>
          <t>Calculé : devient client</t>
        </is>
      </c>
    </row>
    <row r="131">
      <c r="A131" s="107" t="inlineStr">
        <is>
          <t>Clients</t>
        </is>
      </c>
      <c r="B131" s="108" t="inlineStr">
        <is>
          <t>Dernier achat</t>
        </is>
      </c>
      <c r="C131" s="108" t="inlineStr">
        <is>
          <t>Calculé</t>
        </is>
      </c>
      <c r="D131" s="109" t="inlineStr">
        <is>
          <t>—</t>
        </is>
      </c>
      <c r="E131" s="108" t="inlineStr"/>
      <c r="F131" s="108" t="inlineStr">
        <is>
          <t>Calculé</t>
        </is>
      </c>
    </row>
    <row r="132">
      <c r="A132" s="107" t="inlineStr">
        <is>
          <t>Clients</t>
        </is>
      </c>
      <c r="B132" s="108" t="inlineStr">
        <is>
          <t>CA cumulé (XAF)</t>
        </is>
      </c>
      <c r="C132" s="108" t="inlineStr">
        <is>
          <t>Calculé</t>
        </is>
      </c>
      <c r="D132" s="109" t="inlineStr">
        <is>
          <t>—</t>
        </is>
      </c>
      <c r="E132" s="108" t="inlineStr"/>
      <c r="F132" s="108" t="inlineStr">
        <is>
          <t>Calculé</t>
        </is>
      </c>
    </row>
    <row r="133">
      <c r="A133" s="107" t="inlineStr">
        <is>
          <t>Clients</t>
        </is>
      </c>
      <c r="B133" s="108" t="inlineStr">
        <is>
          <t>Encaissé (XAF)</t>
        </is>
      </c>
      <c r="C133" s="108" t="inlineStr">
        <is>
          <t>Calculé</t>
        </is>
      </c>
      <c r="D133" s="109" t="inlineStr">
        <is>
          <t>—</t>
        </is>
      </c>
      <c r="E133" s="108" t="inlineStr"/>
      <c r="F133" s="108" t="inlineStr">
        <is>
          <t>Calculé</t>
        </is>
      </c>
    </row>
    <row r="134">
      <c r="A134" s="107" t="inlineStr">
        <is>
          <t>Clients</t>
        </is>
      </c>
      <c r="B134" s="108" t="inlineStr">
        <is>
          <t>Reste à encaisser (XAF)</t>
        </is>
      </c>
      <c r="C134" s="108" t="inlineStr">
        <is>
          <t>Calculé</t>
        </is>
      </c>
      <c r="D134" s="109" t="inlineStr">
        <is>
          <t>—</t>
        </is>
      </c>
      <c r="E134" s="108" t="inlineStr"/>
      <c r="F134" s="108" t="inlineStr">
        <is>
          <t>CA − encaissé</t>
        </is>
      </c>
    </row>
    <row r="135">
      <c r="A135" s="107" t="inlineStr">
        <is>
          <t>Clients</t>
        </is>
      </c>
      <c r="B135" s="108" t="inlineStr">
        <is>
          <t>Alerte</t>
        </is>
      </c>
      <c r="C135" s="108" t="inlineStr">
        <is>
          <t>Calculé</t>
        </is>
      </c>
      <c r="D135" s="109" t="inlineStr">
        <is>
          <t>—</t>
        </is>
      </c>
      <c r="E135" s="108" t="inlineStr"/>
      <c r="F135" s="108" t="inlineStr">
        <is>
          <t>Ce qui demande votre attention</t>
        </is>
      </c>
    </row>
    <row r="136">
      <c r="A136" s="107" t="inlineStr">
        <is>
          <t>Clients</t>
        </is>
      </c>
      <c r="B136" s="108" t="inlineStr">
        <is>
          <t>Libellé (liste déroulante)</t>
        </is>
      </c>
      <c r="C136" s="108" t="inlineStr">
        <is>
          <t>Technique</t>
        </is>
      </c>
      <c r="D136" s="109" t="inlineStr">
        <is>
          <t>—</t>
        </is>
      </c>
      <c r="E136" s="108" t="inlineStr"/>
      <c r="F136" s="108" t="inlineStr">
        <is>
          <t>Technique</t>
        </is>
      </c>
    </row>
    <row r="137">
      <c r="A137" s="107" t="inlineStr">
        <is>
          <t>Clients</t>
        </is>
      </c>
      <c r="B137" s="108" t="inlineStr">
        <is>
          <t>Clé client</t>
        </is>
      </c>
      <c r="C137" s="108" t="inlineStr">
        <is>
          <t>Technique</t>
        </is>
      </c>
      <c r="D137" s="109" t="inlineStr">
        <is>
          <t>—</t>
        </is>
      </c>
      <c r="E137" s="108" t="inlineStr"/>
      <c r="F137" s="108" t="inlineStr">
        <is>
          <t>Technique</t>
        </is>
      </c>
    </row>
    <row r="138">
      <c r="A138" s="107" t="inlineStr">
        <is>
          <t>Clients</t>
        </is>
      </c>
      <c r="B138" s="108" t="inlineStr">
        <is>
          <t>Clé dernier contact</t>
        </is>
      </c>
      <c r="C138" s="108" t="inlineStr">
        <is>
          <t>Technique</t>
        </is>
      </c>
      <c r="D138" s="109" t="inlineStr">
        <is>
          <t>—</t>
        </is>
      </c>
      <c r="E138" s="108" t="inlineStr"/>
      <c r="F138" s="108" t="inlineStr">
        <is>
          <t>Technique</t>
        </is>
      </c>
    </row>
    <row r="139">
      <c r="A139" s="107" t="inlineStr">
        <is>
          <t>Clients</t>
        </is>
      </c>
      <c r="B139" s="108" t="inlineStr">
        <is>
          <t>Clé prochaine action</t>
        </is>
      </c>
      <c r="C139" s="108" t="inlineStr">
        <is>
          <t>Technique</t>
        </is>
      </c>
      <c r="D139" s="109" t="inlineStr">
        <is>
          <t>—</t>
        </is>
      </c>
      <c r="E139" s="108" t="inlineStr"/>
      <c r="F139" s="108" t="inlineStr">
        <is>
          <t>Technique</t>
        </is>
      </c>
    </row>
    <row r="140">
      <c r="A140" s="107" t="inlineStr">
        <is>
          <t>Clients</t>
        </is>
      </c>
      <c r="B140" s="108" t="inlineStr">
        <is>
          <t>Clé classement CA</t>
        </is>
      </c>
      <c r="C140" s="108" t="inlineStr">
        <is>
          <t>Technique</t>
        </is>
      </c>
      <c r="D140" s="109" t="inlineStr">
        <is>
          <t>—</t>
        </is>
      </c>
      <c r="E140" s="108" t="inlineStr"/>
      <c r="F140" s="108" t="inlineStr">
        <is>
          <t>Technique</t>
        </is>
      </c>
    </row>
    <row r="141">
      <c r="A141" s="107" t="inlineStr">
        <is>
          <t>Planning</t>
        </is>
      </c>
      <c r="B141" s="108" t="inlineStr">
        <is>
          <t>N°</t>
        </is>
      </c>
      <c r="C141" s="108" t="inlineStr">
        <is>
          <t>Numéro</t>
        </is>
      </c>
      <c r="D141" s="109" t="inlineStr">
        <is>
          <t>—</t>
        </is>
      </c>
      <c r="E141" s="108" t="inlineStr"/>
      <c r="F141" s="108" t="inlineStr"/>
    </row>
    <row r="142">
      <c r="A142" s="107" t="inlineStr">
        <is>
          <t>Planning</t>
        </is>
      </c>
      <c r="B142" s="108" t="inlineStr">
        <is>
          <t>Mois</t>
        </is>
      </c>
      <c r="C142" s="108" t="inlineStr">
        <is>
          <t>Saisie</t>
        </is>
      </c>
      <c r="D142" s="109" t="inlineStr">
        <is>
          <t>—</t>
        </is>
      </c>
      <c r="E142" s="108" t="inlineStr">
        <is>
          <t>Oui</t>
        </is>
      </c>
      <c r="F142" s="108" t="inlineStr">
        <is>
          <t>Liste des mois</t>
        </is>
      </c>
    </row>
    <row r="143">
      <c r="A143" s="107" t="inlineStr">
        <is>
          <t>Planning</t>
        </is>
      </c>
      <c r="B143" s="108" t="inlineStr">
        <is>
          <t>Semaine du mois (1 à 5)</t>
        </is>
      </c>
      <c r="C143" s="108" t="inlineStr">
        <is>
          <t>Saisie</t>
        </is>
      </c>
      <c r="D143" s="109" t="inlineStr">
        <is>
          <t>—</t>
        </is>
      </c>
      <c r="E143" s="108" t="inlineStr">
        <is>
          <t>Oui</t>
        </is>
      </c>
      <c r="F143" s="108" t="inlineStr">
        <is>
          <t>Liste</t>
        </is>
      </c>
    </row>
    <row r="144">
      <c r="A144" s="107" t="inlineStr">
        <is>
          <t>Planning</t>
        </is>
      </c>
      <c r="B144" s="108" t="inlineStr">
        <is>
          <t>Jour prévu (si connu)</t>
        </is>
      </c>
      <c r="C144" s="108" t="inlineStr">
        <is>
          <t>Saisie</t>
        </is>
      </c>
      <c r="D144" s="109" t="inlineStr">
        <is>
          <t>—</t>
        </is>
      </c>
      <c r="E144" s="108" t="inlineStr"/>
      <c r="F144" s="108" t="inlineStr">
        <is>
          <t>Liste de dates</t>
        </is>
      </c>
    </row>
    <row r="145">
      <c r="A145" s="107" t="inlineStr">
        <is>
          <t>Planning</t>
        </is>
      </c>
      <c r="B145" s="108" t="inlineStr">
        <is>
          <t>Client / PDV à visiter</t>
        </is>
      </c>
      <c r="C145" s="108" t="inlineStr">
        <is>
          <t>Saisie</t>
        </is>
      </c>
      <c r="D145" s="109" t="inlineStr">
        <is>
          <t>—</t>
        </is>
      </c>
      <c r="E145" s="108" t="inlineStr">
        <is>
          <t>Oui</t>
        </is>
      </c>
      <c r="F145" s="108" t="inlineStr">
        <is>
          <t>Liste des clients</t>
        </is>
      </c>
    </row>
    <row r="146">
      <c r="A146" s="107" t="inlineStr">
        <is>
          <t>Planning</t>
        </is>
      </c>
      <c r="B146" s="108" t="inlineStr">
        <is>
          <t>Objectif de la visite</t>
        </is>
      </c>
      <c r="C146" s="108" t="inlineStr">
        <is>
          <t>Saisie</t>
        </is>
      </c>
      <c r="D146" s="109" t="inlineStr">
        <is>
          <t>—</t>
        </is>
      </c>
      <c r="E146" s="108" t="inlineStr">
        <is>
          <t>Oui</t>
        </is>
      </c>
      <c r="F146" s="108" t="inlineStr">
        <is>
          <t>Liste</t>
        </is>
      </c>
    </row>
    <row r="147">
      <c r="A147" s="107" t="inlineStr">
        <is>
          <t>Planning</t>
        </is>
      </c>
      <c r="B147" s="108" t="inlineStr">
        <is>
          <t>Remarques</t>
        </is>
      </c>
      <c r="C147" s="108" t="inlineStr">
        <is>
          <t>Saisie</t>
        </is>
      </c>
      <c r="D147" s="109" t="inlineStr">
        <is>
          <t>—</t>
        </is>
      </c>
      <c r="E147" s="108" t="inlineStr"/>
      <c r="F147" s="108" t="inlineStr">
        <is>
          <t>Libre</t>
        </is>
      </c>
    </row>
    <row r="148">
      <c r="A148" s="107" t="inlineStr">
        <is>
          <t>Planning</t>
        </is>
      </c>
      <c r="B148" s="108" t="inlineStr">
        <is>
          <t>Commercial</t>
        </is>
      </c>
      <c r="C148" s="108" t="inlineStr">
        <is>
          <t>Calculé</t>
        </is>
      </c>
      <c r="D148" s="109" t="inlineStr">
        <is>
          <t>identity.users (auteur / titulaire)</t>
        </is>
      </c>
      <c r="E148" s="108" t="inlineStr"/>
      <c r="F148" s="108" t="inlineStr">
        <is>
          <t>Rempli seul (Paramètres) ; remplaçable</t>
        </is>
      </c>
    </row>
    <row r="149">
      <c r="A149" s="107" t="inlineStr">
        <is>
          <t>Planning</t>
        </is>
      </c>
      <c r="B149" s="108" t="inlineStr">
        <is>
          <t>N° client</t>
        </is>
      </c>
      <c r="C149" s="108" t="inlineStr">
        <is>
          <t>Calculé</t>
        </is>
      </c>
      <c r="D149" s="109" t="inlineStr">
        <is>
          <t>—</t>
        </is>
      </c>
      <c r="E149" s="108" t="inlineStr"/>
      <c r="F149" s="108" t="inlineStr">
        <is>
          <t>Calculé</t>
        </is>
      </c>
    </row>
    <row r="150">
      <c r="A150" s="107" t="inlineStr">
        <is>
          <t>Planning</t>
        </is>
      </c>
      <c r="B150" s="108" t="inlineStr">
        <is>
          <t>Clé client</t>
        </is>
      </c>
      <c r="C150" s="108" t="inlineStr">
        <is>
          <t>Technique</t>
        </is>
      </c>
      <c r="D150" s="109" t="inlineStr">
        <is>
          <t>—</t>
        </is>
      </c>
      <c r="E150" s="108" t="inlineStr"/>
      <c r="F150" s="108" t="inlineStr">
        <is>
          <t>Technique</t>
        </is>
      </c>
    </row>
    <row r="151">
      <c r="A151" s="107" t="inlineStr">
        <is>
          <t>Planning</t>
        </is>
      </c>
      <c r="B151" s="108" t="inlineStr">
        <is>
          <t>Code client</t>
        </is>
      </c>
      <c r="C151" s="108" t="inlineStr">
        <is>
          <t>Calculé</t>
        </is>
      </c>
      <c r="D151" s="109" t="inlineStr">
        <is>
          <t>crm.customers (identifiant de rapprochement)</t>
        </is>
      </c>
      <c r="E151" s="108" t="inlineStr"/>
      <c r="F151" s="108" t="inlineStr">
        <is>
          <t>Calculé</t>
        </is>
      </c>
    </row>
    <row r="152">
      <c r="A152" s="107" t="inlineStr">
        <is>
          <t>Planning</t>
        </is>
      </c>
      <c r="B152" s="108" t="inlineStr">
        <is>
          <t>Nom du client</t>
        </is>
      </c>
      <c r="C152" s="108" t="inlineStr">
        <is>
          <t>Calculé</t>
        </is>
      </c>
      <c r="D152" s="109" t="inlineStr">
        <is>
          <t>—</t>
        </is>
      </c>
      <c r="E152" s="108" t="inlineStr"/>
      <c r="F152" s="108" t="inlineStr">
        <is>
          <t>Calculé</t>
        </is>
      </c>
    </row>
    <row r="153">
      <c r="A153" s="107" t="inlineStr">
        <is>
          <t>Planning</t>
        </is>
      </c>
      <c r="B153" s="108" t="inlineStr">
        <is>
          <t>Mois (1er jour)</t>
        </is>
      </c>
      <c r="C153" s="108" t="inlineStr">
        <is>
          <t>Technique</t>
        </is>
      </c>
      <c r="D153" s="109" t="inlineStr">
        <is>
          <t>—</t>
        </is>
      </c>
      <c r="E153" s="108" t="inlineStr"/>
      <c r="F153" s="108" t="inlineStr">
        <is>
          <t>Technique</t>
        </is>
      </c>
    </row>
    <row r="154">
      <c r="A154" s="107" t="inlineStr">
        <is>
          <t>Planning</t>
        </is>
      </c>
      <c r="B154" s="108" t="inlineStr">
        <is>
          <t>Quartier</t>
        </is>
      </c>
      <c r="C154" s="108" t="inlineStr">
        <is>
          <t>Calculé</t>
        </is>
      </c>
      <c r="D154" s="109" t="inlineStr">
        <is>
          <t>—</t>
        </is>
      </c>
      <c r="E154" s="108" t="inlineStr"/>
      <c r="F154" s="108" t="inlineStr">
        <is>
          <t>Calculé</t>
        </is>
      </c>
    </row>
    <row r="155">
      <c r="A155" s="107" t="inlineStr">
        <is>
          <t>Planning</t>
        </is>
      </c>
      <c r="B155" s="108" t="inlineStr">
        <is>
          <t>Téléphone</t>
        </is>
      </c>
      <c r="C155" s="108" t="inlineStr">
        <is>
          <t>Calculé</t>
        </is>
      </c>
      <c r="D155" s="109" t="inlineStr">
        <is>
          <t>—</t>
        </is>
      </c>
      <c r="E155" s="108" t="inlineStr"/>
      <c r="F155" s="108" t="inlineStr">
        <is>
          <t>Calculé</t>
        </is>
      </c>
    </row>
    <row r="156">
      <c r="A156" s="107" t="inlineStr">
        <is>
          <t>Planning</t>
        </is>
      </c>
      <c r="B156" s="108" t="inlineStr">
        <is>
          <t>Potentiel / jour</t>
        </is>
      </c>
      <c r="C156" s="108" t="inlineStr">
        <is>
          <t>Calculé</t>
        </is>
      </c>
      <c r="D156" s="109" t="inlineStr">
        <is>
          <t>—</t>
        </is>
      </c>
      <c r="E156" s="108" t="inlineStr"/>
      <c r="F156" s="108" t="inlineStr">
        <is>
          <t>Calculé</t>
        </is>
      </c>
    </row>
    <row r="157">
      <c r="A157" s="107" t="inlineStr">
        <is>
          <t>Planning</t>
        </is>
      </c>
      <c r="B157" s="108" t="inlineStr">
        <is>
          <t>Réalisé ?</t>
        </is>
      </c>
      <c r="C157" s="108" t="inlineStr">
        <is>
          <t>Calculé</t>
        </is>
      </c>
      <c r="D157" s="109" t="inlineStr">
        <is>
          <t>—</t>
        </is>
      </c>
      <c r="E157" s="108" t="inlineStr"/>
      <c r="F157" s="108" t="inlineStr">
        <is>
          <t>Selon les visites sur place saisies</t>
        </is>
      </c>
    </row>
    <row r="158">
      <c r="A158" s="107" t="inlineStr">
        <is>
          <t>Stock</t>
        </is>
      </c>
      <c r="B158" s="108" t="inlineStr">
        <is>
          <t>N°</t>
        </is>
      </c>
      <c r="C158" s="108" t="inlineStr">
        <is>
          <t>Numéro</t>
        </is>
      </c>
      <c r="D158" s="109" t="inlineStr">
        <is>
          <t>—</t>
        </is>
      </c>
      <c r="E158" s="108" t="inlineStr"/>
      <c r="F158" s="108" t="inlineStr"/>
    </row>
    <row r="159">
      <c r="A159" s="107" t="inlineStr">
        <is>
          <t>Stock</t>
        </is>
      </c>
      <c r="B159" s="108" t="inlineStr">
        <is>
          <t>Réf. de la ligne</t>
        </is>
      </c>
      <c r="C159" s="108" t="inlineStr">
        <is>
          <t>Calculé</t>
        </is>
      </c>
      <c r="D159" s="109" t="inlineStr">
        <is>
          <t>(clé d'import : évite les doublons)</t>
        </is>
      </c>
      <c r="E159" s="108" t="inlineStr"/>
      <c r="F159" s="108" t="inlineStr">
        <is>
          <t>Calculé</t>
        </is>
      </c>
    </row>
    <row r="160">
      <c r="A160" s="107" t="inlineStr">
        <is>
          <t>Stock</t>
        </is>
      </c>
      <c r="B160" s="108" t="inlineStr">
        <is>
          <t>Date</t>
        </is>
      </c>
      <c r="C160" s="108" t="inlineStr">
        <is>
          <t>Saisie</t>
        </is>
      </c>
      <c r="D160" s="109" t="inlineStr">
        <is>
          <t>occurred_at</t>
        </is>
      </c>
      <c r="E160" s="108" t="inlineStr">
        <is>
          <t>Oui</t>
        </is>
      </c>
      <c r="F160" s="108" t="inlineStr">
        <is>
          <t>Liste de dates (aujourd'hui en tête)</t>
        </is>
      </c>
    </row>
    <row r="161">
      <c r="A161" s="107" t="inlineStr">
        <is>
          <t>Stock</t>
        </is>
      </c>
      <c r="B161" s="108" t="inlineStr">
        <is>
          <t>Mouvement</t>
        </is>
      </c>
      <c r="C161" s="108" t="inlineStr">
        <is>
          <t>Saisie</t>
        </is>
      </c>
      <c r="D161" s="109" t="inlineStr">
        <is>
          <t>inventory.stock_moves / loss_declarations</t>
        </is>
      </c>
      <c r="E161" s="108" t="inlineStr">
        <is>
          <t>Oui</t>
        </is>
      </c>
      <c r="F161" s="108" t="inlineStr">
        <is>
          <t>Reçu, retour, casse…</t>
        </is>
      </c>
    </row>
    <row r="162">
      <c r="A162" s="107" t="inlineStr">
        <is>
          <t>Stock</t>
        </is>
      </c>
      <c r="B162" s="108" t="inlineStr">
        <is>
          <t>Produit</t>
        </is>
      </c>
      <c r="C162" s="108" t="inlineStr">
        <is>
          <t>Saisie</t>
        </is>
      </c>
      <c r="D162" s="109" t="inlineStr">
        <is>
          <t>product_id</t>
        </is>
      </c>
      <c r="E162" s="108" t="inlineStr">
        <is>
          <t>Oui</t>
        </is>
      </c>
      <c r="F162" s="108" t="inlineStr">
        <is>
          <t>Liste</t>
        </is>
      </c>
    </row>
    <row r="163">
      <c r="A163" s="107" t="inlineStr">
        <is>
          <t>Stock</t>
        </is>
      </c>
      <c r="B163" s="108" t="inlineStr">
        <is>
          <t>Quantité</t>
        </is>
      </c>
      <c r="C163" s="108" t="inlineStr">
        <is>
          <t>Saisie</t>
        </is>
      </c>
      <c r="D163" s="109" t="inlineStr">
        <is>
          <t>quantity</t>
        </is>
      </c>
      <c r="E163" s="108" t="inlineStr">
        <is>
          <t>Oui</t>
        </is>
      </c>
      <c r="F163" s="108" t="inlineStr">
        <is>
          <t>Liste (ou autre nombre)</t>
        </is>
      </c>
    </row>
    <row r="164">
      <c r="A164" s="107" t="inlineStr">
        <is>
          <t>Stock</t>
        </is>
      </c>
      <c r="B164" s="108" t="inlineStr">
        <is>
          <t>Cause (casse, perte)</t>
        </is>
      </c>
      <c r="C164" s="108" t="inlineStr">
        <is>
          <t>Saisie</t>
        </is>
      </c>
      <c r="D164" s="109" t="inlineStr">
        <is>
          <t>reason_code_id (LOSS)</t>
        </is>
      </c>
      <c r="E164" s="108" t="inlineStr">
        <is>
          <t>Oui</t>
        </is>
      </c>
      <c r="F164" s="108" t="inlineStr">
        <is>
          <t>Liste</t>
        </is>
      </c>
    </row>
    <row r="165">
      <c r="A165" s="107" t="inlineStr">
        <is>
          <t>Stock</t>
        </is>
      </c>
      <c r="B165" s="108" t="inlineStr">
        <is>
          <t>Photo prise ?</t>
        </is>
      </c>
      <c r="C165" s="108" t="inlineStr">
        <is>
          <t>Saisie</t>
        </is>
      </c>
      <c r="D165" s="109" t="inlineStr">
        <is>
          <t>attachments (photo obligatoire pour une casse)</t>
        </is>
      </c>
      <c r="E165" s="108" t="inlineStr">
        <is>
          <t>Oui</t>
        </is>
      </c>
      <c r="F165" s="108" t="inlineStr">
        <is>
          <t>Obligatoire pour une casse</t>
        </is>
      </c>
    </row>
    <row r="166">
      <c r="A166" s="107" t="inlineStr">
        <is>
          <t>Stock</t>
        </is>
      </c>
      <c r="B166" s="108" t="inlineStr">
        <is>
          <t>Valeur estimée (XAF) si différente du calcul</t>
        </is>
      </c>
      <c r="C166" s="108" t="inlineStr">
        <is>
          <t>Saisie</t>
        </is>
      </c>
      <c r="D166" s="109" t="inlineStr">
        <is>
          <t>—</t>
        </is>
      </c>
      <c r="E166" s="108" t="inlineStr"/>
      <c r="F166" s="108" t="inlineStr">
        <is>
          <t>Vide = quantité × prix de référence</t>
        </is>
      </c>
    </row>
    <row r="167">
      <c r="A167" s="107" t="inlineStr">
        <is>
          <t>Stock</t>
        </is>
      </c>
      <c r="B167" s="108" t="inlineStr">
        <is>
          <t>N° du bon de sortie / de retour</t>
        </is>
      </c>
      <c r="C167" s="108" t="inlineStr">
        <is>
          <t>Saisie</t>
        </is>
      </c>
      <c r="D167" s="109" t="inlineStr">
        <is>
          <t>—</t>
        </is>
      </c>
      <c r="E167" s="108" t="inlineStr"/>
      <c r="F167" s="108" t="inlineStr">
        <is>
          <t>Document du magasin</t>
        </is>
      </c>
    </row>
    <row r="168">
      <c r="A168" s="107" t="inlineStr">
        <is>
          <t>Stock</t>
        </is>
      </c>
      <c r="B168" s="108" t="inlineStr">
        <is>
          <t>Observations</t>
        </is>
      </c>
      <c r="C168" s="108" t="inlineStr">
        <is>
          <t>Saisie</t>
        </is>
      </c>
      <c r="D168" s="109" t="inlineStr">
        <is>
          <t>—</t>
        </is>
      </c>
      <c r="E168" s="108" t="inlineStr"/>
      <c r="F168" s="108" t="inlineStr">
        <is>
          <t>Libre</t>
        </is>
      </c>
    </row>
    <row r="169">
      <c r="A169" s="107" t="inlineStr">
        <is>
          <t>Stock</t>
        </is>
      </c>
      <c r="B169" s="108" t="inlineStr">
        <is>
          <t>Commercial</t>
        </is>
      </c>
      <c r="C169" s="108" t="inlineStr">
        <is>
          <t>Calculé</t>
        </is>
      </c>
      <c r="D169" s="109" t="inlineStr">
        <is>
          <t>identity.users (auteur / titulaire)</t>
        </is>
      </c>
      <c r="E169" s="108" t="inlineStr"/>
      <c r="F169" s="108" t="inlineStr">
        <is>
          <t>Rempli seul (Paramètres) ; remplaçable</t>
        </is>
      </c>
    </row>
    <row r="170">
      <c r="A170" s="107" t="inlineStr">
        <is>
          <t>Stock</t>
        </is>
      </c>
      <c r="B170" s="108" t="inlineStr">
        <is>
          <t>Unité</t>
        </is>
      </c>
      <c r="C170" s="108" t="inlineStr">
        <is>
          <t>Calculé</t>
        </is>
      </c>
      <c r="D170" s="109" t="inlineStr">
        <is>
          <t>—</t>
        </is>
      </c>
      <c r="E170" s="108" t="inlineStr"/>
      <c r="F170" s="108" t="inlineStr">
        <is>
          <t>Selon le produit</t>
        </is>
      </c>
    </row>
    <row r="171">
      <c r="A171" s="107" t="inlineStr">
        <is>
          <t>Stock</t>
        </is>
      </c>
      <c r="B171" s="108" t="inlineStr">
        <is>
          <t>Prix de référence (XAF)</t>
        </is>
      </c>
      <c r="C171" s="108" t="inlineStr">
        <is>
          <t>Calculé</t>
        </is>
      </c>
      <c r="D171" s="109" t="inlineStr">
        <is>
          <t>—</t>
        </is>
      </c>
      <c r="E171" s="108" t="inlineStr"/>
      <c r="F171" s="108" t="inlineStr">
        <is>
          <t>Vient de la feuille Listes</t>
        </is>
      </c>
    </row>
    <row r="172">
      <c r="A172" s="107" t="inlineStr">
        <is>
          <t>Stock</t>
        </is>
      </c>
      <c r="B172" s="108" t="inlineStr">
        <is>
          <t>Valeur de la casse / perte (XAF)</t>
        </is>
      </c>
      <c r="C172" s="108" t="inlineStr">
        <is>
          <t>Calculé</t>
        </is>
      </c>
      <c r="D172" s="109" t="inlineStr">
        <is>
          <t>—</t>
        </is>
      </c>
      <c r="E172" s="108" t="inlineStr"/>
      <c r="F172" s="108" t="inlineStr">
        <is>
          <t>Calculée</t>
        </is>
      </c>
    </row>
    <row r="173">
      <c r="A173" s="107" t="inlineStr">
        <is>
          <t>Stock</t>
        </is>
      </c>
      <c r="B173" s="108" t="inlineStr">
        <is>
          <t>Effet sur mon stock</t>
        </is>
      </c>
      <c r="C173" s="108" t="inlineStr">
        <is>
          <t>Calculé</t>
        </is>
      </c>
      <c r="D173" s="109" t="inlineStr">
        <is>
          <t>—</t>
        </is>
      </c>
      <c r="E173" s="108" t="inlineStr"/>
      <c r="F173" s="108" t="inlineStr">
        <is>
          <t>+ entrée / − sortie</t>
        </is>
      </c>
    </row>
    <row r="174">
      <c r="A174" s="107" t="inlineStr">
        <is>
          <t>Stock</t>
        </is>
      </c>
      <c r="B174" s="108" t="inlineStr">
        <is>
          <t>Semaine</t>
        </is>
      </c>
      <c r="C174" s="108" t="inlineStr">
        <is>
          <t>Calculé</t>
        </is>
      </c>
      <c r="D174" s="109" t="inlineStr">
        <is>
          <t>—</t>
        </is>
      </c>
      <c r="E174" s="108" t="inlineStr"/>
      <c r="F174" s="108" t="inlineStr">
        <is>
          <t>Calculé (ISO)</t>
        </is>
      </c>
    </row>
    <row r="175">
      <c r="A175" s="107" t="inlineStr">
        <is>
          <t>Objectifs</t>
        </is>
      </c>
      <c r="B175" s="108" t="inlineStr">
        <is>
          <t>N°</t>
        </is>
      </c>
      <c r="C175" s="108" t="inlineStr">
        <is>
          <t>Numéro</t>
        </is>
      </c>
      <c r="D175" s="109" t="inlineStr">
        <is>
          <t>—</t>
        </is>
      </c>
      <c r="E175" s="108" t="inlineStr"/>
      <c r="F175" s="108" t="inlineStr"/>
    </row>
    <row r="176">
      <c r="A176" s="107" t="inlineStr">
        <is>
          <t>Objectifs</t>
        </is>
      </c>
      <c r="B176" s="108" t="inlineStr">
        <is>
          <t>Commercial</t>
        </is>
      </c>
      <c r="C176" s="108" t="inlineStr">
        <is>
          <t>Calculé</t>
        </is>
      </c>
      <c r="D176" s="109" t="inlineStr">
        <is>
          <t>crm.sales_targets.user_id</t>
        </is>
      </c>
      <c r="E176" s="108" t="inlineStr"/>
      <c r="F176" s="108" t="inlineStr">
        <is>
          <t>Rempli seul ; remplaçable</t>
        </is>
      </c>
    </row>
    <row r="177">
      <c r="A177" s="107" t="inlineStr">
        <is>
          <t>Objectifs</t>
        </is>
      </c>
      <c r="B177" s="108" t="inlineStr">
        <is>
          <t>Indicateur</t>
        </is>
      </c>
      <c r="C177" s="108" t="inlineStr">
        <is>
          <t>Saisie</t>
        </is>
      </c>
      <c r="D177" s="109" t="inlineStr">
        <is>
          <t>crm.sales_targets.metric</t>
        </is>
      </c>
      <c r="E177" s="108" t="inlineStr">
        <is>
          <t>Oui</t>
        </is>
      </c>
      <c r="F177" s="108" t="inlineStr">
        <is>
          <t>Liste</t>
        </is>
      </c>
    </row>
    <row r="178">
      <c r="A178" s="107" t="inlineStr">
        <is>
          <t>Objectifs</t>
        </is>
      </c>
      <c r="B178" s="108" t="inlineStr">
        <is>
          <t>Produit (si quantité)</t>
        </is>
      </c>
      <c r="C178" s="108" t="inlineStr">
        <is>
          <t>Saisie</t>
        </is>
      </c>
      <c r="D178" s="109" t="inlineStr">
        <is>
          <t>crm.sales_targets.product_id</t>
        </is>
      </c>
      <c r="E178" s="108" t="inlineStr">
        <is>
          <t>Oui</t>
        </is>
      </c>
      <c r="F178" s="108" t="inlineStr">
        <is>
          <t>Liste</t>
        </is>
      </c>
    </row>
    <row r="179">
      <c r="A179" s="107" t="inlineStr">
        <is>
          <t>Objectifs</t>
        </is>
      </c>
      <c r="B179" s="108" t="inlineStr">
        <is>
          <t>Période</t>
        </is>
      </c>
      <c r="C179" s="108" t="inlineStr">
        <is>
          <t>Saisie</t>
        </is>
      </c>
      <c r="D179" s="109" t="inlineStr">
        <is>
          <t>—</t>
        </is>
      </c>
      <c r="E179" s="108" t="inlineStr">
        <is>
          <t>Oui</t>
        </is>
      </c>
      <c r="F179" s="108" t="inlineStr">
        <is>
          <t>Semaine ou mois</t>
        </is>
      </c>
    </row>
    <row r="180">
      <c r="A180" s="107" t="inlineStr">
        <is>
          <t>Objectifs</t>
        </is>
      </c>
      <c r="B180" s="108" t="inlineStr">
        <is>
          <t>Début de la période</t>
        </is>
      </c>
      <c r="C180" s="108" t="inlineStr">
        <is>
          <t>Saisie</t>
        </is>
      </c>
      <c r="D180" s="109" t="inlineStr">
        <is>
          <t>crm.sales_targets.period_start</t>
        </is>
      </c>
      <c r="E180" s="108" t="inlineStr">
        <is>
          <t>Oui</t>
        </is>
      </c>
      <c r="F180" s="108" t="inlineStr">
        <is>
          <t>Lundi (semaine) ou 1er du mois</t>
        </is>
      </c>
    </row>
    <row r="181">
      <c r="A181" s="107" t="inlineStr">
        <is>
          <t>Objectifs</t>
        </is>
      </c>
      <c r="B181" s="108" t="inlineStr">
        <is>
          <t>Valeur cible</t>
        </is>
      </c>
      <c r="C181" s="108" t="inlineStr">
        <is>
          <t>Saisie</t>
        </is>
      </c>
      <c r="D181" s="109" t="inlineStr">
        <is>
          <t>crm.sales_targets.target_value</t>
        </is>
      </c>
      <c r="E181" s="108" t="inlineStr">
        <is>
          <t>Oui</t>
        </is>
      </c>
      <c r="F181" s="108" t="inlineStr">
        <is>
          <t>Nombre à atteindre</t>
        </is>
      </c>
    </row>
    <row r="182">
      <c r="A182" s="107" t="inlineStr">
        <is>
          <t>Objectifs</t>
        </is>
      </c>
      <c r="B182" s="108" t="inlineStr">
        <is>
          <t>Commentaire</t>
        </is>
      </c>
      <c r="C182" s="108" t="inlineStr">
        <is>
          <t>Saisie</t>
        </is>
      </c>
      <c r="D182" s="109" t="inlineStr">
        <is>
          <t>—</t>
        </is>
      </c>
      <c r="E182" s="108" t="inlineStr"/>
      <c r="F182" s="108" t="inlineStr">
        <is>
          <t>Libre</t>
        </is>
      </c>
    </row>
    <row r="183">
      <c r="A183" s="107" t="inlineStr">
        <is>
          <t>Objectifs</t>
        </is>
      </c>
      <c r="B183" s="108" t="inlineStr">
        <is>
          <t>Fin de la période</t>
        </is>
      </c>
      <c r="C183" s="108" t="inlineStr">
        <is>
          <t>Calculé</t>
        </is>
      </c>
      <c r="D183" s="109" t="inlineStr">
        <is>
          <t>crm.sales_targets.period_end</t>
        </is>
      </c>
      <c r="E183" s="108" t="inlineStr"/>
      <c r="F183" s="108" t="inlineStr">
        <is>
          <t>Calculée</t>
        </is>
      </c>
    </row>
    <row r="184">
      <c r="A184" s="107" t="inlineStr">
        <is>
          <t>Objectifs</t>
        </is>
      </c>
      <c r="B184" s="108" t="inlineStr">
        <is>
          <t>Durée (jours)</t>
        </is>
      </c>
      <c r="C184" s="108" t="inlineStr">
        <is>
          <t>Calculé</t>
        </is>
      </c>
      <c r="D184" s="109" t="inlineStr">
        <is>
          <t>—</t>
        </is>
      </c>
      <c r="E184" s="108" t="inlineStr"/>
      <c r="F184" s="108" t="inlineStr">
        <is>
          <t>Calculée : ≤ 7 = objectif de semaine</t>
        </is>
      </c>
    </row>
    <row r="185">
      <c r="A185" s="107" t="inlineStr">
        <is>
          <t>Bilans_Hebdo</t>
        </is>
      </c>
      <c r="B185" s="108" t="inlineStr">
        <is>
          <t>Lundi de la semaine</t>
        </is>
      </c>
      <c r="C185" s="108" t="inlineStr">
        <is>
          <t>Saisie</t>
        </is>
      </c>
      <c r="D185" s="109" t="inlineStr">
        <is>
          <t>—</t>
        </is>
      </c>
      <c r="E185" s="108" t="inlineStr">
        <is>
          <t>Oui</t>
        </is>
      </c>
      <c r="F185" s="108" t="inlineStr">
        <is>
          <t>Liste des lundis</t>
        </is>
      </c>
    </row>
    <row r="186">
      <c r="A186" s="107" t="inlineStr">
        <is>
          <t>Bilans_Hebdo</t>
        </is>
      </c>
      <c r="B186" s="108" t="inlineStr">
        <is>
          <t>Commercial</t>
        </is>
      </c>
      <c r="C186" s="108" t="inlineStr">
        <is>
          <t>Calculé</t>
        </is>
      </c>
      <c r="D186" s="109" t="inlineStr">
        <is>
          <t>—</t>
        </is>
      </c>
      <c r="E186" s="108" t="inlineStr"/>
      <c r="F186" s="108" t="inlineStr">
        <is>
          <t>Rempli seul ; remplaçable</t>
        </is>
      </c>
    </row>
    <row r="187">
      <c r="A187" s="107" t="inlineStr">
        <is>
          <t>Bilans_Hebdo</t>
        </is>
      </c>
      <c r="B187" s="108" t="inlineStr">
        <is>
          <t>Semaine</t>
        </is>
      </c>
      <c r="C187" s="108" t="inlineStr">
        <is>
          <t>Calculé</t>
        </is>
      </c>
      <c r="D187" s="109" t="inlineStr">
        <is>
          <t>—</t>
        </is>
      </c>
      <c r="E187" s="108" t="inlineStr"/>
      <c r="F187" s="108" t="inlineStr">
        <is>
          <t>Calculé (ISO)</t>
        </is>
      </c>
    </row>
    <row r="188">
      <c r="A188" s="107" t="inlineStr">
        <is>
          <t>Bilans_Hebdo</t>
        </is>
      </c>
      <c r="B188" s="108" t="inlineStr">
        <is>
          <t>Visites sur place</t>
        </is>
      </c>
      <c r="C188" s="108" t="inlineStr">
        <is>
          <t>Calculé</t>
        </is>
      </c>
      <c r="D188" s="109" t="inlineStr">
        <is>
          <t>—</t>
        </is>
      </c>
      <c r="E188" s="108" t="inlineStr"/>
      <c r="F188" s="108" t="inlineStr">
        <is>
          <t>Calculé</t>
        </is>
      </c>
    </row>
    <row r="189">
      <c r="A189" s="107" t="inlineStr">
        <is>
          <t>Bilans_Hebdo</t>
        </is>
      </c>
      <c r="B189" s="108" t="inlineStr">
        <is>
          <t>Nouveaux clients</t>
        </is>
      </c>
      <c r="C189" s="108" t="inlineStr">
        <is>
          <t>Calculé</t>
        </is>
      </c>
      <c r="D189" s="109" t="inlineStr">
        <is>
          <t>—</t>
        </is>
      </c>
      <c r="E189" s="108" t="inlineStr"/>
      <c r="F189" s="108" t="inlineStr">
        <is>
          <t>Calculé</t>
        </is>
      </c>
    </row>
    <row r="190">
      <c r="A190" s="107" t="inlineStr">
        <is>
          <t>Bilans_Hebdo</t>
        </is>
      </c>
      <c r="B190" s="108" t="inlineStr">
        <is>
          <t>CA réalisé (XAF)</t>
        </is>
      </c>
      <c r="C190" s="108" t="inlineStr">
        <is>
          <t>Calculé</t>
        </is>
      </c>
      <c r="D190" s="109" t="inlineStr">
        <is>
          <t>—</t>
        </is>
      </c>
      <c r="E190" s="108" t="inlineStr"/>
      <c r="F190" s="108" t="inlineStr">
        <is>
          <t>Calculé</t>
        </is>
      </c>
    </row>
    <row r="191">
      <c r="A191" s="107" t="inlineStr">
        <is>
          <t>Bilans_Hebdo</t>
        </is>
      </c>
      <c r="B191" s="108" t="inlineStr">
        <is>
          <t>Encaissé (XAF)</t>
        </is>
      </c>
      <c r="C191" s="108" t="inlineStr">
        <is>
          <t>Calculé</t>
        </is>
      </c>
      <c r="D191" s="109" t="inlineStr">
        <is>
          <t>—</t>
        </is>
      </c>
      <c r="E191" s="108" t="inlineStr"/>
      <c r="F191" s="108" t="inlineStr">
        <is>
          <t>Calculé</t>
        </is>
      </c>
    </row>
    <row r="192">
      <c r="A192" s="107" t="inlineStr">
        <is>
          <t>Bilans_Hebdo</t>
        </is>
      </c>
      <c r="B192" s="108" t="inlineStr">
        <is>
          <t>Réussites de la semaine</t>
        </is>
      </c>
      <c r="C192" s="108" t="inlineStr">
        <is>
          <t>Saisie</t>
        </is>
      </c>
      <c r="D192" s="109" t="inlineStr">
        <is>
          <t>communication.internal_notes</t>
        </is>
      </c>
      <c r="E192" s="108" t="inlineStr"/>
      <c r="F192" s="108" t="inlineStr">
        <is>
          <t>Ce qui a bien marché</t>
        </is>
      </c>
    </row>
    <row r="193">
      <c r="A193" s="107" t="inlineStr">
        <is>
          <t>Bilans_Hebdo</t>
        </is>
      </c>
      <c r="B193" s="108" t="inlineStr">
        <is>
          <t>Difficultés rencontrées</t>
        </is>
      </c>
      <c r="C193" s="108" t="inlineStr">
        <is>
          <t>Saisie</t>
        </is>
      </c>
      <c r="D193" s="109" t="inlineStr">
        <is>
          <t>—</t>
        </is>
      </c>
      <c r="E193" s="108" t="inlineStr"/>
      <c r="F193" s="108" t="inlineStr">
        <is>
          <t>Blocages, refus, retards</t>
        </is>
      </c>
    </row>
    <row r="194">
      <c r="A194" s="107" t="inlineStr">
        <is>
          <t>Bilans_Hebdo</t>
        </is>
      </c>
      <c r="B194" s="108" t="inlineStr">
        <is>
          <t>Besoins / demandes à la direction</t>
        </is>
      </c>
      <c r="C194" s="108" t="inlineStr">
        <is>
          <t>Saisie</t>
        </is>
      </c>
      <c r="D194" s="109" t="inlineStr">
        <is>
          <t>—</t>
        </is>
      </c>
      <c r="E194" s="108" t="inlineStr"/>
      <c r="F194" s="108" t="inlineStr">
        <is>
          <t>Support, stock, prix, outils…</t>
        </is>
      </c>
    </row>
    <row r="195">
      <c r="A195" s="107" t="inlineStr">
        <is>
          <t>Bilans_Hebdo</t>
        </is>
      </c>
      <c r="B195" s="108" t="inlineStr">
        <is>
          <t>Priorités de la semaine suivante</t>
        </is>
      </c>
      <c r="C195" s="108" t="inlineStr">
        <is>
          <t>Saisie</t>
        </is>
      </c>
      <c r="D195" s="109" t="inlineStr">
        <is>
          <t>—</t>
        </is>
      </c>
      <c r="E195" s="108" t="inlineStr"/>
      <c r="F195" s="108" t="inlineStr">
        <is>
          <t>3 priorités maximum</t>
        </is>
      </c>
    </row>
    <row r="196">
      <c r="A196" s="107" t="inlineStr">
        <is>
          <t>Bilans_Hebdo</t>
        </is>
      </c>
      <c r="B196" s="108" t="inlineStr">
        <is>
          <t>Infos marché (concurrents, prix, tendances)</t>
        </is>
      </c>
      <c r="C196" s="108" t="inlineStr">
        <is>
          <t>Saisie</t>
        </is>
      </c>
      <c r="D196" s="109" t="inlineStr">
        <is>
          <t>—</t>
        </is>
      </c>
      <c r="E196" s="108" t="inlineStr"/>
      <c r="F196" s="108" t="inlineStr">
        <is>
          <t>Veille terrain</t>
        </is>
      </c>
    </row>
    <row r="197">
      <c r="A197" s="107" t="inlineStr">
        <is>
          <t>Bilans_Hebdo</t>
        </is>
      </c>
      <c r="B197" s="108" t="inlineStr">
        <is>
          <t>Vu par le responsable ?</t>
        </is>
      </c>
      <c r="C197" s="108" t="inlineStr">
        <is>
          <t>Saisie</t>
        </is>
      </c>
      <c r="D197" s="109" t="inlineStr">
        <is>
          <t>—</t>
        </is>
      </c>
      <c r="E197" s="108" t="inlineStr"/>
      <c r="F197" s="108" t="inlineStr">
        <is>
          <t>Liste</t>
        </is>
      </c>
    </row>
    <row r="198">
      <c r="A198" s="107" t="inlineStr">
        <is>
          <t>Bilans_Hebdo</t>
        </is>
      </c>
      <c r="B198" s="108" t="inlineStr">
        <is>
          <t>Commentaire du responsable</t>
        </is>
      </c>
      <c r="C198" s="108" t="inlineStr">
        <is>
          <t>Saisie</t>
        </is>
      </c>
      <c r="D198" s="109" t="inlineStr">
        <is>
          <t>—</t>
        </is>
      </c>
      <c r="E198" s="108" t="inlineStr"/>
      <c r="F198" s="108" t="inlineStr">
        <is>
          <t>Retour au commercial</t>
        </is>
      </c>
    </row>
  </sheetData>
  <autoFilter ref="A5:F198"/>
  <hyperlinks>
    <hyperlink xmlns:r="http://schemas.openxmlformats.org/officeDocument/2006/relationships" ref="A3" r:id="rId1"/>
  </hyperlinks>
  <printOptions horizontalCentered="1"/>
  <pageMargins left="0.4" right="0.4" top="0.5" bottom="0.5" header="0.5" footer="0.5"/>
  <pageSetup orientation="landscape" paperSize="9" fitToHeight="0" fitToWidth="1"/>
</worksheet>
</file>

<file path=xl/worksheets/sheet19.xml><?xml version="1.0" encoding="utf-8"?>
<worksheet xmlns="http://schemas.openxmlformats.org/spreadsheetml/2006/main">
  <sheetPr>
    <tabColor rgb="007A4FA3"/>
    <outlinePr summaryBelow="1" summaryRight="1"/>
    <pageSetUpPr fitToPage="1"/>
  </sheetPr>
  <dimension ref="A1:Z75"/>
  <sheetViews>
    <sheetView showGridLines="0" tabSelected="0" zoomScale="90" workbookViewId="0">
      <pane ySplit="5" topLeftCell="A6" activePane="bottomLeft" state="frozen"/>
      <selection pane="bottomLeft"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7" customWidth="1" min="6" max="6"/>
    <col width="15" customWidth="1" min="7" max="7"/>
    <col width="15" customWidth="1" min="8" max="8"/>
    <col width="14" customWidth="1" min="9" max="9"/>
    <col width="14" customWidth="1" min="10" max="10"/>
    <col width="12" customWidth="1" min="11" max="11"/>
    <col width="16" customWidth="1" min="12" max="12"/>
    <col width="3" customWidth="1" min="13" max="13"/>
    <col hidden="1" width="13" customWidth="1" min="16" max="16"/>
    <col hidden="1" width="13" customWidth="1" min="17" max="17"/>
    <col hidden="1" width="13" customWidth="1" min="18" max="18"/>
    <col hidden="1" width="13" customWidth="1" min="19" max="19"/>
    <col hidden="1" width="13" customWidth="1" min="26" max="26"/>
  </cols>
  <sheetData>
    <row r="1" ht="26" customHeight="1">
      <c r="A1" s="15" t="inlineStr">
        <is>
          <t>TABLEAU DE BORD — la performance dans la durée</t>
        </is>
      </c>
      <c r="Z1">
        <f>DATE(YEAR($B$4+3),MONTH($B$4+3),1)</f>
        <v/>
      </c>
    </row>
    <row r="2">
      <c r="A2" s="2" t="inlineStr">
        <is>
          <t>Choisissez la semaine de référence (un lundi) et le commercial : les indicateurs, leur évolution sur 12 semaines et les répartitions se calculent seuls.</t>
        </is>
      </c>
      <c r="Z2">
        <f>DATE(YEAR($B$4+3),MONTH($B$4+3)+1,0)</f>
        <v/>
      </c>
    </row>
    <row r="3">
      <c r="A3" s="16" t="inlineStr">
        <is>
          <t>◄ Sommaire</t>
        </is>
      </c>
      <c r="Z3">
        <f>$B$4-7*11</f>
        <v/>
      </c>
    </row>
    <row r="4">
      <c r="A4" s="52" t="inlineStr">
        <is>
          <t>Semaine de référence (lundi)</t>
        </is>
      </c>
      <c r="B4" s="68">
        <f>TODAY()-WEEKDAY(TODAY(),2)+1</f>
        <v/>
      </c>
      <c r="D4" s="52" t="inlineStr">
        <is>
          <t>Commercial</t>
        </is>
      </c>
      <c r="E4" s="53">
        <f>Commercial_Id</f>
        <v/>
      </c>
      <c r="F4" s="76" t="n"/>
    </row>
    <row r="5">
      <c r="A5" s="52" t="inlineStr">
        <is>
          <t>Semaine</t>
        </is>
      </c>
      <c r="B5" s="77">
        <f>YEAR($B$4-WEEKDAY($B$4,2)+4)&amp;"-S"&amp;TEXT(INT(($B$4-DATE(YEAR($B$4-WEEKDAY($B$4,2)+4),1,3)+WEEKDAY(DATE(YEAR($B$4-WEEKDAY($B$4,2)+4),1,3),2)+5)/7),"00")</f>
        <v/>
      </c>
      <c r="D5" s="52" t="inlineStr">
        <is>
          <t>Nom</t>
        </is>
      </c>
      <c r="E5" s="69">
        <f>IFERROR(INDEX(Equipe_Nom,MATCH($E$4,Equipe_Code,0))&amp;"",IF($E$4=Commercial_Id,Commercial_Nom&amp;"",""))</f>
        <v/>
      </c>
      <c r="F5" s="11" t="n"/>
      <c r="G5" s="11" t="n"/>
      <c r="H5" s="12" t="n"/>
    </row>
    <row r="7" ht="22" customHeight="1">
      <c r="A7" s="3" t="inlineStr">
        <is>
          <t>1. LA SEMAINE EN CHIFFRES (comparée à la précédente)</t>
        </is>
      </c>
      <c r="B7" s="4" t="n"/>
      <c r="C7" s="4" t="n"/>
      <c r="D7" s="4" t="n"/>
      <c r="F7" s="3" t="inlineStr">
        <is>
          <t>2. LE MOIS EN COURS (objectif du mois)</t>
        </is>
      </c>
      <c r="G7" s="4" t="n"/>
      <c r="H7" s="4" t="n"/>
      <c r="I7" s="4" t="n"/>
      <c r="J7" s="4" t="n"/>
    </row>
    <row r="8" ht="32" customHeight="1">
      <c r="A8" s="7" t="inlineStr">
        <is>
          <t>Indicateur</t>
        </is>
      </c>
      <c r="B8" s="7" t="inlineStr">
        <is>
          <t>Cette semaine</t>
        </is>
      </c>
      <c r="C8" s="7" t="inlineStr">
        <is>
          <t>Semaine précédente</t>
        </is>
      </c>
      <c r="D8" s="7" t="inlineStr">
        <is>
          <t>Évolution</t>
        </is>
      </c>
      <c r="F8" s="7" t="inlineStr">
        <is>
          <t>Indicateur</t>
        </is>
      </c>
      <c r="G8" s="12" t="n"/>
      <c r="H8" s="7" t="inlineStr">
        <is>
          <t>Réalisé</t>
        </is>
      </c>
      <c r="I8" s="7" t="inlineStr">
        <is>
          <t>Objectif</t>
        </is>
      </c>
      <c r="J8" s="7" t="inlineStr">
        <is>
          <t>Atteinte</t>
        </is>
      </c>
    </row>
    <row r="9">
      <c r="A9" s="61" t="inlineStr">
        <is>
          <t>Chiffre d'affaires réalisé (XAF)</t>
        </is>
      </c>
      <c r="B9" s="64">
        <f>SUMIFS(Cmd_montant,Cmd_dateca,"&gt;="&amp;$B$4,Cmd_dateca,"&lt;="&amp;($B$4+6),Cmd_commercial,$E$4)</f>
        <v/>
      </c>
      <c r="C9" s="64">
        <f>SUMIFS(Cmd_montant,Cmd_dateca,"&gt;="&amp;($B$4-7),Cmd_dateca,"&lt;="&amp;($B$4-1),Cmd_commercial,$E$4)</f>
        <v/>
      </c>
      <c r="D9" s="110">
        <f>IF(AND(N(B9)=0,N(C9)=0),"–",IF(N(C9)=0,"▲ nouveau",IF(N(B9)&gt;=N(C9),"▲ +","▼ ")&amp;TEXT(ABS(N(B9)/N(C9)-1),"0%")))</f>
        <v/>
      </c>
      <c r="F9" s="61" t="inlineStr">
        <is>
          <t>Chiffre d'affaires réalisé (XAF)</t>
        </is>
      </c>
      <c r="G9" s="63" t="n"/>
      <c r="H9" s="64">
        <f>SUMIFS(Cmd_montant,Cmd_dateca,"&gt;="&amp;$Z$1,Cmd_dateca,"&lt;="&amp;$Z$2,Cmd_commercial,$E$4)</f>
        <v/>
      </c>
      <c r="I9" s="64">
        <f>IF(COUNTIFS(Obj_commercial,$E$4,Obj_metrique,"Chiffre d'affaires (XAF)",Obj_debut,"&lt;="&amp;$Z$1,Obj_fin,"&gt;="&amp;$Z$2,Obj_duree,"&gt;7")=0,"",SUMIFS(Obj_valeur,Obj_commercial,$E$4,Obj_metrique,"Chiffre d'affaires (XAF)",Obj_debut,"&lt;="&amp;$Z$1,Obj_fin,"&gt;="&amp;$Z$2,Obj_duree,"&gt;7"))</f>
        <v/>
      </c>
      <c r="J9" s="96">
        <f>IF(OR(I9="",N(I9)=0),"",H9/I9)</f>
        <v/>
      </c>
    </row>
    <row r="10">
      <c r="A10" s="61" t="inlineStr">
        <is>
          <t>Commandes prises (XAF)</t>
        </is>
      </c>
      <c r="B10" s="64">
        <f>SUMIFS(Cmd_montant,Cmd_date,"&gt;="&amp;$B$4,Cmd_date,"&lt;="&amp;($B$4+6),Cmd_commercial,$E$4,Cmd_statut,"&lt;&gt;Annulée",Cmd_type,"&lt;&gt;Vente directe")</f>
        <v/>
      </c>
      <c r="C10" s="64">
        <f>SUMIFS(Cmd_montant,Cmd_date,"&gt;="&amp;($B$4-7),Cmd_date,"&lt;="&amp;($B$4-1),Cmd_commercial,$E$4,Cmd_statut,"&lt;&gt;Annulée",Cmd_type,"&lt;&gt;Vente directe")</f>
        <v/>
      </c>
      <c r="D10" s="110">
        <f>IF(AND(N(B10)=0,N(C10)=0),"–",IF(N(C10)=0,"▲ nouveau",IF(N(B10)&gt;=N(C10),"▲ +","▼ ")&amp;TEXT(ABS(N(B10)/N(C10)-1),"0%")))</f>
        <v/>
      </c>
      <c r="F10" s="61" t="inlineStr">
        <is>
          <t>Visites sur place</t>
        </is>
      </c>
      <c r="G10" s="63" t="n"/>
      <c r="H10" s="65">
        <f>COUNTIFS(VC_date,"&gt;="&amp;$Z$1,VC_date,"&lt;="&amp;$Z$2,VC_commercial,$E$4,VC_type,"Visite sur place")</f>
        <v/>
      </c>
      <c r="I10" s="65">
        <f>IF(COUNTIFS(Obj_commercial,$E$4,Obj_metrique,"Visites sur place",Obj_debut,"&lt;="&amp;$Z$1,Obj_fin,"&gt;="&amp;$Z$2,Obj_duree,"&gt;7")=0,"",SUMIFS(Obj_valeur,Obj_commercial,$E$4,Obj_metrique,"Visites sur place",Obj_debut,"&lt;="&amp;$Z$1,Obj_fin,"&gt;="&amp;$Z$2,Obj_duree,"&gt;7"))</f>
        <v/>
      </c>
      <c r="J10" s="96">
        <f>IF(OR(I10="",N(I10)=0),"",H10/I10)</f>
        <v/>
      </c>
    </row>
    <row r="11">
      <c r="A11" s="61" t="inlineStr">
        <is>
          <t>Encaissé (XAF)</t>
        </is>
      </c>
      <c r="B11" s="64">
        <f>SUMIFS(Enc_montant,Enc_date,"&gt;="&amp;$B$4,Enc_date,"&lt;="&amp;($B$4+6),Enc_commercial,$E$4)</f>
        <v/>
      </c>
      <c r="C11" s="64">
        <f>SUMIFS(Enc_montant,Enc_date,"&gt;="&amp;($B$4-7),Enc_date,"&lt;="&amp;($B$4-1),Enc_commercial,$E$4)</f>
        <v/>
      </c>
      <c r="D11" s="110">
        <f>IF(AND(N(B11)=0,N(C11)=0),"–",IF(N(C11)=0,"▲ nouveau",IF(N(B11)&gt;=N(C11),"▲ +","▼ ")&amp;TEXT(ABS(N(B11)/N(C11)-1),"0%")))</f>
        <v/>
      </c>
      <c r="F11" s="61" t="inlineStr">
        <is>
          <t>Nouveaux clients</t>
        </is>
      </c>
      <c r="G11" s="63" t="n"/>
      <c r="H11" s="65">
        <f>COUNTIFS(Cl_vente1,"&gt;="&amp;$Z$1,Cl_vente1,"&lt;="&amp;$Z$2,Cl_commercial,$E$4)</f>
        <v/>
      </c>
      <c r="I11" s="65">
        <f>IF(COUNTIFS(Obj_commercial,$E$4,Obj_metrique,"Nouveaux clients",Obj_debut,"&lt;="&amp;$Z$1,Obj_fin,"&gt;="&amp;$Z$2,Obj_duree,"&gt;7")=0,"",SUMIFS(Obj_valeur,Obj_commercial,$E$4,Obj_metrique,"Nouveaux clients",Obj_debut,"&lt;="&amp;$Z$1,Obj_fin,"&gt;="&amp;$Z$2,Obj_duree,"&gt;7"))</f>
        <v/>
      </c>
      <c r="J11" s="96">
        <f>IF(OR(I11="",N(I11)=0),"",H11/I11)</f>
        <v/>
      </c>
    </row>
    <row r="12">
      <c r="A12" s="61" t="inlineStr">
        <is>
          <t>Visites sur place</t>
        </is>
      </c>
      <c r="B12" s="65">
        <f>COUNTIFS(VC_date,"&gt;="&amp;$B$4,VC_date,"&lt;="&amp;($B$4+6),VC_commercial,$E$4,VC_type,"Visite sur place")</f>
        <v/>
      </c>
      <c r="C12" s="65">
        <f>COUNTIFS(VC_date,"&gt;="&amp;($B$4-7),VC_date,"&lt;="&amp;($B$4-1),VC_commercial,$E$4,VC_type,"Visite sur place")</f>
        <v/>
      </c>
      <c r="D12" s="110">
        <f>IF(AND(N(B12)=0,N(C12)=0),"–",IF(N(C12)=0,"▲ nouveau",IF(N(B12)&gt;=N(C12),"▲ +","▼ ")&amp;TEXT(ABS(N(B12)/N(C12)-1),"0%")))</f>
        <v/>
      </c>
      <c r="F12" s="61" t="inlineStr">
        <is>
          <t>Prospects créés</t>
        </is>
      </c>
      <c r="G12" s="63" t="n"/>
      <c r="H12" s="65">
        <f>COUNTIFS(Cl_creation,"&gt;="&amp;$Z$1,Cl_creation,"&lt;="&amp;$Z$2,Cl_commercial,$E$4)</f>
        <v/>
      </c>
      <c r="I12" s="65">
        <f>IF(COUNTIFS(Obj_commercial,$E$4,Obj_metrique,"Prospects créés",Obj_debut,"&lt;="&amp;$Z$1,Obj_fin,"&gt;="&amp;$Z$2,Obj_duree,"&gt;7")=0,"",SUMIFS(Obj_valeur,Obj_commercial,$E$4,Obj_metrique,"Prospects créés",Obj_debut,"&lt;="&amp;$Z$1,Obj_fin,"&gt;="&amp;$Z$2,Obj_duree,"&gt;7"))</f>
        <v/>
      </c>
      <c r="J12" s="96">
        <f>IF(OR(I12="",N(I12)=0),"",H12/I12)</f>
        <v/>
      </c>
    </row>
    <row r="13">
      <c r="A13" s="61" t="inlineStr">
        <is>
          <t>Nouveaux prospects</t>
        </is>
      </c>
      <c r="B13" s="65">
        <f>COUNTIFS(Cl_creation,"&gt;="&amp;$B$4,Cl_creation,"&lt;="&amp;($B$4+6),Cl_commercial,$E$4)</f>
        <v/>
      </c>
      <c r="C13" s="65">
        <f>COUNTIFS(Cl_creation,"&gt;="&amp;($B$4-7),Cl_creation,"&lt;="&amp;($B$4-1),Cl_commercial,$E$4)</f>
        <v/>
      </c>
      <c r="D13" s="110">
        <f>IF(AND(N(B13)=0,N(C13)=0),"–",IF(N(C13)=0,"▲ nouveau",IF(N(B13)&gt;=N(C13),"▲ +","▼ ")&amp;TEXT(ABS(N(B13)/N(C13)-1),"0%")))</f>
        <v/>
      </c>
      <c r="F13" s="61" t="inlineStr">
        <is>
          <t>Encaissé dans le mois (XAF)</t>
        </is>
      </c>
      <c r="G13" s="63" t="n"/>
      <c r="H13" s="64">
        <f>SUMIFS(Enc_montant,Enc_date,"&gt;="&amp;$Z$1,Enc_date,"&lt;="&amp;$Z$2,Enc_commercial,$E$4)</f>
        <v/>
      </c>
      <c r="I13" s="62" t="n"/>
      <c r="J13" s="57" t="n"/>
    </row>
    <row r="14">
      <c r="A14" s="61" t="inlineStr">
        <is>
          <t>Nouveaux clients</t>
        </is>
      </c>
      <c r="B14" s="65">
        <f>COUNTIFS(Cl_vente1,"&gt;="&amp;$B$4,Cl_vente1,"&lt;="&amp;($B$4+6),Cl_commercial,$E$4)</f>
        <v/>
      </c>
      <c r="C14" s="65">
        <f>COUNTIFS(Cl_vente1,"&gt;="&amp;($B$4-7),Cl_vente1,"&lt;="&amp;($B$4-1),Cl_commercial,$E$4)</f>
        <v/>
      </c>
      <c r="D14" s="110">
        <f>IF(AND(N(B14)=0,N(C14)=0),"–",IF(N(C14)=0,"▲ nouveau",IF(N(B14)&gt;=N(C14),"▲ +","▼ ")&amp;TEXT(ABS(N(B14)/N(C14)-1),"0%")))</f>
        <v/>
      </c>
      <c r="F14" s="61" t="inlineStr">
        <is>
          <t>Taux de recouvrement (encaissé ÷ CA)</t>
        </is>
      </c>
      <c r="G14" s="63" t="n"/>
      <c r="H14" s="111">
        <f>IF(N(H9)=0,"",H13/H9)</f>
        <v/>
      </c>
      <c r="I14" s="62" t="n"/>
      <c r="J14" s="57" t="n"/>
    </row>
    <row r="15">
      <c r="A15" s="61" t="inlineStr">
        <is>
          <t>Taux de conversion (visites → commande)</t>
        </is>
      </c>
      <c r="B15" s="111">
        <f>IF(COUNTIFS(VC_date,"&gt;="&amp;$B$4,VC_date,"&lt;="&amp;($B$4+6),VC_commercial,$E$4,VC_type,"Visite sur place")=0,"",COUNTIFS(VC_date,"&gt;="&amp;$B$4,VC_date,"&lt;="&amp;($B$4+6),VC_commercial,$E$4,VC_type,"Visite sur place",VC_resultat,"Commande prise")/COUNTIFS(VC_date,"&gt;="&amp;$B$4,VC_date,"&lt;="&amp;($B$4+6),VC_commercial,$E$4,VC_type,"Visite sur place"))</f>
        <v/>
      </c>
      <c r="C15" s="111">
        <f>IF(COUNTIFS(VC_date,"&gt;="&amp;($B$4-7),VC_date,"&lt;="&amp;($B$4-1),VC_commercial,$E$4,VC_type,"Visite sur place")=0,"",COUNTIFS(VC_date,"&gt;="&amp;($B$4-7),VC_date,"&lt;="&amp;($B$4-1),VC_commercial,$E$4,VC_type,"Visite sur place",VC_resultat,"Commande prise")/COUNTIFS(VC_date,"&gt;="&amp;($B$4-7),VC_date,"&lt;="&amp;($B$4-1),VC_commercial,$E$4,VC_type,"Visite sur place"))</f>
        <v/>
      </c>
      <c r="D15" s="110">
        <f>IF(AND(B15="",C15=""),"–",IF(B15="","▼ "&amp;TEXT(N(C15)*100,"0")&amp;" pts",IF(C15="","▲ +"&amp;TEXT(N(B15)*100,"0")&amp;" pts",IF(N(B15)&gt;=N(C15),"▲ +","▼ ")&amp;TEXT(ABS(N(B15)-N(C15))*100,"0")&amp;" pts")))</f>
        <v/>
      </c>
      <c r="F15" s="61" t="inlineStr">
        <is>
          <t>Jours travaillés (Journal)</t>
        </is>
      </c>
      <c r="G15" s="63" t="n"/>
      <c r="H15" s="65">
        <f>COUNTIFS(Jr_date,"&gt;="&amp;$Z$1,Jr_date,"&lt;="&amp;$Z$2,Jr_commercial,$E$4)</f>
        <v/>
      </c>
      <c r="I15" s="62" t="n"/>
      <c r="J15" s="57" t="n"/>
    </row>
    <row r="16">
      <c r="A16" s="61" t="inlineStr">
        <is>
          <t>Panier moyen (XAF par vente)</t>
        </is>
      </c>
      <c r="B16" s="64">
        <f>IF(SUMIFS(Cmd_venteunique,Cmd_dateca,"&gt;="&amp;$B$4,Cmd_dateca,"&lt;="&amp;($B$4+6),Cmd_commercial,$E$4)=0,"",SUMIFS(Cmd_montant,Cmd_dateca,"&gt;="&amp;$B$4,Cmd_dateca,"&lt;="&amp;($B$4+6),Cmd_commercial,$E$4)/SUMIFS(Cmd_venteunique,Cmd_dateca,"&gt;="&amp;$B$4,Cmd_dateca,"&lt;="&amp;($B$4+6),Cmd_commercial,$E$4))</f>
        <v/>
      </c>
      <c r="C16" s="64">
        <f>IF(SUMIFS(Cmd_venteunique,Cmd_dateca,"&gt;="&amp;($B$4-7),Cmd_dateca,"&lt;="&amp;($B$4-1),Cmd_commercial,$E$4)=0,"",SUMIFS(Cmd_montant,Cmd_dateca,"&gt;="&amp;($B$4-7),Cmd_dateca,"&lt;="&amp;($B$4-1),Cmd_commercial,$E$4)/SUMIFS(Cmd_venteunique,Cmd_dateca,"&gt;="&amp;($B$4-7),Cmd_dateca,"&lt;="&amp;($B$4-1),Cmd_commercial,$E$4))</f>
        <v/>
      </c>
      <c r="D16" s="110">
        <f>IF(AND(N(B16)=0,N(C16)=0),"–",IF(N(C16)=0,"▲ nouveau",IF(N(B16)&gt;=N(C16),"▲ +","▼ ")&amp;TEXT(ABS(N(B16)/N(C16)-1),"0%")))</f>
        <v/>
      </c>
      <c r="F16" s="61" t="inlineStr">
        <is>
          <t>CA moyen par jour travaillé (XAF)</t>
        </is>
      </c>
      <c r="G16" s="63" t="n"/>
      <c r="H16" s="64">
        <f>IF(N(H15)=0,"",H9/H15)</f>
        <v/>
      </c>
      <c r="I16" s="62" t="n"/>
      <c r="J16" s="57" t="n"/>
    </row>
    <row r="17">
      <c r="A17" s="61" t="inlineStr">
        <is>
          <t>Frais engagés (XAF)</t>
        </is>
      </c>
      <c r="B17" s="64">
        <f>SUMIFS(Jr_frais,Jr_date,"&gt;="&amp;$B$4,Jr_date,"&lt;="&amp;($B$4+6),Jr_commercial,$E$4)</f>
        <v/>
      </c>
      <c r="C17" s="64">
        <f>SUMIFS(Jr_frais,Jr_date,"&gt;="&amp;($B$4-7),Jr_date,"&lt;="&amp;($B$4-1),Jr_commercial,$E$4)</f>
        <v/>
      </c>
      <c r="D17" s="110">
        <f>IF(AND(N(B17)=0,N(C17)=0),"–",IF(N(C17)=0,"▲ nouveau",IF(N(B17)&gt;=N(C17),"▲ +","▼ ")&amp;TEXT(ABS(N(B17)/N(C17)-1),"0%")))</f>
        <v/>
      </c>
      <c r="F17" s="61" t="inlineStr">
        <is>
          <t>CA par visite sur place (XAF)</t>
        </is>
      </c>
      <c r="G17" s="63" t="n"/>
      <c r="H17" s="64">
        <f>IF(N(H10)=0,"",H9/H10)</f>
        <v/>
      </c>
      <c r="I17" s="62" t="n"/>
      <c r="J17" s="57" t="n"/>
    </row>
    <row r="18">
      <c r="A18" s="61" t="inlineStr">
        <is>
          <t>Casses et pertes (XAF)</t>
        </is>
      </c>
      <c r="B18" s="64">
        <f>SUMIFS(Stk_valeur,Stk_date,"&gt;="&amp;$B$4,Stk_date,"&lt;="&amp;($B$4+6),Stk_commercial,$E$4,Stk_mouvement,"Casse / avarie")+SUMIFS(Stk_valeur,Stk_date,"&gt;="&amp;$B$4,Stk_date,"&lt;="&amp;($B$4+6),Stk_commercial,$E$4,Stk_mouvement,"Perte / vol")</f>
        <v/>
      </c>
      <c r="C18" s="64">
        <f>SUMIFS(Stk_valeur,Stk_date,"&gt;="&amp;($B$4-7),Stk_date,"&lt;="&amp;($B$4-1),Stk_commercial,$E$4,Stk_mouvement,"Casse / avarie")+SUMIFS(Stk_valeur,Stk_date,"&gt;="&amp;($B$4-7),Stk_date,"&lt;="&amp;($B$4-1),Stk_commercial,$E$4,Stk_mouvement,"Perte / vol")</f>
        <v/>
      </c>
      <c r="D18" s="110">
        <f>IF(AND(N(B18)=0,N(C18)=0),"–",IF(N(C18)=0,"▲ nouveau",IF(N(B18)&gt;=N(C18),"▲ +","▼ ")&amp;TEXT(ABS(N(B18)/N(C18)-1),"0%")))</f>
        <v/>
      </c>
    </row>
    <row r="20" ht="22" customHeight="1">
      <c r="A20" s="3" t="inlineStr">
        <is>
          <t>3. MON PORTEFEUILLE (état à ce jour)</t>
        </is>
      </c>
      <c r="B20" s="4" t="n"/>
      <c r="C20" s="4" t="n"/>
      <c r="D20" s="4" t="n"/>
      <c r="E20" s="4" t="n"/>
      <c r="F20" s="4" t="n"/>
      <c r="G20" s="4" t="n"/>
      <c r="H20" s="4" t="n"/>
      <c r="I20" s="4" t="n"/>
      <c r="J20" s="4" t="n"/>
    </row>
    <row r="21">
      <c r="A21" s="61" t="inlineStr">
        <is>
          <t>Comptes au total</t>
        </is>
      </c>
      <c r="B21" s="71">
        <f>COUNTIFS(Cl_commercial,$E$4,Cl_nom,"?*")</f>
        <v/>
      </c>
      <c r="C21" s="112" t="inlineStr">
        <is>
          <t>Entonnoir des prospects</t>
        </is>
      </c>
      <c r="D21" s="12" t="n"/>
      <c r="F21" s="61" t="inlineStr">
        <is>
          <t>Clients actifs (achat récent)</t>
        </is>
      </c>
      <c r="G21" s="63" t="n"/>
      <c r="H21" s="71">
        <f>COUNTIFS(Cl_commercial,$E$4,Cl_statut,"Client",Cl_dernierevente,"&gt;="&amp;TODAY()-P_JoursInactif)</f>
        <v/>
      </c>
    </row>
    <row r="22">
      <c r="A22" s="61" t="inlineStr">
        <is>
          <t>Prospects</t>
        </is>
      </c>
      <c r="B22" s="71">
        <f>COUNTIFS(Cl_commercial,$E$4,Cl_statut,"Prospect")</f>
        <v/>
      </c>
      <c r="C22" s="57" t="inlineStr">
        <is>
          <t>Nouveau</t>
        </is>
      </c>
      <c r="D22" s="84">
        <f>COUNTIFS(Cl_commercial,$E$4,Cl_statut,"Prospect",Cl_etape,"Nouveau")</f>
        <v/>
      </c>
      <c r="F22" s="61" t="inlineStr">
        <is>
          <t>Clients inactifs</t>
        </is>
      </c>
      <c r="G22" s="63" t="n"/>
      <c r="H22" s="71">
        <f>B23-H21</f>
        <v/>
      </c>
    </row>
    <row r="23">
      <c r="A23" s="61" t="inlineStr">
        <is>
          <t>Clients</t>
        </is>
      </c>
      <c r="B23" s="71">
        <f>COUNTIFS(Cl_commercial,$E$4,Cl_statut,"Client")</f>
        <v/>
      </c>
      <c r="C23" s="57" t="inlineStr">
        <is>
          <t>Contacté</t>
        </is>
      </c>
      <c r="D23" s="84">
        <f>COUNTIFS(Cl_commercial,$E$4,Cl_statut,"Prospect",Cl_etape,"Contacté")</f>
        <v/>
      </c>
      <c r="F23" s="61" t="inlineStr">
        <is>
          <t>Créances : reste à encaisser (XAF)</t>
        </is>
      </c>
      <c r="G23" s="63" t="n"/>
      <c r="H23" s="72">
        <f>SUMIFS(Cl_reste,Cl_commercial,$E$4,Cl_reste,"&gt;0")</f>
        <v/>
      </c>
    </row>
    <row r="24">
      <c r="A24" s="61" t="inlineStr">
        <is>
          <t>Comptes perdus</t>
        </is>
      </c>
      <c r="B24" s="71">
        <f>COUNTIFS(Cl_commercial,$E$4,Cl_statut,"Perdu")</f>
        <v/>
      </c>
      <c r="C24" s="57" t="inlineStr">
        <is>
          <t>Intéressé</t>
        </is>
      </c>
      <c r="D24" s="84">
        <f>COUNTIFS(Cl_commercial,$E$4,Cl_statut,"Prospect",Cl_etape,"Intéressé")</f>
        <v/>
      </c>
      <c r="F24" s="61" t="inlineStr">
        <is>
          <t>Espèces détenues, non versées (XAF)</t>
        </is>
      </c>
      <c r="G24" s="63" t="n"/>
      <c r="H24" s="72">
        <f>SUMIFS(Enc_montant,Enc_commercial,$E$4,Enc_mode,"Espèces",Enc_date,"&lt;="&amp;TODAY())-SUMIFS(Enc_montant,Enc_commercial,$E$4,Enc_mode,"Espèces",Enc_verse,"☑ Oui",Enc_date,"&lt;="&amp;TODAY())</f>
        <v/>
      </c>
    </row>
    <row r="25">
      <c r="A25" s="61" t="inlineStr">
        <is>
          <t>Taux de transformation (clients ÷ comptes)</t>
        </is>
      </c>
      <c r="B25" s="113">
        <f>IF(B21=0,"",B23/B21)</f>
        <v/>
      </c>
      <c r="C25" s="57" t="inlineStr">
        <is>
          <t>Négociation</t>
        </is>
      </c>
      <c r="D25" s="84">
        <f>COUNTIFS(Cl_commercial,$E$4,Cl_statut,"Prospect",Cl_etape,"Négociation")</f>
        <v/>
      </c>
      <c r="F25" s="61" t="inlineStr">
        <is>
          <t>Comptes à surveiller (alerte)</t>
        </is>
      </c>
      <c r="G25" s="63" t="n"/>
      <c r="H25" s="71">
        <f>COUNTIFS(Cl_commercial,$E$4,Cl_alerte,"?*")</f>
        <v/>
      </c>
    </row>
    <row r="26">
      <c r="C26" s="61" t="inlineStr">
        <is>
          <t>→ Clients</t>
        </is>
      </c>
      <c r="D26" s="86">
        <f>B23</f>
        <v/>
      </c>
    </row>
    <row r="28" ht="22" customHeight="1">
      <c r="A28" s="3" t="inlineStr">
        <is>
          <t>4. ÉVOLUTION SUR 12 SEMAINES (jusqu'à la semaine de référence)</t>
        </is>
      </c>
      <c r="B28" s="4" t="n"/>
      <c r="C28" s="4" t="n"/>
      <c r="D28" s="4" t="n"/>
      <c r="E28" s="4" t="n"/>
      <c r="F28" s="4" t="n"/>
      <c r="G28" s="4" t="n"/>
      <c r="H28" s="4" t="n"/>
      <c r="I28" s="4" t="n"/>
      <c r="J28" s="4" t="n"/>
      <c r="K28" s="4" t="n"/>
      <c r="L28" s="4" t="n"/>
    </row>
    <row r="29" ht="46" customHeight="1">
      <c r="A29" s="7" t="inlineStr">
        <is>
          <t>Semaine du (lundi)</t>
        </is>
      </c>
      <c r="B29" s="7" t="inlineStr">
        <is>
          <t>Visites sur place</t>
        </is>
      </c>
      <c r="C29" s="7" t="inlineStr">
        <is>
          <t>Contacts à distance</t>
        </is>
      </c>
      <c r="D29" s="7" t="inlineStr">
        <is>
          <t>Nouveaux prospects</t>
        </is>
      </c>
      <c r="E29" s="7" t="inlineStr">
        <is>
          <t>Nouveaux clients</t>
        </is>
      </c>
      <c r="F29" s="7" t="inlineStr">
        <is>
          <t>Commandes prises (XAF)</t>
        </is>
      </c>
      <c r="G29" s="7" t="inlineStr">
        <is>
          <t>CA réalisé (XAF)</t>
        </is>
      </c>
      <c r="H29" s="7" t="inlineStr">
        <is>
          <t>Encaissé (XAF)</t>
        </is>
      </c>
      <c r="I29" s="7" t="inlineStr">
        <is>
          <t>Frais (XAF)</t>
        </is>
      </c>
      <c r="J29" s="7" t="inlineStr">
        <is>
          <t>Casses (XAF)</t>
        </is>
      </c>
      <c r="K29" s="7" t="inlineStr">
        <is>
          <t>Conversion visite → commande</t>
        </is>
      </c>
      <c r="L29" s="7" t="inlineStr">
        <is>
          <t>CA cumulé (XAF)</t>
        </is>
      </c>
    </row>
    <row r="30">
      <c r="A30" s="114">
        <f>$B$4-7*11</f>
        <v/>
      </c>
      <c r="B30" s="65">
        <f>COUNTIFS(VC_date,"&gt;="&amp;$A30,VC_date,"&lt;="&amp;($A30+6),VC_commercial,$E$4,VC_type,"Visite sur place")</f>
        <v/>
      </c>
      <c r="C30" s="65">
        <f>COUNTIFS(VC_date,"&gt;="&amp;$A30,VC_date,"&lt;="&amp;($A30+6),VC_commercial,$E$4,VC_type,"&lt;&gt;Visite sur place",VC_type,"&lt;&gt;")</f>
        <v/>
      </c>
      <c r="D30" s="65">
        <f>COUNTIFS(Cl_creation,"&gt;="&amp;$A30,Cl_creation,"&lt;="&amp;($A30+6),Cl_commercial,$E$4)</f>
        <v/>
      </c>
      <c r="E30" s="65">
        <f>COUNTIFS(Cl_vente1,"&gt;="&amp;$A30,Cl_vente1,"&lt;="&amp;($A30+6),Cl_commercial,$E$4)</f>
        <v/>
      </c>
      <c r="F30" s="64">
        <f>SUMIFS(Cmd_montant,Cmd_date,"&gt;="&amp;$A30,Cmd_date,"&lt;="&amp;($A30+6),Cmd_commercial,$E$4,Cmd_statut,"&lt;&gt;Annulée",Cmd_type,"&lt;&gt;Vente directe")</f>
        <v/>
      </c>
      <c r="G30" s="64">
        <f>SUMIFS(Cmd_montant,Cmd_dateca,"&gt;="&amp;$A30,Cmd_dateca,"&lt;="&amp;($A30+6),Cmd_commercial,$E$4)</f>
        <v/>
      </c>
      <c r="H30" s="64">
        <f>SUMIFS(Enc_montant,Enc_date,"&gt;="&amp;$A30,Enc_date,"&lt;="&amp;($A30+6),Enc_commercial,$E$4)</f>
        <v/>
      </c>
      <c r="I30" s="64">
        <f>SUMIFS(Jr_frais,Jr_date,"&gt;="&amp;$A30,Jr_date,"&lt;="&amp;($A30+6),Jr_commercial,$E$4)</f>
        <v/>
      </c>
      <c r="J30" s="64">
        <f>SUMIFS(Stk_valeur,Stk_date,"&gt;="&amp;$A30,Stk_date,"&lt;="&amp;($A30+6),Stk_commercial,$E$4,Stk_mouvement,"Casse / avarie")+SUMIFS(Stk_valeur,Stk_date,"&gt;="&amp;$A30,Stk_date,"&lt;="&amp;($A30+6),Stk_commercial,$E$4,Stk_mouvement,"Perte / vol")</f>
        <v/>
      </c>
      <c r="K30" s="85">
        <f>IF(B30=0,"",COUNTIFS(VC_date,"&gt;="&amp;$A30,VC_date,"&lt;="&amp;($A30+6),VC_commercial,$E$4,VC_type,"Visite sur place",VC_resultat,"Commande prise")/B30)</f>
        <v/>
      </c>
      <c r="L30" s="64">
        <f>SUM(G$30:G30)</f>
        <v/>
      </c>
      <c r="Q30">
        <f>IFERROR(INDEX(L_Zone,1)&amp;"","")</f>
        <v/>
      </c>
      <c r="R30">
        <f>IF(Q30="",0,SUMIFS(Cmd_montant,Cmd_quartier,Q30,Cmd_dateca,"&gt;="&amp;$Z$3,Cmd_dateca,"&lt;="&amp;($B$4+6),Cmd_commercial,$E$4))</f>
        <v/>
      </c>
      <c r="S30">
        <f>IF(R30&gt;0,ROUND(R30,0)+ROW()/1000000,0)</f>
        <v/>
      </c>
    </row>
    <row r="31">
      <c r="A31" s="114">
        <f>$B$4-7*10</f>
        <v/>
      </c>
      <c r="B31" s="65">
        <f>COUNTIFS(VC_date,"&gt;="&amp;$A31,VC_date,"&lt;="&amp;($A31+6),VC_commercial,$E$4,VC_type,"Visite sur place")</f>
        <v/>
      </c>
      <c r="C31" s="65">
        <f>COUNTIFS(VC_date,"&gt;="&amp;$A31,VC_date,"&lt;="&amp;($A31+6),VC_commercial,$E$4,VC_type,"&lt;&gt;Visite sur place",VC_type,"&lt;&gt;")</f>
        <v/>
      </c>
      <c r="D31" s="65">
        <f>COUNTIFS(Cl_creation,"&gt;="&amp;$A31,Cl_creation,"&lt;="&amp;($A31+6),Cl_commercial,$E$4)</f>
        <v/>
      </c>
      <c r="E31" s="65">
        <f>COUNTIFS(Cl_vente1,"&gt;="&amp;$A31,Cl_vente1,"&lt;="&amp;($A31+6),Cl_commercial,$E$4)</f>
        <v/>
      </c>
      <c r="F31" s="64">
        <f>SUMIFS(Cmd_montant,Cmd_date,"&gt;="&amp;$A31,Cmd_date,"&lt;="&amp;($A31+6),Cmd_commercial,$E$4,Cmd_statut,"&lt;&gt;Annulée",Cmd_type,"&lt;&gt;Vente directe")</f>
        <v/>
      </c>
      <c r="G31" s="64">
        <f>SUMIFS(Cmd_montant,Cmd_dateca,"&gt;="&amp;$A31,Cmd_dateca,"&lt;="&amp;($A31+6),Cmd_commercial,$E$4)</f>
        <v/>
      </c>
      <c r="H31" s="64">
        <f>SUMIFS(Enc_montant,Enc_date,"&gt;="&amp;$A31,Enc_date,"&lt;="&amp;($A31+6),Enc_commercial,$E$4)</f>
        <v/>
      </c>
      <c r="I31" s="64">
        <f>SUMIFS(Jr_frais,Jr_date,"&gt;="&amp;$A31,Jr_date,"&lt;="&amp;($A31+6),Jr_commercial,$E$4)</f>
        <v/>
      </c>
      <c r="J31" s="64">
        <f>SUMIFS(Stk_valeur,Stk_date,"&gt;="&amp;$A31,Stk_date,"&lt;="&amp;($A31+6),Stk_commercial,$E$4,Stk_mouvement,"Casse / avarie")+SUMIFS(Stk_valeur,Stk_date,"&gt;="&amp;$A31,Stk_date,"&lt;="&amp;($A31+6),Stk_commercial,$E$4,Stk_mouvement,"Perte / vol")</f>
        <v/>
      </c>
      <c r="K31" s="85">
        <f>IF(B31=0,"",COUNTIFS(VC_date,"&gt;="&amp;$A31,VC_date,"&lt;="&amp;($A31+6),VC_commercial,$E$4,VC_type,"Visite sur place",VC_resultat,"Commande prise")/B31)</f>
        <v/>
      </c>
      <c r="L31" s="64">
        <f>SUM(G$30:G31)</f>
        <v/>
      </c>
      <c r="Q31">
        <f>IFERROR(INDEX(L_Zone,2)&amp;"","")</f>
        <v/>
      </c>
      <c r="R31">
        <f>IF(Q31="",0,SUMIFS(Cmd_montant,Cmd_quartier,Q31,Cmd_dateca,"&gt;="&amp;$Z$3,Cmd_dateca,"&lt;="&amp;($B$4+6),Cmd_commercial,$E$4))</f>
        <v/>
      </c>
      <c r="S31">
        <f>IF(R31&gt;0,ROUND(R31,0)+ROW()/1000000,0)</f>
        <v/>
      </c>
    </row>
    <row r="32">
      <c r="A32" s="114">
        <f>$B$4-7*9</f>
        <v/>
      </c>
      <c r="B32" s="65">
        <f>COUNTIFS(VC_date,"&gt;="&amp;$A32,VC_date,"&lt;="&amp;($A32+6),VC_commercial,$E$4,VC_type,"Visite sur place")</f>
        <v/>
      </c>
      <c r="C32" s="65">
        <f>COUNTIFS(VC_date,"&gt;="&amp;$A32,VC_date,"&lt;="&amp;($A32+6),VC_commercial,$E$4,VC_type,"&lt;&gt;Visite sur place",VC_type,"&lt;&gt;")</f>
        <v/>
      </c>
      <c r="D32" s="65">
        <f>COUNTIFS(Cl_creation,"&gt;="&amp;$A32,Cl_creation,"&lt;="&amp;($A32+6),Cl_commercial,$E$4)</f>
        <v/>
      </c>
      <c r="E32" s="65">
        <f>COUNTIFS(Cl_vente1,"&gt;="&amp;$A32,Cl_vente1,"&lt;="&amp;($A32+6),Cl_commercial,$E$4)</f>
        <v/>
      </c>
      <c r="F32" s="64">
        <f>SUMIFS(Cmd_montant,Cmd_date,"&gt;="&amp;$A32,Cmd_date,"&lt;="&amp;($A32+6),Cmd_commercial,$E$4,Cmd_statut,"&lt;&gt;Annulée",Cmd_type,"&lt;&gt;Vente directe")</f>
        <v/>
      </c>
      <c r="G32" s="64">
        <f>SUMIFS(Cmd_montant,Cmd_dateca,"&gt;="&amp;$A32,Cmd_dateca,"&lt;="&amp;($A32+6),Cmd_commercial,$E$4)</f>
        <v/>
      </c>
      <c r="H32" s="64">
        <f>SUMIFS(Enc_montant,Enc_date,"&gt;="&amp;$A32,Enc_date,"&lt;="&amp;($A32+6),Enc_commercial,$E$4)</f>
        <v/>
      </c>
      <c r="I32" s="64">
        <f>SUMIFS(Jr_frais,Jr_date,"&gt;="&amp;$A32,Jr_date,"&lt;="&amp;($A32+6),Jr_commercial,$E$4)</f>
        <v/>
      </c>
      <c r="J32" s="64">
        <f>SUMIFS(Stk_valeur,Stk_date,"&gt;="&amp;$A32,Stk_date,"&lt;="&amp;($A32+6),Stk_commercial,$E$4,Stk_mouvement,"Casse / avarie")+SUMIFS(Stk_valeur,Stk_date,"&gt;="&amp;$A32,Stk_date,"&lt;="&amp;($A32+6),Stk_commercial,$E$4,Stk_mouvement,"Perte / vol")</f>
        <v/>
      </c>
      <c r="K32" s="85">
        <f>IF(B32=0,"",COUNTIFS(VC_date,"&gt;="&amp;$A32,VC_date,"&lt;="&amp;($A32+6),VC_commercial,$E$4,VC_type,"Visite sur place",VC_resultat,"Commande prise")/B32)</f>
        <v/>
      </c>
      <c r="L32" s="64">
        <f>SUM(G$30:G32)</f>
        <v/>
      </c>
      <c r="Q32">
        <f>IFERROR(INDEX(L_Zone,3)&amp;"","")</f>
        <v/>
      </c>
      <c r="R32">
        <f>IF(Q32="",0,SUMIFS(Cmd_montant,Cmd_quartier,Q32,Cmd_dateca,"&gt;="&amp;$Z$3,Cmd_dateca,"&lt;="&amp;($B$4+6),Cmd_commercial,$E$4))</f>
        <v/>
      </c>
      <c r="S32">
        <f>IF(R32&gt;0,ROUND(R32,0)+ROW()/1000000,0)</f>
        <v/>
      </c>
    </row>
    <row r="33">
      <c r="A33" s="114">
        <f>$B$4-7*8</f>
        <v/>
      </c>
      <c r="B33" s="65">
        <f>COUNTIFS(VC_date,"&gt;="&amp;$A33,VC_date,"&lt;="&amp;($A33+6),VC_commercial,$E$4,VC_type,"Visite sur place")</f>
        <v/>
      </c>
      <c r="C33" s="65">
        <f>COUNTIFS(VC_date,"&gt;="&amp;$A33,VC_date,"&lt;="&amp;($A33+6),VC_commercial,$E$4,VC_type,"&lt;&gt;Visite sur place",VC_type,"&lt;&gt;")</f>
        <v/>
      </c>
      <c r="D33" s="65">
        <f>COUNTIFS(Cl_creation,"&gt;="&amp;$A33,Cl_creation,"&lt;="&amp;($A33+6),Cl_commercial,$E$4)</f>
        <v/>
      </c>
      <c r="E33" s="65">
        <f>COUNTIFS(Cl_vente1,"&gt;="&amp;$A33,Cl_vente1,"&lt;="&amp;($A33+6),Cl_commercial,$E$4)</f>
        <v/>
      </c>
      <c r="F33" s="64">
        <f>SUMIFS(Cmd_montant,Cmd_date,"&gt;="&amp;$A33,Cmd_date,"&lt;="&amp;($A33+6),Cmd_commercial,$E$4,Cmd_statut,"&lt;&gt;Annulée",Cmd_type,"&lt;&gt;Vente directe")</f>
        <v/>
      </c>
      <c r="G33" s="64">
        <f>SUMIFS(Cmd_montant,Cmd_dateca,"&gt;="&amp;$A33,Cmd_dateca,"&lt;="&amp;($A33+6),Cmd_commercial,$E$4)</f>
        <v/>
      </c>
      <c r="H33" s="64">
        <f>SUMIFS(Enc_montant,Enc_date,"&gt;="&amp;$A33,Enc_date,"&lt;="&amp;($A33+6),Enc_commercial,$E$4)</f>
        <v/>
      </c>
      <c r="I33" s="64">
        <f>SUMIFS(Jr_frais,Jr_date,"&gt;="&amp;$A33,Jr_date,"&lt;="&amp;($A33+6),Jr_commercial,$E$4)</f>
        <v/>
      </c>
      <c r="J33" s="64">
        <f>SUMIFS(Stk_valeur,Stk_date,"&gt;="&amp;$A33,Stk_date,"&lt;="&amp;($A33+6),Stk_commercial,$E$4,Stk_mouvement,"Casse / avarie")+SUMIFS(Stk_valeur,Stk_date,"&gt;="&amp;$A33,Stk_date,"&lt;="&amp;($A33+6),Stk_commercial,$E$4,Stk_mouvement,"Perte / vol")</f>
        <v/>
      </c>
      <c r="K33" s="85">
        <f>IF(B33=0,"",COUNTIFS(VC_date,"&gt;="&amp;$A33,VC_date,"&lt;="&amp;($A33+6),VC_commercial,$E$4,VC_type,"Visite sur place",VC_resultat,"Commande prise")/B33)</f>
        <v/>
      </c>
      <c r="L33" s="64">
        <f>SUM(G$30:G33)</f>
        <v/>
      </c>
      <c r="Q33">
        <f>IFERROR(INDEX(L_Zone,4)&amp;"","")</f>
        <v/>
      </c>
      <c r="R33">
        <f>IF(Q33="",0,SUMIFS(Cmd_montant,Cmd_quartier,Q33,Cmd_dateca,"&gt;="&amp;$Z$3,Cmd_dateca,"&lt;="&amp;($B$4+6),Cmd_commercial,$E$4))</f>
        <v/>
      </c>
      <c r="S33">
        <f>IF(R33&gt;0,ROUND(R33,0)+ROW()/1000000,0)</f>
        <v/>
      </c>
    </row>
    <row r="34">
      <c r="A34" s="114">
        <f>$B$4-7*7</f>
        <v/>
      </c>
      <c r="B34" s="65">
        <f>COUNTIFS(VC_date,"&gt;="&amp;$A34,VC_date,"&lt;="&amp;($A34+6),VC_commercial,$E$4,VC_type,"Visite sur place")</f>
        <v/>
      </c>
      <c r="C34" s="65">
        <f>COUNTIFS(VC_date,"&gt;="&amp;$A34,VC_date,"&lt;="&amp;($A34+6),VC_commercial,$E$4,VC_type,"&lt;&gt;Visite sur place",VC_type,"&lt;&gt;")</f>
        <v/>
      </c>
      <c r="D34" s="65">
        <f>COUNTIFS(Cl_creation,"&gt;="&amp;$A34,Cl_creation,"&lt;="&amp;($A34+6),Cl_commercial,$E$4)</f>
        <v/>
      </c>
      <c r="E34" s="65">
        <f>COUNTIFS(Cl_vente1,"&gt;="&amp;$A34,Cl_vente1,"&lt;="&amp;($A34+6),Cl_commercial,$E$4)</f>
        <v/>
      </c>
      <c r="F34" s="64">
        <f>SUMIFS(Cmd_montant,Cmd_date,"&gt;="&amp;$A34,Cmd_date,"&lt;="&amp;($A34+6),Cmd_commercial,$E$4,Cmd_statut,"&lt;&gt;Annulée",Cmd_type,"&lt;&gt;Vente directe")</f>
        <v/>
      </c>
      <c r="G34" s="64">
        <f>SUMIFS(Cmd_montant,Cmd_dateca,"&gt;="&amp;$A34,Cmd_dateca,"&lt;="&amp;($A34+6),Cmd_commercial,$E$4)</f>
        <v/>
      </c>
      <c r="H34" s="64">
        <f>SUMIFS(Enc_montant,Enc_date,"&gt;="&amp;$A34,Enc_date,"&lt;="&amp;($A34+6),Enc_commercial,$E$4)</f>
        <v/>
      </c>
      <c r="I34" s="64">
        <f>SUMIFS(Jr_frais,Jr_date,"&gt;="&amp;$A34,Jr_date,"&lt;="&amp;($A34+6),Jr_commercial,$E$4)</f>
        <v/>
      </c>
      <c r="J34" s="64">
        <f>SUMIFS(Stk_valeur,Stk_date,"&gt;="&amp;$A34,Stk_date,"&lt;="&amp;($A34+6),Stk_commercial,$E$4,Stk_mouvement,"Casse / avarie")+SUMIFS(Stk_valeur,Stk_date,"&gt;="&amp;$A34,Stk_date,"&lt;="&amp;($A34+6),Stk_commercial,$E$4,Stk_mouvement,"Perte / vol")</f>
        <v/>
      </c>
      <c r="K34" s="85">
        <f>IF(B34=0,"",COUNTIFS(VC_date,"&gt;="&amp;$A34,VC_date,"&lt;="&amp;($A34+6),VC_commercial,$E$4,VC_type,"Visite sur place",VC_resultat,"Commande prise")/B34)</f>
        <v/>
      </c>
      <c r="L34" s="64">
        <f>SUM(G$30:G34)</f>
        <v/>
      </c>
      <c r="Q34">
        <f>IFERROR(INDEX(L_Zone,5)&amp;"","")</f>
        <v/>
      </c>
      <c r="R34">
        <f>IF(Q34="",0,SUMIFS(Cmd_montant,Cmd_quartier,Q34,Cmd_dateca,"&gt;="&amp;$Z$3,Cmd_dateca,"&lt;="&amp;($B$4+6),Cmd_commercial,$E$4))</f>
        <v/>
      </c>
      <c r="S34">
        <f>IF(R34&gt;0,ROUND(R34,0)+ROW()/1000000,0)</f>
        <v/>
      </c>
    </row>
    <row r="35">
      <c r="A35" s="114">
        <f>$B$4-7*6</f>
        <v/>
      </c>
      <c r="B35" s="65">
        <f>COUNTIFS(VC_date,"&gt;="&amp;$A35,VC_date,"&lt;="&amp;($A35+6),VC_commercial,$E$4,VC_type,"Visite sur place")</f>
        <v/>
      </c>
      <c r="C35" s="65">
        <f>COUNTIFS(VC_date,"&gt;="&amp;$A35,VC_date,"&lt;="&amp;($A35+6),VC_commercial,$E$4,VC_type,"&lt;&gt;Visite sur place",VC_type,"&lt;&gt;")</f>
        <v/>
      </c>
      <c r="D35" s="65">
        <f>COUNTIFS(Cl_creation,"&gt;="&amp;$A35,Cl_creation,"&lt;="&amp;($A35+6),Cl_commercial,$E$4)</f>
        <v/>
      </c>
      <c r="E35" s="65">
        <f>COUNTIFS(Cl_vente1,"&gt;="&amp;$A35,Cl_vente1,"&lt;="&amp;($A35+6),Cl_commercial,$E$4)</f>
        <v/>
      </c>
      <c r="F35" s="64">
        <f>SUMIFS(Cmd_montant,Cmd_date,"&gt;="&amp;$A35,Cmd_date,"&lt;="&amp;($A35+6),Cmd_commercial,$E$4,Cmd_statut,"&lt;&gt;Annulée",Cmd_type,"&lt;&gt;Vente directe")</f>
        <v/>
      </c>
      <c r="G35" s="64">
        <f>SUMIFS(Cmd_montant,Cmd_dateca,"&gt;="&amp;$A35,Cmd_dateca,"&lt;="&amp;($A35+6),Cmd_commercial,$E$4)</f>
        <v/>
      </c>
      <c r="H35" s="64">
        <f>SUMIFS(Enc_montant,Enc_date,"&gt;="&amp;$A35,Enc_date,"&lt;="&amp;($A35+6),Enc_commercial,$E$4)</f>
        <v/>
      </c>
      <c r="I35" s="64">
        <f>SUMIFS(Jr_frais,Jr_date,"&gt;="&amp;$A35,Jr_date,"&lt;="&amp;($A35+6),Jr_commercial,$E$4)</f>
        <v/>
      </c>
      <c r="J35" s="64">
        <f>SUMIFS(Stk_valeur,Stk_date,"&gt;="&amp;$A35,Stk_date,"&lt;="&amp;($A35+6),Stk_commercial,$E$4,Stk_mouvement,"Casse / avarie")+SUMIFS(Stk_valeur,Stk_date,"&gt;="&amp;$A35,Stk_date,"&lt;="&amp;($A35+6),Stk_commercial,$E$4,Stk_mouvement,"Perte / vol")</f>
        <v/>
      </c>
      <c r="K35" s="85">
        <f>IF(B35=0,"",COUNTIFS(VC_date,"&gt;="&amp;$A35,VC_date,"&lt;="&amp;($A35+6),VC_commercial,$E$4,VC_type,"Visite sur place",VC_resultat,"Commande prise")/B35)</f>
        <v/>
      </c>
      <c r="L35" s="64">
        <f>SUM(G$30:G35)</f>
        <v/>
      </c>
      <c r="Q35">
        <f>IFERROR(INDEX(L_Zone,6)&amp;"","")</f>
        <v/>
      </c>
      <c r="R35">
        <f>IF(Q35="",0,SUMIFS(Cmd_montant,Cmd_quartier,Q35,Cmd_dateca,"&gt;="&amp;$Z$3,Cmd_dateca,"&lt;="&amp;($B$4+6),Cmd_commercial,$E$4))</f>
        <v/>
      </c>
      <c r="S35">
        <f>IF(R35&gt;0,ROUND(R35,0)+ROW()/1000000,0)</f>
        <v/>
      </c>
    </row>
    <row r="36">
      <c r="A36" s="114">
        <f>$B$4-7*5</f>
        <v/>
      </c>
      <c r="B36" s="65">
        <f>COUNTIFS(VC_date,"&gt;="&amp;$A36,VC_date,"&lt;="&amp;($A36+6),VC_commercial,$E$4,VC_type,"Visite sur place")</f>
        <v/>
      </c>
      <c r="C36" s="65">
        <f>COUNTIFS(VC_date,"&gt;="&amp;$A36,VC_date,"&lt;="&amp;($A36+6),VC_commercial,$E$4,VC_type,"&lt;&gt;Visite sur place",VC_type,"&lt;&gt;")</f>
        <v/>
      </c>
      <c r="D36" s="65">
        <f>COUNTIFS(Cl_creation,"&gt;="&amp;$A36,Cl_creation,"&lt;="&amp;($A36+6),Cl_commercial,$E$4)</f>
        <v/>
      </c>
      <c r="E36" s="65">
        <f>COUNTIFS(Cl_vente1,"&gt;="&amp;$A36,Cl_vente1,"&lt;="&amp;($A36+6),Cl_commercial,$E$4)</f>
        <v/>
      </c>
      <c r="F36" s="64">
        <f>SUMIFS(Cmd_montant,Cmd_date,"&gt;="&amp;$A36,Cmd_date,"&lt;="&amp;($A36+6),Cmd_commercial,$E$4,Cmd_statut,"&lt;&gt;Annulée",Cmd_type,"&lt;&gt;Vente directe")</f>
        <v/>
      </c>
      <c r="G36" s="64">
        <f>SUMIFS(Cmd_montant,Cmd_dateca,"&gt;="&amp;$A36,Cmd_dateca,"&lt;="&amp;($A36+6),Cmd_commercial,$E$4)</f>
        <v/>
      </c>
      <c r="H36" s="64">
        <f>SUMIFS(Enc_montant,Enc_date,"&gt;="&amp;$A36,Enc_date,"&lt;="&amp;($A36+6),Enc_commercial,$E$4)</f>
        <v/>
      </c>
      <c r="I36" s="64">
        <f>SUMIFS(Jr_frais,Jr_date,"&gt;="&amp;$A36,Jr_date,"&lt;="&amp;($A36+6),Jr_commercial,$E$4)</f>
        <v/>
      </c>
      <c r="J36" s="64">
        <f>SUMIFS(Stk_valeur,Stk_date,"&gt;="&amp;$A36,Stk_date,"&lt;="&amp;($A36+6),Stk_commercial,$E$4,Stk_mouvement,"Casse / avarie")+SUMIFS(Stk_valeur,Stk_date,"&gt;="&amp;$A36,Stk_date,"&lt;="&amp;($A36+6),Stk_commercial,$E$4,Stk_mouvement,"Perte / vol")</f>
        <v/>
      </c>
      <c r="K36" s="85">
        <f>IF(B36=0,"",COUNTIFS(VC_date,"&gt;="&amp;$A36,VC_date,"&lt;="&amp;($A36+6),VC_commercial,$E$4,VC_type,"Visite sur place",VC_resultat,"Commande prise")/B36)</f>
        <v/>
      </c>
      <c r="L36" s="64">
        <f>SUM(G$30:G36)</f>
        <v/>
      </c>
      <c r="Q36">
        <f>IFERROR(INDEX(L_Zone,7)&amp;"","")</f>
        <v/>
      </c>
      <c r="R36">
        <f>IF(Q36="",0,SUMIFS(Cmd_montant,Cmd_quartier,Q36,Cmd_dateca,"&gt;="&amp;$Z$3,Cmd_dateca,"&lt;="&amp;($B$4+6),Cmd_commercial,$E$4))</f>
        <v/>
      </c>
      <c r="S36">
        <f>IF(R36&gt;0,ROUND(R36,0)+ROW()/1000000,0)</f>
        <v/>
      </c>
    </row>
    <row r="37">
      <c r="A37" s="114">
        <f>$B$4-7*4</f>
        <v/>
      </c>
      <c r="B37" s="65">
        <f>COUNTIFS(VC_date,"&gt;="&amp;$A37,VC_date,"&lt;="&amp;($A37+6),VC_commercial,$E$4,VC_type,"Visite sur place")</f>
        <v/>
      </c>
      <c r="C37" s="65">
        <f>COUNTIFS(VC_date,"&gt;="&amp;$A37,VC_date,"&lt;="&amp;($A37+6),VC_commercial,$E$4,VC_type,"&lt;&gt;Visite sur place",VC_type,"&lt;&gt;")</f>
        <v/>
      </c>
      <c r="D37" s="65">
        <f>COUNTIFS(Cl_creation,"&gt;="&amp;$A37,Cl_creation,"&lt;="&amp;($A37+6),Cl_commercial,$E$4)</f>
        <v/>
      </c>
      <c r="E37" s="65">
        <f>COUNTIFS(Cl_vente1,"&gt;="&amp;$A37,Cl_vente1,"&lt;="&amp;($A37+6),Cl_commercial,$E$4)</f>
        <v/>
      </c>
      <c r="F37" s="64">
        <f>SUMIFS(Cmd_montant,Cmd_date,"&gt;="&amp;$A37,Cmd_date,"&lt;="&amp;($A37+6),Cmd_commercial,$E$4,Cmd_statut,"&lt;&gt;Annulée",Cmd_type,"&lt;&gt;Vente directe")</f>
        <v/>
      </c>
      <c r="G37" s="64">
        <f>SUMIFS(Cmd_montant,Cmd_dateca,"&gt;="&amp;$A37,Cmd_dateca,"&lt;="&amp;($A37+6),Cmd_commercial,$E$4)</f>
        <v/>
      </c>
      <c r="H37" s="64">
        <f>SUMIFS(Enc_montant,Enc_date,"&gt;="&amp;$A37,Enc_date,"&lt;="&amp;($A37+6),Enc_commercial,$E$4)</f>
        <v/>
      </c>
      <c r="I37" s="64">
        <f>SUMIFS(Jr_frais,Jr_date,"&gt;="&amp;$A37,Jr_date,"&lt;="&amp;($A37+6),Jr_commercial,$E$4)</f>
        <v/>
      </c>
      <c r="J37" s="64">
        <f>SUMIFS(Stk_valeur,Stk_date,"&gt;="&amp;$A37,Stk_date,"&lt;="&amp;($A37+6),Stk_commercial,$E$4,Stk_mouvement,"Casse / avarie")+SUMIFS(Stk_valeur,Stk_date,"&gt;="&amp;$A37,Stk_date,"&lt;="&amp;($A37+6),Stk_commercial,$E$4,Stk_mouvement,"Perte / vol")</f>
        <v/>
      </c>
      <c r="K37" s="85">
        <f>IF(B37=0,"",COUNTIFS(VC_date,"&gt;="&amp;$A37,VC_date,"&lt;="&amp;($A37+6),VC_commercial,$E$4,VC_type,"Visite sur place",VC_resultat,"Commande prise")/B37)</f>
        <v/>
      </c>
      <c r="L37" s="64">
        <f>SUM(G$30:G37)</f>
        <v/>
      </c>
      <c r="Q37">
        <f>IFERROR(INDEX(L_Zone,8)&amp;"","")</f>
        <v/>
      </c>
      <c r="R37">
        <f>IF(Q37="",0,SUMIFS(Cmd_montant,Cmd_quartier,Q37,Cmd_dateca,"&gt;="&amp;$Z$3,Cmd_dateca,"&lt;="&amp;($B$4+6),Cmd_commercial,$E$4))</f>
        <v/>
      </c>
      <c r="S37">
        <f>IF(R37&gt;0,ROUND(R37,0)+ROW()/1000000,0)</f>
        <v/>
      </c>
    </row>
    <row r="38">
      <c r="A38" s="114">
        <f>$B$4-7*3</f>
        <v/>
      </c>
      <c r="B38" s="65">
        <f>COUNTIFS(VC_date,"&gt;="&amp;$A38,VC_date,"&lt;="&amp;($A38+6),VC_commercial,$E$4,VC_type,"Visite sur place")</f>
        <v/>
      </c>
      <c r="C38" s="65">
        <f>COUNTIFS(VC_date,"&gt;="&amp;$A38,VC_date,"&lt;="&amp;($A38+6),VC_commercial,$E$4,VC_type,"&lt;&gt;Visite sur place",VC_type,"&lt;&gt;")</f>
        <v/>
      </c>
      <c r="D38" s="65">
        <f>COUNTIFS(Cl_creation,"&gt;="&amp;$A38,Cl_creation,"&lt;="&amp;($A38+6),Cl_commercial,$E$4)</f>
        <v/>
      </c>
      <c r="E38" s="65">
        <f>COUNTIFS(Cl_vente1,"&gt;="&amp;$A38,Cl_vente1,"&lt;="&amp;($A38+6),Cl_commercial,$E$4)</f>
        <v/>
      </c>
      <c r="F38" s="64">
        <f>SUMIFS(Cmd_montant,Cmd_date,"&gt;="&amp;$A38,Cmd_date,"&lt;="&amp;($A38+6),Cmd_commercial,$E$4,Cmd_statut,"&lt;&gt;Annulée",Cmd_type,"&lt;&gt;Vente directe")</f>
        <v/>
      </c>
      <c r="G38" s="64">
        <f>SUMIFS(Cmd_montant,Cmd_dateca,"&gt;="&amp;$A38,Cmd_dateca,"&lt;="&amp;($A38+6),Cmd_commercial,$E$4)</f>
        <v/>
      </c>
      <c r="H38" s="64">
        <f>SUMIFS(Enc_montant,Enc_date,"&gt;="&amp;$A38,Enc_date,"&lt;="&amp;($A38+6),Enc_commercial,$E$4)</f>
        <v/>
      </c>
      <c r="I38" s="64">
        <f>SUMIFS(Jr_frais,Jr_date,"&gt;="&amp;$A38,Jr_date,"&lt;="&amp;($A38+6),Jr_commercial,$E$4)</f>
        <v/>
      </c>
      <c r="J38" s="64">
        <f>SUMIFS(Stk_valeur,Stk_date,"&gt;="&amp;$A38,Stk_date,"&lt;="&amp;($A38+6),Stk_commercial,$E$4,Stk_mouvement,"Casse / avarie")+SUMIFS(Stk_valeur,Stk_date,"&gt;="&amp;$A38,Stk_date,"&lt;="&amp;($A38+6),Stk_commercial,$E$4,Stk_mouvement,"Perte / vol")</f>
        <v/>
      </c>
      <c r="K38" s="85">
        <f>IF(B38=0,"",COUNTIFS(VC_date,"&gt;="&amp;$A38,VC_date,"&lt;="&amp;($A38+6),VC_commercial,$E$4,VC_type,"Visite sur place",VC_resultat,"Commande prise")/B38)</f>
        <v/>
      </c>
      <c r="L38" s="64">
        <f>SUM(G$30:G38)</f>
        <v/>
      </c>
      <c r="Q38">
        <f>IFERROR(INDEX(L_Zone,9)&amp;"","")</f>
        <v/>
      </c>
      <c r="R38">
        <f>IF(Q38="",0,SUMIFS(Cmd_montant,Cmd_quartier,Q38,Cmd_dateca,"&gt;="&amp;$Z$3,Cmd_dateca,"&lt;="&amp;($B$4+6),Cmd_commercial,$E$4))</f>
        <v/>
      </c>
      <c r="S38">
        <f>IF(R38&gt;0,ROUND(R38,0)+ROW()/1000000,0)</f>
        <v/>
      </c>
    </row>
    <row r="39">
      <c r="A39" s="114">
        <f>$B$4-7*2</f>
        <v/>
      </c>
      <c r="B39" s="65">
        <f>COUNTIFS(VC_date,"&gt;="&amp;$A39,VC_date,"&lt;="&amp;($A39+6),VC_commercial,$E$4,VC_type,"Visite sur place")</f>
        <v/>
      </c>
      <c r="C39" s="65">
        <f>COUNTIFS(VC_date,"&gt;="&amp;$A39,VC_date,"&lt;="&amp;($A39+6),VC_commercial,$E$4,VC_type,"&lt;&gt;Visite sur place",VC_type,"&lt;&gt;")</f>
        <v/>
      </c>
      <c r="D39" s="65">
        <f>COUNTIFS(Cl_creation,"&gt;="&amp;$A39,Cl_creation,"&lt;="&amp;($A39+6),Cl_commercial,$E$4)</f>
        <v/>
      </c>
      <c r="E39" s="65">
        <f>COUNTIFS(Cl_vente1,"&gt;="&amp;$A39,Cl_vente1,"&lt;="&amp;($A39+6),Cl_commercial,$E$4)</f>
        <v/>
      </c>
      <c r="F39" s="64">
        <f>SUMIFS(Cmd_montant,Cmd_date,"&gt;="&amp;$A39,Cmd_date,"&lt;="&amp;($A39+6),Cmd_commercial,$E$4,Cmd_statut,"&lt;&gt;Annulée",Cmd_type,"&lt;&gt;Vente directe")</f>
        <v/>
      </c>
      <c r="G39" s="64">
        <f>SUMIFS(Cmd_montant,Cmd_dateca,"&gt;="&amp;$A39,Cmd_dateca,"&lt;="&amp;($A39+6),Cmd_commercial,$E$4)</f>
        <v/>
      </c>
      <c r="H39" s="64">
        <f>SUMIFS(Enc_montant,Enc_date,"&gt;="&amp;$A39,Enc_date,"&lt;="&amp;($A39+6),Enc_commercial,$E$4)</f>
        <v/>
      </c>
      <c r="I39" s="64">
        <f>SUMIFS(Jr_frais,Jr_date,"&gt;="&amp;$A39,Jr_date,"&lt;="&amp;($A39+6),Jr_commercial,$E$4)</f>
        <v/>
      </c>
      <c r="J39" s="64">
        <f>SUMIFS(Stk_valeur,Stk_date,"&gt;="&amp;$A39,Stk_date,"&lt;="&amp;($A39+6),Stk_commercial,$E$4,Stk_mouvement,"Casse / avarie")+SUMIFS(Stk_valeur,Stk_date,"&gt;="&amp;$A39,Stk_date,"&lt;="&amp;($A39+6),Stk_commercial,$E$4,Stk_mouvement,"Perte / vol")</f>
        <v/>
      </c>
      <c r="K39" s="85">
        <f>IF(B39=0,"",COUNTIFS(VC_date,"&gt;="&amp;$A39,VC_date,"&lt;="&amp;($A39+6),VC_commercial,$E$4,VC_type,"Visite sur place",VC_resultat,"Commande prise")/B39)</f>
        <v/>
      </c>
      <c r="L39" s="64">
        <f>SUM(G$30:G39)</f>
        <v/>
      </c>
      <c r="Q39">
        <f>IFERROR(INDEX(L_Zone,10)&amp;"","")</f>
        <v/>
      </c>
      <c r="R39">
        <f>IF(Q39="",0,SUMIFS(Cmd_montant,Cmd_quartier,Q39,Cmd_dateca,"&gt;="&amp;$Z$3,Cmd_dateca,"&lt;="&amp;($B$4+6),Cmd_commercial,$E$4))</f>
        <v/>
      </c>
      <c r="S39">
        <f>IF(R39&gt;0,ROUND(R39,0)+ROW()/1000000,0)</f>
        <v/>
      </c>
    </row>
    <row r="40">
      <c r="A40" s="114">
        <f>$B$4-7*1</f>
        <v/>
      </c>
      <c r="B40" s="65">
        <f>COUNTIFS(VC_date,"&gt;="&amp;$A40,VC_date,"&lt;="&amp;($A40+6),VC_commercial,$E$4,VC_type,"Visite sur place")</f>
        <v/>
      </c>
      <c r="C40" s="65">
        <f>COUNTIFS(VC_date,"&gt;="&amp;$A40,VC_date,"&lt;="&amp;($A40+6),VC_commercial,$E$4,VC_type,"&lt;&gt;Visite sur place",VC_type,"&lt;&gt;")</f>
        <v/>
      </c>
      <c r="D40" s="65">
        <f>COUNTIFS(Cl_creation,"&gt;="&amp;$A40,Cl_creation,"&lt;="&amp;($A40+6),Cl_commercial,$E$4)</f>
        <v/>
      </c>
      <c r="E40" s="65">
        <f>COUNTIFS(Cl_vente1,"&gt;="&amp;$A40,Cl_vente1,"&lt;="&amp;($A40+6),Cl_commercial,$E$4)</f>
        <v/>
      </c>
      <c r="F40" s="64">
        <f>SUMIFS(Cmd_montant,Cmd_date,"&gt;="&amp;$A40,Cmd_date,"&lt;="&amp;($A40+6),Cmd_commercial,$E$4,Cmd_statut,"&lt;&gt;Annulée",Cmd_type,"&lt;&gt;Vente directe")</f>
        <v/>
      </c>
      <c r="G40" s="64">
        <f>SUMIFS(Cmd_montant,Cmd_dateca,"&gt;="&amp;$A40,Cmd_dateca,"&lt;="&amp;($A40+6),Cmd_commercial,$E$4)</f>
        <v/>
      </c>
      <c r="H40" s="64">
        <f>SUMIFS(Enc_montant,Enc_date,"&gt;="&amp;$A40,Enc_date,"&lt;="&amp;($A40+6),Enc_commercial,$E$4)</f>
        <v/>
      </c>
      <c r="I40" s="64">
        <f>SUMIFS(Jr_frais,Jr_date,"&gt;="&amp;$A40,Jr_date,"&lt;="&amp;($A40+6),Jr_commercial,$E$4)</f>
        <v/>
      </c>
      <c r="J40" s="64">
        <f>SUMIFS(Stk_valeur,Stk_date,"&gt;="&amp;$A40,Stk_date,"&lt;="&amp;($A40+6),Stk_commercial,$E$4,Stk_mouvement,"Casse / avarie")+SUMIFS(Stk_valeur,Stk_date,"&gt;="&amp;$A40,Stk_date,"&lt;="&amp;($A40+6),Stk_commercial,$E$4,Stk_mouvement,"Perte / vol")</f>
        <v/>
      </c>
      <c r="K40" s="85">
        <f>IF(B40=0,"",COUNTIFS(VC_date,"&gt;="&amp;$A40,VC_date,"&lt;="&amp;($A40+6),VC_commercial,$E$4,VC_type,"Visite sur place",VC_resultat,"Commande prise")/B40)</f>
        <v/>
      </c>
      <c r="L40" s="64">
        <f>SUM(G$30:G40)</f>
        <v/>
      </c>
      <c r="Q40">
        <f>IFERROR(INDEX(L_Zone,11)&amp;"","")</f>
        <v/>
      </c>
      <c r="R40">
        <f>IF(Q40="",0,SUMIFS(Cmd_montant,Cmd_quartier,Q40,Cmd_dateca,"&gt;="&amp;$Z$3,Cmd_dateca,"&lt;="&amp;($B$4+6),Cmd_commercial,$E$4))</f>
        <v/>
      </c>
      <c r="S40">
        <f>IF(R40&gt;0,ROUND(R40,0)+ROW()/1000000,0)</f>
        <v/>
      </c>
    </row>
    <row r="41">
      <c r="A41" s="114">
        <f>$B$4-7*0</f>
        <v/>
      </c>
      <c r="B41" s="65">
        <f>COUNTIFS(VC_date,"&gt;="&amp;$A41,VC_date,"&lt;="&amp;($A41+6),VC_commercial,$E$4,VC_type,"Visite sur place")</f>
        <v/>
      </c>
      <c r="C41" s="65">
        <f>COUNTIFS(VC_date,"&gt;="&amp;$A41,VC_date,"&lt;="&amp;($A41+6),VC_commercial,$E$4,VC_type,"&lt;&gt;Visite sur place",VC_type,"&lt;&gt;")</f>
        <v/>
      </c>
      <c r="D41" s="65">
        <f>COUNTIFS(Cl_creation,"&gt;="&amp;$A41,Cl_creation,"&lt;="&amp;($A41+6),Cl_commercial,$E$4)</f>
        <v/>
      </c>
      <c r="E41" s="65">
        <f>COUNTIFS(Cl_vente1,"&gt;="&amp;$A41,Cl_vente1,"&lt;="&amp;($A41+6),Cl_commercial,$E$4)</f>
        <v/>
      </c>
      <c r="F41" s="64">
        <f>SUMIFS(Cmd_montant,Cmd_date,"&gt;="&amp;$A41,Cmd_date,"&lt;="&amp;($A41+6),Cmd_commercial,$E$4,Cmd_statut,"&lt;&gt;Annulée",Cmd_type,"&lt;&gt;Vente directe")</f>
        <v/>
      </c>
      <c r="G41" s="64">
        <f>SUMIFS(Cmd_montant,Cmd_dateca,"&gt;="&amp;$A41,Cmd_dateca,"&lt;="&amp;($A41+6),Cmd_commercial,$E$4)</f>
        <v/>
      </c>
      <c r="H41" s="64">
        <f>SUMIFS(Enc_montant,Enc_date,"&gt;="&amp;$A41,Enc_date,"&lt;="&amp;($A41+6),Enc_commercial,$E$4)</f>
        <v/>
      </c>
      <c r="I41" s="64">
        <f>SUMIFS(Jr_frais,Jr_date,"&gt;="&amp;$A41,Jr_date,"&lt;="&amp;($A41+6),Jr_commercial,$E$4)</f>
        <v/>
      </c>
      <c r="J41" s="64">
        <f>SUMIFS(Stk_valeur,Stk_date,"&gt;="&amp;$A41,Stk_date,"&lt;="&amp;($A41+6),Stk_commercial,$E$4,Stk_mouvement,"Casse / avarie")+SUMIFS(Stk_valeur,Stk_date,"&gt;="&amp;$A41,Stk_date,"&lt;="&amp;($A41+6),Stk_commercial,$E$4,Stk_mouvement,"Perte / vol")</f>
        <v/>
      </c>
      <c r="K41" s="85">
        <f>IF(B41=0,"",COUNTIFS(VC_date,"&gt;="&amp;$A41,VC_date,"&lt;="&amp;($A41+6),VC_commercial,$E$4,VC_type,"Visite sur place",VC_resultat,"Commande prise")/B41)</f>
        <v/>
      </c>
      <c r="L41" s="64">
        <f>SUM(G$30:G41)</f>
        <v/>
      </c>
      <c r="Q41">
        <f>IFERROR(INDEX(L_Zone,12)&amp;"","")</f>
        <v/>
      </c>
      <c r="R41">
        <f>IF(Q41="",0,SUMIFS(Cmd_montant,Cmd_quartier,Q41,Cmd_dateca,"&gt;="&amp;$Z$3,Cmd_dateca,"&lt;="&amp;($B$4+6),Cmd_commercial,$E$4))</f>
        <v/>
      </c>
      <c r="S41">
        <f>IF(R41&gt;0,ROUND(R41,0)+ROW()/1000000,0)</f>
        <v/>
      </c>
    </row>
    <row r="42">
      <c r="A42" s="79" t="inlineStr">
        <is>
          <t>TOTAL SUR 12 SEMAINES</t>
        </is>
      </c>
      <c r="B42" s="81">
        <f>SUM(B30:B41)</f>
        <v/>
      </c>
      <c r="C42" s="81">
        <f>SUM(C30:C41)</f>
        <v/>
      </c>
      <c r="D42" s="81">
        <f>SUM(D30:D41)</f>
        <v/>
      </c>
      <c r="E42" s="81">
        <f>SUM(E30:E41)</f>
        <v/>
      </c>
      <c r="F42" s="82">
        <f>SUM(F30:F41)</f>
        <v/>
      </c>
      <c r="G42" s="82">
        <f>SUM(G30:G41)</f>
        <v/>
      </c>
      <c r="H42" s="82">
        <f>SUM(H30:H41)</f>
        <v/>
      </c>
      <c r="I42" s="82">
        <f>SUM(I30:I41)</f>
        <v/>
      </c>
      <c r="J42" s="82">
        <f>SUM(J30:J41)</f>
        <v/>
      </c>
      <c r="K42" s="93">
        <f>IF(B42=0,"",COUNTIFS(VC_date,"&gt;="&amp;$Z$3,VC_date,"&lt;="&amp;($B$4+6),VC_commercial,$E$4,VC_type,"Visite sur place",VC_resultat,"Commande prise")/B42)</f>
        <v/>
      </c>
      <c r="L42" s="80" t="n"/>
      <c r="Q42">
        <f>IFERROR(INDEX(L_Zone,13)&amp;"","")</f>
        <v/>
      </c>
      <c r="R42">
        <f>IF(Q42="",0,SUMIFS(Cmd_montant,Cmd_quartier,Q42,Cmd_dateca,"&gt;="&amp;$Z$3,Cmd_dateca,"&lt;="&amp;($B$4+6),Cmd_commercial,$E$4))</f>
        <v/>
      </c>
      <c r="S42">
        <f>IF(R42&gt;0,ROUND(R42,0)+ROW()/1000000,0)</f>
        <v/>
      </c>
    </row>
    <row r="43">
      <c r="Q43">
        <f>IFERROR(INDEX(L_Zone,14)&amp;"","")</f>
        <v/>
      </c>
      <c r="R43">
        <f>IF(Q43="",0,SUMIFS(Cmd_montant,Cmd_quartier,Q43,Cmd_dateca,"&gt;="&amp;$Z$3,Cmd_dateca,"&lt;="&amp;($B$4+6),Cmd_commercial,$E$4))</f>
        <v/>
      </c>
      <c r="S43">
        <f>IF(R43&gt;0,ROUND(R43,0)+ROW()/1000000,0)</f>
        <v/>
      </c>
    </row>
    <row r="44" ht="22" customHeight="1">
      <c r="A44" s="3" t="inlineStr">
        <is>
          <t>5. GRAPHIQUES D'ÉVOLUTION</t>
        </is>
      </c>
      <c r="B44" s="4" t="n"/>
      <c r="C44" s="4" t="n"/>
      <c r="D44" s="4" t="n"/>
      <c r="E44" s="4" t="n"/>
      <c r="F44" s="4" t="n"/>
      <c r="G44" s="4" t="n"/>
      <c r="H44" s="4" t="n"/>
      <c r="I44" s="4" t="n"/>
      <c r="J44" s="4" t="n"/>
      <c r="K44" s="4" t="n"/>
      <c r="L44" s="4" t="n"/>
      <c r="Q44">
        <f>IFERROR(INDEX(L_Zone,15)&amp;"","")</f>
        <v/>
      </c>
      <c r="R44">
        <f>IF(Q44="",0,SUMIFS(Cmd_montant,Cmd_quartier,Q44,Cmd_dateca,"&gt;="&amp;$Z$3,Cmd_dateca,"&lt;="&amp;($B$4+6),Cmd_commercial,$E$4))</f>
        <v/>
      </c>
      <c r="S44">
        <f>IF(R44&gt;0,ROUND(R44,0)+ROW()/1000000,0)</f>
        <v/>
      </c>
    </row>
    <row r="45">
      <c r="Q45">
        <f>IFERROR(INDEX(L_Zone,16)&amp;"","")</f>
        <v/>
      </c>
      <c r="R45">
        <f>IF(Q45="",0,SUMIFS(Cmd_montant,Cmd_quartier,Q45,Cmd_dateca,"&gt;="&amp;$Z$3,Cmd_dateca,"&lt;="&amp;($B$4+6),Cmd_commercial,$E$4))</f>
        <v/>
      </c>
      <c r="S45">
        <f>IF(R45&gt;0,ROUND(R45,0)+ROW()/1000000,0)</f>
        <v/>
      </c>
    </row>
    <row r="46">
      <c r="Q46">
        <f>IFERROR(INDEX(L_Zone,17)&amp;"","")</f>
        <v/>
      </c>
      <c r="R46">
        <f>IF(Q46="",0,SUMIFS(Cmd_montant,Cmd_quartier,Q46,Cmd_dateca,"&gt;="&amp;$Z$3,Cmd_dateca,"&lt;="&amp;($B$4+6),Cmd_commercial,$E$4))</f>
        <v/>
      </c>
      <c r="S46">
        <f>IF(R46&gt;0,ROUND(R46,0)+ROW()/1000000,0)</f>
        <v/>
      </c>
    </row>
    <row r="47">
      <c r="Q47">
        <f>IFERROR(INDEX(L_Zone,18)&amp;"","")</f>
        <v/>
      </c>
      <c r="R47">
        <f>IF(Q47="",0,SUMIFS(Cmd_montant,Cmd_quartier,Q47,Cmd_dateca,"&gt;="&amp;$Z$3,Cmd_dateca,"&lt;="&amp;($B$4+6),Cmd_commercial,$E$4))</f>
        <v/>
      </c>
      <c r="S47">
        <f>IF(R47&gt;0,ROUND(R47,0)+ROW()/1000000,0)</f>
        <v/>
      </c>
    </row>
    <row r="48">
      <c r="Q48">
        <f>IFERROR(INDEX(L_Zone,19)&amp;"","")</f>
        <v/>
      </c>
      <c r="R48">
        <f>IF(Q48="",0,SUMIFS(Cmd_montant,Cmd_quartier,Q48,Cmd_dateca,"&gt;="&amp;$Z$3,Cmd_dateca,"&lt;="&amp;($B$4+6),Cmd_commercial,$E$4))</f>
        <v/>
      </c>
      <c r="S48">
        <f>IF(R48&gt;0,ROUND(R48,0)+ROW()/1000000,0)</f>
        <v/>
      </c>
    </row>
    <row r="62" ht="22" customHeight="1">
      <c r="A62" s="3" t="inlineStr">
        <is>
          <t>6. RÉPARTITIONS SUR 12 SEMAINES</t>
        </is>
      </c>
      <c r="B62" s="4" t="n"/>
      <c r="C62" s="4" t="n"/>
      <c r="D62" s="4" t="n"/>
      <c r="E62" s="4" t="n"/>
      <c r="F62" s="4" t="n"/>
      <c r="G62" s="4" t="n"/>
      <c r="H62" s="4" t="n"/>
      <c r="I62" s="4" t="n"/>
      <c r="J62" s="4" t="n"/>
      <c r="K62" s="4" t="n"/>
      <c r="L62" s="4" t="n"/>
    </row>
    <row r="63" ht="32" customHeight="1">
      <c r="A63" s="7" t="inlineStr">
        <is>
          <t>CA par produit</t>
        </is>
      </c>
      <c r="B63" s="7" t="inlineStr">
        <is>
          <t>CA (XAF)</t>
        </is>
      </c>
      <c r="C63" s="7" t="inlineStr">
        <is>
          <t>Part</t>
        </is>
      </c>
      <c r="E63" s="7" t="inlineStr">
        <is>
          <t>Top quartiers (CA)</t>
        </is>
      </c>
      <c r="F63" s="7" t="inlineStr">
        <is>
          <t>CA (XAF)</t>
        </is>
      </c>
      <c r="G63" s="7" t="inlineStr">
        <is>
          <t>Part</t>
        </is>
      </c>
      <c r="I63" s="7" t="inlineStr">
        <is>
          <t>Résultat des visites</t>
        </is>
      </c>
      <c r="J63" s="7" t="inlineStr">
        <is>
          <t>Nombre</t>
        </is>
      </c>
      <c r="K63" s="7" t="inlineStr">
        <is>
          <t>Part</t>
        </is>
      </c>
    </row>
    <row r="64">
      <c r="A64" s="57">
        <f>IFERROR(INDEX(L_Produit,1)&amp;"","")</f>
        <v/>
      </c>
      <c r="B64" s="64">
        <f>IF($A64="","",SUMIFS(Cmd_montant,Cmd_produit,$A64,Cmd_dateca,"&gt;="&amp;$Z$3,Cmd_dateca,"&lt;="&amp;($B$4+6),Cmd_commercial,$E$4))</f>
        <v/>
      </c>
      <c r="C64" s="85">
        <f>IF(OR($A64="",N($B$71)=0),"",B64/$B$71)</f>
        <v/>
      </c>
      <c r="E64" s="57">
        <f>IF($P64="","",INDEX($Q$1:$Q$200,$P64))</f>
        <v/>
      </c>
      <c r="F64" s="64">
        <f>IF($P64="","",INDEX($R$1:$R$200,$P64))</f>
        <v/>
      </c>
      <c r="G64" s="85">
        <f>IF(OR($P64="",N($B$71)=0),"",F64/$B$71)</f>
        <v/>
      </c>
      <c r="I64" s="57">
        <f>IFERROR(INDEX(L_Resultat,1)&amp;"","")</f>
        <v/>
      </c>
      <c r="J64" s="84">
        <f>IF($I64="","",COUNTIFS(VC_resultat,$I64,VC_date,"&gt;="&amp;$Z$3,VC_date,"&lt;="&amp;($B$4+6),VC_commercial,$E$4))</f>
        <v/>
      </c>
      <c r="K64" s="85">
        <f>IF(OR($I64="",N($J$73)=0),"",J64/$J$73)</f>
        <v/>
      </c>
      <c r="P64">
        <f>IF(LARGE($S$30:$S$48,1)=0,"",ROUND(MOD(LARGE($S$30:$S$48,1),1)*1000000,0))</f>
        <v/>
      </c>
    </row>
    <row r="65">
      <c r="A65" s="57">
        <f>IFERROR(INDEX(L_Produit,2)&amp;"","")</f>
        <v/>
      </c>
      <c r="B65" s="64">
        <f>IF($A65="","",SUMIFS(Cmd_montant,Cmd_produit,$A65,Cmd_dateca,"&gt;="&amp;$Z$3,Cmd_dateca,"&lt;="&amp;($B$4+6),Cmd_commercial,$E$4))</f>
        <v/>
      </c>
      <c r="C65" s="85">
        <f>IF(OR($A65="",N($B$71)=0),"",B65/$B$71)</f>
        <v/>
      </c>
      <c r="E65" s="57">
        <f>IF($P65="","",INDEX($Q$1:$Q$200,$P65))</f>
        <v/>
      </c>
      <c r="F65" s="64">
        <f>IF($P65="","",INDEX($R$1:$R$200,$P65))</f>
        <v/>
      </c>
      <c r="G65" s="85">
        <f>IF(OR($P65="",N($B$71)=0),"",F65/$B$71)</f>
        <v/>
      </c>
      <c r="I65" s="57">
        <f>IFERROR(INDEX(L_Resultat,2)&amp;"","")</f>
        <v/>
      </c>
      <c r="J65" s="84">
        <f>IF($I65="","",COUNTIFS(VC_resultat,$I65,VC_date,"&gt;="&amp;$Z$3,VC_date,"&lt;="&amp;($B$4+6),VC_commercial,$E$4))</f>
        <v/>
      </c>
      <c r="K65" s="85">
        <f>IF(OR($I65="",N($J$73)=0),"",J65/$J$73)</f>
        <v/>
      </c>
      <c r="P65">
        <f>IF(LARGE($S$30:$S$48,2)=0,"",ROUND(MOD(LARGE($S$30:$S$48,2),1)*1000000,0))</f>
        <v/>
      </c>
    </row>
    <row r="66">
      <c r="A66" s="57">
        <f>IFERROR(INDEX(L_Produit,3)&amp;"","")</f>
        <v/>
      </c>
      <c r="B66" s="64">
        <f>IF($A66="","",SUMIFS(Cmd_montant,Cmd_produit,$A66,Cmd_dateca,"&gt;="&amp;$Z$3,Cmd_dateca,"&lt;="&amp;($B$4+6),Cmd_commercial,$E$4))</f>
        <v/>
      </c>
      <c r="C66" s="85">
        <f>IF(OR($A66="",N($B$71)=0),"",B66/$B$71)</f>
        <v/>
      </c>
      <c r="E66" s="57">
        <f>IF($P66="","",INDEX($Q$1:$Q$200,$P66))</f>
        <v/>
      </c>
      <c r="F66" s="64">
        <f>IF($P66="","",INDEX($R$1:$R$200,$P66))</f>
        <v/>
      </c>
      <c r="G66" s="85">
        <f>IF(OR($P66="",N($B$71)=0),"",F66/$B$71)</f>
        <v/>
      </c>
      <c r="I66" s="57">
        <f>IFERROR(INDEX(L_Resultat,3)&amp;"","")</f>
        <v/>
      </c>
      <c r="J66" s="84">
        <f>IF($I66="","",COUNTIFS(VC_resultat,$I66,VC_date,"&gt;="&amp;$Z$3,VC_date,"&lt;="&amp;($B$4+6),VC_commercial,$E$4))</f>
        <v/>
      </c>
      <c r="K66" s="85">
        <f>IF(OR($I66="",N($J$73)=0),"",J66/$J$73)</f>
        <v/>
      </c>
      <c r="P66">
        <f>IF(LARGE($S$30:$S$48,3)=0,"",ROUND(MOD(LARGE($S$30:$S$48,3),1)*1000000,0))</f>
        <v/>
      </c>
    </row>
    <row r="67">
      <c r="A67" s="57">
        <f>IFERROR(INDEX(L_Produit,4)&amp;"","")</f>
        <v/>
      </c>
      <c r="B67" s="64">
        <f>IF($A67="","",SUMIFS(Cmd_montant,Cmd_produit,$A67,Cmd_dateca,"&gt;="&amp;$Z$3,Cmd_dateca,"&lt;="&amp;($B$4+6),Cmd_commercial,$E$4))</f>
        <v/>
      </c>
      <c r="C67" s="85">
        <f>IF(OR($A67="",N($B$71)=0),"",B67/$B$71)</f>
        <v/>
      </c>
      <c r="E67" s="57">
        <f>IF($P67="","",INDEX($Q$1:$Q$200,$P67))</f>
        <v/>
      </c>
      <c r="F67" s="64">
        <f>IF($P67="","",INDEX($R$1:$R$200,$P67))</f>
        <v/>
      </c>
      <c r="G67" s="85">
        <f>IF(OR($P67="",N($B$71)=0),"",F67/$B$71)</f>
        <v/>
      </c>
      <c r="I67" s="57">
        <f>IFERROR(INDEX(L_Resultat,4)&amp;"","")</f>
        <v/>
      </c>
      <c r="J67" s="84">
        <f>IF($I67="","",COUNTIFS(VC_resultat,$I67,VC_date,"&gt;="&amp;$Z$3,VC_date,"&lt;="&amp;($B$4+6),VC_commercial,$E$4))</f>
        <v/>
      </c>
      <c r="K67" s="85">
        <f>IF(OR($I67="",N($J$73)=0),"",J67/$J$73)</f>
        <v/>
      </c>
      <c r="P67">
        <f>IF(LARGE($S$30:$S$48,4)=0,"",ROUND(MOD(LARGE($S$30:$S$48,4),1)*1000000,0))</f>
        <v/>
      </c>
    </row>
    <row r="68">
      <c r="A68" s="57">
        <f>IFERROR(INDEX(L_Produit,5)&amp;"","")</f>
        <v/>
      </c>
      <c r="B68" s="64">
        <f>IF($A68="","",SUMIFS(Cmd_montant,Cmd_produit,$A68,Cmd_dateca,"&gt;="&amp;$Z$3,Cmd_dateca,"&lt;="&amp;($B$4+6),Cmd_commercial,$E$4))</f>
        <v/>
      </c>
      <c r="C68" s="85">
        <f>IF(OR($A68="",N($B$71)=0),"",B68/$B$71)</f>
        <v/>
      </c>
      <c r="E68" s="57">
        <f>IF($P68="","",INDEX($Q$1:$Q$200,$P68))</f>
        <v/>
      </c>
      <c r="F68" s="64">
        <f>IF($P68="","",INDEX($R$1:$R$200,$P68))</f>
        <v/>
      </c>
      <c r="G68" s="85">
        <f>IF(OR($P68="",N($B$71)=0),"",F68/$B$71)</f>
        <v/>
      </c>
      <c r="I68" s="57">
        <f>IFERROR(INDEX(L_Resultat,5)&amp;"","")</f>
        <v/>
      </c>
      <c r="J68" s="84">
        <f>IF($I68="","",COUNTIFS(VC_resultat,$I68,VC_date,"&gt;="&amp;$Z$3,VC_date,"&lt;="&amp;($B$4+6),VC_commercial,$E$4))</f>
        <v/>
      </c>
      <c r="K68" s="85">
        <f>IF(OR($I68="",N($J$73)=0),"",J68/$J$73)</f>
        <v/>
      </c>
      <c r="P68">
        <f>IF(LARGE($S$30:$S$48,5)=0,"",ROUND(MOD(LARGE($S$30:$S$48,5),1)*1000000,0))</f>
        <v/>
      </c>
    </row>
    <row r="69">
      <c r="A69" s="57">
        <f>IFERROR(INDEX(L_Produit,6)&amp;"","")</f>
        <v/>
      </c>
      <c r="B69" s="64">
        <f>IF($A69="","",SUMIFS(Cmd_montant,Cmd_produit,$A69,Cmd_dateca,"&gt;="&amp;$Z$3,Cmd_dateca,"&lt;="&amp;($B$4+6),Cmd_commercial,$E$4))</f>
        <v/>
      </c>
      <c r="C69" s="85">
        <f>IF(OR($A69="",N($B$71)=0),"",B69/$B$71)</f>
        <v/>
      </c>
      <c r="E69" s="57">
        <f>IF($P69="","",INDEX($Q$1:$Q$200,$P69))</f>
        <v/>
      </c>
      <c r="F69" s="64">
        <f>IF($P69="","",INDEX($R$1:$R$200,$P69))</f>
        <v/>
      </c>
      <c r="G69" s="85">
        <f>IF(OR($P69="",N($B$71)=0),"",F69/$B$71)</f>
        <v/>
      </c>
      <c r="I69" s="57">
        <f>IFERROR(INDEX(L_Resultat,6)&amp;"","")</f>
        <v/>
      </c>
      <c r="J69" s="84">
        <f>IF($I69="","",COUNTIFS(VC_resultat,$I69,VC_date,"&gt;="&amp;$Z$3,VC_date,"&lt;="&amp;($B$4+6),VC_commercial,$E$4))</f>
        <v/>
      </c>
      <c r="K69" s="85">
        <f>IF(OR($I69="",N($J$73)=0),"",J69/$J$73)</f>
        <v/>
      </c>
      <c r="P69">
        <f>IF(LARGE($S$30:$S$48,6)=0,"",ROUND(MOD(LARGE($S$30:$S$48,6),1)*1000000,0))</f>
        <v/>
      </c>
    </row>
    <row r="70">
      <c r="A70" s="57">
        <f>IFERROR(INDEX(L_Produit,7)&amp;"","")</f>
        <v/>
      </c>
      <c r="B70" s="64">
        <f>IF($A70="","",SUMIFS(Cmd_montant,Cmd_produit,$A70,Cmd_dateca,"&gt;="&amp;$Z$3,Cmd_dateca,"&lt;="&amp;($B$4+6),Cmd_commercial,$E$4))</f>
        <v/>
      </c>
      <c r="C70" s="85">
        <f>IF(OR($A70="",N($B$71)=0),"",B70/$B$71)</f>
        <v/>
      </c>
      <c r="E70" s="57">
        <f>IF($P70="","",INDEX($Q$1:$Q$200,$P70))</f>
        <v/>
      </c>
      <c r="F70" s="64">
        <f>IF($P70="","",INDEX($R$1:$R$200,$P70))</f>
        <v/>
      </c>
      <c r="G70" s="85">
        <f>IF(OR($P70="",N($B$71)=0),"",F70/$B$71)</f>
        <v/>
      </c>
      <c r="I70" s="57">
        <f>IFERROR(INDEX(L_Resultat,7)&amp;"","")</f>
        <v/>
      </c>
      <c r="J70" s="84">
        <f>IF($I70="","",COUNTIFS(VC_resultat,$I70,VC_date,"&gt;="&amp;$Z$3,VC_date,"&lt;="&amp;($B$4+6),VC_commercial,$E$4))</f>
        <v/>
      </c>
      <c r="K70" s="85">
        <f>IF(OR($I70="",N($J$73)=0),"",J70/$J$73)</f>
        <v/>
      </c>
      <c r="P70">
        <f>IF(LARGE($S$30:$S$48,7)=0,"",ROUND(MOD(LARGE($S$30:$S$48,7),1)*1000000,0))</f>
        <v/>
      </c>
    </row>
    <row r="71">
      <c r="A71" s="79" t="inlineStr">
        <is>
          <t>Total</t>
        </is>
      </c>
      <c r="B71" s="82">
        <f>SUM(B64:B70)</f>
        <v/>
      </c>
      <c r="C71" s="80" t="n"/>
      <c r="E71" s="57">
        <f>IF($P71="","",INDEX($Q$1:$Q$200,$P71))</f>
        <v/>
      </c>
      <c r="F71" s="64">
        <f>IF($P71="","",INDEX($R$1:$R$200,$P71))</f>
        <v/>
      </c>
      <c r="G71" s="85">
        <f>IF(OR($P71="",N($B$71)=0),"",F71/$B$71)</f>
        <v/>
      </c>
      <c r="I71" s="57">
        <f>IFERROR(INDEX(L_Resultat,8)&amp;"","")</f>
        <v/>
      </c>
      <c r="J71" s="84">
        <f>IF($I71="","",COUNTIFS(VC_resultat,$I71,VC_date,"&gt;="&amp;$Z$3,VC_date,"&lt;="&amp;($B$4+6),VC_commercial,$E$4))</f>
        <v/>
      </c>
      <c r="K71" s="85">
        <f>IF(OR($I71="",N($J$73)=0),"",J71/$J$73)</f>
        <v/>
      </c>
      <c r="P71">
        <f>IF(LARGE($S$30:$S$48,8)=0,"",ROUND(MOD(LARGE($S$30:$S$48,8),1)*1000000,0))</f>
        <v/>
      </c>
    </row>
    <row r="72">
      <c r="I72" s="57">
        <f>IFERROR(INDEX(L_Resultat,9)&amp;"","")</f>
        <v/>
      </c>
      <c r="J72" s="84">
        <f>IF($I72="","",COUNTIFS(VC_resultat,$I72,VC_date,"&gt;="&amp;$Z$3,VC_date,"&lt;="&amp;($B$4+6),VC_commercial,$E$4))</f>
        <v/>
      </c>
      <c r="K72" s="85">
        <f>IF(OR($I72="",N($J$73)=0),"",J72/$J$73)</f>
        <v/>
      </c>
    </row>
    <row r="73">
      <c r="I73" s="79" t="inlineStr">
        <is>
          <t>Total</t>
        </is>
      </c>
      <c r="J73" s="91">
        <f>SUM(J64:J72)</f>
        <v/>
      </c>
      <c r="K73" s="80" t="n"/>
    </row>
    <row r="75" ht="22" customHeight="1">
      <c r="A75" s="3" t="inlineStr">
        <is>
          <t>7. GRAPHIQUES DE RÉPARTITION</t>
        </is>
      </c>
      <c r="B75" s="4" t="n"/>
      <c r="C75" s="4" t="n"/>
      <c r="D75" s="4" t="n"/>
      <c r="E75" s="4" t="n"/>
      <c r="F75" s="4" t="n"/>
      <c r="G75" s="4" t="n"/>
      <c r="H75" s="4" t="n"/>
      <c r="I75" s="4" t="n"/>
      <c r="J75" s="4" t="n"/>
      <c r="K75" s="4" t="n"/>
      <c r="L75" s="4" t="n"/>
    </row>
  </sheetData>
  <sheetProtection selectLockedCells="0" selectUnlockedCells="0" sheet="1" objects="0" insertRows="1" insertHyperlinks="1" autoFilter="1" scenarios="0" formatColumns="0" deleteColumns="1" insertColumns="1" pivotTables="1" deleteRows="1" formatCells="1" formatRows="0" sort="1"/>
  <mergeCells count="25">
    <mergeCell ref="F11:G11"/>
    <mergeCell ref="F10:G10"/>
    <mergeCell ref="F16:G16"/>
    <mergeCell ref="F25:G25"/>
    <mergeCell ref="A75:L75"/>
    <mergeCell ref="A20:J20"/>
    <mergeCell ref="F21:G21"/>
    <mergeCell ref="F7:J7"/>
    <mergeCell ref="E4:F4"/>
    <mergeCell ref="F12:G12"/>
    <mergeCell ref="F24:G24"/>
    <mergeCell ref="F15:G15"/>
    <mergeCell ref="F17:G17"/>
    <mergeCell ref="E5:H5"/>
    <mergeCell ref="F8:G8"/>
    <mergeCell ref="A62:L62"/>
    <mergeCell ref="C21:D21"/>
    <mergeCell ref="A28:L28"/>
    <mergeCell ref="F23:G23"/>
    <mergeCell ref="A7:D7"/>
    <mergeCell ref="A44:L44"/>
    <mergeCell ref="F22:G22"/>
    <mergeCell ref="F13:G13"/>
    <mergeCell ref="F9:G9"/>
    <mergeCell ref="F14:G14"/>
  </mergeCells>
  <conditionalFormatting sqref="D9">
    <cfRule type="expression" priority="1" dxfId="1">
      <formula>LEFT(D9,1)="▲"</formula>
    </cfRule>
    <cfRule type="expression" priority="2" dxfId="3">
      <formula>LEFT(D9,1)="▼"</formula>
    </cfRule>
  </conditionalFormatting>
  <conditionalFormatting sqref="D10">
    <cfRule type="expression" priority="3" dxfId="1">
      <formula>LEFT(D10,1)="▲"</formula>
    </cfRule>
    <cfRule type="expression" priority="4" dxfId="3">
      <formula>LEFT(D10,1)="▼"</formula>
    </cfRule>
  </conditionalFormatting>
  <conditionalFormatting sqref="D11">
    <cfRule type="expression" priority="5" dxfId="1">
      <formula>LEFT(D11,1)="▲"</formula>
    </cfRule>
    <cfRule type="expression" priority="6" dxfId="3">
      <formula>LEFT(D11,1)="▼"</formula>
    </cfRule>
  </conditionalFormatting>
  <conditionalFormatting sqref="D12">
    <cfRule type="expression" priority="7" dxfId="1">
      <formula>LEFT(D12,1)="▲"</formula>
    </cfRule>
    <cfRule type="expression" priority="8" dxfId="3">
      <formula>LEFT(D12,1)="▼"</formula>
    </cfRule>
  </conditionalFormatting>
  <conditionalFormatting sqref="D13">
    <cfRule type="expression" priority="9" dxfId="1">
      <formula>LEFT(D13,1)="▲"</formula>
    </cfRule>
    <cfRule type="expression" priority="10" dxfId="3">
      <formula>LEFT(D13,1)="▼"</formula>
    </cfRule>
  </conditionalFormatting>
  <conditionalFormatting sqref="D14">
    <cfRule type="expression" priority="11" dxfId="1">
      <formula>LEFT(D14,1)="▲"</formula>
    </cfRule>
    <cfRule type="expression" priority="12" dxfId="3">
      <formula>LEFT(D14,1)="▼"</formula>
    </cfRule>
  </conditionalFormatting>
  <conditionalFormatting sqref="D15">
    <cfRule type="expression" priority="13" dxfId="1">
      <formula>LEFT(D15,1)="▲"</formula>
    </cfRule>
    <cfRule type="expression" priority="14" dxfId="3">
      <formula>LEFT(D15,1)="▼"</formula>
    </cfRule>
  </conditionalFormatting>
  <conditionalFormatting sqref="D16">
    <cfRule type="expression" priority="15" dxfId="1">
      <formula>LEFT(D16,1)="▲"</formula>
    </cfRule>
    <cfRule type="expression" priority="16" dxfId="3">
      <formula>LEFT(D16,1)="▼"</formula>
    </cfRule>
  </conditionalFormatting>
  <conditionalFormatting sqref="D17">
    <cfRule type="expression" priority="17" dxfId="1">
      <formula>LEFT(D17,1)="▼"</formula>
    </cfRule>
    <cfRule type="expression" priority="18" dxfId="3">
      <formula>LEFT(D17,1)="▲"</formula>
    </cfRule>
  </conditionalFormatting>
  <conditionalFormatting sqref="D18">
    <cfRule type="expression" priority="19" dxfId="1">
      <formula>LEFT(D18,1)="▼"</formula>
    </cfRule>
    <cfRule type="expression" priority="20" dxfId="3">
      <formula>LEFT(D18,1)="▲"</formula>
    </cfRule>
  </conditionalFormatting>
  <conditionalFormatting sqref="J9:J12">
    <cfRule type="expression" priority="21" dxfId="1">
      <formula>AND(ISNUMBER(J9),J9&gt;=1)</formula>
    </cfRule>
    <cfRule type="expression" priority="22" dxfId="2">
      <formula>AND(ISNUMBER(J9),J9&gt;=0.7,J9&lt;1)</formula>
    </cfRule>
    <cfRule type="expression" priority="23" dxfId="3">
      <formula>AND(ISNUMBER(J9),J9&lt;0.7)</formula>
    </cfRule>
  </conditionalFormatting>
  <dataValidations count="2">
    <dataValidation sqref="B4" showDropDown="0" showInputMessage="0" showErrorMessage="1" allowBlank="0" errorTitle="Valeur hors liste" error="Choisissez le lundi de la semaine dans la liste. Cliquez sur OK pour la garder telle quelle." type="list" errorStyle="information">
      <formula1>=L_LundisPasses</formula1>
    </dataValidation>
    <dataValidation sqref="E4" showDropDown="0" showInputMessage="0" showErrorMessage="1" allowBlank="0" errorTitle="Commercial inconnu" error="Ce code ne figure pas dans la liste de l'équipe (feuille Paramètres). Vous pouvez le saisir quand même." type="list" errorStyle="warning">
      <formula1>=L_Equipe</formula1>
    </dataValidation>
  </dataValidations>
  <hyperlinks>
    <hyperlink xmlns:r="http://schemas.openxmlformats.org/officeDocument/2006/relationships" ref="A3" r:id="rId1"/>
  </hyperlinks>
  <printOptions horizontalCentered="1"/>
  <pageMargins left="0.4" right="0.4" top="0.5" bottom="0.5" header="0.5" footer="0.5"/>
  <pageSetup orientation="landscape" paperSize="9" fitToHeight="0" fitToWidth="1"/>
  <rowBreaks count="2" manualBreakCount="2">
    <brk id="27" min="0" max="16383" man="1"/>
    <brk id="61" min="0" max="16383" man="1"/>
  </rowBreaks>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GIC AGROPELC — Direction commerciale</dc:creator>
  <dc:title xmlns:dc="http://purl.org/dc/elements/1.1/">Fiche de reporting commercial — GIC AGROPELC</dc:title>
  <dc:description xmlns:dc="http://purl.org/dc/elements/1.1/">Fiche de reporting commercial v2.0 (08/10/2026)</dc:description>
  <dcterms:created xmlns:dcterms="http://purl.org/dc/terms/" xmlns:xsi="http://www.w3.org/2001/XMLSchema-instance" xsi:type="dcterms:W3CDTF">2026-10-08T13:38:38Z</dcterms:created>
  <dcterms:modified xmlns:dcterms="http://purl.org/dc/terms/" xmlns:xsi="http://www.w3.org/2001/XMLSchema-instance" xsi:type="dcterms:W3CDTF">2026-10-08T13:39:49Z</dcterms:modified>
</cp:coreProperties>
</file>